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vallejo\Desktop\RESPALDOS_IRINA_VALLEJO\PRODUCTO FINAL VIDA CON AHORRO\"/>
    </mc:Choice>
  </mc:AlternateContent>
  <workbookProtection workbookAlgorithmName="SHA-512" workbookHashValue="mK3ke+/oBBKecJhkHjkhzNnZi6bYiFyDQ3Oty0YYFA4Srr1ct6zR2zse8asVPxf0hNT7QJAioq7jX5GeQvkUvA==" workbookSaltValue="CYXLgOoPLMFatL5fbX5JzA==" workbookSpinCount="100000" lockStructure="1"/>
  <bookViews>
    <workbookView xWindow="0" yWindow="0" windowWidth="12864" windowHeight="8220" tabRatio="641"/>
  </bookViews>
  <sheets>
    <sheet name="Parámetros" sheetId="1" r:id="rId1"/>
    <sheet name="Hoja Impresión" sheetId="17" r:id="rId2"/>
    <sheet name="Tablas Servicio" sheetId="11" state="veryHidden" r:id="rId3"/>
    <sheet name="PRIMAS" sheetId="9" state="veryHidden" r:id="rId4"/>
    <sheet name="Modelo Financiero" sheetId="12" state="veryHidden" r:id="rId5"/>
    <sheet name="COBERTURAS ADICIONALES" sheetId="10" state="veryHidden" r:id="rId6"/>
    <sheet name="TABLAS MORT" sheetId="3" state="veryHidden" r:id="rId7"/>
    <sheet name="TABLAS ADI" sheetId="7" state="veryHidden" r:id="rId8"/>
  </sheets>
  <definedNames>
    <definedName name="_xlnm._FilterDatabase" localSheetId="2" hidden="1">'Tablas Servicio'!$B$41:$DY$861</definedName>
    <definedName name="adicional" localSheetId="1">'Hoja Impresión'!#REF!</definedName>
    <definedName name="adicional">Parámetros!$D$47</definedName>
    <definedName name="_xlnm.Print_Area" localSheetId="1">'Hoja Impresión'!$A$1:$J$180</definedName>
    <definedName name="cob_adi">'COBERTURAS ADICIONALES'!$A$4:$X$88</definedName>
    <definedName name="edad_final">'TABLAS MORT'!$Q$5:$Q$88</definedName>
    <definedName name="edad1" localSheetId="1">'Hoja Impresión'!#REF!</definedName>
    <definedName name="edad1">Parámetros!$D$20</definedName>
    <definedName name="edadmaxtabla" localSheetId="1">'Hoja Impresión'!#REF!</definedName>
    <definedName name="edadmaxtabla">Parámetros!$G$92</definedName>
    <definedName name="frec" localSheetId="1">'Hoja Impresión'!#REF!</definedName>
    <definedName name="frec">Parámetros!$E$25</definedName>
    <definedName name="fumador1" localSheetId="1">'Hoja Impresión'!#REF!</definedName>
    <definedName name="fumador1">Parámetros!$D$16</definedName>
    <definedName name="i" localSheetId="1">'Hoja Impresión'!#REF!</definedName>
    <definedName name="i">Parámetros!$G$87</definedName>
    <definedName name="periodicidad">'TABLAS ADI'!$BB$2:$BD$6</definedName>
    <definedName name="qx_adicional">'TABLAS ADI'!$AV$7:$AY$88</definedName>
    <definedName name="qx_final">'TABLAS MORT'!$R$5:$R$88</definedName>
    <definedName name="qx_tabla">'TABLAS MORT'!$Q$5:$R$88</definedName>
    <definedName name="rec_fracc" localSheetId="1">'Hoja Impresión'!#REF!</definedName>
    <definedName name="rec_fracc">Parámetros!$G$89</definedName>
    <definedName name="RECARGO">'TABLAS MORT'!$V$4</definedName>
    <definedName name="sexo1" localSheetId="1">'Hoja Impresión'!#REF!</definedName>
    <definedName name="sexo1">Parámetros!$D$15</definedName>
    <definedName name="v" localSheetId="1">'Hoja Impresión'!#REF!</definedName>
    <definedName name="v">Parámetros!$G$88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7" i="1" l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16" i="1"/>
  <c r="P16" i="1"/>
  <c r="B166" i="17" l="1"/>
  <c r="B168" i="17"/>
  <c r="B167" i="17"/>
  <c r="C25" i="17"/>
  <c r="C30" i="17"/>
  <c r="G24" i="17"/>
  <c r="G19" i="17"/>
  <c r="G18" i="17"/>
  <c r="G17" i="17"/>
  <c r="G16" i="17"/>
  <c r="C18" i="17"/>
  <c r="C17" i="17"/>
  <c r="C16" i="17"/>
  <c r="D11" i="17"/>
  <c r="D20" i="1" l="1"/>
  <c r="F45" i="1" l="1"/>
  <c r="G25" i="17" s="1"/>
  <c r="D22" i="1"/>
  <c r="D45" i="1" s="1"/>
  <c r="I100" i="1" l="1"/>
  <c r="D115" i="1"/>
  <c r="D114" i="1"/>
  <c r="D101" i="1"/>
  <c r="D102" i="1"/>
  <c r="D103" i="1"/>
  <c r="X5" i="9"/>
  <c r="Y5" i="9"/>
  <c r="Z5" i="9"/>
  <c r="X6" i="9"/>
  <c r="Y6" i="9"/>
  <c r="Z6" i="9"/>
  <c r="X7" i="9"/>
  <c r="Y7" i="9"/>
  <c r="Z7" i="9"/>
  <c r="X8" i="9"/>
  <c r="Y8" i="9"/>
  <c r="Z8" i="9"/>
  <c r="X9" i="9"/>
  <c r="Y9" i="9"/>
  <c r="Z9" i="9"/>
  <c r="X10" i="9"/>
  <c r="Y10" i="9"/>
  <c r="Z10" i="9"/>
  <c r="X11" i="9"/>
  <c r="Y11" i="9"/>
  <c r="Z11" i="9"/>
  <c r="X12" i="9"/>
  <c r="Y12" i="9"/>
  <c r="Z12" i="9"/>
  <c r="X13" i="9"/>
  <c r="Y13" i="9"/>
  <c r="Z13" i="9"/>
  <c r="X14" i="9"/>
  <c r="Y14" i="9"/>
  <c r="Z14" i="9"/>
  <c r="X15" i="9"/>
  <c r="Y15" i="9"/>
  <c r="Z15" i="9"/>
  <c r="X16" i="9"/>
  <c r="Y16" i="9"/>
  <c r="Z16" i="9"/>
  <c r="X17" i="9"/>
  <c r="Y17" i="9"/>
  <c r="Z17" i="9"/>
  <c r="X18" i="9"/>
  <c r="Y18" i="9"/>
  <c r="Z18" i="9"/>
  <c r="X19" i="9"/>
  <c r="Y19" i="9"/>
  <c r="Z19" i="9"/>
  <c r="X20" i="9"/>
  <c r="Y20" i="9"/>
  <c r="Z20" i="9"/>
  <c r="X21" i="9"/>
  <c r="Y21" i="9"/>
  <c r="Z21" i="9"/>
  <c r="X22" i="9"/>
  <c r="Y22" i="9"/>
  <c r="Z22" i="9"/>
  <c r="X23" i="9"/>
  <c r="Y23" i="9"/>
  <c r="Z23" i="9"/>
  <c r="X24" i="9"/>
  <c r="Y24" i="9"/>
  <c r="Z24" i="9"/>
  <c r="X25" i="9"/>
  <c r="Y25" i="9"/>
  <c r="Z25" i="9"/>
  <c r="X26" i="9"/>
  <c r="Y26" i="9"/>
  <c r="Z26" i="9"/>
  <c r="X27" i="9"/>
  <c r="Y27" i="9"/>
  <c r="Z27" i="9"/>
  <c r="X28" i="9"/>
  <c r="Y28" i="9"/>
  <c r="Z28" i="9"/>
  <c r="X29" i="9"/>
  <c r="Y29" i="9"/>
  <c r="Z29" i="9"/>
  <c r="X30" i="9"/>
  <c r="Y30" i="9"/>
  <c r="Z30" i="9"/>
  <c r="X31" i="9"/>
  <c r="Y31" i="9"/>
  <c r="Z31" i="9"/>
  <c r="X32" i="9"/>
  <c r="Y32" i="9"/>
  <c r="Z32" i="9"/>
  <c r="X33" i="9"/>
  <c r="Y33" i="9"/>
  <c r="Z33" i="9"/>
  <c r="X34" i="9"/>
  <c r="Y34" i="9"/>
  <c r="Z34" i="9"/>
  <c r="X35" i="9"/>
  <c r="Y35" i="9"/>
  <c r="Z35" i="9"/>
  <c r="X36" i="9"/>
  <c r="Y36" i="9"/>
  <c r="Z36" i="9"/>
  <c r="X37" i="9"/>
  <c r="Y37" i="9"/>
  <c r="Z37" i="9"/>
  <c r="X38" i="9"/>
  <c r="Y38" i="9"/>
  <c r="Z38" i="9"/>
  <c r="X39" i="9"/>
  <c r="Y39" i="9"/>
  <c r="Z39" i="9"/>
  <c r="X40" i="9"/>
  <c r="Y40" i="9"/>
  <c r="Z40" i="9"/>
  <c r="X41" i="9"/>
  <c r="Y41" i="9"/>
  <c r="Z41" i="9"/>
  <c r="X42" i="9"/>
  <c r="Y42" i="9"/>
  <c r="Z42" i="9"/>
  <c r="X43" i="9"/>
  <c r="Y43" i="9"/>
  <c r="Z43" i="9"/>
  <c r="X44" i="9"/>
  <c r="Y44" i="9"/>
  <c r="Z44" i="9"/>
  <c r="X45" i="9"/>
  <c r="Y45" i="9"/>
  <c r="Z45" i="9"/>
  <c r="X46" i="9"/>
  <c r="Y46" i="9"/>
  <c r="Z46" i="9"/>
  <c r="X47" i="9"/>
  <c r="Y47" i="9"/>
  <c r="Z47" i="9"/>
  <c r="X48" i="9"/>
  <c r="Y48" i="9"/>
  <c r="Z48" i="9"/>
  <c r="X49" i="9"/>
  <c r="Y49" i="9"/>
  <c r="Z49" i="9"/>
  <c r="X50" i="9"/>
  <c r="Y50" i="9"/>
  <c r="Z50" i="9"/>
  <c r="X51" i="9"/>
  <c r="Y51" i="9"/>
  <c r="Z51" i="9"/>
  <c r="X52" i="9"/>
  <c r="Y52" i="9"/>
  <c r="Z52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" i="9"/>
  <c r="D95" i="1"/>
  <c r="C1" i="9"/>
  <c r="B2" i="9" s="1"/>
  <c r="B5" i="9" s="1"/>
  <c r="M5" i="9"/>
  <c r="L3" i="9"/>
  <c r="M3" i="9" s="1"/>
  <c r="N3" i="9" s="1"/>
  <c r="O3" i="9" s="1"/>
  <c r="P3" i="9" s="1"/>
  <c r="Q3" i="9" s="1"/>
  <c r="R3" i="9" s="1"/>
  <c r="S3" i="9" s="1"/>
  <c r="T3" i="9" s="1"/>
  <c r="U3" i="9" s="1"/>
  <c r="V3" i="9" s="1"/>
  <c r="W3" i="9" s="1"/>
  <c r="X3" i="9" s="1"/>
  <c r="Y3" i="9" s="1"/>
  <c r="Z3" i="9" s="1"/>
  <c r="AA3" i="9" s="1"/>
  <c r="AB3" i="9" s="1"/>
  <c r="AC3" i="9" s="1"/>
  <c r="AD3" i="9" s="1"/>
  <c r="AE3" i="9" s="1"/>
  <c r="U52" i="9"/>
  <c r="T52" i="9"/>
  <c r="S52" i="9"/>
  <c r="R52" i="9"/>
  <c r="U51" i="9"/>
  <c r="T51" i="9"/>
  <c r="S51" i="9"/>
  <c r="R51" i="9"/>
  <c r="U50" i="9"/>
  <c r="T50" i="9"/>
  <c r="S50" i="9"/>
  <c r="R50" i="9"/>
  <c r="U49" i="9"/>
  <c r="T49" i="9"/>
  <c r="S49" i="9"/>
  <c r="R49" i="9"/>
  <c r="U48" i="9"/>
  <c r="T48" i="9"/>
  <c r="S48" i="9"/>
  <c r="R48" i="9"/>
  <c r="U47" i="9"/>
  <c r="T47" i="9"/>
  <c r="S47" i="9"/>
  <c r="R47" i="9"/>
  <c r="U46" i="9"/>
  <c r="T46" i="9"/>
  <c r="S46" i="9"/>
  <c r="R46" i="9"/>
  <c r="U45" i="9"/>
  <c r="T45" i="9"/>
  <c r="S45" i="9"/>
  <c r="R45" i="9"/>
  <c r="U44" i="9"/>
  <c r="T44" i="9"/>
  <c r="S44" i="9"/>
  <c r="R44" i="9"/>
  <c r="U43" i="9"/>
  <c r="T43" i="9"/>
  <c r="S43" i="9"/>
  <c r="R43" i="9"/>
  <c r="U42" i="9"/>
  <c r="T42" i="9"/>
  <c r="S42" i="9"/>
  <c r="R42" i="9"/>
  <c r="U41" i="9"/>
  <c r="T41" i="9"/>
  <c r="S41" i="9"/>
  <c r="R41" i="9"/>
  <c r="U40" i="9"/>
  <c r="T40" i="9"/>
  <c r="S40" i="9"/>
  <c r="R40" i="9"/>
  <c r="U39" i="9"/>
  <c r="T39" i="9"/>
  <c r="S39" i="9"/>
  <c r="R39" i="9"/>
  <c r="U38" i="9"/>
  <c r="T38" i="9"/>
  <c r="S38" i="9"/>
  <c r="R38" i="9"/>
  <c r="U37" i="9"/>
  <c r="T37" i="9"/>
  <c r="S37" i="9"/>
  <c r="R37" i="9"/>
  <c r="U36" i="9"/>
  <c r="T36" i="9"/>
  <c r="S36" i="9"/>
  <c r="R36" i="9"/>
  <c r="U35" i="9"/>
  <c r="T35" i="9"/>
  <c r="S35" i="9"/>
  <c r="R35" i="9"/>
  <c r="U34" i="9"/>
  <c r="T34" i="9"/>
  <c r="S34" i="9"/>
  <c r="R34" i="9"/>
  <c r="U33" i="9"/>
  <c r="T33" i="9"/>
  <c r="S33" i="9"/>
  <c r="R33" i="9"/>
  <c r="U32" i="9"/>
  <c r="T32" i="9"/>
  <c r="S32" i="9"/>
  <c r="R32" i="9"/>
  <c r="U31" i="9"/>
  <c r="T31" i="9"/>
  <c r="S31" i="9"/>
  <c r="R31" i="9"/>
  <c r="U30" i="9"/>
  <c r="T30" i="9"/>
  <c r="S30" i="9"/>
  <c r="R30" i="9"/>
  <c r="U29" i="9"/>
  <c r="T29" i="9"/>
  <c r="S29" i="9"/>
  <c r="R29" i="9"/>
  <c r="U28" i="9"/>
  <c r="T28" i="9"/>
  <c r="S28" i="9"/>
  <c r="R28" i="9"/>
  <c r="U27" i="9"/>
  <c r="T27" i="9"/>
  <c r="S27" i="9"/>
  <c r="R27" i="9"/>
  <c r="U26" i="9"/>
  <c r="T26" i="9"/>
  <c r="S26" i="9"/>
  <c r="R26" i="9"/>
  <c r="U25" i="9"/>
  <c r="T25" i="9"/>
  <c r="S25" i="9"/>
  <c r="R25" i="9"/>
  <c r="U24" i="9"/>
  <c r="T24" i="9"/>
  <c r="S24" i="9"/>
  <c r="R24" i="9"/>
  <c r="U23" i="9"/>
  <c r="T23" i="9"/>
  <c r="S23" i="9"/>
  <c r="R23" i="9"/>
  <c r="U22" i="9"/>
  <c r="T22" i="9"/>
  <c r="S22" i="9"/>
  <c r="R22" i="9"/>
  <c r="U21" i="9"/>
  <c r="T21" i="9"/>
  <c r="S21" i="9"/>
  <c r="R21" i="9"/>
  <c r="U20" i="9"/>
  <c r="T20" i="9"/>
  <c r="S20" i="9"/>
  <c r="R20" i="9"/>
  <c r="U19" i="9"/>
  <c r="T19" i="9"/>
  <c r="S19" i="9"/>
  <c r="R19" i="9"/>
  <c r="U18" i="9"/>
  <c r="T18" i="9"/>
  <c r="S18" i="9"/>
  <c r="R18" i="9"/>
  <c r="U17" i="9"/>
  <c r="T17" i="9"/>
  <c r="S17" i="9"/>
  <c r="R17" i="9"/>
  <c r="U16" i="9"/>
  <c r="T16" i="9"/>
  <c r="S16" i="9"/>
  <c r="R16" i="9"/>
  <c r="U15" i="9"/>
  <c r="T15" i="9"/>
  <c r="S15" i="9"/>
  <c r="R15" i="9"/>
  <c r="U14" i="9"/>
  <c r="T14" i="9"/>
  <c r="S14" i="9"/>
  <c r="R14" i="9"/>
  <c r="U13" i="9"/>
  <c r="T13" i="9"/>
  <c r="S13" i="9"/>
  <c r="R13" i="9"/>
  <c r="U12" i="9"/>
  <c r="T12" i="9"/>
  <c r="S12" i="9"/>
  <c r="R12" i="9"/>
  <c r="U11" i="9"/>
  <c r="T11" i="9"/>
  <c r="S11" i="9"/>
  <c r="R11" i="9"/>
  <c r="U10" i="9"/>
  <c r="T10" i="9"/>
  <c r="S10" i="9"/>
  <c r="R10" i="9"/>
  <c r="U9" i="9"/>
  <c r="T9" i="9"/>
  <c r="S9" i="9"/>
  <c r="R9" i="9"/>
  <c r="U8" i="9"/>
  <c r="T8" i="9"/>
  <c r="S8" i="9"/>
  <c r="R8" i="9"/>
  <c r="U7" i="9"/>
  <c r="T7" i="9"/>
  <c r="S7" i="9"/>
  <c r="R7" i="9"/>
  <c r="U6" i="9"/>
  <c r="T6" i="9"/>
  <c r="S6" i="9"/>
  <c r="R6" i="9"/>
  <c r="U5" i="9"/>
  <c r="T5" i="9"/>
  <c r="S5" i="9"/>
  <c r="R5" i="9"/>
  <c r="P52" i="9"/>
  <c r="O52" i="9"/>
  <c r="N52" i="9"/>
  <c r="M52" i="9"/>
  <c r="P51" i="9"/>
  <c r="O51" i="9"/>
  <c r="N51" i="9"/>
  <c r="M51" i="9"/>
  <c r="P50" i="9"/>
  <c r="O50" i="9"/>
  <c r="N50" i="9"/>
  <c r="M50" i="9"/>
  <c r="P49" i="9"/>
  <c r="O49" i="9"/>
  <c r="N49" i="9"/>
  <c r="M49" i="9"/>
  <c r="P48" i="9"/>
  <c r="O48" i="9"/>
  <c r="N48" i="9"/>
  <c r="M48" i="9"/>
  <c r="P47" i="9"/>
  <c r="O47" i="9"/>
  <c r="N47" i="9"/>
  <c r="M47" i="9"/>
  <c r="P46" i="9"/>
  <c r="O46" i="9"/>
  <c r="N46" i="9"/>
  <c r="M46" i="9"/>
  <c r="P45" i="9"/>
  <c r="O45" i="9"/>
  <c r="N45" i="9"/>
  <c r="M45" i="9"/>
  <c r="P44" i="9"/>
  <c r="O44" i="9"/>
  <c r="N44" i="9"/>
  <c r="M44" i="9"/>
  <c r="P43" i="9"/>
  <c r="O43" i="9"/>
  <c r="N43" i="9"/>
  <c r="M43" i="9"/>
  <c r="P42" i="9"/>
  <c r="O42" i="9"/>
  <c r="N42" i="9"/>
  <c r="M42" i="9"/>
  <c r="P41" i="9"/>
  <c r="O41" i="9"/>
  <c r="N41" i="9"/>
  <c r="M41" i="9"/>
  <c r="P40" i="9"/>
  <c r="O40" i="9"/>
  <c r="N40" i="9"/>
  <c r="M40" i="9"/>
  <c r="P39" i="9"/>
  <c r="O39" i="9"/>
  <c r="N39" i="9"/>
  <c r="M39" i="9"/>
  <c r="P38" i="9"/>
  <c r="O38" i="9"/>
  <c r="N38" i="9"/>
  <c r="M38" i="9"/>
  <c r="P37" i="9"/>
  <c r="O37" i="9"/>
  <c r="N37" i="9"/>
  <c r="M37" i="9"/>
  <c r="P36" i="9"/>
  <c r="O36" i="9"/>
  <c r="N36" i="9"/>
  <c r="M36" i="9"/>
  <c r="P35" i="9"/>
  <c r="O35" i="9"/>
  <c r="N35" i="9"/>
  <c r="M35" i="9"/>
  <c r="P34" i="9"/>
  <c r="O34" i="9"/>
  <c r="N34" i="9"/>
  <c r="M34" i="9"/>
  <c r="P33" i="9"/>
  <c r="O33" i="9"/>
  <c r="N33" i="9"/>
  <c r="M33" i="9"/>
  <c r="P32" i="9"/>
  <c r="O32" i="9"/>
  <c r="N32" i="9"/>
  <c r="M32" i="9"/>
  <c r="P31" i="9"/>
  <c r="O31" i="9"/>
  <c r="N31" i="9"/>
  <c r="M31" i="9"/>
  <c r="P30" i="9"/>
  <c r="O30" i="9"/>
  <c r="N30" i="9"/>
  <c r="M30" i="9"/>
  <c r="P29" i="9"/>
  <c r="O29" i="9"/>
  <c r="N29" i="9"/>
  <c r="M29" i="9"/>
  <c r="P28" i="9"/>
  <c r="O28" i="9"/>
  <c r="N28" i="9"/>
  <c r="M28" i="9"/>
  <c r="P27" i="9"/>
  <c r="O27" i="9"/>
  <c r="N27" i="9"/>
  <c r="M27" i="9"/>
  <c r="P26" i="9"/>
  <c r="O26" i="9"/>
  <c r="N26" i="9"/>
  <c r="M26" i="9"/>
  <c r="P25" i="9"/>
  <c r="O25" i="9"/>
  <c r="N25" i="9"/>
  <c r="M25" i="9"/>
  <c r="P24" i="9"/>
  <c r="O24" i="9"/>
  <c r="N24" i="9"/>
  <c r="M24" i="9"/>
  <c r="P23" i="9"/>
  <c r="O23" i="9"/>
  <c r="N23" i="9"/>
  <c r="M23" i="9"/>
  <c r="P22" i="9"/>
  <c r="O22" i="9"/>
  <c r="N22" i="9"/>
  <c r="M22" i="9"/>
  <c r="P21" i="9"/>
  <c r="O21" i="9"/>
  <c r="N21" i="9"/>
  <c r="M21" i="9"/>
  <c r="P20" i="9"/>
  <c r="O20" i="9"/>
  <c r="N20" i="9"/>
  <c r="M20" i="9"/>
  <c r="P19" i="9"/>
  <c r="O19" i="9"/>
  <c r="N19" i="9"/>
  <c r="M19" i="9"/>
  <c r="P18" i="9"/>
  <c r="O18" i="9"/>
  <c r="N18" i="9"/>
  <c r="M18" i="9"/>
  <c r="P17" i="9"/>
  <c r="O17" i="9"/>
  <c r="N17" i="9"/>
  <c r="M17" i="9"/>
  <c r="P16" i="9"/>
  <c r="O16" i="9"/>
  <c r="N16" i="9"/>
  <c r="M16" i="9"/>
  <c r="P15" i="9"/>
  <c r="O15" i="9"/>
  <c r="N15" i="9"/>
  <c r="M15" i="9"/>
  <c r="P14" i="9"/>
  <c r="O14" i="9"/>
  <c r="N14" i="9"/>
  <c r="M14" i="9"/>
  <c r="P13" i="9"/>
  <c r="O13" i="9"/>
  <c r="N13" i="9"/>
  <c r="M13" i="9"/>
  <c r="P12" i="9"/>
  <c r="O12" i="9"/>
  <c r="N12" i="9"/>
  <c r="M12" i="9"/>
  <c r="P11" i="9"/>
  <c r="O11" i="9"/>
  <c r="N11" i="9"/>
  <c r="M11" i="9"/>
  <c r="P10" i="9"/>
  <c r="O10" i="9"/>
  <c r="N10" i="9"/>
  <c r="M10" i="9"/>
  <c r="P9" i="9"/>
  <c r="O9" i="9"/>
  <c r="N9" i="9"/>
  <c r="M9" i="9"/>
  <c r="P8" i="9"/>
  <c r="O8" i="9"/>
  <c r="N8" i="9"/>
  <c r="M8" i="9"/>
  <c r="P7" i="9"/>
  <c r="O7" i="9"/>
  <c r="N7" i="9"/>
  <c r="M7" i="9"/>
  <c r="P6" i="9"/>
  <c r="O6" i="9"/>
  <c r="N6" i="9"/>
  <c r="M6" i="9"/>
  <c r="P5" i="9"/>
  <c r="O5" i="9"/>
  <c r="N5" i="9"/>
  <c r="J100" i="1" l="1"/>
  <c r="C2" i="9"/>
  <c r="C15" i="9" s="1"/>
  <c r="D2" i="9"/>
  <c r="D7" i="9" s="1"/>
  <c r="E2" i="9"/>
  <c r="E5" i="9" s="1"/>
  <c r="B51" i="9"/>
  <c r="B49" i="9"/>
  <c r="B47" i="9"/>
  <c r="B45" i="9"/>
  <c r="B43" i="9"/>
  <c r="B41" i="9"/>
  <c r="B39" i="9"/>
  <c r="B37" i="9"/>
  <c r="B35" i="9"/>
  <c r="B33" i="9"/>
  <c r="B31" i="9"/>
  <c r="B29" i="9"/>
  <c r="B27" i="9"/>
  <c r="B25" i="9"/>
  <c r="B23" i="9"/>
  <c r="B21" i="9"/>
  <c r="B19" i="9"/>
  <c r="B17" i="9"/>
  <c r="B15" i="9"/>
  <c r="B13" i="9"/>
  <c r="B11" i="9"/>
  <c r="B9" i="9"/>
  <c r="B7" i="9"/>
  <c r="B52" i="9"/>
  <c r="B50" i="9"/>
  <c r="B48" i="9"/>
  <c r="B46" i="9"/>
  <c r="B44" i="9"/>
  <c r="B42" i="9"/>
  <c r="B40" i="9"/>
  <c r="B38" i="9"/>
  <c r="B36" i="9"/>
  <c r="B34" i="9"/>
  <c r="B32" i="9"/>
  <c r="B30" i="9"/>
  <c r="B28" i="9"/>
  <c r="B26" i="9"/>
  <c r="B24" i="9"/>
  <c r="B22" i="9"/>
  <c r="B20" i="9"/>
  <c r="B18" i="9"/>
  <c r="B16" i="9"/>
  <c r="B14" i="9"/>
  <c r="B12" i="9"/>
  <c r="B10" i="9"/>
  <c r="B8" i="9"/>
  <c r="B6" i="9"/>
  <c r="E47" i="9"/>
  <c r="F105" i="1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4" i="10"/>
  <c r="I101" i="1" l="1"/>
  <c r="J101" i="1" s="1"/>
  <c r="D19" i="9"/>
  <c r="E31" i="9"/>
  <c r="D45" i="9"/>
  <c r="D31" i="9"/>
  <c r="D20" i="9"/>
  <c r="D34" i="9"/>
  <c r="D52" i="9"/>
  <c r="C10" i="9"/>
  <c r="E34" i="9"/>
  <c r="C16" i="9"/>
  <c r="E50" i="9"/>
  <c r="C5" i="9"/>
  <c r="C32" i="9"/>
  <c r="C39" i="9"/>
  <c r="E18" i="9"/>
  <c r="C48" i="9"/>
  <c r="C31" i="9"/>
  <c r="E15" i="9"/>
  <c r="C50" i="9"/>
  <c r="C9" i="9"/>
  <c r="C47" i="9"/>
  <c r="C20" i="9"/>
  <c r="C36" i="9"/>
  <c r="C52" i="9"/>
  <c r="C35" i="9"/>
  <c r="C25" i="9"/>
  <c r="C13" i="9"/>
  <c r="C18" i="9"/>
  <c r="C22" i="9"/>
  <c r="C38" i="9"/>
  <c r="C51" i="9"/>
  <c r="C41" i="9"/>
  <c r="C17" i="9"/>
  <c r="C34" i="9"/>
  <c r="C19" i="9"/>
  <c r="C8" i="9"/>
  <c r="C24" i="9"/>
  <c r="C40" i="9"/>
  <c r="C21" i="9"/>
  <c r="C11" i="9"/>
  <c r="C29" i="9"/>
  <c r="C26" i="9"/>
  <c r="C42" i="9"/>
  <c r="C37" i="9"/>
  <c r="C27" i="9"/>
  <c r="C33" i="9"/>
  <c r="C12" i="9"/>
  <c r="C28" i="9"/>
  <c r="C44" i="9"/>
  <c r="C7" i="9"/>
  <c r="C43" i="9"/>
  <c r="C14" i="9"/>
  <c r="C30" i="9"/>
  <c r="C46" i="9"/>
  <c r="C23" i="9"/>
  <c r="D47" i="9"/>
  <c r="D36" i="9"/>
  <c r="D13" i="9"/>
  <c r="D51" i="9"/>
  <c r="D40" i="9"/>
  <c r="D15" i="9"/>
  <c r="D50" i="9"/>
  <c r="D29" i="9"/>
  <c r="D18" i="9"/>
  <c r="D35" i="9"/>
  <c r="D24" i="9"/>
  <c r="E17" i="9"/>
  <c r="E21" i="9"/>
  <c r="E8" i="9"/>
  <c r="D21" i="9"/>
  <c r="D37" i="9"/>
  <c r="E7" i="9"/>
  <c r="E23" i="9"/>
  <c r="E39" i="9"/>
  <c r="D10" i="9"/>
  <c r="D26" i="9"/>
  <c r="D42" i="9"/>
  <c r="E10" i="9"/>
  <c r="E26" i="9"/>
  <c r="E42" i="9"/>
  <c r="E37" i="9"/>
  <c r="D8" i="9"/>
  <c r="E24" i="9"/>
  <c r="D23" i="9"/>
  <c r="D39" i="9"/>
  <c r="E9" i="9"/>
  <c r="E25" i="9"/>
  <c r="E41" i="9"/>
  <c r="D12" i="9"/>
  <c r="D28" i="9"/>
  <c r="D44" i="9"/>
  <c r="E12" i="9"/>
  <c r="E28" i="9"/>
  <c r="E44" i="9"/>
  <c r="E52" i="9"/>
  <c r="E40" i="9"/>
  <c r="D9" i="9"/>
  <c r="D25" i="9"/>
  <c r="D41" i="9"/>
  <c r="E11" i="9"/>
  <c r="E27" i="9"/>
  <c r="E43" i="9"/>
  <c r="D14" i="9"/>
  <c r="D30" i="9"/>
  <c r="D46" i="9"/>
  <c r="E14" i="9"/>
  <c r="E30" i="9"/>
  <c r="E46" i="9"/>
  <c r="E49" i="9"/>
  <c r="E20" i="9"/>
  <c r="D11" i="9"/>
  <c r="D27" i="9"/>
  <c r="D43" i="9"/>
  <c r="E13" i="9"/>
  <c r="E29" i="9"/>
  <c r="E45" i="9"/>
  <c r="D16" i="9"/>
  <c r="D32" i="9"/>
  <c r="D48" i="9"/>
  <c r="E16" i="9"/>
  <c r="E32" i="9"/>
  <c r="E48" i="9"/>
  <c r="D5" i="9"/>
  <c r="E33" i="9"/>
  <c r="E36" i="9"/>
  <c r="D17" i="9"/>
  <c r="D33" i="9"/>
  <c r="D49" i="9"/>
  <c r="E19" i="9"/>
  <c r="E35" i="9"/>
  <c r="E51" i="9"/>
  <c r="D6" i="9"/>
  <c r="D22" i="9"/>
  <c r="D38" i="9"/>
  <c r="E6" i="9"/>
  <c r="E22" i="9"/>
  <c r="E38" i="9"/>
  <c r="C6" i="9"/>
  <c r="C45" i="9"/>
  <c r="C49" i="9"/>
  <c r="E32" i="11"/>
  <c r="I102" i="1" l="1"/>
  <c r="J102" i="1" s="1"/>
  <c r="EB42" i="11"/>
  <c r="H37" i="11" s="1"/>
  <c r="DO42" i="11"/>
  <c r="H45" i="1"/>
  <c r="I45" i="1" s="1"/>
  <c r="E45" i="1"/>
  <c r="DO40" i="11" l="1"/>
  <c r="I103" i="1"/>
  <c r="J103" i="1" s="1"/>
  <c r="E25" i="1"/>
  <c r="BF6" i="7"/>
  <c r="BE6" i="7" s="1"/>
  <c r="BF5" i="7"/>
  <c r="BE5" i="7" s="1"/>
  <c r="BF4" i="7"/>
  <c r="BE4" i="7" s="1"/>
  <c r="BF3" i="7"/>
  <c r="BE3" i="7" s="1"/>
  <c r="D116" i="1" l="1"/>
  <c r="I104" i="1"/>
  <c r="I105" i="1" s="1"/>
  <c r="I106" i="1" s="1"/>
  <c r="B9" i="12"/>
  <c r="C4" i="12"/>
  <c r="C3" i="12"/>
  <c r="J105" i="1" l="1"/>
  <c r="J104" i="1"/>
  <c r="I107" i="1"/>
  <c r="J106" i="1"/>
  <c r="I108" i="1" l="1"/>
  <c r="J107" i="1"/>
  <c r="D35" i="11"/>
  <c r="D30" i="11"/>
  <c r="DB42" i="11"/>
  <c r="U5" i="10"/>
  <c r="V5" i="10"/>
  <c r="W5" i="10"/>
  <c r="U6" i="10"/>
  <c r="V6" i="10"/>
  <c r="W6" i="10"/>
  <c r="U7" i="10"/>
  <c r="V7" i="10"/>
  <c r="W7" i="10"/>
  <c r="U8" i="10"/>
  <c r="V8" i="10"/>
  <c r="W8" i="10"/>
  <c r="U9" i="10"/>
  <c r="V9" i="10"/>
  <c r="W9" i="10"/>
  <c r="U10" i="10"/>
  <c r="V10" i="10"/>
  <c r="W10" i="10"/>
  <c r="U11" i="10"/>
  <c r="V11" i="10"/>
  <c r="W11" i="10"/>
  <c r="U12" i="10"/>
  <c r="V12" i="10"/>
  <c r="W12" i="10"/>
  <c r="U13" i="10"/>
  <c r="V13" i="10"/>
  <c r="W13" i="10"/>
  <c r="U14" i="10"/>
  <c r="V14" i="10"/>
  <c r="W14" i="10"/>
  <c r="U15" i="10"/>
  <c r="V15" i="10"/>
  <c r="W15" i="10"/>
  <c r="U16" i="10"/>
  <c r="V16" i="10"/>
  <c r="W16" i="10"/>
  <c r="U17" i="10"/>
  <c r="V17" i="10"/>
  <c r="W17" i="10"/>
  <c r="U18" i="10"/>
  <c r="V18" i="10"/>
  <c r="W18" i="10"/>
  <c r="U19" i="10"/>
  <c r="V19" i="10"/>
  <c r="W19" i="10"/>
  <c r="U20" i="10"/>
  <c r="V20" i="10"/>
  <c r="W20" i="10"/>
  <c r="U21" i="10"/>
  <c r="V21" i="10"/>
  <c r="W21" i="10"/>
  <c r="U22" i="10"/>
  <c r="V22" i="10"/>
  <c r="W22" i="10"/>
  <c r="U23" i="10"/>
  <c r="V23" i="10"/>
  <c r="W23" i="10"/>
  <c r="U24" i="10"/>
  <c r="V24" i="10"/>
  <c r="W24" i="10"/>
  <c r="U25" i="10"/>
  <c r="V25" i="10"/>
  <c r="W25" i="10"/>
  <c r="U26" i="10"/>
  <c r="V26" i="10"/>
  <c r="W26" i="10"/>
  <c r="U27" i="10"/>
  <c r="V27" i="10"/>
  <c r="W27" i="10"/>
  <c r="U28" i="10"/>
  <c r="V28" i="10"/>
  <c r="W28" i="10"/>
  <c r="U29" i="10"/>
  <c r="V29" i="10"/>
  <c r="W29" i="10"/>
  <c r="U30" i="10"/>
  <c r="V30" i="10"/>
  <c r="W30" i="10"/>
  <c r="U31" i="10"/>
  <c r="V31" i="10"/>
  <c r="W31" i="10"/>
  <c r="U32" i="10"/>
  <c r="V32" i="10"/>
  <c r="W32" i="10"/>
  <c r="U33" i="10"/>
  <c r="V33" i="10"/>
  <c r="W33" i="10"/>
  <c r="U34" i="10"/>
  <c r="V34" i="10"/>
  <c r="W34" i="10"/>
  <c r="U35" i="10"/>
  <c r="V35" i="10"/>
  <c r="W35" i="10"/>
  <c r="U36" i="10"/>
  <c r="V36" i="10"/>
  <c r="W36" i="10"/>
  <c r="U37" i="10"/>
  <c r="V37" i="10"/>
  <c r="W37" i="10"/>
  <c r="U38" i="10"/>
  <c r="V38" i="10"/>
  <c r="W38" i="10"/>
  <c r="U39" i="10"/>
  <c r="V39" i="10"/>
  <c r="W39" i="10"/>
  <c r="U40" i="10"/>
  <c r="V40" i="10"/>
  <c r="W40" i="10"/>
  <c r="U41" i="10"/>
  <c r="V41" i="10"/>
  <c r="W41" i="10"/>
  <c r="U42" i="10"/>
  <c r="V42" i="10"/>
  <c r="W42" i="10"/>
  <c r="U43" i="10"/>
  <c r="V43" i="10"/>
  <c r="W43" i="10"/>
  <c r="U44" i="10"/>
  <c r="V44" i="10"/>
  <c r="W44" i="10"/>
  <c r="U45" i="10"/>
  <c r="V45" i="10"/>
  <c r="W45" i="10"/>
  <c r="U46" i="10"/>
  <c r="V46" i="10"/>
  <c r="W46" i="10"/>
  <c r="U47" i="10"/>
  <c r="V47" i="10"/>
  <c r="W47" i="10"/>
  <c r="U48" i="10"/>
  <c r="V48" i="10"/>
  <c r="W48" i="10"/>
  <c r="U49" i="10"/>
  <c r="V49" i="10"/>
  <c r="W49" i="10"/>
  <c r="U50" i="10"/>
  <c r="V50" i="10"/>
  <c r="W50" i="10"/>
  <c r="U51" i="10"/>
  <c r="V51" i="10"/>
  <c r="W51" i="10"/>
  <c r="U52" i="10"/>
  <c r="V52" i="10"/>
  <c r="W52" i="10"/>
  <c r="U53" i="10"/>
  <c r="V53" i="10"/>
  <c r="W53" i="10"/>
  <c r="W4" i="10"/>
  <c r="V4" i="10"/>
  <c r="U4" i="10"/>
  <c r="E53" i="1"/>
  <c r="H52" i="1"/>
  <c r="I52" i="1" s="1"/>
  <c r="H50" i="1"/>
  <c r="I50" i="1" s="1"/>
  <c r="H49" i="1"/>
  <c r="I49" i="1" s="1"/>
  <c r="I109" i="1" l="1"/>
  <c r="J108" i="1"/>
  <c r="V7" i="3"/>
  <c r="E15" i="1"/>
  <c r="E16" i="1"/>
  <c r="D108" i="1" s="1"/>
  <c r="V8" i="3"/>
  <c r="E47" i="1"/>
  <c r="H53" i="1" l="1"/>
  <c r="I53" i="1" s="1"/>
  <c r="E24" i="1"/>
  <c r="I110" i="1"/>
  <c r="J109" i="1"/>
  <c r="I35" i="11"/>
  <c r="E35" i="11"/>
  <c r="I34" i="11"/>
  <c r="E34" i="11"/>
  <c r="D34" i="11"/>
  <c r="I33" i="11"/>
  <c r="E33" i="11"/>
  <c r="D33" i="11"/>
  <c r="I32" i="11"/>
  <c r="D32" i="11"/>
  <c r="I31" i="11"/>
  <c r="E31" i="11"/>
  <c r="D31" i="11"/>
  <c r="I30" i="11"/>
  <c r="I29" i="11"/>
  <c r="E29" i="11"/>
  <c r="D29" i="11"/>
  <c r="BC12" i="7"/>
  <c r="CO42" i="11"/>
  <c r="CB42" i="11"/>
  <c r="BC13" i="7" s="1"/>
  <c r="BC14" i="7" s="1"/>
  <c r="BO42" i="11"/>
  <c r="H32" i="11" s="1"/>
  <c r="H35" i="11"/>
  <c r="BB42" i="11"/>
  <c r="AO42" i="11"/>
  <c r="Z42" i="11"/>
  <c r="W42" i="11"/>
  <c r="DQ42" i="11" s="1"/>
  <c r="G89" i="1"/>
  <c r="B23" i="1"/>
  <c r="D19" i="1"/>
  <c r="H29" i="11" l="1"/>
  <c r="F42" i="11"/>
  <c r="E22" i="11" s="1"/>
  <c r="I111" i="1"/>
  <c r="J110" i="1"/>
  <c r="F100" i="1"/>
  <c r="D100" i="1" s="1"/>
  <c r="M16" i="1"/>
  <c r="C65" i="17" s="1"/>
  <c r="B65" i="17" s="1"/>
  <c r="EI42" i="11"/>
  <c r="EH42" i="11"/>
  <c r="DI42" i="11"/>
  <c r="BI42" i="11"/>
  <c r="CH42" i="11"/>
  <c r="BU42" i="11"/>
  <c r="DH42" i="11"/>
  <c r="BH42" i="11"/>
  <c r="AH42" i="11"/>
  <c r="DU42" i="11"/>
  <c r="CV42" i="11"/>
  <c r="AV42" i="11"/>
  <c r="AI42" i="11"/>
  <c r="CU42" i="11"/>
  <c r="AU42" i="11"/>
  <c r="CI42" i="11"/>
  <c r="DV42" i="11"/>
  <c r="BV42" i="11"/>
  <c r="CR42" i="11"/>
  <c r="H31" i="11"/>
  <c r="H34" i="11"/>
  <c r="H30" i="11"/>
  <c r="D42" i="11"/>
  <c r="D22" i="11"/>
  <c r="H33" i="11"/>
  <c r="BC16" i="7"/>
  <c r="BC15" i="7"/>
  <c r="D87" i="1"/>
  <c r="D86" i="1"/>
  <c r="H48" i="1"/>
  <c r="I48" i="1" s="1"/>
  <c r="H47" i="1"/>
  <c r="I47" i="1" s="1"/>
  <c r="H46" i="1"/>
  <c r="I46" i="1" s="1"/>
  <c r="ED42" i="11" l="1"/>
  <c r="EE37" i="11"/>
  <c r="I112" i="1"/>
  <c r="J111" i="1"/>
  <c r="E100" i="1"/>
  <c r="M17" i="1"/>
  <c r="C66" i="17" s="1"/>
  <c r="B66" i="17" s="1"/>
  <c r="M42" i="11"/>
  <c r="L42" i="11"/>
  <c r="C9" i="12"/>
  <c r="CQ42" i="11"/>
  <c r="E42" i="11"/>
  <c r="D43" i="11"/>
  <c r="C10" i="12" s="1"/>
  <c r="B42" i="11"/>
  <c r="A42" i="11" s="1"/>
  <c r="BC17" i="7"/>
  <c r="I113" i="1" l="1"/>
  <c r="J112" i="1"/>
  <c r="CT42" i="11"/>
  <c r="M18" i="1"/>
  <c r="C67" i="17" s="1"/>
  <c r="B67" i="17" s="1"/>
  <c r="A9" i="12"/>
  <c r="F4" i="11"/>
  <c r="E4" i="11"/>
  <c r="D4" i="11"/>
  <c r="E43" i="11"/>
  <c r="D44" i="11"/>
  <c r="C11" i="12" s="1"/>
  <c r="I114" i="1" l="1"/>
  <c r="J113" i="1"/>
  <c r="M19" i="1"/>
  <c r="C68" i="17" s="1"/>
  <c r="B68" i="17" s="1"/>
  <c r="V9" i="12"/>
  <c r="D45" i="11"/>
  <c r="C12" i="12" s="1"/>
  <c r="E44" i="11"/>
  <c r="I115" i="1" l="1"/>
  <c r="J114" i="1"/>
  <c r="M20" i="1"/>
  <c r="C69" i="17" s="1"/>
  <c r="B69" i="17" s="1"/>
  <c r="D46" i="11"/>
  <c r="C13" i="12" s="1"/>
  <c r="E45" i="11"/>
  <c r="E52" i="1"/>
  <c r="E50" i="1"/>
  <c r="E49" i="1"/>
  <c r="E48" i="1"/>
  <c r="E46" i="1"/>
  <c r="CO40" i="11" l="1"/>
  <c r="BO40" i="11"/>
  <c r="CE42" i="11" s="1"/>
  <c r="CG42" i="11" s="1"/>
  <c r="CB40" i="11"/>
  <c r="BB40" i="11"/>
  <c r="AO40" i="11"/>
  <c r="Z40" i="11"/>
  <c r="DB40" i="11"/>
  <c r="I116" i="1"/>
  <c r="J115" i="1"/>
  <c r="M21" i="1"/>
  <c r="C70" i="17" s="1"/>
  <c r="B70" i="17" s="1"/>
  <c r="D47" i="11"/>
  <c r="C14" i="12" s="1"/>
  <c r="E46" i="11"/>
  <c r="AV59" i="7"/>
  <c r="D92" i="1"/>
  <c r="AV53" i="7"/>
  <c r="AV51" i="7"/>
  <c r="AV44" i="7"/>
  <c r="AV33" i="7"/>
  <c r="AV31" i="7"/>
  <c r="AV29" i="7"/>
  <c r="AV24" i="7"/>
  <c r="AV21" i="7"/>
  <c r="AV16" i="7"/>
  <c r="AV15" i="7"/>
  <c r="AV13" i="7"/>
  <c r="AV12" i="7"/>
  <c r="AV9" i="7"/>
  <c r="AV8" i="7"/>
  <c r="AV7" i="7"/>
  <c r="AI5" i="7"/>
  <c r="N18" i="7"/>
  <c r="N17" i="7"/>
  <c r="N16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F59" i="7"/>
  <c r="E59" i="7"/>
  <c r="D59" i="7"/>
  <c r="AI58" i="7"/>
  <c r="F58" i="7"/>
  <c r="E58" i="7"/>
  <c r="D58" i="7"/>
  <c r="AI57" i="7"/>
  <c r="F57" i="7"/>
  <c r="E57" i="7"/>
  <c r="D57" i="7"/>
  <c r="G57" i="7" s="1"/>
  <c r="AI56" i="7"/>
  <c r="F56" i="7"/>
  <c r="E56" i="7"/>
  <c r="D56" i="7"/>
  <c r="G56" i="7" s="1"/>
  <c r="AI55" i="7"/>
  <c r="F55" i="7"/>
  <c r="E55" i="7"/>
  <c r="D55" i="7"/>
  <c r="AI54" i="7"/>
  <c r="F54" i="7"/>
  <c r="E54" i="7"/>
  <c r="D54" i="7"/>
  <c r="AI53" i="7"/>
  <c r="F53" i="7"/>
  <c r="E53" i="7"/>
  <c r="D53" i="7"/>
  <c r="AI52" i="7"/>
  <c r="F52" i="7"/>
  <c r="E52" i="7"/>
  <c r="D52" i="7"/>
  <c r="G52" i="7" s="1"/>
  <c r="AI51" i="7"/>
  <c r="F51" i="7"/>
  <c r="E51" i="7"/>
  <c r="D51" i="7"/>
  <c r="AI50" i="7"/>
  <c r="F50" i="7"/>
  <c r="E50" i="7"/>
  <c r="D50" i="7"/>
  <c r="AI49" i="7"/>
  <c r="F49" i="7"/>
  <c r="E49" i="7"/>
  <c r="D49" i="7"/>
  <c r="AI48" i="7"/>
  <c r="F48" i="7"/>
  <c r="E48" i="7"/>
  <c r="D48" i="7"/>
  <c r="AI47" i="7"/>
  <c r="F47" i="7"/>
  <c r="E47" i="7"/>
  <c r="D47" i="7"/>
  <c r="AI46" i="7"/>
  <c r="F46" i="7"/>
  <c r="E46" i="7"/>
  <c r="D46" i="7"/>
  <c r="AI45" i="7"/>
  <c r="F45" i="7"/>
  <c r="E45" i="7"/>
  <c r="D45" i="7"/>
  <c r="AI44" i="7"/>
  <c r="F44" i="7"/>
  <c r="E44" i="7"/>
  <c r="D44" i="7"/>
  <c r="AI43" i="7"/>
  <c r="F43" i="7"/>
  <c r="E43" i="7"/>
  <c r="D43" i="7"/>
  <c r="AI42" i="7"/>
  <c r="F42" i="7"/>
  <c r="E42" i="7"/>
  <c r="D42" i="7"/>
  <c r="AI41" i="7"/>
  <c r="F41" i="7"/>
  <c r="E41" i="7"/>
  <c r="D41" i="7"/>
  <c r="AI40" i="7"/>
  <c r="F40" i="7"/>
  <c r="E40" i="7"/>
  <c r="D40" i="7"/>
  <c r="AI39" i="7"/>
  <c r="F39" i="7"/>
  <c r="E39" i="7"/>
  <c r="D39" i="7"/>
  <c r="AI38" i="7"/>
  <c r="F38" i="7"/>
  <c r="E38" i="7"/>
  <c r="D38" i="7"/>
  <c r="AI37" i="7"/>
  <c r="F37" i="7"/>
  <c r="E37" i="7"/>
  <c r="D37" i="7"/>
  <c r="G37" i="7" s="1"/>
  <c r="AI36" i="7"/>
  <c r="F36" i="7"/>
  <c r="E36" i="7"/>
  <c r="D36" i="7"/>
  <c r="AI35" i="7"/>
  <c r="F35" i="7"/>
  <c r="E35" i="7"/>
  <c r="D35" i="7"/>
  <c r="AI34" i="7"/>
  <c r="F34" i="7"/>
  <c r="E34" i="7"/>
  <c r="D34" i="7"/>
  <c r="AI33" i="7"/>
  <c r="F33" i="7"/>
  <c r="E33" i="7"/>
  <c r="D33" i="7"/>
  <c r="AI32" i="7"/>
  <c r="F32" i="7"/>
  <c r="E32" i="7"/>
  <c r="D32" i="7"/>
  <c r="AI31" i="7"/>
  <c r="F31" i="7"/>
  <c r="E31" i="7"/>
  <c r="D31" i="7"/>
  <c r="AI30" i="7"/>
  <c r="F30" i="7"/>
  <c r="E30" i="7"/>
  <c r="D30" i="7"/>
  <c r="AI29" i="7"/>
  <c r="G29" i="7"/>
  <c r="F29" i="7"/>
  <c r="E29" i="7"/>
  <c r="D29" i="7"/>
  <c r="AI28" i="7"/>
  <c r="F28" i="7"/>
  <c r="E28" i="7"/>
  <c r="D28" i="7"/>
  <c r="AI27" i="7"/>
  <c r="F27" i="7"/>
  <c r="E27" i="7"/>
  <c r="D27" i="7"/>
  <c r="AI26" i="7"/>
  <c r="F26" i="7"/>
  <c r="E26" i="7"/>
  <c r="D26" i="7"/>
  <c r="AI25" i="7"/>
  <c r="F25" i="7"/>
  <c r="E25" i="7"/>
  <c r="D25" i="7"/>
  <c r="AI24" i="7"/>
  <c r="F24" i="7"/>
  <c r="E24" i="7"/>
  <c r="D24" i="7"/>
  <c r="AI23" i="7"/>
  <c r="F23" i="7"/>
  <c r="E23" i="7"/>
  <c r="D23" i="7"/>
  <c r="G23" i="7" s="1"/>
  <c r="AI22" i="7"/>
  <c r="F22" i="7"/>
  <c r="E22" i="7"/>
  <c r="D22" i="7"/>
  <c r="AI21" i="7"/>
  <c r="F21" i="7"/>
  <c r="E21" i="7"/>
  <c r="D21" i="7"/>
  <c r="G21" i="7" s="1"/>
  <c r="AI20" i="7"/>
  <c r="F20" i="7"/>
  <c r="E20" i="7"/>
  <c r="D20" i="7"/>
  <c r="G20" i="7" s="1"/>
  <c r="AI19" i="7"/>
  <c r="F19" i="7"/>
  <c r="E19" i="7"/>
  <c r="D19" i="7"/>
  <c r="K19" i="7" s="1"/>
  <c r="AI18" i="7"/>
  <c r="F18" i="7"/>
  <c r="E18" i="7"/>
  <c r="D18" i="7"/>
  <c r="G18" i="7" s="1"/>
  <c r="AI17" i="7"/>
  <c r="F17" i="7"/>
  <c r="E17" i="7"/>
  <c r="D17" i="7"/>
  <c r="G17" i="7" s="1"/>
  <c r="AI16" i="7"/>
  <c r="F16" i="7"/>
  <c r="E16" i="7"/>
  <c r="D16" i="7"/>
  <c r="AI15" i="7"/>
  <c r="F15" i="7"/>
  <c r="E15" i="7"/>
  <c r="D15" i="7"/>
  <c r="K15" i="7" s="1"/>
  <c r="AI14" i="7"/>
  <c r="F14" i="7"/>
  <c r="E14" i="7"/>
  <c r="D14" i="7"/>
  <c r="AI13" i="7"/>
  <c r="F13" i="7"/>
  <c r="E13" i="7"/>
  <c r="D13" i="7"/>
  <c r="G13" i="7" s="1"/>
  <c r="AI12" i="7"/>
  <c r="F12" i="7"/>
  <c r="E12" i="7"/>
  <c r="D12" i="7"/>
  <c r="K12" i="7" s="1"/>
  <c r="AI11" i="7"/>
  <c r="F11" i="7"/>
  <c r="E11" i="7"/>
  <c r="D11" i="7"/>
  <c r="AI10" i="7"/>
  <c r="F10" i="7"/>
  <c r="E10" i="7"/>
  <c r="D10" i="7"/>
  <c r="AI9" i="7"/>
  <c r="F9" i="7"/>
  <c r="E9" i="7"/>
  <c r="D9" i="7"/>
  <c r="G9" i="7" s="1"/>
  <c r="AI8" i="7"/>
  <c r="F8" i="7"/>
  <c r="E8" i="7"/>
  <c r="D8" i="7"/>
  <c r="K8" i="7" s="1"/>
  <c r="AI7" i="7"/>
  <c r="F7" i="7"/>
  <c r="E7" i="7"/>
  <c r="D7" i="7"/>
  <c r="J7" i="7" s="1"/>
  <c r="AI6" i="7"/>
  <c r="F6" i="7"/>
  <c r="E6" i="7"/>
  <c r="D6" i="7"/>
  <c r="F5" i="7"/>
  <c r="E5" i="7"/>
  <c r="D5" i="7"/>
  <c r="F4" i="7"/>
  <c r="E4" i="7"/>
  <c r="D4" i="7"/>
  <c r="G4" i="7" s="1"/>
  <c r="N3" i="7"/>
  <c r="K59" i="7" s="1"/>
  <c r="I117" i="1" l="1"/>
  <c r="J116" i="1"/>
  <c r="M22" i="1"/>
  <c r="C71" i="17" s="1"/>
  <c r="B71" i="17" s="1"/>
  <c r="EE42" i="11"/>
  <c r="EG42" i="11" s="1"/>
  <c r="J53" i="7"/>
  <c r="CD42" i="11"/>
  <c r="BQ42" i="11"/>
  <c r="BR42" i="11" s="1"/>
  <c r="BT42" i="11" s="1"/>
  <c r="BD42" i="11"/>
  <c r="BE42" i="11" s="1"/>
  <c r="BG42" i="11" s="1"/>
  <c r="DD42" i="11"/>
  <c r="DE42" i="11" s="1"/>
  <c r="DG42" i="11" s="1"/>
  <c r="AQ42" i="11"/>
  <c r="AR42" i="11" s="1"/>
  <c r="AT42" i="11" s="1"/>
  <c r="K31" i="7"/>
  <c r="K35" i="7"/>
  <c r="K47" i="7"/>
  <c r="K51" i="7"/>
  <c r="D48" i="11"/>
  <c r="C15" i="12" s="1"/>
  <c r="E47" i="11"/>
  <c r="J56" i="7"/>
  <c r="J43" i="7"/>
  <c r="J45" i="7"/>
  <c r="J11" i="7"/>
  <c r="J24" i="7"/>
  <c r="J28" i="7"/>
  <c r="G31" i="7"/>
  <c r="G45" i="7"/>
  <c r="J23" i="7"/>
  <c r="J44" i="7"/>
  <c r="G53" i="7"/>
  <c r="I39" i="7"/>
  <c r="G8" i="7"/>
  <c r="E30" i="11"/>
  <c r="AV14" i="7"/>
  <c r="AV30" i="7"/>
  <c r="AV52" i="7"/>
  <c r="AV54" i="7"/>
  <c r="AV39" i="7"/>
  <c r="AV85" i="7"/>
  <c r="AV10" i="7"/>
  <c r="AV22" i="7"/>
  <c r="AV41" i="7"/>
  <c r="AV84" i="7"/>
  <c r="AV11" i="7"/>
  <c r="AV23" i="7"/>
  <c r="AV43" i="7"/>
  <c r="AV79" i="7"/>
  <c r="AV80" i="7"/>
  <c r="AV17" i="7"/>
  <c r="AV25" i="7"/>
  <c r="AV35" i="7"/>
  <c r="AV45" i="7"/>
  <c r="AV55" i="7"/>
  <c r="AV78" i="7"/>
  <c r="AV18" i="7"/>
  <c r="AV26" i="7"/>
  <c r="AV36" i="7"/>
  <c r="AV46" i="7"/>
  <c r="AV88" i="7"/>
  <c r="AW88" i="7" s="1"/>
  <c r="AV74" i="7"/>
  <c r="AV19" i="7"/>
  <c r="AV27" i="7"/>
  <c r="AV37" i="7"/>
  <c r="AV47" i="7"/>
  <c r="AV87" i="7"/>
  <c r="AV73" i="7"/>
  <c r="AV20" i="7"/>
  <c r="AV28" i="7"/>
  <c r="AV38" i="7"/>
  <c r="AV49" i="7"/>
  <c r="AV86" i="7"/>
  <c r="AV63" i="7"/>
  <c r="AV32" i="7"/>
  <c r="AV40" i="7"/>
  <c r="AV48" i="7"/>
  <c r="AV56" i="7"/>
  <c r="AV83" i="7"/>
  <c r="AV71" i="7"/>
  <c r="AV57" i="7"/>
  <c r="AV82" i="7"/>
  <c r="AV66" i="7"/>
  <c r="AV34" i="7"/>
  <c r="AV42" i="7"/>
  <c r="AV50" i="7"/>
  <c r="AV58" i="7"/>
  <c r="AV81" i="7"/>
  <c r="AV65" i="7"/>
  <c r="AV72" i="7"/>
  <c r="AV64" i="7"/>
  <c r="AV70" i="7"/>
  <c r="AV62" i="7"/>
  <c r="AV77" i="7"/>
  <c r="AV69" i="7"/>
  <c r="AV61" i="7"/>
  <c r="AV76" i="7"/>
  <c r="AV68" i="7"/>
  <c r="AV60" i="7"/>
  <c r="AV75" i="7"/>
  <c r="AV67" i="7"/>
  <c r="H8" i="7"/>
  <c r="AK11" i="7"/>
  <c r="AL24" i="7"/>
  <c r="AL64" i="7"/>
  <c r="AM47" i="7"/>
  <c r="AL72" i="7"/>
  <c r="AJ30" i="7"/>
  <c r="AM15" i="7"/>
  <c r="AM28" i="7"/>
  <c r="D91" i="1"/>
  <c r="AL51" i="7"/>
  <c r="AK45" i="7"/>
  <c r="AK5" i="7"/>
  <c r="H12" i="7"/>
  <c r="AM79" i="7"/>
  <c r="AM31" i="7"/>
  <c r="AJ66" i="7"/>
  <c r="AJ35" i="7"/>
  <c r="AK73" i="7"/>
  <c r="AJ64" i="7"/>
  <c r="AL43" i="7"/>
  <c r="I5" i="7"/>
  <c r="AM7" i="7"/>
  <c r="AL18" i="7"/>
  <c r="AM20" i="7"/>
  <c r="I45" i="7"/>
  <c r="AJ54" i="7"/>
  <c r="H58" i="7"/>
  <c r="AJ62" i="7"/>
  <c r="AJ70" i="7"/>
  <c r="AJ78" i="7"/>
  <c r="AJ86" i="7"/>
  <c r="H34" i="7"/>
  <c r="AJ74" i="7"/>
  <c r="AJ42" i="7"/>
  <c r="AK81" i="7"/>
  <c r="AK51" i="7"/>
  <c r="AK21" i="7"/>
  <c r="AL58" i="7"/>
  <c r="AL10" i="7"/>
  <c r="AM39" i="7"/>
  <c r="I31" i="7"/>
  <c r="I13" i="7"/>
  <c r="I15" i="7"/>
  <c r="AJ22" i="7"/>
  <c r="H26" i="7"/>
  <c r="H28" i="7"/>
  <c r="AK43" i="7"/>
  <c r="H18" i="7"/>
  <c r="AJ72" i="7"/>
  <c r="AJ40" i="7"/>
  <c r="AK77" i="7"/>
  <c r="AK46" i="7"/>
  <c r="AK13" i="7"/>
  <c r="AL56" i="7"/>
  <c r="AM87" i="7"/>
  <c r="AM38" i="7"/>
  <c r="I7" i="7"/>
  <c r="AK65" i="7"/>
  <c r="AL88" i="7"/>
  <c r="AJ6" i="7"/>
  <c r="AK19" i="7"/>
  <c r="AL32" i="7"/>
  <c r="AL34" i="7"/>
  <c r="AM36" i="7"/>
  <c r="H42" i="7"/>
  <c r="H44" i="7"/>
  <c r="AJ88" i="7"/>
  <c r="AJ59" i="7"/>
  <c r="AJ26" i="7"/>
  <c r="AK62" i="7"/>
  <c r="AK37" i="7"/>
  <c r="AL82" i="7"/>
  <c r="AL42" i="7"/>
  <c r="AM70" i="7"/>
  <c r="AM6" i="7"/>
  <c r="AK38" i="7"/>
  <c r="H4" i="7"/>
  <c r="AL8" i="7"/>
  <c r="H10" i="7"/>
  <c r="H29" i="7"/>
  <c r="AJ38" i="7"/>
  <c r="AM44" i="7"/>
  <c r="AK57" i="7"/>
  <c r="AL59" i="7"/>
  <c r="AK67" i="7"/>
  <c r="AL75" i="7"/>
  <c r="AK83" i="7"/>
  <c r="AJ82" i="7"/>
  <c r="AJ58" i="7"/>
  <c r="AJ24" i="7"/>
  <c r="AK61" i="7"/>
  <c r="AK35" i="7"/>
  <c r="AL80" i="7"/>
  <c r="AL40" i="7"/>
  <c r="AM63" i="7"/>
  <c r="AK69" i="7"/>
  <c r="AM71" i="7"/>
  <c r="AJ10" i="7"/>
  <c r="AM12" i="7"/>
  <c r="AJ14" i="7"/>
  <c r="AL16" i="7"/>
  <c r="AM23" i="7"/>
  <c r="AK27" i="7"/>
  <c r="AJ46" i="7"/>
  <c r="AL48" i="7"/>
  <c r="AL50" i="7"/>
  <c r="AM60" i="7"/>
  <c r="AM68" i="7"/>
  <c r="AM76" i="7"/>
  <c r="AM84" i="7"/>
  <c r="H53" i="7"/>
  <c r="AJ80" i="7"/>
  <c r="AJ56" i="7"/>
  <c r="AJ11" i="7"/>
  <c r="AK59" i="7"/>
  <c r="AK30" i="7"/>
  <c r="AL74" i="7"/>
  <c r="AL35" i="7"/>
  <c r="AM55" i="7"/>
  <c r="AJ34" i="7"/>
  <c r="AM30" i="7"/>
  <c r="H20" i="7"/>
  <c r="I37" i="7"/>
  <c r="AM52" i="7"/>
  <c r="H37" i="7"/>
  <c r="AJ75" i="7"/>
  <c r="AJ51" i="7"/>
  <c r="AK85" i="7"/>
  <c r="AK53" i="7"/>
  <c r="AK29" i="7"/>
  <c r="AL66" i="7"/>
  <c r="AL26" i="7"/>
  <c r="AM46" i="7"/>
  <c r="G41" i="7"/>
  <c r="J41" i="7"/>
  <c r="K41" i="7"/>
  <c r="AJ18" i="7"/>
  <c r="J10" i="7"/>
  <c r="K10" i="7"/>
  <c r="J19" i="7"/>
  <c r="J21" i="7"/>
  <c r="H24" i="7"/>
  <c r="K32" i="7"/>
  <c r="G34" i="7"/>
  <c r="J34" i="7"/>
  <c r="K34" i="7"/>
  <c r="K36" i="7"/>
  <c r="J47" i="7"/>
  <c r="G49" i="7"/>
  <c r="J49" i="7"/>
  <c r="K49" i="7"/>
  <c r="J51" i="7"/>
  <c r="H36" i="7"/>
  <c r="H13" i="7"/>
  <c r="AJ16" i="7"/>
  <c r="AK78" i="7"/>
  <c r="AK6" i="7"/>
  <c r="AL67" i="7"/>
  <c r="AL11" i="7"/>
  <c r="I32" i="7"/>
  <c r="J48" i="7"/>
  <c r="J32" i="7"/>
  <c r="J16" i="7"/>
  <c r="G14" i="7"/>
  <c r="J14" i="7"/>
  <c r="K14" i="7"/>
  <c r="K16" i="7"/>
  <c r="I21" i="7"/>
  <c r="G25" i="7"/>
  <c r="J25" i="7"/>
  <c r="K25" i="7"/>
  <c r="G27" i="7"/>
  <c r="J27" i="7"/>
  <c r="J29" i="7"/>
  <c r="H32" i="7"/>
  <c r="J38" i="7"/>
  <c r="K40" i="7"/>
  <c r="J55" i="7"/>
  <c r="H52" i="7"/>
  <c r="AJ32" i="7"/>
  <c r="AK75" i="7"/>
  <c r="AK54" i="7"/>
  <c r="I56" i="7"/>
  <c r="I24" i="7"/>
  <c r="J12" i="7"/>
  <c r="G30" i="7"/>
  <c r="J30" i="7"/>
  <c r="K30" i="7"/>
  <c r="J9" i="7"/>
  <c r="K9" i="7"/>
  <c r="G10" i="7"/>
  <c r="J18" i="7"/>
  <c r="K18" i="7"/>
  <c r="J31" i="7"/>
  <c r="G36" i="7"/>
  <c r="G42" i="7"/>
  <c r="J42" i="7"/>
  <c r="K42" i="7"/>
  <c r="K44" i="7"/>
  <c r="G44" i="7"/>
  <c r="I53" i="7"/>
  <c r="J59" i="7"/>
  <c r="H50" i="7"/>
  <c r="H5" i="7"/>
  <c r="AJ50" i="7"/>
  <c r="AJ27" i="7"/>
  <c r="AJ8" i="7"/>
  <c r="AL83" i="7"/>
  <c r="AM86" i="7"/>
  <c r="AM54" i="7"/>
  <c r="AM22" i="7"/>
  <c r="I55" i="7"/>
  <c r="I23" i="7"/>
  <c r="K43" i="7"/>
  <c r="K27" i="7"/>
  <c r="K11" i="7"/>
  <c r="J5" i="7"/>
  <c r="K5" i="7"/>
  <c r="H48" i="7"/>
  <c r="H56" i="7"/>
  <c r="G5" i="7"/>
  <c r="G7" i="7"/>
  <c r="H16" i="7"/>
  <c r="I29" i="7"/>
  <c r="G33" i="7"/>
  <c r="J33" i="7"/>
  <c r="K33" i="7"/>
  <c r="J35" i="7"/>
  <c r="H40" i="7"/>
  <c r="G46" i="7"/>
  <c r="J46" i="7"/>
  <c r="K46" i="7"/>
  <c r="K48" i="7"/>
  <c r="G50" i="7"/>
  <c r="J50" i="7"/>
  <c r="K50" i="7"/>
  <c r="K52" i="7"/>
  <c r="I9" i="7"/>
  <c r="H45" i="7"/>
  <c r="AJ67" i="7"/>
  <c r="AJ48" i="7"/>
  <c r="AK86" i="7"/>
  <c r="AK70" i="7"/>
  <c r="AK22" i="7"/>
  <c r="AL27" i="7"/>
  <c r="I48" i="7"/>
  <c r="I16" i="7"/>
  <c r="J40" i="7"/>
  <c r="J8" i="7"/>
  <c r="G58" i="7"/>
  <c r="J58" i="7"/>
  <c r="K58" i="7"/>
  <c r="AM62" i="7"/>
  <c r="K4" i="7"/>
  <c r="J4" i="7"/>
  <c r="J6" i="7"/>
  <c r="K6" i="7"/>
  <c r="J13" i="7"/>
  <c r="K13" i="7"/>
  <c r="J22" i="7"/>
  <c r="J37" i="7"/>
  <c r="G40" i="7"/>
  <c r="H21" i="7"/>
  <c r="AJ43" i="7"/>
  <c r="AM78" i="7"/>
  <c r="AM14" i="7"/>
  <c r="I47" i="7"/>
  <c r="K55" i="7"/>
  <c r="K39" i="7"/>
  <c r="K23" i="7"/>
  <c r="K7" i="7"/>
  <c r="G15" i="7"/>
  <c r="J15" i="7"/>
  <c r="J17" i="7"/>
  <c r="K17" i="7"/>
  <c r="K24" i="7"/>
  <c r="G26" i="7"/>
  <c r="J26" i="7"/>
  <c r="K26" i="7"/>
  <c r="K28" i="7"/>
  <c r="G28" i="7"/>
  <c r="J39" i="7"/>
  <c r="J54" i="7"/>
  <c r="K56" i="7"/>
  <c r="AJ83" i="7"/>
  <c r="AJ19" i="7"/>
  <c r="AK14" i="7"/>
  <c r="AL19" i="7"/>
  <c r="I40" i="7"/>
  <c r="I8" i="7"/>
  <c r="J52" i="7"/>
  <c r="J36" i="7"/>
  <c r="J20" i="7"/>
  <c r="G22" i="7"/>
  <c r="G38" i="7"/>
  <c r="G54" i="7"/>
  <c r="H59" i="7"/>
  <c r="H51" i="7"/>
  <c r="H43" i="7"/>
  <c r="H35" i="7"/>
  <c r="H27" i="7"/>
  <c r="H19" i="7"/>
  <c r="H11" i="7"/>
  <c r="AJ5" i="7"/>
  <c r="AJ81" i="7"/>
  <c r="AJ73" i="7"/>
  <c r="AJ65" i="7"/>
  <c r="AJ57" i="7"/>
  <c r="AJ49" i="7"/>
  <c r="AJ41" i="7"/>
  <c r="AJ33" i="7"/>
  <c r="AJ25" i="7"/>
  <c r="AJ17" i="7"/>
  <c r="AJ9" i="7"/>
  <c r="AK84" i="7"/>
  <c r="AK76" i="7"/>
  <c r="AK68" i="7"/>
  <c r="AK60" i="7"/>
  <c r="AK52" i="7"/>
  <c r="AK44" i="7"/>
  <c r="AK36" i="7"/>
  <c r="AK28" i="7"/>
  <c r="AK20" i="7"/>
  <c r="AK12" i="7"/>
  <c r="AL5" i="7"/>
  <c r="AL81" i="7"/>
  <c r="AL73" i="7"/>
  <c r="AL65" i="7"/>
  <c r="AL57" i="7"/>
  <c r="AL49" i="7"/>
  <c r="AL41" i="7"/>
  <c r="AL33" i="7"/>
  <c r="AL25" i="7"/>
  <c r="AL17" i="7"/>
  <c r="AL9" i="7"/>
  <c r="AM85" i="7"/>
  <c r="AM77" i="7"/>
  <c r="AM69" i="7"/>
  <c r="AM61" i="7"/>
  <c r="AM53" i="7"/>
  <c r="AM45" i="7"/>
  <c r="AM37" i="7"/>
  <c r="AM29" i="7"/>
  <c r="AM21" i="7"/>
  <c r="AM13" i="7"/>
  <c r="I54" i="7"/>
  <c r="I46" i="7"/>
  <c r="I38" i="7"/>
  <c r="I30" i="7"/>
  <c r="I22" i="7"/>
  <c r="I14" i="7"/>
  <c r="I6" i="7"/>
  <c r="K54" i="7"/>
  <c r="K38" i="7"/>
  <c r="K22" i="7"/>
  <c r="H57" i="7"/>
  <c r="H49" i="7"/>
  <c r="H41" i="7"/>
  <c r="H33" i="7"/>
  <c r="H25" i="7"/>
  <c r="H17" i="7"/>
  <c r="H9" i="7"/>
  <c r="AJ87" i="7"/>
  <c r="AJ79" i="7"/>
  <c r="AJ71" i="7"/>
  <c r="AJ63" i="7"/>
  <c r="AJ55" i="7"/>
  <c r="AJ47" i="7"/>
  <c r="AJ39" i="7"/>
  <c r="AJ31" i="7"/>
  <c r="AJ23" i="7"/>
  <c r="AJ15" i="7"/>
  <c r="AJ7" i="7"/>
  <c r="AK82" i="7"/>
  <c r="AK74" i="7"/>
  <c r="AK66" i="7"/>
  <c r="AK58" i="7"/>
  <c r="AK50" i="7"/>
  <c r="AK42" i="7"/>
  <c r="AK34" i="7"/>
  <c r="AK26" i="7"/>
  <c r="AK18" i="7"/>
  <c r="AK10" i="7"/>
  <c r="AL87" i="7"/>
  <c r="AL79" i="7"/>
  <c r="AL71" i="7"/>
  <c r="AL63" i="7"/>
  <c r="AL55" i="7"/>
  <c r="AL47" i="7"/>
  <c r="AL39" i="7"/>
  <c r="AL31" i="7"/>
  <c r="AL23" i="7"/>
  <c r="AL15" i="7"/>
  <c r="AL7" i="7"/>
  <c r="AM83" i="7"/>
  <c r="AM75" i="7"/>
  <c r="AM67" i="7"/>
  <c r="AM59" i="7"/>
  <c r="AM51" i="7"/>
  <c r="AM43" i="7"/>
  <c r="AM35" i="7"/>
  <c r="AM27" i="7"/>
  <c r="AM19" i="7"/>
  <c r="AM11" i="7"/>
  <c r="I4" i="7"/>
  <c r="I52" i="7"/>
  <c r="I44" i="7"/>
  <c r="I36" i="7"/>
  <c r="I28" i="7"/>
  <c r="I20" i="7"/>
  <c r="I12" i="7"/>
  <c r="AK49" i="7"/>
  <c r="AK41" i="7"/>
  <c r="AK33" i="7"/>
  <c r="AK25" i="7"/>
  <c r="AK17" i="7"/>
  <c r="AK9" i="7"/>
  <c r="AL86" i="7"/>
  <c r="AL78" i="7"/>
  <c r="AL70" i="7"/>
  <c r="AL62" i="7"/>
  <c r="AL54" i="7"/>
  <c r="AL46" i="7"/>
  <c r="AL38" i="7"/>
  <c r="AL30" i="7"/>
  <c r="AL22" i="7"/>
  <c r="AL14" i="7"/>
  <c r="AL6" i="7"/>
  <c r="AM82" i="7"/>
  <c r="AM74" i="7"/>
  <c r="AM66" i="7"/>
  <c r="AM58" i="7"/>
  <c r="AM50" i="7"/>
  <c r="AM42" i="7"/>
  <c r="AM34" i="7"/>
  <c r="AM26" i="7"/>
  <c r="AM18" i="7"/>
  <c r="AM10" i="7"/>
  <c r="I59" i="7"/>
  <c r="I51" i="7"/>
  <c r="I43" i="7"/>
  <c r="I35" i="7"/>
  <c r="I27" i="7"/>
  <c r="I19" i="7"/>
  <c r="I11" i="7"/>
  <c r="K57" i="7"/>
  <c r="K53" i="7"/>
  <c r="K45" i="7"/>
  <c r="K37" i="7"/>
  <c r="K29" i="7"/>
  <c r="K21" i="7"/>
  <c r="H55" i="7"/>
  <c r="H47" i="7"/>
  <c r="H39" i="7"/>
  <c r="H31" i="7"/>
  <c r="H23" i="7"/>
  <c r="H15" i="7"/>
  <c r="H7" i="7"/>
  <c r="AJ85" i="7"/>
  <c r="AJ77" i="7"/>
  <c r="AJ69" i="7"/>
  <c r="AJ61" i="7"/>
  <c r="AJ53" i="7"/>
  <c r="AJ45" i="7"/>
  <c r="AJ37" i="7"/>
  <c r="AJ29" i="7"/>
  <c r="AJ21" i="7"/>
  <c r="AJ13" i="7"/>
  <c r="AK88" i="7"/>
  <c r="AK80" i="7"/>
  <c r="AK72" i="7"/>
  <c r="AK64" i="7"/>
  <c r="AK56" i="7"/>
  <c r="AK48" i="7"/>
  <c r="AK40" i="7"/>
  <c r="AK32" i="7"/>
  <c r="AK24" i="7"/>
  <c r="AK16" i="7"/>
  <c r="AK8" i="7"/>
  <c r="AL85" i="7"/>
  <c r="AL77" i="7"/>
  <c r="AL69" i="7"/>
  <c r="AL61" i="7"/>
  <c r="AL53" i="7"/>
  <c r="AL45" i="7"/>
  <c r="AL37" i="7"/>
  <c r="AL29" i="7"/>
  <c r="AL21" i="7"/>
  <c r="AL13" i="7"/>
  <c r="AM5" i="7"/>
  <c r="AM81" i="7"/>
  <c r="AM73" i="7"/>
  <c r="AM65" i="7"/>
  <c r="AM57" i="7"/>
  <c r="AM49" i="7"/>
  <c r="AM41" i="7"/>
  <c r="AM33" i="7"/>
  <c r="AM25" i="7"/>
  <c r="AM17" i="7"/>
  <c r="AM9" i="7"/>
  <c r="I58" i="7"/>
  <c r="I50" i="7"/>
  <c r="I42" i="7"/>
  <c r="I34" i="7"/>
  <c r="I26" i="7"/>
  <c r="I18" i="7"/>
  <c r="I10" i="7"/>
  <c r="J57" i="7"/>
  <c r="G48" i="7"/>
  <c r="H54" i="7"/>
  <c r="H46" i="7"/>
  <c r="H38" i="7"/>
  <c r="H30" i="7"/>
  <c r="H22" i="7"/>
  <c r="H14" i="7"/>
  <c r="H6" i="7"/>
  <c r="AJ84" i="7"/>
  <c r="AJ76" i="7"/>
  <c r="AJ68" i="7"/>
  <c r="AJ60" i="7"/>
  <c r="AJ52" i="7"/>
  <c r="AJ44" i="7"/>
  <c r="AJ36" i="7"/>
  <c r="AJ28" i="7"/>
  <c r="AJ20" i="7"/>
  <c r="AJ12" i="7"/>
  <c r="AK87" i="7"/>
  <c r="AK79" i="7"/>
  <c r="AK71" i="7"/>
  <c r="AK63" i="7"/>
  <c r="AK55" i="7"/>
  <c r="AK47" i="7"/>
  <c r="AK39" i="7"/>
  <c r="AK31" i="7"/>
  <c r="AK23" i="7"/>
  <c r="AK15" i="7"/>
  <c r="AK7" i="7"/>
  <c r="AL84" i="7"/>
  <c r="AL76" i="7"/>
  <c r="AL68" i="7"/>
  <c r="AL60" i="7"/>
  <c r="AL52" i="7"/>
  <c r="AL44" i="7"/>
  <c r="AL36" i="7"/>
  <c r="AL28" i="7"/>
  <c r="AL20" i="7"/>
  <c r="AL12" i="7"/>
  <c r="AM88" i="7"/>
  <c r="AM80" i="7"/>
  <c r="AM72" i="7"/>
  <c r="AM64" i="7"/>
  <c r="AM56" i="7"/>
  <c r="AM48" i="7"/>
  <c r="AM40" i="7"/>
  <c r="AM32" i="7"/>
  <c r="AM24" i="7"/>
  <c r="AM16" i="7"/>
  <c r="AM8" i="7"/>
  <c r="I57" i="7"/>
  <c r="I49" i="7"/>
  <c r="I41" i="7"/>
  <c r="I33" i="7"/>
  <c r="I25" i="7"/>
  <c r="I17" i="7"/>
  <c r="K20" i="7"/>
  <c r="G6" i="7"/>
  <c r="G11" i="7"/>
  <c r="G19" i="7"/>
  <c r="G59" i="7"/>
  <c r="G12" i="7"/>
  <c r="G16" i="7"/>
  <c r="G24" i="7"/>
  <c r="G32" i="7"/>
  <c r="G35" i="7"/>
  <c r="G51" i="7"/>
  <c r="G43" i="7"/>
  <c r="G39" i="7"/>
  <c r="G47" i="7"/>
  <c r="G55" i="7"/>
  <c r="I118" i="1" l="1"/>
  <c r="J117" i="1"/>
  <c r="M23" i="1"/>
  <c r="C72" i="17" s="1"/>
  <c r="B72" i="17" s="1"/>
  <c r="AW87" i="7"/>
  <c r="AW86" i="7"/>
  <c r="AW83" i="7"/>
  <c r="AW84" i="7"/>
  <c r="AW82" i="7"/>
  <c r="AW85" i="7"/>
  <c r="AW79" i="7"/>
  <c r="AW78" i="7"/>
  <c r="AW80" i="7"/>
  <c r="AW81" i="7"/>
  <c r="AW77" i="7"/>
  <c r="AW31" i="7"/>
  <c r="D49" i="11"/>
  <c r="C16" i="12" s="1"/>
  <c r="E48" i="11"/>
  <c r="AW55" i="7"/>
  <c r="AW47" i="7"/>
  <c r="AW7" i="7"/>
  <c r="AW20" i="7"/>
  <c r="AW71" i="7"/>
  <c r="AW28" i="7"/>
  <c r="AW12" i="7"/>
  <c r="AW30" i="7"/>
  <c r="AW54" i="7"/>
  <c r="AW70" i="7"/>
  <c r="AW74" i="7"/>
  <c r="AW52" i="7"/>
  <c r="AW39" i="7"/>
  <c r="AW23" i="7"/>
  <c r="AW63" i="7"/>
  <c r="AW76" i="7"/>
  <c r="AW48" i="7"/>
  <c r="AW62" i="7"/>
  <c r="AW56" i="7"/>
  <c r="AW16" i="7"/>
  <c r="AW24" i="7"/>
  <c r="AW32" i="7"/>
  <c r="AW40" i="7"/>
  <c r="AW38" i="7"/>
  <c r="AW73" i="7"/>
  <c r="AW14" i="7"/>
  <c r="AW15" i="7"/>
  <c r="AW44" i="7"/>
  <c r="AW46" i="7"/>
  <c r="AW8" i="7"/>
  <c r="AW75" i="7"/>
  <c r="AW36" i="7"/>
  <c r="AW64" i="7"/>
  <c r="AW60" i="7"/>
  <c r="AW34" i="7"/>
  <c r="AW21" i="7"/>
  <c r="AW67" i="7"/>
  <c r="AW33" i="7"/>
  <c r="AW53" i="7"/>
  <c r="AW42" i="7"/>
  <c r="AW50" i="7"/>
  <c r="AW65" i="7"/>
  <c r="AW58" i="7"/>
  <c r="AW13" i="7"/>
  <c r="AW66" i="7"/>
  <c r="AW19" i="7"/>
  <c r="AW9" i="7"/>
  <c r="AW49" i="7"/>
  <c r="AW10" i="7"/>
  <c r="AW51" i="7"/>
  <c r="AW11" i="7"/>
  <c r="AW27" i="7"/>
  <c r="AW29" i="7"/>
  <c r="AW41" i="7"/>
  <c r="AW26" i="7"/>
  <c r="AW35" i="7"/>
  <c r="AW43" i="7"/>
  <c r="AW45" i="7"/>
  <c r="AW25" i="7"/>
  <c r="AW59" i="7"/>
  <c r="AW22" i="7"/>
  <c r="AW17" i="7"/>
  <c r="AW37" i="7"/>
  <c r="AW57" i="7"/>
  <c r="AW18" i="7"/>
  <c r="AW72" i="7"/>
  <c r="AW68" i="7"/>
  <c r="AW61" i="7"/>
  <c r="AW69" i="7"/>
  <c r="A9" i="3"/>
  <c r="G88" i="1"/>
  <c r="V9" i="3"/>
  <c r="O88" i="3"/>
  <c r="N88" i="3"/>
  <c r="O87" i="3"/>
  <c r="N87" i="3"/>
  <c r="O86" i="3"/>
  <c r="N86" i="3"/>
  <c r="O85" i="3"/>
  <c r="N85" i="3"/>
  <c r="O84" i="3"/>
  <c r="N84" i="3"/>
  <c r="O83" i="3"/>
  <c r="N83" i="3"/>
  <c r="O82" i="3"/>
  <c r="N82" i="3"/>
  <c r="O81" i="3"/>
  <c r="N81" i="3"/>
  <c r="O80" i="3"/>
  <c r="N80" i="3"/>
  <c r="O79" i="3"/>
  <c r="N79" i="3"/>
  <c r="O78" i="3"/>
  <c r="N78" i="3"/>
  <c r="O77" i="3"/>
  <c r="N77" i="3"/>
  <c r="O76" i="3"/>
  <c r="N76" i="3"/>
  <c r="O75" i="3"/>
  <c r="N75" i="3"/>
  <c r="O74" i="3"/>
  <c r="N74" i="3"/>
  <c r="O73" i="3"/>
  <c r="N73" i="3"/>
  <c r="O72" i="3"/>
  <c r="N72" i="3"/>
  <c r="O71" i="3"/>
  <c r="N71" i="3"/>
  <c r="O70" i="3"/>
  <c r="N70" i="3"/>
  <c r="O69" i="3"/>
  <c r="N69" i="3"/>
  <c r="O68" i="3"/>
  <c r="N68" i="3"/>
  <c r="O67" i="3"/>
  <c r="N67" i="3"/>
  <c r="O66" i="3"/>
  <c r="N66" i="3"/>
  <c r="O65" i="3"/>
  <c r="N65" i="3"/>
  <c r="O64" i="3"/>
  <c r="N64" i="3"/>
  <c r="O63" i="3"/>
  <c r="N63" i="3"/>
  <c r="O62" i="3"/>
  <c r="N62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O51" i="3"/>
  <c r="N51" i="3"/>
  <c r="O50" i="3"/>
  <c r="N50" i="3"/>
  <c r="O49" i="3"/>
  <c r="N49" i="3"/>
  <c r="O48" i="3"/>
  <c r="N48" i="3"/>
  <c r="O47" i="3"/>
  <c r="N47" i="3"/>
  <c r="O46" i="3"/>
  <c r="N46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34" i="3"/>
  <c r="N34" i="3"/>
  <c r="O33" i="3"/>
  <c r="N33" i="3"/>
  <c r="O32" i="3"/>
  <c r="N32" i="3"/>
  <c r="O31" i="3"/>
  <c r="N31" i="3"/>
  <c r="O30" i="3"/>
  <c r="N30" i="3"/>
  <c r="O29" i="3"/>
  <c r="N29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21" i="3"/>
  <c r="N21" i="3"/>
  <c r="O20" i="3"/>
  <c r="N20" i="3"/>
  <c r="O19" i="3"/>
  <c r="N19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O11" i="3"/>
  <c r="N11" i="3"/>
  <c r="O10" i="3"/>
  <c r="N10" i="3"/>
  <c r="O9" i="3"/>
  <c r="N9" i="3"/>
  <c r="O8" i="3"/>
  <c r="N8" i="3"/>
  <c r="O7" i="3"/>
  <c r="N7" i="3"/>
  <c r="O6" i="3"/>
  <c r="N6" i="3"/>
  <c r="O5" i="3"/>
  <c r="N5" i="3"/>
  <c r="F104" i="1"/>
  <c r="AX2" i="7"/>
  <c r="I119" i="1" l="1"/>
  <c r="J118" i="1"/>
  <c r="M24" i="1"/>
  <c r="C73" i="17" s="1"/>
  <c r="B73" i="17" s="1"/>
  <c r="D50" i="11"/>
  <c r="C17" i="12" s="1"/>
  <c r="E49" i="11"/>
  <c r="AX12" i="7"/>
  <c r="AY12" i="7" s="1"/>
  <c r="AX17" i="7"/>
  <c r="AY17" i="7" s="1"/>
  <c r="AX86" i="7"/>
  <c r="AY86" i="7" s="1"/>
  <c r="AX81" i="7"/>
  <c r="AY81" i="7" s="1"/>
  <c r="AX66" i="7"/>
  <c r="AY66" i="7" s="1"/>
  <c r="AX62" i="7"/>
  <c r="AY62" i="7" s="1"/>
  <c r="AX7" i="7"/>
  <c r="AY7" i="7" s="1"/>
  <c r="AX50" i="7"/>
  <c r="AY50" i="7" s="1"/>
  <c r="AX56" i="7"/>
  <c r="AY56" i="7" s="1"/>
  <c r="AX14" i="7"/>
  <c r="AY14" i="7" s="1"/>
  <c r="AX8" i="7"/>
  <c r="AY8" i="7" s="1"/>
  <c r="AX45" i="7"/>
  <c r="AY45" i="7" s="1"/>
  <c r="AX76" i="7"/>
  <c r="AY76" i="7" s="1"/>
  <c r="AX9" i="7"/>
  <c r="AY9" i="7" s="1"/>
  <c r="AX78" i="7"/>
  <c r="AY78" i="7" s="1"/>
  <c r="AX74" i="7"/>
  <c r="AY74" i="7" s="1"/>
  <c r="AX59" i="7"/>
  <c r="AY59" i="7" s="1"/>
  <c r="AX51" i="7"/>
  <c r="AY51" i="7" s="1"/>
  <c r="AX42" i="7"/>
  <c r="AY42" i="7" s="1"/>
  <c r="AX55" i="7"/>
  <c r="AY55" i="7" s="1"/>
  <c r="AX37" i="7"/>
  <c r="AY37" i="7" s="1"/>
  <c r="AX33" i="7"/>
  <c r="AY33" i="7" s="1"/>
  <c r="AX72" i="7"/>
  <c r="AY72" i="7" s="1"/>
  <c r="AX85" i="7"/>
  <c r="AY85" i="7" s="1"/>
  <c r="AX63" i="7"/>
  <c r="AY63" i="7" s="1"/>
  <c r="AX70" i="7"/>
  <c r="AY70" i="7" s="1"/>
  <c r="AX43" i="7"/>
  <c r="AY43" i="7" s="1"/>
  <c r="AX34" i="7"/>
  <c r="AY34" i="7" s="1"/>
  <c r="AX47" i="7"/>
  <c r="AY47" i="7" s="1"/>
  <c r="AX29" i="7"/>
  <c r="AY29" i="7" s="1"/>
  <c r="AX32" i="7"/>
  <c r="AY32" i="7" s="1"/>
  <c r="AX79" i="7"/>
  <c r="AY79" i="7" s="1"/>
  <c r="AX83" i="7"/>
  <c r="AY83" i="7" s="1"/>
  <c r="AX68" i="7"/>
  <c r="AY68" i="7" s="1"/>
  <c r="AX82" i="7"/>
  <c r="AY82" i="7" s="1"/>
  <c r="AX60" i="7"/>
  <c r="AY60" i="7" s="1"/>
  <c r="AX41" i="7"/>
  <c r="AY41" i="7" s="1"/>
  <c r="AX35" i="7"/>
  <c r="AY35" i="7" s="1"/>
  <c r="AX26" i="7"/>
  <c r="AY26" i="7" s="1"/>
  <c r="AX39" i="7"/>
  <c r="AY39" i="7" s="1"/>
  <c r="AX54" i="7"/>
  <c r="AY54" i="7" s="1"/>
  <c r="AX48" i="7"/>
  <c r="AY48" i="7" s="1"/>
  <c r="AX21" i="7"/>
  <c r="AY21" i="7" s="1"/>
  <c r="AX52" i="7"/>
  <c r="AY52" i="7" s="1"/>
  <c r="AX38" i="7"/>
  <c r="AY38" i="7" s="1"/>
  <c r="AX64" i="7"/>
  <c r="AY64" i="7" s="1"/>
  <c r="AX80" i="7"/>
  <c r="AY80" i="7" s="1"/>
  <c r="AX61" i="7"/>
  <c r="AY61" i="7" s="1"/>
  <c r="AX49" i="7"/>
  <c r="AY49" i="7" s="1"/>
  <c r="AX87" i="7"/>
  <c r="AY87" i="7" s="1"/>
  <c r="AX27" i="7"/>
  <c r="AY27" i="7" s="1"/>
  <c r="AX18" i="7"/>
  <c r="AY18" i="7" s="1"/>
  <c r="AX31" i="7"/>
  <c r="AY31" i="7" s="1"/>
  <c r="AX46" i="7"/>
  <c r="AY46" i="7" s="1"/>
  <c r="AX40" i="7"/>
  <c r="AY40" i="7" s="1"/>
  <c r="AX13" i="7"/>
  <c r="AY13" i="7" s="1"/>
  <c r="AX44" i="7"/>
  <c r="AY44" i="7" s="1"/>
  <c r="AX36" i="7"/>
  <c r="AY36" i="7" s="1"/>
  <c r="AX65" i="7"/>
  <c r="AY65" i="7" s="1"/>
  <c r="AX75" i="7"/>
  <c r="AY75" i="7" s="1"/>
  <c r="AX19" i="7"/>
  <c r="AY19" i="7" s="1"/>
  <c r="AX10" i="7"/>
  <c r="AY10" i="7" s="1"/>
  <c r="AX23" i="7"/>
  <c r="AY23" i="7" s="1"/>
  <c r="AX71" i="7"/>
  <c r="AY71" i="7" s="1"/>
  <c r="AX57" i="7"/>
  <c r="AY57" i="7" s="1"/>
  <c r="AX84" i="7"/>
  <c r="AY84" i="7" s="1"/>
  <c r="AX73" i="7"/>
  <c r="AY73" i="7" s="1"/>
  <c r="AX11" i="7"/>
  <c r="AY11" i="7" s="1"/>
  <c r="AX15" i="7"/>
  <c r="AY15" i="7" s="1"/>
  <c r="AX30" i="7"/>
  <c r="AY30" i="7" s="1"/>
  <c r="AX24" i="7"/>
  <c r="AY24" i="7" s="1"/>
  <c r="AX28" i="7"/>
  <c r="AY28" i="7" s="1"/>
  <c r="AX25" i="7"/>
  <c r="AY25" i="7" s="1"/>
  <c r="AX67" i="7"/>
  <c r="AY67" i="7" s="1"/>
  <c r="AX88" i="7"/>
  <c r="AY88" i="7" s="1"/>
  <c r="AX77" i="7"/>
  <c r="AY77" i="7" s="1"/>
  <c r="AX69" i="7"/>
  <c r="AY69" i="7" s="1"/>
  <c r="AX58" i="7"/>
  <c r="AY58" i="7" s="1"/>
  <c r="AX22" i="7"/>
  <c r="AY22" i="7" s="1"/>
  <c r="AX16" i="7"/>
  <c r="AY16" i="7" s="1"/>
  <c r="AX53" i="7"/>
  <c r="AY53" i="7" s="1"/>
  <c r="AX20" i="7"/>
  <c r="AY20" i="7" s="1"/>
  <c r="A6" i="3"/>
  <c r="R6" i="3"/>
  <c r="R14" i="3"/>
  <c r="R22" i="3"/>
  <c r="R30" i="3"/>
  <c r="R38" i="3"/>
  <c r="R46" i="3"/>
  <c r="R54" i="3"/>
  <c r="R62" i="3"/>
  <c r="R70" i="3"/>
  <c r="R78" i="3"/>
  <c r="R86" i="3"/>
  <c r="R7" i="3"/>
  <c r="R15" i="3"/>
  <c r="R23" i="3"/>
  <c r="R31" i="3"/>
  <c r="R39" i="3"/>
  <c r="R47" i="3"/>
  <c r="R55" i="3"/>
  <c r="R63" i="3"/>
  <c r="R71" i="3"/>
  <c r="R79" i="3"/>
  <c r="R87" i="3"/>
  <c r="R40" i="3"/>
  <c r="R48" i="3"/>
  <c r="R64" i="3"/>
  <c r="R9" i="3"/>
  <c r="R17" i="3"/>
  <c r="R25" i="3"/>
  <c r="R33" i="3"/>
  <c r="R41" i="3"/>
  <c r="R49" i="3"/>
  <c r="R57" i="3"/>
  <c r="R65" i="3"/>
  <c r="R73" i="3"/>
  <c r="R81" i="3"/>
  <c r="R5" i="3"/>
  <c r="R29" i="3"/>
  <c r="R16" i="3"/>
  <c r="R80" i="3"/>
  <c r="R10" i="3"/>
  <c r="R18" i="3"/>
  <c r="R26" i="3"/>
  <c r="R34" i="3"/>
  <c r="R42" i="3"/>
  <c r="R50" i="3"/>
  <c r="R58" i="3"/>
  <c r="R66" i="3"/>
  <c r="R74" i="3"/>
  <c r="R82" i="3"/>
  <c r="R21" i="3"/>
  <c r="R32" i="3"/>
  <c r="R11" i="3"/>
  <c r="R19" i="3"/>
  <c r="R27" i="3"/>
  <c r="R35" i="3"/>
  <c r="R43" i="3"/>
  <c r="R51" i="3"/>
  <c r="R59" i="3"/>
  <c r="R67" i="3"/>
  <c r="R75" i="3"/>
  <c r="R83" i="3"/>
  <c r="R37" i="3"/>
  <c r="R24" i="3"/>
  <c r="R56" i="3"/>
  <c r="R72" i="3"/>
  <c r="R12" i="3"/>
  <c r="R20" i="3"/>
  <c r="R28" i="3"/>
  <c r="R36" i="3"/>
  <c r="R44" i="3"/>
  <c r="R52" i="3"/>
  <c r="R60" i="3"/>
  <c r="R68" i="3"/>
  <c r="R76" i="3"/>
  <c r="R84" i="3"/>
  <c r="R13" i="3"/>
  <c r="R45" i="3"/>
  <c r="R53" i="3"/>
  <c r="R61" i="3"/>
  <c r="R69" i="3"/>
  <c r="R77" i="3"/>
  <c r="R85" i="3"/>
  <c r="R8" i="3"/>
  <c r="R88" i="3"/>
  <c r="V4" i="3"/>
  <c r="E104" i="1" l="1"/>
  <c r="E101" i="1" s="1"/>
  <c r="AB42" i="11"/>
  <c r="AC42" i="11" s="1"/>
  <c r="AF42" i="11" s="1"/>
  <c r="I120" i="1"/>
  <c r="I121" i="1" s="1"/>
  <c r="J119" i="1"/>
  <c r="M25" i="1"/>
  <c r="C74" i="17" s="1"/>
  <c r="B74" i="17" s="1"/>
  <c r="D51" i="11"/>
  <c r="C18" i="12" s="1"/>
  <c r="E50" i="11"/>
  <c r="E102" i="1" l="1"/>
  <c r="E105" i="1" s="1"/>
  <c r="J121" i="1"/>
  <c r="I122" i="1"/>
  <c r="J120" i="1"/>
  <c r="M26" i="1"/>
  <c r="C75" i="17" s="1"/>
  <c r="B75" i="17" s="1"/>
  <c r="E9" i="12"/>
  <c r="D52" i="11"/>
  <c r="C19" i="12" s="1"/>
  <c r="E51" i="11"/>
  <c r="J122" i="1" l="1"/>
  <c r="I123" i="1"/>
  <c r="M27" i="1"/>
  <c r="C76" i="17" s="1"/>
  <c r="B76" i="17" s="1"/>
  <c r="CS42" i="11"/>
  <c r="AW42" i="11"/>
  <c r="DF42" i="11"/>
  <c r="BF42" i="11"/>
  <c r="BS42" i="11"/>
  <c r="CF42" i="11"/>
  <c r="D53" i="11"/>
  <c r="C20" i="12" s="1"/>
  <c r="E52" i="11"/>
  <c r="J123" i="1" l="1"/>
  <c r="I124" i="1"/>
  <c r="M28" i="1"/>
  <c r="C77" i="17" s="1"/>
  <c r="B77" i="17" s="1"/>
  <c r="AS42" i="11"/>
  <c r="BW42" i="11"/>
  <c r="BX42" i="11"/>
  <c r="BK42" i="11"/>
  <c r="BJ42" i="11"/>
  <c r="CJ42" i="11"/>
  <c r="CK42" i="11"/>
  <c r="AX42" i="11"/>
  <c r="CX42" i="11"/>
  <c r="CW42" i="11"/>
  <c r="DK42" i="11"/>
  <c r="DJ42" i="11"/>
  <c r="D54" i="11"/>
  <c r="C21" i="12" s="1"/>
  <c r="E53" i="11"/>
  <c r="J124" i="1" l="1"/>
  <c r="I125" i="1"/>
  <c r="M29" i="1"/>
  <c r="C78" i="17" s="1"/>
  <c r="B78" i="17" s="1"/>
  <c r="BL42" i="11"/>
  <c r="CY42" i="11"/>
  <c r="BY42" i="11"/>
  <c r="CL42" i="11"/>
  <c r="DL42" i="11"/>
  <c r="AY42" i="11"/>
  <c r="D55" i="11"/>
  <c r="C22" i="12" s="1"/>
  <c r="E54" i="11"/>
  <c r="J125" i="1" l="1"/>
  <c r="I126" i="1"/>
  <c r="M30" i="1"/>
  <c r="C79" i="17" s="1"/>
  <c r="B79" i="17" s="1"/>
  <c r="D56" i="11"/>
  <c r="C23" i="12" s="1"/>
  <c r="E55" i="11"/>
  <c r="J126" i="1" l="1"/>
  <c r="I127" i="1"/>
  <c r="M31" i="1"/>
  <c r="C80" i="17" s="1"/>
  <c r="B80" i="17" s="1"/>
  <c r="D57" i="11"/>
  <c r="C24" i="12" s="1"/>
  <c r="E56" i="11"/>
  <c r="I128" i="1" l="1"/>
  <c r="J127" i="1"/>
  <c r="M32" i="1"/>
  <c r="C81" i="17" s="1"/>
  <c r="B81" i="17" s="1"/>
  <c r="D58" i="11"/>
  <c r="C25" i="12" s="1"/>
  <c r="E57" i="11"/>
  <c r="M4" i="11"/>
  <c r="L4" i="11"/>
  <c r="J128" i="1" l="1"/>
  <c r="I129" i="1"/>
  <c r="M33" i="1"/>
  <c r="C82" i="17" s="1"/>
  <c r="B82" i="17" s="1"/>
  <c r="D59" i="11"/>
  <c r="C26" i="12" s="1"/>
  <c r="E58" i="11"/>
  <c r="J129" i="1" l="1"/>
  <c r="I130" i="1"/>
  <c r="M34" i="1"/>
  <c r="C83" i="17" s="1"/>
  <c r="B83" i="17" s="1"/>
  <c r="D60" i="11"/>
  <c r="C27" i="12" s="1"/>
  <c r="E59" i="11"/>
  <c r="J130" i="1" l="1"/>
  <c r="I131" i="1"/>
  <c r="M35" i="1"/>
  <c r="C84" i="17" s="1"/>
  <c r="B84" i="17" s="1"/>
  <c r="D61" i="11"/>
  <c r="C28" i="12" s="1"/>
  <c r="E60" i="11"/>
  <c r="J131" i="1" l="1"/>
  <c r="I132" i="1"/>
  <c r="M36" i="1"/>
  <c r="C85" i="17" s="1"/>
  <c r="B85" i="17" s="1"/>
  <c r="D62" i="11"/>
  <c r="C29" i="12" s="1"/>
  <c r="E61" i="11"/>
  <c r="I133" i="1" l="1"/>
  <c r="J132" i="1"/>
  <c r="M37" i="1"/>
  <c r="C86" i="17" s="1"/>
  <c r="B86" i="17" s="1"/>
  <c r="D63" i="11"/>
  <c r="C30" i="12" s="1"/>
  <c r="E62" i="11"/>
  <c r="J133" i="1" l="1"/>
  <c r="I134" i="1"/>
  <c r="M38" i="1"/>
  <c r="C87" i="17" s="1"/>
  <c r="B87" i="17" s="1"/>
  <c r="D64" i="11"/>
  <c r="C31" i="12" s="1"/>
  <c r="E63" i="11"/>
  <c r="J134" i="1" l="1"/>
  <c r="I135" i="1"/>
  <c r="M39" i="1"/>
  <c r="C88" i="17" s="1"/>
  <c r="B88" i="17" s="1"/>
  <c r="D65" i="11"/>
  <c r="C32" i="12" s="1"/>
  <c r="E64" i="11"/>
  <c r="J135" i="1" l="1"/>
  <c r="I136" i="1"/>
  <c r="M40" i="1"/>
  <c r="D66" i="11"/>
  <c r="C33" i="12" s="1"/>
  <c r="E65" i="11"/>
  <c r="M41" i="1" l="1"/>
  <c r="C90" i="17" s="1"/>
  <c r="B90" i="17" s="1"/>
  <c r="C89" i="17"/>
  <c r="B89" i="17" s="1"/>
  <c r="I137" i="1"/>
  <c r="J136" i="1"/>
  <c r="D67" i="11"/>
  <c r="C34" i="12" s="1"/>
  <c r="E66" i="11"/>
  <c r="M42" i="1" l="1"/>
  <c r="C91" i="17" s="1"/>
  <c r="B91" i="17" s="1"/>
  <c r="P41" i="1"/>
  <c r="G90" i="17" s="1"/>
  <c r="F90" i="17"/>
  <c r="O41" i="1"/>
  <c r="E90" i="17" s="1"/>
  <c r="I138" i="1"/>
  <c r="J137" i="1"/>
  <c r="D68" i="11"/>
  <c r="C35" i="12" s="1"/>
  <c r="E67" i="11"/>
  <c r="F91" i="17" l="1"/>
  <c r="M43" i="1"/>
  <c r="C92" i="17" s="1"/>
  <c r="B92" i="17" s="1"/>
  <c r="P42" i="1"/>
  <c r="G91" i="17" s="1"/>
  <c r="N42" i="1"/>
  <c r="D91" i="17" s="1"/>
  <c r="O42" i="1"/>
  <c r="E91" i="17" s="1"/>
  <c r="J138" i="1"/>
  <c r="I139" i="1"/>
  <c r="D69" i="11"/>
  <c r="C36" i="12" s="1"/>
  <c r="E68" i="11"/>
  <c r="F92" i="17" l="1"/>
  <c r="M44" i="1"/>
  <c r="C93" i="17" s="1"/>
  <c r="B93" i="17" s="1"/>
  <c r="P43" i="1"/>
  <c r="G92" i="17" s="1"/>
  <c r="N43" i="1"/>
  <c r="D92" i="17" s="1"/>
  <c r="O43" i="1"/>
  <c r="E92" i="17" s="1"/>
  <c r="N44" i="1"/>
  <c r="D93" i="17" s="1"/>
  <c r="M45" i="1"/>
  <c r="C94" i="17" s="1"/>
  <c r="B94" i="17" s="1"/>
  <c r="O44" i="1"/>
  <c r="E93" i="17" s="1"/>
  <c r="I140" i="1"/>
  <c r="J139" i="1"/>
  <c r="D70" i="11"/>
  <c r="C37" i="12" s="1"/>
  <c r="E69" i="11"/>
  <c r="P44" i="1" l="1"/>
  <c r="G93" i="17" s="1"/>
  <c r="F94" i="17"/>
  <c r="F93" i="17"/>
  <c r="N45" i="1"/>
  <c r="D94" i="17" s="1"/>
  <c r="P45" i="1"/>
  <c r="G94" i="17" s="1"/>
  <c r="O45" i="1"/>
  <c r="E94" i="17" s="1"/>
  <c r="M46" i="1"/>
  <c r="C95" i="17" s="1"/>
  <c r="B95" i="17" s="1"/>
  <c r="J140" i="1"/>
  <c r="I141" i="1"/>
  <c r="D71" i="11"/>
  <c r="C38" i="12" s="1"/>
  <c r="E70" i="11"/>
  <c r="F95" i="17" l="1"/>
  <c r="P46" i="1"/>
  <c r="G95" i="17" s="1"/>
  <c r="N46" i="1"/>
  <c r="D95" i="17" s="1"/>
  <c r="O46" i="1"/>
  <c r="E95" i="17" s="1"/>
  <c r="M47" i="1"/>
  <c r="C96" i="17" s="1"/>
  <c r="B96" i="17" s="1"/>
  <c r="J141" i="1"/>
  <c r="I142" i="1"/>
  <c r="D72" i="11"/>
  <c r="C39" i="12" s="1"/>
  <c r="E71" i="11"/>
  <c r="F96" i="17" l="1"/>
  <c r="N47" i="1"/>
  <c r="D96" i="17" s="1"/>
  <c r="O47" i="1"/>
  <c r="E96" i="17" s="1"/>
  <c r="P47" i="1"/>
  <c r="G96" i="17" s="1"/>
  <c r="M48" i="1"/>
  <c r="C97" i="17" s="1"/>
  <c r="B97" i="17" s="1"/>
  <c r="J142" i="1"/>
  <c r="I143" i="1"/>
  <c r="D73" i="11"/>
  <c r="C40" i="12" s="1"/>
  <c r="E72" i="11"/>
  <c r="F97" i="17" l="1"/>
  <c r="P48" i="1"/>
  <c r="G97" i="17" s="1"/>
  <c r="M49" i="1"/>
  <c r="C98" i="17" s="1"/>
  <c r="B98" i="17" s="1"/>
  <c r="N48" i="1"/>
  <c r="D97" i="17" s="1"/>
  <c r="O48" i="1"/>
  <c r="E97" i="17" s="1"/>
  <c r="J143" i="1"/>
  <c r="I144" i="1"/>
  <c r="D74" i="11"/>
  <c r="C41" i="12" s="1"/>
  <c r="E73" i="11"/>
  <c r="F98" i="17" l="1"/>
  <c r="M50" i="1"/>
  <c r="C99" i="17" s="1"/>
  <c r="B99" i="17" s="1"/>
  <c r="O49" i="1"/>
  <c r="E98" i="17" s="1"/>
  <c r="N49" i="1"/>
  <c r="D98" i="17" s="1"/>
  <c r="P49" i="1"/>
  <c r="G98" i="17" s="1"/>
  <c r="J144" i="1"/>
  <c r="I145" i="1"/>
  <c r="D75" i="11"/>
  <c r="C42" i="12" s="1"/>
  <c r="E74" i="11"/>
  <c r="F99" i="17" l="1"/>
  <c r="O50" i="1"/>
  <c r="E99" i="17" s="1"/>
  <c r="P50" i="1"/>
  <c r="G99" i="17" s="1"/>
  <c r="M51" i="1"/>
  <c r="C100" i="17" s="1"/>
  <c r="B100" i="17" s="1"/>
  <c r="N50" i="1"/>
  <c r="D99" i="17" s="1"/>
  <c r="J145" i="1"/>
  <c r="I146" i="1"/>
  <c r="D76" i="11"/>
  <c r="C43" i="12" s="1"/>
  <c r="E75" i="11"/>
  <c r="F100" i="17" l="1"/>
  <c r="P51" i="1"/>
  <c r="G100" i="17" s="1"/>
  <c r="O51" i="1"/>
  <c r="E100" i="17" s="1"/>
  <c r="M52" i="1"/>
  <c r="C101" i="17" s="1"/>
  <c r="B101" i="17" s="1"/>
  <c r="N51" i="1"/>
  <c r="D100" i="17" s="1"/>
  <c r="I147" i="1"/>
  <c r="J146" i="1"/>
  <c r="D77" i="11"/>
  <c r="C44" i="12" s="1"/>
  <c r="E76" i="11"/>
  <c r="F101" i="17" l="1"/>
  <c r="N52" i="1"/>
  <c r="D101" i="17" s="1"/>
  <c r="M53" i="1"/>
  <c r="C102" i="17" s="1"/>
  <c r="B102" i="17" s="1"/>
  <c r="P52" i="1"/>
  <c r="G101" i="17" s="1"/>
  <c r="O52" i="1"/>
  <c r="E101" i="17" s="1"/>
  <c r="J147" i="1"/>
  <c r="I148" i="1"/>
  <c r="D78" i="11"/>
  <c r="C45" i="12" s="1"/>
  <c r="E77" i="11"/>
  <c r="F102" i="17" l="1"/>
  <c r="M54" i="1"/>
  <c r="C103" i="17" s="1"/>
  <c r="B103" i="17" s="1"/>
  <c r="N53" i="1"/>
  <c r="D102" i="17" s="1"/>
  <c r="P53" i="1"/>
  <c r="G102" i="17" s="1"/>
  <c r="O53" i="1"/>
  <c r="E102" i="17" s="1"/>
  <c r="I149" i="1"/>
  <c r="J148" i="1"/>
  <c r="D79" i="11"/>
  <c r="C46" i="12" s="1"/>
  <c r="E78" i="11"/>
  <c r="F103" i="17" l="1"/>
  <c r="P54" i="1"/>
  <c r="G103" i="17" s="1"/>
  <c r="N54" i="1"/>
  <c r="D103" i="17" s="1"/>
  <c r="M55" i="1"/>
  <c r="C104" i="17" s="1"/>
  <c r="B104" i="17" s="1"/>
  <c r="O54" i="1"/>
  <c r="E103" i="17" s="1"/>
  <c r="J149" i="1"/>
  <c r="I150" i="1"/>
  <c r="D80" i="11"/>
  <c r="C47" i="12" s="1"/>
  <c r="E79" i="11"/>
  <c r="F104" i="17" l="1"/>
  <c r="N55" i="1"/>
  <c r="D104" i="17" s="1"/>
  <c r="O55" i="1"/>
  <c r="E104" i="17" s="1"/>
  <c r="P55" i="1"/>
  <c r="G104" i="17" s="1"/>
  <c r="M56" i="1"/>
  <c r="C105" i="17" s="1"/>
  <c r="B105" i="17" s="1"/>
  <c r="I151" i="1"/>
  <c r="J150" i="1"/>
  <c r="D81" i="11"/>
  <c r="C48" i="12" s="1"/>
  <c r="E80" i="11"/>
  <c r="F105" i="17" l="1"/>
  <c r="P56" i="1"/>
  <c r="G105" i="17" s="1"/>
  <c r="M57" i="1"/>
  <c r="C106" i="17" s="1"/>
  <c r="B106" i="17" s="1"/>
  <c r="N56" i="1"/>
  <c r="D105" i="17" s="1"/>
  <c r="O56" i="1"/>
  <c r="E105" i="17" s="1"/>
  <c r="J151" i="1"/>
  <c r="I152" i="1"/>
  <c r="D82" i="11"/>
  <c r="C49" i="12" s="1"/>
  <c r="E81" i="11"/>
  <c r="F106" i="17" l="1"/>
  <c r="M58" i="1"/>
  <c r="C107" i="17" s="1"/>
  <c r="B107" i="17" s="1"/>
  <c r="N57" i="1"/>
  <c r="D106" i="17" s="1"/>
  <c r="O57" i="1"/>
  <c r="E106" i="17" s="1"/>
  <c r="P57" i="1"/>
  <c r="G106" i="17" s="1"/>
  <c r="I153" i="1"/>
  <c r="J152" i="1"/>
  <c r="D83" i="11"/>
  <c r="C50" i="12" s="1"/>
  <c r="E82" i="11"/>
  <c r="F107" i="17" l="1"/>
  <c r="P58" i="1"/>
  <c r="G107" i="17" s="1"/>
  <c r="N58" i="1"/>
  <c r="D107" i="17" s="1"/>
  <c r="O58" i="1"/>
  <c r="E107" i="17" s="1"/>
  <c r="M59" i="1"/>
  <c r="C108" i="17" s="1"/>
  <c r="B108" i="17" s="1"/>
  <c r="I154" i="1"/>
  <c r="J153" i="1"/>
  <c r="D84" i="11"/>
  <c r="C51" i="12" s="1"/>
  <c r="E83" i="11"/>
  <c r="F108" i="17" l="1"/>
  <c r="P59" i="1"/>
  <c r="G108" i="17" s="1"/>
  <c r="M60" i="1"/>
  <c r="C109" i="17" s="1"/>
  <c r="B109" i="17" s="1"/>
  <c r="O59" i="1"/>
  <c r="E108" i="17" s="1"/>
  <c r="N59" i="1"/>
  <c r="D108" i="17" s="1"/>
  <c r="I155" i="1"/>
  <c r="J154" i="1"/>
  <c r="D85" i="11"/>
  <c r="C52" i="12" s="1"/>
  <c r="E84" i="11"/>
  <c r="F109" i="17" l="1"/>
  <c r="N60" i="1"/>
  <c r="D109" i="17" s="1"/>
  <c r="O60" i="1"/>
  <c r="E109" i="17" s="1"/>
  <c r="P60" i="1"/>
  <c r="G109" i="17" s="1"/>
  <c r="M61" i="1"/>
  <c r="C110" i="17" s="1"/>
  <c r="B110" i="17" s="1"/>
  <c r="I156" i="1"/>
  <c r="J155" i="1"/>
  <c r="D86" i="11"/>
  <c r="C53" i="12" s="1"/>
  <c r="E85" i="11"/>
  <c r="F110" i="17" l="1"/>
  <c r="N61" i="1"/>
  <c r="D110" i="17" s="1"/>
  <c r="P61" i="1"/>
  <c r="G110" i="17" s="1"/>
  <c r="M62" i="1"/>
  <c r="C111" i="17" s="1"/>
  <c r="B111" i="17" s="1"/>
  <c r="O61" i="1"/>
  <c r="E110" i="17" s="1"/>
  <c r="I157" i="1"/>
  <c r="J156" i="1"/>
  <c r="D87" i="11"/>
  <c r="C54" i="12" s="1"/>
  <c r="E86" i="11"/>
  <c r="F111" i="17" l="1"/>
  <c r="P62" i="1"/>
  <c r="G111" i="17" s="1"/>
  <c r="M63" i="1"/>
  <c r="C112" i="17" s="1"/>
  <c r="B112" i="17" s="1"/>
  <c r="N62" i="1"/>
  <c r="D111" i="17" s="1"/>
  <c r="O62" i="1"/>
  <c r="E111" i="17" s="1"/>
  <c r="J157" i="1"/>
  <c r="I158" i="1"/>
  <c r="D88" i="11"/>
  <c r="C55" i="12" s="1"/>
  <c r="E87" i="11"/>
  <c r="F112" i="17" l="1"/>
  <c r="O63" i="1"/>
  <c r="E112" i="17" s="1"/>
  <c r="N63" i="1"/>
  <c r="D112" i="17" s="1"/>
  <c r="P63" i="1"/>
  <c r="G112" i="17" s="1"/>
  <c r="M64" i="1"/>
  <c r="C113" i="17" s="1"/>
  <c r="B113" i="17" s="1"/>
  <c r="J158" i="1"/>
  <c r="I159" i="1"/>
  <c r="J159" i="1" s="1"/>
  <c r="D89" i="11"/>
  <c r="C56" i="12" s="1"/>
  <c r="E88" i="11"/>
  <c r="F113" i="17" l="1"/>
  <c r="P64" i="1"/>
  <c r="G113" i="17" s="1"/>
  <c r="N64" i="1"/>
  <c r="D113" i="17" s="1"/>
  <c r="M65" i="1"/>
  <c r="C114" i="17" s="1"/>
  <c r="B114" i="17" s="1"/>
  <c r="O64" i="1"/>
  <c r="E113" i="17" s="1"/>
  <c r="D90" i="11"/>
  <c r="C57" i="12" s="1"/>
  <c r="E89" i="11"/>
  <c r="N65" i="1" l="1"/>
  <c r="D114" i="17" s="1"/>
  <c r="O65" i="1"/>
  <c r="E114" i="17" s="1"/>
  <c r="P65" i="1"/>
  <c r="G114" i="17" s="1"/>
  <c r="D91" i="11"/>
  <c r="C58" i="12" s="1"/>
  <c r="E90" i="11"/>
  <c r="F114" i="17" l="1"/>
  <c r="D92" i="11"/>
  <c r="C59" i="12" s="1"/>
  <c r="E91" i="11"/>
  <c r="D93" i="11" l="1"/>
  <c r="C60" i="12" s="1"/>
  <c r="E92" i="11"/>
  <c r="D94" i="11" l="1"/>
  <c r="C61" i="12" s="1"/>
  <c r="E93" i="11"/>
  <c r="D95" i="11" l="1"/>
  <c r="C62" i="12" s="1"/>
  <c r="E94" i="11"/>
  <c r="D96" i="11" l="1"/>
  <c r="C63" i="12" s="1"/>
  <c r="E95" i="11"/>
  <c r="D97" i="11" l="1"/>
  <c r="C64" i="12" s="1"/>
  <c r="E96" i="11"/>
  <c r="D98" i="11" l="1"/>
  <c r="C65" i="12" s="1"/>
  <c r="E97" i="11"/>
  <c r="D99" i="11" l="1"/>
  <c r="C66" i="12" s="1"/>
  <c r="E98" i="11"/>
  <c r="D100" i="11" l="1"/>
  <c r="C67" i="12" s="1"/>
  <c r="E99" i="11"/>
  <c r="D101" i="11" l="1"/>
  <c r="C68" i="12" s="1"/>
  <c r="E100" i="11"/>
  <c r="D102" i="11" l="1"/>
  <c r="C69" i="12" s="1"/>
  <c r="E101" i="11"/>
  <c r="D103" i="11" l="1"/>
  <c r="C70" i="12" s="1"/>
  <c r="E102" i="11"/>
  <c r="D104" i="11" l="1"/>
  <c r="C71" i="12" s="1"/>
  <c r="E103" i="11"/>
  <c r="D105" i="11" l="1"/>
  <c r="C72" i="12" s="1"/>
  <c r="E104" i="11"/>
  <c r="D106" i="11" l="1"/>
  <c r="C73" i="12" s="1"/>
  <c r="E105" i="11"/>
  <c r="D107" i="11" l="1"/>
  <c r="C74" i="12" s="1"/>
  <c r="E106" i="11"/>
  <c r="D108" i="11" l="1"/>
  <c r="C75" i="12" s="1"/>
  <c r="E107" i="11"/>
  <c r="D109" i="11" l="1"/>
  <c r="C76" i="12" s="1"/>
  <c r="E108" i="11"/>
  <c r="D110" i="11" l="1"/>
  <c r="C77" i="12" s="1"/>
  <c r="E109" i="11"/>
  <c r="D111" i="11" l="1"/>
  <c r="C78" i="12" s="1"/>
  <c r="E110" i="11"/>
  <c r="D112" i="11" l="1"/>
  <c r="C79" i="12" s="1"/>
  <c r="E111" i="11"/>
  <c r="D113" i="11" l="1"/>
  <c r="C80" i="12" s="1"/>
  <c r="E112" i="11"/>
  <c r="D114" i="11" l="1"/>
  <c r="C81" i="12" s="1"/>
  <c r="E113" i="11"/>
  <c r="D115" i="11" l="1"/>
  <c r="C82" i="12" s="1"/>
  <c r="E114" i="11"/>
  <c r="D116" i="11" l="1"/>
  <c r="C83" i="12" s="1"/>
  <c r="E115" i="11"/>
  <c r="D117" i="11" l="1"/>
  <c r="C84" i="12" s="1"/>
  <c r="E116" i="11"/>
  <c r="D118" i="11" l="1"/>
  <c r="C85" i="12" s="1"/>
  <c r="E117" i="11"/>
  <c r="D119" i="11" l="1"/>
  <c r="C86" i="12" s="1"/>
  <c r="E118" i="11"/>
  <c r="D120" i="11" l="1"/>
  <c r="C87" i="12" s="1"/>
  <c r="E119" i="11"/>
  <c r="D121" i="11" l="1"/>
  <c r="C88" i="12" s="1"/>
  <c r="E120" i="11"/>
  <c r="D122" i="11" l="1"/>
  <c r="C89" i="12" s="1"/>
  <c r="E121" i="11"/>
  <c r="D123" i="11" l="1"/>
  <c r="C90" i="12" s="1"/>
  <c r="E122" i="11"/>
  <c r="D124" i="11" l="1"/>
  <c r="C91" i="12" s="1"/>
  <c r="E123" i="11"/>
  <c r="D125" i="11" l="1"/>
  <c r="C92" i="12" s="1"/>
  <c r="E124" i="11"/>
  <c r="D126" i="11" l="1"/>
  <c r="C93" i="12" s="1"/>
  <c r="E125" i="11"/>
  <c r="D127" i="11" l="1"/>
  <c r="C94" i="12" s="1"/>
  <c r="E126" i="11"/>
  <c r="D128" i="11" l="1"/>
  <c r="C95" i="12" s="1"/>
  <c r="E127" i="11"/>
  <c r="D129" i="11" l="1"/>
  <c r="C96" i="12" s="1"/>
  <c r="E128" i="11"/>
  <c r="D130" i="11" l="1"/>
  <c r="C97" i="12" s="1"/>
  <c r="E129" i="11"/>
  <c r="D131" i="11" l="1"/>
  <c r="C98" i="12" s="1"/>
  <c r="E130" i="11"/>
  <c r="D132" i="11" l="1"/>
  <c r="C99" i="12" s="1"/>
  <c r="E131" i="11"/>
  <c r="D133" i="11" l="1"/>
  <c r="C100" i="12" s="1"/>
  <c r="E132" i="11"/>
  <c r="D134" i="11" l="1"/>
  <c r="C101" i="12" s="1"/>
  <c r="E133" i="11"/>
  <c r="D135" i="11" l="1"/>
  <c r="C102" i="12" s="1"/>
  <c r="E134" i="11"/>
  <c r="D136" i="11" l="1"/>
  <c r="C103" i="12" s="1"/>
  <c r="E135" i="11"/>
  <c r="D137" i="11" l="1"/>
  <c r="C104" i="12" s="1"/>
  <c r="E136" i="11"/>
  <c r="D138" i="11" l="1"/>
  <c r="C105" i="12" s="1"/>
  <c r="E137" i="11"/>
  <c r="D139" i="11" l="1"/>
  <c r="C106" i="12" s="1"/>
  <c r="E138" i="11"/>
  <c r="D140" i="11" l="1"/>
  <c r="C107" i="12" s="1"/>
  <c r="E139" i="11"/>
  <c r="D141" i="11" l="1"/>
  <c r="C108" i="12" s="1"/>
  <c r="E140" i="11"/>
  <c r="D142" i="11" l="1"/>
  <c r="C109" i="12" s="1"/>
  <c r="E141" i="11"/>
  <c r="D143" i="11" l="1"/>
  <c r="C110" i="12" s="1"/>
  <c r="E142" i="11"/>
  <c r="D144" i="11" l="1"/>
  <c r="C111" i="12" s="1"/>
  <c r="E143" i="11"/>
  <c r="D145" i="11" l="1"/>
  <c r="C112" i="12" s="1"/>
  <c r="E144" i="11"/>
  <c r="D146" i="11" l="1"/>
  <c r="C113" i="12" s="1"/>
  <c r="E145" i="11"/>
  <c r="D147" i="11" l="1"/>
  <c r="C114" i="12" s="1"/>
  <c r="E146" i="11"/>
  <c r="D148" i="11" l="1"/>
  <c r="C115" i="12" s="1"/>
  <c r="E147" i="11"/>
  <c r="D149" i="11" l="1"/>
  <c r="C116" i="12" s="1"/>
  <c r="E148" i="11"/>
  <c r="D150" i="11" l="1"/>
  <c r="C117" i="12" s="1"/>
  <c r="E149" i="11"/>
  <c r="D151" i="11" l="1"/>
  <c r="C118" i="12" s="1"/>
  <c r="E150" i="11"/>
  <c r="D152" i="11" l="1"/>
  <c r="C119" i="12" s="1"/>
  <c r="E151" i="11"/>
  <c r="D153" i="11" l="1"/>
  <c r="C120" i="12" s="1"/>
  <c r="E152" i="11"/>
  <c r="D154" i="11" l="1"/>
  <c r="C121" i="12" s="1"/>
  <c r="E153" i="11"/>
  <c r="D155" i="11" l="1"/>
  <c r="C122" i="12" s="1"/>
  <c r="E154" i="11"/>
  <c r="D156" i="11" l="1"/>
  <c r="C123" i="12" s="1"/>
  <c r="E155" i="11"/>
  <c r="D157" i="11" l="1"/>
  <c r="C124" i="12" s="1"/>
  <c r="E156" i="11"/>
  <c r="D158" i="11" l="1"/>
  <c r="C125" i="12" s="1"/>
  <c r="E157" i="11"/>
  <c r="D159" i="11" l="1"/>
  <c r="C126" i="12" s="1"/>
  <c r="E158" i="11"/>
  <c r="D160" i="11" l="1"/>
  <c r="C127" i="12" s="1"/>
  <c r="E159" i="11"/>
  <c r="D161" i="11" l="1"/>
  <c r="C128" i="12" s="1"/>
  <c r="E160" i="11"/>
  <c r="D162" i="11" l="1"/>
  <c r="C129" i="12" s="1"/>
  <c r="E161" i="11"/>
  <c r="D163" i="11" l="1"/>
  <c r="C130" i="12" s="1"/>
  <c r="E162" i="11"/>
  <c r="D164" i="11" l="1"/>
  <c r="C131" i="12" s="1"/>
  <c r="E163" i="11"/>
  <c r="D165" i="11" l="1"/>
  <c r="C132" i="12" s="1"/>
  <c r="E164" i="11"/>
  <c r="D166" i="11" l="1"/>
  <c r="C133" i="12" s="1"/>
  <c r="E165" i="11"/>
  <c r="D167" i="11" l="1"/>
  <c r="C134" i="12" s="1"/>
  <c r="E166" i="11"/>
  <c r="D168" i="11" l="1"/>
  <c r="C135" i="12" s="1"/>
  <c r="E167" i="11"/>
  <c r="D169" i="11" l="1"/>
  <c r="C136" i="12" s="1"/>
  <c r="E168" i="11"/>
  <c r="D170" i="11" l="1"/>
  <c r="C137" i="12" s="1"/>
  <c r="E169" i="11"/>
  <c r="D171" i="11" l="1"/>
  <c r="C138" i="12" s="1"/>
  <c r="E170" i="11"/>
  <c r="D172" i="11" l="1"/>
  <c r="C139" i="12" s="1"/>
  <c r="E171" i="11"/>
  <c r="D173" i="11" l="1"/>
  <c r="C140" i="12" s="1"/>
  <c r="E172" i="11"/>
  <c r="D174" i="11" l="1"/>
  <c r="C141" i="12" s="1"/>
  <c r="E173" i="11"/>
  <c r="D175" i="11" l="1"/>
  <c r="C142" i="12" s="1"/>
  <c r="E174" i="11"/>
  <c r="D176" i="11" l="1"/>
  <c r="C143" i="12" s="1"/>
  <c r="E175" i="11"/>
  <c r="D177" i="11" l="1"/>
  <c r="C144" i="12" s="1"/>
  <c r="E176" i="11"/>
  <c r="D178" i="11" l="1"/>
  <c r="C145" i="12" s="1"/>
  <c r="E177" i="11"/>
  <c r="D179" i="11" l="1"/>
  <c r="C146" i="12" s="1"/>
  <c r="E178" i="11"/>
  <c r="D180" i="11" l="1"/>
  <c r="C147" i="12" s="1"/>
  <c r="E179" i="11"/>
  <c r="D181" i="11" l="1"/>
  <c r="C148" i="12" s="1"/>
  <c r="E180" i="11"/>
  <c r="D182" i="11" l="1"/>
  <c r="C149" i="12" s="1"/>
  <c r="E181" i="11"/>
  <c r="D183" i="11" l="1"/>
  <c r="C150" i="12" s="1"/>
  <c r="E182" i="11"/>
  <c r="D184" i="11" l="1"/>
  <c r="C151" i="12" s="1"/>
  <c r="E183" i="11"/>
  <c r="D185" i="11" l="1"/>
  <c r="C152" i="12" s="1"/>
  <c r="E184" i="11"/>
  <c r="D186" i="11" l="1"/>
  <c r="C153" i="12" s="1"/>
  <c r="E185" i="11"/>
  <c r="D187" i="11" l="1"/>
  <c r="C154" i="12" s="1"/>
  <c r="E186" i="11"/>
  <c r="D188" i="11" l="1"/>
  <c r="C155" i="12" s="1"/>
  <c r="E187" i="11"/>
  <c r="D189" i="11" l="1"/>
  <c r="C156" i="12" s="1"/>
  <c r="E188" i="11"/>
  <c r="D190" i="11" l="1"/>
  <c r="C157" i="12" s="1"/>
  <c r="E189" i="11"/>
  <c r="D191" i="11" l="1"/>
  <c r="C158" i="12" s="1"/>
  <c r="E190" i="11"/>
  <c r="D192" i="11" l="1"/>
  <c r="C159" i="12" s="1"/>
  <c r="E191" i="11"/>
  <c r="D193" i="11" l="1"/>
  <c r="C160" i="12" s="1"/>
  <c r="E192" i="11"/>
  <c r="D194" i="11" l="1"/>
  <c r="C161" i="12" s="1"/>
  <c r="E193" i="11"/>
  <c r="D195" i="11" l="1"/>
  <c r="C162" i="12" s="1"/>
  <c r="E194" i="11"/>
  <c r="D196" i="11" l="1"/>
  <c r="C163" i="12" s="1"/>
  <c r="E195" i="11"/>
  <c r="D197" i="11" l="1"/>
  <c r="C164" i="12" s="1"/>
  <c r="E196" i="11"/>
  <c r="D198" i="11" l="1"/>
  <c r="C165" i="12" s="1"/>
  <c r="E197" i="11"/>
  <c r="D199" i="11" l="1"/>
  <c r="C166" i="12" s="1"/>
  <c r="E198" i="11"/>
  <c r="D200" i="11" l="1"/>
  <c r="C167" i="12" s="1"/>
  <c r="E199" i="11"/>
  <c r="D201" i="11" l="1"/>
  <c r="C168" i="12" s="1"/>
  <c r="E200" i="11"/>
  <c r="D202" i="11" l="1"/>
  <c r="C169" i="12" s="1"/>
  <c r="E201" i="11"/>
  <c r="D203" i="11" l="1"/>
  <c r="C170" i="12" s="1"/>
  <c r="E202" i="11"/>
  <c r="D204" i="11" l="1"/>
  <c r="C171" i="12" s="1"/>
  <c r="E203" i="11"/>
  <c r="D205" i="11" l="1"/>
  <c r="C172" i="12" s="1"/>
  <c r="E204" i="11"/>
  <c r="D206" i="11" l="1"/>
  <c r="C173" i="12" s="1"/>
  <c r="E205" i="11"/>
  <c r="D207" i="11" l="1"/>
  <c r="C174" i="12" s="1"/>
  <c r="E206" i="11"/>
  <c r="D208" i="11" l="1"/>
  <c r="C175" i="12" s="1"/>
  <c r="E207" i="11"/>
  <c r="D209" i="11" l="1"/>
  <c r="C176" i="12" s="1"/>
  <c r="E208" i="11"/>
  <c r="D210" i="11" l="1"/>
  <c r="C177" i="12" s="1"/>
  <c r="E209" i="11"/>
  <c r="D211" i="11" l="1"/>
  <c r="C178" i="12" s="1"/>
  <c r="E210" i="11"/>
  <c r="D212" i="11" l="1"/>
  <c r="C179" i="12" s="1"/>
  <c r="E211" i="11"/>
  <c r="D213" i="11" l="1"/>
  <c r="C180" i="12" s="1"/>
  <c r="E212" i="11"/>
  <c r="D214" i="11" l="1"/>
  <c r="C181" i="12" s="1"/>
  <c r="E213" i="11"/>
  <c r="D215" i="11" l="1"/>
  <c r="C182" i="12" s="1"/>
  <c r="E214" i="11"/>
  <c r="D216" i="11" l="1"/>
  <c r="C183" i="12" s="1"/>
  <c r="E215" i="11"/>
  <c r="D217" i="11" l="1"/>
  <c r="C184" i="12" s="1"/>
  <c r="E216" i="11"/>
  <c r="D218" i="11" l="1"/>
  <c r="C185" i="12" s="1"/>
  <c r="E217" i="11"/>
  <c r="D219" i="11" l="1"/>
  <c r="C186" i="12" s="1"/>
  <c r="E218" i="11"/>
  <c r="D220" i="11" l="1"/>
  <c r="C187" i="12" s="1"/>
  <c r="E219" i="11"/>
  <c r="D221" i="11" l="1"/>
  <c r="C188" i="12" s="1"/>
  <c r="E220" i="11"/>
  <c r="D222" i="11" l="1"/>
  <c r="C189" i="12" s="1"/>
  <c r="E221" i="11"/>
  <c r="D223" i="11" l="1"/>
  <c r="C190" i="12" s="1"/>
  <c r="E222" i="11"/>
  <c r="D224" i="11" l="1"/>
  <c r="C191" i="12" s="1"/>
  <c r="E223" i="11"/>
  <c r="D225" i="11" l="1"/>
  <c r="C192" i="12" s="1"/>
  <c r="E224" i="11"/>
  <c r="D226" i="11" l="1"/>
  <c r="C193" i="12" s="1"/>
  <c r="E225" i="11"/>
  <c r="D227" i="11" l="1"/>
  <c r="C194" i="12" s="1"/>
  <c r="E226" i="11"/>
  <c r="D228" i="11" l="1"/>
  <c r="C195" i="12" s="1"/>
  <c r="E227" i="11"/>
  <c r="D229" i="11" l="1"/>
  <c r="C196" i="12" s="1"/>
  <c r="E228" i="11"/>
  <c r="D230" i="11" l="1"/>
  <c r="C197" i="12" s="1"/>
  <c r="E229" i="11"/>
  <c r="D231" i="11" l="1"/>
  <c r="C198" i="12" s="1"/>
  <c r="E230" i="11"/>
  <c r="D232" i="11" l="1"/>
  <c r="C199" i="12" s="1"/>
  <c r="E231" i="11"/>
  <c r="D233" i="11" l="1"/>
  <c r="C200" i="12" s="1"/>
  <c r="E232" i="11"/>
  <c r="D234" i="11" l="1"/>
  <c r="C201" i="12" s="1"/>
  <c r="E233" i="11"/>
  <c r="D235" i="11" l="1"/>
  <c r="C202" i="12" s="1"/>
  <c r="E234" i="11"/>
  <c r="D236" i="11" l="1"/>
  <c r="C203" i="12" s="1"/>
  <c r="E235" i="11"/>
  <c r="D237" i="11" l="1"/>
  <c r="C204" i="12" s="1"/>
  <c r="E236" i="11"/>
  <c r="D238" i="11" l="1"/>
  <c r="C205" i="12" s="1"/>
  <c r="E237" i="11"/>
  <c r="D239" i="11" l="1"/>
  <c r="C206" i="12" s="1"/>
  <c r="E238" i="11"/>
  <c r="D240" i="11" l="1"/>
  <c r="C207" i="12" s="1"/>
  <c r="E239" i="11"/>
  <c r="D241" i="11" l="1"/>
  <c r="C208" i="12" s="1"/>
  <c r="E240" i="11"/>
  <c r="D242" i="11" l="1"/>
  <c r="C209" i="12" s="1"/>
  <c r="E241" i="11"/>
  <c r="D243" i="11" l="1"/>
  <c r="C210" i="12" s="1"/>
  <c r="E242" i="11"/>
  <c r="D244" i="11" l="1"/>
  <c r="C211" i="12" s="1"/>
  <c r="E243" i="11"/>
  <c r="D245" i="11" l="1"/>
  <c r="C212" i="12" s="1"/>
  <c r="E244" i="11"/>
  <c r="D246" i="11" l="1"/>
  <c r="C213" i="12" s="1"/>
  <c r="E245" i="11"/>
  <c r="D247" i="11" l="1"/>
  <c r="C214" i="12" s="1"/>
  <c r="E246" i="11"/>
  <c r="D248" i="11" l="1"/>
  <c r="C215" i="12" s="1"/>
  <c r="E247" i="11"/>
  <c r="D249" i="11" l="1"/>
  <c r="C216" i="12" s="1"/>
  <c r="E248" i="11"/>
  <c r="D250" i="11" l="1"/>
  <c r="C217" i="12" s="1"/>
  <c r="E249" i="11"/>
  <c r="D251" i="11" l="1"/>
  <c r="C218" i="12" s="1"/>
  <c r="E250" i="11"/>
  <c r="D252" i="11" l="1"/>
  <c r="C219" i="12" s="1"/>
  <c r="E251" i="11"/>
  <c r="D253" i="11" l="1"/>
  <c r="C220" i="12" s="1"/>
  <c r="E252" i="11"/>
  <c r="D254" i="11" l="1"/>
  <c r="C221" i="12" s="1"/>
  <c r="E253" i="11"/>
  <c r="D255" i="11" l="1"/>
  <c r="C222" i="12" s="1"/>
  <c r="E254" i="11"/>
  <c r="D256" i="11" l="1"/>
  <c r="C223" i="12" s="1"/>
  <c r="E255" i="11"/>
  <c r="D257" i="11" l="1"/>
  <c r="C224" i="12" s="1"/>
  <c r="E256" i="11"/>
  <c r="D258" i="11" l="1"/>
  <c r="C225" i="12" s="1"/>
  <c r="E257" i="11"/>
  <c r="D259" i="11" l="1"/>
  <c r="C226" i="12" s="1"/>
  <c r="E258" i="11"/>
  <c r="D260" i="11" l="1"/>
  <c r="C227" i="12" s="1"/>
  <c r="E259" i="11"/>
  <c r="D261" i="11" l="1"/>
  <c r="C228" i="12" s="1"/>
  <c r="E260" i="11"/>
  <c r="D262" i="11" l="1"/>
  <c r="C229" i="12" s="1"/>
  <c r="E261" i="11"/>
  <c r="D263" i="11" l="1"/>
  <c r="C230" i="12" s="1"/>
  <c r="E262" i="11"/>
  <c r="D264" i="11" l="1"/>
  <c r="C231" i="12" s="1"/>
  <c r="E263" i="11"/>
  <c r="D265" i="11" l="1"/>
  <c r="C232" i="12" s="1"/>
  <c r="E264" i="11"/>
  <c r="D266" i="11" l="1"/>
  <c r="C233" i="12" s="1"/>
  <c r="E265" i="11"/>
  <c r="D267" i="11" l="1"/>
  <c r="C234" i="12" s="1"/>
  <c r="E266" i="11"/>
  <c r="D268" i="11" l="1"/>
  <c r="C235" i="12" s="1"/>
  <c r="E267" i="11"/>
  <c r="D269" i="11" l="1"/>
  <c r="C236" i="12" s="1"/>
  <c r="E268" i="11"/>
  <c r="D270" i="11" l="1"/>
  <c r="C237" i="12" s="1"/>
  <c r="E269" i="11"/>
  <c r="D271" i="11" l="1"/>
  <c r="C238" i="12" s="1"/>
  <c r="E270" i="11"/>
  <c r="D272" i="11" l="1"/>
  <c r="C239" i="12" s="1"/>
  <c r="E271" i="11"/>
  <c r="D273" i="11" l="1"/>
  <c r="C240" i="12" s="1"/>
  <c r="E272" i="11"/>
  <c r="D274" i="11" l="1"/>
  <c r="C241" i="12" s="1"/>
  <c r="E273" i="11"/>
  <c r="D275" i="11" l="1"/>
  <c r="C242" i="12" s="1"/>
  <c r="E274" i="11"/>
  <c r="D276" i="11" l="1"/>
  <c r="C243" i="12" s="1"/>
  <c r="E275" i="11"/>
  <c r="D277" i="11" l="1"/>
  <c r="C244" i="12" s="1"/>
  <c r="E276" i="11"/>
  <c r="D278" i="11" l="1"/>
  <c r="C245" i="12" s="1"/>
  <c r="E277" i="11"/>
  <c r="D279" i="11" l="1"/>
  <c r="C246" i="12" s="1"/>
  <c r="E278" i="11"/>
  <c r="D280" i="11" l="1"/>
  <c r="C247" i="12" s="1"/>
  <c r="E279" i="11"/>
  <c r="D281" i="11" l="1"/>
  <c r="C248" i="12" s="1"/>
  <c r="E280" i="11"/>
  <c r="D282" i="11" l="1"/>
  <c r="C249" i="12" s="1"/>
  <c r="E281" i="11"/>
  <c r="D283" i="11" l="1"/>
  <c r="C250" i="12" s="1"/>
  <c r="E282" i="11"/>
  <c r="D284" i="11" l="1"/>
  <c r="C251" i="12" s="1"/>
  <c r="E283" i="11"/>
  <c r="D285" i="11" l="1"/>
  <c r="C252" i="12" s="1"/>
  <c r="E284" i="11"/>
  <c r="D286" i="11" l="1"/>
  <c r="C253" i="12" s="1"/>
  <c r="E285" i="11"/>
  <c r="D287" i="11" l="1"/>
  <c r="C254" i="12" s="1"/>
  <c r="E286" i="11"/>
  <c r="D288" i="11" l="1"/>
  <c r="C255" i="12" s="1"/>
  <c r="E287" i="11"/>
  <c r="D289" i="11" l="1"/>
  <c r="C256" i="12" s="1"/>
  <c r="E288" i="11"/>
  <c r="D290" i="11" l="1"/>
  <c r="C257" i="12" s="1"/>
  <c r="E289" i="11"/>
  <c r="D291" i="11" l="1"/>
  <c r="C258" i="12" s="1"/>
  <c r="E290" i="11"/>
  <c r="D292" i="11" l="1"/>
  <c r="C259" i="12" s="1"/>
  <c r="E291" i="11"/>
  <c r="D293" i="11" l="1"/>
  <c r="C260" i="12" s="1"/>
  <c r="E292" i="11"/>
  <c r="D294" i="11" l="1"/>
  <c r="C261" i="12" s="1"/>
  <c r="E293" i="11"/>
  <c r="D295" i="11" l="1"/>
  <c r="C262" i="12" s="1"/>
  <c r="E294" i="11"/>
  <c r="D296" i="11" l="1"/>
  <c r="C263" i="12" s="1"/>
  <c r="E295" i="11"/>
  <c r="D297" i="11" l="1"/>
  <c r="C264" i="12" s="1"/>
  <c r="E296" i="11"/>
  <c r="D298" i="11" l="1"/>
  <c r="C265" i="12" s="1"/>
  <c r="E297" i="11"/>
  <c r="D299" i="11" l="1"/>
  <c r="C266" i="12" s="1"/>
  <c r="E298" i="11"/>
  <c r="D300" i="11" l="1"/>
  <c r="C267" i="12" s="1"/>
  <c r="E299" i="11"/>
  <c r="D301" i="11" l="1"/>
  <c r="C268" i="12" s="1"/>
  <c r="E300" i="11"/>
  <c r="D302" i="11" l="1"/>
  <c r="C269" i="12" s="1"/>
  <c r="E301" i="11"/>
  <c r="D303" i="11" l="1"/>
  <c r="C270" i="12" s="1"/>
  <c r="E302" i="11"/>
  <c r="D304" i="11" l="1"/>
  <c r="C271" i="12" s="1"/>
  <c r="E303" i="11"/>
  <c r="D305" i="11" l="1"/>
  <c r="C272" i="12" s="1"/>
  <c r="E304" i="11"/>
  <c r="D306" i="11" l="1"/>
  <c r="C273" i="12" s="1"/>
  <c r="E305" i="11"/>
  <c r="D307" i="11" l="1"/>
  <c r="C274" i="12" s="1"/>
  <c r="E306" i="11"/>
  <c r="D308" i="11" l="1"/>
  <c r="C275" i="12" s="1"/>
  <c r="E307" i="11"/>
  <c r="D309" i="11" l="1"/>
  <c r="C276" i="12" s="1"/>
  <c r="E308" i="11"/>
  <c r="D310" i="11" l="1"/>
  <c r="C277" i="12" s="1"/>
  <c r="E309" i="11"/>
  <c r="D311" i="11" l="1"/>
  <c r="C278" i="12" s="1"/>
  <c r="E310" i="11"/>
  <c r="D312" i="11" l="1"/>
  <c r="C279" i="12" s="1"/>
  <c r="E311" i="11"/>
  <c r="D313" i="11" l="1"/>
  <c r="C280" i="12" s="1"/>
  <c r="E312" i="11"/>
  <c r="D314" i="11" l="1"/>
  <c r="C281" i="12" s="1"/>
  <c r="E313" i="11"/>
  <c r="D315" i="11" l="1"/>
  <c r="C282" i="12" s="1"/>
  <c r="E314" i="11"/>
  <c r="D316" i="11" l="1"/>
  <c r="C283" i="12" s="1"/>
  <c r="E315" i="11"/>
  <c r="D317" i="11" l="1"/>
  <c r="C284" i="12" s="1"/>
  <c r="E316" i="11"/>
  <c r="D318" i="11" l="1"/>
  <c r="C285" i="12" s="1"/>
  <c r="E317" i="11"/>
  <c r="D319" i="11" l="1"/>
  <c r="C286" i="12" s="1"/>
  <c r="E318" i="11"/>
  <c r="D320" i="11" l="1"/>
  <c r="C287" i="12" s="1"/>
  <c r="E319" i="11"/>
  <c r="D321" i="11" l="1"/>
  <c r="C288" i="12" s="1"/>
  <c r="E320" i="11"/>
  <c r="D322" i="11" l="1"/>
  <c r="C289" i="12" s="1"/>
  <c r="E321" i="11"/>
  <c r="D323" i="11" l="1"/>
  <c r="C290" i="12" s="1"/>
  <c r="E322" i="11"/>
  <c r="D324" i="11" l="1"/>
  <c r="C291" i="12" s="1"/>
  <c r="E323" i="11"/>
  <c r="D325" i="11" l="1"/>
  <c r="C292" i="12" s="1"/>
  <c r="E324" i="11"/>
  <c r="D326" i="11" l="1"/>
  <c r="C293" i="12" s="1"/>
  <c r="E325" i="11"/>
  <c r="D327" i="11" l="1"/>
  <c r="C294" i="12" s="1"/>
  <c r="E326" i="11"/>
  <c r="D328" i="11" l="1"/>
  <c r="C295" i="12" s="1"/>
  <c r="E327" i="11"/>
  <c r="D329" i="11" l="1"/>
  <c r="C296" i="12" s="1"/>
  <c r="E328" i="11"/>
  <c r="D330" i="11" l="1"/>
  <c r="C297" i="12" s="1"/>
  <c r="E329" i="11"/>
  <c r="D331" i="11" l="1"/>
  <c r="C298" i="12" s="1"/>
  <c r="E330" i="11"/>
  <c r="D332" i="11" l="1"/>
  <c r="C299" i="12" s="1"/>
  <c r="E331" i="11"/>
  <c r="D333" i="11" l="1"/>
  <c r="C300" i="12" s="1"/>
  <c r="E332" i="11"/>
  <c r="D334" i="11" l="1"/>
  <c r="C301" i="12" s="1"/>
  <c r="E333" i="11"/>
  <c r="D335" i="11" l="1"/>
  <c r="C302" i="12" s="1"/>
  <c r="E334" i="11"/>
  <c r="D336" i="11" l="1"/>
  <c r="C303" i="12" s="1"/>
  <c r="E335" i="11"/>
  <c r="D337" i="11" l="1"/>
  <c r="C304" i="12" s="1"/>
  <c r="E336" i="11"/>
  <c r="D338" i="11" l="1"/>
  <c r="C305" i="12" s="1"/>
  <c r="E337" i="11"/>
  <c r="D339" i="11" l="1"/>
  <c r="C306" i="12" s="1"/>
  <c r="E338" i="11"/>
  <c r="D340" i="11" l="1"/>
  <c r="C307" i="12" s="1"/>
  <c r="E339" i="11"/>
  <c r="D341" i="11" l="1"/>
  <c r="C308" i="12" s="1"/>
  <c r="E340" i="11"/>
  <c r="D342" i="11" l="1"/>
  <c r="C309" i="12" s="1"/>
  <c r="E341" i="11"/>
  <c r="D343" i="11" l="1"/>
  <c r="C310" i="12" s="1"/>
  <c r="E342" i="11"/>
  <c r="D344" i="11" l="1"/>
  <c r="C311" i="12" s="1"/>
  <c r="E343" i="11"/>
  <c r="D345" i="11" l="1"/>
  <c r="C312" i="12" s="1"/>
  <c r="E344" i="11"/>
  <c r="D346" i="11" l="1"/>
  <c r="C313" i="12" s="1"/>
  <c r="E345" i="11"/>
  <c r="D347" i="11" l="1"/>
  <c r="C314" i="12" s="1"/>
  <c r="E346" i="11"/>
  <c r="D348" i="11" l="1"/>
  <c r="C315" i="12" s="1"/>
  <c r="E347" i="11"/>
  <c r="D349" i="11" l="1"/>
  <c r="C316" i="12" s="1"/>
  <c r="E348" i="11"/>
  <c r="D350" i="11" l="1"/>
  <c r="C317" i="12" s="1"/>
  <c r="E349" i="11"/>
  <c r="D351" i="11" l="1"/>
  <c r="C318" i="12" s="1"/>
  <c r="E350" i="11"/>
  <c r="D352" i="11" l="1"/>
  <c r="C319" i="12" s="1"/>
  <c r="E351" i="11"/>
  <c r="D353" i="11" l="1"/>
  <c r="C320" i="12" s="1"/>
  <c r="E352" i="11"/>
  <c r="D354" i="11" l="1"/>
  <c r="C321" i="12" s="1"/>
  <c r="E353" i="11"/>
  <c r="D355" i="11" l="1"/>
  <c r="C322" i="12" s="1"/>
  <c r="E354" i="11"/>
  <c r="D356" i="11" l="1"/>
  <c r="C323" i="12" s="1"/>
  <c r="E355" i="11"/>
  <c r="D357" i="11" l="1"/>
  <c r="C324" i="12" s="1"/>
  <c r="E356" i="11"/>
  <c r="D358" i="11" l="1"/>
  <c r="C325" i="12" s="1"/>
  <c r="E357" i="11"/>
  <c r="D359" i="11" l="1"/>
  <c r="C326" i="12" s="1"/>
  <c r="E358" i="11"/>
  <c r="D360" i="11" l="1"/>
  <c r="C327" i="12" s="1"/>
  <c r="E359" i="11"/>
  <c r="D361" i="11" l="1"/>
  <c r="C328" i="12" s="1"/>
  <c r="E360" i="11"/>
  <c r="D362" i="11" l="1"/>
  <c r="C329" i="12" s="1"/>
  <c r="E361" i="11"/>
  <c r="D363" i="11" l="1"/>
  <c r="C330" i="12" s="1"/>
  <c r="E362" i="11"/>
  <c r="D364" i="11" l="1"/>
  <c r="C331" i="12" s="1"/>
  <c r="E363" i="11"/>
  <c r="D365" i="11" l="1"/>
  <c r="C332" i="12" s="1"/>
  <c r="E364" i="11"/>
  <c r="D366" i="11" l="1"/>
  <c r="C333" i="12" s="1"/>
  <c r="E365" i="11"/>
  <c r="D367" i="11" l="1"/>
  <c r="C334" i="12" s="1"/>
  <c r="E366" i="11"/>
  <c r="D368" i="11" l="1"/>
  <c r="C335" i="12" s="1"/>
  <c r="E367" i="11"/>
  <c r="D369" i="11" l="1"/>
  <c r="C336" i="12" s="1"/>
  <c r="E368" i="11"/>
  <c r="D370" i="11" l="1"/>
  <c r="C337" i="12" s="1"/>
  <c r="E369" i="11"/>
  <c r="D371" i="11" l="1"/>
  <c r="C338" i="12" s="1"/>
  <c r="E370" i="11"/>
  <c r="D372" i="11" l="1"/>
  <c r="C339" i="12" s="1"/>
  <c r="E371" i="11"/>
  <c r="D373" i="11" l="1"/>
  <c r="C340" i="12" s="1"/>
  <c r="E372" i="11"/>
  <c r="D374" i="11" l="1"/>
  <c r="C341" i="12" s="1"/>
  <c r="E373" i="11"/>
  <c r="D375" i="11" l="1"/>
  <c r="C342" i="12" s="1"/>
  <c r="E374" i="11"/>
  <c r="D376" i="11" l="1"/>
  <c r="C343" i="12" s="1"/>
  <c r="E375" i="11"/>
  <c r="D377" i="11" l="1"/>
  <c r="C344" i="12" s="1"/>
  <c r="E376" i="11"/>
  <c r="D378" i="11" l="1"/>
  <c r="C345" i="12" s="1"/>
  <c r="E377" i="11"/>
  <c r="D379" i="11" l="1"/>
  <c r="C346" i="12" s="1"/>
  <c r="E378" i="11"/>
  <c r="D380" i="11" l="1"/>
  <c r="C347" i="12" s="1"/>
  <c r="E379" i="11"/>
  <c r="D381" i="11" l="1"/>
  <c r="C348" i="12" s="1"/>
  <c r="E380" i="11"/>
  <c r="D382" i="11" l="1"/>
  <c r="C349" i="12" s="1"/>
  <c r="E381" i="11"/>
  <c r="D383" i="11" l="1"/>
  <c r="C350" i="12" s="1"/>
  <c r="E382" i="11"/>
  <c r="D384" i="11" l="1"/>
  <c r="C351" i="12" s="1"/>
  <c r="E383" i="11"/>
  <c r="D385" i="11" l="1"/>
  <c r="C352" i="12" s="1"/>
  <c r="E384" i="11"/>
  <c r="D386" i="11" l="1"/>
  <c r="C353" i="12" s="1"/>
  <c r="E385" i="11"/>
  <c r="D387" i="11" l="1"/>
  <c r="C354" i="12" s="1"/>
  <c r="E386" i="11"/>
  <c r="D388" i="11" l="1"/>
  <c r="C355" i="12" s="1"/>
  <c r="E387" i="11"/>
  <c r="D389" i="11" l="1"/>
  <c r="C356" i="12" s="1"/>
  <c r="E388" i="11"/>
  <c r="D390" i="11" l="1"/>
  <c r="C357" i="12" s="1"/>
  <c r="E389" i="11"/>
  <c r="D391" i="11" l="1"/>
  <c r="C358" i="12" s="1"/>
  <c r="E390" i="11"/>
  <c r="D392" i="11" l="1"/>
  <c r="C359" i="12" s="1"/>
  <c r="E391" i="11"/>
  <c r="D393" i="11" l="1"/>
  <c r="C360" i="12" s="1"/>
  <c r="E392" i="11"/>
  <c r="D394" i="11" l="1"/>
  <c r="C361" i="12" s="1"/>
  <c r="E393" i="11"/>
  <c r="D395" i="11" l="1"/>
  <c r="C362" i="12" s="1"/>
  <c r="E394" i="11"/>
  <c r="D396" i="11" l="1"/>
  <c r="C363" i="12" s="1"/>
  <c r="E395" i="11"/>
  <c r="D397" i="11" l="1"/>
  <c r="C364" i="12" s="1"/>
  <c r="E396" i="11"/>
  <c r="D398" i="11" l="1"/>
  <c r="C365" i="12" s="1"/>
  <c r="E397" i="11"/>
  <c r="D399" i="11" l="1"/>
  <c r="C366" i="12" s="1"/>
  <c r="E398" i="11"/>
  <c r="D400" i="11" l="1"/>
  <c r="C367" i="12" s="1"/>
  <c r="E399" i="11"/>
  <c r="D401" i="11" l="1"/>
  <c r="C368" i="12" s="1"/>
  <c r="E400" i="11"/>
  <c r="D402" i="11" l="1"/>
  <c r="C369" i="12" s="1"/>
  <c r="E401" i="11"/>
  <c r="D403" i="11" l="1"/>
  <c r="C370" i="12" s="1"/>
  <c r="E402" i="11"/>
  <c r="D404" i="11" l="1"/>
  <c r="C371" i="12" s="1"/>
  <c r="E403" i="11"/>
  <c r="D405" i="11" l="1"/>
  <c r="C372" i="12" s="1"/>
  <c r="E404" i="11"/>
  <c r="D406" i="11" l="1"/>
  <c r="C373" i="12" s="1"/>
  <c r="E405" i="11"/>
  <c r="D407" i="11" l="1"/>
  <c r="C374" i="12" s="1"/>
  <c r="E406" i="11"/>
  <c r="D408" i="11" l="1"/>
  <c r="C375" i="12" s="1"/>
  <c r="E407" i="11"/>
  <c r="D409" i="11" l="1"/>
  <c r="C376" i="12" s="1"/>
  <c r="E408" i="11"/>
  <c r="D410" i="11" l="1"/>
  <c r="C377" i="12" s="1"/>
  <c r="E409" i="11"/>
  <c r="D411" i="11" l="1"/>
  <c r="C378" i="12" s="1"/>
  <c r="E410" i="11"/>
  <c r="D412" i="11" l="1"/>
  <c r="C379" i="12" s="1"/>
  <c r="E411" i="11"/>
  <c r="D413" i="11" l="1"/>
  <c r="C380" i="12" s="1"/>
  <c r="E412" i="11"/>
  <c r="D414" i="11" l="1"/>
  <c r="C381" i="12" s="1"/>
  <c r="E413" i="11"/>
  <c r="D415" i="11" l="1"/>
  <c r="C382" i="12" s="1"/>
  <c r="E414" i="11"/>
  <c r="D416" i="11" l="1"/>
  <c r="C383" i="12" s="1"/>
  <c r="E415" i="11"/>
  <c r="D417" i="11" l="1"/>
  <c r="C384" i="12" s="1"/>
  <c r="E416" i="11"/>
  <c r="D418" i="11" l="1"/>
  <c r="C385" i="12" s="1"/>
  <c r="E417" i="11"/>
  <c r="D419" i="11" l="1"/>
  <c r="C386" i="12" s="1"/>
  <c r="E418" i="11"/>
  <c r="D420" i="11" l="1"/>
  <c r="C387" i="12" s="1"/>
  <c r="E419" i="11"/>
  <c r="D421" i="11" l="1"/>
  <c r="C388" i="12" s="1"/>
  <c r="E420" i="11"/>
  <c r="D422" i="11" l="1"/>
  <c r="C389" i="12" s="1"/>
  <c r="E421" i="11"/>
  <c r="D423" i="11" l="1"/>
  <c r="C390" i="12" s="1"/>
  <c r="E422" i="11"/>
  <c r="D424" i="11" l="1"/>
  <c r="C391" i="12" s="1"/>
  <c r="E423" i="11"/>
  <c r="D425" i="11" l="1"/>
  <c r="C392" i="12" s="1"/>
  <c r="E424" i="11"/>
  <c r="D426" i="11" l="1"/>
  <c r="C393" i="12" s="1"/>
  <c r="E425" i="11"/>
  <c r="D427" i="11" l="1"/>
  <c r="C394" i="12" s="1"/>
  <c r="E426" i="11"/>
  <c r="D428" i="11" l="1"/>
  <c r="C395" i="12" s="1"/>
  <c r="E427" i="11"/>
  <c r="D429" i="11" l="1"/>
  <c r="C396" i="12" s="1"/>
  <c r="E428" i="11"/>
  <c r="D430" i="11" l="1"/>
  <c r="C397" i="12" s="1"/>
  <c r="E429" i="11"/>
  <c r="D431" i="11" l="1"/>
  <c r="C398" i="12" s="1"/>
  <c r="E430" i="11"/>
  <c r="D432" i="11" l="1"/>
  <c r="C399" i="12" s="1"/>
  <c r="E431" i="11"/>
  <c r="D433" i="11" l="1"/>
  <c r="C400" i="12" s="1"/>
  <c r="E432" i="11"/>
  <c r="D434" i="11" l="1"/>
  <c r="C401" i="12" s="1"/>
  <c r="E433" i="11"/>
  <c r="D435" i="11" l="1"/>
  <c r="C402" i="12" s="1"/>
  <c r="E434" i="11"/>
  <c r="D436" i="11" l="1"/>
  <c r="C403" i="12" s="1"/>
  <c r="E435" i="11"/>
  <c r="D437" i="11" l="1"/>
  <c r="C404" i="12" s="1"/>
  <c r="E436" i="11"/>
  <c r="D438" i="11" l="1"/>
  <c r="C405" i="12" s="1"/>
  <c r="E437" i="11"/>
  <c r="D439" i="11" l="1"/>
  <c r="C406" i="12" s="1"/>
  <c r="E438" i="11"/>
  <c r="D440" i="11" l="1"/>
  <c r="C407" i="12" s="1"/>
  <c r="E439" i="11"/>
  <c r="D441" i="11" l="1"/>
  <c r="C408" i="12" s="1"/>
  <c r="E440" i="11"/>
  <c r="D442" i="11" l="1"/>
  <c r="C409" i="12" s="1"/>
  <c r="E441" i="11"/>
  <c r="D443" i="11" l="1"/>
  <c r="C410" i="12" s="1"/>
  <c r="E442" i="11"/>
  <c r="D444" i="11" l="1"/>
  <c r="C411" i="12" s="1"/>
  <c r="E443" i="11"/>
  <c r="D445" i="11" l="1"/>
  <c r="C412" i="12" s="1"/>
  <c r="E444" i="11"/>
  <c r="D446" i="11" l="1"/>
  <c r="C413" i="12" s="1"/>
  <c r="E445" i="11"/>
  <c r="D447" i="11" l="1"/>
  <c r="C414" i="12" s="1"/>
  <c r="E446" i="11"/>
  <c r="D448" i="11" l="1"/>
  <c r="C415" i="12" s="1"/>
  <c r="E447" i="11"/>
  <c r="D449" i="11" l="1"/>
  <c r="C416" i="12" s="1"/>
  <c r="E448" i="11"/>
  <c r="D450" i="11" l="1"/>
  <c r="C417" i="12" s="1"/>
  <c r="E449" i="11"/>
  <c r="D451" i="11" l="1"/>
  <c r="E450" i="11"/>
  <c r="C418" i="12" l="1"/>
  <c r="D452" i="11"/>
  <c r="C419" i="12" s="1"/>
  <c r="E451" i="11"/>
  <c r="D453" i="11" l="1"/>
  <c r="E452" i="11"/>
  <c r="C420" i="12" l="1"/>
  <c r="D454" i="11"/>
  <c r="E453" i="11"/>
  <c r="C421" i="12" l="1"/>
  <c r="D455" i="11"/>
  <c r="E454" i="11"/>
  <c r="C422" i="12" l="1"/>
  <c r="D456" i="11"/>
  <c r="E455" i="11"/>
  <c r="C423" i="12" l="1"/>
  <c r="D457" i="11"/>
  <c r="C424" i="12" s="1"/>
  <c r="E456" i="11"/>
  <c r="D458" i="11" l="1"/>
  <c r="C425" i="12" s="1"/>
  <c r="E457" i="11"/>
  <c r="D459" i="11" l="1"/>
  <c r="C426" i="12" s="1"/>
  <c r="E458" i="11"/>
  <c r="D460" i="11" l="1"/>
  <c r="C427" i="12" s="1"/>
  <c r="E459" i="11"/>
  <c r="D461" i="11" l="1"/>
  <c r="C428" i="12" s="1"/>
  <c r="E460" i="11"/>
  <c r="D462" i="11" l="1"/>
  <c r="C429" i="12" s="1"/>
  <c r="E461" i="11"/>
  <c r="D463" i="11" l="1"/>
  <c r="C430" i="12" s="1"/>
  <c r="E462" i="11"/>
  <c r="D464" i="11" l="1"/>
  <c r="C431" i="12" s="1"/>
  <c r="E463" i="11"/>
  <c r="D465" i="11" l="1"/>
  <c r="C432" i="12" s="1"/>
  <c r="E464" i="11"/>
  <c r="D466" i="11" l="1"/>
  <c r="C433" i="12" s="1"/>
  <c r="E465" i="11"/>
  <c r="D467" i="11" l="1"/>
  <c r="C434" i="12" s="1"/>
  <c r="E466" i="11"/>
  <c r="D468" i="11" l="1"/>
  <c r="C435" i="12" s="1"/>
  <c r="E467" i="11"/>
  <c r="D469" i="11" l="1"/>
  <c r="C436" i="12" s="1"/>
  <c r="E468" i="11"/>
  <c r="D470" i="11" l="1"/>
  <c r="C437" i="12" s="1"/>
  <c r="E469" i="11"/>
  <c r="D471" i="11" l="1"/>
  <c r="C438" i="12" s="1"/>
  <c r="E470" i="11"/>
  <c r="D472" i="11" l="1"/>
  <c r="C439" i="12" s="1"/>
  <c r="E471" i="11"/>
  <c r="D473" i="11" l="1"/>
  <c r="C440" i="12" s="1"/>
  <c r="E472" i="11"/>
  <c r="D474" i="11" l="1"/>
  <c r="C441" i="12" s="1"/>
  <c r="E473" i="11"/>
  <c r="D475" i="11" l="1"/>
  <c r="C442" i="12" s="1"/>
  <c r="E474" i="11"/>
  <c r="D476" i="11" l="1"/>
  <c r="C443" i="12" s="1"/>
  <c r="E475" i="11"/>
  <c r="D477" i="11" l="1"/>
  <c r="C444" i="12" s="1"/>
  <c r="E476" i="11"/>
  <c r="D478" i="11" l="1"/>
  <c r="C445" i="12" s="1"/>
  <c r="E477" i="11"/>
  <c r="D479" i="11" l="1"/>
  <c r="C446" i="12" s="1"/>
  <c r="E478" i="11"/>
  <c r="D480" i="11" l="1"/>
  <c r="C447" i="12" s="1"/>
  <c r="E479" i="11"/>
  <c r="D481" i="11" l="1"/>
  <c r="C448" i="12" s="1"/>
  <c r="E480" i="11"/>
  <c r="D482" i="11" l="1"/>
  <c r="C449" i="12" s="1"/>
  <c r="E481" i="11"/>
  <c r="D483" i="11" l="1"/>
  <c r="C450" i="12" s="1"/>
  <c r="E482" i="11"/>
  <c r="D484" i="11" l="1"/>
  <c r="C451" i="12" s="1"/>
  <c r="E483" i="11"/>
  <c r="D485" i="11" l="1"/>
  <c r="C452" i="12" s="1"/>
  <c r="E484" i="11"/>
  <c r="D486" i="11" l="1"/>
  <c r="C453" i="12" s="1"/>
  <c r="E485" i="11"/>
  <c r="D487" i="11" l="1"/>
  <c r="C454" i="12" s="1"/>
  <c r="E486" i="11"/>
  <c r="D488" i="11" l="1"/>
  <c r="C455" i="12" s="1"/>
  <c r="E487" i="11"/>
  <c r="D489" i="11" l="1"/>
  <c r="C456" i="12" s="1"/>
  <c r="E488" i="11"/>
  <c r="D490" i="11" l="1"/>
  <c r="C457" i="12" s="1"/>
  <c r="E489" i="11"/>
  <c r="D491" i="11" l="1"/>
  <c r="C458" i="12" s="1"/>
  <c r="E490" i="11"/>
  <c r="D492" i="11" l="1"/>
  <c r="C459" i="12" s="1"/>
  <c r="E491" i="11"/>
  <c r="D493" i="11" l="1"/>
  <c r="C460" i="12" s="1"/>
  <c r="E492" i="11"/>
  <c r="D494" i="11" l="1"/>
  <c r="C461" i="12" s="1"/>
  <c r="E493" i="11"/>
  <c r="D495" i="11" l="1"/>
  <c r="C462" i="12" s="1"/>
  <c r="E494" i="11"/>
  <c r="D496" i="11" l="1"/>
  <c r="C463" i="12" s="1"/>
  <c r="E495" i="11"/>
  <c r="D497" i="11" l="1"/>
  <c r="C464" i="12" s="1"/>
  <c r="E496" i="11"/>
  <c r="D498" i="11" l="1"/>
  <c r="C465" i="12" s="1"/>
  <c r="E497" i="11"/>
  <c r="D499" i="11" l="1"/>
  <c r="C466" i="12" s="1"/>
  <c r="E498" i="11"/>
  <c r="D500" i="11" l="1"/>
  <c r="C467" i="12" s="1"/>
  <c r="E499" i="11"/>
  <c r="D501" i="11" l="1"/>
  <c r="C468" i="12" s="1"/>
  <c r="E500" i="11"/>
  <c r="D502" i="11" l="1"/>
  <c r="C469" i="12" s="1"/>
  <c r="E501" i="11"/>
  <c r="D503" i="11" l="1"/>
  <c r="C470" i="12" s="1"/>
  <c r="E502" i="11"/>
  <c r="D504" i="11" l="1"/>
  <c r="C471" i="12" s="1"/>
  <c r="E503" i="11"/>
  <c r="D505" i="11" l="1"/>
  <c r="C472" i="12" s="1"/>
  <c r="E504" i="11"/>
  <c r="D506" i="11" l="1"/>
  <c r="C473" i="12" s="1"/>
  <c r="E505" i="11"/>
  <c r="D507" i="11" l="1"/>
  <c r="C474" i="12" s="1"/>
  <c r="E506" i="11"/>
  <c r="D508" i="11" l="1"/>
  <c r="C475" i="12" s="1"/>
  <c r="E507" i="11"/>
  <c r="D509" i="11" l="1"/>
  <c r="C476" i="12" s="1"/>
  <c r="E508" i="11"/>
  <c r="D510" i="11" l="1"/>
  <c r="C477" i="12" s="1"/>
  <c r="E509" i="11"/>
  <c r="D511" i="11" l="1"/>
  <c r="C478" i="12" s="1"/>
  <c r="E510" i="11"/>
  <c r="D512" i="11" l="1"/>
  <c r="C479" i="12" s="1"/>
  <c r="E511" i="11"/>
  <c r="D513" i="11" l="1"/>
  <c r="C480" i="12" s="1"/>
  <c r="E512" i="11"/>
  <c r="D514" i="11" l="1"/>
  <c r="C481" i="12" s="1"/>
  <c r="E513" i="11"/>
  <c r="D515" i="11" l="1"/>
  <c r="C482" i="12" s="1"/>
  <c r="E514" i="11"/>
  <c r="D516" i="11" l="1"/>
  <c r="C483" i="12" s="1"/>
  <c r="E515" i="11"/>
  <c r="D517" i="11" l="1"/>
  <c r="C484" i="12" s="1"/>
  <c r="E516" i="11"/>
  <c r="D518" i="11" l="1"/>
  <c r="C485" i="12" s="1"/>
  <c r="E517" i="11"/>
  <c r="D519" i="11" l="1"/>
  <c r="C486" i="12" s="1"/>
  <c r="E518" i="11"/>
  <c r="D520" i="11" l="1"/>
  <c r="C487" i="12" s="1"/>
  <c r="E519" i="11"/>
  <c r="D521" i="11" l="1"/>
  <c r="C488" i="12" s="1"/>
  <c r="E520" i="11"/>
  <c r="D522" i="11" l="1"/>
  <c r="C489" i="12" s="1"/>
  <c r="E521" i="11"/>
  <c r="D523" i="11" l="1"/>
  <c r="C490" i="12" s="1"/>
  <c r="E522" i="11"/>
  <c r="D524" i="11" l="1"/>
  <c r="C491" i="12" s="1"/>
  <c r="E523" i="11"/>
  <c r="D525" i="11" l="1"/>
  <c r="C492" i="12" s="1"/>
  <c r="E524" i="11"/>
  <c r="D526" i="11" l="1"/>
  <c r="C493" i="12" s="1"/>
  <c r="E525" i="11"/>
  <c r="D527" i="11" l="1"/>
  <c r="C494" i="12" s="1"/>
  <c r="E526" i="11"/>
  <c r="D528" i="11" l="1"/>
  <c r="C495" i="12" s="1"/>
  <c r="E527" i="11"/>
  <c r="D529" i="11" l="1"/>
  <c r="C496" i="12" s="1"/>
  <c r="E528" i="11"/>
  <c r="D530" i="11" l="1"/>
  <c r="C497" i="12" s="1"/>
  <c r="E529" i="11"/>
  <c r="D531" i="11" l="1"/>
  <c r="C498" i="12" s="1"/>
  <c r="E530" i="11"/>
  <c r="D532" i="11" l="1"/>
  <c r="C499" i="12" s="1"/>
  <c r="E531" i="11"/>
  <c r="D533" i="11" l="1"/>
  <c r="C500" i="12" s="1"/>
  <c r="E532" i="11"/>
  <c r="D534" i="11" l="1"/>
  <c r="C501" i="12" s="1"/>
  <c r="E533" i="11"/>
  <c r="D535" i="11" l="1"/>
  <c r="C502" i="12" s="1"/>
  <c r="E534" i="11"/>
  <c r="D536" i="11" l="1"/>
  <c r="C503" i="12" s="1"/>
  <c r="E535" i="11"/>
  <c r="D537" i="11" l="1"/>
  <c r="C504" i="12" s="1"/>
  <c r="E536" i="11"/>
  <c r="D538" i="11" l="1"/>
  <c r="C505" i="12" s="1"/>
  <c r="E537" i="11"/>
  <c r="D539" i="11" l="1"/>
  <c r="C506" i="12" s="1"/>
  <c r="E538" i="11"/>
  <c r="D540" i="11" l="1"/>
  <c r="C507" i="12" s="1"/>
  <c r="E539" i="11"/>
  <c r="D541" i="11" l="1"/>
  <c r="C508" i="12" s="1"/>
  <c r="E540" i="11"/>
  <c r="D542" i="11" l="1"/>
  <c r="C509" i="12" s="1"/>
  <c r="E541" i="11"/>
  <c r="D543" i="11" l="1"/>
  <c r="C510" i="12" s="1"/>
  <c r="E542" i="11"/>
  <c r="D544" i="11" l="1"/>
  <c r="C511" i="12" s="1"/>
  <c r="E543" i="11"/>
  <c r="D545" i="11" l="1"/>
  <c r="C512" i="12" s="1"/>
  <c r="E544" i="11"/>
  <c r="D546" i="11" l="1"/>
  <c r="C513" i="12" s="1"/>
  <c r="E545" i="11"/>
  <c r="D547" i="11" l="1"/>
  <c r="C514" i="12" s="1"/>
  <c r="E546" i="11"/>
  <c r="D548" i="11" l="1"/>
  <c r="C515" i="12" s="1"/>
  <c r="E547" i="11"/>
  <c r="D549" i="11" l="1"/>
  <c r="C516" i="12" s="1"/>
  <c r="E548" i="11"/>
  <c r="D550" i="11" l="1"/>
  <c r="C517" i="12" s="1"/>
  <c r="E549" i="11"/>
  <c r="D551" i="11" l="1"/>
  <c r="C518" i="12" s="1"/>
  <c r="E550" i="11"/>
  <c r="D552" i="11" l="1"/>
  <c r="C519" i="12" s="1"/>
  <c r="E551" i="11"/>
  <c r="D553" i="11" l="1"/>
  <c r="C520" i="12" s="1"/>
  <c r="E552" i="11"/>
  <c r="D554" i="11" l="1"/>
  <c r="C521" i="12" s="1"/>
  <c r="E553" i="11"/>
  <c r="D555" i="11" l="1"/>
  <c r="C522" i="12" s="1"/>
  <c r="E554" i="11"/>
  <c r="D556" i="11" l="1"/>
  <c r="C523" i="12" s="1"/>
  <c r="E555" i="11"/>
  <c r="D557" i="11" l="1"/>
  <c r="C524" i="12" s="1"/>
  <c r="E556" i="11"/>
  <c r="D558" i="11" l="1"/>
  <c r="C525" i="12" s="1"/>
  <c r="E557" i="11"/>
  <c r="D559" i="11" l="1"/>
  <c r="C526" i="12" s="1"/>
  <c r="E558" i="11"/>
  <c r="D560" i="11" l="1"/>
  <c r="C527" i="12" s="1"/>
  <c r="E559" i="11"/>
  <c r="D561" i="11" l="1"/>
  <c r="C528" i="12" s="1"/>
  <c r="E560" i="11"/>
  <c r="D562" i="11" l="1"/>
  <c r="C529" i="12" s="1"/>
  <c r="E561" i="11"/>
  <c r="D563" i="11" l="1"/>
  <c r="C530" i="12" s="1"/>
  <c r="E562" i="11"/>
  <c r="D564" i="11" l="1"/>
  <c r="C531" i="12" s="1"/>
  <c r="E563" i="11"/>
  <c r="D565" i="11" l="1"/>
  <c r="C532" i="12" s="1"/>
  <c r="E564" i="11"/>
  <c r="D566" i="11" l="1"/>
  <c r="C533" i="12" s="1"/>
  <c r="E565" i="11"/>
  <c r="D567" i="11" l="1"/>
  <c r="C534" i="12" s="1"/>
  <c r="E566" i="11"/>
  <c r="D568" i="11" l="1"/>
  <c r="C535" i="12" s="1"/>
  <c r="E567" i="11"/>
  <c r="D569" i="11" l="1"/>
  <c r="C536" i="12" s="1"/>
  <c r="E568" i="11"/>
  <c r="D570" i="11" l="1"/>
  <c r="C537" i="12" s="1"/>
  <c r="E569" i="11"/>
  <c r="D571" i="11" l="1"/>
  <c r="C538" i="12" s="1"/>
  <c r="E570" i="11"/>
  <c r="D572" i="11" l="1"/>
  <c r="C539" i="12" s="1"/>
  <c r="E571" i="11"/>
  <c r="D573" i="11" l="1"/>
  <c r="C540" i="12" s="1"/>
  <c r="E572" i="11"/>
  <c r="D574" i="11" l="1"/>
  <c r="C541" i="12" s="1"/>
  <c r="E573" i="11"/>
  <c r="D575" i="11" l="1"/>
  <c r="C542" i="12" s="1"/>
  <c r="E574" i="11"/>
  <c r="D576" i="11" l="1"/>
  <c r="C543" i="12" s="1"/>
  <c r="E575" i="11"/>
  <c r="D577" i="11" l="1"/>
  <c r="C544" i="12" s="1"/>
  <c r="E576" i="11"/>
  <c r="D578" i="11" l="1"/>
  <c r="C545" i="12" s="1"/>
  <c r="E577" i="11"/>
  <c r="D579" i="11" l="1"/>
  <c r="C546" i="12" s="1"/>
  <c r="E578" i="11"/>
  <c r="D580" i="11" l="1"/>
  <c r="C547" i="12" s="1"/>
  <c r="E579" i="11"/>
  <c r="D581" i="11" l="1"/>
  <c r="C548" i="12" s="1"/>
  <c r="E580" i="11"/>
  <c r="D582" i="11" l="1"/>
  <c r="E581" i="11"/>
  <c r="D583" i="11" l="1"/>
  <c r="E582" i="11"/>
  <c r="D584" i="11" l="1"/>
  <c r="E583" i="11"/>
  <c r="D585" i="11" l="1"/>
  <c r="E584" i="11"/>
  <c r="D586" i="11" l="1"/>
  <c r="E585" i="11"/>
  <c r="D587" i="11" l="1"/>
  <c r="E586" i="11"/>
  <c r="D588" i="11" l="1"/>
  <c r="E587" i="11"/>
  <c r="D589" i="11" l="1"/>
  <c r="E588" i="11"/>
  <c r="D590" i="11" l="1"/>
  <c r="E589" i="11"/>
  <c r="D591" i="11" l="1"/>
  <c r="E590" i="11"/>
  <c r="D592" i="11" l="1"/>
  <c r="E591" i="11"/>
  <c r="D593" i="11" l="1"/>
  <c r="E592" i="11"/>
  <c r="D594" i="11" l="1"/>
  <c r="E593" i="11"/>
  <c r="D595" i="11" l="1"/>
  <c r="E594" i="11"/>
  <c r="D596" i="11" l="1"/>
  <c r="E595" i="11"/>
  <c r="D597" i="11" l="1"/>
  <c r="E596" i="11"/>
  <c r="D598" i="11" l="1"/>
  <c r="E597" i="11"/>
  <c r="D599" i="11" l="1"/>
  <c r="E598" i="11"/>
  <c r="D600" i="11" l="1"/>
  <c r="E599" i="11"/>
  <c r="D601" i="11" l="1"/>
  <c r="E600" i="11"/>
  <c r="D602" i="11" l="1"/>
  <c r="E601" i="11"/>
  <c r="D603" i="11" l="1"/>
  <c r="E602" i="11"/>
  <c r="D604" i="11" l="1"/>
  <c r="E603" i="11"/>
  <c r="D605" i="11" l="1"/>
  <c r="E604" i="11"/>
  <c r="D606" i="11" l="1"/>
  <c r="E605" i="11"/>
  <c r="D607" i="11" l="1"/>
  <c r="E606" i="11"/>
  <c r="D608" i="11" l="1"/>
  <c r="E607" i="11"/>
  <c r="D609" i="11" l="1"/>
  <c r="E608" i="11"/>
  <c r="D610" i="11" l="1"/>
  <c r="E609" i="11"/>
  <c r="D611" i="11" l="1"/>
  <c r="E610" i="11"/>
  <c r="D612" i="11" l="1"/>
  <c r="E611" i="11"/>
  <c r="D613" i="11" l="1"/>
  <c r="E612" i="11"/>
  <c r="D614" i="11" l="1"/>
  <c r="E613" i="11"/>
  <c r="D615" i="11" l="1"/>
  <c r="E614" i="11"/>
  <c r="D616" i="11" l="1"/>
  <c r="E615" i="11"/>
  <c r="D617" i="11" l="1"/>
  <c r="E616" i="11"/>
  <c r="D618" i="11" l="1"/>
  <c r="E617" i="11"/>
  <c r="D619" i="11" l="1"/>
  <c r="E618" i="11"/>
  <c r="D620" i="11" l="1"/>
  <c r="E619" i="11"/>
  <c r="D621" i="11" l="1"/>
  <c r="E620" i="11"/>
  <c r="D622" i="11" l="1"/>
  <c r="E621" i="11"/>
  <c r="D623" i="11" l="1"/>
  <c r="E622" i="11"/>
  <c r="D624" i="11" l="1"/>
  <c r="E623" i="11"/>
  <c r="D625" i="11" l="1"/>
  <c r="E624" i="11"/>
  <c r="D626" i="11" l="1"/>
  <c r="E625" i="11"/>
  <c r="D627" i="11" l="1"/>
  <c r="E626" i="11"/>
  <c r="D628" i="11" l="1"/>
  <c r="E627" i="11"/>
  <c r="D629" i="11" l="1"/>
  <c r="E628" i="11"/>
  <c r="D630" i="11" l="1"/>
  <c r="E629" i="11"/>
  <c r="D631" i="11" l="1"/>
  <c r="E630" i="11"/>
  <c r="D632" i="11" l="1"/>
  <c r="E631" i="11"/>
  <c r="D633" i="11" l="1"/>
  <c r="E632" i="11"/>
  <c r="D634" i="11" l="1"/>
  <c r="E633" i="11"/>
  <c r="D635" i="11" l="1"/>
  <c r="E634" i="11"/>
  <c r="D636" i="11" l="1"/>
  <c r="E635" i="11"/>
  <c r="D637" i="11" l="1"/>
  <c r="E636" i="11"/>
  <c r="D638" i="11" l="1"/>
  <c r="E637" i="11"/>
  <c r="D639" i="11" l="1"/>
  <c r="E638" i="11"/>
  <c r="D640" i="11" l="1"/>
  <c r="E639" i="11"/>
  <c r="D641" i="11" l="1"/>
  <c r="E640" i="11"/>
  <c r="D642" i="11" l="1"/>
  <c r="E641" i="11"/>
  <c r="D643" i="11" l="1"/>
  <c r="E642" i="11"/>
  <c r="D644" i="11" l="1"/>
  <c r="E643" i="11"/>
  <c r="D645" i="11" l="1"/>
  <c r="E644" i="11"/>
  <c r="D646" i="11" l="1"/>
  <c r="E645" i="11"/>
  <c r="D647" i="11" l="1"/>
  <c r="E646" i="11"/>
  <c r="D648" i="11" l="1"/>
  <c r="E647" i="11"/>
  <c r="D649" i="11" l="1"/>
  <c r="E648" i="11"/>
  <c r="D650" i="11" l="1"/>
  <c r="E649" i="11"/>
  <c r="D651" i="11" l="1"/>
  <c r="E650" i="11"/>
  <c r="D652" i="11" l="1"/>
  <c r="E651" i="11"/>
  <c r="D653" i="11" l="1"/>
  <c r="E652" i="11"/>
  <c r="D654" i="11" l="1"/>
  <c r="E653" i="11"/>
  <c r="D655" i="11" l="1"/>
  <c r="E654" i="11"/>
  <c r="D656" i="11" l="1"/>
  <c r="E655" i="11"/>
  <c r="D657" i="11" l="1"/>
  <c r="E656" i="11"/>
  <c r="D658" i="11" l="1"/>
  <c r="E657" i="11"/>
  <c r="D659" i="11" l="1"/>
  <c r="E658" i="11"/>
  <c r="D660" i="11" l="1"/>
  <c r="E659" i="11"/>
  <c r="D661" i="11" l="1"/>
  <c r="E660" i="11"/>
  <c r="D662" i="11" l="1"/>
  <c r="E661" i="11"/>
  <c r="D663" i="11" l="1"/>
  <c r="E662" i="11"/>
  <c r="D664" i="11" l="1"/>
  <c r="E663" i="11"/>
  <c r="D665" i="11" l="1"/>
  <c r="E664" i="11"/>
  <c r="D666" i="11" l="1"/>
  <c r="E665" i="11"/>
  <c r="D667" i="11" l="1"/>
  <c r="E666" i="11"/>
  <c r="D668" i="11" l="1"/>
  <c r="E667" i="11"/>
  <c r="D669" i="11" l="1"/>
  <c r="E668" i="11"/>
  <c r="D670" i="11" l="1"/>
  <c r="E669" i="11"/>
  <c r="D671" i="11" l="1"/>
  <c r="E670" i="11"/>
  <c r="D672" i="11" l="1"/>
  <c r="E671" i="11"/>
  <c r="D673" i="11" l="1"/>
  <c r="E672" i="11"/>
  <c r="D674" i="11" l="1"/>
  <c r="E673" i="11"/>
  <c r="D675" i="11" l="1"/>
  <c r="E674" i="11"/>
  <c r="D676" i="11" l="1"/>
  <c r="E675" i="11"/>
  <c r="D677" i="11" l="1"/>
  <c r="E676" i="11"/>
  <c r="D678" i="11" l="1"/>
  <c r="E677" i="11"/>
  <c r="D679" i="11" l="1"/>
  <c r="E678" i="11"/>
  <c r="D680" i="11" l="1"/>
  <c r="E679" i="11"/>
  <c r="D681" i="11" l="1"/>
  <c r="E680" i="11"/>
  <c r="D682" i="11" l="1"/>
  <c r="E681" i="11"/>
  <c r="D683" i="11" l="1"/>
  <c r="E682" i="11"/>
  <c r="D684" i="11" l="1"/>
  <c r="E683" i="11"/>
  <c r="D685" i="11" l="1"/>
  <c r="E684" i="11"/>
  <c r="D686" i="11" l="1"/>
  <c r="E685" i="11"/>
  <c r="D687" i="11" l="1"/>
  <c r="E686" i="11"/>
  <c r="D688" i="11" l="1"/>
  <c r="E687" i="11"/>
  <c r="D689" i="11" l="1"/>
  <c r="E688" i="11"/>
  <c r="D690" i="11" l="1"/>
  <c r="E689" i="11"/>
  <c r="D691" i="11" l="1"/>
  <c r="E690" i="11"/>
  <c r="D692" i="11" l="1"/>
  <c r="E691" i="11"/>
  <c r="D693" i="11" l="1"/>
  <c r="E692" i="11"/>
  <c r="D694" i="11" l="1"/>
  <c r="E693" i="11"/>
  <c r="D695" i="11" l="1"/>
  <c r="E694" i="11"/>
  <c r="D696" i="11" l="1"/>
  <c r="E695" i="11"/>
  <c r="D697" i="11" l="1"/>
  <c r="E696" i="11"/>
  <c r="D698" i="11" l="1"/>
  <c r="E697" i="11"/>
  <c r="D699" i="11" l="1"/>
  <c r="E698" i="11"/>
  <c r="D700" i="11" l="1"/>
  <c r="E699" i="11"/>
  <c r="D701" i="11" l="1"/>
  <c r="E700" i="11"/>
  <c r="D702" i="11" l="1"/>
  <c r="E701" i="11"/>
  <c r="D703" i="11" l="1"/>
  <c r="E702" i="11"/>
  <c r="D704" i="11" l="1"/>
  <c r="E703" i="11"/>
  <c r="D705" i="11" l="1"/>
  <c r="E704" i="11"/>
  <c r="D706" i="11" l="1"/>
  <c r="E705" i="11"/>
  <c r="D707" i="11" l="1"/>
  <c r="E706" i="11"/>
  <c r="D708" i="11" l="1"/>
  <c r="E707" i="11"/>
  <c r="D709" i="11" l="1"/>
  <c r="E708" i="11"/>
  <c r="D710" i="11" l="1"/>
  <c r="E709" i="11"/>
  <c r="D711" i="11" l="1"/>
  <c r="E710" i="11"/>
  <c r="D712" i="11" l="1"/>
  <c r="E711" i="11"/>
  <c r="D713" i="11" l="1"/>
  <c r="E712" i="11"/>
  <c r="D714" i="11" l="1"/>
  <c r="E713" i="11"/>
  <c r="D715" i="11" l="1"/>
  <c r="E714" i="11"/>
  <c r="D716" i="11" l="1"/>
  <c r="E715" i="11"/>
  <c r="D717" i="11" l="1"/>
  <c r="E716" i="11"/>
  <c r="D718" i="11" l="1"/>
  <c r="E717" i="11"/>
  <c r="D719" i="11" l="1"/>
  <c r="E718" i="11"/>
  <c r="D720" i="11" l="1"/>
  <c r="E719" i="11"/>
  <c r="D721" i="11" l="1"/>
  <c r="E720" i="11"/>
  <c r="D722" i="11" l="1"/>
  <c r="E721" i="11"/>
  <c r="D723" i="11" l="1"/>
  <c r="E722" i="11"/>
  <c r="D724" i="11" l="1"/>
  <c r="E723" i="11"/>
  <c r="D725" i="11" l="1"/>
  <c r="E724" i="11"/>
  <c r="D726" i="11" l="1"/>
  <c r="E725" i="11"/>
  <c r="D727" i="11" l="1"/>
  <c r="E726" i="11"/>
  <c r="D728" i="11" l="1"/>
  <c r="E727" i="11"/>
  <c r="D729" i="11" l="1"/>
  <c r="E728" i="11"/>
  <c r="D730" i="11" l="1"/>
  <c r="E729" i="11"/>
  <c r="D731" i="11" l="1"/>
  <c r="E730" i="11"/>
  <c r="D732" i="11" l="1"/>
  <c r="E731" i="11"/>
  <c r="D733" i="11" l="1"/>
  <c r="E732" i="11"/>
  <c r="D734" i="11" l="1"/>
  <c r="E733" i="11"/>
  <c r="D735" i="11" l="1"/>
  <c r="E734" i="11"/>
  <c r="D736" i="11" l="1"/>
  <c r="E735" i="11"/>
  <c r="D737" i="11" l="1"/>
  <c r="E736" i="11"/>
  <c r="D738" i="11" l="1"/>
  <c r="E737" i="11"/>
  <c r="D739" i="11" l="1"/>
  <c r="E738" i="11"/>
  <c r="D740" i="11" l="1"/>
  <c r="E739" i="11"/>
  <c r="D741" i="11" l="1"/>
  <c r="E740" i="11"/>
  <c r="D742" i="11" l="1"/>
  <c r="E741" i="11"/>
  <c r="D743" i="11" l="1"/>
  <c r="E742" i="11"/>
  <c r="D744" i="11" l="1"/>
  <c r="E743" i="11"/>
  <c r="D745" i="11" l="1"/>
  <c r="E744" i="11"/>
  <c r="D746" i="11" l="1"/>
  <c r="E745" i="11"/>
  <c r="D747" i="11" l="1"/>
  <c r="E746" i="11"/>
  <c r="D748" i="11" l="1"/>
  <c r="E747" i="11"/>
  <c r="D749" i="11" l="1"/>
  <c r="E748" i="11"/>
  <c r="D750" i="11" l="1"/>
  <c r="E749" i="11"/>
  <c r="D751" i="11" l="1"/>
  <c r="E750" i="11"/>
  <c r="D752" i="11" l="1"/>
  <c r="E751" i="11"/>
  <c r="D753" i="11" l="1"/>
  <c r="E752" i="11"/>
  <c r="D754" i="11" l="1"/>
  <c r="E753" i="11"/>
  <c r="D755" i="11" l="1"/>
  <c r="E754" i="11"/>
  <c r="D756" i="11" l="1"/>
  <c r="E755" i="11"/>
  <c r="D757" i="11" l="1"/>
  <c r="E756" i="11"/>
  <c r="D758" i="11" l="1"/>
  <c r="E757" i="11"/>
  <c r="D759" i="11" l="1"/>
  <c r="E758" i="11"/>
  <c r="D760" i="11" l="1"/>
  <c r="E759" i="11"/>
  <c r="D761" i="11" l="1"/>
  <c r="E760" i="11"/>
  <c r="D762" i="11" l="1"/>
  <c r="E761" i="11"/>
  <c r="D763" i="11" l="1"/>
  <c r="E762" i="11"/>
  <c r="D764" i="11" l="1"/>
  <c r="E763" i="11"/>
  <c r="D765" i="11" l="1"/>
  <c r="E764" i="11"/>
  <c r="D766" i="11" l="1"/>
  <c r="E765" i="11"/>
  <c r="D767" i="11" l="1"/>
  <c r="E766" i="11"/>
  <c r="D768" i="11" l="1"/>
  <c r="E767" i="11"/>
  <c r="D769" i="11" l="1"/>
  <c r="E768" i="11"/>
  <c r="D770" i="11" l="1"/>
  <c r="E769" i="11"/>
  <c r="D771" i="11" l="1"/>
  <c r="E770" i="11"/>
  <c r="D772" i="11" l="1"/>
  <c r="E771" i="11"/>
  <c r="D773" i="11" l="1"/>
  <c r="E772" i="11"/>
  <c r="D774" i="11" l="1"/>
  <c r="E773" i="11"/>
  <c r="D775" i="11" l="1"/>
  <c r="E774" i="11"/>
  <c r="D776" i="11" l="1"/>
  <c r="E775" i="11"/>
  <c r="D777" i="11" l="1"/>
  <c r="E776" i="11"/>
  <c r="D778" i="11" l="1"/>
  <c r="E777" i="11"/>
  <c r="D779" i="11" l="1"/>
  <c r="E778" i="11"/>
  <c r="D780" i="11" l="1"/>
  <c r="E779" i="11"/>
  <c r="D781" i="11" l="1"/>
  <c r="E780" i="11"/>
  <c r="D782" i="11" l="1"/>
  <c r="E781" i="11"/>
  <c r="D783" i="11" l="1"/>
  <c r="E782" i="11"/>
  <c r="D784" i="11" l="1"/>
  <c r="E783" i="11"/>
  <c r="D785" i="11" l="1"/>
  <c r="E784" i="11"/>
  <c r="D786" i="11" l="1"/>
  <c r="E785" i="11"/>
  <c r="D787" i="11" l="1"/>
  <c r="E786" i="11"/>
  <c r="D788" i="11" l="1"/>
  <c r="E787" i="11"/>
  <c r="D789" i="11" l="1"/>
  <c r="E788" i="11"/>
  <c r="D790" i="11" l="1"/>
  <c r="E789" i="11"/>
  <c r="D791" i="11" l="1"/>
  <c r="E790" i="11"/>
  <c r="D792" i="11" l="1"/>
  <c r="E791" i="11"/>
  <c r="D793" i="11" l="1"/>
  <c r="E792" i="11"/>
  <c r="D794" i="11" l="1"/>
  <c r="E793" i="11"/>
  <c r="D795" i="11" l="1"/>
  <c r="E794" i="11"/>
  <c r="D796" i="11" l="1"/>
  <c r="E795" i="11"/>
  <c r="D797" i="11" l="1"/>
  <c r="E796" i="11"/>
  <c r="D798" i="11" l="1"/>
  <c r="E797" i="11"/>
  <c r="D799" i="11" l="1"/>
  <c r="E798" i="11"/>
  <c r="D800" i="11" l="1"/>
  <c r="E799" i="11"/>
  <c r="D801" i="11" l="1"/>
  <c r="E800" i="11"/>
  <c r="D802" i="11" l="1"/>
  <c r="E801" i="11"/>
  <c r="D803" i="11" l="1"/>
  <c r="E802" i="11"/>
  <c r="D804" i="11" l="1"/>
  <c r="E803" i="11"/>
  <c r="D805" i="11" l="1"/>
  <c r="E804" i="11"/>
  <c r="D806" i="11" l="1"/>
  <c r="E805" i="11"/>
  <c r="D807" i="11" l="1"/>
  <c r="E806" i="11"/>
  <c r="D808" i="11" l="1"/>
  <c r="E807" i="11"/>
  <c r="D809" i="11" l="1"/>
  <c r="E808" i="11"/>
  <c r="D810" i="11" l="1"/>
  <c r="E809" i="11"/>
  <c r="D811" i="11" l="1"/>
  <c r="E810" i="11"/>
  <c r="D812" i="11" l="1"/>
  <c r="E811" i="11"/>
  <c r="D813" i="11" l="1"/>
  <c r="E812" i="11"/>
  <c r="D814" i="11" l="1"/>
  <c r="E813" i="11"/>
  <c r="D815" i="11" l="1"/>
  <c r="E814" i="11"/>
  <c r="D816" i="11" l="1"/>
  <c r="E815" i="11"/>
  <c r="D817" i="11" l="1"/>
  <c r="E816" i="11"/>
  <c r="D818" i="11" l="1"/>
  <c r="E817" i="11"/>
  <c r="D819" i="11" l="1"/>
  <c r="E818" i="11"/>
  <c r="D820" i="11" l="1"/>
  <c r="E819" i="11"/>
  <c r="D821" i="11" l="1"/>
  <c r="E820" i="11"/>
  <c r="D822" i="11" l="1"/>
  <c r="E821" i="11"/>
  <c r="D823" i="11" l="1"/>
  <c r="E822" i="11"/>
  <c r="D824" i="11" l="1"/>
  <c r="E823" i="11"/>
  <c r="D825" i="11" l="1"/>
  <c r="E824" i="11"/>
  <c r="D826" i="11" l="1"/>
  <c r="E825" i="11"/>
  <c r="D827" i="11" l="1"/>
  <c r="E826" i="11"/>
  <c r="D828" i="11" l="1"/>
  <c r="E827" i="11"/>
  <c r="D829" i="11" l="1"/>
  <c r="E828" i="11"/>
  <c r="D830" i="11" l="1"/>
  <c r="E829" i="11"/>
  <c r="D831" i="11" l="1"/>
  <c r="E830" i="11"/>
  <c r="D832" i="11" l="1"/>
  <c r="E831" i="11"/>
  <c r="D833" i="11" l="1"/>
  <c r="E832" i="11"/>
  <c r="D834" i="11" l="1"/>
  <c r="E833" i="11"/>
  <c r="D835" i="11" l="1"/>
  <c r="E834" i="11"/>
  <c r="D836" i="11" l="1"/>
  <c r="E835" i="11"/>
  <c r="D837" i="11" l="1"/>
  <c r="E836" i="11"/>
  <c r="D838" i="11" l="1"/>
  <c r="E837" i="11"/>
  <c r="D839" i="11" l="1"/>
  <c r="E838" i="11"/>
  <c r="D840" i="11" l="1"/>
  <c r="E839" i="11"/>
  <c r="D841" i="11" l="1"/>
  <c r="E840" i="11"/>
  <c r="D842" i="11" l="1"/>
  <c r="E841" i="11"/>
  <c r="D843" i="11" l="1"/>
  <c r="E842" i="11"/>
  <c r="D844" i="11" l="1"/>
  <c r="E843" i="11"/>
  <c r="D845" i="11" l="1"/>
  <c r="E844" i="11"/>
  <c r="D846" i="11" l="1"/>
  <c r="E845" i="11"/>
  <c r="D847" i="11" l="1"/>
  <c r="E846" i="11"/>
  <c r="D848" i="11" l="1"/>
  <c r="E847" i="11"/>
  <c r="D849" i="11" l="1"/>
  <c r="E848" i="11"/>
  <c r="D850" i="11" l="1"/>
  <c r="E849" i="11"/>
  <c r="D851" i="11" l="1"/>
  <c r="E850" i="11"/>
  <c r="D852" i="11" l="1"/>
  <c r="E851" i="11"/>
  <c r="D853" i="11" l="1"/>
  <c r="E852" i="11"/>
  <c r="D854" i="11" l="1"/>
  <c r="E853" i="11"/>
  <c r="D855" i="11" l="1"/>
  <c r="E854" i="11"/>
  <c r="D856" i="11" l="1"/>
  <c r="E855" i="11"/>
  <c r="D857" i="11" l="1"/>
  <c r="E856" i="11"/>
  <c r="D858" i="11" l="1"/>
  <c r="E857" i="11"/>
  <c r="D859" i="11" l="1"/>
  <c r="E858" i="11"/>
  <c r="D860" i="11" l="1"/>
  <c r="E859" i="11"/>
  <c r="D861" i="11" l="1"/>
  <c r="E860" i="11"/>
  <c r="E861" i="11" l="1"/>
  <c r="C43" i="11" l="1"/>
  <c r="B43" i="11" l="1"/>
  <c r="A43" i="11" s="1"/>
  <c r="B10" i="12"/>
  <c r="W43" i="11"/>
  <c r="C44" i="11"/>
  <c r="EH43" i="11" l="1"/>
  <c r="EC43" i="11"/>
  <c r="DZ43" i="11"/>
  <c r="EI43" i="11"/>
  <c r="EA43" i="11"/>
  <c r="A10" i="12"/>
  <c r="B44" i="11"/>
  <c r="A44" i="11" s="1"/>
  <c r="B11" i="12"/>
  <c r="D5" i="11"/>
  <c r="E5" i="11"/>
  <c r="AB43" i="11"/>
  <c r="CE43" i="11"/>
  <c r="CG43" i="11" s="1"/>
  <c r="DV43" i="11"/>
  <c r="DU43" i="11"/>
  <c r="DH43" i="11"/>
  <c r="DI43" i="11"/>
  <c r="CU43" i="11"/>
  <c r="CV43" i="11"/>
  <c r="CR43" i="11"/>
  <c r="CT43" i="11" s="1"/>
  <c r="CH43" i="11"/>
  <c r="CI43" i="11"/>
  <c r="BU43" i="11"/>
  <c r="BV43" i="11"/>
  <c r="BH43" i="11"/>
  <c r="BI43" i="11"/>
  <c r="AU43" i="11"/>
  <c r="AV43" i="11"/>
  <c r="AH43" i="11"/>
  <c r="AI43" i="11"/>
  <c r="BB43" i="11"/>
  <c r="BD43" i="11" s="1"/>
  <c r="CB43" i="11"/>
  <c r="BM43" i="11"/>
  <c r="DC43" i="11"/>
  <c r="CP43" i="11"/>
  <c r="BN43" i="11"/>
  <c r="CM43" i="11"/>
  <c r="CA43" i="11"/>
  <c r="AP43" i="11"/>
  <c r="AZ43" i="11"/>
  <c r="DP43" i="11"/>
  <c r="BP43" i="11"/>
  <c r="DA43" i="11"/>
  <c r="AA43" i="11"/>
  <c r="BC43" i="11"/>
  <c r="Y43" i="11"/>
  <c r="BZ43" i="11"/>
  <c r="AM43" i="11"/>
  <c r="X43" i="11"/>
  <c r="DN43" i="11"/>
  <c r="CN43" i="11"/>
  <c r="AN43" i="11"/>
  <c r="CO43" i="11"/>
  <c r="CZ43" i="11"/>
  <c r="BA43" i="11"/>
  <c r="DM43" i="11"/>
  <c r="DB43" i="11"/>
  <c r="DD43" i="11" s="1"/>
  <c r="AO43" i="11"/>
  <c r="CC43" i="11"/>
  <c r="BO43" i="11"/>
  <c r="W44" i="11"/>
  <c r="C45" i="11"/>
  <c r="L43" i="11" l="1"/>
  <c r="M43" i="11"/>
  <c r="EA44" i="11"/>
  <c r="DZ44" i="11"/>
  <c r="EI44" i="11"/>
  <c r="EH44" i="11"/>
  <c r="EC44" i="11"/>
  <c r="V10" i="12"/>
  <c r="A11" i="12"/>
  <c r="B12" i="12"/>
  <c r="D6" i="11"/>
  <c r="E6" i="11"/>
  <c r="AB44" i="11"/>
  <c r="BQ43" i="11"/>
  <c r="BR43" i="11" s="1"/>
  <c r="BT43" i="11" s="1"/>
  <c r="CX43" i="11"/>
  <c r="CQ43" i="11"/>
  <c r="CF43" i="11"/>
  <c r="CD43" i="11"/>
  <c r="AQ43" i="11"/>
  <c r="AR43" i="11" s="1"/>
  <c r="AT43" i="11" s="1"/>
  <c r="BE43" i="11"/>
  <c r="BG43" i="11" s="1"/>
  <c r="DE43" i="11"/>
  <c r="DG43" i="11" s="1"/>
  <c r="CE44" i="11"/>
  <c r="CG44" i="11" s="1"/>
  <c r="DV44" i="11"/>
  <c r="DU44" i="11"/>
  <c r="DH44" i="11"/>
  <c r="DI44" i="11"/>
  <c r="CR44" i="11"/>
  <c r="CT44" i="11" s="1"/>
  <c r="CU44" i="11"/>
  <c r="CV44" i="11"/>
  <c r="CI44" i="11"/>
  <c r="CH44" i="11"/>
  <c r="BU44" i="11"/>
  <c r="BV44" i="11"/>
  <c r="BH44" i="11"/>
  <c r="BI44" i="11"/>
  <c r="AU44" i="11"/>
  <c r="AV44" i="11"/>
  <c r="AH44" i="11"/>
  <c r="AI44" i="11"/>
  <c r="C46" i="11"/>
  <c r="B45" i="11"/>
  <c r="A45" i="11" s="1"/>
  <c r="AN44" i="11"/>
  <c r="BZ44" i="11"/>
  <c r="X44" i="11"/>
  <c r="DB44" i="11"/>
  <c r="DD44" i="11" s="1"/>
  <c r="AO44" i="11"/>
  <c r="CN44" i="11"/>
  <c r="DN44" i="11"/>
  <c r="CC44" i="11"/>
  <c r="BN44" i="11"/>
  <c r="AA44" i="11"/>
  <c r="BM44" i="11"/>
  <c r="DM44" i="11"/>
  <c r="AZ44" i="11"/>
  <c r="BB44" i="11"/>
  <c r="BD44" i="11" s="1"/>
  <c r="CM44" i="11"/>
  <c r="CZ44" i="11"/>
  <c r="AM44" i="11"/>
  <c r="BC44" i="11"/>
  <c r="DP44" i="11"/>
  <c r="BO44" i="11"/>
  <c r="BQ44" i="11" s="1"/>
  <c r="DC44" i="11"/>
  <c r="DA44" i="11"/>
  <c r="Y44" i="11"/>
  <c r="AP44" i="11"/>
  <c r="CA44" i="11"/>
  <c r="BP44" i="11"/>
  <c r="CP44" i="11"/>
  <c r="CO44" i="11"/>
  <c r="BA44" i="11"/>
  <c r="CB44" i="11"/>
  <c r="W45" i="11"/>
  <c r="L44" i="11" l="1"/>
  <c r="M44" i="11"/>
  <c r="EC45" i="11"/>
  <c r="EH45" i="11"/>
  <c r="EI45" i="11"/>
  <c r="DZ45" i="11"/>
  <c r="EA45" i="11"/>
  <c r="V11" i="12"/>
  <c r="A12" i="12"/>
  <c r="DF43" i="11"/>
  <c r="DK43" i="11"/>
  <c r="BF43" i="11"/>
  <c r="BJ43" i="11"/>
  <c r="AX43" i="11"/>
  <c r="CJ43" i="11"/>
  <c r="B46" i="11"/>
  <c r="A46" i="11" s="1"/>
  <c r="B13" i="12"/>
  <c r="BX43" i="11"/>
  <c r="BS43" i="11"/>
  <c r="BW43" i="11"/>
  <c r="AB45" i="11"/>
  <c r="CF44" i="11"/>
  <c r="CD44" i="11"/>
  <c r="CS44" i="11"/>
  <c r="CQ44" i="11"/>
  <c r="CK43" i="11"/>
  <c r="CW43" i="11"/>
  <c r="CY43" i="11" s="1"/>
  <c r="CS43" i="11"/>
  <c r="AQ44" i="11"/>
  <c r="AR44" i="11" s="1"/>
  <c r="AT44" i="11" s="1"/>
  <c r="DE44" i="11"/>
  <c r="DG44" i="11" s="1"/>
  <c r="BE44" i="11"/>
  <c r="BG44" i="11" s="1"/>
  <c r="BR44" i="11"/>
  <c r="BT44" i="11" s="1"/>
  <c r="CE45" i="11"/>
  <c r="CG45" i="11" s="1"/>
  <c r="DV45" i="11"/>
  <c r="DU45" i="11"/>
  <c r="DI45" i="11"/>
  <c r="DH45" i="11"/>
  <c r="CU45" i="11"/>
  <c r="CV45" i="11"/>
  <c r="CR45" i="11"/>
  <c r="CT45" i="11" s="1"/>
  <c r="CH45" i="11"/>
  <c r="CI45" i="11"/>
  <c r="BU45" i="11"/>
  <c r="BV45" i="11"/>
  <c r="BH45" i="11"/>
  <c r="BI45" i="11"/>
  <c r="AV45" i="11"/>
  <c r="AU45" i="11"/>
  <c r="AI45" i="11"/>
  <c r="AH45" i="11"/>
  <c r="D7" i="11"/>
  <c r="E7" i="11"/>
  <c r="W46" i="11"/>
  <c r="C47" i="11"/>
  <c r="BC45" i="11"/>
  <c r="BZ45" i="11"/>
  <c r="DM45" i="11"/>
  <c r="CZ45" i="11"/>
  <c r="DP45" i="11"/>
  <c r="AA45" i="11"/>
  <c r="X45" i="11"/>
  <c r="AM45" i="11"/>
  <c r="BA45" i="11"/>
  <c r="Y45" i="11"/>
  <c r="CP45" i="11"/>
  <c r="CN45" i="11"/>
  <c r="BM45" i="11"/>
  <c r="DN45" i="11"/>
  <c r="CA45" i="11"/>
  <c r="AP45" i="11"/>
  <c r="CC45" i="11"/>
  <c r="BB45" i="11"/>
  <c r="BD45" i="11" s="1"/>
  <c r="AN45" i="11"/>
  <c r="DA45" i="11"/>
  <c r="DC45" i="11"/>
  <c r="BN45" i="11"/>
  <c r="CB45" i="11"/>
  <c r="BP45" i="11"/>
  <c r="CO45" i="11"/>
  <c r="CM45" i="11"/>
  <c r="BO45" i="11"/>
  <c r="BQ45" i="11" s="1"/>
  <c r="AO45" i="11"/>
  <c r="AZ45" i="11"/>
  <c r="DB45" i="11"/>
  <c r="DD45" i="11" s="1"/>
  <c r="EC46" i="11" l="1"/>
  <c r="M45" i="11"/>
  <c r="L45" i="11"/>
  <c r="EA46" i="11"/>
  <c r="DZ46" i="11"/>
  <c r="EI46" i="11"/>
  <c r="EH46" i="11"/>
  <c r="V12" i="12"/>
  <c r="M12" i="12"/>
  <c r="A13" i="12"/>
  <c r="V13" i="12" s="1"/>
  <c r="BY43" i="11"/>
  <c r="DJ43" i="11"/>
  <c r="DL43" i="11" s="1"/>
  <c r="BK43" i="11"/>
  <c r="BL43" i="11" s="1"/>
  <c r="AS43" i="11"/>
  <c r="AW43" i="11"/>
  <c r="AY43" i="11" s="1"/>
  <c r="BF44" i="11"/>
  <c r="BJ44" i="11"/>
  <c r="AS44" i="11"/>
  <c r="DF44" i="11"/>
  <c r="DJ44" i="11"/>
  <c r="BS44" i="11"/>
  <c r="BW44" i="11"/>
  <c r="E8" i="11"/>
  <c r="D8" i="11"/>
  <c r="B47" i="11"/>
  <c r="A47" i="11" s="1"/>
  <c r="B14" i="12"/>
  <c r="CL43" i="11"/>
  <c r="CW44" i="11"/>
  <c r="C48" i="11"/>
  <c r="CJ44" i="11"/>
  <c r="AB46" i="11"/>
  <c r="CK44" i="11"/>
  <c r="CF45" i="11"/>
  <c r="CD45" i="11"/>
  <c r="CX45" i="11"/>
  <c r="CQ45" i="11"/>
  <c r="CX44" i="11"/>
  <c r="AQ45" i="11"/>
  <c r="AR45" i="11" s="1"/>
  <c r="AT45" i="11" s="1"/>
  <c r="BR45" i="11"/>
  <c r="BT45" i="11" s="1"/>
  <c r="CE46" i="11"/>
  <c r="CG46" i="11" s="1"/>
  <c r="DU46" i="11"/>
  <c r="DV46" i="11"/>
  <c r="DH46" i="11"/>
  <c r="DI46" i="11"/>
  <c r="CR46" i="11"/>
  <c r="CT46" i="11" s="1"/>
  <c r="CU46" i="11"/>
  <c r="CV46" i="11"/>
  <c r="CI46" i="11"/>
  <c r="CH46" i="11"/>
  <c r="BU46" i="11"/>
  <c r="BV46" i="11"/>
  <c r="BH46" i="11"/>
  <c r="BI46" i="11"/>
  <c r="AU46" i="11"/>
  <c r="AV46" i="11"/>
  <c r="AH46" i="11"/>
  <c r="AI46" i="11"/>
  <c r="DE45" i="11"/>
  <c r="DG45" i="11" s="1"/>
  <c r="BE45" i="11"/>
  <c r="BG45" i="11" s="1"/>
  <c r="CM46" i="11"/>
  <c r="AN46" i="11"/>
  <c r="CZ46" i="11"/>
  <c r="W47" i="11"/>
  <c r="DM46" i="11"/>
  <c r="BP46" i="11"/>
  <c r="CC46" i="11"/>
  <c r="BA46" i="11"/>
  <c r="BM46" i="11"/>
  <c r="AP46" i="11"/>
  <c r="BZ46" i="11"/>
  <c r="CO46" i="11"/>
  <c r="AZ46" i="11"/>
  <c r="BN46" i="11"/>
  <c r="CA46" i="11"/>
  <c r="CN46" i="11"/>
  <c r="AM46" i="11"/>
  <c r="BC46" i="11"/>
  <c r="DC46" i="11"/>
  <c r="X46" i="11"/>
  <c r="AA46" i="11"/>
  <c r="DN46" i="11"/>
  <c r="CP46" i="11"/>
  <c r="DA46" i="11"/>
  <c r="Y46" i="11"/>
  <c r="DP46" i="11"/>
  <c r="BO46" i="11"/>
  <c r="BQ46" i="11" s="1"/>
  <c r="BB46" i="11"/>
  <c r="BD46" i="11" s="1"/>
  <c r="DB46" i="11"/>
  <c r="DD46" i="11" s="1"/>
  <c r="CB46" i="11"/>
  <c r="AO46" i="11"/>
  <c r="C49" i="11" l="1"/>
  <c r="M46" i="11"/>
  <c r="L46" i="11"/>
  <c r="EI47" i="11"/>
  <c r="EH47" i="11"/>
  <c r="EC47" i="11"/>
  <c r="DZ47" i="11"/>
  <c r="EA47" i="11"/>
  <c r="A14" i="12"/>
  <c r="BX44" i="11"/>
  <c r="BY44" i="11" s="1"/>
  <c r="BK44" i="11"/>
  <c r="BL44" i="11" s="1"/>
  <c r="AX44" i="11"/>
  <c r="AW44" i="11"/>
  <c r="AS45" i="11"/>
  <c r="D9" i="11"/>
  <c r="E9" i="11"/>
  <c r="BS45" i="11"/>
  <c r="BW45" i="11"/>
  <c r="DK44" i="11"/>
  <c r="DL44" i="11" s="1"/>
  <c r="DF45" i="11"/>
  <c r="DJ45" i="11"/>
  <c r="BF45" i="11"/>
  <c r="BK45" i="11"/>
  <c r="Y47" i="11"/>
  <c r="B48" i="11"/>
  <c r="A48" i="11" s="1"/>
  <c r="B15" i="12"/>
  <c r="W48" i="11"/>
  <c r="BA47" i="11"/>
  <c r="CL44" i="11"/>
  <c r="CY44" i="11"/>
  <c r="CQ46" i="11"/>
  <c r="AN47" i="11"/>
  <c r="AB47" i="11"/>
  <c r="AM47" i="11"/>
  <c r="X47" i="11"/>
  <c r="X48" i="11" s="1"/>
  <c r="BP47" i="11"/>
  <c r="BN47" i="11"/>
  <c r="CK45" i="11"/>
  <c r="AA47" i="11"/>
  <c r="CJ45" i="11"/>
  <c r="CC47" i="11"/>
  <c r="BZ47" i="11"/>
  <c r="DP47" i="11"/>
  <c r="DC47" i="11"/>
  <c r="CW45" i="11"/>
  <c r="CY45" i="11" s="1"/>
  <c r="CS45" i="11"/>
  <c r="CF46" i="11"/>
  <c r="CD46" i="11"/>
  <c r="AQ46" i="11"/>
  <c r="AR46" i="11" s="1"/>
  <c r="AT46" i="11" s="1"/>
  <c r="DE46" i="11"/>
  <c r="DG46" i="11" s="1"/>
  <c r="BE46" i="11"/>
  <c r="BG46" i="11" s="1"/>
  <c r="DN47" i="11"/>
  <c r="CA47" i="11"/>
  <c r="CS46" i="11"/>
  <c r="CO47" i="11"/>
  <c r="DM47" i="11"/>
  <c r="CE47" i="11"/>
  <c r="CG47" i="11" s="1"/>
  <c r="DV47" i="11"/>
  <c r="DU47" i="11"/>
  <c r="DH47" i="11"/>
  <c r="DI47" i="11"/>
  <c r="CU47" i="11"/>
  <c r="CV47" i="11"/>
  <c r="CR47" i="11"/>
  <c r="CT47" i="11" s="1"/>
  <c r="CH47" i="11"/>
  <c r="CI47" i="11"/>
  <c r="BU47" i="11"/>
  <c r="BV47" i="11"/>
  <c r="BH47" i="11"/>
  <c r="BI47" i="11"/>
  <c r="AU47" i="11"/>
  <c r="AV47" i="11"/>
  <c r="AH47" i="11"/>
  <c r="AI47" i="11"/>
  <c r="BM47" i="11"/>
  <c r="AZ47" i="11"/>
  <c r="CM47" i="11"/>
  <c r="DA47" i="11"/>
  <c r="CZ47" i="11"/>
  <c r="CP47" i="11"/>
  <c r="CN47" i="11"/>
  <c r="BR46" i="11"/>
  <c r="BT46" i="11" s="1"/>
  <c r="BC47" i="11"/>
  <c r="AP47" i="11"/>
  <c r="BO47" i="11"/>
  <c r="BQ47" i="11" s="1"/>
  <c r="BB47" i="11"/>
  <c r="BD47" i="11" s="1"/>
  <c r="AO47" i="11"/>
  <c r="DB47" i="11"/>
  <c r="DD47" i="11" s="1"/>
  <c r="CB47" i="11"/>
  <c r="B49" i="11" l="1"/>
  <c r="A49" i="11" s="1"/>
  <c r="C50" i="11"/>
  <c r="W49" i="11"/>
  <c r="CH49" i="11" s="1"/>
  <c r="B16" i="12"/>
  <c r="M47" i="11"/>
  <c r="L47" i="11"/>
  <c r="EA48" i="11"/>
  <c r="DZ48" i="11"/>
  <c r="EC48" i="11"/>
  <c r="EH48" i="11"/>
  <c r="EI48" i="11"/>
  <c r="CV48" i="11"/>
  <c r="V14" i="12"/>
  <c r="M14" i="12"/>
  <c r="AU48" i="11"/>
  <c r="CA48" i="11"/>
  <c r="CP48" i="11"/>
  <c r="CZ48" i="11"/>
  <c r="DP48" i="11"/>
  <c r="AW45" i="11"/>
  <c r="CC48" i="11"/>
  <c r="BJ45" i="11"/>
  <c r="BL45" i="11" s="1"/>
  <c r="AX45" i="11"/>
  <c r="AY44" i="11"/>
  <c r="BX45" i="11"/>
  <c r="BY45" i="11" s="1"/>
  <c r="DK45" i="11"/>
  <c r="DL45" i="11" s="1"/>
  <c r="AS46" i="11"/>
  <c r="CE48" i="11"/>
  <c r="CG48" i="11" s="1"/>
  <c r="BS46" i="11"/>
  <c r="BX46" i="11"/>
  <c r="BF46" i="11"/>
  <c r="BK46" i="11"/>
  <c r="DF46" i="11"/>
  <c r="DK46" i="11"/>
  <c r="AV48" i="11"/>
  <c r="DN48" i="11"/>
  <c r="DA48" i="11"/>
  <c r="AA48" i="11"/>
  <c r="CM48" i="11"/>
  <c r="BH48" i="11"/>
  <c r="DI48" i="11"/>
  <c r="AN48" i="11"/>
  <c r="BM48" i="11"/>
  <c r="AM48" i="11"/>
  <c r="BI48" i="11"/>
  <c r="AP48" i="11"/>
  <c r="DU48" i="11"/>
  <c r="DM48" i="11"/>
  <c r="DC48" i="11"/>
  <c r="BN48" i="11"/>
  <c r="Y48" i="11"/>
  <c r="CU48" i="11"/>
  <c r="BA48" i="11"/>
  <c r="CR48" i="11"/>
  <c r="CT48" i="11" s="1"/>
  <c r="AZ48" i="11"/>
  <c r="BV48" i="11"/>
  <c r="DH48" i="11"/>
  <c r="BC48" i="11"/>
  <c r="BU48" i="11"/>
  <c r="AI48" i="11"/>
  <c r="CH48" i="11"/>
  <c r="DV48" i="11"/>
  <c r="AB48" i="11"/>
  <c r="CN48" i="11"/>
  <c r="AH48" i="11"/>
  <c r="CI48" i="11"/>
  <c r="BZ48" i="11"/>
  <c r="BP48" i="11"/>
  <c r="CL45" i="11"/>
  <c r="A15" i="12"/>
  <c r="D10" i="11"/>
  <c r="E10" i="11"/>
  <c r="CK46" i="11"/>
  <c r="CF47" i="11"/>
  <c r="CD47" i="11"/>
  <c r="CJ46" i="11"/>
  <c r="CS47" i="11"/>
  <c r="CQ47" i="11"/>
  <c r="AQ47" i="11"/>
  <c r="AR47" i="11" s="1"/>
  <c r="AT47" i="11" s="1"/>
  <c r="BE47" i="11"/>
  <c r="BG47" i="11" s="1"/>
  <c r="BO48" i="11"/>
  <c r="CO48" i="11"/>
  <c r="BR47" i="11"/>
  <c r="BT47" i="11" s="1"/>
  <c r="CX46" i="11"/>
  <c r="CW46" i="11"/>
  <c r="AO48" i="11"/>
  <c r="DI49" i="11"/>
  <c r="CU49" i="11"/>
  <c r="AH49" i="11"/>
  <c r="DB48" i="11"/>
  <c r="DE47" i="11"/>
  <c r="DG47" i="11" s="1"/>
  <c r="BB48" i="11"/>
  <c r="BD48" i="11" s="1"/>
  <c r="CB48" i="11"/>
  <c r="X49" i="11"/>
  <c r="A16" i="12" l="1"/>
  <c r="V16" i="12" s="1"/>
  <c r="Y49" i="11"/>
  <c r="BV49" i="11"/>
  <c r="DH49" i="11"/>
  <c r="BC49" i="11"/>
  <c r="DV49" i="11"/>
  <c r="BI49" i="11"/>
  <c r="BN49" i="11"/>
  <c r="AV49" i="11"/>
  <c r="E11" i="11"/>
  <c r="D11" i="11"/>
  <c r="W50" i="11"/>
  <c r="CU50" i="11" s="1"/>
  <c r="CD48" i="11"/>
  <c r="B17" i="12"/>
  <c r="CR49" i="11"/>
  <c r="CT49" i="11" s="1"/>
  <c r="B50" i="11"/>
  <c r="A50" i="11" s="1"/>
  <c r="BM49" i="11"/>
  <c r="DP49" i="11"/>
  <c r="C51" i="11"/>
  <c r="AI49" i="11"/>
  <c r="CV49" i="11"/>
  <c r="CN49" i="11"/>
  <c r="AZ49" i="11"/>
  <c r="BH49" i="11"/>
  <c r="CE49" i="11"/>
  <c r="BP49" i="11"/>
  <c r="BA49" i="11"/>
  <c r="AP49" i="11"/>
  <c r="AA49" i="11"/>
  <c r="EI49" i="11"/>
  <c r="DZ49" i="11"/>
  <c r="CM49" i="11"/>
  <c r="CI49" i="11"/>
  <c r="AO49" i="11"/>
  <c r="EA49" i="11"/>
  <c r="CP49" i="11"/>
  <c r="DC49" i="11"/>
  <c r="AN49" i="11"/>
  <c r="EH49" i="11"/>
  <c r="CA49" i="11"/>
  <c r="BU49" i="11"/>
  <c r="DU49" i="11"/>
  <c r="AB49" i="11"/>
  <c r="DM49" i="11"/>
  <c r="CZ49" i="11"/>
  <c r="EC49" i="11"/>
  <c r="AU49" i="11"/>
  <c r="BZ49" i="11"/>
  <c r="DA49" i="11"/>
  <c r="CC49" i="11"/>
  <c r="AM49" i="11"/>
  <c r="DN49" i="11"/>
  <c r="M16" i="12"/>
  <c r="M48" i="11"/>
  <c r="L48" i="11"/>
  <c r="CQ48" i="11"/>
  <c r="V15" i="12"/>
  <c r="M15" i="12"/>
  <c r="CJ48" i="11"/>
  <c r="AY45" i="11"/>
  <c r="DJ46" i="11"/>
  <c r="DL46" i="11" s="1"/>
  <c r="AW46" i="11"/>
  <c r="AX46" i="11"/>
  <c r="BW46" i="11"/>
  <c r="BY46" i="11" s="1"/>
  <c r="BJ46" i="11"/>
  <c r="BL46" i="11" s="1"/>
  <c r="CW48" i="11"/>
  <c r="BF47" i="11"/>
  <c r="BK47" i="11"/>
  <c r="AS47" i="11"/>
  <c r="BS47" i="11"/>
  <c r="BW47" i="11"/>
  <c r="DF47" i="11"/>
  <c r="DK47" i="11"/>
  <c r="CY46" i="11"/>
  <c r="CO49" i="11"/>
  <c r="CQ49" i="11" s="1"/>
  <c r="CL46" i="11"/>
  <c r="CJ47" i="11"/>
  <c r="BO49" i="11"/>
  <c r="BQ49" i="11" s="1"/>
  <c r="BQ48" i="11"/>
  <c r="BR48" i="11" s="1"/>
  <c r="BT48" i="11" s="1"/>
  <c r="BB49" i="11"/>
  <c r="BD49" i="11" s="1"/>
  <c r="BE48" i="11"/>
  <c r="BG48" i="11" s="1"/>
  <c r="DB49" i="11"/>
  <c r="DD49" i="11" s="1"/>
  <c r="DE49" i="11" s="1"/>
  <c r="DD48" i="11"/>
  <c r="DE48" i="11" s="1"/>
  <c r="DG48" i="11" s="1"/>
  <c r="CK47" i="11"/>
  <c r="CX47" i="11"/>
  <c r="CF48" i="11"/>
  <c r="CW47" i="11"/>
  <c r="CX48" i="11"/>
  <c r="CS48" i="11"/>
  <c r="AQ48" i="11"/>
  <c r="AR48" i="11" s="1"/>
  <c r="AT48" i="11" s="1"/>
  <c r="CB49" i="11"/>
  <c r="DI50" i="11" l="1"/>
  <c r="EA50" i="11"/>
  <c r="CC50" i="11"/>
  <c r="BA50" i="11"/>
  <c r="BI50" i="11"/>
  <c r="CR50" i="11"/>
  <c r="CT50" i="11" s="1"/>
  <c r="CN50" i="11"/>
  <c r="AN50" i="11"/>
  <c r="AI50" i="11"/>
  <c r="AV50" i="11"/>
  <c r="DH50" i="11"/>
  <c r="DV50" i="11"/>
  <c r="DU50" i="11"/>
  <c r="BH50" i="11"/>
  <c r="Y50" i="11"/>
  <c r="BV50" i="11"/>
  <c r="X50" i="11"/>
  <c r="BU50" i="11"/>
  <c r="CI50" i="11"/>
  <c r="CV50" i="11"/>
  <c r="BZ50" i="11"/>
  <c r="CA50" i="11"/>
  <c r="CM50" i="11"/>
  <c r="EC50" i="11"/>
  <c r="DZ50" i="11"/>
  <c r="CZ50" i="11"/>
  <c r="AZ50" i="11"/>
  <c r="DM50" i="11"/>
  <c r="DC50" i="11"/>
  <c r="AA50" i="11"/>
  <c r="EH50" i="11"/>
  <c r="DN50" i="11"/>
  <c r="BN50" i="11"/>
  <c r="AH50" i="11"/>
  <c r="CH50" i="11"/>
  <c r="CE50" i="11"/>
  <c r="AB50" i="11"/>
  <c r="EI50" i="11"/>
  <c r="AM50" i="11"/>
  <c r="CP50" i="11"/>
  <c r="AP50" i="11"/>
  <c r="BC50" i="11"/>
  <c r="AU50" i="11"/>
  <c r="DA50" i="11"/>
  <c r="AO50" i="11"/>
  <c r="AQ50" i="11" s="1"/>
  <c r="AR50" i="11" s="1"/>
  <c r="BP50" i="11"/>
  <c r="DP50" i="11"/>
  <c r="D12" i="11"/>
  <c r="BM50" i="11"/>
  <c r="B51" i="11"/>
  <c r="A51" i="11" s="1"/>
  <c r="DG49" i="11"/>
  <c r="DK49" i="11" s="1"/>
  <c r="E12" i="11"/>
  <c r="CD49" i="11"/>
  <c r="CG49" i="11"/>
  <c r="CK49" i="11" s="1"/>
  <c r="A17" i="12"/>
  <c r="M17" i="12" s="1"/>
  <c r="AQ49" i="11"/>
  <c r="AR49" i="11" s="1"/>
  <c r="W51" i="11"/>
  <c r="BH51" i="11" s="1"/>
  <c r="C52" i="11"/>
  <c r="B18" i="12"/>
  <c r="M49" i="11"/>
  <c r="L49" i="11"/>
  <c r="BO50" i="11"/>
  <c r="BQ50" i="11" s="1"/>
  <c r="BR49" i="11"/>
  <c r="CS49" i="11"/>
  <c r="CK48" i="11"/>
  <c r="CL48" i="11" s="1"/>
  <c r="CO50" i="11"/>
  <c r="CQ50" i="11" s="1"/>
  <c r="AY46" i="11"/>
  <c r="BJ47" i="11"/>
  <c r="BL47" i="11" s="1"/>
  <c r="CB50" i="11"/>
  <c r="CF50" i="11" s="1"/>
  <c r="AX47" i="11"/>
  <c r="AW47" i="11"/>
  <c r="DJ47" i="11"/>
  <c r="DL47" i="11" s="1"/>
  <c r="BF48" i="11"/>
  <c r="BJ48" i="11"/>
  <c r="DF49" i="11"/>
  <c r="AX48" i="11"/>
  <c r="BX47" i="11"/>
  <c r="BY47" i="11" s="1"/>
  <c r="CY47" i="11"/>
  <c r="DF48" i="11"/>
  <c r="DK48" i="11"/>
  <c r="CY48" i="11"/>
  <c r="BS48" i="11"/>
  <c r="BX48" i="11"/>
  <c r="BB50" i="11"/>
  <c r="BD50" i="11" s="1"/>
  <c r="BE49" i="11"/>
  <c r="BG49" i="11" s="1"/>
  <c r="CL47" i="11"/>
  <c r="DB50" i="11"/>
  <c r="DD50" i="11" s="1"/>
  <c r="CW49" i="11"/>
  <c r="CF49" i="11"/>
  <c r="CX49" i="11"/>
  <c r="M50" i="11" l="1"/>
  <c r="L50" i="11"/>
  <c r="E13" i="11"/>
  <c r="D13" i="11"/>
  <c r="A18" i="12"/>
  <c r="V18" i="12" s="1"/>
  <c r="B52" i="11"/>
  <c r="A52" i="11" s="1"/>
  <c r="CG50" i="11"/>
  <c r="CK50" i="11" s="1"/>
  <c r="AZ51" i="11"/>
  <c r="BP51" i="11"/>
  <c r="AI51" i="11"/>
  <c r="CZ51" i="11"/>
  <c r="DI51" i="11"/>
  <c r="AP51" i="11"/>
  <c r="CC51" i="11"/>
  <c r="BA51" i="11"/>
  <c r="BZ51" i="11"/>
  <c r="DN51" i="11"/>
  <c r="CN51" i="11"/>
  <c r="CU51" i="11"/>
  <c r="CR51" i="11"/>
  <c r="CT51" i="11" s="1"/>
  <c r="AB51" i="11"/>
  <c r="DC51" i="11"/>
  <c r="AO51" i="11"/>
  <c r="AQ51" i="11" s="1"/>
  <c r="AR51" i="11" s="1"/>
  <c r="CA51" i="11"/>
  <c r="AH51" i="11"/>
  <c r="DH51" i="11"/>
  <c r="Y51" i="11"/>
  <c r="DM51" i="11"/>
  <c r="AM51" i="11"/>
  <c r="AV51" i="11"/>
  <c r="DV51" i="11"/>
  <c r="DP51" i="11"/>
  <c r="CM51" i="11"/>
  <c r="CP51" i="11"/>
  <c r="AU51" i="11"/>
  <c r="CE51" i="11"/>
  <c r="CG51" i="11" s="1"/>
  <c r="BC51" i="11"/>
  <c r="DA51" i="11"/>
  <c r="AA51" i="11"/>
  <c r="BU51" i="11"/>
  <c r="BM51" i="11"/>
  <c r="X51" i="11"/>
  <c r="BN51" i="11"/>
  <c r="AN51" i="11"/>
  <c r="C53" i="11"/>
  <c r="EA51" i="11"/>
  <c r="EH51" i="11"/>
  <c r="EI51" i="11"/>
  <c r="CI51" i="11"/>
  <c r="CH51" i="11"/>
  <c r="W52" i="11"/>
  <c r="B19" i="12"/>
  <c r="CJ49" i="11"/>
  <c r="CL49" i="11" s="1"/>
  <c r="AT49" i="11"/>
  <c r="AX49" i="11" s="1"/>
  <c r="BT49" i="11"/>
  <c r="BS49" i="11" s="1"/>
  <c r="V17" i="12"/>
  <c r="DU51" i="11"/>
  <c r="EC51" i="11"/>
  <c r="DZ51" i="11"/>
  <c r="BI51" i="11"/>
  <c r="CV51" i="11"/>
  <c r="BV51" i="11"/>
  <c r="BO51" i="11"/>
  <c r="BQ51" i="11" s="1"/>
  <c r="BB51" i="11"/>
  <c r="BD51" i="11" s="1"/>
  <c r="BR50" i="11"/>
  <c r="CS50" i="11"/>
  <c r="CO51" i="11"/>
  <c r="BE50" i="11"/>
  <c r="BG50" i="11" s="1"/>
  <c r="DB51" i="11"/>
  <c r="DD51" i="11" s="1"/>
  <c r="CB51" i="11"/>
  <c r="CF51" i="11" s="1"/>
  <c r="CD50" i="11"/>
  <c r="AY47" i="11"/>
  <c r="BW48" i="11"/>
  <c r="BY48" i="11" s="1"/>
  <c r="BK48" i="11"/>
  <c r="BL48" i="11" s="1"/>
  <c r="DJ48" i="11"/>
  <c r="DL48" i="11" s="1"/>
  <c r="AW48" i="11"/>
  <c r="AY48" i="11" s="1"/>
  <c r="AS48" i="11"/>
  <c r="DJ49" i="11"/>
  <c r="DL49" i="11" s="1"/>
  <c r="BF49" i="11"/>
  <c r="BJ49" i="11"/>
  <c r="CY49" i="11"/>
  <c r="DE50" i="11"/>
  <c r="DG50" i="11" s="1"/>
  <c r="CX50" i="11"/>
  <c r="CW50" i="11"/>
  <c r="AS50" i="11"/>
  <c r="D14" i="11" l="1"/>
  <c r="M18" i="12"/>
  <c r="E14" i="11"/>
  <c r="A19" i="12"/>
  <c r="V19" i="12" s="1"/>
  <c r="CJ50" i="11"/>
  <c r="C54" i="11"/>
  <c r="B20" i="12"/>
  <c r="W53" i="11"/>
  <c r="DI53" i="11" s="1"/>
  <c r="B53" i="11"/>
  <c r="A53" i="11" s="1"/>
  <c r="AT50" i="11"/>
  <c r="EA52" i="11"/>
  <c r="DZ52" i="11"/>
  <c r="CZ52" i="11"/>
  <c r="BP52" i="11"/>
  <c r="BH52" i="11"/>
  <c r="AP52" i="11"/>
  <c r="AP53" i="11" s="1"/>
  <c r="BV52" i="11"/>
  <c r="CN52" i="11"/>
  <c r="DI52" i="11"/>
  <c r="EI52" i="11"/>
  <c r="BC52" i="11"/>
  <c r="DH52" i="11"/>
  <c r="DA52" i="11"/>
  <c r="EH52" i="11"/>
  <c r="EC52" i="11"/>
  <c r="CC52" i="11"/>
  <c r="AZ52" i="11"/>
  <c r="AI52" i="11"/>
  <c r="CI52" i="11"/>
  <c r="DU52" i="11"/>
  <c r="BM52" i="11"/>
  <c r="AA52" i="11"/>
  <c r="BZ52" i="11"/>
  <c r="X52" i="11"/>
  <c r="AH52" i="11"/>
  <c r="CH52" i="11"/>
  <c r="CE52" i="11"/>
  <c r="CG52" i="11" s="1"/>
  <c r="CK52" i="11" s="1"/>
  <c r="AB52" i="11"/>
  <c r="CV52" i="11"/>
  <c r="BN52" i="11"/>
  <c r="CP52" i="11"/>
  <c r="AO52" i="11"/>
  <c r="AQ52" i="11" s="1"/>
  <c r="AR52" i="11" s="1"/>
  <c r="BA52" i="11"/>
  <c r="AU52" i="11"/>
  <c r="AM52" i="11"/>
  <c r="CM52" i="11"/>
  <c r="DC52" i="11"/>
  <c r="Y52" i="11"/>
  <c r="AV52" i="11"/>
  <c r="CU52" i="11"/>
  <c r="DM52" i="11"/>
  <c r="BU52" i="11"/>
  <c r="DV52" i="11"/>
  <c r="CO52" i="11"/>
  <c r="CS52" i="11" s="1"/>
  <c r="DN52" i="11"/>
  <c r="CA52" i="11"/>
  <c r="DP52" i="11"/>
  <c r="AN52" i="11"/>
  <c r="BI52" i="11"/>
  <c r="CR52" i="11"/>
  <c r="CT52" i="11" s="1"/>
  <c r="CW52" i="11" s="1"/>
  <c r="L51" i="11"/>
  <c r="AW49" i="11"/>
  <c r="AY49" i="11" s="1"/>
  <c r="AS49" i="11"/>
  <c r="BX49" i="11"/>
  <c r="BF50" i="11"/>
  <c r="BT50" i="11"/>
  <c r="BS50" i="11" s="1"/>
  <c r="BR51" i="11"/>
  <c r="BT51" i="11" s="1"/>
  <c r="BW51" i="11" s="1"/>
  <c r="M51" i="11"/>
  <c r="BB52" i="11"/>
  <c r="BO52" i="11"/>
  <c r="BQ52" i="11" s="1"/>
  <c r="BE51" i="11"/>
  <c r="BG51" i="11" s="1"/>
  <c r="M19" i="12"/>
  <c r="CB52" i="11"/>
  <c r="CF52" i="11" s="1"/>
  <c r="CQ51" i="11"/>
  <c r="CS51" i="11"/>
  <c r="CD51" i="11"/>
  <c r="BW49" i="11"/>
  <c r="BJ50" i="11"/>
  <c r="DE51" i="11"/>
  <c r="DG51" i="11" s="1"/>
  <c r="DB52" i="11"/>
  <c r="DD52" i="11" s="1"/>
  <c r="BK49" i="11"/>
  <c r="BL49" i="11" s="1"/>
  <c r="CL50" i="11"/>
  <c r="DF50" i="11"/>
  <c r="DK50" i="11"/>
  <c r="AS51" i="11"/>
  <c r="CY50" i="11"/>
  <c r="CJ51" i="11"/>
  <c r="CK51" i="11"/>
  <c r="CW51" i="11"/>
  <c r="CX51" i="11"/>
  <c r="C55" i="11" l="1"/>
  <c r="B21" i="12"/>
  <c r="DN53" i="11"/>
  <c r="DC53" i="11"/>
  <c r="BM53" i="11"/>
  <c r="B54" i="11"/>
  <c r="A21" i="12" s="1"/>
  <c r="V21" i="12" s="1"/>
  <c r="W54" i="11"/>
  <c r="CR54" i="11" s="1"/>
  <c r="AH53" i="11"/>
  <c r="N29" i="11" s="1"/>
  <c r="DV53" i="11"/>
  <c r="O36" i="11" s="1"/>
  <c r="EI53" i="11"/>
  <c r="O37" i="11" s="1"/>
  <c r="AB53" i="11"/>
  <c r="AI53" i="11"/>
  <c r="O29" i="11" s="1"/>
  <c r="BH53" i="11"/>
  <c r="N31" i="11" s="1"/>
  <c r="CE53" i="11"/>
  <c r="CG53" i="11" s="1"/>
  <c r="CI53" i="11"/>
  <c r="O33" i="11" s="1"/>
  <c r="DM53" i="11"/>
  <c r="AV53" i="11"/>
  <c r="O30" i="11" s="1"/>
  <c r="CH53" i="11"/>
  <c r="CR53" i="11"/>
  <c r="K34" i="11" s="1"/>
  <c r="J34" i="11" s="1"/>
  <c r="DH53" i="11"/>
  <c r="N35" i="11" s="1"/>
  <c r="CA53" i="11"/>
  <c r="Y53" i="11"/>
  <c r="BN53" i="11"/>
  <c r="BN54" i="11" s="1"/>
  <c r="AA53" i="11"/>
  <c r="BA53" i="11"/>
  <c r="AZ53" i="11"/>
  <c r="A20" i="12"/>
  <c r="M20" i="12" s="1"/>
  <c r="BV53" i="11"/>
  <c r="O32" i="11" s="1"/>
  <c r="DU53" i="11"/>
  <c r="N36" i="11" s="1"/>
  <c r="AN53" i="11"/>
  <c r="X53" i="11"/>
  <c r="X54" i="11" s="1"/>
  <c r="CC53" i="11"/>
  <c r="EA53" i="11"/>
  <c r="DP53" i="11"/>
  <c r="CP53" i="11"/>
  <c r="BZ53" i="11"/>
  <c r="EC53" i="11"/>
  <c r="CN53" i="11"/>
  <c r="AU53" i="11"/>
  <c r="CV53" i="11"/>
  <c r="O34" i="11" s="1"/>
  <c r="EH53" i="11"/>
  <c r="N37" i="11" s="1"/>
  <c r="BB53" i="11"/>
  <c r="BD53" i="11" s="1"/>
  <c r="CM53" i="11"/>
  <c r="BU53" i="11"/>
  <c r="N32" i="11" s="1"/>
  <c r="AM53" i="11"/>
  <c r="CU53" i="11"/>
  <c r="N34" i="11" s="1"/>
  <c r="BI53" i="11"/>
  <c r="O31" i="11" s="1"/>
  <c r="E15" i="11"/>
  <c r="DA53" i="11"/>
  <c r="D15" i="11"/>
  <c r="BC53" i="11"/>
  <c r="BP53" i="11"/>
  <c r="CZ53" i="11"/>
  <c r="DZ53" i="11"/>
  <c r="N33" i="11"/>
  <c r="AX50" i="11"/>
  <c r="AW50" i="11"/>
  <c r="AT51" i="11"/>
  <c r="AT52" i="11" s="1"/>
  <c r="CO53" i="11"/>
  <c r="CS53" i="11" s="1"/>
  <c r="O35" i="11"/>
  <c r="AO53" i="11"/>
  <c r="AQ53" i="11" s="1"/>
  <c r="AR53" i="11" s="1"/>
  <c r="L52" i="11"/>
  <c r="M52" i="11"/>
  <c r="CJ52" i="11"/>
  <c r="CL52" i="11" s="1"/>
  <c r="CQ52" i="11"/>
  <c r="BS51" i="11"/>
  <c r="BW50" i="11"/>
  <c r="BD52" i="11"/>
  <c r="BE52" i="11" s="1"/>
  <c r="BG52" i="11" s="1"/>
  <c r="BY49" i="11"/>
  <c r="CB53" i="11"/>
  <c r="BR52" i="11"/>
  <c r="BO53" i="11"/>
  <c r="BQ53" i="11" s="1"/>
  <c r="BR53" i="11" s="1"/>
  <c r="CD52" i="11"/>
  <c r="DB53" i="11"/>
  <c r="DD53" i="11" s="1"/>
  <c r="BK50" i="11"/>
  <c r="BL50" i="11" s="1"/>
  <c r="DE52" i="11"/>
  <c r="DG52" i="11" s="1"/>
  <c r="BX50" i="11"/>
  <c r="BX51" i="11"/>
  <c r="BY51" i="11" s="1"/>
  <c r="AS52" i="11"/>
  <c r="DJ50" i="11"/>
  <c r="DL50" i="11" s="1"/>
  <c r="B22" i="12"/>
  <c r="CX52" i="11"/>
  <c r="CY52" i="11" s="1"/>
  <c r="CL51" i="11"/>
  <c r="CY51" i="11"/>
  <c r="W55" i="11"/>
  <c r="L6" i="11"/>
  <c r="M6" i="11"/>
  <c r="B55" i="11"/>
  <c r="C56" i="11"/>
  <c r="DZ54" i="11" l="1"/>
  <c r="AB54" i="11"/>
  <c r="A54" i="11"/>
  <c r="A55" i="11"/>
  <c r="DC54" i="11"/>
  <c r="DC55" i="11" s="1"/>
  <c r="BM54" i="11"/>
  <c r="BM55" i="11" s="1"/>
  <c r="AP54" i="11"/>
  <c r="AP55" i="11" s="1"/>
  <c r="CU54" i="11"/>
  <c r="AU54" i="11"/>
  <c r="EH54" i="11"/>
  <c r="BU54" i="11"/>
  <c r="DV54" i="11"/>
  <c r="CT54" i="11"/>
  <c r="CX54" i="11" s="1"/>
  <c r="BA54" i="11"/>
  <c r="BA55" i="11" s="1"/>
  <c r="BI54" i="11"/>
  <c r="DH54" i="11"/>
  <c r="CB54" i="11"/>
  <c r="CF54" i="11" s="1"/>
  <c r="EA54" i="11"/>
  <c r="EA55" i="11" s="1"/>
  <c r="AA54" i="11"/>
  <c r="AA55" i="11" s="1"/>
  <c r="BV54" i="11"/>
  <c r="DI54" i="11"/>
  <c r="CC54" i="11"/>
  <c r="CC55" i="11" s="1"/>
  <c r="AI54" i="11"/>
  <c r="CI54" i="11"/>
  <c r="DU54" i="11"/>
  <c r="EI54" i="11"/>
  <c r="CZ54" i="11"/>
  <c r="CZ55" i="11" s="1"/>
  <c r="CN54" i="11"/>
  <c r="CN55" i="11" s="1"/>
  <c r="AN54" i="11"/>
  <c r="AN55" i="11" s="1"/>
  <c r="Y54" i="11"/>
  <c r="Y55" i="11" s="1"/>
  <c r="CP54" i="11"/>
  <c r="CP55" i="11" s="1"/>
  <c r="AH54" i="11"/>
  <c r="CH54" i="11"/>
  <c r="CE54" i="11"/>
  <c r="CG54" i="11" s="1"/>
  <c r="BP54" i="11"/>
  <c r="BP55" i="11" s="1"/>
  <c r="AM54" i="11"/>
  <c r="AM55" i="11" s="1"/>
  <c r="EC54" i="11"/>
  <c r="EC55" i="11" s="1"/>
  <c r="CA54" i="11"/>
  <c r="CA55" i="11" s="1"/>
  <c r="DM54" i="11"/>
  <c r="DM55" i="11" s="1"/>
  <c r="AV54" i="11"/>
  <c r="CV54" i="11"/>
  <c r="BC54" i="11"/>
  <c r="BC55" i="11" s="1"/>
  <c r="BZ54" i="11"/>
  <c r="BZ55" i="11" s="1"/>
  <c r="CM54" i="11"/>
  <c r="CM55" i="11" s="1"/>
  <c r="DN54" i="11"/>
  <c r="DN55" i="11" s="1"/>
  <c r="BH54" i="11"/>
  <c r="DA54" i="11"/>
  <c r="DA55" i="11" s="1"/>
  <c r="DP54" i="11"/>
  <c r="DP55" i="11" s="1"/>
  <c r="AZ54" i="11"/>
  <c r="AZ55" i="11" s="1"/>
  <c r="CO54" i="11"/>
  <c r="CQ54" i="11" s="1"/>
  <c r="CT53" i="11"/>
  <c r="CX53" i="11" s="1"/>
  <c r="V20" i="12"/>
  <c r="K33" i="11"/>
  <c r="J33" i="11" s="1"/>
  <c r="BE53" i="11"/>
  <c r="BG53" i="11" s="1"/>
  <c r="M31" i="11" s="1"/>
  <c r="L53" i="11"/>
  <c r="BB54" i="11"/>
  <c r="BD54" i="11" s="1"/>
  <c r="N30" i="11"/>
  <c r="M53" i="11"/>
  <c r="AY50" i="11"/>
  <c r="CQ53" i="11"/>
  <c r="AW51" i="11"/>
  <c r="AX51" i="11"/>
  <c r="AT53" i="11"/>
  <c r="CD53" i="11"/>
  <c r="AO54" i="11"/>
  <c r="AO55" i="11" s="1"/>
  <c r="CF53" i="11"/>
  <c r="BY50" i="11"/>
  <c r="BF52" i="11"/>
  <c r="BK52" i="11"/>
  <c r="BT52" i="11"/>
  <c r="BX52" i="11" s="1"/>
  <c r="BJ51" i="11"/>
  <c r="BF51" i="11"/>
  <c r="BO54" i="11"/>
  <c r="BQ54" i="11" s="1"/>
  <c r="BR54" i="11" s="1"/>
  <c r="BK51" i="11"/>
  <c r="DF52" i="11"/>
  <c r="DE53" i="11"/>
  <c r="DG53" i="11" s="1"/>
  <c r="DB54" i="11"/>
  <c r="DD54" i="11" s="1"/>
  <c r="EI55" i="11"/>
  <c r="EH55" i="11"/>
  <c r="DZ55" i="11"/>
  <c r="DK51" i="11"/>
  <c r="DF51" i="11"/>
  <c r="DJ51" i="11"/>
  <c r="A22" i="12"/>
  <c r="V22" i="12" s="1"/>
  <c r="BJ52" i="11"/>
  <c r="AW52" i="11"/>
  <c r="AX52" i="11"/>
  <c r="AS53" i="11"/>
  <c r="B23" i="12"/>
  <c r="BS53" i="11"/>
  <c r="AB55" i="11"/>
  <c r="M33" i="11"/>
  <c r="CK53" i="11"/>
  <c r="CJ53" i="11"/>
  <c r="BF53" i="11"/>
  <c r="K31" i="11"/>
  <c r="J31" i="11" s="1"/>
  <c r="DV55" i="11"/>
  <c r="CE55" i="11"/>
  <c r="CG55" i="11" s="1"/>
  <c r="DU55" i="11"/>
  <c r="DI55" i="11"/>
  <c r="DH55" i="11"/>
  <c r="CU55" i="11"/>
  <c r="CV55" i="11"/>
  <c r="CR55" i="11"/>
  <c r="CT55" i="11" s="1"/>
  <c r="CH55" i="11"/>
  <c r="CI55" i="11"/>
  <c r="BV55" i="11"/>
  <c r="BU55" i="11"/>
  <c r="BH55" i="11"/>
  <c r="BI55" i="11"/>
  <c r="AV55" i="11"/>
  <c r="AU55" i="11"/>
  <c r="AH55" i="11"/>
  <c r="AI55" i="11"/>
  <c r="K30" i="11"/>
  <c r="J30" i="11" s="1"/>
  <c r="BN55" i="11"/>
  <c r="K32" i="11"/>
  <c r="X55" i="11"/>
  <c r="W56" i="11"/>
  <c r="B56" i="11"/>
  <c r="A56" i="11" s="1"/>
  <c r="L7" i="11"/>
  <c r="C57" i="11"/>
  <c r="CD54" i="11" l="1"/>
  <c r="CB55" i="11"/>
  <c r="CF55" i="11" s="1"/>
  <c r="L54" i="11"/>
  <c r="M54" i="11"/>
  <c r="CO55" i="11"/>
  <c r="CQ55" i="11" s="1"/>
  <c r="M34" i="11"/>
  <c r="L34" i="11" s="1"/>
  <c r="CW53" i="11"/>
  <c r="P34" i="11" s="1"/>
  <c r="BB55" i="11"/>
  <c r="BD55" i="11" s="1"/>
  <c r="BE54" i="11"/>
  <c r="BG54" i="11" s="1"/>
  <c r="AY51" i="11"/>
  <c r="AQ54" i="11"/>
  <c r="AR54" i="11" s="1"/>
  <c r="AT54" i="11" s="1"/>
  <c r="BT53" i="11"/>
  <c r="M32" i="11" s="1"/>
  <c r="BL52" i="11"/>
  <c r="BS52" i="11"/>
  <c r="BW52" i="11"/>
  <c r="BY52" i="11" s="1"/>
  <c r="BO55" i="11"/>
  <c r="BQ55" i="11" s="1"/>
  <c r="BR55" i="11" s="1"/>
  <c r="BL51" i="11"/>
  <c r="DF53" i="11"/>
  <c r="DK53" i="11"/>
  <c r="DJ52" i="11"/>
  <c r="DK52" i="11"/>
  <c r="K35" i="11"/>
  <c r="J35" i="11" s="1"/>
  <c r="M35" i="11"/>
  <c r="L35" i="11" s="1"/>
  <c r="DE54" i="11"/>
  <c r="DG54" i="11" s="1"/>
  <c r="DF54" i="11" s="1"/>
  <c r="DB55" i="11"/>
  <c r="DD55" i="11" s="1"/>
  <c r="DE55" i="11" s="1"/>
  <c r="M55" i="11"/>
  <c r="L55" i="11"/>
  <c r="EI56" i="11"/>
  <c r="EH56" i="11"/>
  <c r="EA56" i="11"/>
  <c r="DZ56" i="11"/>
  <c r="EC56" i="11"/>
  <c r="DL51" i="11"/>
  <c r="M22" i="12"/>
  <c r="A23" i="12"/>
  <c r="V23" i="12" s="1"/>
  <c r="AY52" i="11"/>
  <c r="AW53" i="11"/>
  <c r="AX53" i="11"/>
  <c r="M30" i="11"/>
  <c r="BF54" i="11"/>
  <c r="BJ54" i="11"/>
  <c r="BS54" i="11"/>
  <c r="AS54" i="11"/>
  <c r="B24" i="12"/>
  <c r="CJ54" i="11"/>
  <c r="CK54" i="11"/>
  <c r="CY53" i="11"/>
  <c r="R34" i="11" s="1"/>
  <c r="Q34" i="11"/>
  <c r="CL53" i="11"/>
  <c r="AB56" i="11"/>
  <c r="CW54" i="11"/>
  <c r="CY54" i="11" s="1"/>
  <c r="CS54" i="11"/>
  <c r="AQ55" i="11"/>
  <c r="AR55" i="11" s="1"/>
  <c r="AT55" i="11" s="1"/>
  <c r="BJ53" i="11"/>
  <c r="BK53" i="11"/>
  <c r="CE56" i="11"/>
  <c r="CG56" i="11" s="1"/>
  <c r="DU56" i="11"/>
  <c r="DV56" i="11"/>
  <c r="DH56" i="11"/>
  <c r="DI56" i="11"/>
  <c r="CR56" i="11"/>
  <c r="CT56" i="11" s="1"/>
  <c r="CU56" i="11"/>
  <c r="CV56" i="11"/>
  <c r="CH56" i="11"/>
  <c r="CI56" i="11"/>
  <c r="BU56" i="11"/>
  <c r="BV56" i="11"/>
  <c r="BH56" i="11"/>
  <c r="BI56" i="11"/>
  <c r="AU56" i="11"/>
  <c r="AV56" i="11"/>
  <c r="AH56" i="11"/>
  <c r="AI56" i="11"/>
  <c r="CC56" i="11"/>
  <c r="BN56" i="11"/>
  <c r="J32" i="11"/>
  <c r="BP56" i="11"/>
  <c r="CZ56" i="11"/>
  <c r="DC56" i="11"/>
  <c r="BZ56" i="11"/>
  <c r="DN56" i="11"/>
  <c r="BC56" i="11"/>
  <c r="AO56" i="11"/>
  <c r="AN56" i="11"/>
  <c r="DA56" i="11"/>
  <c r="AA56" i="11"/>
  <c r="CN56" i="11"/>
  <c r="DM56" i="11"/>
  <c r="CA56" i="11"/>
  <c r="X56" i="11"/>
  <c r="AM56" i="11"/>
  <c r="CM56" i="11"/>
  <c r="W57" i="11"/>
  <c r="BA56" i="11"/>
  <c r="AP56" i="11"/>
  <c r="DP56" i="11"/>
  <c r="BM56" i="11"/>
  <c r="CP56" i="11"/>
  <c r="AZ56" i="11"/>
  <c r="Y56" i="11"/>
  <c r="M7" i="11"/>
  <c r="B57" i="11"/>
  <c r="A57" i="11" s="1"/>
  <c r="M8" i="11"/>
  <c r="L8" i="11"/>
  <c r="C58" i="11"/>
  <c r="CB56" i="11" l="1"/>
  <c r="CD56" i="11" s="1"/>
  <c r="CD55" i="11"/>
  <c r="CO56" i="11"/>
  <c r="CQ56" i="11" s="1"/>
  <c r="BE55" i="11"/>
  <c r="BG55" i="11" s="1"/>
  <c r="BB56" i="11"/>
  <c r="BD56" i="11" s="1"/>
  <c r="CS55" i="11"/>
  <c r="BX53" i="11"/>
  <c r="BW53" i="11"/>
  <c r="BT54" i="11"/>
  <c r="DG55" i="11"/>
  <c r="DK55" i="11" s="1"/>
  <c r="BO56" i="11"/>
  <c r="BQ56" i="11" s="1"/>
  <c r="Q35" i="11"/>
  <c r="DJ53" i="11"/>
  <c r="DL53" i="11" s="1"/>
  <c r="DJ54" i="11"/>
  <c r="DB56" i="11"/>
  <c r="DD56" i="11" s="1"/>
  <c r="DL52" i="11"/>
  <c r="M56" i="11"/>
  <c r="L56" i="11"/>
  <c r="EC57" i="11"/>
  <c r="M23" i="12"/>
  <c r="DZ57" i="11"/>
  <c r="EA57" i="11"/>
  <c r="EH57" i="11"/>
  <c r="EI57" i="11"/>
  <c r="CX56" i="11"/>
  <c r="A24" i="12"/>
  <c r="V24" i="12" s="1"/>
  <c r="CL54" i="11"/>
  <c r="BK54" i="11"/>
  <c r="BL54" i="11" s="1"/>
  <c r="AY53" i="11"/>
  <c r="AW54" i="11"/>
  <c r="AX54" i="11"/>
  <c r="B25" i="12"/>
  <c r="BS55" i="11"/>
  <c r="AW55" i="11"/>
  <c r="BF55" i="11"/>
  <c r="BK55" i="11"/>
  <c r="DF55" i="11"/>
  <c r="CW55" i="11"/>
  <c r="CX55" i="11"/>
  <c r="AB57" i="11"/>
  <c r="CK55" i="11"/>
  <c r="CJ55" i="11"/>
  <c r="CF56" i="11"/>
  <c r="AQ56" i="11"/>
  <c r="AR56" i="11" s="1"/>
  <c r="AT56" i="11" s="1"/>
  <c r="BL53" i="11"/>
  <c r="AX55" i="11"/>
  <c r="CE57" i="11"/>
  <c r="CG57" i="11" s="1"/>
  <c r="DV57" i="11"/>
  <c r="DU57" i="11"/>
  <c r="DH57" i="11"/>
  <c r="DI57" i="11"/>
  <c r="CV57" i="11"/>
  <c r="CR57" i="11"/>
  <c r="CT57" i="11" s="1"/>
  <c r="CU57" i="11"/>
  <c r="CH57" i="11"/>
  <c r="CI57" i="11"/>
  <c r="BU57" i="11"/>
  <c r="BI57" i="11"/>
  <c r="BV57" i="11"/>
  <c r="BH57" i="11"/>
  <c r="AU57" i="11"/>
  <c r="AV57" i="11"/>
  <c r="AH57" i="11"/>
  <c r="AI57" i="11"/>
  <c r="L5" i="11"/>
  <c r="M5" i="11"/>
  <c r="CM57" i="11"/>
  <c r="AZ57" i="11"/>
  <c r="X57" i="11"/>
  <c r="BN57" i="11"/>
  <c r="BA57" i="11"/>
  <c r="BP57" i="11"/>
  <c r="AA57" i="11"/>
  <c r="DA57" i="11"/>
  <c r="DM57" i="11"/>
  <c r="CP57" i="11"/>
  <c r="CN57" i="11"/>
  <c r="CB57" i="11"/>
  <c r="CC57" i="11"/>
  <c r="DC57" i="11"/>
  <c r="Y57" i="11"/>
  <c r="BM57" i="11"/>
  <c r="AM57" i="11"/>
  <c r="AN57" i="11"/>
  <c r="AO57" i="11"/>
  <c r="DN57" i="11"/>
  <c r="W58" i="11"/>
  <c r="BC57" i="11"/>
  <c r="DP57" i="11"/>
  <c r="CA57" i="11"/>
  <c r="BZ57" i="11"/>
  <c r="CO57" i="11"/>
  <c r="AP57" i="11"/>
  <c r="CZ57" i="11"/>
  <c r="B58" i="11"/>
  <c r="A58" i="11" s="1"/>
  <c r="L30" i="11"/>
  <c r="C59" i="11"/>
  <c r="BB57" i="11" l="1"/>
  <c r="BD57" i="11" s="1"/>
  <c r="BE56" i="11"/>
  <c r="BG56" i="11" s="1"/>
  <c r="BO57" i="11"/>
  <c r="BQ57" i="11" s="1"/>
  <c r="BR56" i="11"/>
  <c r="BY53" i="11"/>
  <c r="P35" i="11"/>
  <c r="BX54" i="11"/>
  <c r="BW54" i="11"/>
  <c r="BT55" i="11"/>
  <c r="BW55" i="11" s="1"/>
  <c r="R35" i="11"/>
  <c r="DB57" i="11"/>
  <c r="DD57" i="11" s="1"/>
  <c r="DE57" i="11" s="1"/>
  <c r="DE56" i="11"/>
  <c r="DK54" i="11"/>
  <c r="DL54" i="11" s="1"/>
  <c r="L57" i="11"/>
  <c r="M57" i="11"/>
  <c r="EI58" i="11"/>
  <c r="EH58" i="11"/>
  <c r="EC58" i="11"/>
  <c r="EA58" i="11"/>
  <c r="DZ58" i="11"/>
  <c r="M24" i="12"/>
  <c r="A25" i="12"/>
  <c r="V25" i="12" s="1"/>
  <c r="AY54" i="11"/>
  <c r="BJ55" i="11"/>
  <c r="BL55" i="11" s="1"/>
  <c r="DJ55" i="11"/>
  <c r="DL55" i="11" s="1"/>
  <c r="AS55" i="11"/>
  <c r="B26" i="12"/>
  <c r="AS56" i="11"/>
  <c r="BS56" i="11"/>
  <c r="BF56" i="11"/>
  <c r="BJ56" i="11"/>
  <c r="CY55" i="11"/>
  <c r="CK56" i="11"/>
  <c r="CL55" i="11"/>
  <c r="CJ56" i="11"/>
  <c r="AB58" i="11"/>
  <c r="CF57" i="11"/>
  <c r="CD57" i="11"/>
  <c r="CS57" i="11"/>
  <c r="CQ57" i="11"/>
  <c r="CW56" i="11"/>
  <c r="CY56" i="11" s="1"/>
  <c r="CS56" i="11"/>
  <c r="AQ57" i="11"/>
  <c r="AR57" i="11" s="1"/>
  <c r="AT57" i="11" s="1"/>
  <c r="AY55" i="11"/>
  <c r="CE58" i="11"/>
  <c r="CG58" i="11" s="1"/>
  <c r="DV58" i="11"/>
  <c r="DU58" i="11"/>
  <c r="DH58" i="11"/>
  <c r="DI58" i="11"/>
  <c r="CR58" i="11"/>
  <c r="CT58" i="11" s="1"/>
  <c r="CU58" i="11"/>
  <c r="CV58" i="11"/>
  <c r="CI58" i="11"/>
  <c r="CH58" i="11"/>
  <c r="BU58" i="11"/>
  <c r="BV58" i="11"/>
  <c r="BH58" i="11"/>
  <c r="BI58" i="11"/>
  <c r="AV58" i="11"/>
  <c r="AU58" i="11"/>
  <c r="AH58" i="11"/>
  <c r="AI58" i="11"/>
  <c r="BE57" i="11"/>
  <c r="BG57" i="11" s="1"/>
  <c r="P30" i="11"/>
  <c r="Q30" i="11"/>
  <c r="BN58" i="11"/>
  <c r="BP58" i="11"/>
  <c r="CN58" i="11"/>
  <c r="BO58" i="11"/>
  <c r="BQ58" i="11" s="1"/>
  <c r="AN58" i="11"/>
  <c r="DM58" i="11"/>
  <c r="CA58" i="11"/>
  <c r="DP58" i="11"/>
  <c r="CM58" i="11"/>
  <c r="CZ58" i="11"/>
  <c r="AZ58" i="11"/>
  <c r="CC58" i="11"/>
  <c r="BZ58" i="11"/>
  <c r="Y58" i="11"/>
  <c r="CP58" i="11"/>
  <c r="BC58" i="11"/>
  <c r="DA58" i="11"/>
  <c r="AP58" i="11"/>
  <c r="AA58" i="11"/>
  <c r="DN58" i="11"/>
  <c r="AO58" i="11"/>
  <c r="W59" i="11"/>
  <c r="DC58" i="11"/>
  <c r="BM58" i="11"/>
  <c r="CO58" i="11"/>
  <c r="X58" i="11"/>
  <c r="BA58" i="11"/>
  <c r="AM58" i="11"/>
  <c r="CB58" i="11"/>
  <c r="BB58" i="11"/>
  <c r="BD58" i="11" s="1"/>
  <c r="B59" i="11"/>
  <c r="A59" i="11" s="1"/>
  <c r="C60" i="11"/>
  <c r="DB58" i="11" l="1"/>
  <c r="DD58" i="11" s="1"/>
  <c r="BR57" i="11"/>
  <c r="BX55" i="11"/>
  <c r="BY55" i="11" s="1"/>
  <c r="BY54" i="11"/>
  <c r="BT56" i="11"/>
  <c r="BX56" i="11" s="1"/>
  <c r="DG56" i="11"/>
  <c r="DJ56" i="11" s="1"/>
  <c r="M25" i="12"/>
  <c r="M58" i="11"/>
  <c r="L58" i="11"/>
  <c r="DZ59" i="11"/>
  <c r="EA59" i="11"/>
  <c r="EC59" i="11"/>
  <c r="EI59" i="11"/>
  <c r="EH59" i="11"/>
  <c r="CS58" i="11"/>
  <c r="A26" i="12"/>
  <c r="M26" i="12" s="1"/>
  <c r="BK56" i="11"/>
  <c r="BL56" i="11" s="1"/>
  <c r="AX56" i="11"/>
  <c r="AW56" i="11"/>
  <c r="AS57" i="11"/>
  <c r="BF57" i="11"/>
  <c r="BJ57" i="11"/>
  <c r="B27" i="12"/>
  <c r="BS57" i="11"/>
  <c r="DF57" i="11"/>
  <c r="CL56" i="11"/>
  <c r="CX57" i="11"/>
  <c r="CW57" i="11"/>
  <c r="CK57" i="11"/>
  <c r="AB59" i="11"/>
  <c r="BR58" i="11"/>
  <c r="CJ57" i="11"/>
  <c r="CF58" i="11"/>
  <c r="CD58" i="11"/>
  <c r="CQ58" i="11"/>
  <c r="AQ58" i="11"/>
  <c r="AR58" i="11" s="1"/>
  <c r="AT58" i="11" s="1"/>
  <c r="CE59" i="11"/>
  <c r="CG59" i="11" s="1"/>
  <c r="DV59" i="11"/>
  <c r="DU59" i="11"/>
  <c r="DH59" i="11"/>
  <c r="DI59" i="11"/>
  <c r="CV59" i="11"/>
  <c r="CR59" i="11"/>
  <c r="CT59" i="11" s="1"/>
  <c r="CU59" i="11"/>
  <c r="CH59" i="11"/>
  <c r="CI59" i="11"/>
  <c r="BU59" i="11"/>
  <c r="BV59" i="11"/>
  <c r="BH59" i="11"/>
  <c r="BI59" i="11"/>
  <c r="AV59" i="11"/>
  <c r="AU59" i="11"/>
  <c r="AI59" i="11"/>
  <c r="AH59" i="11"/>
  <c r="BE58" i="11"/>
  <c r="BG58" i="11" s="1"/>
  <c r="R30" i="11"/>
  <c r="BP59" i="11"/>
  <c r="DA59" i="11"/>
  <c r="BN59" i="11"/>
  <c r="BO59" i="11"/>
  <c r="BQ59" i="11" s="1"/>
  <c r="BA59" i="11"/>
  <c r="BZ59" i="11"/>
  <c r="BC59" i="11"/>
  <c r="BM59" i="11"/>
  <c r="BB59" i="11"/>
  <c r="BD59" i="11" s="1"/>
  <c r="CM59" i="11"/>
  <c r="CB59" i="11"/>
  <c r="AZ59" i="11"/>
  <c r="DC59" i="11"/>
  <c r="DM59" i="11"/>
  <c r="AN59" i="11"/>
  <c r="CP59" i="11"/>
  <c r="Y59" i="11"/>
  <c r="X59" i="11"/>
  <c r="AO59" i="11"/>
  <c r="DB59" i="11"/>
  <c r="DD59" i="11" s="1"/>
  <c r="DP59" i="11"/>
  <c r="DN59" i="11"/>
  <c r="AM59" i="11"/>
  <c r="CO59" i="11"/>
  <c r="AA59" i="11"/>
  <c r="CA59" i="11"/>
  <c r="CC59" i="11"/>
  <c r="W60" i="11"/>
  <c r="AP59" i="11"/>
  <c r="CZ59" i="11"/>
  <c r="CN59" i="11"/>
  <c r="B60" i="11"/>
  <c r="A60" i="11" s="1"/>
  <c r="L11" i="11"/>
  <c r="M11" i="11"/>
  <c r="C61" i="11"/>
  <c r="DE58" i="11" l="1"/>
  <c r="DG58" i="11" s="1"/>
  <c r="DJ58" i="11" s="1"/>
  <c r="BW56" i="11"/>
  <c r="BY56" i="11" s="1"/>
  <c r="DG57" i="11"/>
  <c r="DJ57" i="11" s="1"/>
  <c r="BT57" i="11"/>
  <c r="BX57" i="11" s="1"/>
  <c r="DK56" i="11"/>
  <c r="DL56" i="11" s="1"/>
  <c r="DF56" i="11"/>
  <c r="V26" i="12"/>
  <c r="L59" i="11"/>
  <c r="M59" i="11"/>
  <c r="EI60" i="11"/>
  <c r="EH60" i="11"/>
  <c r="EC60" i="11"/>
  <c r="EA60" i="11"/>
  <c r="DZ60" i="11"/>
  <c r="CS59" i="11"/>
  <c r="A27" i="12"/>
  <c r="V27" i="12" s="1"/>
  <c r="AY56" i="11"/>
  <c r="AX57" i="11"/>
  <c r="AW57" i="11"/>
  <c r="BK57" i="11"/>
  <c r="BL57" i="11" s="1"/>
  <c r="AS58" i="11"/>
  <c r="BF58" i="11"/>
  <c r="BK58" i="11"/>
  <c r="BS58" i="11"/>
  <c r="B28" i="12"/>
  <c r="DF58" i="11"/>
  <c r="CY57" i="11"/>
  <c r="CL57" i="11"/>
  <c r="CX58" i="11"/>
  <c r="CQ59" i="11"/>
  <c r="AB60" i="11"/>
  <c r="CW58" i="11"/>
  <c r="CF59" i="11"/>
  <c r="CD59" i="11"/>
  <c r="CK58" i="11"/>
  <c r="CJ58" i="11"/>
  <c r="AQ59" i="11"/>
  <c r="AR59" i="11" s="1"/>
  <c r="AT59" i="11" s="1"/>
  <c r="BR59" i="11"/>
  <c r="BE59" i="11"/>
  <c r="BG59" i="11" s="1"/>
  <c r="DE59" i="11"/>
  <c r="DG59" i="11" s="1"/>
  <c r="CE60" i="11"/>
  <c r="CG60" i="11" s="1"/>
  <c r="DU60" i="11"/>
  <c r="DV60" i="11"/>
  <c r="DH60" i="11"/>
  <c r="DI60" i="11"/>
  <c r="CR60" i="11"/>
  <c r="CT60" i="11" s="1"/>
  <c r="CU60" i="11"/>
  <c r="CV60" i="11"/>
  <c r="CH60" i="11"/>
  <c r="CI60" i="11"/>
  <c r="BU60" i="11"/>
  <c r="BV60" i="11"/>
  <c r="BH60" i="11"/>
  <c r="BI60" i="11"/>
  <c r="AU60" i="11"/>
  <c r="AV60" i="11"/>
  <c r="AH60" i="11"/>
  <c r="AI60" i="11"/>
  <c r="M9" i="11"/>
  <c r="L9" i="11"/>
  <c r="CN60" i="11"/>
  <c r="AP60" i="11"/>
  <c r="BP60" i="11"/>
  <c r="CP60" i="11"/>
  <c r="BN60" i="11"/>
  <c r="Q31" i="11"/>
  <c r="AA60" i="11"/>
  <c r="AN60" i="11"/>
  <c r="DB60" i="11"/>
  <c r="DD60" i="11" s="1"/>
  <c r="CO60" i="11"/>
  <c r="BO60" i="11"/>
  <c r="BQ60" i="11" s="1"/>
  <c r="CB60" i="11"/>
  <c r="X60" i="11"/>
  <c r="CA60" i="11"/>
  <c r="DP60" i="11"/>
  <c r="L31" i="11"/>
  <c r="BM60" i="11"/>
  <c r="DN60" i="11"/>
  <c r="Y60" i="11"/>
  <c r="CM60" i="11"/>
  <c r="DM60" i="11"/>
  <c r="AM60" i="11"/>
  <c r="DC60" i="11"/>
  <c r="BA60" i="11"/>
  <c r="BB60" i="11"/>
  <c r="BD60" i="11" s="1"/>
  <c r="AZ60" i="11"/>
  <c r="BZ60" i="11"/>
  <c r="BC60" i="11"/>
  <c r="W61" i="11"/>
  <c r="CZ60" i="11"/>
  <c r="CC60" i="11"/>
  <c r="AO60" i="11"/>
  <c r="DA60" i="11"/>
  <c r="B61" i="11"/>
  <c r="A61" i="11" s="1"/>
  <c r="M10" i="11"/>
  <c r="L10" i="11"/>
  <c r="C62" i="11"/>
  <c r="DK57" i="11" l="1"/>
  <c r="DL57" i="11" s="1"/>
  <c r="BW57" i="11"/>
  <c r="BY57" i="11" s="1"/>
  <c r="BT58" i="11"/>
  <c r="BX58" i="11" s="1"/>
  <c r="M27" i="12"/>
  <c r="M60" i="11"/>
  <c r="L60" i="11"/>
  <c r="DZ61" i="11"/>
  <c r="EA61" i="11"/>
  <c r="EC61" i="11"/>
  <c r="EH61" i="11"/>
  <c r="EI61" i="11"/>
  <c r="CS60" i="11"/>
  <c r="A28" i="12"/>
  <c r="V28" i="12" s="1"/>
  <c r="AY57" i="11"/>
  <c r="DK58" i="11"/>
  <c r="DL58" i="11" s="1"/>
  <c r="AW58" i="11"/>
  <c r="AX58" i="11"/>
  <c r="BJ58" i="11"/>
  <c r="BL58" i="11" s="1"/>
  <c r="AS59" i="11"/>
  <c r="BS59" i="11"/>
  <c r="B29" i="12"/>
  <c r="DF59" i="11"/>
  <c r="DJ59" i="11"/>
  <c r="BF59" i="11"/>
  <c r="BJ59" i="11"/>
  <c r="CJ59" i="11"/>
  <c r="CY58" i="11"/>
  <c r="CK59" i="11"/>
  <c r="AB61" i="11"/>
  <c r="CF60" i="11"/>
  <c r="CD60" i="11"/>
  <c r="CL58" i="11"/>
  <c r="CQ60" i="11"/>
  <c r="AQ60" i="11"/>
  <c r="AR60" i="11" s="1"/>
  <c r="AT60" i="11" s="1"/>
  <c r="CK60" i="11"/>
  <c r="CJ60" i="11"/>
  <c r="CE61" i="11"/>
  <c r="CG61" i="11" s="1"/>
  <c r="DV61" i="11"/>
  <c r="DU61" i="11"/>
  <c r="DH61" i="11"/>
  <c r="DI61" i="11"/>
  <c r="CU61" i="11"/>
  <c r="CV61" i="11"/>
  <c r="CR61" i="11"/>
  <c r="CT61" i="11" s="1"/>
  <c r="CH61" i="11"/>
  <c r="CI61" i="11"/>
  <c r="BU61" i="11"/>
  <c r="BV61" i="11"/>
  <c r="BH61" i="11"/>
  <c r="BI61" i="11"/>
  <c r="AU61" i="11"/>
  <c r="AV61" i="11"/>
  <c r="AH61" i="11"/>
  <c r="AI61" i="11"/>
  <c r="BE60" i="11"/>
  <c r="BG60" i="11" s="1"/>
  <c r="DE60" i="11"/>
  <c r="DG60" i="11" s="1"/>
  <c r="CX59" i="11"/>
  <c r="CW59" i="11"/>
  <c r="BR60" i="11"/>
  <c r="P31" i="11"/>
  <c r="BP61" i="11"/>
  <c r="DA61" i="11"/>
  <c r="BZ61" i="11"/>
  <c r="R31" i="11"/>
  <c r="DP61" i="11"/>
  <c r="CZ61" i="11"/>
  <c r="BN61" i="11"/>
  <c r="BO61" i="11"/>
  <c r="DC61" i="11"/>
  <c r="AZ61" i="11"/>
  <c r="BB61" i="11"/>
  <c r="BD61" i="11" s="1"/>
  <c r="DM61" i="11"/>
  <c r="L32" i="11"/>
  <c r="BC61" i="11"/>
  <c r="CO61" i="11"/>
  <c r="AO61" i="11"/>
  <c r="CC61" i="11"/>
  <c r="Y61" i="11"/>
  <c r="CP61" i="11"/>
  <c r="DB61" i="11"/>
  <c r="DD61" i="11" s="1"/>
  <c r="CN61" i="11"/>
  <c r="BA61" i="11"/>
  <c r="CM61" i="11"/>
  <c r="W62" i="11"/>
  <c r="CA61" i="11"/>
  <c r="BM61" i="11"/>
  <c r="AM61" i="11"/>
  <c r="AP61" i="11"/>
  <c r="DN61" i="11"/>
  <c r="AA61" i="11"/>
  <c r="X61" i="11"/>
  <c r="AN61" i="11"/>
  <c r="CB61" i="11"/>
  <c r="B62" i="11"/>
  <c r="A62" i="11" s="1"/>
  <c r="M14" i="11"/>
  <c r="L14" i="11"/>
  <c r="C63" i="11"/>
  <c r="M13" i="11"/>
  <c r="L13" i="11"/>
  <c r="BW58" i="11" l="1"/>
  <c r="BY58" i="11" s="1"/>
  <c r="BT59" i="11"/>
  <c r="BW59" i="11" s="1"/>
  <c r="M28" i="12"/>
  <c r="M61" i="11"/>
  <c r="L61" i="11"/>
  <c r="EC62" i="11"/>
  <c r="EA62" i="11"/>
  <c r="EI62" i="11"/>
  <c r="EH62" i="11"/>
  <c r="DZ62" i="11"/>
  <c r="CS61" i="11"/>
  <c r="A29" i="12"/>
  <c r="V29" i="12" s="1"/>
  <c r="AY58" i="11"/>
  <c r="AW59" i="11"/>
  <c r="AX59" i="11"/>
  <c r="BK59" i="11"/>
  <c r="BL59" i="11" s="1"/>
  <c r="DF60" i="11"/>
  <c r="DK60" i="11"/>
  <c r="B30" i="12"/>
  <c r="BF60" i="11"/>
  <c r="BJ60" i="11"/>
  <c r="DK59" i="11"/>
  <c r="DL59" i="11" s="1"/>
  <c r="BS60" i="11"/>
  <c r="AS60" i="11"/>
  <c r="CL59" i="11"/>
  <c r="AB62" i="11"/>
  <c r="CW60" i="11"/>
  <c r="BQ61" i="11"/>
  <c r="BR61" i="11" s="1"/>
  <c r="CQ61" i="11"/>
  <c r="CL60" i="11"/>
  <c r="CX60" i="11"/>
  <c r="CF61" i="11"/>
  <c r="CD61" i="11"/>
  <c r="AQ61" i="11"/>
  <c r="AR61" i="11" s="1"/>
  <c r="AT61" i="11" s="1"/>
  <c r="BE61" i="11"/>
  <c r="BG61" i="11" s="1"/>
  <c r="CY59" i="11"/>
  <c r="CE62" i="11"/>
  <c r="CG62" i="11" s="1"/>
  <c r="DV62" i="11"/>
  <c r="DU62" i="11"/>
  <c r="DH62" i="11"/>
  <c r="DI62" i="11"/>
  <c r="CR62" i="11"/>
  <c r="CT62" i="11" s="1"/>
  <c r="CU62" i="11"/>
  <c r="CV62" i="11"/>
  <c r="CI62" i="11"/>
  <c r="CH62" i="11"/>
  <c r="BU62" i="11"/>
  <c r="BV62" i="11"/>
  <c r="BH62" i="11"/>
  <c r="AV62" i="11"/>
  <c r="AU62" i="11"/>
  <c r="BI62" i="11"/>
  <c r="AH62" i="11"/>
  <c r="AI62" i="11"/>
  <c r="DE61" i="11"/>
  <c r="DG61" i="11" s="1"/>
  <c r="AO62" i="11"/>
  <c r="BN62" i="11"/>
  <c r="P32" i="11"/>
  <c r="DC62" i="11"/>
  <c r="BP62" i="11"/>
  <c r="Q32" i="11"/>
  <c r="BO62" i="11"/>
  <c r="BQ62" i="11" s="1"/>
  <c r="BC62" i="11"/>
  <c r="BM62" i="11"/>
  <c r="CC62" i="11"/>
  <c r="CO62" i="11"/>
  <c r="Y62" i="11"/>
  <c r="CM62" i="11"/>
  <c r="DB62" i="11"/>
  <c r="DD62" i="11" s="1"/>
  <c r="W63" i="11"/>
  <c r="AP62" i="11"/>
  <c r="BA62" i="11"/>
  <c r="BZ62" i="11"/>
  <c r="DN62" i="11"/>
  <c r="CN62" i="11"/>
  <c r="DA62" i="11"/>
  <c r="CB62" i="11"/>
  <c r="AN62" i="11"/>
  <c r="CA62" i="11"/>
  <c r="DM62" i="11"/>
  <c r="CP62" i="11"/>
  <c r="CZ62" i="11"/>
  <c r="X62" i="11"/>
  <c r="AZ62" i="11"/>
  <c r="AA62" i="11"/>
  <c r="AM62" i="11"/>
  <c r="BB62" i="11"/>
  <c r="BD62" i="11" s="1"/>
  <c r="DP62" i="11"/>
  <c r="B63" i="11"/>
  <c r="A63" i="11" s="1"/>
  <c r="C64" i="11"/>
  <c r="BX59" i="11" l="1"/>
  <c r="BY59" i="11" s="1"/>
  <c r="BT60" i="11"/>
  <c r="BX60" i="11" s="1"/>
  <c r="M29" i="12"/>
  <c r="M62" i="11"/>
  <c r="L62" i="11"/>
  <c r="DZ63" i="11"/>
  <c r="EI63" i="11"/>
  <c r="EH63" i="11"/>
  <c r="EA63" i="11"/>
  <c r="EC63" i="11"/>
  <c r="CS62" i="11"/>
  <c r="A30" i="12"/>
  <c r="V30" i="12" s="1"/>
  <c r="DJ60" i="11"/>
  <c r="DL60" i="11" s="1"/>
  <c r="AY59" i="11"/>
  <c r="BK60" i="11"/>
  <c r="BL60" i="11" s="1"/>
  <c r="AW60" i="11"/>
  <c r="AX60" i="11"/>
  <c r="AS61" i="11"/>
  <c r="DF61" i="11"/>
  <c r="DK61" i="11"/>
  <c r="B31" i="12"/>
  <c r="BF61" i="11"/>
  <c r="BK61" i="11"/>
  <c r="BS61" i="11"/>
  <c r="CQ62" i="11"/>
  <c r="AB63" i="11"/>
  <c r="CY60" i="11"/>
  <c r="CX61" i="11"/>
  <c r="CW61" i="11"/>
  <c r="CJ61" i="11"/>
  <c r="CF62" i="11"/>
  <c r="CD62" i="11"/>
  <c r="CK61" i="11"/>
  <c r="AQ62" i="11"/>
  <c r="AR62" i="11" s="1"/>
  <c r="AT62" i="11" s="1"/>
  <c r="DV63" i="11"/>
  <c r="CE63" i="11"/>
  <c r="CG63" i="11" s="1"/>
  <c r="DU63" i="11"/>
  <c r="DI63" i="11"/>
  <c r="DH63" i="11"/>
  <c r="CR63" i="11"/>
  <c r="CT63" i="11" s="1"/>
  <c r="CU63" i="11"/>
  <c r="CV63" i="11"/>
  <c r="CH63" i="11"/>
  <c r="CI63" i="11"/>
  <c r="BU63" i="11"/>
  <c r="BV63" i="11"/>
  <c r="BH63" i="11"/>
  <c r="BI63" i="11"/>
  <c r="AU63" i="11"/>
  <c r="AV63" i="11"/>
  <c r="AH63" i="11"/>
  <c r="AI63" i="11"/>
  <c r="BE62" i="11"/>
  <c r="BG62" i="11" s="1"/>
  <c r="DE62" i="11"/>
  <c r="DG62" i="11" s="1"/>
  <c r="BR62" i="11"/>
  <c r="BZ63" i="11"/>
  <c r="CA63" i="11"/>
  <c r="DP63" i="11"/>
  <c r="DC63" i="11"/>
  <c r="AM63" i="11"/>
  <c r="DN63" i="11"/>
  <c r="BP63" i="11"/>
  <c r="AZ63" i="11"/>
  <c r="BC63" i="11"/>
  <c r="R32" i="11"/>
  <c r="BN63" i="11"/>
  <c r="CO63" i="11"/>
  <c r="CB63" i="11"/>
  <c r="BO63" i="11"/>
  <c r="BQ63" i="11" s="1"/>
  <c r="DA63" i="11"/>
  <c r="BB63" i="11"/>
  <c r="BD63" i="11" s="1"/>
  <c r="CZ63" i="11"/>
  <c r="AN63" i="11"/>
  <c r="AO63" i="11"/>
  <c r="BA63" i="11"/>
  <c r="AA63" i="11"/>
  <c r="DM63" i="11"/>
  <c r="CN63" i="11"/>
  <c r="AP63" i="11"/>
  <c r="CM63" i="11"/>
  <c r="X63" i="11"/>
  <c r="W64" i="11"/>
  <c r="CP63" i="11"/>
  <c r="CC63" i="11"/>
  <c r="DB63" i="11"/>
  <c r="DD63" i="11" s="1"/>
  <c r="Y63" i="11"/>
  <c r="BM63" i="11"/>
  <c r="B64" i="11"/>
  <c r="A64" i="11" s="1"/>
  <c r="L15" i="11"/>
  <c r="M15" i="11"/>
  <c r="C65" i="11"/>
  <c r="BW60" i="11" l="1"/>
  <c r="BY60" i="11" s="1"/>
  <c r="BT61" i="11"/>
  <c r="M30" i="12"/>
  <c r="EC64" i="11"/>
  <c r="DZ64" i="11"/>
  <c r="L63" i="11"/>
  <c r="M63" i="11"/>
  <c r="EA64" i="11"/>
  <c r="EI64" i="11"/>
  <c r="EH64" i="11"/>
  <c r="CS63" i="11"/>
  <c r="A31" i="12"/>
  <c r="V31" i="12" s="1"/>
  <c r="AY60" i="11"/>
  <c r="BJ61" i="11"/>
  <c r="BL61" i="11" s="1"/>
  <c r="AX61" i="11"/>
  <c r="DJ61" i="11"/>
  <c r="DL61" i="11" s="1"/>
  <c r="AW61" i="11"/>
  <c r="AS62" i="11"/>
  <c r="BS62" i="11"/>
  <c r="DF62" i="11"/>
  <c r="DJ62" i="11"/>
  <c r="BF62" i="11"/>
  <c r="BK62" i="11"/>
  <c r="B32" i="12"/>
  <c r="CY61" i="11"/>
  <c r="AB64" i="11"/>
  <c r="CL61" i="11"/>
  <c r="CF63" i="11"/>
  <c r="CD63" i="11"/>
  <c r="CQ63" i="11"/>
  <c r="CK62" i="11"/>
  <c r="CJ62" i="11"/>
  <c r="AQ63" i="11"/>
  <c r="AR63" i="11" s="1"/>
  <c r="AT63" i="11" s="1"/>
  <c r="DE63" i="11"/>
  <c r="DG63" i="11" s="1"/>
  <c r="BR63" i="11"/>
  <c r="BE63" i="11"/>
  <c r="BG63" i="11" s="1"/>
  <c r="DP64" i="11"/>
  <c r="CE64" i="11"/>
  <c r="CG64" i="11" s="1"/>
  <c r="DV64" i="11"/>
  <c r="DU64" i="11"/>
  <c r="DH64" i="11"/>
  <c r="DI64" i="11"/>
  <c r="CU64" i="11"/>
  <c r="CR64" i="11"/>
  <c r="CT64" i="11" s="1"/>
  <c r="CV64" i="11"/>
  <c r="CI64" i="11"/>
  <c r="CH64" i="11"/>
  <c r="BU64" i="11"/>
  <c r="BV64" i="11"/>
  <c r="BH64" i="11"/>
  <c r="BI64" i="11"/>
  <c r="AU64" i="11"/>
  <c r="AV64" i="11"/>
  <c r="AH64" i="11"/>
  <c r="AI64" i="11"/>
  <c r="CW62" i="11"/>
  <c r="CX62" i="11"/>
  <c r="L12" i="11"/>
  <c r="K22" i="11"/>
  <c r="M12" i="11"/>
  <c r="L22" i="11"/>
  <c r="CN64" i="11"/>
  <c r="AN64" i="11"/>
  <c r="BP64" i="11"/>
  <c r="BN64" i="11"/>
  <c r="BO64" i="11"/>
  <c r="CO64" i="11"/>
  <c r="BZ64" i="11"/>
  <c r="CP64" i="11"/>
  <c r="BA64" i="11"/>
  <c r="DN64" i="11"/>
  <c r="CA64" i="11"/>
  <c r="DM64" i="11"/>
  <c r="BB64" i="11"/>
  <c r="BD64" i="11" s="1"/>
  <c r="W65" i="11"/>
  <c r="CM64" i="11"/>
  <c r="AM64" i="11"/>
  <c r="DA64" i="11"/>
  <c r="BM64" i="11"/>
  <c r="DB64" i="11"/>
  <c r="DD64" i="11" s="1"/>
  <c r="AZ64" i="11"/>
  <c r="AA64" i="11"/>
  <c r="CZ64" i="11"/>
  <c r="BC64" i="11"/>
  <c r="Y64" i="11"/>
  <c r="AP64" i="11"/>
  <c r="CC64" i="11"/>
  <c r="AO64" i="11"/>
  <c r="CB64" i="11"/>
  <c r="DC64" i="11"/>
  <c r="X64" i="11"/>
  <c r="L33" i="11"/>
  <c r="P33" i="11"/>
  <c r="Q33" i="11"/>
  <c r="B65" i="11"/>
  <c r="A65" i="11" s="1"/>
  <c r="C66" i="11"/>
  <c r="BX61" i="11" l="1"/>
  <c r="BW61" i="11"/>
  <c r="BT62" i="11"/>
  <c r="BX62" i="11" s="1"/>
  <c r="AA65" i="11"/>
  <c r="M64" i="11"/>
  <c r="EC65" i="11"/>
  <c r="M31" i="12"/>
  <c r="L64" i="11"/>
  <c r="EH65" i="11"/>
  <c r="EI65" i="11"/>
  <c r="EA65" i="11"/>
  <c r="DZ65" i="11"/>
  <c r="CS64" i="11"/>
  <c r="A32" i="12"/>
  <c r="V32" i="12" s="1"/>
  <c r="AY61" i="11"/>
  <c r="BJ62" i="11"/>
  <c r="BL62" i="11" s="1"/>
  <c r="DK62" i="11"/>
  <c r="DL62" i="11" s="1"/>
  <c r="AX62" i="11"/>
  <c r="AW62" i="11"/>
  <c r="DF63" i="11"/>
  <c r="DK63" i="11"/>
  <c r="BS63" i="11"/>
  <c r="AS63" i="11"/>
  <c r="B33" i="12"/>
  <c r="BF63" i="11"/>
  <c r="BK63" i="11"/>
  <c r="CW63" i="11"/>
  <c r="CY62" i="11"/>
  <c r="CX63" i="11"/>
  <c r="AB65" i="11"/>
  <c r="CK63" i="11"/>
  <c r="BQ64" i="11"/>
  <c r="BR64" i="11" s="1"/>
  <c r="CJ63" i="11"/>
  <c r="CL62" i="11"/>
  <c r="CF64" i="11"/>
  <c r="CD64" i="11"/>
  <c r="CQ64" i="11"/>
  <c r="AQ64" i="11"/>
  <c r="AR64" i="11" s="1"/>
  <c r="AT64" i="11" s="1"/>
  <c r="DE64" i="11"/>
  <c r="DG64" i="11" s="1"/>
  <c r="CE65" i="11"/>
  <c r="CG65" i="11" s="1"/>
  <c r="DV65" i="11"/>
  <c r="DU65" i="11"/>
  <c r="DH65" i="11"/>
  <c r="DI65" i="11"/>
  <c r="CR65" i="11"/>
  <c r="CT65" i="11" s="1"/>
  <c r="CU65" i="11"/>
  <c r="CV65" i="11"/>
  <c r="CI65" i="11"/>
  <c r="CH65" i="11"/>
  <c r="BU65" i="11"/>
  <c r="BV65" i="11"/>
  <c r="BH65" i="11"/>
  <c r="BI65" i="11"/>
  <c r="AV65" i="11"/>
  <c r="AI65" i="11"/>
  <c r="AU65" i="11"/>
  <c r="AH65" i="11"/>
  <c r="BE64" i="11"/>
  <c r="BG64" i="11" s="1"/>
  <c r="CO65" i="11"/>
  <c r="CC65" i="11"/>
  <c r="AP65" i="11"/>
  <c r="BM65" i="11"/>
  <c r="X65" i="11"/>
  <c r="Y65" i="11"/>
  <c r="AN65" i="11"/>
  <c r="DM65" i="11"/>
  <c r="BN65" i="11"/>
  <c r="BP65" i="11"/>
  <c r="BZ65" i="11"/>
  <c r="DA65" i="11"/>
  <c r="CA65" i="11"/>
  <c r="BC65" i="11"/>
  <c r="AM65" i="11"/>
  <c r="DC65" i="11"/>
  <c r="CZ65" i="11"/>
  <c r="AZ65" i="11"/>
  <c r="DB65" i="11"/>
  <c r="DD65" i="11" s="1"/>
  <c r="CB65" i="11"/>
  <c r="AO65" i="11"/>
  <c r="BO65" i="11"/>
  <c r="BQ65" i="11" s="1"/>
  <c r="BA65" i="11"/>
  <c r="BB65" i="11"/>
  <c r="BD65" i="11" s="1"/>
  <c r="CP65" i="11"/>
  <c r="DN65" i="11"/>
  <c r="DP65" i="11"/>
  <c r="W66" i="11"/>
  <c r="CM65" i="11"/>
  <c r="CN65" i="11"/>
  <c r="R33" i="11"/>
  <c r="B66" i="11"/>
  <c r="A66" i="11" s="1"/>
  <c r="C67" i="11"/>
  <c r="BY61" i="11" l="1"/>
  <c r="BW62" i="11"/>
  <c r="BY62" i="11" s="1"/>
  <c r="BT63" i="11"/>
  <c r="BW63" i="11" s="1"/>
  <c r="M32" i="12"/>
  <c r="L65" i="11"/>
  <c r="M65" i="11"/>
  <c r="DZ66" i="11"/>
  <c r="EA66" i="11"/>
  <c r="EI66" i="11"/>
  <c r="EH66" i="11"/>
  <c r="EC66" i="11"/>
  <c r="CX65" i="11"/>
  <c r="A33" i="12"/>
  <c r="M33" i="12" s="1"/>
  <c r="AY62" i="11"/>
  <c r="DJ63" i="11"/>
  <c r="DL63" i="11" s="1"/>
  <c r="AW63" i="11"/>
  <c r="AX63" i="11"/>
  <c r="BJ63" i="11"/>
  <c r="BL63" i="11" s="1"/>
  <c r="AS64" i="11"/>
  <c r="BF64" i="11"/>
  <c r="BK64" i="11"/>
  <c r="B34" i="12"/>
  <c r="DF64" i="11"/>
  <c r="DK64" i="11"/>
  <c r="CY63" i="11"/>
  <c r="CL63" i="11"/>
  <c r="CK64" i="11"/>
  <c r="BS64" i="11"/>
  <c r="AB66" i="11"/>
  <c r="CJ64" i="11"/>
  <c r="CW64" i="11"/>
  <c r="CX64" i="11"/>
  <c r="CQ65" i="11"/>
  <c r="CF65" i="11"/>
  <c r="CD65" i="11"/>
  <c r="AQ65" i="11"/>
  <c r="AR65" i="11" s="1"/>
  <c r="AT65" i="11" s="1"/>
  <c r="BE65" i="11"/>
  <c r="BG65" i="11" s="1"/>
  <c r="DE65" i="11"/>
  <c r="DG65" i="11" s="1"/>
  <c r="CE66" i="11"/>
  <c r="CG66" i="11" s="1"/>
  <c r="DV66" i="11"/>
  <c r="DU66" i="11"/>
  <c r="DH66" i="11"/>
  <c r="DI66" i="11"/>
  <c r="CR66" i="11"/>
  <c r="CT66" i="11" s="1"/>
  <c r="CU66" i="11"/>
  <c r="CV66" i="11"/>
  <c r="CH66" i="11"/>
  <c r="CI66" i="11"/>
  <c r="BU66" i="11"/>
  <c r="BV66" i="11"/>
  <c r="BH66" i="11"/>
  <c r="BI66" i="11"/>
  <c r="AV66" i="11"/>
  <c r="AU66" i="11"/>
  <c r="AH66" i="11"/>
  <c r="AI66" i="11"/>
  <c r="BR65" i="11"/>
  <c r="BP66" i="11"/>
  <c r="CN66" i="11"/>
  <c r="BN66" i="11"/>
  <c r="AZ66" i="11"/>
  <c r="BO66" i="11"/>
  <c r="BQ66" i="11" s="1"/>
  <c r="CP66" i="11"/>
  <c r="AP66" i="11"/>
  <c r="DM66" i="11"/>
  <c r="DP66" i="11"/>
  <c r="CA66" i="11"/>
  <c r="CM66" i="11"/>
  <c r="BB66" i="11"/>
  <c r="BD66" i="11" s="1"/>
  <c r="BZ66" i="11"/>
  <c r="CC66" i="11"/>
  <c r="X66" i="11"/>
  <c r="W67" i="11"/>
  <c r="BM66" i="11"/>
  <c r="DB66" i="11"/>
  <c r="DD66" i="11" s="1"/>
  <c r="AN66" i="11"/>
  <c r="AA66" i="11"/>
  <c r="BC66" i="11"/>
  <c r="Y66" i="11"/>
  <c r="AM66" i="11"/>
  <c r="DN66" i="11"/>
  <c r="CB66" i="11"/>
  <c r="BA66" i="11"/>
  <c r="DA66" i="11"/>
  <c r="DC66" i="11"/>
  <c r="AO66" i="11"/>
  <c r="CZ66" i="11"/>
  <c r="CO66" i="11"/>
  <c r="B67" i="11"/>
  <c r="A67" i="11" s="1"/>
  <c r="C68" i="11"/>
  <c r="BX63" i="11" l="1"/>
  <c r="BY63" i="11" s="1"/>
  <c r="BT65" i="11"/>
  <c r="BW65" i="11" s="1"/>
  <c r="BT64" i="11"/>
  <c r="V33" i="12"/>
  <c r="W33" i="12" s="1"/>
  <c r="M66" i="11"/>
  <c r="L66" i="11"/>
  <c r="EC67" i="11"/>
  <c r="EI67" i="11"/>
  <c r="EH67" i="11"/>
  <c r="EA67" i="11"/>
  <c r="DZ67" i="11"/>
  <c r="CS66" i="11"/>
  <c r="A34" i="12"/>
  <c r="V34" i="12" s="1"/>
  <c r="W34" i="12" s="1"/>
  <c r="AY63" i="11"/>
  <c r="AX64" i="11"/>
  <c r="AW64" i="11"/>
  <c r="BJ64" i="11"/>
  <c r="BL64" i="11" s="1"/>
  <c r="AS65" i="11"/>
  <c r="DF65" i="11"/>
  <c r="DJ65" i="11"/>
  <c r="DJ64" i="11"/>
  <c r="DL64" i="11" s="1"/>
  <c r="BF65" i="11"/>
  <c r="BJ65" i="11"/>
  <c r="BS65" i="11"/>
  <c r="B35" i="12"/>
  <c r="AM67" i="11"/>
  <c r="CL64" i="11"/>
  <c r="CY64" i="11"/>
  <c r="CJ65" i="11"/>
  <c r="BR66" i="11"/>
  <c r="BT66" i="11" s="1"/>
  <c r="AB67" i="11"/>
  <c r="CQ66" i="11"/>
  <c r="CK65" i="11"/>
  <c r="CW65" i="11"/>
  <c r="CY65" i="11" s="1"/>
  <c r="CS65" i="11"/>
  <c r="CF66" i="11"/>
  <c r="CD66" i="11"/>
  <c r="AQ66" i="11"/>
  <c r="AR66" i="11" s="1"/>
  <c r="AT66" i="11" s="1"/>
  <c r="DE66" i="11"/>
  <c r="DG66" i="11" s="1"/>
  <c r="BE66" i="11"/>
  <c r="BG66" i="11" s="1"/>
  <c r="CE67" i="11"/>
  <c r="CG67" i="11" s="1"/>
  <c r="DV67" i="11"/>
  <c r="DU67" i="11"/>
  <c r="DH67" i="11"/>
  <c r="DI67" i="11"/>
  <c r="CR67" i="11"/>
  <c r="CT67" i="11" s="1"/>
  <c r="CU67" i="11"/>
  <c r="CV67" i="11"/>
  <c r="CH67" i="11"/>
  <c r="CI67" i="11"/>
  <c r="BU67" i="11"/>
  <c r="BV67" i="11"/>
  <c r="BH67" i="11"/>
  <c r="BI67" i="11"/>
  <c r="AU67" i="11"/>
  <c r="AV67" i="11"/>
  <c r="AH67" i="11"/>
  <c r="AI67" i="11"/>
  <c r="CA67" i="11"/>
  <c r="DP67" i="11"/>
  <c r="BZ67" i="11"/>
  <c r="BC67" i="11"/>
  <c r="CZ67" i="11"/>
  <c r="DN67" i="11"/>
  <c r="X67" i="11"/>
  <c r="BP67" i="11"/>
  <c r="AA67" i="11"/>
  <c r="BN67" i="11"/>
  <c r="DM67" i="11"/>
  <c r="CB67" i="11"/>
  <c r="AO67" i="11"/>
  <c r="BO67" i="11"/>
  <c r="BQ67" i="11" s="1"/>
  <c r="AN67" i="11"/>
  <c r="AP67" i="11"/>
  <c r="DC67" i="11"/>
  <c r="CP67" i="11"/>
  <c r="DB67" i="11"/>
  <c r="DD67" i="11" s="1"/>
  <c r="BM67" i="11"/>
  <c r="DA67" i="11"/>
  <c r="BB67" i="11"/>
  <c r="BD67" i="11" s="1"/>
  <c r="CO67" i="11"/>
  <c r="BA67" i="11"/>
  <c r="Y67" i="11"/>
  <c r="CC67" i="11"/>
  <c r="CM67" i="11"/>
  <c r="CN67" i="11"/>
  <c r="W68" i="11"/>
  <c r="AZ67" i="11"/>
  <c r="B68" i="11"/>
  <c r="A68" i="11" s="1"/>
  <c r="C69" i="11"/>
  <c r="BW64" i="11" l="1"/>
  <c r="BX64" i="11"/>
  <c r="L67" i="11"/>
  <c r="M67" i="11"/>
  <c r="DZ68" i="11"/>
  <c r="EI68" i="11"/>
  <c r="EH68" i="11"/>
  <c r="EA68" i="11"/>
  <c r="EC68" i="11"/>
  <c r="M34" i="12"/>
  <c r="A35" i="12"/>
  <c r="V35" i="12" s="1"/>
  <c r="W35" i="12" s="1"/>
  <c r="AY64" i="11"/>
  <c r="DK65" i="11"/>
  <c r="DL65" i="11" s="1"/>
  <c r="AX65" i="11"/>
  <c r="AW65" i="11"/>
  <c r="BK65" i="11"/>
  <c r="BL65" i="11" s="1"/>
  <c r="BX65" i="11"/>
  <c r="BY65" i="11" s="1"/>
  <c r="BF66" i="11"/>
  <c r="BK66" i="11"/>
  <c r="BS66" i="11"/>
  <c r="BX66" i="11"/>
  <c r="AX66" i="11"/>
  <c r="DF66" i="11"/>
  <c r="DK66" i="11"/>
  <c r="B36" i="12"/>
  <c r="CL65" i="11"/>
  <c r="CW66" i="11"/>
  <c r="CX66" i="11"/>
  <c r="AB68" i="11"/>
  <c r="CF67" i="11"/>
  <c r="CD67" i="11"/>
  <c r="CQ67" i="11"/>
  <c r="CJ66" i="11"/>
  <c r="CK66" i="11"/>
  <c r="AQ67" i="11"/>
  <c r="AR67" i="11" s="1"/>
  <c r="AT67" i="11" s="1"/>
  <c r="BJ66" i="11"/>
  <c r="BR67" i="11"/>
  <c r="BT67" i="11" s="1"/>
  <c r="DE67" i="11"/>
  <c r="DG67" i="11" s="1"/>
  <c r="CE68" i="11"/>
  <c r="CG68" i="11" s="1"/>
  <c r="DU68" i="11"/>
  <c r="DV68" i="11"/>
  <c r="DH68" i="11"/>
  <c r="DI68" i="11"/>
  <c r="CR68" i="11"/>
  <c r="CT68" i="11" s="1"/>
  <c r="CU68" i="11"/>
  <c r="CV68" i="11"/>
  <c r="CH68" i="11"/>
  <c r="CI68" i="11"/>
  <c r="BV68" i="11"/>
  <c r="BH68" i="11"/>
  <c r="BU68" i="11"/>
  <c r="BI68" i="11"/>
  <c r="AU68" i="11"/>
  <c r="AV68" i="11"/>
  <c r="AH68" i="11"/>
  <c r="AI68" i="11"/>
  <c r="BE67" i="11"/>
  <c r="BG67" i="11" s="1"/>
  <c r="AZ68" i="11"/>
  <c r="BN68" i="11"/>
  <c r="CZ68" i="11"/>
  <c r="BP68" i="11"/>
  <c r="CN68" i="11"/>
  <c r="BO68" i="11"/>
  <c r="BQ68" i="11" s="1"/>
  <c r="DM68" i="11"/>
  <c r="BB68" i="11"/>
  <c r="BD68" i="11" s="1"/>
  <c r="DN68" i="11"/>
  <c r="CA68" i="11"/>
  <c r="BA68" i="11"/>
  <c r="X68" i="11"/>
  <c r="AA68" i="11"/>
  <c r="CM68" i="11"/>
  <c r="CO68" i="11"/>
  <c r="CC68" i="11"/>
  <c r="AP68" i="11"/>
  <c r="DB68" i="11"/>
  <c r="DD68" i="11" s="1"/>
  <c r="BC68" i="11"/>
  <c r="BM68" i="11"/>
  <c r="DC68" i="11"/>
  <c r="CB68" i="11"/>
  <c r="W69" i="11"/>
  <c r="DP68" i="11"/>
  <c r="AM68" i="11"/>
  <c r="AO68" i="11"/>
  <c r="CP68" i="11"/>
  <c r="DA68" i="11"/>
  <c r="AN68" i="11"/>
  <c r="BZ68" i="11"/>
  <c r="Y68" i="11"/>
  <c r="B69" i="11"/>
  <c r="A69" i="11" s="1"/>
  <c r="C70" i="11"/>
  <c r="BY64" i="11" l="1"/>
  <c r="M35" i="12"/>
  <c r="M68" i="11"/>
  <c r="L68" i="11"/>
  <c r="EC69" i="11"/>
  <c r="EH69" i="11"/>
  <c r="EI69" i="11"/>
  <c r="EA69" i="11"/>
  <c r="DZ69" i="11"/>
  <c r="CS68" i="11"/>
  <c r="A36" i="12"/>
  <c r="V36" i="12" s="1"/>
  <c r="W36" i="12" s="1"/>
  <c r="AY65" i="11"/>
  <c r="AS66" i="11"/>
  <c r="AW66" i="11"/>
  <c r="AY66" i="11" s="1"/>
  <c r="BW66" i="11"/>
  <c r="BY66" i="11" s="1"/>
  <c r="BF67" i="11"/>
  <c r="BK67" i="11"/>
  <c r="DF67" i="11"/>
  <c r="DK67" i="11"/>
  <c r="DJ66" i="11"/>
  <c r="DL66" i="11" s="1"/>
  <c r="BS67" i="11"/>
  <c r="BW67" i="11"/>
  <c r="B37" i="12"/>
  <c r="CQ68" i="11"/>
  <c r="CY66" i="11"/>
  <c r="CJ67" i="11"/>
  <c r="CL66" i="11"/>
  <c r="AB69" i="11"/>
  <c r="CD68" i="11"/>
  <c r="CK67" i="11"/>
  <c r="CW67" i="11"/>
  <c r="CS67" i="11"/>
  <c r="CX67" i="11"/>
  <c r="AW67" i="11"/>
  <c r="AS67" i="11"/>
  <c r="AQ68" i="11"/>
  <c r="AR68" i="11" s="1"/>
  <c r="AT68" i="11" s="1"/>
  <c r="AX67" i="11"/>
  <c r="BL66" i="11"/>
  <c r="BE68" i="11"/>
  <c r="BG68" i="11" s="1"/>
  <c r="CE69" i="11"/>
  <c r="CG69" i="11" s="1"/>
  <c r="DV69" i="11"/>
  <c r="DU69" i="11"/>
  <c r="DH69" i="11"/>
  <c r="DI69" i="11"/>
  <c r="CU69" i="11"/>
  <c r="CV69" i="11"/>
  <c r="CR69" i="11"/>
  <c r="CT69" i="11" s="1"/>
  <c r="CH69" i="11"/>
  <c r="CI69" i="11"/>
  <c r="BU69" i="11"/>
  <c r="BV69" i="11"/>
  <c r="BH69" i="11"/>
  <c r="BI69" i="11"/>
  <c r="AV69" i="11"/>
  <c r="AU69" i="11"/>
  <c r="AH69" i="11"/>
  <c r="AI69" i="11"/>
  <c r="CK68" i="11"/>
  <c r="BR68" i="11"/>
  <c r="BT68" i="11" s="1"/>
  <c r="DE68" i="11"/>
  <c r="DG68" i="11" s="1"/>
  <c r="CC69" i="11"/>
  <c r="BN69" i="11"/>
  <c r="BP69" i="11"/>
  <c r="BO69" i="11"/>
  <c r="BQ69" i="11" s="1"/>
  <c r="DP69" i="11"/>
  <c r="CP69" i="11"/>
  <c r="CO69" i="11"/>
  <c r="AZ69" i="11"/>
  <c r="DB69" i="11"/>
  <c r="DD69" i="11" s="1"/>
  <c r="Y69" i="11"/>
  <c r="DN69" i="11"/>
  <c r="BB69" i="11"/>
  <c r="BD69" i="11" s="1"/>
  <c r="CZ69" i="11"/>
  <c r="BA69" i="11"/>
  <c r="BZ69" i="11"/>
  <c r="CA69" i="11"/>
  <c r="CN69" i="11"/>
  <c r="DM69" i="11"/>
  <c r="X69" i="11"/>
  <c r="AA69" i="11"/>
  <c r="W70" i="11"/>
  <c r="AP69" i="11"/>
  <c r="CB69" i="11"/>
  <c r="BC69" i="11"/>
  <c r="AN69" i="11"/>
  <c r="AO69" i="11"/>
  <c r="DC69" i="11"/>
  <c r="DA69" i="11"/>
  <c r="AM69" i="11"/>
  <c r="BM69" i="11"/>
  <c r="CM69" i="11"/>
  <c r="B70" i="11"/>
  <c r="A70" i="11" s="1"/>
  <c r="C71" i="11"/>
  <c r="M36" i="12" l="1"/>
  <c r="L69" i="11"/>
  <c r="M69" i="11"/>
  <c r="DZ70" i="11"/>
  <c r="EA70" i="11"/>
  <c r="EI70" i="11"/>
  <c r="EH70" i="11"/>
  <c r="EC70" i="11"/>
  <c r="CS69" i="11"/>
  <c r="A37" i="12"/>
  <c r="V37" i="12" s="1"/>
  <c r="W37" i="12" s="1"/>
  <c r="DJ67" i="11"/>
  <c r="DL67" i="11" s="1"/>
  <c r="BX67" i="11"/>
  <c r="BY67" i="11" s="1"/>
  <c r="BJ67" i="11"/>
  <c r="BL67" i="11" s="1"/>
  <c r="BF68" i="11"/>
  <c r="BJ68" i="11"/>
  <c r="AS68" i="11"/>
  <c r="DF68" i="11"/>
  <c r="DK68" i="11"/>
  <c r="B38" i="12"/>
  <c r="BS68" i="11"/>
  <c r="BX68" i="11"/>
  <c r="CL67" i="11"/>
  <c r="CY67" i="11"/>
  <c r="AB70" i="11"/>
  <c r="CF69" i="11"/>
  <c r="CD69" i="11"/>
  <c r="CQ69" i="11"/>
  <c r="CJ68" i="11"/>
  <c r="CL68" i="11" s="1"/>
  <c r="CF68" i="11"/>
  <c r="AQ69" i="11"/>
  <c r="AR69" i="11" s="1"/>
  <c r="AT69" i="11" s="1"/>
  <c r="AY67" i="11"/>
  <c r="BK68" i="11"/>
  <c r="DE69" i="11"/>
  <c r="DG69" i="11" s="1"/>
  <c r="CW68" i="11"/>
  <c r="CX68" i="11"/>
  <c r="BE69" i="11"/>
  <c r="BG69" i="11" s="1"/>
  <c r="BR69" i="11"/>
  <c r="BT69" i="11" s="1"/>
  <c r="CE70" i="11"/>
  <c r="CG70" i="11" s="1"/>
  <c r="DU70" i="11"/>
  <c r="DV70" i="11"/>
  <c r="DI70" i="11"/>
  <c r="DH70" i="11"/>
  <c r="CR70" i="11"/>
  <c r="CT70" i="11" s="1"/>
  <c r="CU70" i="11"/>
  <c r="CV70" i="11"/>
  <c r="CI70" i="11"/>
  <c r="CH70" i="11"/>
  <c r="BV70" i="11"/>
  <c r="BI70" i="11"/>
  <c r="BH70" i="11"/>
  <c r="BU70" i="11"/>
  <c r="AU70" i="11"/>
  <c r="AV70" i="11"/>
  <c r="AH70" i="11"/>
  <c r="AI70" i="11"/>
  <c r="AN70" i="11"/>
  <c r="CP70" i="11"/>
  <c r="BP70" i="11"/>
  <c r="BN70" i="11"/>
  <c r="AO70" i="11"/>
  <c r="BO70" i="11"/>
  <c r="BQ70" i="11" s="1"/>
  <c r="BM70" i="11"/>
  <c r="BC70" i="11"/>
  <c r="CA70" i="11"/>
  <c r="AM70" i="11"/>
  <c r="AA70" i="11"/>
  <c r="CB70" i="11"/>
  <c r="AP70" i="11"/>
  <c r="DM70" i="11"/>
  <c r="CM70" i="11"/>
  <c r="DC70" i="11"/>
  <c r="W71" i="11"/>
  <c r="CN70" i="11"/>
  <c r="CZ70" i="11"/>
  <c r="BZ70" i="11"/>
  <c r="DA70" i="11"/>
  <c r="DN70" i="11"/>
  <c r="BB70" i="11"/>
  <c r="BD70" i="11" s="1"/>
  <c r="Y70" i="11"/>
  <c r="AZ70" i="11"/>
  <c r="CO70" i="11"/>
  <c r="DP70" i="11"/>
  <c r="DB70" i="11"/>
  <c r="DD70" i="11" s="1"/>
  <c r="X70" i="11"/>
  <c r="BA70" i="11"/>
  <c r="CC70" i="11"/>
  <c r="B71" i="11"/>
  <c r="A71" i="11" s="1"/>
  <c r="C72" i="11"/>
  <c r="M70" i="11" l="1"/>
  <c r="M37" i="12"/>
  <c r="L70" i="11"/>
  <c r="EC71" i="11"/>
  <c r="EI71" i="11"/>
  <c r="EH71" i="11"/>
  <c r="EA71" i="11"/>
  <c r="DZ71" i="11"/>
  <c r="CS70" i="11"/>
  <c r="A38" i="12"/>
  <c r="V38" i="12" s="1"/>
  <c r="W38" i="12" s="1"/>
  <c r="AX68" i="11"/>
  <c r="AW68" i="11"/>
  <c r="DJ68" i="11"/>
  <c r="DL68" i="11" s="1"/>
  <c r="BW68" i="11"/>
  <c r="BY68" i="11" s="1"/>
  <c r="DF69" i="11"/>
  <c r="DK69" i="11"/>
  <c r="BS69" i="11"/>
  <c r="BW69" i="11"/>
  <c r="AS69" i="11"/>
  <c r="B39" i="12"/>
  <c r="BF69" i="11"/>
  <c r="BK69" i="11"/>
  <c r="CK69" i="11"/>
  <c r="AB71" i="11"/>
  <c r="CW69" i="11"/>
  <c r="CX69" i="11"/>
  <c r="CJ69" i="11"/>
  <c r="CQ70" i="11"/>
  <c r="CF70" i="11"/>
  <c r="CD70" i="11"/>
  <c r="BL68" i="11"/>
  <c r="AQ70" i="11"/>
  <c r="AR70" i="11" s="1"/>
  <c r="AT70" i="11" s="1"/>
  <c r="CY68" i="11"/>
  <c r="DP71" i="11"/>
  <c r="BR70" i="11"/>
  <c r="BT70" i="11" s="1"/>
  <c r="CE71" i="11"/>
  <c r="CG71" i="11" s="1"/>
  <c r="DV71" i="11"/>
  <c r="DU71" i="11"/>
  <c r="DI71" i="11"/>
  <c r="DH71" i="11"/>
  <c r="CU71" i="11"/>
  <c r="CV71" i="11"/>
  <c r="CR71" i="11"/>
  <c r="CT71" i="11" s="1"/>
  <c r="CH71" i="11"/>
  <c r="CI71" i="11"/>
  <c r="BU71" i="11"/>
  <c r="BV71" i="11"/>
  <c r="BI71" i="11"/>
  <c r="BH71" i="11"/>
  <c r="AU71" i="11"/>
  <c r="AV71" i="11"/>
  <c r="AH71" i="11"/>
  <c r="AI71" i="11"/>
  <c r="BE70" i="11"/>
  <c r="BG70" i="11" s="1"/>
  <c r="DE70" i="11"/>
  <c r="DG70" i="11" s="1"/>
  <c r="BN71" i="11"/>
  <c r="BP71" i="11"/>
  <c r="BO71" i="11"/>
  <c r="BQ71" i="11" s="1"/>
  <c r="CC71" i="11"/>
  <c r="AM71" i="11"/>
  <c r="AO71" i="11"/>
  <c r="AA71" i="11"/>
  <c r="BB71" i="11"/>
  <c r="BD71" i="11" s="1"/>
  <c r="BA71" i="11"/>
  <c r="DA71" i="11"/>
  <c r="CN71" i="11"/>
  <c r="CB71" i="11"/>
  <c r="DN71" i="11"/>
  <c r="CA71" i="11"/>
  <c r="CO71" i="11"/>
  <c r="AZ71" i="11"/>
  <c r="AN71" i="11"/>
  <c r="CP71" i="11"/>
  <c r="Y71" i="11"/>
  <c r="X71" i="11"/>
  <c r="DB71" i="11"/>
  <c r="DD71" i="11" s="1"/>
  <c r="BZ71" i="11"/>
  <c r="DC71" i="11"/>
  <c r="W72" i="11"/>
  <c r="CM71" i="11"/>
  <c r="BM71" i="11"/>
  <c r="AP71" i="11"/>
  <c r="BC71" i="11"/>
  <c r="CZ71" i="11"/>
  <c r="DM71" i="11"/>
  <c r="B72" i="11"/>
  <c r="A72" i="11" s="1"/>
  <c r="C73" i="11"/>
  <c r="M71" i="11" l="1"/>
  <c r="L71" i="11"/>
  <c r="DZ72" i="11"/>
  <c r="EI72" i="11"/>
  <c r="EH72" i="11"/>
  <c r="EA72" i="11"/>
  <c r="EC72" i="11"/>
  <c r="CS71" i="11"/>
  <c r="M38" i="12"/>
  <c r="A39" i="12"/>
  <c r="V39" i="12" s="1"/>
  <c r="W39" i="12" s="1"/>
  <c r="DJ69" i="11"/>
  <c r="DL69" i="11" s="1"/>
  <c r="AY68" i="11"/>
  <c r="BJ69" i="11"/>
  <c r="BL69" i="11" s="1"/>
  <c r="BX69" i="11"/>
  <c r="BY69" i="11" s="1"/>
  <c r="AX69" i="11"/>
  <c r="AW69" i="11"/>
  <c r="DF70" i="11"/>
  <c r="DJ70" i="11"/>
  <c r="BF70" i="11"/>
  <c r="BJ70" i="11"/>
  <c r="BS70" i="11"/>
  <c r="BW70" i="11"/>
  <c r="B40" i="12"/>
  <c r="CL69" i="11"/>
  <c r="CY69" i="11"/>
  <c r="CJ70" i="11"/>
  <c r="CX70" i="11"/>
  <c r="CW70" i="11"/>
  <c r="CK70" i="11"/>
  <c r="AB72" i="11"/>
  <c r="CF71" i="11"/>
  <c r="CD71" i="11"/>
  <c r="CQ71" i="11"/>
  <c r="AW70" i="11"/>
  <c r="AS70" i="11"/>
  <c r="AQ71" i="11"/>
  <c r="AR71" i="11" s="1"/>
  <c r="AT71" i="11" s="1"/>
  <c r="AX70" i="11"/>
  <c r="DE71" i="11"/>
  <c r="DG71" i="11" s="1"/>
  <c r="CE72" i="11"/>
  <c r="CG72" i="11" s="1"/>
  <c r="DV72" i="11"/>
  <c r="DU72" i="11"/>
  <c r="DH72" i="11"/>
  <c r="DI72" i="11"/>
  <c r="CR72" i="11"/>
  <c r="CT72" i="11" s="1"/>
  <c r="CU72" i="11"/>
  <c r="CV72" i="11"/>
  <c r="CI72" i="11"/>
  <c r="CH72" i="11"/>
  <c r="BU72" i="11"/>
  <c r="BV72" i="11"/>
  <c r="BH72" i="11"/>
  <c r="BI72" i="11"/>
  <c r="AV72" i="11"/>
  <c r="AU72" i="11"/>
  <c r="AH72" i="11"/>
  <c r="AI72" i="11"/>
  <c r="BE71" i="11"/>
  <c r="BG71" i="11" s="1"/>
  <c r="BR71" i="11"/>
  <c r="BT71" i="11" s="1"/>
  <c r="CZ72" i="11"/>
  <c r="AO72" i="11"/>
  <c r="BA72" i="11"/>
  <c r="BM72" i="11"/>
  <c r="AN72" i="11"/>
  <c r="Y72" i="11"/>
  <c r="BB72" i="11"/>
  <c r="BD72" i="11" s="1"/>
  <c r="BP72" i="11"/>
  <c r="AM72" i="11"/>
  <c r="BN72" i="11"/>
  <c r="BO72" i="11"/>
  <c r="AA72" i="11"/>
  <c r="DA72" i="11"/>
  <c r="CA72" i="11"/>
  <c r="DM72" i="11"/>
  <c r="AP72" i="11"/>
  <c r="X72" i="11"/>
  <c r="AZ72" i="11"/>
  <c r="CM72" i="11"/>
  <c r="DB72" i="11"/>
  <c r="DD72" i="11" s="1"/>
  <c r="DP72" i="11"/>
  <c r="CN72" i="11"/>
  <c r="BC72" i="11"/>
  <c r="CC72" i="11"/>
  <c r="CB72" i="11"/>
  <c r="W73" i="11"/>
  <c r="CP72" i="11"/>
  <c r="BZ72" i="11"/>
  <c r="DN72" i="11"/>
  <c r="CO72" i="11"/>
  <c r="DC72" i="11"/>
  <c r="B73" i="11"/>
  <c r="A73" i="11" s="1"/>
  <c r="C74" i="11"/>
  <c r="L72" i="11" l="1"/>
  <c r="M72" i="11"/>
  <c r="EC73" i="11"/>
  <c r="EA73" i="11"/>
  <c r="EH73" i="11"/>
  <c r="EI73" i="11"/>
  <c r="DZ73" i="11"/>
  <c r="M39" i="12"/>
  <c r="A40" i="12"/>
  <c r="V40" i="12" s="1"/>
  <c r="W40" i="12" s="1"/>
  <c r="AY69" i="11"/>
  <c r="DK70" i="11"/>
  <c r="DL70" i="11" s="1"/>
  <c r="BK70" i="11"/>
  <c r="BL70" i="11" s="1"/>
  <c r="BX70" i="11"/>
  <c r="BY70" i="11" s="1"/>
  <c r="AS71" i="11"/>
  <c r="DF71" i="11"/>
  <c r="DJ71" i="11"/>
  <c r="BS71" i="11"/>
  <c r="BW71" i="11"/>
  <c r="B41" i="12"/>
  <c r="BF71" i="11"/>
  <c r="BJ71" i="11"/>
  <c r="CL70" i="11"/>
  <c r="CY70" i="11"/>
  <c r="CX71" i="11"/>
  <c r="BQ72" i="11"/>
  <c r="BR72" i="11" s="1"/>
  <c r="BT72" i="11" s="1"/>
  <c r="CK71" i="11"/>
  <c r="CJ71" i="11"/>
  <c r="AB73" i="11"/>
  <c r="CF72" i="11"/>
  <c r="CD72" i="11"/>
  <c r="CQ72" i="11"/>
  <c r="CW71" i="11"/>
  <c r="AY70" i="11"/>
  <c r="AQ72" i="11"/>
  <c r="AR72" i="11" s="1"/>
  <c r="AT72" i="11" s="1"/>
  <c r="DE72" i="11"/>
  <c r="DG72" i="11" s="1"/>
  <c r="BE72" i="11"/>
  <c r="BG72" i="11" s="1"/>
  <c r="CE73" i="11"/>
  <c r="CG73" i="11" s="1"/>
  <c r="DU73" i="11"/>
  <c r="DV73" i="11"/>
  <c r="DH73" i="11"/>
  <c r="DI73" i="11"/>
  <c r="CV73" i="11"/>
  <c r="CR73" i="11"/>
  <c r="CT73" i="11" s="1"/>
  <c r="CU73" i="11"/>
  <c r="CH73" i="11"/>
  <c r="CI73" i="11"/>
  <c r="BU73" i="11"/>
  <c r="BV73" i="11"/>
  <c r="BH73" i="11"/>
  <c r="BI73" i="11"/>
  <c r="AU73" i="11"/>
  <c r="AI73" i="11"/>
  <c r="AV73" i="11"/>
  <c r="AH73" i="11"/>
  <c r="BN73" i="11"/>
  <c r="BP73" i="11"/>
  <c r="BO73" i="11"/>
  <c r="BQ73" i="11" s="1"/>
  <c r="X73" i="11"/>
  <c r="CP73" i="11"/>
  <c r="AA73" i="11"/>
  <c r="CM73" i="11"/>
  <c r="CN73" i="11"/>
  <c r="DB73" i="11"/>
  <c r="DD73" i="11" s="1"/>
  <c r="BM73" i="11"/>
  <c r="BC73" i="11"/>
  <c r="Y73" i="11"/>
  <c r="DC73" i="11"/>
  <c r="AN73" i="11"/>
  <c r="CZ73" i="11"/>
  <c r="CO73" i="11"/>
  <c r="DA73" i="11"/>
  <c r="DP73" i="11"/>
  <c r="DN73" i="11"/>
  <c r="BA73" i="11"/>
  <c r="AM73" i="11"/>
  <c r="BB73" i="11"/>
  <c r="BD73" i="11" s="1"/>
  <c r="DM73" i="11"/>
  <c r="W74" i="11"/>
  <c r="CC73" i="11"/>
  <c r="AZ73" i="11"/>
  <c r="AP73" i="11"/>
  <c r="BZ73" i="11"/>
  <c r="CB73" i="11"/>
  <c r="AO73" i="11"/>
  <c r="CA73" i="11"/>
  <c r="B74" i="11"/>
  <c r="A74" i="11" s="1"/>
  <c r="C75" i="11"/>
  <c r="CA74" i="11" l="1"/>
  <c r="L73" i="11"/>
  <c r="M73" i="11"/>
  <c r="DZ74" i="11"/>
  <c r="EI74" i="11"/>
  <c r="EH74" i="11"/>
  <c r="EA74" i="11"/>
  <c r="EC74" i="11"/>
  <c r="CX72" i="11"/>
  <c r="M40" i="12"/>
  <c r="A41" i="12"/>
  <c r="V41" i="12" s="1"/>
  <c r="W41" i="12" s="1"/>
  <c r="BX71" i="11"/>
  <c r="BY71" i="11" s="1"/>
  <c r="AW71" i="11"/>
  <c r="BK71" i="11"/>
  <c r="BL71" i="11" s="1"/>
  <c r="DK71" i="11"/>
  <c r="DL71" i="11" s="1"/>
  <c r="AX71" i="11"/>
  <c r="AS72" i="11"/>
  <c r="BF72" i="11"/>
  <c r="BJ72" i="11"/>
  <c r="B42" i="12"/>
  <c r="DF72" i="11"/>
  <c r="DK72" i="11"/>
  <c r="CJ72" i="11"/>
  <c r="CY71" i="11"/>
  <c r="CK72" i="11"/>
  <c r="BS72" i="11"/>
  <c r="BW72" i="11"/>
  <c r="BX72" i="11"/>
  <c r="CL71" i="11"/>
  <c r="AB74" i="11"/>
  <c r="CF73" i="11"/>
  <c r="CD73" i="11"/>
  <c r="CW72" i="11"/>
  <c r="CS72" i="11"/>
  <c r="CQ73" i="11"/>
  <c r="AQ73" i="11"/>
  <c r="AR73" i="11" s="1"/>
  <c r="AT73" i="11" s="1"/>
  <c r="BR73" i="11"/>
  <c r="BT73" i="11" s="1"/>
  <c r="BE73" i="11"/>
  <c r="BG73" i="11" s="1"/>
  <c r="CE74" i="11"/>
  <c r="CG74" i="11" s="1"/>
  <c r="DU74" i="11"/>
  <c r="DV74" i="11"/>
  <c r="DH74" i="11"/>
  <c r="DI74" i="11"/>
  <c r="CR74" i="11"/>
  <c r="CT74" i="11" s="1"/>
  <c r="CV74" i="11"/>
  <c r="CU74" i="11"/>
  <c r="CI74" i="11"/>
  <c r="CH74" i="11"/>
  <c r="BU74" i="11"/>
  <c r="BV74" i="11"/>
  <c r="BI74" i="11"/>
  <c r="BH74" i="11"/>
  <c r="AU74" i="11"/>
  <c r="AV74" i="11"/>
  <c r="AH74" i="11"/>
  <c r="AI74" i="11"/>
  <c r="DE73" i="11"/>
  <c r="DG73" i="11" s="1"/>
  <c r="DA74" i="11"/>
  <c r="DM74" i="11"/>
  <c r="BZ74" i="11"/>
  <c r="DC74" i="11"/>
  <c r="AZ74" i="11"/>
  <c r="BN74" i="11"/>
  <c r="BP74" i="11"/>
  <c r="X74" i="11"/>
  <c r="AO74" i="11"/>
  <c r="BO74" i="11"/>
  <c r="BC74" i="11"/>
  <c r="BM74" i="11"/>
  <c r="BA74" i="11"/>
  <c r="CC74" i="11"/>
  <c r="AM74" i="11"/>
  <c r="Y74" i="11"/>
  <c r="W75" i="11"/>
  <c r="BB74" i="11"/>
  <c r="BD74" i="11" s="1"/>
  <c r="CO74" i="11"/>
  <c r="DB74" i="11"/>
  <c r="DD74" i="11" s="1"/>
  <c r="CB74" i="11"/>
  <c r="DN74" i="11"/>
  <c r="CZ74" i="11"/>
  <c r="CN74" i="11"/>
  <c r="DP74" i="11"/>
  <c r="AN74" i="11"/>
  <c r="CM74" i="11"/>
  <c r="AP74" i="11"/>
  <c r="CP74" i="11"/>
  <c r="AA74" i="11"/>
  <c r="B75" i="11"/>
  <c r="A75" i="11" s="1"/>
  <c r="C76" i="11"/>
  <c r="EC75" i="11" l="1"/>
  <c r="M74" i="11"/>
  <c r="L74" i="11"/>
  <c r="M41" i="12"/>
  <c r="CY72" i="11"/>
  <c r="EA75" i="11"/>
  <c r="EI75" i="11"/>
  <c r="EH75" i="11"/>
  <c r="DZ75" i="11"/>
  <c r="CS74" i="11"/>
  <c r="A42" i="12"/>
  <c r="V42" i="12" s="1"/>
  <c r="W42" i="12" s="1"/>
  <c r="AY71" i="11"/>
  <c r="AX72" i="11"/>
  <c r="BK72" i="11"/>
  <c r="BL72" i="11" s="1"/>
  <c r="AW72" i="11"/>
  <c r="DJ72" i="11"/>
  <c r="DL72" i="11" s="1"/>
  <c r="BF73" i="11"/>
  <c r="BJ73" i="11"/>
  <c r="BY72" i="11"/>
  <c r="DF73" i="11"/>
  <c r="DJ73" i="11"/>
  <c r="BS73" i="11"/>
  <c r="BX73" i="11"/>
  <c r="B43" i="12"/>
  <c r="CL72" i="11"/>
  <c r="CK73" i="11"/>
  <c r="CJ73" i="11"/>
  <c r="AB75" i="11"/>
  <c r="BQ74" i="11"/>
  <c r="BR74" i="11" s="1"/>
  <c r="BT74" i="11" s="1"/>
  <c r="CQ74" i="11"/>
  <c r="CX73" i="11"/>
  <c r="CS73" i="11"/>
  <c r="CW73" i="11"/>
  <c r="CD74" i="11"/>
  <c r="AX73" i="11"/>
  <c r="AS73" i="11"/>
  <c r="AQ74" i="11"/>
  <c r="AR74" i="11" s="1"/>
  <c r="AT74" i="11" s="1"/>
  <c r="AW73" i="11"/>
  <c r="BE74" i="11"/>
  <c r="BG74" i="11" s="1"/>
  <c r="CE75" i="11"/>
  <c r="CG75" i="11" s="1"/>
  <c r="DV75" i="11"/>
  <c r="DU75" i="11"/>
  <c r="DH75" i="11"/>
  <c r="DI75" i="11"/>
  <c r="CR75" i="11"/>
  <c r="CT75" i="11" s="1"/>
  <c r="CU75" i="11"/>
  <c r="CV75" i="11"/>
  <c r="CH75" i="11"/>
  <c r="CI75" i="11"/>
  <c r="BU75" i="11"/>
  <c r="BV75" i="11"/>
  <c r="BH75" i="11"/>
  <c r="BI75" i="11"/>
  <c r="AV75" i="11"/>
  <c r="AU75" i="11"/>
  <c r="AH75" i="11"/>
  <c r="AI75" i="11"/>
  <c r="DE74" i="11"/>
  <c r="DG74" i="11" s="1"/>
  <c r="AA75" i="11"/>
  <c r="AP75" i="11"/>
  <c r="AN75" i="11"/>
  <c r="CP75" i="11"/>
  <c r="BN75" i="11"/>
  <c r="BM75" i="11"/>
  <c r="BC75" i="11"/>
  <c r="DA75" i="11"/>
  <c r="CM75" i="11"/>
  <c r="DN75" i="11"/>
  <c r="BP75" i="11"/>
  <c r="BO75" i="11"/>
  <c r="BQ75" i="11" s="1"/>
  <c r="DP75" i="11"/>
  <c r="DB75" i="11"/>
  <c r="DD75" i="11" s="1"/>
  <c r="CO75" i="11"/>
  <c r="CN75" i="11"/>
  <c r="BB75" i="11"/>
  <c r="BD75" i="11" s="1"/>
  <c r="Y75" i="11"/>
  <c r="CZ75" i="11"/>
  <c r="AM75" i="11"/>
  <c r="AO75" i="11"/>
  <c r="CC75" i="11"/>
  <c r="CB75" i="11"/>
  <c r="DM75" i="11"/>
  <c r="W76" i="11"/>
  <c r="CA75" i="11"/>
  <c r="X75" i="11"/>
  <c r="DC75" i="11"/>
  <c r="BZ75" i="11"/>
  <c r="AZ75" i="11"/>
  <c r="BA75" i="11"/>
  <c r="B76" i="11"/>
  <c r="A76" i="11" s="1"/>
  <c r="C77" i="11"/>
  <c r="M75" i="11" l="1"/>
  <c r="L75" i="11"/>
  <c r="DZ76" i="11"/>
  <c r="EA76" i="11"/>
  <c r="EH76" i="11"/>
  <c r="EI76" i="11"/>
  <c r="EC76" i="11"/>
  <c r="M42" i="12"/>
  <c r="CS75" i="11"/>
  <c r="A43" i="12"/>
  <c r="V43" i="12" s="1"/>
  <c r="W43" i="12" s="1"/>
  <c r="AY72" i="11"/>
  <c r="BW73" i="11"/>
  <c r="BY73" i="11" s="1"/>
  <c r="BK73" i="11"/>
  <c r="BL73" i="11" s="1"/>
  <c r="DK73" i="11"/>
  <c r="DL73" i="11" s="1"/>
  <c r="AS74" i="11"/>
  <c r="DF74" i="11"/>
  <c r="DJ74" i="11"/>
  <c r="B44" i="12"/>
  <c r="BF74" i="11"/>
  <c r="BK74" i="11"/>
  <c r="CL73" i="11"/>
  <c r="CX74" i="11"/>
  <c r="CY73" i="11"/>
  <c r="BS74" i="11"/>
  <c r="BW74" i="11"/>
  <c r="BX74" i="11"/>
  <c r="CW74" i="11"/>
  <c r="AB76" i="11"/>
  <c r="AY73" i="11"/>
  <c r="BR75" i="11"/>
  <c r="BT75" i="11" s="1"/>
  <c r="CK74" i="11"/>
  <c r="CF74" i="11"/>
  <c r="CJ75" i="11"/>
  <c r="CD75" i="11"/>
  <c r="CJ74" i="11"/>
  <c r="CQ75" i="11"/>
  <c r="AQ75" i="11"/>
  <c r="AR75" i="11" s="1"/>
  <c r="AT75" i="11" s="1"/>
  <c r="CE76" i="11"/>
  <c r="CG76" i="11" s="1"/>
  <c r="DV76" i="11"/>
  <c r="DU76" i="11"/>
  <c r="DH76" i="11"/>
  <c r="DI76" i="11"/>
  <c r="CR76" i="11"/>
  <c r="CT76" i="11" s="1"/>
  <c r="CV76" i="11"/>
  <c r="CU76" i="11"/>
  <c r="CH76" i="11"/>
  <c r="CI76" i="11"/>
  <c r="BU76" i="11"/>
  <c r="BH76" i="11"/>
  <c r="BV76" i="11"/>
  <c r="BI76" i="11"/>
  <c r="AU76" i="11"/>
  <c r="AV76" i="11"/>
  <c r="AH76" i="11"/>
  <c r="AI76" i="11"/>
  <c r="DE75" i="11"/>
  <c r="DG75" i="11" s="1"/>
  <c r="BE75" i="11"/>
  <c r="BG75" i="11" s="1"/>
  <c r="BN76" i="11"/>
  <c r="BP76" i="11"/>
  <c r="BO76" i="11"/>
  <c r="BQ76" i="11" s="1"/>
  <c r="DB76" i="11"/>
  <c r="DD76" i="11" s="1"/>
  <c r="CO76" i="11"/>
  <c r="BC76" i="11"/>
  <c r="CZ76" i="11"/>
  <c r="AM76" i="11"/>
  <c r="Y76" i="11"/>
  <c r="AO76" i="11"/>
  <c r="DC76" i="11"/>
  <c r="BA76" i="11"/>
  <c r="BB76" i="11"/>
  <c r="BD76" i="11" s="1"/>
  <c r="AZ76" i="11"/>
  <c r="X76" i="11"/>
  <c r="CM76" i="11"/>
  <c r="DN76" i="11"/>
  <c r="W77" i="11"/>
  <c r="CA76" i="11"/>
  <c r="CN76" i="11"/>
  <c r="AN76" i="11"/>
  <c r="CC76" i="11"/>
  <c r="CP76" i="11"/>
  <c r="AP76" i="11"/>
  <c r="DM76" i="11"/>
  <c r="DP76" i="11"/>
  <c r="BZ76" i="11"/>
  <c r="BM76" i="11"/>
  <c r="CB76" i="11"/>
  <c r="AA76" i="11"/>
  <c r="DA76" i="11"/>
  <c r="B77" i="11"/>
  <c r="A77" i="11" s="1"/>
  <c r="C78" i="11"/>
  <c r="M76" i="11" l="1"/>
  <c r="L76" i="11"/>
  <c r="EC77" i="11"/>
  <c r="EI77" i="11"/>
  <c r="EH77" i="11"/>
  <c r="EA77" i="11"/>
  <c r="DZ77" i="11"/>
  <c r="M43" i="12"/>
  <c r="CS76" i="11"/>
  <c r="A44" i="12"/>
  <c r="V44" i="12" s="1"/>
  <c r="W44" i="12" s="1"/>
  <c r="AW74" i="11"/>
  <c r="AX74" i="11"/>
  <c r="BJ74" i="11"/>
  <c r="BL74" i="11" s="1"/>
  <c r="DK74" i="11"/>
  <c r="DL74" i="11" s="1"/>
  <c r="BS75" i="11"/>
  <c r="BX75" i="11"/>
  <c r="BF75" i="11"/>
  <c r="BJ75" i="11"/>
  <c r="DF75" i="11"/>
  <c r="DK75" i="11"/>
  <c r="B45" i="12"/>
  <c r="AW75" i="11"/>
  <c r="BY74" i="11"/>
  <c r="CL74" i="11"/>
  <c r="CY74" i="11"/>
  <c r="CW75" i="11"/>
  <c r="AB77" i="11"/>
  <c r="CQ76" i="11"/>
  <c r="CX75" i="11"/>
  <c r="CK75" i="11"/>
  <c r="CL75" i="11" s="1"/>
  <c r="CF75" i="11"/>
  <c r="CF76" i="11"/>
  <c r="CD76" i="11"/>
  <c r="AQ76" i="11"/>
  <c r="AR76" i="11" s="1"/>
  <c r="AT76" i="11" s="1"/>
  <c r="CE77" i="11"/>
  <c r="CG77" i="11" s="1"/>
  <c r="DU77" i="11"/>
  <c r="DV77" i="11"/>
  <c r="DH77" i="11"/>
  <c r="DI77" i="11"/>
  <c r="CR77" i="11"/>
  <c r="CT77" i="11" s="1"/>
  <c r="CU77" i="11"/>
  <c r="CH77" i="11"/>
  <c r="CV77" i="11"/>
  <c r="CI77" i="11"/>
  <c r="BU77" i="11"/>
  <c r="BV77" i="11"/>
  <c r="BI77" i="11"/>
  <c r="BH77" i="11"/>
  <c r="AU77" i="11"/>
  <c r="AH77" i="11"/>
  <c r="AI77" i="11"/>
  <c r="AV77" i="11"/>
  <c r="BE76" i="11"/>
  <c r="BG76" i="11" s="1"/>
  <c r="DE76" i="11"/>
  <c r="DG76" i="11" s="1"/>
  <c r="BR76" i="11"/>
  <c r="BT76" i="11" s="1"/>
  <c r="AA77" i="11"/>
  <c r="BM77" i="11"/>
  <c r="AP77" i="11"/>
  <c r="BP77" i="11"/>
  <c r="BN77" i="11"/>
  <c r="BO77" i="11"/>
  <c r="BQ77" i="11" s="1"/>
  <c r="AM77" i="11"/>
  <c r="DM77" i="11"/>
  <c r="CA77" i="11"/>
  <c r="CB77" i="11"/>
  <c r="CP77" i="11"/>
  <c r="BA77" i="11"/>
  <c r="BC77" i="11"/>
  <c r="AO77" i="11"/>
  <c r="BZ77" i="11"/>
  <c r="CC77" i="11"/>
  <c r="DA77" i="11"/>
  <c r="AN77" i="11"/>
  <c r="DP77" i="11"/>
  <c r="DC77" i="11"/>
  <c r="CZ77" i="11"/>
  <c r="DN77" i="11"/>
  <c r="CM77" i="11"/>
  <c r="Y77" i="11"/>
  <c r="X77" i="11"/>
  <c r="AZ77" i="11"/>
  <c r="CO77" i="11"/>
  <c r="W78" i="11"/>
  <c r="CN77" i="11"/>
  <c r="BB77" i="11"/>
  <c r="BD77" i="11" s="1"/>
  <c r="DB77" i="11"/>
  <c r="DD77" i="11" s="1"/>
  <c r="B78" i="11"/>
  <c r="A78" i="11" s="1"/>
  <c r="C79" i="11"/>
  <c r="M44" i="12" l="1"/>
  <c r="M77" i="11"/>
  <c r="L77" i="11"/>
  <c r="DZ78" i="11"/>
  <c r="EA78" i="11"/>
  <c r="EI78" i="11"/>
  <c r="EH78" i="11"/>
  <c r="EC78" i="11"/>
  <c r="CS77" i="11"/>
  <c r="A45" i="12"/>
  <c r="V45" i="12" s="1"/>
  <c r="W45" i="12" s="1"/>
  <c r="AY74" i="11"/>
  <c r="BW75" i="11"/>
  <c r="BY75" i="11" s="1"/>
  <c r="BK75" i="11"/>
  <c r="BL75" i="11" s="1"/>
  <c r="DJ75" i="11"/>
  <c r="DL75" i="11" s="1"/>
  <c r="AS75" i="11"/>
  <c r="AX75" i="11"/>
  <c r="AY75" i="11" s="1"/>
  <c r="AS76" i="11"/>
  <c r="BS76" i="11"/>
  <c r="BX76" i="11"/>
  <c r="DF76" i="11"/>
  <c r="DK76" i="11"/>
  <c r="BF76" i="11"/>
  <c r="BJ76" i="11"/>
  <c r="B46" i="12"/>
  <c r="CY75" i="11"/>
  <c r="AB78" i="11"/>
  <c r="CW76" i="11"/>
  <c r="CX76" i="11"/>
  <c r="CQ77" i="11"/>
  <c r="CK76" i="11"/>
  <c r="CF77" i="11"/>
  <c r="CD77" i="11"/>
  <c r="CJ76" i="11"/>
  <c r="AQ77" i="11"/>
  <c r="AR77" i="11" s="1"/>
  <c r="AT77" i="11" s="1"/>
  <c r="BR77" i="11"/>
  <c r="BT77" i="11" s="1"/>
  <c r="BE77" i="11"/>
  <c r="BG77" i="11" s="1"/>
  <c r="DE77" i="11"/>
  <c r="DG77" i="11" s="1"/>
  <c r="CE78" i="11"/>
  <c r="CG78" i="11" s="1"/>
  <c r="DU78" i="11"/>
  <c r="DV78" i="11"/>
  <c r="DI78" i="11"/>
  <c r="DH78" i="11"/>
  <c r="CU78" i="11"/>
  <c r="CV78" i="11"/>
  <c r="CR78" i="11"/>
  <c r="CT78" i="11" s="1"/>
  <c r="CH78" i="11"/>
  <c r="CI78" i="11"/>
  <c r="BU78" i="11"/>
  <c r="BV78" i="11"/>
  <c r="BI78" i="11"/>
  <c r="BH78" i="11"/>
  <c r="AU78" i="11"/>
  <c r="AV78" i="11"/>
  <c r="AH78" i="11"/>
  <c r="AI78" i="11"/>
  <c r="CA78" i="11"/>
  <c r="BN78" i="11"/>
  <c r="BP78" i="11"/>
  <c r="DB78" i="11"/>
  <c r="DD78" i="11" s="1"/>
  <c r="BO78" i="11"/>
  <c r="BQ78" i="11" s="1"/>
  <c r="BB78" i="11"/>
  <c r="BD78" i="11" s="1"/>
  <c r="BA78" i="11"/>
  <c r="AP78" i="11"/>
  <c r="DN78" i="11"/>
  <c r="CP78" i="11"/>
  <c r="CO78" i="11"/>
  <c r="AO78" i="11"/>
  <c r="BM78" i="11"/>
  <c r="AZ78" i="11"/>
  <c r="CN78" i="11"/>
  <c r="AM78" i="11"/>
  <c r="DC78" i="11"/>
  <c r="AN78" i="11"/>
  <c r="Y78" i="11"/>
  <c r="W79" i="11"/>
  <c r="BC78" i="11"/>
  <c r="CM78" i="11"/>
  <c r="DM78" i="11"/>
  <c r="X78" i="11"/>
  <c r="BZ78" i="11"/>
  <c r="CB78" i="11"/>
  <c r="AA78" i="11"/>
  <c r="CC78" i="11"/>
  <c r="DA78" i="11"/>
  <c r="CZ78" i="11"/>
  <c r="DP78" i="11"/>
  <c r="B79" i="11"/>
  <c r="A79" i="11" s="1"/>
  <c r="C80" i="11"/>
  <c r="M45" i="12" l="1"/>
  <c r="M78" i="11"/>
  <c r="L78" i="11"/>
  <c r="EC79" i="11"/>
  <c r="EI79" i="11"/>
  <c r="EH79" i="11"/>
  <c r="EA79" i="11"/>
  <c r="DZ79" i="11"/>
  <c r="CS78" i="11"/>
  <c r="A46" i="12"/>
  <c r="V46" i="12" s="1"/>
  <c r="W46" i="12" s="1"/>
  <c r="AX76" i="11"/>
  <c r="AW76" i="11"/>
  <c r="CY76" i="11"/>
  <c r="DJ76" i="11"/>
  <c r="DL76" i="11" s="1"/>
  <c r="BW76" i="11"/>
  <c r="BY76" i="11" s="1"/>
  <c r="BS77" i="11"/>
  <c r="BX77" i="11"/>
  <c r="AS77" i="11"/>
  <c r="DF77" i="11"/>
  <c r="DJ77" i="11"/>
  <c r="BK76" i="11"/>
  <c r="BL76" i="11" s="1"/>
  <c r="B47" i="12"/>
  <c r="BF77" i="11"/>
  <c r="BJ77" i="11"/>
  <c r="CJ77" i="11"/>
  <c r="AB79" i="11"/>
  <c r="CK77" i="11"/>
  <c r="CL76" i="11"/>
  <c r="CX77" i="11"/>
  <c r="CW77" i="11"/>
  <c r="CF78" i="11"/>
  <c r="CD78" i="11"/>
  <c r="CQ78" i="11"/>
  <c r="AQ78" i="11"/>
  <c r="AR78" i="11" s="1"/>
  <c r="AT78" i="11" s="1"/>
  <c r="BE78" i="11"/>
  <c r="BG78" i="11" s="1"/>
  <c r="CE79" i="11"/>
  <c r="CG79" i="11" s="1"/>
  <c r="DV79" i="11"/>
  <c r="DU79" i="11"/>
  <c r="DH79" i="11"/>
  <c r="DI79" i="11"/>
  <c r="CR79" i="11"/>
  <c r="CT79" i="11" s="1"/>
  <c r="CU79" i="11"/>
  <c r="CV79" i="11"/>
  <c r="CI79" i="11"/>
  <c r="CH79" i="11"/>
  <c r="BU79" i="11"/>
  <c r="BV79" i="11"/>
  <c r="BI79" i="11"/>
  <c r="BH79" i="11"/>
  <c r="AV79" i="11"/>
  <c r="AU79" i="11"/>
  <c r="AH79" i="11"/>
  <c r="AI79" i="11"/>
  <c r="BR78" i="11"/>
  <c r="BT78" i="11" s="1"/>
  <c r="DE78" i="11"/>
  <c r="DG78" i="11" s="1"/>
  <c r="BP79" i="11"/>
  <c r="BN79" i="11"/>
  <c r="DB79" i="11"/>
  <c r="DD79" i="11" s="1"/>
  <c r="BO79" i="11"/>
  <c r="BQ79" i="11" s="1"/>
  <c r="DA79" i="11"/>
  <c r="BZ79" i="11"/>
  <c r="BC79" i="11"/>
  <c r="AA79" i="11"/>
  <c r="AN79" i="11"/>
  <c r="CP79" i="11"/>
  <c r="CZ79" i="11"/>
  <c r="CB79" i="11"/>
  <c r="DM79" i="11"/>
  <c r="BA79" i="11"/>
  <c r="W80" i="11"/>
  <c r="CC79" i="11"/>
  <c r="CM79" i="11"/>
  <c r="Y79" i="11"/>
  <c r="BM79" i="11"/>
  <c r="DP79" i="11"/>
  <c r="AP79" i="11"/>
  <c r="AO79" i="11"/>
  <c r="X79" i="11"/>
  <c r="CO79" i="11"/>
  <c r="BB79" i="11"/>
  <c r="BD79" i="11" s="1"/>
  <c r="CA79" i="11"/>
  <c r="AZ79" i="11"/>
  <c r="DN79" i="11"/>
  <c r="CN79" i="11"/>
  <c r="DC79" i="11"/>
  <c r="AM79" i="11"/>
  <c r="B80" i="11"/>
  <c r="A80" i="11" s="1"/>
  <c r="C81" i="11"/>
  <c r="L79" i="11" l="1"/>
  <c r="M79" i="11"/>
  <c r="DZ80" i="11"/>
  <c r="EA80" i="11"/>
  <c r="EI80" i="11"/>
  <c r="EH80" i="11"/>
  <c r="EC80" i="11"/>
  <c r="CS79" i="11"/>
  <c r="M46" i="12"/>
  <c r="A47" i="12"/>
  <c r="V47" i="12" s="1"/>
  <c r="W47" i="12" s="1"/>
  <c r="BW77" i="11"/>
  <c r="BY77" i="11" s="1"/>
  <c r="AY76" i="11"/>
  <c r="BK77" i="11"/>
  <c r="BL77" i="11" s="1"/>
  <c r="AX77" i="11"/>
  <c r="AW77" i="11"/>
  <c r="DK77" i="11"/>
  <c r="DL77" i="11" s="1"/>
  <c r="BF78" i="11"/>
  <c r="BJ78" i="11"/>
  <c r="AS78" i="11"/>
  <c r="DF78" i="11"/>
  <c r="DK78" i="11"/>
  <c r="B48" i="12"/>
  <c r="BS78" i="11"/>
  <c r="BW78" i="11"/>
  <c r="CJ78" i="11"/>
  <c r="CY77" i="11"/>
  <c r="CL77" i="11"/>
  <c r="CK78" i="11"/>
  <c r="AB80" i="11"/>
  <c r="CW78" i="11"/>
  <c r="CX78" i="11"/>
  <c r="CD79" i="11"/>
  <c r="CQ79" i="11"/>
  <c r="AQ79" i="11"/>
  <c r="AR79" i="11" s="1"/>
  <c r="AT79" i="11" s="1"/>
  <c r="BE79" i="11"/>
  <c r="BG79" i="11" s="1"/>
  <c r="BP80" i="11"/>
  <c r="CE80" i="11"/>
  <c r="CG80" i="11" s="1"/>
  <c r="DV80" i="11"/>
  <c r="DU80" i="11"/>
  <c r="DH80" i="11"/>
  <c r="DI80" i="11"/>
  <c r="CR80" i="11"/>
  <c r="CT80" i="11" s="1"/>
  <c r="CU80" i="11"/>
  <c r="CV80" i="11"/>
  <c r="CH80" i="11"/>
  <c r="CI80" i="11"/>
  <c r="BU80" i="11"/>
  <c r="BV80" i="11"/>
  <c r="BI80" i="11"/>
  <c r="BH80" i="11"/>
  <c r="AU80" i="11"/>
  <c r="AV80" i="11"/>
  <c r="AH80" i="11"/>
  <c r="AI80" i="11"/>
  <c r="DE79" i="11"/>
  <c r="DG79" i="11" s="1"/>
  <c r="BR79" i="11"/>
  <c r="BT79" i="11" s="1"/>
  <c r="DA80" i="11"/>
  <c r="AM80" i="11"/>
  <c r="CA80" i="11"/>
  <c r="DP80" i="11"/>
  <c r="BM80" i="11"/>
  <c r="X80" i="11"/>
  <c r="DN80" i="11"/>
  <c r="DC80" i="11"/>
  <c r="CN80" i="11"/>
  <c r="AA80" i="11"/>
  <c r="BN80" i="11"/>
  <c r="Y80" i="11"/>
  <c r="CO80" i="11"/>
  <c r="BB80" i="11"/>
  <c r="BD80" i="11" s="1"/>
  <c r="BO80" i="11"/>
  <c r="CC80" i="11"/>
  <c r="CZ80" i="11"/>
  <c r="BZ80" i="11"/>
  <c r="AZ80" i="11"/>
  <c r="AO80" i="11"/>
  <c r="BC80" i="11"/>
  <c r="AP80" i="11"/>
  <c r="CM80" i="11"/>
  <c r="CB80" i="11"/>
  <c r="BA80" i="11"/>
  <c r="DM80" i="11"/>
  <c r="AN80" i="11"/>
  <c r="CP80" i="11"/>
  <c r="W81" i="11"/>
  <c r="DB80" i="11"/>
  <c r="DD80" i="11" s="1"/>
  <c r="B81" i="11"/>
  <c r="A81" i="11" s="1"/>
  <c r="C82" i="11"/>
  <c r="M80" i="11" l="1"/>
  <c r="L80" i="11"/>
  <c r="EC81" i="11"/>
  <c r="EI81" i="11"/>
  <c r="EH81" i="11"/>
  <c r="EA81" i="11"/>
  <c r="DZ81" i="11"/>
  <c r="CX80" i="11"/>
  <c r="M47" i="12"/>
  <c r="A48" i="12"/>
  <c r="V48" i="12" s="1"/>
  <c r="W48" i="12" s="1"/>
  <c r="AY77" i="11"/>
  <c r="BK78" i="11"/>
  <c r="BL78" i="11" s="1"/>
  <c r="CL78" i="11"/>
  <c r="AW78" i="11"/>
  <c r="AX78" i="11"/>
  <c r="BX78" i="11"/>
  <c r="BY78" i="11" s="1"/>
  <c r="BF79" i="11"/>
  <c r="BJ79" i="11"/>
  <c r="BS79" i="11"/>
  <c r="BX79" i="11"/>
  <c r="AS79" i="11"/>
  <c r="DF79" i="11"/>
  <c r="DJ79" i="11"/>
  <c r="B49" i="12"/>
  <c r="DJ78" i="11"/>
  <c r="DL78" i="11" s="1"/>
  <c r="CX79" i="11"/>
  <c r="CW79" i="11"/>
  <c r="CY78" i="11"/>
  <c r="AB81" i="11"/>
  <c r="BQ80" i="11"/>
  <c r="BR80" i="11" s="1"/>
  <c r="BT80" i="11" s="1"/>
  <c r="CF80" i="11"/>
  <c r="CD80" i="11"/>
  <c r="CQ80" i="11"/>
  <c r="CK79" i="11"/>
  <c r="CF79" i="11"/>
  <c r="CJ79" i="11"/>
  <c r="AQ80" i="11"/>
  <c r="AR80" i="11" s="1"/>
  <c r="AT80" i="11" s="1"/>
  <c r="BE80" i="11"/>
  <c r="BG80" i="11" s="1"/>
  <c r="DE80" i="11"/>
  <c r="DG80" i="11" s="1"/>
  <c r="BP81" i="11"/>
  <c r="CE81" i="11"/>
  <c r="CG81" i="11" s="1"/>
  <c r="DU81" i="11"/>
  <c r="DV81" i="11"/>
  <c r="DI81" i="11"/>
  <c r="DH81" i="11"/>
  <c r="CV81" i="11"/>
  <c r="CR81" i="11"/>
  <c r="CT81" i="11" s="1"/>
  <c r="CH81" i="11"/>
  <c r="CU81" i="11"/>
  <c r="CI81" i="11"/>
  <c r="BU81" i="11"/>
  <c r="BV81" i="11"/>
  <c r="BI81" i="11"/>
  <c r="BH81" i="11"/>
  <c r="AU81" i="11"/>
  <c r="AV81" i="11"/>
  <c r="AI81" i="11"/>
  <c r="AH81" i="11"/>
  <c r="BN81" i="11"/>
  <c r="BO81" i="11"/>
  <c r="BQ81" i="11" s="1"/>
  <c r="CA81" i="11"/>
  <c r="AP81" i="11"/>
  <c r="DM81" i="11"/>
  <c r="AM81" i="11"/>
  <c r="DN81" i="11"/>
  <c r="BM81" i="11"/>
  <c r="AO81" i="11"/>
  <c r="CB81" i="11"/>
  <c r="W82" i="11"/>
  <c r="DP81" i="11"/>
  <c r="AZ81" i="11"/>
  <c r="BZ81" i="11"/>
  <c r="BA81" i="11"/>
  <c r="AA81" i="11"/>
  <c r="BB81" i="11"/>
  <c r="BD81" i="11" s="1"/>
  <c r="CO81" i="11"/>
  <c r="DA81" i="11"/>
  <c r="CN81" i="11"/>
  <c r="CM81" i="11"/>
  <c r="Y81" i="11"/>
  <c r="BC81" i="11"/>
  <c r="DC81" i="11"/>
  <c r="X81" i="11"/>
  <c r="AN81" i="11"/>
  <c r="DB81" i="11"/>
  <c r="DD81" i="11" s="1"/>
  <c r="CP81" i="11"/>
  <c r="CC81" i="11"/>
  <c r="CZ81" i="11"/>
  <c r="B82" i="11"/>
  <c r="A82" i="11" s="1"/>
  <c r="C83" i="11"/>
  <c r="L81" i="11" l="1"/>
  <c r="DZ82" i="11"/>
  <c r="M81" i="11"/>
  <c r="EA82" i="11"/>
  <c r="EI82" i="11"/>
  <c r="EH82" i="11"/>
  <c r="EC82" i="11"/>
  <c r="M48" i="12"/>
  <c r="CS81" i="11"/>
  <c r="A49" i="12"/>
  <c r="V49" i="12" s="1"/>
  <c r="W49" i="12" s="1"/>
  <c r="AY78" i="11"/>
  <c r="AW79" i="11"/>
  <c r="BW79" i="11"/>
  <c r="BY79" i="11" s="1"/>
  <c r="BK79" i="11"/>
  <c r="BL79" i="11" s="1"/>
  <c r="AX79" i="11"/>
  <c r="AS80" i="11"/>
  <c r="DF80" i="11"/>
  <c r="DK80" i="11"/>
  <c r="B50" i="12"/>
  <c r="BF80" i="11"/>
  <c r="BK80" i="11"/>
  <c r="DK79" i="11"/>
  <c r="DL79" i="11" s="1"/>
  <c r="CY79" i="11"/>
  <c r="CJ80" i="11"/>
  <c r="CK80" i="11"/>
  <c r="CD81" i="11"/>
  <c r="CL79" i="11"/>
  <c r="BS80" i="11"/>
  <c r="BX80" i="11"/>
  <c r="BW80" i="11"/>
  <c r="X82" i="11"/>
  <c r="AB82" i="11"/>
  <c r="CQ81" i="11"/>
  <c r="CW80" i="11"/>
  <c r="CY80" i="11" s="1"/>
  <c r="CS80" i="11"/>
  <c r="AQ81" i="11"/>
  <c r="AR81" i="11" s="1"/>
  <c r="AT81" i="11" s="1"/>
  <c r="BE81" i="11"/>
  <c r="BG81" i="11" s="1"/>
  <c r="DE81" i="11"/>
  <c r="DG81" i="11" s="1"/>
  <c r="CF81" i="11"/>
  <c r="CE82" i="11"/>
  <c r="CG82" i="11" s="1"/>
  <c r="DU82" i="11"/>
  <c r="DV82" i="11"/>
  <c r="DH82" i="11"/>
  <c r="DI82" i="11"/>
  <c r="CR82" i="11"/>
  <c r="CT82" i="11" s="1"/>
  <c r="CU82" i="11"/>
  <c r="CV82" i="11"/>
  <c r="CH82" i="11"/>
  <c r="CI82" i="11"/>
  <c r="BU82" i="11"/>
  <c r="BV82" i="11"/>
  <c r="BH82" i="11"/>
  <c r="BI82" i="11"/>
  <c r="AV82" i="11"/>
  <c r="AU82" i="11"/>
  <c r="AH82" i="11"/>
  <c r="AI82" i="11"/>
  <c r="BR81" i="11"/>
  <c r="BT81" i="11" s="1"/>
  <c r="BA82" i="11"/>
  <c r="BZ82" i="11"/>
  <c r="BC82" i="11"/>
  <c r="CZ82" i="11"/>
  <c r="CC82" i="11"/>
  <c r="BN82" i="11"/>
  <c r="CP82" i="11"/>
  <c r="BP82" i="11"/>
  <c r="DB82" i="11"/>
  <c r="DD82" i="11" s="1"/>
  <c r="CB82" i="11"/>
  <c r="BO82" i="11"/>
  <c r="BQ82" i="11" s="1"/>
  <c r="AN82" i="11"/>
  <c r="Y82" i="11"/>
  <c r="CO82" i="11"/>
  <c r="DP82" i="11"/>
  <c r="AO82" i="11"/>
  <c r="CM82" i="11"/>
  <c r="BB82" i="11"/>
  <c r="BD82" i="11" s="1"/>
  <c r="DC82" i="11"/>
  <c r="BM82" i="11"/>
  <c r="CA82" i="11"/>
  <c r="DA82" i="11"/>
  <c r="AZ82" i="11"/>
  <c r="DN82" i="11"/>
  <c r="AA82" i="11"/>
  <c r="AM82" i="11"/>
  <c r="W83" i="11"/>
  <c r="CN82" i="11"/>
  <c r="DM82" i="11"/>
  <c r="AP82" i="11"/>
  <c r="B83" i="11"/>
  <c r="A83" i="11" s="1"/>
  <c r="C84" i="11"/>
  <c r="M49" i="12" l="1"/>
  <c r="M82" i="11"/>
  <c r="L82" i="11"/>
  <c r="EC83" i="11"/>
  <c r="EI83" i="11"/>
  <c r="EH83" i="11"/>
  <c r="DZ83" i="11"/>
  <c r="EA83" i="11"/>
  <c r="CS82" i="11"/>
  <c r="A50" i="12"/>
  <c r="V50" i="12" s="1"/>
  <c r="W50" i="12" s="1"/>
  <c r="AY79" i="11"/>
  <c r="AX80" i="11"/>
  <c r="AW80" i="11"/>
  <c r="DJ80" i="11"/>
  <c r="DL80" i="11" s="1"/>
  <c r="AS81" i="11"/>
  <c r="BJ80" i="11"/>
  <c r="BL80" i="11" s="1"/>
  <c r="B51" i="12"/>
  <c r="BS81" i="11"/>
  <c r="BW81" i="11"/>
  <c r="DF81" i="11"/>
  <c r="DK81" i="11"/>
  <c r="BF81" i="11"/>
  <c r="BK81" i="11"/>
  <c r="CL80" i="11"/>
  <c r="BY80" i="11"/>
  <c r="CX81" i="11"/>
  <c r="AB83" i="11"/>
  <c r="CJ82" i="11"/>
  <c r="CD82" i="11"/>
  <c r="CQ82" i="11"/>
  <c r="CW81" i="11"/>
  <c r="AQ82" i="11"/>
  <c r="AR82" i="11" s="1"/>
  <c r="AT82" i="11" s="1"/>
  <c r="DE82" i="11"/>
  <c r="DG82" i="11" s="1"/>
  <c r="CE83" i="11"/>
  <c r="CG83" i="11" s="1"/>
  <c r="DV83" i="11"/>
  <c r="DU83" i="11"/>
  <c r="DH83" i="11"/>
  <c r="DI83" i="11"/>
  <c r="CV83" i="11"/>
  <c r="CR83" i="11"/>
  <c r="CT83" i="11" s="1"/>
  <c r="CU83" i="11"/>
  <c r="CI83" i="11"/>
  <c r="CH83" i="11"/>
  <c r="BU83" i="11"/>
  <c r="BV83" i="11"/>
  <c r="BI83" i="11"/>
  <c r="BH83" i="11"/>
  <c r="AU83" i="11"/>
  <c r="AV83" i="11"/>
  <c r="AI83" i="11"/>
  <c r="AH83" i="11"/>
  <c r="BR82" i="11"/>
  <c r="BT82" i="11" s="1"/>
  <c r="CJ81" i="11"/>
  <c r="CK81" i="11"/>
  <c r="BE82" i="11"/>
  <c r="BG82" i="11" s="1"/>
  <c r="DA83" i="11"/>
  <c r="Y83" i="11"/>
  <c r="AN83" i="11"/>
  <c r="BP83" i="11"/>
  <c r="CB83" i="11"/>
  <c r="X83" i="11"/>
  <c r="CM83" i="11"/>
  <c r="DP83" i="11"/>
  <c r="CA83" i="11"/>
  <c r="AP83" i="11"/>
  <c r="BN83" i="11"/>
  <c r="BO83" i="11"/>
  <c r="DM83" i="11"/>
  <c r="AM83" i="11"/>
  <c r="BB83" i="11"/>
  <c r="BD83" i="11" s="1"/>
  <c r="CN83" i="11"/>
  <c r="CO83" i="11"/>
  <c r="AO83" i="11"/>
  <c r="CZ83" i="11"/>
  <c r="DC83" i="11"/>
  <c r="BZ83" i="11"/>
  <c r="AZ83" i="11"/>
  <c r="DN83" i="11"/>
  <c r="BA83" i="11"/>
  <c r="AA83" i="11"/>
  <c r="BM83" i="11"/>
  <c r="CP83" i="11"/>
  <c r="W84" i="11"/>
  <c r="DB83" i="11"/>
  <c r="DD83" i="11" s="1"/>
  <c r="CC83" i="11"/>
  <c r="BC83" i="11"/>
  <c r="B84" i="11"/>
  <c r="A84" i="11" s="1"/>
  <c r="C85" i="11"/>
  <c r="M50" i="12" l="1"/>
  <c r="L83" i="11"/>
  <c r="M83" i="11"/>
  <c r="EA84" i="11"/>
  <c r="DZ84" i="11"/>
  <c r="EI84" i="11"/>
  <c r="EH84" i="11"/>
  <c r="EC84" i="11"/>
  <c r="A51" i="12"/>
  <c r="V51" i="12" s="1"/>
  <c r="W51" i="12" s="1"/>
  <c r="AY80" i="11"/>
  <c r="AW81" i="11"/>
  <c r="BJ81" i="11"/>
  <c r="BL81" i="11" s="1"/>
  <c r="AX81" i="11"/>
  <c r="DJ81" i="11"/>
  <c r="DL81" i="11" s="1"/>
  <c r="BX81" i="11"/>
  <c r="BY81" i="11" s="1"/>
  <c r="DF82" i="11"/>
  <c r="DJ82" i="11"/>
  <c r="BF82" i="11"/>
  <c r="AS82" i="11"/>
  <c r="B52" i="12"/>
  <c r="BS82" i="11"/>
  <c r="BW82" i="11"/>
  <c r="CY81" i="11"/>
  <c r="CW82" i="11"/>
  <c r="CX82" i="11"/>
  <c r="AB84" i="11"/>
  <c r="BQ83" i="11"/>
  <c r="BR83" i="11" s="1"/>
  <c r="BT83" i="11" s="1"/>
  <c r="CF83" i="11"/>
  <c r="CD83" i="11"/>
  <c r="CQ83" i="11"/>
  <c r="CK82" i="11"/>
  <c r="CL82" i="11" s="1"/>
  <c r="CF82" i="11"/>
  <c r="AQ83" i="11"/>
  <c r="AR83" i="11" s="1"/>
  <c r="AT83" i="11" s="1"/>
  <c r="BK82" i="11"/>
  <c r="BJ82" i="11"/>
  <c r="BE83" i="11"/>
  <c r="BG83" i="11" s="1"/>
  <c r="DE83" i="11"/>
  <c r="DG83" i="11" s="1"/>
  <c r="CE84" i="11"/>
  <c r="CG84" i="11" s="1"/>
  <c r="DV84" i="11"/>
  <c r="DU84" i="11"/>
  <c r="DH84" i="11"/>
  <c r="DI84" i="11"/>
  <c r="CR84" i="11"/>
  <c r="CT84" i="11" s="1"/>
  <c r="CU84" i="11"/>
  <c r="CV84" i="11"/>
  <c r="CI84" i="11"/>
  <c r="CH84" i="11"/>
  <c r="BU84" i="11"/>
  <c r="BV84" i="11"/>
  <c r="BH84" i="11"/>
  <c r="BI84" i="11"/>
  <c r="AU84" i="11"/>
  <c r="AV84" i="11"/>
  <c r="AH84" i="11"/>
  <c r="AI84" i="11"/>
  <c r="CL81" i="11"/>
  <c r="BP84" i="11"/>
  <c r="CZ84" i="11"/>
  <c r="BN84" i="11"/>
  <c r="BO84" i="11"/>
  <c r="BQ84" i="11" s="1"/>
  <c r="CC84" i="11"/>
  <c r="CP84" i="11"/>
  <c r="CN84" i="11"/>
  <c r="BM84" i="11"/>
  <c r="DB84" i="11"/>
  <c r="DD84" i="11" s="1"/>
  <c r="BZ84" i="11"/>
  <c r="AN84" i="11"/>
  <c r="CB84" i="11"/>
  <c r="AP84" i="11"/>
  <c r="CA84" i="11"/>
  <c r="BC84" i="11"/>
  <c r="CM84" i="11"/>
  <c r="AZ84" i="11"/>
  <c r="DC84" i="11"/>
  <c r="AO84" i="11"/>
  <c r="DN84" i="11"/>
  <c r="BB84" i="11"/>
  <c r="BD84" i="11" s="1"/>
  <c r="AM84" i="11"/>
  <c r="CO84" i="11"/>
  <c r="AA84" i="11"/>
  <c r="DM84" i="11"/>
  <c r="Y84" i="11"/>
  <c r="W85" i="11"/>
  <c r="DP84" i="11"/>
  <c r="BA84" i="11"/>
  <c r="X84" i="11"/>
  <c r="DA84" i="11"/>
  <c r="B85" i="11"/>
  <c r="A85" i="11" s="1"/>
  <c r="C86" i="11"/>
  <c r="M51" i="12" l="1"/>
  <c r="M84" i="11"/>
  <c r="L84" i="11"/>
  <c r="EC85" i="11"/>
  <c r="EI85" i="11"/>
  <c r="EH85" i="11"/>
  <c r="DZ85" i="11"/>
  <c r="EA85" i="11"/>
  <c r="CS84" i="11"/>
  <c r="A52" i="12"/>
  <c r="V52" i="12" s="1"/>
  <c r="W52" i="12" s="1"/>
  <c r="AY81" i="11"/>
  <c r="AX82" i="11"/>
  <c r="AW82" i="11"/>
  <c r="BX82" i="11"/>
  <c r="BY82" i="11" s="1"/>
  <c r="DK82" i="11"/>
  <c r="DL82" i="11" s="1"/>
  <c r="DF83" i="11"/>
  <c r="DK83" i="11"/>
  <c r="B53" i="12"/>
  <c r="BF83" i="11"/>
  <c r="BJ83" i="11"/>
  <c r="AS83" i="11"/>
  <c r="CY82" i="11"/>
  <c r="BL82" i="11"/>
  <c r="CK83" i="11"/>
  <c r="CJ83" i="11"/>
  <c r="BS83" i="11"/>
  <c r="BW83" i="11"/>
  <c r="BX83" i="11"/>
  <c r="AB85" i="11"/>
  <c r="CQ84" i="11"/>
  <c r="CF84" i="11"/>
  <c r="CD84" i="11"/>
  <c r="CX83" i="11"/>
  <c r="CS83" i="11"/>
  <c r="CW83" i="11"/>
  <c r="AQ84" i="11"/>
  <c r="AR84" i="11" s="1"/>
  <c r="AT84" i="11" s="1"/>
  <c r="BE84" i="11"/>
  <c r="BG84" i="11" s="1"/>
  <c r="DE84" i="11"/>
  <c r="DG84" i="11" s="1"/>
  <c r="BP85" i="11"/>
  <c r="CE85" i="11"/>
  <c r="CG85" i="11" s="1"/>
  <c r="DU85" i="11"/>
  <c r="DV85" i="11"/>
  <c r="DH85" i="11"/>
  <c r="DI85" i="11"/>
  <c r="CU85" i="11"/>
  <c r="CV85" i="11"/>
  <c r="CR85" i="11"/>
  <c r="CT85" i="11" s="1"/>
  <c r="CH85" i="11"/>
  <c r="CI85" i="11"/>
  <c r="BV85" i="11"/>
  <c r="BU85" i="11"/>
  <c r="BI85" i="11"/>
  <c r="BH85" i="11"/>
  <c r="AU85" i="11"/>
  <c r="AV85" i="11"/>
  <c r="AI85" i="11"/>
  <c r="AH85" i="11"/>
  <c r="BR84" i="11"/>
  <c r="BT84" i="11" s="1"/>
  <c r="BN85" i="11"/>
  <c r="AN85" i="11"/>
  <c r="BO85" i="11"/>
  <c r="BQ85" i="11" s="1"/>
  <c r="AP85" i="11"/>
  <c r="DM85" i="11"/>
  <c r="X85" i="11"/>
  <c r="CN85" i="11"/>
  <c r="AZ85" i="11"/>
  <c r="AA85" i="11"/>
  <c r="DC85" i="11"/>
  <c r="DA85" i="11"/>
  <c r="BC85" i="11"/>
  <c r="DB85" i="11"/>
  <c r="DD85" i="11" s="1"/>
  <c r="CM85" i="11"/>
  <c r="BA85" i="11"/>
  <c r="CA85" i="11"/>
  <c r="CO85" i="11"/>
  <c r="DN85" i="11"/>
  <c r="BM85" i="11"/>
  <c r="AM85" i="11"/>
  <c r="AO85" i="11"/>
  <c r="CP85" i="11"/>
  <c r="W86" i="11"/>
  <c r="DP85" i="11"/>
  <c r="CB85" i="11"/>
  <c r="BZ85" i="11"/>
  <c r="Y85" i="11"/>
  <c r="BB85" i="11"/>
  <c r="BD85" i="11" s="1"/>
  <c r="CC85" i="11"/>
  <c r="CZ85" i="11"/>
  <c r="B86" i="11"/>
  <c r="A86" i="11" s="1"/>
  <c r="C87" i="11"/>
  <c r="M52" i="12" l="1"/>
  <c r="EA86" i="11"/>
  <c r="DZ86" i="11"/>
  <c r="L85" i="11"/>
  <c r="M85" i="11"/>
  <c r="EI86" i="11"/>
  <c r="EH86" i="11"/>
  <c r="EC86" i="11"/>
  <c r="CS85" i="11"/>
  <c r="A53" i="12"/>
  <c r="V53" i="12" s="1"/>
  <c r="W53" i="12" s="1"/>
  <c r="AY82" i="11"/>
  <c r="AW83" i="11"/>
  <c r="AX83" i="11"/>
  <c r="DJ83" i="11"/>
  <c r="DL83" i="11" s="1"/>
  <c r="BK83" i="11"/>
  <c r="BL83" i="11" s="1"/>
  <c r="AS84" i="11"/>
  <c r="BF84" i="11"/>
  <c r="BJ84" i="11"/>
  <c r="BS84" i="11"/>
  <c r="BX84" i="11"/>
  <c r="BY83" i="11"/>
  <c r="B54" i="12"/>
  <c r="DF84" i="11"/>
  <c r="DJ84" i="11"/>
  <c r="CJ84" i="11"/>
  <c r="CK84" i="11"/>
  <c r="CL83" i="11"/>
  <c r="CY83" i="11"/>
  <c r="CW84" i="11"/>
  <c r="CX84" i="11"/>
  <c r="AB86" i="11"/>
  <c r="BR85" i="11"/>
  <c r="BT85" i="11" s="1"/>
  <c r="CF85" i="11"/>
  <c r="CD85" i="11"/>
  <c r="CQ85" i="11"/>
  <c r="AQ85" i="11"/>
  <c r="AR85" i="11" s="1"/>
  <c r="AT85" i="11" s="1"/>
  <c r="BE85" i="11"/>
  <c r="BG85" i="11" s="1"/>
  <c r="BW84" i="11"/>
  <c r="CE86" i="11"/>
  <c r="CG86" i="11" s="1"/>
  <c r="DU86" i="11"/>
  <c r="DV86" i="11"/>
  <c r="DH86" i="11"/>
  <c r="DI86" i="11"/>
  <c r="CR86" i="11"/>
  <c r="CT86" i="11" s="1"/>
  <c r="CU86" i="11"/>
  <c r="CV86" i="11"/>
  <c r="CI86" i="11"/>
  <c r="CH86" i="11"/>
  <c r="BU86" i="11"/>
  <c r="BV86" i="11"/>
  <c r="BI86" i="11"/>
  <c r="BH86" i="11"/>
  <c r="AU86" i="11"/>
  <c r="AV86" i="11"/>
  <c r="AH86" i="11"/>
  <c r="AI86" i="11"/>
  <c r="DE85" i="11"/>
  <c r="DG85" i="11" s="1"/>
  <c r="DM86" i="11"/>
  <c r="BN86" i="11"/>
  <c r="BP86" i="11"/>
  <c r="BO86" i="11"/>
  <c r="BQ86" i="11" s="1"/>
  <c r="BB86" i="11"/>
  <c r="BD86" i="11" s="1"/>
  <c r="AO86" i="11"/>
  <c r="CC86" i="11"/>
  <c r="BM86" i="11"/>
  <c r="BC86" i="11"/>
  <c r="Y86" i="11"/>
  <c r="BZ86" i="11"/>
  <c r="AZ86" i="11"/>
  <c r="AM86" i="11"/>
  <c r="DA86" i="11"/>
  <c r="DN86" i="11"/>
  <c r="CN86" i="11"/>
  <c r="CB86" i="11"/>
  <c r="CP86" i="11"/>
  <c r="CO86" i="11"/>
  <c r="W87" i="11"/>
  <c r="CA86" i="11"/>
  <c r="DC86" i="11"/>
  <c r="X86" i="11"/>
  <c r="AP86" i="11"/>
  <c r="BA86" i="11"/>
  <c r="AA86" i="11"/>
  <c r="DP86" i="11"/>
  <c r="CZ86" i="11"/>
  <c r="CM86" i="11"/>
  <c r="DB86" i="11"/>
  <c r="DD86" i="11" s="1"/>
  <c r="AN86" i="11"/>
  <c r="B87" i="11"/>
  <c r="A87" i="11" s="1"/>
  <c r="C88" i="11"/>
  <c r="L86" i="11" l="1"/>
  <c r="M86" i="11"/>
  <c r="EI87" i="11"/>
  <c r="EH87" i="11"/>
  <c r="EC87" i="11"/>
  <c r="EA87" i="11"/>
  <c r="DZ87" i="11"/>
  <c r="M53" i="12"/>
  <c r="CS86" i="11"/>
  <c r="A54" i="12"/>
  <c r="V54" i="12" s="1"/>
  <c r="W54" i="12" s="1"/>
  <c r="AY83" i="11"/>
  <c r="AW84" i="11"/>
  <c r="BK84" i="11"/>
  <c r="BL84" i="11" s="1"/>
  <c r="DK84" i="11"/>
  <c r="DL84" i="11" s="1"/>
  <c r="AX84" i="11"/>
  <c r="CL84" i="11"/>
  <c r="BS85" i="11"/>
  <c r="BW85" i="11"/>
  <c r="BF85" i="11"/>
  <c r="BK85" i="11"/>
  <c r="DF85" i="11"/>
  <c r="DJ85" i="11"/>
  <c r="AS85" i="11"/>
  <c r="B55" i="12"/>
  <c r="CQ86" i="11"/>
  <c r="CY84" i="11"/>
  <c r="AB87" i="11"/>
  <c r="CK85" i="11"/>
  <c r="CJ85" i="11"/>
  <c r="CW85" i="11"/>
  <c r="CX85" i="11"/>
  <c r="CF86" i="11"/>
  <c r="CD86" i="11"/>
  <c r="AQ86" i="11"/>
  <c r="AR86" i="11" s="1"/>
  <c r="AT86" i="11" s="1"/>
  <c r="BY84" i="11"/>
  <c r="BE86" i="11"/>
  <c r="BG86" i="11" s="1"/>
  <c r="DE86" i="11"/>
  <c r="DG86" i="11" s="1"/>
  <c r="CE87" i="11"/>
  <c r="CG87" i="11" s="1"/>
  <c r="DV87" i="11"/>
  <c r="DU87" i="11"/>
  <c r="DH87" i="11"/>
  <c r="DI87" i="11"/>
  <c r="CV87" i="11"/>
  <c r="CR87" i="11"/>
  <c r="CT87" i="11" s="1"/>
  <c r="CU87" i="11"/>
  <c r="CI87" i="11"/>
  <c r="CH87" i="11"/>
  <c r="BV87" i="11"/>
  <c r="BH87" i="11"/>
  <c r="BU87" i="11"/>
  <c r="BI87" i="11"/>
  <c r="AU87" i="11"/>
  <c r="AV87" i="11"/>
  <c r="AI87" i="11"/>
  <c r="AH87" i="11"/>
  <c r="BR86" i="11"/>
  <c r="BT86" i="11" s="1"/>
  <c r="DC87" i="11"/>
  <c r="X87" i="11"/>
  <c r="CN87" i="11"/>
  <c r="BP87" i="11"/>
  <c r="CC87" i="11"/>
  <c r="CZ87" i="11"/>
  <c r="BN87" i="11"/>
  <c r="BO87" i="11"/>
  <c r="BQ87" i="11" s="1"/>
  <c r="DP87" i="11"/>
  <c r="DN87" i="11"/>
  <c r="BZ87" i="11"/>
  <c r="BM87" i="11"/>
  <c r="Y87" i="11"/>
  <c r="CO87" i="11"/>
  <c r="DA87" i="11"/>
  <c r="AM87" i="11"/>
  <c r="AN87" i="11"/>
  <c r="CP87" i="11"/>
  <c r="DB87" i="11"/>
  <c r="DD87" i="11" s="1"/>
  <c r="AA87" i="11"/>
  <c r="CB87" i="11"/>
  <c r="BB87" i="11"/>
  <c r="BD87" i="11" s="1"/>
  <c r="CM87" i="11"/>
  <c r="BA87" i="11"/>
  <c r="AZ87" i="11"/>
  <c r="AO87" i="11"/>
  <c r="CA87" i="11"/>
  <c r="W88" i="11"/>
  <c r="AP87" i="11"/>
  <c r="BC87" i="11"/>
  <c r="DM87" i="11"/>
  <c r="B88" i="11"/>
  <c r="A88" i="11" s="1"/>
  <c r="C89" i="11"/>
  <c r="L87" i="11" l="1"/>
  <c r="M87" i="11"/>
  <c r="DZ88" i="11"/>
  <c r="EA88" i="11"/>
  <c r="EH88" i="11"/>
  <c r="EI88" i="11"/>
  <c r="EC88" i="11"/>
  <c r="M54" i="12"/>
  <c r="A55" i="12"/>
  <c r="V55" i="12" s="1"/>
  <c r="W55" i="12" s="1"/>
  <c r="AY84" i="11"/>
  <c r="BX85" i="11"/>
  <c r="BY85" i="11" s="1"/>
  <c r="DK85" i="11"/>
  <c r="DL85" i="11" s="1"/>
  <c r="BJ85" i="11"/>
  <c r="BL85" i="11" s="1"/>
  <c r="AW85" i="11"/>
  <c r="AX85" i="11"/>
  <c r="AS86" i="11"/>
  <c r="BS86" i="11"/>
  <c r="BW86" i="11"/>
  <c r="BF86" i="11"/>
  <c r="BJ86" i="11"/>
  <c r="B56" i="12"/>
  <c r="DF86" i="11"/>
  <c r="DJ86" i="11"/>
  <c r="CQ87" i="11"/>
  <c r="CJ86" i="11"/>
  <c r="CL85" i="11"/>
  <c r="AB88" i="11"/>
  <c r="CF87" i="11"/>
  <c r="CD87" i="11"/>
  <c r="CK86" i="11"/>
  <c r="CY85" i="11"/>
  <c r="AQ87" i="11"/>
  <c r="AR87" i="11" s="1"/>
  <c r="AT87" i="11" s="1"/>
  <c r="BE87" i="11"/>
  <c r="BG87" i="11" s="1"/>
  <c r="BR87" i="11"/>
  <c r="BT87" i="11" s="1"/>
  <c r="CS87" i="11"/>
  <c r="CW86" i="11"/>
  <c r="CX86" i="11"/>
  <c r="CE88" i="11"/>
  <c r="CG88" i="11" s="1"/>
  <c r="DV88" i="11"/>
  <c r="DU88" i="11"/>
  <c r="DH88" i="11"/>
  <c r="DI88" i="11"/>
  <c r="CR88" i="11"/>
  <c r="CT88" i="11" s="1"/>
  <c r="CU88" i="11"/>
  <c r="CV88" i="11"/>
  <c r="CI88" i="11"/>
  <c r="CH88" i="11"/>
  <c r="BU88" i="11"/>
  <c r="BV88" i="11"/>
  <c r="BH88" i="11"/>
  <c r="BI88" i="11"/>
  <c r="AU88" i="11"/>
  <c r="AV88" i="11"/>
  <c r="AH88" i="11"/>
  <c r="AI88" i="11"/>
  <c r="DE87" i="11"/>
  <c r="DG87" i="11" s="1"/>
  <c r="BN88" i="11"/>
  <c r="BP88" i="11"/>
  <c r="CZ88" i="11"/>
  <c r="BO88" i="11"/>
  <c r="BQ88" i="11" s="1"/>
  <c r="DA88" i="11"/>
  <c r="DB88" i="11"/>
  <c r="DD88" i="11" s="1"/>
  <c r="AZ88" i="11"/>
  <c r="CP88" i="11"/>
  <c r="BA88" i="11"/>
  <c r="AN88" i="11"/>
  <c r="CM88" i="11"/>
  <c r="CO88" i="11"/>
  <c r="Y88" i="11"/>
  <c r="W89" i="11"/>
  <c r="BM88" i="11"/>
  <c r="CN88" i="11"/>
  <c r="CA88" i="11"/>
  <c r="DC88" i="11"/>
  <c r="BZ88" i="11"/>
  <c r="BC88" i="11"/>
  <c r="DP88" i="11"/>
  <c r="CB88" i="11"/>
  <c r="X88" i="11"/>
  <c r="DN88" i="11"/>
  <c r="DM88" i="11"/>
  <c r="BB88" i="11"/>
  <c r="BD88" i="11" s="1"/>
  <c r="AP88" i="11"/>
  <c r="AO88" i="11"/>
  <c r="AA88" i="11"/>
  <c r="AM88" i="11"/>
  <c r="CC88" i="11"/>
  <c r="B89" i="11"/>
  <c r="A89" i="11" s="1"/>
  <c r="C90" i="11"/>
  <c r="M88" i="11" l="1"/>
  <c r="L88" i="11"/>
  <c r="EC89" i="11"/>
  <c r="EI89" i="11"/>
  <c r="EH89" i="11"/>
  <c r="EA89" i="11"/>
  <c r="DZ89" i="11"/>
  <c r="M55" i="12"/>
  <c r="A56" i="12"/>
  <c r="V56" i="12" s="1"/>
  <c r="W56" i="12" s="1"/>
  <c r="AX86" i="11"/>
  <c r="AW86" i="11"/>
  <c r="AY85" i="11"/>
  <c r="BK86" i="11"/>
  <c r="BL86" i="11" s="1"/>
  <c r="BX86" i="11"/>
  <c r="BY86" i="11" s="1"/>
  <c r="BF87" i="11"/>
  <c r="BK87" i="11"/>
  <c r="DK86" i="11"/>
  <c r="DL86" i="11" s="1"/>
  <c r="B57" i="12"/>
  <c r="DF87" i="11"/>
  <c r="DJ87" i="11"/>
  <c r="BS87" i="11"/>
  <c r="BX87" i="11"/>
  <c r="CL86" i="11"/>
  <c r="CK87" i="11"/>
  <c r="CJ87" i="11"/>
  <c r="AB89" i="11"/>
  <c r="CF88" i="11"/>
  <c r="CD88" i="11"/>
  <c r="CX88" i="11"/>
  <c r="CQ88" i="11"/>
  <c r="AW87" i="11"/>
  <c r="AS87" i="11"/>
  <c r="AQ88" i="11"/>
  <c r="AR88" i="11" s="1"/>
  <c r="AT88" i="11" s="1"/>
  <c r="AX87" i="11"/>
  <c r="CY86" i="11"/>
  <c r="BJ87" i="11"/>
  <c r="BR88" i="11"/>
  <c r="BT88" i="11" s="1"/>
  <c r="CX87" i="11"/>
  <c r="CW87" i="11"/>
  <c r="DE88" i="11"/>
  <c r="DG88" i="11" s="1"/>
  <c r="BE88" i="11"/>
  <c r="BG88" i="11" s="1"/>
  <c r="CE89" i="11"/>
  <c r="CG89" i="11" s="1"/>
  <c r="DV89" i="11"/>
  <c r="DU89" i="11"/>
  <c r="DH89" i="11"/>
  <c r="DI89" i="11"/>
  <c r="CR89" i="11"/>
  <c r="CT89" i="11" s="1"/>
  <c r="CU89" i="11"/>
  <c r="CV89" i="11"/>
  <c r="CI89" i="11"/>
  <c r="CH89" i="11"/>
  <c r="BU89" i="11"/>
  <c r="BV89" i="11"/>
  <c r="BH89" i="11"/>
  <c r="BI89" i="11"/>
  <c r="AU89" i="11"/>
  <c r="AV89" i="11"/>
  <c r="AI89" i="11"/>
  <c r="AH89" i="11"/>
  <c r="BP89" i="11"/>
  <c r="BN89" i="11"/>
  <c r="BA89" i="11"/>
  <c r="BO89" i="11"/>
  <c r="BQ89" i="11" s="1"/>
  <c r="CB89" i="11"/>
  <c r="AO89" i="11"/>
  <c r="AP89" i="11"/>
  <c r="BM89" i="11"/>
  <c r="DM89" i="11"/>
  <c r="DB89" i="11"/>
  <c r="DD89" i="11" s="1"/>
  <c r="Y89" i="11"/>
  <c r="BC89" i="11"/>
  <c r="AN89" i="11"/>
  <c r="BZ89" i="11"/>
  <c r="CC89" i="11"/>
  <c r="CZ89" i="11"/>
  <c r="DC89" i="11"/>
  <c r="DA89" i="11"/>
  <c r="AM89" i="11"/>
  <c r="DN89" i="11"/>
  <c r="CA89" i="11"/>
  <c r="CM89" i="11"/>
  <c r="BB89" i="11"/>
  <c r="BD89" i="11" s="1"/>
  <c r="AA89" i="11"/>
  <c r="X89" i="11"/>
  <c r="CN89" i="11"/>
  <c r="CP89" i="11"/>
  <c r="CO89" i="11"/>
  <c r="W90" i="11"/>
  <c r="DP89" i="11"/>
  <c r="AZ89" i="11"/>
  <c r="B90" i="11"/>
  <c r="A90" i="11" s="1"/>
  <c r="C91" i="11"/>
  <c r="L89" i="11" l="1"/>
  <c r="M89" i="11"/>
  <c r="DZ90" i="11"/>
  <c r="EA90" i="11"/>
  <c r="EI90" i="11"/>
  <c r="EH90" i="11"/>
  <c r="EC90" i="11"/>
  <c r="M56" i="12"/>
  <c r="A57" i="12"/>
  <c r="V57" i="12" s="1"/>
  <c r="W57" i="12" s="1"/>
  <c r="AY86" i="11"/>
  <c r="BW87" i="11"/>
  <c r="BY87" i="11" s="1"/>
  <c r="DK87" i="11"/>
  <c r="DL87" i="11" s="1"/>
  <c r="DF88" i="11"/>
  <c r="DK88" i="11"/>
  <c r="BF88" i="11"/>
  <c r="BK88" i="11"/>
  <c r="B58" i="12"/>
  <c r="BS88" i="11"/>
  <c r="BW88" i="11"/>
  <c r="AS88" i="11"/>
  <c r="CL87" i="11"/>
  <c r="AY87" i="11"/>
  <c r="AB90" i="11"/>
  <c r="CJ88" i="11"/>
  <c r="CK88" i="11"/>
  <c r="CK89" i="11"/>
  <c r="CD89" i="11"/>
  <c r="CY87" i="11"/>
  <c r="CW88" i="11"/>
  <c r="CY88" i="11" s="1"/>
  <c r="CS88" i="11"/>
  <c r="CW89" i="11"/>
  <c r="CQ89" i="11"/>
  <c r="AQ89" i="11"/>
  <c r="AR89" i="11" s="1"/>
  <c r="AT89" i="11" s="1"/>
  <c r="BL87" i="11"/>
  <c r="BE89" i="11"/>
  <c r="BG89" i="11" s="1"/>
  <c r="CE90" i="11"/>
  <c r="CG90" i="11" s="1"/>
  <c r="DU90" i="11"/>
  <c r="DV90" i="11"/>
  <c r="DI90" i="11"/>
  <c r="DH90" i="11"/>
  <c r="CV90" i="11"/>
  <c r="CR90" i="11"/>
  <c r="CT90" i="11" s="1"/>
  <c r="CU90" i="11"/>
  <c r="CH90" i="11"/>
  <c r="CI90" i="11"/>
  <c r="BU90" i="11"/>
  <c r="BV90" i="11"/>
  <c r="BI90" i="11"/>
  <c r="BH90" i="11"/>
  <c r="AU90" i="11"/>
  <c r="AV90" i="11"/>
  <c r="AH90" i="11"/>
  <c r="AI90" i="11"/>
  <c r="BR89" i="11"/>
  <c r="BT89" i="11" s="1"/>
  <c r="DE89" i="11"/>
  <c r="DG89" i="11" s="1"/>
  <c r="BN90" i="11"/>
  <c r="AN90" i="11"/>
  <c r="BP90" i="11"/>
  <c r="BO90" i="11"/>
  <c r="BQ90" i="11" s="1"/>
  <c r="BC90" i="11"/>
  <c r="BM90" i="11"/>
  <c r="DP90" i="11"/>
  <c r="BB90" i="11"/>
  <c r="BD90" i="11" s="1"/>
  <c r="CP90" i="11"/>
  <c r="AZ90" i="11"/>
  <c r="DN90" i="11"/>
  <c r="CM90" i="11"/>
  <c r="Y90" i="11"/>
  <c r="BZ90" i="11"/>
  <c r="AP90" i="11"/>
  <c r="DB90" i="11"/>
  <c r="DD90" i="11" s="1"/>
  <c r="DA90" i="11"/>
  <c r="CA90" i="11"/>
  <c r="CB90" i="11"/>
  <c r="CZ90" i="11"/>
  <c r="AO90" i="11"/>
  <c r="CO90" i="11"/>
  <c r="CC90" i="11"/>
  <c r="CN90" i="11"/>
  <c r="AM90" i="11"/>
  <c r="DM90" i="11"/>
  <c r="X90" i="11"/>
  <c r="W91" i="11"/>
  <c r="AA90" i="11"/>
  <c r="DC90" i="11"/>
  <c r="BA90" i="11"/>
  <c r="B91" i="11"/>
  <c r="A91" i="11" s="1"/>
  <c r="C92" i="11"/>
  <c r="M90" i="11" l="1"/>
  <c r="L90" i="11"/>
  <c r="EI91" i="11"/>
  <c r="EH91" i="11"/>
  <c r="EC91" i="11"/>
  <c r="EA91" i="11"/>
  <c r="DZ91" i="11"/>
  <c r="M57" i="12"/>
  <c r="A58" i="12"/>
  <c r="V58" i="12" s="1"/>
  <c r="W58" i="12" s="1"/>
  <c r="DJ88" i="11"/>
  <c r="DL88" i="11" s="1"/>
  <c r="AW88" i="11"/>
  <c r="BJ88" i="11"/>
  <c r="BL88" i="11" s="1"/>
  <c r="BX88" i="11"/>
  <c r="BY88" i="11" s="1"/>
  <c r="B59" i="12"/>
  <c r="DF89" i="11"/>
  <c r="DJ89" i="11"/>
  <c r="BS89" i="11"/>
  <c r="BW89" i="11"/>
  <c r="AW89" i="11"/>
  <c r="AX88" i="11"/>
  <c r="BF89" i="11"/>
  <c r="BJ89" i="11"/>
  <c r="CL88" i="11"/>
  <c r="AB91" i="11"/>
  <c r="CF90" i="11"/>
  <c r="CD90" i="11"/>
  <c r="CJ89" i="11"/>
  <c r="CL89" i="11" s="1"/>
  <c r="CF89" i="11"/>
  <c r="CS90" i="11"/>
  <c r="CQ90" i="11"/>
  <c r="CX89" i="11"/>
  <c r="CY89" i="11" s="1"/>
  <c r="CS89" i="11"/>
  <c r="AQ90" i="11"/>
  <c r="AR90" i="11" s="1"/>
  <c r="AT90" i="11" s="1"/>
  <c r="BE90" i="11"/>
  <c r="BG90" i="11" s="1"/>
  <c r="DE90" i="11"/>
  <c r="DG90" i="11" s="1"/>
  <c r="CE91" i="11"/>
  <c r="CG91" i="11" s="1"/>
  <c r="DV91" i="11"/>
  <c r="DU91" i="11"/>
  <c r="DH91" i="11"/>
  <c r="DI91" i="11"/>
  <c r="CR91" i="11"/>
  <c r="CT91" i="11" s="1"/>
  <c r="CU91" i="11"/>
  <c r="CV91" i="11"/>
  <c r="CH91" i="11"/>
  <c r="CI91" i="11"/>
  <c r="BU91" i="11"/>
  <c r="BV91" i="11"/>
  <c r="BH91" i="11"/>
  <c r="BI91" i="11"/>
  <c r="AU91" i="11"/>
  <c r="AV91" i="11"/>
  <c r="AH91" i="11"/>
  <c r="AI91" i="11"/>
  <c r="BR90" i="11"/>
  <c r="BT90" i="11" s="1"/>
  <c r="CO91" i="11"/>
  <c r="BN91" i="11"/>
  <c r="AA91" i="11"/>
  <c r="BP91" i="11"/>
  <c r="BO91" i="11"/>
  <c r="DN91" i="11"/>
  <c r="BA91" i="11"/>
  <c r="CN91" i="11"/>
  <c r="DC91" i="11"/>
  <c r="CM91" i="11"/>
  <c r="DP91" i="11"/>
  <c r="X91" i="11"/>
  <c r="AM91" i="11"/>
  <c r="DB91" i="11"/>
  <c r="DD91" i="11" s="1"/>
  <c r="AP91" i="11"/>
  <c r="CZ91" i="11"/>
  <c r="CA91" i="11"/>
  <c r="BM91" i="11"/>
  <c r="Y91" i="11"/>
  <c r="AO91" i="11"/>
  <c r="CP91" i="11"/>
  <c r="DA91" i="11"/>
  <c r="AN91" i="11"/>
  <c r="CC91" i="11"/>
  <c r="CB91" i="11"/>
  <c r="W92" i="11"/>
  <c r="BB91" i="11"/>
  <c r="BD91" i="11" s="1"/>
  <c r="AZ91" i="11"/>
  <c r="DM91" i="11"/>
  <c r="BZ91" i="11"/>
  <c r="BC91" i="11"/>
  <c r="B92" i="11"/>
  <c r="A92" i="11" s="1"/>
  <c r="C93" i="11"/>
  <c r="M91" i="11" l="1"/>
  <c r="L91" i="11"/>
  <c r="EH92" i="11"/>
  <c r="EC92" i="11"/>
  <c r="DZ92" i="11"/>
  <c r="EA92" i="11"/>
  <c r="EI92" i="11"/>
  <c r="M58" i="12"/>
  <c r="A59" i="12"/>
  <c r="V59" i="12" s="1"/>
  <c r="W59" i="12" s="1"/>
  <c r="AX89" i="11"/>
  <c r="AY89" i="11" s="1"/>
  <c r="DK89" i="11"/>
  <c r="DL89" i="11" s="1"/>
  <c r="BK89" i="11"/>
  <c r="BL89" i="11" s="1"/>
  <c r="AY88" i="11"/>
  <c r="AS89" i="11"/>
  <c r="BX89" i="11"/>
  <c r="BY89" i="11" s="1"/>
  <c r="BF90" i="11"/>
  <c r="BK90" i="11"/>
  <c r="BS90" i="11"/>
  <c r="BW90" i="11"/>
  <c r="AS90" i="11"/>
  <c r="B60" i="12"/>
  <c r="DF90" i="11"/>
  <c r="DK90" i="11"/>
  <c r="CK90" i="11"/>
  <c r="CW90" i="11"/>
  <c r="CX90" i="11"/>
  <c r="AB92" i="11"/>
  <c r="BQ91" i="11"/>
  <c r="BR91" i="11" s="1"/>
  <c r="BT91" i="11" s="1"/>
  <c r="CF91" i="11"/>
  <c r="CD91" i="11"/>
  <c r="CW91" i="11"/>
  <c r="CQ91" i="11"/>
  <c r="CJ90" i="11"/>
  <c r="AQ91" i="11"/>
  <c r="AR91" i="11" s="1"/>
  <c r="AT91" i="11" s="1"/>
  <c r="DE91" i="11"/>
  <c r="DG91" i="11" s="1"/>
  <c r="BE91" i="11"/>
  <c r="BG91" i="11" s="1"/>
  <c r="CE92" i="11"/>
  <c r="CG92" i="11" s="1"/>
  <c r="DV92" i="11"/>
  <c r="DU92" i="11"/>
  <c r="DH92" i="11"/>
  <c r="DI92" i="11"/>
  <c r="CU92" i="11"/>
  <c r="CV92" i="11"/>
  <c r="CR92" i="11"/>
  <c r="CT92" i="11" s="1"/>
  <c r="CH92" i="11"/>
  <c r="CI92" i="11"/>
  <c r="BU92" i="11"/>
  <c r="BV92" i="11"/>
  <c r="BI92" i="11"/>
  <c r="BH92" i="11"/>
  <c r="AV92" i="11"/>
  <c r="AU92" i="11"/>
  <c r="AH92" i="11"/>
  <c r="AI92" i="11"/>
  <c r="DM92" i="11"/>
  <c r="BC92" i="11"/>
  <c r="AM92" i="11"/>
  <c r="BN92" i="11"/>
  <c r="AZ92" i="11"/>
  <c r="BP92" i="11"/>
  <c r="DB92" i="11"/>
  <c r="DD92" i="11" s="1"/>
  <c r="CB92" i="11"/>
  <c r="BB92" i="11"/>
  <c r="BD92" i="11" s="1"/>
  <c r="BO92" i="11"/>
  <c r="BQ92" i="11" s="1"/>
  <c r="AP92" i="11"/>
  <c r="CC92" i="11"/>
  <c r="AO92" i="11"/>
  <c r="DC92" i="11"/>
  <c r="X92" i="11"/>
  <c r="Y92" i="11"/>
  <c r="AN92" i="11"/>
  <c r="CA92" i="11"/>
  <c r="CO92" i="11"/>
  <c r="BZ92" i="11"/>
  <c r="AA92" i="11"/>
  <c r="BM92" i="11"/>
  <c r="CN92" i="11"/>
  <c r="CZ92" i="11"/>
  <c r="BA92" i="11"/>
  <c r="DA92" i="11"/>
  <c r="CM92" i="11"/>
  <c r="DP92" i="11"/>
  <c r="W93" i="11"/>
  <c r="CP92" i="11"/>
  <c r="DN92" i="11"/>
  <c r="B93" i="11"/>
  <c r="A93" i="11" s="1"/>
  <c r="C94" i="11"/>
  <c r="M92" i="11" l="1"/>
  <c r="L92" i="11"/>
  <c r="EC93" i="11"/>
  <c r="EA93" i="11"/>
  <c r="DZ93" i="11"/>
  <c r="EI93" i="11"/>
  <c r="EH93" i="11"/>
  <c r="M59" i="12"/>
  <c r="A60" i="12"/>
  <c r="V60" i="12" s="1"/>
  <c r="W60" i="12" s="1"/>
  <c r="BJ90" i="11"/>
  <c r="BL90" i="11" s="1"/>
  <c r="AW90" i="11"/>
  <c r="AX90" i="11"/>
  <c r="BX90" i="11"/>
  <c r="BY90" i="11" s="1"/>
  <c r="DJ90" i="11"/>
  <c r="DL90" i="11" s="1"/>
  <c r="BF91" i="11"/>
  <c r="BK91" i="11"/>
  <c r="DF91" i="11"/>
  <c r="DJ91" i="11"/>
  <c r="AX91" i="11"/>
  <c r="B61" i="12"/>
  <c r="CY90" i="11"/>
  <c r="CL90" i="11"/>
  <c r="BS91" i="11"/>
  <c r="BW91" i="11"/>
  <c r="BX91" i="11"/>
  <c r="CK91" i="11"/>
  <c r="AB93" i="11"/>
  <c r="CJ91" i="11"/>
  <c r="CF92" i="11"/>
  <c r="CD92" i="11"/>
  <c r="CX91" i="11"/>
  <c r="CY91" i="11" s="1"/>
  <c r="CS91" i="11"/>
  <c r="CS92" i="11"/>
  <c r="CQ92" i="11"/>
  <c r="AQ92" i="11"/>
  <c r="AR92" i="11" s="1"/>
  <c r="AT92" i="11" s="1"/>
  <c r="BE92" i="11"/>
  <c r="BG92" i="11" s="1"/>
  <c r="CE93" i="11"/>
  <c r="CG93" i="11" s="1"/>
  <c r="DV93" i="11"/>
  <c r="DU93" i="11"/>
  <c r="DH93" i="11"/>
  <c r="DI93" i="11"/>
  <c r="CR93" i="11"/>
  <c r="CT93" i="11" s="1"/>
  <c r="CU93" i="11"/>
  <c r="CV93" i="11"/>
  <c r="CH93" i="11"/>
  <c r="CI93" i="11"/>
  <c r="BU93" i="11"/>
  <c r="BV93" i="11"/>
  <c r="BI93" i="11"/>
  <c r="BH93" i="11"/>
  <c r="AV93" i="11"/>
  <c r="AU93" i="11"/>
  <c r="AH93" i="11"/>
  <c r="AI93" i="11"/>
  <c r="DE92" i="11"/>
  <c r="DG92" i="11" s="1"/>
  <c r="BR92" i="11"/>
  <c r="BT92" i="11" s="1"/>
  <c r="DB93" i="11"/>
  <c r="DD93" i="11" s="1"/>
  <c r="DN93" i="11"/>
  <c r="BN93" i="11"/>
  <c r="BP93" i="11"/>
  <c r="BO93" i="11"/>
  <c r="BQ93" i="11" s="1"/>
  <c r="BM93" i="11"/>
  <c r="DP93" i="11"/>
  <c r="CP93" i="11"/>
  <c r="DA93" i="11"/>
  <c r="AM93" i="11"/>
  <c r="Y93" i="11"/>
  <c r="CM93" i="11"/>
  <c r="CZ93" i="11"/>
  <c r="CA93" i="11"/>
  <c r="AN93" i="11"/>
  <c r="CN93" i="11"/>
  <c r="DM93" i="11"/>
  <c r="CO93" i="11"/>
  <c r="CC93" i="11"/>
  <c r="AZ93" i="11"/>
  <c r="X93" i="11"/>
  <c r="DC93" i="11"/>
  <c r="AO93" i="11"/>
  <c r="AA93" i="11"/>
  <c r="CB93" i="11"/>
  <c r="W94" i="11"/>
  <c r="BZ93" i="11"/>
  <c r="BB93" i="11"/>
  <c r="BD93" i="11" s="1"/>
  <c r="BA93" i="11"/>
  <c r="BC93" i="11"/>
  <c r="AP93" i="11"/>
  <c r="B94" i="11"/>
  <c r="A94" i="11" s="1"/>
  <c r="C95" i="11"/>
  <c r="L93" i="11" l="1"/>
  <c r="M93" i="11"/>
  <c r="EA94" i="11"/>
  <c r="DZ94" i="11"/>
  <c r="EI94" i="11"/>
  <c r="EH94" i="11"/>
  <c r="EC94" i="11"/>
  <c r="M60" i="12"/>
  <c r="A61" i="12"/>
  <c r="M61" i="12" s="1"/>
  <c r="DK91" i="11"/>
  <c r="DL91" i="11" s="1"/>
  <c r="AY90" i="11"/>
  <c r="BJ91" i="11"/>
  <c r="BL91" i="11" s="1"/>
  <c r="AS92" i="11"/>
  <c r="AS91" i="11"/>
  <c r="BS92" i="11"/>
  <c r="BW92" i="11"/>
  <c r="AW91" i="11"/>
  <c r="AY91" i="11" s="1"/>
  <c r="DF92" i="11"/>
  <c r="DJ92" i="11"/>
  <c r="B62" i="12"/>
  <c r="BF92" i="11"/>
  <c r="BJ92" i="11"/>
  <c r="BY91" i="11"/>
  <c r="CL91" i="11"/>
  <c r="CX92" i="11"/>
  <c r="AB94" i="11"/>
  <c r="CW92" i="11"/>
  <c r="BR93" i="11"/>
  <c r="BT93" i="11" s="1"/>
  <c r="CS93" i="11"/>
  <c r="CQ93" i="11"/>
  <c r="CF93" i="11"/>
  <c r="CD93" i="11"/>
  <c r="CJ92" i="11"/>
  <c r="CK92" i="11"/>
  <c r="AQ93" i="11"/>
  <c r="AR93" i="11" s="1"/>
  <c r="AT93" i="11" s="1"/>
  <c r="DE93" i="11"/>
  <c r="DG93" i="11" s="1"/>
  <c r="BE93" i="11"/>
  <c r="BG93" i="11" s="1"/>
  <c r="CE94" i="11"/>
  <c r="CG94" i="11" s="1"/>
  <c r="DU94" i="11"/>
  <c r="DV94" i="11"/>
  <c r="DI94" i="11"/>
  <c r="DH94" i="11"/>
  <c r="CR94" i="11"/>
  <c r="CT94" i="11" s="1"/>
  <c r="CU94" i="11"/>
  <c r="CV94" i="11"/>
  <c r="CI94" i="11"/>
  <c r="CH94" i="11"/>
  <c r="BU94" i="11"/>
  <c r="BV94" i="11"/>
  <c r="BH94" i="11"/>
  <c r="AU94" i="11"/>
  <c r="BI94" i="11"/>
  <c r="AV94" i="11"/>
  <c r="AI94" i="11"/>
  <c r="AH94" i="11"/>
  <c r="BP94" i="11"/>
  <c r="BN94" i="11"/>
  <c r="CM94" i="11"/>
  <c r="BO94" i="11"/>
  <c r="BQ94" i="11" s="1"/>
  <c r="CO94" i="11"/>
  <c r="CP94" i="11"/>
  <c r="DM94" i="11"/>
  <c r="X94" i="11"/>
  <c r="BM94" i="11"/>
  <c r="BA94" i="11"/>
  <c r="DA94" i="11"/>
  <c r="AO94" i="11"/>
  <c r="CA94" i="11"/>
  <c r="BC94" i="11"/>
  <c r="AZ94" i="11"/>
  <c r="W95" i="11"/>
  <c r="CN94" i="11"/>
  <c r="DB94" i="11"/>
  <c r="DD94" i="11" s="1"/>
  <c r="DN94" i="11"/>
  <c r="AP94" i="11"/>
  <c r="CB94" i="11"/>
  <c r="AA94" i="11"/>
  <c r="BB94" i="11"/>
  <c r="BD94" i="11" s="1"/>
  <c r="CZ94" i="11"/>
  <c r="DP94" i="11"/>
  <c r="Y94" i="11"/>
  <c r="AN94" i="11"/>
  <c r="BZ94" i="11"/>
  <c r="DC94" i="11"/>
  <c r="CC94" i="11"/>
  <c r="AM94" i="11"/>
  <c r="B95" i="11"/>
  <c r="A95" i="11" s="1"/>
  <c r="C96" i="11"/>
  <c r="L94" i="11" l="1"/>
  <c r="M94" i="11"/>
  <c r="EI95" i="11"/>
  <c r="EH95" i="11"/>
  <c r="EC95" i="11"/>
  <c r="EA95" i="11"/>
  <c r="DZ95" i="11"/>
  <c r="V61" i="12"/>
  <c r="W61" i="12" s="1"/>
  <c r="A62" i="12"/>
  <c r="V62" i="12" s="1"/>
  <c r="W62" i="12" s="1"/>
  <c r="BX92" i="11"/>
  <c r="BY92" i="11" s="1"/>
  <c r="BK92" i="11"/>
  <c r="BL92" i="11" s="1"/>
  <c r="AW92" i="11"/>
  <c r="AX92" i="11"/>
  <c r="DK92" i="11"/>
  <c r="DL92" i="11" s="1"/>
  <c r="BS93" i="11"/>
  <c r="BX93" i="11"/>
  <c r="AS93" i="11"/>
  <c r="B63" i="12"/>
  <c r="DF93" i="11"/>
  <c r="DK93" i="11"/>
  <c r="BF93" i="11"/>
  <c r="BJ93" i="11"/>
  <c r="CY92" i="11"/>
  <c r="CQ94" i="11"/>
  <c r="CK93" i="11"/>
  <c r="CJ93" i="11"/>
  <c r="CX93" i="11"/>
  <c r="CL92" i="11"/>
  <c r="AB95" i="11"/>
  <c r="CW93" i="11"/>
  <c r="CF94" i="11"/>
  <c r="CD94" i="11"/>
  <c r="AQ94" i="11"/>
  <c r="AR94" i="11" s="1"/>
  <c r="AT94" i="11" s="1"/>
  <c r="DE94" i="11"/>
  <c r="DG94" i="11" s="1"/>
  <c r="BR94" i="11"/>
  <c r="BT94" i="11" s="1"/>
  <c r="CS94" i="11"/>
  <c r="BE94" i="11"/>
  <c r="BG94" i="11" s="1"/>
  <c r="BP95" i="11"/>
  <c r="CE95" i="11"/>
  <c r="CG95" i="11" s="1"/>
  <c r="DV95" i="11"/>
  <c r="DU95" i="11"/>
  <c r="DH95" i="11"/>
  <c r="DI95" i="11"/>
  <c r="CR95" i="11"/>
  <c r="CT95" i="11" s="1"/>
  <c r="CU95" i="11"/>
  <c r="CV95" i="11"/>
  <c r="CH95" i="11"/>
  <c r="CI95" i="11"/>
  <c r="BU95" i="11"/>
  <c r="BV95" i="11"/>
  <c r="BI95" i="11"/>
  <c r="BH95" i="11"/>
  <c r="AU95" i="11"/>
  <c r="AV95" i="11"/>
  <c r="AH95" i="11"/>
  <c r="AI95" i="11"/>
  <c r="DP95" i="11"/>
  <c r="AN95" i="11"/>
  <c r="BN95" i="11"/>
  <c r="CO95" i="11"/>
  <c r="BO95" i="11"/>
  <c r="BQ95" i="11" s="1"/>
  <c r="BA95" i="11"/>
  <c r="DB95" i="11"/>
  <c r="DD95" i="11" s="1"/>
  <c r="Y95" i="11"/>
  <c r="DN95" i="11"/>
  <c r="CC95" i="11"/>
  <c r="DA95" i="11"/>
  <c r="CZ95" i="11"/>
  <c r="AA95" i="11"/>
  <c r="CP95" i="11"/>
  <c r="BM95" i="11"/>
  <c r="AZ95" i="11"/>
  <c r="AM95" i="11"/>
  <c r="BB95" i="11"/>
  <c r="BD95" i="11" s="1"/>
  <c r="CN95" i="11"/>
  <c r="BC95" i="11"/>
  <c r="X95" i="11"/>
  <c r="DM95" i="11"/>
  <c r="W96" i="11"/>
  <c r="DC95" i="11"/>
  <c r="CB95" i="11"/>
  <c r="CA95" i="11"/>
  <c r="BZ95" i="11"/>
  <c r="AP95" i="11"/>
  <c r="AO95" i="11"/>
  <c r="CM95" i="11"/>
  <c r="B96" i="11"/>
  <c r="A96" i="11" s="1"/>
  <c r="C97" i="11"/>
  <c r="M95" i="11" l="1"/>
  <c r="L95" i="11"/>
  <c r="EH96" i="11"/>
  <c r="EC96" i="11"/>
  <c r="DZ96" i="11"/>
  <c r="EA96" i="11"/>
  <c r="EI96" i="11"/>
  <c r="M62" i="12"/>
  <c r="A63" i="12"/>
  <c r="V63" i="12" s="1"/>
  <c r="W63" i="12" s="1"/>
  <c r="BW93" i="11"/>
  <c r="BY93" i="11" s="1"/>
  <c r="AY92" i="11"/>
  <c r="BK93" i="11"/>
  <c r="BL93" i="11" s="1"/>
  <c r="AW93" i="11"/>
  <c r="AX93" i="11"/>
  <c r="DJ93" i="11"/>
  <c r="DL93" i="11" s="1"/>
  <c r="AS94" i="11"/>
  <c r="B64" i="12"/>
  <c r="DF94" i="11"/>
  <c r="DJ94" i="11"/>
  <c r="BF94" i="11"/>
  <c r="BK94" i="11"/>
  <c r="BS94" i="11"/>
  <c r="BW94" i="11"/>
  <c r="CJ94" i="11"/>
  <c r="CK94" i="11"/>
  <c r="CY93" i="11"/>
  <c r="CL93" i="11"/>
  <c r="AB96" i="11"/>
  <c r="CS95" i="11"/>
  <c r="CQ95" i="11"/>
  <c r="CJ95" i="11"/>
  <c r="CD95" i="11"/>
  <c r="AQ95" i="11"/>
  <c r="AR95" i="11" s="1"/>
  <c r="AT95" i="11" s="1"/>
  <c r="BR95" i="11"/>
  <c r="BT95" i="11" s="1"/>
  <c r="CX94" i="11"/>
  <c r="CW94" i="11"/>
  <c r="BP96" i="11"/>
  <c r="CE96" i="11"/>
  <c r="CG96" i="11" s="1"/>
  <c r="DV96" i="11"/>
  <c r="DU96" i="11"/>
  <c r="DH96" i="11"/>
  <c r="DI96" i="11"/>
  <c r="CR96" i="11"/>
  <c r="CT96" i="11" s="1"/>
  <c r="CU96" i="11"/>
  <c r="CV96" i="11"/>
  <c r="CI96" i="11"/>
  <c r="CH96" i="11"/>
  <c r="BU96" i="11"/>
  <c r="BV96" i="11"/>
  <c r="BH96" i="11"/>
  <c r="BI96" i="11"/>
  <c r="AV96" i="11"/>
  <c r="AU96" i="11"/>
  <c r="AI96" i="11"/>
  <c r="AH96" i="11"/>
  <c r="BE95" i="11"/>
  <c r="BG95" i="11" s="1"/>
  <c r="DE95" i="11"/>
  <c r="DG95" i="11" s="1"/>
  <c r="BN96" i="11"/>
  <c r="BA96" i="11"/>
  <c r="BO96" i="11"/>
  <c r="BQ96" i="11" s="1"/>
  <c r="CA96" i="11"/>
  <c r="BB96" i="11"/>
  <c r="BD96" i="11" s="1"/>
  <c r="CB96" i="11"/>
  <c r="AM96" i="11"/>
  <c r="DM96" i="11"/>
  <c r="CP96" i="11"/>
  <c r="CM96" i="11"/>
  <c r="CZ96" i="11"/>
  <c r="DB96" i="11"/>
  <c r="DD96" i="11" s="1"/>
  <c r="AA96" i="11"/>
  <c r="AO96" i="11"/>
  <c r="AN96" i="11"/>
  <c r="Y96" i="11"/>
  <c r="DP96" i="11"/>
  <c r="AP96" i="11"/>
  <c r="X96" i="11"/>
  <c r="AZ96" i="11"/>
  <c r="BZ96" i="11"/>
  <c r="BC96" i="11"/>
  <c r="CO96" i="11"/>
  <c r="DN96" i="11"/>
  <c r="DC96" i="11"/>
  <c r="W97" i="11"/>
  <c r="CC96" i="11"/>
  <c r="CN96" i="11"/>
  <c r="BM96" i="11"/>
  <c r="DA96" i="11"/>
  <c r="B97" i="11"/>
  <c r="A97" i="11" s="1"/>
  <c r="C98" i="11"/>
  <c r="L96" i="11" l="1"/>
  <c r="M96" i="11"/>
  <c r="EC97" i="11"/>
  <c r="EA97" i="11"/>
  <c r="DZ97" i="11"/>
  <c r="EI97" i="11"/>
  <c r="EH97" i="11"/>
  <c r="M63" i="12"/>
  <c r="A64" i="12"/>
  <c r="V64" i="12" s="1"/>
  <c r="W64" i="12" s="1"/>
  <c r="AY93" i="11"/>
  <c r="BX94" i="11"/>
  <c r="BY94" i="11" s="1"/>
  <c r="AW94" i="11"/>
  <c r="AX94" i="11"/>
  <c r="DK94" i="11"/>
  <c r="DL94" i="11" s="1"/>
  <c r="BJ94" i="11"/>
  <c r="BL94" i="11" s="1"/>
  <c r="DF95" i="11"/>
  <c r="DK95" i="11"/>
  <c r="BF95" i="11"/>
  <c r="BJ95" i="11"/>
  <c r="AS95" i="11"/>
  <c r="BS95" i="11"/>
  <c r="BX95" i="11"/>
  <c r="B65" i="12"/>
  <c r="CL94" i="11"/>
  <c r="CW95" i="11"/>
  <c r="AB97" i="11"/>
  <c r="CX95" i="11"/>
  <c r="CX96" i="11"/>
  <c r="CQ96" i="11"/>
  <c r="CY94" i="11"/>
  <c r="CK95" i="11"/>
  <c r="CL95" i="11" s="1"/>
  <c r="CF95" i="11"/>
  <c r="CF96" i="11"/>
  <c r="CD96" i="11"/>
  <c r="AQ96" i="11"/>
  <c r="AR96" i="11" s="1"/>
  <c r="AT96" i="11" s="1"/>
  <c r="AX95" i="11"/>
  <c r="CK96" i="11"/>
  <c r="BP97" i="11"/>
  <c r="CE97" i="11"/>
  <c r="CG97" i="11" s="1"/>
  <c r="DU97" i="11"/>
  <c r="DV97" i="11"/>
  <c r="DH97" i="11"/>
  <c r="DI97" i="11"/>
  <c r="CU97" i="11"/>
  <c r="CV97" i="11"/>
  <c r="CR97" i="11"/>
  <c r="CT97" i="11" s="1"/>
  <c r="CH97" i="11"/>
  <c r="BU97" i="11"/>
  <c r="BV97" i="11"/>
  <c r="CI97" i="11"/>
  <c r="BI97" i="11"/>
  <c r="BH97" i="11"/>
  <c r="AU97" i="11"/>
  <c r="AV97" i="11"/>
  <c r="AH97" i="11"/>
  <c r="AI97" i="11"/>
  <c r="BE96" i="11"/>
  <c r="BG96" i="11" s="1"/>
  <c r="DE96" i="11"/>
  <c r="DG96" i="11" s="1"/>
  <c r="BR96" i="11"/>
  <c r="BT96" i="11" s="1"/>
  <c r="BN97" i="11"/>
  <c r="CA97" i="11"/>
  <c r="BO97" i="11"/>
  <c r="BQ97" i="11" s="1"/>
  <c r="DB97" i="11"/>
  <c r="DD97" i="11" s="1"/>
  <c r="DP97" i="11"/>
  <c r="CZ97" i="11"/>
  <c r="Y97" i="11"/>
  <c r="CM97" i="11"/>
  <c r="AN97" i="11"/>
  <c r="CP97" i="11"/>
  <c r="AO97" i="11"/>
  <c r="DM97" i="11"/>
  <c r="BM97" i="11"/>
  <c r="AA97" i="11"/>
  <c r="AM97" i="11"/>
  <c r="BZ97" i="11"/>
  <c r="DC97" i="11"/>
  <c r="AZ97" i="11"/>
  <c r="CN97" i="11"/>
  <c r="CO97" i="11"/>
  <c r="X97" i="11"/>
  <c r="CB97" i="11"/>
  <c r="DA97" i="11"/>
  <c r="DN97" i="11"/>
  <c r="W98" i="11"/>
  <c r="CC97" i="11"/>
  <c r="BC97" i="11"/>
  <c r="AP97" i="11"/>
  <c r="BB97" i="11"/>
  <c r="BD97" i="11" s="1"/>
  <c r="BA97" i="11"/>
  <c r="B98" i="11"/>
  <c r="A98" i="11" s="1"/>
  <c r="C99" i="11"/>
  <c r="L97" i="11" l="1"/>
  <c r="M97" i="11"/>
  <c r="EA98" i="11"/>
  <c r="DZ98" i="11"/>
  <c r="EI98" i="11"/>
  <c r="EH98" i="11"/>
  <c r="EC98" i="11"/>
  <c r="M64" i="12"/>
  <c r="A65" i="12"/>
  <c r="V65" i="12" s="1"/>
  <c r="W65" i="12" s="1"/>
  <c r="AY94" i="11"/>
  <c r="BK95" i="11"/>
  <c r="BL95" i="11" s="1"/>
  <c r="CY95" i="11"/>
  <c r="BW95" i="11"/>
  <c r="BY95" i="11" s="1"/>
  <c r="AW95" i="11"/>
  <c r="AY95" i="11" s="1"/>
  <c r="BS96" i="11"/>
  <c r="BW96" i="11"/>
  <c r="DJ95" i="11"/>
  <c r="DL95" i="11" s="1"/>
  <c r="DF96" i="11"/>
  <c r="DJ96" i="11"/>
  <c r="BF96" i="11"/>
  <c r="BJ96" i="11"/>
  <c r="AX96" i="11"/>
  <c r="B66" i="12"/>
  <c r="AB98" i="11"/>
  <c r="CF97" i="11"/>
  <c r="CD97" i="11"/>
  <c r="CQ97" i="11"/>
  <c r="CJ96" i="11"/>
  <c r="CL96" i="11" s="1"/>
  <c r="CW96" i="11"/>
  <c r="CY96" i="11" s="1"/>
  <c r="CS96" i="11"/>
  <c r="AQ97" i="11"/>
  <c r="AR97" i="11" s="1"/>
  <c r="AT97" i="11" s="1"/>
  <c r="DE97" i="11"/>
  <c r="DG97" i="11" s="1"/>
  <c r="BP98" i="11"/>
  <c r="CE98" i="11"/>
  <c r="CG98" i="11" s="1"/>
  <c r="DU98" i="11"/>
  <c r="DV98" i="11"/>
  <c r="DH98" i="11"/>
  <c r="DI98" i="11"/>
  <c r="CR98" i="11"/>
  <c r="CT98" i="11" s="1"/>
  <c r="CV98" i="11"/>
  <c r="CU98" i="11"/>
  <c r="CH98" i="11"/>
  <c r="CI98" i="11"/>
  <c r="BV98" i="11"/>
  <c r="BU98" i="11"/>
  <c r="BI98" i="11"/>
  <c r="AU98" i="11"/>
  <c r="AV98" i="11"/>
  <c r="BH98" i="11"/>
  <c r="AI98" i="11"/>
  <c r="AH98" i="11"/>
  <c r="BR97" i="11"/>
  <c r="BT97" i="11" s="1"/>
  <c r="BE97" i="11"/>
  <c r="BG97" i="11" s="1"/>
  <c r="BA98" i="11"/>
  <c r="AP98" i="11"/>
  <c r="BN98" i="11"/>
  <c r="BO98" i="11"/>
  <c r="AA98" i="11"/>
  <c r="AN98" i="11"/>
  <c r="BC98" i="11"/>
  <c r="DN98" i="11"/>
  <c r="DC98" i="11"/>
  <c r="X98" i="11"/>
  <c r="BM98" i="11"/>
  <c r="CO98" i="11"/>
  <c r="CM98" i="11"/>
  <c r="BB98" i="11"/>
  <c r="BD98" i="11" s="1"/>
  <c r="CN98" i="11"/>
  <c r="Y98" i="11"/>
  <c r="AZ98" i="11"/>
  <c r="CZ98" i="11"/>
  <c r="DM98" i="11"/>
  <c r="DP98" i="11"/>
  <c r="W99" i="11"/>
  <c r="CC98" i="11"/>
  <c r="DA98" i="11"/>
  <c r="BZ98" i="11"/>
  <c r="AO98" i="11"/>
  <c r="DB98" i="11"/>
  <c r="DD98" i="11" s="1"/>
  <c r="CB98" i="11"/>
  <c r="AM98" i="11"/>
  <c r="CP98" i="11"/>
  <c r="CA98" i="11"/>
  <c r="B99" i="11"/>
  <c r="A99" i="11" s="1"/>
  <c r="C100" i="11"/>
  <c r="L98" i="11" l="1"/>
  <c r="M98" i="11"/>
  <c r="EI99" i="11"/>
  <c r="EH99" i="11"/>
  <c r="EC99" i="11"/>
  <c r="EA99" i="11"/>
  <c r="DZ99" i="11"/>
  <c r="CP99" i="11"/>
  <c r="M65" i="12"/>
  <c r="A66" i="12"/>
  <c r="V66" i="12" s="1"/>
  <c r="W66" i="12" s="1"/>
  <c r="BK96" i="11"/>
  <c r="BL96" i="11" s="1"/>
  <c r="AW96" i="11"/>
  <c r="AY96" i="11" s="1"/>
  <c r="BX96" i="11"/>
  <c r="BY96" i="11" s="1"/>
  <c r="DK96" i="11"/>
  <c r="DL96" i="11" s="1"/>
  <c r="AS96" i="11"/>
  <c r="B67" i="12"/>
  <c r="BS97" i="11"/>
  <c r="BX97" i="11"/>
  <c r="DF97" i="11"/>
  <c r="DJ97" i="11"/>
  <c r="BF97" i="11"/>
  <c r="BJ97" i="11"/>
  <c r="AS97" i="11"/>
  <c r="CJ97" i="11"/>
  <c r="CK97" i="11"/>
  <c r="AB99" i="11"/>
  <c r="BQ98" i="11"/>
  <c r="BR98" i="11" s="1"/>
  <c r="BT98" i="11" s="1"/>
  <c r="CF98" i="11"/>
  <c r="CD98" i="11"/>
  <c r="CS98" i="11"/>
  <c r="CQ98" i="11"/>
  <c r="CW97" i="11"/>
  <c r="CS97" i="11"/>
  <c r="CX97" i="11"/>
  <c r="AQ98" i="11"/>
  <c r="AR98" i="11" s="1"/>
  <c r="AT98" i="11" s="1"/>
  <c r="BE98" i="11"/>
  <c r="BG98" i="11" s="1"/>
  <c r="DE98" i="11"/>
  <c r="DG98" i="11" s="1"/>
  <c r="BP99" i="11"/>
  <c r="CE99" i="11"/>
  <c r="CG99" i="11" s="1"/>
  <c r="DV99" i="11"/>
  <c r="DU99" i="11"/>
  <c r="DH99" i="11"/>
  <c r="DI99" i="11"/>
  <c r="CR99" i="11"/>
  <c r="CT99" i="11" s="1"/>
  <c r="CU99" i="11"/>
  <c r="CV99" i="11"/>
  <c r="CI99" i="11"/>
  <c r="CH99" i="11"/>
  <c r="BU99" i="11"/>
  <c r="BV99" i="11"/>
  <c r="BH99" i="11"/>
  <c r="BI99" i="11"/>
  <c r="AV99" i="11"/>
  <c r="AU99" i="11"/>
  <c r="AH99" i="11"/>
  <c r="AI99" i="11"/>
  <c r="CA99" i="11"/>
  <c r="CC99" i="11"/>
  <c r="BN99" i="11"/>
  <c r="DA99" i="11"/>
  <c r="AM99" i="11"/>
  <c r="BA99" i="11"/>
  <c r="DP99" i="11"/>
  <c r="BO99" i="11"/>
  <c r="BQ99" i="11" s="1"/>
  <c r="DM99" i="11"/>
  <c r="CM99" i="11"/>
  <c r="DN99" i="11"/>
  <c r="AZ99" i="11"/>
  <c r="DB99" i="11"/>
  <c r="DD99" i="11" s="1"/>
  <c r="CB99" i="11"/>
  <c r="CZ99" i="11"/>
  <c r="AO99" i="11"/>
  <c r="BZ99" i="11"/>
  <c r="CO99" i="11"/>
  <c r="AP99" i="11"/>
  <c r="BM99" i="11"/>
  <c r="Y99" i="11"/>
  <c r="X99" i="11"/>
  <c r="W100" i="11"/>
  <c r="CN99" i="11"/>
  <c r="AN99" i="11"/>
  <c r="BC99" i="11"/>
  <c r="DC99" i="11"/>
  <c r="BB99" i="11"/>
  <c r="BD99" i="11" s="1"/>
  <c r="AA99" i="11"/>
  <c r="B100" i="11"/>
  <c r="A100" i="11" s="1"/>
  <c r="C101" i="11"/>
  <c r="M99" i="11" l="1"/>
  <c r="L99" i="11"/>
  <c r="EH100" i="11"/>
  <c r="EC100" i="11"/>
  <c r="EA100" i="11"/>
  <c r="DZ100" i="11"/>
  <c r="EI100" i="11"/>
  <c r="M66" i="12"/>
  <c r="A67" i="12"/>
  <c r="V67" i="12" s="1"/>
  <c r="W67" i="12" s="1"/>
  <c r="BW97" i="11"/>
  <c r="BY97" i="11" s="1"/>
  <c r="BK97" i="11"/>
  <c r="BL97" i="11" s="1"/>
  <c r="DK97" i="11"/>
  <c r="DL97" i="11" s="1"/>
  <c r="B68" i="12"/>
  <c r="BF98" i="11"/>
  <c r="BJ98" i="11"/>
  <c r="AX98" i="11"/>
  <c r="AW97" i="11"/>
  <c r="AX97" i="11"/>
  <c r="DF98" i="11"/>
  <c r="DK98" i="11"/>
  <c r="CL97" i="11"/>
  <c r="CX98" i="11"/>
  <c r="CW98" i="11"/>
  <c r="BS98" i="11"/>
  <c r="BX98" i="11"/>
  <c r="BW98" i="11"/>
  <c r="CJ98" i="11"/>
  <c r="CK98" i="11"/>
  <c r="AB100" i="11"/>
  <c r="BR99" i="11"/>
  <c r="BT99" i="11" s="1"/>
  <c r="CX99" i="11"/>
  <c r="CQ99" i="11"/>
  <c r="CF99" i="11"/>
  <c r="CD99" i="11"/>
  <c r="CY97" i="11"/>
  <c r="AQ99" i="11"/>
  <c r="AR99" i="11" s="1"/>
  <c r="AT99" i="11" s="1"/>
  <c r="BE99" i="11"/>
  <c r="BG99" i="11" s="1"/>
  <c r="DE99" i="11"/>
  <c r="DG99" i="11" s="1"/>
  <c r="CE100" i="11"/>
  <c r="CG100" i="11" s="1"/>
  <c r="DV100" i="11"/>
  <c r="DU100" i="11"/>
  <c r="DH100" i="11"/>
  <c r="DI100" i="11"/>
  <c r="CR100" i="11"/>
  <c r="CT100" i="11" s="1"/>
  <c r="CV100" i="11"/>
  <c r="CU100" i="11"/>
  <c r="CH100" i="11"/>
  <c r="CI100" i="11"/>
  <c r="BV100" i="11"/>
  <c r="BU100" i="11"/>
  <c r="BI100" i="11"/>
  <c r="BH100" i="11"/>
  <c r="AU100" i="11"/>
  <c r="AV100" i="11"/>
  <c r="AH100" i="11"/>
  <c r="AI100" i="11"/>
  <c r="AZ100" i="11"/>
  <c r="BN100" i="11"/>
  <c r="BP100" i="11"/>
  <c r="BO100" i="11"/>
  <c r="BQ100" i="11" s="1"/>
  <c r="CM100" i="11"/>
  <c r="AN100" i="11"/>
  <c r="BZ100" i="11"/>
  <c r="CA100" i="11"/>
  <c r="AM100" i="11"/>
  <c r="BM100" i="11"/>
  <c r="AP100" i="11"/>
  <c r="CB100" i="11"/>
  <c r="CZ100" i="11"/>
  <c r="AO100" i="11"/>
  <c r="CO100" i="11"/>
  <c r="CN100" i="11"/>
  <c r="Y100" i="11"/>
  <c r="DA100" i="11"/>
  <c r="BB100" i="11"/>
  <c r="BD100" i="11" s="1"/>
  <c r="DM100" i="11"/>
  <c r="DC100" i="11"/>
  <c r="BC100" i="11"/>
  <c r="DP100" i="11"/>
  <c r="CP100" i="11"/>
  <c r="DB100" i="11"/>
  <c r="DD100" i="11" s="1"/>
  <c r="AA100" i="11"/>
  <c r="X100" i="11"/>
  <c r="W101" i="11"/>
  <c r="DN100" i="11"/>
  <c r="CC100" i="11"/>
  <c r="BA100" i="11"/>
  <c r="B101" i="11"/>
  <c r="A101" i="11" s="1"/>
  <c r="C102" i="11"/>
  <c r="M100" i="11" l="1"/>
  <c r="L100" i="11"/>
  <c r="EC101" i="11"/>
  <c r="EA101" i="11"/>
  <c r="DZ101" i="11"/>
  <c r="EI101" i="11"/>
  <c r="EH101" i="11"/>
  <c r="M67" i="12"/>
  <c r="A68" i="12"/>
  <c r="V68" i="12" s="1"/>
  <c r="W68" i="12" s="1"/>
  <c r="DJ98" i="11"/>
  <c r="DL98" i="11" s="1"/>
  <c r="BK98" i="11"/>
  <c r="BL98" i="11" s="1"/>
  <c r="AS98" i="11"/>
  <c r="AW98" i="11"/>
  <c r="AY98" i="11" s="1"/>
  <c r="AY97" i="11"/>
  <c r="BS99" i="11"/>
  <c r="BW99" i="11"/>
  <c r="DF99" i="11"/>
  <c r="DK99" i="11"/>
  <c r="AS99" i="11"/>
  <c r="B69" i="12"/>
  <c r="BF99" i="11"/>
  <c r="BK99" i="11"/>
  <c r="CL98" i="11"/>
  <c r="CY98" i="11"/>
  <c r="BY98" i="11"/>
  <c r="AB101" i="11"/>
  <c r="CF100" i="11"/>
  <c r="CD100" i="11"/>
  <c r="CS100" i="11"/>
  <c r="CQ100" i="11"/>
  <c r="CJ99" i="11"/>
  <c r="CK99" i="11"/>
  <c r="CW99" i="11"/>
  <c r="CY99" i="11" s="1"/>
  <c r="CS99" i="11"/>
  <c r="AQ100" i="11"/>
  <c r="AR100" i="11" s="1"/>
  <c r="AT100" i="11" s="1"/>
  <c r="BE100" i="11"/>
  <c r="BG100" i="11" s="1"/>
  <c r="DE100" i="11"/>
  <c r="DG100" i="11" s="1"/>
  <c r="CE101" i="11"/>
  <c r="CG101" i="11" s="1"/>
  <c r="DU101" i="11"/>
  <c r="DV101" i="11"/>
  <c r="DH101" i="11"/>
  <c r="DI101" i="11"/>
  <c r="CR101" i="11"/>
  <c r="CT101" i="11" s="1"/>
  <c r="CU101" i="11"/>
  <c r="CV101" i="11"/>
  <c r="CI101" i="11"/>
  <c r="CH101" i="11"/>
  <c r="BU101" i="11"/>
  <c r="BV101" i="11"/>
  <c r="BI101" i="11"/>
  <c r="BH101" i="11"/>
  <c r="AU101" i="11"/>
  <c r="AV101" i="11"/>
  <c r="AH101" i="11"/>
  <c r="AI101" i="11"/>
  <c r="BR100" i="11"/>
  <c r="BT100" i="11" s="1"/>
  <c r="BP101" i="11"/>
  <c r="BN101" i="11"/>
  <c r="BA101" i="11"/>
  <c r="BC101" i="11"/>
  <c r="AM101" i="11"/>
  <c r="BO101" i="11"/>
  <c r="BQ101" i="11" s="1"/>
  <c r="BZ101" i="11"/>
  <c r="AN101" i="11"/>
  <c r="DP101" i="11"/>
  <c r="CA101" i="11"/>
  <c r="DC101" i="11"/>
  <c r="CB101" i="11"/>
  <c r="DA101" i="11"/>
  <c r="AO101" i="11"/>
  <c r="X101" i="11"/>
  <c r="BB101" i="11"/>
  <c r="BD101" i="11" s="1"/>
  <c r="Y101" i="11"/>
  <c r="BM101" i="11"/>
  <c r="DM101" i="11"/>
  <c r="CC101" i="11"/>
  <c r="AA101" i="11"/>
  <c r="CN101" i="11"/>
  <c r="CZ101" i="11"/>
  <c r="DN101" i="11"/>
  <c r="DB101" i="11"/>
  <c r="DD101" i="11" s="1"/>
  <c r="CM101" i="11"/>
  <c r="AP101" i="11"/>
  <c r="W102" i="11"/>
  <c r="CP101" i="11"/>
  <c r="CO101" i="11"/>
  <c r="AZ101" i="11"/>
  <c r="B102" i="11"/>
  <c r="A102" i="11" s="1"/>
  <c r="C103" i="11"/>
  <c r="M101" i="11" l="1"/>
  <c r="L101" i="11"/>
  <c r="EA102" i="11"/>
  <c r="DZ102" i="11"/>
  <c r="EI102" i="11"/>
  <c r="EH102" i="11"/>
  <c r="EC102" i="11"/>
  <c r="M68" i="12"/>
  <c r="A69" i="12"/>
  <c r="V69" i="12" s="1"/>
  <c r="W69" i="12" s="1"/>
  <c r="BJ99" i="11"/>
  <c r="BL99" i="11" s="1"/>
  <c r="BX99" i="11"/>
  <c r="BY99" i="11" s="1"/>
  <c r="DJ99" i="11"/>
  <c r="DL99" i="11" s="1"/>
  <c r="AW99" i="11"/>
  <c r="AX99" i="11"/>
  <c r="BS100" i="11"/>
  <c r="BW100" i="11"/>
  <c r="DF100" i="11"/>
  <c r="DK100" i="11"/>
  <c r="B70" i="12"/>
  <c r="BF100" i="11"/>
  <c r="BJ100" i="11"/>
  <c r="AS100" i="11"/>
  <c r="CL99" i="11"/>
  <c r="CX100" i="11"/>
  <c r="CJ100" i="11"/>
  <c r="CW100" i="11"/>
  <c r="CK100" i="11"/>
  <c r="AB102" i="11"/>
  <c r="CF101" i="11"/>
  <c r="CD101" i="11"/>
  <c r="CX101" i="11"/>
  <c r="CQ101" i="11"/>
  <c r="AQ101" i="11"/>
  <c r="AR101" i="11" s="1"/>
  <c r="AT101" i="11" s="1"/>
  <c r="CE102" i="11"/>
  <c r="CG102" i="11" s="1"/>
  <c r="DU102" i="11"/>
  <c r="DV102" i="11"/>
  <c r="DH102" i="11"/>
  <c r="DI102" i="11"/>
  <c r="CR102" i="11"/>
  <c r="CT102" i="11" s="1"/>
  <c r="CU102" i="11"/>
  <c r="CV102" i="11"/>
  <c r="CH102" i="11"/>
  <c r="CI102" i="11"/>
  <c r="BV102" i="11"/>
  <c r="BU102" i="11"/>
  <c r="BI102" i="11"/>
  <c r="BH102" i="11"/>
  <c r="AU102" i="11"/>
  <c r="AV102" i="11"/>
  <c r="AH102" i="11"/>
  <c r="AI102" i="11"/>
  <c r="BR101" i="11"/>
  <c r="BT101" i="11" s="1"/>
  <c r="BE101" i="11"/>
  <c r="BG101" i="11" s="1"/>
  <c r="DE101" i="11"/>
  <c r="DG101" i="11" s="1"/>
  <c r="BN102" i="11"/>
  <c r="BP102" i="11"/>
  <c r="AZ102" i="11"/>
  <c r="BO102" i="11"/>
  <c r="BQ102" i="11" s="1"/>
  <c r="BZ102" i="11"/>
  <c r="AA102" i="11"/>
  <c r="CO102" i="11"/>
  <c r="AN102" i="11"/>
  <c r="CC102" i="11"/>
  <c r="X102" i="11"/>
  <c r="BC102" i="11"/>
  <c r="BA102" i="11"/>
  <c r="DM102" i="11"/>
  <c r="W103" i="11"/>
  <c r="DB102" i="11"/>
  <c r="DD102" i="11" s="1"/>
  <c r="CA102" i="11"/>
  <c r="AO102" i="11"/>
  <c r="CB102" i="11"/>
  <c r="CP102" i="11"/>
  <c r="CM102" i="11"/>
  <c r="DN102" i="11"/>
  <c r="DP102" i="11"/>
  <c r="DA102" i="11"/>
  <c r="DC102" i="11"/>
  <c r="BB102" i="11"/>
  <c r="BD102" i="11" s="1"/>
  <c r="AP102" i="11"/>
  <c r="CZ102" i="11"/>
  <c r="BM102" i="11"/>
  <c r="CN102" i="11"/>
  <c r="Y102" i="11"/>
  <c r="AM102" i="11"/>
  <c r="B103" i="11"/>
  <c r="A103" i="11" s="1"/>
  <c r="C104" i="11"/>
  <c r="CN103" i="11" l="1"/>
  <c r="M102" i="11"/>
  <c r="L102" i="11"/>
  <c r="EI103" i="11"/>
  <c r="EH103" i="11"/>
  <c r="EC103" i="11"/>
  <c r="EA103" i="11"/>
  <c r="DZ103" i="11"/>
  <c r="M69" i="12"/>
  <c r="A70" i="12"/>
  <c r="V70" i="12" s="1"/>
  <c r="W70" i="12" s="1"/>
  <c r="AY99" i="11"/>
  <c r="BX100" i="11"/>
  <c r="BY100" i="11" s="1"/>
  <c r="DJ100" i="11"/>
  <c r="DL100" i="11" s="1"/>
  <c r="BK100" i="11"/>
  <c r="BL100" i="11" s="1"/>
  <c r="AX100" i="11"/>
  <c r="AW100" i="11"/>
  <c r="BS101" i="11"/>
  <c r="BX101" i="11"/>
  <c r="AS101" i="11"/>
  <c r="BF101" i="11"/>
  <c r="BK101" i="11"/>
  <c r="DF101" i="11"/>
  <c r="DJ101" i="11"/>
  <c r="B71" i="12"/>
  <c r="CY100" i="11"/>
  <c r="CL100" i="11"/>
  <c r="CK101" i="11"/>
  <c r="CJ101" i="11"/>
  <c r="AB103" i="11"/>
  <c r="CK102" i="11"/>
  <c r="CD102" i="11"/>
  <c r="CW101" i="11"/>
  <c r="CY101" i="11" s="1"/>
  <c r="CS101" i="11"/>
  <c r="CS102" i="11"/>
  <c r="CQ102" i="11"/>
  <c r="AQ102" i="11"/>
  <c r="AR102" i="11" s="1"/>
  <c r="AT102" i="11" s="1"/>
  <c r="BE102" i="11"/>
  <c r="BG102" i="11" s="1"/>
  <c r="DV103" i="11"/>
  <c r="CE103" i="11"/>
  <c r="CG103" i="11" s="1"/>
  <c r="DU103" i="11"/>
  <c r="DH103" i="11"/>
  <c r="DI103" i="11"/>
  <c r="CR103" i="11"/>
  <c r="CT103" i="11" s="1"/>
  <c r="CU103" i="11"/>
  <c r="CV103" i="11"/>
  <c r="CH103" i="11"/>
  <c r="CI103" i="11"/>
  <c r="BU103" i="11"/>
  <c r="BV103" i="11"/>
  <c r="BI103" i="11"/>
  <c r="BH103" i="11"/>
  <c r="AV103" i="11"/>
  <c r="AU103" i="11"/>
  <c r="AI103" i="11"/>
  <c r="AH103" i="11"/>
  <c r="BR102" i="11"/>
  <c r="BT102" i="11" s="1"/>
  <c r="DE102" i="11"/>
  <c r="DG102" i="11" s="1"/>
  <c r="BM103" i="11"/>
  <c r="DN103" i="11"/>
  <c r="DM103" i="11"/>
  <c r="BP103" i="11"/>
  <c r="AM103" i="11"/>
  <c r="DC103" i="11"/>
  <c r="CA103" i="11"/>
  <c r="CM103" i="11"/>
  <c r="CZ103" i="11"/>
  <c r="AP103" i="11"/>
  <c r="BN103" i="11"/>
  <c r="AZ103" i="11"/>
  <c r="CB103" i="11"/>
  <c r="BB103" i="11"/>
  <c r="BD103" i="11" s="1"/>
  <c r="AO103" i="11"/>
  <c r="BO103" i="11"/>
  <c r="BQ103" i="11" s="1"/>
  <c r="CP103" i="11"/>
  <c r="X103" i="11"/>
  <c r="CC103" i="11"/>
  <c r="AN103" i="11"/>
  <c r="Y103" i="11"/>
  <c r="DA103" i="11"/>
  <c r="DB103" i="11"/>
  <c r="DD103" i="11" s="1"/>
  <c r="BA103" i="11"/>
  <c r="CO103" i="11"/>
  <c r="DP103" i="11"/>
  <c r="AA103" i="11"/>
  <c r="W104" i="11"/>
  <c r="BC103" i="11"/>
  <c r="BZ103" i="11"/>
  <c r="B104" i="11"/>
  <c r="A104" i="11" s="1"/>
  <c r="C105" i="11"/>
  <c r="L103" i="11" l="1"/>
  <c r="M103" i="11"/>
  <c r="EH104" i="11"/>
  <c r="EC104" i="11"/>
  <c r="EA104" i="11"/>
  <c r="DZ104" i="11"/>
  <c r="EI104" i="11"/>
  <c r="M70" i="12"/>
  <c r="A71" i="12"/>
  <c r="V71" i="12" s="1"/>
  <c r="W71" i="12" s="1"/>
  <c r="BW101" i="11"/>
  <c r="BY101" i="11" s="1"/>
  <c r="BJ101" i="11"/>
  <c r="BL101" i="11" s="1"/>
  <c r="AY100" i="11"/>
  <c r="AW101" i="11"/>
  <c r="DK101" i="11"/>
  <c r="DL101" i="11" s="1"/>
  <c r="AX101" i="11"/>
  <c r="BF102" i="11"/>
  <c r="BK102" i="11"/>
  <c r="DF102" i="11"/>
  <c r="DK102" i="11"/>
  <c r="BS102" i="11"/>
  <c r="BW102" i="11"/>
  <c r="AX102" i="11"/>
  <c r="B72" i="12"/>
  <c r="CL101" i="11"/>
  <c r="AB104" i="11"/>
  <c r="CF103" i="11"/>
  <c r="CD103" i="11"/>
  <c r="CW102" i="11"/>
  <c r="CW103" i="11"/>
  <c r="CQ103" i="11"/>
  <c r="CX102" i="11"/>
  <c r="CJ102" i="11"/>
  <c r="CL102" i="11" s="1"/>
  <c r="CF102" i="11"/>
  <c r="AQ103" i="11"/>
  <c r="AR103" i="11" s="1"/>
  <c r="AT103" i="11" s="1"/>
  <c r="CE104" i="11"/>
  <c r="CG104" i="11" s="1"/>
  <c r="DV104" i="11"/>
  <c r="DU104" i="11"/>
  <c r="DH104" i="11"/>
  <c r="DI104" i="11"/>
  <c r="CR104" i="11"/>
  <c r="CT104" i="11" s="1"/>
  <c r="CV104" i="11"/>
  <c r="CU104" i="11"/>
  <c r="CH104" i="11"/>
  <c r="CI104" i="11"/>
  <c r="BU104" i="11"/>
  <c r="BV104" i="11"/>
  <c r="BI104" i="11"/>
  <c r="BH104" i="11"/>
  <c r="AU104" i="11"/>
  <c r="AV104" i="11"/>
  <c r="AH104" i="11"/>
  <c r="AI104" i="11"/>
  <c r="BE103" i="11"/>
  <c r="BG103" i="11" s="1"/>
  <c r="BR103" i="11"/>
  <c r="BT103" i="11" s="1"/>
  <c r="DE103" i="11"/>
  <c r="DG103" i="11" s="1"/>
  <c r="CB104" i="11"/>
  <c r="BA104" i="11"/>
  <c r="CZ104" i="11"/>
  <c r="DM104" i="11"/>
  <c r="BP104" i="11"/>
  <c r="BN104" i="11"/>
  <c r="CO104" i="11"/>
  <c r="BO104" i="11"/>
  <c r="BQ104" i="11" s="1"/>
  <c r="BB104" i="11"/>
  <c r="BD104" i="11" s="1"/>
  <c r="BZ104" i="11"/>
  <c r="AM104" i="11"/>
  <c r="BM104" i="11"/>
  <c r="AN104" i="11"/>
  <c r="AP104" i="11"/>
  <c r="X104" i="11"/>
  <c r="DC104" i="11"/>
  <c r="CP104" i="11"/>
  <c r="DB104" i="11"/>
  <c r="DD104" i="11" s="1"/>
  <c r="CC104" i="11"/>
  <c r="DN104" i="11"/>
  <c r="AA104" i="11"/>
  <c r="DA104" i="11"/>
  <c r="BC104" i="11"/>
  <c r="DP104" i="11"/>
  <c r="Y104" i="11"/>
  <c r="CM104" i="11"/>
  <c r="W105" i="11"/>
  <c r="CN104" i="11"/>
  <c r="CA104" i="11"/>
  <c r="AO104" i="11"/>
  <c r="AZ104" i="11"/>
  <c r="B105" i="11"/>
  <c r="A105" i="11" s="1"/>
  <c r="C106" i="11"/>
  <c r="M104" i="11" l="1"/>
  <c r="L104" i="11"/>
  <c r="EC105" i="11"/>
  <c r="EA105" i="11"/>
  <c r="DZ105" i="11"/>
  <c r="EI105" i="11"/>
  <c r="EH105" i="11"/>
  <c r="M71" i="12"/>
  <c r="A72" i="12"/>
  <c r="V72" i="12" s="1"/>
  <c r="W72" i="12" s="1"/>
  <c r="AY101" i="11"/>
  <c r="BJ102" i="11"/>
  <c r="BL102" i="11" s="1"/>
  <c r="AW102" i="11"/>
  <c r="AY102" i="11" s="1"/>
  <c r="DJ102" i="11"/>
  <c r="DL102" i="11" s="1"/>
  <c r="BX102" i="11"/>
  <c r="BY102" i="11" s="1"/>
  <c r="AS102" i="11"/>
  <c r="AS103" i="11"/>
  <c r="BF103" i="11"/>
  <c r="BK103" i="11"/>
  <c r="B73" i="12"/>
  <c r="DF103" i="11"/>
  <c r="DJ103" i="11"/>
  <c r="BS103" i="11"/>
  <c r="BW103" i="11"/>
  <c r="CK103" i="11"/>
  <c r="CJ103" i="11"/>
  <c r="AB105" i="11"/>
  <c r="CX103" i="11"/>
  <c r="CY103" i="11" s="1"/>
  <c r="CS103" i="11"/>
  <c r="CF104" i="11"/>
  <c r="CD104" i="11"/>
  <c r="CY102" i="11"/>
  <c r="CX104" i="11"/>
  <c r="CQ104" i="11"/>
  <c r="AQ104" i="11"/>
  <c r="AR104" i="11" s="1"/>
  <c r="AT104" i="11" s="1"/>
  <c r="BR104" i="11"/>
  <c r="BT104" i="11" s="1"/>
  <c r="DE104" i="11"/>
  <c r="DG104" i="11" s="1"/>
  <c r="BE104" i="11"/>
  <c r="BG104" i="11" s="1"/>
  <c r="CE105" i="11"/>
  <c r="CG105" i="11" s="1"/>
  <c r="DU105" i="11"/>
  <c r="DV105" i="11"/>
  <c r="DH105" i="11"/>
  <c r="DI105" i="11"/>
  <c r="CU105" i="11"/>
  <c r="CV105" i="11"/>
  <c r="CR105" i="11"/>
  <c r="CT105" i="11" s="1"/>
  <c r="CI105" i="11"/>
  <c r="CH105" i="11"/>
  <c r="BU105" i="11"/>
  <c r="BV105" i="11"/>
  <c r="BI105" i="11"/>
  <c r="AU105" i="11"/>
  <c r="BH105" i="11"/>
  <c r="AV105" i="11"/>
  <c r="AH105" i="11"/>
  <c r="AI105" i="11"/>
  <c r="AZ105" i="11"/>
  <c r="BN105" i="11"/>
  <c r="BP105" i="11"/>
  <c r="BB105" i="11"/>
  <c r="BD105" i="11" s="1"/>
  <c r="BO105" i="11"/>
  <c r="BQ105" i="11" s="1"/>
  <c r="CB105" i="11"/>
  <c r="AM105" i="11"/>
  <c r="AO105" i="11"/>
  <c r="CA105" i="11"/>
  <c r="CN105" i="11"/>
  <c r="CO105" i="11"/>
  <c r="CC105" i="11"/>
  <c r="CM105" i="11"/>
  <c r="DN105" i="11"/>
  <c r="DB105" i="11"/>
  <c r="DD105" i="11" s="1"/>
  <c r="AA105" i="11"/>
  <c r="AN105" i="11"/>
  <c r="Y105" i="11"/>
  <c r="DA105" i="11"/>
  <c r="BZ105" i="11"/>
  <c r="W106" i="11"/>
  <c r="X105" i="11"/>
  <c r="AP105" i="11"/>
  <c r="DP105" i="11"/>
  <c r="BA105" i="11"/>
  <c r="BM105" i="11"/>
  <c r="BC105" i="11"/>
  <c r="CP105" i="11"/>
  <c r="DM105" i="11"/>
  <c r="DC105" i="11"/>
  <c r="CZ105" i="11"/>
  <c r="B106" i="11"/>
  <c r="A106" i="11" s="1"/>
  <c r="C107" i="11"/>
  <c r="M105" i="11" l="1"/>
  <c r="L105" i="11"/>
  <c r="EA106" i="11"/>
  <c r="DZ106" i="11"/>
  <c r="EI106" i="11"/>
  <c r="EC106" i="11"/>
  <c r="EH106" i="11"/>
  <c r="M72" i="12"/>
  <c r="A73" i="12"/>
  <c r="V73" i="12" s="1"/>
  <c r="W73" i="12" s="1"/>
  <c r="BJ103" i="11"/>
  <c r="BL103" i="11" s="1"/>
  <c r="DK103" i="11"/>
  <c r="DL103" i="11" s="1"/>
  <c r="AX103" i="11"/>
  <c r="CL103" i="11"/>
  <c r="AW103" i="11"/>
  <c r="BX103" i="11"/>
  <c r="BY103" i="11" s="1"/>
  <c r="BS104" i="11"/>
  <c r="BX104" i="11"/>
  <c r="AX104" i="11"/>
  <c r="BF104" i="11"/>
  <c r="BK104" i="11"/>
  <c r="B74" i="12"/>
  <c r="DF104" i="11"/>
  <c r="DJ104" i="11"/>
  <c r="AB106" i="11"/>
  <c r="CK104" i="11"/>
  <c r="CW104" i="11"/>
  <c r="CY104" i="11" s="1"/>
  <c r="CS104" i="11"/>
  <c r="CF105" i="11"/>
  <c r="CD105" i="11"/>
  <c r="CS105" i="11"/>
  <c r="CQ105" i="11"/>
  <c r="CJ104" i="11"/>
  <c r="AQ105" i="11"/>
  <c r="AR105" i="11" s="1"/>
  <c r="AT105" i="11" s="1"/>
  <c r="BE105" i="11"/>
  <c r="BG105" i="11" s="1"/>
  <c r="DE105" i="11"/>
  <c r="DG105" i="11" s="1"/>
  <c r="CE106" i="11"/>
  <c r="CG106" i="11" s="1"/>
  <c r="DU106" i="11"/>
  <c r="DV106" i="11"/>
  <c r="DH106" i="11"/>
  <c r="DI106" i="11"/>
  <c r="CR106" i="11"/>
  <c r="CT106" i="11" s="1"/>
  <c r="CU106" i="11"/>
  <c r="CV106" i="11"/>
  <c r="CH106" i="11"/>
  <c r="CI106" i="11"/>
  <c r="BU106" i="11"/>
  <c r="BV106" i="11"/>
  <c r="BI106" i="11"/>
  <c r="BH106" i="11"/>
  <c r="AV106" i="11"/>
  <c r="AU106" i="11"/>
  <c r="AH106" i="11"/>
  <c r="AI106" i="11"/>
  <c r="BR105" i="11"/>
  <c r="BT105" i="11" s="1"/>
  <c r="Y106" i="11"/>
  <c r="BP106" i="11"/>
  <c r="DM106" i="11"/>
  <c r="AZ106" i="11"/>
  <c r="DB106" i="11"/>
  <c r="DD106" i="11" s="1"/>
  <c r="BN106" i="11"/>
  <c r="BO106" i="11"/>
  <c r="BQ106" i="11" s="1"/>
  <c r="X106" i="11"/>
  <c r="DA106" i="11"/>
  <c r="DP106" i="11"/>
  <c r="CZ106" i="11"/>
  <c r="CM106" i="11"/>
  <c r="DC106" i="11"/>
  <c r="AM106" i="11"/>
  <c r="AO106" i="11"/>
  <c r="BC106" i="11"/>
  <c r="AN106" i="11"/>
  <c r="BZ106" i="11"/>
  <c r="CO106" i="11"/>
  <c r="BM106" i="11"/>
  <c r="CB106" i="11"/>
  <c r="BA106" i="11"/>
  <c r="AP106" i="11"/>
  <c r="W107" i="11"/>
  <c r="CP106" i="11"/>
  <c r="DN106" i="11"/>
  <c r="CC106" i="11"/>
  <c r="AA106" i="11"/>
  <c r="CN106" i="11"/>
  <c r="CA106" i="11"/>
  <c r="BB106" i="11"/>
  <c r="BD106" i="11" s="1"/>
  <c r="B107" i="11"/>
  <c r="A107" i="11" s="1"/>
  <c r="C108" i="11"/>
  <c r="L106" i="11" l="1"/>
  <c r="M106" i="11"/>
  <c r="EI107" i="11"/>
  <c r="EH107" i="11"/>
  <c r="EC107" i="11"/>
  <c r="EA107" i="11"/>
  <c r="DZ107" i="11"/>
  <c r="M73" i="12"/>
  <c r="A74" i="12"/>
  <c r="V74" i="12" s="1"/>
  <c r="W74" i="12" s="1"/>
  <c r="DK104" i="11"/>
  <c r="DL104" i="11" s="1"/>
  <c r="AW104" i="11"/>
  <c r="AY104" i="11" s="1"/>
  <c r="BW104" i="11"/>
  <c r="BY104" i="11" s="1"/>
  <c r="AY103" i="11"/>
  <c r="BJ104" i="11"/>
  <c r="BL104" i="11" s="1"/>
  <c r="B75" i="12"/>
  <c r="DF105" i="11"/>
  <c r="DJ105" i="11"/>
  <c r="BF105" i="11"/>
  <c r="BJ105" i="11"/>
  <c r="BS105" i="11"/>
  <c r="BX105" i="11"/>
  <c r="AW105" i="11"/>
  <c r="AS104" i="11"/>
  <c r="CL104" i="11"/>
  <c r="CK105" i="11"/>
  <c r="CJ105" i="11"/>
  <c r="CX105" i="11"/>
  <c r="BR106" i="11"/>
  <c r="BT106" i="11" s="1"/>
  <c r="AB107" i="11"/>
  <c r="CF106" i="11"/>
  <c r="CD106" i="11"/>
  <c r="CS106" i="11"/>
  <c r="CQ106" i="11"/>
  <c r="CW105" i="11"/>
  <c r="AQ106" i="11"/>
  <c r="AR106" i="11" s="1"/>
  <c r="AT106" i="11" s="1"/>
  <c r="CE107" i="11"/>
  <c r="CG107" i="11" s="1"/>
  <c r="DV107" i="11"/>
  <c r="DU107" i="11"/>
  <c r="DH107" i="11"/>
  <c r="DI107" i="11"/>
  <c r="CR107" i="11"/>
  <c r="CT107" i="11" s="1"/>
  <c r="CU107" i="11"/>
  <c r="CV107" i="11"/>
  <c r="CH107" i="11"/>
  <c r="CI107" i="11"/>
  <c r="BU107" i="11"/>
  <c r="BV107" i="11"/>
  <c r="BH107" i="11"/>
  <c r="BI107" i="11"/>
  <c r="AV107" i="11"/>
  <c r="AU107" i="11"/>
  <c r="AH107" i="11"/>
  <c r="AI107" i="11"/>
  <c r="DE106" i="11"/>
  <c r="DG106" i="11" s="1"/>
  <c r="BE106" i="11"/>
  <c r="BG106" i="11" s="1"/>
  <c r="CP107" i="11"/>
  <c r="CN107" i="11"/>
  <c r="AA107" i="11"/>
  <c r="CO107" i="11"/>
  <c r="BP107" i="11"/>
  <c r="AZ107" i="11"/>
  <c r="BN107" i="11"/>
  <c r="X107" i="11"/>
  <c r="BB107" i="11"/>
  <c r="BD107" i="11" s="1"/>
  <c r="BO107" i="11"/>
  <c r="BQ107" i="11" s="1"/>
  <c r="DM107" i="11"/>
  <c r="CB107" i="11"/>
  <c r="DP107" i="11"/>
  <c r="CZ107" i="11"/>
  <c r="CC107" i="11"/>
  <c r="DN107" i="11"/>
  <c r="Y107" i="11"/>
  <c r="DA107" i="11"/>
  <c r="BC107" i="11"/>
  <c r="DB107" i="11"/>
  <c r="DD107" i="11" s="1"/>
  <c r="AN107" i="11"/>
  <c r="AP107" i="11"/>
  <c r="CA107" i="11"/>
  <c r="CM107" i="11"/>
  <c r="AM107" i="11"/>
  <c r="BM107" i="11"/>
  <c r="DC107" i="11"/>
  <c r="BA107" i="11"/>
  <c r="W108" i="11"/>
  <c r="AO107" i="11"/>
  <c r="BZ107" i="11"/>
  <c r="B108" i="11"/>
  <c r="A108" i="11" s="1"/>
  <c r="C109" i="11"/>
  <c r="M107" i="11" l="1"/>
  <c r="L107" i="11"/>
  <c r="EH108" i="11"/>
  <c r="EC108" i="11"/>
  <c r="EA108" i="11"/>
  <c r="DZ108" i="11"/>
  <c r="EI108" i="11"/>
  <c r="M74" i="12"/>
  <c r="A75" i="12"/>
  <c r="V75" i="12" s="1"/>
  <c r="W75" i="12" s="1"/>
  <c r="AX105" i="11"/>
  <c r="AY105" i="11" s="1"/>
  <c r="AS105" i="11"/>
  <c r="DK105" i="11"/>
  <c r="DL105" i="11" s="1"/>
  <c r="BK105" i="11"/>
  <c r="BL105" i="11" s="1"/>
  <c r="BS106" i="11"/>
  <c r="BW106" i="11"/>
  <c r="AS106" i="11"/>
  <c r="BF106" i="11"/>
  <c r="BK106" i="11"/>
  <c r="BW105" i="11"/>
  <c r="BY105" i="11" s="1"/>
  <c r="B76" i="12"/>
  <c r="DF106" i="11"/>
  <c r="DK106" i="11"/>
  <c r="CL105" i="11"/>
  <c r="CY105" i="11"/>
  <c r="CJ106" i="11"/>
  <c r="CK106" i="11"/>
  <c r="AB108" i="11"/>
  <c r="CW106" i="11"/>
  <c r="CX106" i="11"/>
  <c r="CX107" i="11"/>
  <c r="CQ107" i="11"/>
  <c r="CF107" i="11"/>
  <c r="CD107" i="11"/>
  <c r="AQ107" i="11"/>
  <c r="AR107" i="11" s="1"/>
  <c r="AT107" i="11" s="1"/>
  <c r="DE107" i="11"/>
  <c r="DG107" i="11" s="1"/>
  <c r="BR107" i="11"/>
  <c r="BT107" i="11" s="1"/>
  <c r="BE107" i="11"/>
  <c r="BG107" i="11" s="1"/>
  <c r="CE108" i="11"/>
  <c r="CG108" i="11" s="1"/>
  <c r="DV108" i="11"/>
  <c r="DU108" i="11"/>
  <c r="DI108" i="11"/>
  <c r="DH108" i="11"/>
  <c r="CV108" i="11"/>
  <c r="CR108" i="11"/>
  <c r="CT108" i="11" s="1"/>
  <c r="CU108" i="11"/>
  <c r="CI108" i="11"/>
  <c r="CH108" i="11"/>
  <c r="BH108" i="11"/>
  <c r="BU108" i="11"/>
  <c r="BV108" i="11"/>
  <c r="BI108" i="11"/>
  <c r="AU108" i="11"/>
  <c r="AV108" i="11"/>
  <c r="AH108" i="11"/>
  <c r="AI108" i="11"/>
  <c r="BZ108" i="11"/>
  <c r="BN108" i="11"/>
  <c r="AA108" i="11"/>
  <c r="BP108" i="11"/>
  <c r="BO108" i="11"/>
  <c r="BQ108" i="11" s="1"/>
  <c r="BC108" i="11"/>
  <c r="CN108" i="11"/>
  <c r="CZ108" i="11"/>
  <c r="DA108" i="11"/>
  <c r="DC108" i="11"/>
  <c r="BB108" i="11"/>
  <c r="BD108" i="11" s="1"/>
  <c r="X108" i="11"/>
  <c r="AO108" i="11"/>
  <c r="BM108" i="11"/>
  <c r="CP108" i="11"/>
  <c r="W109" i="11"/>
  <c r="AM108" i="11"/>
  <c r="CB108" i="11"/>
  <c r="Y108" i="11"/>
  <c r="CM108" i="11"/>
  <c r="DN108" i="11"/>
  <c r="CO108" i="11"/>
  <c r="CC108" i="11"/>
  <c r="CA108" i="11"/>
  <c r="AN108" i="11"/>
  <c r="DP108" i="11"/>
  <c r="DM108" i="11"/>
  <c r="BA108" i="11"/>
  <c r="AP108" i="11"/>
  <c r="DB108" i="11"/>
  <c r="DD108" i="11" s="1"/>
  <c r="AZ108" i="11"/>
  <c r="B109" i="11"/>
  <c r="A109" i="11" s="1"/>
  <c r="C110" i="11"/>
  <c r="M108" i="11" l="1"/>
  <c r="L108" i="11"/>
  <c r="EC109" i="11"/>
  <c r="EA109" i="11"/>
  <c r="DZ109" i="11"/>
  <c r="EH109" i="11"/>
  <c r="EI109" i="11"/>
  <c r="M75" i="12"/>
  <c r="A76" i="12"/>
  <c r="V76" i="12" s="1"/>
  <c r="W76" i="12" s="1"/>
  <c r="CA109" i="11"/>
  <c r="AN109" i="11"/>
  <c r="BX106" i="11"/>
  <c r="BY106" i="11" s="1"/>
  <c r="DJ106" i="11"/>
  <c r="DL106" i="11" s="1"/>
  <c r="AX106" i="11"/>
  <c r="AW106" i="11"/>
  <c r="BJ106" i="11"/>
  <c r="BL106" i="11" s="1"/>
  <c r="BF107" i="11"/>
  <c r="BJ107" i="11"/>
  <c r="B77" i="12"/>
  <c r="BS107" i="11"/>
  <c r="BW107" i="11"/>
  <c r="DF107" i="11"/>
  <c r="DJ107" i="11"/>
  <c r="AS107" i="11"/>
  <c r="CQ108" i="11"/>
  <c r="CL106" i="11"/>
  <c r="CY106" i="11"/>
  <c r="CK107" i="11"/>
  <c r="CJ107" i="11"/>
  <c r="AB109" i="11"/>
  <c r="CF108" i="11"/>
  <c r="CD108" i="11"/>
  <c r="CW107" i="11"/>
  <c r="CY107" i="11" s="1"/>
  <c r="CS107" i="11"/>
  <c r="AQ108" i="11"/>
  <c r="AR108" i="11" s="1"/>
  <c r="AT108" i="11" s="1"/>
  <c r="BE108" i="11"/>
  <c r="BG108" i="11" s="1"/>
  <c r="CS108" i="11"/>
  <c r="BR108" i="11"/>
  <c r="BT108" i="11" s="1"/>
  <c r="BX107" i="11"/>
  <c r="DE108" i="11"/>
  <c r="DG108" i="11" s="1"/>
  <c r="CE109" i="11"/>
  <c r="CG109" i="11" s="1"/>
  <c r="DU109" i="11"/>
  <c r="DV109" i="11"/>
  <c r="DH109" i="11"/>
  <c r="DI109" i="11"/>
  <c r="CR109" i="11"/>
  <c r="CT109" i="11" s="1"/>
  <c r="CU109" i="11"/>
  <c r="CV109" i="11"/>
  <c r="CH109" i="11"/>
  <c r="CI109" i="11"/>
  <c r="BU109" i="11"/>
  <c r="BV109" i="11"/>
  <c r="BI109" i="11"/>
  <c r="BH109" i="11"/>
  <c r="AU109" i="11"/>
  <c r="AV109" i="11"/>
  <c r="AH109" i="11"/>
  <c r="AI109" i="11"/>
  <c r="CZ109" i="11"/>
  <c r="AA109" i="11"/>
  <c r="DM109" i="11"/>
  <c r="Y109" i="11"/>
  <c r="BN109" i="11"/>
  <c r="CC109" i="11"/>
  <c r="BP109" i="11"/>
  <c r="CN109" i="11"/>
  <c r="DB109" i="11"/>
  <c r="DD109" i="11" s="1"/>
  <c r="CB109" i="11"/>
  <c r="BO109" i="11"/>
  <c r="BQ109" i="11" s="1"/>
  <c r="DA109" i="11"/>
  <c r="AP109" i="11"/>
  <c r="BA109" i="11"/>
  <c r="BC109" i="11"/>
  <c r="AM109" i="11"/>
  <c r="X109" i="11"/>
  <c r="BZ109" i="11"/>
  <c r="CO109" i="11"/>
  <c r="CP109" i="11"/>
  <c r="BB109" i="11"/>
  <c r="BD109" i="11" s="1"/>
  <c r="AO109" i="11"/>
  <c r="DN109" i="11"/>
  <c r="BM109" i="11"/>
  <c r="AZ109" i="11"/>
  <c r="CM109" i="11"/>
  <c r="W110" i="11"/>
  <c r="DP109" i="11"/>
  <c r="DC109" i="11"/>
  <c r="B110" i="11"/>
  <c r="A110" i="11" s="1"/>
  <c r="C111" i="11"/>
  <c r="M109" i="11" l="1"/>
  <c r="L109" i="11"/>
  <c r="EA110" i="11"/>
  <c r="DZ110" i="11"/>
  <c r="EI110" i="11"/>
  <c r="EH110" i="11"/>
  <c r="EC110" i="11"/>
  <c r="M76" i="12"/>
  <c r="A77" i="12"/>
  <c r="V77" i="12" s="1"/>
  <c r="W77" i="12" s="1"/>
  <c r="AY106" i="11"/>
  <c r="BK107" i="11"/>
  <c r="AX107" i="11"/>
  <c r="AW107" i="11"/>
  <c r="DK107" i="11"/>
  <c r="DL107" i="11" s="1"/>
  <c r="BF108" i="11"/>
  <c r="BJ108" i="11"/>
  <c r="AS108" i="11"/>
  <c r="DF108" i="11"/>
  <c r="DK108" i="11"/>
  <c r="B78" i="12"/>
  <c r="BS108" i="11"/>
  <c r="BW108" i="11"/>
  <c r="CL107" i="11"/>
  <c r="AB110" i="11"/>
  <c r="CK108" i="11"/>
  <c r="CS109" i="11"/>
  <c r="CQ109" i="11"/>
  <c r="CJ108" i="11"/>
  <c r="CF109" i="11"/>
  <c r="CD109" i="11"/>
  <c r="AQ109" i="11"/>
  <c r="AR109" i="11" s="1"/>
  <c r="AT109" i="11" s="1"/>
  <c r="BY107" i="11"/>
  <c r="DE109" i="11"/>
  <c r="DG109" i="11" s="1"/>
  <c r="CX109" i="11"/>
  <c r="CE110" i="11"/>
  <c r="CG110" i="11" s="1"/>
  <c r="DU110" i="11"/>
  <c r="DV110" i="11"/>
  <c r="DH110" i="11"/>
  <c r="DI110" i="11"/>
  <c r="CR110" i="11"/>
  <c r="CT110" i="11" s="1"/>
  <c r="CU110" i="11"/>
  <c r="CV110" i="11"/>
  <c r="CH110" i="11"/>
  <c r="CI110" i="11"/>
  <c r="BU110" i="11"/>
  <c r="BV110" i="11"/>
  <c r="BH110" i="11"/>
  <c r="BI110" i="11"/>
  <c r="AV110" i="11"/>
  <c r="AU110" i="11"/>
  <c r="AH110" i="11"/>
  <c r="AI110" i="11"/>
  <c r="CW108" i="11"/>
  <c r="CX108" i="11"/>
  <c r="BR109" i="11"/>
  <c r="BT109" i="11" s="1"/>
  <c r="BE109" i="11"/>
  <c r="BG109" i="11" s="1"/>
  <c r="CO110" i="11"/>
  <c r="BP110" i="11"/>
  <c r="BN110" i="11"/>
  <c r="BO110" i="11"/>
  <c r="BQ110" i="11" s="1"/>
  <c r="CM110" i="11"/>
  <c r="AP110" i="11"/>
  <c r="BB110" i="11"/>
  <c r="BD110" i="11" s="1"/>
  <c r="AZ110" i="11"/>
  <c r="AO110" i="11"/>
  <c r="DC110" i="11"/>
  <c r="CB110" i="11"/>
  <c r="DM110" i="11"/>
  <c r="BZ110" i="11"/>
  <c r="DA110" i="11"/>
  <c r="Y110" i="11"/>
  <c r="AN110" i="11"/>
  <c r="CP110" i="11"/>
  <c r="DB110" i="11"/>
  <c r="DD110" i="11" s="1"/>
  <c r="X110" i="11"/>
  <c r="DP110" i="11"/>
  <c r="AA110" i="11"/>
  <c r="BM110" i="11"/>
  <c r="CZ110" i="11"/>
  <c r="BC110" i="11"/>
  <c r="DN110" i="11"/>
  <c r="CC110" i="11"/>
  <c r="W111" i="11"/>
  <c r="CA110" i="11"/>
  <c r="BA110" i="11"/>
  <c r="AM110" i="11"/>
  <c r="CN110" i="11"/>
  <c r="B111" i="11"/>
  <c r="A111" i="11" s="1"/>
  <c r="C112" i="11"/>
  <c r="BL107" i="11" l="1"/>
  <c r="M110" i="11"/>
  <c r="L110" i="11"/>
  <c r="EI111" i="11"/>
  <c r="EH111" i="11"/>
  <c r="EC111" i="11"/>
  <c r="EA111" i="11"/>
  <c r="DZ111" i="11"/>
  <c r="M77" i="12"/>
  <c r="A78" i="12"/>
  <c r="V78" i="12" s="1"/>
  <c r="W78" i="12" s="1"/>
  <c r="AY107" i="11"/>
  <c r="BX108" i="11"/>
  <c r="BY108" i="11" s="1"/>
  <c r="AW108" i="11"/>
  <c r="AX108" i="11"/>
  <c r="DJ108" i="11"/>
  <c r="DL108" i="11" s="1"/>
  <c r="BK108" i="11"/>
  <c r="BL108" i="11" s="1"/>
  <c r="B79" i="12"/>
  <c r="BF109" i="11"/>
  <c r="BK109" i="11"/>
  <c r="BS109" i="11"/>
  <c r="BW109" i="11"/>
  <c r="AS109" i="11"/>
  <c r="DF109" i="11"/>
  <c r="DJ109" i="11"/>
  <c r="CK109" i="11"/>
  <c r="CJ109" i="11"/>
  <c r="AB111" i="11"/>
  <c r="CY108" i="11"/>
  <c r="CW109" i="11"/>
  <c r="CY109" i="11" s="1"/>
  <c r="CS110" i="11"/>
  <c r="CQ110" i="11"/>
  <c r="CF110" i="11"/>
  <c r="CD110" i="11"/>
  <c r="CL108" i="11"/>
  <c r="AQ110" i="11"/>
  <c r="AR110" i="11" s="1"/>
  <c r="AT110" i="11" s="1"/>
  <c r="CE111" i="11"/>
  <c r="CG111" i="11" s="1"/>
  <c r="DV111" i="11"/>
  <c r="DU111" i="11"/>
  <c r="DI111" i="11"/>
  <c r="DH111" i="11"/>
  <c r="CR111" i="11"/>
  <c r="CT111" i="11" s="1"/>
  <c r="CU111" i="11"/>
  <c r="CV111" i="11"/>
  <c r="CH111" i="11"/>
  <c r="CI111" i="11"/>
  <c r="BU111" i="11"/>
  <c r="BV111" i="11"/>
  <c r="BI111" i="11"/>
  <c r="BH111" i="11"/>
  <c r="AU111" i="11"/>
  <c r="AV111" i="11"/>
  <c r="AH111" i="11"/>
  <c r="AI111" i="11"/>
  <c r="BR110" i="11"/>
  <c r="BT110" i="11" s="1"/>
  <c r="BE110" i="11"/>
  <c r="BG110" i="11" s="1"/>
  <c r="DE110" i="11"/>
  <c r="DG110" i="11" s="1"/>
  <c r="BN111" i="11"/>
  <c r="AP111" i="11"/>
  <c r="BP111" i="11"/>
  <c r="DA111" i="11"/>
  <c r="BO111" i="11"/>
  <c r="BQ111" i="11" s="1"/>
  <c r="CN111" i="11"/>
  <c r="X111" i="11"/>
  <c r="CP111" i="11"/>
  <c r="BA111" i="11"/>
  <c r="BB111" i="11"/>
  <c r="BD111" i="11" s="1"/>
  <c r="Y111" i="11"/>
  <c r="CM111" i="11"/>
  <c r="DN111" i="11"/>
  <c r="BC111" i="11"/>
  <c r="DP111" i="11"/>
  <c r="DC111" i="11"/>
  <c r="CB111" i="11"/>
  <c r="BZ111" i="11"/>
  <c r="AO111" i="11"/>
  <c r="AN111" i="11"/>
  <c r="W112" i="11"/>
  <c r="AM111" i="11"/>
  <c r="CZ111" i="11"/>
  <c r="BM111" i="11"/>
  <c r="DM111" i="11"/>
  <c r="AZ111" i="11"/>
  <c r="CA111" i="11"/>
  <c r="CC111" i="11"/>
  <c r="AA111" i="11"/>
  <c r="DB111" i="11"/>
  <c r="DD111" i="11" s="1"/>
  <c r="CO111" i="11"/>
  <c r="B112" i="11"/>
  <c r="A112" i="11" s="1"/>
  <c r="C113" i="11"/>
  <c r="M111" i="11" l="1"/>
  <c r="L111" i="11"/>
  <c r="EH112" i="11"/>
  <c r="EC112" i="11"/>
  <c r="EA112" i="11"/>
  <c r="DZ112" i="11"/>
  <c r="EI112" i="11"/>
  <c r="M78" i="12"/>
  <c r="A79" i="12"/>
  <c r="V79" i="12" s="1"/>
  <c r="W79" i="12" s="1"/>
  <c r="AY108" i="11"/>
  <c r="DK109" i="11"/>
  <c r="DL109" i="11" s="1"/>
  <c r="BJ109" i="11"/>
  <c r="BL109" i="11" s="1"/>
  <c r="AW109" i="11"/>
  <c r="AX109" i="11"/>
  <c r="DF110" i="11"/>
  <c r="DK110" i="11"/>
  <c r="BF110" i="11"/>
  <c r="BJ110" i="11"/>
  <c r="BS110" i="11"/>
  <c r="BW110" i="11"/>
  <c r="BX109" i="11"/>
  <c r="BY109" i="11" s="1"/>
  <c r="AX110" i="11"/>
  <c r="B80" i="12"/>
  <c r="CL109" i="11"/>
  <c r="CX110" i="11"/>
  <c r="CW110" i="11"/>
  <c r="AB112" i="11"/>
  <c r="CX111" i="11"/>
  <c r="CQ111" i="11"/>
  <c r="CF111" i="11"/>
  <c r="CD111" i="11"/>
  <c r="CJ110" i="11"/>
  <c r="CK110" i="11"/>
  <c r="AQ111" i="11"/>
  <c r="AR111" i="11" s="1"/>
  <c r="AT111" i="11" s="1"/>
  <c r="BN112" i="11"/>
  <c r="CE112" i="11"/>
  <c r="CG112" i="11" s="1"/>
  <c r="DV112" i="11"/>
  <c r="DU112" i="11"/>
  <c r="DH112" i="11"/>
  <c r="DI112" i="11"/>
  <c r="CR112" i="11"/>
  <c r="CT112" i="11" s="1"/>
  <c r="CU112" i="11"/>
  <c r="CV112" i="11"/>
  <c r="CH112" i="11"/>
  <c r="CI112" i="11"/>
  <c r="BU112" i="11"/>
  <c r="BV112" i="11"/>
  <c r="BI112" i="11"/>
  <c r="AU112" i="11"/>
  <c r="BH112" i="11"/>
  <c r="AV112" i="11"/>
  <c r="AI112" i="11"/>
  <c r="AH112" i="11"/>
  <c r="BE111" i="11"/>
  <c r="BG111" i="11" s="1"/>
  <c r="DE111" i="11"/>
  <c r="DG111" i="11" s="1"/>
  <c r="BR111" i="11"/>
  <c r="BT111" i="11" s="1"/>
  <c r="CM112" i="11"/>
  <c r="BP112" i="11"/>
  <c r="BO112" i="11"/>
  <c r="CZ112" i="11"/>
  <c r="AM112" i="11"/>
  <c r="DN112" i="11"/>
  <c r="BA112" i="11"/>
  <c r="AO112" i="11"/>
  <c r="AZ112" i="11"/>
  <c r="BZ112" i="11"/>
  <c r="DM112" i="11"/>
  <c r="CO112" i="11"/>
  <c r="Y112" i="11"/>
  <c r="CP112" i="11"/>
  <c r="BC112" i="11"/>
  <c r="AN112" i="11"/>
  <c r="AA112" i="11"/>
  <c r="DC112" i="11"/>
  <c r="X112" i="11"/>
  <c r="BM112" i="11"/>
  <c r="W113" i="11"/>
  <c r="CC112" i="11"/>
  <c r="BB112" i="11"/>
  <c r="BD112" i="11" s="1"/>
  <c r="CN112" i="11"/>
  <c r="DP112" i="11"/>
  <c r="AP112" i="11"/>
  <c r="DB112" i="11"/>
  <c r="DD112" i="11" s="1"/>
  <c r="CA112" i="11"/>
  <c r="CB112" i="11"/>
  <c r="DA112" i="11"/>
  <c r="B113" i="11"/>
  <c r="A113" i="11" s="1"/>
  <c r="C114" i="11"/>
  <c r="L112" i="11" l="1"/>
  <c r="M112" i="11"/>
  <c r="EC113" i="11"/>
  <c r="EA113" i="11"/>
  <c r="DZ113" i="11"/>
  <c r="EI113" i="11"/>
  <c r="EH113" i="11"/>
  <c r="M79" i="12"/>
  <c r="A80" i="12"/>
  <c r="V80" i="12" s="1"/>
  <c r="W80" i="12" s="1"/>
  <c r="DJ110" i="11"/>
  <c r="DL110" i="11" s="1"/>
  <c r="AY109" i="11"/>
  <c r="AW110" i="11"/>
  <c r="AY110" i="11" s="1"/>
  <c r="CY110" i="11"/>
  <c r="BX110" i="11"/>
  <c r="BY110" i="11" s="1"/>
  <c r="BK110" i="11"/>
  <c r="BL110" i="11" s="1"/>
  <c r="AS110" i="11"/>
  <c r="BS111" i="11"/>
  <c r="BW111" i="11"/>
  <c r="AX111" i="11"/>
  <c r="BF111" i="11"/>
  <c r="BJ111" i="11"/>
  <c r="DF111" i="11"/>
  <c r="DJ111" i="11"/>
  <c r="B81" i="12"/>
  <c r="AB113" i="11"/>
  <c r="CK111" i="11"/>
  <c r="CJ111" i="11"/>
  <c r="CL110" i="11"/>
  <c r="BQ112" i="11"/>
  <c r="BR112" i="11" s="1"/>
  <c r="BT112" i="11" s="1"/>
  <c r="CW112" i="11"/>
  <c r="CQ112" i="11"/>
  <c r="CW111" i="11"/>
  <c r="CY111" i="11" s="1"/>
  <c r="CS111" i="11"/>
  <c r="CF112" i="11"/>
  <c r="CD112" i="11"/>
  <c r="AQ112" i="11"/>
  <c r="AR112" i="11" s="1"/>
  <c r="AT112" i="11" s="1"/>
  <c r="CE113" i="11"/>
  <c r="CG113" i="11" s="1"/>
  <c r="DU113" i="11"/>
  <c r="DV113" i="11"/>
  <c r="DH113" i="11"/>
  <c r="DI113" i="11"/>
  <c r="CU113" i="11"/>
  <c r="CV113" i="11"/>
  <c r="CI113" i="11"/>
  <c r="CR113" i="11"/>
  <c r="CT113" i="11" s="1"/>
  <c r="CH113" i="11"/>
  <c r="BU113" i="11"/>
  <c r="BV113" i="11"/>
  <c r="BH113" i="11"/>
  <c r="BI113" i="11"/>
  <c r="AV113" i="11"/>
  <c r="AU113" i="11"/>
  <c r="AH113" i="11"/>
  <c r="AI113" i="11"/>
  <c r="BE112" i="11"/>
  <c r="BG112" i="11" s="1"/>
  <c r="DE112" i="11"/>
  <c r="DG112" i="11" s="1"/>
  <c r="DM113" i="11"/>
  <c r="BP113" i="11"/>
  <c r="DP113" i="11"/>
  <c r="BN113" i="11"/>
  <c r="BO113" i="11"/>
  <c r="BQ113" i="11" s="1"/>
  <c r="AO113" i="11"/>
  <c r="DA113" i="11"/>
  <c r="AA113" i="11"/>
  <c r="BZ113" i="11"/>
  <c r="AZ113" i="11"/>
  <c r="AM113" i="11"/>
  <c r="CB113" i="11"/>
  <c r="BM113" i="11"/>
  <c r="CP113" i="11"/>
  <c r="CN113" i="11"/>
  <c r="BB113" i="11"/>
  <c r="BD113" i="11" s="1"/>
  <c r="DN113" i="11"/>
  <c r="Y113" i="11"/>
  <c r="W114" i="11"/>
  <c r="CA113" i="11"/>
  <c r="CC113" i="11"/>
  <c r="BA113" i="11"/>
  <c r="CO113" i="11"/>
  <c r="DB113" i="11"/>
  <c r="DD113" i="11" s="1"/>
  <c r="AN113" i="11"/>
  <c r="CZ113" i="11"/>
  <c r="X113" i="11"/>
  <c r="AP113" i="11"/>
  <c r="DC113" i="11"/>
  <c r="BC113" i="11"/>
  <c r="CM113" i="11"/>
  <c r="B114" i="11"/>
  <c r="A114" i="11" s="1"/>
  <c r="C115" i="11"/>
  <c r="M113" i="11" l="1"/>
  <c r="L113" i="11"/>
  <c r="EA114" i="11"/>
  <c r="DZ114" i="11"/>
  <c r="EI114" i="11"/>
  <c r="EH114" i="11"/>
  <c r="EC114" i="11"/>
  <c r="M80" i="12"/>
  <c r="A81" i="12"/>
  <c r="V81" i="12" s="1"/>
  <c r="W81" i="12" s="1"/>
  <c r="BK111" i="11"/>
  <c r="BL111" i="11" s="1"/>
  <c r="BX111" i="11"/>
  <c r="BY111" i="11" s="1"/>
  <c r="AS111" i="11"/>
  <c r="AW111" i="11"/>
  <c r="AY111" i="11" s="1"/>
  <c r="DK111" i="11"/>
  <c r="DL111" i="11" s="1"/>
  <c r="AS112" i="11"/>
  <c r="BS112" i="11"/>
  <c r="BW112" i="11"/>
  <c r="DF112" i="11"/>
  <c r="DJ112" i="11"/>
  <c r="B82" i="12"/>
  <c r="BF112" i="11"/>
  <c r="BK112" i="11"/>
  <c r="CL111" i="11"/>
  <c r="CD113" i="11"/>
  <c r="AB114" i="11"/>
  <c r="CS113" i="11"/>
  <c r="CQ113" i="11"/>
  <c r="CK112" i="11"/>
  <c r="CX112" i="11"/>
  <c r="CY112" i="11" s="1"/>
  <c r="CS112" i="11"/>
  <c r="CJ112" i="11"/>
  <c r="AQ113" i="11"/>
  <c r="AR113" i="11" s="1"/>
  <c r="AT113" i="11" s="1"/>
  <c r="CE114" i="11"/>
  <c r="CG114" i="11" s="1"/>
  <c r="DU114" i="11"/>
  <c r="DV114" i="11"/>
  <c r="DH114" i="11"/>
  <c r="DI114" i="11"/>
  <c r="CR114" i="11"/>
  <c r="CT114" i="11" s="1"/>
  <c r="CU114" i="11"/>
  <c r="CV114" i="11"/>
  <c r="CH114" i="11"/>
  <c r="CI114" i="11"/>
  <c r="BU114" i="11"/>
  <c r="BV114" i="11"/>
  <c r="BI114" i="11"/>
  <c r="BH114" i="11"/>
  <c r="AU114" i="11"/>
  <c r="AV114" i="11"/>
  <c r="AH114" i="11"/>
  <c r="AI114" i="11"/>
  <c r="BR113" i="11"/>
  <c r="BT113" i="11" s="1"/>
  <c r="BE113" i="11"/>
  <c r="BG113" i="11" s="1"/>
  <c r="DE113" i="11"/>
  <c r="DG113" i="11" s="1"/>
  <c r="CF113" i="11"/>
  <c r="BN114" i="11"/>
  <c r="CP114" i="11"/>
  <c r="DM114" i="11"/>
  <c r="BP114" i="11"/>
  <c r="BO114" i="11"/>
  <c r="BQ114" i="11" s="1"/>
  <c r="CC114" i="11"/>
  <c r="BM114" i="11"/>
  <c r="CA114" i="11"/>
  <c r="BC114" i="11"/>
  <c r="AN114" i="11"/>
  <c r="DN114" i="11"/>
  <c r="DA114" i="11"/>
  <c r="CB114" i="11"/>
  <c r="DB114" i="11"/>
  <c r="DD114" i="11" s="1"/>
  <c r="BB114" i="11"/>
  <c r="BD114" i="11" s="1"/>
  <c r="AM114" i="11"/>
  <c r="Y114" i="11"/>
  <c r="DC114" i="11"/>
  <c r="W115" i="11"/>
  <c r="AP114" i="11"/>
  <c r="DP114" i="11"/>
  <c r="AZ114" i="11"/>
  <c r="X114" i="11"/>
  <c r="CO114" i="11"/>
  <c r="CN114" i="11"/>
  <c r="BZ114" i="11"/>
  <c r="CM114" i="11"/>
  <c r="CZ114" i="11"/>
  <c r="BA114" i="11"/>
  <c r="AA114" i="11"/>
  <c r="AO114" i="11"/>
  <c r="B115" i="11"/>
  <c r="A115" i="11" s="1"/>
  <c r="C116" i="11"/>
  <c r="M114" i="11" l="1"/>
  <c r="L114" i="11"/>
  <c r="EI115" i="11"/>
  <c r="EH115" i="11"/>
  <c r="EA115" i="11"/>
  <c r="EC115" i="11"/>
  <c r="DZ115" i="11"/>
  <c r="M81" i="12"/>
  <c r="A82" i="12"/>
  <c r="V82" i="12" s="1"/>
  <c r="W82" i="12" s="1"/>
  <c r="BJ112" i="11"/>
  <c r="BL112" i="11" s="1"/>
  <c r="AW112" i="11"/>
  <c r="AX112" i="11"/>
  <c r="DK112" i="11"/>
  <c r="DL112" i="11" s="1"/>
  <c r="BX112" i="11"/>
  <c r="BY112" i="11" s="1"/>
  <c r="AX113" i="11"/>
  <c r="DF113" i="11"/>
  <c r="DK113" i="11"/>
  <c r="BF113" i="11"/>
  <c r="BJ113" i="11"/>
  <c r="B83" i="12"/>
  <c r="BS113" i="11"/>
  <c r="BX113" i="11"/>
  <c r="CX113" i="11"/>
  <c r="CW113" i="11"/>
  <c r="AB115" i="11"/>
  <c r="BR114" i="11"/>
  <c r="BT114" i="11" s="1"/>
  <c r="CS114" i="11"/>
  <c r="CQ114" i="11"/>
  <c r="CL112" i="11"/>
  <c r="CF114" i="11"/>
  <c r="CD114" i="11"/>
  <c r="AQ114" i="11"/>
  <c r="AR114" i="11" s="1"/>
  <c r="AT114" i="11" s="1"/>
  <c r="CJ113" i="11"/>
  <c r="CK113" i="11"/>
  <c r="BE114" i="11"/>
  <c r="BG114" i="11" s="1"/>
  <c r="DE114" i="11"/>
  <c r="DG114" i="11" s="1"/>
  <c r="CE115" i="11"/>
  <c r="CG115" i="11" s="1"/>
  <c r="DV115" i="11"/>
  <c r="DU115" i="11"/>
  <c r="DH115" i="11"/>
  <c r="DI115" i="11"/>
  <c r="CV115" i="11"/>
  <c r="CR115" i="11"/>
  <c r="CT115" i="11" s="1"/>
  <c r="CU115" i="11"/>
  <c r="CH115" i="11"/>
  <c r="CI115" i="11"/>
  <c r="BV115" i="11"/>
  <c r="BU115" i="11"/>
  <c r="BH115" i="11"/>
  <c r="BI115" i="11"/>
  <c r="AU115" i="11"/>
  <c r="AV115" i="11"/>
  <c r="AI115" i="11"/>
  <c r="AH115" i="11"/>
  <c r="BP115" i="11"/>
  <c r="BN115" i="11"/>
  <c r="CP115" i="11"/>
  <c r="AZ115" i="11"/>
  <c r="BA115" i="11"/>
  <c r="BO115" i="11"/>
  <c r="DA115" i="11"/>
  <c r="CZ115" i="11"/>
  <c r="AN115" i="11"/>
  <c r="Y115" i="11"/>
  <c r="BC115" i="11"/>
  <c r="DC115" i="11"/>
  <c r="CM115" i="11"/>
  <c r="BZ115" i="11"/>
  <c r="CN115" i="11"/>
  <c r="AP115" i="11"/>
  <c r="DP115" i="11"/>
  <c r="AM115" i="11"/>
  <c r="CA115" i="11"/>
  <c r="CO115" i="11"/>
  <c r="BB115" i="11"/>
  <c r="BD115" i="11" s="1"/>
  <c r="AO115" i="11"/>
  <c r="X115" i="11"/>
  <c r="DB115" i="11"/>
  <c r="DD115" i="11" s="1"/>
  <c r="AA115" i="11"/>
  <c r="CB115" i="11"/>
  <c r="W116" i="11"/>
  <c r="BM115" i="11"/>
  <c r="CC115" i="11"/>
  <c r="DN115" i="11"/>
  <c r="DM115" i="11"/>
  <c r="B116" i="11"/>
  <c r="A116" i="11" s="1"/>
  <c r="C117" i="11"/>
  <c r="L115" i="11" l="1"/>
  <c r="M115" i="11"/>
  <c r="EH116" i="11"/>
  <c r="EC116" i="11"/>
  <c r="EA116" i="11"/>
  <c r="DZ116" i="11"/>
  <c r="EI116" i="11"/>
  <c r="M82" i="12"/>
  <c r="A83" i="12"/>
  <c r="M83" i="12" s="1"/>
  <c r="AY112" i="11"/>
  <c r="BK113" i="11"/>
  <c r="BL113" i="11" s="1"/>
  <c r="BW113" i="11"/>
  <c r="BY113" i="11" s="1"/>
  <c r="AS113" i="11"/>
  <c r="AW113" i="11"/>
  <c r="AY113" i="11" s="1"/>
  <c r="DJ113" i="11"/>
  <c r="DL113" i="11" s="1"/>
  <c r="AS114" i="11"/>
  <c r="BX114" i="11"/>
  <c r="DF114" i="11"/>
  <c r="DK114" i="11"/>
  <c r="B84" i="12"/>
  <c r="BF114" i="11"/>
  <c r="BK114" i="11"/>
  <c r="CY113" i="11"/>
  <c r="CL113" i="11"/>
  <c r="CW114" i="11"/>
  <c r="CX114" i="11"/>
  <c r="AB116" i="11"/>
  <c r="BS114" i="11"/>
  <c r="BQ115" i="11"/>
  <c r="BR115" i="11" s="1"/>
  <c r="BT115" i="11" s="1"/>
  <c r="CJ114" i="11"/>
  <c r="CX115" i="11"/>
  <c r="CQ115" i="11"/>
  <c r="CK114" i="11"/>
  <c r="CF115" i="11"/>
  <c r="CD115" i="11"/>
  <c r="AQ115" i="11"/>
  <c r="AR115" i="11" s="1"/>
  <c r="AT115" i="11" s="1"/>
  <c r="BE115" i="11"/>
  <c r="BG115" i="11" s="1"/>
  <c r="DE115" i="11"/>
  <c r="DG115" i="11" s="1"/>
  <c r="BP116" i="11"/>
  <c r="CE116" i="11"/>
  <c r="CG116" i="11" s="1"/>
  <c r="DV116" i="11"/>
  <c r="DU116" i="11"/>
  <c r="DH116" i="11"/>
  <c r="DI116" i="11"/>
  <c r="CR116" i="11"/>
  <c r="CT116" i="11" s="1"/>
  <c r="CU116" i="11"/>
  <c r="CV116" i="11"/>
  <c r="CI116" i="11"/>
  <c r="CH116" i="11"/>
  <c r="BU116" i="11"/>
  <c r="BV116" i="11"/>
  <c r="BI116" i="11"/>
  <c r="BH116" i="11"/>
  <c r="AU116" i="11"/>
  <c r="AV116" i="11"/>
  <c r="AH116" i="11"/>
  <c r="AI116" i="11"/>
  <c r="DM116" i="11"/>
  <c r="CC116" i="11"/>
  <c r="DC116" i="11"/>
  <c r="DA116" i="11"/>
  <c r="BN116" i="11"/>
  <c r="AN116" i="11"/>
  <c r="BO116" i="11"/>
  <c r="BQ116" i="11" s="1"/>
  <c r="DN116" i="11"/>
  <c r="AZ116" i="11"/>
  <c r="BB116" i="11"/>
  <c r="BD116" i="11" s="1"/>
  <c r="BC116" i="11"/>
  <c r="AA116" i="11"/>
  <c r="Y116" i="11"/>
  <c r="CO116" i="11"/>
  <c r="CZ116" i="11"/>
  <c r="AO116" i="11"/>
  <c r="BA116" i="11"/>
  <c r="AM116" i="11"/>
  <c r="CN116" i="11"/>
  <c r="BM116" i="11"/>
  <c r="CM116" i="11"/>
  <c r="AP116" i="11"/>
  <c r="DP116" i="11"/>
  <c r="CA116" i="11"/>
  <c r="DB116" i="11"/>
  <c r="DD116" i="11" s="1"/>
  <c r="W117" i="11"/>
  <c r="CB116" i="11"/>
  <c r="X116" i="11"/>
  <c r="BZ116" i="11"/>
  <c r="CP116" i="11"/>
  <c r="B117" i="11"/>
  <c r="A117" i="11" s="1"/>
  <c r="C118" i="11"/>
  <c r="M116" i="11" l="1"/>
  <c r="L116" i="11"/>
  <c r="EC117" i="11"/>
  <c r="EA117" i="11"/>
  <c r="DZ117" i="11"/>
  <c r="EI117" i="11"/>
  <c r="EH117" i="11"/>
  <c r="V83" i="12"/>
  <c r="W83" i="12" s="1"/>
  <c r="A84" i="12"/>
  <c r="V84" i="12" s="1"/>
  <c r="W84" i="12" s="1"/>
  <c r="AX114" i="11"/>
  <c r="AW114" i="11"/>
  <c r="DJ114" i="11"/>
  <c r="DL114" i="11" s="1"/>
  <c r="BW114" i="11"/>
  <c r="BY114" i="11" s="1"/>
  <c r="AX115" i="11"/>
  <c r="BJ114" i="11"/>
  <c r="BL114" i="11" s="1"/>
  <c r="B85" i="12"/>
  <c r="DF115" i="11"/>
  <c r="DK115" i="11"/>
  <c r="BF115" i="11"/>
  <c r="BK115" i="11"/>
  <c r="CY114" i="11"/>
  <c r="BS115" i="11"/>
  <c r="BW115" i="11"/>
  <c r="BX115" i="11"/>
  <c r="AB117" i="11"/>
  <c r="CK115" i="11"/>
  <c r="CJ115" i="11"/>
  <c r="CJ116" i="11"/>
  <c r="CD116" i="11"/>
  <c r="CW115" i="11"/>
  <c r="CY115" i="11" s="1"/>
  <c r="CS115" i="11"/>
  <c r="CS116" i="11"/>
  <c r="CQ116" i="11"/>
  <c r="CL114" i="11"/>
  <c r="AQ116" i="11"/>
  <c r="AR116" i="11" s="1"/>
  <c r="AT116" i="11" s="1"/>
  <c r="BE116" i="11"/>
  <c r="BG116" i="11" s="1"/>
  <c r="DE116" i="11"/>
  <c r="DG116" i="11" s="1"/>
  <c r="BP117" i="11"/>
  <c r="CE117" i="11"/>
  <c r="CG117" i="11" s="1"/>
  <c r="DU117" i="11"/>
  <c r="DV117" i="11"/>
  <c r="DH117" i="11"/>
  <c r="DI117" i="11"/>
  <c r="CV117" i="11"/>
  <c r="CR117" i="11"/>
  <c r="CT117" i="11" s="1"/>
  <c r="CU117" i="11"/>
  <c r="CI117" i="11"/>
  <c r="CH117" i="11"/>
  <c r="BU117" i="11"/>
  <c r="BV117" i="11"/>
  <c r="BI117" i="11"/>
  <c r="BH117" i="11"/>
  <c r="AV117" i="11"/>
  <c r="AU117" i="11"/>
  <c r="AI117" i="11"/>
  <c r="AH117" i="11"/>
  <c r="BR116" i="11"/>
  <c r="BT116" i="11" s="1"/>
  <c r="BN117" i="11"/>
  <c r="CB117" i="11"/>
  <c r="BO117" i="11"/>
  <c r="BQ117" i="11" s="1"/>
  <c r="AA117" i="11"/>
  <c r="DA117" i="11"/>
  <c r="BC117" i="11"/>
  <c r="BB117" i="11"/>
  <c r="BD117" i="11" s="1"/>
  <c r="AP117" i="11"/>
  <c r="AO117" i="11"/>
  <c r="AZ117" i="11"/>
  <c r="DC117" i="11"/>
  <c r="CM117" i="11"/>
  <c r="CP117" i="11"/>
  <c r="BZ117" i="11"/>
  <c r="DB117" i="11"/>
  <c r="DD117" i="11" s="1"/>
  <c r="Y117" i="11"/>
  <c r="DN117" i="11"/>
  <c r="DM117" i="11"/>
  <c r="X117" i="11"/>
  <c r="CC117" i="11"/>
  <c r="BM117" i="11"/>
  <c r="CZ117" i="11"/>
  <c r="BA117" i="11"/>
  <c r="W118" i="11"/>
  <c r="DP117" i="11"/>
  <c r="CO117" i="11"/>
  <c r="AN117" i="11"/>
  <c r="CN117" i="11"/>
  <c r="AM117" i="11"/>
  <c r="CA117" i="11"/>
  <c r="B118" i="11"/>
  <c r="A118" i="11" s="1"/>
  <c r="C119" i="11"/>
  <c r="L117" i="11" l="1"/>
  <c r="M117" i="11"/>
  <c r="EA118" i="11"/>
  <c r="DZ118" i="11"/>
  <c r="EI118" i="11"/>
  <c r="EC118" i="11"/>
  <c r="EH118" i="11"/>
  <c r="M84" i="12"/>
  <c r="A85" i="12"/>
  <c r="V85" i="12" s="1"/>
  <c r="W85" i="12" s="1"/>
  <c r="DJ115" i="11"/>
  <c r="DL115" i="11" s="1"/>
  <c r="AY114" i="11"/>
  <c r="BJ115" i="11"/>
  <c r="BL115" i="11" s="1"/>
  <c r="AS115" i="11"/>
  <c r="BY115" i="11"/>
  <c r="AW115" i="11"/>
  <c r="AY115" i="11" s="1"/>
  <c r="AS116" i="11"/>
  <c r="BS116" i="11"/>
  <c r="BW116" i="11"/>
  <c r="BF116" i="11"/>
  <c r="BK116" i="11"/>
  <c r="B86" i="12"/>
  <c r="DF116" i="11"/>
  <c r="DK116" i="11"/>
  <c r="CL115" i="11"/>
  <c r="AB118" i="11"/>
  <c r="BR117" i="11"/>
  <c r="BT117" i="11" s="1"/>
  <c r="AZ118" i="11"/>
  <c r="DP118" i="11"/>
  <c r="CS117" i="11"/>
  <c r="CQ117" i="11"/>
  <c r="CX116" i="11"/>
  <c r="CF117" i="11"/>
  <c r="CD117" i="11"/>
  <c r="CW116" i="11"/>
  <c r="CK116" i="11"/>
  <c r="CL116" i="11" s="1"/>
  <c r="CF116" i="11"/>
  <c r="AQ117" i="11"/>
  <c r="AR117" i="11" s="1"/>
  <c r="AT117" i="11" s="1"/>
  <c r="BE117" i="11"/>
  <c r="BG117" i="11" s="1"/>
  <c r="BP118" i="11"/>
  <c r="CE118" i="11"/>
  <c r="CG118" i="11" s="1"/>
  <c r="DU118" i="11"/>
  <c r="DV118" i="11"/>
  <c r="DH118" i="11"/>
  <c r="DI118" i="11"/>
  <c r="CR118" i="11"/>
  <c r="CT118" i="11" s="1"/>
  <c r="CU118" i="11"/>
  <c r="CV118" i="11"/>
  <c r="CI118" i="11"/>
  <c r="CH118" i="11"/>
  <c r="BU118" i="11"/>
  <c r="BV118" i="11"/>
  <c r="BH118" i="11"/>
  <c r="BI118" i="11"/>
  <c r="AU118" i="11"/>
  <c r="AH118" i="11"/>
  <c r="AI118" i="11"/>
  <c r="AV118" i="11"/>
  <c r="DE117" i="11"/>
  <c r="DG117" i="11" s="1"/>
  <c r="AN118" i="11"/>
  <c r="X118" i="11"/>
  <c r="AM118" i="11"/>
  <c r="CN118" i="11"/>
  <c r="BM118" i="11"/>
  <c r="CA118" i="11"/>
  <c r="CZ118" i="11"/>
  <c r="CC118" i="11"/>
  <c r="BN118" i="11"/>
  <c r="DA118" i="11"/>
  <c r="DC118" i="11"/>
  <c r="BO118" i="11"/>
  <c r="BQ118" i="11" s="1"/>
  <c r="DN118" i="11"/>
  <c r="AO118" i="11"/>
  <c r="CB118" i="11"/>
  <c r="DM118" i="11"/>
  <c r="DB118" i="11"/>
  <c r="DD118" i="11" s="1"/>
  <c r="BB118" i="11"/>
  <c r="BD118" i="11" s="1"/>
  <c r="CO118" i="11"/>
  <c r="BA118" i="11"/>
  <c r="CM118" i="11"/>
  <c r="W119" i="11"/>
  <c r="Y118" i="11"/>
  <c r="AP118" i="11"/>
  <c r="BZ118" i="11"/>
  <c r="BC118" i="11"/>
  <c r="CP118" i="11"/>
  <c r="AA118" i="11"/>
  <c r="B119" i="11"/>
  <c r="A119" i="11" s="1"/>
  <c r="C120" i="11"/>
  <c r="M118" i="11" l="1"/>
  <c r="L118" i="11"/>
  <c r="EI119" i="11"/>
  <c r="EH119" i="11"/>
  <c r="EC119" i="11"/>
  <c r="EA119" i="11"/>
  <c r="DZ119" i="11"/>
  <c r="M85" i="12"/>
  <c r="A86" i="12"/>
  <c r="V86" i="12" s="1"/>
  <c r="W86" i="12" s="1"/>
  <c r="DJ116" i="11"/>
  <c r="DL116" i="11" s="1"/>
  <c r="AX116" i="11"/>
  <c r="AW116" i="11"/>
  <c r="BX116" i="11"/>
  <c r="BY116" i="11" s="1"/>
  <c r="DF117" i="11"/>
  <c r="DK117" i="11"/>
  <c r="AW117" i="11"/>
  <c r="B87" i="12"/>
  <c r="BJ116" i="11"/>
  <c r="BL116" i="11" s="1"/>
  <c r="BF117" i="11"/>
  <c r="BJ117" i="11"/>
  <c r="CY116" i="11"/>
  <c r="BS117" i="11"/>
  <c r="BX117" i="11"/>
  <c r="CK117" i="11"/>
  <c r="CW117" i="11"/>
  <c r="CX117" i="11"/>
  <c r="AB119" i="11"/>
  <c r="CJ117" i="11"/>
  <c r="CF118" i="11"/>
  <c r="CD118" i="11"/>
  <c r="CQ118" i="11"/>
  <c r="AQ118" i="11"/>
  <c r="AR118" i="11" s="1"/>
  <c r="AT118" i="11" s="1"/>
  <c r="DE118" i="11"/>
  <c r="DG118" i="11" s="1"/>
  <c r="DV119" i="11"/>
  <c r="CE119" i="11"/>
  <c r="CG119" i="11" s="1"/>
  <c r="DU119" i="11"/>
  <c r="DH119" i="11"/>
  <c r="DI119" i="11"/>
  <c r="CR119" i="11"/>
  <c r="CT119" i="11" s="1"/>
  <c r="CV119" i="11"/>
  <c r="CU119" i="11"/>
  <c r="CH119" i="11"/>
  <c r="CI119" i="11"/>
  <c r="BU119" i="11"/>
  <c r="BV119" i="11"/>
  <c r="BI119" i="11"/>
  <c r="BH119" i="11"/>
  <c r="AU119" i="11"/>
  <c r="AV119" i="11"/>
  <c r="AH119" i="11"/>
  <c r="AI119" i="11"/>
  <c r="BE118" i="11"/>
  <c r="BG118" i="11" s="1"/>
  <c r="CX118" i="11"/>
  <c r="BR118" i="11"/>
  <c r="BT118" i="11" s="1"/>
  <c r="BN119" i="11"/>
  <c r="AA119" i="11"/>
  <c r="BP119" i="11"/>
  <c r="DB119" i="11"/>
  <c r="DD119" i="11" s="1"/>
  <c r="BO119" i="11"/>
  <c r="BQ119" i="11" s="1"/>
  <c r="CP119" i="11"/>
  <c r="DC119" i="11"/>
  <c r="BZ119" i="11"/>
  <c r="DA119" i="11"/>
  <c r="DM119" i="11"/>
  <c r="CB119" i="11"/>
  <c r="AP119" i="11"/>
  <c r="CZ119" i="11"/>
  <c r="AM119" i="11"/>
  <c r="Y119" i="11"/>
  <c r="BA119" i="11"/>
  <c r="CA119" i="11"/>
  <c r="AO119" i="11"/>
  <c r="CM119" i="11"/>
  <c r="DN119" i="11"/>
  <c r="BB119" i="11"/>
  <c r="BD119" i="11" s="1"/>
  <c r="CC119" i="11"/>
  <c r="BC119" i="11"/>
  <c r="AZ119" i="11"/>
  <c r="X119" i="11"/>
  <c r="CN119" i="11"/>
  <c r="BM119" i="11"/>
  <c r="W120" i="11"/>
  <c r="AN119" i="11"/>
  <c r="CO119" i="11"/>
  <c r="DP119" i="11"/>
  <c r="B120" i="11"/>
  <c r="A120" i="11" s="1"/>
  <c r="C121" i="11"/>
  <c r="L119" i="11" l="1"/>
  <c r="M119" i="11"/>
  <c r="EH120" i="11"/>
  <c r="EC120" i="11"/>
  <c r="DZ120" i="11"/>
  <c r="EA120" i="11"/>
  <c r="EI120" i="11"/>
  <c r="M86" i="12"/>
  <c r="A87" i="12"/>
  <c r="V87" i="12" s="1"/>
  <c r="W87" i="12" s="1"/>
  <c r="AY116" i="11"/>
  <c r="BK117" i="11"/>
  <c r="BL117" i="11" s="1"/>
  <c r="AX117" i="11"/>
  <c r="AY117" i="11" s="1"/>
  <c r="AS117" i="11"/>
  <c r="B88" i="12"/>
  <c r="DJ117" i="11"/>
  <c r="DL117" i="11" s="1"/>
  <c r="BW117" i="11"/>
  <c r="BY117" i="11" s="1"/>
  <c r="DF118" i="11"/>
  <c r="DJ118" i="11"/>
  <c r="AW118" i="11"/>
  <c r="BS118" i="11"/>
  <c r="BW118" i="11"/>
  <c r="BF118" i="11"/>
  <c r="BJ118" i="11"/>
  <c r="CL117" i="11"/>
  <c r="CY117" i="11"/>
  <c r="CJ118" i="11"/>
  <c r="AB120" i="11"/>
  <c r="CK118" i="11"/>
  <c r="CW118" i="11"/>
  <c r="CY118" i="11" s="1"/>
  <c r="CS118" i="11"/>
  <c r="CX119" i="11"/>
  <c r="CQ119" i="11"/>
  <c r="CF119" i="11"/>
  <c r="CD119" i="11"/>
  <c r="AQ119" i="11"/>
  <c r="AR119" i="11" s="1"/>
  <c r="AT119" i="11" s="1"/>
  <c r="DE119" i="11"/>
  <c r="DG119" i="11" s="1"/>
  <c r="CJ119" i="11"/>
  <c r="CE120" i="11"/>
  <c r="CG120" i="11" s="1"/>
  <c r="DV120" i="11"/>
  <c r="DU120" i="11"/>
  <c r="DH120" i="11"/>
  <c r="DI120" i="11"/>
  <c r="CR120" i="11"/>
  <c r="CT120" i="11" s="1"/>
  <c r="CU120" i="11"/>
  <c r="CV120" i="11"/>
  <c r="CH120" i="11"/>
  <c r="CI120" i="11"/>
  <c r="BU120" i="11"/>
  <c r="BV120" i="11"/>
  <c r="BH120" i="11"/>
  <c r="AV120" i="11"/>
  <c r="BI120" i="11"/>
  <c r="AU120" i="11"/>
  <c r="AH120" i="11"/>
  <c r="AI120" i="11"/>
  <c r="BR119" i="11"/>
  <c r="BT119" i="11" s="1"/>
  <c r="BE119" i="11"/>
  <c r="BG119" i="11" s="1"/>
  <c r="BN120" i="11"/>
  <c r="DC120" i="11"/>
  <c r="BP120" i="11"/>
  <c r="BO120" i="11"/>
  <c r="BQ120" i="11" s="1"/>
  <c r="Y120" i="11"/>
  <c r="CO120" i="11"/>
  <c r="CB120" i="11"/>
  <c r="AN120" i="11"/>
  <c r="CN120" i="11"/>
  <c r="BM120" i="11"/>
  <c r="X120" i="11"/>
  <c r="AO120" i="11"/>
  <c r="DN120" i="11"/>
  <c r="CM120" i="11"/>
  <c r="DP120" i="11"/>
  <c r="CP120" i="11"/>
  <c r="AZ120" i="11"/>
  <c r="BC120" i="11"/>
  <c r="CA120" i="11"/>
  <c r="AA120" i="11"/>
  <c r="CZ120" i="11"/>
  <c r="DM120" i="11"/>
  <c r="DA120" i="11"/>
  <c r="CC120" i="11"/>
  <c r="BA120" i="11"/>
  <c r="W121" i="11"/>
  <c r="BB120" i="11"/>
  <c r="BD120" i="11" s="1"/>
  <c r="AP120" i="11"/>
  <c r="DB120" i="11"/>
  <c r="DD120" i="11" s="1"/>
  <c r="AM120" i="11"/>
  <c r="BZ120" i="11"/>
  <c r="B121" i="11"/>
  <c r="A121" i="11" s="1"/>
  <c r="C122" i="11"/>
  <c r="L120" i="11" l="1"/>
  <c r="M120" i="11"/>
  <c r="EC121" i="11"/>
  <c r="EA121" i="11"/>
  <c r="DZ121" i="11"/>
  <c r="EI121" i="11"/>
  <c r="EH121" i="11"/>
  <c r="M87" i="12"/>
  <c r="A88" i="12"/>
  <c r="V88" i="12" s="1"/>
  <c r="W88" i="12" s="1"/>
  <c r="DK118" i="11"/>
  <c r="DL118" i="11" s="1"/>
  <c r="BK118" i="11"/>
  <c r="BL118" i="11" s="1"/>
  <c r="BX118" i="11"/>
  <c r="BY118" i="11" s="1"/>
  <c r="AS118" i="11"/>
  <c r="AX118" i="11"/>
  <c r="AY118" i="11" s="1"/>
  <c r="AS119" i="11"/>
  <c r="DF119" i="11"/>
  <c r="DJ119" i="11"/>
  <c r="BF119" i="11"/>
  <c r="BK119" i="11"/>
  <c r="BS119" i="11"/>
  <c r="BX119" i="11"/>
  <c r="B89" i="12"/>
  <c r="AB121" i="11"/>
  <c r="BR120" i="11"/>
  <c r="BT120" i="11" s="1"/>
  <c r="CL118" i="11"/>
  <c r="CW119" i="11"/>
  <c r="CY119" i="11" s="1"/>
  <c r="CS119" i="11"/>
  <c r="CF120" i="11"/>
  <c r="CD120" i="11"/>
  <c r="CW120" i="11"/>
  <c r="CQ120" i="11"/>
  <c r="CK119" i="11"/>
  <c r="CL119" i="11" s="1"/>
  <c r="AQ120" i="11"/>
  <c r="AR120" i="11" s="1"/>
  <c r="AT120" i="11" s="1"/>
  <c r="DE120" i="11"/>
  <c r="DG120" i="11" s="1"/>
  <c r="BE120" i="11"/>
  <c r="BG120" i="11" s="1"/>
  <c r="CE121" i="11"/>
  <c r="CG121" i="11" s="1"/>
  <c r="DV121" i="11"/>
  <c r="DU121" i="11"/>
  <c r="DI121" i="11"/>
  <c r="DH121" i="11"/>
  <c r="CR121" i="11"/>
  <c r="CT121" i="11" s="1"/>
  <c r="CU121" i="11"/>
  <c r="CV121" i="11"/>
  <c r="CH121" i="11"/>
  <c r="CI121" i="11"/>
  <c r="BV121" i="11"/>
  <c r="BU121" i="11"/>
  <c r="BI121" i="11"/>
  <c r="BH121" i="11"/>
  <c r="AU121" i="11"/>
  <c r="AI121" i="11"/>
  <c r="AV121" i="11"/>
  <c r="AH121" i="11"/>
  <c r="AM121" i="11"/>
  <c r="BP121" i="11"/>
  <c r="BN121" i="11"/>
  <c r="BO121" i="11"/>
  <c r="BQ121" i="11" s="1"/>
  <c r="CM121" i="11"/>
  <c r="BM121" i="11"/>
  <c r="DB121" i="11"/>
  <c r="DD121" i="11" s="1"/>
  <c r="CC121" i="11"/>
  <c r="AZ121" i="11"/>
  <c r="DA121" i="11"/>
  <c r="CN121" i="11"/>
  <c r="CZ121" i="11"/>
  <c r="AA121" i="11"/>
  <c r="CP121" i="11"/>
  <c r="AP121" i="11"/>
  <c r="BB121" i="11"/>
  <c r="BD121" i="11" s="1"/>
  <c r="CB121" i="11"/>
  <c r="AO121" i="11"/>
  <c r="BZ121" i="11"/>
  <c r="CO121" i="11"/>
  <c r="BA121" i="11"/>
  <c r="CA121" i="11"/>
  <c r="DP121" i="11"/>
  <c r="W122" i="11"/>
  <c r="AN121" i="11"/>
  <c r="Y121" i="11"/>
  <c r="BC121" i="11"/>
  <c r="DM121" i="11"/>
  <c r="X121" i="11"/>
  <c r="DN121" i="11"/>
  <c r="DC121" i="11"/>
  <c r="B122" i="11"/>
  <c r="A122" i="11" s="1"/>
  <c r="C123" i="11"/>
  <c r="L121" i="11" l="1"/>
  <c r="M121" i="11"/>
  <c r="EA122" i="11"/>
  <c r="DZ122" i="11"/>
  <c r="EI122" i="11"/>
  <c r="EH122" i="11"/>
  <c r="EC122" i="11"/>
  <c r="M88" i="12"/>
  <c r="A89" i="12"/>
  <c r="V89" i="12" s="1"/>
  <c r="W89" i="12" s="1"/>
  <c r="BW119" i="11"/>
  <c r="BY119" i="11" s="1"/>
  <c r="AX119" i="11"/>
  <c r="DK119" i="11"/>
  <c r="DL119" i="11" s="1"/>
  <c r="AW119" i="11"/>
  <c r="BJ119" i="11"/>
  <c r="BL119" i="11" s="1"/>
  <c r="B90" i="12"/>
  <c r="BF120" i="11"/>
  <c r="BJ120" i="11"/>
  <c r="DF120" i="11"/>
  <c r="DK120" i="11"/>
  <c r="AW120" i="11"/>
  <c r="BS120" i="11"/>
  <c r="BX120" i="11"/>
  <c r="CK120" i="11"/>
  <c r="CD121" i="11"/>
  <c r="CJ120" i="11"/>
  <c r="AB122" i="11"/>
  <c r="CX120" i="11"/>
  <c r="CY120" i="11" s="1"/>
  <c r="CS120" i="11"/>
  <c r="CS121" i="11"/>
  <c r="CQ121" i="11"/>
  <c r="AQ121" i="11"/>
  <c r="AR121" i="11" s="1"/>
  <c r="AT121" i="11" s="1"/>
  <c r="CE122" i="11"/>
  <c r="CG122" i="11" s="1"/>
  <c r="DU122" i="11"/>
  <c r="DV122" i="11"/>
  <c r="DH122" i="11"/>
  <c r="DI122" i="11"/>
  <c r="CR122" i="11"/>
  <c r="CT122" i="11" s="1"/>
  <c r="CU122" i="11"/>
  <c r="CV122" i="11"/>
  <c r="CH122" i="11"/>
  <c r="CI122" i="11"/>
  <c r="BU122" i="11"/>
  <c r="BV122" i="11"/>
  <c r="BI122" i="11"/>
  <c r="BH122" i="11"/>
  <c r="AU122" i="11"/>
  <c r="AV122" i="11"/>
  <c r="AH122" i="11"/>
  <c r="AI122" i="11"/>
  <c r="CF121" i="11"/>
  <c r="DE121" i="11"/>
  <c r="DG121" i="11" s="1"/>
  <c r="BR121" i="11"/>
  <c r="BT121" i="11" s="1"/>
  <c r="BE121" i="11"/>
  <c r="BG121" i="11" s="1"/>
  <c r="BN122" i="11"/>
  <c r="BP122" i="11"/>
  <c r="CO122" i="11"/>
  <c r="BO122" i="11"/>
  <c r="BQ122" i="11" s="1"/>
  <c r="DN122" i="11"/>
  <c r="DC122" i="11"/>
  <c r="AP122" i="11"/>
  <c r="CP122" i="11"/>
  <c r="AA122" i="11"/>
  <c r="BC122" i="11"/>
  <c r="AO122" i="11"/>
  <c r="AZ122" i="11"/>
  <c r="CA122" i="11"/>
  <c r="Y122" i="11"/>
  <c r="W123" i="11"/>
  <c r="BB122" i="11"/>
  <c r="BD122" i="11" s="1"/>
  <c r="AN122" i="11"/>
  <c r="AM122" i="11"/>
  <c r="BZ122" i="11"/>
  <c r="BA122" i="11"/>
  <c r="CZ122" i="11"/>
  <c r="X122" i="11"/>
  <c r="DA122" i="11"/>
  <c r="DP122" i="11"/>
  <c r="CN122" i="11"/>
  <c r="BM122" i="11"/>
  <c r="CB122" i="11"/>
  <c r="DM122" i="11"/>
  <c r="DB122" i="11"/>
  <c r="DD122" i="11" s="1"/>
  <c r="CC122" i="11"/>
  <c r="CM122" i="11"/>
  <c r="B123" i="11"/>
  <c r="A123" i="11" s="1"/>
  <c r="C124" i="11"/>
  <c r="M122" i="11" l="1"/>
  <c r="L122" i="11"/>
  <c r="EI123" i="11"/>
  <c r="EH123" i="11"/>
  <c r="EA123" i="11"/>
  <c r="EC123" i="11"/>
  <c r="DZ123" i="11"/>
  <c r="M89" i="12"/>
  <c r="A90" i="12"/>
  <c r="V90" i="12" s="1"/>
  <c r="W90" i="12" s="1"/>
  <c r="AY119" i="11"/>
  <c r="BK120" i="11"/>
  <c r="BL120" i="11" s="1"/>
  <c r="DJ120" i="11"/>
  <c r="DL120" i="11" s="1"/>
  <c r="AS120" i="11"/>
  <c r="BW120" i="11"/>
  <c r="BY120" i="11" s="1"/>
  <c r="BF121" i="11"/>
  <c r="BJ121" i="11"/>
  <c r="AS121" i="11"/>
  <c r="BS121" i="11"/>
  <c r="BW121" i="11"/>
  <c r="AX120" i="11"/>
  <c r="AY120" i="11" s="1"/>
  <c r="B91" i="12"/>
  <c r="DF121" i="11"/>
  <c r="DJ121" i="11"/>
  <c r="CL120" i="11"/>
  <c r="CX121" i="11"/>
  <c r="AB123" i="11"/>
  <c r="CF122" i="11"/>
  <c r="CD122" i="11"/>
  <c r="CW121" i="11"/>
  <c r="CW122" i="11"/>
  <c r="CQ122" i="11"/>
  <c r="AQ122" i="11"/>
  <c r="AR122" i="11" s="1"/>
  <c r="AT122" i="11" s="1"/>
  <c r="BR122" i="11"/>
  <c r="BT122" i="11" s="1"/>
  <c r="CK122" i="11"/>
  <c r="CE123" i="11"/>
  <c r="CG123" i="11" s="1"/>
  <c r="DV123" i="11"/>
  <c r="DU123" i="11"/>
  <c r="DH123" i="11"/>
  <c r="DI123" i="11"/>
  <c r="CU123" i="11"/>
  <c r="CV123" i="11"/>
  <c r="CR123" i="11"/>
  <c r="CT123" i="11" s="1"/>
  <c r="CI123" i="11"/>
  <c r="CH123" i="11"/>
  <c r="BU123" i="11"/>
  <c r="BV123" i="11"/>
  <c r="BI123" i="11"/>
  <c r="AU123" i="11"/>
  <c r="BH123" i="11"/>
  <c r="AV123" i="11"/>
  <c r="AI123" i="11"/>
  <c r="AH123" i="11"/>
  <c r="BE122" i="11"/>
  <c r="BG122" i="11" s="1"/>
  <c r="CJ121" i="11"/>
  <c r="CK121" i="11"/>
  <c r="DE122" i="11"/>
  <c r="DG122" i="11" s="1"/>
  <c r="AM123" i="11"/>
  <c r="BN123" i="11"/>
  <c r="BP123" i="11"/>
  <c r="BO123" i="11"/>
  <c r="BQ123" i="11" s="1"/>
  <c r="DM123" i="11"/>
  <c r="CP123" i="11"/>
  <c r="DP123" i="11"/>
  <c r="CM123" i="11"/>
  <c r="BZ123" i="11"/>
  <c r="AP123" i="11"/>
  <c r="BM123" i="11"/>
  <c r="BC123" i="11"/>
  <c r="CB123" i="11"/>
  <c r="CN123" i="11"/>
  <c r="AO123" i="11"/>
  <c r="CA123" i="11"/>
  <c r="DA123" i="11"/>
  <c r="AN123" i="11"/>
  <c r="Y123" i="11"/>
  <c r="AZ123" i="11"/>
  <c r="CC123" i="11"/>
  <c r="DB123" i="11"/>
  <c r="DD123" i="11" s="1"/>
  <c r="X123" i="11"/>
  <c r="BB123" i="11"/>
  <c r="BD123" i="11" s="1"/>
  <c r="AA123" i="11"/>
  <c r="CZ123" i="11"/>
  <c r="DC123" i="11"/>
  <c r="W124" i="11"/>
  <c r="BA123" i="11"/>
  <c r="DN123" i="11"/>
  <c r="CO123" i="11"/>
  <c r="B124" i="11"/>
  <c r="A124" i="11" s="1"/>
  <c r="C125" i="11"/>
  <c r="L123" i="11" l="1"/>
  <c r="M123" i="11"/>
  <c r="EH124" i="11"/>
  <c r="EC124" i="11"/>
  <c r="EA124" i="11"/>
  <c r="DZ124" i="11"/>
  <c r="EI124" i="11"/>
  <c r="A91" i="12"/>
  <c r="V91" i="12" s="1"/>
  <c r="W91" i="12" s="1"/>
  <c r="M90" i="12"/>
  <c r="AW121" i="11"/>
  <c r="BK121" i="11"/>
  <c r="BL121" i="11" s="1"/>
  <c r="AX121" i="11"/>
  <c r="DK121" i="11"/>
  <c r="DL121" i="11" s="1"/>
  <c r="AS122" i="11"/>
  <c r="BX121" i="11"/>
  <c r="BY121" i="11" s="1"/>
  <c r="B92" i="12"/>
  <c r="BF122" i="11"/>
  <c r="BJ122" i="11"/>
  <c r="DF122" i="11"/>
  <c r="DK122" i="11"/>
  <c r="CY121" i="11"/>
  <c r="CJ122" i="11"/>
  <c r="CL122" i="11" s="1"/>
  <c r="AB124" i="11"/>
  <c r="CX122" i="11"/>
  <c r="CY122" i="11" s="1"/>
  <c r="CS122" i="11"/>
  <c r="CK123" i="11"/>
  <c r="CD123" i="11"/>
  <c r="CS123" i="11"/>
  <c r="CQ123" i="11"/>
  <c r="BW122" i="11"/>
  <c r="BS122" i="11"/>
  <c r="AQ123" i="11"/>
  <c r="AR123" i="11" s="1"/>
  <c r="AT123" i="11" s="1"/>
  <c r="BX122" i="11"/>
  <c r="CL121" i="11"/>
  <c r="CE124" i="11"/>
  <c r="CG124" i="11" s="1"/>
  <c r="DV124" i="11"/>
  <c r="DU124" i="11"/>
  <c r="DH124" i="11"/>
  <c r="DI124" i="11"/>
  <c r="CR124" i="11"/>
  <c r="CT124" i="11" s="1"/>
  <c r="CV124" i="11"/>
  <c r="CU124" i="11"/>
  <c r="CH124" i="11"/>
  <c r="CI124" i="11"/>
  <c r="BU124" i="11"/>
  <c r="BV124" i="11"/>
  <c r="BH124" i="11"/>
  <c r="BI124" i="11"/>
  <c r="AV124" i="11"/>
  <c r="AU124" i="11"/>
  <c r="AH124" i="11"/>
  <c r="AI124" i="11"/>
  <c r="DE123" i="11"/>
  <c r="DG123" i="11" s="1"/>
  <c r="BR123" i="11"/>
  <c r="BT123" i="11" s="1"/>
  <c r="BE123" i="11"/>
  <c r="BG123" i="11" s="1"/>
  <c r="BN124" i="11"/>
  <c r="DM124" i="11"/>
  <c r="BP124" i="11"/>
  <c r="CO124" i="11"/>
  <c r="BB124" i="11"/>
  <c r="BD124" i="11" s="1"/>
  <c r="BO124" i="11"/>
  <c r="BQ124" i="11" s="1"/>
  <c r="AZ124" i="11"/>
  <c r="AN124" i="11"/>
  <c r="DN124" i="11"/>
  <c r="AA124" i="11"/>
  <c r="Y124" i="11"/>
  <c r="X124" i="11"/>
  <c r="DP124" i="11"/>
  <c r="DA124" i="11"/>
  <c r="AP124" i="11"/>
  <c r="DB124" i="11"/>
  <c r="DD124" i="11" s="1"/>
  <c r="CM124" i="11"/>
  <c r="BZ124" i="11"/>
  <c r="W125" i="11"/>
  <c r="CN124" i="11"/>
  <c r="CC124" i="11"/>
  <c r="AO124" i="11"/>
  <c r="BC124" i="11"/>
  <c r="BA124" i="11"/>
  <c r="DC124" i="11"/>
  <c r="AM124" i="11"/>
  <c r="CB124" i="11"/>
  <c r="BM124" i="11"/>
  <c r="CZ124" i="11"/>
  <c r="CA124" i="11"/>
  <c r="CP124" i="11"/>
  <c r="B125" i="11"/>
  <c r="A125" i="11" s="1"/>
  <c r="C126" i="11"/>
  <c r="M124" i="11" l="1"/>
  <c r="L124" i="11"/>
  <c r="EC125" i="11"/>
  <c r="EA125" i="11"/>
  <c r="DZ125" i="11"/>
  <c r="EI125" i="11"/>
  <c r="EH125" i="11"/>
  <c r="M91" i="12"/>
  <c r="A92" i="12"/>
  <c r="V92" i="12" s="1"/>
  <c r="W92" i="12" s="1"/>
  <c r="AX122" i="11"/>
  <c r="AW122" i="11"/>
  <c r="AY121" i="11"/>
  <c r="BK122" i="11"/>
  <c r="BL122" i="11" s="1"/>
  <c r="DJ122" i="11"/>
  <c r="DL122" i="11" s="1"/>
  <c r="BF123" i="11"/>
  <c r="BJ123" i="11"/>
  <c r="AS123" i="11"/>
  <c r="B93" i="12"/>
  <c r="BS123" i="11"/>
  <c r="BW123" i="11"/>
  <c r="DF123" i="11"/>
  <c r="DK123" i="11"/>
  <c r="CW123" i="11"/>
  <c r="CX123" i="11"/>
  <c r="AB125" i="11"/>
  <c r="CS124" i="11"/>
  <c r="CQ124" i="11"/>
  <c r="BY122" i="11"/>
  <c r="CJ123" i="11"/>
  <c r="CL123" i="11" s="1"/>
  <c r="CF123" i="11"/>
  <c r="CF124" i="11"/>
  <c r="CD124" i="11"/>
  <c r="AQ124" i="11"/>
  <c r="AR124" i="11" s="1"/>
  <c r="AT124" i="11" s="1"/>
  <c r="BE124" i="11"/>
  <c r="BG124" i="11" s="1"/>
  <c r="DE124" i="11"/>
  <c r="DG124" i="11" s="1"/>
  <c r="BR124" i="11"/>
  <c r="BT124" i="11" s="1"/>
  <c r="CE125" i="11"/>
  <c r="CG125" i="11" s="1"/>
  <c r="DV125" i="11"/>
  <c r="DU125" i="11"/>
  <c r="DI125" i="11"/>
  <c r="DH125" i="11"/>
  <c r="CR125" i="11"/>
  <c r="CT125" i="11" s="1"/>
  <c r="CU125" i="11"/>
  <c r="CV125" i="11"/>
  <c r="CH125" i="11"/>
  <c r="CI125" i="11"/>
  <c r="BH125" i="11"/>
  <c r="BU125" i="11"/>
  <c r="BV125" i="11"/>
  <c r="BI125" i="11"/>
  <c r="AU125" i="11"/>
  <c r="AV125" i="11"/>
  <c r="AH125" i="11"/>
  <c r="AI125" i="11"/>
  <c r="CM125" i="11"/>
  <c r="BP125" i="11"/>
  <c r="CP125" i="11"/>
  <c r="CA125" i="11"/>
  <c r="BC125" i="11"/>
  <c r="CZ125" i="11"/>
  <c r="CC125" i="11"/>
  <c r="BN125" i="11"/>
  <c r="BM125" i="11"/>
  <c r="CN125" i="11"/>
  <c r="AZ125" i="11"/>
  <c r="Y125" i="11"/>
  <c r="AM125" i="11"/>
  <c r="DM125" i="11"/>
  <c r="DC125" i="11"/>
  <c r="BZ125" i="11"/>
  <c r="DB125" i="11"/>
  <c r="DD125" i="11" s="1"/>
  <c r="CB125" i="11"/>
  <c r="BO125" i="11"/>
  <c r="BQ125" i="11" s="1"/>
  <c r="X125" i="11"/>
  <c r="DP125" i="11"/>
  <c r="BB125" i="11"/>
  <c r="BD125" i="11" s="1"/>
  <c r="AN125" i="11"/>
  <c r="AO125" i="11"/>
  <c r="DN125" i="11"/>
  <c r="AA125" i="11"/>
  <c r="BA125" i="11"/>
  <c r="AP125" i="11"/>
  <c r="W126" i="11"/>
  <c r="DA125" i="11"/>
  <c r="CO125" i="11"/>
  <c r="B126" i="11"/>
  <c r="A126" i="11" s="1"/>
  <c r="C127" i="11"/>
  <c r="AY122" i="11" l="1"/>
  <c r="M125" i="11"/>
  <c r="L125" i="11"/>
  <c r="EA126" i="11"/>
  <c r="DZ126" i="11"/>
  <c r="EI126" i="11"/>
  <c r="EH126" i="11"/>
  <c r="EC126" i="11"/>
  <c r="M92" i="12"/>
  <c r="A93" i="12"/>
  <c r="M93" i="12" s="1"/>
  <c r="AW123" i="11"/>
  <c r="AX123" i="11"/>
  <c r="BK123" i="11"/>
  <c r="BL123" i="11" s="1"/>
  <c r="DJ123" i="11"/>
  <c r="DL123" i="11" s="1"/>
  <c r="BX123" i="11"/>
  <c r="BY123" i="11" s="1"/>
  <c r="BF124" i="11"/>
  <c r="BJ124" i="11"/>
  <c r="DF124" i="11"/>
  <c r="DK124" i="11"/>
  <c r="AS124" i="11"/>
  <c r="B94" i="12"/>
  <c r="BS124" i="11"/>
  <c r="BX124" i="11"/>
  <c r="CY123" i="11"/>
  <c r="CX124" i="11"/>
  <c r="AB126" i="11"/>
  <c r="CW124" i="11"/>
  <c r="CS125" i="11"/>
  <c r="CQ125" i="11"/>
  <c r="CK125" i="11"/>
  <c r="CD125" i="11"/>
  <c r="CJ124" i="11"/>
  <c r="CK124" i="11"/>
  <c r="AQ125" i="11"/>
  <c r="AR125" i="11" s="1"/>
  <c r="AT125" i="11" s="1"/>
  <c r="BE125" i="11"/>
  <c r="BG125" i="11" s="1"/>
  <c r="DE125" i="11"/>
  <c r="DG125" i="11" s="1"/>
  <c r="BR125" i="11"/>
  <c r="BT125" i="11" s="1"/>
  <c r="BP126" i="11"/>
  <c r="CE126" i="11"/>
  <c r="CG126" i="11" s="1"/>
  <c r="DU126" i="11"/>
  <c r="DV126" i="11"/>
  <c r="DH126" i="11"/>
  <c r="DI126" i="11"/>
  <c r="CR126" i="11"/>
  <c r="CT126" i="11" s="1"/>
  <c r="CU126" i="11"/>
  <c r="CV126" i="11"/>
  <c r="CH126" i="11"/>
  <c r="CI126" i="11"/>
  <c r="BU126" i="11"/>
  <c r="BV126" i="11"/>
  <c r="BH126" i="11"/>
  <c r="BI126" i="11"/>
  <c r="AU126" i="11"/>
  <c r="AV126" i="11"/>
  <c r="AH126" i="11"/>
  <c r="AI126" i="11"/>
  <c r="BN126" i="11"/>
  <c r="DM126" i="11"/>
  <c r="BO126" i="11"/>
  <c r="BQ126" i="11" s="1"/>
  <c r="CB126" i="11"/>
  <c r="DA126" i="11"/>
  <c r="AP126" i="11"/>
  <c r="BA126" i="11"/>
  <c r="AN126" i="11"/>
  <c r="Y126" i="11"/>
  <c r="BC126" i="11"/>
  <c r="CO126" i="11"/>
  <c r="BB126" i="11"/>
  <c r="BD126" i="11" s="1"/>
  <c r="AO126" i="11"/>
  <c r="CA126" i="11"/>
  <c r="CZ126" i="11"/>
  <c r="AM126" i="11"/>
  <c r="DN126" i="11"/>
  <c r="BZ126" i="11"/>
  <c r="AA126" i="11"/>
  <c r="CM126" i="11"/>
  <c r="DB126" i="11"/>
  <c r="DD126" i="11" s="1"/>
  <c r="DP126" i="11"/>
  <c r="CN126" i="11"/>
  <c r="DC126" i="11"/>
  <c r="W127" i="11"/>
  <c r="AZ126" i="11"/>
  <c r="CP126" i="11"/>
  <c r="CC126" i="11"/>
  <c r="X126" i="11"/>
  <c r="BM126" i="11"/>
  <c r="B127" i="11"/>
  <c r="A127" i="11" s="1"/>
  <c r="C128" i="11"/>
  <c r="V93" i="12" l="1"/>
  <c r="W93" i="12" s="1"/>
  <c r="M126" i="11"/>
  <c r="L126" i="11"/>
  <c r="EI127" i="11"/>
  <c r="EH127" i="11"/>
  <c r="EC127" i="11"/>
  <c r="EA127" i="11"/>
  <c r="DZ127" i="11"/>
  <c r="A94" i="12"/>
  <c r="V94" i="12" s="1"/>
  <c r="W94" i="12" s="1"/>
  <c r="AY123" i="11"/>
  <c r="BK124" i="11"/>
  <c r="BL124" i="11" s="1"/>
  <c r="BW124" i="11"/>
  <c r="BY124" i="11" s="1"/>
  <c r="AW124" i="11"/>
  <c r="AX124" i="11"/>
  <c r="BS125" i="11"/>
  <c r="BW125" i="11"/>
  <c r="B95" i="12"/>
  <c r="DJ124" i="11"/>
  <c r="DL124" i="11" s="1"/>
  <c r="DF125" i="11"/>
  <c r="DJ125" i="11"/>
  <c r="BF125" i="11"/>
  <c r="BJ125" i="11"/>
  <c r="AS125" i="11"/>
  <c r="CY124" i="11"/>
  <c r="AZ127" i="11"/>
  <c r="AB127" i="11"/>
  <c r="BM127" i="11"/>
  <c r="CW125" i="11"/>
  <c r="CL124" i="11"/>
  <c r="CX125" i="11"/>
  <c r="CJ125" i="11"/>
  <c r="CL125" i="11" s="1"/>
  <c r="CF125" i="11"/>
  <c r="CS126" i="11"/>
  <c r="CQ126" i="11"/>
  <c r="CF126" i="11"/>
  <c r="CD126" i="11"/>
  <c r="AQ126" i="11"/>
  <c r="AR126" i="11" s="1"/>
  <c r="AT126" i="11" s="1"/>
  <c r="CJ126" i="11"/>
  <c r="DE126" i="11"/>
  <c r="DG126" i="11" s="1"/>
  <c r="CE127" i="11"/>
  <c r="CG127" i="11" s="1"/>
  <c r="DV127" i="11"/>
  <c r="DU127" i="11"/>
  <c r="DH127" i="11"/>
  <c r="DI127" i="11"/>
  <c r="CU127" i="11"/>
  <c r="CV127" i="11"/>
  <c r="CR127" i="11"/>
  <c r="CT127" i="11" s="1"/>
  <c r="CH127" i="11"/>
  <c r="CI127" i="11"/>
  <c r="BU127" i="11"/>
  <c r="BV127" i="11"/>
  <c r="BI127" i="11"/>
  <c r="AU127" i="11"/>
  <c r="AV127" i="11"/>
  <c r="BH127" i="11"/>
  <c r="AH127" i="11"/>
  <c r="AI127" i="11"/>
  <c r="BE126" i="11"/>
  <c r="BG126" i="11" s="1"/>
  <c r="BR126" i="11"/>
  <c r="BT126" i="11" s="1"/>
  <c r="AM127" i="11"/>
  <c r="CO127" i="11"/>
  <c r="BP127" i="11"/>
  <c r="CZ127" i="11"/>
  <c r="X127" i="11"/>
  <c r="CC127" i="11"/>
  <c r="BN127" i="11"/>
  <c r="CP127" i="11"/>
  <c r="BZ127" i="11"/>
  <c r="DP127" i="11"/>
  <c r="BO127" i="11"/>
  <c r="BQ127" i="11" s="1"/>
  <c r="AN127" i="11"/>
  <c r="AA127" i="11"/>
  <c r="Y127" i="11"/>
  <c r="CN127" i="11"/>
  <c r="AP127" i="11"/>
  <c r="CB127" i="11"/>
  <c r="BA127" i="11"/>
  <c r="DB127" i="11"/>
  <c r="DD127" i="11" s="1"/>
  <c r="CA127" i="11"/>
  <c r="BB127" i="11"/>
  <c r="BD127" i="11" s="1"/>
  <c r="CM127" i="11"/>
  <c r="BC127" i="11"/>
  <c r="AO127" i="11"/>
  <c r="DA127" i="11"/>
  <c r="W128" i="11"/>
  <c r="DC127" i="11"/>
  <c r="DN127" i="11"/>
  <c r="DM127" i="11"/>
  <c r="B128" i="11"/>
  <c r="A128" i="11" s="1"/>
  <c r="C129" i="11"/>
  <c r="M127" i="11" l="1"/>
  <c r="L127" i="11"/>
  <c r="EH128" i="11"/>
  <c r="EC128" i="11"/>
  <c r="EA128" i="11"/>
  <c r="DZ128" i="11"/>
  <c r="EI128" i="11"/>
  <c r="M94" i="12"/>
  <c r="A95" i="12"/>
  <c r="V95" i="12" s="1"/>
  <c r="W95" i="12" s="1"/>
  <c r="AY124" i="11"/>
  <c r="DK125" i="11"/>
  <c r="DL125" i="11" s="1"/>
  <c r="AX125" i="11"/>
  <c r="AW125" i="11"/>
  <c r="BS126" i="11"/>
  <c r="BW126" i="11"/>
  <c r="BF126" i="11"/>
  <c r="BJ126" i="11"/>
  <c r="AW126" i="11"/>
  <c r="DF126" i="11"/>
  <c r="DK126" i="11"/>
  <c r="BK125" i="11"/>
  <c r="BL125" i="11" s="1"/>
  <c r="B96" i="12"/>
  <c r="BX125" i="11"/>
  <c r="BY125" i="11" s="1"/>
  <c r="CX126" i="11"/>
  <c r="CY125" i="11"/>
  <c r="AB128" i="11"/>
  <c r="CW126" i="11"/>
  <c r="CF127" i="11"/>
  <c r="CD127" i="11"/>
  <c r="CK126" i="11"/>
  <c r="CL126" i="11" s="1"/>
  <c r="CQ127" i="11"/>
  <c r="AQ127" i="11"/>
  <c r="AR127" i="11" s="1"/>
  <c r="AT127" i="11" s="1"/>
  <c r="BE127" i="11"/>
  <c r="BG127" i="11" s="1"/>
  <c r="CE128" i="11"/>
  <c r="CG128" i="11" s="1"/>
  <c r="DV128" i="11"/>
  <c r="DU128" i="11"/>
  <c r="DI128" i="11"/>
  <c r="DH128" i="11"/>
  <c r="CR128" i="11"/>
  <c r="CT128" i="11" s="1"/>
  <c r="CU128" i="11"/>
  <c r="CV128" i="11"/>
  <c r="CH128" i="11"/>
  <c r="CI128" i="11"/>
  <c r="BU128" i="11"/>
  <c r="BV128" i="11"/>
  <c r="BH128" i="11"/>
  <c r="BI128" i="11"/>
  <c r="AU128" i="11"/>
  <c r="AV128" i="11"/>
  <c r="AH128" i="11"/>
  <c r="AI128" i="11"/>
  <c r="BR127" i="11"/>
  <c r="BT127" i="11" s="1"/>
  <c r="DE127" i="11"/>
  <c r="DG127" i="11" s="1"/>
  <c r="AN128" i="11"/>
  <c r="BN128" i="11"/>
  <c r="BP128" i="11"/>
  <c r="DM128" i="11"/>
  <c r="BO128" i="11"/>
  <c r="BQ128" i="11" s="1"/>
  <c r="CA128" i="11"/>
  <c r="DN128" i="11"/>
  <c r="AO128" i="11"/>
  <c r="BC128" i="11"/>
  <c r="AP128" i="11"/>
  <c r="BB128" i="11"/>
  <c r="BD128" i="11" s="1"/>
  <c r="CZ128" i="11"/>
  <c r="Y128" i="11"/>
  <c r="DC128" i="11"/>
  <c r="X128" i="11"/>
  <c r="DP128" i="11"/>
  <c r="DA128" i="11"/>
  <c r="AM128" i="11"/>
  <c r="AA128" i="11"/>
  <c r="BM128" i="11"/>
  <c r="DB128" i="11"/>
  <c r="DD128" i="11" s="1"/>
  <c r="CB128" i="11"/>
  <c r="CP128" i="11"/>
  <c r="BZ128" i="11"/>
  <c r="CO128" i="11"/>
  <c r="W129" i="11"/>
  <c r="CC128" i="11"/>
  <c r="BA128" i="11"/>
  <c r="CM128" i="11"/>
  <c r="AZ128" i="11"/>
  <c r="CN128" i="11"/>
  <c r="B129" i="11"/>
  <c r="A129" i="11" s="1"/>
  <c r="C130" i="11"/>
  <c r="M128" i="11" l="1"/>
  <c r="L128" i="11"/>
  <c r="EC129" i="11"/>
  <c r="EA129" i="11"/>
  <c r="DZ129" i="11"/>
  <c r="EI129" i="11"/>
  <c r="EH129" i="11"/>
  <c r="M95" i="12"/>
  <c r="A96" i="12"/>
  <c r="V96" i="12" s="1"/>
  <c r="W96" i="12" s="1"/>
  <c r="AY125" i="11"/>
  <c r="BK126" i="11"/>
  <c r="BL126" i="11" s="1"/>
  <c r="DJ126" i="11"/>
  <c r="DL126" i="11" s="1"/>
  <c r="BX126" i="11"/>
  <c r="BY126" i="11" s="1"/>
  <c r="AX126" i="11"/>
  <c r="AY126" i="11" s="1"/>
  <c r="B97" i="12"/>
  <c r="BF127" i="11"/>
  <c r="BK127" i="11"/>
  <c r="AS126" i="11"/>
  <c r="DF127" i="11"/>
  <c r="DJ127" i="11"/>
  <c r="AS127" i="11"/>
  <c r="BS127" i="11"/>
  <c r="BX127" i="11"/>
  <c r="CY126" i="11"/>
  <c r="AB129" i="11"/>
  <c r="CK127" i="11"/>
  <c r="BR128" i="11"/>
  <c r="BT128" i="11" s="1"/>
  <c r="CJ127" i="11"/>
  <c r="CF128" i="11"/>
  <c r="CD128" i="11"/>
  <c r="CW127" i="11"/>
  <c r="CS127" i="11"/>
  <c r="CX128" i="11"/>
  <c r="CQ128" i="11"/>
  <c r="CX127" i="11"/>
  <c r="AQ128" i="11"/>
  <c r="AR128" i="11" s="1"/>
  <c r="AT128" i="11" s="1"/>
  <c r="CE129" i="11"/>
  <c r="CG129" i="11" s="1"/>
  <c r="DU129" i="11"/>
  <c r="DV129" i="11"/>
  <c r="DH129" i="11"/>
  <c r="DI129" i="11"/>
  <c r="CV129" i="11"/>
  <c r="CR129" i="11"/>
  <c r="CT129" i="11" s="1"/>
  <c r="CH129" i="11"/>
  <c r="CU129" i="11"/>
  <c r="CI129" i="11"/>
  <c r="BH129" i="11"/>
  <c r="BU129" i="11"/>
  <c r="BV129" i="11"/>
  <c r="BI129" i="11"/>
  <c r="AU129" i="11"/>
  <c r="AV129" i="11"/>
  <c r="AH129" i="11"/>
  <c r="AI129" i="11"/>
  <c r="BE128" i="11"/>
  <c r="BG128" i="11" s="1"/>
  <c r="DE128" i="11"/>
  <c r="DG128" i="11" s="1"/>
  <c r="BN129" i="11"/>
  <c r="BP129" i="11"/>
  <c r="BO129" i="11"/>
  <c r="BQ129" i="11" s="1"/>
  <c r="DM129" i="11"/>
  <c r="BC129" i="11"/>
  <c r="CB129" i="11"/>
  <c r="AA129" i="11"/>
  <c r="AP129" i="11"/>
  <c r="CZ129" i="11"/>
  <c r="CN129" i="11"/>
  <c r="CO129" i="11"/>
  <c r="Y129" i="11"/>
  <c r="CA129" i="11"/>
  <c r="DP129" i="11"/>
  <c r="BB129" i="11"/>
  <c r="BD129" i="11" s="1"/>
  <c r="BA129" i="11"/>
  <c r="AZ129" i="11"/>
  <c r="CC129" i="11"/>
  <c r="BZ129" i="11"/>
  <c r="X129" i="11"/>
  <c r="BM129" i="11"/>
  <c r="CM129" i="11"/>
  <c r="AM129" i="11"/>
  <c r="CP129" i="11"/>
  <c r="AO129" i="11"/>
  <c r="DB129" i="11"/>
  <c r="DD129" i="11" s="1"/>
  <c r="W130" i="11"/>
  <c r="DA129" i="11"/>
  <c r="DC129" i="11"/>
  <c r="DN129" i="11"/>
  <c r="AN129" i="11"/>
  <c r="B130" i="11"/>
  <c r="A130" i="11" s="1"/>
  <c r="C131" i="11"/>
  <c r="M129" i="11" l="1"/>
  <c r="L129" i="11"/>
  <c r="EA130" i="11"/>
  <c r="DZ130" i="11"/>
  <c r="EI130" i="11"/>
  <c r="EH130" i="11"/>
  <c r="EC130" i="11"/>
  <c r="M96" i="12"/>
  <c r="A97" i="12"/>
  <c r="V97" i="12" s="1"/>
  <c r="W97" i="12" s="1"/>
  <c r="BJ127" i="11"/>
  <c r="BL127" i="11" s="1"/>
  <c r="BW127" i="11"/>
  <c r="BY127" i="11" s="1"/>
  <c r="CL127" i="11"/>
  <c r="AW127" i="11"/>
  <c r="AX127" i="11"/>
  <c r="DK127" i="11"/>
  <c r="DL127" i="11" s="1"/>
  <c r="BF128" i="11"/>
  <c r="BJ128" i="11"/>
  <c r="AS128" i="11"/>
  <c r="BS128" i="11"/>
  <c r="BW128" i="11"/>
  <c r="DF128" i="11"/>
  <c r="DJ128" i="11"/>
  <c r="B98" i="12"/>
  <c r="CY127" i="11"/>
  <c r="CK128" i="11"/>
  <c r="CJ128" i="11"/>
  <c r="AB130" i="11"/>
  <c r="CW128" i="11"/>
  <c r="CY128" i="11" s="1"/>
  <c r="CS128" i="11"/>
  <c r="CD129" i="11"/>
  <c r="CS129" i="11"/>
  <c r="CQ129" i="11"/>
  <c r="AQ129" i="11"/>
  <c r="AR129" i="11" s="1"/>
  <c r="AT129" i="11" s="1"/>
  <c r="CK129" i="11"/>
  <c r="DE129" i="11"/>
  <c r="DG129" i="11" s="1"/>
  <c r="BE129" i="11"/>
  <c r="BG129" i="11" s="1"/>
  <c r="CE130" i="11"/>
  <c r="CG130" i="11" s="1"/>
  <c r="DU130" i="11"/>
  <c r="DV130" i="11"/>
  <c r="DH130" i="11"/>
  <c r="DI130" i="11"/>
  <c r="CR130" i="11"/>
  <c r="CT130" i="11" s="1"/>
  <c r="CU130" i="11"/>
  <c r="CV130" i="11"/>
  <c r="CH130" i="11"/>
  <c r="CI130" i="11"/>
  <c r="BU130" i="11"/>
  <c r="BV130" i="11"/>
  <c r="BI130" i="11"/>
  <c r="BH130" i="11"/>
  <c r="AU130" i="11"/>
  <c r="AV130" i="11"/>
  <c r="AH130" i="11"/>
  <c r="AI130" i="11"/>
  <c r="BR129" i="11"/>
  <c r="BT129" i="11" s="1"/>
  <c r="DA130" i="11"/>
  <c r="CP130" i="11"/>
  <c r="CC130" i="11"/>
  <c r="AZ130" i="11"/>
  <c r="BP130" i="11"/>
  <c r="BN130" i="11"/>
  <c r="AN130" i="11"/>
  <c r="DN130" i="11"/>
  <c r="DC130" i="11"/>
  <c r="DM130" i="11"/>
  <c r="DB130" i="11"/>
  <c r="DD130" i="11" s="1"/>
  <c r="CO130" i="11"/>
  <c r="AO130" i="11"/>
  <c r="BO130" i="11"/>
  <c r="BZ130" i="11"/>
  <c r="Y130" i="11"/>
  <c r="BC130" i="11"/>
  <c r="CN130" i="11"/>
  <c r="BA130" i="11"/>
  <c r="AM130" i="11"/>
  <c r="BB130" i="11"/>
  <c r="BD130" i="11" s="1"/>
  <c r="CZ130" i="11"/>
  <c r="CM130" i="11"/>
  <c r="AP130" i="11"/>
  <c r="W131" i="11"/>
  <c r="BM130" i="11"/>
  <c r="DP130" i="11"/>
  <c r="AA130" i="11"/>
  <c r="X130" i="11"/>
  <c r="CA130" i="11"/>
  <c r="CB130" i="11"/>
  <c r="B131" i="11"/>
  <c r="A131" i="11" s="1"/>
  <c r="C132" i="11"/>
  <c r="M130" i="11" l="1"/>
  <c r="L130" i="11"/>
  <c r="EI131" i="11"/>
  <c r="EH131" i="11"/>
  <c r="EC131" i="11"/>
  <c r="EA131" i="11"/>
  <c r="DZ131" i="11"/>
  <c r="M97" i="12"/>
  <c r="A98" i="12"/>
  <c r="V98" i="12" s="1"/>
  <c r="W98" i="12" s="1"/>
  <c r="BX128" i="11"/>
  <c r="BY128" i="11" s="1"/>
  <c r="AY127" i="11"/>
  <c r="DK128" i="11"/>
  <c r="DL128" i="11" s="1"/>
  <c r="CL128" i="11"/>
  <c r="BK128" i="11"/>
  <c r="BL128" i="11" s="1"/>
  <c r="AW128" i="11"/>
  <c r="AX128" i="11"/>
  <c r="AS129" i="11"/>
  <c r="BS129" i="11"/>
  <c r="BW129" i="11"/>
  <c r="DF129" i="11"/>
  <c r="DJ129" i="11"/>
  <c r="B99" i="12"/>
  <c r="BF129" i="11"/>
  <c r="BK129" i="11"/>
  <c r="CW129" i="11"/>
  <c r="AB131" i="11"/>
  <c r="BQ130" i="11"/>
  <c r="BR130" i="11" s="1"/>
  <c r="BT130" i="11" s="1"/>
  <c r="CX129" i="11"/>
  <c r="CF130" i="11"/>
  <c r="CD130" i="11"/>
  <c r="CJ129" i="11"/>
  <c r="CL129" i="11" s="1"/>
  <c r="CF129" i="11"/>
  <c r="CS130" i="11"/>
  <c r="CQ130" i="11"/>
  <c r="AQ130" i="11"/>
  <c r="AR130" i="11" s="1"/>
  <c r="AT130" i="11" s="1"/>
  <c r="CP131" i="11"/>
  <c r="CE131" i="11"/>
  <c r="CG131" i="11" s="1"/>
  <c r="DV131" i="11"/>
  <c r="DU131" i="11"/>
  <c r="DI131" i="11"/>
  <c r="DH131" i="11"/>
  <c r="CR131" i="11"/>
  <c r="CT131" i="11" s="1"/>
  <c r="CU131" i="11"/>
  <c r="CV131" i="11"/>
  <c r="CH131" i="11"/>
  <c r="CI131" i="11"/>
  <c r="BV131" i="11"/>
  <c r="BI131" i="11"/>
  <c r="BU131" i="11"/>
  <c r="BH131" i="11"/>
  <c r="AU131" i="11"/>
  <c r="AV131" i="11"/>
  <c r="AH131" i="11"/>
  <c r="AI131" i="11"/>
  <c r="BE130" i="11"/>
  <c r="BG130" i="11" s="1"/>
  <c r="DE130" i="11"/>
  <c r="DG130" i="11" s="1"/>
  <c r="BP131" i="11"/>
  <c r="CA131" i="11"/>
  <c r="BZ131" i="11"/>
  <c r="BC131" i="11"/>
  <c r="Y131" i="11"/>
  <c r="BN131" i="11"/>
  <c r="BO131" i="11"/>
  <c r="CM131" i="11"/>
  <c r="AA131" i="11"/>
  <c r="DP131" i="11"/>
  <c r="CB131" i="11"/>
  <c r="BM131" i="11"/>
  <c r="X131" i="11"/>
  <c r="CN131" i="11"/>
  <c r="DN131" i="11"/>
  <c r="BB131" i="11"/>
  <c r="BD131" i="11" s="1"/>
  <c r="BA131" i="11"/>
  <c r="AN131" i="11"/>
  <c r="AM131" i="11"/>
  <c r="AP131" i="11"/>
  <c r="DC131" i="11"/>
  <c r="AZ131" i="11"/>
  <c r="DA131" i="11"/>
  <c r="W132" i="11"/>
  <c r="AO131" i="11"/>
  <c r="DB131" i="11"/>
  <c r="DD131" i="11" s="1"/>
  <c r="DM131" i="11"/>
  <c r="CO131" i="11"/>
  <c r="CZ131" i="11"/>
  <c r="CC131" i="11"/>
  <c r="B132" i="11"/>
  <c r="A132" i="11" s="1"/>
  <c r="C133" i="11"/>
  <c r="M131" i="11" l="1"/>
  <c r="L131" i="11"/>
  <c r="EH132" i="11"/>
  <c r="EC132" i="11"/>
  <c r="DZ132" i="11"/>
  <c r="EA132" i="11"/>
  <c r="EI132" i="11"/>
  <c r="M98" i="12"/>
  <c r="A99" i="12"/>
  <c r="V99" i="12" s="1"/>
  <c r="W99" i="12" s="1"/>
  <c r="BJ129" i="11"/>
  <c r="BL129" i="11" s="1"/>
  <c r="AY128" i="11"/>
  <c r="BX129" i="11"/>
  <c r="BY129" i="11" s="1"/>
  <c r="AW129" i="11"/>
  <c r="AX129" i="11"/>
  <c r="B100" i="12"/>
  <c r="BF130" i="11"/>
  <c r="BJ130" i="11"/>
  <c r="DK129" i="11"/>
  <c r="DL129" i="11" s="1"/>
  <c r="AW130" i="11"/>
  <c r="DF130" i="11"/>
  <c r="DJ130" i="11"/>
  <c r="CY129" i="11"/>
  <c r="BW130" i="11"/>
  <c r="BX130" i="11"/>
  <c r="BS130" i="11"/>
  <c r="CX130" i="11"/>
  <c r="CW130" i="11"/>
  <c r="AB132" i="11"/>
  <c r="BQ131" i="11"/>
  <c r="BR131" i="11" s="1"/>
  <c r="BT131" i="11" s="1"/>
  <c r="CS131" i="11"/>
  <c r="CQ131" i="11"/>
  <c r="CF131" i="11"/>
  <c r="CD131" i="11"/>
  <c r="CJ130" i="11"/>
  <c r="CK130" i="11"/>
  <c r="AQ131" i="11"/>
  <c r="AR131" i="11" s="1"/>
  <c r="AT131" i="11" s="1"/>
  <c r="BE131" i="11"/>
  <c r="BG131" i="11" s="1"/>
  <c r="DE131" i="11"/>
  <c r="DG131" i="11" s="1"/>
  <c r="BP132" i="11"/>
  <c r="CE132" i="11"/>
  <c r="CG132" i="11" s="1"/>
  <c r="DV132" i="11"/>
  <c r="DU132" i="11"/>
  <c r="DH132" i="11"/>
  <c r="CU132" i="11"/>
  <c r="CV132" i="11"/>
  <c r="DI132" i="11"/>
  <c r="CR132" i="11"/>
  <c r="CT132" i="11" s="1"/>
  <c r="CH132" i="11"/>
  <c r="CI132" i="11"/>
  <c r="BU132" i="11"/>
  <c r="BV132" i="11"/>
  <c r="BH132" i="11"/>
  <c r="BI132" i="11"/>
  <c r="AU132" i="11"/>
  <c r="AV132" i="11"/>
  <c r="AH132" i="11"/>
  <c r="AI132" i="11"/>
  <c r="CM132" i="11"/>
  <c r="BN132" i="11"/>
  <c r="Y132" i="11"/>
  <c r="BO132" i="11"/>
  <c r="BQ132" i="11" s="1"/>
  <c r="DN132" i="11"/>
  <c r="AZ132" i="11"/>
  <c r="BA132" i="11"/>
  <c r="BM132" i="11"/>
  <c r="CZ132" i="11"/>
  <c r="AA132" i="11"/>
  <c r="CC132" i="11"/>
  <c r="AN132" i="11"/>
  <c r="DA132" i="11"/>
  <c r="DM132" i="11"/>
  <c r="DB132" i="11"/>
  <c r="DD132" i="11" s="1"/>
  <c r="CA132" i="11"/>
  <c r="BC132" i="11"/>
  <c r="CB132" i="11"/>
  <c r="AO132" i="11"/>
  <c r="DC132" i="11"/>
  <c r="BZ132" i="11"/>
  <c r="CO132" i="11"/>
  <c r="CP132" i="11"/>
  <c r="BB132" i="11"/>
  <c r="BD132" i="11" s="1"/>
  <c r="AP132" i="11"/>
  <c r="CN132" i="11"/>
  <c r="AM132" i="11"/>
  <c r="W133" i="11"/>
  <c r="X132" i="11"/>
  <c r="DP132" i="11"/>
  <c r="B133" i="11"/>
  <c r="A133" i="11" s="1"/>
  <c r="C134" i="11"/>
  <c r="M132" i="11" l="1"/>
  <c r="L132" i="11"/>
  <c r="EC133" i="11"/>
  <c r="EA133" i="11"/>
  <c r="DZ133" i="11"/>
  <c r="EI133" i="11"/>
  <c r="EH133" i="11"/>
  <c r="M99" i="12"/>
  <c r="A100" i="12"/>
  <c r="V100" i="12" s="1"/>
  <c r="W100" i="12" s="1"/>
  <c r="AY129" i="11"/>
  <c r="BK130" i="11"/>
  <c r="BL130" i="11" s="1"/>
  <c r="AX130" i="11"/>
  <c r="AY130" i="11" s="1"/>
  <c r="DK130" i="11"/>
  <c r="DL130" i="11" s="1"/>
  <c r="AS130" i="11"/>
  <c r="AS131" i="11"/>
  <c r="B101" i="12"/>
  <c r="DF131" i="11"/>
  <c r="DK131" i="11"/>
  <c r="BF131" i="11"/>
  <c r="BJ131" i="11"/>
  <c r="CY130" i="11"/>
  <c r="CJ131" i="11"/>
  <c r="CK131" i="11"/>
  <c r="CX131" i="11"/>
  <c r="CW131" i="11"/>
  <c r="BS131" i="11"/>
  <c r="BX131" i="11"/>
  <c r="BW131" i="11"/>
  <c r="AB133" i="11"/>
  <c r="BY130" i="11"/>
  <c r="CL130" i="11"/>
  <c r="CX132" i="11"/>
  <c r="CQ132" i="11"/>
  <c r="CF132" i="11"/>
  <c r="CD132" i="11"/>
  <c r="AQ132" i="11"/>
  <c r="AR132" i="11" s="1"/>
  <c r="AT132" i="11" s="1"/>
  <c r="CE133" i="11"/>
  <c r="CG133" i="11" s="1"/>
  <c r="DV133" i="11"/>
  <c r="DU133" i="11"/>
  <c r="DH133" i="11"/>
  <c r="DI133" i="11"/>
  <c r="CR133" i="11"/>
  <c r="CT133" i="11" s="1"/>
  <c r="CU133" i="11"/>
  <c r="CV133" i="11"/>
  <c r="CH133" i="11"/>
  <c r="CI133" i="11"/>
  <c r="BV133" i="11"/>
  <c r="BU133" i="11"/>
  <c r="BI133" i="11"/>
  <c r="BH133" i="11"/>
  <c r="AU133" i="11"/>
  <c r="AV133" i="11"/>
  <c r="AH133" i="11"/>
  <c r="AI133" i="11"/>
  <c r="BR132" i="11"/>
  <c r="BT132" i="11" s="1"/>
  <c r="BE132" i="11"/>
  <c r="BG132" i="11" s="1"/>
  <c r="DE132" i="11"/>
  <c r="DG132" i="11" s="1"/>
  <c r="AA133" i="11"/>
  <c r="BP133" i="11"/>
  <c r="BN133" i="11"/>
  <c r="BO133" i="11"/>
  <c r="BQ133" i="11" s="1"/>
  <c r="BB133" i="11"/>
  <c r="BD133" i="11" s="1"/>
  <c r="CN133" i="11"/>
  <c r="CC133" i="11"/>
  <c r="AM133" i="11"/>
  <c r="AO133" i="11"/>
  <c r="DP133" i="11"/>
  <c r="AN133" i="11"/>
  <c r="X133" i="11"/>
  <c r="DM133" i="11"/>
  <c r="DA133" i="11"/>
  <c r="BC133" i="11"/>
  <c r="CA133" i="11"/>
  <c r="AP133" i="11"/>
  <c r="DB133" i="11"/>
  <c r="DD133" i="11" s="1"/>
  <c r="AZ133" i="11"/>
  <c r="DC133" i="11"/>
  <c r="DN133" i="11"/>
  <c r="Y133" i="11"/>
  <c r="BA133" i="11"/>
  <c r="CP133" i="11"/>
  <c r="W134" i="11"/>
  <c r="CB133" i="11"/>
  <c r="CZ133" i="11"/>
  <c r="CO133" i="11"/>
  <c r="BM133" i="11"/>
  <c r="BZ133" i="11"/>
  <c r="CM133" i="11"/>
  <c r="B134" i="11"/>
  <c r="A134" i="11" s="1"/>
  <c r="C135" i="11"/>
  <c r="M133" i="11" l="1"/>
  <c r="L133" i="11"/>
  <c r="EA134" i="11"/>
  <c r="DZ134" i="11"/>
  <c r="EI134" i="11"/>
  <c r="EH134" i="11"/>
  <c r="EC134" i="11"/>
  <c r="M100" i="12"/>
  <c r="A101" i="12"/>
  <c r="V101" i="12" s="1"/>
  <c r="W101" i="12" s="1"/>
  <c r="DJ131" i="11"/>
  <c r="DL131" i="11" s="1"/>
  <c r="AX131" i="11"/>
  <c r="AW131" i="11"/>
  <c r="BK131" i="11"/>
  <c r="BL131" i="11" s="1"/>
  <c r="DF132" i="11"/>
  <c r="DK132" i="11"/>
  <c r="B102" i="12"/>
  <c r="BF132" i="11"/>
  <c r="BJ132" i="11"/>
  <c r="BS132" i="11"/>
  <c r="BW132" i="11"/>
  <c r="CL131" i="11"/>
  <c r="CY131" i="11"/>
  <c r="BY131" i="11"/>
  <c r="AB134" i="11"/>
  <c r="CF133" i="11"/>
  <c r="CD133" i="11"/>
  <c r="CK132" i="11"/>
  <c r="CJ132" i="11"/>
  <c r="CW132" i="11"/>
  <c r="CY132" i="11" s="1"/>
  <c r="CS132" i="11"/>
  <c r="CS133" i="11"/>
  <c r="CQ133" i="11"/>
  <c r="AX132" i="11"/>
  <c r="AS132" i="11"/>
  <c r="AW132" i="11"/>
  <c r="AQ133" i="11"/>
  <c r="AR133" i="11" s="1"/>
  <c r="AT133" i="11" s="1"/>
  <c r="BR133" i="11"/>
  <c r="BT133" i="11" s="1"/>
  <c r="DE133" i="11"/>
  <c r="DG133" i="11" s="1"/>
  <c r="DU134" i="11"/>
  <c r="CE134" i="11"/>
  <c r="CG134" i="11" s="1"/>
  <c r="DV134" i="11"/>
  <c r="DH134" i="11"/>
  <c r="DI134" i="11"/>
  <c r="CU134" i="11"/>
  <c r="CV134" i="11"/>
  <c r="CR134" i="11"/>
  <c r="CT134" i="11" s="1"/>
  <c r="CH134" i="11"/>
  <c r="CI134" i="11"/>
  <c r="BU134" i="11"/>
  <c r="BV134" i="11"/>
  <c r="BI134" i="11"/>
  <c r="BH134" i="11"/>
  <c r="AU134" i="11"/>
  <c r="AV134" i="11"/>
  <c r="AH134" i="11"/>
  <c r="AI134" i="11"/>
  <c r="BE133" i="11"/>
  <c r="BG133" i="11" s="1"/>
  <c r="BM134" i="11"/>
  <c r="BN134" i="11"/>
  <c r="BP134" i="11"/>
  <c r="BZ134" i="11"/>
  <c r="BO134" i="11"/>
  <c r="BQ134" i="11" s="1"/>
  <c r="AO134" i="11"/>
  <c r="CB134" i="11"/>
  <c r="BA134" i="11"/>
  <c r="X134" i="11"/>
  <c r="CP134" i="11"/>
  <c r="CM134" i="11"/>
  <c r="Y134" i="11"/>
  <c r="CA134" i="11"/>
  <c r="DB134" i="11"/>
  <c r="DD134" i="11" s="1"/>
  <c r="DC134" i="11"/>
  <c r="CO134" i="11"/>
  <c r="AM134" i="11"/>
  <c r="AA134" i="11"/>
  <c r="AP134" i="11"/>
  <c r="DA134" i="11"/>
  <c r="CC134" i="11"/>
  <c r="W135" i="11"/>
  <c r="DN134" i="11"/>
  <c r="BC134" i="11"/>
  <c r="DP134" i="11"/>
  <c r="AN134" i="11"/>
  <c r="DM134" i="11"/>
  <c r="CZ134" i="11"/>
  <c r="CN134" i="11"/>
  <c r="AZ134" i="11"/>
  <c r="BB134" i="11"/>
  <c r="BD134" i="11" s="1"/>
  <c r="B135" i="11"/>
  <c r="A135" i="11" s="1"/>
  <c r="C136" i="11"/>
  <c r="L134" i="11" l="1"/>
  <c r="M134" i="11"/>
  <c r="EI135" i="11"/>
  <c r="EH135" i="11"/>
  <c r="EC135" i="11"/>
  <c r="EA135" i="11"/>
  <c r="DZ135" i="11"/>
  <c r="M101" i="12"/>
  <c r="A102" i="12"/>
  <c r="V102" i="12" s="1"/>
  <c r="W102" i="12" s="1"/>
  <c r="BX132" i="11"/>
  <c r="BY132" i="11" s="1"/>
  <c r="DJ132" i="11"/>
  <c r="DL132" i="11" s="1"/>
  <c r="AY131" i="11"/>
  <c r="BK132" i="11"/>
  <c r="BL132" i="11" s="1"/>
  <c r="AS133" i="11"/>
  <c r="B103" i="12"/>
  <c r="DF133" i="11"/>
  <c r="DK133" i="11"/>
  <c r="BS133" i="11"/>
  <c r="BW133" i="11"/>
  <c r="BF133" i="11"/>
  <c r="BJ133" i="11"/>
  <c r="AY132" i="11"/>
  <c r="CJ133" i="11"/>
  <c r="CL132" i="11"/>
  <c r="DP135" i="11"/>
  <c r="AB135" i="11"/>
  <c r="CK133" i="11"/>
  <c r="CX133" i="11"/>
  <c r="CF134" i="11"/>
  <c r="CD134" i="11"/>
  <c r="CS134" i="11"/>
  <c r="CQ134" i="11"/>
  <c r="CW133" i="11"/>
  <c r="AQ134" i="11"/>
  <c r="AR134" i="11" s="1"/>
  <c r="AT134" i="11" s="1"/>
  <c r="BR134" i="11"/>
  <c r="BT134" i="11" s="1"/>
  <c r="BE134" i="11"/>
  <c r="BG134" i="11" s="1"/>
  <c r="CE135" i="11"/>
  <c r="CG135" i="11" s="1"/>
  <c r="DV135" i="11"/>
  <c r="DU135" i="11"/>
  <c r="DI135" i="11"/>
  <c r="DH135" i="11"/>
  <c r="CR135" i="11"/>
  <c r="CT135" i="11" s="1"/>
  <c r="CU135" i="11"/>
  <c r="CV135" i="11"/>
  <c r="CH135" i="11"/>
  <c r="CI135" i="11"/>
  <c r="BV135" i="11"/>
  <c r="BU135" i="11"/>
  <c r="BI135" i="11"/>
  <c r="BH135" i="11"/>
  <c r="AV135" i="11"/>
  <c r="AU135" i="11"/>
  <c r="AH135" i="11"/>
  <c r="AI135" i="11"/>
  <c r="DE134" i="11"/>
  <c r="DG134" i="11" s="1"/>
  <c r="BN135" i="11"/>
  <c r="BP135" i="11"/>
  <c r="BO135" i="11"/>
  <c r="Y135" i="11"/>
  <c r="BB135" i="11"/>
  <c r="BD135" i="11" s="1"/>
  <c r="AZ135" i="11"/>
  <c r="AA135" i="11"/>
  <c r="CM135" i="11"/>
  <c r="DA135" i="11"/>
  <c r="DN135" i="11"/>
  <c r="CN135" i="11"/>
  <c r="CZ135" i="11"/>
  <c r="BM135" i="11"/>
  <c r="AN135" i="11"/>
  <c r="CA135" i="11"/>
  <c r="AM135" i="11"/>
  <c r="BC135" i="11"/>
  <c r="BZ135" i="11"/>
  <c r="BA135" i="11"/>
  <c r="DM135" i="11"/>
  <c r="AO135" i="11"/>
  <c r="DC135" i="11"/>
  <c r="CO135" i="11"/>
  <c r="X135" i="11"/>
  <c r="AP135" i="11"/>
  <c r="CC135" i="11"/>
  <c r="CP135" i="11"/>
  <c r="DB135" i="11"/>
  <c r="DD135" i="11" s="1"/>
  <c r="W136" i="11"/>
  <c r="CB135" i="11"/>
  <c r="B136" i="11"/>
  <c r="A136" i="11" s="1"/>
  <c r="C137" i="11"/>
  <c r="M135" i="11" l="1"/>
  <c r="L135" i="11"/>
  <c r="EH136" i="11"/>
  <c r="EC136" i="11"/>
  <c r="DZ136" i="11"/>
  <c r="EA136" i="11"/>
  <c r="EI136" i="11"/>
  <c r="M102" i="12"/>
  <c r="A103" i="12"/>
  <c r="V103" i="12" s="1"/>
  <c r="W103" i="12" s="1"/>
  <c r="AW133" i="11"/>
  <c r="BK133" i="11"/>
  <c r="BL133" i="11" s="1"/>
  <c r="AX133" i="11"/>
  <c r="DJ133" i="11"/>
  <c r="DL133" i="11" s="1"/>
  <c r="BX133" i="11"/>
  <c r="BY133" i="11" s="1"/>
  <c r="DF134" i="11"/>
  <c r="DJ134" i="11"/>
  <c r="AS134" i="11"/>
  <c r="BS134" i="11"/>
  <c r="BW134" i="11"/>
  <c r="B104" i="12"/>
  <c r="BF134" i="11"/>
  <c r="BK134" i="11"/>
  <c r="CL133" i="11"/>
  <c r="CJ134" i="11"/>
  <c r="CY133" i="11"/>
  <c r="CW134" i="11"/>
  <c r="CX134" i="11"/>
  <c r="AB136" i="11"/>
  <c r="CK134" i="11"/>
  <c r="BQ135" i="11"/>
  <c r="BR135" i="11" s="1"/>
  <c r="BT135" i="11" s="1"/>
  <c r="CF135" i="11"/>
  <c r="CD135" i="11"/>
  <c r="CS135" i="11"/>
  <c r="CQ135" i="11"/>
  <c r="AQ135" i="11"/>
  <c r="AR135" i="11" s="1"/>
  <c r="AT135" i="11" s="1"/>
  <c r="BE135" i="11"/>
  <c r="BG135" i="11" s="1"/>
  <c r="CE136" i="11"/>
  <c r="CG136" i="11" s="1"/>
  <c r="DV136" i="11"/>
  <c r="DU136" i="11"/>
  <c r="DH136" i="11"/>
  <c r="DI136" i="11"/>
  <c r="CU136" i="11"/>
  <c r="CV136" i="11"/>
  <c r="CR136" i="11"/>
  <c r="CT136" i="11" s="1"/>
  <c r="CH136" i="11"/>
  <c r="CI136" i="11"/>
  <c r="BU136" i="11"/>
  <c r="BV136" i="11"/>
  <c r="BI136" i="11"/>
  <c r="BH136" i="11"/>
  <c r="AU136" i="11"/>
  <c r="AV136" i="11"/>
  <c r="AI136" i="11"/>
  <c r="AH136" i="11"/>
  <c r="DE135" i="11"/>
  <c r="DG135" i="11" s="1"/>
  <c r="BP136" i="11"/>
  <c r="BN136" i="11"/>
  <c r="BO136" i="11"/>
  <c r="CB136" i="11"/>
  <c r="DP136" i="11"/>
  <c r="DB136" i="11"/>
  <c r="DD136" i="11" s="1"/>
  <c r="BC136" i="11"/>
  <c r="CO136" i="11"/>
  <c r="DN136" i="11"/>
  <c r="CC136" i="11"/>
  <c r="AM136" i="11"/>
  <c r="DA136" i="11"/>
  <c r="BA136" i="11"/>
  <c r="X136" i="11"/>
  <c r="DC136" i="11"/>
  <c r="BB136" i="11"/>
  <c r="BD136" i="11" s="1"/>
  <c r="AN136" i="11"/>
  <c r="BM136" i="11"/>
  <c r="CZ136" i="11"/>
  <c r="AZ136" i="11"/>
  <c r="CA136" i="11"/>
  <c r="CP136" i="11"/>
  <c r="BZ136" i="11"/>
  <c r="AO136" i="11"/>
  <c r="AP136" i="11"/>
  <c r="AA136" i="11"/>
  <c r="DM136" i="11"/>
  <c r="W137" i="11"/>
  <c r="CN136" i="11"/>
  <c r="CM136" i="11"/>
  <c r="Y136" i="11"/>
  <c r="B137" i="11"/>
  <c r="A137" i="11" s="1"/>
  <c r="C138" i="11"/>
  <c r="L136" i="11" l="1"/>
  <c r="M136" i="11"/>
  <c r="EC137" i="11"/>
  <c r="EA137" i="11"/>
  <c r="DZ137" i="11"/>
  <c r="EI137" i="11"/>
  <c r="EH137" i="11"/>
  <c r="M103" i="12"/>
  <c r="A104" i="12"/>
  <c r="M104" i="12" s="1"/>
  <c r="DK134" i="11"/>
  <c r="DL134" i="11" s="1"/>
  <c r="AY133" i="11"/>
  <c r="BX134" i="11"/>
  <c r="BY134" i="11" s="1"/>
  <c r="CL134" i="11"/>
  <c r="AX134" i="11"/>
  <c r="BJ134" i="11"/>
  <c r="BL134" i="11" s="1"/>
  <c r="AS135" i="11"/>
  <c r="DF135" i="11"/>
  <c r="DJ135" i="11"/>
  <c r="AW134" i="11"/>
  <c r="BF135" i="11"/>
  <c r="BK135" i="11"/>
  <c r="B105" i="12"/>
  <c r="CJ135" i="11"/>
  <c r="CY134" i="11"/>
  <c r="CK135" i="11"/>
  <c r="CN137" i="11"/>
  <c r="CX135" i="11"/>
  <c r="BS135" i="11"/>
  <c r="BW135" i="11"/>
  <c r="BX135" i="11"/>
  <c r="AB137" i="11"/>
  <c r="BQ136" i="11"/>
  <c r="BR136" i="11" s="1"/>
  <c r="BT136" i="11" s="1"/>
  <c r="CF136" i="11"/>
  <c r="CD136" i="11"/>
  <c r="CW135" i="11"/>
  <c r="CW136" i="11"/>
  <c r="CQ136" i="11"/>
  <c r="AQ136" i="11"/>
  <c r="AR136" i="11" s="1"/>
  <c r="AT136" i="11" s="1"/>
  <c r="BE136" i="11"/>
  <c r="BG136" i="11" s="1"/>
  <c r="BP137" i="11"/>
  <c r="CE137" i="11"/>
  <c r="CG137" i="11" s="1"/>
  <c r="DU137" i="11"/>
  <c r="DV137" i="11"/>
  <c r="DH137" i="11"/>
  <c r="DI137" i="11"/>
  <c r="CR137" i="11"/>
  <c r="CT137" i="11" s="1"/>
  <c r="CU137" i="11"/>
  <c r="CV137" i="11"/>
  <c r="CI137" i="11"/>
  <c r="CH137" i="11"/>
  <c r="BU137" i="11"/>
  <c r="BI137" i="11"/>
  <c r="BV137" i="11"/>
  <c r="BH137" i="11"/>
  <c r="AU137" i="11"/>
  <c r="AV137" i="11"/>
  <c r="AH137" i="11"/>
  <c r="AI137" i="11"/>
  <c r="DE136" i="11"/>
  <c r="DG136" i="11" s="1"/>
  <c r="X137" i="11"/>
  <c r="CM137" i="11"/>
  <c r="AA137" i="11"/>
  <c r="Y137" i="11"/>
  <c r="BN137" i="11"/>
  <c r="DB137" i="11"/>
  <c r="DD137" i="11" s="1"/>
  <c r="BO137" i="11"/>
  <c r="BQ137" i="11" s="1"/>
  <c r="AM137" i="11"/>
  <c r="AO137" i="11"/>
  <c r="BZ137" i="11"/>
  <c r="DM137" i="11"/>
  <c r="CZ137" i="11"/>
  <c r="DN137" i="11"/>
  <c r="BB137" i="11"/>
  <c r="BD137" i="11" s="1"/>
  <c r="CB137" i="11"/>
  <c r="CA137" i="11"/>
  <c r="AZ137" i="11"/>
  <c r="BC137" i="11"/>
  <c r="DA137" i="11"/>
  <c r="AP137" i="11"/>
  <c r="CP137" i="11"/>
  <c r="W138" i="11"/>
  <c r="CC137" i="11"/>
  <c r="DP137" i="11"/>
  <c r="DC137" i="11"/>
  <c r="BM137" i="11"/>
  <c r="CO137" i="11"/>
  <c r="AN137" i="11"/>
  <c r="BA137" i="11"/>
  <c r="B138" i="11"/>
  <c r="A138" i="11" s="1"/>
  <c r="C139" i="11"/>
  <c r="M137" i="11" l="1"/>
  <c r="L137" i="11"/>
  <c r="EA138" i="11"/>
  <c r="DZ138" i="11"/>
  <c r="EI138" i="11"/>
  <c r="EH138" i="11"/>
  <c r="EC138" i="11"/>
  <c r="V104" i="12"/>
  <c r="W104" i="12" s="1"/>
  <c r="A105" i="12"/>
  <c r="V105" i="12" s="1"/>
  <c r="W105" i="12" s="1"/>
  <c r="AY134" i="11"/>
  <c r="DK135" i="11"/>
  <c r="DL135" i="11" s="1"/>
  <c r="CL135" i="11"/>
  <c r="AX135" i="11"/>
  <c r="BJ135" i="11"/>
  <c r="BL135" i="11" s="1"/>
  <c r="AW135" i="11"/>
  <c r="BS136" i="11"/>
  <c r="BX136" i="11"/>
  <c r="DF136" i="11"/>
  <c r="DK136" i="11"/>
  <c r="AW136" i="11"/>
  <c r="B106" i="12"/>
  <c r="BF136" i="11"/>
  <c r="BJ136" i="11"/>
  <c r="CY135" i="11"/>
  <c r="BY135" i="11"/>
  <c r="CK136" i="11"/>
  <c r="CD137" i="11"/>
  <c r="CJ136" i="11"/>
  <c r="AB138" i="11"/>
  <c r="CX136" i="11"/>
  <c r="CY136" i="11" s="1"/>
  <c r="CS136" i="11"/>
  <c r="CS137" i="11"/>
  <c r="CQ137" i="11"/>
  <c r="AQ137" i="11"/>
  <c r="AR137" i="11" s="1"/>
  <c r="AT137" i="11" s="1"/>
  <c r="DE137" i="11"/>
  <c r="DG137" i="11" s="1"/>
  <c r="BP138" i="11"/>
  <c r="CE138" i="11"/>
  <c r="CG138" i="11" s="1"/>
  <c r="DU138" i="11"/>
  <c r="DV138" i="11"/>
  <c r="DH138" i="11"/>
  <c r="DI138" i="11"/>
  <c r="CU138" i="11"/>
  <c r="CV138" i="11"/>
  <c r="CR138" i="11"/>
  <c r="CT138" i="11" s="1"/>
  <c r="CH138" i="11"/>
  <c r="CI138" i="11"/>
  <c r="BU138" i="11"/>
  <c r="BV138" i="11"/>
  <c r="BI138" i="11"/>
  <c r="BH138" i="11"/>
  <c r="AU138" i="11"/>
  <c r="AV138" i="11"/>
  <c r="AI138" i="11"/>
  <c r="AH138" i="11"/>
  <c r="CF137" i="11"/>
  <c r="BR137" i="11"/>
  <c r="BT137" i="11" s="1"/>
  <c r="BE137" i="11"/>
  <c r="BG137" i="11" s="1"/>
  <c r="BN138" i="11"/>
  <c r="CM138" i="11"/>
  <c r="CO138" i="11"/>
  <c r="BO138" i="11"/>
  <c r="BQ138" i="11" s="1"/>
  <c r="BB138" i="11"/>
  <c r="BD138" i="11" s="1"/>
  <c r="CC138" i="11"/>
  <c r="X138" i="11"/>
  <c r="CP138" i="11"/>
  <c r="AP138" i="11"/>
  <c r="BM138" i="11"/>
  <c r="DA138" i="11"/>
  <c r="BA138" i="11"/>
  <c r="AA138" i="11"/>
  <c r="AN138" i="11"/>
  <c r="DP138" i="11"/>
  <c r="DC138" i="11"/>
  <c r="AO138" i="11"/>
  <c r="BZ138" i="11"/>
  <c r="AZ138" i="11"/>
  <c r="CB138" i="11"/>
  <c r="CN138" i="11"/>
  <c r="CA138" i="11"/>
  <c r="BC138" i="11"/>
  <c r="Y138" i="11"/>
  <c r="DB138" i="11"/>
  <c r="DD138" i="11" s="1"/>
  <c r="W139" i="11"/>
  <c r="CZ138" i="11"/>
  <c r="DN138" i="11"/>
  <c r="DM138" i="11"/>
  <c r="AM138" i="11"/>
  <c r="B139" i="11"/>
  <c r="A139" i="11" s="1"/>
  <c r="C140" i="11"/>
  <c r="L138" i="11" l="1"/>
  <c r="M138" i="11"/>
  <c r="EI139" i="11"/>
  <c r="EH139" i="11"/>
  <c r="EC139" i="11"/>
  <c r="EA139" i="11"/>
  <c r="DZ139" i="11"/>
  <c r="M105" i="12"/>
  <c r="A106" i="12"/>
  <c r="V106" i="12" s="1"/>
  <c r="W106" i="12" s="1"/>
  <c r="AY135" i="11"/>
  <c r="BW136" i="11"/>
  <c r="BY136" i="11" s="1"/>
  <c r="BK136" i="11"/>
  <c r="BL136" i="11" s="1"/>
  <c r="AS136" i="11"/>
  <c r="AX136" i="11"/>
  <c r="AY136" i="11" s="1"/>
  <c r="DJ136" i="11"/>
  <c r="DL136" i="11" s="1"/>
  <c r="DF137" i="11"/>
  <c r="DJ137" i="11"/>
  <c r="BF137" i="11"/>
  <c r="BJ137" i="11"/>
  <c r="BS137" i="11"/>
  <c r="BX137" i="11"/>
  <c r="CL136" i="11"/>
  <c r="B107" i="12"/>
  <c r="AB139" i="11"/>
  <c r="BR138" i="11"/>
  <c r="BT138" i="11" s="1"/>
  <c r="CX137" i="11"/>
  <c r="CF138" i="11"/>
  <c r="CD138" i="11"/>
  <c r="CS138" i="11"/>
  <c r="CQ138" i="11"/>
  <c r="CW137" i="11"/>
  <c r="AW137" i="11"/>
  <c r="AS137" i="11"/>
  <c r="AQ138" i="11"/>
  <c r="AR138" i="11" s="1"/>
  <c r="AT138" i="11" s="1"/>
  <c r="AX137" i="11"/>
  <c r="CJ137" i="11"/>
  <c r="CK137" i="11"/>
  <c r="BP139" i="11"/>
  <c r="CE139" i="11"/>
  <c r="CG139" i="11" s="1"/>
  <c r="DV139" i="11"/>
  <c r="DU139" i="11"/>
  <c r="DI139" i="11"/>
  <c r="DH139" i="11"/>
  <c r="CR139" i="11"/>
  <c r="CT139" i="11" s="1"/>
  <c r="CU139" i="11"/>
  <c r="CV139" i="11"/>
  <c r="CH139" i="11"/>
  <c r="CI139" i="11"/>
  <c r="BU139" i="11"/>
  <c r="BV139" i="11"/>
  <c r="BI139" i="11"/>
  <c r="BH139" i="11"/>
  <c r="AV139" i="11"/>
  <c r="AU139" i="11"/>
  <c r="AH139" i="11"/>
  <c r="AI139" i="11"/>
  <c r="BE138" i="11"/>
  <c r="BG138" i="11" s="1"/>
  <c r="DE138" i="11"/>
  <c r="DG138" i="11" s="1"/>
  <c r="BN139" i="11"/>
  <c r="DC139" i="11"/>
  <c r="BO139" i="11"/>
  <c r="CB139" i="11"/>
  <c r="AZ139" i="11"/>
  <c r="CC139" i="11"/>
  <c r="AN139" i="11"/>
  <c r="Y139" i="11"/>
  <c r="AP139" i="11"/>
  <c r="AM139" i="11"/>
  <c r="X139" i="11"/>
  <c r="CP139" i="11"/>
  <c r="CN139" i="11"/>
  <c r="CA139" i="11"/>
  <c r="DN139" i="11"/>
  <c r="BB139" i="11"/>
  <c r="BD139" i="11" s="1"/>
  <c r="BZ139" i="11"/>
  <c r="DM139" i="11"/>
  <c r="BC139" i="11"/>
  <c r="DB139" i="11"/>
  <c r="DD139" i="11" s="1"/>
  <c r="AA139" i="11"/>
  <c r="AO139" i="11"/>
  <c r="W140" i="11"/>
  <c r="BM139" i="11"/>
  <c r="DP139" i="11"/>
  <c r="DA139" i="11"/>
  <c r="CO139" i="11"/>
  <c r="CZ139" i="11"/>
  <c r="BA139" i="11"/>
  <c r="CM139" i="11"/>
  <c r="B140" i="11"/>
  <c r="A140" i="11" s="1"/>
  <c r="C141" i="11"/>
  <c r="M139" i="11" l="1"/>
  <c r="L139" i="11"/>
  <c r="EH140" i="11"/>
  <c r="EC140" i="11"/>
  <c r="EA140" i="11"/>
  <c r="DZ140" i="11"/>
  <c r="EI140" i="11"/>
  <c r="M106" i="12"/>
  <c r="A107" i="12"/>
  <c r="V107" i="12" s="1"/>
  <c r="W107" i="12" s="1"/>
  <c r="BK137" i="11"/>
  <c r="BL137" i="11" s="1"/>
  <c r="DK137" i="11"/>
  <c r="DL137" i="11" s="1"/>
  <c r="DF138" i="11"/>
  <c r="DK138" i="11"/>
  <c r="BF138" i="11"/>
  <c r="BK138" i="11"/>
  <c r="BW137" i="11"/>
  <c r="BY137" i="11" s="1"/>
  <c r="BS138" i="11"/>
  <c r="BX138" i="11"/>
  <c r="B108" i="12"/>
  <c r="AS138" i="11"/>
  <c r="CY137" i="11"/>
  <c r="CK138" i="11"/>
  <c r="CX138" i="11"/>
  <c r="AB140" i="11"/>
  <c r="BQ139" i="11"/>
  <c r="BR139" i="11" s="1"/>
  <c r="BT139" i="11" s="1"/>
  <c r="CJ139" i="11"/>
  <c r="CD139" i="11"/>
  <c r="CS139" i="11"/>
  <c r="CQ139" i="11"/>
  <c r="CJ138" i="11"/>
  <c r="CW138" i="11"/>
  <c r="AQ139" i="11"/>
  <c r="AR139" i="11" s="1"/>
  <c r="AT139" i="11" s="1"/>
  <c r="AY137" i="11"/>
  <c r="BE139" i="11"/>
  <c r="BG139" i="11" s="1"/>
  <c r="DE139" i="11"/>
  <c r="DG139" i="11" s="1"/>
  <c r="CL137" i="11"/>
  <c r="CE140" i="11"/>
  <c r="CG140" i="11" s="1"/>
  <c r="DV140" i="11"/>
  <c r="DU140" i="11"/>
  <c r="DH140" i="11"/>
  <c r="DI140" i="11"/>
  <c r="CR140" i="11"/>
  <c r="CT140" i="11" s="1"/>
  <c r="CU140" i="11"/>
  <c r="CV140" i="11"/>
  <c r="CH140" i="11"/>
  <c r="CI140" i="11"/>
  <c r="BU140" i="11"/>
  <c r="BV140" i="11"/>
  <c r="BH140" i="11"/>
  <c r="BI140" i="11"/>
  <c r="AV140" i="11"/>
  <c r="AH140" i="11"/>
  <c r="AI140" i="11"/>
  <c r="AU140" i="11"/>
  <c r="DP140" i="11"/>
  <c r="BN140" i="11"/>
  <c r="BP140" i="11"/>
  <c r="BO140" i="11"/>
  <c r="BQ140" i="11" s="1"/>
  <c r="BM140" i="11"/>
  <c r="BC140" i="11"/>
  <c r="X140" i="11"/>
  <c r="AO140" i="11"/>
  <c r="DM140" i="11"/>
  <c r="CM140" i="11"/>
  <c r="AA140" i="11"/>
  <c r="BZ140" i="11"/>
  <c r="AP140" i="11"/>
  <c r="BB140" i="11"/>
  <c r="BD140" i="11" s="1"/>
  <c r="Y140" i="11"/>
  <c r="BA140" i="11"/>
  <c r="DB140" i="11"/>
  <c r="DD140" i="11" s="1"/>
  <c r="CZ140" i="11"/>
  <c r="DN140" i="11"/>
  <c r="AN140" i="11"/>
  <c r="CO140" i="11"/>
  <c r="DA140" i="11"/>
  <c r="AM140" i="11"/>
  <c r="CA140" i="11"/>
  <c r="CC140" i="11"/>
  <c r="W141" i="11"/>
  <c r="CN140" i="11"/>
  <c r="AZ140" i="11"/>
  <c r="CB140" i="11"/>
  <c r="CP140" i="11"/>
  <c r="DC140" i="11"/>
  <c r="B141" i="11"/>
  <c r="A141" i="11" s="1"/>
  <c r="C142" i="11"/>
  <c r="M140" i="11" l="1"/>
  <c r="L140" i="11"/>
  <c r="EC141" i="11"/>
  <c r="EA141" i="11"/>
  <c r="DZ141" i="11"/>
  <c r="EI141" i="11"/>
  <c r="EH141" i="11"/>
  <c r="M107" i="12"/>
  <c r="A108" i="12"/>
  <c r="V108" i="12" s="1"/>
  <c r="W108" i="12" s="1"/>
  <c r="BJ138" i="11"/>
  <c r="BL138" i="11" s="1"/>
  <c r="DJ138" i="11"/>
  <c r="DL138" i="11" s="1"/>
  <c r="AW138" i="11"/>
  <c r="AX138" i="11"/>
  <c r="CL138" i="11"/>
  <c r="AS139" i="11"/>
  <c r="BW138" i="11"/>
  <c r="BY138" i="11" s="1"/>
  <c r="B109" i="12"/>
  <c r="BF139" i="11"/>
  <c r="BJ139" i="11"/>
  <c r="DF139" i="11"/>
  <c r="DJ139" i="11"/>
  <c r="CY138" i="11"/>
  <c r="CW139" i="11"/>
  <c r="BS139" i="11"/>
  <c r="BW139" i="11"/>
  <c r="BX139" i="11"/>
  <c r="AB141" i="11"/>
  <c r="CX139" i="11"/>
  <c r="CF140" i="11"/>
  <c r="CD140" i="11"/>
  <c r="CS140" i="11"/>
  <c r="CQ140" i="11"/>
  <c r="CK139" i="11"/>
  <c r="CL139" i="11" s="1"/>
  <c r="CF139" i="11"/>
  <c r="AQ140" i="11"/>
  <c r="AR140" i="11" s="1"/>
  <c r="AT140" i="11" s="1"/>
  <c r="BE140" i="11"/>
  <c r="BG140" i="11" s="1"/>
  <c r="DE140" i="11"/>
  <c r="DG140" i="11" s="1"/>
  <c r="CE141" i="11"/>
  <c r="CG141" i="11" s="1"/>
  <c r="DU141" i="11"/>
  <c r="DV141" i="11"/>
  <c r="DH141" i="11"/>
  <c r="DI141" i="11"/>
  <c r="CU141" i="11"/>
  <c r="CV141" i="11"/>
  <c r="CR141" i="11"/>
  <c r="CT141" i="11" s="1"/>
  <c r="CH141" i="11"/>
  <c r="CI141" i="11"/>
  <c r="BU141" i="11"/>
  <c r="BI141" i="11"/>
  <c r="BV141" i="11"/>
  <c r="BH141" i="11"/>
  <c r="AU141" i="11"/>
  <c r="AV141" i="11"/>
  <c r="AH141" i="11"/>
  <c r="AI141" i="11"/>
  <c r="BR140" i="11"/>
  <c r="BT140" i="11" s="1"/>
  <c r="CN141" i="11"/>
  <c r="BZ141" i="11"/>
  <c r="DC141" i="11"/>
  <c r="CP141" i="11"/>
  <c r="BN141" i="11"/>
  <c r="Y141" i="11"/>
  <c r="BP141" i="11"/>
  <c r="CO141" i="11"/>
  <c r="CB141" i="11"/>
  <c r="BO141" i="11"/>
  <c r="CM141" i="11"/>
  <c r="AZ141" i="11"/>
  <c r="DB141" i="11"/>
  <c r="DD141" i="11" s="1"/>
  <c r="AM141" i="11"/>
  <c r="AO141" i="11"/>
  <c r="BA141" i="11"/>
  <c r="AA141" i="11"/>
  <c r="CC141" i="11"/>
  <c r="DM141" i="11"/>
  <c r="DP141" i="11"/>
  <c r="CA141" i="11"/>
  <c r="DA141" i="11"/>
  <c r="BM141" i="11"/>
  <c r="W142" i="11"/>
  <c r="CZ141" i="11"/>
  <c r="X141" i="11"/>
  <c r="BB141" i="11"/>
  <c r="BD141" i="11" s="1"/>
  <c r="AN141" i="11"/>
  <c r="BC141" i="11"/>
  <c r="AP141" i="11"/>
  <c r="DN141" i="11"/>
  <c r="B142" i="11"/>
  <c r="A142" i="11" s="1"/>
  <c r="C143" i="11"/>
  <c r="M141" i="11" l="1"/>
  <c r="L141" i="11"/>
  <c r="EA142" i="11"/>
  <c r="DZ142" i="11"/>
  <c r="EI142" i="11"/>
  <c r="EH142" i="11"/>
  <c r="EC142" i="11"/>
  <c r="M108" i="12"/>
  <c r="A109" i="12"/>
  <c r="V109" i="12" s="1"/>
  <c r="W109" i="12" s="1"/>
  <c r="AY138" i="11"/>
  <c r="AW139" i="11"/>
  <c r="AX139" i="11"/>
  <c r="BY139" i="11"/>
  <c r="DK139" i="11"/>
  <c r="DL139" i="11" s="1"/>
  <c r="CY139" i="11"/>
  <c r="BS140" i="11"/>
  <c r="BW140" i="11"/>
  <c r="BK139" i="11"/>
  <c r="BL139" i="11" s="1"/>
  <c r="B110" i="12"/>
  <c r="DF140" i="11"/>
  <c r="DJ140" i="11"/>
  <c r="AS140" i="11"/>
  <c r="BF140" i="11"/>
  <c r="BJ140" i="11"/>
  <c r="CK140" i="11"/>
  <c r="CW140" i="11"/>
  <c r="CX140" i="11"/>
  <c r="AB142" i="11"/>
  <c r="BQ141" i="11"/>
  <c r="BR141" i="11" s="1"/>
  <c r="BT141" i="11" s="1"/>
  <c r="CF141" i="11"/>
  <c r="CD141" i="11"/>
  <c r="CS141" i="11"/>
  <c r="CQ141" i="11"/>
  <c r="CJ140" i="11"/>
  <c r="AQ141" i="11"/>
  <c r="AR141" i="11" s="1"/>
  <c r="AT141" i="11" s="1"/>
  <c r="CW141" i="11"/>
  <c r="CE142" i="11"/>
  <c r="CG142" i="11" s="1"/>
  <c r="DU142" i="11"/>
  <c r="DV142" i="11"/>
  <c r="DH142" i="11"/>
  <c r="DI142" i="11"/>
  <c r="CR142" i="11"/>
  <c r="CT142" i="11" s="1"/>
  <c r="CU142" i="11"/>
  <c r="CV142" i="11"/>
  <c r="CI142" i="11"/>
  <c r="CH142" i="11"/>
  <c r="BU142" i="11"/>
  <c r="BV142" i="11"/>
  <c r="BI142" i="11"/>
  <c r="BH142" i="11"/>
  <c r="AU142" i="11"/>
  <c r="AV142" i="11"/>
  <c r="AH142" i="11"/>
  <c r="AI142" i="11"/>
  <c r="BE141" i="11"/>
  <c r="BG141" i="11" s="1"/>
  <c r="DE141" i="11"/>
  <c r="DG141" i="11" s="1"/>
  <c r="DP142" i="11"/>
  <c r="BP142" i="11"/>
  <c r="DA142" i="11"/>
  <c r="BN142" i="11"/>
  <c r="BO142" i="11"/>
  <c r="BQ142" i="11" s="1"/>
  <c r="X142" i="11"/>
  <c r="BC142" i="11"/>
  <c r="CM142" i="11"/>
  <c r="CB142" i="11"/>
  <c r="DB142" i="11"/>
  <c r="DD142" i="11" s="1"/>
  <c r="AN142" i="11"/>
  <c r="Y142" i="11"/>
  <c r="CZ142" i="11"/>
  <c r="CO142" i="11"/>
  <c r="AM142" i="11"/>
  <c r="CA142" i="11"/>
  <c r="BZ142" i="11"/>
  <c r="BB142" i="11"/>
  <c r="BD142" i="11" s="1"/>
  <c r="AP142" i="11"/>
  <c r="AZ142" i="11"/>
  <c r="CN142" i="11"/>
  <c r="DC142" i="11"/>
  <c r="BM142" i="11"/>
  <c r="BA142" i="11"/>
  <c r="DM142" i="11"/>
  <c r="DN142" i="11"/>
  <c r="CP142" i="11"/>
  <c r="AO142" i="11"/>
  <c r="W143" i="11"/>
  <c r="CC142" i="11"/>
  <c r="AA142" i="11"/>
  <c r="B143" i="11"/>
  <c r="A143" i="11" s="1"/>
  <c r="C144" i="11"/>
  <c r="M142" i="11" l="1"/>
  <c r="L142" i="11"/>
  <c r="EI143" i="11"/>
  <c r="EH143" i="11"/>
  <c r="EC143" i="11"/>
  <c r="EA143" i="11"/>
  <c r="DZ143" i="11"/>
  <c r="M109" i="12"/>
  <c r="A110" i="12"/>
  <c r="V110" i="12" s="1"/>
  <c r="W110" i="12" s="1"/>
  <c r="AY139" i="11"/>
  <c r="AX140" i="11"/>
  <c r="BX140" i="11"/>
  <c r="BY140" i="11" s="1"/>
  <c r="BK140" i="11"/>
  <c r="BL140" i="11" s="1"/>
  <c r="DK140" i="11"/>
  <c r="DL140" i="11" s="1"/>
  <c r="CL140" i="11"/>
  <c r="DF141" i="11"/>
  <c r="DJ141" i="11"/>
  <c r="BF141" i="11"/>
  <c r="BK141" i="11"/>
  <c r="AW140" i="11"/>
  <c r="BX141" i="11"/>
  <c r="AS141" i="11"/>
  <c r="B111" i="12"/>
  <c r="CY140" i="11"/>
  <c r="CQ142" i="11"/>
  <c r="AB143" i="11"/>
  <c r="BS141" i="11"/>
  <c r="CK141" i="11"/>
  <c r="CJ141" i="11"/>
  <c r="CF142" i="11"/>
  <c r="CD142" i="11"/>
  <c r="CX141" i="11"/>
  <c r="CY141" i="11" s="1"/>
  <c r="AQ142" i="11"/>
  <c r="AR142" i="11" s="1"/>
  <c r="AT142" i="11" s="1"/>
  <c r="CS142" i="11"/>
  <c r="CE143" i="11"/>
  <c r="CG143" i="11" s="1"/>
  <c r="DV143" i="11"/>
  <c r="DU143" i="11"/>
  <c r="DH143" i="11"/>
  <c r="DI143" i="11"/>
  <c r="CR143" i="11"/>
  <c r="CT143" i="11" s="1"/>
  <c r="CH143" i="11"/>
  <c r="CU143" i="11"/>
  <c r="CV143" i="11"/>
  <c r="CI143" i="11"/>
  <c r="BU143" i="11"/>
  <c r="BV143" i="11"/>
  <c r="BI143" i="11"/>
  <c r="BH143" i="11"/>
  <c r="AV143" i="11"/>
  <c r="AU143" i="11"/>
  <c r="AH143" i="11"/>
  <c r="AI143" i="11"/>
  <c r="BE142" i="11"/>
  <c r="BG142" i="11" s="1"/>
  <c r="BR142" i="11"/>
  <c r="BT142" i="11" s="1"/>
  <c r="DE142" i="11"/>
  <c r="DG142" i="11" s="1"/>
  <c r="BA143" i="11"/>
  <c r="BM143" i="11"/>
  <c r="CM143" i="11"/>
  <c r="DN143" i="11"/>
  <c r="CC143" i="11"/>
  <c r="BB143" i="11"/>
  <c r="BD143" i="11" s="1"/>
  <c r="BC143" i="11"/>
  <c r="BP143" i="11"/>
  <c r="X143" i="11"/>
  <c r="CB143" i="11"/>
  <c r="BZ143" i="11"/>
  <c r="Y143" i="11"/>
  <c r="CZ143" i="11"/>
  <c r="BN143" i="11"/>
  <c r="DB143" i="11"/>
  <c r="DD143" i="11" s="1"/>
  <c r="BO143" i="11"/>
  <c r="BQ143" i="11" s="1"/>
  <c r="DC143" i="11"/>
  <c r="DM143" i="11"/>
  <c r="W144" i="11"/>
  <c r="AA143" i="11"/>
  <c r="AN143" i="11"/>
  <c r="CP143" i="11"/>
  <c r="DA143" i="11"/>
  <c r="CN143" i="11"/>
  <c r="CO143" i="11"/>
  <c r="DP143" i="11"/>
  <c r="CA143" i="11"/>
  <c r="AO143" i="11"/>
  <c r="AZ143" i="11"/>
  <c r="AM143" i="11"/>
  <c r="AP143" i="11"/>
  <c r="B144" i="11"/>
  <c r="A144" i="11" s="1"/>
  <c r="C145" i="11"/>
  <c r="M143" i="11" l="1"/>
  <c r="L143" i="11"/>
  <c r="EH144" i="11"/>
  <c r="EC144" i="11"/>
  <c r="EA144" i="11"/>
  <c r="DZ144" i="11"/>
  <c r="EI144" i="11"/>
  <c r="M110" i="12"/>
  <c r="A111" i="12"/>
  <c r="V111" i="12" s="1"/>
  <c r="W111" i="12" s="1"/>
  <c r="AX141" i="11"/>
  <c r="AY140" i="11"/>
  <c r="DK141" i="11"/>
  <c r="DL141" i="11" s="1"/>
  <c r="BJ141" i="11"/>
  <c r="BL141" i="11" s="1"/>
  <c r="BW141" i="11"/>
  <c r="BY141" i="11" s="1"/>
  <c r="DF142" i="11"/>
  <c r="DJ142" i="11"/>
  <c r="BS142" i="11"/>
  <c r="BX142" i="11"/>
  <c r="AW141" i="11"/>
  <c r="BF142" i="11"/>
  <c r="BJ142" i="11"/>
  <c r="AS142" i="11"/>
  <c r="B112" i="12"/>
  <c r="CL141" i="11"/>
  <c r="CK142" i="11"/>
  <c r="CJ142" i="11"/>
  <c r="AB144" i="11"/>
  <c r="CF143" i="11"/>
  <c r="CD143" i="11"/>
  <c r="CX143" i="11"/>
  <c r="CQ143" i="11"/>
  <c r="AQ143" i="11"/>
  <c r="AR143" i="11" s="1"/>
  <c r="AT143" i="11" s="1"/>
  <c r="CW142" i="11"/>
  <c r="CX142" i="11"/>
  <c r="BR143" i="11"/>
  <c r="BT143" i="11" s="1"/>
  <c r="BE143" i="11"/>
  <c r="BG143" i="11" s="1"/>
  <c r="DE143" i="11"/>
  <c r="DG143" i="11" s="1"/>
  <c r="DV144" i="11"/>
  <c r="CE144" i="11"/>
  <c r="CG144" i="11" s="1"/>
  <c r="DU144" i="11"/>
  <c r="DH144" i="11"/>
  <c r="DI144" i="11"/>
  <c r="CR144" i="11"/>
  <c r="CT144" i="11" s="1"/>
  <c r="CU144" i="11"/>
  <c r="CV144" i="11"/>
  <c r="CI144" i="11"/>
  <c r="CH144" i="11"/>
  <c r="BU144" i="11"/>
  <c r="BV144" i="11"/>
  <c r="BI144" i="11"/>
  <c r="BH144" i="11"/>
  <c r="AU144" i="11"/>
  <c r="AV144" i="11"/>
  <c r="AH144" i="11"/>
  <c r="AI144" i="11"/>
  <c r="CP144" i="11"/>
  <c r="BP144" i="11"/>
  <c r="CB144" i="11"/>
  <c r="BN144" i="11"/>
  <c r="AZ144" i="11"/>
  <c r="BO144" i="11"/>
  <c r="AO144" i="11"/>
  <c r="DP144" i="11"/>
  <c r="CO144" i="11"/>
  <c r="DN144" i="11"/>
  <c r="CN144" i="11"/>
  <c r="Y144" i="11"/>
  <c r="CM144" i="11"/>
  <c r="AP144" i="11"/>
  <c r="BC144" i="11"/>
  <c r="AN144" i="11"/>
  <c r="BB144" i="11"/>
  <c r="BD144" i="11" s="1"/>
  <c r="CA144" i="11"/>
  <c r="AA144" i="11"/>
  <c r="AM144" i="11"/>
  <c r="X144" i="11"/>
  <c r="DB144" i="11"/>
  <c r="DD144" i="11" s="1"/>
  <c r="DM144" i="11"/>
  <c r="BM144" i="11"/>
  <c r="DC144" i="11"/>
  <c r="CC144" i="11"/>
  <c r="BA144" i="11"/>
  <c r="BZ144" i="11"/>
  <c r="W145" i="11"/>
  <c r="DA144" i="11"/>
  <c r="CZ144" i="11"/>
  <c r="B145" i="11"/>
  <c r="A145" i="11" s="1"/>
  <c r="C146" i="11"/>
  <c r="M144" i="11" l="1"/>
  <c r="L144" i="11"/>
  <c r="EC145" i="11"/>
  <c r="EA145" i="11"/>
  <c r="DZ145" i="11"/>
  <c r="EI145" i="11"/>
  <c r="EH145" i="11"/>
  <c r="M111" i="12"/>
  <c r="A112" i="12"/>
  <c r="V112" i="12" s="1"/>
  <c r="W112" i="12" s="1"/>
  <c r="AY141" i="11"/>
  <c r="AW142" i="11"/>
  <c r="DK142" i="11"/>
  <c r="DL142" i="11" s="1"/>
  <c r="BW142" i="11"/>
  <c r="BY142" i="11" s="1"/>
  <c r="BK142" i="11"/>
  <c r="BL142" i="11" s="1"/>
  <c r="AX142" i="11"/>
  <c r="B113" i="12"/>
  <c r="DF143" i="11"/>
  <c r="DK143" i="11"/>
  <c r="AX143" i="11"/>
  <c r="BS143" i="11"/>
  <c r="BX143" i="11"/>
  <c r="BF143" i="11"/>
  <c r="BJ143" i="11"/>
  <c r="CL142" i="11"/>
  <c r="AB145" i="11"/>
  <c r="BQ144" i="11"/>
  <c r="BR144" i="11" s="1"/>
  <c r="BT144" i="11" s="1"/>
  <c r="CK143" i="11"/>
  <c r="CF144" i="11"/>
  <c r="CD144" i="11"/>
  <c r="CJ143" i="11"/>
  <c r="CW143" i="11"/>
  <c r="CY143" i="11" s="1"/>
  <c r="CS143" i="11"/>
  <c r="CW144" i="11"/>
  <c r="CQ144" i="11"/>
  <c r="AQ144" i="11"/>
  <c r="AR144" i="11" s="1"/>
  <c r="AT144" i="11" s="1"/>
  <c r="BE144" i="11"/>
  <c r="BG144" i="11" s="1"/>
  <c r="CY142" i="11"/>
  <c r="DE144" i="11"/>
  <c r="DG144" i="11" s="1"/>
  <c r="CE145" i="11"/>
  <c r="CG145" i="11" s="1"/>
  <c r="DU145" i="11"/>
  <c r="DV145" i="11"/>
  <c r="DI145" i="11"/>
  <c r="DH145" i="11"/>
  <c r="CR145" i="11"/>
  <c r="CT145" i="11" s="1"/>
  <c r="CU145" i="11"/>
  <c r="CV145" i="11"/>
  <c r="CI145" i="11"/>
  <c r="CH145" i="11"/>
  <c r="BU145" i="11"/>
  <c r="BV145" i="11"/>
  <c r="BI145" i="11"/>
  <c r="AU145" i="11"/>
  <c r="AV145" i="11"/>
  <c r="BH145" i="11"/>
  <c r="AI145" i="11"/>
  <c r="AH145" i="11"/>
  <c r="BP145" i="11"/>
  <c r="BN145" i="11"/>
  <c r="AM145" i="11"/>
  <c r="DN145" i="11"/>
  <c r="BO145" i="11"/>
  <c r="BQ145" i="11" s="1"/>
  <c r="BB145" i="11"/>
  <c r="BD145" i="11" s="1"/>
  <c r="CZ145" i="11"/>
  <c r="AP145" i="11"/>
  <c r="AO145" i="11"/>
  <c r="BM145" i="11"/>
  <c r="CM145" i="11"/>
  <c r="CA145" i="11"/>
  <c r="DC145" i="11"/>
  <c r="CB145" i="11"/>
  <c r="AN145" i="11"/>
  <c r="DA145" i="11"/>
  <c r="DP145" i="11"/>
  <c r="W146" i="11"/>
  <c r="Y145" i="11"/>
  <c r="BZ145" i="11"/>
  <c r="DM145" i="11"/>
  <c r="CO145" i="11"/>
  <c r="CN145" i="11"/>
  <c r="BA145" i="11"/>
  <c r="DB145" i="11"/>
  <c r="DD145" i="11" s="1"/>
  <c r="AZ145" i="11"/>
  <c r="AA145" i="11"/>
  <c r="BC145" i="11"/>
  <c r="CC145" i="11"/>
  <c r="X145" i="11"/>
  <c r="CP145" i="11"/>
  <c r="B146" i="11"/>
  <c r="A146" i="11" s="1"/>
  <c r="C147" i="11"/>
  <c r="L145" i="11" l="1"/>
  <c r="M145" i="11"/>
  <c r="EA146" i="11"/>
  <c r="DZ146" i="11"/>
  <c r="EI146" i="11"/>
  <c r="EH146" i="11"/>
  <c r="EC146" i="11"/>
  <c r="M112" i="12"/>
  <c r="A113" i="12"/>
  <c r="V113" i="12" s="1"/>
  <c r="W113" i="12" s="1"/>
  <c r="AY142" i="11"/>
  <c r="BW143" i="11"/>
  <c r="BY143" i="11" s="1"/>
  <c r="BK143" i="11"/>
  <c r="BL143" i="11" s="1"/>
  <c r="AW143" i="11"/>
  <c r="AY143" i="11" s="1"/>
  <c r="DJ143" i="11"/>
  <c r="DL143" i="11" s="1"/>
  <c r="AS144" i="11"/>
  <c r="AS143" i="11"/>
  <c r="BF144" i="11"/>
  <c r="BJ144" i="11"/>
  <c r="DF144" i="11"/>
  <c r="DK144" i="11"/>
  <c r="B114" i="12"/>
  <c r="BS144" i="11"/>
  <c r="BW144" i="11"/>
  <c r="CL143" i="11"/>
  <c r="AB146" i="11"/>
  <c r="CJ144" i="11"/>
  <c r="CK144" i="11"/>
  <c r="CX144" i="11"/>
  <c r="CY144" i="11" s="1"/>
  <c r="CS144" i="11"/>
  <c r="CD145" i="11"/>
  <c r="CS145" i="11"/>
  <c r="CQ145" i="11"/>
  <c r="AQ145" i="11"/>
  <c r="AR145" i="11" s="1"/>
  <c r="AT145" i="11" s="1"/>
  <c r="CK145" i="11"/>
  <c r="CW145" i="11"/>
  <c r="BE145" i="11"/>
  <c r="BG145" i="11" s="1"/>
  <c r="BR145" i="11"/>
  <c r="BT145" i="11" s="1"/>
  <c r="CE146" i="11"/>
  <c r="CG146" i="11" s="1"/>
  <c r="DU146" i="11"/>
  <c r="DV146" i="11"/>
  <c r="DH146" i="11"/>
  <c r="DI146" i="11"/>
  <c r="CR146" i="11"/>
  <c r="CT146" i="11" s="1"/>
  <c r="CU146" i="11"/>
  <c r="CV146" i="11"/>
  <c r="CH146" i="11"/>
  <c r="CI146" i="11"/>
  <c r="BU146" i="11"/>
  <c r="BV146" i="11"/>
  <c r="BI146" i="11"/>
  <c r="BH146" i="11"/>
  <c r="AV146" i="11"/>
  <c r="AU146" i="11"/>
  <c r="AH146" i="11"/>
  <c r="AI146" i="11"/>
  <c r="DE145" i="11"/>
  <c r="DG145" i="11" s="1"/>
  <c r="BN146" i="11"/>
  <c r="CZ146" i="11"/>
  <c r="BP146" i="11"/>
  <c r="DB146" i="11"/>
  <c r="DD146" i="11" s="1"/>
  <c r="BO146" i="11"/>
  <c r="BQ146" i="11" s="1"/>
  <c r="Y146" i="11"/>
  <c r="CN146" i="11"/>
  <c r="AO146" i="11"/>
  <c r="X146" i="11"/>
  <c r="CP146" i="11"/>
  <c r="BA146" i="11"/>
  <c r="AN146" i="11"/>
  <c r="AP146" i="11"/>
  <c r="CB146" i="11"/>
  <c r="W147" i="11"/>
  <c r="BC146" i="11"/>
  <c r="CO146" i="11"/>
  <c r="CA146" i="11"/>
  <c r="DC146" i="11"/>
  <c r="AA146" i="11"/>
  <c r="DM146" i="11"/>
  <c r="CM146" i="11"/>
  <c r="CC146" i="11"/>
  <c r="AM146" i="11"/>
  <c r="BZ146" i="11"/>
  <c r="DP146" i="11"/>
  <c r="DN146" i="11"/>
  <c r="AZ146" i="11"/>
  <c r="DA146" i="11"/>
  <c r="BM146" i="11"/>
  <c r="BB146" i="11"/>
  <c r="BD146" i="11" s="1"/>
  <c r="B147" i="11"/>
  <c r="A147" i="11" s="1"/>
  <c r="C148" i="11"/>
  <c r="M146" i="11" l="1"/>
  <c r="L146" i="11"/>
  <c r="EI147" i="11"/>
  <c r="EH147" i="11"/>
  <c r="EC147" i="11"/>
  <c r="EA147" i="11"/>
  <c r="DZ147" i="11"/>
  <c r="M113" i="12"/>
  <c r="A114" i="12"/>
  <c r="V114" i="12" s="1"/>
  <c r="W114" i="12" s="1"/>
  <c r="DJ144" i="11"/>
  <c r="DL144" i="11" s="1"/>
  <c r="AW144" i="11"/>
  <c r="BK144" i="11"/>
  <c r="BL144" i="11" s="1"/>
  <c r="DF145" i="11"/>
  <c r="DJ145" i="11"/>
  <c r="AX144" i="11"/>
  <c r="BX144" i="11"/>
  <c r="BY144" i="11" s="1"/>
  <c r="BF145" i="11"/>
  <c r="BJ145" i="11"/>
  <c r="B115" i="12"/>
  <c r="BS145" i="11"/>
  <c r="BW145" i="11"/>
  <c r="AS145" i="11"/>
  <c r="CL144" i="11"/>
  <c r="DA147" i="11"/>
  <c r="AB147" i="11"/>
  <c r="BR146" i="11"/>
  <c r="BT146" i="11" s="1"/>
  <c r="CF146" i="11"/>
  <c r="CD146" i="11"/>
  <c r="CJ145" i="11"/>
  <c r="CL145" i="11" s="1"/>
  <c r="CF145" i="11"/>
  <c r="CS146" i="11"/>
  <c r="CQ146" i="11"/>
  <c r="CX145" i="11"/>
  <c r="CY145" i="11" s="1"/>
  <c r="AQ146" i="11"/>
  <c r="AR146" i="11" s="1"/>
  <c r="AT146" i="11" s="1"/>
  <c r="CE147" i="11"/>
  <c r="CG147" i="11" s="1"/>
  <c r="DV147" i="11"/>
  <c r="DU147" i="11"/>
  <c r="DH147" i="11"/>
  <c r="DI147" i="11"/>
  <c r="CU147" i="11"/>
  <c r="CV147" i="11"/>
  <c r="CR147" i="11"/>
  <c r="CT147" i="11" s="1"/>
  <c r="CH147" i="11"/>
  <c r="CI147" i="11"/>
  <c r="BU147" i="11"/>
  <c r="BV147" i="11"/>
  <c r="BH147" i="11"/>
  <c r="BI147" i="11"/>
  <c r="AU147" i="11"/>
  <c r="AV147" i="11"/>
  <c r="AH147" i="11"/>
  <c r="AI147" i="11"/>
  <c r="DE146" i="11"/>
  <c r="DG146" i="11" s="1"/>
  <c r="BE146" i="11"/>
  <c r="BG146" i="11" s="1"/>
  <c r="AZ147" i="11"/>
  <c r="BZ147" i="11"/>
  <c r="CA147" i="11"/>
  <c r="BM147" i="11"/>
  <c r="CC147" i="11"/>
  <c r="AM147" i="11"/>
  <c r="DB147" i="11"/>
  <c r="DD147" i="11" s="1"/>
  <c r="BP147" i="11"/>
  <c r="BN147" i="11"/>
  <c r="AO147" i="11"/>
  <c r="BO147" i="11"/>
  <c r="AA147" i="11"/>
  <c r="AN147" i="11"/>
  <c r="DC147" i="11"/>
  <c r="CO147" i="11"/>
  <c r="BC147" i="11"/>
  <c r="X147" i="11"/>
  <c r="CN147" i="11"/>
  <c r="DN147" i="11"/>
  <c r="CM147" i="11"/>
  <c r="BB147" i="11"/>
  <c r="BD147" i="11" s="1"/>
  <c r="DP147" i="11"/>
  <c r="DM147" i="11"/>
  <c r="AP147" i="11"/>
  <c r="BA147" i="11"/>
  <c r="W148" i="11"/>
  <c r="CP147" i="11"/>
  <c r="Y147" i="11"/>
  <c r="CB147" i="11"/>
  <c r="CZ147" i="11"/>
  <c r="B148" i="11"/>
  <c r="A148" i="11" s="1"/>
  <c r="C149" i="11"/>
  <c r="M147" i="11" l="1"/>
  <c r="L147" i="11"/>
  <c r="EH148" i="11"/>
  <c r="EC148" i="11"/>
  <c r="DZ148" i="11"/>
  <c r="EA148" i="11"/>
  <c r="EI148" i="11"/>
  <c r="M114" i="12"/>
  <c r="A115" i="12"/>
  <c r="V115" i="12" s="1"/>
  <c r="W115" i="12" s="1"/>
  <c r="AY144" i="11"/>
  <c r="AX145" i="11"/>
  <c r="BX145" i="11"/>
  <c r="BY145" i="11" s="1"/>
  <c r="DK145" i="11"/>
  <c r="DL145" i="11" s="1"/>
  <c r="AW145" i="11"/>
  <c r="BK145" i="11"/>
  <c r="BL145" i="11" s="1"/>
  <c r="BF146" i="11"/>
  <c r="BK146" i="11"/>
  <c r="DF146" i="11"/>
  <c r="DK146" i="11"/>
  <c r="B116" i="12"/>
  <c r="AW146" i="11"/>
  <c r="BS146" i="11"/>
  <c r="BX146" i="11"/>
  <c r="CJ146" i="11"/>
  <c r="CK146" i="11"/>
  <c r="CW146" i="11"/>
  <c r="AB148" i="11"/>
  <c r="CX146" i="11"/>
  <c r="BQ147" i="11"/>
  <c r="BR147" i="11" s="1"/>
  <c r="BT147" i="11" s="1"/>
  <c r="CF147" i="11"/>
  <c r="CD147" i="11"/>
  <c r="CS147" i="11"/>
  <c r="CQ147" i="11"/>
  <c r="AQ147" i="11"/>
  <c r="AR147" i="11" s="1"/>
  <c r="AT147" i="11" s="1"/>
  <c r="BE147" i="11"/>
  <c r="BG147" i="11" s="1"/>
  <c r="CA148" i="11"/>
  <c r="CE148" i="11"/>
  <c r="CG148" i="11" s="1"/>
  <c r="DV148" i="11"/>
  <c r="DU148" i="11"/>
  <c r="DH148" i="11"/>
  <c r="DI148" i="11"/>
  <c r="CV148" i="11"/>
  <c r="CU148" i="11"/>
  <c r="CR148" i="11"/>
  <c r="CT148" i="11" s="1"/>
  <c r="CH148" i="11"/>
  <c r="CI148" i="11"/>
  <c r="BH148" i="11"/>
  <c r="BU148" i="11"/>
  <c r="BV148" i="11"/>
  <c r="BI148" i="11"/>
  <c r="AU148" i="11"/>
  <c r="AV148" i="11"/>
  <c r="AI148" i="11"/>
  <c r="AH148" i="11"/>
  <c r="DE147" i="11"/>
  <c r="DG147" i="11" s="1"/>
  <c r="DN148" i="11"/>
  <c r="CN148" i="11"/>
  <c r="Y148" i="11"/>
  <c r="DM148" i="11"/>
  <c r="CZ148" i="11"/>
  <c r="BN148" i="11"/>
  <c r="BP148" i="11"/>
  <c r="CO148" i="11"/>
  <c r="CB148" i="11"/>
  <c r="BO148" i="11"/>
  <c r="BQ148" i="11" s="1"/>
  <c r="CM148" i="11"/>
  <c r="X148" i="11"/>
  <c r="CP148" i="11"/>
  <c r="DP148" i="11"/>
  <c r="BA148" i="11"/>
  <c r="DB148" i="11"/>
  <c r="DD148" i="11" s="1"/>
  <c r="CC148" i="11"/>
  <c r="BM148" i="11"/>
  <c r="AP148" i="11"/>
  <c r="AN148" i="11"/>
  <c r="AA148" i="11"/>
  <c r="BZ148" i="11"/>
  <c r="W149" i="11"/>
  <c r="BC148" i="11"/>
  <c r="AZ148" i="11"/>
  <c r="DC148" i="11"/>
  <c r="AO148" i="11"/>
  <c r="BB148" i="11"/>
  <c r="BD148" i="11" s="1"/>
  <c r="AM148" i="11"/>
  <c r="DA148" i="11"/>
  <c r="B149" i="11"/>
  <c r="A149" i="11" s="1"/>
  <c r="C150" i="11"/>
  <c r="M148" i="11" l="1"/>
  <c r="L148" i="11"/>
  <c r="EC149" i="11"/>
  <c r="EA149" i="11"/>
  <c r="DZ149" i="11"/>
  <c r="EI149" i="11"/>
  <c r="EH149" i="11"/>
  <c r="M115" i="12"/>
  <c r="A116" i="12"/>
  <c r="V116" i="12" s="1"/>
  <c r="W116" i="12" s="1"/>
  <c r="AY145" i="11"/>
  <c r="DJ146" i="11"/>
  <c r="DL146" i="11" s="1"/>
  <c r="BW146" i="11"/>
  <c r="BY146" i="11" s="1"/>
  <c r="BJ146" i="11"/>
  <c r="BL146" i="11" s="1"/>
  <c r="AX146" i="11"/>
  <c r="AY146" i="11" s="1"/>
  <c r="BF147" i="11"/>
  <c r="BJ147" i="11"/>
  <c r="AS146" i="11"/>
  <c r="B117" i="12"/>
  <c r="DF147" i="11"/>
  <c r="DJ147" i="11"/>
  <c r="AX147" i="11"/>
  <c r="CY146" i="11"/>
  <c r="CL146" i="11"/>
  <c r="CW147" i="11"/>
  <c r="CJ147" i="11"/>
  <c r="BS147" i="11"/>
  <c r="BX147" i="11"/>
  <c r="BW147" i="11"/>
  <c r="AB149" i="11"/>
  <c r="CK147" i="11"/>
  <c r="CX147" i="11"/>
  <c r="CW148" i="11"/>
  <c r="CQ148" i="11"/>
  <c r="CF148" i="11"/>
  <c r="CD148" i="11"/>
  <c r="AQ148" i="11"/>
  <c r="AR148" i="11" s="1"/>
  <c r="AT148" i="11" s="1"/>
  <c r="BE148" i="11"/>
  <c r="BG148" i="11" s="1"/>
  <c r="CE149" i="11"/>
  <c r="CG149" i="11" s="1"/>
  <c r="DU149" i="11"/>
  <c r="DV149" i="11"/>
  <c r="DH149" i="11"/>
  <c r="DI149" i="11"/>
  <c r="CR149" i="11"/>
  <c r="CT149" i="11" s="1"/>
  <c r="CU149" i="11"/>
  <c r="CV149" i="11"/>
  <c r="CI149" i="11"/>
  <c r="CH149" i="11"/>
  <c r="BU149" i="11"/>
  <c r="BV149" i="11"/>
  <c r="BI149" i="11"/>
  <c r="AU149" i="11"/>
  <c r="AV149" i="11"/>
  <c r="BH149" i="11"/>
  <c r="AH149" i="11"/>
  <c r="AI149" i="11"/>
  <c r="BR148" i="11"/>
  <c r="BT148" i="11" s="1"/>
  <c r="DE148" i="11"/>
  <c r="DG148" i="11" s="1"/>
  <c r="BN149" i="11"/>
  <c r="BP149" i="11"/>
  <c r="BO149" i="11"/>
  <c r="BQ149" i="11" s="1"/>
  <c r="AA149" i="11"/>
  <c r="DA149" i="11"/>
  <c r="BB149" i="11"/>
  <c r="BD149" i="11" s="1"/>
  <c r="CP149" i="11"/>
  <c r="AN149" i="11"/>
  <c r="DN149" i="11"/>
  <c r="BC149" i="11"/>
  <c r="CA149" i="11"/>
  <c r="DC149" i="11"/>
  <c r="CN149" i="11"/>
  <c r="AP149" i="11"/>
  <c r="BA149" i="11"/>
  <c r="X149" i="11"/>
  <c r="BZ149" i="11"/>
  <c r="CB149" i="11"/>
  <c r="AZ149" i="11"/>
  <c r="Y149" i="11"/>
  <c r="DM149" i="11"/>
  <c r="BM149" i="11"/>
  <c r="AO149" i="11"/>
  <c r="AM149" i="11"/>
  <c r="CO149" i="11"/>
  <c r="CC149" i="11"/>
  <c r="CM149" i="11"/>
  <c r="DP149" i="11"/>
  <c r="W150" i="11"/>
  <c r="DB149" i="11"/>
  <c r="DD149" i="11" s="1"/>
  <c r="CZ149" i="11"/>
  <c r="B150" i="11"/>
  <c r="A150" i="11" s="1"/>
  <c r="C151" i="11"/>
  <c r="L149" i="11" l="1"/>
  <c r="M149" i="11"/>
  <c r="EA150" i="11"/>
  <c r="DZ150" i="11"/>
  <c r="EI150" i="11"/>
  <c r="EH150" i="11"/>
  <c r="EC150" i="11"/>
  <c r="M116" i="12"/>
  <c r="A117" i="12"/>
  <c r="V117" i="12" s="1"/>
  <c r="W117" i="12" s="1"/>
  <c r="CY147" i="11"/>
  <c r="BK147" i="11"/>
  <c r="BL147" i="11" s="1"/>
  <c r="AS147" i="11"/>
  <c r="AW147" i="11"/>
  <c r="AY147" i="11" s="1"/>
  <c r="AX148" i="11"/>
  <c r="DF148" i="11"/>
  <c r="DK148" i="11"/>
  <c r="DK147" i="11"/>
  <c r="DL147" i="11" s="1"/>
  <c r="BS148" i="11"/>
  <c r="BW148" i="11"/>
  <c r="B118" i="12"/>
  <c r="BF148" i="11"/>
  <c r="BK148" i="11"/>
  <c r="BY147" i="11"/>
  <c r="CL147" i="11"/>
  <c r="AB150" i="11"/>
  <c r="CF149" i="11"/>
  <c r="CD149" i="11"/>
  <c r="CK148" i="11"/>
  <c r="CX148" i="11"/>
  <c r="CY148" i="11" s="1"/>
  <c r="CS148" i="11"/>
  <c r="CS149" i="11"/>
  <c r="CQ149" i="11"/>
  <c r="CJ148" i="11"/>
  <c r="AQ149" i="11"/>
  <c r="AR149" i="11" s="1"/>
  <c r="AT149" i="11" s="1"/>
  <c r="BE149" i="11"/>
  <c r="BG149" i="11" s="1"/>
  <c r="DE149" i="11"/>
  <c r="DG149" i="11" s="1"/>
  <c r="BR149" i="11"/>
  <c r="BT149" i="11" s="1"/>
  <c r="CE150" i="11"/>
  <c r="CG150" i="11" s="1"/>
  <c r="DU150" i="11"/>
  <c r="DV150" i="11"/>
  <c r="DH150" i="11"/>
  <c r="DI150" i="11"/>
  <c r="CV150" i="11"/>
  <c r="CR150" i="11"/>
  <c r="CT150" i="11" s="1"/>
  <c r="CU150" i="11"/>
  <c r="CH150" i="11"/>
  <c r="CI150" i="11"/>
  <c r="BH150" i="11"/>
  <c r="BU150" i="11"/>
  <c r="BV150" i="11"/>
  <c r="BI150" i="11"/>
  <c r="AV150" i="11"/>
  <c r="AU150" i="11"/>
  <c r="AH150" i="11"/>
  <c r="AI150" i="11"/>
  <c r="BP150" i="11"/>
  <c r="BN150" i="11"/>
  <c r="CO150" i="11"/>
  <c r="BO150" i="11"/>
  <c r="BQ150" i="11" s="1"/>
  <c r="CN150" i="11"/>
  <c r="AN150" i="11"/>
  <c r="DP150" i="11"/>
  <c r="DM150" i="11"/>
  <c r="AA150" i="11"/>
  <c r="BC150" i="11"/>
  <c r="CC150" i="11"/>
  <c r="AM150" i="11"/>
  <c r="BB150" i="11"/>
  <c r="BD150" i="11" s="1"/>
  <c r="CB150" i="11"/>
  <c r="DN150" i="11"/>
  <c r="AZ150" i="11"/>
  <c r="DC150" i="11"/>
  <c r="BA150" i="11"/>
  <c r="BM150" i="11"/>
  <c r="CZ150" i="11"/>
  <c r="CP150" i="11"/>
  <c r="CA150" i="11"/>
  <c r="DB150" i="11"/>
  <c r="DD150" i="11" s="1"/>
  <c r="AO150" i="11"/>
  <c r="W151" i="11"/>
  <c r="DA150" i="11"/>
  <c r="BZ150" i="11"/>
  <c r="X150" i="11"/>
  <c r="CM150" i="11"/>
  <c r="Y150" i="11"/>
  <c r="AP150" i="11"/>
  <c r="B151" i="11"/>
  <c r="A151" i="11" s="1"/>
  <c r="C152" i="11"/>
  <c r="L150" i="11" l="1"/>
  <c r="M150" i="11"/>
  <c r="EI151" i="11"/>
  <c r="EH151" i="11"/>
  <c r="EC151" i="11"/>
  <c r="EA151" i="11"/>
  <c r="DZ151" i="11"/>
  <c r="M117" i="12"/>
  <c r="A118" i="12"/>
  <c r="V118" i="12" s="1"/>
  <c r="W118" i="12" s="1"/>
  <c r="BJ148" i="11"/>
  <c r="BL148" i="11" s="1"/>
  <c r="AW148" i="11"/>
  <c r="AY148" i="11" s="1"/>
  <c r="AS148" i="11"/>
  <c r="BX148" i="11"/>
  <c r="BY148" i="11" s="1"/>
  <c r="DJ148" i="11"/>
  <c r="DL148" i="11" s="1"/>
  <c r="DF149" i="11"/>
  <c r="DJ149" i="11"/>
  <c r="BF149" i="11"/>
  <c r="BJ149" i="11"/>
  <c r="AS149" i="11"/>
  <c r="B119" i="12"/>
  <c r="BS149" i="11"/>
  <c r="BX149" i="11"/>
  <c r="CX149" i="11"/>
  <c r="CW149" i="11"/>
  <c r="CL148" i="11"/>
  <c r="AB151" i="11"/>
  <c r="BR150" i="11"/>
  <c r="BT150" i="11" s="1"/>
  <c r="CQ150" i="11"/>
  <c r="CF150" i="11"/>
  <c r="CD150" i="11"/>
  <c r="CK149" i="11"/>
  <c r="CJ149" i="11"/>
  <c r="AQ150" i="11"/>
  <c r="AR150" i="11" s="1"/>
  <c r="AT150" i="11" s="1"/>
  <c r="BE150" i="11"/>
  <c r="BG150" i="11" s="1"/>
  <c r="CS150" i="11"/>
  <c r="CE151" i="11"/>
  <c r="CG151" i="11" s="1"/>
  <c r="DV151" i="11"/>
  <c r="DU151" i="11"/>
  <c r="DH151" i="11"/>
  <c r="DI151" i="11"/>
  <c r="CR151" i="11"/>
  <c r="CT151" i="11" s="1"/>
  <c r="CU151" i="11"/>
  <c r="CV151" i="11"/>
  <c r="CI151" i="11"/>
  <c r="CH151" i="11"/>
  <c r="BU151" i="11"/>
  <c r="BV151" i="11"/>
  <c r="BH151" i="11"/>
  <c r="BI151" i="11"/>
  <c r="AU151" i="11"/>
  <c r="AH151" i="11"/>
  <c r="AI151" i="11"/>
  <c r="AV151" i="11"/>
  <c r="DE150" i="11"/>
  <c r="DG150" i="11" s="1"/>
  <c r="Y151" i="11"/>
  <c r="AA151" i="11"/>
  <c r="BN151" i="11"/>
  <c r="BP151" i="11"/>
  <c r="BO151" i="11"/>
  <c r="BQ151" i="11" s="1"/>
  <c r="CC151" i="11"/>
  <c r="X151" i="11"/>
  <c r="DB151" i="11"/>
  <c r="DD151" i="11" s="1"/>
  <c r="BC151" i="11"/>
  <c r="CM151" i="11"/>
  <c r="BZ151" i="11"/>
  <c r="CO151" i="11"/>
  <c r="AO151" i="11"/>
  <c r="DA151" i="11"/>
  <c r="AP151" i="11"/>
  <c r="DM151" i="11"/>
  <c r="AZ151" i="11"/>
  <c r="BM151" i="11"/>
  <c r="AM151" i="11"/>
  <c r="CA151" i="11"/>
  <c r="DN151" i="11"/>
  <c r="BA151" i="11"/>
  <c r="DP151" i="11"/>
  <c r="CN151" i="11"/>
  <c r="BB151" i="11"/>
  <c r="BD151" i="11" s="1"/>
  <c r="DC151" i="11"/>
  <c r="CP151" i="11"/>
  <c r="AN151" i="11"/>
  <c r="W152" i="11"/>
  <c r="CB151" i="11"/>
  <c r="CZ151" i="11"/>
  <c r="B152" i="11"/>
  <c r="A152" i="11" s="1"/>
  <c r="C153" i="11"/>
  <c r="M151" i="11" l="1"/>
  <c r="L151" i="11"/>
  <c r="EH152" i="11"/>
  <c r="EC152" i="11"/>
  <c r="EA152" i="11"/>
  <c r="DZ152" i="11"/>
  <c r="EI152" i="11"/>
  <c r="M118" i="12"/>
  <c r="A119" i="12"/>
  <c r="V119" i="12" s="1"/>
  <c r="W119" i="12" s="1"/>
  <c r="DK149" i="11"/>
  <c r="DL149" i="11" s="1"/>
  <c r="BW149" i="11"/>
  <c r="BY149" i="11" s="1"/>
  <c r="AX149" i="11"/>
  <c r="AW149" i="11"/>
  <c r="BK149" i="11"/>
  <c r="BL149" i="11" s="1"/>
  <c r="B120" i="12"/>
  <c r="AS150" i="11"/>
  <c r="BS150" i="11"/>
  <c r="BW150" i="11"/>
  <c r="BF150" i="11"/>
  <c r="BJ150" i="11"/>
  <c r="DF150" i="11"/>
  <c r="DJ150" i="11"/>
  <c r="CY149" i="11"/>
  <c r="CQ151" i="11"/>
  <c r="AB152" i="11"/>
  <c r="CK151" i="11"/>
  <c r="CD151" i="11"/>
  <c r="CL149" i="11"/>
  <c r="CK150" i="11"/>
  <c r="CJ150" i="11"/>
  <c r="AQ151" i="11"/>
  <c r="AR151" i="11" s="1"/>
  <c r="AT151" i="11" s="1"/>
  <c r="CS151" i="11"/>
  <c r="BE151" i="11"/>
  <c r="BG151" i="11" s="1"/>
  <c r="BR151" i="11"/>
  <c r="BT151" i="11" s="1"/>
  <c r="CE152" i="11"/>
  <c r="CG152" i="11" s="1"/>
  <c r="DV152" i="11"/>
  <c r="DU152" i="11"/>
  <c r="DI152" i="11"/>
  <c r="DH152" i="11"/>
  <c r="CV152" i="11"/>
  <c r="CR152" i="11"/>
  <c r="CT152" i="11" s="1"/>
  <c r="CU152" i="11"/>
  <c r="CH152" i="11"/>
  <c r="CI152" i="11"/>
  <c r="BV152" i="11"/>
  <c r="BH152" i="11"/>
  <c r="BU152" i="11"/>
  <c r="BI152" i="11"/>
  <c r="AU152" i="11"/>
  <c r="AV152" i="11"/>
  <c r="AH152" i="11"/>
  <c r="AI152" i="11"/>
  <c r="DE151" i="11"/>
  <c r="DG151" i="11" s="1"/>
  <c r="CW150" i="11"/>
  <c r="CX150" i="11"/>
  <c r="BN152" i="11"/>
  <c r="CZ152" i="11"/>
  <c r="AN152" i="11"/>
  <c r="BP152" i="11"/>
  <c r="CB152" i="11"/>
  <c r="BO152" i="11"/>
  <c r="BQ152" i="11" s="1"/>
  <c r="BC152" i="11"/>
  <c r="CO152" i="11"/>
  <c r="CC152" i="11"/>
  <c r="AP152" i="11"/>
  <c r="AA152" i="11"/>
  <c r="CP152" i="11"/>
  <c r="DA152" i="11"/>
  <c r="CM152" i="11"/>
  <c r="DC152" i="11"/>
  <c r="BB152" i="11"/>
  <c r="BD152" i="11" s="1"/>
  <c r="X152" i="11"/>
  <c r="DM152" i="11"/>
  <c r="CN152" i="11"/>
  <c r="DN152" i="11"/>
  <c r="AO152" i="11"/>
  <c r="AM152" i="11"/>
  <c r="DP152" i="11"/>
  <c r="AZ152" i="11"/>
  <c r="CA152" i="11"/>
  <c r="W153" i="11"/>
  <c r="BZ152" i="11"/>
  <c r="DB152" i="11"/>
  <c r="DD152" i="11" s="1"/>
  <c r="BA152" i="11"/>
  <c r="Y152" i="11"/>
  <c r="BM152" i="11"/>
  <c r="B153" i="11"/>
  <c r="A153" i="11" s="1"/>
  <c r="C154" i="11"/>
  <c r="M152" i="11" l="1"/>
  <c r="L152" i="11"/>
  <c r="EC153" i="11"/>
  <c r="EA153" i="11"/>
  <c r="DZ153" i="11"/>
  <c r="EI153" i="11"/>
  <c r="EH153" i="11"/>
  <c r="M119" i="12"/>
  <c r="A120" i="12"/>
  <c r="V120" i="12" s="1"/>
  <c r="W120" i="12" s="1"/>
  <c r="BX150" i="11"/>
  <c r="BY150" i="11" s="1"/>
  <c r="AW150" i="11"/>
  <c r="AY149" i="11"/>
  <c r="AX150" i="11"/>
  <c r="BK150" i="11"/>
  <c r="BL150" i="11" s="1"/>
  <c r="DK150" i="11"/>
  <c r="DL150" i="11" s="1"/>
  <c r="DF151" i="11"/>
  <c r="DK151" i="11"/>
  <c r="AS151" i="11"/>
  <c r="B121" i="12"/>
  <c r="BS151" i="11"/>
  <c r="BX151" i="11"/>
  <c r="BF151" i="11"/>
  <c r="BK151" i="11"/>
  <c r="CL150" i="11"/>
  <c r="AB153" i="11"/>
  <c r="CQ152" i="11"/>
  <c r="CJ151" i="11"/>
  <c r="CL151" i="11" s="1"/>
  <c r="CF151" i="11"/>
  <c r="CF152" i="11"/>
  <c r="CD152" i="11"/>
  <c r="AQ152" i="11"/>
  <c r="AR152" i="11" s="1"/>
  <c r="AT152" i="11" s="1"/>
  <c r="CW151" i="11"/>
  <c r="CX151" i="11"/>
  <c r="BE152" i="11"/>
  <c r="BG152" i="11" s="1"/>
  <c r="BR152" i="11"/>
  <c r="BT152" i="11" s="1"/>
  <c r="BN153" i="11"/>
  <c r="CE153" i="11"/>
  <c r="CG153" i="11" s="1"/>
  <c r="DV153" i="11"/>
  <c r="DU153" i="11"/>
  <c r="DH153" i="11"/>
  <c r="DI153" i="11"/>
  <c r="CR153" i="11"/>
  <c r="CT153" i="11" s="1"/>
  <c r="CU153" i="11"/>
  <c r="CV153" i="11"/>
  <c r="CH153" i="11"/>
  <c r="CI153" i="11"/>
  <c r="BU153" i="11"/>
  <c r="BV153" i="11"/>
  <c r="BH153" i="11"/>
  <c r="AV153" i="11"/>
  <c r="BI153" i="11"/>
  <c r="AU153" i="11"/>
  <c r="AH153" i="11"/>
  <c r="AI153" i="11"/>
  <c r="CY150" i="11"/>
  <c r="DE152" i="11"/>
  <c r="DG152" i="11" s="1"/>
  <c r="BP153" i="11"/>
  <c r="BO153" i="11"/>
  <c r="BQ153" i="11" s="1"/>
  <c r="DC153" i="11"/>
  <c r="CN153" i="11"/>
  <c r="DM153" i="11"/>
  <c r="Y153" i="11"/>
  <c r="DB153" i="11"/>
  <c r="DD153" i="11" s="1"/>
  <c r="AP153" i="11"/>
  <c r="DA153" i="11"/>
  <c r="CC153" i="11"/>
  <c r="BM153" i="11"/>
  <c r="BA153" i="11"/>
  <c r="CZ153" i="11"/>
  <c r="CA153" i="11"/>
  <c r="AN153" i="11"/>
  <c r="CM153" i="11"/>
  <c r="AM153" i="11"/>
  <c r="CB153" i="11"/>
  <c r="W154" i="11"/>
  <c r="BZ153" i="11"/>
  <c r="AZ153" i="11"/>
  <c r="AO153" i="11"/>
  <c r="X153" i="11"/>
  <c r="CO153" i="11"/>
  <c r="CP153" i="11"/>
  <c r="AA153" i="11"/>
  <c r="DP153" i="11"/>
  <c r="DN153" i="11"/>
  <c r="BB153" i="11"/>
  <c r="BD153" i="11" s="1"/>
  <c r="BC153" i="11"/>
  <c r="B154" i="11"/>
  <c r="A154" i="11" s="1"/>
  <c r="C155" i="11"/>
  <c r="M153" i="11" l="1"/>
  <c r="L153" i="11"/>
  <c r="EA154" i="11"/>
  <c r="DZ154" i="11"/>
  <c r="EI154" i="11"/>
  <c r="EH154" i="11"/>
  <c r="EC154" i="11"/>
  <c r="M120" i="12"/>
  <c r="A121" i="12"/>
  <c r="V121" i="12" s="1"/>
  <c r="W121" i="12" s="1"/>
  <c r="AY150" i="11"/>
  <c r="AX151" i="11"/>
  <c r="AW151" i="11"/>
  <c r="DJ151" i="11"/>
  <c r="DL151" i="11" s="1"/>
  <c r="BW151" i="11"/>
  <c r="BY151" i="11" s="1"/>
  <c r="BJ151" i="11"/>
  <c r="BL151" i="11" s="1"/>
  <c r="DF152" i="11"/>
  <c r="DK152" i="11"/>
  <c r="BS152" i="11"/>
  <c r="BW152" i="11"/>
  <c r="BF152" i="11"/>
  <c r="BJ152" i="11"/>
  <c r="AX152" i="11"/>
  <c r="B122" i="12"/>
  <c r="CK152" i="11"/>
  <c r="CJ152" i="11"/>
  <c r="AB154" i="11"/>
  <c r="CW152" i="11"/>
  <c r="CS152" i="11"/>
  <c r="CD153" i="11"/>
  <c r="CS153" i="11"/>
  <c r="CQ153" i="11"/>
  <c r="CX152" i="11"/>
  <c r="AQ153" i="11"/>
  <c r="AR153" i="11" s="1"/>
  <c r="AT153" i="11" s="1"/>
  <c r="CY151" i="11"/>
  <c r="BN154" i="11"/>
  <c r="CE154" i="11"/>
  <c r="CG154" i="11" s="1"/>
  <c r="DU154" i="11"/>
  <c r="DV154" i="11"/>
  <c r="DH154" i="11"/>
  <c r="DI154" i="11"/>
  <c r="CV154" i="11"/>
  <c r="CU154" i="11"/>
  <c r="CH154" i="11"/>
  <c r="CR154" i="11"/>
  <c r="CT154" i="11" s="1"/>
  <c r="CI154" i="11"/>
  <c r="BU154" i="11"/>
  <c r="BV154" i="11"/>
  <c r="BH154" i="11"/>
  <c r="BI154" i="11"/>
  <c r="AV154" i="11"/>
  <c r="AU154" i="11"/>
  <c r="AH154" i="11"/>
  <c r="AI154" i="11"/>
  <c r="DE153" i="11"/>
  <c r="DG153" i="11" s="1"/>
  <c r="BR153" i="11"/>
  <c r="BT153" i="11" s="1"/>
  <c r="BE153" i="11"/>
  <c r="BG153" i="11" s="1"/>
  <c r="BP154" i="11"/>
  <c r="CO154" i="11"/>
  <c r="BO154" i="11"/>
  <c r="CP154" i="11"/>
  <c r="CA154" i="11"/>
  <c r="Y154" i="11"/>
  <c r="CZ154" i="11"/>
  <c r="BA154" i="11"/>
  <c r="BC154" i="11"/>
  <c r="BM154" i="11"/>
  <c r="AZ154" i="11"/>
  <c r="CB154" i="11"/>
  <c r="CC154" i="11"/>
  <c r="DM154" i="11"/>
  <c r="AM154" i="11"/>
  <c r="DA154" i="11"/>
  <c r="X154" i="11"/>
  <c r="AO154" i="11"/>
  <c r="DN154" i="11"/>
  <c r="W155" i="11"/>
  <c r="DP154" i="11"/>
  <c r="CM154" i="11"/>
  <c r="AP154" i="11"/>
  <c r="CN154" i="11"/>
  <c r="BB154" i="11"/>
  <c r="BD154" i="11" s="1"/>
  <c r="BZ154" i="11"/>
  <c r="AA154" i="11"/>
  <c r="AN154" i="11"/>
  <c r="DB154" i="11"/>
  <c r="DD154" i="11" s="1"/>
  <c r="DC154" i="11"/>
  <c r="B155" i="11"/>
  <c r="A155" i="11" s="1"/>
  <c r="C156" i="11"/>
  <c r="L154" i="11" l="1"/>
  <c r="M154" i="11"/>
  <c r="EI155" i="11"/>
  <c r="EH155" i="11"/>
  <c r="EC155" i="11"/>
  <c r="EA155" i="11"/>
  <c r="DZ155" i="11"/>
  <c r="M121" i="12"/>
  <c r="A122" i="12"/>
  <c r="V122" i="12" s="1"/>
  <c r="W122" i="12" s="1"/>
  <c r="DJ152" i="11"/>
  <c r="DL152" i="11" s="1"/>
  <c r="AY151" i="11"/>
  <c r="AW152" i="11"/>
  <c r="AY152" i="11" s="1"/>
  <c r="AS152" i="11"/>
  <c r="BX152" i="11"/>
  <c r="BY152" i="11" s="1"/>
  <c r="AS153" i="11"/>
  <c r="BS153" i="11"/>
  <c r="BX153" i="11"/>
  <c r="B123" i="12"/>
  <c r="DF153" i="11"/>
  <c r="DJ153" i="11"/>
  <c r="BF153" i="11"/>
  <c r="BJ153" i="11"/>
  <c r="BK152" i="11"/>
  <c r="BL152" i="11" s="1"/>
  <c r="CL152" i="11"/>
  <c r="CX153" i="11"/>
  <c r="CY152" i="11"/>
  <c r="BQ154" i="11"/>
  <c r="BR154" i="11" s="1"/>
  <c r="BT154" i="11" s="1"/>
  <c r="AB155" i="11"/>
  <c r="CW153" i="11"/>
  <c r="CJ153" i="11"/>
  <c r="CF153" i="11"/>
  <c r="CK153" i="11"/>
  <c r="CS154" i="11"/>
  <c r="CQ154" i="11"/>
  <c r="CF154" i="11"/>
  <c r="CD154" i="11"/>
  <c r="AQ154" i="11"/>
  <c r="AR154" i="11" s="1"/>
  <c r="AT154" i="11" s="1"/>
  <c r="DE154" i="11"/>
  <c r="DG154" i="11" s="1"/>
  <c r="BE154" i="11"/>
  <c r="BG154" i="11" s="1"/>
  <c r="CE155" i="11"/>
  <c r="CG155" i="11" s="1"/>
  <c r="DV155" i="11"/>
  <c r="DU155" i="11"/>
  <c r="DH155" i="11"/>
  <c r="DI155" i="11"/>
  <c r="CR155" i="11"/>
  <c r="CT155" i="11" s="1"/>
  <c r="CU155" i="11"/>
  <c r="CV155" i="11"/>
  <c r="CH155" i="11"/>
  <c r="BV155" i="11"/>
  <c r="CI155" i="11"/>
  <c r="BH155" i="11"/>
  <c r="BU155" i="11"/>
  <c r="BI155" i="11"/>
  <c r="AU155" i="11"/>
  <c r="AV155" i="11"/>
  <c r="AH155" i="11"/>
  <c r="AI155" i="11"/>
  <c r="AP155" i="11"/>
  <c r="CA155" i="11"/>
  <c r="BP155" i="11"/>
  <c r="BN155" i="11"/>
  <c r="BO155" i="11"/>
  <c r="BQ155" i="11" s="1"/>
  <c r="DB155" i="11"/>
  <c r="DD155" i="11" s="1"/>
  <c r="BA155" i="11"/>
  <c r="AN155" i="11"/>
  <c r="DN155" i="11"/>
  <c r="DP155" i="11"/>
  <c r="BC155" i="11"/>
  <c r="W156" i="11"/>
  <c r="CP155" i="11"/>
  <c r="DM155" i="11"/>
  <c r="DC155" i="11"/>
  <c r="BM155" i="11"/>
  <c r="AO155" i="11"/>
  <c r="BB155" i="11"/>
  <c r="BD155" i="11" s="1"/>
  <c r="CC155" i="11"/>
  <c r="Y155" i="11"/>
  <c r="AM155" i="11"/>
  <c r="AZ155" i="11"/>
  <c r="CM155" i="11"/>
  <c r="X155" i="11"/>
  <c r="AA155" i="11"/>
  <c r="CO155" i="11"/>
  <c r="BZ155" i="11"/>
  <c r="CN155" i="11"/>
  <c r="DA155" i="11"/>
  <c r="CB155" i="11"/>
  <c r="CZ155" i="11"/>
  <c r="B156" i="11"/>
  <c r="A156" i="11" s="1"/>
  <c r="C157" i="11"/>
  <c r="M155" i="11" l="1"/>
  <c r="L155" i="11"/>
  <c r="EH156" i="11"/>
  <c r="EC156" i="11"/>
  <c r="EA156" i="11"/>
  <c r="DZ156" i="11"/>
  <c r="EI156" i="11"/>
  <c r="M122" i="12"/>
  <c r="A123" i="12"/>
  <c r="V123" i="12" s="1"/>
  <c r="W123" i="12" s="1"/>
  <c r="DK153" i="11"/>
  <c r="DL153" i="11" s="1"/>
  <c r="BW153" i="11"/>
  <c r="BY153" i="11" s="1"/>
  <c r="AX153" i="11"/>
  <c r="BK153" i="11"/>
  <c r="BL153" i="11" s="1"/>
  <c r="AW153" i="11"/>
  <c r="DF154" i="11"/>
  <c r="DK154" i="11"/>
  <c r="BF154" i="11"/>
  <c r="BK154" i="11"/>
  <c r="AS154" i="11"/>
  <c r="B124" i="12"/>
  <c r="CY153" i="11"/>
  <c r="CK154" i="11"/>
  <c r="CJ154" i="11"/>
  <c r="CX154" i="11"/>
  <c r="CW154" i="11"/>
  <c r="BS154" i="11"/>
  <c r="BW154" i="11"/>
  <c r="BX154" i="11"/>
  <c r="AB156" i="11"/>
  <c r="CL153" i="11"/>
  <c r="CS155" i="11"/>
  <c r="CQ155" i="11"/>
  <c r="CF155" i="11"/>
  <c r="CD155" i="11"/>
  <c r="AQ155" i="11"/>
  <c r="AR155" i="11" s="1"/>
  <c r="AT155" i="11" s="1"/>
  <c r="CJ155" i="11"/>
  <c r="BE155" i="11"/>
  <c r="BG155" i="11" s="1"/>
  <c r="BR155" i="11"/>
  <c r="BT155" i="11" s="1"/>
  <c r="DV156" i="11"/>
  <c r="CE156" i="11"/>
  <c r="CG156" i="11" s="1"/>
  <c r="DU156" i="11"/>
  <c r="DH156" i="11"/>
  <c r="DI156" i="11"/>
  <c r="CU156" i="11"/>
  <c r="CV156" i="11"/>
  <c r="CH156" i="11"/>
  <c r="CR156" i="11"/>
  <c r="CT156" i="11" s="1"/>
  <c r="CI156" i="11"/>
  <c r="BU156" i="11"/>
  <c r="BI156" i="11"/>
  <c r="BV156" i="11"/>
  <c r="BH156" i="11"/>
  <c r="AU156" i="11"/>
  <c r="AV156" i="11"/>
  <c r="AI156" i="11"/>
  <c r="AH156" i="11"/>
  <c r="DE155" i="11"/>
  <c r="DG155" i="11" s="1"/>
  <c r="X156" i="11"/>
  <c r="BM156" i="11"/>
  <c r="CM156" i="11"/>
  <c r="AZ156" i="11"/>
  <c r="CZ156" i="11"/>
  <c r="DC156" i="11"/>
  <c r="DA156" i="11"/>
  <c r="AM156" i="11"/>
  <c r="BP156" i="11"/>
  <c r="CN156" i="11"/>
  <c r="Y156" i="11"/>
  <c r="BN156" i="11"/>
  <c r="AP156" i="11"/>
  <c r="CB156" i="11"/>
  <c r="AO156" i="11"/>
  <c r="BO156" i="11"/>
  <c r="BQ156" i="11" s="1"/>
  <c r="DN156" i="11"/>
  <c r="AN156" i="11"/>
  <c r="BZ156" i="11"/>
  <c r="CC156" i="11"/>
  <c r="DM156" i="11"/>
  <c r="BA156" i="11"/>
  <c r="CO156" i="11"/>
  <c r="CP156" i="11"/>
  <c r="BC156" i="11"/>
  <c r="DB156" i="11"/>
  <c r="DD156" i="11" s="1"/>
  <c r="W157" i="11"/>
  <c r="AA156" i="11"/>
  <c r="BB156" i="11"/>
  <c r="BD156" i="11" s="1"/>
  <c r="DP156" i="11"/>
  <c r="CA156" i="11"/>
  <c r="B157" i="11"/>
  <c r="A157" i="11" s="1"/>
  <c r="C158" i="11"/>
  <c r="M156" i="11" l="1"/>
  <c r="L156" i="11"/>
  <c r="EC157" i="11"/>
  <c r="EA157" i="11"/>
  <c r="DZ157" i="11"/>
  <c r="EI157" i="11"/>
  <c r="EH157" i="11"/>
  <c r="M123" i="12"/>
  <c r="A124" i="12"/>
  <c r="V124" i="12" s="1"/>
  <c r="W124" i="12" s="1"/>
  <c r="AY153" i="11"/>
  <c r="DJ154" i="11"/>
  <c r="DL154" i="11" s="1"/>
  <c r="AX154" i="11"/>
  <c r="AW154" i="11"/>
  <c r="DF155" i="11"/>
  <c r="DJ155" i="11"/>
  <c r="BF155" i="11"/>
  <c r="BJ155" i="11"/>
  <c r="CL154" i="11"/>
  <c r="AW155" i="11"/>
  <c r="B125" i="12"/>
  <c r="BS155" i="11"/>
  <c r="BW155" i="11"/>
  <c r="BJ154" i="11"/>
  <c r="BL154" i="11" s="1"/>
  <c r="BY154" i="11"/>
  <c r="CY154" i="11"/>
  <c r="CW155" i="11"/>
  <c r="AB157" i="11"/>
  <c r="CQ156" i="11"/>
  <c r="CX155" i="11"/>
  <c r="CK155" i="11"/>
  <c r="CL155" i="11" s="1"/>
  <c r="CF156" i="11"/>
  <c r="CD156" i="11"/>
  <c r="AQ156" i="11"/>
  <c r="AR156" i="11" s="1"/>
  <c r="AT156" i="11" s="1"/>
  <c r="DE156" i="11"/>
  <c r="DG156" i="11" s="1"/>
  <c r="CE157" i="11"/>
  <c r="CG157" i="11" s="1"/>
  <c r="DV157" i="11"/>
  <c r="DU157" i="11"/>
  <c r="DH157" i="11"/>
  <c r="DI157" i="11"/>
  <c r="CR157" i="11"/>
  <c r="CT157" i="11" s="1"/>
  <c r="CU157" i="11"/>
  <c r="CV157" i="11"/>
  <c r="CH157" i="11"/>
  <c r="CI157" i="11"/>
  <c r="BU157" i="11"/>
  <c r="BV157" i="11"/>
  <c r="BH157" i="11"/>
  <c r="BI157" i="11"/>
  <c r="AU157" i="11"/>
  <c r="AV157" i="11"/>
  <c r="AH157" i="11"/>
  <c r="AI157" i="11"/>
  <c r="BE156" i="11"/>
  <c r="BG156" i="11" s="1"/>
  <c r="CS156" i="11"/>
  <c r="BR156" i="11"/>
  <c r="BT156" i="11" s="1"/>
  <c r="CA157" i="11"/>
  <c r="BN157" i="11"/>
  <c r="AZ157" i="11"/>
  <c r="BP157" i="11"/>
  <c r="BO157" i="11"/>
  <c r="BZ157" i="11"/>
  <c r="AM157" i="11"/>
  <c r="CP157" i="11"/>
  <c r="CO157" i="11"/>
  <c r="CN157" i="11"/>
  <c r="CM157" i="11"/>
  <c r="AP157" i="11"/>
  <c r="X157" i="11"/>
  <c r="DP157" i="11"/>
  <c r="DA157" i="11"/>
  <c r="BM157" i="11"/>
  <c r="AN157" i="11"/>
  <c r="DC157" i="11"/>
  <c r="Y157" i="11"/>
  <c r="BB157" i="11"/>
  <c r="BD157" i="11" s="1"/>
  <c r="CZ157" i="11"/>
  <c r="BA157" i="11"/>
  <c r="AO157" i="11"/>
  <c r="W158" i="11"/>
  <c r="AA157" i="11"/>
  <c r="DB157" i="11"/>
  <c r="DD157" i="11" s="1"/>
  <c r="DM157" i="11"/>
  <c r="CB157" i="11"/>
  <c r="BC157" i="11"/>
  <c r="CC157" i="11"/>
  <c r="DN157" i="11"/>
  <c r="B158" i="11"/>
  <c r="A158" i="11" s="1"/>
  <c r="C159" i="11"/>
  <c r="M157" i="11" l="1"/>
  <c r="L157" i="11"/>
  <c r="EA158" i="11"/>
  <c r="DZ158" i="11"/>
  <c r="EI158" i="11"/>
  <c r="EH158" i="11"/>
  <c r="EC158" i="11"/>
  <c r="M124" i="12"/>
  <c r="A125" i="12"/>
  <c r="V125" i="12" s="1"/>
  <c r="W125" i="12" s="1"/>
  <c r="DK155" i="11"/>
  <c r="DL155" i="11" s="1"/>
  <c r="BK155" i="11"/>
  <c r="BL155" i="11" s="1"/>
  <c r="BX155" i="11"/>
  <c r="BY155" i="11" s="1"/>
  <c r="AY154" i="11"/>
  <c r="BF156" i="11"/>
  <c r="BK156" i="11"/>
  <c r="AS155" i="11"/>
  <c r="AX156" i="11"/>
  <c r="DF156" i="11"/>
  <c r="DJ156" i="11"/>
  <c r="B126" i="12"/>
  <c r="AX155" i="11"/>
  <c r="AY155" i="11" s="1"/>
  <c r="BS156" i="11"/>
  <c r="BW156" i="11"/>
  <c r="CQ157" i="11"/>
  <c r="CY155" i="11"/>
  <c r="CK156" i="11"/>
  <c r="AB158" i="11"/>
  <c r="BQ157" i="11"/>
  <c r="BR157" i="11" s="1"/>
  <c r="BT157" i="11" s="1"/>
  <c r="CF157" i="11"/>
  <c r="CD157" i="11"/>
  <c r="CJ156" i="11"/>
  <c r="AQ157" i="11"/>
  <c r="AR157" i="11" s="1"/>
  <c r="AT157" i="11" s="1"/>
  <c r="CS157" i="11"/>
  <c r="DE157" i="11"/>
  <c r="DG157" i="11" s="1"/>
  <c r="CE158" i="11"/>
  <c r="CG158" i="11" s="1"/>
  <c r="DU158" i="11"/>
  <c r="DV158" i="11"/>
  <c r="DH158" i="11"/>
  <c r="DI158" i="11"/>
  <c r="CR158" i="11"/>
  <c r="CT158" i="11" s="1"/>
  <c r="CU158" i="11"/>
  <c r="CV158" i="11"/>
  <c r="CH158" i="11"/>
  <c r="CI158" i="11"/>
  <c r="BU158" i="11"/>
  <c r="BV158" i="11"/>
  <c r="BI158" i="11"/>
  <c r="BH158" i="11"/>
  <c r="AV158" i="11"/>
  <c r="AU158" i="11"/>
  <c r="AH158" i="11"/>
  <c r="AI158" i="11"/>
  <c r="CX156" i="11"/>
  <c r="CW156" i="11"/>
  <c r="BE157" i="11"/>
  <c r="BG157" i="11" s="1"/>
  <c r="BC158" i="11"/>
  <c r="CA158" i="11"/>
  <c r="BP158" i="11"/>
  <c r="BN158" i="11"/>
  <c r="BO158" i="11"/>
  <c r="BQ158" i="11" s="1"/>
  <c r="CM158" i="11"/>
  <c r="DB158" i="11"/>
  <c r="DD158" i="11" s="1"/>
  <c r="DN158" i="11"/>
  <c r="AO158" i="11"/>
  <c r="CC158" i="11"/>
  <c r="Y158" i="11"/>
  <c r="BZ158" i="11"/>
  <c r="X158" i="11"/>
  <c r="W159" i="11"/>
  <c r="DC158" i="11"/>
  <c r="AP158" i="11"/>
  <c r="CB158" i="11"/>
  <c r="AN158" i="11"/>
  <c r="DM158" i="11"/>
  <c r="CO158" i="11"/>
  <c r="BM158" i="11"/>
  <c r="BA158" i="11"/>
  <c r="DA158" i="11"/>
  <c r="CN158" i="11"/>
  <c r="AA158" i="11"/>
  <c r="CZ158" i="11"/>
  <c r="DP158" i="11"/>
  <c r="CP158" i="11"/>
  <c r="BB158" i="11"/>
  <c r="BD158" i="11" s="1"/>
  <c r="AM158" i="11"/>
  <c r="AZ158" i="11"/>
  <c r="B159" i="11"/>
  <c r="A159" i="11" s="1"/>
  <c r="C160" i="11"/>
  <c r="L158" i="11" l="1"/>
  <c r="M158" i="11"/>
  <c r="EI159" i="11"/>
  <c r="EH159" i="11"/>
  <c r="EC159" i="11"/>
  <c r="EA159" i="11"/>
  <c r="DZ159" i="11"/>
  <c r="M125" i="12"/>
  <c r="A126" i="12"/>
  <c r="V126" i="12" s="1"/>
  <c r="W126" i="12" s="1"/>
  <c r="DK156" i="11"/>
  <c r="DL156" i="11" s="1"/>
  <c r="BJ156" i="11"/>
  <c r="BL156" i="11" s="1"/>
  <c r="AS156" i="11"/>
  <c r="AW156" i="11"/>
  <c r="AY156" i="11" s="1"/>
  <c r="DF157" i="11"/>
  <c r="DJ157" i="11"/>
  <c r="BF157" i="11"/>
  <c r="BK157" i="11"/>
  <c r="BX156" i="11"/>
  <c r="BY156" i="11" s="1"/>
  <c r="B127" i="12"/>
  <c r="AW157" i="11"/>
  <c r="CL156" i="11"/>
  <c r="BS157" i="11"/>
  <c r="BX157" i="11"/>
  <c r="BW157" i="11"/>
  <c r="AB159" i="11"/>
  <c r="CJ157" i="11"/>
  <c r="CK157" i="11"/>
  <c r="CK158" i="11"/>
  <c r="CD158" i="11"/>
  <c r="CS158" i="11"/>
  <c r="CQ158" i="11"/>
  <c r="AQ158" i="11"/>
  <c r="AR158" i="11" s="1"/>
  <c r="AT158" i="11" s="1"/>
  <c r="CY156" i="11"/>
  <c r="BR158" i="11"/>
  <c r="BT158" i="11" s="1"/>
  <c r="CP159" i="11"/>
  <c r="CE159" i="11"/>
  <c r="CG159" i="11" s="1"/>
  <c r="DV159" i="11"/>
  <c r="DU159" i="11"/>
  <c r="DH159" i="11"/>
  <c r="DI159" i="11"/>
  <c r="CV159" i="11"/>
  <c r="CR159" i="11"/>
  <c r="CT159" i="11" s="1"/>
  <c r="CU159" i="11"/>
  <c r="CH159" i="11"/>
  <c r="CI159" i="11"/>
  <c r="BV159" i="11"/>
  <c r="BI159" i="11"/>
  <c r="BU159" i="11"/>
  <c r="BH159" i="11"/>
  <c r="AU159" i="11"/>
  <c r="AV159" i="11"/>
  <c r="AH159" i="11"/>
  <c r="AI159" i="11"/>
  <c r="CX157" i="11"/>
  <c r="CW157" i="11"/>
  <c r="BE158" i="11"/>
  <c r="BG158" i="11" s="1"/>
  <c r="DE158" i="11"/>
  <c r="DG158" i="11" s="1"/>
  <c r="DN159" i="11"/>
  <c r="BM159" i="11"/>
  <c r="CZ159" i="11"/>
  <c r="DP159" i="11"/>
  <c r="CN159" i="11"/>
  <c r="AM159" i="11"/>
  <c r="DA159" i="11"/>
  <c r="AP159" i="11"/>
  <c r="AA159" i="11"/>
  <c r="BA159" i="11"/>
  <c r="DC159" i="11"/>
  <c r="BN159" i="11"/>
  <c r="BP159" i="11"/>
  <c r="AO159" i="11"/>
  <c r="DB159" i="11"/>
  <c r="DD159" i="11" s="1"/>
  <c r="CO159" i="11"/>
  <c r="CB159" i="11"/>
  <c r="BB159" i="11"/>
  <c r="BD159" i="11" s="1"/>
  <c r="BO159" i="11"/>
  <c r="BQ159" i="11" s="1"/>
  <c r="AZ159" i="11"/>
  <c r="DM159" i="11"/>
  <c r="CC159" i="11"/>
  <c r="X159" i="11"/>
  <c r="CM159" i="11"/>
  <c r="BC159" i="11"/>
  <c r="BZ159" i="11"/>
  <c r="AN159" i="11"/>
  <c r="Y159" i="11"/>
  <c r="W160" i="11"/>
  <c r="CA159" i="11"/>
  <c r="B160" i="11"/>
  <c r="A160" i="11" s="1"/>
  <c r="C161" i="11"/>
  <c r="L159" i="11" l="1"/>
  <c r="M159" i="11"/>
  <c r="EH160" i="11"/>
  <c r="EC160" i="11"/>
  <c r="EA160" i="11"/>
  <c r="DZ160" i="11"/>
  <c r="EI160" i="11"/>
  <c r="M126" i="12"/>
  <c r="A127" i="12"/>
  <c r="V127" i="12" s="1"/>
  <c r="W127" i="12" s="1"/>
  <c r="DK157" i="11"/>
  <c r="DL157" i="11" s="1"/>
  <c r="BJ157" i="11"/>
  <c r="BL157" i="11" s="1"/>
  <c r="AS157" i="11"/>
  <c r="DF158" i="11"/>
  <c r="DK158" i="11"/>
  <c r="BS158" i="11"/>
  <c r="BX158" i="11"/>
  <c r="BF158" i="11"/>
  <c r="BK158" i="11"/>
  <c r="B128" i="12"/>
  <c r="AX157" i="11"/>
  <c r="AY157" i="11" s="1"/>
  <c r="AW158" i="11"/>
  <c r="CL157" i="11"/>
  <c r="BY157" i="11"/>
  <c r="AB160" i="11"/>
  <c r="BR159" i="11"/>
  <c r="BT159" i="11" s="1"/>
  <c r="CQ159" i="11"/>
  <c r="CW158" i="11"/>
  <c r="CJ158" i="11"/>
  <c r="CL158" i="11" s="1"/>
  <c r="CF158" i="11"/>
  <c r="CF159" i="11"/>
  <c r="CD159" i="11"/>
  <c r="CX158" i="11"/>
  <c r="AQ159" i="11"/>
  <c r="AR159" i="11" s="1"/>
  <c r="AT159" i="11" s="1"/>
  <c r="BE159" i="11"/>
  <c r="BG159" i="11" s="1"/>
  <c r="DE159" i="11"/>
  <c r="DG159" i="11" s="1"/>
  <c r="CE160" i="11"/>
  <c r="CG160" i="11" s="1"/>
  <c r="DV160" i="11"/>
  <c r="DU160" i="11"/>
  <c r="DH160" i="11"/>
  <c r="DI160" i="11"/>
  <c r="CR160" i="11"/>
  <c r="CT160" i="11" s="1"/>
  <c r="CU160" i="11"/>
  <c r="CV160" i="11"/>
  <c r="CH160" i="11"/>
  <c r="CI160" i="11"/>
  <c r="BU160" i="11"/>
  <c r="BV160" i="11"/>
  <c r="BI160" i="11"/>
  <c r="AU160" i="11"/>
  <c r="AV160" i="11"/>
  <c r="BH160" i="11"/>
  <c r="AH160" i="11"/>
  <c r="AI160" i="11"/>
  <c r="CY157" i="11"/>
  <c r="DN160" i="11"/>
  <c r="BN160" i="11"/>
  <c r="BP160" i="11"/>
  <c r="BO160" i="11"/>
  <c r="BQ160" i="11" s="1"/>
  <c r="AA160" i="11"/>
  <c r="AZ160" i="11"/>
  <c r="DM160" i="11"/>
  <c r="AN160" i="11"/>
  <c r="BZ160" i="11"/>
  <c r="W161" i="11"/>
  <c r="BC160" i="11"/>
  <c r="BM160" i="11"/>
  <c r="BB160" i="11"/>
  <c r="BD160" i="11" s="1"/>
  <c r="CZ160" i="11"/>
  <c r="CM160" i="11"/>
  <c r="AP160" i="11"/>
  <c r="CA160" i="11"/>
  <c r="AO160" i="11"/>
  <c r="CB160" i="11"/>
  <c r="BA160" i="11"/>
  <c r="DB160" i="11"/>
  <c r="DD160" i="11" s="1"/>
  <c r="X160" i="11"/>
  <c r="DA160" i="11"/>
  <c r="Y160" i="11"/>
  <c r="AM160" i="11"/>
  <c r="CO160" i="11"/>
  <c r="DC160" i="11"/>
  <c r="CN160" i="11"/>
  <c r="CP160" i="11"/>
  <c r="CC160" i="11"/>
  <c r="DP160" i="11"/>
  <c r="B161" i="11"/>
  <c r="A161" i="11" s="1"/>
  <c r="C162" i="11"/>
  <c r="L160" i="11" l="1"/>
  <c r="M160" i="11"/>
  <c r="EC161" i="11"/>
  <c r="EA161" i="11"/>
  <c r="DZ161" i="11"/>
  <c r="EI161" i="11"/>
  <c r="EH161" i="11"/>
  <c r="M127" i="12"/>
  <c r="A128" i="12"/>
  <c r="V128" i="12" s="1"/>
  <c r="W128" i="12" s="1"/>
  <c r="AM161" i="11"/>
  <c r="DJ158" i="11"/>
  <c r="DL158" i="11" s="1"/>
  <c r="AX158" i="11"/>
  <c r="AY158" i="11" s="1"/>
  <c r="BW158" i="11"/>
  <c r="BY158" i="11" s="1"/>
  <c r="AS158" i="11"/>
  <c r="AS159" i="11"/>
  <c r="BS159" i="11"/>
  <c r="BW159" i="11"/>
  <c r="BJ158" i="11"/>
  <c r="BL158" i="11" s="1"/>
  <c r="B129" i="12"/>
  <c r="DF159" i="11"/>
  <c r="DK159" i="11"/>
  <c r="BF159" i="11"/>
  <c r="BK159" i="11"/>
  <c r="CJ159" i="11"/>
  <c r="AB161" i="11"/>
  <c r="CY158" i="11"/>
  <c r="CW159" i="11"/>
  <c r="CS159" i="11"/>
  <c r="CX159" i="11"/>
  <c r="CF160" i="11"/>
  <c r="CD160" i="11"/>
  <c r="CX160" i="11"/>
  <c r="CQ160" i="11"/>
  <c r="CK159" i="11"/>
  <c r="AQ160" i="11"/>
  <c r="AR160" i="11" s="1"/>
  <c r="AT160" i="11" s="1"/>
  <c r="CK160" i="11"/>
  <c r="BR160" i="11"/>
  <c r="BT160" i="11" s="1"/>
  <c r="CE161" i="11"/>
  <c r="CG161" i="11" s="1"/>
  <c r="DU161" i="11"/>
  <c r="DV161" i="11"/>
  <c r="DH161" i="11"/>
  <c r="DI161" i="11"/>
  <c r="CU161" i="11"/>
  <c r="CV161" i="11"/>
  <c r="CR161" i="11"/>
  <c r="CT161" i="11" s="1"/>
  <c r="CH161" i="11"/>
  <c r="CI161" i="11"/>
  <c r="BV161" i="11"/>
  <c r="BU161" i="11"/>
  <c r="BI161" i="11"/>
  <c r="BH161" i="11"/>
  <c r="AU161" i="11"/>
  <c r="AV161" i="11"/>
  <c r="AH161" i="11"/>
  <c r="AI161" i="11"/>
  <c r="BE160" i="11"/>
  <c r="BG160" i="11" s="1"/>
  <c r="DE160" i="11"/>
  <c r="DG160" i="11" s="1"/>
  <c r="BA161" i="11"/>
  <c r="AN161" i="11"/>
  <c r="DC161" i="11"/>
  <c r="DP161" i="11"/>
  <c r="BP161" i="11"/>
  <c r="AA161" i="11"/>
  <c r="BZ161" i="11"/>
  <c r="BN161" i="11"/>
  <c r="CB161" i="11"/>
  <c r="BB161" i="11"/>
  <c r="BD161" i="11" s="1"/>
  <c r="BO161" i="11"/>
  <c r="BQ161" i="11" s="1"/>
  <c r="CO161" i="11"/>
  <c r="AO161" i="11"/>
  <c r="CC161" i="11"/>
  <c r="CP161" i="11"/>
  <c r="CM161" i="11"/>
  <c r="CZ161" i="11"/>
  <c r="BM161" i="11"/>
  <c r="CN161" i="11"/>
  <c r="CA161" i="11"/>
  <c r="DA161" i="11"/>
  <c r="BC161" i="11"/>
  <c r="DN161" i="11"/>
  <c r="X161" i="11"/>
  <c r="DM161" i="11"/>
  <c r="Y161" i="11"/>
  <c r="AZ161" i="11"/>
  <c r="DB161" i="11"/>
  <c r="DD161" i="11" s="1"/>
  <c r="AP161" i="11"/>
  <c r="W162" i="11"/>
  <c r="B162" i="11"/>
  <c r="A162" i="11" s="1"/>
  <c r="C163" i="11"/>
  <c r="L161" i="11" l="1"/>
  <c r="M128" i="12"/>
  <c r="M161" i="11"/>
  <c r="EA162" i="11"/>
  <c r="DZ162" i="11"/>
  <c r="EI162" i="11"/>
  <c r="EH162" i="11"/>
  <c r="EC162" i="11"/>
  <c r="A129" i="12"/>
  <c r="V129" i="12" s="1"/>
  <c r="W129" i="12" s="1"/>
  <c r="P162" i="11"/>
  <c r="AW159" i="11"/>
  <c r="AX159" i="11"/>
  <c r="DJ159" i="11"/>
  <c r="DL159" i="11" s="1"/>
  <c r="BX159" i="11"/>
  <c r="BY159" i="11" s="1"/>
  <c r="BF160" i="11"/>
  <c r="BJ160" i="11"/>
  <c r="BJ159" i="11"/>
  <c r="BL159" i="11" s="1"/>
  <c r="B130" i="12"/>
  <c r="AS160" i="11"/>
  <c r="DF160" i="11"/>
  <c r="DK160" i="11"/>
  <c r="BS160" i="11"/>
  <c r="BX160" i="11"/>
  <c r="CL159" i="11"/>
  <c r="CD161" i="11"/>
  <c r="CJ160" i="11"/>
  <c r="CL160" i="11" s="1"/>
  <c r="AB162" i="11"/>
  <c r="CY159" i="11"/>
  <c r="CW160" i="11"/>
  <c r="CY160" i="11" s="1"/>
  <c r="CS160" i="11"/>
  <c r="CS161" i="11"/>
  <c r="CQ161" i="11"/>
  <c r="AQ161" i="11"/>
  <c r="AR161" i="11" s="1"/>
  <c r="AT161" i="11" s="1"/>
  <c r="BR161" i="11"/>
  <c r="BT161" i="11" s="1"/>
  <c r="BE161" i="11"/>
  <c r="BG161" i="11" s="1"/>
  <c r="DE161" i="11"/>
  <c r="DG161" i="11" s="1"/>
  <c r="CF161" i="11"/>
  <c r="CE162" i="11"/>
  <c r="CG162" i="11" s="1"/>
  <c r="DU162" i="11"/>
  <c r="DV162" i="11"/>
  <c r="DI162" i="11"/>
  <c r="DH162" i="11"/>
  <c r="CR162" i="11"/>
  <c r="CT162" i="11" s="1"/>
  <c r="CU162" i="11"/>
  <c r="CV162" i="11"/>
  <c r="CI162" i="11"/>
  <c r="CH162" i="11"/>
  <c r="BI162" i="11"/>
  <c r="BU162" i="11"/>
  <c r="BV162" i="11"/>
  <c r="BH162" i="11"/>
  <c r="AU162" i="11"/>
  <c r="AV162" i="11"/>
  <c r="AI162" i="11"/>
  <c r="AH162" i="11"/>
  <c r="BP162" i="11"/>
  <c r="DC162" i="11"/>
  <c r="BN162" i="11"/>
  <c r="BO162" i="11"/>
  <c r="BQ162" i="11" s="1"/>
  <c r="CN162" i="11"/>
  <c r="BC162" i="11"/>
  <c r="DA162" i="11"/>
  <c r="CA162" i="11"/>
  <c r="Y162" i="11"/>
  <c r="BA162" i="11"/>
  <c r="DN162" i="11"/>
  <c r="AP162" i="11"/>
  <c r="CZ162" i="11"/>
  <c r="DM162" i="11"/>
  <c r="CB162" i="11"/>
  <c r="BZ162" i="11"/>
  <c r="BB162" i="11"/>
  <c r="BD162" i="11" s="1"/>
  <c r="AN162" i="11"/>
  <c r="AO162" i="11"/>
  <c r="DP162" i="11"/>
  <c r="W163" i="11"/>
  <c r="AZ162" i="11"/>
  <c r="CO162" i="11"/>
  <c r="DB162" i="11"/>
  <c r="DD162" i="11" s="1"/>
  <c r="BM162" i="11"/>
  <c r="AM162" i="11"/>
  <c r="CC162" i="11"/>
  <c r="CM162" i="11"/>
  <c r="X162" i="11"/>
  <c r="CP162" i="11"/>
  <c r="AA162" i="11"/>
  <c r="B163" i="11"/>
  <c r="A163" i="11" s="1"/>
  <c r="C164" i="11"/>
  <c r="N129" i="12" l="1"/>
  <c r="M129" i="12"/>
  <c r="L162" i="11"/>
  <c r="M162" i="11"/>
  <c r="EI163" i="11"/>
  <c r="EH163" i="11"/>
  <c r="EC163" i="11"/>
  <c r="EA163" i="11"/>
  <c r="DZ163" i="11"/>
  <c r="A130" i="12"/>
  <c r="V130" i="12" s="1"/>
  <c r="W130" i="12" s="1"/>
  <c r="P163" i="11"/>
  <c r="DJ160" i="11"/>
  <c r="DL160" i="11" s="1"/>
  <c r="BK160" i="11"/>
  <c r="BL160" i="11" s="1"/>
  <c r="AY159" i="11"/>
  <c r="AW160" i="11"/>
  <c r="BW160" i="11"/>
  <c r="BY160" i="11" s="1"/>
  <c r="AX160" i="11"/>
  <c r="BS161" i="11"/>
  <c r="BX161" i="11"/>
  <c r="B131" i="12"/>
  <c r="AS161" i="11"/>
  <c r="DF161" i="11"/>
  <c r="DJ161" i="11"/>
  <c r="BF161" i="11"/>
  <c r="BJ161" i="11"/>
  <c r="AB163" i="11"/>
  <c r="CW161" i="11"/>
  <c r="CF162" i="11"/>
  <c r="CD162" i="11"/>
  <c r="CX161" i="11"/>
  <c r="CS162" i="11"/>
  <c r="CQ162" i="11"/>
  <c r="AQ162" i="11"/>
  <c r="AR162" i="11" s="1"/>
  <c r="AT162" i="11" s="1"/>
  <c r="DE162" i="11"/>
  <c r="DG162" i="11" s="1"/>
  <c r="CE163" i="11"/>
  <c r="CG163" i="11" s="1"/>
  <c r="DV163" i="11"/>
  <c r="DU163" i="11"/>
  <c r="DH163" i="11"/>
  <c r="DI163" i="11"/>
  <c r="CV163" i="11"/>
  <c r="CU163" i="11"/>
  <c r="CR163" i="11"/>
  <c r="CT163" i="11" s="1"/>
  <c r="CH163" i="11"/>
  <c r="CI163" i="11"/>
  <c r="BU163" i="11"/>
  <c r="BV163" i="11"/>
  <c r="BI163" i="11"/>
  <c r="BH163" i="11"/>
  <c r="AU163" i="11"/>
  <c r="AV163" i="11"/>
  <c r="AH163" i="11"/>
  <c r="AI163" i="11"/>
  <c r="BE162" i="11"/>
  <c r="BG162" i="11" s="1"/>
  <c r="BR162" i="11"/>
  <c r="BT162" i="11" s="1"/>
  <c r="CJ161" i="11"/>
  <c r="CK161" i="11"/>
  <c r="BP163" i="11"/>
  <c r="AA163" i="11"/>
  <c r="BN163" i="11"/>
  <c r="CC163" i="11"/>
  <c r="AM163" i="11"/>
  <c r="DB163" i="11"/>
  <c r="DD163" i="11" s="1"/>
  <c r="BO163" i="11"/>
  <c r="BQ163" i="11" s="1"/>
  <c r="DA163" i="11"/>
  <c r="X163" i="11"/>
  <c r="BC163" i="11"/>
  <c r="AN163" i="11"/>
  <c r="CA163" i="11"/>
  <c r="CM163" i="11"/>
  <c r="BA163" i="11"/>
  <c r="CB163" i="11"/>
  <c r="BM163" i="11"/>
  <c r="CP163" i="11"/>
  <c r="CO163" i="11"/>
  <c r="DP163" i="11"/>
  <c r="DM163" i="11"/>
  <c r="Y163" i="11"/>
  <c r="CN163" i="11"/>
  <c r="CZ163" i="11"/>
  <c r="W164" i="11"/>
  <c r="BB163" i="11"/>
  <c r="BD163" i="11" s="1"/>
  <c r="AP163" i="11"/>
  <c r="DN163" i="11"/>
  <c r="AZ163" i="11"/>
  <c r="AO163" i="11"/>
  <c r="BZ163" i="11"/>
  <c r="DC163" i="11"/>
  <c r="B164" i="11"/>
  <c r="A164" i="11" s="1"/>
  <c r="C165" i="11"/>
  <c r="L163" i="11" l="1"/>
  <c r="M163" i="11"/>
  <c r="EH164" i="11"/>
  <c r="EC164" i="11"/>
  <c r="EA164" i="11"/>
  <c r="DZ164" i="11"/>
  <c r="EI164" i="11"/>
  <c r="M130" i="12"/>
  <c r="N130" i="12"/>
  <c r="A131" i="12"/>
  <c r="N131" i="12" s="1"/>
  <c r="P164" i="11"/>
  <c r="AY160" i="11"/>
  <c r="DF162" i="11"/>
  <c r="BS162" i="11"/>
  <c r="BW161" i="11"/>
  <c r="BY161" i="11" s="1"/>
  <c r="AX161" i="11"/>
  <c r="AW161" i="11"/>
  <c r="AS162" i="11"/>
  <c r="BF162" i="11"/>
  <c r="BJ162" i="11"/>
  <c r="BK161" i="11"/>
  <c r="BL161" i="11" s="1"/>
  <c r="BW162" i="11"/>
  <c r="B132" i="12"/>
  <c r="DK161" i="11"/>
  <c r="DL161" i="11" s="1"/>
  <c r="CY161" i="11"/>
  <c r="CJ162" i="11"/>
  <c r="AB164" i="11"/>
  <c r="CK162" i="11"/>
  <c r="CX162" i="11"/>
  <c r="CW162" i="11"/>
  <c r="CF163" i="11"/>
  <c r="CD163" i="11"/>
  <c r="CS163" i="11"/>
  <c r="CQ163" i="11"/>
  <c r="AQ163" i="11"/>
  <c r="AR163" i="11" s="1"/>
  <c r="AT163" i="11" s="1"/>
  <c r="CL161" i="11"/>
  <c r="CW163" i="11"/>
  <c r="CX163" i="11"/>
  <c r="BE163" i="11"/>
  <c r="BG163" i="11" s="1"/>
  <c r="CE164" i="11"/>
  <c r="CG164" i="11" s="1"/>
  <c r="DV164" i="11"/>
  <c r="DU164" i="11"/>
  <c r="DH164" i="11"/>
  <c r="DI164" i="11"/>
  <c r="CR164" i="11"/>
  <c r="CT164" i="11" s="1"/>
  <c r="CU164" i="11"/>
  <c r="CV164" i="11"/>
  <c r="CH164" i="11"/>
  <c r="CI164" i="11"/>
  <c r="BU164" i="11"/>
  <c r="BV164" i="11"/>
  <c r="BI164" i="11"/>
  <c r="AV164" i="11"/>
  <c r="BH164" i="11"/>
  <c r="AU164" i="11"/>
  <c r="AH164" i="11"/>
  <c r="AI164" i="11"/>
  <c r="BR163" i="11"/>
  <c r="BT163" i="11" s="1"/>
  <c r="DE163" i="11"/>
  <c r="DG163" i="11" s="1"/>
  <c r="BN164" i="11"/>
  <c r="BP164" i="11"/>
  <c r="BO164" i="11"/>
  <c r="BQ164" i="11" s="1"/>
  <c r="AP164" i="11"/>
  <c r="X164" i="11"/>
  <c r="BB164" i="11"/>
  <c r="BD164" i="11" s="1"/>
  <c r="DC164" i="11"/>
  <c r="Y164" i="11"/>
  <c r="DM164" i="11"/>
  <c r="AA164" i="11"/>
  <c r="CZ164" i="11"/>
  <c r="CC164" i="11"/>
  <c r="CN164" i="11"/>
  <c r="CB164" i="11"/>
  <c r="CA164" i="11"/>
  <c r="DA164" i="11"/>
  <c r="DB164" i="11"/>
  <c r="DD164" i="11" s="1"/>
  <c r="BC164" i="11"/>
  <c r="AM164" i="11"/>
  <c r="BZ164" i="11"/>
  <c r="AZ164" i="11"/>
  <c r="DN164" i="11"/>
  <c r="CO164" i="11"/>
  <c r="CP164" i="11"/>
  <c r="BA164" i="11"/>
  <c r="DP164" i="11"/>
  <c r="AO164" i="11"/>
  <c r="W165" i="11"/>
  <c r="CM164" i="11"/>
  <c r="BM164" i="11"/>
  <c r="AN164" i="11"/>
  <c r="B165" i="11"/>
  <c r="A165" i="11" s="1"/>
  <c r="C166" i="11"/>
  <c r="L164" i="11" l="1"/>
  <c r="M164" i="11"/>
  <c r="M131" i="12"/>
  <c r="V131" i="12"/>
  <c r="W131" i="12" s="1"/>
  <c r="EC165" i="11"/>
  <c r="EA165" i="11"/>
  <c r="DZ165" i="11"/>
  <c r="EI165" i="11"/>
  <c r="EH165" i="11"/>
  <c r="A132" i="12"/>
  <c r="V132" i="12" s="1"/>
  <c r="W132" i="12" s="1"/>
  <c r="P165" i="11"/>
  <c r="DF163" i="11"/>
  <c r="DK163" i="11"/>
  <c r="BS163" i="11"/>
  <c r="BX163" i="11"/>
  <c r="AY161" i="11"/>
  <c r="BK162" i="11"/>
  <c r="BL162" i="11" s="1"/>
  <c r="AW162" i="11"/>
  <c r="AX162" i="11"/>
  <c r="B133" i="12"/>
  <c r="BF163" i="11"/>
  <c r="BJ163" i="11"/>
  <c r="AX163" i="11"/>
  <c r="BX162" i="11"/>
  <c r="BY162" i="11" s="1"/>
  <c r="DJ162" i="11"/>
  <c r="DK162" i="11"/>
  <c r="CJ163" i="11"/>
  <c r="CL162" i="11"/>
  <c r="CY162" i="11"/>
  <c r="CK163" i="11"/>
  <c r="AB165" i="11"/>
  <c r="CF164" i="11"/>
  <c r="CD164" i="11"/>
  <c r="CS164" i="11"/>
  <c r="CQ164" i="11"/>
  <c r="AQ164" i="11"/>
  <c r="AR164" i="11" s="1"/>
  <c r="AT164" i="11" s="1"/>
  <c r="BN165" i="11"/>
  <c r="CE165" i="11"/>
  <c r="CG165" i="11" s="1"/>
  <c r="DV165" i="11"/>
  <c r="DU165" i="11"/>
  <c r="DH165" i="11"/>
  <c r="DI165" i="11"/>
  <c r="CU165" i="11"/>
  <c r="CV165" i="11"/>
  <c r="CR165" i="11"/>
  <c r="CT165" i="11" s="1"/>
  <c r="CH165" i="11"/>
  <c r="CI165" i="11"/>
  <c r="BU165" i="11"/>
  <c r="BV165" i="11"/>
  <c r="BI165" i="11"/>
  <c r="BH165" i="11"/>
  <c r="AU165" i="11"/>
  <c r="AV165" i="11"/>
  <c r="AH165" i="11"/>
  <c r="AI165" i="11"/>
  <c r="DE164" i="11"/>
  <c r="DG164" i="11" s="1"/>
  <c r="BE164" i="11"/>
  <c r="BG164" i="11" s="1"/>
  <c r="CY163" i="11"/>
  <c r="BR164" i="11"/>
  <c r="BT164" i="11" s="1"/>
  <c r="BP165" i="11"/>
  <c r="BO165" i="11"/>
  <c r="BQ165" i="11" s="1"/>
  <c r="BB165" i="11"/>
  <c r="BD165" i="11" s="1"/>
  <c r="DN165" i="11"/>
  <c r="AN165" i="11"/>
  <c r="AZ165" i="11"/>
  <c r="DA165" i="11"/>
  <c r="CO165" i="11"/>
  <c r="CA165" i="11"/>
  <c r="DM165" i="11"/>
  <c r="BZ165" i="11"/>
  <c r="BM165" i="11"/>
  <c r="DP165" i="11"/>
  <c r="X165" i="11"/>
  <c r="AO165" i="11"/>
  <c r="CM165" i="11"/>
  <c r="AM165" i="11"/>
  <c r="Y165" i="11"/>
  <c r="DC165" i="11"/>
  <c r="CC165" i="11"/>
  <c r="W166" i="11"/>
  <c r="BA165" i="11"/>
  <c r="BC165" i="11"/>
  <c r="CZ165" i="11"/>
  <c r="AP165" i="11"/>
  <c r="CB165" i="11"/>
  <c r="CN165" i="11"/>
  <c r="CP165" i="11"/>
  <c r="DB165" i="11"/>
  <c r="DD165" i="11" s="1"/>
  <c r="AA165" i="11"/>
  <c r="B166" i="11"/>
  <c r="A166" i="11" s="1"/>
  <c r="C167" i="11"/>
  <c r="M165" i="11" l="1"/>
  <c r="L165" i="11"/>
  <c r="N132" i="12"/>
  <c r="M132" i="12"/>
  <c r="EA166" i="11"/>
  <c r="DZ166" i="11"/>
  <c r="EI166" i="11"/>
  <c r="EH166" i="11"/>
  <c r="EC166" i="11"/>
  <c r="A133" i="12"/>
  <c r="V133" i="12" s="1"/>
  <c r="W133" i="12" s="1"/>
  <c r="P166" i="11"/>
  <c r="BF164" i="11"/>
  <c r="DF164" i="11"/>
  <c r="BS164" i="11"/>
  <c r="BX164" i="11"/>
  <c r="AY162" i="11"/>
  <c r="BK163" i="11"/>
  <c r="BL163" i="11" s="1"/>
  <c r="DJ163" i="11"/>
  <c r="DL163" i="11" s="1"/>
  <c r="BW163" i="11"/>
  <c r="BY163" i="11" s="1"/>
  <c r="AW163" i="11"/>
  <c r="AY163" i="11" s="1"/>
  <c r="DL162" i="11"/>
  <c r="AW164" i="11"/>
  <c r="B134" i="12"/>
  <c r="AS163" i="11"/>
  <c r="BK164" i="11"/>
  <c r="DK164" i="11"/>
  <c r="CL163" i="11"/>
  <c r="CQ165" i="11"/>
  <c r="CJ164" i="11"/>
  <c r="CK164" i="11"/>
  <c r="CX164" i="11"/>
  <c r="AB166" i="11"/>
  <c r="CF165" i="11"/>
  <c r="CD165" i="11"/>
  <c r="CW164" i="11"/>
  <c r="AQ165" i="11"/>
  <c r="AR165" i="11" s="1"/>
  <c r="AT165" i="11" s="1"/>
  <c r="BN166" i="11"/>
  <c r="DU166" i="11"/>
  <c r="CE166" i="11"/>
  <c r="CG166" i="11" s="1"/>
  <c r="DV166" i="11"/>
  <c r="DI166" i="11"/>
  <c r="DH166" i="11"/>
  <c r="CR166" i="11"/>
  <c r="CT166" i="11" s="1"/>
  <c r="CU166" i="11"/>
  <c r="CV166" i="11"/>
  <c r="CH166" i="11"/>
  <c r="CI166" i="11"/>
  <c r="BI166" i="11"/>
  <c r="BU166" i="11"/>
  <c r="BV166" i="11"/>
  <c r="BH166" i="11"/>
  <c r="AU166" i="11"/>
  <c r="AV166" i="11"/>
  <c r="AH166" i="11"/>
  <c r="AI166" i="11"/>
  <c r="CS165" i="11"/>
  <c r="BR165" i="11"/>
  <c r="BT165" i="11" s="1"/>
  <c r="DE165" i="11"/>
  <c r="DG165" i="11" s="1"/>
  <c r="AP166" i="11"/>
  <c r="AM166" i="11"/>
  <c r="BE165" i="11"/>
  <c r="BG165" i="11" s="1"/>
  <c r="BP166" i="11"/>
  <c r="CP166" i="11"/>
  <c r="CN166" i="11"/>
  <c r="BB166" i="11"/>
  <c r="BD166" i="11" s="1"/>
  <c r="BO166" i="11"/>
  <c r="BQ166" i="11" s="1"/>
  <c r="AA166" i="11"/>
  <c r="BA166" i="11"/>
  <c r="Y166" i="11"/>
  <c r="CZ166" i="11"/>
  <c r="DP166" i="11"/>
  <c r="DB166" i="11"/>
  <c r="DD166" i="11" s="1"/>
  <c r="BM166" i="11"/>
  <c r="BZ166" i="11"/>
  <c r="AZ166" i="11"/>
  <c r="W167" i="11"/>
  <c r="CM166" i="11"/>
  <c r="CB166" i="11"/>
  <c r="AO166" i="11"/>
  <c r="DM166" i="11"/>
  <c r="AN166" i="11"/>
  <c r="CA166" i="11"/>
  <c r="DA166" i="11"/>
  <c r="DN166" i="11"/>
  <c r="CC166" i="11"/>
  <c r="BC166" i="11"/>
  <c r="DC166" i="11"/>
  <c r="X166" i="11"/>
  <c r="CO166" i="11"/>
  <c r="B167" i="11"/>
  <c r="A167" i="11" s="1"/>
  <c r="C168" i="11"/>
  <c r="M133" i="12" l="1"/>
  <c r="L166" i="11"/>
  <c r="M166" i="11"/>
  <c r="EI167" i="11"/>
  <c r="EH167" i="11"/>
  <c r="EC167" i="11"/>
  <c r="EA167" i="11"/>
  <c r="DZ167" i="11"/>
  <c r="N133" i="12"/>
  <c r="A134" i="12"/>
  <c r="V134" i="12" s="1"/>
  <c r="W134" i="12" s="1"/>
  <c r="P167" i="11"/>
  <c r="BF165" i="11"/>
  <c r="DF165" i="11"/>
  <c r="BS165" i="11"/>
  <c r="BW165" i="11"/>
  <c r="BW164" i="11"/>
  <c r="BY164" i="11" s="1"/>
  <c r="AS164" i="11"/>
  <c r="AX164" i="11"/>
  <c r="AY164" i="11" s="1"/>
  <c r="BJ164" i="11"/>
  <c r="BL164" i="11" s="1"/>
  <c r="BJ165" i="11"/>
  <c r="B135" i="12"/>
  <c r="AW165" i="11"/>
  <c r="DJ165" i="11"/>
  <c r="DJ164" i="11"/>
  <c r="DL164" i="11" s="1"/>
  <c r="CL164" i="11"/>
  <c r="CQ166" i="11"/>
  <c r="CY164" i="11"/>
  <c r="AB167" i="11"/>
  <c r="CK165" i="11"/>
  <c r="CJ165" i="11"/>
  <c r="CF166" i="11"/>
  <c r="CD166" i="11"/>
  <c r="AQ166" i="11"/>
  <c r="AR166" i="11" s="1"/>
  <c r="AT166" i="11" s="1"/>
  <c r="BR166" i="11"/>
  <c r="BT166" i="11" s="1"/>
  <c r="CS166" i="11"/>
  <c r="CX165" i="11"/>
  <c r="CW165" i="11"/>
  <c r="BE166" i="11"/>
  <c r="BG166" i="11" s="1"/>
  <c r="CE167" i="11"/>
  <c r="CG167" i="11" s="1"/>
  <c r="DU167" i="11"/>
  <c r="DV167" i="11"/>
  <c r="DH167" i="11"/>
  <c r="DI167" i="11"/>
  <c r="CV167" i="11"/>
  <c r="CR167" i="11"/>
  <c r="CT167" i="11" s="1"/>
  <c r="CU167" i="11"/>
  <c r="CH167" i="11"/>
  <c r="CI167" i="11"/>
  <c r="BU167" i="11"/>
  <c r="BV167" i="11"/>
  <c r="BH167" i="11"/>
  <c r="AU167" i="11"/>
  <c r="AV167" i="11"/>
  <c r="BI167" i="11"/>
  <c r="AH167" i="11"/>
  <c r="AI167" i="11"/>
  <c r="DE166" i="11"/>
  <c r="DG166" i="11" s="1"/>
  <c r="AN167" i="11"/>
  <c r="DC167" i="11"/>
  <c r="CC167" i="11"/>
  <c r="BN167" i="11"/>
  <c r="BC167" i="11"/>
  <c r="BP167" i="11"/>
  <c r="CA167" i="11"/>
  <c r="BO167" i="11"/>
  <c r="DB167" i="11"/>
  <c r="DD167" i="11" s="1"/>
  <c r="DN167" i="11"/>
  <c r="DA167" i="11"/>
  <c r="AO167" i="11"/>
  <c r="CO167" i="11"/>
  <c r="CZ167" i="11"/>
  <c r="AA167" i="11"/>
  <c r="BA167" i="11"/>
  <c r="AZ167" i="11"/>
  <c r="CM167" i="11"/>
  <c r="CP167" i="11"/>
  <c r="CN167" i="11"/>
  <c r="BZ167" i="11"/>
  <c r="AP167" i="11"/>
  <c r="BM167" i="11"/>
  <c r="Y167" i="11"/>
  <c r="X167" i="11"/>
  <c r="AM167" i="11"/>
  <c r="DM167" i="11"/>
  <c r="DP167" i="11"/>
  <c r="W168" i="11"/>
  <c r="CB167" i="11"/>
  <c r="BB167" i="11"/>
  <c r="BD167" i="11" s="1"/>
  <c r="B168" i="11"/>
  <c r="A168" i="11" s="1"/>
  <c r="C169" i="11"/>
  <c r="M167" i="11" l="1"/>
  <c r="L167" i="11"/>
  <c r="M134" i="12"/>
  <c r="N134" i="12"/>
  <c r="EH168" i="11"/>
  <c r="EC168" i="11"/>
  <c r="EA168" i="11"/>
  <c r="DZ168" i="11"/>
  <c r="EI168" i="11"/>
  <c r="A135" i="12"/>
  <c r="V135" i="12" s="1"/>
  <c r="W135" i="12" s="1"/>
  <c r="P168" i="11"/>
  <c r="BF166" i="11"/>
  <c r="BS166" i="11"/>
  <c r="BW166" i="11"/>
  <c r="DF166" i="11"/>
  <c r="BX165" i="11"/>
  <c r="BY165" i="11" s="1"/>
  <c r="BK165" i="11"/>
  <c r="BL165" i="11" s="1"/>
  <c r="DK165" i="11"/>
  <c r="DL165" i="11" s="1"/>
  <c r="AS166" i="11"/>
  <c r="B136" i="12"/>
  <c r="AX165" i="11"/>
  <c r="AY165" i="11" s="1"/>
  <c r="AS165" i="11"/>
  <c r="BK166" i="11"/>
  <c r="DJ166" i="11"/>
  <c r="CL165" i="11"/>
  <c r="CK166" i="11"/>
  <c r="CJ166" i="11"/>
  <c r="BQ167" i="11"/>
  <c r="BR167" i="11" s="1"/>
  <c r="BT167" i="11" s="1"/>
  <c r="AB168" i="11"/>
  <c r="CJ167" i="11"/>
  <c r="CD167" i="11"/>
  <c r="CX167" i="11"/>
  <c r="CQ167" i="11"/>
  <c r="AQ167" i="11"/>
  <c r="AR167" i="11" s="1"/>
  <c r="AT167" i="11" s="1"/>
  <c r="CY165" i="11"/>
  <c r="CX166" i="11"/>
  <c r="CW166" i="11"/>
  <c r="CE168" i="11"/>
  <c r="CG168" i="11" s="1"/>
  <c r="DV168" i="11"/>
  <c r="DU168" i="11"/>
  <c r="DH168" i="11"/>
  <c r="DI168" i="11"/>
  <c r="CR168" i="11"/>
  <c r="CT168" i="11" s="1"/>
  <c r="CU168" i="11"/>
  <c r="CV168" i="11"/>
  <c r="CH168" i="11"/>
  <c r="CI168" i="11"/>
  <c r="BU168" i="11"/>
  <c r="BV168" i="11"/>
  <c r="BI168" i="11"/>
  <c r="BH168" i="11"/>
  <c r="AV168" i="11"/>
  <c r="AH168" i="11"/>
  <c r="AI168" i="11"/>
  <c r="AU168" i="11"/>
  <c r="BE167" i="11"/>
  <c r="BG167" i="11" s="1"/>
  <c r="DE167" i="11"/>
  <c r="DG167" i="11" s="1"/>
  <c r="AZ168" i="11"/>
  <c r="BN168" i="11"/>
  <c r="BP168" i="11"/>
  <c r="CZ168" i="11"/>
  <c r="BO168" i="11"/>
  <c r="BQ168" i="11" s="1"/>
  <c r="CP168" i="11"/>
  <c r="BB168" i="11"/>
  <c r="BD168" i="11" s="1"/>
  <c r="CB168" i="11"/>
  <c r="AO168" i="11"/>
  <c r="CO168" i="11"/>
  <c r="CM168" i="11"/>
  <c r="DC168" i="11"/>
  <c r="DA168" i="11"/>
  <c r="CC168" i="11"/>
  <c r="DM168" i="11"/>
  <c r="DN168" i="11"/>
  <c r="CA168" i="11"/>
  <c r="AA168" i="11"/>
  <c r="AM168" i="11"/>
  <c r="BM168" i="11"/>
  <c r="BA168" i="11"/>
  <c r="BC168" i="11"/>
  <c r="X168" i="11"/>
  <c r="AP168" i="11"/>
  <c r="AN168" i="11"/>
  <c r="W169" i="11"/>
  <c r="BZ168" i="11"/>
  <c r="DP168" i="11"/>
  <c r="Y168" i="11"/>
  <c r="CN168" i="11"/>
  <c r="DB168" i="11"/>
  <c r="DD168" i="11" s="1"/>
  <c r="B169" i="11"/>
  <c r="A169" i="11" s="1"/>
  <c r="C170" i="11"/>
  <c r="N135" i="12" l="1"/>
  <c r="M168" i="11"/>
  <c r="L168" i="11"/>
  <c r="EC169" i="11"/>
  <c r="EA169" i="11"/>
  <c r="DZ169" i="11"/>
  <c r="EI169" i="11"/>
  <c r="EH169" i="11"/>
  <c r="M135" i="12"/>
  <c r="A136" i="12"/>
  <c r="M136" i="12" s="1"/>
  <c r="P169" i="11"/>
  <c r="DF167" i="11"/>
  <c r="BF167" i="11"/>
  <c r="BJ167" i="11"/>
  <c r="BX166" i="11"/>
  <c r="BY166" i="11" s="1"/>
  <c r="AX166" i="11"/>
  <c r="AW166" i="11"/>
  <c r="B137" i="12"/>
  <c r="DJ167" i="11"/>
  <c r="BJ166" i="11"/>
  <c r="BL166" i="11" s="1"/>
  <c r="DK166" i="11"/>
  <c r="DL166" i="11" s="1"/>
  <c r="AS167" i="11"/>
  <c r="CL166" i="11"/>
  <c r="BS167" i="11"/>
  <c r="BR168" i="11"/>
  <c r="BT168" i="11" s="1"/>
  <c r="AB169" i="11"/>
  <c r="CF168" i="11"/>
  <c r="CD168" i="11"/>
  <c r="CW167" i="11"/>
  <c r="CY167" i="11" s="1"/>
  <c r="CS167" i="11"/>
  <c r="CS168" i="11"/>
  <c r="CQ168" i="11"/>
  <c r="CK167" i="11"/>
  <c r="CL167" i="11" s="1"/>
  <c r="CF167" i="11"/>
  <c r="AQ168" i="11"/>
  <c r="AR168" i="11" s="1"/>
  <c r="AT168" i="11" s="1"/>
  <c r="CY166" i="11"/>
  <c r="CE169" i="11"/>
  <c r="CG169" i="11" s="1"/>
  <c r="DU169" i="11"/>
  <c r="DV169" i="11"/>
  <c r="DH169" i="11"/>
  <c r="DI169" i="11"/>
  <c r="CR169" i="11"/>
  <c r="CT169" i="11" s="1"/>
  <c r="CU169" i="11"/>
  <c r="CV169" i="11"/>
  <c r="CH169" i="11"/>
  <c r="CI169" i="11"/>
  <c r="BU169" i="11"/>
  <c r="BV169" i="11"/>
  <c r="BH169" i="11"/>
  <c r="BI169" i="11"/>
  <c r="AU169" i="11"/>
  <c r="AV169" i="11"/>
  <c r="AH169" i="11"/>
  <c r="AI169" i="11"/>
  <c r="BE168" i="11"/>
  <c r="BG168" i="11" s="1"/>
  <c r="DE168" i="11"/>
  <c r="DG168" i="11" s="1"/>
  <c r="CB169" i="11"/>
  <c r="CZ169" i="11"/>
  <c r="BP169" i="11"/>
  <c r="BN169" i="11"/>
  <c r="DB169" i="11"/>
  <c r="DD169" i="11" s="1"/>
  <c r="BO169" i="11"/>
  <c r="BQ169" i="11" s="1"/>
  <c r="DM169" i="11"/>
  <c r="CC169" i="11"/>
  <c r="Y169" i="11"/>
  <c r="AM169" i="11"/>
  <c r="DC169" i="11"/>
  <c r="DP169" i="11"/>
  <c r="AN169" i="11"/>
  <c r="AA169" i="11"/>
  <c r="CM169" i="11"/>
  <c r="CO169" i="11"/>
  <c r="BM169" i="11"/>
  <c r="DA169" i="11"/>
  <c r="CA169" i="11"/>
  <c r="BZ169" i="11"/>
  <c r="X169" i="11"/>
  <c r="BB169" i="11"/>
  <c r="BD169" i="11" s="1"/>
  <c r="AO169" i="11"/>
  <c r="CN169" i="11"/>
  <c r="AP169" i="11"/>
  <c r="BC169" i="11"/>
  <c r="DN169" i="11"/>
  <c r="W170" i="11"/>
  <c r="BA169" i="11"/>
  <c r="CP169" i="11"/>
  <c r="AZ169" i="11"/>
  <c r="B170" i="11"/>
  <c r="A170" i="11" s="1"/>
  <c r="C171" i="11"/>
  <c r="M169" i="11" l="1"/>
  <c r="L169" i="11"/>
  <c r="EI170" i="11"/>
  <c r="EA170" i="11"/>
  <c r="DZ170" i="11"/>
  <c r="EH170" i="11"/>
  <c r="EC170" i="11"/>
  <c r="N136" i="12"/>
  <c r="V136" i="12"/>
  <c r="W136" i="12" s="1"/>
  <c r="A137" i="12"/>
  <c r="V137" i="12" s="1"/>
  <c r="W137" i="12" s="1"/>
  <c r="P170" i="11"/>
  <c r="DF168" i="11"/>
  <c r="BF168" i="11"/>
  <c r="BS168" i="11"/>
  <c r="BW168" i="11"/>
  <c r="DK167" i="11"/>
  <c r="DL167" i="11" s="1"/>
  <c r="AY166" i="11"/>
  <c r="BK167" i="11"/>
  <c r="BL167" i="11" s="1"/>
  <c r="AW167" i="11"/>
  <c r="AX167" i="11"/>
  <c r="B138" i="12"/>
  <c r="BX167" i="11"/>
  <c r="DK168" i="11"/>
  <c r="BW167" i="11"/>
  <c r="AS168" i="11"/>
  <c r="BJ168" i="11"/>
  <c r="CW168" i="11"/>
  <c r="CX168" i="11"/>
  <c r="BX168" i="11"/>
  <c r="CK168" i="11"/>
  <c r="CJ168" i="11"/>
  <c r="AB170" i="11"/>
  <c r="CS169" i="11"/>
  <c r="CQ169" i="11"/>
  <c r="CF169" i="11"/>
  <c r="CD169" i="11"/>
  <c r="AQ169" i="11"/>
  <c r="AR169" i="11" s="1"/>
  <c r="AT169" i="11" s="1"/>
  <c r="CK169" i="11"/>
  <c r="CJ169" i="11"/>
  <c r="DE169" i="11"/>
  <c r="DG169" i="11" s="1"/>
  <c r="BE169" i="11"/>
  <c r="BG169" i="11" s="1"/>
  <c r="BR169" i="11"/>
  <c r="BT169" i="11" s="1"/>
  <c r="CE170" i="11"/>
  <c r="CG170" i="11" s="1"/>
  <c r="DU170" i="11"/>
  <c r="DV170" i="11"/>
  <c r="DH170" i="11"/>
  <c r="DI170" i="11"/>
  <c r="CR170" i="11"/>
  <c r="CT170" i="11" s="1"/>
  <c r="CU170" i="11"/>
  <c r="CV170" i="11"/>
  <c r="CH170" i="11"/>
  <c r="CI170" i="11"/>
  <c r="BH170" i="11"/>
  <c r="BU170" i="11"/>
  <c r="BV170" i="11"/>
  <c r="AU170" i="11"/>
  <c r="BI170" i="11"/>
  <c r="AV170" i="11"/>
  <c r="AH170" i="11"/>
  <c r="AI170" i="11"/>
  <c r="X170" i="11"/>
  <c r="BN170" i="11"/>
  <c r="BP170" i="11"/>
  <c r="BA170" i="11"/>
  <c r="BC170" i="11"/>
  <c r="BO170" i="11"/>
  <c r="BQ170" i="11" s="1"/>
  <c r="DA170" i="11"/>
  <c r="CC170" i="11"/>
  <c r="AA170" i="11"/>
  <c r="CN170" i="11"/>
  <c r="CM170" i="11"/>
  <c r="AO170" i="11"/>
  <c r="AP170" i="11"/>
  <c r="AM170" i="11"/>
  <c r="DP170" i="11"/>
  <c r="AN170" i="11"/>
  <c r="DC170" i="11"/>
  <c r="AZ170" i="11"/>
  <c r="DM170" i="11"/>
  <c r="CO170" i="11"/>
  <c r="Y170" i="11"/>
  <c r="BZ170" i="11"/>
  <c r="CP170" i="11"/>
  <c r="CB170" i="11"/>
  <c r="BB170" i="11"/>
  <c r="BD170" i="11" s="1"/>
  <c r="W171" i="11"/>
  <c r="BM170" i="11"/>
  <c r="DB170" i="11"/>
  <c r="DD170" i="11" s="1"/>
  <c r="DN170" i="11"/>
  <c r="CA170" i="11"/>
  <c r="CZ170" i="11"/>
  <c r="B171" i="11"/>
  <c r="A171" i="11" s="1"/>
  <c r="C172" i="11"/>
  <c r="M170" i="11" l="1"/>
  <c r="L170" i="11"/>
  <c r="DZ171" i="11"/>
  <c r="EI171" i="11"/>
  <c r="EH171" i="11"/>
  <c r="EC171" i="11"/>
  <c r="EA171" i="11"/>
  <c r="N137" i="12"/>
  <c r="M137" i="12"/>
  <c r="A138" i="12"/>
  <c r="V138" i="12" s="1"/>
  <c r="W138" i="12" s="1"/>
  <c r="P171" i="11"/>
  <c r="AY167" i="11"/>
  <c r="BS169" i="11"/>
  <c r="BF169" i="11"/>
  <c r="DF169" i="11"/>
  <c r="BY167" i="11"/>
  <c r="DJ168" i="11"/>
  <c r="DL168" i="11" s="1"/>
  <c r="AW168" i="11"/>
  <c r="BK168" i="11"/>
  <c r="BL168" i="11" s="1"/>
  <c r="BY168" i="11"/>
  <c r="DK169" i="11"/>
  <c r="B139" i="12"/>
  <c r="AX168" i="11"/>
  <c r="BX169" i="11"/>
  <c r="AX169" i="11"/>
  <c r="CY168" i="11"/>
  <c r="CL168" i="11"/>
  <c r="CL169" i="11"/>
  <c r="AB171" i="11"/>
  <c r="CS170" i="11"/>
  <c r="CQ170" i="11"/>
  <c r="CK170" i="11"/>
  <c r="CD170" i="11"/>
  <c r="CX169" i="11"/>
  <c r="CW169" i="11"/>
  <c r="AQ170" i="11"/>
  <c r="AR170" i="11" s="1"/>
  <c r="AT170" i="11" s="1"/>
  <c r="DE170" i="11"/>
  <c r="DG170" i="11" s="1"/>
  <c r="CE171" i="11"/>
  <c r="CG171" i="11" s="1"/>
  <c r="DU171" i="11"/>
  <c r="DV171" i="11"/>
  <c r="DH171" i="11"/>
  <c r="DI171" i="11"/>
  <c r="CR171" i="11"/>
  <c r="CT171" i="11" s="1"/>
  <c r="CU171" i="11"/>
  <c r="CV171" i="11"/>
  <c r="CH171" i="11"/>
  <c r="CI171" i="11"/>
  <c r="BU171" i="11"/>
  <c r="BV171" i="11"/>
  <c r="BH171" i="11"/>
  <c r="BI171" i="11"/>
  <c r="AU171" i="11"/>
  <c r="AV171" i="11"/>
  <c r="AI171" i="11"/>
  <c r="AH171" i="11"/>
  <c r="BR170" i="11"/>
  <c r="BT170" i="11" s="1"/>
  <c r="BE170" i="11"/>
  <c r="BG170" i="11" s="1"/>
  <c r="BN171" i="11"/>
  <c r="BM171" i="11"/>
  <c r="AP171" i="11"/>
  <c r="CA171" i="11"/>
  <c r="DN171" i="11"/>
  <c r="BP171" i="11"/>
  <c r="BO171" i="11"/>
  <c r="BQ171" i="11" s="1"/>
  <c r="CZ171" i="11"/>
  <c r="X171" i="11"/>
  <c r="DB171" i="11"/>
  <c r="DD171" i="11" s="1"/>
  <c r="CM171" i="11"/>
  <c r="AA171" i="11"/>
  <c r="CN171" i="11"/>
  <c r="AO171" i="11"/>
  <c r="AM171" i="11"/>
  <c r="AN171" i="11"/>
  <c r="DM171" i="11"/>
  <c r="BZ171" i="11"/>
  <c r="CO171" i="11"/>
  <c r="BA171" i="11"/>
  <c r="Y171" i="11"/>
  <c r="BB171" i="11"/>
  <c r="BD171" i="11" s="1"/>
  <c r="CB171" i="11"/>
  <c r="DC171" i="11"/>
  <c r="BC171" i="11"/>
  <c r="DP171" i="11"/>
  <c r="W172" i="11"/>
  <c r="CC171" i="11"/>
  <c r="DA171" i="11"/>
  <c r="CP171" i="11"/>
  <c r="AZ171" i="11"/>
  <c r="B172" i="11"/>
  <c r="A172" i="11" s="1"/>
  <c r="C173" i="11"/>
  <c r="L171" i="11" l="1"/>
  <c r="M171" i="11"/>
  <c r="EI172" i="11"/>
  <c r="EH172" i="11"/>
  <c r="EC172" i="11"/>
  <c r="EA172" i="11"/>
  <c r="DZ172" i="11"/>
  <c r="M138" i="12"/>
  <c r="N138" i="12"/>
  <c r="A139" i="12"/>
  <c r="V139" i="12" s="1"/>
  <c r="W139" i="12" s="1"/>
  <c r="P172" i="11"/>
  <c r="BS170" i="11"/>
  <c r="DF170" i="11"/>
  <c r="BF170" i="11"/>
  <c r="BK170" i="11"/>
  <c r="AW169" i="11"/>
  <c r="AY169" i="11" s="1"/>
  <c r="AY168" i="11"/>
  <c r="DJ169" i="11"/>
  <c r="DL169" i="11" s="1"/>
  <c r="BW169" i="11"/>
  <c r="BY169" i="11" s="1"/>
  <c r="BJ169" i="11"/>
  <c r="BK169" i="11"/>
  <c r="AX170" i="11"/>
  <c r="AS169" i="11"/>
  <c r="B140" i="12"/>
  <c r="CQ171" i="11"/>
  <c r="CY169" i="11"/>
  <c r="AB172" i="11"/>
  <c r="CF171" i="11"/>
  <c r="CD171" i="11"/>
  <c r="CX170" i="11"/>
  <c r="CJ170" i="11"/>
  <c r="CL170" i="11" s="1"/>
  <c r="CF170" i="11"/>
  <c r="CW170" i="11"/>
  <c r="AQ171" i="11"/>
  <c r="AR171" i="11" s="1"/>
  <c r="AT171" i="11" s="1"/>
  <c r="CW171" i="11"/>
  <c r="CE172" i="11"/>
  <c r="CG172" i="11" s="1"/>
  <c r="DV172" i="11"/>
  <c r="DU172" i="11"/>
  <c r="DH172" i="11"/>
  <c r="DI172" i="11"/>
  <c r="CR172" i="11"/>
  <c r="CT172" i="11" s="1"/>
  <c r="CU172" i="11"/>
  <c r="CV172" i="11"/>
  <c r="CI172" i="11"/>
  <c r="CH172" i="11"/>
  <c r="BV172" i="11"/>
  <c r="BU172" i="11"/>
  <c r="BH172" i="11"/>
  <c r="BI172" i="11"/>
  <c r="AV172" i="11"/>
  <c r="AU172" i="11"/>
  <c r="AH172" i="11"/>
  <c r="AI172" i="11"/>
  <c r="BR171" i="11"/>
  <c r="BT171" i="11" s="1"/>
  <c r="BE171" i="11"/>
  <c r="BG171" i="11" s="1"/>
  <c r="DE171" i="11"/>
  <c r="DG171" i="11" s="1"/>
  <c r="AA172" i="11"/>
  <c r="BN172" i="11"/>
  <c r="BP172" i="11"/>
  <c r="BO172" i="11"/>
  <c r="BQ172" i="11" s="1"/>
  <c r="Y172" i="11"/>
  <c r="DA172" i="11"/>
  <c r="DB172" i="11"/>
  <c r="DD172" i="11" s="1"/>
  <c r="CZ172" i="11"/>
  <c r="CO172" i="11"/>
  <c r="BA172" i="11"/>
  <c r="AM172" i="11"/>
  <c r="BM172" i="11"/>
  <c r="BB172" i="11"/>
  <c r="BD172" i="11" s="1"/>
  <c r="CC172" i="11"/>
  <c r="DN172" i="11"/>
  <c r="CN172" i="11"/>
  <c r="BC172" i="11"/>
  <c r="CA172" i="11"/>
  <c r="X172" i="11"/>
  <c r="AO172" i="11"/>
  <c r="DC172" i="11"/>
  <c r="DM172" i="11"/>
  <c r="BZ172" i="11"/>
  <c r="AZ172" i="11"/>
  <c r="CP172" i="11"/>
  <c r="W173" i="11"/>
  <c r="DP172" i="11"/>
  <c r="CM172" i="11"/>
  <c r="CB172" i="11"/>
  <c r="AN172" i="11"/>
  <c r="AP172" i="11"/>
  <c r="B173" i="11"/>
  <c r="A173" i="11" s="1"/>
  <c r="C174" i="11"/>
  <c r="M172" i="11" l="1"/>
  <c r="L172" i="11"/>
  <c r="DZ173" i="11"/>
  <c r="EI173" i="11"/>
  <c r="EH173" i="11"/>
  <c r="EC173" i="11"/>
  <c r="EA173" i="11"/>
  <c r="M139" i="12"/>
  <c r="N139" i="12"/>
  <c r="A140" i="12"/>
  <c r="M140" i="12" s="1"/>
  <c r="P173" i="11"/>
  <c r="BJ170" i="11"/>
  <c r="BL170" i="11" s="1"/>
  <c r="DF171" i="11"/>
  <c r="DK171" i="11"/>
  <c r="BF171" i="11"/>
  <c r="BJ171" i="11"/>
  <c r="BS171" i="11"/>
  <c r="BW171" i="11"/>
  <c r="DJ170" i="11"/>
  <c r="DK170" i="11"/>
  <c r="BW170" i="11"/>
  <c r="BL169" i="11"/>
  <c r="BX170" i="11"/>
  <c r="AW170" i="11"/>
  <c r="AY170" i="11" s="1"/>
  <c r="AS170" i="11"/>
  <c r="B141" i="12"/>
  <c r="CK171" i="11"/>
  <c r="CJ171" i="11"/>
  <c r="AB173" i="11"/>
  <c r="CF172" i="11"/>
  <c r="CD172" i="11"/>
  <c r="CY170" i="11"/>
  <c r="CX171" i="11"/>
  <c r="CY171" i="11" s="1"/>
  <c r="CS171" i="11"/>
  <c r="CS172" i="11"/>
  <c r="CQ172" i="11"/>
  <c r="AQ172" i="11"/>
  <c r="AR172" i="11" s="1"/>
  <c r="AT172" i="11" s="1"/>
  <c r="DJ171" i="11"/>
  <c r="BE172" i="11"/>
  <c r="BG172" i="11" s="1"/>
  <c r="DE172" i="11"/>
  <c r="DG172" i="11" s="1"/>
  <c r="BR172" i="11"/>
  <c r="BT172" i="11" s="1"/>
  <c r="CE173" i="11"/>
  <c r="CG173" i="11" s="1"/>
  <c r="DU173" i="11"/>
  <c r="DV173" i="11"/>
  <c r="DH173" i="11"/>
  <c r="DI173" i="11"/>
  <c r="CV173" i="11"/>
  <c r="CR173" i="11"/>
  <c r="CT173" i="11" s="1"/>
  <c r="CU173" i="11"/>
  <c r="CH173" i="11"/>
  <c r="CI173" i="11"/>
  <c r="BU173" i="11"/>
  <c r="BV173" i="11"/>
  <c r="BH173" i="11"/>
  <c r="BI173" i="11"/>
  <c r="AV173" i="11"/>
  <c r="AI173" i="11"/>
  <c r="AH173" i="11"/>
  <c r="AU173" i="11"/>
  <c r="BP173" i="11"/>
  <c r="AP173" i="11"/>
  <c r="DC173" i="11"/>
  <c r="BN173" i="11"/>
  <c r="CB173" i="11"/>
  <c r="BB173" i="11"/>
  <c r="BD173" i="11" s="1"/>
  <c r="BO173" i="11"/>
  <c r="DA173" i="11"/>
  <c r="AO173" i="11"/>
  <c r="AN173" i="11"/>
  <c r="X173" i="11"/>
  <c r="BM173" i="11"/>
  <c r="BZ173" i="11"/>
  <c r="CA173" i="11"/>
  <c r="AM173" i="11"/>
  <c r="W174" i="11"/>
  <c r="CM173" i="11"/>
  <c r="CP173" i="11"/>
  <c r="BC173" i="11"/>
  <c r="BA173" i="11"/>
  <c r="DP173" i="11"/>
  <c r="AZ173" i="11"/>
  <c r="CN173" i="11"/>
  <c r="CO173" i="11"/>
  <c r="Y173" i="11"/>
  <c r="DN173" i="11"/>
  <c r="CZ173" i="11"/>
  <c r="DM173" i="11"/>
  <c r="CC173" i="11"/>
  <c r="DB173" i="11"/>
  <c r="DD173" i="11" s="1"/>
  <c r="AA173" i="11"/>
  <c r="B174" i="11"/>
  <c r="A174" i="11" s="1"/>
  <c r="C175" i="11"/>
  <c r="M173" i="11" l="1"/>
  <c r="L173" i="11"/>
  <c r="EI174" i="11"/>
  <c r="EH174" i="11"/>
  <c r="EC174" i="11"/>
  <c r="EA174" i="11"/>
  <c r="DZ174" i="11"/>
  <c r="V140" i="12"/>
  <c r="W140" i="12" s="1"/>
  <c r="N140" i="12"/>
  <c r="A141" i="12"/>
  <c r="N141" i="12" s="1"/>
  <c r="BY170" i="11"/>
  <c r="P174" i="11"/>
  <c r="BK171" i="11"/>
  <c r="BL171" i="11" s="1"/>
  <c r="BF172" i="11"/>
  <c r="DF172" i="11"/>
  <c r="DJ172" i="11"/>
  <c r="BX171" i="11"/>
  <c r="BY171" i="11" s="1"/>
  <c r="DL170" i="11"/>
  <c r="BS172" i="11"/>
  <c r="AS172" i="11"/>
  <c r="AW171" i="11"/>
  <c r="BK172" i="11"/>
  <c r="AS171" i="11"/>
  <c r="AX171" i="11"/>
  <c r="B142" i="12"/>
  <c r="CL171" i="11"/>
  <c r="CQ173" i="11"/>
  <c r="CW172" i="11"/>
  <c r="CX172" i="11"/>
  <c r="DL171" i="11"/>
  <c r="AB174" i="11"/>
  <c r="BQ173" i="11"/>
  <c r="BR173" i="11" s="1"/>
  <c r="BT173" i="11" s="1"/>
  <c r="CF173" i="11"/>
  <c r="CD173" i="11"/>
  <c r="CJ172" i="11"/>
  <c r="CK172" i="11"/>
  <c r="AQ173" i="11"/>
  <c r="AR173" i="11" s="1"/>
  <c r="AT173" i="11" s="1"/>
  <c r="BJ172" i="11"/>
  <c r="BE173" i="11"/>
  <c r="BG173" i="11" s="1"/>
  <c r="CS173" i="11"/>
  <c r="CE174" i="11"/>
  <c r="CG174" i="11" s="1"/>
  <c r="DU174" i="11"/>
  <c r="DV174" i="11"/>
  <c r="DH174" i="11"/>
  <c r="DI174" i="11"/>
  <c r="CR174" i="11"/>
  <c r="CT174" i="11" s="1"/>
  <c r="CU174" i="11"/>
  <c r="CV174" i="11"/>
  <c r="CI174" i="11"/>
  <c r="CH174" i="11"/>
  <c r="BV174" i="11"/>
  <c r="BH174" i="11"/>
  <c r="BU174" i="11"/>
  <c r="BI174" i="11"/>
  <c r="AU174" i="11"/>
  <c r="AV174" i="11"/>
  <c r="AH174" i="11"/>
  <c r="AI174" i="11"/>
  <c r="DE173" i="11"/>
  <c r="DG173" i="11" s="1"/>
  <c r="AP174" i="11"/>
  <c r="BN174" i="11"/>
  <c r="BA174" i="11"/>
  <c r="BP174" i="11"/>
  <c r="BO174" i="11"/>
  <c r="BQ174" i="11" s="1"/>
  <c r="DB174" i="11"/>
  <c r="DD174" i="11" s="1"/>
  <c r="AM174" i="11"/>
  <c r="DC174" i="11"/>
  <c r="CC174" i="11"/>
  <c r="CA174" i="11"/>
  <c r="CZ174" i="11"/>
  <c r="AZ174" i="11"/>
  <c r="DN174" i="11"/>
  <c r="DP174" i="11"/>
  <c r="BZ174" i="11"/>
  <c r="AO174" i="11"/>
  <c r="AA174" i="11"/>
  <c r="BB174" i="11"/>
  <c r="BD174" i="11" s="1"/>
  <c r="W175" i="11"/>
  <c r="DM174" i="11"/>
  <c r="Y174" i="11"/>
  <c r="BC174" i="11"/>
  <c r="CB174" i="11"/>
  <c r="AN174" i="11"/>
  <c r="CO174" i="11"/>
  <c r="CP174" i="11"/>
  <c r="X174" i="11"/>
  <c r="CN174" i="11"/>
  <c r="CM174" i="11"/>
  <c r="DA174" i="11"/>
  <c r="BM174" i="11"/>
  <c r="B175" i="11"/>
  <c r="A175" i="11" s="1"/>
  <c r="C176" i="11"/>
  <c r="M141" i="12" l="1"/>
  <c r="V141" i="12"/>
  <c r="W141" i="12" s="1"/>
  <c r="M174" i="11"/>
  <c r="L174" i="11"/>
  <c r="EI175" i="11"/>
  <c r="EH175" i="11"/>
  <c r="EC175" i="11"/>
  <c r="EA175" i="11"/>
  <c r="DZ175" i="11"/>
  <c r="A142" i="12"/>
  <c r="N142" i="12" s="1"/>
  <c r="P175" i="11"/>
  <c r="BF173" i="11"/>
  <c r="DF173" i="11"/>
  <c r="AW172" i="11"/>
  <c r="AX172" i="11"/>
  <c r="AY171" i="11"/>
  <c r="BX172" i="11"/>
  <c r="DK172" i="11"/>
  <c r="DL172" i="11" s="1"/>
  <c r="CY172" i="11"/>
  <c r="B143" i="12"/>
  <c r="AS173" i="11"/>
  <c r="BW172" i="11"/>
  <c r="CL172" i="11"/>
  <c r="CJ173" i="11"/>
  <c r="BS173" i="11"/>
  <c r="BX173" i="11"/>
  <c r="BW173" i="11"/>
  <c r="AB175" i="11"/>
  <c r="CS174" i="11"/>
  <c r="CQ174" i="11"/>
  <c r="CF174" i="11"/>
  <c r="CD174" i="11"/>
  <c r="BL172" i="11"/>
  <c r="CK173" i="11"/>
  <c r="AQ174" i="11"/>
  <c r="AR174" i="11" s="1"/>
  <c r="AT174" i="11" s="1"/>
  <c r="AX173" i="11"/>
  <c r="AW173" i="11"/>
  <c r="CW173" i="11"/>
  <c r="CX173" i="11"/>
  <c r="BR174" i="11"/>
  <c r="BT174" i="11" s="1"/>
  <c r="BE174" i="11"/>
  <c r="BG174" i="11" s="1"/>
  <c r="CE175" i="11"/>
  <c r="CG175" i="11" s="1"/>
  <c r="DU175" i="11"/>
  <c r="DV175" i="11"/>
  <c r="DH175" i="11"/>
  <c r="DI175" i="11"/>
  <c r="CR175" i="11"/>
  <c r="CT175" i="11" s="1"/>
  <c r="CU175" i="11"/>
  <c r="CV175" i="11"/>
  <c r="CH175" i="11"/>
  <c r="CI175" i="11"/>
  <c r="BU175" i="11"/>
  <c r="BV175" i="11"/>
  <c r="BH175" i="11"/>
  <c r="BI175" i="11"/>
  <c r="AU175" i="11"/>
  <c r="AV175" i="11"/>
  <c r="AH175" i="11"/>
  <c r="AI175" i="11"/>
  <c r="DE174" i="11"/>
  <c r="DG174" i="11" s="1"/>
  <c r="DN175" i="11"/>
  <c r="CM175" i="11"/>
  <c r="BP175" i="11"/>
  <c r="BN175" i="11"/>
  <c r="CB175" i="11"/>
  <c r="BB175" i="11"/>
  <c r="BD175" i="11" s="1"/>
  <c r="BO175" i="11"/>
  <c r="BQ175" i="11" s="1"/>
  <c r="BM175" i="11"/>
  <c r="CC175" i="11"/>
  <c r="DA175" i="11"/>
  <c r="AA175" i="11"/>
  <c r="AN175" i="11"/>
  <c r="DB175" i="11"/>
  <c r="DD175" i="11" s="1"/>
  <c r="DP175" i="11"/>
  <c r="AO175" i="11"/>
  <c r="CA175" i="11"/>
  <c r="BC175" i="11"/>
  <c r="DC175" i="11"/>
  <c r="BZ175" i="11"/>
  <c r="X175" i="11"/>
  <c r="Y175" i="11"/>
  <c r="AM175" i="11"/>
  <c r="W176" i="11"/>
  <c r="CN175" i="11"/>
  <c r="CP175" i="11"/>
  <c r="DM175" i="11"/>
  <c r="CZ175" i="11"/>
  <c r="AZ175" i="11"/>
  <c r="CO175" i="11"/>
  <c r="BA175" i="11"/>
  <c r="AP175" i="11"/>
  <c r="B176" i="11"/>
  <c r="A176" i="11" s="1"/>
  <c r="C177" i="11"/>
  <c r="L175" i="11" l="1"/>
  <c r="M175" i="11"/>
  <c r="M142" i="12"/>
  <c r="V142" i="12"/>
  <c r="W142" i="12" s="1"/>
  <c r="EH176" i="11"/>
  <c r="EC176" i="11"/>
  <c r="EA176" i="11"/>
  <c r="DZ176" i="11"/>
  <c r="EI176" i="11"/>
  <c r="A143" i="12"/>
  <c r="N143" i="12" s="1"/>
  <c r="P176" i="11"/>
  <c r="AY172" i="11"/>
  <c r="DF174" i="11"/>
  <c r="BF174" i="11"/>
  <c r="BS174" i="11"/>
  <c r="BW174" i="11"/>
  <c r="BY172" i="11"/>
  <c r="CL173" i="11"/>
  <c r="BJ173" i="11"/>
  <c r="DK173" i="11"/>
  <c r="DJ173" i="11"/>
  <c r="B144" i="12"/>
  <c r="AS174" i="11"/>
  <c r="BK173" i="11"/>
  <c r="BY173" i="11"/>
  <c r="CJ174" i="11"/>
  <c r="CK174" i="11"/>
  <c r="AB176" i="11"/>
  <c r="CW174" i="11"/>
  <c r="CF175" i="11"/>
  <c r="CD175" i="11"/>
  <c r="CS175" i="11"/>
  <c r="CQ175" i="11"/>
  <c r="CX174" i="11"/>
  <c r="AQ175" i="11"/>
  <c r="AR175" i="11" s="1"/>
  <c r="AT175" i="11" s="1"/>
  <c r="AY173" i="11"/>
  <c r="DK174" i="11"/>
  <c r="DJ174" i="11"/>
  <c r="BK174" i="11"/>
  <c r="BJ174" i="11"/>
  <c r="AX174" i="11"/>
  <c r="AW174" i="11"/>
  <c r="CE176" i="11"/>
  <c r="CG176" i="11" s="1"/>
  <c r="DV176" i="11"/>
  <c r="DU176" i="11"/>
  <c r="DH176" i="11"/>
  <c r="DI176" i="11"/>
  <c r="CR176" i="11"/>
  <c r="CT176" i="11" s="1"/>
  <c r="CU176" i="11"/>
  <c r="CV176" i="11"/>
  <c r="CI176" i="11"/>
  <c r="CH176" i="11"/>
  <c r="BU176" i="11"/>
  <c r="BH176" i="11"/>
  <c r="BV176" i="11"/>
  <c r="BI176" i="11"/>
  <c r="AU176" i="11"/>
  <c r="AV176" i="11"/>
  <c r="AH176" i="11"/>
  <c r="AI176" i="11"/>
  <c r="BR175" i="11"/>
  <c r="BT175" i="11" s="1"/>
  <c r="DE175" i="11"/>
  <c r="DG175" i="11" s="1"/>
  <c r="CY173" i="11"/>
  <c r="BE175" i="11"/>
  <c r="BG175" i="11" s="1"/>
  <c r="DC176" i="11"/>
  <c r="BM176" i="11"/>
  <c r="BP176" i="11"/>
  <c r="BN176" i="11"/>
  <c r="BO176" i="11"/>
  <c r="BQ176" i="11" s="1"/>
  <c r="CP176" i="11"/>
  <c r="DM176" i="11"/>
  <c r="BC176" i="11"/>
  <c r="CB176" i="11"/>
  <c r="CA176" i="11"/>
  <c r="DN176" i="11"/>
  <c r="AP176" i="11"/>
  <c r="BA176" i="11"/>
  <c r="DA176" i="11"/>
  <c r="DP176" i="11"/>
  <c r="CO176" i="11"/>
  <c r="Y176" i="11"/>
  <c r="AO176" i="11"/>
  <c r="DB176" i="11"/>
  <c r="DD176" i="11" s="1"/>
  <c r="AM176" i="11"/>
  <c r="X176" i="11"/>
  <c r="AA176" i="11"/>
  <c r="CC176" i="11"/>
  <c r="AZ176" i="11"/>
  <c r="CM176" i="11"/>
  <c r="AN176" i="11"/>
  <c r="CN176" i="11"/>
  <c r="W177" i="11"/>
  <c r="CZ176" i="11"/>
  <c r="BZ176" i="11"/>
  <c r="BB176" i="11"/>
  <c r="BD176" i="11" s="1"/>
  <c r="B177" i="11"/>
  <c r="A177" i="11" s="1"/>
  <c r="C178" i="11"/>
  <c r="M176" i="11" l="1"/>
  <c r="L176" i="11"/>
  <c r="M143" i="12"/>
  <c r="V143" i="12"/>
  <c r="W143" i="12" s="1"/>
  <c r="DZ177" i="11"/>
  <c r="EC177" i="11"/>
  <c r="EA177" i="11"/>
  <c r="EI177" i="11"/>
  <c r="EH177" i="11"/>
  <c r="A144" i="12"/>
  <c r="M144" i="12" s="1"/>
  <c r="P177" i="11"/>
  <c r="DF175" i="11"/>
  <c r="BS175" i="11"/>
  <c r="BF175" i="11"/>
  <c r="BK175" i="11"/>
  <c r="BX174" i="11"/>
  <c r="BY174" i="11" s="1"/>
  <c r="DL173" i="11"/>
  <c r="BL173" i="11"/>
  <c r="B145" i="12"/>
  <c r="AS175" i="11"/>
  <c r="DJ175" i="11"/>
  <c r="CL174" i="11"/>
  <c r="CJ175" i="11"/>
  <c r="CK175" i="11"/>
  <c r="DL174" i="11"/>
  <c r="AB177" i="11"/>
  <c r="CX175" i="11"/>
  <c r="CY174" i="11"/>
  <c r="CW175" i="11"/>
  <c r="AY174" i="11"/>
  <c r="CX176" i="11"/>
  <c r="CQ176" i="11"/>
  <c r="CF176" i="11"/>
  <c r="CD176" i="11"/>
  <c r="AQ176" i="11"/>
  <c r="AR176" i="11" s="1"/>
  <c r="AT176" i="11" s="1"/>
  <c r="BL174" i="11"/>
  <c r="AW175" i="11"/>
  <c r="AX175" i="11"/>
  <c r="BR176" i="11"/>
  <c r="BT176" i="11" s="1"/>
  <c r="BE176" i="11"/>
  <c r="BG176" i="11" s="1"/>
  <c r="CE177" i="11"/>
  <c r="CG177" i="11" s="1"/>
  <c r="DU177" i="11"/>
  <c r="DV177" i="11"/>
  <c r="DH177" i="11"/>
  <c r="DI177" i="11"/>
  <c r="CU177" i="11"/>
  <c r="CV177" i="11"/>
  <c r="CR177" i="11"/>
  <c r="CT177" i="11" s="1"/>
  <c r="CH177" i="11"/>
  <c r="CI177" i="11"/>
  <c r="BU177" i="11"/>
  <c r="BV177" i="11"/>
  <c r="BH177" i="11"/>
  <c r="AU177" i="11"/>
  <c r="BI177" i="11"/>
  <c r="AV177" i="11"/>
  <c r="AH177" i="11"/>
  <c r="AI177" i="11"/>
  <c r="DE176" i="11"/>
  <c r="DG176" i="11" s="1"/>
  <c r="BN177" i="11"/>
  <c r="BP177" i="11"/>
  <c r="DM177" i="11"/>
  <c r="BO177" i="11"/>
  <c r="BQ177" i="11" s="1"/>
  <c r="BB177" i="11"/>
  <c r="BD177" i="11" s="1"/>
  <c r="BA177" i="11"/>
  <c r="AM177" i="11"/>
  <c r="DC177" i="11"/>
  <c r="CN177" i="11"/>
  <c r="AN177" i="11"/>
  <c r="BZ177" i="11"/>
  <c r="DN177" i="11"/>
  <c r="AZ177" i="11"/>
  <c r="Y177" i="11"/>
  <c r="AP177" i="11"/>
  <c r="DB177" i="11"/>
  <c r="DD177" i="11" s="1"/>
  <c r="CZ177" i="11"/>
  <c r="CM177" i="11"/>
  <c r="AO177" i="11"/>
  <c r="CP177" i="11"/>
  <c r="BC177" i="11"/>
  <c r="CO177" i="11"/>
  <c r="CA177" i="11"/>
  <c r="CB177" i="11"/>
  <c r="W178" i="11"/>
  <c r="CC177" i="11"/>
  <c r="AA177" i="11"/>
  <c r="DP177" i="11"/>
  <c r="X177" i="11"/>
  <c r="DA177" i="11"/>
  <c r="BM177" i="11"/>
  <c r="B178" i="11"/>
  <c r="A178" i="11" s="1"/>
  <c r="C179" i="11"/>
  <c r="N144" i="12" l="1"/>
  <c r="M177" i="11"/>
  <c r="L177" i="11"/>
  <c r="V144" i="12"/>
  <c r="W144" i="12" s="1"/>
  <c r="EI178" i="11"/>
  <c r="EC178" i="11"/>
  <c r="EA178" i="11"/>
  <c r="DZ178" i="11"/>
  <c r="EH178" i="11"/>
  <c r="A145" i="12"/>
  <c r="V145" i="12" s="1"/>
  <c r="W145" i="12" s="1"/>
  <c r="P178" i="11"/>
  <c r="DF176" i="11"/>
  <c r="BF176" i="11"/>
  <c r="BJ175" i="11"/>
  <c r="BL175" i="11" s="1"/>
  <c r="DK175" i="11"/>
  <c r="DL175" i="11" s="1"/>
  <c r="BX176" i="11"/>
  <c r="AW176" i="11"/>
  <c r="BW175" i="11"/>
  <c r="B146" i="12"/>
  <c r="BX175" i="11"/>
  <c r="DJ176" i="11"/>
  <c r="CY175" i="11"/>
  <c r="CK176" i="11"/>
  <c r="CJ176" i="11"/>
  <c r="CL175" i="11"/>
  <c r="AB178" i="11"/>
  <c r="CD177" i="11"/>
  <c r="BS176" i="11"/>
  <c r="CS177" i="11"/>
  <c r="CQ177" i="11"/>
  <c r="AY175" i="11"/>
  <c r="CW176" i="11"/>
  <c r="CY176" i="11" s="1"/>
  <c r="CS176" i="11"/>
  <c r="AQ177" i="11"/>
  <c r="AR177" i="11" s="1"/>
  <c r="AT177" i="11" s="1"/>
  <c r="DE177" i="11"/>
  <c r="DG177" i="11" s="1"/>
  <c r="CF177" i="11"/>
  <c r="BE177" i="11"/>
  <c r="BG177" i="11" s="1"/>
  <c r="CE178" i="11"/>
  <c r="CG178" i="11" s="1"/>
  <c r="DU178" i="11"/>
  <c r="DV178" i="11"/>
  <c r="DH178" i="11"/>
  <c r="DI178" i="11"/>
  <c r="CR178" i="11"/>
  <c r="CT178" i="11" s="1"/>
  <c r="CU178" i="11"/>
  <c r="CV178" i="11"/>
  <c r="CH178" i="11"/>
  <c r="CI178" i="11"/>
  <c r="BU178" i="11"/>
  <c r="BV178" i="11"/>
  <c r="BH178" i="11"/>
  <c r="BI178" i="11"/>
  <c r="AU178" i="11"/>
  <c r="AV178" i="11"/>
  <c r="AH178" i="11"/>
  <c r="AI178" i="11"/>
  <c r="BR177" i="11"/>
  <c r="BT177" i="11" s="1"/>
  <c r="X178" i="11"/>
  <c r="BP178" i="11"/>
  <c r="BN178" i="11"/>
  <c r="BB178" i="11"/>
  <c r="BD178" i="11" s="1"/>
  <c r="BO178" i="11"/>
  <c r="BQ178" i="11" s="1"/>
  <c r="DN178" i="11"/>
  <c r="AA178" i="11"/>
  <c r="DP178" i="11"/>
  <c r="AN178" i="11"/>
  <c r="BC178" i="11"/>
  <c r="DC178" i="11"/>
  <c r="AP178" i="11"/>
  <c r="CN178" i="11"/>
  <c r="CP178" i="11"/>
  <c r="BZ178" i="11"/>
  <c r="BM178" i="11"/>
  <c r="CC178" i="11"/>
  <c r="CB178" i="11"/>
  <c r="AO178" i="11"/>
  <c r="BA178" i="11"/>
  <c r="DA178" i="11"/>
  <c r="Y178" i="11"/>
  <c r="CA178" i="11"/>
  <c r="CM178" i="11"/>
  <c r="AM178" i="11"/>
  <c r="CO178" i="11"/>
  <c r="CZ178" i="11"/>
  <c r="W179" i="11"/>
  <c r="AZ178" i="11"/>
  <c r="DB178" i="11"/>
  <c r="DD178" i="11" s="1"/>
  <c r="DM178" i="11"/>
  <c r="B179" i="11"/>
  <c r="A179" i="11" s="1"/>
  <c r="C180" i="11"/>
  <c r="L178" i="11" l="1"/>
  <c r="M178" i="11"/>
  <c r="EA179" i="11"/>
  <c r="DZ179" i="11"/>
  <c r="EI179" i="11"/>
  <c r="EH179" i="11"/>
  <c r="EC179" i="11"/>
  <c r="N145" i="12"/>
  <c r="M145" i="12"/>
  <c r="A146" i="12"/>
  <c r="V146" i="12" s="1"/>
  <c r="W146" i="12" s="1"/>
  <c r="P179" i="11"/>
  <c r="DF177" i="11"/>
  <c r="DJ177" i="11"/>
  <c r="BS177" i="11"/>
  <c r="BW177" i="11"/>
  <c r="BF177" i="11"/>
  <c r="BW176" i="11"/>
  <c r="BY176" i="11" s="1"/>
  <c r="BY175" i="11"/>
  <c r="DK176" i="11"/>
  <c r="DL176" i="11" s="1"/>
  <c r="AX176" i="11"/>
  <c r="AY176" i="11" s="1"/>
  <c r="B147" i="12"/>
  <c r="AW177" i="11"/>
  <c r="BK176" i="11"/>
  <c r="AS176" i="11"/>
  <c r="BJ176" i="11"/>
  <c r="CL176" i="11"/>
  <c r="CW177" i="11"/>
  <c r="CX177" i="11"/>
  <c r="CQ178" i="11"/>
  <c r="AB179" i="11"/>
  <c r="CF178" i="11"/>
  <c r="CD178" i="11"/>
  <c r="AQ178" i="11"/>
  <c r="AR178" i="11" s="1"/>
  <c r="AT178" i="11" s="1"/>
  <c r="BK177" i="11"/>
  <c r="BJ177" i="11"/>
  <c r="CE179" i="11"/>
  <c r="CG179" i="11" s="1"/>
  <c r="DV179" i="11"/>
  <c r="DU179" i="11"/>
  <c r="DH179" i="11"/>
  <c r="DI179" i="11"/>
  <c r="CU179" i="11"/>
  <c r="CV179" i="11"/>
  <c r="CR179" i="11"/>
  <c r="CT179" i="11" s="1"/>
  <c r="CH179" i="11"/>
  <c r="BU179" i="11"/>
  <c r="CI179" i="11"/>
  <c r="BV179" i="11"/>
  <c r="BI179" i="11"/>
  <c r="AU179" i="11"/>
  <c r="AV179" i="11"/>
  <c r="BH179" i="11"/>
  <c r="AH179" i="11"/>
  <c r="AI179" i="11"/>
  <c r="DE178" i="11"/>
  <c r="DG178" i="11" s="1"/>
  <c r="CS178" i="11"/>
  <c r="BE178" i="11"/>
  <c r="BG178" i="11" s="1"/>
  <c r="BR178" i="11"/>
  <c r="BT178" i="11" s="1"/>
  <c r="CJ177" i="11"/>
  <c r="CK177" i="11"/>
  <c r="BN179" i="11"/>
  <c r="AA179" i="11"/>
  <c r="BP179" i="11"/>
  <c r="BO179" i="11"/>
  <c r="BQ179" i="11" s="1"/>
  <c r="AM179" i="11"/>
  <c r="BB179" i="11"/>
  <c r="BD179" i="11" s="1"/>
  <c r="CB179" i="11"/>
  <c r="AO179" i="11"/>
  <c r="AP179" i="11"/>
  <c r="CC179" i="11"/>
  <c r="CM179" i="11"/>
  <c r="DM179" i="11"/>
  <c r="X179" i="11"/>
  <c r="CA179" i="11"/>
  <c r="BM179" i="11"/>
  <c r="DN179" i="11"/>
  <c r="AN179" i="11"/>
  <c r="AZ179" i="11"/>
  <c r="DA179" i="11"/>
  <c r="BZ179" i="11"/>
  <c r="Y179" i="11"/>
  <c r="W180" i="11"/>
  <c r="CZ179" i="11"/>
  <c r="DC179" i="11"/>
  <c r="CP179" i="11"/>
  <c r="DP179" i="11"/>
  <c r="DB179" i="11"/>
  <c r="DD179" i="11" s="1"/>
  <c r="CO179" i="11"/>
  <c r="BA179" i="11"/>
  <c r="CN179" i="11"/>
  <c r="BC179" i="11"/>
  <c r="B180" i="11"/>
  <c r="A180" i="11" s="1"/>
  <c r="C181" i="11"/>
  <c r="M179" i="11" l="1"/>
  <c r="N146" i="12"/>
  <c r="M146" i="12"/>
  <c r="L179" i="11"/>
  <c r="EA180" i="11"/>
  <c r="DZ180" i="11"/>
  <c r="EI180" i="11"/>
  <c r="EH180" i="11"/>
  <c r="EC180" i="11"/>
  <c r="A147" i="12"/>
  <c r="N147" i="12" s="1"/>
  <c r="P180" i="11"/>
  <c r="DF178" i="11"/>
  <c r="BS178" i="11"/>
  <c r="BF178" i="11"/>
  <c r="AX177" i="11"/>
  <c r="AY177" i="11" s="1"/>
  <c r="BX177" i="11"/>
  <c r="BY177" i="11" s="1"/>
  <c r="AS177" i="11"/>
  <c r="BL176" i="11"/>
  <c r="DK177" i="11"/>
  <c r="DL177" i="11" s="1"/>
  <c r="B148" i="12"/>
  <c r="AS178" i="11"/>
  <c r="CY177" i="11"/>
  <c r="DJ178" i="11"/>
  <c r="AB180" i="11"/>
  <c r="CF179" i="11"/>
  <c r="CD179" i="11"/>
  <c r="CS179" i="11"/>
  <c r="CQ179" i="11"/>
  <c r="CK178" i="11"/>
  <c r="CJ178" i="11"/>
  <c r="AQ179" i="11"/>
  <c r="AR179" i="11" s="1"/>
  <c r="AT179" i="11" s="1"/>
  <c r="CL177" i="11"/>
  <c r="BL177" i="11"/>
  <c r="CK179" i="11"/>
  <c r="BE179" i="11"/>
  <c r="BG179" i="11" s="1"/>
  <c r="DE179" i="11"/>
  <c r="DG179" i="11" s="1"/>
  <c r="CE180" i="11"/>
  <c r="CG180" i="11" s="1"/>
  <c r="DV180" i="11"/>
  <c r="DU180" i="11"/>
  <c r="DI180" i="11"/>
  <c r="DH180" i="11"/>
  <c r="CR180" i="11"/>
  <c r="CT180" i="11" s="1"/>
  <c r="CU180" i="11"/>
  <c r="CV180" i="11"/>
  <c r="CH180" i="11"/>
  <c r="CI180" i="11"/>
  <c r="BU180" i="11"/>
  <c r="BV180" i="11"/>
  <c r="BI180" i="11"/>
  <c r="BH180" i="11"/>
  <c r="AV180" i="11"/>
  <c r="AU180" i="11"/>
  <c r="AH180" i="11"/>
  <c r="AI180" i="11"/>
  <c r="CX178" i="11"/>
  <c r="CW178" i="11"/>
  <c r="BR179" i="11"/>
  <c r="BT179" i="11" s="1"/>
  <c r="CJ179" i="11"/>
  <c r="CA180" i="11"/>
  <c r="DA180" i="11"/>
  <c r="BA180" i="11"/>
  <c r="DP180" i="11"/>
  <c r="BP180" i="11"/>
  <c r="BN180" i="11"/>
  <c r="DB180" i="11"/>
  <c r="DD180" i="11" s="1"/>
  <c r="CO180" i="11"/>
  <c r="AO180" i="11"/>
  <c r="BO180" i="11"/>
  <c r="BQ180" i="11" s="1"/>
  <c r="AP180" i="11"/>
  <c r="AZ180" i="11"/>
  <c r="BB180" i="11"/>
  <c r="BD180" i="11" s="1"/>
  <c r="CP180" i="11"/>
  <c r="CB180" i="11"/>
  <c r="Y180" i="11"/>
  <c r="BC180" i="11"/>
  <c r="DC180" i="11"/>
  <c r="AA180" i="11"/>
  <c r="CC180" i="11"/>
  <c r="CN180" i="11"/>
  <c r="CZ180" i="11"/>
  <c r="BZ180" i="11"/>
  <c r="BM180" i="11"/>
  <c r="X180" i="11"/>
  <c r="DM180" i="11"/>
  <c r="AN180" i="11"/>
  <c r="CM180" i="11"/>
  <c r="W181" i="11"/>
  <c r="DN180" i="11"/>
  <c r="AM180" i="11"/>
  <c r="B181" i="11"/>
  <c r="A181" i="11" s="1"/>
  <c r="C182" i="11"/>
  <c r="M180" i="11" l="1"/>
  <c r="L180" i="11"/>
  <c r="DZ181" i="11"/>
  <c r="EA181" i="11"/>
  <c r="EI181" i="11"/>
  <c r="EH181" i="11"/>
  <c r="EC181" i="11"/>
  <c r="V147" i="12"/>
  <c r="W147" i="12" s="1"/>
  <c r="M147" i="12"/>
  <c r="A148" i="12"/>
  <c r="V148" i="12" s="1"/>
  <c r="W148" i="12" s="1"/>
  <c r="P181" i="11"/>
  <c r="DF179" i="11"/>
  <c r="BF179" i="11"/>
  <c r="BK179" i="11"/>
  <c r="BS179" i="11"/>
  <c r="BW179" i="11"/>
  <c r="BX178" i="11"/>
  <c r="DK178" i="11"/>
  <c r="DL178" i="11" s="1"/>
  <c r="AW178" i="11"/>
  <c r="AX178" i="11"/>
  <c r="BK178" i="11"/>
  <c r="BJ178" i="11"/>
  <c r="BW178" i="11"/>
  <c r="AS179" i="11"/>
  <c r="B149" i="12"/>
  <c r="AB181" i="11"/>
  <c r="CW179" i="11"/>
  <c r="CX179" i="11"/>
  <c r="CS180" i="11"/>
  <c r="CQ180" i="11"/>
  <c r="CL178" i="11"/>
  <c r="CF180" i="11"/>
  <c r="CD180" i="11"/>
  <c r="AQ180" i="11"/>
  <c r="AR180" i="11" s="1"/>
  <c r="AT180" i="11" s="1"/>
  <c r="CL179" i="11"/>
  <c r="CW180" i="11"/>
  <c r="CE181" i="11"/>
  <c r="CG181" i="11" s="1"/>
  <c r="DV181" i="11"/>
  <c r="DU181" i="11"/>
  <c r="DH181" i="11"/>
  <c r="DI181" i="11"/>
  <c r="CR181" i="11"/>
  <c r="CT181" i="11" s="1"/>
  <c r="CU181" i="11"/>
  <c r="CV181" i="11"/>
  <c r="CI181" i="11"/>
  <c r="CH181" i="11"/>
  <c r="BU181" i="11"/>
  <c r="BH181" i="11"/>
  <c r="BV181" i="11"/>
  <c r="BI181" i="11"/>
  <c r="AU181" i="11"/>
  <c r="AH181" i="11"/>
  <c r="AI181" i="11"/>
  <c r="AV181" i="11"/>
  <c r="CY178" i="11"/>
  <c r="BE180" i="11"/>
  <c r="BG180" i="11" s="1"/>
  <c r="DE180" i="11"/>
  <c r="DG180" i="11" s="1"/>
  <c r="BR180" i="11"/>
  <c r="BT180" i="11" s="1"/>
  <c r="BN181" i="11"/>
  <c r="BP181" i="11"/>
  <c r="BO181" i="11"/>
  <c r="BQ181" i="11" s="1"/>
  <c r="BM181" i="11"/>
  <c r="AA181" i="11"/>
  <c r="BB181" i="11"/>
  <c r="BD181" i="11" s="1"/>
  <c r="AO181" i="11"/>
  <c r="CP181" i="11"/>
  <c r="BC181" i="11"/>
  <c r="CZ181" i="11"/>
  <c r="X181" i="11"/>
  <c r="CB181" i="11"/>
  <c r="DM181" i="11"/>
  <c r="CC181" i="11"/>
  <c r="AM181" i="11"/>
  <c r="CN181" i="11"/>
  <c r="AZ181" i="11"/>
  <c r="CO181" i="11"/>
  <c r="DN181" i="11"/>
  <c r="CM181" i="11"/>
  <c r="DB181" i="11"/>
  <c r="DD181" i="11" s="1"/>
  <c r="BZ181" i="11"/>
  <c r="Y181" i="11"/>
  <c r="DP181" i="11"/>
  <c r="AN181" i="11"/>
  <c r="BA181" i="11"/>
  <c r="CA181" i="11"/>
  <c r="W182" i="11"/>
  <c r="DC181" i="11"/>
  <c r="DA181" i="11"/>
  <c r="AP181" i="11"/>
  <c r="B182" i="11"/>
  <c r="A182" i="11" s="1"/>
  <c r="C183" i="11"/>
  <c r="M181" i="11" l="1"/>
  <c r="L181" i="11"/>
  <c r="EI182" i="11"/>
  <c r="DZ182" i="11"/>
  <c r="EH182" i="11"/>
  <c r="EC182" i="11"/>
  <c r="EA182" i="11"/>
  <c r="M148" i="12"/>
  <c r="N148" i="12"/>
  <c r="A149" i="12"/>
  <c r="V149" i="12" s="1"/>
  <c r="W149" i="12" s="1"/>
  <c r="P182" i="11"/>
  <c r="BX179" i="11"/>
  <c r="BY179" i="11" s="1"/>
  <c r="BS180" i="11"/>
  <c r="BW180" i="11"/>
  <c r="DF180" i="11"/>
  <c r="DJ180" i="11"/>
  <c r="BF180" i="11"/>
  <c r="BL178" i="11"/>
  <c r="BY178" i="11"/>
  <c r="BJ179" i="11"/>
  <c r="BL179" i="11" s="1"/>
  <c r="AX179" i="11"/>
  <c r="AY178" i="11"/>
  <c r="AW179" i="11"/>
  <c r="DK179" i="11"/>
  <c r="DJ179" i="11"/>
  <c r="B150" i="12"/>
  <c r="CK180" i="11"/>
  <c r="CY179" i="11"/>
  <c r="CJ180" i="11"/>
  <c r="CX180" i="11"/>
  <c r="CY180" i="11" s="1"/>
  <c r="AB182" i="11"/>
  <c r="CQ181" i="11"/>
  <c r="BR181" i="11"/>
  <c r="BT181" i="11" s="1"/>
  <c r="CF181" i="11"/>
  <c r="CD181" i="11"/>
  <c r="AQ181" i="11"/>
  <c r="AR181" i="11" s="1"/>
  <c r="AT181" i="11" s="1"/>
  <c r="CS181" i="11"/>
  <c r="DE181" i="11"/>
  <c r="DG181" i="11" s="1"/>
  <c r="BE181" i="11"/>
  <c r="BG181" i="11" s="1"/>
  <c r="CE182" i="11"/>
  <c r="CG182" i="11" s="1"/>
  <c r="DU182" i="11"/>
  <c r="DV182" i="11"/>
  <c r="DH182" i="11"/>
  <c r="DI182" i="11"/>
  <c r="CR182" i="11"/>
  <c r="CT182" i="11" s="1"/>
  <c r="CV182" i="11"/>
  <c r="CU182" i="11"/>
  <c r="CH182" i="11"/>
  <c r="CI182" i="11"/>
  <c r="BU182" i="11"/>
  <c r="BV182" i="11"/>
  <c r="BH182" i="11"/>
  <c r="BI182" i="11"/>
  <c r="AU182" i="11"/>
  <c r="AV182" i="11"/>
  <c r="AI182" i="11"/>
  <c r="AH182" i="11"/>
  <c r="BN182" i="11"/>
  <c r="BP182" i="11"/>
  <c r="BO182" i="11"/>
  <c r="BQ182" i="11" s="1"/>
  <c r="BZ182" i="11"/>
  <c r="CO182" i="11"/>
  <c r="DB182" i="11"/>
  <c r="DD182" i="11" s="1"/>
  <c r="AZ182" i="11"/>
  <c r="X182" i="11"/>
  <c r="CB182" i="11"/>
  <c r="AP182" i="11"/>
  <c r="CM182" i="11"/>
  <c r="CN182" i="11"/>
  <c r="CZ182" i="11"/>
  <c r="DA182" i="11"/>
  <c r="CA182" i="11"/>
  <c r="DN182" i="11"/>
  <c r="AM182" i="11"/>
  <c r="BB182" i="11"/>
  <c r="BD182" i="11" s="1"/>
  <c r="AA182" i="11"/>
  <c r="BC182" i="11"/>
  <c r="DC182" i="11"/>
  <c r="CC182" i="11"/>
  <c r="CP182" i="11"/>
  <c r="BA182" i="11"/>
  <c r="W183" i="11"/>
  <c r="AN182" i="11"/>
  <c r="DP182" i="11"/>
  <c r="AO182" i="11"/>
  <c r="Y182" i="11"/>
  <c r="DM182" i="11"/>
  <c r="BM182" i="11"/>
  <c r="B183" i="11"/>
  <c r="A183" i="11" s="1"/>
  <c r="C184" i="11"/>
  <c r="M182" i="11" l="1"/>
  <c r="M149" i="12"/>
  <c r="N149" i="12"/>
  <c r="L182" i="11"/>
  <c r="EI183" i="11"/>
  <c r="EH183" i="11"/>
  <c r="EC183" i="11"/>
  <c r="EA183" i="11"/>
  <c r="DZ183" i="11"/>
  <c r="A150" i="12"/>
  <c r="V150" i="12" s="1"/>
  <c r="W150" i="12" s="1"/>
  <c r="P183" i="11"/>
  <c r="AY179" i="11"/>
  <c r="DK180" i="11"/>
  <c r="DL180" i="11" s="1"/>
  <c r="DF181" i="11"/>
  <c r="DK181" i="11"/>
  <c r="BS181" i="11"/>
  <c r="BX181" i="11"/>
  <c r="BF181" i="11"/>
  <c r="BK181" i="11"/>
  <c r="AS181" i="11"/>
  <c r="DL179" i="11"/>
  <c r="BK180" i="11"/>
  <c r="BJ180" i="11"/>
  <c r="BX180" i="11"/>
  <c r="BY180" i="11" s="1"/>
  <c r="AW180" i="11"/>
  <c r="B151" i="12"/>
  <c r="AX180" i="11"/>
  <c r="AS180" i="11"/>
  <c r="CL180" i="11"/>
  <c r="AB183" i="11"/>
  <c r="CS182" i="11"/>
  <c r="CQ182" i="11"/>
  <c r="CF182" i="11"/>
  <c r="CD182" i="11"/>
  <c r="CK181" i="11"/>
  <c r="CJ181" i="11"/>
  <c r="AQ182" i="11"/>
  <c r="AR182" i="11" s="1"/>
  <c r="AT182" i="11" s="1"/>
  <c r="BJ181" i="11"/>
  <c r="AW181" i="11"/>
  <c r="AX181" i="11"/>
  <c r="BE182" i="11"/>
  <c r="BG182" i="11" s="1"/>
  <c r="CW181" i="11"/>
  <c r="CX181" i="11"/>
  <c r="CE183" i="11"/>
  <c r="CG183" i="11" s="1"/>
  <c r="DU183" i="11"/>
  <c r="DV183" i="11"/>
  <c r="DH183" i="11"/>
  <c r="DI183" i="11"/>
  <c r="CU183" i="11"/>
  <c r="CV183" i="11"/>
  <c r="CR183" i="11"/>
  <c r="CT183" i="11" s="1"/>
  <c r="CH183" i="11"/>
  <c r="CI183" i="11"/>
  <c r="BU183" i="11"/>
  <c r="BV183" i="11"/>
  <c r="BH183" i="11"/>
  <c r="BI183" i="11"/>
  <c r="AU183" i="11"/>
  <c r="AV183" i="11"/>
  <c r="AH183" i="11"/>
  <c r="AI183" i="11"/>
  <c r="BR182" i="11"/>
  <c r="BT182" i="11" s="1"/>
  <c r="DE182" i="11"/>
  <c r="DG182" i="11" s="1"/>
  <c r="BN183" i="11"/>
  <c r="Y183" i="11"/>
  <c r="AZ183" i="11"/>
  <c r="BZ183" i="11"/>
  <c r="DA183" i="11"/>
  <c r="CC183" i="11"/>
  <c r="BP183" i="11"/>
  <c r="AO183" i="11"/>
  <c r="BO183" i="11"/>
  <c r="BQ183" i="11" s="1"/>
  <c r="BM183" i="11"/>
  <c r="DC183" i="11"/>
  <c r="DM183" i="11"/>
  <c r="CP183" i="11"/>
  <c r="CA183" i="11"/>
  <c r="X183" i="11"/>
  <c r="DN183" i="11"/>
  <c r="CB183" i="11"/>
  <c r="CZ183" i="11"/>
  <c r="DB183" i="11"/>
  <c r="DD183" i="11" s="1"/>
  <c r="BC183" i="11"/>
  <c r="CN183" i="11"/>
  <c r="CM183" i="11"/>
  <c r="DP183" i="11"/>
  <c r="BA183" i="11"/>
  <c r="BB183" i="11"/>
  <c r="BD183" i="11" s="1"/>
  <c r="W184" i="11"/>
  <c r="AA183" i="11"/>
  <c r="AN183" i="11"/>
  <c r="CO183" i="11"/>
  <c r="AM183" i="11"/>
  <c r="AP183" i="11"/>
  <c r="B184" i="11"/>
  <c r="A184" i="11" s="1"/>
  <c r="C185" i="11"/>
  <c r="M183" i="11" l="1"/>
  <c r="L183" i="11"/>
  <c r="EI184" i="11"/>
  <c r="EH184" i="11"/>
  <c r="EA184" i="11"/>
  <c r="EC184" i="11"/>
  <c r="DZ184" i="11"/>
  <c r="N150" i="12"/>
  <c r="M150" i="12"/>
  <c r="A151" i="12"/>
  <c r="V151" i="12" s="1"/>
  <c r="W151" i="12" s="1"/>
  <c r="P184" i="11"/>
  <c r="BF182" i="11"/>
  <c r="DF182" i="11"/>
  <c r="BS182" i="11"/>
  <c r="BW182" i="11"/>
  <c r="DJ181" i="11"/>
  <c r="DL181" i="11" s="1"/>
  <c r="BL180" i="11"/>
  <c r="AY180" i="11"/>
  <c r="B152" i="12"/>
  <c r="BW181" i="11"/>
  <c r="BY181" i="11" s="1"/>
  <c r="BK182" i="11"/>
  <c r="AS182" i="11"/>
  <c r="CX182" i="11"/>
  <c r="AY181" i="11"/>
  <c r="CL181" i="11"/>
  <c r="CW182" i="11"/>
  <c r="AB184" i="11"/>
  <c r="BR183" i="11"/>
  <c r="BT183" i="11" s="1"/>
  <c r="CJ182" i="11"/>
  <c r="CF183" i="11"/>
  <c r="CD183" i="11"/>
  <c r="CW183" i="11"/>
  <c r="CQ183" i="11"/>
  <c r="CK182" i="11"/>
  <c r="AQ183" i="11"/>
  <c r="AR183" i="11" s="1"/>
  <c r="AT183" i="11" s="1"/>
  <c r="BL181" i="11"/>
  <c r="AW182" i="11"/>
  <c r="AX182" i="11"/>
  <c r="DE183" i="11"/>
  <c r="DG183" i="11" s="1"/>
  <c r="CY181" i="11"/>
  <c r="CE184" i="11"/>
  <c r="CG184" i="11" s="1"/>
  <c r="DV184" i="11"/>
  <c r="DU184" i="11"/>
  <c r="DH184" i="11"/>
  <c r="DI184" i="11"/>
  <c r="CR184" i="11"/>
  <c r="CT184" i="11" s="1"/>
  <c r="CU184" i="11"/>
  <c r="CV184" i="11"/>
  <c r="CH184" i="11"/>
  <c r="CI184" i="11"/>
  <c r="BU184" i="11"/>
  <c r="BH184" i="11"/>
  <c r="BV184" i="11"/>
  <c r="BI184" i="11"/>
  <c r="AV184" i="11"/>
  <c r="AI184" i="11"/>
  <c r="AU184" i="11"/>
  <c r="AH184" i="11"/>
  <c r="BE183" i="11"/>
  <c r="BG183" i="11" s="1"/>
  <c r="DM184" i="11"/>
  <c r="BP184" i="11"/>
  <c r="AP184" i="11"/>
  <c r="BN184" i="11"/>
  <c r="AO184" i="11"/>
  <c r="CO184" i="11"/>
  <c r="BO184" i="11"/>
  <c r="BQ184" i="11" s="1"/>
  <c r="CP184" i="11"/>
  <c r="AZ184" i="11"/>
  <c r="DP184" i="11"/>
  <c r="X184" i="11"/>
  <c r="CA184" i="11"/>
  <c r="AM184" i="11"/>
  <c r="CM184" i="11"/>
  <c r="DA184" i="11"/>
  <c r="CC184" i="11"/>
  <c r="BM184" i="11"/>
  <c r="CB184" i="11"/>
  <c r="AN184" i="11"/>
  <c r="DC184" i="11"/>
  <c r="DB184" i="11"/>
  <c r="DD184" i="11" s="1"/>
  <c r="DN184" i="11"/>
  <c r="W185" i="11"/>
  <c r="AA184" i="11"/>
  <c r="BB184" i="11"/>
  <c r="BD184" i="11" s="1"/>
  <c r="CN184" i="11"/>
  <c r="CZ184" i="11"/>
  <c r="BA184" i="11"/>
  <c r="BC184" i="11"/>
  <c r="Y184" i="11"/>
  <c r="BZ184" i="11"/>
  <c r="B185" i="11"/>
  <c r="A185" i="11" s="1"/>
  <c r="C186" i="11"/>
  <c r="BZ185" i="11" l="1"/>
  <c r="L184" i="11"/>
  <c r="M184" i="11"/>
  <c r="DZ185" i="11"/>
  <c r="EI185" i="11"/>
  <c r="EH185" i="11"/>
  <c r="EC185" i="11"/>
  <c r="EA185" i="11"/>
  <c r="N151" i="12"/>
  <c r="M151" i="12"/>
  <c r="A152" i="12"/>
  <c r="N152" i="12" s="1"/>
  <c r="P185" i="11"/>
  <c r="BX182" i="11"/>
  <c r="BY182" i="11" s="1"/>
  <c r="BF183" i="11"/>
  <c r="DF183" i="11"/>
  <c r="DK183" i="11"/>
  <c r="BJ182" i="11"/>
  <c r="BL182" i="11" s="1"/>
  <c r="B153" i="12"/>
  <c r="DJ182" i="11"/>
  <c r="DK182" i="11"/>
  <c r="BW183" i="11"/>
  <c r="BJ183" i="11"/>
  <c r="AS183" i="11"/>
  <c r="CY182" i="11"/>
  <c r="BS183" i="11"/>
  <c r="CJ183" i="11"/>
  <c r="AB185" i="11"/>
  <c r="CL182" i="11"/>
  <c r="CK183" i="11"/>
  <c r="AY182" i="11"/>
  <c r="CF184" i="11"/>
  <c r="CD184" i="11"/>
  <c r="CX183" i="11"/>
  <c r="CY183" i="11" s="1"/>
  <c r="CS183" i="11"/>
  <c r="CS184" i="11"/>
  <c r="CQ184" i="11"/>
  <c r="AQ184" i="11"/>
  <c r="AR184" i="11" s="1"/>
  <c r="AT184" i="11" s="1"/>
  <c r="AX183" i="11"/>
  <c r="AW183" i="11"/>
  <c r="BE184" i="11"/>
  <c r="BG184" i="11" s="1"/>
  <c r="BR184" i="11"/>
  <c r="BT184" i="11" s="1"/>
  <c r="DE184" i="11"/>
  <c r="DG184" i="11" s="1"/>
  <c r="CE185" i="11"/>
  <c r="CG185" i="11" s="1"/>
  <c r="DU185" i="11"/>
  <c r="DV185" i="11"/>
  <c r="DH185" i="11"/>
  <c r="DI185" i="11"/>
  <c r="CU185" i="11"/>
  <c r="CV185" i="11"/>
  <c r="CR185" i="11"/>
  <c r="CT185" i="11" s="1"/>
  <c r="CI185" i="11"/>
  <c r="CH185" i="11"/>
  <c r="BU185" i="11"/>
  <c r="BV185" i="11"/>
  <c r="BI185" i="11"/>
  <c r="BH185" i="11"/>
  <c r="AU185" i="11"/>
  <c r="AV185" i="11"/>
  <c r="AH185" i="11"/>
  <c r="AI185" i="11"/>
  <c r="BP185" i="11"/>
  <c r="AP185" i="11"/>
  <c r="BN185" i="11"/>
  <c r="BO185" i="11"/>
  <c r="BQ185" i="11" s="1"/>
  <c r="Y185" i="11"/>
  <c r="DA185" i="11"/>
  <c r="BC185" i="11"/>
  <c r="AN185" i="11"/>
  <c r="CM185" i="11"/>
  <c r="DM185" i="11"/>
  <c r="AM185" i="11"/>
  <c r="CN185" i="11"/>
  <c r="DP185" i="11"/>
  <c r="CA185" i="11"/>
  <c r="CC185" i="11"/>
  <c r="BA185" i="11"/>
  <c r="BB185" i="11"/>
  <c r="BD185" i="11" s="1"/>
  <c r="AZ185" i="11"/>
  <c r="CB185" i="11"/>
  <c r="X185" i="11"/>
  <c r="AA185" i="11"/>
  <c r="DN185" i="11"/>
  <c r="BM185" i="11"/>
  <c r="CZ185" i="11"/>
  <c r="DB185" i="11"/>
  <c r="DD185" i="11" s="1"/>
  <c r="W186" i="11"/>
  <c r="DC185" i="11"/>
  <c r="CO185" i="11"/>
  <c r="AO185" i="11"/>
  <c r="CP185" i="11"/>
  <c r="B186" i="11"/>
  <c r="A186" i="11" s="1"/>
  <c r="C187" i="11"/>
  <c r="M185" i="11" l="1"/>
  <c r="L185" i="11"/>
  <c r="EI186" i="11"/>
  <c r="EH186" i="11"/>
  <c r="EC186" i="11"/>
  <c r="EA186" i="11"/>
  <c r="DZ186" i="11"/>
  <c r="M152" i="12"/>
  <c r="V152" i="12"/>
  <c r="W152" i="12" s="1"/>
  <c r="A153" i="12"/>
  <c r="V153" i="12" s="1"/>
  <c r="W153" i="12" s="1"/>
  <c r="P186" i="11"/>
  <c r="DF184" i="11"/>
  <c r="BS184" i="11"/>
  <c r="BF184" i="11"/>
  <c r="BK184" i="11"/>
  <c r="DJ183" i="11"/>
  <c r="DL183" i="11" s="1"/>
  <c r="BX183" i="11"/>
  <c r="BY183" i="11" s="1"/>
  <c r="DL182" i="11"/>
  <c r="B154" i="12"/>
  <c r="AW184" i="11"/>
  <c r="BK183" i="11"/>
  <c r="BL183" i="11" s="1"/>
  <c r="CL183" i="11"/>
  <c r="CK184" i="11"/>
  <c r="CJ184" i="11"/>
  <c r="AB186" i="11"/>
  <c r="CS185" i="11"/>
  <c r="CQ185" i="11"/>
  <c r="CX184" i="11"/>
  <c r="CJ185" i="11"/>
  <c r="CD185" i="11"/>
  <c r="CW184" i="11"/>
  <c r="AQ185" i="11"/>
  <c r="AR185" i="11" s="1"/>
  <c r="AT185" i="11" s="1"/>
  <c r="AY183" i="11"/>
  <c r="BE185" i="11"/>
  <c r="BG185" i="11" s="1"/>
  <c r="DE185" i="11"/>
  <c r="DG185" i="11" s="1"/>
  <c r="CE186" i="11"/>
  <c r="CG186" i="11" s="1"/>
  <c r="DU186" i="11"/>
  <c r="DV186" i="11"/>
  <c r="DH186" i="11"/>
  <c r="DI186" i="11"/>
  <c r="CR186" i="11"/>
  <c r="CT186" i="11" s="1"/>
  <c r="CU186" i="11"/>
  <c r="CV186" i="11"/>
  <c r="CH186" i="11"/>
  <c r="CI186" i="11"/>
  <c r="BU186" i="11"/>
  <c r="BV186" i="11"/>
  <c r="BH186" i="11"/>
  <c r="AU186" i="11"/>
  <c r="BI186" i="11"/>
  <c r="AV186" i="11"/>
  <c r="AH186" i="11"/>
  <c r="AI186" i="11"/>
  <c r="BR185" i="11"/>
  <c r="BT185" i="11" s="1"/>
  <c r="CZ186" i="11"/>
  <c r="BP186" i="11"/>
  <c r="BN186" i="11"/>
  <c r="BO186" i="11"/>
  <c r="BQ186" i="11" s="1"/>
  <c r="Y186" i="11"/>
  <c r="DB186" i="11"/>
  <c r="DD186" i="11" s="1"/>
  <c r="AO186" i="11"/>
  <c r="X186" i="11"/>
  <c r="DC186" i="11"/>
  <c r="AN186" i="11"/>
  <c r="CA186" i="11"/>
  <c r="DM186" i="11"/>
  <c r="BM186" i="11"/>
  <c r="CB186" i="11"/>
  <c r="AZ186" i="11"/>
  <c r="CC186" i="11"/>
  <c r="DP186" i="11"/>
  <c r="CP186" i="11"/>
  <c r="BZ186" i="11"/>
  <c r="CN186" i="11"/>
  <c r="AM186" i="11"/>
  <c r="DN186" i="11"/>
  <c r="DA186" i="11"/>
  <c r="BA186" i="11"/>
  <c r="AA186" i="11"/>
  <c r="BC186" i="11"/>
  <c r="CM186" i="11"/>
  <c r="W187" i="11"/>
  <c r="CO186" i="11"/>
  <c r="BB186" i="11"/>
  <c r="BD186" i="11" s="1"/>
  <c r="AP186" i="11"/>
  <c r="B187" i="11"/>
  <c r="A187" i="11" s="1"/>
  <c r="C188" i="11"/>
  <c r="M186" i="11" l="1"/>
  <c r="L186" i="11"/>
  <c r="M153" i="12"/>
  <c r="EH187" i="11"/>
  <c r="EC187" i="11"/>
  <c r="EA187" i="11"/>
  <c r="DZ187" i="11"/>
  <c r="EI187" i="11"/>
  <c r="N153" i="12"/>
  <c r="A154" i="12"/>
  <c r="M154" i="12" s="1"/>
  <c r="P187" i="11"/>
  <c r="BS185" i="11"/>
  <c r="DF185" i="11"/>
  <c r="DK185" i="11"/>
  <c r="BF185" i="11"/>
  <c r="BJ185" i="11"/>
  <c r="BJ184" i="11"/>
  <c r="BL184" i="11" s="1"/>
  <c r="BX185" i="11"/>
  <c r="DK184" i="11"/>
  <c r="BW184" i="11"/>
  <c r="BX184" i="11"/>
  <c r="AX184" i="11"/>
  <c r="AY184" i="11" s="1"/>
  <c r="B155" i="12"/>
  <c r="DJ184" i="11"/>
  <c r="AX185" i="11"/>
  <c r="AS184" i="11"/>
  <c r="CL184" i="11"/>
  <c r="CY184" i="11"/>
  <c r="CQ186" i="11"/>
  <c r="AB187" i="11"/>
  <c r="CW185" i="11"/>
  <c r="CX185" i="11"/>
  <c r="CK185" i="11"/>
  <c r="CL185" i="11" s="1"/>
  <c r="CF185" i="11"/>
  <c r="CF186" i="11"/>
  <c r="CD186" i="11"/>
  <c r="AQ186" i="11"/>
  <c r="AR186" i="11" s="1"/>
  <c r="AT186" i="11" s="1"/>
  <c r="DE186" i="11"/>
  <c r="DG186" i="11" s="1"/>
  <c r="CE187" i="11"/>
  <c r="CG187" i="11" s="1"/>
  <c r="DU187" i="11"/>
  <c r="DV187" i="11"/>
  <c r="DH187" i="11"/>
  <c r="DI187" i="11"/>
  <c r="CV187" i="11"/>
  <c r="CR187" i="11"/>
  <c r="CT187" i="11" s="1"/>
  <c r="CU187" i="11"/>
  <c r="CI187" i="11"/>
  <c r="CH187" i="11"/>
  <c r="BU187" i="11"/>
  <c r="BV187" i="11"/>
  <c r="BH187" i="11"/>
  <c r="BI187" i="11"/>
  <c r="AU187" i="11"/>
  <c r="AV187" i="11"/>
  <c r="AH187" i="11"/>
  <c r="AI187" i="11"/>
  <c r="BE186" i="11"/>
  <c r="BG186" i="11" s="1"/>
  <c r="BR186" i="11"/>
  <c r="BT186" i="11" s="1"/>
  <c r="CS186" i="11"/>
  <c r="BP187" i="11"/>
  <c r="DC187" i="11"/>
  <c r="BN187" i="11"/>
  <c r="BO187" i="11"/>
  <c r="BQ187" i="11" s="1"/>
  <c r="Y187" i="11"/>
  <c r="DM187" i="11"/>
  <c r="DA187" i="11"/>
  <c r="AO187" i="11"/>
  <c r="BB187" i="11"/>
  <c r="BD187" i="11" s="1"/>
  <c r="DN187" i="11"/>
  <c r="CP187" i="11"/>
  <c r="AM187" i="11"/>
  <c r="CB187" i="11"/>
  <c r="AN187" i="11"/>
  <c r="DB187" i="11"/>
  <c r="DD187" i="11" s="1"/>
  <c r="BC187" i="11"/>
  <c r="CM187" i="11"/>
  <c r="AA187" i="11"/>
  <c r="AZ187" i="11"/>
  <c r="CA187" i="11"/>
  <c r="CC187" i="11"/>
  <c r="AP187" i="11"/>
  <c r="CO187" i="11"/>
  <c r="X187" i="11"/>
  <c r="BZ187" i="11"/>
  <c r="BM187" i="11"/>
  <c r="W188" i="11"/>
  <c r="DP187" i="11"/>
  <c r="CN187" i="11"/>
  <c r="BA187" i="11"/>
  <c r="CZ187" i="11"/>
  <c r="B188" i="11"/>
  <c r="A188" i="11" s="1"/>
  <c r="C189" i="11"/>
  <c r="L187" i="11" l="1"/>
  <c r="V154" i="12"/>
  <c r="W154" i="12" s="1"/>
  <c r="N154" i="12"/>
  <c r="M187" i="11"/>
  <c r="EC188" i="11"/>
  <c r="EA188" i="11"/>
  <c r="DZ188" i="11"/>
  <c r="EI188" i="11"/>
  <c r="EH188" i="11"/>
  <c r="A155" i="12"/>
  <c r="V155" i="12" s="1"/>
  <c r="W155" i="12" s="1"/>
  <c r="P188" i="11"/>
  <c r="BS186" i="11"/>
  <c r="BF186" i="11"/>
  <c r="BJ186" i="11"/>
  <c r="DF186" i="11"/>
  <c r="DJ186" i="11"/>
  <c r="DJ185" i="11"/>
  <c r="DL185" i="11" s="1"/>
  <c r="BW185" i="11"/>
  <c r="BY185" i="11" s="1"/>
  <c r="AW185" i="11"/>
  <c r="AY185" i="11" s="1"/>
  <c r="DL184" i="11"/>
  <c r="BY184" i="11"/>
  <c r="BK185" i="11"/>
  <c r="BL185" i="11" s="1"/>
  <c r="B156" i="12"/>
  <c r="BX186" i="11"/>
  <c r="AS185" i="11"/>
  <c r="CY185" i="11"/>
  <c r="AB188" i="11"/>
  <c r="CF187" i="11"/>
  <c r="CD187" i="11"/>
  <c r="CJ186" i="11"/>
  <c r="CX187" i="11"/>
  <c r="CQ187" i="11"/>
  <c r="CK186" i="11"/>
  <c r="AQ187" i="11"/>
  <c r="AR187" i="11" s="1"/>
  <c r="AT187" i="11" s="1"/>
  <c r="CK187" i="11"/>
  <c r="CJ187" i="11"/>
  <c r="CE188" i="11"/>
  <c r="CG188" i="11" s="1"/>
  <c r="DV188" i="11"/>
  <c r="DU188" i="11"/>
  <c r="DH188" i="11"/>
  <c r="DI188" i="11"/>
  <c r="CR188" i="11"/>
  <c r="CT188" i="11" s="1"/>
  <c r="CU188" i="11"/>
  <c r="CV188" i="11"/>
  <c r="CI188" i="11"/>
  <c r="CH188" i="11"/>
  <c r="BU188" i="11"/>
  <c r="BV188" i="11"/>
  <c r="BH188" i="11"/>
  <c r="BI188" i="11"/>
  <c r="AV188" i="11"/>
  <c r="AU188" i="11"/>
  <c r="AH188" i="11"/>
  <c r="AI188" i="11"/>
  <c r="CX186" i="11"/>
  <c r="CW186" i="11"/>
  <c r="BE187" i="11"/>
  <c r="BG187" i="11" s="1"/>
  <c r="BR187" i="11"/>
  <c r="BT187" i="11" s="1"/>
  <c r="DE187" i="11"/>
  <c r="DG187" i="11" s="1"/>
  <c r="BN188" i="11"/>
  <c r="CN188" i="11"/>
  <c r="BP188" i="11"/>
  <c r="BO188" i="11"/>
  <c r="BQ188" i="11" s="1"/>
  <c r="CM188" i="11"/>
  <c r="AN188" i="11"/>
  <c r="DB188" i="11"/>
  <c r="DD188" i="11" s="1"/>
  <c r="DP188" i="11"/>
  <c r="CP188" i="11"/>
  <c r="AM188" i="11"/>
  <c r="X188" i="11"/>
  <c r="DN188" i="11"/>
  <c r="BM188" i="11"/>
  <c r="CZ188" i="11"/>
  <c r="DM188" i="11"/>
  <c r="BA188" i="11"/>
  <c r="BB188" i="11"/>
  <c r="BD188" i="11" s="1"/>
  <c r="BC188" i="11"/>
  <c r="AP188" i="11"/>
  <c r="DA188" i="11"/>
  <c r="CO188" i="11"/>
  <c r="AA188" i="11"/>
  <c r="CB188" i="11"/>
  <c r="CA188" i="11"/>
  <c r="AO188" i="11"/>
  <c r="BZ188" i="11"/>
  <c r="CC188" i="11"/>
  <c r="AZ188" i="11"/>
  <c r="W189" i="11"/>
  <c r="Y188" i="11"/>
  <c r="DC188" i="11"/>
  <c r="B189" i="11"/>
  <c r="A189" i="11" s="1"/>
  <c r="C190" i="11"/>
  <c r="N155" i="12" l="1"/>
  <c r="M155" i="12"/>
  <c r="M188" i="11"/>
  <c r="L188" i="11"/>
  <c r="DZ189" i="11"/>
  <c r="EC189" i="11"/>
  <c r="EA189" i="11"/>
  <c r="EI189" i="11"/>
  <c r="EH189" i="11"/>
  <c r="A156" i="12"/>
  <c r="N156" i="12" s="1"/>
  <c r="P189" i="11"/>
  <c r="DF187" i="11"/>
  <c r="BF187" i="11"/>
  <c r="BS187" i="11"/>
  <c r="DK186" i="11"/>
  <c r="DL186" i="11" s="1"/>
  <c r="BK186" i="11"/>
  <c r="BL186" i="11" s="1"/>
  <c r="BW186" i="11"/>
  <c r="BY186" i="11" s="1"/>
  <c r="AX187" i="11"/>
  <c r="AX186" i="11"/>
  <c r="BJ187" i="11"/>
  <c r="B157" i="12"/>
  <c r="AW186" i="11"/>
  <c r="AS186" i="11"/>
  <c r="DJ187" i="11"/>
  <c r="BW187" i="11"/>
  <c r="CL186" i="11"/>
  <c r="AB189" i="11"/>
  <c r="CS188" i="11"/>
  <c r="CQ188" i="11"/>
  <c r="CY186" i="11"/>
  <c r="CW187" i="11"/>
  <c r="CY187" i="11" s="1"/>
  <c r="CS187" i="11"/>
  <c r="CJ188" i="11"/>
  <c r="CD188" i="11"/>
  <c r="AQ188" i="11"/>
  <c r="AR188" i="11" s="1"/>
  <c r="AT188" i="11" s="1"/>
  <c r="CL187" i="11"/>
  <c r="CX188" i="11"/>
  <c r="CW188" i="11"/>
  <c r="BE188" i="11"/>
  <c r="BG188" i="11" s="1"/>
  <c r="BN189" i="11"/>
  <c r="CE189" i="11"/>
  <c r="CG189" i="11" s="1"/>
  <c r="DU189" i="11"/>
  <c r="DV189" i="11"/>
  <c r="DH189" i="11"/>
  <c r="DI189" i="11"/>
  <c r="CU189" i="11"/>
  <c r="CV189" i="11"/>
  <c r="CR189" i="11"/>
  <c r="CT189" i="11" s="1"/>
  <c r="CH189" i="11"/>
  <c r="CI189" i="11"/>
  <c r="BU189" i="11"/>
  <c r="BV189" i="11"/>
  <c r="BI189" i="11"/>
  <c r="BH189" i="11"/>
  <c r="AU189" i="11"/>
  <c r="AV189" i="11"/>
  <c r="AH189" i="11"/>
  <c r="AI189" i="11"/>
  <c r="BR188" i="11"/>
  <c r="BT188" i="11" s="1"/>
  <c r="DE188" i="11"/>
  <c r="DG188" i="11" s="1"/>
  <c r="BP189" i="11"/>
  <c r="AO189" i="11"/>
  <c r="BO189" i="11"/>
  <c r="X189" i="11"/>
  <c r="DP189" i="11"/>
  <c r="DM189" i="11"/>
  <c r="AM189" i="11"/>
  <c r="CO189" i="11"/>
  <c r="CB189" i="11"/>
  <c r="AA189" i="11"/>
  <c r="DB189" i="11"/>
  <c r="DD189" i="11" s="1"/>
  <c r="CN189" i="11"/>
  <c r="CZ189" i="11"/>
  <c r="BZ189" i="11"/>
  <c r="BB189" i="11"/>
  <c r="BD189" i="11" s="1"/>
  <c r="DA189" i="11"/>
  <c r="BM189" i="11"/>
  <c r="AZ189" i="11"/>
  <c r="CC189" i="11"/>
  <c r="CP189" i="11"/>
  <c r="AP189" i="11"/>
  <c r="DN189" i="11"/>
  <c r="BA189" i="11"/>
  <c r="AN189" i="11"/>
  <c r="DC189" i="11"/>
  <c r="Y189" i="11"/>
  <c r="W190" i="11"/>
  <c r="BC189" i="11"/>
  <c r="CA189" i="11"/>
  <c r="CM189" i="11"/>
  <c r="B190" i="11"/>
  <c r="A190" i="11" s="1"/>
  <c r="C191" i="11"/>
  <c r="M189" i="11" l="1"/>
  <c r="L189" i="11"/>
  <c r="EI190" i="11"/>
  <c r="EA190" i="11"/>
  <c r="DZ190" i="11"/>
  <c r="EH190" i="11"/>
  <c r="EC190" i="11"/>
  <c r="M156" i="12"/>
  <c r="V156" i="12"/>
  <c r="W156" i="12" s="1"/>
  <c r="A157" i="12"/>
  <c r="M157" i="12" s="1"/>
  <c r="P190" i="11"/>
  <c r="BS188" i="11"/>
  <c r="BF188" i="11"/>
  <c r="BJ188" i="11"/>
  <c r="DF188" i="11"/>
  <c r="AS187" i="11"/>
  <c r="AY186" i="11"/>
  <c r="AW187" i="11"/>
  <c r="AY187" i="11" s="1"/>
  <c r="BX187" i="11"/>
  <c r="BY187" i="11" s="1"/>
  <c r="BK187" i="11"/>
  <c r="BL187" i="11" s="1"/>
  <c r="DK187" i="11"/>
  <c r="DL187" i="11" s="1"/>
  <c r="AX188" i="11"/>
  <c r="B158" i="12"/>
  <c r="AB190" i="11"/>
  <c r="BQ189" i="11"/>
  <c r="BR189" i="11" s="1"/>
  <c r="BT189" i="11" s="1"/>
  <c r="CK188" i="11"/>
  <c r="CL188" i="11" s="1"/>
  <c r="CF188" i="11"/>
  <c r="CF189" i="11"/>
  <c r="CD189" i="11"/>
  <c r="CS189" i="11"/>
  <c r="CQ189" i="11"/>
  <c r="CY188" i="11"/>
  <c r="AQ189" i="11"/>
  <c r="AR189" i="11" s="1"/>
  <c r="AT189" i="11" s="1"/>
  <c r="BE189" i="11"/>
  <c r="BG189" i="11" s="1"/>
  <c r="DE189" i="11"/>
  <c r="DG189" i="11" s="1"/>
  <c r="CE190" i="11"/>
  <c r="CG190" i="11" s="1"/>
  <c r="DU190" i="11"/>
  <c r="DV190" i="11"/>
  <c r="DH190" i="11"/>
  <c r="DI190" i="11"/>
  <c r="CU190" i="11"/>
  <c r="CR190" i="11"/>
  <c r="CT190" i="11" s="1"/>
  <c r="CV190" i="11"/>
  <c r="CH190" i="11"/>
  <c r="CI190" i="11"/>
  <c r="BU190" i="11"/>
  <c r="BV190" i="11"/>
  <c r="BH190" i="11"/>
  <c r="BI190" i="11"/>
  <c r="AU190" i="11"/>
  <c r="AV190" i="11"/>
  <c r="AH190" i="11"/>
  <c r="AI190" i="11"/>
  <c r="BP190" i="11"/>
  <c r="X190" i="11"/>
  <c r="BN190" i="11"/>
  <c r="BO190" i="11"/>
  <c r="BQ190" i="11" s="1"/>
  <c r="BA190" i="11"/>
  <c r="DN190" i="11"/>
  <c r="AA190" i="11"/>
  <c r="BC190" i="11"/>
  <c r="DC190" i="11"/>
  <c r="AZ190" i="11"/>
  <c r="DA190" i="11"/>
  <c r="CM190" i="11"/>
  <c r="AN190" i="11"/>
  <c r="BB190" i="11"/>
  <c r="BD190" i="11" s="1"/>
  <c r="BZ190" i="11"/>
  <c r="AM190" i="11"/>
  <c r="CA190" i="11"/>
  <c r="Y190" i="11"/>
  <c r="CC190" i="11"/>
  <c r="BM190" i="11"/>
  <c r="CB190" i="11"/>
  <c r="CO190" i="11"/>
  <c r="CZ190" i="11"/>
  <c r="DM190" i="11"/>
  <c r="AP190" i="11"/>
  <c r="CN190" i="11"/>
  <c r="DP190" i="11"/>
  <c r="W191" i="11"/>
  <c r="CP190" i="11"/>
  <c r="DB190" i="11"/>
  <c r="DD190" i="11" s="1"/>
  <c r="AO190" i="11"/>
  <c r="B191" i="11"/>
  <c r="A191" i="11" s="1"/>
  <c r="C192" i="11"/>
  <c r="N157" i="12" l="1"/>
  <c r="V157" i="12"/>
  <c r="W157" i="12" s="1"/>
  <c r="L190" i="11"/>
  <c r="M190" i="11"/>
  <c r="EA191" i="11"/>
  <c r="DZ191" i="11"/>
  <c r="EI191" i="11"/>
  <c r="EH191" i="11"/>
  <c r="EC191" i="11"/>
  <c r="A158" i="12"/>
  <c r="M158" i="12" s="1"/>
  <c r="P191" i="11"/>
  <c r="DF189" i="11"/>
  <c r="DJ189" i="11"/>
  <c r="BF189" i="11"/>
  <c r="BX189" i="11"/>
  <c r="AW188" i="11"/>
  <c r="BX188" i="11"/>
  <c r="BK188" i="11"/>
  <c r="BL188" i="11" s="1"/>
  <c r="BW188" i="11"/>
  <c r="BK189" i="11"/>
  <c r="DJ188" i="11"/>
  <c r="AX189" i="11"/>
  <c r="DK188" i="11"/>
  <c r="AS188" i="11"/>
  <c r="B159" i="12"/>
  <c r="CX189" i="11"/>
  <c r="CK189" i="11"/>
  <c r="BS189" i="11"/>
  <c r="AB191" i="11"/>
  <c r="CW189" i="11"/>
  <c r="CF190" i="11"/>
  <c r="CD190" i="11"/>
  <c r="CS190" i="11"/>
  <c r="CQ190" i="11"/>
  <c r="CJ189" i="11"/>
  <c r="AQ190" i="11"/>
  <c r="AR190" i="11" s="1"/>
  <c r="AT190" i="11" s="1"/>
  <c r="DK189" i="11"/>
  <c r="DE190" i="11"/>
  <c r="DG190" i="11" s="1"/>
  <c r="BE190" i="11"/>
  <c r="BG190" i="11" s="1"/>
  <c r="X191" i="11"/>
  <c r="CE191" i="11"/>
  <c r="CG191" i="11" s="1"/>
  <c r="DV191" i="11"/>
  <c r="DU191" i="11"/>
  <c r="DH191" i="11"/>
  <c r="DI191" i="11"/>
  <c r="CR191" i="11"/>
  <c r="CT191" i="11" s="1"/>
  <c r="CU191" i="11"/>
  <c r="CV191" i="11"/>
  <c r="CH191" i="11"/>
  <c r="CI191" i="11"/>
  <c r="BU191" i="11"/>
  <c r="BV191" i="11"/>
  <c r="BH191" i="11"/>
  <c r="BI191" i="11"/>
  <c r="AU191" i="11"/>
  <c r="AV191" i="11"/>
  <c r="AH191" i="11"/>
  <c r="AI191" i="11"/>
  <c r="BR190" i="11"/>
  <c r="BT190" i="11" s="1"/>
  <c r="DM191" i="11"/>
  <c r="CP191" i="11"/>
  <c r="BN191" i="11"/>
  <c r="BP191" i="11"/>
  <c r="BB191" i="11"/>
  <c r="BD191" i="11" s="1"/>
  <c r="DB191" i="11"/>
  <c r="DD191" i="11" s="1"/>
  <c r="AO191" i="11"/>
  <c r="BO191" i="11"/>
  <c r="CO191" i="11"/>
  <c r="AP191" i="11"/>
  <c r="BM191" i="11"/>
  <c r="CM191" i="11"/>
  <c r="CC191" i="11"/>
  <c r="BZ191" i="11"/>
  <c r="BA191" i="11"/>
  <c r="DA191" i="11"/>
  <c r="BC191" i="11"/>
  <c r="AZ191" i="11"/>
  <c r="Y191" i="11"/>
  <c r="CA191" i="11"/>
  <c r="DP191" i="11"/>
  <c r="DC191" i="11"/>
  <c r="CN191" i="11"/>
  <c r="DN191" i="11"/>
  <c r="CB191" i="11"/>
  <c r="AA191" i="11"/>
  <c r="W192" i="11"/>
  <c r="CZ191" i="11"/>
  <c r="AM191" i="11"/>
  <c r="AN191" i="11"/>
  <c r="B192" i="11"/>
  <c r="A192" i="11" s="1"/>
  <c r="C193" i="11"/>
  <c r="AY188" i="11" l="1"/>
  <c r="M191" i="11"/>
  <c r="L191" i="11"/>
  <c r="V158" i="12"/>
  <c r="W158" i="12" s="1"/>
  <c r="DZ192" i="11"/>
  <c r="EI192" i="11"/>
  <c r="EH192" i="11"/>
  <c r="EC192" i="11"/>
  <c r="EA192" i="11"/>
  <c r="N158" i="12"/>
  <c r="A159" i="12"/>
  <c r="V159" i="12" s="1"/>
  <c r="P192" i="11"/>
  <c r="BF190" i="11"/>
  <c r="DF190" i="11"/>
  <c r="DK190" i="11"/>
  <c r="BS190" i="11"/>
  <c r="BW189" i="11"/>
  <c r="BY189" i="11" s="1"/>
  <c r="BY188" i="11"/>
  <c r="BJ189" i="11"/>
  <c r="BL189" i="11" s="1"/>
  <c r="AW189" i="11"/>
  <c r="AY189" i="11" s="1"/>
  <c r="DL188" i="11"/>
  <c r="CY189" i="11"/>
  <c r="CL189" i="11"/>
  <c r="AW190" i="11"/>
  <c r="B160" i="12"/>
  <c r="BK190" i="11"/>
  <c r="AS189" i="11"/>
  <c r="CW190" i="11"/>
  <c r="CK190" i="11"/>
  <c r="CJ190" i="11"/>
  <c r="BQ191" i="11"/>
  <c r="BR191" i="11" s="1"/>
  <c r="BT191" i="11" s="1"/>
  <c r="CX190" i="11"/>
  <c r="AB192" i="11"/>
  <c r="CF191" i="11"/>
  <c r="CD191" i="11"/>
  <c r="CX191" i="11"/>
  <c r="CQ191" i="11"/>
  <c r="AQ191" i="11"/>
  <c r="AR191" i="11" s="1"/>
  <c r="AT191" i="11" s="1"/>
  <c r="DL189" i="11"/>
  <c r="DJ190" i="11"/>
  <c r="DE191" i="11"/>
  <c r="DG191" i="11" s="1"/>
  <c r="BN192" i="11"/>
  <c r="CE192" i="11"/>
  <c r="CG192" i="11" s="1"/>
  <c r="DV192" i="11"/>
  <c r="DU192" i="11"/>
  <c r="DI192" i="11"/>
  <c r="DH192" i="11"/>
  <c r="CR192" i="11"/>
  <c r="CT192" i="11" s="1"/>
  <c r="CU192" i="11"/>
  <c r="CV192" i="11"/>
  <c r="CH192" i="11"/>
  <c r="BU192" i="11"/>
  <c r="BV192" i="11"/>
  <c r="CI192" i="11"/>
  <c r="BI192" i="11"/>
  <c r="BH192" i="11"/>
  <c r="AH192" i="11"/>
  <c r="AI192" i="11"/>
  <c r="AU192" i="11"/>
  <c r="AV192" i="11"/>
  <c r="BE191" i="11"/>
  <c r="BG191" i="11" s="1"/>
  <c r="BP192" i="11"/>
  <c r="DA192" i="11"/>
  <c r="BO192" i="11"/>
  <c r="BQ192" i="11" s="1"/>
  <c r="DP192" i="11"/>
  <c r="CP192" i="11"/>
  <c r="AA192" i="11"/>
  <c r="DM192" i="11"/>
  <c r="CZ192" i="11"/>
  <c r="AN192" i="11"/>
  <c r="Y192" i="11"/>
  <c r="CB192" i="11"/>
  <c r="CN192" i="11"/>
  <c r="DC192" i="11"/>
  <c r="DN192" i="11"/>
  <c r="AM192" i="11"/>
  <c r="AZ192" i="11"/>
  <c r="AP192" i="11"/>
  <c r="AO192" i="11"/>
  <c r="BA192" i="11"/>
  <c r="DB192" i="11"/>
  <c r="DD192" i="11" s="1"/>
  <c r="CM192" i="11"/>
  <c r="BZ192" i="11"/>
  <c r="W193" i="11"/>
  <c r="X192" i="11"/>
  <c r="BC192" i="11"/>
  <c r="CA192" i="11"/>
  <c r="CO192" i="11"/>
  <c r="BM192" i="11"/>
  <c r="CC192" i="11"/>
  <c r="BB192" i="11"/>
  <c r="BD192" i="11" s="1"/>
  <c r="B193" i="11"/>
  <c r="A193" i="11" s="1"/>
  <c r="C194" i="11"/>
  <c r="N159" i="12" l="1"/>
  <c r="M192" i="11"/>
  <c r="L192" i="11"/>
  <c r="DZ193" i="11"/>
  <c r="EI193" i="11"/>
  <c r="EH193" i="11"/>
  <c r="EC193" i="11"/>
  <c r="EA193" i="11"/>
  <c r="M159" i="12"/>
  <c r="W159" i="12"/>
  <c r="A160" i="12"/>
  <c r="M160" i="12" s="1"/>
  <c r="P193" i="11"/>
  <c r="BF191" i="11"/>
  <c r="DF191" i="11"/>
  <c r="DJ191" i="11"/>
  <c r="BJ190" i="11"/>
  <c r="BL190" i="11" s="1"/>
  <c r="BX191" i="11"/>
  <c r="BX190" i="11"/>
  <c r="BW190" i="11"/>
  <c r="AX190" i="11"/>
  <c r="AY190" i="11" s="1"/>
  <c r="AW191" i="11"/>
  <c r="B161" i="12"/>
  <c r="AS190" i="11"/>
  <c r="CY190" i="11"/>
  <c r="CJ191" i="11"/>
  <c r="CK191" i="11"/>
  <c r="CL190" i="11"/>
  <c r="BS191" i="11"/>
  <c r="DL190" i="11"/>
  <c r="BR192" i="11"/>
  <c r="BT192" i="11" s="1"/>
  <c r="AB193" i="11"/>
  <c r="CF192" i="11"/>
  <c r="CD192" i="11"/>
  <c r="CW191" i="11"/>
  <c r="CY191" i="11" s="1"/>
  <c r="CS191" i="11"/>
  <c r="CX192" i="11"/>
  <c r="CQ192" i="11"/>
  <c r="AQ192" i="11"/>
  <c r="AR192" i="11" s="1"/>
  <c r="AT192" i="11" s="1"/>
  <c r="CE193" i="11"/>
  <c r="CG193" i="11" s="1"/>
  <c r="DU193" i="11"/>
  <c r="DV193" i="11"/>
  <c r="DH193" i="11"/>
  <c r="DI193" i="11"/>
  <c r="CR193" i="11"/>
  <c r="CT193" i="11" s="1"/>
  <c r="CV193" i="11"/>
  <c r="CU193" i="11"/>
  <c r="CH193" i="11"/>
  <c r="CI193" i="11"/>
  <c r="BU193" i="11"/>
  <c r="BV193" i="11"/>
  <c r="BH193" i="11"/>
  <c r="AU193" i="11"/>
  <c r="BI193" i="11"/>
  <c r="AV193" i="11"/>
  <c r="AH193" i="11"/>
  <c r="AI193" i="11"/>
  <c r="BE192" i="11"/>
  <c r="BG192" i="11" s="1"/>
  <c r="DE192" i="11"/>
  <c r="DG192" i="11" s="1"/>
  <c r="BA193" i="11"/>
  <c r="Y193" i="11"/>
  <c r="BP193" i="11"/>
  <c r="BN193" i="11"/>
  <c r="BO193" i="11"/>
  <c r="BQ193" i="11" s="1"/>
  <c r="CO193" i="11"/>
  <c r="DN193" i="11"/>
  <c r="AO193" i="11"/>
  <c r="DP193" i="11"/>
  <c r="CN193" i="11"/>
  <c r="BB193" i="11"/>
  <c r="BD193" i="11" s="1"/>
  <c r="CA193" i="11"/>
  <c r="AZ193" i="11"/>
  <c r="BZ193" i="11"/>
  <c r="BC193" i="11"/>
  <c r="AM193" i="11"/>
  <c r="DA193" i="11"/>
  <c r="X193" i="11"/>
  <c r="CM193" i="11"/>
  <c r="DM193" i="11"/>
  <c r="DC193" i="11"/>
  <c r="CC193" i="11"/>
  <c r="DB193" i="11"/>
  <c r="DD193" i="11" s="1"/>
  <c r="AA193" i="11"/>
  <c r="AP193" i="11"/>
  <c r="BM193" i="11"/>
  <c r="W194" i="11"/>
  <c r="AN193" i="11"/>
  <c r="CB193" i="11"/>
  <c r="CP193" i="11"/>
  <c r="CZ193" i="11"/>
  <c r="B194" i="11"/>
  <c r="A194" i="11" s="1"/>
  <c r="C195" i="11"/>
  <c r="M193" i="11" l="1"/>
  <c r="L193" i="11"/>
  <c r="V160" i="12"/>
  <c r="W160" i="12" s="1"/>
  <c r="EI194" i="11"/>
  <c r="EH194" i="11"/>
  <c r="EC194" i="11"/>
  <c r="EA194" i="11"/>
  <c r="DZ194" i="11"/>
  <c r="N160" i="12"/>
  <c r="A161" i="12"/>
  <c r="M161" i="12" s="1"/>
  <c r="P194" i="11"/>
  <c r="BS192" i="11"/>
  <c r="BW192" i="11"/>
  <c r="DF192" i="11"/>
  <c r="DJ192" i="11"/>
  <c r="BF192" i="11"/>
  <c r="BJ192" i="11"/>
  <c r="BY190" i="11"/>
  <c r="DK191" i="11"/>
  <c r="DL191" i="11" s="1"/>
  <c r="BW191" i="11"/>
  <c r="BY191" i="11" s="1"/>
  <c r="AX191" i="11"/>
  <c r="AY191" i="11" s="1"/>
  <c r="BJ191" i="11"/>
  <c r="B162" i="12"/>
  <c r="BK191" i="11"/>
  <c r="AX192" i="11"/>
  <c r="AS191" i="11"/>
  <c r="CL191" i="11"/>
  <c r="CK192" i="11"/>
  <c r="CJ192" i="11"/>
  <c r="AB194" i="11"/>
  <c r="CW192" i="11"/>
  <c r="CY192" i="11" s="1"/>
  <c r="CS192" i="11"/>
  <c r="CS193" i="11"/>
  <c r="CQ193" i="11"/>
  <c r="CD193" i="11"/>
  <c r="AQ193" i="11"/>
  <c r="AR193" i="11" s="1"/>
  <c r="AT193" i="11" s="1"/>
  <c r="BE193" i="11"/>
  <c r="BG193" i="11" s="1"/>
  <c r="DE193" i="11"/>
  <c r="DG193" i="11" s="1"/>
  <c r="AM194" i="11"/>
  <c r="CE194" i="11"/>
  <c r="CG194" i="11" s="1"/>
  <c r="DU194" i="11"/>
  <c r="DV194" i="11"/>
  <c r="DH194" i="11"/>
  <c r="DI194" i="11"/>
  <c r="CV194" i="11"/>
  <c r="CU194" i="11"/>
  <c r="CH194" i="11"/>
  <c r="CR194" i="11"/>
  <c r="CT194" i="11" s="1"/>
  <c r="CI194" i="11"/>
  <c r="BU194" i="11"/>
  <c r="BV194" i="11"/>
  <c r="BH194" i="11"/>
  <c r="BI194" i="11"/>
  <c r="AU194" i="11"/>
  <c r="AV194" i="11"/>
  <c r="AH194" i="11"/>
  <c r="AI194" i="11"/>
  <c r="BR193" i="11"/>
  <c r="BT193" i="11" s="1"/>
  <c r="CN194" i="11"/>
  <c r="BP194" i="11"/>
  <c r="X194" i="11"/>
  <c r="BN194" i="11"/>
  <c r="BO194" i="11"/>
  <c r="BQ194" i="11" s="1"/>
  <c r="BC194" i="11"/>
  <c r="DN194" i="11"/>
  <c r="CM194" i="11"/>
  <c r="DA194" i="11"/>
  <c r="DC194" i="11"/>
  <c r="DM194" i="11"/>
  <c r="AN194" i="11"/>
  <c r="DB194" i="11"/>
  <c r="DD194" i="11" s="1"/>
  <c r="CZ194" i="11"/>
  <c r="CB194" i="11"/>
  <c r="BA194" i="11"/>
  <c r="AP194" i="11"/>
  <c r="BZ194" i="11"/>
  <c r="BM194" i="11"/>
  <c r="AA194" i="11"/>
  <c r="Y194" i="11"/>
  <c r="CA194" i="11"/>
  <c r="CO194" i="11"/>
  <c r="AZ194" i="11"/>
  <c r="CP194" i="11"/>
  <c r="CC194" i="11"/>
  <c r="AO194" i="11"/>
  <c r="W195" i="11"/>
  <c r="BB194" i="11"/>
  <c r="BD194" i="11" s="1"/>
  <c r="DP194" i="11"/>
  <c r="B195" i="11"/>
  <c r="A195" i="11" s="1"/>
  <c r="C196" i="11"/>
  <c r="M194" i="11" l="1"/>
  <c r="L194" i="11"/>
  <c r="V161" i="12"/>
  <c r="W161" i="12" s="1"/>
  <c r="EI195" i="11"/>
  <c r="EH195" i="11"/>
  <c r="EC195" i="11"/>
  <c r="EA195" i="11"/>
  <c r="DZ195" i="11"/>
  <c r="N161" i="12"/>
  <c r="A162" i="12"/>
  <c r="N162" i="12" s="1"/>
  <c r="P195" i="11"/>
  <c r="BK192" i="11"/>
  <c r="BL192" i="11" s="1"/>
  <c r="BF193" i="11"/>
  <c r="BS193" i="11"/>
  <c r="DF193" i="11"/>
  <c r="DJ193" i="11"/>
  <c r="BX192" i="11"/>
  <c r="BY192" i="11" s="1"/>
  <c r="BL191" i="11"/>
  <c r="AS192" i="11"/>
  <c r="DK192" i="11"/>
  <c r="DL192" i="11" s="1"/>
  <c r="AW192" i="11"/>
  <c r="AY192" i="11" s="1"/>
  <c r="BX193" i="11"/>
  <c r="B163" i="12"/>
  <c r="AS193" i="11"/>
  <c r="CQ194" i="11"/>
  <c r="CL192" i="11"/>
  <c r="CW193" i="11"/>
  <c r="AB195" i="11"/>
  <c r="CX193" i="11"/>
  <c r="CK193" i="11"/>
  <c r="CF193" i="11"/>
  <c r="CF194" i="11"/>
  <c r="CD194" i="11"/>
  <c r="CJ193" i="11"/>
  <c r="AQ194" i="11"/>
  <c r="AR194" i="11" s="1"/>
  <c r="AT194" i="11" s="1"/>
  <c r="CJ194" i="11"/>
  <c r="CE195" i="11"/>
  <c r="CG195" i="11" s="1"/>
  <c r="DV195" i="11"/>
  <c r="DU195" i="11"/>
  <c r="DI195" i="11"/>
  <c r="DH195" i="11"/>
  <c r="CR195" i="11"/>
  <c r="CT195" i="11" s="1"/>
  <c r="CV195" i="11"/>
  <c r="CU195" i="11"/>
  <c r="CI195" i="11"/>
  <c r="CH195" i="11"/>
  <c r="BV195" i="11"/>
  <c r="BU195" i="11"/>
  <c r="BH195" i="11"/>
  <c r="BI195" i="11"/>
  <c r="AU195" i="11"/>
  <c r="AV195" i="11"/>
  <c r="AH195" i="11"/>
  <c r="AI195" i="11"/>
  <c r="BR194" i="11"/>
  <c r="BT194" i="11" s="1"/>
  <c r="DE194" i="11"/>
  <c r="DG194" i="11" s="1"/>
  <c r="BE194" i="11"/>
  <c r="BG194" i="11" s="1"/>
  <c r="CS194" i="11"/>
  <c r="BP195" i="11"/>
  <c r="BN195" i="11"/>
  <c r="BO195" i="11"/>
  <c r="BQ195" i="11" s="1"/>
  <c r="CN195" i="11"/>
  <c r="CM195" i="11"/>
  <c r="X195" i="11"/>
  <c r="BC195" i="11"/>
  <c r="DB195" i="11"/>
  <c r="DD195" i="11" s="1"/>
  <c r="DP195" i="11"/>
  <c r="DA195" i="11"/>
  <c r="AO195" i="11"/>
  <c r="BZ195" i="11"/>
  <c r="AN195" i="11"/>
  <c r="AA195" i="11"/>
  <c r="DM195" i="11"/>
  <c r="W196" i="11"/>
  <c r="CB195" i="11"/>
  <c r="CZ195" i="11"/>
  <c r="BM195" i="11"/>
  <c r="DN195" i="11"/>
  <c r="AM195" i="11"/>
  <c r="CC195" i="11"/>
  <c r="CO195" i="11"/>
  <c r="CP195" i="11"/>
  <c r="AZ195" i="11"/>
  <c r="BA195" i="11"/>
  <c r="BB195" i="11"/>
  <c r="BD195" i="11" s="1"/>
  <c r="Y195" i="11"/>
  <c r="CA195" i="11"/>
  <c r="AP195" i="11"/>
  <c r="DC195" i="11"/>
  <c r="B196" i="11"/>
  <c r="A196" i="11" s="1"/>
  <c r="C197" i="11"/>
  <c r="M195" i="11" l="1"/>
  <c r="M162" i="12"/>
  <c r="L195" i="11"/>
  <c r="EI196" i="11"/>
  <c r="EH196" i="11"/>
  <c r="EC196" i="11"/>
  <c r="EA196" i="11"/>
  <c r="DZ196" i="11"/>
  <c r="V162" i="12"/>
  <c r="W162" i="12" s="1"/>
  <c r="A163" i="12"/>
  <c r="V163" i="12" s="1"/>
  <c r="W163" i="12" s="1"/>
  <c r="P196" i="11"/>
  <c r="BF194" i="11"/>
  <c r="BJ194" i="11"/>
  <c r="DF194" i="11"/>
  <c r="BS194" i="11"/>
  <c r="AW193" i="11"/>
  <c r="BW193" i="11"/>
  <c r="BY193" i="11" s="1"/>
  <c r="AX193" i="11"/>
  <c r="DK193" i="11"/>
  <c r="DL193" i="11" s="1"/>
  <c r="B164" i="12"/>
  <c r="BK193" i="11"/>
  <c r="BJ193" i="11"/>
  <c r="AX194" i="11"/>
  <c r="CY193" i="11"/>
  <c r="AB196" i="11"/>
  <c r="CL193" i="11"/>
  <c r="CQ195" i="11"/>
  <c r="CF195" i="11"/>
  <c r="CD195" i="11"/>
  <c r="CK194" i="11"/>
  <c r="CL194" i="11" s="1"/>
  <c r="AQ195" i="11"/>
  <c r="AR195" i="11" s="1"/>
  <c r="AT195" i="11" s="1"/>
  <c r="CX194" i="11"/>
  <c r="CW194" i="11"/>
  <c r="DE195" i="11"/>
  <c r="DG195" i="11" s="1"/>
  <c r="CE196" i="11"/>
  <c r="CG196" i="11" s="1"/>
  <c r="DV196" i="11"/>
  <c r="DU196" i="11"/>
  <c r="DH196" i="11"/>
  <c r="DI196" i="11"/>
  <c r="CU196" i="11"/>
  <c r="CV196" i="11"/>
  <c r="CR196" i="11"/>
  <c r="CT196" i="11" s="1"/>
  <c r="CH196" i="11"/>
  <c r="CI196" i="11"/>
  <c r="BU196" i="11"/>
  <c r="BV196" i="11"/>
  <c r="BH196" i="11"/>
  <c r="BI196" i="11"/>
  <c r="AV196" i="11"/>
  <c r="AU196" i="11"/>
  <c r="AH196" i="11"/>
  <c r="AI196" i="11"/>
  <c r="BE195" i="11"/>
  <c r="BG195" i="11" s="1"/>
  <c r="BR195" i="11"/>
  <c r="BT195" i="11" s="1"/>
  <c r="CS195" i="11"/>
  <c r="Y196" i="11"/>
  <c r="CC196" i="11"/>
  <c r="AM196" i="11"/>
  <c r="BP196" i="11"/>
  <c r="AN196" i="11"/>
  <c r="BN196" i="11"/>
  <c r="BO196" i="11"/>
  <c r="BQ196" i="11" s="1"/>
  <c r="BB196" i="11"/>
  <c r="BD196" i="11" s="1"/>
  <c r="X196" i="11"/>
  <c r="BC196" i="11"/>
  <c r="CN196" i="11"/>
  <c r="DP196" i="11"/>
  <c r="DC196" i="11"/>
  <c r="DA196" i="11"/>
  <c r="CZ196" i="11"/>
  <c r="DM196" i="11"/>
  <c r="CP196" i="11"/>
  <c r="CB196" i="11"/>
  <c r="AA196" i="11"/>
  <c r="AP196" i="11"/>
  <c r="AO196" i="11"/>
  <c r="CM196" i="11"/>
  <c r="CA196" i="11"/>
  <c r="CO196" i="11"/>
  <c r="BZ196" i="11"/>
  <c r="W197" i="11"/>
  <c r="BA196" i="11"/>
  <c r="DN196" i="11"/>
  <c r="DB196" i="11"/>
  <c r="DD196" i="11" s="1"/>
  <c r="AZ196" i="11"/>
  <c r="BM196" i="11"/>
  <c r="B197" i="11"/>
  <c r="A197" i="11" s="1"/>
  <c r="C198" i="11"/>
  <c r="M196" i="11" l="1"/>
  <c r="M163" i="12"/>
  <c r="L196" i="11"/>
  <c r="DZ197" i="11"/>
  <c r="EH197" i="11"/>
  <c r="EC197" i="11"/>
  <c r="EA197" i="11"/>
  <c r="EI197" i="11"/>
  <c r="N163" i="12"/>
  <c r="A164" i="12"/>
  <c r="V164" i="12" s="1"/>
  <c r="W164" i="12" s="1"/>
  <c r="P197" i="11"/>
  <c r="BS195" i="11"/>
  <c r="BF195" i="11"/>
  <c r="DF195" i="11"/>
  <c r="DJ195" i="11"/>
  <c r="BK194" i="11"/>
  <c r="BL194" i="11" s="1"/>
  <c r="AY193" i="11"/>
  <c r="BX194" i="11"/>
  <c r="BL193" i="11"/>
  <c r="AW194" i="11"/>
  <c r="AY194" i="11" s="1"/>
  <c r="DK194" i="11"/>
  <c r="B165" i="12"/>
  <c r="BW194" i="11"/>
  <c r="AS195" i="11"/>
  <c r="AS194" i="11"/>
  <c r="DJ194" i="11"/>
  <c r="AB197" i="11"/>
  <c r="CJ195" i="11"/>
  <c r="CK195" i="11"/>
  <c r="CF196" i="11"/>
  <c r="CD196" i="11"/>
  <c r="CS196" i="11"/>
  <c r="CQ196" i="11"/>
  <c r="AQ196" i="11"/>
  <c r="AR196" i="11" s="1"/>
  <c r="AT196" i="11" s="1"/>
  <c r="BW195" i="11"/>
  <c r="CW195" i="11"/>
  <c r="CX195" i="11"/>
  <c r="BP197" i="11"/>
  <c r="CE197" i="11"/>
  <c r="CG197" i="11" s="1"/>
  <c r="DV197" i="11"/>
  <c r="DU197" i="11"/>
  <c r="DH197" i="11"/>
  <c r="DI197" i="11"/>
  <c r="CU197" i="11"/>
  <c r="CR197" i="11"/>
  <c r="CT197" i="11" s="1"/>
  <c r="CV197" i="11"/>
  <c r="CH197" i="11"/>
  <c r="CI197" i="11"/>
  <c r="BV197" i="11"/>
  <c r="BU197" i="11"/>
  <c r="BH197" i="11"/>
  <c r="BI197" i="11"/>
  <c r="AU197" i="11"/>
  <c r="AV197" i="11"/>
  <c r="AI197" i="11"/>
  <c r="AH197" i="11"/>
  <c r="BR196" i="11"/>
  <c r="BT196" i="11" s="1"/>
  <c r="BE196" i="11"/>
  <c r="BG196" i="11" s="1"/>
  <c r="DE196" i="11"/>
  <c r="DG196" i="11" s="1"/>
  <c r="CY194" i="11"/>
  <c r="X197" i="11"/>
  <c r="BN197" i="11"/>
  <c r="BO197" i="11"/>
  <c r="CP197" i="11"/>
  <c r="CC197" i="11"/>
  <c r="DC197" i="11"/>
  <c r="BZ197" i="11"/>
  <c r="CN197" i="11"/>
  <c r="AO197" i="11"/>
  <c r="AM197" i="11"/>
  <c r="BC197" i="11"/>
  <c r="CB197" i="11"/>
  <c r="CO197" i="11"/>
  <c r="DN197" i="11"/>
  <c r="BM197" i="11"/>
  <c r="CA197" i="11"/>
  <c r="DB197" i="11"/>
  <c r="DD197" i="11" s="1"/>
  <c r="AZ197" i="11"/>
  <c r="DP197" i="11"/>
  <c r="CZ197" i="11"/>
  <c r="AP197" i="11"/>
  <c r="BA197" i="11"/>
  <c r="Y197" i="11"/>
  <c r="BB197" i="11"/>
  <c r="BD197" i="11" s="1"/>
  <c r="CM197" i="11"/>
  <c r="DM197" i="11"/>
  <c r="AA197" i="11"/>
  <c r="W198" i="11"/>
  <c r="DA197" i="11"/>
  <c r="AN197" i="11"/>
  <c r="B198" i="11"/>
  <c r="A198" i="11" s="1"/>
  <c r="C199" i="11"/>
  <c r="M197" i="11" l="1"/>
  <c r="L197" i="11"/>
  <c r="EI198" i="11"/>
  <c r="EC198" i="11"/>
  <c r="EA198" i="11"/>
  <c r="DZ198" i="11"/>
  <c r="EH198" i="11"/>
  <c r="M164" i="12"/>
  <c r="N164" i="12"/>
  <c r="A165" i="12"/>
  <c r="M165" i="12" s="1"/>
  <c r="P198" i="11"/>
  <c r="BF196" i="11"/>
  <c r="DF196" i="11"/>
  <c r="BS196" i="11"/>
  <c r="BX195" i="11"/>
  <c r="BY195" i="11" s="1"/>
  <c r="DK195" i="11"/>
  <c r="DL195" i="11" s="1"/>
  <c r="BY194" i="11"/>
  <c r="BK196" i="11"/>
  <c r="AX195" i="11"/>
  <c r="AW195" i="11"/>
  <c r="CL195" i="11"/>
  <c r="BJ195" i="11"/>
  <c r="DL194" i="11"/>
  <c r="B166" i="12"/>
  <c r="AS196" i="11"/>
  <c r="BK195" i="11"/>
  <c r="DK196" i="11"/>
  <c r="CW196" i="11"/>
  <c r="CX196" i="11"/>
  <c r="CQ197" i="11"/>
  <c r="AB198" i="11"/>
  <c r="CK196" i="11"/>
  <c r="CJ196" i="11"/>
  <c r="BQ197" i="11"/>
  <c r="BR197" i="11" s="1"/>
  <c r="BT197" i="11" s="1"/>
  <c r="CF197" i="11"/>
  <c r="CD197" i="11"/>
  <c r="CY195" i="11"/>
  <c r="AQ197" i="11"/>
  <c r="AR197" i="11" s="1"/>
  <c r="AT197" i="11" s="1"/>
  <c r="BE197" i="11"/>
  <c r="BG197" i="11" s="1"/>
  <c r="CK197" i="11"/>
  <c r="BW196" i="11"/>
  <c r="BX196" i="11"/>
  <c r="DE197" i="11"/>
  <c r="DG197" i="11" s="1"/>
  <c r="CE198" i="11"/>
  <c r="CG198" i="11" s="1"/>
  <c r="DU198" i="11"/>
  <c r="DV198" i="11"/>
  <c r="DH198" i="11"/>
  <c r="DI198" i="11"/>
  <c r="CR198" i="11"/>
  <c r="CT198" i="11" s="1"/>
  <c r="CU198" i="11"/>
  <c r="CV198" i="11"/>
  <c r="CI198" i="11"/>
  <c r="CH198" i="11"/>
  <c r="BU198" i="11"/>
  <c r="BV198" i="11"/>
  <c r="BI198" i="11"/>
  <c r="BH198" i="11"/>
  <c r="AU198" i="11"/>
  <c r="AV198" i="11"/>
  <c r="AH198" i="11"/>
  <c r="AI198" i="11"/>
  <c r="CS197" i="11"/>
  <c r="DC198" i="11"/>
  <c r="DM198" i="11"/>
  <c r="BN198" i="11"/>
  <c r="BP198" i="11"/>
  <c r="BO198" i="11"/>
  <c r="BQ198" i="11" s="1"/>
  <c r="DN198" i="11"/>
  <c r="CC198" i="11"/>
  <c r="AN198" i="11"/>
  <c r="CP198" i="11"/>
  <c r="AA198" i="11"/>
  <c r="CN198" i="11"/>
  <c r="BZ198" i="11"/>
  <c r="CO198" i="11"/>
  <c r="CB198" i="11"/>
  <c r="CA198" i="11"/>
  <c r="CZ198" i="11"/>
  <c r="BB198" i="11"/>
  <c r="BD198" i="11" s="1"/>
  <c r="BM198" i="11"/>
  <c r="DA198" i="11"/>
  <c r="Y198" i="11"/>
  <c r="AM198" i="11"/>
  <c r="AP198" i="11"/>
  <c r="BA198" i="11"/>
  <c r="DB198" i="11"/>
  <c r="DD198" i="11" s="1"/>
  <c r="W199" i="11"/>
  <c r="BC198" i="11"/>
  <c r="CM198" i="11"/>
  <c r="AZ198" i="11"/>
  <c r="DP198" i="11"/>
  <c r="AO198" i="11"/>
  <c r="X198" i="11"/>
  <c r="B199" i="11"/>
  <c r="A199" i="11" s="1"/>
  <c r="C200" i="11"/>
  <c r="M198" i="11" l="1"/>
  <c r="L198" i="11"/>
  <c r="EC199" i="11"/>
  <c r="EA199" i="11"/>
  <c r="DZ199" i="11"/>
  <c r="EI199" i="11"/>
  <c r="EH199" i="11"/>
  <c r="V165" i="12"/>
  <c r="W165" i="12" s="1"/>
  <c r="N165" i="12"/>
  <c r="A166" i="12"/>
  <c r="N166" i="12" s="1"/>
  <c r="P199" i="11"/>
  <c r="DF197" i="11"/>
  <c r="BS197" i="11"/>
  <c r="BL195" i="11"/>
  <c r="AY195" i="11"/>
  <c r="BJ196" i="11"/>
  <c r="BL196" i="11" s="1"/>
  <c r="AW196" i="11"/>
  <c r="AX196" i="11"/>
  <c r="AW197" i="11"/>
  <c r="B167" i="12"/>
  <c r="DJ196" i="11"/>
  <c r="DL196" i="11" s="1"/>
  <c r="CL196" i="11"/>
  <c r="CJ197" i="11"/>
  <c r="CL197" i="11" s="1"/>
  <c r="CY196" i="11"/>
  <c r="AB199" i="11"/>
  <c r="CF198" i="11"/>
  <c r="CD198" i="11"/>
  <c r="BJ197" i="11"/>
  <c r="BF197" i="11"/>
  <c r="CS198" i="11"/>
  <c r="CQ198" i="11"/>
  <c r="AQ198" i="11"/>
  <c r="AR198" i="11" s="1"/>
  <c r="AT198" i="11" s="1"/>
  <c r="BY196" i="11"/>
  <c r="BK197" i="11"/>
  <c r="CJ198" i="11"/>
  <c r="CW197" i="11"/>
  <c r="CX197" i="11"/>
  <c r="DE198" i="11"/>
  <c r="DG198" i="11" s="1"/>
  <c r="BE198" i="11"/>
  <c r="BG198" i="11" s="1"/>
  <c r="CE199" i="11"/>
  <c r="CG199" i="11" s="1"/>
  <c r="DU199" i="11"/>
  <c r="DV199" i="11"/>
  <c r="DH199" i="11"/>
  <c r="DI199" i="11"/>
  <c r="CU199" i="11"/>
  <c r="CR199" i="11"/>
  <c r="CT199" i="11" s="1"/>
  <c r="CV199" i="11"/>
  <c r="CH199" i="11"/>
  <c r="CI199" i="11"/>
  <c r="BV199" i="11"/>
  <c r="BU199" i="11"/>
  <c r="BH199" i="11"/>
  <c r="BI199" i="11"/>
  <c r="AU199" i="11"/>
  <c r="AV199" i="11"/>
  <c r="AH199" i="11"/>
  <c r="AI199" i="11"/>
  <c r="BR198" i="11"/>
  <c r="BT198" i="11" s="1"/>
  <c r="CN199" i="11"/>
  <c r="AM199" i="11"/>
  <c r="AN199" i="11"/>
  <c r="BP199" i="11"/>
  <c r="DP199" i="11"/>
  <c r="BN199" i="11"/>
  <c r="BO199" i="11"/>
  <c r="X199" i="11"/>
  <c r="AO199" i="11"/>
  <c r="BB199" i="11"/>
  <c r="BD199" i="11" s="1"/>
  <c r="BA199" i="11"/>
  <c r="BZ199" i="11"/>
  <c r="BM199" i="11"/>
  <c r="DC199" i="11"/>
  <c r="CP199" i="11"/>
  <c r="DN199" i="11"/>
  <c r="CM199" i="11"/>
  <c r="CC199" i="11"/>
  <c r="Y199" i="11"/>
  <c r="CZ199" i="11"/>
  <c r="BC199" i="11"/>
  <c r="DB199" i="11"/>
  <c r="DD199" i="11" s="1"/>
  <c r="DA199" i="11"/>
  <c r="CA199" i="11"/>
  <c r="AZ199" i="11"/>
  <c r="CB199" i="11"/>
  <c r="AA199" i="11"/>
  <c r="W200" i="11"/>
  <c r="AP199" i="11"/>
  <c r="CO199" i="11"/>
  <c r="DM199" i="11"/>
  <c r="B200" i="11"/>
  <c r="A200" i="11" s="1"/>
  <c r="C201" i="11"/>
  <c r="L199" i="11" l="1"/>
  <c r="M166" i="12"/>
  <c r="M199" i="11"/>
  <c r="EC200" i="11"/>
  <c r="EA200" i="11"/>
  <c r="DZ200" i="11"/>
  <c r="EI200" i="11"/>
  <c r="EH200" i="11"/>
  <c r="V166" i="12"/>
  <c r="W166" i="12" s="1"/>
  <c r="A167" i="12"/>
  <c r="N167" i="12" s="1"/>
  <c r="P200" i="11"/>
  <c r="DF198" i="11"/>
  <c r="BS198" i="11"/>
  <c r="BW198" i="11"/>
  <c r="BF198" i="11"/>
  <c r="AY196" i="11"/>
  <c r="BW197" i="11"/>
  <c r="AX198" i="11"/>
  <c r="AX197" i="11"/>
  <c r="AY197" i="11" s="1"/>
  <c r="BX197" i="11"/>
  <c r="B168" i="12"/>
  <c r="DJ197" i="11"/>
  <c r="AS197" i="11"/>
  <c r="DK197" i="11"/>
  <c r="BL197" i="11"/>
  <c r="AB200" i="11"/>
  <c r="CW198" i="11"/>
  <c r="CX198" i="11"/>
  <c r="CK198" i="11"/>
  <c r="CL198" i="11" s="1"/>
  <c r="BQ199" i="11"/>
  <c r="BR199" i="11" s="1"/>
  <c r="BT199" i="11" s="1"/>
  <c r="CD199" i="11"/>
  <c r="CS199" i="11"/>
  <c r="CQ199" i="11"/>
  <c r="AQ199" i="11"/>
  <c r="AR199" i="11" s="1"/>
  <c r="AT199" i="11" s="1"/>
  <c r="DK198" i="11"/>
  <c r="DJ198" i="11"/>
  <c r="CX199" i="11"/>
  <c r="CW199" i="11"/>
  <c r="CJ199" i="11"/>
  <c r="DE199" i="11"/>
  <c r="DG199" i="11" s="1"/>
  <c r="CY197" i="11"/>
  <c r="CE200" i="11"/>
  <c r="CG200" i="11" s="1"/>
  <c r="DV200" i="11"/>
  <c r="DU200" i="11"/>
  <c r="DH200" i="11"/>
  <c r="DI200" i="11"/>
  <c r="CU200" i="11"/>
  <c r="CV200" i="11"/>
  <c r="CR200" i="11"/>
  <c r="CT200" i="11" s="1"/>
  <c r="CI200" i="11"/>
  <c r="CH200" i="11"/>
  <c r="BU200" i="11"/>
  <c r="BV200" i="11"/>
  <c r="BH200" i="11"/>
  <c r="BI200" i="11"/>
  <c r="AU200" i="11"/>
  <c r="AH200" i="11"/>
  <c r="AV200" i="11"/>
  <c r="AI200" i="11"/>
  <c r="BE199" i="11"/>
  <c r="BG199" i="11" s="1"/>
  <c r="CM200" i="11"/>
  <c r="BN200" i="11"/>
  <c r="AM200" i="11"/>
  <c r="BP200" i="11"/>
  <c r="BO200" i="11"/>
  <c r="CA200" i="11"/>
  <c r="CN200" i="11"/>
  <c r="AN200" i="11"/>
  <c r="BA200" i="11"/>
  <c r="DA200" i="11"/>
  <c r="DN200" i="11"/>
  <c r="BM200" i="11"/>
  <c r="AO200" i="11"/>
  <c r="DB200" i="11"/>
  <c r="DD200" i="11" s="1"/>
  <c r="BZ200" i="11"/>
  <c r="CP200" i="11"/>
  <c r="DM200" i="11"/>
  <c r="AP200" i="11"/>
  <c r="DC200" i="11"/>
  <c r="CO200" i="11"/>
  <c r="BC200" i="11"/>
  <c r="CB200" i="11"/>
  <c r="AZ200" i="11"/>
  <c r="Y200" i="11"/>
  <c r="X200" i="11"/>
  <c r="AA200" i="11"/>
  <c r="CZ200" i="11"/>
  <c r="W201" i="11"/>
  <c r="DP200" i="11"/>
  <c r="CC200" i="11"/>
  <c r="BB200" i="11"/>
  <c r="BD200" i="11" s="1"/>
  <c r="B201" i="11"/>
  <c r="A201" i="11" s="1"/>
  <c r="C202" i="11"/>
  <c r="L200" i="11" l="1"/>
  <c r="M200" i="11"/>
  <c r="DZ201" i="11"/>
  <c r="EA201" i="11"/>
  <c r="EI201" i="11"/>
  <c r="EH201" i="11"/>
  <c r="EC201" i="11"/>
  <c r="M167" i="12"/>
  <c r="V167" i="12"/>
  <c r="W167" i="12" s="1"/>
  <c r="A168" i="12"/>
  <c r="V168" i="12" s="1"/>
  <c r="W168" i="12" s="1"/>
  <c r="P201" i="11"/>
  <c r="BX198" i="11"/>
  <c r="BY198" i="11" s="1"/>
  <c r="DF199" i="11"/>
  <c r="BF199" i="11"/>
  <c r="BK199" i="11"/>
  <c r="BY197" i="11"/>
  <c r="DL197" i="11"/>
  <c r="AW198" i="11"/>
  <c r="AY198" i="11" s="1"/>
  <c r="AS198" i="11"/>
  <c r="BJ198" i="11"/>
  <c r="BK198" i="11"/>
  <c r="DJ199" i="11"/>
  <c r="AW199" i="11"/>
  <c r="B169" i="12"/>
  <c r="CY198" i="11"/>
  <c r="DL198" i="11"/>
  <c r="BS199" i="11"/>
  <c r="BX199" i="11"/>
  <c r="BW199" i="11"/>
  <c r="AB201" i="11"/>
  <c r="CY199" i="11"/>
  <c r="BQ200" i="11"/>
  <c r="BR200" i="11" s="1"/>
  <c r="BT200" i="11" s="1"/>
  <c r="CF200" i="11"/>
  <c r="CD200" i="11"/>
  <c r="CK199" i="11"/>
  <c r="CL199" i="11" s="1"/>
  <c r="CF199" i="11"/>
  <c r="CS200" i="11"/>
  <c r="CQ200" i="11"/>
  <c r="AQ200" i="11"/>
  <c r="AR200" i="11" s="1"/>
  <c r="AT200" i="11" s="1"/>
  <c r="BE200" i="11"/>
  <c r="BG200" i="11" s="1"/>
  <c r="CE201" i="11"/>
  <c r="CG201" i="11" s="1"/>
  <c r="DU201" i="11"/>
  <c r="DV201" i="11"/>
  <c r="DH201" i="11"/>
  <c r="DI201" i="11"/>
  <c r="CR201" i="11"/>
  <c r="CT201" i="11" s="1"/>
  <c r="CV201" i="11"/>
  <c r="CU201" i="11"/>
  <c r="CH201" i="11"/>
  <c r="CI201" i="11"/>
  <c r="BU201" i="11"/>
  <c r="BV201" i="11"/>
  <c r="BI201" i="11"/>
  <c r="BH201" i="11"/>
  <c r="AU201" i="11"/>
  <c r="AV201" i="11"/>
  <c r="AH201" i="11"/>
  <c r="AI201" i="11"/>
  <c r="DE200" i="11"/>
  <c r="DG200" i="11" s="1"/>
  <c r="DP201" i="11"/>
  <c r="CA201" i="11"/>
  <c r="CZ201" i="11"/>
  <c r="AA201" i="11"/>
  <c r="DC201" i="11"/>
  <c r="AP201" i="11"/>
  <c r="BP201" i="11"/>
  <c r="AM201" i="11"/>
  <c r="X201" i="11"/>
  <c r="CC201" i="11"/>
  <c r="BN201" i="11"/>
  <c r="BB201" i="11"/>
  <c r="BD201" i="11" s="1"/>
  <c r="AO201" i="11"/>
  <c r="BO201" i="11"/>
  <c r="BQ201" i="11" s="1"/>
  <c r="AZ201" i="11"/>
  <c r="CP201" i="11"/>
  <c r="BZ201" i="11"/>
  <c r="BM201" i="11"/>
  <c r="W202" i="11"/>
  <c r="Y201" i="11"/>
  <c r="DM201" i="11"/>
  <c r="DN201" i="11"/>
  <c r="DA201" i="11"/>
  <c r="BA201" i="11"/>
  <c r="BC201" i="11"/>
  <c r="AN201" i="11"/>
  <c r="CB201" i="11"/>
  <c r="CO201" i="11"/>
  <c r="DB201" i="11"/>
  <c r="DD201" i="11" s="1"/>
  <c r="CN201" i="11"/>
  <c r="CM201" i="11"/>
  <c r="B202" i="11"/>
  <c r="A202" i="11" s="1"/>
  <c r="C203" i="11"/>
  <c r="N168" i="12" l="1"/>
  <c r="M201" i="11"/>
  <c r="L201" i="11"/>
  <c r="EI202" i="11"/>
  <c r="EA202" i="11"/>
  <c r="DZ202" i="11"/>
  <c r="EH202" i="11"/>
  <c r="EC202" i="11"/>
  <c r="M168" i="12"/>
  <c r="A169" i="12"/>
  <c r="N169" i="12" s="1"/>
  <c r="P202" i="11"/>
  <c r="BS200" i="11"/>
  <c r="BF200" i="11"/>
  <c r="BJ199" i="11"/>
  <c r="BL199" i="11" s="1"/>
  <c r="DF200" i="11"/>
  <c r="BL198" i="11"/>
  <c r="AX199" i="11"/>
  <c r="AY199" i="11" s="1"/>
  <c r="DK199" i="11"/>
  <c r="DL199" i="11" s="1"/>
  <c r="B170" i="12"/>
  <c r="AX200" i="11"/>
  <c r="BX200" i="11"/>
  <c r="AS199" i="11"/>
  <c r="BY199" i="11"/>
  <c r="CJ200" i="11"/>
  <c r="CK200" i="11"/>
  <c r="CX200" i="11"/>
  <c r="CW200" i="11"/>
  <c r="AB202" i="11"/>
  <c r="CS201" i="11"/>
  <c r="CQ201" i="11"/>
  <c r="CK201" i="11"/>
  <c r="CD201" i="11"/>
  <c r="AQ201" i="11"/>
  <c r="AR201" i="11" s="1"/>
  <c r="AT201" i="11" s="1"/>
  <c r="DE201" i="11"/>
  <c r="DG201" i="11" s="1"/>
  <c r="BE201" i="11"/>
  <c r="BG201" i="11" s="1"/>
  <c r="CX201" i="11"/>
  <c r="CE202" i="11"/>
  <c r="CG202" i="11" s="1"/>
  <c r="DU202" i="11"/>
  <c r="DV202" i="11"/>
  <c r="DH202" i="11"/>
  <c r="DI202" i="11"/>
  <c r="CR202" i="11"/>
  <c r="CT202" i="11" s="1"/>
  <c r="CV202" i="11"/>
  <c r="CU202" i="11"/>
  <c r="CH202" i="11"/>
  <c r="CI202" i="11"/>
  <c r="BU202" i="11"/>
  <c r="BV202" i="11"/>
  <c r="BI202" i="11"/>
  <c r="AU202" i="11"/>
  <c r="AV202" i="11"/>
  <c r="BH202" i="11"/>
  <c r="AH202" i="11"/>
  <c r="AI202" i="11"/>
  <c r="BR201" i="11"/>
  <c r="BT201" i="11" s="1"/>
  <c r="DC202" i="11"/>
  <c r="BP202" i="11"/>
  <c r="DN202" i="11"/>
  <c r="BN202" i="11"/>
  <c r="CB202" i="11"/>
  <c r="BO202" i="11"/>
  <c r="BQ202" i="11" s="1"/>
  <c r="BA202" i="11"/>
  <c r="Y202" i="11"/>
  <c r="BM202" i="11"/>
  <c r="CZ202" i="11"/>
  <c r="BZ202" i="11"/>
  <c r="AP202" i="11"/>
  <c r="CC202" i="11"/>
  <c r="BC202" i="11"/>
  <c r="AA202" i="11"/>
  <c r="DP202" i="11"/>
  <c r="DM202" i="11"/>
  <c r="CM202" i="11"/>
  <c r="CN202" i="11"/>
  <c r="DA202" i="11"/>
  <c r="BB202" i="11"/>
  <c r="BD202" i="11" s="1"/>
  <c r="X202" i="11"/>
  <c r="DB202" i="11"/>
  <c r="DD202" i="11" s="1"/>
  <c r="CP202" i="11"/>
  <c r="AO202" i="11"/>
  <c r="AN202" i="11"/>
  <c r="CO202" i="11"/>
  <c r="AZ202" i="11"/>
  <c r="AM202" i="11"/>
  <c r="W203" i="11"/>
  <c r="CA202" i="11"/>
  <c r="B203" i="11"/>
  <c r="A203" i="11" s="1"/>
  <c r="C204" i="11"/>
  <c r="M202" i="11" l="1"/>
  <c r="L202" i="11"/>
  <c r="DZ203" i="11"/>
  <c r="EI203" i="11"/>
  <c r="EH203" i="11"/>
  <c r="EC203" i="11"/>
  <c r="EA203" i="11"/>
  <c r="M169" i="12"/>
  <c r="V169" i="12"/>
  <c r="W169" i="12" s="1"/>
  <c r="A170" i="12"/>
  <c r="M170" i="12" s="1"/>
  <c r="P203" i="11"/>
  <c r="DF201" i="11"/>
  <c r="DK201" i="11"/>
  <c r="BS201" i="11"/>
  <c r="BX201" i="11"/>
  <c r="BK200" i="11"/>
  <c r="AW200" i="11"/>
  <c r="AY200" i="11" s="1"/>
  <c r="BW200" i="11"/>
  <c r="BY200" i="11" s="1"/>
  <c r="BJ200" i="11"/>
  <c r="AS200" i="11"/>
  <c r="B171" i="12"/>
  <c r="DJ200" i="11"/>
  <c r="DK200" i="11"/>
  <c r="CY200" i="11"/>
  <c r="CL200" i="11"/>
  <c r="AB203" i="11"/>
  <c r="CW201" i="11"/>
  <c r="CY201" i="11" s="1"/>
  <c r="CF202" i="11"/>
  <c r="CD202" i="11"/>
  <c r="BK201" i="11"/>
  <c r="BF201" i="11"/>
  <c r="CW202" i="11"/>
  <c r="CQ202" i="11"/>
  <c r="CJ201" i="11"/>
  <c r="CL201" i="11" s="1"/>
  <c r="CF201" i="11"/>
  <c r="AQ202" i="11"/>
  <c r="AR202" i="11" s="1"/>
  <c r="AT202" i="11" s="1"/>
  <c r="BJ201" i="11"/>
  <c r="DJ201" i="11"/>
  <c r="BR202" i="11"/>
  <c r="BT202" i="11" s="1"/>
  <c r="BE202" i="11"/>
  <c r="BG202" i="11" s="1"/>
  <c r="CE203" i="11"/>
  <c r="CG203" i="11" s="1"/>
  <c r="DU203" i="11"/>
  <c r="DV203" i="11"/>
  <c r="DH203" i="11"/>
  <c r="DI203" i="11"/>
  <c r="CR203" i="11"/>
  <c r="CT203" i="11" s="1"/>
  <c r="CU203" i="11"/>
  <c r="CV203" i="11"/>
  <c r="CH203" i="11"/>
  <c r="CI203" i="11"/>
  <c r="BU203" i="11"/>
  <c r="BV203" i="11"/>
  <c r="BH203" i="11"/>
  <c r="BI203" i="11"/>
  <c r="AV203" i="11"/>
  <c r="AH203" i="11"/>
  <c r="AI203" i="11"/>
  <c r="AU203" i="11"/>
  <c r="DE202" i="11"/>
  <c r="DG202" i="11" s="1"/>
  <c r="BP203" i="11"/>
  <c r="CA203" i="11"/>
  <c r="AP203" i="11"/>
  <c r="BN203" i="11"/>
  <c r="BO203" i="11"/>
  <c r="BQ203" i="11" s="1"/>
  <c r="CC203" i="11"/>
  <c r="BB203" i="11"/>
  <c r="BD203" i="11" s="1"/>
  <c r="CB203" i="11"/>
  <c r="CM203" i="11"/>
  <c r="X203" i="11"/>
  <c r="DA203" i="11"/>
  <c r="CN203" i="11"/>
  <c r="BZ203" i="11"/>
  <c r="AM203" i="11"/>
  <c r="AN203" i="11"/>
  <c r="AO203" i="11"/>
  <c r="AZ203" i="11"/>
  <c r="DM203" i="11"/>
  <c r="CZ203" i="11"/>
  <c r="BM203" i="11"/>
  <c r="CO203" i="11"/>
  <c r="DP203" i="11"/>
  <c r="Y203" i="11"/>
  <c r="CP203" i="11"/>
  <c r="AA203" i="11"/>
  <c r="BA203" i="11"/>
  <c r="W204" i="11"/>
  <c r="DN203" i="11"/>
  <c r="DB203" i="11"/>
  <c r="DD203" i="11" s="1"/>
  <c r="BC203" i="11"/>
  <c r="DC203" i="11"/>
  <c r="B204" i="11"/>
  <c r="A204" i="11" s="1"/>
  <c r="C205" i="11"/>
  <c r="M203" i="11" l="1"/>
  <c r="V170" i="12"/>
  <c r="W170" i="12" s="1"/>
  <c r="L203" i="11"/>
  <c r="EI204" i="11"/>
  <c r="EH204" i="11"/>
  <c r="EC204" i="11"/>
  <c r="EA204" i="11"/>
  <c r="DZ204" i="11"/>
  <c r="N170" i="12"/>
  <c r="A171" i="12"/>
  <c r="N171" i="12" s="1"/>
  <c r="P204" i="11"/>
  <c r="DF202" i="11"/>
  <c r="BF202" i="11"/>
  <c r="BS202" i="11"/>
  <c r="BW202" i="11"/>
  <c r="BL200" i="11"/>
  <c r="AW202" i="11"/>
  <c r="DJ202" i="11"/>
  <c r="DL200" i="11"/>
  <c r="AX201" i="11"/>
  <c r="B172" i="12"/>
  <c r="AW201" i="11"/>
  <c r="BW201" i="11"/>
  <c r="BY201" i="11" s="1"/>
  <c r="AS201" i="11"/>
  <c r="DL201" i="11"/>
  <c r="CJ202" i="11"/>
  <c r="CK202" i="11"/>
  <c r="DC204" i="11"/>
  <c r="BL201" i="11"/>
  <c r="AB204" i="11"/>
  <c r="CX202" i="11"/>
  <c r="CY202" i="11" s="1"/>
  <c r="CS202" i="11"/>
  <c r="CW203" i="11"/>
  <c r="CQ203" i="11"/>
  <c r="CF203" i="11"/>
  <c r="CD203" i="11"/>
  <c r="AQ203" i="11"/>
  <c r="AR203" i="11" s="1"/>
  <c r="AT203" i="11" s="1"/>
  <c r="BE203" i="11"/>
  <c r="BG203" i="11" s="1"/>
  <c r="CE204" i="11"/>
  <c r="CG204" i="11" s="1"/>
  <c r="DV204" i="11"/>
  <c r="DU204" i="11"/>
  <c r="DI204" i="11"/>
  <c r="DH204" i="11"/>
  <c r="CR204" i="11"/>
  <c r="CT204" i="11" s="1"/>
  <c r="CU204" i="11"/>
  <c r="CV204" i="11"/>
  <c r="CH204" i="11"/>
  <c r="CI204" i="11"/>
  <c r="BV204" i="11"/>
  <c r="BU204" i="11"/>
  <c r="BH204" i="11"/>
  <c r="BI204" i="11"/>
  <c r="AU204" i="11"/>
  <c r="AV204" i="11"/>
  <c r="AI204" i="11"/>
  <c r="AH204" i="11"/>
  <c r="BR203" i="11"/>
  <c r="BT203" i="11" s="1"/>
  <c r="DE203" i="11"/>
  <c r="DG203" i="11" s="1"/>
  <c r="BN204" i="11"/>
  <c r="BB204" i="11"/>
  <c r="BD204" i="11" s="1"/>
  <c r="BP204" i="11"/>
  <c r="BO204" i="11"/>
  <c r="BQ204" i="11" s="1"/>
  <c r="CO204" i="11"/>
  <c r="BC204" i="11"/>
  <c r="CA204" i="11"/>
  <c r="BA204" i="11"/>
  <c r="DP204" i="11"/>
  <c r="AO204" i="11"/>
  <c r="AN204" i="11"/>
  <c r="CC204" i="11"/>
  <c r="AA204" i="11"/>
  <c r="AM204" i="11"/>
  <c r="X204" i="11"/>
  <c r="DB204" i="11"/>
  <c r="DD204" i="11" s="1"/>
  <c r="W205" i="11"/>
  <c r="CZ204" i="11"/>
  <c r="BZ204" i="11"/>
  <c r="DA204" i="11"/>
  <c r="BM204" i="11"/>
  <c r="CP204" i="11"/>
  <c r="DM204" i="11"/>
  <c r="CN204" i="11"/>
  <c r="CB204" i="11"/>
  <c r="DN204" i="11"/>
  <c r="CM204" i="11"/>
  <c r="Y204" i="11"/>
  <c r="AZ204" i="11"/>
  <c r="AP204" i="11"/>
  <c r="B205" i="11"/>
  <c r="A205" i="11" s="1"/>
  <c r="C206" i="11"/>
  <c r="M204" i="11" l="1"/>
  <c r="L204" i="11"/>
  <c r="DZ205" i="11"/>
  <c r="EI205" i="11"/>
  <c r="EH205" i="11"/>
  <c r="EC205" i="11"/>
  <c r="EA205" i="11"/>
  <c r="M171" i="12"/>
  <c r="V171" i="12"/>
  <c r="W171" i="12" s="1"/>
  <c r="A172" i="12"/>
  <c r="V172" i="12" s="1"/>
  <c r="W172" i="12" s="1"/>
  <c r="P205" i="11"/>
  <c r="BF203" i="11"/>
  <c r="DF203" i="11"/>
  <c r="DJ203" i="11"/>
  <c r="BS203" i="11"/>
  <c r="AS202" i="11"/>
  <c r="AX202" i="11"/>
  <c r="AY202" i="11" s="1"/>
  <c r="DK202" i="11"/>
  <c r="DL202" i="11" s="1"/>
  <c r="BJ203" i="11"/>
  <c r="BJ202" i="11"/>
  <c r="BK202" i="11"/>
  <c r="BX202" i="11"/>
  <c r="BY202" i="11" s="1"/>
  <c r="AY201" i="11"/>
  <c r="B173" i="12"/>
  <c r="BW203" i="11"/>
  <c r="AS203" i="11"/>
  <c r="CL202" i="11"/>
  <c r="CK203" i="11"/>
  <c r="CJ203" i="11"/>
  <c r="AB205" i="11"/>
  <c r="CS204" i="11"/>
  <c r="CQ204" i="11"/>
  <c r="CF204" i="11"/>
  <c r="CD204" i="11"/>
  <c r="CX203" i="11"/>
  <c r="CY203" i="11" s="1"/>
  <c r="CS203" i="11"/>
  <c r="AQ204" i="11"/>
  <c r="AR204" i="11" s="1"/>
  <c r="AT204" i="11" s="1"/>
  <c r="AW203" i="11"/>
  <c r="AX203" i="11"/>
  <c r="BE204" i="11"/>
  <c r="BG204" i="11" s="1"/>
  <c r="CA205" i="11"/>
  <c r="CE205" i="11"/>
  <c r="CG205" i="11" s="1"/>
  <c r="DU205" i="11"/>
  <c r="DV205" i="11"/>
  <c r="DH205" i="11"/>
  <c r="DI205" i="11"/>
  <c r="CV205" i="11"/>
  <c r="CR205" i="11"/>
  <c r="CT205" i="11" s="1"/>
  <c r="CU205" i="11"/>
  <c r="CI205" i="11"/>
  <c r="CH205" i="11"/>
  <c r="BU205" i="11"/>
  <c r="BV205" i="11"/>
  <c r="BH205" i="11"/>
  <c r="BI205" i="11"/>
  <c r="AU205" i="11"/>
  <c r="AV205" i="11"/>
  <c r="AH205" i="11"/>
  <c r="AI205" i="11"/>
  <c r="BR204" i="11"/>
  <c r="BT204" i="11" s="1"/>
  <c r="DE204" i="11"/>
  <c r="DG204" i="11" s="1"/>
  <c r="CM205" i="11"/>
  <c r="AA205" i="11"/>
  <c r="BC205" i="11"/>
  <c r="DM205" i="11"/>
  <c r="BN205" i="11"/>
  <c r="AP205" i="11"/>
  <c r="AZ205" i="11"/>
  <c r="BP205" i="11"/>
  <c r="BO205" i="11"/>
  <c r="BQ205" i="11" s="1"/>
  <c r="CP205" i="11"/>
  <c r="BB205" i="11"/>
  <c r="BD205" i="11" s="1"/>
  <c r="BZ205" i="11"/>
  <c r="CO205" i="11"/>
  <c r="CB205" i="11"/>
  <c r="X205" i="11"/>
  <c r="CZ205" i="11"/>
  <c r="CN205" i="11"/>
  <c r="AM205" i="11"/>
  <c r="Y205" i="11"/>
  <c r="BM205" i="11"/>
  <c r="AO205" i="11"/>
  <c r="CC205" i="11"/>
  <c r="W206" i="11"/>
  <c r="BA205" i="11"/>
  <c r="DC205" i="11"/>
  <c r="DN205" i="11"/>
  <c r="DA205" i="11"/>
  <c r="DB205" i="11"/>
  <c r="DD205" i="11" s="1"/>
  <c r="AN205" i="11"/>
  <c r="DP205" i="11"/>
  <c r="B206" i="11"/>
  <c r="A206" i="11" s="1"/>
  <c r="C207" i="11"/>
  <c r="M205" i="11" l="1"/>
  <c r="L205" i="11"/>
  <c r="EI206" i="11"/>
  <c r="EH206" i="11"/>
  <c r="EC206" i="11"/>
  <c r="EA206" i="11"/>
  <c r="DZ206" i="11"/>
  <c r="N172" i="12"/>
  <c r="M172" i="12"/>
  <c r="A173" i="12"/>
  <c r="M173" i="12" s="1"/>
  <c r="P206" i="11"/>
  <c r="BS204" i="11"/>
  <c r="BF204" i="11"/>
  <c r="DF204" i="11"/>
  <c r="BK203" i="11"/>
  <c r="BL203" i="11" s="1"/>
  <c r="DK203" i="11"/>
  <c r="DL203" i="11" s="1"/>
  <c r="BL202" i="11"/>
  <c r="BX203" i="11"/>
  <c r="BY203" i="11" s="1"/>
  <c r="B174" i="12"/>
  <c r="AS204" i="11"/>
  <c r="BW204" i="11"/>
  <c r="CL203" i="11"/>
  <c r="CX204" i="11"/>
  <c r="CW204" i="11"/>
  <c r="AB206" i="11"/>
  <c r="BR205" i="11"/>
  <c r="BT205" i="11" s="1"/>
  <c r="CF205" i="11"/>
  <c r="CD205" i="11"/>
  <c r="CK204" i="11"/>
  <c r="CQ205" i="11"/>
  <c r="CJ204" i="11"/>
  <c r="AQ205" i="11"/>
  <c r="AR205" i="11" s="1"/>
  <c r="AT205" i="11" s="1"/>
  <c r="AY203" i="11"/>
  <c r="BK204" i="11"/>
  <c r="BJ204" i="11"/>
  <c r="BE205" i="11"/>
  <c r="BG205" i="11" s="1"/>
  <c r="DE205" i="11"/>
  <c r="DG205" i="11" s="1"/>
  <c r="CW205" i="11"/>
  <c r="CE206" i="11"/>
  <c r="CG206" i="11" s="1"/>
  <c r="DU206" i="11"/>
  <c r="DV206" i="11"/>
  <c r="DI206" i="11"/>
  <c r="DH206" i="11"/>
  <c r="CR206" i="11"/>
  <c r="CT206" i="11" s="1"/>
  <c r="CU206" i="11"/>
  <c r="CV206" i="11"/>
  <c r="CH206" i="11"/>
  <c r="CI206" i="11"/>
  <c r="BU206" i="11"/>
  <c r="BV206" i="11"/>
  <c r="AU206" i="11"/>
  <c r="AV206" i="11"/>
  <c r="BH206" i="11"/>
  <c r="BI206" i="11"/>
  <c r="AI206" i="11"/>
  <c r="AH206" i="11"/>
  <c r="DP206" i="11"/>
  <c r="BP206" i="11"/>
  <c r="AN206" i="11"/>
  <c r="DA206" i="11"/>
  <c r="CB206" i="11"/>
  <c r="BA206" i="11"/>
  <c r="DC206" i="11"/>
  <c r="BN206" i="11"/>
  <c r="DB206" i="11"/>
  <c r="DD206" i="11" s="1"/>
  <c r="BO206" i="11"/>
  <c r="BQ206" i="11" s="1"/>
  <c r="AM206" i="11"/>
  <c r="Y206" i="11"/>
  <c r="CZ206" i="11"/>
  <c r="AA206" i="11"/>
  <c r="DN206" i="11"/>
  <c r="CM206" i="11"/>
  <c r="CC206" i="11"/>
  <c r="BB206" i="11"/>
  <c r="BD206" i="11" s="1"/>
  <c r="BM206" i="11"/>
  <c r="CO206" i="11"/>
  <c r="W207" i="11"/>
  <c r="AP206" i="11"/>
  <c r="AZ206" i="11"/>
  <c r="X206" i="11"/>
  <c r="CA206" i="11"/>
  <c r="CN206" i="11"/>
  <c r="CP206" i="11"/>
  <c r="BC206" i="11"/>
  <c r="BZ206" i="11"/>
  <c r="DM206" i="11"/>
  <c r="AO206" i="11"/>
  <c r="B207" i="11"/>
  <c r="A207" i="11" s="1"/>
  <c r="C208" i="11"/>
  <c r="L206" i="11" l="1"/>
  <c r="M206" i="11"/>
  <c r="EI207" i="11"/>
  <c r="EH207" i="11"/>
  <c r="EC207" i="11"/>
  <c r="EA207" i="11"/>
  <c r="DZ207" i="11"/>
  <c r="V173" i="12"/>
  <c r="W173" i="12" s="1"/>
  <c r="N173" i="12"/>
  <c r="A174" i="12"/>
  <c r="M174" i="12" s="1"/>
  <c r="P207" i="11"/>
  <c r="DF205" i="11"/>
  <c r="BF205" i="11"/>
  <c r="BS205" i="11"/>
  <c r="AX204" i="11"/>
  <c r="BX204" i="11"/>
  <c r="BY204" i="11" s="1"/>
  <c r="AW204" i="11"/>
  <c r="DK204" i="11"/>
  <c r="BJ205" i="11"/>
  <c r="DJ204" i="11"/>
  <c r="BW205" i="11"/>
  <c r="B175" i="12"/>
  <c r="AS205" i="11"/>
  <c r="CL204" i="11"/>
  <c r="CY204" i="11"/>
  <c r="CK205" i="11"/>
  <c r="CJ205" i="11"/>
  <c r="AB207" i="11"/>
  <c r="BL204" i="11"/>
  <c r="CJ206" i="11"/>
  <c r="CD206" i="11"/>
  <c r="CX205" i="11"/>
  <c r="CY205" i="11" s="1"/>
  <c r="CS205" i="11"/>
  <c r="CS206" i="11"/>
  <c r="CQ206" i="11"/>
  <c r="AQ206" i="11"/>
  <c r="AR206" i="11" s="1"/>
  <c r="AT206" i="11" s="1"/>
  <c r="DJ205" i="11"/>
  <c r="DK205" i="11"/>
  <c r="BE206" i="11"/>
  <c r="BG206" i="11" s="1"/>
  <c r="CW206" i="11"/>
  <c r="CX206" i="11"/>
  <c r="DE206" i="11"/>
  <c r="DG206" i="11" s="1"/>
  <c r="BR206" i="11"/>
  <c r="BT206" i="11" s="1"/>
  <c r="AM207" i="11"/>
  <c r="CE207" i="11"/>
  <c r="CG207" i="11" s="1"/>
  <c r="DU207" i="11"/>
  <c r="DV207" i="11"/>
  <c r="DH207" i="11"/>
  <c r="CU207" i="11"/>
  <c r="CV207" i="11"/>
  <c r="DI207" i="11"/>
  <c r="CR207" i="11"/>
  <c r="CT207" i="11" s="1"/>
  <c r="CH207" i="11"/>
  <c r="CI207" i="11"/>
  <c r="BU207" i="11"/>
  <c r="BV207" i="11"/>
  <c r="BH207" i="11"/>
  <c r="BI207" i="11"/>
  <c r="AV207" i="11"/>
  <c r="AU207" i="11"/>
  <c r="AH207" i="11"/>
  <c r="AI207" i="11"/>
  <c r="BN207" i="11"/>
  <c r="CZ207" i="11"/>
  <c r="DP207" i="11"/>
  <c r="BM207" i="11"/>
  <c r="BP207" i="11"/>
  <c r="BO207" i="11"/>
  <c r="BQ207" i="11" s="1"/>
  <c r="AA207" i="11"/>
  <c r="CM207" i="11"/>
  <c r="Y207" i="11"/>
  <c r="DB207" i="11"/>
  <c r="DD207" i="11" s="1"/>
  <c r="CB207" i="11"/>
  <c r="BA207" i="11"/>
  <c r="DC207" i="11"/>
  <c r="CO207" i="11"/>
  <c r="W208" i="11"/>
  <c r="DA207" i="11"/>
  <c r="AP207" i="11"/>
  <c r="CC207" i="11"/>
  <c r="BC207" i="11"/>
  <c r="CP207" i="11"/>
  <c r="DM207" i="11"/>
  <c r="CN207" i="11"/>
  <c r="AZ207" i="11"/>
  <c r="X207" i="11"/>
  <c r="AO207" i="11"/>
  <c r="BZ207" i="11"/>
  <c r="CA207" i="11"/>
  <c r="BB207" i="11"/>
  <c r="BD207" i="11" s="1"/>
  <c r="DN207" i="11"/>
  <c r="AN207" i="11"/>
  <c r="B208" i="11"/>
  <c r="A208" i="11" s="1"/>
  <c r="C209" i="11"/>
  <c r="V174" i="12" l="1"/>
  <c r="W174" i="12" s="1"/>
  <c r="M207" i="11"/>
  <c r="L207" i="11"/>
  <c r="EH208" i="11"/>
  <c r="EC208" i="11"/>
  <c r="EA208" i="11"/>
  <c r="DZ208" i="11"/>
  <c r="EI208" i="11"/>
  <c r="N174" i="12"/>
  <c r="A175" i="12"/>
  <c r="V175" i="12" s="1"/>
  <c r="W175" i="12" s="1"/>
  <c r="AZ208" i="11"/>
  <c r="P208" i="11"/>
  <c r="BS206" i="11"/>
  <c r="BW206" i="11"/>
  <c r="DF206" i="11"/>
  <c r="DJ206" i="11"/>
  <c r="BK205" i="11"/>
  <c r="BL205" i="11" s="1"/>
  <c r="AY204" i="11"/>
  <c r="DL204" i="11"/>
  <c r="AW205" i="11"/>
  <c r="AX205" i="11"/>
  <c r="BJ206" i="11"/>
  <c r="B176" i="12"/>
  <c r="BX205" i="11"/>
  <c r="BY205" i="11" s="1"/>
  <c r="CL205" i="11"/>
  <c r="AB208" i="11"/>
  <c r="DN208" i="11"/>
  <c r="CY206" i="11"/>
  <c r="BR207" i="11"/>
  <c r="BT207" i="11" s="1"/>
  <c r="BF206" i="11"/>
  <c r="CF207" i="11"/>
  <c r="CD207" i="11"/>
  <c r="CX207" i="11"/>
  <c r="CQ207" i="11"/>
  <c r="CK206" i="11"/>
  <c r="CL206" i="11" s="1"/>
  <c r="CF206" i="11"/>
  <c r="AQ207" i="11"/>
  <c r="AR207" i="11" s="1"/>
  <c r="AT207" i="11" s="1"/>
  <c r="DL205" i="11"/>
  <c r="CJ207" i="11"/>
  <c r="DE207" i="11"/>
  <c r="DG207" i="11" s="1"/>
  <c r="BM208" i="11"/>
  <c r="CE208" i="11"/>
  <c r="CG208" i="11" s="1"/>
  <c r="DV208" i="11"/>
  <c r="DU208" i="11"/>
  <c r="DI208" i="11"/>
  <c r="DH208" i="11"/>
  <c r="CR208" i="11"/>
  <c r="CT208" i="11" s="1"/>
  <c r="CU208" i="11"/>
  <c r="CV208" i="11"/>
  <c r="CH208" i="11"/>
  <c r="CI208" i="11"/>
  <c r="BV208" i="11"/>
  <c r="BU208" i="11"/>
  <c r="BI208" i="11"/>
  <c r="BH208" i="11"/>
  <c r="AU208" i="11"/>
  <c r="AV208" i="11"/>
  <c r="AH208" i="11"/>
  <c r="AI208" i="11"/>
  <c r="CK207" i="11"/>
  <c r="BE207" i="11"/>
  <c r="BG207" i="11" s="1"/>
  <c r="AP208" i="11"/>
  <c r="Y208" i="11"/>
  <c r="BN208" i="11"/>
  <c r="CB208" i="11"/>
  <c r="CA208" i="11"/>
  <c r="DM208" i="11"/>
  <c r="BZ208" i="11"/>
  <c r="CN208" i="11"/>
  <c r="CP208" i="11"/>
  <c r="BC208" i="11"/>
  <c r="BP208" i="11"/>
  <c r="X208" i="11"/>
  <c r="DC208" i="11"/>
  <c r="AN208" i="11"/>
  <c r="BA208" i="11"/>
  <c r="CC208" i="11"/>
  <c r="BB208" i="11"/>
  <c r="BD208" i="11" s="1"/>
  <c r="AO208" i="11"/>
  <c r="BO208" i="11"/>
  <c r="BQ208" i="11" s="1"/>
  <c r="W209" i="11"/>
  <c r="AA208" i="11"/>
  <c r="CM208" i="11"/>
  <c r="DA208" i="11"/>
  <c r="DP208" i="11"/>
  <c r="AM208" i="11"/>
  <c r="CO208" i="11"/>
  <c r="DB208" i="11"/>
  <c r="DD208" i="11" s="1"/>
  <c r="CZ208" i="11"/>
  <c r="B209" i="11"/>
  <c r="A209" i="11" s="1"/>
  <c r="C210" i="11"/>
  <c r="L208" i="11" l="1"/>
  <c r="M208" i="11"/>
  <c r="DZ209" i="11"/>
  <c r="EC209" i="11"/>
  <c r="EA209" i="11"/>
  <c r="EI209" i="11"/>
  <c r="EH209" i="11"/>
  <c r="N175" i="12"/>
  <c r="M175" i="12"/>
  <c r="A176" i="12"/>
  <c r="M176" i="12" s="1"/>
  <c r="P209" i="11"/>
  <c r="DF207" i="11"/>
  <c r="BF207" i="11"/>
  <c r="BJ207" i="11"/>
  <c r="BS207" i="11"/>
  <c r="BK206" i="11"/>
  <c r="BL206" i="11" s="1"/>
  <c r="AX207" i="11"/>
  <c r="BX206" i="11"/>
  <c r="BY206" i="11" s="1"/>
  <c r="AY205" i="11"/>
  <c r="DK206" i="11"/>
  <c r="DL206" i="11" s="1"/>
  <c r="B177" i="12"/>
  <c r="AX206" i="11"/>
  <c r="AS206" i="11"/>
  <c r="AW206" i="11"/>
  <c r="AB209" i="11"/>
  <c r="CW207" i="11"/>
  <c r="CY207" i="11" s="1"/>
  <c r="CS207" i="11"/>
  <c r="CF208" i="11"/>
  <c r="CD208" i="11"/>
  <c r="CS208" i="11"/>
  <c r="CQ208" i="11"/>
  <c r="AQ208" i="11"/>
  <c r="AR208" i="11" s="1"/>
  <c r="AT208" i="11" s="1"/>
  <c r="CL207" i="11"/>
  <c r="BE208" i="11"/>
  <c r="BG208" i="11" s="1"/>
  <c r="BP209" i="11"/>
  <c r="CE209" i="11"/>
  <c r="CG209" i="11" s="1"/>
  <c r="DU209" i="11"/>
  <c r="DV209" i="11"/>
  <c r="DI209" i="11"/>
  <c r="DH209" i="11"/>
  <c r="CR209" i="11"/>
  <c r="CT209" i="11" s="1"/>
  <c r="CV209" i="11"/>
  <c r="CU209" i="11"/>
  <c r="CI209" i="11"/>
  <c r="CH209" i="11"/>
  <c r="BU209" i="11"/>
  <c r="BV209" i="11"/>
  <c r="BH209" i="11"/>
  <c r="AU209" i="11"/>
  <c r="BI209" i="11"/>
  <c r="AV209" i="11"/>
  <c r="AH209" i="11"/>
  <c r="AI209" i="11"/>
  <c r="BR208" i="11"/>
  <c r="BT208" i="11" s="1"/>
  <c r="DE208" i="11"/>
  <c r="DG208" i="11" s="1"/>
  <c r="AZ209" i="11"/>
  <c r="BN209" i="11"/>
  <c r="BO209" i="11"/>
  <c r="BQ209" i="11" s="1"/>
  <c r="CO209" i="11"/>
  <c r="AM209" i="11"/>
  <c r="DP209" i="11"/>
  <c r="DC209" i="11"/>
  <c r="BB209" i="11"/>
  <c r="BD209" i="11" s="1"/>
  <c r="Y209" i="11"/>
  <c r="CM209" i="11"/>
  <c r="DN209" i="11"/>
  <c r="CP209" i="11"/>
  <c r="CZ209" i="11"/>
  <c r="AA209" i="11"/>
  <c r="DM209" i="11"/>
  <c r="CC209" i="11"/>
  <c r="BZ209" i="11"/>
  <c r="DA209" i="11"/>
  <c r="DB209" i="11"/>
  <c r="DD209" i="11" s="1"/>
  <c r="CA209" i="11"/>
  <c r="CN209" i="11"/>
  <c r="X209" i="11"/>
  <c r="BM209" i="11"/>
  <c r="CB209" i="11"/>
  <c r="BC209" i="11"/>
  <c r="BA209" i="11"/>
  <c r="AN209" i="11"/>
  <c r="W210" i="11"/>
  <c r="AP209" i="11"/>
  <c r="AO209" i="11"/>
  <c r="B210" i="11"/>
  <c r="A210" i="11" s="1"/>
  <c r="C211" i="11"/>
  <c r="N176" i="12" l="1"/>
  <c r="V176" i="12"/>
  <c r="W176" i="12" s="1"/>
  <c r="M209" i="11"/>
  <c r="L209" i="11"/>
  <c r="EI210" i="11"/>
  <c r="EC210" i="11"/>
  <c r="EA210" i="11"/>
  <c r="DZ210" i="11"/>
  <c r="EH210" i="11"/>
  <c r="A177" i="12"/>
  <c r="V177" i="12" s="1"/>
  <c r="W177" i="12" s="1"/>
  <c r="P210" i="11"/>
  <c r="BF208" i="11"/>
  <c r="BK208" i="11"/>
  <c r="DF208" i="11"/>
  <c r="DJ208" i="11"/>
  <c r="BS208" i="11"/>
  <c r="BW208" i="11"/>
  <c r="AY206" i="11"/>
  <c r="AW207" i="11"/>
  <c r="AY207" i="11" s="1"/>
  <c r="AS207" i="11"/>
  <c r="BK207" i="11"/>
  <c r="BL207" i="11" s="1"/>
  <c r="BX207" i="11"/>
  <c r="BW207" i="11"/>
  <c r="B178" i="12"/>
  <c r="DJ207" i="11"/>
  <c r="DK207" i="11"/>
  <c r="AX208" i="11"/>
  <c r="CK208" i="11"/>
  <c r="CJ208" i="11"/>
  <c r="AB210" i="11"/>
  <c r="CX208" i="11"/>
  <c r="CX209" i="11"/>
  <c r="CQ209" i="11"/>
  <c r="CW208" i="11"/>
  <c r="CJ209" i="11"/>
  <c r="CD209" i="11"/>
  <c r="AQ209" i="11"/>
  <c r="AR209" i="11" s="1"/>
  <c r="AT209" i="11" s="1"/>
  <c r="CE210" i="11"/>
  <c r="CG210" i="11" s="1"/>
  <c r="DU210" i="11"/>
  <c r="DV210" i="11"/>
  <c r="DI210" i="11"/>
  <c r="DH210" i="11"/>
  <c r="CV210" i="11"/>
  <c r="CR210" i="11"/>
  <c r="CT210" i="11" s="1"/>
  <c r="CU210" i="11"/>
  <c r="CH210" i="11"/>
  <c r="CI210" i="11"/>
  <c r="BU210" i="11"/>
  <c r="BV210" i="11"/>
  <c r="BH210" i="11"/>
  <c r="BI210" i="11"/>
  <c r="AU210" i="11"/>
  <c r="AV210" i="11"/>
  <c r="AH210" i="11"/>
  <c r="AI210" i="11"/>
  <c r="DE209" i="11"/>
  <c r="DG209" i="11" s="1"/>
  <c r="BR209" i="11"/>
  <c r="BT209" i="11" s="1"/>
  <c r="BE209" i="11"/>
  <c r="BG209" i="11" s="1"/>
  <c r="CM210" i="11"/>
  <c r="BP210" i="11"/>
  <c r="BN210" i="11"/>
  <c r="BO210" i="11"/>
  <c r="BQ210" i="11" s="1"/>
  <c r="BC210" i="11"/>
  <c r="Y210" i="11"/>
  <c r="DC210" i="11"/>
  <c r="BM210" i="11"/>
  <c r="AN210" i="11"/>
  <c r="AM210" i="11"/>
  <c r="CO210" i="11"/>
  <c r="AO210" i="11"/>
  <c r="AA210" i="11"/>
  <c r="DN210" i="11"/>
  <c r="AP210" i="11"/>
  <c r="BA210" i="11"/>
  <c r="DB210" i="11"/>
  <c r="DD210" i="11" s="1"/>
  <c r="CB210" i="11"/>
  <c r="BZ210" i="11"/>
  <c r="CC210" i="11"/>
  <c r="CN210" i="11"/>
  <c r="DM210" i="11"/>
  <c r="CA210" i="11"/>
  <c r="BB210" i="11"/>
  <c r="BD210" i="11" s="1"/>
  <c r="DA210" i="11"/>
  <c r="DP210" i="11"/>
  <c r="W211" i="11"/>
  <c r="CZ210" i="11"/>
  <c r="CP210" i="11"/>
  <c r="X210" i="11"/>
  <c r="AZ210" i="11"/>
  <c r="B211" i="11"/>
  <c r="A211" i="11" s="1"/>
  <c r="C212" i="11"/>
  <c r="M210" i="11" l="1"/>
  <c r="L210" i="11"/>
  <c r="N177" i="12"/>
  <c r="M177" i="12"/>
  <c r="EA211" i="11"/>
  <c r="DZ211" i="11"/>
  <c r="EI211" i="11"/>
  <c r="EH211" i="11"/>
  <c r="EC211" i="11"/>
  <c r="A178" i="12"/>
  <c r="V178" i="12" s="1"/>
  <c r="W178" i="12" s="1"/>
  <c r="P211" i="11"/>
  <c r="BF209" i="11"/>
  <c r="BS209" i="11"/>
  <c r="DF209" i="11"/>
  <c r="DK209" i="11"/>
  <c r="BJ208" i="11"/>
  <c r="BL208" i="11" s="1"/>
  <c r="BX208" i="11"/>
  <c r="BY208" i="11" s="1"/>
  <c r="DK208" i="11"/>
  <c r="DL208" i="11" s="1"/>
  <c r="BY207" i="11"/>
  <c r="AW208" i="11"/>
  <c r="AY208" i="11" s="1"/>
  <c r="DL207" i="11"/>
  <c r="BX209" i="11"/>
  <c r="AS209" i="11"/>
  <c r="AS208" i="11"/>
  <c r="B179" i="12"/>
  <c r="BJ209" i="11"/>
  <c r="CL208" i="11"/>
  <c r="CY208" i="11"/>
  <c r="AB211" i="11"/>
  <c r="CQ210" i="11"/>
  <c r="CK209" i="11"/>
  <c r="CL209" i="11" s="1"/>
  <c r="CF209" i="11"/>
  <c r="CF210" i="11"/>
  <c r="CD210" i="11"/>
  <c r="CW209" i="11"/>
  <c r="CY209" i="11" s="1"/>
  <c r="CS209" i="11"/>
  <c r="AQ210" i="11"/>
  <c r="AR210" i="11" s="1"/>
  <c r="AT210" i="11" s="1"/>
  <c r="BE210" i="11"/>
  <c r="BG210" i="11" s="1"/>
  <c r="CE211" i="11"/>
  <c r="CG211" i="11" s="1"/>
  <c r="DV211" i="11"/>
  <c r="DU211" i="11"/>
  <c r="DH211" i="11"/>
  <c r="DI211" i="11"/>
  <c r="CR211" i="11"/>
  <c r="CT211" i="11" s="1"/>
  <c r="CU211" i="11"/>
  <c r="CV211" i="11"/>
  <c r="CH211" i="11"/>
  <c r="CI211" i="11"/>
  <c r="BU211" i="11"/>
  <c r="BV211" i="11"/>
  <c r="BH211" i="11"/>
  <c r="BI211" i="11"/>
  <c r="AU211" i="11"/>
  <c r="AV211" i="11"/>
  <c r="AH211" i="11"/>
  <c r="AI211" i="11"/>
  <c r="DE210" i="11"/>
  <c r="DG210" i="11" s="1"/>
  <c r="BR210" i="11"/>
  <c r="BT210" i="11" s="1"/>
  <c r="CS210" i="11"/>
  <c r="AZ211" i="11"/>
  <c r="BP211" i="11"/>
  <c r="BN211" i="11"/>
  <c r="BO211" i="11"/>
  <c r="BQ211" i="11" s="1"/>
  <c r="CC211" i="11"/>
  <c r="X211" i="11"/>
  <c r="CA211" i="11"/>
  <c r="CO211" i="11"/>
  <c r="BM211" i="11"/>
  <c r="BA211" i="11"/>
  <c r="CP211" i="11"/>
  <c r="AP211" i="11"/>
  <c r="AM211" i="11"/>
  <c r="Y211" i="11"/>
  <c r="BZ211" i="11"/>
  <c r="CM211" i="11"/>
  <c r="CZ211" i="11"/>
  <c r="CN211" i="11"/>
  <c r="DC211" i="11"/>
  <c r="W212" i="11"/>
  <c r="CB211" i="11"/>
  <c r="DA211" i="11"/>
  <c r="AN211" i="11"/>
  <c r="DB211" i="11"/>
  <c r="DD211" i="11" s="1"/>
  <c r="DN211" i="11"/>
  <c r="AA211" i="11"/>
  <c r="DM211" i="11"/>
  <c r="DP211" i="11"/>
  <c r="BB211" i="11"/>
  <c r="BD211" i="11" s="1"/>
  <c r="AO211" i="11"/>
  <c r="BC211" i="11"/>
  <c r="B212" i="11"/>
  <c r="A212" i="11" s="1"/>
  <c r="C213" i="11"/>
  <c r="DP212" i="11" l="1"/>
  <c r="M211" i="11"/>
  <c r="L211" i="11"/>
  <c r="M178" i="12"/>
  <c r="N178" i="12"/>
  <c r="EA212" i="11"/>
  <c r="DZ212" i="11"/>
  <c r="EI212" i="11"/>
  <c r="EH212" i="11"/>
  <c r="EC212" i="11"/>
  <c r="A179" i="12"/>
  <c r="N179" i="12" s="1"/>
  <c r="P212" i="11"/>
  <c r="BS210" i="11"/>
  <c r="BX210" i="11"/>
  <c r="DF210" i="11"/>
  <c r="DJ210" i="11"/>
  <c r="BF210" i="11"/>
  <c r="DJ209" i="11"/>
  <c r="DL209" i="11" s="1"/>
  <c r="BW209" i="11"/>
  <c r="BY209" i="11" s="1"/>
  <c r="AW209" i="11"/>
  <c r="AX209" i="11"/>
  <c r="BK209" i="11"/>
  <c r="BL209" i="11" s="1"/>
  <c r="B180" i="12"/>
  <c r="CJ210" i="11"/>
  <c r="CK210" i="11"/>
  <c r="AB212" i="11"/>
  <c r="CF211" i="11"/>
  <c r="CD211" i="11"/>
  <c r="CS211" i="11"/>
  <c r="CQ211" i="11"/>
  <c r="AQ211" i="11"/>
  <c r="AR211" i="11" s="1"/>
  <c r="AT211" i="11" s="1"/>
  <c r="BE211" i="11"/>
  <c r="BG211" i="11" s="1"/>
  <c r="CX210" i="11"/>
  <c r="CW210" i="11"/>
  <c r="BP212" i="11"/>
  <c r="CE212" i="11"/>
  <c r="CG212" i="11" s="1"/>
  <c r="DV212" i="11"/>
  <c r="DU212" i="11"/>
  <c r="DH212" i="11"/>
  <c r="DI212" i="11"/>
  <c r="CV212" i="11"/>
  <c r="CH212" i="11"/>
  <c r="CR212" i="11"/>
  <c r="CT212" i="11" s="1"/>
  <c r="CU212" i="11"/>
  <c r="CI212" i="11"/>
  <c r="BU212" i="11"/>
  <c r="BV212" i="11"/>
  <c r="BI212" i="11"/>
  <c r="BH212" i="11"/>
  <c r="AU212" i="11"/>
  <c r="AV212" i="11"/>
  <c r="AH212" i="11"/>
  <c r="AI212" i="11"/>
  <c r="DE211" i="11"/>
  <c r="DG211" i="11" s="1"/>
  <c r="BR211" i="11"/>
  <c r="BT211" i="11" s="1"/>
  <c r="BC212" i="11"/>
  <c r="DA212" i="11"/>
  <c r="Y212" i="11"/>
  <c r="BN212" i="11"/>
  <c r="DM212" i="11"/>
  <c r="DC212" i="11"/>
  <c r="AP212" i="11"/>
  <c r="AA212" i="11"/>
  <c r="X212" i="11"/>
  <c r="CC212" i="11"/>
  <c r="DB212" i="11"/>
  <c r="DD212" i="11" s="1"/>
  <c r="BO212" i="11"/>
  <c r="BQ212" i="11" s="1"/>
  <c r="BB212" i="11"/>
  <c r="BD212" i="11" s="1"/>
  <c r="CB212" i="11"/>
  <c r="AM212" i="11"/>
  <c r="CP212" i="11"/>
  <c r="CN212" i="11"/>
  <c r="AO212" i="11"/>
  <c r="AN212" i="11"/>
  <c r="BZ212" i="11"/>
  <c r="CO212" i="11"/>
  <c r="BM212" i="11"/>
  <c r="W213" i="11"/>
  <c r="DN212" i="11"/>
  <c r="CZ212" i="11"/>
  <c r="BA212" i="11"/>
  <c r="CM212" i="11"/>
  <c r="CA212" i="11"/>
  <c r="AZ212" i="11"/>
  <c r="B213" i="11"/>
  <c r="A213" i="11" s="1"/>
  <c r="C214" i="11"/>
  <c r="M179" i="12" l="1"/>
  <c r="V179" i="12"/>
  <c r="W179" i="12" s="1"/>
  <c r="M212" i="11"/>
  <c r="L212" i="11"/>
  <c r="DZ213" i="11"/>
  <c r="EA213" i="11"/>
  <c r="EI213" i="11"/>
  <c r="EH213" i="11"/>
  <c r="EC213" i="11"/>
  <c r="A180" i="12"/>
  <c r="M180" i="12" s="1"/>
  <c r="P213" i="11"/>
  <c r="BS211" i="11"/>
  <c r="BF211" i="11"/>
  <c r="BK211" i="11"/>
  <c r="DF211" i="11"/>
  <c r="DJ211" i="11"/>
  <c r="AW211" i="11"/>
  <c r="DK210" i="11"/>
  <c r="DL210" i="11" s="1"/>
  <c r="AY209" i="11"/>
  <c r="AX210" i="11"/>
  <c r="AW210" i="11"/>
  <c r="BX211" i="11"/>
  <c r="B181" i="12"/>
  <c r="BK210" i="11"/>
  <c r="BJ210" i="11"/>
  <c r="AS210" i="11"/>
  <c r="BW210" i="11"/>
  <c r="BY210" i="11" s="1"/>
  <c r="AS211" i="11"/>
  <c r="CL210" i="11"/>
  <c r="CJ211" i="11"/>
  <c r="CK211" i="11"/>
  <c r="CQ212" i="11"/>
  <c r="AB213" i="11"/>
  <c r="CW211" i="11"/>
  <c r="CX211" i="11"/>
  <c r="CX212" i="11"/>
  <c r="CF212" i="11"/>
  <c r="CD212" i="11"/>
  <c r="AQ212" i="11"/>
  <c r="AR212" i="11" s="1"/>
  <c r="AT212" i="11" s="1"/>
  <c r="AX211" i="11"/>
  <c r="CY210" i="11"/>
  <c r="CE213" i="11"/>
  <c r="CG213" i="11" s="1"/>
  <c r="DV213" i="11"/>
  <c r="DU213" i="11"/>
  <c r="DH213" i="11"/>
  <c r="DI213" i="11"/>
  <c r="CR213" i="11"/>
  <c r="CT213" i="11" s="1"/>
  <c r="CV213" i="11"/>
  <c r="CU213" i="11"/>
  <c r="CI213" i="11"/>
  <c r="CH213" i="11"/>
  <c r="BV213" i="11"/>
  <c r="AU213" i="11"/>
  <c r="AV213" i="11"/>
  <c r="BU213" i="11"/>
  <c r="BH213" i="11"/>
  <c r="BI213" i="11"/>
  <c r="AH213" i="11"/>
  <c r="AI213" i="11"/>
  <c r="BR212" i="11"/>
  <c r="BT212" i="11" s="1"/>
  <c r="DE212" i="11"/>
  <c r="DG212" i="11" s="1"/>
  <c r="BE212" i="11"/>
  <c r="BG212" i="11" s="1"/>
  <c r="BP213" i="11"/>
  <c r="BN213" i="11"/>
  <c r="CO213" i="11"/>
  <c r="BO213" i="11"/>
  <c r="CZ213" i="11"/>
  <c r="DP213" i="11"/>
  <c r="AZ213" i="11"/>
  <c r="CA213" i="11"/>
  <c r="CP213" i="11"/>
  <c r="DN213" i="11"/>
  <c r="CM213" i="11"/>
  <c r="DB213" i="11"/>
  <c r="DD213" i="11" s="1"/>
  <c r="X213" i="11"/>
  <c r="CB213" i="11"/>
  <c r="BC213" i="11"/>
  <c r="AA213" i="11"/>
  <c r="BZ213" i="11"/>
  <c r="CC213" i="11"/>
  <c r="Y213" i="11"/>
  <c r="AM213" i="11"/>
  <c r="AP213" i="11"/>
  <c r="DA213" i="11"/>
  <c r="AO213" i="11"/>
  <c r="BM213" i="11"/>
  <c r="DC213" i="11"/>
  <c r="BB213" i="11"/>
  <c r="BD213" i="11" s="1"/>
  <c r="W214" i="11"/>
  <c r="BA213" i="11"/>
  <c r="CN213" i="11"/>
  <c r="DM213" i="11"/>
  <c r="AN213" i="11"/>
  <c r="B214" i="11"/>
  <c r="A214" i="11" s="1"/>
  <c r="C215" i="11"/>
  <c r="M213" i="11" l="1"/>
  <c r="N180" i="12"/>
  <c r="L213" i="11"/>
  <c r="EI214" i="11"/>
  <c r="EA214" i="11"/>
  <c r="DZ214" i="11"/>
  <c r="EH214" i="11"/>
  <c r="EC214" i="11"/>
  <c r="V180" i="12"/>
  <c r="W180" i="12" s="1"/>
  <c r="A181" i="12"/>
  <c r="M181" i="12" s="1"/>
  <c r="P214" i="11"/>
  <c r="BF212" i="11"/>
  <c r="DF212" i="11"/>
  <c r="DJ212" i="11"/>
  <c r="BS212" i="11"/>
  <c r="BW211" i="11"/>
  <c r="BY211" i="11" s="1"/>
  <c r="BJ211" i="11"/>
  <c r="BL211" i="11" s="1"/>
  <c r="AY210" i="11"/>
  <c r="BL210" i="11"/>
  <c r="DK211" i="11"/>
  <c r="DL211" i="11" s="1"/>
  <c r="BK212" i="11"/>
  <c r="B182" i="12"/>
  <c r="AW212" i="11"/>
  <c r="CL211" i="11"/>
  <c r="CJ212" i="11"/>
  <c r="CK212" i="11"/>
  <c r="CY211" i="11"/>
  <c r="AB214" i="11"/>
  <c r="BQ213" i="11"/>
  <c r="BR213" i="11" s="1"/>
  <c r="BT213" i="11" s="1"/>
  <c r="CF213" i="11"/>
  <c r="CD213" i="11"/>
  <c r="CS213" i="11"/>
  <c r="CQ213" i="11"/>
  <c r="CW212" i="11"/>
  <c r="CY212" i="11" s="1"/>
  <c r="CS212" i="11"/>
  <c r="AQ213" i="11"/>
  <c r="AR213" i="11" s="1"/>
  <c r="AT213" i="11" s="1"/>
  <c r="AY211" i="11"/>
  <c r="BE213" i="11"/>
  <c r="BG213" i="11" s="1"/>
  <c r="DE213" i="11"/>
  <c r="DG213" i="11" s="1"/>
  <c r="CE214" i="11"/>
  <c r="CG214" i="11" s="1"/>
  <c r="DU214" i="11"/>
  <c r="DV214" i="11"/>
  <c r="DH214" i="11"/>
  <c r="DI214" i="11"/>
  <c r="CU214" i="11"/>
  <c r="CV214" i="11"/>
  <c r="CR214" i="11"/>
  <c r="CT214" i="11" s="1"/>
  <c r="CH214" i="11"/>
  <c r="CI214" i="11"/>
  <c r="BU214" i="11"/>
  <c r="BV214" i="11"/>
  <c r="BH214" i="11"/>
  <c r="BI214" i="11"/>
  <c r="AI214" i="11"/>
  <c r="AU214" i="11"/>
  <c r="AV214" i="11"/>
  <c r="AH214" i="11"/>
  <c r="BN214" i="11"/>
  <c r="BP214" i="11"/>
  <c r="DN214" i="11"/>
  <c r="BO214" i="11"/>
  <c r="BQ214" i="11" s="1"/>
  <c r="CA214" i="11"/>
  <c r="CC214" i="11"/>
  <c r="BB214" i="11"/>
  <c r="BD214" i="11" s="1"/>
  <c r="CB214" i="11"/>
  <c r="CM214" i="11"/>
  <c r="CZ214" i="11"/>
  <c r="AN214" i="11"/>
  <c r="DM214" i="11"/>
  <c r="DA214" i="11"/>
  <c r="W215" i="11"/>
  <c r="AP214" i="11"/>
  <c r="X214" i="11"/>
  <c r="AZ214" i="11"/>
  <c r="DP214" i="11"/>
  <c r="BA214" i="11"/>
  <c r="BM214" i="11"/>
  <c r="AM214" i="11"/>
  <c r="DB214" i="11"/>
  <c r="DD214" i="11" s="1"/>
  <c r="Y214" i="11"/>
  <c r="BZ214" i="11"/>
  <c r="CN214" i="11"/>
  <c r="BC214" i="11"/>
  <c r="DC214" i="11"/>
  <c r="AO214" i="11"/>
  <c r="CP214" i="11"/>
  <c r="AA214" i="11"/>
  <c r="CO214" i="11"/>
  <c r="B215" i="11"/>
  <c r="A215" i="11" s="1"/>
  <c r="C216" i="11"/>
  <c r="L214" i="11" l="1"/>
  <c r="M214" i="11"/>
  <c r="DZ215" i="11"/>
  <c r="EA215" i="11"/>
  <c r="EI215" i="11"/>
  <c r="EH215" i="11"/>
  <c r="EC215" i="11"/>
  <c r="N181" i="12"/>
  <c r="V181" i="12"/>
  <c r="W181" i="12" s="1"/>
  <c r="A182" i="12"/>
  <c r="N182" i="12" s="1"/>
  <c r="P215" i="11"/>
  <c r="DF213" i="11"/>
  <c r="BF213" i="11"/>
  <c r="BJ213" i="11"/>
  <c r="BJ212" i="11"/>
  <c r="BL212" i="11" s="1"/>
  <c r="DK212" i="11"/>
  <c r="DL212" i="11" s="1"/>
  <c r="AS212" i="11"/>
  <c r="AX212" i="11"/>
  <c r="AY212" i="11" s="1"/>
  <c r="BX212" i="11"/>
  <c r="DK213" i="11"/>
  <c r="B183" i="12"/>
  <c r="BW212" i="11"/>
  <c r="CL212" i="11"/>
  <c r="AW213" i="11"/>
  <c r="CJ213" i="11"/>
  <c r="CW213" i="11"/>
  <c r="CK213" i="11"/>
  <c r="BX213" i="11"/>
  <c r="BW213" i="11"/>
  <c r="BS213" i="11"/>
  <c r="AB215" i="11"/>
  <c r="CF214" i="11"/>
  <c r="CD214" i="11"/>
  <c r="CS214" i="11"/>
  <c r="CQ214" i="11"/>
  <c r="CX213" i="11"/>
  <c r="AQ214" i="11"/>
  <c r="AR214" i="11" s="1"/>
  <c r="AT214" i="11" s="1"/>
  <c r="DE214" i="11"/>
  <c r="DG214" i="11" s="1"/>
  <c r="CE215" i="11"/>
  <c r="CG215" i="11" s="1"/>
  <c r="DU215" i="11"/>
  <c r="DV215" i="11"/>
  <c r="DH215" i="11"/>
  <c r="DI215" i="11"/>
  <c r="CR215" i="11"/>
  <c r="CT215" i="11" s="1"/>
  <c r="CU215" i="11"/>
  <c r="CV215" i="11"/>
  <c r="CI215" i="11"/>
  <c r="CH215" i="11"/>
  <c r="BU215" i="11"/>
  <c r="BV215" i="11"/>
  <c r="BH215" i="11"/>
  <c r="BI215" i="11"/>
  <c r="AU215" i="11"/>
  <c r="AV215" i="11"/>
  <c r="AH215" i="11"/>
  <c r="AI215" i="11"/>
  <c r="AA215" i="11"/>
  <c r="BE214" i="11"/>
  <c r="BG214" i="11" s="1"/>
  <c r="DP215" i="11"/>
  <c r="BZ215" i="11"/>
  <c r="AZ215" i="11"/>
  <c r="BR214" i="11"/>
  <c r="BT214" i="11" s="1"/>
  <c r="CN215" i="11"/>
  <c r="Y215" i="11"/>
  <c r="X215" i="11"/>
  <c r="BP215" i="11"/>
  <c r="BN215" i="11"/>
  <c r="DB215" i="11"/>
  <c r="DD215" i="11" s="1"/>
  <c r="CO215" i="11"/>
  <c r="BB215" i="11"/>
  <c r="BD215" i="11" s="1"/>
  <c r="BO215" i="11"/>
  <c r="BQ215" i="11" s="1"/>
  <c r="CM215" i="11"/>
  <c r="BC215" i="11"/>
  <c r="BA215" i="11"/>
  <c r="CZ215" i="11"/>
  <c r="CB215" i="11"/>
  <c r="CC215" i="11"/>
  <c r="DA215" i="11"/>
  <c r="CA215" i="11"/>
  <c r="CP215" i="11"/>
  <c r="W216" i="11"/>
  <c r="BM215" i="11"/>
  <c r="AM215" i="11"/>
  <c r="AO215" i="11"/>
  <c r="DM215" i="11"/>
  <c r="DC215" i="11"/>
  <c r="AP215" i="11"/>
  <c r="AN215" i="11"/>
  <c r="DN215" i="11"/>
  <c r="B216" i="11"/>
  <c r="A216" i="11" s="1"/>
  <c r="C217" i="11"/>
  <c r="M215" i="11" l="1"/>
  <c r="L215" i="11"/>
  <c r="EI216" i="11"/>
  <c r="EC216" i="11"/>
  <c r="EA216" i="11"/>
  <c r="DZ216" i="11"/>
  <c r="EH216" i="11"/>
  <c r="M182" i="12"/>
  <c r="V182" i="12"/>
  <c r="W182" i="12" s="1"/>
  <c r="A183" i="12"/>
  <c r="V183" i="12" s="1"/>
  <c r="W183" i="12" s="1"/>
  <c r="P216" i="11"/>
  <c r="BS214" i="11"/>
  <c r="DF214" i="11"/>
  <c r="DJ214" i="11"/>
  <c r="BF214" i="11"/>
  <c r="BJ214" i="11"/>
  <c r="AX213" i="11"/>
  <c r="AY213" i="11" s="1"/>
  <c r="BY212" i="11"/>
  <c r="BK213" i="11"/>
  <c r="BL213" i="11" s="1"/>
  <c r="DJ213" i="11"/>
  <c r="DL213" i="11" s="1"/>
  <c r="AX214" i="11"/>
  <c r="AS213" i="11"/>
  <c r="B184" i="12"/>
  <c r="BW214" i="11"/>
  <c r="CL213" i="11"/>
  <c r="CY213" i="11"/>
  <c r="CX214" i="11"/>
  <c r="CW214" i="11"/>
  <c r="CJ214" i="11"/>
  <c r="CK214" i="11"/>
  <c r="AB216" i="11"/>
  <c r="BR215" i="11"/>
  <c r="BT215" i="11" s="1"/>
  <c r="BY213" i="11"/>
  <c r="CF215" i="11"/>
  <c r="CD215" i="11"/>
  <c r="CQ215" i="11"/>
  <c r="AQ215" i="11"/>
  <c r="AR215" i="11" s="1"/>
  <c r="AT215" i="11" s="1"/>
  <c r="BE215" i="11"/>
  <c r="BG215" i="11" s="1"/>
  <c r="BX214" i="11"/>
  <c r="CE216" i="11"/>
  <c r="CG216" i="11" s="1"/>
  <c r="DV216" i="11"/>
  <c r="DU216" i="11"/>
  <c r="DH216" i="11"/>
  <c r="DI216" i="11"/>
  <c r="CR216" i="11"/>
  <c r="CT216" i="11" s="1"/>
  <c r="CU216" i="11"/>
  <c r="CV216" i="11"/>
  <c r="CH216" i="11"/>
  <c r="CI216" i="11"/>
  <c r="BU216" i="11"/>
  <c r="BV216" i="11"/>
  <c r="BH216" i="11"/>
  <c r="BI216" i="11"/>
  <c r="AV216" i="11"/>
  <c r="AU216" i="11"/>
  <c r="AH216" i="11"/>
  <c r="AI216" i="11"/>
  <c r="CX215" i="11"/>
  <c r="DE215" i="11"/>
  <c r="DG215" i="11" s="1"/>
  <c r="CO216" i="11"/>
  <c r="BN216" i="11"/>
  <c r="BP216" i="11"/>
  <c r="BO216" i="11"/>
  <c r="BA216" i="11"/>
  <c r="CC216" i="11"/>
  <c r="CA216" i="11"/>
  <c r="CM216" i="11"/>
  <c r="BM216" i="11"/>
  <c r="AP216" i="11"/>
  <c r="DA216" i="11"/>
  <c r="CP216" i="11"/>
  <c r="DN216" i="11"/>
  <c r="DM216" i="11"/>
  <c r="CZ216" i="11"/>
  <c r="AM216" i="11"/>
  <c r="AN216" i="11"/>
  <c r="BB216" i="11"/>
  <c r="BD216" i="11" s="1"/>
  <c r="W217" i="11"/>
  <c r="DC216" i="11"/>
  <c r="X216" i="11"/>
  <c r="Y216" i="11"/>
  <c r="AZ216" i="11"/>
  <c r="DP216" i="11"/>
  <c r="AO216" i="11"/>
  <c r="BC216" i="11"/>
  <c r="AA216" i="11"/>
  <c r="DB216" i="11"/>
  <c r="DD216" i="11" s="1"/>
  <c r="BZ216" i="11"/>
  <c r="CB216" i="11"/>
  <c r="CN216" i="11"/>
  <c r="B217" i="11"/>
  <c r="A217" i="11" s="1"/>
  <c r="C218" i="11"/>
  <c r="N183" i="12" l="1"/>
  <c r="M183" i="12"/>
  <c r="M216" i="11"/>
  <c r="L216" i="11"/>
  <c r="DZ217" i="11"/>
  <c r="EC217" i="11"/>
  <c r="EA217" i="11"/>
  <c r="EI217" i="11"/>
  <c r="EH217" i="11"/>
  <c r="A184" i="12"/>
  <c r="V184" i="12" s="1"/>
  <c r="W184" i="12" s="1"/>
  <c r="P217" i="11"/>
  <c r="BF215" i="11"/>
  <c r="BS215" i="11"/>
  <c r="DF215" i="11"/>
  <c r="AW214" i="11"/>
  <c r="AY214" i="11" s="1"/>
  <c r="BK214" i="11"/>
  <c r="BL214" i="11" s="1"/>
  <c r="DK214" i="11"/>
  <c r="DL214" i="11" s="1"/>
  <c r="AS215" i="11"/>
  <c r="B185" i="12"/>
  <c r="AS214" i="11"/>
  <c r="CY214" i="11"/>
  <c r="CQ216" i="11"/>
  <c r="CL214" i="11"/>
  <c r="CK215" i="11"/>
  <c r="AB217" i="11"/>
  <c r="CJ215" i="11"/>
  <c r="BQ216" i="11"/>
  <c r="BR216" i="11" s="1"/>
  <c r="BT216" i="11" s="1"/>
  <c r="CW215" i="11"/>
  <c r="CY215" i="11" s="1"/>
  <c r="CS215" i="11"/>
  <c r="CF216" i="11"/>
  <c r="CD216" i="11"/>
  <c r="AQ216" i="11"/>
  <c r="AR216" i="11" s="1"/>
  <c r="AT216" i="11" s="1"/>
  <c r="BY214" i="11"/>
  <c r="BE216" i="11"/>
  <c r="BG216" i="11" s="1"/>
  <c r="DE216" i="11"/>
  <c r="DG216" i="11" s="1"/>
  <c r="CS216" i="11"/>
  <c r="CE217" i="11"/>
  <c r="CG217" i="11" s="1"/>
  <c r="DU217" i="11"/>
  <c r="DV217" i="11"/>
  <c r="DH217" i="11"/>
  <c r="DI217" i="11"/>
  <c r="CR217" i="11"/>
  <c r="CT217" i="11" s="1"/>
  <c r="CU217" i="11"/>
  <c r="CV217" i="11"/>
  <c r="CH217" i="11"/>
  <c r="CI217" i="11"/>
  <c r="BU217" i="11"/>
  <c r="BH217" i="11"/>
  <c r="BI217" i="11"/>
  <c r="BV217" i="11"/>
  <c r="AV217" i="11"/>
  <c r="AU217" i="11"/>
  <c r="AH217" i="11"/>
  <c r="AI217" i="11"/>
  <c r="BN217" i="11"/>
  <c r="BC217" i="11"/>
  <c r="BP217" i="11"/>
  <c r="BO217" i="11"/>
  <c r="BQ217" i="11" s="1"/>
  <c r="AZ217" i="11"/>
  <c r="BB217" i="11"/>
  <c r="BD217" i="11" s="1"/>
  <c r="DM217" i="11"/>
  <c r="CM217" i="11"/>
  <c r="AO217" i="11"/>
  <c r="DP217" i="11"/>
  <c r="CA217" i="11"/>
  <c r="CN217" i="11"/>
  <c r="BZ217" i="11"/>
  <c r="W218" i="11"/>
  <c r="X217" i="11"/>
  <c r="AN217" i="11"/>
  <c r="CC217" i="11"/>
  <c r="DA217" i="11"/>
  <c r="CB217" i="11"/>
  <c r="Y217" i="11"/>
  <c r="DC217" i="11"/>
  <c r="AM217" i="11"/>
  <c r="DN217" i="11"/>
  <c r="BA217" i="11"/>
  <c r="AP217" i="11"/>
  <c r="BM217" i="11"/>
  <c r="DB217" i="11"/>
  <c r="DD217" i="11" s="1"/>
  <c r="AA217" i="11"/>
  <c r="CZ217" i="11"/>
  <c r="CP217" i="11"/>
  <c r="CO217" i="11"/>
  <c r="B218" i="11"/>
  <c r="A218" i="11" s="1"/>
  <c r="C219" i="11"/>
  <c r="M217" i="11" l="1"/>
  <c r="L217" i="11"/>
  <c r="EI218" i="11"/>
  <c r="EC218" i="11"/>
  <c r="EA218" i="11"/>
  <c r="DZ218" i="11"/>
  <c r="EH218" i="11"/>
  <c r="N184" i="12"/>
  <c r="M184" i="12"/>
  <c r="A185" i="12"/>
  <c r="M185" i="12" s="1"/>
  <c r="P218" i="11"/>
  <c r="DF216" i="11"/>
  <c r="BF216" i="11"/>
  <c r="BJ216" i="11"/>
  <c r="DK216" i="11"/>
  <c r="BX215" i="11"/>
  <c r="AX215" i="11"/>
  <c r="AW215" i="11"/>
  <c r="BJ215" i="11"/>
  <c r="DK215" i="11"/>
  <c r="B186" i="12"/>
  <c r="DJ215" i="11"/>
  <c r="AS216" i="11"/>
  <c r="BK215" i="11"/>
  <c r="BW215" i="11"/>
  <c r="CL215" i="11"/>
  <c r="BS216" i="11"/>
  <c r="BX216" i="11"/>
  <c r="BW216" i="11"/>
  <c r="AA218" i="11"/>
  <c r="DC218" i="11"/>
  <c r="AB218" i="11"/>
  <c r="CJ217" i="11"/>
  <c r="CD217" i="11"/>
  <c r="CJ216" i="11"/>
  <c r="CK216" i="11"/>
  <c r="CQ217" i="11"/>
  <c r="AQ217" i="11"/>
  <c r="AR217" i="11" s="1"/>
  <c r="AT217" i="11" s="1"/>
  <c r="BK216" i="11"/>
  <c r="BE217" i="11"/>
  <c r="BG217" i="11" s="1"/>
  <c r="BN218" i="11"/>
  <c r="CE218" i="11"/>
  <c r="CG218" i="11" s="1"/>
  <c r="DU218" i="11"/>
  <c r="DV218" i="11"/>
  <c r="DI218" i="11"/>
  <c r="DH218" i="11"/>
  <c r="CR218" i="11"/>
  <c r="CT218" i="11" s="1"/>
  <c r="CV218" i="11"/>
  <c r="CU218" i="11"/>
  <c r="CI218" i="11"/>
  <c r="CH218" i="11"/>
  <c r="BU218" i="11"/>
  <c r="BV218" i="11"/>
  <c r="BI218" i="11"/>
  <c r="AU218" i="11"/>
  <c r="AV218" i="11"/>
  <c r="BH218" i="11"/>
  <c r="AH218" i="11"/>
  <c r="AI218" i="11"/>
  <c r="CX216" i="11"/>
  <c r="CW216" i="11"/>
  <c r="BR217" i="11"/>
  <c r="BT217" i="11" s="1"/>
  <c r="AP218" i="11"/>
  <c r="DE217" i="11"/>
  <c r="DG217" i="11" s="1"/>
  <c r="CZ218" i="11"/>
  <c r="AM218" i="11"/>
  <c r="Y218" i="11"/>
  <c r="BP218" i="11"/>
  <c r="BC218" i="11"/>
  <c r="DB218" i="11"/>
  <c r="DD218" i="11" s="1"/>
  <c r="CB218" i="11"/>
  <c r="BO218" i="11"/>
  <c r="BQ218" i="11" s="1"/>
  <c r="CO218" i="11"/>
  <c r="CA218" i="11"/>
  <c r="BA218" i="11"/>
  <c r="CP218" i="11"/>
  <c r="DN218" i="11"/>
  <c r="DP218" i="11"/>
  <c r="CC218" i="11"/>
  <c r="CM218" i="11"/>
  <c r="AN218" i="11"/>
  <c r="BM218" i="11"/>
  <c r="DA218" i="11"/>
  <c r="X218" i="11"/>
  <c r="BZ218" i="11"/>
  <c r="AO218" i="11"/>
  <c r="DM218" i="11"/>
  <c r="BB218" i="11"/>
  <c r="BD218" i="11" s="1"/>
  <c r="W219" i="11"/>
  <c r="CN218" i="11"/>
  <c r="AZ218" i="11"/>
  <c r="B219" i="11"/>
  <c r="A219" i="11" s="1"/>
  <c r="C220" i="11"/>
  <c r="L218" i="11" l="1"/>
  <c r="M218" i="11"/>
  <c r="DZ219" i="11"/>
  <c r="EH219" i="11"/>
  <c r="EC219" i="11"/>
  <c r="EA219" i="11"/>
  <c r="EI219" i="11"/>
  <c r="V185" i="12"/>
  <c r="W185" i="12" s="1"/>
  <c r="N185" i="12"/>
  <c r="A186" i="12"/>
  <c r="N186" i="12" s="1"/>
  <c r="P219" i="11"/>
  <c r="BY215" i="11"/>
  <c r="DF217" i="11"/>
  <c r="BF217" i="11"/>
  <c r="BJ217" i="11"/>
  <c r="BS217" i="11"/>
  <c r="BL215" i="11"/>
  <c r="AW216" i="11"/>
  <c r="DJ216" i="11"/>
  <c r="DL216" i="11" s="1"/>
  <c r="AY215" i="11"/>
  <c r="DL215" i="11"/>
  <c r="B187" i="12"/>
  <c r="AS217" i="11"/>
  <c r="AX216" i="11"/>
  <c r="BX217" i="11"/>
  <c r="BY216" i="11"/>
  <c r="CL216" i="11"/>
  <c r="BL216" i="11"/>
  <c r="AB219" i="11"/>
  <c r="CW217" i="11"/>
  <c r="CS217" i="11"/>
  <c r="CF218" i="11"/>
  <c r="CD218" i="11"/>
  <c r="CS218" i="11"/>
  <c r="CQ218" i="11"/>
  <c r="CX217" i="11"/>
  <c r="CK217" i="11"/>
  <c r="CL217" i="11" s="1"/>
  <c r="CF217" i="11"/>
  <c r="AQ218" i="11"/>
  <c r="AR218" i="11" s="1"/>
  <c r="AT218" i="11" s="1"/>
  <c r="BE218" i="11"/>
  <c r="BG218" i="11" s="1"/>
  <c r="CY216" i="11"/>
  <c r="BR218" i="11"/>
  <c r="BT218" i="11" s="1"/>
  <c r="CE219" i="11"/>
  <c r="CG219" i="11" s="1"/>
  <c r="DU219" i="11"/>
  <c r="DV219" i="11"/>
  <c r="DH219" i="11"/>
  <c r="DI219" i="11"/>
  <c r="CU219" i="11"/>
  <c r="CV219" i="11"/>
  <c r="CR219" i="11"/>
  <c r="CT219" i="11" s="1"/>
  <c r="CH219" i="11"/>
  <c r="CI219" i="11"/>
  <c r="BU219" i="11"/>
  <c r="BV219" i="11"/>
  <c r="BI219" i="11"/>
  <c r="BH219" i="11"/>
  <c r="AU219" i="11"/>
  <c r="AV219" i="11"/>
  <c r="AH219" i="11"/>
  <c r="AI219" i="11"/>
  <c r="DE218" i="11"/>
  <c r="DG218" i="11" s="1"/>
  <c r="BP219" i="11"/>
  <c r="CP219" i="11"/>
  <c r="BN219" i="11"/>
  <c r="BO219" i="11"/>
  <c r="BQ219" i="11" s="1"/>
  <c r="DC219" i="11"/>
  <c r="X219" i="11"/>
  <c r="DB219" i="11"/>
  <c r="DD219" i="11" s="1"/>
  <c r="AZ219" i="11"/>
  <c r="AA219" i="11"/>
  <c r="CZ219" i="11"/>
  <c r="AM219" i="11"/>
  <c r="CM219" i="11"/>
  <c r="CN219" i="11"/>
  <c r="CO219" i="11"/>
  <c r="CC219" i="11"/>
  <c r="CA219" i="11"/>
  <c r="AP219" i="11"/>
  <c r="W220" i="11"/>
  <c r="BC219" i="11"/>
  <c r="DM219" i="11"/>
  <c r="DP219" i="11"/>
  <c r="DA219" i="11"/>
  <c r="BM219" i="11"/>
  <c r="DN219" i="11"/>
  <c r="AO219" i="11"/>
  <c r="BB219" i="11"/>
  <c r="BD219" i="11" s="1"/>
  <c r="AN219" i="11"/>
  <c r="CB219" i="11"/>
  <c r="BZ219" i="11"/>
  <c r="Y219" i="11"/>
  <c r="BA219" i="11"/>
  <c r="B220" i="11"/>
  <c r="A220" i="11" s="1"/>
  <c r="C221" i="11"/>
  <c r="M219" i="11" l="1"/>
  <c r="L219" i="11"/>
  <c r="EI220" i="11"/>
  <c r="EH220" i="11"/>
  <c r="EC220" i="11"/>
  <c r="EA220" i="11"/>
  <c r="DZ220" i="11"/>
  <c r="M186" i="12"/>
  <c r="V186" i="12"/>
  <c r="W186" i="12" s="1"/>
  <c r="A187" i="12"/>
  <c r="M187" i="12" s="1"/>
  <c r="P220" i="11"/>
  <c r="DF218" i="11"/>
  <c r="BF218" i="11"/>
  <c r="BK218" i="11"/>
  <c r="BS218" i="11"/>
  <c r="BW218" i="11"/>
  <c r="AY216" i="11"/>
  <c r="AX217" i="11"/>
  <c r="AW217" i="11"/>
  <c r="BK217" i="11"/>
  <c r="BL217" i="11" s="1"/>
  <c r="BW217" i="11"/>
  <c r="BY217" i="11" s="1"/>
  <c r="B188" i="12"/>
  <c r="AW218" i="11"/>
  <c r="DJ217" i="11"/>
  <c r="DK217" i="11"/>
  <c r="CW218" i="11"/>
  <c r="CX218" i="11"/>
  <c r="AB220" i="11"/>
  <c r="CK218" i="11"/>
  <c r="CJ218" i="11"/>
  <c r="CF219" i="11"/>
  <c r="CD219" i="11"/>
  <c r="CQ219" i="11"/>
  <c r="CY217" i="11"/>
  <c r="AQ219" i="11"/>
  <c r="AR219" i="11" s="1"/>
  <c r="AT219" i="11" s="1"/>
  <c r="DK218" i="11"/>
  <c r="DJ218" i="11"/>
  <c r="DV220" i="11"/>
  <c r="CE220" i="11"/>
  <c r="CG220" i="11" s="1"/>
  <c r="DU220" i="11"/>
  <c r="DH220" i="11"/>
  <c r="DI220" i="11"/>
  <c r="CU220" i="11"/>
  <c r="CR220" i="11"/>
  <c r="CT220" i="11" s="1"/>
  <c r="CV220" i="11"/>
  <c r="CI220" i="11"/>
  <c r="CH220" i="11"/>
  <c r="BU220" i="11"/>
  <c r="BV220" i="11"/>
  <c r="BH220" i="11"/>
  <c r="BI220" i="11"/>
  <c r="AU220" i="11"/>
  <c r="AV220" i="11"/>
  <c r="AH220" i="11"/>
  <c r="AI220" i="11"/>
  <c r="DE219" i="11"/>
  <c r="DG219" i="11" s="1"/>
  <c r="BE219" i="11"/>
  <c r="BG219" i="11" s="1"/>
  <c r="BR219" i="11"/>
  <c r="BT219" i="11" s="1"/>
  <c r="CX219" i="11"/>
  <c r="DP220" i="11"/>
  <c r="BZ220" i="11"/>
  <c r="DC220" i="11"/>
  <c r="BP220" i="11"/>
  <c r="BN220" i="11"/>
  <c r="CB220" i="11"/>
  <c r="BO220" i="11"/>
  <c r="BC220" i="11"/>
  <c r="BB220" i="11"/>
  <c r="BD220" i="11" s="1"/>
  <c r="Y220" i="11"/>
  <c r="DA220" i="11"/>
  <c r="AP220" i="11"/>
  <c r="AA220" i="11"/>
  <c r="CC220" i="11"/>
  <c r="AM220" i="11"/>
  <c r="X220" i="11"/>
  <c r="W221" i="11"/>
  <c r="AN220" i="11"/>
  <c r="DM220" i="11"/>
  <c r="CZ220" i="11"/>
  <c r="AZ220" i="11"/>
  <c r="AO220" i="11"/>
  <c r="DN220" i="11"/>
  <c r="CN220" i="11"/>
  <c r="DB220" i="11"/>
  <c r="DD220" i="11" s="1"/>
  <c r="CO220" i="11"/>
  <c r="CA220" i="11"/>
  <c r="BA220" i="11"/>
  <c r="BM220" i="11"/>
  <c r="CM220" i="11"/>
  <c r="CP220" i="11"/>
  <c r="B221" i="11"/>
  <c r="A221" i="11" s="1"/>
  <c r="C222" i="11"/>
  <c r="V187" i="12" l="1"/>
  <c r="W187" i="12" s="1"/>
  <c r="M220" i="11"/>
  <c r="L220" i="11"/>
  <c r="DZ221" i="11"/>
  <c r="EI221" i="11"/>
  <c r="EH221" i="11"/>
  <c r="EC221" i="11"/>
  <c r="EA221" i="11"/>
  <c r="N187" i="12"/>
  <c r="A188" i="12"/>
  <c r="N188" i="12" s="1"/>
  <c r="P221" i="11"/>
  <c r="BS219" i="11"/>
  <c r="BF219" i="11"/>
  <c r="BJ219" i="11"/>
  <c r="DF219" i="11"/>
  <c r="AY217" i="11"/>
  <c r="BJ218" i="11"/>
  <c r="BL218" i="11" s="1"/>
  <c r="AX218" i="11"/>
  <c r="AY218" i="11" s="1"/>
  <c r="DL217" i="11"/>
  <c r="BX218" i="11"/>
  <c r="BY218" i="11" s="1"/>
  <c r="B189" i="12"/>
  <c r="AW219" i="11"/>
  <c r="AS218" i="11"/>
  <c r="CL218" i="11"/>
  <c r="CY218" i="11"/>
  <c r="AB221" i="11"/>
  <c r="CK219" i="11"/>
  <c r="CJ219" i="11"/>
  <c r="BQ220" i="11"/>
  <c r="BR220" i="11" s="1"/>
  <c r="BT220" i="11" s="1"/>
  <c r="CF220" i="11"/>
  <c r="CD220" i="11"/>
  <c r="CS220" i="11"/>
  <c r="CQ220" i="11"/>
  <c r="CW219" i="11"/>
  <c r="CY219" i="11" s="1"/>
  <c r="CS219" i="11"/>
  <c r="AQ220" i="11"/>
  <c r="AR220" i="11" s="1"/>
  <c r="AT220" i="11" s="1"/>
  <c r="DL218" i="11"/>
  <c r="BE220" i="11"/>
  <c r="BG220" i="11" s="1"/>
  <c r="DE220" i="11"/>
  <c r="DG220" i="11" s="1"/>
  <c r="AP221" i="11"/>
  <c r="CE221" i="11"/>
  <c r="CG221" i="11" s="1"/>
  <c r="DU221" i="11"/>
  <c r="DV221" i="11"/>
  <c r="DI221" i="11"/>
  <c r="DH221" i="11"/>
  <c r="CV221" i="11"/>
  <c r="CR221" i="11"/>
  <c r="CT221" i="11" s="1"/>
  <c r="CU221" i="11"/>
  <c r="CH221" i="11"/>
  <c r="CI221" i="11"/>
  <c r="BU221" i="11"/>
  <c r="BV221" i="11"/>
  <c r="BI221" i="11"/>
  <c r="BH221" i="11"/>
  <c r="AV221" i="11"/>
  <c r="AU221" i="11"/>
  <c r="AH221" i="11"/>
  <c r="AI221" i="11"/>
  <c r="CP221" i="11"/>
  <c r="AN221" i="11"/>
  <c r="DN221" i="11"/>
  <c r="CC221" i="11"/>
  <c r="CZ221" i="11"/>
  <c r="AA221" i="11"/>
  <c r="BM221" i="11"/>
  <c r="DC221" i="11"/>
  <c r="CA221" i="11"/>
  <c r="BN221" i="11"/>
  <c r="BP221" i="11"/>
  <c r="DB221" i="11"/>
  <c r="DD221" i="11" s="1"/>
  <c r="BO221" i="11"/>
  <c r="BQ221" i="11" s="1"/>
  <c r="DA221" i="11"/>
  <c r="DM221" i="11"/>
  <c r="BA221" i="11"/>
  <c r="AO221" i="11"/>
  <c r="CO221" i="11"/>
  <c r="AZ221" i="11"/>
  <c r="DP221" i="11"/>
  <c r="BC221" i="11"/>
  <c r="CM221" i="11"/>
  <c r="CN221" i="11"/>
  <c r="BB221" i="11"/>
  <c r="BD221" i="11" s="1"/>
  <c r="AM221" i="11"/>
  <c r="CB221" i="11"/>
  <c r="W222" i="11"/>
  <c r="Y221" i="11"/>
  <c r="X221" i="11"/>
  <c r="BZ221" i="11"/>
  <c r="B222" i="11"/>
  <c r="A222" i="11" s="1"/>
  <c r="C223" i="11"/>
  <c r="M221" i="11" l="1"/>
  <c r="L221" i="11"/>
  <c r="EI222" i="11"/>
  <c r="EH222" i="11"/>
  <c r="EC222" i="11"/>
  <c r="EA222" i="11"/>
  <c r="DZ222" i="11"/>
  <c r="M188" i="12"/>
  <c r="V188" i="12"/>
  <c r="W188" i="12" s="1"/>
  <c r="A189" i="12"/>
  <c r="M189" i="12" s="1"/>
  <c r="P222" i="11"/>
  <c r="BF220" i="11"/>
  <c r="DF220" i="11"/>
  <c r="DJ220" i="11"/>
  <c r="DK219" i="11"/>
  <c r="AX219" i="11"/>
  <c r="AY219" i="11" s="1"/>
  <c r="DJ219" i="11"/>
  <c r="BK219" i="11"/>
  <c r="BL219" i="11" s="1"/>
  <c r="AS220" i="11"/>
  <c r="BX220" i="11"/>
  <c r="B190" i="12"/>
  <c r="BW219" i="11"/>
  <c r="BX219" i="11"/>
  <c r="AS219" i="11"/>
  <c r="CL219" i="11"/>
  <c r="CW220" i="11"/>
  <c r="CJ220" i="11"/>
  <c r="CK220" i="11"/>
  <c r="BS220" i="11"/>
  <c r="CX220" i="11"/>
  <c r="AB222" i="11"/>
  <c r="BR221" i="11"/>
  <c r="BT221" i="11" s="1"/>
  <c r="CS221" i="11"/>
  <c r="CQ221" i="11"/>
  <c r="CF221" i="11"/>
  <c r="CD221" i="11"/>
  <c r="AQ221" i="11"/>
  <c r="AR221" i="11" s="1"/>
  <c r="AT221" i="11" s="1"/>
  <c r="DK220" i="11"/>
  <c r="BE221" i="11"/>
  <c r="BG221" i="11" s="1"/>
  <c r="CX221" i="11"/>
  <c r="CW221" i="11"/>
  <c r="DE221" i="11"/>
  <c r="DG221" i="11" s="1"/>
  <c r="CE222" i="11"/>
  <c r="CG222" i="11" s="1"/>
  <c r="DU222" i="11"/>
  <c r="DV222" i="11"/>
  <c r="DH222" i="11"/>
  <c r="DI222" i="11"/>
  <c r="CR222" i="11"/>
  <c r="CT222" i="11" s="1"/>
  <c r="CU222" i="11"/>
  <c r="CI222" i="11"/>
  <c r="CV222" i="11"/>
  <c r="CH222" i="11"/>
  <c r="BV222" i="11"/>
  <c r="BU222" i="11"/>
  <c r="BH222" i="11"/>
  <c r="BI222" i="11"/>
  <c r="AU222" i="11"/>
  <c r="AV222" i="11"/>
  <c r="AI222" i="11"/>
  <c r="AH222" i="11"/>
  <c r="BZ222" i="11"/>
  <c r="X222" i="11"/>
  <c r="BP222" i="11"/>
  <c r="BN222" i="11"/>
  <c r="CO222" i="11"/>
  <c r="BO222" i="11"/>
  <c r="BQ222" i="11" s="1"/>
  <c r="AP222" i="11"/>
  <c r="Y222" i="11"/>
  <c r="DM222" i="11"/>
  <c r="CB222" i="11"/>
  <c r="DN222" i="11"/>
  <c r="CZ222" i="11"/>
  <c r="W223" i="11"/>
  <c r="AO222" i="11"/>
  <c r="DA222" i="11"/>
  <c r="CP222" i="11"/>
  <c r="CN222" i="11"/>
  <c r="AZ222" i="11"/>
  <c r="DB222" i="11"/>
  <c r="DD222" i="11" s="1"/>
  <c r="BB222" i="11"/>
  <c r="BD222" i="11" s="1"/>
  <c r="CM222" i="11"/>
  <c r="AN222" i="11"/>
  <c r="AM222" i="11"/>
  <c r="BA222" i="11"/>
  <c r="CA222" i="11"/>
  <c r="BM222" i="11"/>
  <c r="DP222" i="11"/>
  <c r="AA222" i="11"/>
  <c r="BC222" i="11"/>
  <c r="CC222" i="11"/>
  <c r="DC222" i="11"/>
  <c r="B223" i="11"/>
  <c r="A223" i="11" s="1"/>
  <c r="C224" i="11"/>
  <c r="AA223" i="11" l="1"/>
  <c r="V189" i="12"/>
  <c r="W189" i="12" s="1"/>
  <c r="N189" i="12"/>
  <c r="L222" i="11"/>
  <c r="M222" i="11"/>
  <c r="DZ223" i="11"/>
  <c r="EI223" i="11"/>
  <c r="EH223" i="11"/>
  <c r="EC223" i="11"/>
  <c r="EA223" i="11"/>
  <c r="A190" i="12"/>
  <c r="V190" i="12" s="1"/>
  <c r="W190" i="12" s="1"/>
  <c r="P223" i="11"/>
  <c r="BS221" i="11"/>
  <c r="DF221" i="11"/>
  <c r="BJ221" i="11"/>
  <c r="DL219" i="11"/>
  <c r="AW220" i="11"/>
  <c r="BW220" i="11"/>
  <c r="BY220" i="11" s="1"/>
  <c r="BJ220" i="11"/>
  <c r="BY219" i="11"/>
  <c r="BK220" i="11"/>
  <c r="B191" i="12"/>
  <c r="AX220" i="11"/>
  <c r="BK221" i="11"/>
  <c r="AX221" i="11"/>
  <c r="CL220" i="11"/>
  <c r="CJ221" i="11"/>
  <c r="CY220" i="11"/>
  <c r="DL220" i="11"/>
  <c r="AB223" i="11"/>
  <c r="CK221" i="11"/>
  <c r="CS222" i="11"/>
  <c r="CQ222" i="11"/>
  <c r="CF222" i="11"/>
  <c r="CD222" i="11"/>
  <c r="BF221" i="11"/>
  <c r="AQ222" i="11"/>
  <c r="AR222" i="11" s="1"/>
  <c r="AT222" i="11" s="1"/>
  <c r="CY221" i="11"/>
  <c r="CJ222" i="11"/>
  <c r="CE223" i="11"/>
  <c r="CG223" i="11" s="1"/>
  <c r="DV223" i="11"/>
  <c r="DU223" i="11"/>
  <c r="DH223" i="11"/>
  <c r="DI223" i="11"/>
  <c r="CR223" i="11"/>
  <c r="CT223" i="11" s="1"/>
  <c r="CV223" i="11"/>
  <c r="CU223" i="11"/>
  <c r="CH223" i="11"/>
  <c r="CI223" i="11"/>
  <c r="BU223" i="11"/>
  <c r="BV223" i="11"/>
  <c r="BH223" i="11"/>
  <c r="AU223" i="11"/>
  <c r="AV223" i="11"/>
  <c r="BI223" i="11"/>
  <c r="AH223" i="11"/>
  <c r="AI223" i="11"/>
  <c r="DE222" i="11"/>
  <c r="DG222" i="11" s="1"/>
  <c r="BR222" i="11"/>
  <c r="BT222" i="11" s="1"/>
  <c r="BE222" i="11"/>
  <c r="BG222" i="11" s="1"/>
  <c r="DC223" i="11"/>
  <c r="DA223" i="11"/>
  <c r="BN223" i="11"/>
  <c r="BP223" i="11"/>
  <c r="AP223" i="11"/>
  <c r="DP223" i="11"/>
  <c r="BM223" i="11"/>
  <c r="DB223" i="11"/>
  <c r="DD223" i="11" s="1"/>
  <c r="BO223" i="11"/>
  <c r="CP223" i="11"/>
  <c r="CC223" i="11"/>
  <c r="AO223" i="11"/>
  <c r="BC223" i="11"/>
  <c r="DN223" i="11"/>
  <c r="CA223" i="11"/>
  <c r="CB223" i="11"/>
  <c r="CZ223" i="11"/>
  <c r="BA223" i="11"/>
  <c r="W224" i="11"/>
  <c r="AM223" i="11"/>
  <c r="BZ223" i="11"/>
  <c r="Y223" i="11"/>
  <c r="AN223" i="11"/>
  <c r="AZ223" i="11"/>
  <c r="DM223" i="11"/>
  <c r="CM223" i="11"/>
  <c r="CN223" i="11"/>
  <c r="BB223" i="11"/>
  <c r="BD223" i="11" s="1"/>
  <c r="X223" i="11"/>
  <c r="CO223" i="11"/>
  <c r="B224" i="11"/>
  <c r="A224" i="11" s="1"/>
  <c r="C225" i="11"/>
  <c r="N190" i="12" l="1"/>
  <c r="M223" i="11"/>
  <c r="L223" i="11"/>
  <c r="EI224" i="11"/>
  <c r="EH224" i="11"/>
  <c r="EC224" i="11"/>
  <c r="EA224" i="11"/>
  <c r="DZ224" i="11"/>
  <c r="M190" i="12"/>
  <c r="A191" i="12"/>
  <c r="P224" i="11"/>
  <c r="DF222" i="11"/>
  <c r="BF222" i="11"/>
  <c r="BS222" i="11"/>
  <c r="BW222" i="11"/>
  <c r="AY220" i="11"/>
  <c r="DJ222" i="11"/>
  <c r="BL220" i="11"/>
  <c r="AW221" i="11"/>
  <c r="AY221" i="11" s="1"/>
  <c r="BL221" i="11"/>
  <c r="BX221" i="11"/>
  <c r="DK221" i="11"/>
  <c r="BW221" i="11"/>
  <c r="DJ221" i="11"/>
  <c r="AX222" i="11"/>
  <c r="B192" i="12"/>
  <c r="AS221" i="11"/>
  <c r="CL221" i="11"/>
  <c r="CK222" i="11"/>
  <c r="CL222" i="11" s="1"/>
  <c r="CX222" i="11"/>
  <c r="BQ223" i="11"/>
  <c r="BR223" i="11" s="1"/>
  <c r="BT223" i="11" s="1"/>
  <c r="AB224" i="11"/>
  <c r="CW222" i="11"/>
  <c r="CF223" i="11"/>
  <c r="CD223" i="11"/>
  <c r="CS223" i="11"/>
  <c r="CQ223" i="11"/>
  <c r="AQ223" i="11"/>
  <c r="AR223" i="11" s="1"/>
  <c r="AT223" i="11" s="1"/>
  <c r="DK222" i="11"/>
  <c r="DE223" i="11"/>
  <c r="DG223" i="11" s="1"/>
  <c r="BE223" i="11"/>
  <c r="BG223" i="11" s="1"/>
  <c r="CE224" i="11"/>
  <c r="CG224" i="11" s="1"/>
  <c r="DV224" i="11"/>
  <c r="DU224" i="11"/>
  <c r="DH224" i="11"/>
  <c r="DI224" i="11"/>
  <c r="CU224" i="11"/>
  <c r="CV224" i="11"/>
  <c r="CR224" i="11"/>
  <c r="CT224" i="11" s="1"/>
  <c r="CI224" i="11"/>
  <c r="CH224" i="11"/>
  <c r="BU224" i="11"/>
  <c r="BV224" i="11"/>
  <c r="BH224" i="11"/>
  <c r="BI224" i="11"/>
  <c r="AV224" i="11"/>
  <c r="AU224" i="11"/>
  <c r="AH224" i="11"/>
  <c r="AI224" i="11"/>
  <c r="BP224" i="11"/>
  <c r="BN224" i="11"/>
  <c r="DM224" i="11"/>
  <c r="AZ224" i="11"/>
  <c r="BO224" i="11"/>
  <c r="BQ224" i="11" s="1"/>
  <c r="CA224" i="11"/>
  <c r="Y224" i="11"/>
  <c r="X224" i="11"/>
  <c r="CM224" i="11"/>
  <c r="CB224" i="11"/>
  <c r="BC224" i="11"/>
  <c r="AO224" i="11"/>
  <c r="DN224" i="11"/>
  <c r="CC224" i="11"/>
  <c r="CO224" i="11"/>
  <c r="AN224" i="11"/>
  <c r="DA224" i="11"/>
  <c r="DC224" i="11"/>
  <c r="BB224" i="11"/>
  <c r="BD224" i="11" s="1"/>
  <c r="BZ224" i="11"/>
  <c r="BM224" i="11"/>
  <c r="DB224" i="11"/>
  <c r="DD224" i="11" s="1"/>
  <c r="W225" i="11"/>
  <c r="AA224" i="11"/>
  <c r="AM224" i="11"/>
  <c r="BA224" i="11"/>
  <c r="CP224" i="11"/>
  <c r="DP224" i="11"/>
  <c r="CN224" i="11"/>
  <c r="CZ224" i="11"/>
  <c r="AP224" i="11"/>
  <c r="B225" i="11"/>
  <c r="A225" i="11" s="1"/>
  <c r="C226" i="11"/>
  <c r="V191" i="12" l="1"/>
  <c r="W191" i="12" s="1"/>
  <c r="M224" i="11"/>
  <c r="L224" i="11"/>
  <c r="N191" i="12"/>
  <c r="M191" i="12"/>
  <c r="DZ225" i="11"/>
  <c r="EI225" i="11"/>
  <c r="EH225" i="11"/>
  <c r="EC225" i="11"/>
  <c r="EA225" i="11"/>
  <c r="A192" i="12"/>
  <c r="V192" i="12" s="1"/>
  <c r="W192" i="12" s="1"/>
  <c r="P225" i="11"/>
  <c r="DF223" i="11"/>
  <c r="BX222" i="11"/>
  <c r="BY222" i="11" s="1"/>
  <c r="BF223" i="11"/>
  <c r="BJ223" i="11"/>
  <c r="DL221" i="11"/>
  <c r="BY221" i="11"/>
  <c r="AW222" i="11"/>
  <c r="AY222" i="11" s="1"/>
  <c r="AS222" i="11"/>
  <c r="B193" i="12"/>
  <c r="DJ223" i="11"/>
  <c r="BK222" i="11"/>
  <c r="BJ222" i="11"/>
  <c r="AS223" i="11"/>
  <c r="CY222" i="11"/>
  <c r="CJ223" i="11"/>
  <c r="CK223" i="11"/>
  <c r="CW223" i="11"/>
  <c r="CX223" i="11"/>
  <c r="BS223" i="11"/>
  <c r="BX223" i="11"/>
  <c r="BW223" i="11"/>
  <c r="AB225" i="11"/>
  <c r="DL222" i="11"/>
  <c r="CF224" i="11"/>
  <c r="CD224" i="11"/>
  <c r="CS224" i="11"/>
  <c r="CQ224" i="11"/>
  <c r="AQ224" i="11"/>
  <c r="AR224" i="11" s="1"/>
  <c r="AT224" i="11" s="1"/>
  <c r="BR224" i="11"/>
  <c r="BT224" i="11" s="1"/>
  <c r="CX224" i="11"/>
  <c r="BE224" i="11"/>
  <c r="BG224" i="11" s="1"/>
  <c r="CE225" i="11"/>
  <c r="CG225" i="11" s="1"/>
  <c r="DU225" i="11"/>
  <c r="DV225" i="11"/>
  <c r="DH225" i="11"/>
  <c r="DI225" i="11"/>
  <c r="CR225" i="11"/>
  <c r="CT225" i="11" s="1"/>
  <c r="CU225" i="11"/>
  <c r="CV225" i="11"/>
  <c r="CH225" i="11"/>
  <c r="CI225" i="11"/>
  <c r="BU225" i="11"/>
  <c r="BV225" i="11"/>
  <c r="BH225" i="11"/>
  <c r="BI225" i="11"/>
  <c r="AV225" i="11"/>
  <c r="AU225" i="11"/>
  <c r="AH225" i="11"/>
  <c r="AI225" i="11"/>
  <c r="DE224" i="11"/>
  <c r="DG224" i="11" s="1"/>
  <c r="BP225" i="11"/>
  <c r="AZ225" i="11"/>
  <c r="BN225" i="11"/>
  <c r="BO225" i="11"/>
  <c r="BQ225" i="11" s="1"/>
  <c r="DP225" i="11"/>
  <c r="DC225" i="11"/>
  <c r="CB225" i="11"/>
  <c r="AP225" i="11"/>
  <c r="CP225" i="11"/>
  <c r="Y225" i="11"/>
  <c r="DN225" i="11"/>
  <c r="CM225" i="11"/>
  <c r="CZ225" i="11"/>
  <c r="BA225" i="11"/>
  <c r="CA225" i="11"/>
  <c r="DA225" i="11"/>
  <c r="AM225" i="11"/>
  <c r="DB225" i="11"/>
  <c r="DD225" i="11" s="1"/>
  <c r="AN225" i="11"/>
  <c r="DM225" i="11"/>
  <c r="CN225" i="11"/>
  <c r="AA225" i="11"/>
  <c r="BM225" i="11"/>
  <c r="CO225" i="11"/>
  <c r="X225" i="11"/>
  <c r="CC225" i="11"/>
  <c r="W226" i="11"/>
  <c r="BZ225" i="11"/>
  <c r="BB225" i="11"/>
  <c r="BD225" i="11" s="1"/>
  <c r="AO225" i="11"/>
  <c r="BC225" i="11"/>
  <c r="B226" i="11"/>
  <c r="A226" i="11" s="1"/>
  <c r="C227" i="11"/>
  <c r="L225" i="11" l="1"/>
  <c r="M225" i="11"/>
  <c r="N192" i="12"/>
  <c r="EI226" i="11"/>
  <c r="EH226" i="11"/>
  <c r="EC226" i="11"/>
  <c r="EA226" i="11"/>
  <c r="DZ226" i="11"/>
  <c r="M192" i="12"/>
  <c r="A193" i="12"/>
  <c r="V193" i="12" s="1"/>
  <c r="W193" i="12" s="1"/>
  <c r="P226" i="11"/>
  <c r="BK223" i="11"/>
  <c r="BL223" i="11" s="1"/>
  <c r="DF224" i="11"/>
  <c r="BF224" i="11"/>
  <c r="BJ224" i="11"/>
  <c r="BS224" i="11"/>
  <c r="BW224" i="11"/>
  <c r="AW223" i="11"/>
  <c r="BL222" i="11"/>
  <c r="DK223" i="11"/>
  <c r="DL223" i="11" s="1"/>
  <c r="B194" i="12"/>
  <c r="DJ224" i="11"/>
  <c r="AW224" i="11"/>
  <c r="AX223" i="11"/>
  <c r="CY223" i="11"/>
  <c r="BY223" i="11"/>
  <c r="CW224" i="11"/>
  <c r="CY224" i="11" s="1"/>
  <c r="CL223" i="11"/>
  <c r="CK224" i="11"/>
  <c r="CJ224" i="11"/>
  <c r="AB226" i="11"/>
  <c r="CX225" i="11"/>
  <c r="CQ225" i="11"/>
  <c r="CK225" i="11"/>
  <c r="CD225" i="11"/>
  <c r="AQ225" i="11"/>
  <c r="AR225" i="11" s="1"/>
  <c r="AT225" i="11" s="1"/>
  <c r="CE226" i="11"/>
  <c r="CG226" i="11" s="1"/>
  <c r="DU226" i="11"/>
  <c r="DV226" i="11"/>
  <c r="DH226" i="11"/>
  <c r="DI226" i="11"/>
  <c r="CR226" i="11"/>
  <c r="CT226" i="11" s="1"/>
  <c r="CV226" i="11"/>
  <c r="CU226" i="11"/>
  <c r="CH226" i="11"/>
  <c r="CI226" i="11"/>
  <c r="BU226" i="11"/>
  <c r="BV226" i="11"/>
  <c r="BI226" i="11"/>
  <c r="BH226" i="11"/>
  <c r="AV226" i="11"/>
  <c r="AU226" i="11"/>
  <c r="AH226" i="11"/>
  <c r="AI226" i="11"/>
  <c r="DE225" i="11"/>
  <c r="DG225" i="11" s="1"/>
  <c r="BR225" i="11"/>
  <c r="BT225" i="11" s="1"/>
  <c r="BE225" i="11"/>
  <c r="BG225" i="11" s="1"/>
  <c r="BZ226" i="11"/>
  <c r="BP226" i="11"/>
  <c r="BN226" i="11"/>
  <c r="BO226" i="11"/>
  <c r="BQ226" i="11" s="1"/>
  <c r="CC226" i="11"/>
  <c r="AP226" i="11"/>
  <c r="BC226" i="11"/>
  <c r="DM226" i="11"/>
  <c r="CB226" i="11"/>
  <c r="CN226" i="11"/>
  <c r="CA226" i="11"/>
  <c r="BA226" i="11"/>
  <c r="Y226" i="11"/>
  <c r="DN226" i="11"/>
  <c r="CP226" i="11"/>
  <c r="AO226" i="11"/>
  <c r="AA226" i="11"/>
  <c r="CZ226" i="11"/>
  <c r="AM226" i="11"/>
  <c r="DC226" i="11"/>
  <c r="CO226" i="11"/>
  <c r="W227" i="11"/>
  <c r="X226" i="11"/>
  <c r="DB226" i="11"/>
  <c r="DD226" i="11" s="1"/>
  <c r="DP226" i="11"/>
  <c r="CM226" i="11"/>
  <c r="BB226" i="11"/>
  <c r="BD226" i="11" s="1"/>
  <c r="AN226" i="11"/>
  <c r="BM226" i="11"/>
  <c r="DA226" i="11"/>
  <c r="AZ226" i="11"/>
  <c r="B227" i="11"/>
  <c r="A227" i="11" s="1"/>
  <c r="C228" i="11"/>
  <c r="N193" i="12" l="1"/>
  <c r="M193" i="12"/>
  <c r="M226" i="11"/>
  <c r="L226" i="11"/>
  <c r="DZ227" i="11"/>
  <c r="EI227" i="11"/>
  <c r="EH227" i="11"/>
  <c r="EC227" i="11"/>
  <c r="EA227" i="11"/>
  <c r="A194" i="12"/>
  <c r="N194" i="12" s="1"/>
  <c r="P227" i="11"/>
  <c r="BF225" i="11"/>
  <c r="BS225" i="11"/>
  <c r="DF225" i="11"/>
  <c r="AY223" i="11"/>
  <c r="BX224" i="11"/>
  <c r="BY224" i="11" s="1"/>
  <c r="AX224" i="11"/>
  <c r="AY224" i="11" s="1"/>
  <c r="BK224" i="11"/>
  <c r="BL224" i="11" s="1"/>
  <c r="DK224" i="11"/>
  <c r="DL224" i="11" s="1"/>
  <c r="BK225" i="11"/>
  <c r="B195" i="12"/>
  <c r="AS224" i="11"/>
  <c r="CL224" i="11"/>
  <c r="DP227" i="11"/>
  <c r="AB227" i="11"/>
  <c r="CX226" i="11"/>
  <c r="CQ226" i="11"/>
  <c r="CF226" i="11"/>
  <c r="CD226" i="11"/>
  <c r="CJ225" i="11"/>
  <c r="CL225" i="11" s="1"/>
  <c r="CF225" i="11"/>
  <c r="CW225" i="11"/>
  <c r="CY225" i="11" s="1"/>
  <c r="CS225" i="11"/>
  <c r="AQ226" i="11"/>
  <c r="AR226" i="11" s="1"/>
  <c r="AT226" i="11" s="1"/>
  <c r="DE226" i="11"/>
  <c r="DG226" i="11" s="1"/>
  <c r="BE226" i="11"/>
  <c r="BG226" i="11" s="1"/>
  <c r="CE227" i="11"/>
  <c r="CG227" i="11" s="1"/>
  <c r="DV227" i="11"/>
  <c r="DU227" i="11"/>
  <c r="DI227" i="11"/>
  <c r="DH227" i="11"/>
  <c r="CU227" i="11"/>
  <c r="CV227" i="11"/>
  <c r="CR227" i="11"/>
  <c r="CT227" i="11" s="1"/>
  <c r="CH227" i="11"/>
  <c r="CI227" i="11"/>
  <c r="BV227" i="11"/>
  <c r="BU227" i="11"/>
  <c r="BH227" i="11"/>
  <c r="BI227" i="11"/>
  <c r="AV227" i="11"/>
  <c r="AU227" i="11"/>
  <c r="AI227" i="11"/>
  <c r="AH227" i="11"/>
  <c r="BR226" i="11"/>
  <c r="BT226" i="11" s="1"/>
  <c r="BP227" i="11"/>
  <c r="BN227" i="11"/>
  <c r="BC227" i="11"/>
  <c r="DB227" i="11"/>
  <c r="DD227" i="11" s="1"/>
  <c r="BB227" i="11"/>
  <c r="BD227" i="11" s="1"/>
  <c r="BO227" i="11"/>
  <c r="BQ227" i="11" s="1"/>
  <c r="X227" i="11"/>
  <c r="BZ227" i="11"/>
  <c r="BA227" i="11"/>
  <c r="CP227" i="11"/>
  <c r="DA227" i="11"/>
  <c r="DC227" i="11"/>
  <c r="DN227" i="11"/>
  <c r="AM227" i="11"/>
  <c r="CA227" i="11"/>
  <c r="BM227" i="11"/>
  <c r="CM227" i="11"/>
  <c r="CB227" i="11"/>
  <c r="CZ227" i="11"/>
  <c r="AZ227" i="11"/>
  <c r="AN227" i="11"/>
  <c r="AP227" i="11"/>
  <c r="AA227" i="11"/>
  <c r="W228" i="11"/>
  <c r="AO227" i="11"/>
  <c r="Y227" i="11"/>
  <c r="CN227" i="11"/>
  <c r="CO227" i="11"/>
  <c r="DM227" i="11"/>
  <c r="CC227" i="11"/>
  <c r="B228" i="11"/>
  <c r="A228" i="11" s="1"/>
  <c r="C229" i="11"/>
  <c r="L227" i="11" l="1"/>
  <c r="M227" i="11"/>
  <c r="M194" i="12"/>
  <c r="EI228" i="11"/>
  <c r="DZ228" i="11"/>
  <c r="EH228" i="11"/>
  <c r="EC228" i="11"/>
  <c r="EA228" i="11"/>
  <c r="V194" i="12"/>
  <c r="W194" i="12" s="1"/>
  <c r="A195" i="12"/>
  <c r="M195" i="12" s="1"/>
  <c r="P228" i="11"/>
  <c r="BS226" i="11"/>
  <c r="BF226" i="11"/>
  <c r="BJ226" i="11"/>
  <c r="DF226" i="11"/>
  <c r="DK226" i="11"/>
  <c r="AW226" i="11"/>
  <c r="AX225" i="11"/>
  <c r="BX226" i="11"/>
  <c r="BJ225" i="11"/>
  <c r="BL225" i="11" s="1"/>
  <c r="BX225" i="11"/>
  <c r="BW225" i="11"/>
  <c r="DK225" i="11"/>
  <c r="DJ225" i="11"/>
  <c r="B196" i="12"/>
  <c r="AW225" i="11"/>
  <c r="AS225" i="11"/>
  <c r="CJ226" i="11"/>
  <c r="AB228" i="11"/>
  <c r="BR227" i="11"/>
  <c r="BT227" i="11" s="1"/>
  <c r="CK226" i="11"/>
  <c r="CK227" i="11"/>
  <c r="CD227" i="11"/>
  <c r="CX227" i="11"/>
  <c r="CQ227" i="11"/>
  <c r="CW226" i="11"/>
  <c r="CY226" i="11" s="1"/>
  <c r="CS226" i="11"/>
  <c r="AQ227" i="11"/>
  <c r="AR227" i="11" s="1"/>
  <c r="AT227" i="11" s="1"/>
  <c r="AX226" i="11"/>
  <c r="BW226" i="11"/>
  <c r="BP228" i="11"/>
  <c r="CE228" i="11"/>
  <c r="CG228" i="11" s="1"/>
  <c r="DV228" i="11"/>
  <c r="DU228" i="11"/>
  <c r="DI228" i="11"/>
  <c r="DH228" i="11"/>
  <c r="CR228" i="11"/>
  <c r="CT228" i="11" s="1"/>
  <c r="CU228" i="11"/>
  <c r="CV228" i="11"/>
  <c r="CH228" i="11"/>
  <c r="CI228" i="11"/>
  <c r="BU228" i="11"/>
  <c r="BV228" i="11"/>
  <c r="BH228" i="11"/>
  <c r="BI228" i="11"/>
  <c r="AU228" i="11"/>
  <c r="AV228" i="11"/>
  <c r="AH228" i="11"/>
  <c r="AI228" i="11"/>
  <c r="BE227" i="11"/>
  <c r="BG227" i="11" s="1"/>
  <c r="DE227" i="11"/>
  <c r="DG227" i="11" s="1"/>
  <c r="CC228" i="11"/>
  <c r="Y228" i="11"/>
  <c r="BN228" i="11"/>
  <c r="CN228" i="11"/>
  <c r="BO228" i="11"/>
  <c r="BQ228" i="11" s="1"/>
  <c r="CB228" i="11"/>
  <c r="AO228" i="11"/>
  <c r="DP228" i="11"/>
  <c r="AA228" i="11"/>
  <c r="CA228" i="11"/>
  <c r="AZ228" i="11"/>
  <c r="DN228" i="11"/>
  <c r="CO228" i="11"/>
  <c r="CZ228" i="11"/>
  <c r="DA228" i="11"/>
  <c r="BA228" i="11"/>
  <c r="DM228" i="11"/>
  <c r="BB228" i="11"/>
  <c r="BD228" i="11" s="1"/>
  <c r="CM228" i="11"/>
  <c r="AM228" i="11"/>
  <c r="W229" i="11"/>
  <c r="X228" i="11"/>
  <c r="AN228" i="11"/>
  <c r="AP228" i="11"/>
  <c r="BM228" i="11"/>
  <c r="DC228" i="11"/>
  <c r="CP228" i="11"/>
  <c r="DB228" i="11"/>
  <c r="DD228" i="11" s="1"/>
  <c r="BZ228" i="11"/>
  <c r="BC228" i="11"/>
  <c r="B229" i="11"/>
  <c r="A229" i="11" s="1"/>
  <c r="C230" i="11"/>
  <c r="V195" i="12" l="1"/>
  <c r="W195" i="12" s="1"/>
  <c r="N195" i="12"/>
  <c r="M228" i="11"/>
  <c r="L228" i="11"/>
  <c r="DZ229" i="11"/>
  <c r="EH229" i="11"/>
  <c r="EC229" i="11"/>
  <c r="EA229" i="11"/>
  <c r="EI229" i="11"/>
  <c r="A196" i="12"/>
  <c r="N196" i="12" s="1"/>
  <c r="P229" i="11"/>
  <c r="DJ226" i="11"/>
  <c r="DL226" i="11" s="1"/>
  <c r="BS227" i="11"/>
  <c r="DF227" i="11"/>
  <c r="DJ227" i="11"/>
  <c r="BF227" i="11"/>
  <c r="AY225" i="11"/>
  <c r="AS226" i="11"/>
  <c r="BX227" i="11"/>
  <c r="BY225" i="11"/>
  <c r="DL225" i="11"/>
  <c r="BK226" i="11"/>
  <c r="BL226" i="11" s="1"/>
  <c r="B197" i="12"/>
  <c r="AS227" i="11"/>
  <c r="CL226" i="11"/>
  <c r="AB229" i="11"/>
  <c r="BW227" i="11"/>
  <c r="CS228" i="11"/>
  <c r="CQ228" i="11"/>
  <c r="CW227" i="11"/>
  <c r="CY227" i="11" s="1"/>
  <c r="CS227" i="11"/>
  <c r="CF228" i="11"/>
  <c r="CD228" i="11"/>
  <c r="CJ227" i="11"/>
  <c r="CL227" i="11" s="1"/>
  <c r="CF227" i="11"/>
  <c r="AY226" i="11"/>
  <c r="AQ228" i="11"/>
  <c r="AR228" i="11" s="1"/>
  <c r="AT228" i="11" s="1"/>
  <c r="AX227" i="11"/>
  <c r="AW227" i="11"/>
  <c r="BE228" i="11"/>
  <c r="BG228" i="11" s="1"/>
  <c r="CE229" i="11"/>
  <c r="CG229" i="11" s="1"/>
  <c r="DV229" i="11"/>
  <c r="DU229" i="11"/>
  <c r="DH229" i="11"/>
  <c r="DI229" i="11"/>
  <c r="CR229" i="11"/>
  <c r="CT229" i="11" s="1"/>
  <c r="CV229" i="11"/>
  <c r="CU229" i="11"/>
  <c r="CH229" i="11"/>
  <c r="CI229" i="11"/>
  <c r="BU229" i="11"/>
  <c r="BV229" i="11"/>
  <c r="BI229" i="11"/>
  <c r="AU229" i="11"/>
  <c r="AV229" i="11"/>
  <c r="BH229" i="11"/>
  <c r="AH229" i="11"/>
  <c r="AI229" i="11"/>
  <c r="BY226" i="11"/>
  <c r="DE228" i="11"/>
  <c r="DG228" i="11" s="1"/>
  <c r="BR228" i="11"/>
  <c r="BT228" i="11" s="1"/>
  <c r="BM229" i="11"/>
  <c r="Y229" i="11"/>
  <c r="BN229" i="11"/>
  <c r="BP229" i="11"/>
  <c r="BO229" i="11"/>
  <c r="BQ229" i="11" s="1"/>
  <c r="AP229" i="11"/>
  <c r="AN229" i="11"/>
  <c r="CO229" i="11"/>
  <c r="AA229" i="11"/>
  <c r="AO229" i="11"/>
  <c r="BZ229" i="11"/>
  <c r="CN229" i="11"/>
  <c r="BA229" i="11"/>
  <c r="DN229" i="11"/>
  <c r="AZ229" i="11"/>
  <c r="BC229" i="11"/>
  <c r="DB229" i="11"/>
  <c r="DD229" i="11" s="1"/>
  <c r="CP229" i="11"/>
  <c r="CM229" i="11"/>
  <c r="DA229" i="11"/>
  <c r="CZ229" i="11"/>
  <c r="W230" i="11"/>
  <c r="CB229" i="11"/>
  <c r="BB229" i="11"/>
  <c r="BD229" i="11" s="1"/>
  <c r="CC229" i="11"/>
  <c r="X229" i="11"/>
  <c r="AM229" i="11"/>
  <c r="DC229" i="11"/>
  <c r="DP229" i="11"/>
  <c r="DM229" i="11"/>
  <c r="CA229" i="11"/>
  <c r="B230" i="11"/>
  <c r="A230" i="11" s="1"/>
  <c r="C231" i="11"/>
  <c r="M229" i="11" l="1"/>
  <c r="L229" i="11"/>
  <c r="M196" i="12"/>
  <c r="EI230" i="11"/>
  <c r="EC230" i="11"/>
  <c r="EA230" i="11"/>
  <c r="EH230" i="11"/>
  <c r="DZ230" i="11"/>
  <c r="V196" i="12"/>
  <c r="W196" i="12" s="1"/>
  <c r="A197" i="12"/>
  <c r="V197" i="12" s="1"/>
  <c r="W197" i="12" s="1"/>
  <c r="P230" i="11"/>
  <c r="BS228" i="11"/>
  <c r="DF228" i="11"/>
  <c r="BF228" i="11"/>
  <c r="BK228" i="11"/>
  <c r="DK227" i="11"/>
  <c r="DL227" i="11" s="1"/>
  <c r="BK227" i="11"/>
  <c r="BJ227" i="11"/>
  <c r="B198" i="12"/>
  <c r="DJ228" i="11"/>
  <c r="AS228" i="11"/>
  <c r="CW228" i="11"/>
  <c r="CX228" i="11"/>
  <c r="BY227" i="11"/>
  <c r="CK228" i="11"/>
  <c r="AB230" i="11"/>
  <c r="CJ228" i="11"/>
  <c r="CF229" i="11"/>
  <c r="CD229" i="11"/>
  <c r="CS229" i="11"/>
  <c r="CQ229" i="11"/>
  <c r="AQ229" i="11"/>
  <c r="AR229" i="11" s="1"/>
  <c r="AT229" i="11" s="1"/>
  <c r="AY227" i="11"/>
  <c r="BE229" i="11"/>
  <c r="BG229" i="11" s="1"/>
  <c r="DE229" i="11"/>
  <c r="DG229" i="11" s="1"/>
  <c r="BR229" i="11"/>
  <c r="BT229" i="11" s="1"/>
  <c r="DU230" i="11"/>
  <c r="DV230" i="11"/>
  <c r="CE230" i="11"/>
  <c r="CG230" i="11" s="1"/>
  <c r="DH230" i="11"/>
  <c r="DI230" i="11"/>
  <c r="CU230" i="11"/>
  <c r="CV230" i="11"/>
  <c r="CR230" i="11"/>
  <c r="CT230" i="11" s="1"/>
  <c r="CH230" i="11"/>
  <c r="CI230" i="11"/>
  <c r="BU230" i="11"/>
  <c r="BV230" i="11"/>
  <c r="BH230" i="11"/>
  <c r="BI230" i="11"/>
  <c r="AU230" i="11"/>
  <c r="AV230" i="11"/>
  <c r="AH230" i="11"/>
  <c r="AI230" i="11"/>
  <c r="BM230" i="11"/>
  <c r="BP230" i="11"/>
  <c r="X230" i="11"/>
  <c r="BN230" i="11"/>
  <c r="BO230" i="11"/>
  <c r="BQ230" i="11" s="1"/>
  <c r="CZ230" i="11"/>
  <c r="CP230" i="11"/>
  <c r="BZ230" i="11"/>
  <c r="DA230" i="11"/>
  <c r="DB230" i="11"/>
  <c r="DD230" i="11" s="1"/>
  <c r="AO230" i="11"/>
  <c r="CC230" i="11"/>
  <c r="DM230" i="11"/>
  <c r="CB230" i="11"/>
  <c r="BC230" i="11"/>
  <c r="AA230" i="11"/>
  <c r="CA230" i="11"/>
  <c r="DP230" i="11"/>
  <c r="AZ230" i="11"/>
  <c r="CO230" i="11"/>
  <c r="DC230" i="11"/>
  <c r="DN230" i="11"/>
  <c r="AN230" i="11"/>
  <c r="BB230" i="11"/>
  <c r="BD230" i="11" s="1"/>
  <c r="AM230" i="11"/>
  <c r="BA230" i="11"/>
  <c r="AP230" i="11"/>
  <c r="W231" i="11"/>
  <c r="CM230" i="11"/>
  <c r="CN230" i="11"/>
  <c r="Y230" i="11"/>
  <c r="B231" i="11"/>
  <c r="A231" i="11" s="1"/>
  <c r="C232" i="11"/>
  <c r="N197" i="12" l="1"/>
  <c r="M230" i="11"/>
  <c r="M197" i="12"/>
  <c r="L230" i="11"/>
  <c r="EA231" i="11"/>
  <c r="DZ231" i="11"/>
  <c r="EI231" i="11"/>
  <c r="EH231" i="11"/>
  <c r="EC231" i="11"/>
  <c r="A198" i="12"/>
  <c r="M198" i="12" s="1"/>
  <c r="P231" i="11"/>
  <c r="BL227" i="11"/>
  <c r="BS229" i="11"/>
  <c r="DF229" i="11"/>
  <c r="BF229" i="11"/>
  <c r="BJ229" i="11"/>
  <c r="BJ228" i="11"/>
  <c r="BL228" i="11" s="1"/>
  <c r="BW229" i="11"/>
  <c r="AX228" i="11"/>
  <c r="DK228" i="11"/>
  <c r="DL228" i="11" s="1"/>
  <c r="BX228" i="11"/>
  <c r="BW228" i="11"/>
  <c r="AW228" i="11"/>
  <c r="CL228" i="11"/>
  <c r="AW229" i="11"/>
  <c r="B199" i="12"/>
  <c r="CY228" i="11"/>
  <c r="CW229" i="11"/>
  <c r="AB231" i="11"/>
  <c r="CX229" i="11"/>
  <c r="CJ229" i="11"/>
  <c r="CK229" i="11"/>
  <c r="CF230" i="11"/>
  <c r="CD230" i="11"/>
  <c r="CS230" i="11"/>
  <c r="CQ230" i="11"/>
  <c r="AQ230" i="11"/>
  <c r="AR230" i="11" s="1"/>
  <c r="AT230" i="11" s="1"/>
  <c r="DE230" i="11"/>
  <c r="DG230" i="11" s="1"/>
  <c r="CE231" i="11"/>
  <c r="CG231" i="11" s="1"/>
  <c r="DU231" i="11"/>
  <c r="DV231" i="11"/>
  <c r="DH231" i="11"/>
  <c r="DI231" i="11"/>
  <c r="CR231" i="11"/>
  <c r="CT231" i="11" s="1"/>
  <c r="CV231" i="11"/>
  <c r="CU231" i="11"/>
  <c r="CH231" i="11"/>
  <c r="CI231" i="11"/>
  <c r="BU231" i="11"/>
  <c r="BV231" i="11"/>
  <c r="BH231" i="11"/>
  <c r="BI231" i="11"/>
  <c r="AV231" i="11"/>
  <c r="AU231" i="11"/>
  <c r="AH231" i="11"/>
  <c r="AI231" i="11"/>
  <c r="BR230" i="11"/>
  <c r="BT230" i="11" s="1"/>
  <c r="BE230" i="11"/>
  <c r="BG230" i="11" s="1"/>
  <c r="BN231" i="11"/>
  <c r="Y231" i="11"/>
  <c r="CN231" i="11"/>
  <c r="BA231" i="11"/>
  <c r="DN231" i="11"/>
  <c r="CM231" i="11"/>
  <c r="DM231" i="11"/>
  <c r="BP231" i="11"/>
  <c r="CA231" i="11"/>
  <c r="DB231" i="11"/>
  <c r="DD231" i="11" s="1"/>
  <c r="BO231" i="11"/>
  <c r="BQ231" i="11" s="1"/>
  <c r="AZ231" i="11"/>
  <c r="DC231" i="11"/>
  <c r="DA231" i="11"/>
  <c r="CO231" i="11"/>
  <c r="AM231" i="11"/>
  <c r="AA231" i="11"/>
  <c r="DP231" i="11"/>
  <c r="CC231" i="11"/>
  <c r="CP231" i="11"/>
  <c r="BB231" i="11"/>
  <c r="BD231" i="11" s="1"/>
  <c r="CZ231" i="11"/>
  <c r="AP231" i="11"/>
  <c r="CB231" i="11"/>
  <c r="BC231" i="11"/>
  <c r="W232" i="11"/>
  <c r="AN231" i="11"/>
  <c r="BZ231" i="11"/>
  <c r="X231" i="11"/>
  <c r="AO231" i="11"/>
  <c r="BM231" i="11"/>
  <c r="B232" i="11"/>
  <c r="A232" i="11" s="1"/>
  <c r="C233" i="11"/>
  <c r="N198" i="12" l="1"/>
  <c r="V198" i="12"/>
  <c r="W198" i="12" s="1"/>
  <c r="M231" i="11"/>
  <c r="L231" i="11"/>
  <c r="EI232" i="11"/>
  <c r="EH232" i="11"/>
  <c r="EC232" i="11"/>
  <c r="EA232" i="11"/>
  <c r="DZ232" i="11"/>
  <c r="A199" i="12"/>
  <c r="V199" i="12" s="1"/>
  <c r="W199" i="12" s="1"/>
  <c r="P232" i="11"/>
  <c r="BY228" i="11"/>
  <c r="DF230" i="11"/>
  <c r="DK230" i="11"/>
  <c r="BS230" i="11"/>
  <c r="BF230" i="11"/>
  <c r="BK230" i="11"/>
  <c r="BX229" i="11"/>
  <c r="BY229" i="11" s="1"/>
  <c r="AY228" i="11"/>
  <c r="AX229" i="11"/>
  <c r="AY229" i="11" s="1"/>
  <c r="AS229" i="11"/>
  <c r="B200" i="12"/>
  <c r="DJ229" i="11"/>
  <c r="DK229" i="11"/>
  <c r="BK229" i="11"/>
  <c r="BL229" i="11" s="1"/>
  <c r="AX230" i="11"/>
  <c r="CX230" i="11"/>
  <c r="CY229" i="11"/>
  <c r="CJ230" i="11"/>
  <c r="CQ231" i="11"/>
  <c r="BR231" i="11"/>
  <c r="BT231" i="11" s="1"/>
  <c r="CK230" i="11"/>
  <c r="AB232" i="11"/>
  <c r="CF231" i="11"/>
  <c r="CD231" i="11"/>
  <c r="CW230" i="11"/>
  <c r="CL229" i="11"/>
  <c r="AQ231" i="11"/>
  <c r="AR231" i="11" s="1"/>
  <c r="AT231" i="11" s="1"/>
  <c r="BN232" i="11"/>
  <c r="CE232" i="11"/>
  <c r="CG232" i="11" s="1"/>
  <c r="DV232" i="11"/>
  <c r="DU232" i="11"/>
  <c r="DH232" i="11"/>
  <c r="DI232" i="11"/>
  <c r="CR232" i="11"/>
  <c r="CT232" i="11" s="1"/>
  <c r="CU232" i="11"/>
  <c r="CV232" i="11"/>
  <c r="CI232" i="11"/>
  <c r="BU232" i="11"/>
  <c r="BV232" i="11"/>
  <c r="CH232" i="11"/>
  <c r="BH232" i="11"/>
  <c r="BI232" i="11"/>
  <c r="AU232" i="11"/>
  <c r="AH232" i="11"/>
  <c r="AI232" i="11"/>
  <c r="AV232" i="11"/>
  <c r="CS231" i="11"/>
  <c r="DE231" i="11"/>
  <c r="DG231" i="11" s="1"/>
  <c r="BE231" i="11"/>
  <c r="BG231" i="11" s="1"/>
  <c r="BP232" i="11"/>
  <c r="DP232" i="11"/>
  <c r="BO232" i="11"/>
  <c r="BQ232" i="11" s="1"/>
  <c r="X232" i="11"/>
  <c r="BB232" i="11"/>
  <c r="BD232" i="11" s="1"/>
  <c r="CC232" i="11"/>
  <c r="DC232" i="11"/>
  <c r="AM232" i="11"/>
  <c r="DA232" i="11"/>
  <c r="W233" i="11"/>
  <c r="CM232" i="11"/>
  <c r="AN232" i="11"/>
  <c r="BC232" i="11"/>
  <c r="CO232" i="11"/>
  <c r="CZ232" i="11"/>
  <c r="CN232" i="11"/>
  <c r="DB232" i="11"/>
  <c r="DD232" i="11" s="1"/>
  <c r="BM232" i="11"/>
  <c r="CB232" i="11"/>
  <c r="Y232" i="11"/>
  <c r="DM232" i="11"/>
  <c r="BZ232" i="11"/>
  <c r="CA232" i="11"/>
  <c r="DN232" i="11"/>
  <c r="BA232" i="11"/>
  <c r="AA232" i="11"/>
  <c r="AO232" i="11"/>
  <c r="AP232" i="11"/>
  <c r="CP232" i="11"/>
  <c r="AZ232" i="11"/>
  <c r="B233" i="11"/>
  <c r="A233" i="11" s="1"/>
  <c r="C234" i="11"/>
  <c r="N199" i="12" l="1"/>
  <c r="L232" i="11"/>
  <c r="M232" i="11"/>
  <c r="DZ233" i="11"/>
  <c r="EH233" i="11"/>
  <c r="EC233" i="11"/>
  <c r="EI233" i="11"/>
  <c r="EA233" i="11"/>
  <c r="M199" i="12"/>
  <c r="A200" i="12"/>
  <c r="V200" i="12" s="1"/>
  <c r="W200" i="12" s="1"/>
  <c r="P233" i="11"/>
  <c r="BF231" i="11"/>
  <c r="DF231" i="11"/>
  <c r="BS231" i="11"/>
  <c r="BX231" i="11"/>
  <c r="DL229" i="11"/>
  <c r="DJ230" i="11"/>
  <c r="DL230" i="11" s="1"/>
  <c r="AS230" i="11"/>
  <c r="AW230" i="11"/>
  <c r="AY230" i="11" s="1"/>
  <c r="BJ230" i="11"/>
  <c r="BL230" i="11" s="1"/>
  <c r="BX230" i="11"/>
  <c r="BW230" i="11"/>
  <c r="CY230" i="11"/>
  <c r="BJ231" i="11"/>
  <c r="B201" i="12"/>
  <c r="CL230" i="11"/>
  <c r="CJ231" i="11"/>
  <c r="CQ232" i="11"/>
  <c r="AB233" i="11"/>
  <c r="BR232" i="11"/>
  <c r="BT232" i="11" s="1"/>
  <c r="CK231" i="11"/>
  <c r="CF232" i="11"/>
  <c r="CD232" i="11"/>
  <c r="AQ232" i="11"/>
  <c r="AR232" i="11" s="1"/>
  <c r="AT232" i="11" s="1"/>
  <c r="BE232" i="11"/>
  <c r="BG232" i="11" s="1"/>
  <c r="BN233" i="11"/>
  <c r="CE233" i="11"/>
  <c r="CG233" i="11" s="1"/>
  <c r="DU233" i="11"/>
  <c r="DV233" i="11"/>
  <c r="DH233" i="11"/>
  <c r="DI233" i="11"/>
  <c r="CR233" i="11"/>
  <c r="CT233" i="11" s="1"/>
  <c r="CU233" i="11"/>
  <c r="CV233" i="11"/>
  <c r="CI233" i="11"/>
  <c r="CH233" i="11"/>
  <c r="BU233" i="11"/>
  <c r="BV233" i="11"/>
  <c r="BI233" i="11"/>
  <c r="AU233" i="11"/>
  <c r="BH233" i="11"/>
  <c r="AV233" i="11"/>
  <c r="AH233" i="11"/>
  <c r="AI233" i="11"/>
  <c r="CS232" i="11"/>
  <c r="DE232" i="11"/>
  <c r="DG232" i="11" s="1"/>
  <c r="CW231" i="11"/>
  <c r="CX231" i="11"/>
  <c r="CZ233" i="11"/>
  <c r="X233" i="11"/>
  <c r="BP233" i="11"/>
  <c r="BO233" i="11"/>
  <c r="BQ233" i="11" s="1"/>
  <c r="CO233" i="11"/>
  <c r="CA233" i="11"/>
  <c r="BC233" i="11"/>
  <c r="CP233" i="11"/>
  <c r="CB233" i="11"/>
  <c r="AN233" i="11"/>
  <c r="DA233" i="11"/>
  <c r="DM233" i="11"/>
  <c r="BM233" i="11"/>
  <c r="CM233" i="11"/>
  <c r="AM233" i="11"/>
  <c r="Y233" i="11"/>
  <c r="BZ233" i="11"/>
  <c r="AP233" i="11"/>
  <c r="AO233" i="11"/>
  <c r="DB233" i="11"/>
  <c r="DD233" i="11" s="1"/>
  <c r="DC233" i="11"/>
  <c r="AA233" i="11"/>
  <c r="DN233" i="11"/>
  <c r="AZ233" i="11"/>
  <c r="BA233" i="11"/>
  <c r="CN233" i="11"/>
  <c r="CC233" i="11"/>
  <c r="W234" i="11"/>
  <c r="BB233" i="11"/>
  <c r="BD233" i="11" s="1"/>
  <c r="DP233" i="11"/>
  <c r="B234" i="11"/>
  <c r="A234" i="11" s="1"/>
  <c r="C235" i="11"/>
  <c r="M200" i="12" l="1"/>
  <c r="N200" i="12"/>
  <c r="M233" i="11"/>
  <c r="L233" i="11"/>
  <c r="EC234" i="11"/>
  <c r="DZ234" i="11"/>
  <c r="EI234" i="11"/>
  <c r="EH234" i="11"/>
  <c r="EA234" i="11"/>
  <c r="A201" i="12"/>
  <c r="V201" i="12" s="1"/>
  <c r="W201" i="12" s="1"/>
  <c r="P234" i="11"/>
  <c r="BS232" i="11"/>
  <c r="BF232" i="11"/>
  <c r="DF232" i="11"/>
  <c r="DJ232" i="11"/>
  <c r="BW231" i="11"/>
  <c r="BY231" i="11" s="1"/>
  <c r="BY230" i="11"/>
  <c r="AW232" i="11"/>
  <c r="BK231" i="11"/>
  <c r="BL231" i="11" s="1"/>
  <c r="BX232" i="11"/>
  <c r="AX231" i="11"/>
  <c r="AS231" i="11"/>
  <c r="AW231" i="11"/>
  <c r="B202" i="12"/>
  <c r="DK231" i="11"/>
  <c r="DJ231" i="11"/>
  <c r="CL231" i="11"/>
  <c r="CJ232" i="11"/>
  <c r="CK232" i="11"/>
  <c r="AB234" i="11"/>
  <c r="CK233" i="11"/>
  <c r="CD233" i="11"/>
  <c r="CX233" i="11"/>
  <c r="CQ233" i="11"/>
  <c r="AQ233" i="11"/>
  <c r="AR233" i="11" s="1"/>
  <c r="AT233" i="11" s="1"/>
  <c r="BE233" i="11"/>
  <c r="BG233" i="11" s="1"/>
  <c r="CY231" i="11"/>
  <c r="DE233" i="11"/>
  <c r="DG233" i="11" s="1"/>
  <c r="BN234" i="11"/>
  <c r="CE234" i="11"/>
  <c r="CG234" i="11" s="1"/>
  <c r="DU234" i="11"/>
  <c r="DV234" i="11"/>
  <c r="DH234" i="11"/>
  <c r="DI234" i="11"/>
  <c r="CR234" i="11"/>
  <c r="CT234" i="11" s="1"/>
  <c r="CU234" i="11"/>
  <c r="CV234" i="11"/>
  <c r="CH234" i="11"/>
  <c r="CI234" i="11"/>
  <c r="BU234" i="11"/>
  <c r="BV234" i="11"/>
  <c r="BH234" i="11"/>
  <c r="BI234" i="11"/>
  <c r="AU234" i="11"/>
  <c r="AV234" i="11"/>
  <c r="AH234" i="11"/>
  <c r="AI234" i="11"/>
  <c r="CX232" i="11"/>
  <c r="CW232" i="11"/>
  <c r="BR233" i="11"/>
  <c r="BT233" i="11" s="1"/>
  <c r="X234" i="11"/>
  <c r="DP234" i="11"/>
  <c r="CO234" i="11"/>
  <c r="DM234" i="11"/>
  <c r="CZ234" i="11"/>
  <c r="BA234" i="11"/>
  <c r="AZ234" i="11"/>
  <c r="BP234" i="11"/>
  <c r="DN234" i="11"/>
  <c r="BB234" i="11"/>
  <c r="BD234" i="11" s="1"/>
  <c r="BO234" i="11"/>
  <c r="BQ234" i="11" s="1"/>
  <c r="CM234" i="11"/>
  <c r="AA234" i="11"/>
  <c r="BZ234" i="11"/>
  <c r="CC234" i="11"/>
  <c r="DC234" i="11"/>
  <c r="AN234" i="11"/>
  <c r="CN234" i="11"/>
  <c r="DB234" i="11"/>
  <c r="DD234" i="11" s="1"/>
  <c r="BC234" i="11"/>
  <c r="DA234" i="11"/>
  <c r="AO234" i="11"/>
  <c r="CA234" i="11"/>
  <c r="CB234" i="11"/>
  <c r="CP234" i="11"/>
  <c r="AM234" i="11"/>
  <c r="BM234" i="11"/>
  <c r="AP234" i="11"/>
  <c r="W235" i="11"/>
  <c r="Y234" i="11"/>
  <c r="B235" i="11"/>
  <c r="A235" i="11" s="1"/>
  <c r="C236" i="11"/>
  <c r="N201" i="12" l="1"/>
  <c r="M234" i="11"/>
  <c r="L234" i="11"/>
  <c r="EH235" i="11"/>
  <c r="EC235" i="11"/>
  <c r="EA235" i="11"/>
  <c r="EI235" i="11"/>
  <c r="DZ235" i="11"/>
  <c r="M201" i="12"/>
  <c r="A202" i="12"/>
  <c r="V202" i="12" s="1"/>
  <c r="W202" i="12" s="1"/>
  <c r="P235" i="11"/>
  <c r="BS233" i="11"/>
  <c r="DF233" i="11"/>
  <c r="BF233" i="11"/>
  <c r="DK232" i="11"/>
  <c r="DL232" i="11" s="1"/>
  <c r="BW232" i="11"/>
  <c r="BY232" i="11" s="1"/>
  <c r="AY231" i="11"/>
  <c r="AS232" i="11"/>
  <c r="AX232" i="11"/>
  <c r="AY232" i="11" s="1"/>
  <c r="BK233" i="11"/>
  <c r="DL231" i="11"/>
  <c r="DK233" i="11"/>
  <c r="CL232" i="11"/>
  <c r="B203" i="12"/>
  <c r="BK232" i="11"/>
  <c r="BJ232" i="11"/>
  <c r="BW233" i="11"/>
  <c r="AW233" i="11"/>
  <c r="AB235" i="11"/>
  <c r="CF234" i="11"/>
  <c r="CD234" i="11"/>
  <c r="CJ233" i="11"/>
  <c r="CL233" i="11" s="1"/>
  <c r="CF233" i="11"/>
  <c r="CS234" i="11"/>
  <c r="CQ234" i="11"/>
  <c r="CW233" i="11"/>
  <c r="CY233" i="11" s="1"/>
  <c r="CS233" i="11"/>
  <c r="AQ234" i="11"/>
  <c r="AR234" i="11" s="1"/>
  <c r="AT234" i="11" s="1"/>
  <c r="AS233" i="11"/>
  <c r="AX233" i="11"/>
  <c r="DE234" i="11"/>
  <c r="DG234" i="11" s="1"/>
  <c r="BN235" i="11"/>
  <c r="CE235" i="11"/>
  <c r="CG235" i="11" s="1"/>
  <c r="DU235" i="11"/>
  <c r="DV235" i="11"/>
  <c r="DH235" i="11"/>
  <c r="CR235" i="11"/>
  <c r="CT235" i="11" s="1"/>
  <c r="DI235" i="11"/>
  <c r="CU235" i="11"/>
  <c r="CV235" i="11"/>
  <c r="CH235" i="11"/>
  <c r="CI235" i="11"/>
  <c r="BV235" i="11"/>
  <c r="BU235" i="11"/>
  <c r="BH235" i="11"/>
  <c r="BI235" i="11"/>
  <c r="AU235" i="11"/>
  <c r="AV235" i="11"/>
  <c r="AI235" i="11"/>
  <c r="AH235" i="11"/>
  <c r="BR234" i="11"/>
  <c r="BT234" i="11" s="1"/>
  <c r="CY232" i="11"/>
  <c r="CK234" i="11"/>
  <c r="BE234" i="11"/>
  <c r="BG234" i="11" s="1"/>
  <c r="BP235" i="11"/>
  <c r="BO235" i="11"/>
  <c r="BQ235" i="11" s="1"/>
  <c r="AO235" i="11"/>
  <c r="Y235" i="11"/>
  <c r="BZ235" i="11"/>
  <c r="DP235" i="11"/>
  <c r="DM235" i="11"/>
  <c r="AM235" i="11"/>
  <c r="X235" i="11"/>
  <c r="DB235" i="11"/>
  <c r="DD235" i="11" s="1"/>
  <c r="AA235" i="11"/>
  <c r="CP235" i="11"/>
  <c r="W236" i="11"/>
  <c r="DN235" i="11"/>
  <c r="CN235" i="11"/>
  <c r="CB235" i="11"/>
  <c r="CO235" i="11"/>
  <c r="CC235" i="11"/>
  <c r="BM235" i="11"/>
  <c r="AZ235" i="11"/>
  <c r="CA235" i="11"/>
  <c r="BB235" i="11"/>
  <c r="BD235" i="11" s="1"/>
  <c r="DC235" i="11"/>
  <c r="AP235" i="11"/>
  <c r="BC235" i="11"/>
  <c r="CM235" i="11"/>
  <c r="DA235" i="11"/>
  <c r="BA235" i="11"/>
  <c r="CZ235" i="11"/>
  <c r="AN235" i="11"/>
  <c r="B236" i="11"/>
  <c r="A236" i="11" s="1"/>
  <c r="C237" i="11"/>
  <c r="M235" i="11" l="1"/>
  <c r="M202" i="12"/>
  <c r="N202" i="12"/>
  <c r="L235" i="11"/>
  <c r="EC236" i="11"/>
  <c r="EI236" i="11"/>
  <c r="EA236" i="11"/>
  <c r="DZ236" i="11"/>
  <c r="EH236" i="11"/>
  <c r="A203" i="12"/>
  <c r="N203" i="12" s="1"/>
  <c r="P236" i="11"/>
  <c r="BS234" i="11"/>
  <c r="BF234" i="11"/>
  <c r="BJ234" i="11"/>
  <c r="DF234" i="11"/>
  <c r="BX233" i="11"/>
  <c r="BY233" i="11" s="1"/>
  <c r="BJ233" i="11"/>
  <c r="BL233" i="11" s="1"/>
  <c r="DJ233" i="11"/>
  <c r="DL233" i="11" s="1"/>
  <c r="AY233" i="11"/>
  <c r="BL232" i="11"/>
  <c r="B204" i="12"/>
  <c r="BX234" i="11"/>
  <c r="AW234" i="11"/>
  <c r="AB236" i="11"/>
  <c r="CJ234" i="11"/>
  <c r="CL234" i="11" s="1"/>
  <c r="CX234" i="11"/>
  <c r="CW234" i="11"/>
  <c r="CK235" i="11"/>
  <c r="CD235" i="11"/>
  <c r="CX235" i="11"/>
  <c r="CQ235" i="11"/>
  <c r="AQ235" i="11"/>
  <c r="AR235" i="11" s="1"/>
  <c r="AT235" i="11" s="1"/>
  <c r="DE235" i="11"/>
  <c r="DG235" i="11" s="1"/>
  <c r="BE235" i="11"/>
  <c r="BG235" i="11" s="1"/>
  <c r="AN236" i="11"/>
  <c r="BR235" i="11"/>
  <c r="BT235" i="11" s="1"/>
  <c r="DA236" i="11"/>
  <c r="CE236" i="11"/>
  <c r="CG236" i="11" s="1"/>
  <c r="DV236" i="11"/>
  <c r="DU236" i="11"/>
  <c r="DH236" i="11"/>
  <c r="DI236" i="11"/>
  <c r="CU236" i="11"/>
  <c r="CV236" i="11"/>
  <c r="CR236" i="11"/>
  <c r="CT236" i="11" s="1"/>
  <c r="CI236" i="11"/>
  <c r="CH236" i="11"/>
  <c r="BU236" i="11"/>
  <c r="BV236" i="11"/>
  <c r="BH236" i="11"/>
  <c r="BI236" i="11"/>
  <c r="AU236" i="11"/>
  <c r="AV236" i="11"/>
  <c r="AH236" i="11"/>
  <c r="AI236" i="11"/>
  <c r="CA236" i="11"/>
  <c r="CM236" i="11"/>
  <c r="CZ236" i="11"/>
  <c r="DC236" i="11"/>
  <c r="BA236" i="11"/>
  <c r="AZ236" i="11"/>
  <c r="BP236" i="11"/>
  <c r="BN236" i="11"/>
  <c r="BB236" i="11"/>
  <c r="BD236" i="11" s="1"/>
  <c r="BO236" i="11"/>
  <c r="BQ236" i="11" s="1"/>
  <c r="AM236" i="11"/>
  <c r="X236" i="11"/>
  <c r="BM236" i="11"/>
  <c r="BZ236" i="11"/>
  <c r="CO236" i="11"/>
  <c r="AP236" i="11"/>
  <c r="CB236" i="11"/>
  <c r="CP236" i="11"/>
  <c r="CN236" i="11"/>
  <c r="DN236" i="11"/>
  <c r="AA236" i="11"/>
  <c r="DP236" i="11"/>
  <c r="DM236" i="11"/>
  <c r="DB236" i="11"/>
  <c r="DD236" i="11" s="1"/>
  <c r="Y236" i="11"/>
  <c r="W237" i="11"/>
  <c r="BC236" i="11"/>
  <c r="CC236" i="11"/>
  <c r="AO236" i="11"/>
  <c r="B237" i="11"/>
  <c r="A237" i="11" s="1"/>
  <c r="C238" i="11"/>
  <c r="M203" i="12" l="1"/>
  <c r="M236" i="11"/>
  <c r="L236" i="11"/>
  <c r="V203" i="12"/>
  <c r="W203" i="12" s="1"/>
  <c r="EA237" i="11"/>
  <c r="EH237" i="11"/>
  <c r="DZ237" i="11"/>
  <c r="EI237" i="11"/>
  <c r="EC237" i="11"/>
  <c r="A204" i="12"/>
  <c r="V204" i="12" s="1"/>
  <c r="W204" i="12" s="1"/>
  <c r="P237" i="11"/>
  <c r="BS235" i="11"/>
  <c r="BF235" i="11"/>
  <c r="DF235" i="11"/>
  <c r="DJ235" i="11"/>
  <c r="BW234" i="11"/>
  <c r="BY234" i="11" s="1"/>
  <c r="AX234" i="11"/>
  <c r="AY234" i="11" s="1"/>
  <c r="BK234" i="11"/>
  <c r="BL234" i="11" s="1"/>
  <c r="AS234" i="11"/>
  <c r="DJ234" i="11"/>
  <c r="DK234" i="11"/>
  <c r="B205" i="12"/>
  <c r="AS235" i="11"/>
  <c r="BW235" i="11"/>
  <c r="BJ235" i="11"/>
  <c r="CY234" i="11"/>
  <c r="AB237" i="11"/>
  <c r="CF236" i="11"/>
  <c r="CD236" i="11"/>
  <c r="CW235" i="11"/>
  <c r="CY235" i="11" s="1"/>
  <c r="CS235" i="11"/>
  <c r="CW236" i="11"/>
  <c r="CQ236" i="11"/>
  <c r="CJ235" i="11"/>
  <c r="CL235" i="11" s="1"/>
  <c r="CF235" i="11"/>
  <c r="AQ236" i="11"/>
  <c r="AR236" i="11" s="1"/>
  <c r="AT236" i="11" s="1"/>
  <c r="CK236" i="11"/>
  <c r="BE236" i="11"/>
  <c r="BG236" i="11" s="1"/>
  <c r="BR236" i="11"/>
  <c r="BT236" i="11" s="1"/>
  <c r="CM237" i="11"/>
  <c r="CE237" i="11"/>
  <c r="CG237" i="11" s="1"/>
  <c r="DU237" i="11"/>
  <c r="DV237" i="11"/>
  <c r="DH237" i="11"/>
  <c r="DI237" i="11"/>
  <c r="CR237" i="11"/>
  <c r="CT237" i="11" s="1"/>
  <c r="CV237" i="11"/>
  <c r="CU237" i="11"/>
  <c r="CH237" i="11"/>
  <c r="CI237" i="11"/>
  <c r="BU237" i="11"/>
  <c r="BV237" i="11"/>
  <c r="BH237" i="11"/>
  <c r="BI237" i="11"/>
  <c r="AV237" i="11"/>
  <c r="AU237" i="11"/>
  <c r="AH237" i="11"/>
  <c r="AI237" i="11"/>
  <c r="DE236" i="11"/>
  <c r="DG236" i="11" s="1"/>
  <c r="BX235" i="11"/>
  <c r="BP237" i="11"/>
  <c r="CC237" i="11"/>
  <c r="BN237" i="11"/>
  <c r="DM237" i="11"/>
  <c r="X237" i="11"/>
  <c r="AO237" i="11"/>
  <c r="BO237" i="11"/>
  <c r="BZ237" i="11"/>
  <c r="AP237" i="11"/>
  <c r="BC237" i="11"/>
  <c r="Y237" i="11"/>
  <c r="BM237" i="11"/>
  <c r="DC237" i="11"/>
  <c r="CO237" i="11"/>
  <c r="CP237" i="11"/>
  <c r="DB237" i="11"/>
  <c r="DD237" i="11" s="1"/>
  <c r="AA237" i="11"/>
  <c r="DP237" i="11"/>
  <c r="DA237" i="11"/>
  <c r="AM237" i="11"/>
  <c r="AZ237" i="11"/>
  <c r="CN237" i="11"/>
  <c r="W238" i="11"/>
  <c r="BB237" i="11"/>
  <c r="BD237" i="11" s="1"/>
  <c r="DN237" i="11"/>
  <c r="CZ237" i="11"/>
  <c r="CA237" i="11"/>
  <c r="CB237" i="11"/>
  <c r="BA237" i="11"/>
  <c r="AN237" i="11"/>
  <c r="B238" i="11"/>
  <c r="A238" i="11" s="1"/>
  <c r="C239" i="11"/>
  <c r="L237" i="11" l="1"/>
  <c r="N204" i="12"/>
  <c r="M237" i="11"/>
  <c r="M204" i="12"/>
  <c r="EA238" i="11"/>
  <c r="DZ238" i="11"/>
  <c r="EI238" i="11"/>
  <c r="EH238" i="11"/>
  <c r="EC238" i="11"/>
  <c r="A205" i="12"/>
  <c r="N205" i="12" s="1"/>
  <c r="P238" i="11"/>
  <c r="DK235" i="11"/>
  <c r="DL235" i="11" s="1"/>
  <c r="DF236" i="11"/>
  <c r="BS236" i="11"/>
  <c r="BF236" i="11"/>
  <c r="BJ236" i="11"/>
  <c r="DL234" i="11"/>
  <c r="AW235" i="11"/>
  <c r="AX235" i="11"/>
  <c r="B206" i="12"/>
  <c r="BK235" i="11"/>
  <c r="BL235" i="11" s="1"/>
  <c r="AS236" i="11"/>
  <c r="DK236" i="11"/>
  <c r="CQ237" i="11"/>
  <c r="AB238" i="11"/>
  <c r="BQ237" i="11"/>
  <c r="BR237" i="11" s="1"/>
  <c r="BT237" i="11" s="1"/>
  <c r="CJ236" i="11"/>
  <c r="CL236" i="11" s="1"/>
  <c r="CF237" i="11"/>
  <c r="CD237" i="11"/>
  <c r="CX236" i="11"/>
  <c r="CY236" i="11" s="1"/>
  <c r="CS236" i="11"/>
  <c r="AQ237" i="11"/>
  <c r="AR237" i="11" s="1"/>
  <c r="AT237" i="11" s="1"/>
  <c r="CK237" i="11"/>
  <c r="CJ237" i="11"/>
  <c r="DE237" i="11"/>
  <c r="DG237" i="11" s="1"/>
  <c r="BY235" i="11"/>
  <c r="CS237" i="11"/>
  <c r="BE237" i="11"/>
  <c r="BG237" i="11" s="1"/>
  <c r="BP238" i="11"/>
  <c r="CE238" i="11"/>
  <c r="CG238" i="11" s="1"/>
  <c r="DU238" i="11"/>
  <c r="DV238" i="11"/>
  <c r="DI238" i="11"/>
  <c r="DH238" i="11"/>
  <c r="CU238" i="11"/>
  <c r="CV238" i="11"/>
  <c r="CR238" i="11"/>
  <c r="CT238" i="11" s="1"/>
  <c r="CH238" i="11"/>
  <c r="CI238" i="11"/>
  <c r="BU238" i="11"/>
  <c r="BV238" i="11"/>
  <c r="BH238" i="11"/>
  <c r="BI238" i="11"/>
  <c r="AU238" i="11"/>
  <c r="AV238" i="11"/>
  <c r="AH238" i="11"/>
  <c r="AI238" i="11"/>
  <c r="BA238" i="11"/>
  <c r="CZ238" i="11"/>
  <c r="AO238" i="11"/>
  <c r="BC238" i="11"/>
  <c r="AP238" i="11"/>
  <c r="BN238" i="11"/>
  <c r="BO238" i="11"/>
  <c r="AN238" i="11"/>
  <c r="BZ238" i="11"/>
  <c r="DM238" i="11"/>
  <c r="DB238" i="11"/>
  <c r="DD238" i="11" s="1"/>
  <c r="DN238" i="11"/>
  <c r="DP238" i="11"/>
  <c r="CM238" i="11"/>
  <c r="CO238" i="11"/>
  <c r="BM238" i="11"/>
  <c r="CC238" i="11"/>
  <c r="Y238" i="11"/>
  <c r="AM238" i="11"/>
  <c r="X238" i="11"/>
  <c r="CB238" i="11"/>
  <c r="BB238" i="11"/>
  <c r="BD238" i="11" s="1"/>
  <c r="CN238" i="11"/>
  <c r="DA238" i="11"/>
  <c r="DC238" i="11"/>
  <c r="W239" i="11"/>
  <c r="CA238" i="11"/>
  <c r="AA238" i="11"/>
  <c r="AZ238" i="11"/>
  <c r="CP238" i="11"/>
  <c r="B239" i="11"/>
  <c r="A239" i="11" s="1"/>
  <c r="C240" i="11"/>
  <c r="M238" i="11" l="1"/>
  <c r="M205" i="12"/>
  <c r="L238" i="11"/>
  <c r="V205" i="12"/>
  <c r="W205" i="12" s="1"/>
  <c r="EH239" i="11"/>
  <c r="EC239" i="11"/>
  <c r="DZ239" i="11"/>
  <c r="EA239" i="11"/>
  <c r="EI239" i="11"/>
  <c r="A206" i="12"/>
  <c r="V206" i="12" s="1"/>
  <c r="W206" i="12" s="1"/>
  <c r="P239" i="11"/>
  <c r="BF237" i="11"/>
  <c r="DF237" i="11"/>
  <c r="BX237" i="11"/>
  <c r="BK236" i="11"/>
  <c r="BL236" i="11" s="1"/>
  <c r="AY235" i="11"/>
  <c r="BX236" i="11"/>
  <c r="DJ236" i="11"/>
  <c r="DL236" i="11" s="1"/>
  <c r="AX236" i="11"/>
  <c r="AW236" i="11"/>
  <c r="B207" i="12"/>
  <c r="DK237" i="11"/>
  <c r="BW236" i="11"/>
  <c r="AS237" i="11"/>
  <c r="BS237" i="11"/>
  <c r="AB239" i="11"/>
  <c r="BQ238" i="11"/>
  <c r="BR238" i="11" s="1"/>
  <c r="BT238" i="11" s="1"/>
  <c r="CS238" i="11"/>
  <c r="CQ238" i="11"/>
  <c r="CF238" i="11"/>
  <c r="CD238" i="11"/>
  <c r="AQ238" i="11"/>
  <c r="AR238" i="11" s="1"/>
  <c r="AT238" i="11" s="1"/>
  <c r="DE238" i="11"/>
  <c r="DG238" i="11" s="1"/>
  <c r="BE238" i="11"/>
  <c r="BG238" i="11" s="1"/>
  <c r="CW237" i="11"/>
  <c r="CX237" i="11"/>
  <c r="BP239" i="11"/>
  <c r="CE239" i="11"/>
  <c r="CG239" i="11" s="1"/>
  <c r="DU239" i="11"/>
  <c r="DV239" i="11"/>
  <c r="DI239" i="11"/>
  <c r="DH239" i="11"/>
  <c r="CV239" i="11"/>
  <c r="CR239" i="11"/>
  <c r="CT239" i="11" s="1"/>
  <c r="CH239" i="11"/>
  <c r="CU239" i="11"/>
  <c r="CI239" i="11"/>
  <c r="BU239" i="11"/>
  <c r="BV239" i="11"/>
  <c r="BH239" i="11"/>
  <c r="BI239" i="11"/>
  <c r="AU239" i="11"/>
  <c r="AV239" i="11"/>
  <c r="AI239" i="11"/>
  <c r="AH239" i="11"/>
  <c r="CL237" i="11"/>
  <c r="DA239" i="11"/>
  <c r="CP239" i="11"/>
  <c r="BN239" i="11"/>
  <c r="BC239" i="11"/>
  <c r="CZ239" i="11"/>
  <c r="BB239" i="11"/>
  <c r="BD239" i="11" s="1"/>
  <c r="BO239" i="11"/>
  <c r="BQ239" i="11" s="1"/>
  <c r="DC239" i="11"/>
  <c r="CM239" i="11"/>
  <c r="CN239" i="11"/>
  <c r="DP239" i="11"/>
  <c r="CC239" i="11"/>
  <c r="CO239" i="11"/>
  <c r="DB239" i="11"/>
  <c r="DD239" i="11" s="1"/>
  <c r="AM239" i="11"/>
  <c r="BM239" i="11"/>
  <c r="CB239" i="11"/>
  <c r="DN239" i="11"/>
  <c r="Y239" i="11"/>
  <c r="AA239" i="11"/>
  <c r="CA239" i="11"/>
  <c r="BA239" i="11"/>
  <c r="DM239" i="11"/>
  <c r="AO239" i="11"/>
  <c r="AZ239" i="11"/>
  <c r="X239" i="11"/>
  <c r="W240" i="11"/>
  <c r="AN239" i="11"/>
  <c r="BZ239" i="11"/>
  <c r="AP239" i="11"/>
  <c r="B240" i="11"/>
  <c r="A240" i="11" s="1"/>
  <c r="C241" i="11"/>
  <c r="N206" i="12" l="1"/>
  <c r="L239" i="11"/>
  <c r="M206" i="12"/>
  <c r="M239" i="11"/>
  <c r="EC240" i="11"/>
  <c r="EI240" i="11"/>
  <c r="EH240" i="11"/>
  <c r="EA240" i="11"/>
  <c r="DZ240" i="11"/>
  <c r="A207" i="12"/>
  <c r="V207" i="12" s="1"/>
  <c r="W207" i="12" s="1"/>
  <c r="P240" i="11"/>
  <c r="BF238" i="11"/>
  <c r="DF238" i="11"/>
  <c r="DK238" i="11"/>
  <c r="BW237" i="11"/>
  <c r="BY237" i="11" s="1"/>
  <c r="BY236" i="11"/>
  <c r="AX237" i="11"/>
  <c r="AW237" i="11"/>
  <c r="AY236" i="11"/>
  <c r="DJ237" i="11"/>
  <c r="DL237" i="11" s="1"/>
  <c r="BK238" i="11"/>
  <c r="BK237" i="11"/>
  <c r="AW238" i="11"/>
  <c r="B208" i="12"/>
  <c r="BJ237" i="11"/>
  <c r="CX238" i="11"/>
  <c r="CK238" i="11"/>
  <c r="CW238" i="11"/>
  <c r="CQ239" i="11"/>
  <c r="CJ238" i="11"/>
  <c r="BS238" i="11"/>
  <c r="BW238" i="11"/>
  <c r="BX238" i="11"/>
  <c r="AB240" i="11"/>
  <c r="BR239" i="11"/>
  <c r="BT239" i="11" s="1"/>
  <c r="CF239" i="11"/>
  <c r="CD239" i="11"/>
  <c r="AQ239" i="11"/>
  <c r="AR239" i="11" s="1"/>
  <c r="AT239" i="11" s="1"/>
  <c r="BE239" i="11"/>
  <c r="BG239" i="11" s="1"/>
  <c r="CS239" i="11"/>
  <c r="DE239" i="11"/>
  <c r="DG239" i="11" s="1"/>
  <c r="CY237" i="11"/>
  <c r="BP240" i="11"/>
  <c r="DV240" i="11"/>
  <c r="CE240" i="11"/>
  <c r="CG240" i="11" s="1"/>
  <c r="DU240" i="11"/>
  <c r="DH240" i="11"/>
  <c r="DI240" i="11"/>
  <c r="CR240" i="11"/>
  <c r="CT240" i="11" s="1"/>
  <c r="CU240" i="11"/>
  <c r="CV240" i="11"/>
  <c r="CH240" i="11"/>
  <c r="CI240" i="11"/>
  <c r="BU240" i="11"/>
  <c r="BV240" i="11"/>
  <c r="BI240" i="11"/>
  <c r="BH240" i="11"/>
  <c r="AV240" i="11"/>
  <c r="AU240" i="11"/>
  <c r="AH240" i="11"/>
  <c r="AI240" i="11"/>
  <c r="BN240" i="11"/>
  <c r="CC240" i="11"/>
  <c r="BO240" i="11"/>
  <c r="BQ240" i="11" s="1"/>
  <c r="DA240" i="11"/>
  <c r="CZ240" i="11"/>
  <c r="AO240" i="11"/>
  <c r="DN240" i="11"/>
  <c r="DM240" i="11"/>
  <c r="BA240" i="11"/>
  <c r="AM240" i="11"/>
  <c r="CB240" i="11"/>
  <c r="DB240" i="11"/>
  <c r="DD240" i="11" s="1"/>
  <c r="AZ240" i="11"/>
  <c r="CO240" i="11"/>
  <c r="AP240" i="11"/>
  <c r="CN240" i="11"/>
  <c r="BZ240" i="11"/>
  <c r="AN240" i="11"/>
  <c r="BB240" i="11"/>
  <c r="BD240" i="11" s="1"/>
  <c r="Y240" i="11"/>
  <c r="BM240" i="11"/>
  <c r="DC240" i="11"/>
  <c r="CA240" i="11"/>
  <c r="X240" i="11"/>
  <c r="AA240" i="11"/>
  <c r="DP240" i="11"/>
  <c r="W241" i="11"/>
  <c r="CM240" i="11"/>
  <c r="CP240" i="11"/>
  <c r="BC240" i="11"/>
  <c r="B241" i="11"/>
  <c r="A241" i="11" s="1"/>
  <c r="C242" i="11"/>
  <c r="M240" i="11" l="1"/>
  <c r="L240" i="11"/>
  <c r="EA241" i="11"/>
  <c r="EI241" i="11"/>
  <c r="EH241" i="11"/>
  <c r="EC241" i="11"/>
  <c r="DZ241" i="11"/>
  <c r="M207" i="12"/>
  <c r="N207" i="12"/>
  <c r="A208" i="12"/>
  <c r="V208" i="12" s="1"/>
  <c r="W208" i="12" s="1"/>
  <c r="P241" i="11"/>
  <c r="BF239" i="11"/>
  <c r="DF239" i="11"/>
  <c r="DJ239" i="11"/>
  <c r="BS239" i="11"/>
  <c r="BX239" i="11"/>
  <c r="AY237" i="11"/>
  <c r="DJ238" i="11"/>
  <c r="DL238" i="11" s="1"/>
  <c r="BJ238" i="11"/>
  <c r="BL238" i="11" s="1"/>
  <c r="BL237" i="11"/>
  <c r="AS238" i="11"/>
  <c r="BK239" i="11"/>
  <c r="B209" i="12"/>
  <c r="AW239" i="11"/>
  <c r="AX238" i="11"/>
  <c r="AY238" i="11" s="1"/>
  <c r="BY238" i="11"/>
  <c r="CY238" i="11"/>
  <c r="CL238" i="11"/>
  <c r="AB241" i="11"/>
  <c r="BR240" i="11"/>
  <c r="BT240" i="11" s="1"/>
  <c r="CJ239" i="11"/>
  <c r="CF240" i="11"/>
  <c r="CD240" i="11"/>
  <c r="CW240" i="11"/>
  <c r="CQ240" i="11"/>
  <c r="CK239" i="11"/>
  <c r="AQ240" i="11"/>
  <c r="AR240" i="11" s="1"/>
  <c r="AT240" i="11" s="1"/>
  <c r="DE240" i="11"/>
  <c r="DG240" i="11" s="1"/>
  <c r="BE240" i="11"/>
  <c r="BG240" i="11" s="1"/>
  <c r="BP241" i="11"/>
  <c r="CE241" i="11"/>
  <c r="CG241" i="11" s="1"/>
  <c r="DU241" i="11"/>
  <c r="DV241" i="11"/>
  <c r="DH241" i="11"/>
  <c r="DI241" i="11"/>
  <c r="CU241" i="11"/>
  <c r="CV241" i="11"/>
  <c r="CR241" i="11"/>
  <c r="CT241" i="11" s="1"/>
  <c r="CH241" i="11"/>
  <c r="CI241" i="11"/>
  <c r="BV241" i="11"/>
  <c r="BU241" i="11"/>
  <c r="BI241" i="11"/>
  <c r="BH241" i="11"/>
  <c r="AU241" i="11"/>
  <c r="AV241" i="11"/>
  <c r="AI241" i="11"/>
  <c r="AH241" i="11"/>
  <c r="CW239" i="11"/>
  <c r="CX239" i="11"/>
  <c r="BC241" i="11"/>
  <c r="DN241" i="11"/>
  <c r="AP241" i="11"/>
  <c r="DC241" i="11"/>
  <c r="CM241" i="11"/>
  <c r="BN241" i="11"/>
  <c r="AO241" i="11"/>
  <c r="X241" i="11"/>
  <c r="BZ241" i="11"/>
  <c r="CA241" i="11"/>
  <c r="CN241" i="11"/>
  <c r="BO241" i="11"/>
  <c r="BQ241" i="11" s="1"/>
  <c r="AM241" i="11"/>
  <c r="AA241" i="11"/>
  <c r="AN241" i="11"/>
  <c r="CO241" i="11"/>
  <c r="CP241" i="11"/>
  <c r="DP241" i="11"/>
  <c r="BB241" i="11"/>
  <c r="BD241" i="11" s="1"/>
  <c r="CB241" i="11"/>
  <c r="DA241" i="11"/>
  <c r="W242" i="11"/>
  <c r="DM241" i="11"/>
  <c r="BA241" i="11"/>
  <c r="BM241" i="11"/>
  <c r="AZ241" i="11"/>
  <c r="CZ241" i="11"/>
  <c r="Y241" i="11"/>
  <c r="DB241" i="11"/>
  <c r="DD241" i="11" s="1"/>
  <c r="CC241" i="11"/>
  <c r="B242" i="11"/>
  <c r="A242" i="11" s="1"/>
  <c r="C243" i="11"/>
  <c r="L241" i="11" l="1"/>
  <c r="M241" i="11"/>
  <c r="EA242" i="11"/>
  <c r="EI242" i="11"/>
  <c r="EH242" i="11"/>
  <c r="EC242" i="11"/>
  <c r="DZ242" i="11"/>
  <c r="N208" i="12"/>
  <c r="M208" i="12"/>
  <c r="A209" i="12"/>
  <c r="V209" i="12" s="1"/>
  <c r="W209" i="12" s="1"/>
  <c r="P242" i="11"/>
  <c r="DF240" i="11"/>
  <c r="BS240" i="11"/>
  <c r="BF240" i="11"/>
  <c r="BJ240" i="11"/>
  <c r="AX239" i="11"/>
  <c r="AY239" i="11" s="1"/>
  <c r="DK239" i="11"/>
  <c r="DL239" i="11" s="1"/>
  <c r="AS239" i="11"/>
  <c r="BW239" i="11"/>
  <c r="BY239" i="11" s="1"/>
  <c r="AX240" i="11"/>
  <c r="BX240" i="11"/>
  <c r="B210" i="12"/>
  <c r="BJ239" i="11"/>
  <c r="BL239" i="11" s="1"/>
  <c r="CK240" i="11"/>
  <c r="CJ240" i="11"/>
  <c r="CL239" i="11"/>
  <c r="AB242" i="11"/>
  <c r="CX240" i="11"/>
  <c r="CY240" i="11" s="1"/>
  <c r="CS240" i="11"/>
  <c r="CX241" i="11"/>
  <c r="CQ241" i="11"/>
  <c r="CF241" i="11"/>
  <c r="CD241" i="11"/>
  <c r="AQ241" i="11"/>
  <c r="AR241" i="11" s="1"/>
  <c r="AT241" i="11" s="1"/>
  <c r="CY239" i="11"/>
  <c r="BE241" i="11"/>
  <c r="BG241" i="11" s="1"/>
  <c r="AM242" i="11"/>
  <c r="CE242" i="11"/>
  <c r="CG242" i="11" s="1"/>
  <c r="DU242" i="11"/>
  <c r="DV242" i="11"/>
  <c r="DH242" i="11"/>
  <c r="DI242" i="11"/>
  <c r="CU242" i="11"/>
  <c r="CV242" i="11"/>
  <c r="CR242" i="11"/>
  <c r="CT242" i="11" s="1"/>
  <c r="CH242" i="11"/>
  <c r="CI242" i="11"/>
  <c r="BU242" i="11"/>
  <c r="BV242" i="11"/>
  <c r="BH242" i="11"/>
  <c r="BI242" i="11"/>
  <c r="AU242" i="11"/>
  <c r="AV242" i="11"/>
  <c r="AH242" i="11"/>
  <c r="AI242" i="11"/>
  <c r="BR241" i="11"/>
  <c r="BT241" i="11" s="1"/>
  <c r="DE241" i="11"/>
  <c r="DG241" i="11" s="1"/>
  <c r="CC242" i="11"/>
  <c r="AP242" i="11"/>
  <c r="X242" i="11"/>
  <c r="BZ242" i="11"/>
  <c r="BP242" i="11"/>
  <c r="CM242" i="11"/>
  <c r="CN242" i="11"/>
  <c r="AZ242" i="11"/>
  <c r="BN242" i="11"/>
  <c r="DB242" i="11"/>
  <c r="DD242" i="11" s="1"/>
  <c r="BO242" i="11"/>
  <c r="BQ242" i="11" s="1"/>
  <c r="BC242" i="11"/>
  <c r="DN242" i="11"/>
  <c r="DA242" i="11"/>
  <c r="Y242" i="11"/>
  <c r="BB242" i="11"/>
  <c r="BD242" i="11" s="1"/>
  <c r="CO242" i="11"/>
  <c r="CZ242" i="11"/>
  <c r="CA242" i="11"/>
  <c r="DP242" i="11"/>
  <c r="BA242" i="11"/>
  <c r="DM242" i="11"/>
  <c r="CB242" i="11"/>
  <c r="BM242" i="11"/>
  <c r="CP242" i="11"/>
  <c r="W243" i="11"/>
  <c r="DC242" i="11"/>
  <c r="AA242" i="11"/>
  <c r="AN242" i="11"/>
  <c r="AO242" i="11"/>
  <c r="B243" i="11"/>
  <c r="A243" i="11" s="1"/>
  <c r="C244" i="11"/>
  <c r="L242" i="11" l="1"/>
  <c r="N209" i="12"/>
  <c r="M209" i="12"/>
  <c r="M242" i="11"/>
  <c r="EH243" i="11"/>
  <c r="DZ243" i="11"/>
  <c r="EI243" i="11"/>
  <c r="EC243" i="11"/>
  <c r="EA243" i="11"/>
  <c r="A210" i="12"/>
  <c r="N210" i="12" s="1"/>
  <c r="P243" i="11"/>
  <c r="DF241" i="11"/>
  <c r="DK241" i="11"/>
  <c r="BS241" i="11"/>
  <c r="BW241" i="11"/>
  <c r="BW240" i="11"/>
  <c r="BY240" i="11" s="1"/>
  <c r="BK240" i="11"/>
  <c r="BL240" i="11" s="1"/>
  <c r="DJ240" i="11"/>
  <c r="AW240" i="11"/>
  <c r="AY240" i="11" s="1"/>
  <c r="AS240" i="11"/>
  <c r="B211" i="12"/>
  <c r="AW241" i="11"/>
  <c r="DK240" i="11"/>
  <c r="BJ241" i="11"/>
  <c r="CL240" i="11"/>
  <c r="CK241" i="11"/>
  <c r="AB243" i="11"/>
  <c r="CJ241" i="11"/>
  <c r="CF242" i="11"/>
  <c r="CD242" i="11"/>
  <c r="CW241" i="11"/>
  <c r="CY241" i="11" s="1"/>
  <c r="CS241" i="11"/>
  <c r="CS242" i="11"/>
  <c r="CQ242" i="11"/>
  <c r="BF241" i="11"/>
  <c r="AQ242" i="11"/>
  <c r="AR242" i="11" s="1"/>
  <c r="AT242" i="11" s="1"/>
  <c r="CE243" i="11"/>
  <c r="CG243" i="11" s="1"/>
  <c r="DV243" i="11"/>
  <c r="DU243" i="11"/>
  <c r="DH243" i="11"/>
  <c r="DI243" i="11"/>
  <c r="CU243" i="11"/>
  <c r="CV243" i="11"/>
  <c r="CR243" i="11"/>
  <c r="CT243" i="11" s="1"/>
  <c r="CH243" i="11"/>
  <c r="CI243" i="11"/>
  <c r="BU243" i="11"/>
  <c r="BV243" i="11"/>
  <c r="BH243" i="11"/>
  <c r="BI243" i="11"/>
  <c r="AU243" i="11"/>
  <c r="AV243" i="11"/>
  <c r="AI243" i="11"/>
  <c r="AH243" i="11"/>
  <c r="BE242" i="11"/>
  <c r="BG242" i="11" s="1"/>
  <c r="BR242" i="11"/>
  <c r="BT242" i="11" s="1"/>
  <c r="DE242" i="11"/>
  <c r="DG242" i="11" s="1"/>
  <c r="AN243" i="11"/>
  <c r="BN243" i="11"/>
  <c r="CM243" i="11"/>
  <c r="BP243" i="11"/>
  <c r="BO243" i="11"/>
  <c r="AO243" i="11"/>
  <c r="DN243" i="11"/>
  <c r="CA243" i="11"/>
  <c r="CZ243" i="11"/>
  <c r="AM243" i="11"/>
  <c r="BA243" i="11"/>
  <c r="CC243" i="11"/>
  <c r="CB243" i="11"/>
  <c r="BC243" i="11"/>
  <c r="AA243" i="11"/>
  <c r="W244" i="11"/>
  <c r="DP243" i="11"/>
  <c r="DA243" i="11"/>
  <c r="DC243" i="11"/>
  <c r="CP243" i="11"/>
  <c r="DB243" i="11"/>
  <c r="DD243" i="11" s="1"/>
  <c r="BB243" i="11"/>
  <c r="BD243" i="11" s="1"/>
  <c r="BM243" i="11"/>
  <c r="Y243" i="11"/>
  <c r="AP243" i="11"/>
  <c r="CO243" i="11"/>
  <c r="BZ243" i="11"/>
  <c r="DM243" i="11"/>
  <c r="AZ243" i="11"/>
  <c r="X243" i="11"/>
  <c r="CN243" i="11"/>
  <c r="B244" i="11"/>
  <c r="A244" i="11" s="1"/>
  <c r="C245" i="11"/>
  <c r="M243" i="11" l="1"/>
  <c r="L243" i="11"/>
  <c r="M210" i="12"/>
  <c r="EC244" i="11"/>
  <c r="EH244" i="11"/>
  <c r="EI244" i="11"/>
  <c r="EA244" i="11"/>
  <c r="DZ244" i="11"/>
  <c r="V210" i="12"/>
  <c r="W210" i="12" s="1"/>
  <c r="A211" i="12"/>
  <c r="M211" i="12" s="1"/>
  <c r="P244" i="11"/>
  <c r="DJ241" i="11"/>
  <c r="DL241" i="11" s="1"/>
  <c r="BS242" i="11"/>
  <c r="BW242" i="11"/>
  <c r="BF242" i="11"/>
  <c r="BJ242" i="11"/>
  <c r="DF242" i="11"/>
  <c r="DK242" i="11"/>
  <c r="DL240" i="11"/>
  <c r="BX241" i="11"/>
  <c r="BY241" i="11" s="1"/>
  <c r="BK241" i="11"/>
  <c r="BL241" i="11" s="1"/>
  <c r="AS242" i="11"/>
  <c r="AS241" i="11"/>
  <c r="AX241" i="11"/>
  <c r="AY241" i="11" s="1"/>
  <c r="B212" i="12"/>
  <c r="CL241" i="11"/>
  <c r="CK242" i="11"/>
  <c r="BQ243" i="11"/>
  <c r="BR243" i="11" s="1"/>
  <c r="BT243" i="11" s="1"/>
  <c r="CJ242" i="11"/>
  <c r="AB244" i="11"/>
  <c r="CD243" i="11"/>
  <c r="CS243" i="11"/>
  <c r="CQ243" i="11"/>
  <c r="CX242" i="11"/>
  <c r="CW242" i="11"/>
  <c r="AQ243" i="11"/>
  <c r="AR243" i="11" s="1"/>
  <c r="AT243" i="11" s="1"/>
  <c r="DE243" i="11"/>
  <c r="DG243" i="11" s="1"/>
  <c r="CE244" i="11"/>
  <c r="CG244" i="11" s="1"/>
  <c r="DV244" i="11"/>
  <c r="DU244" i="11"/>
  <c r="DH244" i="11"/>
  <c r="DI244" i="11"/>
  <c r="CV244" i="11"/>
  <c r="CR244" i="11"/>
  <c r="CT244" i="11" s="1"/>
  <c r="CU244" i="11"/>
  <c r="CI244" i="11"/>
  <c r="CH244" i="11"/>
  <c r="BU244" i="11"/>
  <c r="BV244" i="11"/>
  <c r="BI244" i="11"/>
  <c r="AU244" i="11"/>
  <c r="AV244" i="11"/>
  <c r="BH244" i="11"/>
  <c r="AH244" i="11"/>
  <c r="AI244" i="11"/>
  <c r="BE243" i="11"/>
  <c r="BG243" i="11" s="1"/>
  <c r="CZ244" i="11"/>
  <c r="BN244" i="11"/>
  <c r="BP244" i="11"/>
  <c r="DC244" i="11"/>
  <c r="AN244" i="11"/>
  <c r="CO244" i="11"/>
  <c r="BO244" i="11"/>
  <c r="AO244" i="11"/>
  <c r="CB244" i="11"/>
  <c r="AA244" i="11"/>
  <c r="CC244" i="11"/>
  <c r="BC244" i="11"/>
  <c r="BA244" i="11"/>
  <c r="DA244" i="11"/>
  <c r="AZ244" i="11"/>
  <c r="BM244" i="11"/>
  <c r="AM244" i="11"/>
  <c r="AP244" i="11"/>
  <c r="Y244" i="11"/>
  <c r="CN244" i="11"/>
  <c r="X244" i="11"/>
  <c r="DM244" i="11"/>
  <c r="DB244" i="11"/>
  <c r="DD244" i="11" s="1"/>
  <c r="CA244" i="11"/>
  <c r="DP244" i="11"/>
  <c r="W245" i="11"/>
  <c r="BB244" i="11"/>
  <c r="BD244" i="11" s="1"/>
  <c r="BZ244" i="11"/>
  <c r="CP244" i="11"/>
  <c r="DN244" i="11"/>
  <c r="CM244" i="11"/>
  <c r="B245" i="11"/>
  <c r="A245" i="11" s="1"/>
  <c r="C246" i="11"/>
  <c r="V211" i="12" l="1"/>
  <c r="W211" i="12" s="1"/>
  <c r="M244" i="11"/>
  <c r="L244" i="11"/>
  <c r="EA245" i="11"/>
  <c r="EI245" i="11"/>
  <c r="EC245" i="11"/>
  <c r="EH245" i="11"/>
  <c r="DZ245" i="11"/>
  <c r="N211" i="12"/>
  <c r="A212" i="12"/>
  <c r="N212" i="12" s="1"/>
  <c r="P245" i="11"/>
  <c r="DF243" i="11"/>
  <c r="BF243" i="11"/>
  <c r="BK243" i="11"/>
  <c r="DJ242" i="11"/>
  <c r="DL242" i="11" s="1"/>
  <c r="BX242" i="11"/>
  <c r="BY242" i="11" s="1"/>
  <c r="AX242" i="11"/>
  <c r="AW242" i="11"/>
  <c r="BK242" i="11"/>
  <c r="BL242" i="11" s="1"/>
  <c r="CY242" i="11"/>
  <c r="B213" i="12"/>
  <c r="AS243" i="11"/>
  <c r="BX243" i="11"/>
  <c r="CL242" i="11"/>
  <c r="CX243" i="11"/>
  <c r="CQ244" i="11"/>
  <c r="CW243" i="11"/>
  <c r="BS243" i="11"/>
  <c r="BQ244" i="11"/>
  <c r="BR244" i="11" s="1"/>
  <c r="BT244" i="11" s="1"/>
  <c r="AB245" i="11"/>
  <c r="CJ243" i="11"/>
  <c r="CF243" i="11"/>
  <c r="CK243" i="11"/>
  <c r="CF244" i="11"/>
  <c r="CD244" i="11"/>
  <c r="AQ244" i="11"/>
  <c r="AR244" i="11" s="1"/>
  <c r="AT244" i="11" s="1"/>
  <c r="CJ244" i="11"/>
  <c r="BE244" i="11"/>
  <c r="BG244" i="11" s="1"/>
  <c r="DE244" i="11"/>
  <c r="DG244" i="11" s="1"/>
  <c r="CE245" i="11"/>
  <c r="CG245" i="11" s="1"/>
  <c r="DV245" i="11"/>
  <c r="DU245" i="11"/>
  <c r="DH245" i="11"/>
  <c r="DI245" i="11"/>
  <c r="CR245" i="11"/>
  <c r="CT245" i="11" s="1"/>
  <c r="CU245" i="11"/>
  <c r="CV245" i="11"/>
  <c r="CI245" i="11"/>
  <c r="CH245" i="11"/>
  <c r="BV245" i="11"/>
  <c r="BU245" i="11"/>
  <c r="BH245" i="11"/>
  <c r="BI245" i="11"/>
  <c r="AI245" i="11"/>
  <c r="AU245" i="11"/>
  <c r="AV245" i="11"/>
  <c r="AH245" i="11"/>
  <c r="CM245" i="11"/>
  <c r="BP245" i="11"/>
  <c r="DC245" i="11"/>
  <c r="BN245" i="11"/>
  <c r="BO245" i="11"/>
  <c r="BQ245" i="11" s="1"/>
  <c r="CZ245" i="11"/>
  <c r="CA245" i="11"/>
  <c r="DB245" i="11"/>
  <c r="DD245" i="11" s="1"/>
  <c r="DM245" i="11"/>
  <c r="X245" i="11"/>
  <c r="BZ245" i="11"/>
  <c r="BB245" i="11"/>
  <c r="BD245" i="11" s="1"/>
  <c r="CN245" i="11"/>
  <c r="W246" i="11"/>
  <c r="Y245" i="11"/>
  <c r="BA245" i="11"/>
  <c r="AP245" i="11"/>
  <c r="BC245" i="11"/>
  <c r="AM245" i="11"/>
  <c r="CC245" i="11"/>
  <c r="BM245" i="11"/>
  <c r="AA245" i="11"/>
  <c r="DN245" i="11"/>
  <c r="DP245" i="11"/>
  <c r="AZ245" i="11"/>
  <c r="AO245" i="11"/>
  <c r="CP245" i="11"/>
  <c r="CO245" i="11"/>
  <c r="AN245" i="11"/>
  <c r="DA245" i="11"/>
  <c r="CB245" i="11"/>
  <c r="B246" i="11"/>
  <c r="A246" i="11" s="1"/>
  <c r="C247" i="11"/>
  <c r="DA246" i="11" l="1"/>
  <c r="L245" i="11"/>
  <c r="M245" i="11"/>
  <c r="EI246" i="11"/>
  <c r="EH246" i="11"/>
  <c r="EC246" i="11"/>
  <c r="EA246" i="11"/>
  <c r="DZ246" i="11"/>
  <c r="M212" i="12"/>
  <c r="V212" i="12"/>
  <c r="W212" i="12" s="1"/>
  <c r="A213" i="12"/>
  <c r="N213" i="12" s="1"/>
  <c r="P246" i="11"/>
  <c r="DF244" i="11"/>
  <c r="BF244" i="11"/>
  <c r="AY242" i="11"/>
  <c r="AX243" i="11"/>
  <c r="DK243" i="11"/>
  <c r="AW243" i="11"/>
  <c r="BJ243" i="11"/>
  <c r="BL243" i="11" s="1"/>
  <c r="BW243" i="11"/>
  <c r="BY243" i="11" s="1"/>
  <c r="BK244" i="11"/>
  <c r="B214" i="12"/>
  <c r="DJ243" i="11"/>
  <c r="BX244" i="11"/>
  <c r="AX244" i="11"/>
  <c r="CY243" i="11"/>
  <c r="AN246" i="11"/>
  <c r="CK244" i="11"/>
  <c r="CL244" i="11" s="1"/>
  <c r="BS244" i="11"/>
  <c r="BW244" i="11"/>
  <c r="CL243" i="11"/>
  <c r="DN246" i="11"/>
  <c r="AB246" i="11"/>
  <c r="CD245" i="11"/>
  <c r="CW244" i="11"/>
  <c r="CS244" i="11"/>
  <c r="CS245" i="11"/>
  <c r="CQ245" i="11"/>
  <c r="AQ245" i="11"/>
  <c r="AR245" i="11" s="1"/>
  <c r="AT245" i="11" s="1"/>
  <c r="DK244" i="11"/>
  <c r="DJ244" i="11"/>
  <c r="CX244" i="11"/>
  <c r="CE246" i="11"/>
  <c r="CG246" i="11" s="1"/>
  <c r="DU246" i="11"/>
  <c r="DV246" i="11"/>
  <c r="DH246" i="11"/>
  <c r="DI246" i="11"/>
  <c r="CU246" i="11"/>
  <c r="CV246" i="11"/>
  <c r="CR246" i="11"/>
  <c r="CT246" i="11" s="1"/>
  <c r="CH246" i="11"/>
  <c r="CI246" i="11"/>
  <c r="BU246" i="11"/>
  <c r="BV246" i="11"/>
  <c r="BH246" i="11"/>
  <c r="BI246" i="11"/>
  <c r="AU246" i="11"/>
  <c r="AV246" i="11"/>
  <c r="AH246" i="11"/>
  <c r="AI246" i="11"/>
  <c r="BR245" i="11"/>
  <c r="BT245" i="11" s="1"/>
  <c r="DE245" i="11"/>
  <c r="DG245" i="11" s="1"/>
  <c r="CJ245" i="11"/>
  <c r="DP246" i="11"/>
  <c r="BE245" i="11"/>
  <c r="BG245" i="11" s="1"/>
  <c r="BA246" i="11"/>
  <c r="DB246" i="11"/>
  <c r="DD246" i="11" s="1"/>
  <c r="AM246" i="11"/>
  <c r="X246" i="11"/>
  <c r="BM246" i="11"/>
  <c r="CP246" i="11"/>
  <c r="BP246" i="11"/>
  <c r="CC246" i="11"/>
  <c r="BZ246" i="11"/>
  <c r="BN246" i="11"/>
  <c r="CO246" i="11"/>
  <c r="CB246" i="11"/>
  <c r="AO246" i="11"/>
  <c r="BO246" i="11"/>
  <c r="BQ246" i="11" s="1"/>
  <c r="AP246" i="11"/>
  <c r="AZ246" i="11"/>
  <c r="CM246" i="11"/>
  <c r="BB246" i="11"/>
  <c r="BD246" i="11" s="1"/>
  <c r="AA246" i="11"/>
  <c r="CN246" i="11"/>
  <c r="Y246" i="11"/>
  <c r="DM246" i="11"/>
  <c r="CA246" i="11"/>
  <c r="W247" i="11"/>
  <c r="BC246" i="11"/>
  <c r="CZ246" i="11"/>
  <c r="DC246" i="11"/>
  <c r="B247" i="11"/>
  <c r="A247" i="11" s="1"/>
  <c r="C248" i="11"/>
  <c r="M246" i="11" l="1"/>
  <c r="M213" i="12"/>
  <c r="V213" i="12"/>
  <c r="W213" i="12" s="1"/>
  <c r="L246" i="11"/>
  <c r="EH247" i="11"/>
  <c r="EI247" i="11"/>
  <c r="EA247" i="11"/>
  <c r="DZ247" i="11"/>
  <c r="EC247" i="11"/>
  <c r="A214" i="12"/>
  <c r="N214" i="12" s="1"/>
  <c r="P247" i="11"/>
  <c r="DF245" i="11"/>
  <c r="DJ245" i="11"/>
  <c r="BS245" i="11"/>
  <c r="BF245" i="11"/>
  <c r="BJ245" i="11"/>
  <c r="DL243" i="11"/>
  <c r="AY243" i="11"/>
  <c r="BJ244" i="11"/>
  <c r="BL244" i="11" s="1"/>
  <c r="AW244" i="11"/>
  <c r="AY244" i="11" s="1"/>
  <c r="B215" i="12"/>
  <c r="AW245" i="11"/>
  <c r="AS244" i="11"/>
  <c r="BY244" i="11"/>
  <c r="CY244" i="11"/>
  <c r="CX245" i="11"/>
  <c r="CW245" i="11"/>
  <c r="AB247" i="11"/>
  <c r="CS246" i="11"/>
  <c r="CQ246" i="11"/>
  <c r="CF246" i="11"/>
  <c r="CD246" i="11"/>
  <c r="CK245" i="11"/>
  <c r="CL245" i="11" s="1"/>
  <c r="CF245" i="11"/>
  <c r="AQ246" i="11"/>
  <c r="AR246" i="11" s="1"/>
  <c r="AT246" i="11" s="1"/>
  <c r="DL244" i="11"/>
  <c r="DE246" i="11"/>
  <c r="DG246" i="11" s="1"/>
  <c r="BR246" i="11"/>
  <c r="BT246" i="11" s="1"/>
  <c r="CE247" i="11"/>
  <c r="CG247" i="11" s="1"/>
  <c r="DU247" i="11"/>
  <c r="DV247" i="11"/>
  <c r="DH247" i="11"/>
  <c r="DI247" i="11"/>
  <c r="CU247" i="11"/>
  <c r="CR247" i="11"/>
  <c r="CT247" i="11" s="1"/>
  <c r="CV247" i="11"/>
  <c r="CH247" i="11"/>
  <c r="CI247" i="11"/>
  <c r="BU247" i="11"/>
  <c r="BV247" i="11"/>
  <c r="BH247" i="11"/>
  <c r="BI247" i="11"/>
  <c r="AU247" i="11"/>
  <c r="AV247" i="11"/>
  <c r="AI247" i="11"/>
  <c r="AH247" i="11"/>
  <c r="BE246" i="11"/>
  <c r="BG246" i="11" s="1"/>
  <c r="DC247" i="11"/>
  <c r="BN247" i="11"/>
  <c r="CC247" i="11"/>
  <c r="BP247" i="11"/>
  <c r="BO247" i="11"/>
  <c r="BC247" i="11"/>
  <c r="DB247" i="11"/>
  <c r="DD247" i="11" s="1"/>
  <c r="BZ247" i="11"/>
  <c r="CZ247" i="11"/>
  <c r="CM247" i="11"/>
  <c r="DA247" i="11"/>
  <c r="CO247" i="11"/>
  <c r="AP247" i="11"/>
  <c r="W248" i="11"/>
  <c r="AO247" i="11"/>
  <c r="CB247" i="11"/>
  <c r="BB247" i="11"/>
  <c r="BD247" i="11" s="1"/>
  <c r="AZ247" i="11"/>
  <c r="AM247" i="11"/>
  <c r="CA247" i="11"/>
  <c r="CP247" i="11"/>
  <c r="AN247" i="11"/>
  <c r="X247" i="11"/>
  <c r="Y247" i="11"/>
  <c r="BA247" i="11"/>
  <c r="CN247" i="11"/>
  <c r="BM247" i="11"/>
  <c r="DM247" i="11"/>
  <c r="DN247" i="11"/>
  <c r="DP247" i="11"/>
  <c r="AA247" i="11"/>
  <c r="B248" i="11"/>
  <c r="A248" i="11" s="1"/>
  <c r="C249" i="11"/>
  <c r="L247" i="11" l="1"/>
  <c r="M247" i="11"/>
  <c r="EC248" i="11"/>
  <c r="EH248" i="11"/>
  <c r="EA248" i="11"/>
  <c r="DZ248" i="11"/>
  <c r="EI248" i="11"/>
  <c r="M214" i="12"/>
  <c r="V214" i="12"/>
  <c r="W214" i="12" s="1"/>
  <c r="A215" i="12"/>
  <c r="N215" i="12" s="1"/>
  <c r="P248" i="11"/>
  <c r="DF246" i="11"/>
  <c r="BF246" i="11"/>
  <c r="BK246" i="11"/>
  <c r="BK245" i="11"/>
  <c r="BL245" i="11" s="1"/>
  <c r="BW246" i="11"/>
  <c r="AX245" i="11"/>
  <c r="AY245" i="11" s="1"/>
  <c r="DK245" i="11"/>
  <c r="DL245" i="11" s="1"/>
  <c r="AX246" i="11"/>
  <c r="B216" i="12"/>
  <c r="BX245" i="11"/>
  <c r="BW245" i="11"/>
  <c r="AS245" i="11"/>
  <c r="DK246" i="11"/>
  <c r="CX246" i="11"/>
  <c r="CY245" i="11"/>
  <c r="CW246" i="11"/>
  <c r="CQ247" i="11"/>
  <c r="BQ247" i="11"/>
  <c r="BR247" i="11" s="1"/>
  <c r="BT247" i="11" s="1"/>
  <c r="AB248" i="11"/>
  <c r="CF247" i="11"/>
  <c r="CD247" i="11"/>
  <c r="BS246" i="11"/>
  <c r="CK246" i="11"/>
  <c r="CJ246" i="11"/>
  <c r="AQ247" i="11"/>
  <c r="AR247" i="11" s="1"/>
  <c r="AT247" i="11" s="1"/>
  <c r="DE247" i="11"/>
  <c r="DG247" i="11" s="1"/>
  <c r="BN248" i="11"/>
  <c r="CE248" i="11"/>
  <c r="CG248" i="11" s="1"/>
  <c r="DV248" i="11"/>
  <c r="DU248" i="11"/>
  <c r="DI248" i="11"/>
  <c r="DH248" i="11"/>
  <c r="CV248" i="11"/>
  <c r="CR248" i="11"/>
  <c r="CT248" i="11" s="1"/>
  <c r="CU248" i="11"/>
  <c r="CH248" i="11"/>
  <c r="CI248" i="11"/>
  <c r="BU248" i="11"/>
  <c r="BV248" i="11"/>
  <c r="BH248" i="11"/>
  <c r="BI248" i="11"/>
  <c r="AU248" i="11"/>
  <c r="AV248" i="11"/>
  <c r="AH248" i="11"/>
  <c r="AI248" i="11"/>
  <c r="BE247" i="11"/>
  <c r="BG247" i="11" s="1"/>
  <c r="CS247" i="11"/>
  <c r="CA248" i="11"/>
  <c r="DC248" i="11"/>
  <c r="CP248" i="11"/>
  <c r="BM248" i="11"/>
  <c r="CM248" i="11"/>
  <c r="BP248" i="11"/>
  <c r="CN248" i="11"/>
  <c r="BA248" i="11"/>
  <c r="AM248" i="11"/>
  <c r="Y248" i="11"/>
  <c r="BO248" i="11"/>
  <c r="BQ248" i="11" s="1"/>
  <c r="BR248" i="11" s="1"/>
  <c r="AA248" i="11"/>
  <c r="BC248" i="11"/>
  <c r="BB248" i="11"/>
  <c r="BD248" i="11" s="1"/>
  <c r="AP248" i="11"/>
  <c r="CB248" i="11"/>
  <c r="AO248" i="11"/>
  <c r="DP248" i="11"/>
  <c r="CO248" i="11"/>
  <c r="AZ248" i="11"/>
  <c r="DA248" i="11"/>
  <c r="W249" i="11"/>
  <c r="DN248" i="11"/>
  <c r="X248" i="11"/>
  <c r="CZ248" i="11"/>
  <c r="CC248" i="11"/>
  <c r="DM248" i="11"/>
  <c r="AN248" i="11"/>
  <c r="DB248" i="11"/>
  <c r="DD248" i="11" s="1"/>
  <c r="BZ248" i="11"/>
  <c r="B249" i="11"/>
  <c r="A249" i="11" s="1"/>
  <c r="C250" i="11"/>
  <c r="BT248" i="11" l="1"/>
  <c r="BW248" i="11" s="1"/>
  <c r="M248" i="11"/>
  <c r="L248" i="11"/>
  <c r="EA249" i="11"/>
  <c r="EC249" i="11"/>
  <c r="DZ249" i="11"/>
  <c r="EI249" i="11"/>
  <c r="EH249" i="11"/>
  <c r="M215" i="12"/>
  <c r="V215" i="12"/>
  <c r="W215" i="12" s="1"/>
  <c r="A216" i="12"/>
  <c r="M216" i="12" s="1"/>
  <c r="P249" i="11"/>
  <c r="DF247" i="11"/>
  <c r="BF247" i="11"/>
  <c r="BJ247" i="11"/>
  <c r="BX246" i="11"/>
  <c r="BY246" i="11" s="1"/>
  <c r="AW246" i="11"/>
  <c r="AY246" i="11" s="1"/>
  <c r="BY245" i="11"/>
  <c r="BJ246" i="11"/>
  <c r="BL246" i="11" s="1"/>
  <c r="DJ246" i="11"/>
  <c r="DL246" i="11" s="1"/>
  <c r="B217" i="12"/>
  <c r="AS247" i="11"/>
  <c r="CY246" i="11"/>
  <c r="AS246" i="11"/>
  <c r="CK247" i="11"/>
  <c r="CJ247" i="11"/>
  <c r="CL246" i="11"/>
  <c r="BX247" i="11"/>
  <c r="BS247" i="11"/>
  <c r="BW247" i="11"/>
  <c r="AB249" i="11"/>
  <c r="BS248" i="11"/>
  <c r="CF248" i="11"/>
  <c r="CD248" i="11"/>
  <c r="CS248" i="11"/>
  <c r="CQ248" i="11"/>
  <c r="AQ248" i="11"/>
  <c r="AR248" i="11" s="1"/>
  <c r="AT248" i="11" s="1"/>
  <c r="AW247" i="11"/>
  <c r="BE248" i="11"/>
  <c r="BG248" i="11" s="1"/>
  <c r="CJ248" i="11"/>
  <c r="CK248" i="11"/>
  <c r="DE248" i="11"/>
  <c r="DG248" i="11" s="1"/>
  <c r="CE249" i="11"/>
  <c r="CG249" i="11" s="1"/>
  <c r="DU249" i="11"/>
  <c r="DV249" i="11"/>
  <c r="DH249" i="11"/>
  <c r="DI249" i="11"/>
  <c r="CR249" i="11"/>
  <c r="CT249" i="11" s="1"/>
  <c r="CU249" i="11"/>
  <c r="CV249" i="11"/>
  <c r="CI249" i="11"/>
  <c r="CH249" i="11"/>
  <c r="BU249" i="11"/>
  <c r="BV249" i="11"/>
  <c r="BI249" i="11"/>
  <c r="BH249" i="11"/>
  <c r="AU249" i="11"/>
  <c r="AV249" i="11"/>
  <c r="AH249" i="11"/>
  <c r="AI249" i="11"/>
  <c r="CX247" i="11"/>
  <c r="CW247" i="11"/>
  <c r="CZ249" i="11"/>
  <c r="BN249" i="11"/>
  <c r="BP249" i="11"/>
  <c r="BO249" i="11"/>
  <c r="BQ249" i="11" s="1"/>
  <c r="AP249" i="11"/>
  <c r="AN249" i="11"/>
  <c r="DN249" i="11"/>
  <c r="DP249" i="11"/>
  <c r="DM249" i="11"/>
  <c r="CM249" i="11"/>
  <c r="DA249" i="11"/>
  <c r="DB249" i="11"/>
  <c r="DD249" i="11" s="1"/>
  <c r="DC249" i="11"/>
  <c r="BC249" i="11"/>
  <c r="AZ249" i="11"/>
  <c r="CA249" i="11"/>
  <c r="BB249" i="11"/>
  <c r="BD249" i="11" s="1"/>
  <c r="Y249" i="11"/>
  <c r="X249" i="11"/>
  <c r="CB249" i="11"/>
  <c r="CN249" i="11"/>
  <c r="AM249" i="11"/>
  <c r="BZ249" i="11"/>
  <c r="CC249" i="11"/>
  <c r="CP249" i="11"/>
  <c r="CO249" i="11"/>
  <c r="W250" i="11"/>
  <c r="AA249" i="11"/>
  <c r="BA249" i="11"/>
  <c r="BM249" i="11"/>
  <c r="AO249" i="11"/>
  <c r="B250" i="11"/>
  <c r="A250" i="11" s="1"/>
  <c r="C251" i="11"/>
  <c r="BX248" i="11" l="1"/>
  <c r="BY248" i="11" s="1"/>
  <c r="M249" i="11"/>
  <c r="L249" i="11"/>
  <c r="EC250" i="11"/>
  <c r="EA250" i="11"/>
  <c r="DZ250" i="11"/>
  <c r="EI250" i="11"/>
  <c r="EH250" i="11"/>
  <c r="V216" i="12"/>
  <c r="W216" i="12" s="1"/>
  <c r="N216" i="12"/>
  <c r="A217" i="12"/>
  <c r="M217" i="12" s="1"/>
  <c r="P250" i="11"/>
  <c r="BF248" i="11"/>
  <c r="DF248" i="11"/>
  <c r="CL247" i="11"/>
  <c r="DJ248" i="11"/>
  <c r="AX247" i="11"/>
  <c r="AY247" i="11" s="1"/>
  <c r="BK247" i="11"/>
  <c r="BL247" i="11" s="1"/>
  <c r="B218" i="12"/>
  <c r="DJ247" i="11"/>
  <c r="DK247" i="11"/>
  <c r="BK248" i="11"/>
  <c r="AS248" i="11"/>
  <c r="CW248" i="11"/>
  <c r="AB250" i="11"/>
  <c r="BY247" i="11"/>
  <c r="CK249" i="11"/>
  <c r="CD249" i="11"/>
  <c r="CX248" i="11"/>
  <c r="CQ249" i="11"/>
  <c r="AQ249" i="11"/>
  <c r="AR249" i="11" s="1"/>
  <c r="AT249" i="11" s="1"/>
  <c r="CY247" i="11"/>
  <c r="DE249" i="11"/>
  <c r="DG249" i="11" s="1"/>
  <c r="BE249" i="11"/>
  <c r="BG249" i="11" s="1"/>
  <c r="CE250" i="11"/>
  <c r="CG250" i="11" s="1"/>
  <c r="DU250" i="11"/>
  <c r="DV250" i="11"/>
  <c r="DH250" i="11"/>
  <c r="DI250" i="11"/>
  <c r="CV250" i="11"/>
  <c r="CR250" i="11"/>
  <c r="CT250" i="11" s="1"/>
  <c r="CU250" i="11"/>
  <c r="CH250" i="11"/>
  <c r="CI250" i="11"/>
  <c r="BV250" i="11"/>
  <c r="BU250" i="11"/>
  <c r="AU250" i="11"/>
  <c r="AV250" i="11"/>
  <c r="BH250" i="11"/>
  <c r="BI250" i="11"/>
  <c r="AH250" i="11"/>
  <c r="AI250" i="11"/>
  <c r="CX249" i="11"/>
  <c r="BR249" i="11"/>
  <c r="BT249" i="11" s="1"/>
  <c r="CL248" i="11"/>
  <c r="CA250" i="11"/>
  <c r="BM250" i="11"/>
  <c r="BP250" i="11"/>
  <c r="BN250" i="11"/>
  <c r="CN250" i="11"/>
  <c r="AO250" i="11"/>
  <c r="BO250" i="11"/>
  <c r="BA250" i="11"/>
  <c r="X250" i="11"/>
  <c r="AA250" i="11"/>
  <c r="CM250" i="11"/>
  <c r="DM250" i="11"/>
  <c r="BC250" i="11"/>
  <c r="CO250" i="11"/>
  <c r="CC250" i="11"/>
  <c r="DB250" i="11"/>
  <c r="DD250" i="11" s="1"/>
  <c r="CB250" i="11"/>
  <c r="DC250" i="11"/>
  <c r="BZ250" i="11"/>
  <c r="Y250" i="11"/>
  <c r="DP250" i="11"/>
  <c r="AP250" i="11"/>
  <c r="DN250" i="11"/>
  <c r="AZ250" i="11"/>
  <c r="W251" i="11"/>
  <c r="AN250" i="11"/>
  <c r="CP250" i="11"/>
  <c r="CZ250" i="11"/>
  <c r="BB250" i="11"/>
  <c r="BD250" i="11" s="1"/>
  <c r="AM250" i="11"/>
  <c r="DA250" i="11"/>
  <c r="B251" i="11"/>
  <c r="A251" i="11" s="1"/>
  <c r="C252" i="11"/>
  <c r="M250" i="11" l="1"/>
  <c r="L250" i="11"/>
  <c r="EH251" i="11"/>
  <c r="EA251" i="11"/>
  <c r="DZ251" i="11"/>
  <c r="EI251" i="11"/>
  <c r="EC251" i="11"/>
  <c r="V217" i="12"/>
  <c r="W217" i="12" s="1"/>
  <c r="N217" i="12"/>
  <c r="A218" i="12"/>
  <c r="N218" i="12" s="1"/>
  <c r="P251" i="11"/>
  <c r="BF249" i="11"/>
  <c r="BJ249" i="11"/>
  <c r="DF249" i="11"/>
  <c r="DK248" i="11"/>
  <c r="DL248" i="11" s="1"/>
  <c r="DL247" i="11"/>
  <c r="BJ248" i="11"/>
  <c r="BL248" i="11" s="1"/>
  <c r="AW248" i="11"/>
  <c r="AX248" i="11"/>
  <c r="B219" i="12"/>
  <c r="AS249" i="11"/>
  <c r="DK249" i="11"/>
  <c r="BS249" i="11"/>
  <c r="BW249" i="11"/>
  <c r="CY248" i="11"/>
  <c r="AB251" i="11"/>
  <c r="BQ250" i="11"/>
  <c r="BR250" i="11" s="1"/>
  <c r="BT250" i="11" s="1"/>
  <c r="CS250" i="11"/>
  <c r="CQ250" i="11"/>
  <c r="CW249" i="11"/>
  <c r="CY249" i="11" s="1"/>
  <c r="CS249" i="11"/>
  <c r="CF250" i="11"/>
  <c r="CD250" i="11"/>
  <c r="CJ249" i="11"/>
  <c r="CL249" i="11" s="1"/>
  <c r="CF249" i="11"/>
  <c r="AQ250" i="11"/>
  <c r="AR250" i="11" s="1"/>
  <c r="AT250" i="11" s="1"/>
  <c r="BE250" i="11"/>
  <c r="BG250" i="11" s="1"/>
  <c r="CE251" i="11"/>
  <c r="CG251" i="11" s="1"/>
  <c r="DU251" i="11"/>
  <c r="DV251" i="11"/>
  <c r="DH251" i="11"/>
  <c r="DI251" i="11"/>
  <c r="CR251" i="11"/>
  <c r="CT251" i="11" s="1"/>
  <c r="CU251" i="11"/>
  <c r="CV251" i="11"/>
  <c r="CH251" i="11"/>
  <c r="CI251" i="11"/>
  <c r="BU251" i="11"/>
  <c r="BV251" i="11"/>
  <c r="BH251" i="11"/>
  <c r="AU251" i="11"/>
  <c r="AV251" i="11"/>
  <c r="BI251" i="11"/>
  <c r="AH251" i="11"/>
  <c r="AI251" i="11"/>
  <c r="DE250" i="11"/>
  <c r="DG250" i="11" s="1"/>
  <c r="CP251" i="11"/>
  <c r="BP251" i="11"/>
  <c r="BN251" i="11"/>
  <c r="CO251" i="11"/>
  <c r="BO251" i="11"/>
  <c r="BQ251" i="11" s="1"/>
  <c r="AO251" i="11"/>
  <c r="DA251" i="11"/>
  <c r="AZ251" i="11"/>
  <c r="DC251" i="11"/>
  <c r="AM251" i="11"/>
  <c r="DN251" i="11"/>
  <c r="BA251" i="11"/>
  <c r="AP251" i="11"/>
  <c r="X251" i="11"/>
  <c r="BB251" i="11"/>
  <c r="BD251" i="11" s="1"/>
  <c r="BZ251" i="11"/>
  <c r="DM251" i="11"/>
  <c r="CA251" i="11"/>
  <c r="CZ251" i="11"/>
  <c r="DP251" i="11"/>
  <c r="CM251" i="11"/>
  <c r="CB251" i="11"/>
  <c r="AA251" i="11"/>
  <c r="BM251" i="11"/>
  <c r="DB251" i="11"/>
  <c r="DD251" i="11" s="1"/>
  <c r="W252" i="11"/>
  <c r="CC251" i="11"/>
  <c r="Y251" i="11"/>
  <c r="BC251" i="11"/>
  <c r="AN251" i="11"/>
  <c r="CN251" i="11"/>
  <c r="B252" i="11"/>
  <c r="A252" i="11" s="1"/>
  <c r="C253" i="11"/>
  <c r="M251" i="11" l="1"/>
  <c r="L251" i="11"/>
  <c r="M218" i="12"/>
  <c r="EC252" i="11"/>
  <c r="EA252" i="11"/>
  <c r="DZ252" i="11"/>
  <c r="EI252" i="11"/>
  <c r="EH252" i="11"/>
  <c r="V218" i="12"/>
  <c r="W218" i="12" s="1"/>
  <c r="A219" i="12"/>
  <c r="M219" i="12" s="1"/>
  <c r="P252" i="11"/>
  <c r="BF250" i="11"/>
  <c r="DF250" i="11"/>
  <c r="AY248" i="11"/>
  <c r="BX249" i="11"/>
  <c r="BY249" i="11" s="1"/>
  <c r="BK249" i="11"/>
  <c r="BL249" i="11" s="1"/>
  <c r="AW249" i="11"/>
  <c r="AX249" i="11"/>
  <c r="DJ249" i="11"/>
  <c r="DL249" i="11" s="1"/>
  <c r="DJ250" i="11"/>
  <c r="AW250" i="11"/>
  <c r="B220" i="12"/>
  <c r="BJ250" i="11"/>
  <c r="CW250" i="11"/>
  <c r="BS250" i="11"/>
  <c r="CX250" i="11"/>
  <c r="AB252" i="11"/>
  <c r="CF251" i="11"/>
  <c r="CD251" i="11"/>
  <c r="CS251" i="11"/>
  <c r="CQ251" i="11"/>
  <c r="CJ250" i="11"/>
  <c r="CK250" i="11"/>
  <c r="AQ251" i="11"/>
  <c r="AR251" i="11" s="1"/>
  <c r="AT251" i="11" s="1"/>
  <c r="DE251" i="11"/>
  <c r="DG251" i="11" s="1"/>
  <c r="BE251" i="11"/>
  <c r="BG251" i="11" s="1"/>
  <c r="DV252" i="11"/>
  <c r="DU252" i="11"/>
  <c r="CE252" i="11"/>
  <c r="CG252" i="11" s="1"/>
  <c r="DH252" i="11"/>
  <c r="DI252" i="11"/>
  <c r="CR252" i="11"/>
  <c r="CT252" i="11" s="1"/>
  <c r="CU252" i="11"/>
  <c r="CV252" i="11"/>
  <c r="CH252" i="11"/>
  <c r="CI252" i="11"/>
  <c r="BU252" i="11"/>
  <c r="BV252" i="11"/>
  <c r="BH252" i="11"/>
  <c r="BI252" i="11"/>
  <c r="AU252" i="11"/>
  <c r="AV252" i="11"/>
  <c r="AH252" i="11"/>
  <c r="AI252" i="11"/>
  <c r="BR251" i="11"/>
  <c r="BT251" i="11" s="1"/>
  <c r="BN252" i="11"/>
  <c r="Y252" i="11"/>
  <c r="BC252" i="11"/>
  <c r="BB252" i="11"/>
  <c r="BD252" i="11" s="1"/>
  <c r="BP252" i="11"/>
  <c r="BO252" i="11"/>
  <c r="BQ252" i="11" s="1"/>
  <c r="CZ252" i="11"/>
  <c r="DP252" i="11"/>
  <c r="CN252" i="11"/>
  <c r="AZ252" i="11"/>
  <c r="BM252" i="11"/>
  <c r="DC252" i="11"/>
  <c r="AN252" i="11"/>
  <c r="AP252" i="11"/>
  <c r="BA252" i="11"/>
  <c r="AO252" i="11"/>
  <c r="CC252" i="11"/>
  <c r="CA252" i="11"/>
  <c r="DM252" i="11"/>
  <c r="DA252" i="11"/>
  <c r="DB252" i="11"/>
  <c r="DD252" i="11" s="1"/>
  <c r="CM252" i="11"/>
  <c r="W253" i="11"/>
  <c r="AA252" i="11"/>
  <c r="AM252" i="11"/>
  <c r="CP252" i="11"/>
  <c r="CB252" i="11"/>
  <c r="X252" i="11"/>
  <c r="BZ252" i="11"/>
  <c r="DN252" i="11"/>
  <c r="CO252" i="11"/>
  <c r="B253" i="11"/>
  <c r="A253" i="11" s="1"/>
  <c r="C254" i="11"/>
  <c r="N219" i="12" l="1"/>
  <c r="V219" i="12"/>
  <c r="W219" i="12" s="1"/>
  <c r="M252" i="11"/>
  <c r="L252" i="11"/>
  <c r="EA253" i="11"/>
  <c r="DZ253" i="11"/>
  <c r="EI253" i="11"/>
  <c r="EH253" i="11"/>
  <c r="EC253" i="11"/>
  <c r="A220" i="12"/>
  <c r="V220" i="12" s="1"/>
  <c r="W220" i="12" s="1"/>
  <c r="P253" i="11"/>
  <c r="BF251" i="11"/>
  <c r="BJ251" i="11"/>
  <c r="DF251" i="11"/>
  <c r="DJ251" i="11"/>
  <c r="BS251" i="11"/>
  <c r="BX251" i="11"/>
  <c r="AX250" i="11"/>
  <c r="AY250" i="11" s="1"/>
  <c r="AY249" i="11"/>
  <c r="DK250" i="11"/>
  <c r="DL250" i="11" s="1"/>
  <c r="BW250" i="11"/>
  <c r="AS250" i="11"/>
  <c r="BX250" i="11"/>
  <c r="B221" i="12"/>
  <c r="BK250" i="11"/>
  <c r="BL250" i="11" s="1"/>
  <c r="AW251" i="11"/>
  <c r="CY250" i="11"/>
  <c r="CJ251" i="11"/>
  <c r="CX251" i="11"/>
  <c r="CW251" i="11"/>
  <c r="CK251" i="11"/>
  <c r="CL250" i="11"/>
  <c r="AB253" i="11"/>
  <c r="BR252" i="11"/>
  <c r="BT252" i="11" s="1"/>
  <c r="CF252" i="11"/>
  <c r="CD252" i="11"/>
  <c r="CQ252" i="11"/>
  <c r="AQ252" i="11"/>
  <c r="AR252" i="11" s="1"/>
  <c r="AT252" i="11" s="1"/>
  <c r="BE252" i="11"/>
  <c r="BG252" i="11" s="1"/>
  <c r="DE252" i="11"/>
  <c r="DG252" i="11" s="1"/>
  <c r="BA253" i="11"/>
  <c r="CE253" i="11"/>
  <c r="CG253" i="11" s="1"/>
  <c r="DU253" i="11"/>
  <c r="DV253" i="11"/>
  <c r="DH253" i="11"/>
  <c r="DI253" i="11"/>
  <c r="CU253" i="11"/>
  <c r="CV253" i="11"/>
  <c r="CR253" i="11"/>
  <c r="CT253" i="11" s="1"/>
  <c r="CH253" i="11"/>
  <c r="BU253" i="11"/>
  <c r="BV253" i="11"/>
  <c r="CI253" i="11"/>
  <c r="BI253" i="11"/>
  <c r="BH253" i="11"/>
  <c r="AV253" i="11"/>
  <c r="AU253" i="11"/>
  <c r="AI253" i="11"/>
  <c r="AH253" i="11"/>
  <c r="CW252" i="11"/>
  <c r="AA253" i="11"/>
  <c r="AM253" i="11"/>
  <c r="Y253" i="11"/>
  <c r="BP253" i="11"/>
  <c r="BN253" i="11"/>
  <c r="BO253" i="11"/>
  <c r="BQ253" i="11" s="1"/>
  <c r="X253" i="11"/>
  <c r="CO253" i="11"/>
  <c r="CB253" i="11"/>
  <c r="AZ253" i="11"/>
  <c r="CP253" i="11"/>
  <c r="BB253" i="11"/>
  <c r="BD253" i="11" s="1"/>
  <c r="DN253" i="11"/>
  <c r="DM253" i="11"/>
  <c r="CM253" i="11"/>
  <c r="CZ253" i="11"/>
  <c r="BZ253" i="11"/>
  <c r="AO253" i="11"/>
  <c r="DA253" i="11"/>
  <c r="AP253" i="11"/>
  <c r="AN253" i="11"/>
  <c r="CA253" i="11"/>
  <c r="CC253" i="11"/>
  <c r="BC253" i="11"/>
  <c r="DC253" i="11"/>
  <c r="BM253" i="11"/>
  <c r="CN253" i="11"/>
  <c r="W254" i="11"/>
  <c r="DP253" i="11"/>
  <c r="DB253" i="11"/>
  <c r="DD253" i="11" s="1"/>
  <c r="B254" i="11"/>
  <c r="A254" i="11" s="1"/>
  <c r="C255" i="11"/>
  <c r="N220" i="12" l="1"/>
  <c r="M220" i="12"/>
  <c r="L253" i="11"/>
  <c r="M253" i="11"/>
  <c r="DZ254" i="11"/>
  <c r="EI254" i="11"/>
  <c r="EH254" i="11"/>
  <c r="EC254" i="11"/>
  <c r="EA254" i="11"/>
  <c r="A221" i="12"/>
  <c r="N221" i="12" s="1"/>
  <c r="P254" i="11"/>
  <c r="BW251" i="11"/>
  <c r="BY251" i="11" s="1"/>
  <c r="BF252" i="11"/>
  <c r="BS252" i="11"/>
  <c r="BX252" i="11"/>
  <c r="DF252" i="11"/>
  <c r="DK252" i="11"/>
  <c r="AX251" i="11"/>
  <c r="AY251" i="11" s="1"/>
  <c r="BY250" i="11"/>
  <c r="DK251" i="11"/>
  <c r="DL251" i="11" s="1"/>
  <c r="BJ252" i="11"/>
  <c r="B222" i="12"/>
  <c r="BK251" i="11"/>
  <c r="BL251" i="11" s="1"/>
  <c r="AS252" i="11"/>
  <c r="AS251" i="11"/>
  <c r="CY251" i="11"/>
  <c r="CQ253" i="11"/>
  <c r="CL251" i="11"/>
  <c r="AB254" i="11"/>
  <c r="CK252" i="11"/>
  <c r="CJ252" i="11"/>
  <c r="CF253" i="11"/>
  <c r="CD253" i="11"/>
  <c r="CX252" i="11"/>
  <c r="CY252" i="11" s="1"/>
  <c r="CS252" i="11"/>
  <c r="AQ253" i="11"/>
  <c r="AR253" i="11" s="1"/>
  <c r="AT253" i="11" s="1"/>
  <c r="CE254" i="11"/>
  <c r="CG254" i="11" s="1"/>
  <c r="DU254" i="11"/>
  <c r="DV254" i="11"/>
  <c r="DH254" i="11"/>
  <c r="DI254" i="11"/>
  <c r="CU254" i="11"/>
  <c r="CV254" i="11"/>
  <c r="CR254" i="11"/>
  <c r="CT254" i="11" s="1"/>
  <c r="CH254" i="11"/>
  <c r="CI254" i="11"/>
  <c r="BU254" i="11"/>
  <c r="BV254" i="11"/>
  <c r="BH254" i="11"/>
  <c r="BI254" i="11"/>
  <c r="AU254" i="11"/>
  <c r="AV254" i="11"/>
  <c r="AH254" i="11"/>
  <c r="AI254" i="11"/>
  <c r="BR253" i="11"/>
  <c r="BT253" i="11" s="1"/>
  <c r="CS253" i="11"/>
  <c r="BE253" i="11"/>
  <c r="BG253" i="11" s="1"/>
  <c r="DE253" i="11"/>
  <c r="DG253" i="11" s="1"/>
  <c r="BC254" i="11"/>
  <c r="BN254" i="11"/>
  <c r="BP254" i="11"/>
  <c r="BO254" i="11"/>
  <c r="DM254" i="11"/>
  <c r="CN254" i="11"/>
  <c r="DB254" i="11"/>
  <c r="DD254" i="11" s="1"/>
  <c r="CA254" i="11"/>
  <c r="BM254" i="11"/>
  <c r="DP254" i="11"/>
  <c r="CZ254" i="11"/>
  <c r="X254" i="11"/>
  <c r="BA254" i="11"/>
  <c r="BB254" i="11"/>
  <c r="BD254" i="11" s="1"/>
  <c r="DC254" i="11"/>
  <c r="DA254" i="11"/>
  <c r="CP254" i="11"/>
  <c r="CC254" i="11"/>
  <c r="AN254" i="11"/>
  <c r="AP254" i="11"/>
  <c r="CB254" i="11"/>
  <c r="AO254" i="11"/>
  <c r="DN254" i="11"/>
  <c r="AM254" i="11"/>
  <c r="W255" i="11"/>
  <c r="BZ254" i="11"/>
  <c r="CM254" i="11"/>
  <c r="CO254" i="11"/>
  <c r="AZ254" i="11"/>
  <c r="AA254" i="11"/>
  <c r="Y254" i="11"/>
  <c r="B255" i="11"/>
  <c r="A255" i="11" s="1"/>
  <c r="C256" i="11"/>
  <c r="M254" i="11" l="1"/>
  <c r="L254" i="11"/>
  <c r="EH255" i="11"/>
  <c r="EI255" i="11"/>
  <c r="EC255" i="11"/>
  <c r="EA255" i="11"/>
  <c r="DZ255" i="11"/>
  <c r="M221" i="12"/>
  <c r="V221" i="12"/>
  <c r="W221" i="12" s="1"/>
  <c r="A222" i="12"/>
  <c r="M222" i="12" s="1"/>
  <c r="P255" i="11"/>
  <c r="BS253" i="11"/>
  <c r="BW253" i="11"/>
  <c r="DF253" i="11"/>
  <c r="DK253" i="11"/>
  <c r="BF253" i="11"/>
  <c r="BK253" i="11"/>
  <c r="AX252" i="11"/>
  <c r="AW252" i="11"/>
  <c r="DJ252" i="11"/>
  <c r="DL252" i="11" s="1"/>
  <c r="BW252" i="11"/>
  <c r="BY252" i="11" s="1"/>
  <c r="BK252" i="11"/>
  <c r="BL252" i="11" s="1"/>
  <c r="B223" i="12"/>
  <c r="AW253" i="11"/>
  <c r="CL252" i="11"/>
  <c r="CK253" i="11"/>
  <c r="CJ253" i="11"/>
  <c r="AB255" i="11"/>
  <c r="BQ254" i="11"/>
  <c r="BR254" i="11" s="1"/>
  <c r="BT254" i="11" s="1"/>
  <c r="CF254" i="11"/>
  <c r="CD254" i="11"/>
  <c r="CS254" i="11"/>
  <c r="CQ254" i="11"/>
  <c r="AQ254" i="11"/>
  <c r="AR254" i="11" s="1"/>
  <c r="AT254" i="11" s="1"/>
  <c r="DE254" i="11"/>
  <c r="DG254" i="11" s="1"/>
  <c r="BE254" i="11"/>
  <c r="BG254" i="11" s="1"/>
  <c r="CE255" i="11"/>
  <c r="CG255" i="11" s="1"/>
  <c r="DV255" i="11"/>
  <c r="DU255" i="11"/>
  <c r="DH255" i="11"/>
  <c r="DI255" i="11"/>
  <c r="CU255" i="11"/>
  <c r="CV255" i="11"/>
  <c r="CR255" i="11"/>
  <c r="CT255" i="11" s="1"/>
  <c r="CH255" i="11"/>
  <c r="CI255" i="11"/>
  <c r="BU255" i="11"/>
  <c r="BV255" i="11"/>
  <c r="BH255" i="11"/>
  <c r="BI255" i="11"/>
  <c r="AU255" i="11"/>
  <c r="AV255" i="11"/>
  <c r="AH255" i="11"/>
  <c r="AI255" i="11"/>
  <c r="CW253" i="11"/>
  <c r="CX253" i="11"/>
  <c r="CM255" i="11"/>
  <c r="BN255" i="11"/>
  <c r="Y255" i="11"/>
  <c r="BP255" i="11"/>
  <c r="DB255" i="11"/>
  <c r="DD255" i="11" s="1"/>
  <c r="BO255" i="11"/>
  <c r="X255" i="11"/>
  <c r="DA255" i="11"/>
  <c r="AP255" i="11"/>
  <c r="BM255" i="11"/>
  <c r="BZ255" i="11"/>
  <c r="CN255" i="11"/>
  <c r="CZ255" i="11"/>
  <c r="DP255" i="11"/>
  <c r="DC255" i="11"/>
  <c r="AA255" i="11"/>
  <c r="AZ255" i="11"/>
  <c r="BC255" i="11"/>
  <c r="CA255" i="11"/>
  <c r="BB255" i="11"/>
  <c r="BD255" i="11" s="1"/>
  <c r="DN255" i="11"/>
  <c r="CC255" i="11"/>
  <c r="AN255" i="11"/>
  <c r="AO255" i="11"/>
  <c r="CP255" i="11"/>
  <c r="BA255" i="11"/>
  <c r="W256" i="11"/>
  <c r="CO255" i="11"/>
  <c r="AM255" i="11"/>
  <c r="CB255" i="11"/>
  <c r="DM255" i="11"/>
  <c r="B256" i="11"/>
  <c r="A256" i="11" s="1"/>
  <c r="C257" i="11"/>
  <c r="M255" i="11" l="1"/>
  <c r="L255" i="11"/>
  <c r="EC256" i="11"/>
  <c r="EI256" i="11"/>
  <c r="EH256" i="11"/>
  <c r="EA256" i="11"/>
  <c r="DZ256" i="11"/>
  <c r="V222" i="12"/>
  <c r="W222" i="12" s="1"/>
  <c r="N222" i="12"/>
  <c r="A223" i="12"/>
  <c r="V223" i="12" s="1"/>
  <c r="W223" i="12" s="1"/>
  <c r="P256" i="11"/>
  <c r="BF254" i="11"/>
  <c r="DF254" i="11"/>
  <c r="AY252" i="11"/>
  <c r="BJ253" i="11"/>
  <c r="BL253" i="11" s="1"/>
  <c r="AX253" i="11"/>
  <c r="AY253" i="11" s="1"/>
  <c r="DJ253" i="11"/>
  <c r="DL253" i="11" s="1"/>
  <c r="B224" i="12"/>
  <c r="AS253" i="11"/>
  <c r="BX253" i="11"/>
  <c r="BY253" i="11" s="1"/>
  <c r="BK254" i="11"/>
  <c r="AS254" i="11"/>
  <c r="CL253" i="11"/>
  <c r="BS254" i="11"/>
  <c r="BW254" i="11"/>
  <c r="BX254" i="11"/>
  <c r="AB256" i="11"/>
  <c r="CX254" i="11"/>
  <c r="CW254" i="11"/>
  <c r="BQ255" i="11"/>
  <c r="BR255" i="11" s="1"/>
  <c r="BT255" i="11" s="1"/>
  <c r="CJ254" i="11"/>
  <c r="CK254" i="11"/>
  <c r="CF255" i="11"/>
  <c r="CD255" i="11"/>
  <c r="CS255" i="11"/>
  <c r="CQ255" i="11"/>
  <c r="AQ255" i="11"/>
  <c r="AR255" i="11" s="1"/>
  <c r="AT255" i="11" s="1"/>
  <c r="BJ254" i="11"/>
  <c r="DE255" i="11"/>
  <c r="DG255" i="11" s="1"/>
  <c r="BE255" i="11"/>
  <c r="BG255" i="11" s="1"/>
  <c r="CY253" i="11"/>
  <c r="BN256" i="11"/>
  <c r="CE256" i="11"/>
  <c r="CG256" i="11" s="1"/>
  <c r="DV256" i="11"/>
  <c r="DU256" i="11"/>
  <c r="DH256" i="11"/>
  <c r="DI256" i="11"/>
  <c r="CU256" i="11"/>
  <c r="CV256" i="11"/>
  <c r="CR256" i="11"/>
  <c r="CT256" i="11" s="1"/>
  <c r="CI256" i="11"/>
  <c r="CH256" i="11"/>
  <c r="BU256" i="11"/>
  <c r="BH256" i="11"/>
  <c r="BV256" i="11"/>
  <c r="BI256" i="11"/>
  <c r="AU256" i="11"/>
  <c r="AV256" i="11"/>
  <c r="AH256" i="11"/>
  <c r="AI256" i="11"/>
  <c r="DM256" i="11"/>
  <c r="BP256" i="11"/>
  <c r="BO256" i="11"/>
  <c r="DA256" i="11"/>
  <c r="DN256" i="11"/>
  <c r="CP256" i="11"/>
  <c r="AO256" i="11"/>
  <c r="CO256" i="11"/>
  <c r="DB256" i="11"/>
  <c r="DD256" i="11" s="1"/>
  <c r="AN256" i="11"/>
  <c r="DP256" i="11"/>
  <c r="BB256" i="11"/>
  <c r="BD256" i="11" s="1"/>
  <c r="CZ256" i="11"/>
  <c r="CA256" i="11"/>
  <c r="CN256" i="11"/>
  <c r="BC256" i="11"/>
  <c r="BZ256" i="11"/>
  <c r="AZ256" i="11"/>
  <c r="BM256" i="11"/>
  <c r="AP256" i="11"/>
  <c r="CB256" i="11"/>
  <c r="Y256" i="11"/>
  <c r="AA256" i="11"/>
  <c r="CM256" i="11"/>
  <c r="W257" i="11"/>
  <c r="AM256" i="11"/>
  <c r="BA256" i="11"/>
  <c r="CC256" i="11"/>
  <c r="DC256" i="11"/>
  <c r="X256" i="11"/>
  <c r="B257" i="11"/>
  <c r="A257" i="11" s="1"/>
  <c r="C258" i="11"/>
  <c r="N223" i="12" l="1"/>
  <c r="M223" i="12"/>
  <c r="M256" i="11"/>
  <c r="L256" i="11"/>
  <c r="EA257" i="11"/>
  <c r="EI257" i="11"/>
  <c r="EH257" i="11"/>
  <c r="EC257" i="11"/>
  <c r="DZ257" i="11"/>
  <c r="A224" i="12"/>
  <c r="V224" i="12" s="1"/>
  <c r="W224" i="12" s="1"/>
  <c r="P257" i="11"/>
  <c r="BF255" i="11"/>
  <c r="DF255" i="11"/>
  <c r="DJ255" i="11"/>
  <c r="AX254" i="11"/>
  <c r="B225" i="12"/>
  <c r="DJ254" i="11"/>
  <c r="DK254" i="11"/>
  <c r="AS255" i="11"/>
  <c r="AW254" i="11"/>
  <c r="CL254" i="11"/>
  <c r="BY254" i="11"/>
  <c r="CY254" i="11"/>
  <c r="CX255" i="11"/>
  <c r="CW255" i="11"/>
  <c r="CJ255" i="11"/>
  <c r="BS255" i="11"/>
  <c r="BX255" i="11"/>
  <c r="BW255" i="11"/>
  <c r="CK255" i="11"/>
  <c r="BQ256" i="11"/>
  <c r="BR256" i="11" s="1"/>
  <c r="BT256" i="11" s="1"/>
  <c r="AB257" i="11"/>
  <c r="CF256" i="11"/>
  <c r="CD256" i="11"/>
  <c r="CS256" i="11"/>
  <c r="CQ256" i="11"/>
  <c r="AQ256" i="11"/>
  <c r="AR256" i="11" s="1"/>
  <c r="AT256" i="11" s="1"/>
  <c r="BL254" i="11"/>
  <c r="BE256" i="11"/>
  <c r="BG256" i="11" s="1"/>
  <c r="DE256" i="11"/>
  <c r="DG256" i="11" s="1"/>
  <c r="BN257" i="11"/>
  <c r="CE257" i="11"/>
  <c r="CG257" i="11" s="1"/>
  <c r="DU257" i="11"/>
  <c r="DV257" i="11"/>
  <c r="DI257" i="11"/>
  <c r="DH257" i="11"/>
  <c r="CU257" i="11"/>
  <c r="CV257" i="11"/>
  <c r="CR257" i="11"/>
  <c r="CT257" i="11" s="1"/>
  <c r="CH257" i="11"/>
  <c r="CI257" i="11"/>
  <c r="BV257" i="11"/>
  <c r="BU257" i="11"/>
  <c r="BI257" i="11"/>
  <c r="BH257" i="11"/>
  <c r="AU257" i="11"/>
  <c r="AV257" i="11"/>
  <c r="AH257" i="11"/>
  <c r="AI257" i="11"/>
  <c r="CC257" i="11"/>
  <c r="BA257" i="11"/>
  <c r="BP257" i="11"/>
  <c r="DB257" i="11"/>
  <c r="DD257" i="11" s="1"/>
  <c r="BO257" i="11"/>
  <c r="BQ257" i="11" s="1"/>
  <c r="AO257" i="11"/>
  <c r="BM257" i="11"/>
  <c r="DC257" i="11"/>
  <c r="AM257" i="11"/>
  <c r="AA257" i="11"/>
  <c r="CM257" i="11"/>
  <c r="CO257" i="11"/>
  <c r="Y257" i="11"/>
  <c r="X257" i="11"/>
  <c r="AP257" i="11"/>
  <c r="DM257" i="11"/>
  <c r="CZ257" i="11"/>
  <c r="AZ257" i="11"/>
  <c r="BB257" i="11"/>
  <c r="BD257" i="11" s="1"/>
  <c r="W258" i="11"/>
  <c r="DN257" i="11"/>
  <c r="AN257" i="11"/>
  <c r="BZ257" i="11"/>
  <c r="DP257" i="11"/>
  <c r="BC257" i="11"/>
  <c r="CN257" i="11"/>
  <c r="CP257" i="11"/>
  <c r="CB257" i="11"/>
  <c r="CA257" i="11"/>
  <c r="DA257" i="11"/>
  <c r="B258" i="11"/>
  <c r="A258" i="11" s="1"/>
  <c r="C259" i="11"/>
  <c r="M257" i="11" l="1"/>
  <c r="L257" i="11"/>
  <c r="N224" i="12"/>
  <c r="M224" i="12"/>
  <c r="EH258" i="11"/>
  <c r="EC258" i="11"/>
  <c r="EA258" i="11"/>
  <c r="DZ258" i="11"/>
  <c r="EI258" i="11"/>
  <c r="A225" i="12"/>
  <c r="V225" i="12" s="1"/>
  <c r="W225" i="12" s="1"/>
  <c r="P258" i="11"/>
  <c r="DK255" i="11"/>
  <c r="DL255" i="11" s="1"/>
  <c r="BF256" i="11"/>
  <c r="BK256" i="11"/>
  <c r="DF256" i="11"/>
  <c r="DJ256" i="11"/>
  <c r="AY254" i="11"/>
  <c r="BK255" i="11"/>
  <c r="DL254" i="11"/>
  <c r="AX255" i="11"/>
  <c r="AW255" i="11"/>
  <c r="BJ255" i="11"/>
  <c r="B226" i="12"/>
  <c r="AS256" i="11"/>
  <c r="CY255" i="11"/>
  <c r="CL255" i="11"/>
  <c r="BY255" i="11"/>
  <c r="CD257" i="11"/>
  <c r="CX256" i="11"/>
  <c r="BS256" i="11"/>
  <c r="BW256" i="11"/>
  <c r="BX256" i="11"/>
  <c r="AB258" i="11"/>
  <c r="CW256" i="11"/>
  <c r="CX257" i="11"/>
  <c r="CQ257" i="11"/>
  <c r="CK256" i="11"/>
  <c r="CJ256" i="11"/>
  <c r="AQ257" i="11"/>
  <c r="AR257" i="11" s="1"/>
  <c r="AT257" i="11" s="1"/>
  <c r="DE257" i="11"/>
  <c r="DG257" i="11" s="1"/>
  <c r="BR257" i="11"/>
  <c r="BT257" i="11" s="1"/>
  <c r="CF257" i="11"/>
  <c r="CE258" i="11"/>
  <c r="CG258" i="11" s="1"/>
  <c r="DU258" i="11"/>
  <c r="DV258" i="11"/>
  <c r="DH258" i="11"/>
  <c r="DI258" i="11"/>
  <c r="CU258" i="11"/>
  <c r="CR258" i="11"/>
  <c r="CT258" i="11" s="1"/>
  <c r="CV258" i="11"/>
  <c r="CH258" i="11"/>
  <c r="CI258" i="11"/>
  <c r="BU258" i="11"/>
  <c r="BV258" i="11"/>
  <c r="BH258" i="11"/>
  <c r="BI258" i="11"/>
  <c r="AU258" i="11"/>
  <c r="AV258" i="11"/>
  <c r="AH258" i="11"/>
  <c r="AI258" i="11"/>
  <c r="BE257" i="11"/>
  <c r="BG257" i="11" s="1"/>
  <c r="BP258" i="11"/>
  <c r="BN258" i="11"/>
  <c r="BO258" i="11"/>
  <c r="CZ258" i="11"/>
  <c r="CA258" i="11"/>
  <c r="AP258" i="11"/>
  <c r="DM258" i="11"/>
  <c r="AN258" i="11"/>
  <c r="AM258" i="11"/>
  <c r="DC258" i="11"/>
  <c r="BC258" i="11"/>
  <c r="DN258" i="11"/>
  <c r="CC258" i="11"/>
  <c r="DB258" i="11"/>
  <c r="DD258" i="11" s="1"/>
  <c r="CB258" i="11"/>
  <c r="CN258" i="11"/>
  <c r="DP258" i="11"/>
  <c r="AA258" i="11"/>
  <c r="CO258" i="11"/>
  <c r="Y258" i="11"/>
  <c r="CP258" i="11"/>
  <c r="DA258" i="11"/>
  <c r="BZ258" i="11"/>
  <c r="CM258" i="11"/>
  <c r="BB258" i="11"/>
  <c r="BD258" i="11" s="1"/>
  <c r="BA258" i="11"/>
  <c r="AZ258" i="11"/>
  <c r="X258" i="11"/>
  <c r="W259" i="11"/>
  <c r="BM258" i="11"/>
  <c r="AO258" i="11"/>
  <c r="B259" i="11"/>
  <c r="A259" i="11" s="1"/>
  <c r="C260" i="11"/>
  <c r="N225" i="12" l="1"/>
  <c r="L258" i="11"/>
  <c r="M258" i="11"/>
  <c r="M225" i="12"/>
  <c r="EH259" i="11"/>
  <c r="EC259" i="11"/>
  <c r="EA259" i="11"/>
  <c r="DZ259" i="11"/>
  <c r="EI259" i="11"/>
  <c r="A226" i="12"/>
  <c r="V226" i="12" s="1"/>
  <c r="W226" i="12" s="1"/>
  <c r="P259" i="11"/>
  <c r="BJ256" i="11"/>
  <c r="BL256" i="11" s="1"/>
  <c r="BF257" i="11"/>
  <c r="BS257" i="11"/>
  <c r="BW257" i="11"/>
  <c r="DF257" i="11"/>
  <c r="DK257" i="11"/>
  <c r="BL255" i="11"/>
  <c r="AY255" i="11"/>
  <c r="DK256" i="11"/>
  <c r="DL256" i="11" s="1"/>
  <c r="AW256" i="11"/>
  <c r="AX256" i="11"/>
  <c r="B227" i="12"/>
  <c r="BY256" i="11"/>
  <c r="CY256" i="11"/>
  <c r="CL256" i="11"/>
  <c r="BQ258" i="11"/>
  <c r="BR258" i="11" s="1"/>
  <c r="BT258" i="11" s="1"/>
  <c r="AB259" i="11"/>
  <c r="CS258" i="11"/>
  <c r="CQ258" i="11"/>
  <c r="CF258" i="11"/>
  <c r="CD258" i="11"/>
  <c r="CW257" i="11"/>
  <c r="CY257" i="11" s="1"/>
  <c r="CS257" i="11"/>
  <c r="AQ258" i="11"/>
  <c r="AR258" i="11" s="1"/>
  <c r="AT258" i="11" s="1"/>
  <c r="DE258" i="11"/>
  <c r="DG258" i="11" s="1"/>
  <c r="CE259" i="11"/>
  <c r="CG259" i="11" s="1"/>
  <c r="DV259" i="11"/>
  <c r="DU259" i="11"/>
  <c r="DH259" i="11"/>
  <c r="DI259" i="11"/>
  <c r="CU259" i="11"/>
  <c r="CR259" i="11"/>
  <c r="CT259" i="11" s="1"/>
  <c r="CV259" i="11"/>
  <c r="CH259" i="11"/>
  <c r="CI259" i="11"/>
  <c r="BV259" i="11"/>
  <c r="BU259" i="11"/>
  <c r="BH259" i="11"/>
  <c r="BI259" i="11"/>
  <c r="AU259" i="11"/>
  <c r="AV259" i="11"/>
  <c r="AH259" i="11"/>
  <c r="AI259" i="11"/>
  <c r="CJ257" i="11"/>
  <c r="CK257" i="11"/>
  <c r="BE258" i="11"/>
  <c r="BG258" i="11" s="1"/>
  <c r="BP259" i="11"/>
  <c r="BN259" i="11"/>
  <c r="CO259" i="11"/>
  <c r="BO259" i="11"/>
  <c r="BM259" i="11"/>
  <c r="DP259" i="11"/>
  <c r="AO259" i="11"/>
  <c r="AN259" i="11"/>
  <c r="DM259" i="11"/>
  <c r="BC259" i="11"/>
  <c r="AA259" i="11"/>
  <c r="DC259" i="11"/>
  <c r="DA259" i="11"/>
  <c r="X259" i="11"/>
  <c r="DB259" i="11"/>
  <c r="DD259" i="11" s="1"/>
  <c r="CP259" i="11"/>
  <c r="AP259" i="11"/>
  <c r="CB259" i="11"/>
  <c r="BZ259" i="11"/>
  <c r="BB259" i="11"/>
  <c r="BD259" i="11" s="1"/>
  <c r="W260" i="11"/>
  <c r="CA259" i="11"/>
  <c r="CM259" i="11"/>
  <c r="AM259" i="11"/>
  <c r="CN259" i="11"/>
  <c r="Y259" i="11"/>
  <c r="AZ259" i="11"/>
  <c r="CC259" i="11"/>
  <c r="DN259" i="11"/>
  <c r="BA259" i="11"/>
  <c r="CZ259" i="11"/>
  <c r="B260" i="11"/>
  <c r="A260" i="11" s="1"/>
  <c r="C261" i="11"/>
  <c r="M259" i="11" l="1"/>
  <c r="L259" i="11"/>
  <c r="EC260" i="11"/>
  <c r="EA260" i="11"/>
  <c r="DZ260" i="11"/>
  <c r="EI260" i="11"/>
  <c r="EH260" i="11"/>
  <c r="N226" i="12"/>
  <c r="M226" i="12"/>
  <c r="A227" i="12"/>
  <c r="V227" i="12" s="1"/>
  <c r="W227" i="12" s="1"/>
  <c r="P260" i="11"/>
  <c r="DF258" i="11"/>
  <c r="DK258" i="11"/>
  <c r="BF258" i="11"/>
  <c r="BJ258" i="11"/>
  <c r="BX257" i="11"/>
  <c r="BY257" i="11" s="1"/>
  <c r="AS258" i="11"/>
  <c r="BJ257" i="11"/>
  <c r="AY256" i="11"/>
  <c r="DJ257" i="11"/>
  <c r="DL257" i="11" s="1"/>
  <c r="AX257" i="11"/>
  <c r="AW257" i="11"/>
  <c r="B228" i="12"/>
  <c r="BK257" i="11"/>
  <c r="AS257" i="11"/>
  <c r="CK258" i="11"/>
  <c r="CW258" i="11"/>
  <c r="CJ258" i="11"/>
  <c r="CX258" i="11"/>
  <c r="BS258" i="11"/>
  <c r="BW258" i="11"/>
  <c r="BX258" i="11"/>
  <c r="AB260" i="11"/>
  <c r="CL257" i="11"/>
  <c r="BQ259" i="11"/>
  <c r="BR259" i="11" s="1"/>
  <c r="BT259" i="11" s="1"/>
  <c r="CS259" i="11"/>
  <c r="CQ259" i="11"/>
  <c r="CF259" i="11"/>
  <c r="CD259" i="11"/>
  <c r="AQ259" i="11"/>
  <c r="AR259" i="11" s="1"/>
  <c r="AT259" i="11" s="1"/>
  <c r="AX258" i="11"/>
  <c r="CE260" i="11"/>
  <c r="CG260" i="11" s="1"/>
  <c r="DV260" i="11"/>
  <c r="DU260" i="11"/>
  <c r="DH260" i="11"/>
  <c r="DI260" i="11"/>
  <c r="CV260" i="11"/>
  <c r="CR260" i="11"/>
  <c r="CT260" i="11" s="1"/>
  <c r="CU260" i="11"/>
  <c r="CH260" i="11"/>
  <c r="CI260" i="11"/>
  <c r="BU260" i="11"/>
  <c r="BV260" i="11"/>
  <c r="BH260" i="11"/>
  <c r="BI260" i="11"/>
  <c r="AU260" i="11"/>
  <c r="AV260" i="11"/>
  <c r="AH260" i="11"/>
  <c r="AI260" i="11"/>
  <c r="BE259" i="11"/>
  <c r="BG259" i="11" s="1"/>
  <c r="DE259" i="11"/>
  <c r="DG259" i="11" s="1"/>
  <c r="BP260" i="11"/>
  <c r="CO260" i="11"/>
  <c r="BN260" i="11"/>
  <c r="BO260" i="11"/>
  <c r="BQ260" i="11" s="1"/>
  <c r="CZ260" i="11"/>
  <c r="DC260" i="11"/>
  <c r="DB260" i="11"/>
  <c r="DD260" i="11" s="1"/>
  <c r="BA260" i="11"/>
  <c r="DN260" i="11"/>
  <c r="BB260" i="11"/>
  <c r="BD260" i="11" s="1"/>
  <c r="CM260" i="11"/>
  <c r="BZ260" i="11"/>
  <c r="CN260" i="11"/>
  <c r="CA260" i="11"/>
  <c r="CB260" i="11"/>
  <c r="DM260" i="11"/>
  <c r="AP260" i="11"/>
  <c r="AM260" i="11"/>
  <c r="BC260" i="11"/>
  <c r="W261" i="11"/>
  <c r="CC260" i="11"/>
  <c r="AN260" i="11"/>
  <c r="AZ260" i="11"/>
  <c r="BM260" i="11"/>
  <c r="DP260" i="11"/>
  <c r="DA260" i="11"/>
  <c r="Y260" i="11"/>
  <c r="AO260" i="11"/>
  <c r="X260" i="11"/>
  <c r="CP260" i="11"/>
  <c r="AA260" i="11"/>
  <c r="B261" i="11"/>
  <c r="A261" i="11" s="1"/>
  <c r="C262" i="11"/>
  <c r="M260" i="11" l="1"/>
  <c r="L260" i="11"/>
  <c r="EA261" i="11"/>
  <c r="EC261" i="11"/>
  <c r="DZ261" i="11"/>
  <c r="EI261" i="11"/>
  <c r="EH261" i="11"/>
  <c r="M227" i="12"/>
  <c r="N227" i="12"/>
  <c r="A228" i="12"/>
  <c r="V228" i="12" s="1"/>
  <c r="W228" i="12" s="1"/>
  <c r="P261" i="11"/>
  <c r="DF259" i="11"/>
  <c r="BS259" i="11"/>
  <c r="BF259" i="11"/>
  <c r="BK258" i="11"/>
  <c r="BL258" i="11" s="1"/>
  <c r="AW258" i="11"/>
  <c r="AY258" i="11" s="1"/>
  <c r="BL257" i="11"/>
  <c r="BY258" i="11"/>
  <c r="AY257" i="11"/>
  <c r="DJ259" i="11"/>
  <c r="BJ259" i="11"/>
  <c r="BW259" i="11"/>
  <c r="AS259" i="11"/>
  <c r="B229" i="12"/>
  <c r="DJ258" i="11"/>
  <c r="DL258" i="11" s="1"/>
  <c r="CY258" i="11"/>
  <c r="CX259" i="11"/>
  <c r="CL258" i="11"/>
  <c r="CK259" i="11"/>
  <c r="CJ259" i="11"/>
  <c r="AB261" i="11"/>
  <c r="CW259" i="11"/>
  <c r="CS260" i="11"/>
  <c r="CQ260" i="11"/>
  <c r="CF260" i="11"/>
  <c r="CD260" i="11"/>
  <c r="AQ260" i="11"/>
  <c r="AR260" i="11" s="1"/>
  <c r="AT260" i="11" s="1"/>
  <c r="AX259" i="11"/>
  <c r="AW259" i="11"/>
  <c r="BR260" i="11"/>
  <c r="BT260" i="11" s="1"/>
  <c r="DE260" i="11"/>
  <c r="DG260" i="11" s="1"/>
  <c r="CE261" i="11"/>
  <c r="CG261" i="11" s="1"/>
  <c r="DV261" i="11"/>
  <c r="DU261" i="11"/>
  <c r="DH261" i="11"/>
  <c r="DI261" i="11"/>
  <c r="CR261" i="11"/>
  <c r="CT261" i="11" s="1"/>
  <c r="CV261" i="11"/>
  <c r="CU261" i="11"/>
  <c r="CH261" i="11"/>
  <c r="CI261" i="11"/>
  <c r="BU261" i="11"/>
  <c r="BV261" i="11"/>
  <c r="BH261" i="11"/>
  <c r="AV261" i="11"/>
  <c r="BI261" i="11"/>
  <c r="AU261" i="11"/>
  <c r="AH261" i="11"/>
  <c r="AI261" i="11"/>
  <c r="BE260" i="11"/>
  <c r="BG260" i="11" s="1"/>
  <c r="CO261" i="11"/>
  <c r="BN261" i="11"/>
  <c r="BP261" i="11"/>
  <c r="CM261" i="11"/>
  <c r="DP261" i="11"/>
  <c r="BO261" i="11"/>
  <c r="BQ261" i="11" s="1"/>
  <c r="DN261" i="11"/>
  <c r="DA261" i="11"/>
  <c r="BM261" i="11"/>
  <c r="AA261" i="11"/>
  <c r="CP261" i="11"/>
  <c r="BB261" i="11"/>
  <c r="BD261" i="11" s="1"/>
  <c r="X261" i="11"/>
  <c r="AZ261" i="11"/>
  <c r="BC261" i="11"/>
  <c r="AN261" i="11"/>
  <c r="AO261" i="11"/>
  <c r="BA261" i="11"/>
  <c r="DC261" i="11"/>
  <c r="CN261" i="11"/>
  <c r="DB261" i="11"/>
  <c r="DD261" i="11" s="1"/>
  <c r="CA261" i="11"/>
  <c r="AM261" i="11"/>
  <c r="CB261" i="11"/>
  <c r="W262" i="11"/>
  <c r="AP261" i="11"/>
  <c r="BZ261" i="11"/>
  <c r="Y261" i="11"/>
  <c r="CC261" i="11"/>
  <c r="CZ261" i="11"/>
  <c r="DM261" i="11"/>
  <c r="B262" i="11"/>
  <c r="A262" i="11" s="1"/>
  <c r="C263" i="11"/>
  <c r="N228" i="12" l="1"/>
  <c r="M261" i="11"/>
  <c r="L261" i="11"/>
  <c r="EA262" i="11"/>
  <c r="DZ262" i="11"/>
  <c r="EI262" i="11"/>
  <c r="EH262" i="11"/>
  <c r="EC262" i="11"/>
  <c r="M228" i="12"/>
  <c r="A229" i="12"/>
  <c r="N229" i="12" s="1"/>
  <c r="P262" i="11"/>
  <c r="BF260" i="11"/>
  <c r="DF260" i="11"/>
  <c r="CL259" i="11"/>
  <c r="BK259" i="11"/>
  <c r="BL259" i="11" s="1"/>
  <c r="DK259" i="11"/>
  <c r="DL259" i="11" s="1"/>
  <c r="CY259" i="11"/>
  <c r="BW260" i="11"/>
  <c r="BK260" i="11"/>
  <c r="DK260" i="11"/>
  <c r="B230" i="12"/>
  <c r="AS260" i="11"/>
  <c r="BX259" i="11"/>
  <c r="BY259" i="11" s="1"/>
  <c r="CK260" i="11"/>
  <c r="CX260" i="11"/>
  <c r="CJ260" i="11"/>
  <c r="CW260" i="11"/>
  <c r="AY259" i="11"/>
  <c r="AB262" i="11"/>
  <c r="CJ261" i="11"/>
  <c r="CD261" i="11"/>
  <c r="CS261" i="11"/>
  <c r="CQ261" i="11"/>
  <c r="BS260" i="11"/>
  <c r="AQ261" i="11"/>
  <c r="AR261" i="11" s="1"/>
  <c r="AT261" i="11" s="1"/>
  <c r="AX260" i="11"/>
  <c r="AW260" i="11"/>
  <c r="BE261" i="11"/>
  <c r="BG261" i="11" s="1"/>
  <c r="DE261" i="11"/>
  <c r="DG261" i="11" s="1"/>
  <c r="BR261" i="11"/>
  <c r="BT261" i="11" s="1"/>
  <c r="CE262" i="11"/>
  <c r="CG262" i="11" s="1"/>
  <c r="DU262" i="11"/>
  <c r="DV262" i="11"/>
  <c r="DH262" i="11"/>
  <c r="DI262" i="11"/>
  <c r="CU262" i="11"/>
  <c r="CV262" i="11"/>
  <c r="CR262" i="11"/>
  <c r="CT262" i="11" s="1"/>
  <c r="CH262" i="11"/>
  <c r="CI262" i="11"/>
  <c r="BU262" i="11"/>
  <c r="BV262" i="11"/>
  <c r="BH262" i="11"/>
  <c r="BI262" i="11"/>
  <c r="AU262" i="11"/>
  <c r="AV262" i="11"/>
  <c r="AH262" i="11"/>
  <c r="AI262" i="11"/>
  <c r="CZ262" i="11"/>
  <c r="DA262" i="11"/>
  <c r="BP262" i="11"/>
  <c r="BN262" i="11"/>
  <c r="BO262" i="11"/>
  <c r="BQ262" i="11" s="1"/>
  <c r="AM262" i="11"/>
  <c r="DM262" i="11"/>
  <c r="AZ262" i="11"/>
  <c r="CC262" i="11"/>
  <c r="CN262" i="11"/>
  <c r="DC262" i="11"/>
  <c r="AP262" i="11"/>
  <c r="BB262" i="11"/>
  <c r="BD262" i="11" s="1"/>
  <c r="AO262" i="11"/>
  <c r="CB262" i="11"/>
  <c r="Y262" i="11"/>
  <c r="AN262" i="11"/>
  <c r="BM262" i="11"/>
  <c r="DP262" i="11"/>
  <c r="CP262" i="11"/>
  <c r="AA262" i="11"/>
  <c r="W263" i="11"/>
  <c r="BA262" i="11"/>
  <c r="CM262" i="11"/>
  <c r="CA262" i="11"/>
  <c r="X262" i="11"/>
  <c r="DB262" i="11"/>
  <c r="DD262" i="11" s="1"/>
  <c r="DN262" i="11"/>
  <c r="BZ262" i="11"/>
  <c r="BC262" i="11"/>
  <c r="CO262" i="11"/>
  <c r="B263" i="11"/>
  <c r="A263" i="11" s="1"/>
  <c r="C264" i="11"/>
  <c r="V229" i="12" l="1"/>
  <c r="W229" i="12" s="1"/>
  <c r="M229" i="12"/>
  <c r="M262" i="11"/>
  <c r="L262" i="11"/>
  <c r="EH263" i="11"/>
  <c r="EA263" i="11"/>
  <c r="DZ263" i="11"/>
  <c r="EI263" i="11"/>
  <c r="EC263" i="11"/>
  <c r="A230" i="12"/>
  <c r="V230" i="12" s="1"/>
  <c r="W230" i="12" s="1"/>
  <c r="P263" i="11"/>
  <c r="BF261" i="11"/>
  <c r="BS261" i="11"/>
  <c r="BX261" i="11"/>
  <c r="DF261" i="11"/>
  <c r="DK261" i="11"/>
  <c r="BX260" i="11"/>
  <c r="BY260" i="11" s="1"/>
  <c r="BJ260" i="11"/>
  <c r="BL260" i="11" s="1"/>
  <c r="DJ260" i="11"/>
  <c r="DL260" i="11" s="1"/>
  <c r="BJ261" i="11"/>
  <c r="B231" i="12"/>
  <c r="AW261" i="11"/>
  <c r="BA263" i="11"/>
  <c r="CY260" i="11"/>
  <c r="CL260" i="11"/>
  <c r="AY260" i="11"/>
  <c r="DP263" i="11"/>
  <c r="X263" i="11"/>
  <c r="CX261" i="11"/>
  <c r="CW261" i="11"/>
  <c r="AB263" i="11"/>
  <c r="CZ263" i="11"/>
  <c r="CF262" i="11"/>
  <c r="CD262" i="11"/>
  <c r="CS262" i="11"/>
  <c r="CQ262" i="11"/>
  <c r="CK261" i="11"/>
  <c r="CL261" i="11" s="1"/>
  <c r="CF261" i="11"/>
  <c r="AQ262" i="11"/>
  <c r="AR262" i="11" s="1"/>
  <c r="AT262" i="11" s="1"/>
  <c r="CJ262" i="11"/>
  <c r="BR262" i="11"/>
  <c r="BT262" i="11" s="1"/>
  <c r="BE262" i="11"/>
  <c r="BG262" i="11" s="1"/>
  <c r="AN263" i="11"/>
  <c r="CC263" i="11"/>
  <c r="CE263" i="11"/>
  <c r="CG263" i="11" s="1"/>
  <c r="DU263" i="11"/>
  <c r="DV263" i="11"/>
  <c r="DI263" i="11"/>
  <c r="DH263" i="11"/>
  <c r="CR263" i="11"/>
  <c r="CT263" i="11" s="1"/>
  <c r="CV263" i="11"/>
  <c r="CU263" i="11"/>
  <c r="CH263" i="11"/>
  <c r="CI263" i="11"/>
  <c r="BU263" i="11"/>
  <c r="BV263" i="11"/>
  <c r="BH263" i="11"/>
  <c r="BI263" i="11"/>
  <c r="AU263" i="11"/>
  <c r="AV263" i="11"/>
  <c r="AH263" i="11"/>
  <c r="AI263" i="11"/>
  <c r="DE262" i="11"/>
  <c r="DG262" i="11" s="1"/>
  <c r="BM263" i="11"/>
  <c r="DN263" i="11"/>
  <c r="DM263" i="11"/>
  <c r="BN263" i="11"/>
  <c r="BP263" i="11"/>
  <c r="DB263" i="11"/>
  <c r="DD263" i="11" s="1"/>
  <c r="CO263" i="11"/>
  <c r="BO263" i="11"/>
  <c r="CB263" i="11"/>
  <c r="CM263" i="11"/>
  <c r="BC263" i="11"/>
  <c r="BZ263" i="11"/>
  <c r="CA263" i="11"/>
  <c r="AA263" i="11"/>
  <c r="AP263" i="11"/>
  <c r="DC263" i="11"/>
  <c r="AM263" i="11"/>
  <c r="W264" i="11"/>
  <c r="AZ263" i="11"/>
  <c r="CP263" i="11"/>
  <c r="BB263" i="11"/>
  <c r="BD263" i="11" s="1"/>
  <c r="CN263" i="11"/>
  <c r="Y263" i="11"/>
  <c r="AO263" i="11"/>
  <c r="DA263" i="11"/>
  <c r="B264" i="11"/>
  <c r="A264" i="11" s="1"/>
  <c r="C265" i="11"/>
  <c r="N230" i="12" l="1"/>
  <c r="M263" i="11"/>
  <c r="L263" i="11"/>
  <c r="M230" i="12"/>
  <c r="EC264" i="11"/>
  <c r="DZ264" i="11"/>
  <c r="EI264" i="11"/>
  <c r="EH264" i="11"/>
  <c r="EA264" i="11"/>
  <c r="A231" i="12"/>
  <c r="N231" i="12" s="1"/>
  <c r="P264" i="11"/>
  <c r="BF262" i="11"/>
  <c r="BJ262" i="11"/>
  <c r="BS262" i="11"/>
  <c r="DF262" i="11"/>
  <c r="DK262" i="11"/>
  <c r="DJ261" i="11"/>
  <c r="DL261" i="11" s="1"/>
  <c r="BW261" i="11"/>
  <c r="BY261" i="11" s="1"/>
  <c r="AX261" i="11"/>
  <c r="AY261" i="11" s="1"/>
  <c r="B232" i="12"/>
  <c r="AX262" i="11"/>
  <c r="BK261" i="11"/>
  <c r="BL261" i="11" s="1"/>
  <c r="AS261" i="11"/>
  <c r="CY261" i="11"/>
  <c r="CK262" i="11"/>
  <c r="CL262" i="11" s="1"/>
  <c r="CW262" i="11"/>
  <c r="AB264" i="11"/>
  <c r="CQ263" i="11"/>
  <c r="BQ263" i="11"/>
  <c r="BR263" i="11" s="1"/>
  <c r="BT263" i="11" s="1"/>
  <c r="CF263" i="11"/>
  <c r="CD263" i="11"/>
  <c r="CX262" i="11"/>
  <c r="AQ263" i="11"/>
  <c r="AR263" i="11" s="1"/>
  <c r="AT263" i="11" s="1"/>
  <c r="BK262" i="11"/>
  <c r="CS263" i="11"/>
  <c r="CE264" i="11"/>
  <c r="CG264" i="11" s="1"/>
  <c r="DV264" i="11"/>
  <c r="DU264" i="11"/>
  <c r="DH264" i="11"/>
  <c r="DI264" i="11"/>
  <c r="CR264" i="11"/>
  <c r="CT264" i="11" s="1"/>
  <c r="CU264" i="11"/>
  <c r="CV264" i="11"/>
  <c r="CI264" i="11"/>
  <c r="CH264" i="11"/>
  <c r="BV264" i="11"/>
  <c r="BU264" i="11"/>
  <c r="BI264" i="11"/>
  <c r="BH264" i="11"/>
  <c r="AU264" i="11"/>
  <c r="AV264" i="11"/>
  <c r="AH264" i="11"/>
  <c r="AI264" i="11"/>
  <c r="BE263" i="11"/>
  <c r="BG263" i="11" s="1"/>
  <c r="DE263" i="11"/>
  <c r="DG263" i="11" s="1"/>
  <c r="BP264" i="11"/>
  <c r="DB264" i="11"/>
  <c r="DD264" i="11" s="1"/>
  <c r="BN264" i="11"/>
  <c r="BO264" i="11"/>
  <c r="CA264" i="11"/>
  <c r="Y264" i="11"/>
  <c r="DM264" i="11"/>
  <c r="AA264" i="11"/>
  <c r="AN264" i="11"/>
  <c r="CP264" i="11"/>
  <c r="CZ264" i="11"/>
  <c r="CB264" i="11"/>
  <c r="CM264" i="11"/>
  <c r="DA264" i="11"/>
  <c r="CC264" i="11"/>
  <c r="X264" i="11"/>
  <c r="AO264" i="11"/>
  <c r="AP264" i="11"/>
  <c r="BZ264" i="11"/>
  <c r="DC264" i="11"/>
  <c r="CO264" i="11"/>
  <c r="AZ264" i="11"/>
  <c r="BA264" i="11"/>
  <c r="BM264" i="11"/>
  <c r="W265" i="11"/>
  <c r="CN264" i="11"/>
  <c r="BB264" i="11"/>
  <c r="BD264" i="11" s="1"/>
  <c r="DP264" i="11"/>
  <c r="AM264" i="11"/>
  <c r="BC264" i="11"/>
  <c r="DN264" i="11"/>
  <c r="B265" i="11"/>
  <c r="A265" i="11" s="1"/>
  <c r="C266" i="11"/>
  <c r="M264" i="11" l="1"/>
  <c r="L264" i="11"/>
  <c r="M231" i="12"/>
  <c r="V231" i="12"/>
  <c r="W231" i="12" s="1"/>
  <c r="EA265" i="11"/>
  <c r="EI265" i="11"/>
  <c r="EH265" i="11"/>
  <c r="EC265" i="11"/>
  <c r="DZ265" i="11"/>
  <c r="A232" i="12"/>
  <c r="M232" i="12" s="1"/>
  <c r="P265" i="11"/>
  <c r="DF263" i="11"/>
  <c r="DJ263" i="11"/>
  <c r="BF263" i="11"/>
  <c r="BK263" i="11"/>
  <c r="DJ262" i="11"/>
  <c r="DL262" i="11" s="1"/>
  <c r="AS262" i="11"/>
  <c r="AW262" i="11"/>
  <c r="AY262" i="11" s="1"/>
  <c r="B233" i="12"/>
  <c r="BX262" i="11"/>
  <c r="AS263" i="11"/>
  <c r="BW262" i="11"/>
  <c r="CY262" i="11"/>
  <c r="BX263" i="11"/>
  <c r="BS263" i="11"/>
  <c r="BW263" i="11"/>
  <c r="AB265" i="11"/>
  <c r="BL262" i="11"/>
  <c r="BQ264" i="11"/>
  <c r="BR264" i="11" s="1"/>
  <c r="BT264" i="11" s="1"/>
  <c r="CQ264" i="11"/>
  <c r="CF264" i="11"/>
  <c r="CD264" i="11"/>
  <c r="CK263" i="11"/>
  <c r="CJ263" i="11"/>
  <c r="AQ264" i="11"/>
  <c r="AR264" i="11" s="1"/>
  <c r="AT264" i="11" s="1"/>
  <c r="BE264" i="11"/>
  <c r="BG264" i="11" s="1"/>
  <c r="CE265" i="11"/>
  <c r="CG265" i="11" s="1"/>
  <c r="DU265" i="11"/>
  <c r="DV265" i="11"/>
  <c r="DH265" i="11"/>
  <c r="DI265" i="11"/>
  <c r="CR265" i="11"/>
  <c r="CT265" i="11" s="1"/>
  <c r="CU265" i="11"/>
  <c r="CV265" i="11"/>
  <c r="CH265" i="11"/>
  <c r="CI265" i="11"/>
  <c r="BU265" i="11"/>
  <c r="BV265" i="11"/>
  <c r="AU265" i="11"/>
  <c r="AV265" i="11"/>
  <c r="BH265" i="11"/>
  <c r="BI265" i="11"/>
  <c r="AH265" i="11"/>
  <c r="AI265" i="11"/>
  <c r="DE264" i="11"/>
  <c r="DG264" i="11" s="1"/>
  <c r="CX263" i="11"/>
  <c r="CW263" i="11"/>
  <c r="CS264" i="11"/>
  <c r="CA265" i="11"/>
  <c r="BC265" i="11"/>
  <c r="BN265" i="11"/>
  <c r="BP265" i="11"/>
  <c r="BO265" i="11"/>
  <c r="BQ265" i="11" s="1"/>
  <c r="DM265" i="11"/>
  <c r="DA265" i="11"/>
  <c r="CP265" i="11"/>
  <c r="Y265" i="11"/>
  <c r="DC265" i="11"/>
  <c r="CM265" i="11"/>
  <c r="AM265" i="11"/>
  <c r="DP265" i="11"/>
  <c r="W266" i="11"/>
  <c r="BB265" i="11"/>
  <c r="BD265" i="11" s="1"/>
  <c r="BM265" i="11"/>
  <c r="AN265" i="11"/>
  <c r="BZ265" i="11"/>
  <c r="CN265" i="11"/>
  <c r="AP265" i="11"/>
  <c r="AA265" i="11"/>
  <c r="CC265" i="11"/>
  <c r="BA265" i="11"/>
  <c r="AO265" i="11"/>
  <c r="CB265" i="11"/>
  <c r="AZ265" i="11"/>
  <c r="X265" i="11"/>
  <c r="CZ265" i="11"/>
  <c r="DN265" i="11"/>
  <c r="CO265" i="11"/>
  <c r="DB265" i="11"/>
  <c r="DD265" i="11" s="1"/>
  <c r="B266" i="11"/>
  <c r="A266" i="11" s="1"/>
  <c r="C267" i="11"/>
  <c r="AA266" i="11" l="1"/>
  <c r="DN266" i="11"/>
  <c r="L265" i="11"/>
  <c r="M265" i="11"/>
  <c r="N232" i="12"/>
  <c r="V232" i="12"/>
  <c r="W232" i="12" s="1"/>
  <c r="EI266" i="11"/>
  <c r="EH266" i="11"/>
  <c r="EC266" i="11"/>
  <c r="EA266" i="11"/>
  <c r="DZ266" i="11"/>
  <c r="A233" i="12"/>
  <c r="M233" i="12" s="1"/>
  <c r="P266" i="11"/>
  <c r="DF264" i="11"/>
  <c r="BF264" i="11"/>
  <c r="BJ263" i="11"/>
  <c r="BL263" i="11" s="1"/>
  <c r="DK263" i="11"/>
  <c r="DL263" i="11" s="1"/>
  <c r="BY262" i="11"/>
  <c r="AX263" i="11"/>
  <c r="AW263" i="11"/>
  <c r="BJ264" i="11"/>
  <c r="B234" i="12"/>
  <c r="AW264" i="11"/>
  <c r="CL263" i="11"/>
  <c r="CK264" i="11"/>
  <c r="BS264" i="11"/>
  <c r="BX264" i="11"/>
  <c r="BW264" i="11"/>
  <c r="AB266" i="11"/>
  <c r="CJ264" i="11"/>
  <c r="BY263" i="11"/>
  <c r="CJ265" i="11"/>
  <c r="CD265" i="11"/>
  <c r="CX265" i="11"/>
  <c r="CQ265" i="11"/>
  <c r="CY263" i="11"/>
  <c r="AQ265" i="11"/>
  <c r="AR265" i="11" s="1"/>
  <c r="AT265" i="11" s="1"/>
  <c r="DE265" i="11"/>
  <c r="DG265" i="11" s="1"/>
  <c r="BC266" i="11"/>
  <c r="CE266" i="11"/>
  <c r="CG266" i="11" s="1"/>
  <c r="DU266" i="11"/>
  <c r="DV266" i="11"/>
  <c r="DH266" i="11"/>
  <c r="DI266" i="11"/>
  <c r="CR266" i="11"/>
  <c r="CT266" i="11" s="1"/>
  <c r="CU266" i="11"/>
  <c r="CV266" i="11"/>
  <c r="CH266" i="11"/>
  <c r="CI266" i="11"/>
  <c r="BU266" i="11"/>
  <c r="BV266" i="11"/>
  <c r="BH266" i="11"/>
  <c r="AU266" i="11"/>
  <c r="BI266" i="11"/>
  <c r="AV266" i="11"/>
  <c r="AH266" i="11"/>
  <c r="AI266" i="11"/>
  <c r="CZ266" i="11"/>
  <c r="CX264" i="11"/>
  <c r="CW264" i="11"/>
  <c r="AP266" i="11"/>
  <c r="BR265" i="11"/>
  <c r="BT265" i="11" s="1"/>
  <c r="BE265" i="11"/>
  <c r="BG265" i="11" s="1"/>
  <c r="X266" i="11"/>
  <c r="BZ266" i="11"/>
  <c r="DC266" i="11"/>
  <c r="BA266" i="11"/>
  <c r="AN266" i="11"/>
  <c r="CC266" i="11"/>
  <c r="AZ266" i="11"/>
  <c r="CN266" i="11"/>
  <c r="BP266" i="11"/>
  <c r="BN266" i="11"/>
  <c r="DB266" i="11"/>
  <c r="DD266" i="11" s="1"/>
  <c r="CO266" i="11"/>
  <c r="BB266" i="11"/>
  <c r="BD266" i="11" s="1"/>
  <c r="AO266" i="11"/>
  <c r="BO266" i="11"/>
  <c r="CM266" i="11"/>
  <c r="CB266" i="11"/>
  <c r="Y266" i="11"/>
  <c r="CP266" i="11"/>
  <c r="DA266" i="11"/>
  <c r="DP266" i="11"/>
  <c r="DM266" i="11"/>
  <c r="W267" i="11"/>
  <c r="BM266" i="11"/>
  <c r="AM266" i="11"/>
  <c r="CA266" i="11"/>
  <c r="B267" i="11"/>
  <c r="A267" i="11" s="1"/>
  <c r="C268" i="11"/>
  <c r="L266" i="11" l="1"/>
  <c r="M266" i="11"/>
  <c r="V233" i="12"/>
  <c r="W233" i="12" s="1"/>
  <c r="N233" i="12"/>
  <c r="EH267" i="11"/>
  <c r="EI267" i="11"/>
  <c r="EC267" i="11"/>
  <c r="EA267" i="11"/>
  <c r="DZ267" i="11"/>
  <c r="A234" i="12"/>
  <c r="V234" i="12" s="1"/>
  <c r="W234" i="12" s="1"/>
  <c r="P267" i="11"/>
  <c r="DF265" i="11"/>
  <c r="BF265" i="11"/>
  <c r="BS265" i="11"/>
  <c r="AY263" i="11"/>
  <c r="AX264" i="11"/>
  <c r="AY264" i="11" s="1"/>
  <c r="AS264" i="11"/>
  <c r="DJ265" i="11"/>
  <c r="BK264" i="11"/>
  <c r="BL264" i="11" s="1"/>
  <c r="BK265" i="11"/>
  <c r="DK264" i="11"/>
  <c r="DJ264" i="11"/>
  <c r="AW265" i="11"/>
  <c r="B235" i="12"/>
  <c r="CL264" i="11"/>
  <c r="BY264" i="11"/>
  <c r="BQ266" i="11"/>
  <c r="BR266" i="11" s="1"/>
  <c r="BT266" i="11" s="1"/>
  <c r="AB267" i="11"/>
  <c r="CF266" i="11"/>
  <c r="CD266" i="11"/>
  <c r="CS266" i="11"/>
  <c r="CQ266" i="11"/>
  <c r="CK265" i="11"/>
  <c r="CL265" i="11" s="1"/>
  <c r="CF265" i="11"/>
  <c r="CW265" i="11"/>
  <c r="CY265" i="11" s="1"/>
  <c r="CS265" i="11"/>
  <c r="AQ266" i="11"/>
  <c r="AR266" i="11" s="1"/>
  <c r="AT266" i="11" s="1"/>
  <c r="AN267" i="11"/>
  <c r="CE267" i="11"/>
  <c r="CG267" i="11" s="1"/>
  <c r="DU267" i="11"/>
  <c r="DV267" i="11"/>
  <c r="DH267" i="11"/>
  <c r="DI267" i="11"/>
  <c r="CR267" i="11"/>
  <c r="CT267" i="11" s="1"/>
  <c r="CU267" i="11"/>
  <c r="CV267" i="11"/>
  <c r="CH267" i="11"/>
  <c r="CI267" i="11"/>
  <c r="BU267" i="11"/>
  <c r="BV267" i="11"/>
  <c r="BH267" i="11"/>
  <c r="BI267" i="11"/>
  <c r="AU267" i="11"/>
  <c r="AV267" i="11"/>
  <c r="AH267" i="11"/>
  <c r="AI267" i="11"/>
  <c r="BE266" i="11"/>
  <c r="BG266" i="11" s="1"/>
  <c r="DE266" i="11"/>
  <c r="DG266" i="11" s="1"/>
  <c r="CY264" i="11"/>
  <c r="DP267" i="11"/>
  <c r="BN267" i="11"/>
  <c r="BP267" i="11"/>
  <c r="Y267" i="11"/>
  <c r="BO267" i="11"/>
  <c r="BQ267" i="11" s="1"/>
  <c r="AO267" i="11"/>
  <c r="DB267" i="11"/>
  <c r="DD267" i="11" s="1"/>
  <c r="CC267" i="11"/>
  <c r="BZ267" i="11"/>
  <c r="X267" i="11"/>
  <c r="CA267" i="11"/>
  <c r="CO267" i="11"/>
  <c r="BA267" i="11"/>
  <c r="DC267" i="11"/>
  <c r="BM267" i="11"/>
  <c r="BC267" i="11"/>
  <c r="BB267" i="11"/>
  <c r="BD267" i="11" s="1"/>
  <c r="CB267" i="11"/>
  <c r="CN267" i="11"/>
  <c r="W268" i="11"/>
  <c r="AA267" i="11"/>
  <c r="DA267" i="11"/>
  <c r="AP267" i="11"/>
  <c r="CM267" i="11"/>
  <c r="AM267" i="11"/>
  <c r="AZ267" i="11"/>
  <c r="CZ267" i="11"/>
  <c r="DN267" i="11"/>
  <c r="DM267" i="11"/>
  <c r="CP267" i="11"/>
  <c r="B268" i="11"/>
  <c r="A268" i="11" s="1"/>
  <c r="C269" i="11"/>
  <c r="M267" i="11" l="1"/>
  <c r="L267" i="11"/>
  <c r="N234" i="12"/>
  <c r="M234" i="12"/>
  <c r="EC268" i="11"/>
  <c r="EI268" i="11"/>
  <c r="EH268" i="11"/>
  <c r="EA268" i="11"/>
  <c r="DZ268" i="11"/>
  <c r="A235" i="12"/>
  <c r="N235" i="12" s="1"/>
  <c r="P268" i="11"/>
  <c r="BS266" i="11"/>
  <c r="DF266" i="11"/>
  <c r="BF266" i="11"/>
  <c r="DK265" i="11"/>
  <c r="DL265" i="11" s="1"/>
  <c r="AX265" i="11"/>
  <c r="AY265" i="11" s="1"/>
  <c r="BX266" i="11"/>
  <c r="DL264" i="11"/>
  <c r="BJ265" i="11"/>
  <c r="BL265" i="11" s="1"/>
  <c r="BW265" i="11"/>
  <c r="BX265" i="11"/>
  <c r="AS266" i="11"/>
  <c r="AS265" i="11"/>
  <c r="B236" i="12"/>
  <c r="CK266" i="11"/>
  <c r="AB268" i="11"/>
  <c r="CX266" i="11"/>
  <c r="CJ266" i="11"/>
  <c r="CF267" i="11"/>
  <c r="CD267" i="11"/>
  <c r="CS267" i="11"/>
  <c r="CQ267" i="11"/>
  <c r="CW266" i="11"/>
  <c r="AQ267" i="11"/>
  <c r="AR267" i="11" s="1"/>
  <c r="AT267" i="11" s="1"/>
  <c r="DE267" i="11"/>
  <c r="DG267" i="11" s="1"/>
  <c r="BR267" i="11"/>
  <c r="BT267" i="11" s="1"/>
  <c r="BE267" i="11"/>
  <c r="BG267" i="11" s="1"/>
  <c r="CE268" i="11"/>
  <c r="CG268" i="11" s="1"/>
  <c r="DV268" i="11"/>
  <c r="DU268" i="11"/>
  <c r="DH268" i="11"/>
  <c r="DI268" i="11"/>
  <c r="CR268" i="11"/>
  <c r="CT268" i="11" s="1"/>
  <c r="CU268" i="11"/>
  <c r="CV268" i="11"/>
  <c r="CH268" i="11"/>
  <c r="CI268" i="11"/>
  <c r="BV268" i="11"/>
  <c r="BU268" i="11"/>
  <c r="BI268" i="11"/>
  <c r="BH268" i="11"/>
  <c r="AU268" i="11"/>
  <c r="AV268" i="11"/>
  <c r="AH268" i="11"/>
  <c r="AI268" i="11"/>
  <c r="AO268" i="11"/>
  <c r="CM268" i="11"/>
  <c r="CP268" i="11"/>
  <c r="BN268" i="11"/>
  <c r="DP268" i="11"/>
  <c r="BP268" i="11"/>
  <c r="BO268" i="11"/>
  <c r="BQ268" i="11" s="1"/>
  <c r="BM268" i="11"/>
  <c r="BA268" i="11"/>
  <c r="DB268" i="11"/>
  <c r="DD268" i="11" s="1"/>
  <c r="DC268" i="11"/>
  <c r="CO268" i="11"/>
  <c r="DN268" i="11"/>
  <c r="DA268" i="11"/>
  <c r="CN268" i="11"/>
  <c r="X268" i="11"/>
  <c r="AP268" i="11"/>
  <c r="CB268" i="11"/>
  <c r="BZ268" i="11"/>
  <c r="CA268" i="11"/>
  <c r="W269" i="11"/>
  <c r="CZ268" i="11"/>
  <c r="AZ268" i="11"/>
  <c r="BB268" i="11"/>
  <c r="BD268" i="11" s="1"/>
  <c r="CC268" i="11"/>
  <c r="DM268" i="11"/>
  <c r="AN268" i="11"/>
  <c r="AA268" i="11"/>
  <c r="AM268" i="11"/>
  <c r="BC268" i="11"/>
  <c r="Y268" i="11"/>
  <c r="B269" i="11"/>
  <c r="A269" i="11" s="1"/>
  <c r="C270" i="11"/>
  <c r="L268" i="11" l="1"/>
  <c r="M268" i="11"/>
  <c r="M235" i="12"/>
  <c r="V235" i="12"/>
  <c r="W235" i="12" s="1"/>
  <c r="EA269" i="11"/>
  <c r="EH269" i="11"/>
  <c r="EC269" i="11"/>
  <c r="DZ269" i="11"/>
  <c r="EI269" i="11"/>
  <c r="A236" i="12"/>
  <c r="N236" i="12" s="1"/>
  <c r="P269" i="11"/>
  <c r="BF267" i="11"/>
  <c r="BS267" i="11"/>
  <c r="DF267" i="11"/>
  <c r="DJ267" i="11"/>
  <c r="AW266" i="11"/>
  <c r="BY265" i="11"/>
  <c r="BW266" i="11"/>
  <c r="BY266" i="11" s="1"/>
  <c r="BK267" i="11"/>
  <c r="BK266" i="11"/>
  <c r="BJ266" i="11"/>
  <c r="AX266" i="11"/>
  <c r="B237" i="12"/>
  <c r="DJ266" i="11"/>
  <c r="DK266" i="11"/>
  <c r="AW267" i="11"/>
  <c r="CL266" i="11"/>
  <c r="CY266" i="11"/>
  <c r="CX267" i="11"/>
  <c r="CW267" i="11"/>
  <c r="CJ267" i="11"/>
  <c r="AB269" i="11"/>
  <c r="CK267" i="11"/>
  <c r="CF268" i="11"/>
  <c r="CD268" i="11"/>
  <c r="CS268" i="11"/>
  <c r="CQ268" i="11"/>
  <c r="AQ268" i="11"/>
  <c r="AR268" i="11" s="1"/>
  <c r="AT268" i="11" s="1"/>
  <c r="DK267" i="11"/>
  <c r="BR268" i="11"/>
  <c r="BT268" i="11" s="1"/>
  <c r="DE268" i="11"/>
  <c r="DG268" i="11" s="1"/>
  <c r="CE269" i="11"/>
  <c r="CG269" i="11" s="1"/>
  <c r="DU269" i="11"/>
  <c r="DV269" i="11"/>
  <c r="DH269" i="11"/>
  <c r="DI269" i="11"/>
  <c r="CU269" i="11"/>
  <c r="CR269" i="11"/>
  <c r="CT269" i="11" s="1"/>
  <c r="CV269" i="11"/>
  <c r="CH269" i="11"/>
  <c r="CI269" i="11"/>
  <c r="BU269" i="11"/>
  <c r="BV269" i="11"/>
  <c r="BH269" i="11"/>
  <c r="BI269" i="11"/>
  <c r="AV269" i="11"/>
  <c r="AU269" i="11"/>
  <c r="AI269" i="11"/>
  <c r="AH269" i="11"/>
  <c r="BE268" i="11"/>
  <c r="BG268" i="11" s="1"/>
  <c r="BW267" i="11"/>
  <c r="BX267" i="11"/>
  <c r="DC269" i="11"/>
  <c r="BN269" i="11"/>
  <c r="CC269" i="11"/>
  <c r="BP269" i="11"/>
  <c r="DM269" i="11"/>
  <c r="BB269" i="11"/>
  <c r="BD269" i="11" s="1"/>
  <c r="BO269" i="11"/>
  <c r="X269" i="11"/>
  <c r="AZ269" i="11"/>
  <c r="CA269" i="11"/>
  <c r="CN269" i="11"/>
  <c r="CZ269" i="11"/>
  <c r="CP269" i="11"/>
  <c r="DA269" i="11"/>
  <c r="Y269" i="11"/>
  <c r="BC269" i="11"/>
  <c r="BZ269" i="11"/>
  <c r="DN269" i="11"/>
  <c r="AM269" i="11"/>
  <c r="AO269" i="11"/>
  <c r="CB269" i="11"/>
  <c r="CM269" i="11"/>
  <c r="AA269" i="11"/>
  <c r="BA269" i="11"/>
  <c r="AP269" i="11"/>
  <c r="CO269" i="11"/>
  <c r="AN269" i="11"/>
  <c r="DB269" i="11"/>
  <c r="DD269" i="11" s="1"/>
  <c r="W270" i="11"/>
  <c r="BM269" i="11"/>
  <c r="DP269" i="11"/>
  <c r="B270" i="11"/>
  <c r="A270" i="11" s="1"/>
  <c r="C271" i="11"/>
  <c r="L269" i="11" l="1"/>
  <c r="M269" i="11"/>
  <c r="M236" i="12"/>
  <c r="V236" i="12"/>
  <c r="W236" i="12" s="1"/>
  <c r="EI270" i="11"/>
  <c r="EC270" i="11"/>
  <c r="EA270" i="11"/>
  <c r="DZ270" i="11"/>
  <c r="EH270" i="11"/>
  <c r="A237" i="12"/>
  <c r="N237" i="12" s="1"/>
  <c r="P270" i="11"/>
  <c r="AY266" i="11"/>
  <c r="BF268" i="11"/>
  <c r="BK268" i="11"/>
  <c r="DF268" i="11"/>
  <c r="BL266" i="11"/>
  <c r="BJ267" i="11"/>
  <c r="BL267" i="11" s="1"/>
  <c r="DL266" i="11"/>
  <c r="AS267" i="11"/>
  <c r="AX267" i="11"/>
  <c r="AY267" i="11" s="1"/>
  <c r="B238" i="12"/>
  <c r="CY267" i="11"/>
  <c r="DK268" i="11"/>
  <c r="AS268" i="11"/>
  <c r="CL267" i="11"/>
  <c r="CW268" i="11"/>
  <c r="CX268" i="11"/>
  <c r="AB270" i="11"/>
  <c r="BQ269" i="11"/>
  <c r="BR269" i="11" s="1"/>
  <c r="BT269" i="11" s="1"/>
  <c r="CF269" i="11"/>
  <c r="CD269" i="11"/>
  <c r="BW268" i="11"/>
  <c r="BS268" i="11"/>
  <c r="CS269" i="11"/>
  <c r="CQ269" i="11"/>
  <c r="CK268" i="11"/>
  <c r="CJ268" i="11"/>
  <c r="AQ269" i="11"/>
  <c r="AR269" i="11" s="1"/>
  <c r="AT269" i="11" s="1"/>
  <c r="DL267" i="11"/>
  <c r="BJ268" i="11"/>
  <c r="CW269" i="11"/>
  <c r="BX268" i="11"/>
  <c r="BY267" i="11"/>
  <c r="DE269" i="11"/>
  <c r="DG269" i="11" s="1"/>
  <c r="BE269" i="11"/>
  <c r="BG269" i="11" s="1"/>
  <c r="CC270" i="11"/>
  <c r="CE270" i="11"/>
  <c r="CG270" i="11" s="1"/>
  <c r="DU270" i="11"/>
  <c r="DV270" i="11"/>
  <c r="DI270" i="11"/>
  <c r="DH270" i="11"/>
  <c r="CU270" i="11"/>
  <c r="CV270" i="11"/>
  <c r="CR270" i="11"/>
  <c r="CT270" i="11" s="1"/>
  <c r="CH270" i="11"/>
  <c r="CI270" i="11"/>
  <c r="BU270" i="11"/>
  <c r="BV270" i="11"/>
  <c r="BH270" i="11"/>
  <c r="BI270" i="11"/>
  <c r="AU270" i="11"/>
  <c r="AV270" i="11"/>
  <c r="AH270" i="11"/>
  <c r="AI270" i="11"/>
  <c r="DP270" i="11"/>
  <c r="BM270" i="11"/>
  <c r="DC270" i="11"/>
  <c r="BN270" i="11"/>
  <c r="AM270" i="11"/>
  <c r="BP270" i="11"/>
  <c r="BO270" i="11"/>
  <c r="CN270" i="11"/>
  <c r="DM270" i="11"/>
  <c r="CP270" i="11"/>
  <c r="AZ270" i="11"/>
  <c r="CZ270" i="11"/>
  <c r="CM270" i="11"/>
  <c r="CO270" i="11"/>
  <c r="AP270" i="11"/>
  <c r="AN270" i="11"/>
  <c r="BA270" i="11"/>
  <c r="BB270" i="11"/>
  <c r="BD270" i="11" s="1"/>
  <c r="AA270" i="11"/>
  <c r="DN270" i="11"/>
  <c r="CB270" i="11"/>
  <c r="DA270" i="11"/>
  <c r="BZ270" i="11"/>
  <c r="AO270" i="11"/>
  <c r="X270" i="11"/>
  <c r="DB270" i="11"/>
  <c r="DD270" i="11" s="1"/>
  <c r="BC270" i="11"/>
  <c r="W271" i="11"/>
  <c r="CA270" i="11"/>
  <c r="Y270" i="11"/>
  <c r="B271" i="11"/>
  <c r="A271" i="11" s="1"/>
  <c r="C272" i="11"/>
  <c r="L270" i="11" l="1"/>
  <c r="M237" i="12"/>
  <c r="M270" i="11"/>
  <c r="EA271" i="11"/>
  <c r="DZ271" i="11"/>
  <c r="EI271" i="11"/>
  <c r="EH271" i="11"/>
  <c r="EC271" i="11"/>
  <c r="V237" i="12"/>
  <c r="W237" i="12" s="1"/>
  <c r="A238" i="12"/>
  <c r="V238" i="12" s="1"/>
  <c r="W238" i="12" s="1"/>
  <c r="P271" i="11"/>
  <c r="DF269" i="11"/>
  <c r="BF269" i="11"/>
  <c r="DJ268" i="11"/>
  <c r="DL268" i="11" s="1"/>
  <c r="BY268" i="11"/>
  <c r="AX268" i="11"/>
  <c r="AW268" i="11"/>
  <c r="B239" i="12"/>
  <c r="AS269" i="11"/>
  <c r="DK269" i="11"/>
  <c r="CY268" i="11"/>
  <c r="BS269" i="11"/>
  <c r="BW269" i="11"/>
  <c r="BX269" i="11"/>
  <c r="CJ269" i="11"/>
  <c r="CL268" i="11"/>
  <c r="BL268" i="11"/>
  <c r="CX269" i="11"/>
  <c r="CY269" i="11" s="1"/>
  <c r="AB271" i="11"/>
  <c r="CK269" i="11"/>
  <c r="BQ270" i="11"/>
  <c r="BR270" i="11" s="1"/>
  <c r="BT270" i="11" s="1"/>
  <c r="CF270" i="11"/>
  <c r="CD270" i="11"/>
  <c r="CS270" i="11"/>
  <c r="CQ270" i="11"/>
  <c r="AQ270" i="11"/>
  <c r="AR270" i="11" s="1"/>
  <c r="AT270" i="11" s="1"/>
  <c r="BE270" i="11"/>
  <c r="BG270" i="11" s="1"/>
  <c r="DE270" i="11"/>
  <c r="DG270" i="11" s="1"/>
  <c r="CE271" i="11"/>
  <c r="CG271" i="11" s="1"/>
  <c r="DU271" i="11"/>
  <c r="DV271" i="11"/>
  <c r="DI271" i="11"/>
  <c r="DH271" i="11"/>
  <c r="CU271" i="11"/>
  <c r="CV271" i="11"/>
  <c r="CR271" i="11"/>
  <c r="CT271" i="11" s="1"/>
  <c r="CI271" i="11"/>
  <c r="CH271" i="11"/>
  <c r="BU271" i="11"/>
  <c r="BV271" i="11"/>
  <c r="BH271" i="11"/>
  <c r="BI271" i="11"/>
  <c r="AU271" i="11"/>
  <c r="AV271" i="11"/>
  <c r="AI271" i="11"/>
  <c r="AH271" i="11"/>
  <c r="AM271" i="11"/>
  <c r="BN271" i="11"/>
  <c r="BA271" i="11"/>
  <c r="X271" i="11"/>
  <c r="Y271" i="11"/>
  <c r="CM271" i="11"/>
  <c r="BP271" i="11"/>
  <c r="CA271" i="11"/>
  <c r="DB271" i="11"/>
  <c r="DD271" i="11" s="1"/>
  <c r="BO271" i="11"/>
  <c r="BQ271" i="11" s="1"/>
  <c r="DC271" i="11"/>
  <c r="AA271" i="11"/>
  <c r="CO271" i="11"/>
  <c r="DM271" i="11"/>
  <c r="CB271" i="11"/>
  <c r="CP271" i="11"/>
  <c r="AP271" i="11"/>
  <c r="BZ271" i="11"/>
  <c r="DA271" i="11"/>
  <c r="CC271" i="11"/>
  <c r="AN271" i="11"/>
  <c r="W272" i="11"/>
  <c r="BM271" i="11"/>
  <c r="DN271" i="11"/>
  <c r="AO271" i="11"/>
  <c r="DP271" i="11"/>
  <c r="AZ271" i="11"/>
  <c r="CZ271" i="11"/>
  <c r="CN271" i="11"/>
  <c r="BC271" i="11"/>
  <c r="BB271" i="11"/>
  <c r="BD271" i="11" s="1"/>
  <c r="B272" i="11"/>
  <c r="A272" i="11" s="1"/>
  <c r="C273" i="11"/>
  <c r="L271" i="11" l="1"/>
  <c r="M271" i="11"/>
  <c r="EA272" i="11"/>
  <c r="DZ272" i="11"/>
  <c r="EI272" i="11"/>
  <c r="EH272" i="11"/>
  <c r="EC272" i="11"/>
  <c r="N238" i="12"/>
  <c r="M238" i="12"/>
  <c r="A239" i="12"/>
  <c r="N239" i="12" s="1"/>
  <c r="P272" i="11"/>
  <c r="DF270" i="11"/>
  <c r="DK270" i="11"/>
  <c r="BF270" i="11"/>
  <c r="BJ270" i="11"/>
  <c r="AY268" i="11"/>
  <c r="DJ269" i="11"/>
  <c r="DL269" i="11" s="1"/>
  <c r="AX269" i="11"/>
  <c r="AW269" i="11"/>
  <c r="BJ269" i="11"/>
  <c r="BK269" i="11"/>
  <c r="B240" i="12"/>
  <c r="AX270" i="11"/>
  <c r="CL269" i="11"/>
  <c r="CK270" i="11"/>
  <c r="CJ270" i="11"/>
  <c r="BY269" i="11"/>
  <c r="BS270" i="11"/>
  <c r="BW270" i="11"/>
  <c r="BX270" i="11"/>
  <c r="AB272" i="11"/>
  <c r="CW270" i="11"/>
  <c r="CX270" i="11"/>
  <c r="CS271" i="11"/>
  <c r="CQ271" i="11"/>
  <c r="CF271" i="11"/>
  <c r="CD271" i="11"/>
  <c r="AQ271" i="11"/>
  <c r="AR271" i="11" s="1"/>
  <c r="AT271" i="11" s="1"/>
  <c r="CX271" i="11"/>
  <c r="CW271" i="11"/>
  <c r="CA272" i="11"/>
  <c r="CE272" i="11"/>
  <c r="CG272" i="11" s="1"/>
  <c r="DV272" i="11"/>
  <c r="DU272" i="11"/>
  <c r="DH272" i="11"/>
  <c r="DI272" i="11"/>
  <c r="CU272" i="11"/>
  <c r="CR272" i="11"/>
  <c r="CT272" i="11" s="1"/>
  <c r="CV272" i="11"/>
  <c r="CH272" i="11"/>
  <c r="CI272" i="11"/>
  <c r="BU272" i="11"/>
  <c r="BV272" i="11"/>
  <c r="BI272" i="11"/>
  <c r="AU272" i="11"/>
  <c r="AV272" i="11"/>
  <c r="BH272" i="11"/>
  <c r="AH272" i="11"/>
  <c r="AI272" i="11"/>
  <c r="BE271" i="11"/>
  <c r="BG271" i="11" s="1"/>
  <c r="DE271" i="11"/>
  <c r="DG271" i="11" s="1"/>
  <c r="BR271" i="11"/>
  <c r="BT271" i="11" s="1"/>
  <c r="DC272" i="11"/>
  <c r="BN272" i="11"/>
  <c r="Y272" i="11"/>
  <c r="BP272" i="11"/>
  <c r="BO272" i="11"/>
  <c r="CC272" i="11"/>
  <c r="CO272" i="11"/>
  <c r="CB272" i="11"/>
  <c r="BC272" i="11"/>
  <c r="CN272" i="11"/>
  <c r="AP272" i="11"/>
  <c r="BB272" i="11"/>
  <c r="BD272" i="11" s="1"/>
  <c r="DN272" i="11"/>
  <c r="DA272" i="11"/>
  <c r="BM272" i="11"/>
  <c r="CP272" i="11"/>
  <c r="DB272" i="11"/>
  <c r="DD272" i="11" s="1"/>
  <c r="CM272" i="11"/>
  <c r="AA272" i="11"/>
  <c r="BA272" i="11"/>
  <c r="DM272" i="11"/>
  <c r="BZ272" i="11"/>
  <c r="W273" i="11"/>
  <c r="CZ272" i="11"/>
  <c r="DP272" i="11"/>
  <c r="AZ272" i="11"/>
  <c r="AO272" i="11"/>
  <c r="X272" i="11"/>
  <c r="AN272" i="11"/>
  <c r="AM272" i="11"/>
  <c r="B273" i="11"/>
  <c r="A273" i="11" s="1"/>
  <c r="C274" i="11"/>
  <c r="M239" i="12" l="1"/>
  <c r="M272" i="11"/>
  <c r="L272" i="11"/>
  <c r="DZ273" i="11"/>
  <c r="EA273" i="11"/>
  <c r="EI273" i="11"/>
  <c r="EH273" i="11"/>
  <c r="EC273" i="11"/>
  <c r="V239" i="12"/>
  <c r="W239" i="12" s="1"/>
  <c r="A240" i="12"/>
  <c r="M240" i="12" s="1"/>
  <c r="P273" i="11"/>
  <c r="BK270" i="11"/>
  <c r="BL270" i="11" s="1"/>
  <c r="BS271" i="11"/>
  <c r="DF271" i="11"/>
  <c r="BF271" i="11"/>
  <c r="BK271" i="11"/>
  <c r="AY269" i="11"/>
  <c r="DJ270" i="11"/>
  <c r="DL270" i="11" s="1"/>
  <c r="BL269" i="11"/>
  <c r="AX271" i="11"/>
  <c r="AS270" i="11"/>
  <c r="DK271" i="11"/>
  <c r="B241" i="12"/>
  <c r="AW270" i="11"/>
  <c r="AY270" i="11" s="1"/>
  <c r="BW271" i="11"/>
  <c r="BY270" i="11"/>
  <c r="CQ272" i="11"/>
  <c r="CY271" i="11"/>
  <c r="CL270" i="11"/>
  <c r="CJ271" i="11"/>
  <c r="CY270" i="11"/>
  <c r="CK271" i="11"/>
  <c r="BQ272" i="11"/>
  <c r="BR272" i="11" s="1"/>
  <c r="BT272" i="11" s="1"/>
  <c r="AB273" i="11"/>
  <c r="CF272" i="11"/>
  <c r="CD272" i="11"/>
  <c r="AQ272" i="11"/>
  <c r="AR272" i="11" s="1"/>
  <c r="AT272" i="11" s="1"/>
  <c r="DE272" i="11"/>
  <c r="DG272" i="11" s="1"/>
  <c r="BN273" i="11"/>
  <c r="CE273" i="11"/>
  <c r="CG273" i="11" s="1"/>
  <c r="DU273" i="11"/>
  <c r="DV273" i="11"/>
  <c r="DH273" i="11"/>
  <c r="DI273" i="11"/>
  <c r="CU273" i="11"/>
  <c r="CV273" i="11"/>
  <c r="CR273" i="11"/>
  <c r="CT273" i="11" s="1"/>
  <c r="CH273" i="11"/>
  <c r="CI273" i="11"/>
  <c r="BU273" i="11"/>
  <c r="BV273" i="11"/>
  <c r="BH273" i="11"/>
  <c r="BI273" i="11"/>
  <c r="AU273" i="11"/>
  <c r="AV273" i="11"/>
  <c r="AI273" i="11"/>
  <c r="AH273" i="11"/>
  <c r="BE272" i="11"/>
  <c r="BG272" i="11" s="1"/>
  <c r="CS272" i="11"/>
  <c r="AM273" i="11"/>
  <c r="CB273" i="11"/>
  <c r="AN273" i="11"/>
  <c r="BC273" i="11"/>
  <c r="BP273" i="11"/>
  <c r="CA273" i="11"/>
  <c r="BO273" i="11"/>
  <c r="BQ273" i="11" s="1"/>
  <c r="BB273" i="11"/>
  <c r="BD273" i="11" s="1"/>
  <c r="Y273" i="11"/>
  <c r="DA273" i="11"/>
  <c r="X273" i="11"/>
  <c r="AP273" i="11"/>
  <c r="DN273" i="11"/>
  <c r="CM273" i="11"/>
  <c r="BZ273" i="11"/>
  <c r="BA273" i="11"/>
  <c r="DB273" i="11"/>
  <c r="DD273" i="11" s="1"/>
  <c r="CO273" i="11"/>
  <c r="BM273" i="11"/>
  <c r="W274" i="11"/>
  <c r="AZ273" i="11"/>
  <c r="DP273" i="11"/>
  <c r="CN273" i="11"/>
  <c r="AO273" i="11"/>
  <c r="DC273" i="11"/>
  <c r="CZ273" i="11"/>
  <c r="DM273" i="11"/>
  <c r="AA273" i="11"/>
  <c r="CP273" i="11"/>
  <c r="CC273" i="11"/>
  <c r="B274" i="11"/>
  <c r="A274" i="11" s="1"/>
  <c r="C275" i="11"/>
  <c r="M273" i="11" l="1"/>
  <c r="L273" i="11"/>
  <c r="N240" i="12"/>
  <c r="EI274" i="11"/>
  <c r="DZ274" i="11"/>
  <c r="EH274" i="11"/>
  <c r="EC274" i="11"/>
  <c r="EA274" i="11"/>
  <c r="V240" i="12"/>
  <c r="W240" i="12" s="1"/>
  <c r="A241" i="12"/>
  <c r="N241" i="12" s="1"/>
  <c r="P274" i="11"/>
  <c r="DF272" i="11"/>
  <c r="BF272" i="11"/>
  <c r="BX271" i="11"/>
  <c r="BY271" i="11" s="1"/>
  <c r="AS271" i="11"/>
  <c r="AW271" i="11"/>
  <c r="AY271" i="11" s="1"/>
  <c r="BJ271" i="11"/>
  <c r="BL271" i="11" s="1"/>
  <c r="DJ271" i="11"/>
  <c r="DL271" i="11" s="1"/>
  <c r="DK272" i="11"/>
  <c r="AS272" i="11"/>
  <c r="BJ272" i="11"/>
  <c r="B242" i="12"/>
  <c r="CL271" i="11"/>
  <c r="CK272" i="11"/>
  <c r="BS272" i="11"/>
  <c r="AB274" i="11"/>
  <c r="CJ272" i="11"/>
  <c r="CF273" i="11"/>
  <c r="CD273" i="11"/>
  <c r="CS273" i="11"/>
  <c r="CQ273" i="11"/>
  <c r="AQ273" i="11"/>
  <c r="AR273" i="11" s="1"/>
  <c r="AT273" i="11" s="1"/>
  <c r="BE273" i="11"/>
  <c r="BG273" i="11" s="1"/>
  <c r="CE274" i="11"/>
  <c r="CG274" i="11" s="1"/>
  <c r="DU274" i="11"/>
  <c r="DV274" i="11"/>
  <c r="DH274" i="11"/>
  <c r="DI274" i="11"/>
  <c r="CV274" i="11"/>
  <c r="CR274" i="11"/>
  <c r="CT274" i="11" s="1"/>
  <c r="CI274" i="11"/>
  <c r="CU274" i="11"/>
  <c r="CH274" i="11"/>
  <c r="BV274" i="11"/>
  <c r="BU274" i="11"/>
  <c r="BH274" i="11"/>
  <c r="BI274" i="11"/>
  <c r="AU274" i="11"/>
  <c r="AV274" i="11"/>
  <c r="AH274" i="11"/>
  <c r="AI274" i="11"/>
  <c r="CW272" i="11"/>
  <c r="CX272" i="11"/>
  <c r="DE273" i="11"/>
  <c r="DG273" i="11" s="1"/>
  <c r="BR273" i="11"/>
  <c r="BT273" i="11" s="1"/>
  <c r="BC274" i="11"/>
  <c r="AA274" i="11"/>
  <c r="CN274" i="11"/>
  <c r="BN274" i="11"/>
  <c r="BP274" i="11"/>
  <c r="BO274" i="11"/>
  <c r="BQ274" i="11" s="1"/>
  <c r="CM274" i="11"/>
  <c r="DN274" i="11"/>
  <c r="AP274" i="11"/>
  <c r="AO274" i="11"/>
  <c r="AZ274" i="11"/>
  <c r="Y274" i="11"/>
  <c r="CO274" i="11"/>
  <c r="CC274" i="11"/>
  <c r="CP274" i="11"/>
  <c r="BB274" i="11"/>
  <c r="BD274" i="11" s="1"/>
  <c r="BA274" i="11"/>
  <c r="DB274" i="11"/>
  <c r="DD274" i="11" s="1"/>
  <c r="X274" i="11"/>
  <c r="DA274" i="11"/>
  <c r="BZ274" i="11"/>
  <c r="CB274" i="11"/>
  <c r="W275" i="11"/>
  <c r="DM274" i="11"/>
  <c r="CZ274" i="11"/>
  <c r="AN274" i="11"/>
  <c r="DC274" i="11"/>
  <c r="DP274" i="11"/>
  <c r="BM274" i="11"/>
  <c r="AM274" i="11"/>
  <c r="CA274" i="11"/>
  <c r="B275" i="11"/>
  <c r="A275" i="11" s="1"/>
  <c r="C276" i="11"/>
  <c r="M274" i="11" l="1"/>
  <c r="L274" i="11"/>
  <c r="EI275" i="11"/>
  <c r="EH275" i="11"/>
  <c r="EC275" i="11"/>
  <c r="EA275" i="11"/>
  <c r="DZ275" i="11"/>
  <c r="M241" i="12"/>
  <c r="V241" i="12"/>
  <c r="W241" i="12" s="1"/>
  <c r="A242" i="12"/>
  <c r="N242" i="12" s="1"/>
  <c r="P275" i="11"/>
  <c r="DF273" i="11"/>
  <c r="BF273" i="11"/>
  <c r="BS273" i="11"/>
  <c r="BX273" i="11"/>
  <c r="BK272" i="11"/>
  <c r="BL272" i="11" s="1"/>
  <c r="DJ272" i="11"/>
  <c r="DL272" i="11" s="1"/>
  <c r="AW272" i="11"/>
  <c r="AX272" i="11"/>
  <c r="BX272" i="11"/>
  <c r="BK273" i="11"/>
  <c r="BW272" i="11"/>
  <c r="B243" i="12"/>
  <c r="CL272" i="11"/>
  <c r="AB275" i="11"/>
  <c r="CW273" i="11"/>
  <c r="CK273" i="11"/>
  <c r="CJ273" i="11"/>
  <c r="CF274" i="11"/>
  <c r="CD274" i="11"/>
  <c r="CQ274" i="11"/>
  <c r="CX273" i="11"/>
  <c r="AQ274" i="11"/>
  <c r="AR274" i="11" s="1"/>
  <c r="AT274" i="11" s="1"/>
  <c r="CY272" i="11"/>
  <c r="DE274" i="11"/>
  <c r="DG274" i="11" s="1"/>
  <c r="BR274" i="11"/>
  <c r="BT274" i="11" s="1"/>
  <c r="BE274" i="11"/>
  <c r="BG274" i="11" s="1"/>
  <c r="CE275" i="11"/>
  <c r="CG275" i="11" s="1"/>
  <c r="DV275" i="11"/>
  <c r="DU275" i="11"/>
  <c r="DH275" i="11"/>
  <c r="DI275" i="11"/>
  <c r="CR275" i="11"/>
  <c r="CT275" i="11" s="1"/>
  <c r="CV275" i="11"/>
  <c r="CU275" i="11"/>
  <c r="CH275" i="11"/>
  <c r="CI275" i="11"/>
  <c r="BU275" i="11"/>
  <c r="BV275" i="11"/>
  <c r="BI275" i="11"/>
  <c r="BH275" i="11"/>
  <c r="AU275" i="11"/>
  <c r="AV275" i="11"/>
  <c r="AH275" i="11"/>
  <c r="AI275" i="11"/>
  <c r="DN275" i="11"/>
  <c r="CA275" i="11"/>
  <c r="CM275" i="11"/>
  <c r="DA275" i="11"/>
  <c r="X275" i="11"/>
  <c r="BP275" i="11"/>
  <c r="BM275" i="11"/>
  <c r="BN275" i="11"/>
  <c r="AN275" i="11"/>
  <c r="DP275" i="11"/>
  <c r="AM275" i="11"/>
  <c r="DC275" i="11"/>
  <c r="BO275" i="11"/>
  <c r="BQ275" i="11" s="1"/>
  <c r="CC275" i="11"/>
  <c r="BA275" i="11"/>
  <c r="DM275" i="11"/>
  <c r="AZ275" i="11"/>
  <c r="DB275" i="11"/>
  <c r="DD275" i="11" s="1"/>
  <c r="AO275" i="11"/>
  <c r="CP275" i="11"/>
  <c r="CO275" i="11"/>
  <c r="CB275" i="11"/>
  <c r="BB275" i="11"/>
  <c r="BD275" i="11" s="1"/>
  <c r="BZ275" i="11"/>
  <c r="CN275" i="11"/>
  <c r="Y275" i="11"/>
  <c r="W276" i="11"/>
  <c r="CZ275" i="11"/>
  <c r="AA275" i="11"/>
  <c r="AP275" i="11"/>
  <c r="BC275" i="11"/>
  <c r="B276" i="11"/>
  <c r="A276" i="11" s="1"/>
  <c r="C277" i="11"/>
  <c r="M275" i="11" l="1"/>
  <c r="M242" i="12"/>
  <c r="V242" i="12"/>
  <c r="W242" i="12" s="1"/>
  <c r="L275" i="11"/>
  <c r="EI276" i="11"/>
  <c r="EH276" i="11"/>
  <c r="EC276" i="11"/>
  <c r="EA276" i="11"/>
  <c r="DZ276" i="11"/>
  <c r="A243" i="12"/>
  <c r="V243" i="12" s="1"/>
  <c r="W243" i="12" s="1"/>
  <c r="P276" i="11"/>
  <c r="BF274" i="11"/>
  <c r="BS274" i="11"/>
  <c r="DF274" i="11"/>
  <c r="DK274" i="11"/>
  <c r="BY272" i="11"/>
  <c r="AS274" i="11"/>
  <c r="BW273" i="11"/>
  <c r="BY273" i="11" s="1"/>
  <c r="AY272" i="11"/>
  <c r="DK273" i="11"/>
  <c r="BJ273" i="11"/>
  <c r="BL273" i="11" s="1"/>
  <c r="AW273" i="11"/>
  <c r="AX273" i="11"/>
  <c r="AS273" i="11"/>
  <c r="B244" i="12"/>
  <c r="DJ273" i="11"/>
  <c r="CL273" i="11"/>
  <c r="CY273" i="11"/>
  <c r="AP276" i="11"/>
  <c r="CJ274" i="11"/>
  <c r="CK274" i="11"/>
  <c r="AB276" i="11"/>
  <c r="BR275" i="11"/>
  <c r="BT275" i="11" s="1"/>
  <c r="CW274" i="11"/>
  <c r="CS274" i="11"/>
  <c r="CF275" i="11"/>
  <c r="CD275" i="11"/>
  <c r="CS275" i="11"/>
  <c r="CQ275" i="11"/>
  <c r="CX274" i="11"/>
  <c r="AQ275" i="11"/>
  <c r="AR275" i="11" s="1"/>
  <c r="AT275" i="11" s="1"/>
  <c r="CX275" i="11"/>
  <c r="CK275" i="11"/>
  <c r="BX274" i="11"/>
  <c r="BW274" i="11"/>
  <c r="CE276" i="11"/>
  <c r="CG276" i="11" s="1"/>
  <c r="DV276" i="11"/>
  <c r="DU276" i="11"/>
  <c r="DH276" i="11"/>
  <c r="DI276" i="11"/>
  <c r="CV276" i="11"/>
  <c r="CR276" i="11"/>
  <c r="CT276" i="11" s="1"/>
  <c r="CU276" i="11"/>
  <c r="CH276" i="11"/>
  <c r="CI276" i="11"/>
  <c r="BV276" i="11"/>
  <c r="BU276" i="11"/>
  <c r="BH276" i="11"/>
  <c r="BI276" i="11"/>
  <c r="AU276" i="11"/>
  <c r="AV276" i="11"/>
  <c r="AH276" i="11"/>
  <c r="AI276" i="11"/>
  <c r="BE275" i="11"/>
  <c r="BG275" i="11" s="1"/>
  <c r="DE275" i="11"/>
  <c r="DG275" i="11" s="1"/>
  <c r="BC276" i="11"/>
  <c r="BN276" i="11"/>
  <c r="BP276" i="11"/>
  <c r="AO276" i="11"/>
  <c r="BO276" i="11"/>
  <c r="BQ276" i="11" s="1"/>
  <c r="AN276" i="11"/>
  <c r="AA276" i="11"/>
  <c r="BM276" i="11"/>
  <c r="CA276" i="11"/>
  <c r="DA276" i="11"/>
  <c r="DM276" i="11"/>
  <c r="X276" i="11"/>
  <c r="CP276" i="11"/>
  <c r="W277" i="11"/>
  <c r="BZ276" i="11"/>
  <c r="CO276" i="11"/>
  <c r="CM276" i="11"/>
  <c r="DB276" i="11"/>
  <c r="DD276" i="11" s="1"/>
  <c r="BA276" i="11"/>
  <c r="CZ276" i="11"/>
  <c r="Y276" i="11"/>
  <c r="CN276" i="11"/>
  <c r="CC276" i="11"/>
  <c r="CB276" i="11"/>
  <c r="AZ276" i="11"/>
  <c r="AM276" i="11"/>
  <c r="DC276" i="11"/>
  <c r="DP276" i="11"/>
  <c r="BB276" i="11"/>
  <c r="BD276" i="11" s="1"/>
  <c r="DN276" i="11"/>
  <c r="B277" i="11"/>
  <c r="A277" i="11" s="1"/>
  <c r="C278" i="11"/>
  <c r="M243" i="12" l="1"/>
  <c r="M276" i="11"/>
  <c r="L276" i="11"/>
  <c r="N243" i="12"/>
  <c r="DZ277" i="11"/>
  <c r="EI277" i="11"/>
  <c r="EH277" i="11"/>
  <c r="EC277" i="11"/>
  <c r="EA277" i="11"/>
  <c r="A244" i="12"/>
  <c r="M244" i="12" s="1"/>
  <c r="P277" i="11"/>
  <c r="DL273" i="11"/>
  <c r="DF275" i="11"/>
  <c r="DJ275" i="11"/>
  <c r="BF275" i="11"/>
  <c r="BS275" i="11"/>
  <c r="BX275" i="11"/>
  <c r="AW274" i="11"/>
  <c r="DJ274" i="11"/>
  <c r="DL274" i="11" s="1"/>
  <c r="AX274" i="11"/>
  <c r="CL274" i="11"/>
  <c r="BJ274" i="11"/>
  <c r="AS275" i="11"/>
  <c r="AY273" i="11"/>
  <c r="B245" i="12"/>
  <c r="BK274" i="11"/>
  <c r="CJ275" i="11"/>
  <c r="CL275" i="11" s="1"/>
  <c r="CY274" i="11"/>
  <c r="AB277" i="11"/>
  <c r="CX276" i="11"/>
  <c r="CQ276" i="11"/>
  <c r="CF276" i="11"/>
  <c r="CD276" i="11"/>
  <c r="CW275" i="11"/>
  <c r="CY275" i="11" s="1"/>
  <c r="AQ276" i="11"/>
  <c r="AR276" i="11" s="1"/>
  <c r="AT276" i="11" s="1"/>
  <c r="BJ275" i="11"/>
  <c r="BK275" i="11"/>
  <c r="AX275" i="11"/>
  <c r="AW275" i="11"/>
  <c r="BR276" i="11"/>
  <c r="BT276" i="11" s="1"/>
  <c r="DE276" i="11"/>
  <c r="DG276" i="11" s="1"/>
  <c r="BY274" i="11"/>
  <c r="BN277" i="11"/>
  <c r="CE277" i="11"/>
  <c r="CG277" i="11" s="1"/>
  <c r="DU277" i="11"/>
  <c r="DV277" i="11"/>
  <c r="DH277" i="11"/>
  <c r="DI277" i="11"/>
  <c r="CR277" i="11"/>
  <c r="CT277" i="11" s="1"/>
  <c r="CU277" i="11"/>
  <c r="CV277" i="11"/>
  <c r="CH277" i="11"/>
  <c r="CI277" i="11"/>
  <c r="BU277" i="11"/>
  <c r="BV277" i="11"/>
  <c r="BH277" i="11"/>
  <c r="BI277" i="11"/>
  <c r="AU277" i="11"/>
  <c r="AH277" i="11"/>
  <c r="AI277" i="11"/>
  <c r="AV277" i="11"/>
  <c r="BE276" i="11"/>
  <c r="BG276" i="11" s="1"/>
  <c r="BC277" i="11"/>
  <c r="BP277" i="11"/>
  <c r="BO277" i="11"/>
  <c r="BQ277" i="11" s="1"/>
  <c r="AN277" i="11"/>
  <c r="DB277" i="11"/>
  <c r="DD277" i="11" s="1"/>
  <c r="CB277" i="11"/>
  <c r="DN277" i="11"/>
  <c r="AZ277" i="11"/>
  <c r="CM277" i="11"/>
  <c r="CP277" i="11"/>
  <c r="CO277" i="11"/>
  <c r="CA277" i="11"/>
  <c r="BM277" i="11"/>
  <c r="BB277" i="11"/>
  <c r="BD277" i="11" s="1"/>
  <c r="CN277" i="11"/>
  <c r="BZ277" i="11"/>
  <c r="X277" i="11"/>
  <c r="CC277" i="11"/>
  <c r="W278" i="11"/>
  <c r="Y277" i="11"/>
  <c r="DM277" i="11"/>
  <c r="DC277" i="11"/>
  <c r="CZ277" i="11"/>
  <c r="DA277" i="11"/>
  <c r="AA277" i="11"/>
  <c r="DP277" i="11"/>
  <c r="AM277" i="11"/>
  <c r="BA277" i="11"/>
  <c r="AP277" i="11"/>
  <c r="AO277" i="11"/>
  <c r="B278" i="11"/>
  <c r="A278" i="11" s="1"/>
  <c r="C279" i="11"/>
  <c r="M277" i="11" l="1"/>
  <c r="L277" i="11"/>
  <c r="V244" i="12"/>
  <c r="W244" i="12" s="1"/>
  <c r="EI278" i="11"/>
  <c r="EH278" i="11"/>
  <c r="EC278" i="11"/>
  <c r="EA278" i="11"/>
  <c r="DZ278" i="11"/>
  <c r="N244" i="12"/>
  <c r="A245" i="12"/>
  <c r="N245" i="12" s="1"/>
  <c r="P278" i="11"/>
  <c r="AY274" i="11"/>
  <c r="BF276" i="11"/>
  <c r="DF276" i="11"/>
  <c r="BS276" i="11"/>
  <c r="BX276" i="11"/>
  <c r="DK275" i="11"/>
  <c r="DL275" i="11" s="1"/>
  <c r="BL274" i="11"/>
  <c r="BJ276" i="11"/>
  <c r="B246" i="12"/>
  <c r="BW275" i="11"/>
  <c r="BY275" i="11" s="1"/>
  <c r="DJ276" i="11"/>
  <c r="AW276" i="11"/>
  <c r="BL275" i="11"/>
  <c r="CK276" i="11"/>
  <c r="AY275" i="11"/>
  <c r="AB278" i="11"/>
  <c r="DC278" i="11"/>
  <c r="CS277" i="11"/>
  <c r="CQ277" i="11"/>
  <c r="CF277" i="11"/>
  <c r="CD277" i="11"/>
  <c r="CJ276" i="11"/>
  <c r="CW276" i="11"/>
  <c r="CY276" i="11" s="1"/>
  <c r="CS276" i="11"/>
  <c r="AQ277" i="11"/>
  <c r="AR277" i="11" s="1"/>
  <c r="AT277" i="11" s="1"/>
  <c r="CW277" i="11"/>
  <c r="BE277" i="11"/>
  <c r="BG277" i="11" s="1"/>
  <c r="DE277" i="11"/>
  <c r="DG277" i="11" s="1"/>
  <c r="CE278" i="11"/>
  <c r="CG278" i="11" s="1"/>
  <c r="DU278" i="11"/>
  <c r="DV278" i="11"/>
  <c r="DI278" i="11"/>
  <c r="DH278" i="11"/>
  <c r="CR278" i="11"/>
  <c r="CT278" i="11" s="1"/>
  <c r="CV278" i="11"/>
  <c r="CU278" i="11"/>
  <c r="CI278" i="11"/>
  <c r="CH278" i="11"/>
  <c r="BU278" i="11"/>
  <c r="BV278" i="11"/>
  <c r="BH278" i="11"/>
  <c r="BI278" i="11"/>
  <c r="AU278" i="11"/>
  <c r="AV278" i="11"/>
  <c r="AH278" i="11"/>
  <c r="AI278" i="11"/>
  <c r="BR277" i="11"/>
  <c r="BT277" i="11" s="1"/>
  <c r="AP278" i="11"/>
  <c r="BN278" i="11"/>
  <c r="BP278" i="11"/>
  <c r="BO278" i="11"/>
  <c r="DB278" i="11"/>
  <c r="DD278" i="11" s="1"/>
  <c r="BA278" i="11"/>
  <c r="BB278" i="11"/>
  <c r="BD278" i="11" s="1"/>
  <c r="CB278" i="11"/>
  <c r="AM278" i="11"/>
  <c r="BM278" i="11"/>
  <c r="AN278" i="11"/>
  <c r="DP278" i="11"/>
  <c r="DM278" i="11"/>
  <c r="CC278" i="11"/>
  <c r="Y278" i="11"/>
  <c r="CA278" i="11"/>
  <c r="CP278" i="11"/>
  <c r="AA278" i="11"/>
  <c r="BZ278" i="11"/>
  <c r="CO278" i="11"/>
  <c r="CM278" i="11"/>
  <c r="W279" i="11"/>
  <c r="DN278" i="11"/>
  <c r="DA278" i="11"/>
  <c r="CN278" i="11"/>
  <c r="AZ278" i="11"/>
  <c r="X278" i="11"/>
  <c r="AO278" i="11"/>
  <c r="CZ278" i="11"/>
  <c r="BC278" i="11"/>
  <c r="B279" i="11"/>
  <c r="A279" i="11" s="1"/>
  <c r="C280" i="11"/>
  <c r="V245" i="12" l="1"/>
  <c r="W245" i="12" s="1"/>
  <c r="M278" i="11"/>
  <c r="L278" i="11"/>
  <c r="EH279" i="11"/>
  <c r="EC279" i="11"/>
  <c r="EA279" i="11"/>
  <c r="DZ279" i="11"/>
  <c r="EI279" i="11"/>
  <c r="M245" i="12"/>
  <c r="A246" i="12"/>
  <c r="N246" i="12" s="1"/>
  <c r="P279" i="11"/>
  <c r="DF277" i="11"/>
  <c r="BF277" i="11"/>
  <c r="BS277" i="11"/>
  <c r="BW277" i="11"/>
  <c r="BW276" i="11"/>
  <c r="BY276" i="11" s="1"/>
  <c r="DJ277" i="11"/>
  <c r="BK276" i="11"/>
  <c r="BL276" i="11" s="1"/>
  <c r="AS276" i="11"/>
  <c r="DK276" i="11"/>
  <c r="DL276" i="11" s="1"/>
  <c r="AX276" i="11"/>
  <c r="AY276" i="11" s="1"/>
  <c r="B247" i="12"/>
  <c r="AX277" i="11"/>
  <c r="CL276" i="11"/>
  <c r="CK277" i="11"/>
  <c r="CJ277" i="11"/>
  <c r="AB279" i="11"/>
  <c r="BQ278" i="11"/>
  <c r="BR278" i="11" s="1"/>
  <c r="BT278" i="11" s="1"/>
  <c r="CX277" i="11"/>
  <c r="CY277" i="11" s="1"/>
  <c r="CQ278" i="11"/>
  <c r="CK278" i="11"/>
  <c r="CD278" i="11"/>
  <c r="AQ278" i="11"/>
  <c r="AR278" i="11" s="1"/>
  <c r="AT278" i="11" s="1"/>
  <c r="DK277" i="11"/>
  <c r="BE278" i="11"/>
  <c r="BG278" i="11" s="1"/>
  <c r="DE278" i="11"/>
  <c r="DG278" i="11" s="1"/>
  <c r="CW278" i="11"/>
  <c r="CE279" i="11"/>
  <c r="CG279" i="11" s="1"/>
  <c r="DV279" i="11"/>
  <c r="DU279" i="11"/>
  <c r="DH279" i="11"/>
  <c r="DI279" i="11"/>
  <c r="CU279" i="11"/>
  <c r="CR279" i="11"/>
  <c r="CT279" i="11" s="1"/>
  <c r="CV279" i="11"/>
  <c r="CI279" i="11"/>
  <c r="CH279" i="11"/>
  <c r="BV279" i="11"/>
  <c r="BU279" i="11"/>
  <c r="BI279" i="11"/>
  <c r="BH279" i="11"/>
  <c r="AV279" i="11"/>
  <c r="AU279" i="11"/>
  <c r="AH279" i="11"/>
  <c r="AI279" i="11"/>
  <c r="CP279" i="11"/>
  <c r="DM279" i="11"/>
  <c r="BP279" i="11"/>
  <c r="DC279" i="11"/>
  <c r="BN279" i="11"/>
  <c r="X279" i="11"/>
  <c r="AO279" i="11"/>
  <c r="BO279" i="11"/>
  <c r="BQ279" i="11" s="1"/>
  <c r="AP279" i="11"/>
  <c r="DP279" i="11"/>
  <c r="AN279" i="11"/>
  <c r="CA279" i="11"/>
  <c r="BB279" i="11"/>
  <c r="BD279" i="11" s="1"/>
  <c r="W280" i="11"/>
  <c r="BA279" i="11"/>
  <c r="Y279" i="11"/>
  <c r="BM279" i="11"/>
  <c r="DA279" i="11"/>
  <c r="AM279" i="11"/>
  <c r="AZ279" i="11"/>
  <c r="CN279" i="11"/>
  <c r="BC279" i="11"/>
  <c r="DN279" i="11"/>
  <c r="BZ279" i="11"/>
  <c r="CB279" i="11"/>
  <c r="CM279" i="11"/>
  <c r="CO279" i="11"/>
  <c r="CZ279" i="11"/>
  <c r="AA279" i="11"/>
  <c r="CC279" i="11"/>
  <c r="DB279" i="11"/>
  <c r="DD279" i="11" s="1"/>
  <c r="B280" i="11"/>
  <c r="A280" i="11" s="1"/>
  <c r="C281" i="11"/>
  <c r="M279" i="11" l="1"/>
  <c r="L279" i="11"/>
  <c r="EC280" i="11"/>
  <c r="EA280" i="11"/>
  <c r="DZ280" i="11"/>
  <c r="EI280" i="11"/>
  <c r="EH280" i="11"/>
  <c r="M246" i="12"/>
  <c r="V246" i="12"/>
  <c r="W246" i="12" s="1"/>
  <c r="A247" i="12"/>
  <c r="V247" i="12" s="1"/>
  <c r="W247" i="12" s="1"/>
  <c r="P280" i="11"/>
  <c r="DF278" i="11"/>
  <c r="BS278" i="11"/>
  <c r="BW278" i="11"/>
  <c r="BF278" i="11"/>
  <c r="CL277" i="11"/>
  <c r="BX277" i="11"/>
  <c r="BY277" i="11" s="1"/>
  <c r="BK278" i="11"/>
  <c r="AW277" i="11"/>
  <c r="AY277" i="11" s="1"/>
  <c r="BJ277" i="11"/>
  <c r="B248" i="12"/>
  <c r="DK278" i="11"/>
  <c r="BK277" i="11"/>
  <c r="AS278" i="11"/>
  <c r="AS277" i="11"/>
  <c r="DL277" i="11"/>
  <c r="AB280" i="11"/>
  <c r="CJ278" i="11"/>
  <c r="CL278" i="11" s="1"/>
  <c r="CF278" i="11"/>
  <c r="CJ279" i="11"/>
  <c r="CD279" i="11"/>
  <c r="CX278" i="11"/>
  <c r="CY278" i="11" s="1"/>
  <c r="CS278" i="11"/>
  <c r="CQ279" i="11"/>
  <c r="AQ279" i="11"/>
  <c r="AR279" i="11" s="1"/>
  <c r="AT279" i="11" s="1"/>
  <c r="BE279" i="11"/>
  <c r="BG279" i="11" s="1"/>
  <c r="DE279" i="11"/>
  <c r="DG279" i="11" s="1"/>
  <c r="CW279" i="11"/>
  <c r="BR279" i="11"/>
  <c r="BT279" i="11" s="1"/>
  <c r="CE280" i="11"/>
  <c r="CG280" i="11" s="1"/>
  <c r="DU280" i="11"/>
  <c r="DV280" i="11"/>
  <c r="DH280" i="11"/>
  <c r="DI280" i="11"/>
  <c r="CR280" i="11"/>
  <c r="CT280" i="11" s="1"/>
  <c r="CU280" i="11"/>
  <c r="CV280" i="11"/>
  <c r="CI280" i="11"/>
  <c r="CH280" i="11"/>
  <c r="BU280" i="11"/>
  <c r="BV280" i="11"/>
  <c r="BI280" i="11"/>
  <c r="BH280" i="11"/>
  <c r="AV280" i="11"/>
  <c r="AU280" i="11"/>
  <c r="AH280" i="11"/>
  <c r="AI280" i="11"/>
  <c r="BN280" i="11"/>
  <c r="BP280" i="11"/>
  <c r="BO280" i="11"/>
  <c r="BQ280" i="11" s="1"/>
  <c r="CZ280" i="11"/>
  <c r="CN280" i="11"/>
  <c r="AZ280" i="11"/>
  <c r="BA280" i="11"/>
  <c r="CA280" i="11"/>
  <c r="CB280" i="11"/>
  <c r="BZ280" i="11"/>
  <c r="AN280" i="11"/>
  <c r="AO280" i="11"/>
  <c r="DB280" i="11"/>
  <c r="DD280" i="11" s="1"/>
  <c r="DN280" i="11"/>
  <c r="DM280" i="11"/>
  <c r="CP280" i="11"/>
  <c r="AM280" i="11"/>
  <c r="DP280" i="11"/>
  <c r="CO280" i="11"/>
  <c r="CM280" i="11"/>
  <c r="CC280" i="11"/>
  <c r="AA280" i="11"/>
  <c r="BC280" i="11"/>
  <c r="DA280" i="11"/>
  <c r="AP280" i="11"/>
  <c r="BM280" i="11"/>
  <c r="X280" i="11"/>
  <c r="W281" i="11"/>
  <c r="Y280" i="11"/>
  <c r="BB280" i="11"/>
  <c r="BD280" i="11" s="1"/>
  <c r="DC280" i="11"/>
  <c r="B281" i="11"/>
  <c r="A281" i="11" s="1"/>
  <c r="C282" i="11"/>
  <c r="M247" i="12" l="1"/>
  <c r="N247" i="12"/>
  <c r="M280" i="11"/>
  <c r="L280" i="11"/>
  <c r="DZ281" i="11"/>
  <c r="EC281" i="11"/>
  <c r="EA281" i="11"/>
  <c r="EI281" i="11"/>
  <c r="EH281" i="11"/>
  <c r="A248" i="12"/>
  <c r="V248" i="12" s="1"/>
  <c r="W248" i="12" s="1"/>
  <c r="P281" i="11"/>
  <c r="DF279" i="11"/>
  <c r="BF279" i="11"/>
  <c r="BJ279" i="11"/>
  <c r="BS279" i="11"/>
  <c r="BX279" i="11"/>
  <c r="BL277" i="11"/>
  <c r="BJ278" i="11"/>
  <c r="BL278" i="11" s="1"/>
  <c r="DJ278" i="11"/>
  <c r="DL278" i="11" s="1"/>
  <c r="BX278" i="11"/>
  <c r="BY278" i="11" s="1"/>
  <c r="AW278" i="11"/>
  <c r="AX278" i="11"/>
  <c r="B249" i="12"/>
  <c r="AX279" i="11"/>
  <c r="DK279" i="11"/>
  <c r="CQ280" i="11"/>
  <c r="AB281" i="11"/>
  <c r="CX279" i="11"/>
  <c r="CY279" i="11" s="1"/>
  <c r="CS279" i="11"/>
  <c r="CF280" i="11"/>
  <c r="CD280" i="11"/>
  <c r="CK279" i="11"/>
  <c r="CL279" i="11" s="1"/>
  <c r="CF279" i="11"/>
  <c r="AQ280" i="11"/>
  <c r="AR280" i="11" s="1"/>
  <c r="AT280" i="11" s="1"/>
  <c r="CS280" i="11"/>
  <c r="BE280" i="11"/>
  <c r="BG280" i="11" s="1"/>
  <c r="BR280" i="11"/>
  <c r="BT280" i="11" s="1"/>
  <c r="CE281" i="11"/>
  <c r="CG281" i="11" s="1"/>
  <c r="DU281" i="11"/>
  <c r="DV281" i="11"/>
  <c r="DH281" i="11"/>
  <c r="DI281" i="11"/>
  <c r="CR281" i="11"/>
  <c r="CT281" i="11" s="1"/>
  <c r="CV281" i="11"/>
  <c r="CU281" i="11"/>
  <c r="CH281" i="11"/>
  <c r="CI281" i="11"/>
  <c r="BV281" i="11"/>
  <c r="BU281" i="11"/>
  <c r="BH281" i="11"/>
  <c r="BI281" i="11"/>
  <c r="AU281" i="11"/>
  <c r="AV281" i="11"/>
  <c r="AH281" i="11"/>
  <c r="AI281" i="11"/>
  <c r="DE280" i="11"/>
  <c r="DG280" i="11" s="1"/>
  <c r="BC281" i="11"/>
  <c r="DM281" i="11"/>
  <c r="BP281" i="11"/>
  <c r="BN281" i="11"/>
  <c r="CA281" i="11"/>
  <c r="DA281" i="11"/>
  <c r="AO281" i="11"/>
  <c r="BO281" i="11"/>
  <c r="BQ281" i="11" s="1"/>
  <c r="Y281" i="11"/>
  <c r="AA281" i="11"/>
  <c r="CM281" i="11"/>
  <c r="X281" i="11"/>
  <c r="CP281" i="11"/>
  <c r="AP281" i="11"/>
  <c r="CC281" i="11"/>
  <c r="CB281" i="11"/>
  <c r="AZ281" i="11"/>
  <c r="BM281" i="11"/>
  <c r="DC281" i="11"/>
  <c r="CO281" i="11"/>
  <c r="BB281" i="11"/>
  <c r="BD281" i="11" s="1"/>
  <c r="CN281" i="11"/>
  <c r="AM281" i="11"/>
  <c r="DB281" i="11"/>
  <c r="DD281" i="11" s="1"/>
  <c r="DN281" i="11"/>
  <c r="CZ281" i="11"/>
  <c r="AN281" i="11"/>
  <c r="BA281" i="11"/>
  <c r="BZ281" i="11"/>
  <c r="W282" i="11"/>
  <c r="DP281" i="11"/>
  <c r="B282" i="11"/>
  <c r="A282" i="11" s="1"/>
  <c r="C283" i="11"/>
  <c r="L281" i="11" l="1"/>
  <c r="N248" i="12"/>
  <c r="M281" i="11"/>
  <c r="EI282" i="11"/>
  <c r="EA282" i="11"/>
  <c r="DZ282" i="11"/>
  <c r="EH282" i="11"/>
  <c r="EC282" i="11"/>
  <c r="M248" i="12"/>
  <c r="A249" i="12"/>
  <c r="N249" i="12" s="1"/>
  <c r="P282" i="11"/>
  <c r="BS280" i="11"/>
  <c r="BF280" i="11"/>
  <c r="DF280" i="11"/>
  <c r="AS279" i="11"/>
  <c r="AW279" i="11"/>
  <c r="AY279" i="11" s="1"/>
  <c r="DJ279" i="11"/>
  <c r="DL279" i="11" s="1"/>
  <c r="AY278" i="11"/>
  <c r="BW279" i="11"/>
  <c r="BY279" i="11" s="1"/>
  <c r="B250" i="12"/>
  <c r="AX280" i="11"/>
  <c r="BK279" i="11"/>
  <c r="BL279" i="11" s="1"/>
  <c r="BW280" i="11"/>
  <c r="CK280" i="11"/>
  <c r="CJ280" i="11"/>
  <c r="AB282" i="11"/>
  <c r="CS281" i="11"/>
  <c r="CQ281" i="11"/>
  <c r="CJ281" i="11"/>
  <c r="CD281" i="11"/>
  <c r="AQ281" i="11"/>
  <c r="AR281" i="11" s="1"/>
  <c r="AT281" i="11" s="1"/>
  <c r="CW280" i="11"/>
  <c r="CX280" i="11"/>
  <c r="CE282" i="11"/>
  <c r="CG282" i="11" s="1"/>
  <c r="DU282" i="11"/>
  <c r="DV282" i="11"/>
  <c r="DI282" i="11"/>
  <c r="DH282" i="11"/>
  <c r="CU282" i="11"/>
  <c r="CV282" i="11"/>
  <c r="CR282" i="11"/>
  <c r="CT282" i="11" s="1"/>
  <c r="CH282" i="11"/>
  <c r="CI282" i="11"/>
  <c r="BU282" i="11"/>
  <c r="BV282" i="11"/>
  <c r="BH282" i="11"/>
  <c r="BI282" i="11"/>
  <c r="AU282" i="11"/>
  <c r="AV282" i="11"/>
  <c r="AH282" i="11"/>
  <c r="AI282" i="11"/>
  <c r="BR281" i="11"/>
  <c r="BT281" i="11" s="1"/>
  <c r="BE281" i="11"/>
  <c r="BG281" i="11" s="1"/>
  <c r="DE281" i="11"/>
  <c r="DG281" i="11" s="1"/>
  <c r="BN282" i="11"/>
  <c r="BP282" i="11"/>
  <c r="BO282" i="11"/>
  <c r="AM282" i="11"/>
  <c r="BC282" i="11"/>
  <c r="Y282" i="11"/>
  <c r="DM282" i="11"/>
  <c r="CO282" i="11"/>
  <c r="DP282" i="11"/>
  <c r="W283" i="11"/>
  <c r="AZ282" i="11"/>
  <c r="CN282" i="11"/>
  <c r="CM282" i="11"/>
  <c r="X282" i="11"/>
  <c r="CB282" i="11"/>
  <c r="BM282" i="11"/>
  <c r="BB282" i="11"/>
  <c r="BD282" i="11" s="1"/>
  <c r="DA282" i="11"/>
  <c r="AA282" i="11"/>
  <c r="BZ282" i="11"/>
  <c r="BA282" i="11"/>
  <c r="DN282" i="11"/>
  <c r="AO282" i="11"/>
  <c r="DC282" i="11"/>
  <c r="CC282" i="11"/>
  <c r="AN282" i="11"/>
  <c r="CZ282" i="11"/>
  <c r="AP282" i="11"/>
  <c r="DB282" i="11"/>
  <c r="DD282" i="11" s="1"/>
  <c r="CP282" i="11"/>
  <c r="CA282" i="11"/>
  <c r="B283" i="11"/>
  <c r="A283" i="11" s="1"/>
  <c r="C284" i="11"/>
  <c r="L282" i="11" l="1"/>
  <c r="M282" i="11"/>
  <c r="EA283" i="11"/>
  <c r="DZ283" i="11"/>
  <c r="EI283" i="11"/>
  <c r="EH283" i="11"/>
  <c r="EC283" i="11"/>
  <c r="M249" i="12"/>
  <c r="V249" i="12"/>
  <c r="W249" i="12" s="1"/>
  <c r="A250" i="12"/>
  <c r="N250" i="12" s="1"/>
  <c r="P283" i="11"/>
  <c r="DF281" i="11"/>
  <c r="BF281" i="11"/>
  <c r="BK281" i="11"/>
  <c r="BS281" i="11"/>
  <c r="BJ280" i="11"/>
  <c r="BX280" i="11"/>
  <c r="BY280" i="11" s="1"/>
  <c r="AS281" i="11"/>
  <c r="BK280" i="11"/>
  <c r="AS280" i="11"/>
  <c r="DK281" i="11"/>
  <c r="DK280" i="11"/>
  <c r="DJ280" i="11"/>
  <c r="B251" i="12"/>
  <c r="AW280" i="11"/>
  <c r="AY280" i="11" s="1"/>
  <c r="CL280" i="11"/>
  <c r="AB283" i="11"/>
  <c r="CX281" i="11"/>
  <c r="CW281" i="11"/>
  <c r="BQ282" i="11"/>
  <c r="BR282" i="11" s="1"/>
  <c r="BT282" i="11" s="1"/>
  <c r="CK282" i="11"/>
  <c r="CD282" i="11"/>
  <c r="CS282" i="11"/>
  <c r="CQ282" i="11"/>
  <c r="CK281" i="11"/>
  <c r="CL281" i="11" s="1"/>
  <c r="CF281" i="11"/>
  <c r="AQ282" i="11"/>
  <c r="AR282" i="11" s="1"/>
  <c r="AT282" i="11" s="1"/>
  <c r="DE282" i="11"/>
  <c r="DG282" i="11" s="1"/>
  <c r="CY280" i="11"/>
  <c r="BE282" i="11"/>
  <c r="BG282" i="11" s="1"/>
  <c r="CE283" i="11"/>
  <c r="CG283" i="11" s="1"/>
  <c r="DV283" i="11"/>
  <c r="DU283" i="11"/>
  <c r="DH283" i="11"/>
  <c r="DI283" i="11"/>
  <c r="CR283" i="11"/>
  <c r="CT283" i="11" s="1"/>
  <c r="CU283" i="11"/>
  <c r="CV283" i="11"/>
  <c r="CH283" i="11"/>
  <c r="CI283" i="11"/>
  <c r="BU283" i="11"/>
  <c r="BV283" i="11"/>
  <c r="BH283" i="11"/>
  <c r="BI283" i="11"/>
  <c r="AU283" i="11"/>
  <c r="AV283" i="11"/>
  <c r="AH283" i="11"/>
  <c r="AI283" i="11"/>
  <c r="DN283" i="11"/>
  <c r="Y283" i="11"/>
  <c r="AP283" i="11"/>
  <c r="BP283" i="11"/>
  <c r="BN283" i="11"/>
  <c r="CA283" i="11"/>
  <c r="DC283" i="11"/>
  <c r="BM283" i="11"/>
  <c r="CP283" i="11"/>
  <c r="DM283" i="11"/>
  <c r="DB283" i="11"/>
  <c r="DD283" i="11" s="1"/>
  <c r="CB283" i="11"/>
  <c r="BB283" i="11"/>
  <c r="BD283" i="11" s="1"/>
  <c r="AO283" i="11"/>
  <c r="BO283" i="11"/>
  <c r="BQ283" i="11" s="1"/>
  <c r="BA283" i="11"/>
  <c r="CM283" i="11"/>
  <c r="X283" i="11"/>
  <c r="CN283" i="11"/>
  <c r="CZ283" i="11"/>
  <c r="DP283" i="11"/>
  <c r="BZ283" i="11"/>
  <c r="BC283" i="11"/>
  <c r="AN283" i="11"/>
  <c r="AA283" i="11"/>
  <c r="AZ283" i="11"/>
  <c r="CO283" i="11"/>
  <c r="W284" i="11"/>
  <c r="CC283" i="11"/>
  <c r="DA283" i="11"/>
  <c r="AM283" i="11"/>
  <c r="B284" i="11"/>
  <c r="A284" i="11" s="1"/>
  <c r="C285" i="11"/>
  <c r="L283" i="11" l="1"/>
  <c r="M250" i="12"/>
  <c r="V250" i="12"/>
  <c r="W250" i="12" s="1"/>
  <c r="M283" i="11"/>
  <c r="DZ284" i="11"/>
  <c r="EI284" i="11"/>
  <c r="EH284" i="11"/>
  <c r="EC284" i="11"/>
  <c r="EA284" i="11"/>
  <c r="A251" i="12"/>
  <c r="V251" i="12" s="1"/>
  <c r="W251" i="12" s="1"/>
  <c r="P284" i="11"/>
  <c r="DF282" i="11"/>
  <c r="BF282" i="11"/>
  <c r="BJ282" i="11"/>
  <c r="BJ281" i="11"/>
  <c r="BL281" i="11" s="1"/>
  <c r="BX282" i="11"/>
  <c r="BL280" i="11"/>
  <c r="DJ281" i="11"/>
  <c r="DL281" i="11" s="1"/>
  <c r="DL280" i="11"/>
  <c r="AX281" i="11"/>
  <c r="AW281" i="11"/>
  <c r="DK282" i="11"/>
  <c r="BX281" i="11"/>
  <c r="BW281" i="11"/>
  <c r="AS282" i="11"/>
  <c r="B252" i="12"/>
  <c r="CY281" i="11"/>
  <c r="CW282" i="11"/>
  <c r="CX282" i="11"/>
  <c r="BS282" i="11"/>
  <c r="AB284" i="11"/>
  <c r="BR283" i="11"/>
  <c r="BT283" i="11" s="1"/>
  <c r="CW283" i="11"/>
  <c r="CQ283" i="11"/>
  <c r="CJ282" i="11"/>
  <c r="CL282" i="11" s="1"/>
  <c r="CF282" i="11"/>
  <c r="CF283" i="11"/>
  <c r="CD283" i="11"/>
  <c r="AQ283" i="11"/>
  <c r="AR283" i="11" s="1"/>
  <c r="AT283" i="11" s="1"/>
  <c r="BK282" i="11"/>
  <c r="DE283" i="11"/>
  <c r="DG283" i="11" s="1"/>
  <c r="BP284" i="11"/>
  <c r="CE284" i="11"/>
  <c r="CG284" i="11" s="1"/>
  <c r="DV284" i="11"/>
  <c r="DU284" i="11"/>
  <c r="DH284" i="11"/>
  <c r="DI284" i="11"/>
  <c r="CR284" i="11"/>
  <c r="CT284" i="11" s="1"/>
  <c r="CU284" i="11"/>
  <c r="CV284" i="11"/>
  <c r="CH284" i="11"/>
  <c r="CI284" i="11"/>
  <c r="BU284" i="11"/>
  <c r="BV284" i="11"/>
  <c r="BI284" i="11"/>
  <c r="BH284" i="11"/>
  <c r="AU284" i="11"/>
  <c r="AV284" i="11"/>
  <c r="AH284" i="11"/>
  <c r="AI284" i="11"/>
  <c r="BE283" i="11"/>
  <c r="BG283" i="11" s="1"/>
  <c r="CN284" i="11"/>
  <c r="AO284" i="11"/>
  <c r="BN284" i="11"/>
  <c r="BO284" i="11"/>
  <c r="BQ284" i="11" s="1"/>
  <c r="CZ284" i="11"/>
  <c r="DM284" i="11"/>
  <c r="AM284" i="11"/>
  <c r="X284" i="11"/>
  <c r="AP284" i="11"/>
  <c r="BB284" i="11"/>
  <c r="BD284" i="11" s="1"/>
  <c r="DP284" i="11"/>
  <c r="DB284" i="11"/>
  <c r="DD284" i="11" s="1"/>
  <c r="DA284" i="11"/>
  <c r="CA284" i="11"/>
  <c r="BM284" i="11"/>
  <c r="DN284" i="11"/>
  <c r="BA284" i="11"/>
  <c r="CB284" i="11"/>
  <c r="CC284" i="11"/>
  <c r="W285" i="11"/>
  <c r="BZ284" i="11"/>
  <c r="AA284" i="11"/>
  <c r="CM284" i="11"/>
  <c r="BC284" i="11"/>
  <c r="CP284" i="11"/>
  <c r="CO284" i="11"/>
  <c r="AZ284" i="11"/>
  <c r="AN284" i="11"/>
  <c r="DC284" i="11"/>
  <c r="Y284" i="11"/>
  <c r="B285" i="11"/>
  <c r="A285" i="11" s="1"/>
  <c r="C286" i="11"/>
  <c r="L284" i="11" l="1"/>
  <c r="M284" i="11"/>
  <c r="DZ285" i="11"/>
  <c r="EI285" i="11"/>
  <c r="EH285" i="11"/>
  <c r="EC285" i="11"/>
  <c r="EA285" i="11"/>
  <c r="N251" i="12"/>
  <c r="M251" i="12"/>
  <c r="A252" i="12"/>
  <c r="M252" i="12" s="1"/>
  <c r="P285" i="11"/>
  <c r="BF283" i="11"/>
  <c r="BS283" i="11"/>
  <c r="BX283" i="11"/>
  <c r="DF283" i="11"/>
  <c r="DJ283" i="11"/>
  <c r="BW282" i="11"/>
  <c r="BY282" i="11" s="1"/>
  <c r="DJ282" i="11"/>
  <c r="DL282" i="11" s="1"/>
  <c r="BY281" i="11"/>
  <c r="AY281" i="11"/>
  <c r="CY282" i="11"/>
  <c r="AX282" i="11"/>
  <c r="AW282" i="11"/>
  <c r="B253" i="12"/>
  <c r="BK283" i="11"/>
  <c r="AX283" i="11"/>
  <c r="AB285" i="11"/>
  <c r="CF284" i="11"/>
  <c r="CD284" i="11"/>
  <c r="CX284" i="11"/>
  <c r="CQ284" i="11"/>
  <c r="CJ283" i="11"/>
  <c r="CK283" i="11"/>
  <c r="CX283" i="11"/>
  <c r="CY283" i="11" s="1"/>
  <c r="CS283" i="11"/>
  <c r="AQ284" i="11"/>
  <c r="AR284" i="11" s="1"/>
  <c r="AT284" i="11" s="1"/>
  <c r="BL282" i="11"/>
  <c r="BR284" i="11"/>
  <c r="BT284" i="11" s="1"/>
  <c r="CE285" i="11"/>
  <c r="CG285" i="11" s="1"/>
  <c r="DU285" i="11"/>
  <c r="DV285" i="11"/>
  <c r="DI285" i="11"/>
  <c r="DH285" i="11"/>
  <c r="CV285" i="11"/>
  <c r="CR285" i="11"/>
  <c r="CT285" i="11" s="1"/>
  <c r="CU285" i="11"/>
  <c r="CI285" i="11"/>
  <c r="CH285" i="11"/>
  <c r="BU285" i="11"/>
  <c r="BV285" i="11"/>
  <c r="BH285" i="11"/>
  <c r="BI285" i="11"/>
  <c r="AU285" i="11"/>
  <c r="AV285" i="11"/>
  <c r="AH285" i="11"/>
  <c r="AI285" i="11"/>
  <c r="BE284" i="11"/>
  <c r="BG284" i="11" s="1"/>
  <c r="DE284" i="11"/>
  <c r="DG284" i="11" s="1"/>
  <c r="BN285" i="11"/>
  <c r="CN285" i="11"/>
  <c r="BP285" i="11"/>
  <c r="BC285" i="11"/>
  <c r="CM285" i="11"/>
  <c r="BO285" i="11"/>
  <c r="BQ285" i="11" s="1"/>
  <c r="Y285" i="11"/>
  <c r="DM285" i="11"/>
  <c r="AA285" i="11"/>
  <c r="CC285" i="11"/>
  <c r="DP285" i="11"/>
  <c r="DB285" i="11"/>
  <c r="DD285" i="11" s="1"/>
  <c r="DC285" i="11"/>
  <c r="AN285" i="11"/>
  <c r="BZ285" i="11"/>
  <c r="CB285" i="11"/>
  <c r="BB285" i="11"/>
  <c r="BD285" i="11" s="1"/>
  <c r="BM285" i="11"/>
  <c r="AZ285" i="11"/>
  <c r="DN285" i="11"/>
  <c r="CA285" i="11"/>
  <c r="AP285" i="11"/>
  <c r="BA285" i="11"/>
  <c r="DA285" i="11"/>
  <c r="CZ285" i="11"/>
  <c r="W286" i="11"/>
  <c r="CO285" i="11"/>
  <c r="X285" i="11"/>
  <c r="CP285" i="11"/>
  <c r="AM285" i="11"/>
  <c r="AO285" i="11"/>
  <c r="B286" i="11"/>
  <c r="A286" i="11" s="1"/>
  <c r="C287" i="11"/>
  <c r="L285" i="11" l="1"/>
  <c r="M285" i="11"/>
  <c r="V252" i="12"/>
  <c r="W252" i="12" s="1"/>
  <c r="EI286" i="11"/>
  <c r="EH286" i="11"/>
  <c r="EC286" i="11"/>
  <c r="EA286" i="11"/>
  <c r="DZ286" i="11"/>
  <c r="N252" i="12"/>
  <c r="A253" i="12"/>
  <c r="M253" i="12" s="1"/>
  <c r="P286" i="11"/>
  <c r="DF284" i="11"/>
  <c r="BF284" i="11"/>
  <c r="BS284" i="11"/>
  <c r="BX284" i="11"/>
  <c r="BJ283" i="11"/>
  <c r="BL283" i="11" s="1"/>
  <c r="AY282" i="11"/>
  <c r="AW283" i="11"/>
  <c r="AY283" i="11" s="1"/>
  <c r="AS283" i="11"/>
  <c r="BW283" i="11"/>
  <c r="BY283" i="11" s="1"/>
  <c r="DJ284" i="11"/>
  <c r="B254" i="12"/>
  <c r="DK283" i="11"/>
  <c r="DL283" i="11" s="1"/>
  <c r="AS284" i="11"/>
  <c r="BJ284" i="11"/>
  <c r="CK284" i="11"/>
  <c r="CL283" i="11"/>
  <c r="CJ284" i="11"/>
  <c r="AB286" i="11"/>
  <c r="CX285" i="11"/>
  <c r="CQ285" i="11"/>
  <c r="CW284" i="11"/>
  <c r="CY284" i="11" s="1"/>
  <c r="CS284" i="11"/>
  <c r="CF285" i="11"/>
  <c r="CD285" i="11"/>
  <c r="AQ285" i="11"/>
  <c r="AR285" i="11" s="1"/>
  <c r="AT285" i="11" s="1"/>
  <c r="DK284" i="11"/>
  <c r="BR285" i="11"/>
  <c r="BT285" i="11" s="1"/>
  <c r="CE286" i="11"/>
  <c r="CG286" i="11" s="1"/>
  <c r="DU286" i="11"/>
  <c r="DV286" i="11"/>
  <c r="DI286" i="11"/>
  <c r="DH286" i="11"/>
  <c r="CU286" i="11"/>
  <c r="CV286" i="11"/>
  <c r="CR286" i="11"/>
  <c r="CT286" i="11" s="1"/>
  <c r="CH286" i="11"/>
  <c r="CI286" i="11"/>
  <c r="BU286" i="11"/>
  <c r="BV286" i="11"/>
  <c r="BH286" i="11"/>
  <c r="BI286" i="11"/>
  <c r="AU286" i="11"/>
  <c r="AV286" i="11"/>
  <c r="AH286" i="11"/>
  <c r="AI286" i="11"/>
  <c r="DE285" i="11"/>
  <c r="DG285" i="11" s="1"/>
  <c r="BE285" i="11"/>
  <c r="BG285" i="11" s="1"/>
  <c r="DA286" i="11"/>
  <c r="Y286" i="11"/>
  <c r="BP286" i="11"/>
  <c r="BN286" i="11"/>
  <c r="CO286" i="11"/>
  <c r="AO286" i="11"/>
  <c r="BO286" i="11"/>
  <c r="BA286" i="11"/>
  <c r="AN286" i="11"/>
  <c r="AM286" i="11"/>
  <c r="DM286" i="11"/>
  <c r="CP286" i="11"/>
  <c r="CM286" i="11"/>
  <c r="BC286" i="11"/>
  <c r="DC286" i="11"/>
  <c r="X286" i="11"/>
  <c r="CZ286" i="11"/>
  <c r="AP286" i="11"/>
  <c r="BB286" i="11"/>
  <c r="BD286" i="11" s="1"/>
  <c r="CA286" i="11"/>
  <c r="DB286" i="11"/>
  <c r="DD286" i="11" s="1"/>
  <c r="W287" i="11"/>
  <c r="BM286" i="11"/>
  <c r="DP286" i="11"/>
  <c r="CC286" i="11"/>
  <c r="DN286" i="11"/>
  <c r="CB286" i="11"/>
  <c r="AA286" i="11"/>
  <c r="AZ286" i="11"/>
  <c r="BZ286" i="11"/>
  <c r="CN286" i="11"/>
  <c r="B287" i="11"/>
  <c r="A287" i="11" s="1"/>
  <c r="C288" i="11"/>
  <c r="M286" i="11" l="1"/>
  <c r="L286" i="11"/>
  <c r="EI287" i="11"/>
  <c r="EH287" i="11"/>
  <c r="EC287" i="11"/>
  <c r="EA287" i="11"/>
  <c r="DZ287" i="11"/>
  <c r="V253" i="12"/>
  <c r="W253" i="12" s="1"/>
  <c r="N253" i="12"/>
  <c r="A254" i="12"/>
  <c r="M254" i="12" s="1"/>
  <c r="P287" i="11"/>
  <c r="BS285" i="11"/>
  <c r="BF285" i="11"/>
  <c r="DF285" i="11"/>
  <c r="DJ285" i="11"/>
  <c r="AW284" i="11"/>
  <c r="BK284" i="11"/>
  <c r="BL284" i="11" s="1"/>
  <c r="AX284" i="11"/>
  <c r="BK285" i="11"/>
  <c r="B255" i="12"/>
  <c r="BW284" i="11"/>
  <c r="BY284" i="11" s="1"/>
  <c r="AX285" i="11"/>
  <c r="CK285" i="11"/>
  <c r="CL284" i="11"/>
  <c r="CJ285" i="11"/>
  <c r="AB287" i="11"/>
  <c r="BQ286" i="11"/>
  <c r="BR286" i="11" s="1"/>
  <c r="BT286" i="11" s="1"/>
  <c r="CF286" i="11"/>
  <c r="CD286" i="11"/>
  <c r="CW285" i="11"/>
  <c r="CY285" i="11" s="1"/>
  <c r="CS285" i="11"/>
  <c r="CW286" i="11"/>
  <c r="CQ286" i="11"/>
  <c r="AQ286" i="11"/>
  <c r="AR286" i="11" s="1"/>
  <c r="AT286" i="11" s="1"/>
  <c r="DL284" i="11"/>
  <c r="BE286" i="11"/>
  <c r="BG286" i="11" s="1"/>
  <c r="DE286" i="11"/>
  <c r="DG286" i="11" s="1"/>
  <c r="CE287" i="11"/>
  <c r="CG287" i="11" s="1"/>
  <c r="DV287" i="11"/>
  <c r="DU287" i="11"/>
  <c r="DH287" i="11"/>
  <c r="DI287" i="11"/>
  <c r="CR287" i="11"/>
  <c r="CT287" i="11" s="1"/>
  <c r="CU287" i="11"/>
  <c r="CV287" i="11"/>
  <c r="CH287" i="11"/>
  <c r="CI287" i="11"/>
  <c r="BV287" i="11"/>
  <c r="BH287" i="11"/>
  <c r="BI287" i="11"/>
  <c r="BU287" i="11"/>
  <c r="AV287" i="11"/>
  <c r="AI287" i="11"/>
  <c r="AU287" i="11"/>
  <c r="AH287" i="11"/>
  <c r="X287" i="11"/>
  <c r="BN287" i="11"/>
  <c r="BP287" i="11"/>
  <c r="BO287" i="11"/>
  <c r="BQ287" i="11" s="1"/>
  <c r="BA287" i="11"/>
  <c r="AN287" i="11"/>
  <c r="DB287" i="11"/>
  <c r="DD287" i="11" s="1"/>
  <c r="CP287" i="11"/>
  <c r="DN287" i="11"/>
  <c r="BZ287" i="11"/>
  <c r="CM287" i="11"/>
  <c r="AZ287" i="11"/>
  <c r="CC287" i="11"/>
  <c r="CA287" i="11"/>
  <c r="DA287" i="11"/>
  <c r="AM287" i="11"/>
  <c r="AO287" i="11"/>
  <c r="AA287" i="11"/>
  <c r="BB287" i="11"/>
  <c r="BD287" i="11" s="1"/>
  <c r="CZ287" i="11"/>
  <c r="DM287" i="11"/>
  <c r="CO287" i="11"/>
  <c r="DP287" i="11"/>
  <c r="CN287" i="11"/>
  <c r="CB287" i="11"/>
  <c r="AP287" i="11"/>
  <c r="DC287" i="11"/>
  <c r="W288" i="11"/>
  <c r="BM287" i="11"/>
  <c r="BC287" i="11"/>
  <c r="Y287" i="11"/>
  <c r="B288" i="11"/>
  <c r="A288" i="11" s="1"/>
  <c r="C289" i="11"/>
  <c r="L287" i="11" l="1"/>
  <c r="M287" i="11"/>
  <c r="EI288" i="11"/>
  <c r="EH288" i="11"/>
  <c r="EC288" i="11"/>
  <c r="EA288" i="11"/>
  <c r="DZ288" i="11"/>
  <c r="N254" i="12"/>
  <c r="V254" i="12"/>
  <c r="W254" i="12" s="1"/>
  <c r="A255" i="12"/>
  <c r="V255" i="12" s="1"/>
  <c r="W255" i="12" s="1"/>
  <c r="P288" i="11"/>
  <c r="DF286" i="11"/>
  <c r="DK286" i="11"/>
  <c r="BF286" i="11"/>
  <c r="BK286" i="11"/>
  <c r="BS286" i="11"/>
  <c r="BX286" i="11"/>
  <c r="AY284" i="11"/>
  <c r="BJ285" i="11"/>
  <c r="BL285" i="11" s="1"/>
  <c r="AS286" i="11"/>
  <c r="DK285" i="11"/>
  <c r="DL285" i="11" s="1"/>
  <c r="AW285" i="11"/>
  <c r="AY285" i="11" s="1"/>
  <c r="BW285" i="11"/>
  <c r="BX285" i="11"/>
  <c r="B256" i="12"/>
  <c r="AS285" i="11"/>
  <c r="CL285" i="11"/>
  <c r="CK286" i="11"/>
  <c r="CJ286" i="11"/>
  <c r="AB288" i="11"/>
  <c r="CS287" i="11"/>
  <c r="CQ287" i="11"/>
  <c r="CX286" i="11"/>
  <c r="CY286" i="11" s="1"/>
  <c r="CS286" i="11"/>
  <c r="CF287" i="11"/>
  <c r="CD287" i="11"/>
  <c r="AQ287" i="11"/>
  <c r="AR287" i="11" s="1"/>
  <c r="AT287" i="11" s="1"/>
  <c r="BR287" i="11"/>
  <c r="BT287" i="11" s="1"/>
  <c r="DE287" i="11"/>
  <c r="DG287" i="11" s="1"/>
  <c r="BE287" i="11"/>
  <c r="BG287" i="11" s="1"/>
  <c r="CE288" i="11"/>
  <c r="CG288" i="11" s="1"/>
  <c r="DU288" i="11"/>
  <c r="DV288" i="11"/>
  <c r="DH288" i="11"/>
  <c r="DI288" i="11"/>
  <c r="CU288" i="11"/>
  <c r="CV288" i="11"/>
  <c r="CR288" i="11"/>
  <c r="CT288" i="11" s="1"/>
  <c r="CH288" i="11"/>
  <c r="CI288" i="11"/>
  <c r="BU288" i="11"/>
  <c r="BV288" i="11"/>
  <c r="BH288" i="11"/>
  <c r="BI288" i="11"/>
  <c r="AU288" i="11"/>
  <c r="AV288" i="11"/>
  <c r="AH288" i="11"/>
  <c r="AI288" i="11"/>
  <c r="Y288" i="11"/>
  <c r="BN288" i="11"/>
  <c r="BP288" i="11"/>
  <c r="AM288" i="11"/>
  <c r="BO288" i="11"/>
  <c r="CA288" i="11"/>
  <c r="DP288" i="11"/>
  <c r="BC288" i="11"/>
  <c r="AP288" i="11"/>
  <c r="CC288" i="11"/>
  <c r="CN288" i="11"/>
  <c r="BA288" i="11"/>
  <c r="BM288" i="11"/>
  <c r="DM288" i="11"/>
  <c r="DN288" i="11"/>
  <c r="X288" i="11"/>
  <c r="CM288" i="11"/>
  <c r="AN288" i="11"/>
  <c r="BB288" i="11"/>
  <c r="BD288" i="11" s="1"/>
  <c r="AZ288" i="11"/>
  <c r="DC288" i="11"/>
  <c r="CZ288" i="11"/>
  <c r="DB288" i="11"/>
  <c r="DD288" i="11" s="1"/>
  <c r="CB288" i="11"/>
  <c r="AA288" i="11"/>
  <c r="W289" i="11"/>
  <c r="CO288" i="11"/>
  <c r="AO288" i="11"/>
  <c r="BZ288" i="11"/>
  <c r="CP288" i="11"/>
  <c r="DA288" i="11"/>
  <c r="B289" i="11"/>
  <c r="A289" i="11" s="1"/>
  <c r="C290" i="11"/>
  <c r="L288" i="11" l="1"/>
  <c r="M288" i="11"/>
  <c r="DZ289" i="11"/>
  <c r="EH289" i="11"/>
  <c r="EC289" i="11"/>
  <c r="EA289" i="11"/>
  <c r="EI289" i="11"/>
  <c r="M255" i="12"/>
  <c r="N255" i="12"/>
  <c r="A256" i="12"/>
  <c r="V256" i="12" s="1"/>
  <c r="W256" i="12" s="1"/>
  <c r="P289" i="11"/>
  <c r="BW286" i="11"/>
  <c r="BY286" i="11" s="1"/>
  <c r="BS287" i="11"/>
  <c r="BF287" i="11"/>
  <c r="DF287" i="11"/>
  <c r="DJ287" i="11"/>
  <c r="AX286" i="11"/>
  <c r="AW286" i="11"/>
  <c r="DJ286" i="11"/>
  <c r="DL286" i="11" s="1"/>
  <c r="BJ286" i="11"/>
  <c r="BL286" i="11" s="1"/>
  <c r="BY285" i="11"/>
  <c r="B257" i="12"/>
  <c r="AX287" i="11"/>
  <c r="BK287" i="11"/>
  <c r="CX287" i="11"/>
  <c r="CJ287" i="11"/>
  <c r="CL286" i="11"/>
  <c r="CQ288" i="11"/>
  <c r="AB289" i="11"/>
  <c r="BQ288" i="11"/>
  <c r="BR288" i="11" s="1"/>
  <c r="BT288" i="11" s="1"/>
  <c r="CW287" i="11"/>
  <c r="CK287" i="11"/>
  <c r="CF288" i="11"/>
  <c r="CD288" i="11"/>
  <c r="AQ288" i="11"/>
  <c r="AR288" i="11" s="1"/>
  <c r="AT288" i="11" s="1"/>
  <c r="BE288" i="11"/>
  <c r="BG288" i="11" s="1"/>
  <c r="BX287" i="11"/>
  <c r="BW287" i="11"/>
  <c r="CK288" i="11"/>
  <c r="CE289" i="11"/>
  <c r="CG289" i="11" s="1"/>
  <c r="DU289" i="11"/>
  <c r="DV289" i="11"/>
  <c r="DH289" i="11"/>
  <c r="DI289" i="11"/>
  <c r="CU289" i="11"/>
  <c r="CR289" i="11"/>
  <c r="CT289" i="11" s="1"/>
  <c r="CV289" i="11"/>
  <c r="CH289" i="11"/>
  <c r="BV289" i="11"/>
  <c r="CI289" i="11"/>
  <c r="BU289" i="11"/>
  <c r="BH289" i="11"/>
  <c r="BI289" i="11"/>
  <c r="AU289" i="11"/>
  <c r="AV289" i="11"/>
  <c r="AH289" i="11"/>
  <c r="AI289" i="11"/>
  <c r="CS288" i="11"/>
  <c r="DE288" i="11"/>
  <c r="DG288" i="11" s="1"/>
  <c r="AM289" i="11"/>
  <c r="BN289" i="11"/>
  <c r="BP289" i="11"/>
  <c r="BO289" i="11"/>
  <c r="BQ289" i="11" s="1"/>
  <c r="AN289" i="11"/>
  <c r="DP289" i="11"/>
  <c r="DN289" i="11"/>
  <c r="CM289" i="11"/>
  <c r="CO289" i="11"/>
  <c r="X289" i="11"/>
  <c r="CP289" i="11"/>
  <c r="AA289" i="11"/>
  <c r="DA289" i="11"/>
  <c r="BZ289" i="11"/>
  <c r="CB289" i="11"/>
  <c r="AP289" i="11"/>
  <c r="BA289" i="11"/>
  <c r="DC289" i="11"/>
  <c r="DM289" i="11"/>
  <c r="W290" i="11"/>
  <c r="CN289" i="11"/>
  <c r="BB289" i="11"/>
  <c r="BD289" i="11" s="1"/>
  <c r="AZ289" i="11"/>
  <c r="BM289" i="11"/>
  <c r="BC289" i="11"/>
  <c r="DB289" i="11"/>
  <c r="DD289" i="11" s="1"/>
  <c r="CC289" i="11"/>
  <c r="AO289" i="11"/>
  <c r="CZ289" i="11"/>
  <c r="Y289" i="11"/>
  <c r="CA289" i="11"/>
  <c r="B290" i="11"/>
  <c r="A290" i="11" s="1"/>
  <c r="C291" i="11"/>
  <c r="M289" i="11" l="1"/>
  <c r="L289" i="11"/>
  <c r="EI290" i="11"/>
  <c r="EC290" i="11"/>
  <c r="EA290" i="11"/>
  <c r="DZ290" i="11"/>
  <c r="EH290" i="11"/>
  <c r="M256" i="12"/>
  <c r="N256" i="12"/>
  <c r="A257" i="12"/>
  <c r="M257" i="12" s="1"/>
  <c r="P290" i="11"/>
  <c r="DF288" i="11"/>
  <c r="BF288" i="11"/>
  <c r="AY286" i="11"/>
  <c r="AS287" i="11"/>
  <c r="AW287" i="11"/>
  <c r="AY287" i="11" s="1"/>
  <c r="DJ288" i="11"/>
  <c r="BK288" i="11"/>
  <c r="BJ287" i="11"/>
  <c r="BL287" i="11" s="1"/>
  <c r="AS288" i="11"/>
  <c r="B258" i="12"/>
  <c r="DK287" i="11"/>
  <c r="DL287" i="11" s="1"/>
  <c r="CY287" i="11"/>
  <c r="CL287" i="11"/>
  <c r="BS288" i="11"/>
  <c r="BX288" i="11"/>
  <c r="BW288" i="11"/>
  <c r="AB290" i="11"/>
  <c r="CJ288" i="11"/>
  <c r="CL288" i="11" s="1"/>
  <c r="CF289" i="11"/>
  <c r="CD289" i="11"/>
  <c r="CS289" i="11"/>
  <c r="CQ289" i="11"/>
  <c r="AQ289" i="11"/>
  <c r="AR289" i="11" s="1"/>
  <c r="AT289" i="11" s="1"/>
  <c r="BY287" i="11"/>
  <c r="BE289" i="11"/>
  <c r="BG289" i="11" s="1"/>
  <c r="CE290" i="11"/>
  <c r="CG290" i="11" s="1"/>
  <c r="DU290" i="11"/>
  <c r="DV290" i="11"/>
  <c r="DI290" i="11"/>
  <c r="DH290" i="11"/>
  <c r="CR290" i="11"/>
  <c r="CT290" i="11" s="1"/>
  <c r="CV290" i="11"/>
  <c r="CU290" i="11"/>
  <c r="CH290" i="11"/>
  <c r="CI290" i="11"/>
  <c r="BU290" i="11"/>
  <c r="BV290" i="11"/>
  <c r="BH290" i="11"/>
  <c r="BI290" i="11"/>
  <c r="AU290" i="11"/>
  <c r="AV290" i="11"/>
  <c r="AH290" i="11"/>
  <c r="AI290" i="11"/>
  <c r="BR289" i="11"/>
  <c r="BT289" i="11" s="1"/>
  <c r="CX288" i="11"/>
  <c r="CW288" i="11"/>
  <c r="DE289" i="11"/>
  <c r="DG289" i="11" s="1"/>
  <c r="BN290" i="11"/>
  <c r="BP290" i="11"/>
  <c r="BO290" i="11"/>
  <c r="BQ290" i="11" s="1"/>
  <c r="DC290" i="11"/>
  <c r="DN290" i="11"/>
  <c r="DP290" i="11"/>
  <c r="AP290" i="11"/>
  <c r="CP290" i="11"/>
  <c r="BA290" i="11"/>
  <c r="Y290" i="11"/>
  <c r="BC290" i="11"/>
  <c r="BB290" i="11"/>
  <c r="BD290" i="11" s="1"/>
  <c r="DB290" i="11"/>
  <c r="DD290" i="11" s="1"/>
  <c r="CM290" i="11"/>
  <c r="CN290" i="11"/>
  <c r="DM290" i="11"/>
  <c r="CC290" i="11"/>
  <c r="AN290" i="11"/>
  <c r="CZ290" i="11"/>
  <c r="CO290" i="11"/>
  <c r="BZ290" i="11"/>
  <c r="X290" i="11"/>
  <c r="CA290" i="11"/>
  <c r="W291" i="11"/>
  <c r="AO290" i="11"/>
  <c r="DA290" i="11"/>
  <c r="AZ290" i="11"/>
  <c r="BM290" i="11"/>
  <c r="CB290" i="11"/>
  <c r="AA290" i="11"/>
  <c r="AM290" i="11"/>
  <c r="B291" i="11"/>
  <c r="A291" i="11" s="1"/>
  <c r="C292" i="11"/>
  <c r="N257" i="12" l="1"/>
  <c r="M290" i="11"/>
  <c r="L290" i="11"/>
  <c r="V257" i="12"/>
  <c r="W257" i="12" s="1"/>
  <c r="EC291" i="11"/>
  <c r="EA291" i="11"/>
  <c r="DZ291" i="11"/>
  <c r="EI291" i="11"/>
  <c r="EH291" i="11"/>
  <c r="A258" i="12"/>
  <c r="N258" i="12" s="1"/>
  <c r="P291" i="11"/>
  <c r="BS289" i="11"/>
  <c r="BF289" i="11"/>
  <c r="BK289" i="11"/>
  <c r="DF289" i="11"/>
  <c r="DK288" i="11"/>
  <c r="DL288" i="11" s="1"/>
  <c r="BJ288" i="11"/>
  <c r="BL288" i="11" s="1"/>
  <c r="AW288" i="11"/>
  <c r="AX288" i="11"/>
  <c r="B259" i="12"/>
  <c r="AS289" i="11"/>
  <c r="BW289" i="11"/>
  <c r="BY288" i="11"/>
  <c r="CJ289" i="11"/>
  <c r="CK289" i="11"/>
  <c r="AB291" i="11"/>
  <c r="CX289" i="11"/>
  <c r="CS290" i="11"/>
  <c r="CQ290" i="11"/>
  <c r="CF290" i="11"/>
  <c r="CD290" i="11"/>
  <c r="CW289" i="11"/>
  <c r="AQ290" i="11"/>
  <c r="AR290" i="11" s="1"/>
  <c r="AT290" i="11" s="1"/>
  <c r="CY288" i="11"/>
  <c r="DE290" i="11"/>
  <c r="DG290" i="11" s="1"/>
  <c r="BR290" i="11"/>
  <c r="BT290" i="11" s="1"/>
  <c r="CE291" i="11"/>
  <c r="CG291" i="11" s="1"/>
  <c r="DV291" i="11"/>
  <c r="DU291" i="11"/>
  <c r="DH291" i="11"/>
  <c r="DI291" i="11"/>
  <c r="CV291" i="11"/>
  <c r="CR291" i="11"/>
  <c r="CT291" i="11" s="1"/>
  <c r="CU291" i="11"/>
  <c r="CH291" i="11"/>
  <c r="CI291" i="11"/>
  <c r="BU291" i="11"/>
  <c r="BV291" i="11"/>
  <c r="BI291" i="11"/>
  <c r="BH291" i="11"/>
  <c r="AU291" i="11"/>
  <c r="AV291" i="11"/>
  <c r="AH291" i="11"/>
  <c r="AI291" i="11"/>
  <c r="BE290" i="11"/>
  <c r="BG290" i="11" s="1"/>
  <c r="CZ291" i="11"/>
  <c r="BP291" i="11"/>
  <c r="BN291" i="11"/>
  <c r="BO291" i="11"/>
  <c r="BQ291" i="11" s="1"/>
  <c r="DP291" i="11"/>
  <c r="AO291" i="11"/>
  <c r="AP291" i="11"/>
  <c r="AN291" i="11"/>
  <c r="CB291" i="11"/>
  <c r="CC291" i="11"/>
  <c r="BB291" i="11"/>
  <c r="BD291" i="11" s="1"/>
  <c r="AM291" i="11"/>
  <c r="AZ291" i="11"/>
  <c r="AA291" i="11"/>
  <c r="DA291" i="11"/>
  <c r="CA291" i="11"/>
  <c r="DN291" i="11"/>
  <c r="BC291" i="11"/>
  <c r="W292" i="11"/>
  <c r="BA291" i="11"/>
  <c r="DM291" i="11"/>
  <c r="BM291" i="11"/>
  <c r="X291" i="11"/>
  <c r="CM291" i="11"/>
  <c r="CP291" i="11"/>
  <c r="Y291" i="11"/>
  <c r="CN291" i="11"/>
  <c r="BZ291" i="11"/>
  <c r="CO291" i="11"/>
  <c r="DB291" i="11"/>
  <c r="DD291" i="11" s="1"/>
  <c r="DC291" i="11"/>
  <c r="B292" i="11"/>
  <c r="A292" i="11" s="1"/>
  <c r="C293" i="11"/>
  <c r="M291" i="11" l="1"/>
  <c r="L291" i="11"/>
  <c r="EC292" i="11"/>
  <c r="EA292" i="11"/>
  <c r="DZ292" i="11"/>
  <c r="EI292" i="11"/>
  <c r="EH292" i="11"/>
  <c r="M258" i="12"/>
  <c r="V258" i="12"/>
  <c r="W258" i="12" s="1"/>
  <c r="A259" i="12"/>
  <c r="V259" i="12" s="1"/>
  <c r="W259" i="12" s="1"/>
  <c r="P292" i="11"/>
  <c r="BS290" i="11"/>
  <c r="DF290" i="11"/>
  <c r="BF290" i="11"/>
  <c r="BJ290" i="11"/>
  <c r="DK290" i="11"/>
  <c r="AY288" i="11"/>
  <c r="AW289" i="11"/>
  <c r="BJ289" i="11"/>
  <c r="BL289" i="11" s="1"/>
  <c r="AX289" i="11"/>
  <c r="BX289" i="11"/>
  <c r="BY289" i="11" s="1"/>
  <c r="DJ289" i="11"/>
  <c r="DK289" i="11"/>
  <c r="BW290" i="11"/>
  <c r="B260" i="12"/>
  <c r="AS290" i="11"/>
  <c r="CL289" i="11"/>
  <c r="CY289" i="11"/>
  <c r="CX290" i="11"/>
  <c r="AB292" i="11"/>
  <c r="CJ290" i="11"/>
  <c r="CF291" i="11"/>
  <c r="CD291" i="11"/>
  <c r="CW290" i="11"/>
  <c r="CS291" i="11"/>
  <c r="CQ291" i="11"/>
  <c r="CK290" i="11"/>
  <c r="AQ291" i="11"/>
  <c r="AR291" i="11" s="1"/>
  <c r="AT291" i="11" s="1"/>
  <c r="CE292" i="11"/>
  <c r="CG292" i="11" s="1"/>
  <c r="DV292" i="11"/>
  <c r="DU292" i="11"/>
  <c r="DH292" i="11"/>
  <c r="DI292" i="11"/>
  <c r="CR292" i="11"/>
  <c r="CT292" i="11" s="1"/>
  <c r="CV292" i="11"/>
  <c r="CH292" i="11"/>
  <c r="CU292" i="11"/>
  <c r="CI292" i="11"/>
  <c r="BU292" i="11"/>
  <c r="BV292" i="11"/>
  <c r="BH292" i="11"/>
  <c r="BI292" i="11"/>
  <c r="AU292" i="11"/>
  <c r="AV292" i="11"/>
  <c r="AH292" i="11"/>
  <c r="AI292" i="11"/>
  <c r="BE291" i="11"/>
  <c r="BG291" i="11" s="1"/>
  <c r="BR291" i="11"/>
  <c r="BT291" i="11" s="1"/>
  <c r="DE291" i="11"/>
  <c r="DG291" i="11" s="1"/>
  <c r="BP292" i="11"/>
  <c r="BN292" i="11"/>
  <c r="BO292" i="11"/>
  <c r="BQ292" i="11" s="1"/>
  <c r="DA292" i="11"/>
  <c r="X292" i="11"/>
  <c r="AO292" i="11"/>
  <c r="DB292" i="11"/>
  <c r="DD292" i="11" s="1"/>
  <c r="CO292" i="11"/>
  <c r="BZ292" i="11"/>
  <c r="DM292" i="11"/>
  <c r="AZ292" i="11"/>
  <c r="AM292" i="11"/>
  <c r="CC292" i="11"/>
  <c r="BM292" i="11"/>
  <c r="CN292" i="11"/>
  <c r="Y292" i="11"/>
  <c r="BB292" i="11"/>
  <c r="BD292" i="11" s="1"/>
  <c r="AP292" i="11"/>
  <c r="CB292" i="11"/>
  <c r="DN292" i="11"/>
  <c r="CP292" i="11"/>
  <c r="DC292" i="11"/>
  <c r="CM292" i="11"/>
  <c r="CA292" i="11"/>
  <c r="W293" i="11"/>
  <c r="AA292" i="11"/>
  <c r="AN292" i="11"/>
  <c r="DP292" i="11"/>
  <c r="BA292" i="11"/>
  <c r="BC292" i="11"/>
  <c r="CZ292" i="11"/>
  <c r="B293" i="11"/>
  <c r="A293" i="11" s="1"/>
  <c r="C294" i="11"/>
  <c r="M259" i="12" l="1"/>
  <c r="N259" i="12"/>
  <c r="M292" i="11"/>
  <c r="L292" i="11"/>
  <c r="DZ293" i="11"/>
  <c r="EA293" i="11"/>
  <c r="EI293" i="11"/>
  <c r="EH293" i="11"/>
  <c r="EC293" i="11"/>
  <c r="A260" i="12"/>
  <c r="M260" i="12" s="1"/>
  <c r="P293" i="11"/>
  <c r="DL289" i="11"/>
  <c r="BS291" i="11"/>
  <c r="BF291" i="11"/>
  <c r="DF291" i="11"/>
  <c r="AY289" i="11"/>
  <c r="AX290" i="11"/>
  <c r="DJ290" i="11"/>
  <c r="DL290" i="11" s="1"/>
  <c r="AW290" i="11"/>
  <c r="BK290" i="11"/>
  <c r="BL290" i="11" s="1"/>
  <c r="BX290" i="11"/>
  <c r="BY290" i="11" s="1"/>
  <c r="B261" i="12"/>
  <c r="AW291" i="11"/>
  <c r="BX291" i="11"/>
  <c r="CW291" i="11"/>
  <c r="CJ291" i="11"/>
  <c r="CL290" i="11"/>
  <c r="BR292" i="11"/>
  <c r="BT292" i="11" s="1"/>
  <c r="CX291" i="11"/>
  <c r="CY290" i="11"/>
  <c r="AB293" i="11"/>
  <c r="CX292" i="11"/>
  <c r="CQ292" i="11"/>
  <c r="CF292" i="11"/>
  <c r="CD292" i="11"/>
  <c r="CK291" i="11"/>
  <c r="AQ292" i="11"/>
  <c r="AR292" i="11" s="1"/>
  <c r="AT292" i="11" s="1"/>
  <c r="DJ291" i="11"/>
  <c r="DK291" i="11"/>
  <c r="CE293" i="11"/>
  <c r="CG293" i="11" s="1"/>
  <c r="DU293" i="11"/>
  <c r="DV293" i="11"/>
  <c r="DI293" i="11"/>
  <c r="DH293" i="11"/>
  <c r="CU293" i="11"/>
  <c r="CV293" i="11"/>
  <c r="CR293" i="11"/>
  <c r="CT293" i="11" s="1"/>
  <c r="CH293" i="11"/>
  <c r="CI293" i="11"/>
  <c r="BV293" i="11"/>
  <c r="BU293" i="11"/>
  <c r="BH293" i="11"/>
  <c r="BI293" i="11"/>
  <c r="AV293" i="11"/>
  <c r="AH293" i="11"/>
  <c r="AU293" i="11"/>
  <c r="AI293" i="11"/>
  <c r="BE292" i="11"/>
  <c r="BG292" i="11" s="1"/>
  <c r="DE292" i="11"/>
  <c r="DG292" i="11" s="1"/>
  <c r="BN293" i="11"/>
  <c r="BP293" i="11"/>
  <c r="CB293" i="11"/>
  <c r="AO293" i="11"/>
  <c r="BO293" i="11"/>
  <c r="BQ293" i="11" s="1"/>
  <c r="AM293" i="11"/>
  <c r="CO293" i="11"/>
  <c r="DM293" i="11"/>
  <c r="AZ293" i="11"/>
  <c r="X293" i="11"/>
  <c r="CA293" i="11"/>
  <c r="AP293" i="11"/>
  <c r="CC293" i="11"/>
  <c r="BZ293" i="11"/>
  <c r="DB293" i="11"/>
  <c r="DD293" i="11" s="1"/>
  <c r="BC293" i="11"/>
  <c r="CN293" i="11"/>
  <c r="DA293" i="11"/>
  <c r="BM293" i="11"/>
  <c r="Y293" i="11"/>
  <c r="DC293" i="11"/>
  <c r="BA293" i="11"/>
  <c r="AN293" i="11"/>
  <c r="DN293" i="11"/>
  <c r="W294" i="11"/>
  <c r="CZ293" i="11"/>
  <c r="CP293" i="11"/>
  <c r="DP293" i="11"/>
  <c r="BB293" i="11"/>
  <c r="BD293" i="11" s="1"/>
  <c r="AA293" i="11"/>
  <c r="CM293" i="11"/>
  <c r="B294" i="11"/>
  <c r="A294" i="11" s="1"/>
  <c r="C295" i="11"/>
  <c r="M293" i="11" l="1"/>
  <c r="L293" i="11"/>
  <c r="EI294" i="11"/>
  <c r="EA294" i="11"/>
  <c r="DZ294" i="11"/>
  <c r="EH294" i="11"/>
  <c r="EC294" i="11"/>
  <c r="V260" i="12"/>
  <c r="W260" i="12" s="1"/>
  <c r="N260" i="12"/>
  <c r="A261" i="12"/>
  <c r="N261" i="12" s="1"/>
  <c r="P294" i="11"/>
  <c r="DF292" i="11"/>
  <c r="BF292" i="11"/>
  <c r="BS292" i="11"/>
  <c r="BX292" i="11"/>
  <c r="DL291" i="11"/>
  <c r="AY290" i="11"/>
  <c r="AX291" i="11"/>
  <c r="AY291" i="11" s="1"/>
  <c r="BW291" i="11"/>
  <c r="BY291" i="11" s="1"/>
  <c r="AW292" i="11"/>
  <c r="B262" i="12"/>
  <c r="BK291" i="11"/>
  <c r="BJ291" i="11"/>
  <c r="AS291" i="11"/>
  <c r="CL291" i="11"/>
  <c r="CK292" i="11"/>
  <c r="CJ292" i="11"/>
  <c r="CY291" i="11"/>
  <c r="BR293" i="11"/>
  <c r="BT293" i="11" s="1"/>
  <c r="AB294" i="11"/>
  <c r="CS293" i="11"/>
  <c r="CQ293" i="11"/>
  <c r="CF293" i="11"/>
  <c r="CD293" i="11"/>
  <c r="CW292" i="11"/>
  <c r="CY292" i="11" s="1"/>
  <c r="CS292" i="11"/>
  <c r="AQ293" i="11"/>
  <c r="AR293" i="11" s="1"/>
  <c r="AT293" i="11" s="1"/>
  <c r="BK292" i="11"/>
  <c r="BJ292" i="11"/>
  <c r="BE293" i="11"/>
  <c r="BG293" i="11" s="1"/>
  <c r="DE293" i="11"/>
  <c r="DG293" i="11" s="1"/>
  <c r="CE294" i="11"/>
  <c r="CG294" i="11" s="1"/>
  <c r="DU294" i="11"/>
  <c r="DV294" i="11"/>
  <c r="DI294" i="11"/>
  <c r="DH294" i="11"/>
  <c r="CV294" i="11"/>
  <c r="CR294" i="11"/>
  <c r="CT294" i="11" s="1"/>
  <c r="CU294" i="11"/>
  <c r="CH294" i="11"/>
  <c r="CI294" i="11"/>
  <c r="BU294" i="11"/>
  <c r="BV294" i="11"/>
  <c r="BI294" i="11"/>
  <c r="BH294" i="11"/>
  <c r="AU294" i="11"/>
  <c r="AV294" i="11"/>
  <c r="AH294" i="11"/>
  <c r="AI294" i="11"/>
  <c r="DP294" i="11"/>
  <c r="DC294" i="11"/>
  <c r="BZ294" i="11"/>
  <c r="AA294" i="11"/>
  <c r="BP294" i="11"/>
  <c r="AO294" i="11"/>
  <c r="BN294" i="11"/>
  <c r="CO294" i="11"/>
  <c r="BO294" i="11"/>
  <c r="BQ294" i="11" s="1"/>
  <c r="BB294" i="11"/>
  <c r="BD294" i="11" s="1"/>
  <c r="Y294" i="11"/>
  <c r="CP294" i="11"/>
  <c r="CB294" i="11"/>
  <c r="AP294" i="11"/>
  <c r="CZ294" i="11"/>
  <c r="DN294" i="11"/>
  <c r="CN294" i="11"/>
  <c r="BA294" i="11"/>
  <c r="DB294" i="11"/>
  <c r="DD294" i="11" s="1"/>
  <c r="DM294" i="11"/>
  <c r="DA294" i="11"/>
  <c r="CA294" i="11"/>
  <c r="X294" i="11"/>
  <c r="CC294" i="11"/>
  <c r="AM294" i="11"/>
  <c r="CM294" i="11"/>
  <c r="W295" i="11"/>
  <c r="BM294" i="11"/>
  <c r="AN294" i="11"/>
  <c r="BC294" i="11"/>
  <c r="AZ294" i="11"/>
  <c r="B295" i="11"/>
  <c r="A295" i="11" s="1"/>
  <c r="C296" i="11"/>
  <c r="M294" i="11" l="1"/>
  <c r="L294" i="11"/>
  <c r="DZ295" i="11"/>
  <c r="EI295" i="11"/>
  <c r="EH295" i="11"/>
  <c r="EC295" i="11"/>
  <c r="EA295" i="11"/>
  <c r="V261" i="12"/>
  <c r="W261" i="12" s="1"/>
  <c r="M261" i="12"/>
  <c r="A262" i="12"/>
  <c r="N262" i="12" s="1"/>
  <c r="P295" i="11"/>
  <c r="BS293" i="11"/>
  <c r="DF293" i="11"/>
  <c r="BF293" i="11"/>
  <c r="BJ293" i="11"/>
  <c r="AX292" i="11"/>
  <c r="AY292" i="11" s="1"/>
  <c r="AS292" i="11"/>
  <c r="DK292" i="11"/>
  <c r="BL291" i="11"/>
  <c r="BW292" i="11"/>
  <c r="BY292" i="11" s="1"/>
  <c r="B263" i="12"/>
  <c r="DJ292" i="11"/>
  <c r="CL292" i="11"/>
  <c r="BX293" i="11"/>
  <c r="AW293" i="11"/>
  <c r="CJ293" i="11"/>
  <c r="CK293" i="11"/>
  <c r="BL292" i="11"/>
  <c r="CW293" i="11"/>
  <c r="CX293" i="11"/>
  <c r="AB295" i="11"/>
  <c r="CF294" i="11"/>
  <c r="CD294" i="11"/>
  <c r="CW294" i="11"/>
  <c r="CQ294" i="11"/>
  <c r="AQ294" i="11"/>
  <c r="AR294" i="11" s="1"/>
  <c r="AT294" i="11" s="1"/>
  <c r="DK293" i="11"/>
  <c r="DJ293" i="11"/>
  <c r="BE294" i="11"/>
  <c r="BG294" i="11" s="1"/>
  <c r="DE294" i="11"/>
  <c r="DG294" i="11" s="1"/>
  <c r="BR294" i="11"/>
  <c r="BT294" i="11" s="1"/>
  <c r="CE295" i="11"/>
  <c r="CG295" i="11" s="1"/>
  <c r="DV295" i="11"/>
  <c r="DU295" i="11"/>
  <c r="DH295" i="11"/>
  <c r="DI295" i="11"/>
  <c r="CR295" i="11"/>
  <c r="CT295" i="11" s="1"/>
  <c r="CU295" i="11"/>
  <c r="CV295" i="11"/>
  <c r="CH295" i="11"/>
  <c r="CI295" i="11"/>
  <c r="BU295" i="11"/>
  <c r="BV295" i="11"/>
  <c r="BI295" i="11"/>
  <c r="BH295" i="11"/>
  <c r="AU295" i="11"/>
  <c r="AV295" i="11"/>
  <c r="AH295" i="11"/>
  <c r="AI295" i="11"/>
  <c r="BP295" i="11"/>
  <c r="BZ295" i="11"/>
  <c r="CN295" i="11"/>
  <c r="BM295" i="11"/>
  <c r="BN295" i="11"/>
  <c r="BO295" i="11"/>
  <c r="BQ295" i="11" s="1"/>
  <c r="AZ295" i="11"/>
  <c r="BC295" i="11"/>
  <c r="AP295" i="11"/>
  <c r="CB295" i="11"/>
  <c r="DN295" i="11"/>
  <c r="CZ295" i="11"/>
  <c r="AA295" i="11"/>
  <c r="CP295" i="11"/>
  <c r="AN295" i="11"/>
  <c r="CM295" i="11"/>
  <c r="DB295" i="11"/>
  <c r="DD295" i="11" s="1"/>
  <c r="BA295" i="11"/>
  <c r="X295" i="11"/>
  <c r="BB295" i="11"/>
  <c r="BD295" i="11" s="1"/>
  <c r="Y295" i="11"/>
  <c r="DM295" i="11"/>
  <c r="AM295" i="11"/>
  <c r="CC295" i="11"/>
  <c r="DP295" i="11"/>
  <c r="CA295" i="11"/>
  <c r="DA295" i="11"/>
  <c r="AO295" i="11"/>
  <c r="W296" i="11"/>
  <c r="CO295" i="11"/>
  <c r="DC295" i="11"/>
  <c r="B296" i="11"/>
  <c r="A296" i="11" s="1"/>
  <c r="C297" i="11"/>
  <c r="M295" i="11" l="1"/>
  <c r="L295" i="11"/>
  <c r="EI296" i="11"/>
  <c r="EH296" i="11"/>
  <c r="EC296" i="11"/>
  <c r="EA296" i="11"/>
  <c r="DZ296" i="11"/>
  <c r="M262" i="12"/>
  <c r="V262" i="12"/>
  <c r="W262" i="12" s="1"/>
  <c r="A263" i="12"/>
  <c r="N263" i="12" s="1"/>
  <c r="P296" i="11"/>
  <c r="DF294" i="11"/>
  <c r="BF294" i="11"/>
  <c r="BJ294" i="11"/>
  <c r="BS294" i="11"/>
  <c r="DL292" i="11"/>
  <c r="DL293" i="11"/>
  <c r="AS293" i="11"/>
  <c r="BW293" i="11"/>
  <c r="BY293" i="11" s="1"/>
  <c r="AX293" i="11"/>
  <c r="AY293" i="11" s="1"/>
  <c r="B264" i="12"/>
  <c r="AS294" i="11"/>
  <c r="BK293" i="11"/>
  <c r="BL293" i="11" s="1"/>
  <c r="CL293" i="11"/>
  <c r="CY293" i="11"/>
  <c r="CK294" i="11"/>
  <c r="CJ294" i="11"/>
  <c r="AB296" i="11"/>
  <c r="CS295" i="11"/>
  <c r="CQ295" i="11"/>
  <c r="CX294" i="11"/>
  <c r="CY294" i="11" s="1"/>
  <c r="CS294" i="11"/>
  <c r="CF295" i="11"/>
  <c r="CD295" i="11"/>
  <c r="AQ295" i="11"/>
  <c r="AR295" i="11" s="1"/>
  <c r="AT295" i="11" s="1"/>
  <c r="BE295" i="11"/>
  <c r="BG295" i="11" s="1"/>
  <c r="DE295" i="11"/>
  <c r="DG295" i="11" s="1"/>
  <c r="CE296" i="11"/>
  <c r="CG296" i="11" s="1"/>
  <c r="DU296" i="11"/>
  <c r="DV296" i="11"/>
  <c r="DH296" i="11"/>
  <c r="DI296" i="11"/>
  <c r="CR296" i="11"/>
  <c r="CT296" i="11" s="1"/>
  <c r="CU296" i="11"/>
  <c r="CV296" i="11"/>
  <c r="CI296" i="11"/>
  <c r="CH296" i="11"/>
  <c r="BU296" i="11"/>
  <c r="BV296" i="11"/>
  <c r="BH296" i="11"/>
  <c r="BI296" i="11"/>
  <c r="AU296" i="11"/>
  <c r="AH296" i="11"/>
  <c r="AV296" i="11"/>
  <c r="AI296" i="11"/>
  <c r="BR295" i="11"/>
  <c r="BT295" i="11" s="1"/>
  <c r="BN296" i="11"/>
  <c r="BP296" i="11"/>
  <c r="CO296" i="11"/>
  <c r="BO296" i="11"/>
  <c r="Y296" i="11"/>
  <c r="CA296" i="11"/>
  <c r="DN296" i="11"/>
  <c r="DC296" i="11"/>
  <c r="BM296" i="11"/>
  <c r="AN296" i="11"/>
  <c r="AP296" i="11"/>
  <c r="CC296" i="11"/>
  <c r="BA296" i="11"/>
  <c r="BZ296" i="11"/>
  <c r="DM296" i="11"/>
  <c r="DA296" i="11"/>
  <c r="X296" i="11"/>
  <c r="BC296" i="11"/>
  <c r="AM296" i="11"/>
  <c r="CZ296" i="11"/>
  <c r="AA296" i="11"/>
  <c r="CN296" i="11"/>
  <c r="BB296" i="11"/>
  <c r="BD296" i="11" s="1"/>
  <c r="W297" i="11"/>
  <c r="CM296" i="11"/>
  <c r="AO296" i="11"/>
  <c r="AZ296" i="11"/>
  <c r="CP296" i="11"/>
  <c r="DP296" i="11"/>
  <c r="CB296" i="11"/>
  <c r="DB296" i="11"/>
  <c r="DD296" i="11" s="1"/>
  <c r="B297" i="11"/>
  <c r="A297" i="11" s="1"/>
  <c r="C298" i="11"/>
  <c r="L296" i="11" l="1"/>
  <c r="M263" i="12"/>
  <c r="M296" i="11"/>
  <c r="V263" i="12"/>
  <c r="W263" i="12" s="1"/>
  <c r="DZ297" i="11"/>
  <c r="EI297" i="11"/>
  <c r="EH297" i="11"/>
  <c r="EC297" i="11"/>
  <c r="EA297" i="11"/>
  <c r="A264" i="12"/>
  <c r="M264" i="12" s="1"/>
  <c r="P297" i="11"/>
  <c r="DF295" i="11"/>
  <c r="DK295" i="11"/>
  <c r="BF295" i="11"/>
  <c r="BK295" i="11"/>
  <c r="BS295" i="11"/>
  <c r="BX295" i="11"/>
  <c r="DJ294" i="11"/>
  <c r="CL294" i="11"/>
  <c r="BK294" i="11"/>
  <c r="BL294" i="11" s="1"/>
  <c r="AW294" i="11"/>
  <c r="AX294" i="11"/>
  <c r="B265" i="12"/>
  <c r="BX294" i="11"/>
  <c r="DK294" i="11"/>
  <c r="BW294" i="11"/>
  <c r="AW295" i="11"/>
  <c r="CQ296" i="11"/>
  <c r="CJ295" i="11"/>
  <c r="CW295" i="11"/>
  <c r="CX295" i="11"/>
  <c r="AB297" i="11"/>
  <c r="BQ296" i="11"/>
  <c r="BR296" i="11" s="1"/>
  <c r="BT296" i="11" s="1"/>
  <c r="CJ296" i="11"/>
  <c r="CD296" i="11"/>
  <c r="CK295" i="11"/>
  <c r="AQ296" i="11"/>
  <c r="AR296" i="11" s="1"/>
  <c r="AT296" i="11" s="1"/>
  <c r="DJ295" i="11"/>
  <c r="CX296" i="11"/>
  <c r="BE296" i="11"/>
  <c r="BG296" i="11" s="1"/>
  <c r="DE296" i="11"/>
  <c r="DG296" i="11" s="1"/>
  <c r="CE297" i="11"/>
  <c r="CG297" i="11" s="1"/>
  <c r="DU297" i="11"/>
  <c r="DV297" i="11"/>
  <c r="DH297" i="11"/>
  <c r="DI297" i="11"/>
  <c r="CV297" i="11"/>
  <c r="CR297" i="11"/>
  <c r="CT297" i="11" s="1"/>
  <c r="CU297" i="11"/>
  <c r="CH297" i="11"/>
  <c r="CI297" i="11"/>
  <c r="BV297" i="11"/>
  <c r="BU297" i="11"/>
  <c r="BH297" i="11"/>
  <c r="BI297" i="11"/>
  <c r="AU297" i="11"/>
  <c r="AV297" i="11"/>
  <c r="AH297" i="11"/>
  <c r="AI297" i="11"/>
  <c r="BP297" i="11"/>
  <c r="BN297" i="11"/>
  <c r="CO297" i="11"/>
  <c r="BO297" i="11"/>
  <c r="BQ297" i="11" s="1"/>
  <c r="CM297" i="11"/>
  <c r="CB297" i="11"/>
  <c r="BB297" i="11"/>
  <c r="BD297" i="11" s="1"/>
  <c r="CN297" i="11"/>
  <c r="DB297" i="11"/>
  <c r="DD297" i="11" s="1"/>
  <c r="BM297" i="11"/>
  <c r="DP297" i="11"/>
  <c r="X297" i="11"/>
  <c r="BA297" i="11"/>
  <c r="BZ297" i="11"/>
  <c r="CP297" i="11"/>
  <c r="AM297" i="11"/>
  <c r="DC297" i="11"/>
  <c r="DM297" i="11"/>
  <c r="W298" i="11"/>
  <c r="AA297" i="11"/>
  <c r="BC297" i="11"/>
  <c r="CC297" i="11"/>
  <c r="AP297" i="11"/>
  <c r="DN297" i="11"/>
  <c r="DA297" i="11"/>
  <c r="AZ297" i="11"/>
  <c r="AN297" i="11"/>
  <c r="AO297" i="11"/>
  <c r="CA297" i="11"/>
  <c r="CZ297" i="11"/>
  <c r="Y297" i="11"/>
  <c r="B298" i="11"/>
  <c r="A298" i="11" s="1"/>
  <c r="C299" i="11"/>
  <c r="M297" i="11" l="1"/>
  <c r="L297" i="11"/>
  <c r="EI298" i="11"/>
  <c r="EH298" i="11"/>
  <c r="EC298" i="11"/>
  <c r="EA298" i="11"/>
  <c r="DZ298" i="11"/>
  <c r="V264" i="12"/>
  <c r="W264" i="12" s="1"/>
  <c r="N264" i="12"/>
  <c r="A265" i="12"/>
  <c r="N265" i="12" s="1"/>
  <c r="P298" i="11"/>
  <c r="DL294" i="11"/>
  <c r="DF296" i="11"/>
  <c r="BF296" i="11"/>
  <c r="BJ295" i="11"/>
  <c r="BL295" i="11" s="1"/>
  <c r="AY294" i="11"/>
  <c r="AX295" i="11"/>
  <c r="AY295" i="11" s="1"/>
  <c r="BY294" i="11"/>
  <c r="CL295" i="11"/>
  <c r="BW295" i="11"/>
  <c r="BY295" i="11" s="1"/>
  <c r="BX296" i="11"/>
  <c r="AX296" i="11"/>
  <c r="DK296" i="11"/>
  <c r="B266" i="12"/>
  <c r="AS295" i="11"/>
  <c r="DL295" i="11"/>
  <c r="CY295" i="11"/>
  <c r="BS296" i="11"/>
  <c r="AB298" i="11"/>
  <c r="CF297" i="11"/>
  <c r="CD297" i="11"/>
  <c r="CS297" i="11"/>
  <c r="CQ297" i="11"/>
  <c r="CW296" i="11"/>
  <c r="CY296" i="11" s="1"/>
  <c r="CS296" i="11"/>
  <c r="CK296" i="11"/>
  <c r="CL296" i="11" s="1"/>
  <c r="CF296" i="11"/>
  <c r="AQ297" i="11"/>
  <c r="AR297" i="11" s="1"/>
  <c r="AT297" i="11" s="1"/>
  <c r="CW297" i="11"/>
  <c r="BE297" i="11"/>
  <c r="BG297" i="11" s="1"/>
  <c r="CE298" i="11"/>
  <c r="CG298" i="11" s="1"/>
  <c r="DU298" i="11"/>
  <c r="DV298" i="11"/>
  <c r="DH298" i="11"/>
  <c r="DI298" i="11"/>
  <c r="CR298" i="11"/>
  <c r="CT298" i="11" s="1"/>
  <c r="CU298" i="11"/>
  <c r="CV298" i="11"/>
  <c r="CH298" i="11"/>
  <c r="CI298" i="11"/>
  <c r="BU298" i="11"/>
  <c r="BV298" i="11"/>
  <c r="BI298" i="11"/>
  <c r="BH298" i="11"/>
  <c r="AU298" i="11"/>
  <c r="AV298" i="11"/>
  <c r="AH298" i="11"/>
  <c r="AI298" i="11"/>
  <c r="DE297" i="11"/>
  <c r="DG297" i="11" s="1"/>
  <c r="BR297" i="11"/>
  <c r="BT297" i="11" s="1"/>
  <c r="BN298" i="11"/>
  <c r="AM298" i="11"/>
  <c r="BP298" i="11"/>
  <c r="BO298" i="11"/>
  <c r="BQ298" i="11" s="1"/>
  <c r="DP298" i="11"/>
  <c r="BC298" i="11"/>
  <c r="BB298" i="11"/>
  <c r="BD298" i="11" s="1"/>
  <c r="AP298" i="11"/>
  <c r="DN298" i="11"/>
  <c r="AA298" i="11"/>
  <c r="AO298" i="11"/>
  <c r="AN298" i="11"/>
  <c r="BA298" i="11"/>
  <c r="Y298" i="11"/>
  <c r="CZ298" i="11"/>
  <c r="CA298" i="11"/>
  <c r="CP298" i="11"/>
  <c r="AZ298" i="11"/>
  <c r="DC298" i="11"/>
  <c r="X298" i="11"/>
  <c r="CC298" i="11"/>
  <c r="CM298" i="11"/>
  <c r="DA298" i="11"/>
  <c r="BZ298" i="11"/>
  <c r="CB298" i="11"/>
  <c r="DB298" i="11"/>
  <c r="DD298" i="11" s="1"/>
  <c r="DM298" i="11"/>
  <c r="BM298" i="11"/>
  <c r="W299" i="11"/>
  <c r="CN298" i="11"/>
  <c r="CO298" i="11"/>
  <c r="B299" i="11"/>
  <c r="A299" i="11" s="1"/>
  <c r="C300" i="11"/>
  <c r="M298" i="11" l="1"/>
  <c r="L298" i="11"/>
  <c r="EI299" i="11"/>
  <c r="EH299" i="11"/>
  <c r="EC299" i="11"/>
  <c r="EA299" i="11"/>
  <c r="DZ299" i="11"/>
  <c r="M265" i="12"/>
  <c r="V265" i="12"/>
  <c r="W265" i="12" s="1"/>
  <c r="A266" i="12"/>
  <c r="N266" i="12" s="1"/>
  <c r="P299" i="11"/>
  <c r="DF297" i="11"/>
  <c r="BS297" i="11"/>
  <c r="BF297" i="11"/>
  <c r="BK297" i="11"/>
  <c r="BK296" i="11"/>
  <c r="AW296" i="11"/>
  <c r="AY296" i="11" s="1"/>
  <c r="BJ296" i="11"/>
  <c r="DJ296" i="11"/>
  <c r="DL296" i="11" s="1"/>
  <c r="BW296" i="11"/>
  <c r="BY296" i="11" s="1"/>
  <c r="DJ297" i="11"/>
  <c r="AS297" i="11"/>
  <c r="B267" i="12"/>
  <c r="AS296" i="11"/>
  <c r="CJ297" i="11"/>
  <c r="CK297" i="11"/>
  <c r="AB299" i="11"/>
  <c r="CF298" i="11"/>
  <c r="CD298" i="11"/>
  <c r="CS298" i="11"/>
  <c r="CQ298" i="11"/>
  <c r="CX297" i="11"/>
  <c r="CY297" i="11" s="1"/>
  <c r="AQ298" i="11"/>
  <c r="AR298" i="11" s="1"/>
  <c r="AT298" i="11" s="1"/>
  <c r="DE298" i="11"/>
  <c r="DG298" i="11" s="1"/>
  <c r="CE299" i="11"/>
  <c r="CG299" i="11" s="1"/>
  <c r="DV299" i="11"/>
  <c r="DU299" i="11"/>
  <c r="DH299" i="11"/>
  <c r="DI299" i="11"/>
  <c r="CR299" i="11"/>
  <c r="CT299" i="11" s="1"/>
  <c r="CU299" i="11"/>
  <c r="CV299" i="11"/>
  <c r="CH299" i="11"/>
  <c r="CI299" i="11"/>
  <c r="BV299" i="11"/>
  <c r="BU299" i="11"/>
  <c r="BI299" i="11"/>
  <c r="BH299" i="11"/>
  <c r="AU299" i="11"/>
  <c r="AV299" i="11"/>
  <c r="AH299" i="11"/>
  <c r="AI299" i="11"/>
  <c r="BR298" i="11"/>
  <c r="BT298" i="11" s="1"/>
  <c r="BE298" i="11"/>
  <c r="BG298" i="11" s="1"/>
  <c r="BP299" i="11"/>
  <c r="AM299" i="11"/>
  <c r="BN299" i="11"/>
  <c r="BO299" i="11"/>
  <c r="BQ299" i="11" s="1"/>
  <c r="DP299" i="11"/>
  <c r="CN299" i="11"/>
  <c r="AO299" i="11"/>
  <c r="CC299" i="11"/>
  <c r="CM299" i="11"/>
  <c r="DC299" i="11"/>
  <c r="DN299" i="11"/>
  <c r="AA299" i="11"/>
  <c r="DB299" i="11"/>
  <c r="DD299" i="11" s="1"/>
  <c r="BC299" i="11"/>
  <c r="AP299" i="11"/>
  <c r="BM299" i="11"/>
  <c r="AZ299" i="11"/>
  <c r="AN299" i="11"/>
  <c r="BB299" i="11"/>
  <c r="BD299" i="11" s="1"/>
  <c r="X299" i="11"/>
  <c r="CA299" i="11"/>
  <c r="CP299" i="11"/>
  <c r="BZ299" i="11"/>
  <c r="CO299" i="11"/>
  <c r="Y299" i="11"/>
  <c r="W300" i="11"/>
  <c r="BA299" i="11"/>
  <c r="DM299" i="11"/>
  <c r="CB299" i="11"/>
  <c r="CZ299" i="11"/>
  <c r="DA299" i="11"/>
  <c r="B300" i="11"/>
  <c r="A300" i="11" s="1"/>
  <c r="C301" i="11"/>
  <c r="M299" i="11" l="1"/>
  <c r="L299" i="11"/>
  <c r="EH300" i="11"/>
  <c r="EC300" i="11"/>
  <c r="EA300" i="11"/>
  <c r="DZ300" i="11"/>
  <c r="EI300" i="11"/>
  <c r="M266" i="12"/>
  <c r="V266" i="12"/>
  <c r="W266" i="12" s="1"/>
  <c r="A267" i="12"/>
  <c r="M267" i="12" s="1"/>
  <c r="P300" i="11"/>
  <c r="BJ297" i="11"/>
  <c r="BL297" i="11" s="1"/>
  <c r="BS298" i="11"/>
  <c r="BW298" i="11"/>
  <c r="DF298" i="11"/>
  <c r="DJ298" i="11"/>
  <c r="BF298" i="11"/>
  <c r="BL296" i="11"/>
  <c r="BW297" i="11"/>
  <c r="AX297" i="11"/>
  <c r="AW297" i="11"/>
  <c r="BX297" i="11"/>
  <c r="DK297" i="11"/>
  <c r="DL297" i="11" s="1"/>
  <c r="AW298" i="11"/>
  <c r="B268" i="12"/>
  <c r="CL297" i="11"/>
  <c r="CX298" i="11"/>
  <c r="CW298" i="11"/>
  <c r="CK298" i="11"/>
  <c r="CJ298" i="11"/>
  <c r="AB300" i="11"/>
  <c r="CQ299" i="11"/>
  <c r="CF299" i="11"/>
  <c r="CD299" i="11"/>
  <c r="AQ299" i="11"/>
  <c r="AR299" i="11" s="1"/>
  <c r="AT299" i="11" s="1"/>
  <c r="CX299" i="11"/>
  <c r="BE299" i="11"/>
  <c r="BG299" i="11" s="1"/>
  <c r="CE300" i="11"/>
  <c r="CG300" i="11" s="1"/>
  <c r="DV300" i="11"/>
  <c r="DU300" i="11"/>
  <c r="DH300" i="11"/>
  <c r="DI300" i="11"/>
  <c r="CR300" i="11"/>
  <c r="CT300" i="11" s="1"/>
  <c r="CU300" i="11"/>
  <c r="CV300" i="11"/>
  <c r="CH300" i="11"/>
  <c r="BU300" i="11"/>
  <c r="BV300" i="11"/>
  <c r="CI300" i="11"/>
  <c r="BI300" i="11"/>
  <c r="BH300" i="11"/>
  <c r="AU300" i="11"/>
  <c r="AV300" i="11"/>
  <c r="AI300" i="11"/>
  <c r="AH300" i="11"/>
  <c r="BR299" i="11"/>
  <c r="BT299" i="11" s="1"/>
  <c r="DE299" i="11"/>
  <c r="DG299" i="11" s="1"/>
  <c r="BN300" i="11"/>
  <c r="BP300" i="11"/>
  <c r="BO300" i="11"/>
  <c r="BQ300" i="11" s="1"/>
  <c r="BC300" i="11"/>
  <c r="DB300" i="11"/>
  <c r="DD300" i="11" s="1"/>
  <c r="CB300" i="11"/>
  <c r="BB300" i="11"/>
  <c r="BD300" i="11" s="1"/>
  <c r="CA300" i="11"/>
  <c r="AN300" i="11"/>
  <c r="AA300" i="11"/>
  <c r="CC300" i="11"/>
  <c r="BA300" i="11"/>
  <c r="DN300" i="11"/>
  <c r="AO300" i="11"/>
  <c r="CZ300" i="11"/>
  <c r="DM300" i="11"/>
  <c r="W301" i="11"/>
  <c r="BM300" i="11"/>
  <c r="CN300" i="11"/>
  <c r="X300" i="11"/>
  <c r="Y300" i="11"/>
  <c r="CO300" i="11"/>
  <c r="AP300" i="11"/>
  <c r="DP300" i="11"/>
  <c r="DA300" i="11"/>
  <c r="AZ300" i="11"/>
  <c r="DC300" i="11"/>
  <c r="BZ300" i="11"/>
  <c r="CM300" i="11"/>
  <c r="CP300" i="11"/>
  <c r="AM300" i="11"/>
  <c r="B301" i="11"/>
  <c r="A301" i="11" s="1"/>
  <c r="C302" i="11"/>
  <c r="L300" i="11" l="1"/>
  <c r="M300" i="11"/>
  <c r="DZ301" i="11"/>
  <c r="EC301" i="11"/>
  <c r="EA301" i="11"/>
  <c r="EI301" i="11"/>
  <c r="EH301" i="11"/>
  <c r="N267" i="12"/>
  <c r="V267" i="12"/>
  <c r="W267" i="12" s="1"/>
  <c r="A268" i="12"/>
  <c r="N268" i="12" s="1"/>
  <c r="P301" i="11"/>
  <c r="BF299" i="11"/>
  <c r="DF299" i="11"/>
  <c r="BS299" i="11"/>
  <c r="BY297" i="11"/>
  <c r="AY297" i="11"/>
  <c r="BX298" i="11"/>
  <c r="BY298" i="11" s="1"/>
  <c r="BJ299" i="11"/>
  <c r="AS298" i="11"/>
  <c r="CY298" i="11"/>
  <c r="DK298" i="11"/>
  <c r="DL298" i="11" s="1"/>
  <c r="DK299" i="11"/>
  <c r="AS299" i="11"/>
  <c r="BK298" i="11"/>
  <c r="B269" i="12"/>
  <c r="BJ298" i="11"/>
  <c r="AX298" i="11"/>
  <c r="AY298" i="11" s="1"/>
  <c r="CL298" i="11"/>
  <c r="AB301" i="11"/>
  <c r="CK299" i="11"/>
  <c r="CJ299" i="11"/>
  <c r="CW299" i="11"/>
  <c r="CY299" i="11" s="1"/>
  <c r="CS299" i="11"/>
  <c r="CF300" i="11"/>
  <c r="CD300" i="11"/>
  <c r="CQ300" i="11"/>
  <c r="AQ300" i="11"/>
  <c r="AR300" i="11" s="1"/>
  <c r="AT300" i="11" s="1"/>
  <c r="BK299" i="11"/>
  <c r="DE300" i="11"/>
  <c r="DG300" i="11" s="1"/>
  <c r="CE301" i="11"/>
  <c r="CG301" i="11" s="1"/>
  <c r="DU301" i="11"/>
  <c r="DV301" i="11"/>
  <c r="DH301" i="11"/>
  <c r="DI301" i="11"/>
  <c r="CR301" i="11"/>
  <c r="CT301" i="11" s="1"/>
  <c r="CV301" i="11"/>
  <c r="CU301" i="11"/>
  <c r="CH301" i="11"/>
  <c r="CI301" i="11"/>
  <c r="BU301" i="11"/>
  <c r="BV301" i="11"/>
  <c r="BH301" i="11"/>
  <c r="BI301" i="11"/>
  <c r="AU301" i="11"/>
  <c r="AH301" i="11"/>
  <c r="AV301" i="11"/>
  <c r="AI301" i="11"/>
  <c r="BE300" i="11"/>
  <c r="BG300" i="11" s="1"/>
  <c r="BR300" i="11"/>
  <c r="BT300" i="11" s="1"/>
  <c r="BP301" i="11"/>
  <c r="CM301" i="11"/>
  <c r="CP301" i="11"/>
  <c r="Y301" i="11"/>
  <c r="BN301" i="11"/>
  <c r="CO301" i="11"/>
  <c r="BO301" i="11"/>
  <c r="AZ301" i="11"/>
  <c r="BM301" i="11"/>
  <c r="AO301" i="11"/>
  <c r="BB301" i="11"/>
  <c r="BD301" i="11" s="1"/>
  <c r="DA301" i="11"/>
  <c r="DN301" i="11"/>
  <c r="CB301" i="11"/>
  <c r="AM301" i="11"/>
  <c r="DP301" i="11"/>
  <c r="BA301" i="11"/>
  <c r="DB301" i="11"/>
  <c r="DD301" i="11" s="1"/>
  <c r="AP301" i="11"/>
  <c r="CC301" i="11"/>
  <c r="BC301" i="11"/>
  <c r="AA301" i="11"/>
  <c r="W302" i="11"/>
  <c r="BZ301" i="11"/>
  <c r="X301" i="11"/>
  <c r="DM301" i="11"/>
  <c r="CA301" i="11"/>
  <c r="AN301" i="11"/>
  <c r="DC301" i="11"/>
  <c r="CN301" i="11"/>
  <c r="CZ301" i="11"/>
  <c r="B302" i="11"/>
  <c r="A302" i="11" s="1"/>
  <c r="C303" i="11"/>
  <c r="L301" i="11" l="1"/>
  <c r="M301" i="11"/>
  <c r="EI302" i="11"/>
  <c r="EC302" i="11"/>
  <c r="EA302" i="11"/>
  <c r="DZ302" i="11"/>
  <c r="EH302" i="11"/>
  <c r="M268" i="12"/>
  <c r="V268" i="12"/>
  <c r="W268" i="12" s="1"/>
  <c r="A269" i="12"/>
  <c r="N269" i="12" s="1"/>
  <c r="P302" i="11"/>
  <c r="BS300" i="11"/>
  <c r="BF300" i="11"/>
  <c r="DF300" i="11"/>
  <c r="DJ300" i="11"/>
  <c r="DJ299" i="11"/>
  <c r="DL299" i="11" s="1"/>
  <c r="AW299" i="11"/>
  <c r="AX299" i="11"/>
  <c r="BL298" i="11"/>
  <c r="BW300" i="11"/>
  <c r="AW300" i="11"/>
  <c r="B270" i="12"/>
  <c r="BX299" i="11"/>
  <c r="BW299" i="11"/>
  <c r="BK300" i="11"/>
  <c r="CK300" i="11"/>
  <c r="CL299" i="11"/>
  <c r="CJ300" i="11"/>
  <c r="BQ301" i="11"/>
  <c r="BR301" i="11" s="1"/>
  <c r="BT301" i="11" s="1"/>
  <c r="AB302" i="11"/>
  <c r="CW300" i="11"/>
  <c r="CS300" i="11"/>
  <c r="CS301" i="11"/>
  <c r="CQ301" i="11"/>
  <c r="CX300" i="11"/>
  <c r="CF301" i="11"/>
  <c r="CD301" i="11"/>
  <c r="AQ301" i="11"/>
  <c r="AR301" i="11" s="1"/>
  <c r="AT301" i="11" s="1"/>
  <c r="BL299" i="11"/>
  <c r="CE302" i="11"/>
  <c r="CG302" i="11" s="1"/>
  <c r="DU302" i="11"/>
  <c r="DV302" i="11"/>
  <c r="DI302" i="11"/>
  <c r="DH302" i="11"/>
  <c r="CU302" i="11"/>
  <c r="CV302" i="11"/>
  <c r="CR302" i="11"/>
  <c r="CT302" i="11" s="1"/>
  <c r="CH302" i="11"/>
  <c r="CI302" i="11"/>
  <c r="BU302" i="11"/>
  <c r="BV302" i="11"/>
  <c r="BH302" i="11"/>
  <c r="BI302" i="11"/>
  <c r="AU302" i="11"/>
  <c r="AV302" i="11"/>
  <c r="AI302" i="11"/>
  <c r="AH302" i="11"/>
  <c r="DE301" i="11"/>
  <c r="DG301" i="11" s="1"/>
  <c r="BE301" i="11"/>
  <c r="BG301" i="11" s="1"/>
  <c r="DM302" i="11"/>
  <c r="BN302" i="11"/>
  <c r="CA302" i="11"/>
  <c r="BP302" i="11"/>
  <c r="AM302" i="11"/>
  <c r="CC302" i="11"/>
  <c r="AO302" i="11"/>
  <c r="BO302" i="11"/>
  <c r="BQ302" i="11" s="1"/>
  <c r="CZ302" i="11"/>
  <c r="DC302" i="11"/>
  <c r="CN302" i="11"/>
  <c r="CO302" i="11"/>
  <c r="BM302" i="11"/>
  <c r="BB302" i="11"/>
  <c r="BD302" i="11" s="1"/>
  <c r="DA302" i="11"/>
  <c r="AZ302" i="11"/>
  <c r="CP302" i="11"/>
  <c r="BC302" i="11"/>
  <c r="DB302" i="11"/>
  <c r="DD302" i="11" s="1"/>
  <c r="W303" i="11"/>
  <c r="X302" i="11"/>
  <c r="AN302" i="11"/>
  <c r="BZ302" i="11"/>
  <c r="AP302" i="11"/>
  <c r="DN302" i="11"/>
  <c r="BA302" i="11"/>
  <c r="CM302" i="11"/>
  <c r="Y302" i="11"/>
  <c r="DP302" i="11"/>
  <c r="AA302" i="11"/>
  <c r="CB302" i="11"/>
  <c r="B303" i="11"/>
  <c r="A303" i="11" s="1"/>
  <c r="C304" i="11"/>
  <c r="L302" i="11" l="1"/>
  <c r="M302" i="11"/>
  <c r="EA303" i="11"/>
  <c r="DZ303" i="11"/>
  <c r="EI303" i="11"/>
  <c r="EH303" i="11"/>
  <c r="EC303" i="11"/>
  <c r="M269" i="12"/>
  <c r="V269" i="12"/>
  <c r="W269" i="12" s="1"/>
  <c r="A270" i="12"/>
  <c r="N270" i="12" s="1"/>
  <c r="P303" i="11"/>
  <c r="BF301" i="11"/>
  <c r="DF301" i="11"/>
  <c r="DK301" i="11"/>
  <c r="AY299" i="11"/>
  <c r="BX300" i="11"/>
  <c r="BY300" i="11" s="1"/>
  <c r="DK300" i="11"/>
  <c r="DL300" i="11" s="1"/>
  <c r="AX300" i="11"/>
  <c r="AY300" i="11" s="1"/>
  <c r="BJ300" i="11"/>
  <c r="BL300" i="11" s="1"/>
  <c r="BY299" i="11"/>
  <c r="B271" i="12"/>
  <c r="AX301" i="11"/>
  <c r="BJ301" i="11"/>
  <c r="AS300" i="11"/>
  <c r="CL300" i="11"/>
  <c r="CK301" i="11"/>
  <c r="CX301" i="11"/>
  <c r="CW301" i="11"/>
  <c r="CJ301" i="11"/>
  <c r="BS301" i="11"/>
  <c r="AB303" i="11"/>
  <c r="CY300" i="11"/>
  <c r="CQ302" i="11"/>
  <c r="CF302" i="11"/>
  <c r="CD302" i="11"/>
  <c r="AQ302" i="11"/>
  <c r="AR302" i="11" s="1"/>
  <c r="AT302" i="11" s="1"/>
  <c r="DE302" i="11"/>
  <c r="DG302" i="11" s="1"/>
  <c r="BR302" i="11"/>
  <c r="BT302" i="11" s="1"/>
  <c r="CW302" i="11"/>
  <c r="CE303" i="11"/>
  <c r="CG303" i="11" s="1"/>
  <c r="DV303" i="11"/>
  <c r="DU303" i="11"/>
  <c r="DH303" i="11"/>
  <c r="DI303" i="11"/>
  <c r="CU303" i="11"/>
  <c r="CV303" i="11"/>
  <c r="CR303" i="11"/>
  <c r="CT303" i="11" s="1"/>
  <c r="CI303" i="11"/>
  <c r="CH303" i="11"/>
  <c r="BU303" i="11"/>
  <c r="BV303" i="11"/>
  <c r="BH303" i="11"/>
  <c r="BI303" i="11"/>
  <c r="AU303" i="11"/>
  <c r="AV303" i="11"/>
  <c r="AH303" i="11"/>
  <c r="AI303" i="11"/>
  <c r="BE302" i="11"/>
  <c r="BG302" i="11" s="1"/>
  <c r="CM303" i="11"/>
  <c r="CP303" i="11"/>
  <c r="BA303" i="11"/>
  <c r="BP303" i="11"/>
  <c r="AP303" i="11"/>
  <c r="BN303" i="11"/>
  <c r="CN303" i="11"/>
  <c r="CB303" i="11"/>
  <c r="BO303" i="11"/>
  <c r="BQ303" i="11" s="1"/>
  <c r="AO303" i="11"/>
  <c r="DC303" i="11"/>
  <c r="DN303" i="11"/>
  <c r="DB303" i="11"/>
  <c r="DD303" i="11" s="1"/>
  <c r="Y303" i="11"/>
  <c r="X303" i="11"/>
  <c r="DA303" i="11"/>
  <c r="CA303" i="11"/>
  <c r="CO303" i="11"/>
  <c r="AZ303" i="11"/>
  <c r="AM303" i="11"/>
  <c r="AA303" i="11"/>
  <c r="BZ303" i="11"/>
  <c r="DP303" i="11"/>
  <c r="AN303" i="11"/>
  <c r="DM303" i="11"/>
  <c r="BB303" i="11"/>
  <c r="BD303" i="11" s="1"/>
  <c r="BM303" i="11"/>
  <c r="W304" i="11"/>
  <c r="CZ303" i="11"/>
  <c r="BC303" i="11"/>
  <c r="CC303" i="11"/>
  <c r="B304" i="11"/>
  <c r="A304" i="11" s="1"/>
  <c r="C305" i="11"/>
  <c r="M303" i="11" l="1"/>
  <c r="L303" i="11"/>
  <c r="EA304" i="11"/>
  <c r="DZ304" i="11"/>
  <c r="EI304" i="11"/>
  <c r="EH304" i="11"/>
  <c r="EC304" i="11"/>
  <c r="M270" i="12"/>
  <c r="V270" i="12"/>
  <c r="W270" i="12" s="1"/>
  <c r="A271" i="12"/>
  <c r="N271" i="12" s="1"/>
  <c r="P304" i="11"/>
  <c r="BS302" i="11"/>
  <c r="DF302" i="11"/>
  <c r="BF302" i="11"/>
  <c r="DJ301" i="11"/>
  <c r="DL301" i="11" s="1"/>
  <c r="AS301" i="11"/>
  <c r="AW301" i="11"/>
  <c r="AY301" i="11" s="1"/>
  <c r="BX301" i="11"/>
  <c r="BW301" i="11"/>
  <c r="AX302" i="11"/>
  <c r="BJ302" i="11"/>
  <c r="B272" i="12"/>
  <c r="BK301" i="11"/>
  <c r="BL301" i="11" s="1"/>
  <c r="DJ302" i="11"/>
  <c r="CY301" i="11"/>
  <c r="CL301" i="11"/>
  <c r="CQ303" i="11"/>
  <c r="AB304" i="11"/>
  <c r="CF303" i="11"/>
  <c r="CD303" i="11"/>
  <c r="CK302" i="11"/>
  <c r="CX302" i="11"/>
  <c r="CY302" i="11" s="1"/>
  <c r="CS302" i="11"/>
  <c r="CJ302" i="11"/>
  <c r="AQ303" i="11"/>
  <c r="AR303" i="11" s="1"/>
  <c r="AT303" i="11" s="1"/>
  <c r="CS303" i="11"/>
  <c r="BE303" i="11"/>
  <c r="BG303" i="11" s="1"/>
  <c r="DE303" i="11"/>
  <c r="DG303" i="11" s="1"/>
  <c r="BW302" i="11"/>
  <c r="BX302" i="11"/>
  <c r="BP304" i="11"/>
  <c r="CE304" i="11"/>
  <c r="CG304" i="11" s="1"/>
  <c r="DU304" i="11"/>
  <c r="DV304" i="11"/>
  <c r="DH304" i="11"/>
  <c r="DI304" i="11"/>
  <c r="CU304" i="11"/>
  <c r="CV304" i="11"/>
  <c r="CR304" i="11"/>
  <c r="CT304" i="11" s="1"/>
  <c r="CH304" i="11"/>
  <c r="CI304" i="11"/>
  <c r="BV304" i="11"/>
  <c r="BU304" i="11"/>
  <c r="BI304" i="11"/>
  <c r="BH304" i="11"/>
  <c r="AV304" i="11"/>
  <c r="AI304" i="11"/>
  <c r="AU304" i="11"/>
  <c r="AH304" i="11"/>
  <c r="BR303" i="11"/>
  <c r="BT303" i="11" s="1"/>
  <c r="BN304" i="11"/>
  <c r="CA304" i="11"/>
  <c r="BO304" i="11"/>
  <c r="BQ304" i="11" s="1"/>
  <c r="AO304" i="11"/>
  <c r="BB304" i="11"/>
  <c r="BD304" i="11" s="1"/>
  <c r="CC304" i="11"/>
  <c r="DM304" i="11"/>
  <c r="BC304" i="11"/>
  <c r="AM304" i="11"/>
  <c r="Y304" i="11"/>
  <c r="CN304" i="11"/>
  <c r="CB304" i="11"/>
  <c r="CO304" i="11"/>
  <c r="AZ304" i="11"/>
  <c r="DN304" i="11"/>
  <c r="DC304" i="11"/>
  <c r="CZ304" i="11"/>
  <c r="DA304" i="11"/>
  <c r="BA304" i="11"/>
  <c r="W305" i="11"/>
  <c r="DB304" i="11"/>
  <c r="DD304" i="11" s="1"/>
  <c r="BM304" i="11"/>
  <c r="BZ304" i="11"/>
  <c r="AP304" i="11"/>
  <c r="AN304" i="11"/>
  <c r="CM304" i="11"/>
  <c r="X304" i="11"/>
  <c r="DP304" i="11"/>
  <c r="AA304" i="11"/>
  <c r="CP304" i="11"/>
  <c r="B305" i="11"/>
  <c r="A305" i="11" s="1"/>
  <c r="C306" i="11"/>
  <c r="L304" i="11" l="1"/>
  <c r="M304" i="11"/>
  <c r="DZ305" i="11"/>
  <c r="EA305" i="11"/>
  <c r="EI305" i="11"/>
  <c r="EH305" i="11"/>
  <c r="EC305" i="11"/>
  <c r="M271" i="12"/>
  <c r="V271" i="12"/>
  <c r="W271" i="12" s="1"/>
  <c r="A272" i="12"/>
  <c r="M272" i="12" s="1"/>
  <c r="P305" i="11"/>
  <c r="DF303" i="11"/>
  <c r="BS303" i="11"/>
  <c r="BF303" i="11"/>
  <c r="BY301" i="11"/>
  <c r="DK302" i="11"/>
  <c r="DL302" i="11" s="1"/>
  <c r="AW302" i="11"/>
  <c r="AY302" i="11" s="1"/>
  <c r="BK302" i="11"/>
  <c r="BL302" i="11" s="1"/>
  <c r="BJ303" i="11"/>
  <c r="BW303" i="11"/>
  <c r="B273" i="12"/>
  <c r="AS303" i="11"/>
  <c r="DK303" i="11"/>
  <c r="AS302" i="11"/>
  <c r="CK303" i="11"/>
  <c r="CJ303" i="11"/>
  <c r="CQ304" i="11"/>
  <c r="CL302" i="11"/>
  <c r="AB305" i="11"/>
  <c r="BR304" i="11"/>
  <c r="BT304" i="11" s="1"/>
  <c r="CF304" i="11"/>
  <c r="CD304" i="11"/>
  <c r="AQ304" i="11"/>
  <c r="AR304" i="11" s="1"/>
  <c r="AT304" i="11" s="1"/>
  <c r="CX303" i="11"/>
  <c r="CW303" i="11"/>
  <c r="BY302" i="11"/>
  <c r="BN305" i="11"/>
  <c r="CE305" i="11"/>
  <c r="CG305" i="11" s="1"/>
  <c r="DU305" i="11"/>
  <c r="DV305" i="11"/>
  <c r="DH305" i="11"/>
  <c r="DI305" i="11"/>
  <c r="CU305" i="11"/>
  <c r="CV305" i="11"/>
  <c r="CR305" i="11"/>
  <c r="CT305" i="11" s="1"/>
  <c r="CH305" i="11"/>
  <c r="CI305" i="11"/>
  <c r="BU305" i="11"/>
  <c r="BV305" i="11"/>
  <c r="BH305" i="11"/>
  <c r="BI305" i="11"/>
  <c r="AU305" i="11"/>
  <c r="AV305" i="11"/>
  <c r="AH305" i="11"/>
  <c r="AI305" i="11"/>
  <c r="X305" i="11"/>
  <c r="CS304" i="11"/>
  <c r="BE304" i="11"/>
  <c r="BG304" i="11" s="1"/>
  <c r="DE304" i="11"/>
  <c r="DG304" i="11" s="1"/>
  <c r="BP305" i="11"/>
  <c r="BO305" i="11"/>
  <c r="BQ305" i="11" s="1"/>
  <c r="AZ305" i="11"/>
  <c r="AO305" i="11"/>
  <c r="CM305" i="11"/>
  <c r="Y305" i="11"/>
  <c r="AN305" i="11"/>
  <c r="CO305" i="11"/>
  <c r="DN305" i="11"/>
  <c r="BA305" i="11"/>
  <c r="CP305" i="11"/>
  <c r="DB305" i="11"/>
  <c r="DD305" i="11" s="1"/>
  <c r="AA305" i="11"/>
  <c r="DP305" i="11"/>
  <c r="CC305" i="11"/>
  <c r="DA305" i="11"/>
  <c r="W306" i="11"/>
  <c r="CZ305" i="11"/>
  <c r="AM305" i="11"/>
  <c r="AP305" i="11"/>
  <c r="BB305" i="11"/>
  <c r="BD305" i="11" s="1"/>
  <c r="DM305" i="11"/>
  <c r="BZ305" i="11"/>
  <c r="DC305" i="11"/>
  <c r="CN305" i="11"/>
  <c r="BM305" i="11"/>
  <c r="CB305" i="11"/>
  <c r="BC305" i="11"/>
  <c r="CA305" i="11"/>
  <c r="B306" i="11"/>
  <c r="A306" i="11" s="1"/>
  <c r="C307" i="11"/>
  <c r="N272" i="12" l="1"/>
  <c r="M305" i="11"/>
  <c r="L305" i="11"/>
  <c r="EI306" i="11"/>
  <c r="DZ306" i="11"/>
  <c r="EH306" i="11"/>
  <c r="EC306" i="11"/>
  <c r="EA306" i="11"/>
  <c r="V272" i="12"/>
  <c r="W272" i="12" s="1"/>
  <c r="A273" i="12"/>
  <c r="V273" i="12" s="1"/>
  <c r="W273" i="12" s="1"/>
  <c r="P306" i="11"/>
  <c r="DF304" i="11"/>
  <c r="DK304" i="11"/>
  <c r="BF304" i="11"/>
  <c r="BK304" i="11"/>
  <c r="BS304" i="11"/>
  <c r="BX304" i="11"/>
  <c r="BK303" i="11"/>
  <c r="BL303" i="11" s="1"/>
  <c r="BX303" i="11"/>
  <c r="BY303" i="11" s="1"/>
  <c r="AW303" i="11"/>
  <c r="AX303" i="11"/>
  <c r="DJ303" i="11"/>
  <c r="DL303" i="11" s="1"/>
  <c r="CL303" i="11"/>
  <c r="AX304" i="11"/>
  <c r="B274" i="12"/>
  <c r="CJ304" i="11"/>
  <c r="CK304" i="11"/>
  <c r="AB306" i="11"/>
  <c r="CS305" i="11"/>
  <c r="CQ305" i="11"/>
  <c r="CJ305" i="11"/>
  <c r="CD305" i="11"/>
  <c r="AQ305" i="11"/>
  <c r="AR305" i="11" s="1"/>
  <c r="AT305" i="11" s="1"/>
  <c r="CY303" i="11"/>
  <c r="DE305" i="11"/>
  <c r="DG305" i="11" s="1"/>
  <c r="BE305" i="11"/>
  <c r="BG305" i="11" s="1"/>
  <c r="BR305" i="11"/>
  <c r="BT305" i="11" s="1"/>
  <c r="CX304" i="11"/>
  <c r="CW304" i="11"/>
  <c r="CE306" i="11"/>
  <c r="CG306" i="11" s="1"/>
  <c r="DU306" i="11"/>
  <c r="DV306" i="11"/>
  <c r="DI306" i="11"/>
  <c r="DH306" i="11"/>
  <c r="CV306" i="11"/>
  <c r="CR306" i="11"/>
  <c r="CT306" i="11" s="1"/>
  <c r="CU306" i="11"/>
  <c r="CH306" i="11"/>
  <c r="CI306" i="11"/>
  <c r="BU306" i="11"/>
  <c r="BV306" i="11"/>
  <c r="BH306" i="11"/>
  <c r="BI306" i="11"/>
  <c r="AU306" i="11"/>
  <c r="AV306" i="11"/>
  <c r="AH306" i="11"/>
  <c r="AI306" i="11"/>
  <c r="AO306" i="11"/>
  <c r="DM306" i="11"/>
  <c r="AP306" i="11"/>
  <c r="BP306" i="11"/>
  <c r="CC306" i="11"/>
  <c r="Y306" i="11"/>
  <c r="CN306" i="11"/>
  <c r="AM306" i="11"/>
  <c r="CZ306" i="11"/>
  <c r="DC306" i="11"/>
  <c r="BN306" i="11"/>
  <c r="CB306" i="11"/>
  <c r="BB306" i="11"/>
  <c r="BD306" i="11" s="1"/>
  <c r="BO306" i="11"/>
  <c r="BQ306" i="11" s="1"/>
  <c r="AN306" i="11"/>
  <c r="CA306" i="11"/>
  <c r="BZ306" i="11"/>
  <c r="AA306" i="11"/>
  <c r="BC306" i="11"/>
  <c r="CM306" i="11"/>
  <c r="DN306" i="11"/>
  <c r="DA306" i="11"/>
  <c r="BM306" i="11"/>
  <c r="CP306" i="11"/>
  <c r="CO306" i="11"/>
  <c r="X306" i="11"/>
  <c r="DP306" i="11"/>
  <c r="DB306" i="11"/>
  <c r="DD306" i="11" s="1"/>
  <c r="W307" i="11"/>
  <c r="BA306" i="11"/>
  <c r="AZ306" i="11"/>
  <c r="B307" i="11"/>
  <c r="A307" i="11" s="1"/>
  <c r="C308" i="11"/>
  <c r="M306" i="11" l="1"/>
  <c r="L306" i="11"/>
  <c r="EI307" i="11"/>
  <c r="EH307" i="11"/>
  <c r="EC307" i="11"/>
  <c r="EA307" i="11"/>
  <c r="DZ307" i="11"/>
  <c r="M273" i="12"/>
  <c r="N273" i="12"/>
  <c r="A274" i="12"/>
  <c r="M274" i="12" s="1"/>
  <c r="P307" i="11"/>
  <c r="BF305" i="11"/>
  <c r="DF305" i="11"/>
  <c r="DK305" i="11"/>
  <c r="BS305" i="11"/>
  <c r="DJ304" i="11"/>
  <c r="DL304" i="11" s="1"/>
  <c r="AY303" i="11"/>
  <c r="AW304" i="11"/>
  <c r="AY304" i="11" s="1"/>
  <c r="AS304" i="11"/>
  <c r="BJ304" i="11"/>
  <c r="BL304" i="11" s="1"/>
  <c r="BW304" i="11"/>
  <c r="BY304" i="11" s="1"/>
  <c r="AS305" i="11"/>
  <c r="B275" i="12"/>
  <c r="CL304" i="11"/>
  <c r="CW305" i="11"/>
  <c r="CX305" i="11"/>
  <c r="AB307" i="11"/>
  <c r="CK306" i="11"/>
  <c r="CD306" i="11"/>
  <c r="CK305" i="11"/>
  <c r="CL305" i="11" s="1"/>
  <c r="CF305" i="11"/>
  <c r="CS306" i="11"/>
  <c r="CQ306" i="11"/>
  <c r="AQ306" i="11"/>
  <c r="AR306" i="11" s="1"/>
  <c r="AT306" i="11" s="1"/>
  <c r="AW305" i="11"/>
  <c r="CY304" i="11"/>
  <c r="DM307" i="11"/>
  <c r="CE307" i="11"/>
  <c r="CG307" i="11" s="1"/>
  <c r="DV307" i="11"/>
  <c r="DU307" i="11"/>
  <c r="DH307" i="11"/>
  <c r="DI307" i="11"/>
  <c r="CR307" i="11"/>
  <c r="CT307" i="11" s="1"/>
  <c r="CV307" i="11"/>
  <c r="CU307" i="11"/>
  <c r="CH307" i="11"/>
  <c r="CI307" i="11"/>
  <c r="BV307" i="11"/>
  <c r="BU307" i="11"/>
  <c r="BI307" i="11"/>
  <c r="BH307" i="11"/>
  <c r="AU307" i="11"/>
  <c r="AV307" i="11"/>
  <c r="AH307" i="11"/>
  <c r="AI307" i="11"/>
  <c r="BE306" i="11"/>
  <c r="BG306" i="11" s="1"/>
  <c r="BR306" i="11"/>
  <c r="BT306" i="11" s="1"/>
  <c r="DE306" i="11"/>
  <c r="DG306" i="11" s="1"/>
  <c r="CN307" i="11"/>
  <c r="BA307" i="11"/>
  <c r="CZ307" i="11"/>
  <c r="DC307" i="11"/>
  <c r="Y307" i="11"/>
  <c r="AP307" i="11"/>
  <c r="DP307" i="11"/>
  <c r="AZ307" i="11"/>
  <c r="CB307" i="11"/>
  <c r="AA307" i="11"/>
  <c r="AO307" i="11"/>
  <c r="BB307" i="11"/>
  <c r="BD307" i="11" s="1"/>
  <c r="BN307" i="11"/>
  <c r="BP307" i="11"/>
  <c r="AN307" i="11"/>
  <c r="DB307" i="11"/>
  <c r="DD307" i="11" s="1"/>
  <c r="BO307" i="11"/>
  <c r="BQ307" i="11" s="1"/>
  <c r="CA307" i="11"/>
  <c r="DA307" i="11"/>
  <c r="CC307" i="11"/>
  <c r="W308" i="11"/>
  <c r="X307" i="11"/>
  <c r="CO307" i="11"/>
  <c r="DN307" i="11"/>
  <c r="AM307" i="11"/>
  <c r="CP307" i="11"/>
  <c r="BZ307" i="11"/>
  <c r="BC307" i="11"/>
  <c r="CM307" i="11"/>
  <c r="BM307" i="11"/>
  <c r="B308" i="11"/>
  <c r="A308" i="11" s="1"/>
  <c r="C309" i="11"/>
  <c r="M307" i="11" l="1"/>
  <c r="L307" i="11"/>
  <c r="EI308" i="11"/>
  <c r="EH308" i="11"/>
  <c r="EC308" i="11"/>
  <c r="EA308" i="11"/>
  <c r="DZ308" i="11"/>
  <c r="N274" i="12"/>
  <c r="V274" i="12"/>
  <c r="W274" i="12" s="1"/>
  <c r="A275" i="12"/>
  <c r="V275" i="12" s="1"/>
  <c r="W275" i="12" s="1"/>
  <c r="P308" i="11"/>
  <c r="DF306" i="11"/>
  <c r="BS306" i="11"/>
  <c r="BW306" i="11"/>
  <c r="BF306" i="11"/>
  <c r="BK306" i="11"/>
  <c r="AX305" i="11"/>
  <c r="AY305" i="11" s="1"/>
  <c r="BX305" i="11"/>
  <c r="BW305" i="11"/>
  <c r="DJ305" i="11"/>
  <c r="DL305" i="11" s="1"/>
  <c r="B276" i="12"/>
  <c r="CY305" i="11"/>
  <c r="AS306" i="11"/>
  <c r="BJ305" i="11"/>
  <c r="BK305" i="11"/>
  <c r="AB308" i="11"/>
  <c r="CF307" i="11"/>
  <c r="CD307" i="11"/>
  <c r="CS307" i="11"/>
  <c r="CQ307" i="11"/>
  <c r="CX306" i="11"/>
  <c r="CW306" i="11"/>
  <c r="CJ306" i="11"/>
  <c r="CL306" i="11" s="1"/>
  <c r="CF306" i="11"/>
  <c r="AQ307" i="11"/>
  <c r="AR307" i="11" s="1"/>
  <c r="AT307" i="11" s="1"/>
  <c r="DE307" i="11"/>
  <c r="DG307" i="11" s="1"/>
  <c r="BE307" i="11"/>
  <c r="BG307" i="11" s="1"/>
  <c r="BX306" i="11"/>
  <c r="DC308" i="11"/>
  <c r="CE308" i="11"/>
  <c r="CG308" i="11" s="1"/>
  <c r="DV308" i="11"/>
  <c r="DU308" i="11"/>
  <c r="DH308" i="11"/>
  <c r="DI308" i="11"/>
  <c r="CV308" i="11"/>
  <c r="CR308" i="11"/>
  <c r="CT308" i="11" s="1"/>
  <c r="CH308" i="11"/>
  <c r="CI308" i="11"/>
  <c r="CU308" i="11"/>
  <c r="BU308" i="11"/>
  <c r="BV308" i="11"/>
  <c r="BH308" i="11"/>
  <c r="BI308" i="11"/>
  <c r="AU308" i="11"/>
  <c r="AV308" i="11"/>
  <c r="AH308" i="11"/>
  <c r="AI308" i="11"/>
  <c r="BR307" i="11"/>
  <c r="BT307" i="11" s="1"/>
  <c r="CN308" i="11"/>
  <c r="BP308" i="11"/>
  <c r="BN308" i="11"/>
  <c r="AM308" i="11"/>
  <c r="AN308" i="11"/>
  <c r="BO308" i="11"/>
  <c r="BQ308" i="11" s="1"/>
  <c r="BM308" i="11"/>
  <c r="DA308" i="11"/>
  <c r="AO308" i="11"/>
  <c r="DM308" i="11"/>
  <c r="Y308" i="11"/>
  <c r="CO308" i="11"/>
  <c r="BA308" i="11"/>
  <c r="AP308" i="11"/>
  <c r="CM308" i="11"/>
  <c r="CZ308" i="11"/>
  <c r="BC308" i="11"/>
  <c r="DP308" i="11"/>
  <c r="DB308" i="11"/>
  <c r="DD308" i="11" s="1"/>
  <c r="BZ308" i="11"/>
  <c r="CA308" i="11"/>
  <c r="DN308" i="11"/>
  <c r="BB308" i="11"/>
  <c r="BD308" i="11" s="1"/>
  <c r="CP308" i="11"/>
  <c r="X308" i="11"/>
  <c r="AZ308" i="11"/>
  <c r="CC308" i="11"/>
  <c r="AA308" i="11"/>
  <c r="W309" i="11"/>
  <c r="CB308" i="11"/>
  <c r="B309" i="11"/>
  <c r="A309" i="11" s="1"/>
  <c r="C310" i="11"/>
  <c r="L308" i="11" l="1"/>
  <c r="M308" i="11"/>
  <c r="DZ309" i="11"/>
  <c r="EI309" i="11"/>
  <c r="EH309" i="11"/>
  <c r="EC309" i="11"/>
  <c r="EA309" i="11"/>
  <c r="M275" i="12"/>
  <c r="N275" i="12"/>
  <c r="A276" i="12"/>
  <c r="M276" i="12" s="1"/>
  <c r="P309" i="11"/>
  <c r="BY305" i="11"/>
  <c r="BS307" i="11"/>
  <c r="DF307" i="11"/>
  <c r="BF307" i="11"/>
  <c r="BJ307" i="11"/>
  <c r="BJ306" i="11"/>
  <c r="BL306" i="11" s="1"/>
  <c r="DJ306" i="11"/>
  <c r="AX306" i="11"/>
  <c r="BL305" i="11"/>
  <c r="DK306" i="11"/>
  <c r="AW306" i="11"/>
  <c r="BX307" i="11"/>
  <c r="B277" i="12"/>
  <c r="AS307" i="11"/>
  <c r="CX307" i="11"/>
  <c r="CJ307" i="11"/>
  <c r="CK307" i="11"/>
  <c r="CY306" i="11"/>
  <c r="AB309" i="11"/>
  <c r="CW307" i="11"/>
  <c r="CW308" i="11"/>
  <c r="CQ308" i="11"/>
  <c r="CF308" i="11"/>
  <c r="CD308" i="11"/>
  <c r="AQ308" i="11"/>
  <c r="AR308" i="11" s="1"/>
  <c r="AT308" i="11" s="1"/>
  <c r="DJ307" i="11"/>
  <c r="DK307" i="11"/>
  <c r="CK308" i="11"/>
  <c r="BY306" i="11"/>
  <c r="BE308" i="11"/>
  <c r="BG308" i="11" s="1"/>
  <c r="BR308" i="11"/>
  <c r="BT308" i="11" s="1"/>
  <c r="DE308" i="11"/>
  <c r="DG308" i="11" s="1"/>
  <c r="CE309" i="11"/>
  <c r="CG309" i="11" s="1"/>
  <c r="DU309" i="11"/>
  <c r="DV309" i="11"/>
  <c r="DI309" i="11"/>
  <c r="DH309" i="11"/>
  <c r="CR309" i="11"/>
  <c r="CT309" i="11" s="1"/>
  <c r="CU309" i="11"/>
  <c r="CV309" i="11"/>
  <c r="CH309" i="11"/>
  <c r="CI309" i="11"/>
  <c r="BU309" i="11"/>
  <c r="BV309" i="11"/>
  <c r="BH309" i="11"/>
  <c r="BI309" i="11"/>
  <c r="AV309" i="11"/>
  <c r="AH309" i="11"/>
  <c r="AI309" i="11"/>
  <c r="AU309" i="11"/>
  <c r="CM309" i="11"/>
  <c r="BP309" i="11"/>
  <c r="BN309" i="11"/>
  <c r="BO309" i="11"/>
  <c r="CO309" i="11"/>
  <c r="X309" i="11"/>
  <c r="DC309" i="11"/>
  <c r="DN309" i="11"/>
  <c r="DP309" i="11"/>
  <c r="CZ309" i="11"/>
  <c r="DB309" i="11"/>
  <c r="DD309" i="11" s="1"/>
  <c r="CB309" i="11"/>
  <c r="AM309" i="11"/>
  <c r="CC309" i="11"/>
  <c r="Y309" i="11"/>
  <c r="BM309" i="11"/>
  <c r="BZ309" i="11"/>
  <c r="AO309" i="11"/>
  <c r="BC309" i="11"/>
  <c r="AZ309" i="11"/>
  <c r="DA309" i="11"/>
  <c r="CA309" i="11"/>
  <c r="DM309" i="11"/>
  <c r="AA309" i="11"/>
  <c r="AP309" i="11"/>
  <c r="BB309" i="11"/>
  <c r="BD309" i="11" s="1"/>
  <c r="W310" i="11"/>
  <c r="CN309" i="11"/>
  <c r="CP309" i="11"/>
  <c r="BA309" i="11"/>
  <c r="AN309" i="11"/>
  <c r="B310" i="11"/>
  <c r="A310" i="11" s="1"/>
  <c r="C311" i="11"/>
  <c r="L309" i="11" l="1"/>
  <c r="V276" i="12"/>
  <c r="W276" i="12" s="1"/>
  <c r="M309" i="11"/>
  <c r="EI310" i="11"/>
  <c r="EH310" i="11"/>
  <c r="EC310" i="11"/>
  <c r="EA310" i="11"/>
  <c r="DZ310" i="11"/>
  <c r="N276" i="12"/>
  <c r="A277" i="12"/>
  <c r="V277" i="12" s="1"/>
  <c r="W277" i="12" s="1"/>
  <c r="P310" i="11"/>
  <c r="DL306" i="11"/>
  <c r="DF308" i="11"/>
  <c r="BS308" i="11"/>
  <c r="BW308" i="11"/>
  <c r="BF308" i="11"/>
  <c r="BK308" i="11"/>
  <c r="AY306" i="11"/>
  <c r="BW307" i="11"/>
  <c r="BY307" i="11" s="1"/>
  <c r="BK307" i="11"/>
  <c r="BL307" i="11" s="1"/>
  <c r="AX307" i="11"/>
  <c r="AW307" i="11"/>
  <c r="DK308" i="11"/>
  <c r="B278" i="12"/>
  <c r="CY307" i="11"/>
  <c r="CL307" i="11"/>
  <c r="CJ308" i="11"/>
  <c r="CL308" i="11" s="1"/>
  <c r="AB310" i="11"/>
  <c r="BQ309" i="11"/>
  <c r="BR309" i="11" s="1"/>
  <c r="BT309" i="11" s="1"/>
  <c r="CX308" i="11"/>
  <c r="CY308" i="11" s="1"/>
  <c r="CS308" i="11"/>
  <c r="CF309" i="11"/>
  <c r="CD309" i="11"/>
  <c r="DL307" i="11"/>
  <c r="CS309" i="11"/>
  <c r="CQ309" i="11"/>
  <c r="AQ309" i="11"/>
  <c r="AR309" i="11" s="1"/>
  <c r="AT309" i="11" s="1"/>
  <c r="BE309" i="11"/>
  <c r="BG309" i="11" s="1"/>
  <c r="DE309" i="11"/>
  <c r="DG309" i="11" s="1"/>
  <c r="CE310" i="11"/>
  <c r="CG310" i="11" s="1"/>
  <c r="DU310" i="11"/>
  <c r="DV310" i="11"/>
  <c r="DI310" i="11"/>
  <c r="DH310" i="11"/>
  <c r="CR310" i="11"/>
  <c r="CT310" i="11" s="1"/>
  <c r="CV310" i="11"/>
  <c r="CU310" i="11"/>
  <c r="CH310" i="11"/>
  <c r="CI310" i="11"/>
  <c r="BU310" i="11"/>
  <c r="BV310" i="11"/>
  <c r="BH310" i="11"/>
  <c r="BI310" i="11"/>
  <c r="AU310" i="11"/>
  <c r="AV310" i="11"/>
  <c r="AH310" i="11"/>
  <c r="AI310" i="11"/>
  <c r="BP310" i="11"/>
  <c r="BN310" i="11"/>
  <c r="BO310" i="11"/>
  <c r="BQ310" i="11" s="1"/>
  <c r="DA310" i="11"/>
  <c r="CZ310" i="11"/>
  <c r="AN310" i="11"/>
  <c r="CP310" i="11"/>
  <c r="AO310" i="11"/>
  <c r="DN310" i="11"/>
  <c r="BA310" i="11"/>
  <c r="CN310" i="11"/>
  <c r="AP310" i="11"/>
  <c r="BZ310" i="11"/>
  <c r="CC310" i="11"/>
  <c r="DC310" i="11"/>
  <c r="DP310" i="11"/>
  <c r="BM310" i="11"/>
  <c r="AM310" i="11"/>
  <c r="X310" i="11"/>
  <c r="AZ310" i="11"/>
  <c r="BC310" i="11"/>
  <c r="W311" i="11"/>
  <c r="DM310" i="11"/>
  <c r="CB310" i="11"/>
  <c r="CO310" i="11"/>
  <c r="BB310" i="11"/>
  <c r="BD310" i="11" s="1"/>
  <c r="AA310" i="11"/>
  <c r="Y310" i="11"/>
  <c r="CA310" i="11"/>
  <c r="DB310" i="11"/>
  <c r="DD310" i="11" s="1"/>
  <c r="CM310" i="11"/>
  <c r="B311" i="11"/>
  <c r="A311" i="11" s="1"/>
  <c r="C312" i="11"/>
  <c r="M310" i="11" l="1"/>
  <c r="L310" i="11"/>
  <c r="EH311" i="11"/>
  <c r="EC311" i="11"/>
  <c r="EA311" i="11"/>
  <c r="DZ311" i="11"/>
  <c r="EI311" i="11"/>
  <c r="N277" i="12"/>
  <c r="M277" i="12"/>
  <c r="A278" i="12"/>
  <c r="M278" i="12" s="1"/>
  <c r="P311" i="11"/>
  <c r="AY307" i="11"/>
  <c r="BF309" i="11"/>
  <c r="DF309" i="11"/>
  <c r="DJ309" i="11"/>
  <c r="DJ308" i="11"/>
  <c r="DL308" i="11" s="1"/>
  <c r="BJ308" i="11"/>
  <c r="BL308" i="11" s="1"/>
  <c r="BX308" i="11"/>
  <c r="BY308" i="11" s="1"/>
  <c r="AS309" i="11"/>
  <c r="BX309" i="11"/>
  <c r="AW308" i="11"/>
  <c r="AX308" i="11"/>
  <c r="AS308" i="11"/>
  <c r="B279" i="12"/>
  <c r="CJ309" i="11"/>
  <c r="CK309" i="11"/>
  <c r="BS309" i="11"/>
  <c r="AB311" i="11"/>
  <c r="CF310" i="11"/>
  <c r="CD310" i="11"/>
  <c r="CW309" i="11"/>
  <c r="CS310" i="11"/>
  <c r="CQ310" i="11"/>
  <c r="CX309" i="11"/>
  <c r="AQ310" i="11"/>
  <c r="AR310" i="11" s="1"/>
  <c r="AT310" i="11" s="1"/>
  <c r="AX309" i="11"/>
  <c r="AW309" i="11"/>
  <c r="CX310" i="11"/>
  <c r="BE310" i="11"/>
  <c r="BG310" i="11" s="1"/>
  <c r="BR310" i="11"/>
  <c r="BT310" i="11" s="1"/>
  <c r="BP311" i="11"/>
  <c r="CE311" i="11"/>
  <c r="CG311" i="11" s="1"/>
  <c r="DV311" i="11"/>
  <c r="DU311" i="11"/>
  <c r="DH311" i="11"/>
  <c r="DI311" i="11"/>
  <c r="CU311" i="11"/>
  <c r="CV311" i="11"/>
  <c r="CR311" i="11"/>
  <c r="CT311" i="11" s="1"/>
  <c r="CI311" i="11"/>
  <c r="CH311" i="11"/>
  <c r="BU311" i="11"/>
  <c r="BV311" i="11"/>
  <c r="BI311" i="11"/>
  <c r="BH311" i="11"/>
  <c r="AU311" i="11"/>
  <c r="AV311" i="11"/>
  <c r="AH311" i="11"/>
  <c r="AI311" i="11"/>
  <c r="DE310" i="11"/>
  <c r="DG310" i="11" s="1"/>
  <c r="CM311" i="11"/>
  <c r="BN311" i="11"/>
  <c r="BO311" i="11"/>
  <c r="BQ311" i="11" s="1"/>
  <c r="BR311" i="11" s="1"/>
  <c r="BC311" i="11"/>
  <c r="AM311" i="11"/>
  <c r="BA311" i="11"/>
  <c r="BM311" i="11"/>
  <c r="DN311" i="11"/>
  <c r="DB311" i="11"/>
  <c r="DD311" i="11" s="1"/>
  <c r="DC311" i="11"/>
  <c r="CC311" i="11"/>
  <c r="CP311" i="11"/>
  <c r="DP311" i="11"/>
  <c r="CA311" i="11"/>
  <c r="Y311" i="11"/>
  <c r="CB311" i="11"/>
  <c r="AZ311" i="11"/>
  <c r="BZ311" i="11"/>
  <c r="AN311" i="11"/>
  <c r="W312" i="11"/>
  <c r="AA311" i="11"/>
  <c r="DM311" i="11"/>
  <c r="DA311" i="11"/>
  <c r="AP311" i="11"/>
  <c r="CZ311" i="11"/>
  <c r="AO311" i="11"/>
  <c r="CO311" i="11"/>
  <c r="BB311" i="11"/>
  <c r="BD311" i="11" s="1"/>
  <c r="X311" i="11"/>
  <c r="CN311" i="11"/>
  <c r="B312" i="11"/>
  <c r="A312" i="11" s="1"/>
  <c r="C313" i="11"/>
  <c r="BT311" i="11" l="1"/>
  <c r="BX311" i="11" s="1"/>
  <c r="M311" i="11"/>
  <c r="L311" i="11"/>
  <c r="EC312" i="11"/>
  <c r="EA312" i="11"/>
  <c r="DZ312" i="11"/>
  <c r="EI312" i="11"/>
  <c r="EH312" i="11"/>
  <c r="V278" i="12"/>
  <c r="W278" i="12" s="1"/>
  <c r="N278" i="12"/>
  <c r="A279" i="12"/>
  <c r="M279" i="12" s="1"/>
  <c r="P312" i="11"/>
  <c r="BF310" i="11"/>
  <c r="DF310" i="11"/>
  <c r="DJ310" i="11"/>
  <c r="BS310" i="11"/>
  <c r="BX310" i="11"/>
  <c r="BK310" i="11"/>
  <c r="AY308" i="11"/>
  <c r="BW309" i="11"/>
  <c r="BY309" i="11" s="1"/>
  <c r="BJ309" i="11"/>
  <c r="CY309" i="11"/>
  <c r="BK309" i="11"/>
  <c r="DK309" i="11"/>
  <c r="DL309" i="11" s="1"/>
  <c r="AS310" i="11"/>
  <c r="B280" i="12"/>
  <c r="CL309" i="11"/>
  <c r="AY309" i="11"/>
  <c r="CK310" i="11"/>
  <c r="CJ310" i="11"/>
  <c r="AB312" i="11"/>
  <c r="CS311" i="11"/>
  <c r="CQ311" i="11"/>
  <c r="CF311" i="11"/>
  <c r="CD311" i="11"/>
  <c r="CW310" i="11"/>
  <c r="CY310" i="11" s="1"/>
  <c r="AQ311" i="11"/>
  <c r="AR311" i="11" s="1"/>
  <c r="AT311" i="11" s="1"/>
  <c r="BJ310" i="11"/>
  <c r="AW310" i="11"/>
  <c r="AX310" i="11"/>
  <c r="DE311" i="11"/>
  <c r="DG311" i="11" s="1"/>
  <c r="BE311" i="11"/>
  <c r="BG311" i="11" s="1"/>
  <c r="CE312" i="11"/>
  <c r="CG312" i="11" s="1"/>
  <c r="DU312" i="11"/>
  <c r="DV312" i="11"/>
  <c r="DH312" i="11"/>
  <c r="DI312" i="11"/>
  <c r="CR312" i="11"/>
  <c r="CT312" i="11" s="1"/>
  <c r="CU312" i="11"/>
  <c r="CV312" i="11"/>
  <c r="CH312" i="11"/>
  <c r="CI312" i="11"/>
  <c r="BV312" i="11"/>
  <c r="BU312" i="11"/>
  <c r="BI312" i="11"/>
  <c r="BH312" i="11"/>
  <c r="AU312" i="11"/>
  <c r="AV312" i="11"/>
  <c r="AI312" i="11"/>
  <c r="AH312" i="11"/>
  <c r="CM312" i="11"/>
  <c r="BN312" i="11"/>
  <c r="BP312" i="11"/>
  <c r="AP312" i="11"/>
  <c r="BO312" i="11"/>
  <c r="BQ312" i="11" s="1"/>
  <c r="BR312" i="11" s="1"/>
  <c r="BT312" i="11" s="1"/>
  <c r="BZ312" i="11"/>
  <c r="BC312" i="11"/>
  <c r="CZ312" i="11"/>
  <c r="AZ312" i="11"/>
  <c r="DA312" i="11"/>
  <c r="Y312" i="11"/>
  <c r="DB312" i="11"/>
  <c r="DD312" i="11" s="1"/>
  <c r="CN312" i="11"/>
  <c r="X312" i="11"/>
  <c r="DM312" i="11"/>
  <c r="CA312" i="11"/>
  <c r="DN312" i="11"/>
  <c r="W313" i="11"/>
  <c r="BB312" i="11"/>
  <c r="BD312" i="11" s="1"/>
  <c r="AA312" i="11"/>
  <c r="DP312" i="11"/>
  <c r="BM312" i="11"/>
  <c r="DC312" i="11"/>
  <c r="CP312" i="11"/>
  <c r="BA312" i="11"/>
  <c r="CB312" i="11"/>
  <c r="CO312" i="11"/>
  <c r="AO312" i="11"/>
  <c r="AN312" i="11"/>
  <c r="CC312" i="11"/>
  <c r="AM312" i="11"/>
  <c r="B313" i="11"/>
  <c r="A313" i="11" s="1"/>
  <c r="C314" i="11"/>
  <c r="BS311" i="11" l="1"/>
  <c r="BW312" i="11"/>
  <c r="L312" i="11"/>
  <c r="N279" i="12"/>
  <c r="M312" i="11"/>
  <c r="V279" i="12"/>
  <c r="W279" i="12" s="1"/>
  <c r="DZ313" i="11"/>
  <c r="EC313" i="11"/>
  <c r="EA313" i="11"/>
  <c r="EI313" i="11"/>
  <c r="EH313" i="11"/>
  <c r="A280" i="12"/>
  <c r="V280" i="12" s="1"/>
  <c r="W280" i="12" s="1"/>
  <c r="P313" i="11"/>
  <c r="BL309" i="11"/>
  <c r="BF311" i="11"/>
  <c r="BW310" i="11"/>
  <c r="BY310" i="11" s="1"/>
  <c r="DF311" i="11"/>
  <c r="DK310" i="11"/>
  <c r="DL310" i="11" s="1"/>
  <c r="BW311" i="11"/>
  <c r="BY311" i="11" s="1"/>
  <c r="BJ311" i="11"/>
  <c r="B281" i="12"/>
  <c r="AX311" i="11"/>
  <c r="CK311" i="11"/>
  <c r="CL310" i="11"/>
  <c r="CW311" i="11"/>
  <c r="AB313" i="11"/>
  <c r="CX311" i="11"/>
  <c r="CF312" i="11"/>
  <c r="CD312" i="11"/>
  <c r="CJ311" i="11"/>
  <c r="CS312" i="11"/>
  <c r="CQ312" i="11"/>
  <c r="AQ312" i="11"/>
  <c r="AR312" i="11" s="1"/>
  <c r="AT312" i="11" s="1"/>
  <c r="AY310" i="11"/>
  <c r="BL310" i="11"/>
  <c r="DE312" i="11"/>
  <c r="DG312" i="11" s="1"/>
  <c r="CW312" i="11"/>
  <c r="BE312" i="11"/>
  <c r="BG312" i="11" s="1"/>
  <c r="CE313" i="11"/>
  <c r="CG313" i="11" s="1"/>
  <c r="DV313" i="11"/>
  <c r="DU313" i="11"/>
  <c r="DH313" i="11"/>
  <c r="DI313" i="11"/>
  <c r="CR313" i="11"/>
  <c r="CT313" i="11" s="1"/>
  <c r="CU313" i="11"/>
  <c r="CV313" i="11"/>
  <c r="CI313" i="11"/>
  <c r="CH313" i="11"/>
  <c r="BU313" i="11"/>
  <c r="BV313" i="11"/>
  <c r="BI313" i="11"/>
  <c r="BH313" i="11"/>
  <c r="AU313" i="11"/>
  <c r="AV313" i="11"/>
  <c r="AH313" i="11"/>
  <c r="AI313" i="11"/>
  <c r="BN313" i="11"/>
  <c r="AP313" i="11"/>
  <c r="BP313" i="11"/>
  <c r="BO313" i="11"/>
  <c r="BQ313" i="11" s="1"/>
  <c r="X313" i="11"/>
  <c r="DA313" i="11"/>
  <c r="BA313" i="11"/>
  <c r="CN313" i="11"/>
  <c r="BM313" i="11"/>
  <c r="AZ313" i="11"/>
  <c r="DC313" i="11"/>
  <c r="AN313" i="11"/>
  <c r="DP313" i="11"/>
  <c r="CZ313" i="11"/>
  <c r="W314" i="11"/>
  <c r="AA313" i="11"/>
  <c r="BC313" i="11"/>
  <c r="AM313" i="11"/>
  <c r="AO313" i="11"/>
  <c r="CO313" i="11"/>
  <c r="BB313" i="11"/>
  <c r="BD313" i="11" s="1"/>
  <c r="CA313" i="11"/>
  <c r="DB313" i="11"/>
  <c r="DD313" i="11" s="1"/>
  <c r="BZ313" i="11"/>
  <c r="CP313" i="11"/>
  <c r="CC313" i="11"/>
  <c r="DN313" i="11"/>
  <c r="CB313" i="11"/>
  <c r="DM313" i="11"/>
  <c r="Y313" i="11"/>
  <c r="CM313" i="11"/>
  <c r="B314" i="11"/>
  <c r="A314" i="11" s="1"/>
  <c r="C315" i="11"/>
  <c r="CM314" i="11" l="1"/>
  <c r="BS312" i="11"/>
  <c r="M313" i="11"/>
  <c r="L313" i="11"/>
  <c r="EI314" i="11"/>
  <c r="EA314" i="11"/>
  <c r="DZ314" i="11"/>
  <c r="EH314" i="11"/>
  <c r="EC314" i="11"/>
  <c r="M280" i="12"/>
  <c r="N280" i="12"/>
  <c r="A281" i="12"/>
  <c r="M281" i="12" s="1"/>
  <c r="P314" i="11"/>
  <c r="CL311" i="11"/>
  <c r="BF312" i="11"/>
  <c r="DF312" i="11"/>
  <c r="DJ312" i="11"/>
  <c r="BX312" i="11"/>
  <c r="BY312" i="11" s="1"/>
  <c r="BK311" i="11"/>
  <c r="BL311" i="11" s="1"/>
  <c r="DJ311" i="11"/>
  <c r="AW311" i="11"/>
  <c r="AY311" i="11" s="1"/>
  <c r="AS311" i="11"/>
  <c r="B282" i="12"/>
  <c r="AX312" i="11"/>
  <c r="DK311" i="11"/>
  <c r="CX312" i="11"/>
  <c r="CY312" i="11" s="1"/>
  <c r="CY311" i="11"/>
  <c r="AB314" i="11"/>
  <c r="CJ312" i="11"/>
  <c r="CK312" i="11"/>
  <c r="CD313" i="11"/>
  <c r="CS313" i="11"/>
  <c r="CQ313" i="11"/>
  <c r="AQ313" i="11"/>
  <c r="AR313" i="11" s="1"/>
  <c r="AT313" i="11" s="1"/>
  <c r="DK312" i="11"/>
  <c r="BE313" i="11"/>
  <c r="BG313" i="11" s="1"/>
  <c r="DE313" i="11"/>
  <c r="DG313" i="11" s="1"/>
  <c r="CE314" i="11"/>
  <c r="CG314" i="11" s="1"/>
  <c r="DU314" i="11"/>
  <c r="DV314" i="11"/>
  <c r="DI314" i="11"/>
  <c r="DH314" i="11"/>
  <c r="CU314" i="11"/>
  <c r="CV314" i="11"/>
  <c r="CR314" i="11"/>
  <c r="CT314" i="11" s="1"/>
  <c r="CI314" i="11"/>
  <c r="CH314" i="11"/>
  <c r="BU314" i="11"/>
  <c r="BV314" i="11"/>
  <c r="BH314" i="11"/>
  <c r="BI314" i="11"/>
  <c r="AU314" i="11"/>
  <c r="AI314" i="11"/>
  <c r="AH314" i="11"/>
  <c r="AV314" i="11"/>
  <c r="BR313" i="11"/>
  <c r="BT313" i="11" s="1"/>
  <c r="CF313" i="11"/>
  <c r="Y314" i="11"/>
  <c r="CA314" i="11"/>
  <c r="DM314" i="11"/>
  <c r="CC314" i="11"/>
  <c r="AM314" i="11"/>
  <c r="CP314" i="11"/>
  <c r="BC314" i="11"/>
  <c r="BZ314" i="11"/>
  <c r="AA314" i="11"/>
  <c r="BP314" i="11"/>
  <c r="BN314" i="11"/>
  <c r="DB314" i="11"/>
  <c r="DD314" i="11" s="1"/>
  <c r="CO314" i="11"/>
  <c r="CB314" i="11"/>
  <c r="BB314" i="11"/>
  <c r="BD314" i="11" s="1"/>
  <c r="BO314" i="11"/>
  <c r="BQ314" i="11" s="1"/>
  <c r="DN314" i="11"/>
  <c r="BM314" i="11"/>
  <c r="CZ314" i="11"/>
  <c r="CN314" i="11"/>
  <c r="DP314" i="11"/>
  <c r="BA314" i="11"/>
  <c r="AN314" i="11"/>
  <c r="DA314" i="11"/>
  <c r="W315" i="11"/>
  <c r="AO314" i="11"/>
  <c r="DC314" i="11"/>
  <c r="X314" i="11"/>
  <c r="AZ314" i="11"/>
  <c r="AP314" i="11"/>
  <c r="B315" i="11"/>
  <c r="A315" i="11" s="1"/>
  <c r="C316" i="11"/>
  <c r="L314" i="11" l="1"/>
  <c r="M314" i="11"/>
  <c r="EA315" i="11"/>
  <c r="DZ315" i="11"/>
  <c r="EI315" i="11"/>
  <c r="EH315" i="11"/>
  <c r="EC315" i="11"/>
  <c r="N281" i="12"/>
  <c r="V281" i="12"/>
  <c r="W281" i="12" s="1"/>
  <c r="A282" i="12"/>
  <c r="M282" i="12" s="1"/>
  <c r="P315" i="11"/>
  <c r="DF313" i="11"/>
  <c r="DK313" i="11"/>
  <c r="BF313" i="11"/>
  <c r="BK313" i="11"/>
  <c r="BS313" i="11"/>
  <c r="DL311" i="11"/>
  <c r="BJ312" i="11"/>
  <c r="AS312" i="11"/>
  <c r="AW312" i="11"/>
  <c r="AY312" i="11" s="1"/>
  <c r="AX313" i="11"/>
  <c r="BK312" i="11"/>
  <c r="BX313" i="11"/>
  <c r="B283" i="12"/>
  <c r="CL312" i="11"/>
  <c r="CX313" i="11"/>
  <c r="CW313" i="11"/>
  <c r="BR314" i="11"/>
  <c r="BT314" i="11" s="1"/>
  <c r="AB315" i="11"/>
  <c r="CF314" i="11"/>
  <c r="CD314" i="11"/>
  <c r="CS314" i="11"/>
  <c r="CQ314" i="11"/>
  <c r="AQ314" i="11"/>
  <c r="AR314" i="11" s="1"/>
  <c r="AT314" i="11" s="1"/>
  <c r="DL312" i="11"/>
  <c r="AW313" i="11"/>
  <c r="CE315" i="11"/>
  <c r="CG315" i="11" s="1"/>
  <c r="DV315" i="11"/>
  <c r="DU315" i="11"/>
  <c r="DH315" i="11"/>
  <c r="DI315" i="11"/>
  <c r="CU315" i="11"/>
  <c r="CR315" i="11"/>
  <c r="CT315" i="11" s="1"/>
  <c r="CV315" i="11"/>
  <c r="CI315" i="11"/>
  <c r="CH315" i="11"/>
  <c r="BU315" i="11"/>
  <c r="BV315" i="11"/>
  <c r="BH315" i="11"/>
  <c r="BI315" i="11"/>
  <c r="AU315" i="11"/>
  <c r="AV315" i="11"/>
  <c r="AH315" i="11"/>
  <c r="AI315" i="11"/>
  <c r="CK313" i="11"/>
  <c r="CJ313" i="11"/>
  <c r="BE314" i="11"/>
  <c r="BG314" i="11" s="1"/>
  <c r="DE314" i="11"/>
  <c r="DG314" i="11" s="1"/>
  <c r="BN315" i="11"/>
  <c r="CM315" i="11"/>
  <c r="BP315" i="11"/>
  <c r="BO315" i="11"/>
  <c r="BQ315" i="11" s="1"/>
  <c r="AZ315" i="11"/>
  <c r="AM315" i="11"/>
  <c r="CC315" i="11"/>
  <c r="DP315" i="11"/>
  <c r="DB315" i="11"/>
  <c r="DD315" i="11" s="1"/>
  <c r="BB315" i="11"/>
  <c r="BD315" i="11" s="1"/>
  <c r="DM315" i="11"/>
  <c r="X315" i="11"/>
  <c r="CN315" i="11"/>
  <c r="AA315" i="11"/>
  <c r="W316" i="11"/>
  <c r="DC315" i="11"/>
  <c r="DA315" i="11"/>
  <c r="CO315" i="11"/>
  <c r="CA315" i="11"/>
  <c r="BM315" i="11"/>
  <c r="BZ315" i="11"/>
  <c r="AO315" i="11"/>
  <c r="DN315" i="11"/>
  <c r="AN315" i="11"/>
  <c r="CB315" i="11"/>
  <c r="Y315" i="11"/>
  <c r="BC315" i="11"/>
  <c r="CZ315" i="11"/>
  <c r="AP315" i="11"/>
  <c r="BA315" i="11"/>
  <c r="CP315" i="11"/>
  <c r="B316" i="11"/>
  <c r="A316" i="11" s="1"/>
  <c r="C317" i="11"/>
  <c r="DN316" i="11" l="1"/>
  <c r="V282" i="12"/>
  <c r="W282" i="12" s="1"/>
  <c r="M315" i="11"/>
  <c r="L315" i="11"/>
  <c r="DZ316" i="11"/>
  <c r="EI316" i="11"/>
  <c r="EH316" i="11"/>
  <c r="EC316" i="11"/>
  <c r="EA316" i="11"/>
  <c r="N282" i="12"/>
  <c r="A283" i="12"/>
  <c r="N283" i="12" s="1"/>
  <c r="P316" i="11"/>
  <c r="BS314" i="11"/>
  <c r="DF314" i="11"/>
  <c r="BF314" i="11"/>
  <c r="BJ314" i="11"/>
  <c r="BJ313" i="11"/>
  <c r="BL313" i="11" s="1"/>
  <c r="BL312" i="11"/>
  <c r="BW313" i="11"/>
  <c r="BY313" i="11" s="1"/>
  <c r="AS313" i="11"/>
  <c r="DK314" i="11"/>
  <c r="DJ313" i="11"/>
  <c r="DL313" i="11" s="1"/>
  <c r="AS314" i="11"/>
  <c r="B284" i="12"/>
  <c r="CY313" i="11"/>
  <c r="CX314" i="11"/>
  <c r="CW314" i="11"/>
  <c r="CK314" i="11"/>
  <c r="BR315" i="11"/>
  <c r="BT315" i="11" s="1"/>
  <c r="CJ314" i="11"/>
  <c r="AB316" i="11"/>
  <c r="CS315" i="11"/>
  <c r="CQ315" i="11"/>
  <c r="AY313" i="11"/>
  <c r="CF315" i="11"/>
  <c r="CD315" i="11"/>
  <c r="CL313" i="11"/>
  <c r="AQ315" i="11"/>
  <c r="AR315" i="11" s="1"/>
  <c r="AT315" i="11" s="1"/>
  <c r="DE315" i="11"/>
  <c r="DG315" i="11" s="1"/>
  <c r="CE316" i="11"/>
  <c r="CG316" i="11" s="1"/>
  <c r="DU316" i="11"/>
  <c r="DV316" i="11"/>
  <c r="DH316" i="11"/>
  <c r="DI316" i="11"/>
  <c r="CU316" i="11"/>
  <c r="CV316" i="11"/>
  <c r="CR316" i="11"/>
  <c r="CT316" i="11" s="1"/>
  <c r="CH316" i="11"/>
  <c r="CI316" i="11"/>
  <c r="BU316" i="11"/>
  <c r="BV316" i="11"/>
  <c r="BH316" i="11"/>
  <c r="BI316" i="11"/>
  <c r="AU316" i="11"/>
  <c r="AV316" i="11"/>
  <c r="AI316" i="11"/>
  <c r="AH316" i="11"/>
  <c r="BE315" i="11"/>
  <c r="BG315" i="11" s="1"/>
  <c r="CP316" i="11"/>
  <c r="AN316" i="11"/>
  <c r="DC316" i="11"/>
  <c r="BA316" i="11"/>
  <c r="AP316" i="11"/>
  <c r="CZ316" i="11"/>
  <c r="CN316" i="11"/>
  <c r="AA316" i="11"/>
  <c r="BP316" i="11"/>
  <c r="BM316" i="11"/>
  <c r="BN316" i="11"/>
  <c r="AM316" i="11"/>
  <c r="CC316" i="11"/>
  <c r="AO316" i="11"/>
  <c r="BO316" i="11"/>
  <c r="BQ316" i="11" s="1"/>
  <c r="X316" i="11"/>
  <c r="BZ316" i="11"/>
  <c r="CA316" i="11"/>
  <c r="BC316" i="11"/>
  <c r="CB316" i="11"/>
  <c r="DA316" i="11"/>
  <c r="AZ316" i="11"/>
  <c r="BB316" i="11"/>
  <c r="BD316" i="11" s="1"/>
  <c r="DM316" i="11"/>
  <c r="DB316" i="11"/>
  <c r="DD316" i="11" s="1"/>
  <c r="W317" i="11"/>
  <c r="DP316" i="11"/>
  <c r="Y316" i="11"/>
  <c r="CO316" i="11"/>
  <c r="CM316" i="11"/>
  <c r="B317" i="11"/>
  <c r="A317" i="11" s="1"/>
  <c r="C318" i="11"/>
  <c r="M316" i="11" l="1"/>
  <c r="L316" i="11"/>
  <c r="M283" i="12"/>
  <c r="DZ317" i="11"/>
  <c r="EI317" i="11"/>
  <c r="EH317" i="11"/>
  <c r="EC317" i="11"/>
  <c r="EA317" i="11"/>
  <c r="V283" i="12"/>
  <c r="W283" i="12" s="1"/>
  <c r="A284" i="12"/>
  <c r="M284" i="12" s="1"/>
  <c r="P317" i="11"/>
  <c r="DF315" i="11"/>
  <c r="BF315" i="11"/>
  <c r="BS315" i="11"/>
  <c r="BW315" i="11"/>
  <c r="DJ314" i="11"/>
  <c r="DL314" i="11" s="1"/>
  <c r="AX314" i="11"/>
  <c r="BK314" i="11"/>
  <c r="BL314" i="11" s="1"/>
  <c r="BX314" i="11"/>
  <c r="BW314" i="11"/>
  <c r="DJ315" i="11"/>
  <c r="B285" i="12"/>
  <c r="AW314" i="11"/>
  <c r="CY314" i="11"/>
  <c r="CL314" i="11"/>
  <c r="CX315" i="11"/>
  <c r="CW315" i="11"/>
  <c r="AB317" i="11"/>
  <c r="CK315" i="11"/>
  <c r="BR316" i="11"/>
  <c r="BT316" i="11" s="1"/>
  <c r="CJ315" i="11"/>
  <c r="CF316" i="11"/>
  <c r="CD316" i="11"/>
  <c r="CW316" i="11"/>
  <c r="CQ316" i="11"/>
  <c r="AQ316" i="11"/>
  <c r="AR316" i="11" s="1"/>
  <c r="AT316" i="11" s="1"/>
  <c r="BE316" i="11"/>
  <c r="BG316" i="11" s="1"/>
  <c r="DE316" i="11"/>
  <c r="DG316" i="11" s="1"/>
  <c r="BP317" i="11"/>
  <c r="CE317" i="11"/>
  <c r="CG317" i="11" s="1"/>
  <c r="DU317" i="11"/>
  <c r="DV317" i="11"/>
  <c r="DI317" i="11"/>
  <c r="DH317" i="11"/>
  <c r="CV317" i="11"/>
  <c r="CU317" i="11"/>
  <c r="CR317" i="11"/>
  <c r="CT317" i="11" s="1"/>
  <c r="CH317" i="11"/>
  <c r="CI317" i="11"/>
  <c r="BU317" i="11"/>
  <c r="BV317" i="11"/>
  <c r="BH317" i="11"/>
  <c r="BI317" i="11"/>
  <c r="AU317" i="11"/>
  <c r="AV317" i="11"/>
  <c r="AH317" i="11"/>
  <c r="AI317" i="11"/>
  <c r="BN317" i="11"/>
  <c r="AZ317" i="11"/>
  <c r="BO317" i="11"/>
  <c r="BQ317" i="11" s="1"/>
  <c r="BC317" i="11"/>
  <c r="DP317" i="11"/>
  <c r="BZ317" i="11"/>
  <c r="CP317" i="11"/>
  <c r="DB317" i="11"/>
  <c r="DD317" i="11" s="1"/>
  <c r="AP317" i="11"/>
  <c r="CC317" i="11"/>
  <c r="CM317" i="11"/>
  <c r="DN317" i="11"/>
  <c r="CO317" i="11"/>
  <c r="DC317" i="11"/>
  <c r="Y317" i="11"/>
  <c r="AN317" i="11"/>
  <c r="AA317" i="11"/>
  <c r="BM317" i="11"/>
  <c r="BB317" i="11"/>
  <c r="BD317" i="11" s="1"/>
  <c r="CZ317" i="11"/>
  <c r="X317" i="11"/>
  <c r="DA317" i="11"/>
  <c r="CN317" i="11"/>
  <c r="AO317" i="11"/>
  <c r="CB317" i="11"/>
  <c r="W318" i="11"/>
  <c r="CA317" i="11"/>
  <c r="DM317" i="11"/>
  <c r="BA317" i="11"/>
  <c r="AM317" i="11"/>
  <c r="B318" i="11"/>
  <c r="A318" i="11" s="1"/>
  <c r="C319" i="11"/>
  <c r="V284" i="12" l="1"/>
  <c r="W284" i="12" s="1"/>
  <c r="L317" i="11"/>
  <c r="M317" i="11"/>
  <c r="EI318" i="11"/>
  <c r="EH318" i="11"/>
  <c r="EC318" i="11"/>
  <c r="EA318" i="11"/>
  <c r="DZ318" i="11"/>
  <c r="N284" i="12"/>
  <c r="A285" i="12"/>
  <c r="M285" i="12" s="1"/>
  <c r="P318" i="11"/>
  <c r="BS316" i="11"/>
  <c r="DF316" i="11"/>
  <c r="BF316" i="11"/>
  <c r="BJ316" i="11"/>
  <c r="AY314" i="11"/>
  <c r="DK315" i="11"/>
  <c r="DL315" i="11" s="1"/>
  <c r="AS316" i="11"/>
  <c r="BY314" i="11"/>
  <c r="AW315" i="11"/>
  <c r="AX315" i="11"/>
  <c r="AS315" i="11"/>
  <c r="BJ315" i="11"/>
  <c r="BK315" i="11"/>
  <c r="CY315" i="11"/>
  <c r="B286" i="12"/>
  <c r="BX315" i="11"/>
  <c r="BY315" i="11" s="1"/>
  <c r="CJ316" i="11"/>
  <c r="CL315" i="11"/>
  <c r="CK316" i="11"/>
  <c r="AB318" i="11"/>
  <c r="CS317" i="11"/>
  <c r="CQ317" i="11"/>
  <c r="CX316" i="11"/>
  <c r="CY316" i="11" s="1"/>
  <c r="CS316" i="11"/>
  <c r="CF317" i="11"/>
  <c r="CD317" i="11"/>
  <c r="AQ317" i="11"/>
  <c r="AR317" i="11" s="1"/>
  <c r="AT317" i="11" s="1"/>
  <c r="AX316" i="11"/>
  <c r="AW316" i="11"/>
  <c r="BR317" i="11"/>
  <c r="BT317" i="11" s="1"/>
  <c r="BE317" i="11"/>
  <c r="BG317" i="11" s="1"/>
  <c r="DE317" i="11"/>
  <c r="DG317" i="11" s="1"/>
  <c r="CE318" i="11"/>
  <c r="CG318" i="11" s="1"/>
  <c r="DU318" i="11"/>
  <c r="DV318" i="11"/>
  <c r="DI318" i="11"/>
  <c r="DH318" i="11"/>
  <c r="CR318" i="11"/>
  <c r="CT318" i="11" s="1"/>
  <c r="CU318" i="11"/>
  <c r="CV318" i="11"/>
  <c r="CH318" i="11"/>
  <c r="CI318" i="11"/>
  <c r="BU318" i="11"/>
  <c r="BV318" i="11"/>
  <c r="BI318" i="11"/>
  <c r="BH318" i="11"/>
  <c r="AH318" i="11"/>
  <c r="AI318" i="11"/>
  <c r="AU318" i="11"/>
  <c r="AV318" i="11"/>
  <c r="DM318" i="11"/>
  <c r="BN318" i="11"/>
  <c r="BP318" i="11"/>
  <c r="BO318" i="11"/>
  <c r="CM318" i="11"/>
  <c r="CA318" i="11"/>
  <c r="AN318" i="11"/>
  <c r="CO318" i="11"/>
  <c r="DA318" i="11"/>
  <c r="W319" i="11"/>
  <c r="X318" i="11"/>
  <c r="CP318" i="11"/>
  <c r="AA318" i="11"/>
  <c r="CZ318" i="11"/>
  <c r="BC318" i="11"/>
  <c r="AP318" i="11"/>
  <c r="CC318" i="11"/>
  <c r="AO318" i="11"/>
  <c r="BB318" i="11"/>
  <c r="BD318" i="11" s="1"/>
  <c r="DN318" i="11"/>
  <c r="DP318" i="11"/>
  <c r="CB318" i="11"/>
  <c r="AM318" i="11"/>
  <c r="CN318" i="11"/>
  <c r="BM318" i="11"/>
  <c r="BZ318" i="11"/>
  <c r="DC318" i="11"/>
  <c r="BA318" i="11"/>
  <c r="DB318" i="11"/>
  <c r="DD318" i="11" s="1"/>
  <c r="Y318" i="11"/>
  <c r="AZ318" i="11"/>
  <c r="B319" i="11"/>
  <c r="A319" i="11" s="1"/>
  <c r="C320" i="11"/>
  <c r="M318" i="11" l="1"/>
  <c r="L318" i="11"/>
  <c r="N285" i="12"/>
  <c r="V285" i="12"/>
  <c r="W285" i="12" s="1"/>
  <c r="EI319" i="11"/>
  <c r="EH319" i="11"/>
  <c r="EC319" i="11"/>
  <c r="EA319" i="11"/>
  <c r="DZ319" i="11"/>
  <c r="A286" i="12"/>
  <c r="V286" i="12" s="1"/>
  <c r="W286" i="12" s="1"/>
  <c r="P319" i="11"/>
  <c r="BK316" i="11"/>
  <c r="DF317" i="11"/>
  <c r="DJ317" i="11"/>
  <c r="BF317" i="11"/>
  <c r="BK317" i="11"/>
  <c r="BS317" i="11"/>
  <c r="BL315" i="11"/>
  <c r="AY315" i="11"/>
  <c r="DJ316" i="11"/>
  <c r="AS317" i="11"/>
  <c r="BW316" i="11"/>
  <c r="B287" i="12"/>
  <c r="DK316" i="11"/>
  <c r="BX316" i="11"/>
  <c r="CW317" i="11"/>
  <c r="CQ318" i="11"/>
  <c r="CL316" i="11"/>
  <c r="CX317" i="11"/>
  <c r="AB319" i="11"/>
  <c r="BQ318" i="11"/>
  <c r="BR318" i="11" s="1"/>
  <c r="BT318" i="11" s="1"/>
  <c r="CJ317" i="11"/>
  <c r="CK318" i="11"/>
  <c r="CD318" i="11"/>
  <c r="CK317" i="11"/>
  <c r="AQ318" i="11"/>
  <c r="AR318" i="11" s="1"/>
  <c r="AT318" i="11" s="1"/>
  <c r="AY316" i="11"/>
  <c r="AW317" i="11"/>
  <c r="AX317" i="11"/>
  <c r="CE319" i="11"/>
  <c r="CG319" i="11" s="1"/>
  <c r="DV319" i="11"/>
  <c r="DU319" i="11"/>
  <c r="DH319" i="11"/>
  <c r="DI319" i="11"/>
  <c r="CR319" i="11"/>
  <c r="CT319" i="11" s="1"/>
  <c r="CV319" i="11"/>
  <c r="CU319" i="11"/>
  <c r="CH319" i="11"/>
  <c r="CI319" i="11"/>
  <c r="BU319" i="11"/>
  <c r="BV319" i="11"/>
  <c r="BH319" i="11"/>
  <c r="AU319" i="11"/>
  <c r="AV319" i="11"/>
  <c r="BI319" i="11"/>
  <c r="AH319" i="11"/>
  <c r="AI319" i="11"/>
  <c r="BE318" i="11"/>
  <c r="BG318" i="11" s="1"/>
  <c r="DE318" i="11"/>
  <c r="DG318" i="11" s="1"/>
  <c r="CS318" i="11"/>
  <c r="BW317" i="11"/>
  <c r="BX317" i="11"/>
  <c r="AN319" i="11"/>
  <c r="BN319" i="11"/>
  <c r="BP319" i="11"/>
  <c r="BO319" i="11"/>
  <c r="BQ319" i="11" s="1"/>
  <c r="BB319" i="11"/>
  <c r="BD319" i="11" s="1"/>
  <c r="BZ319" i="11"/>
  <c r="BM319" i="11"/>
  <c r="AZ319" i="11"/>
  <c r="CO319" i="11"/>
  <c r="BC319" i="11"/>
  <c r="DN319" i="11"/>
  <c r="CZ319" i="11"/>
  <c r="CN319" i="11"/>
  <c r="Y319" i="11"/>
  <c r="AO319" i="11"/>
  <c r="DB319" i="11"/>
  <c r="DD319" i="11" s="1"/>
  <c r="AM319" i="11"/>
  <c r="CC319" i="11"/>
  <c r="X319" i="11"/>
  <c r="CB319" i="11"/>
  <c r="DC319" i="11"/>
  <c r="DP319" i="11"/>
  <c r="DM319" i="11"/>
  <c r="CA319" i="11"/>
  <c r="DA319" i="11"/>
  <c r="BA319" i="11"/>
  <c r="AP319" i="11"/>
  <c r="AA319" i="11"/>
  <c r="W320" i="11"/>
  <c r="CP319" i="11"/>
  <c r="CM319" i="11"/>
  <c r="B320" i="11"/>
  <c r="A320" i="11" s="1"/>
  <c r="C321" i="11"/>
  <c r="L319" i="11" l="1"/>
  <c r="M286" i="12"/>
  <c r="N286" i="12"/>
  <c r="BL316" i="11"/>
  <c r="M319" i="11"/>
  <c r="EI320" i="11"/>
  <c r="EH320" i="11"/>
  <c r="EC320" i="11"/>
  <c r="EA320" i="11"/>
  <c r="DZ320" i="11"/>
  <c r="A287" i="12"/>
  <c r="V287" i="12" s="1"/>
  <c r="W287" i="12" s="1"/>
  <c r="P320" i="11"/>
  <c r="DF318" i="11"/>
  <c r="BF318" i="11"/>
  <c r="DK317" i="11"/>
  <c r="DL317" i="11" s="1"/>
  <c r="BJ317" i="11"/>
  <c r="BL317" i="11" s="1"/>
  <c r="CY317" i="11"/>
  <c r="DL316" i="11"/>
  <c r="BY316" i="11"/>
  <c r="B288" i="12"/>
  <c r="AS318" i="11"/>
  <c r="CL317" i="11"/>
  <c r="BS318" i="11"/>
  <c r="BX318" i="11"/>
  <c r="BW318" i="11"/>
  <c r="AB320" i="11"/>
  <c r="CF319" i="11"/>
  <c r="CD319" i="11"/>
  <c r="CS319" i="11"/>
  <c r="CQ319" i="11"/>
  <c r="CJ318" i="11"/>
  <c r="CL318" i="11" s="1"/>
  <c r="CF318" i="11"/>
  <c r="AY317" i="11"/>
  <c r="AQ319" i="11"/>
  <c r="AR319" i="11" s="1"/>
  <c r="AT319" i="11" s="1"/>
  <c r="BY317" i="11"/>
  <c r="DE319" i="11"/>
  <c r="DG319" i="11" s="1"/>
  <c r="CW318" i="11"/>
  <c r="CX318" i="11"/>
  <c r="BR319" i="11"/>
  <c r="BT319" i="11" s="1"/>
  <c r="CE320" i="11"/>
  <c r="CG320" i="11" s="1"/>
  <c r="DU320" i="11"/>
  <c r="DV320" i="11"/>
  <c r="DH320" i="11"/>
  <c r="DI320" i="11"/>
  <c r="CV320" i="11"/>
  <c r="CR320" i="11"/>
  <c r="CT320" i="11" s="1"/>
  <c r="CU320" i="11"/>
  <c r="CH320" i="11"/>
  <c r="CI320" i="11"/>
  <c r="BU320" i="11"/>
  <c r="BH320" i="11"/>
  <c r="BI320" i="11"/>
  <c r="AU320" i="11"/>
  <c r="BV320" i="11"/>
  <c r="AV320" i="11"/>
  <c r="AH320" i="11"/>
  <c r="AI320" i="11"/>
  <c r="BE319" i="11"/>
  <c r="BG319" i="11" s="1"/>
  <c r="BN320" i="11"/>
  <c r="BP320" i="11"/>
  <c r="BO320" i="11"/>
  <c r="BQ320" i="11" s="1"/>
  <c r="AP320" i="11"/>
  <c r="BB320" i="11"/>
  <c r="BD320" i="11" s="1"/>
  <c r="AM320" i="11"/>
  <c r="CP320" i="11"/>
  <c r="DP320" i="11"/>
  <c r="DN320" i="11"/>
  <c r="CZ320" i="11"/>
  <c r="AZ320" i="11"/>
  <c r="CB320" i="11"/>
  <c r="DM320" i="11"/>
  <c r="BC320" i="11"/>
  <c r="AO320" i="11"/>
  <c r="DB320" i="11"/>
  <c r="DD320" i="11" s="1"/>
  <c r="CC320" i="11"/>
  <c r="CN320" i="11"/>
  <c r="X320" i="11"/>
  <c r="AA320" i="11"/>
  <c r="CA320" i="11"/>
  <c r="CM320" i="11"/>
  <c r="Y320" i="11"/>
  <c r="AN320" i="11"/>
  <c r="DA320" i="11"/>
  <c r="W321" i="11"/>
  <c r="CO320" i="11"/>
  <c r="BM320" i="11"/>
  <c r="DC320" i="11"/>
  <c r="BZ320" i="11"/>
  <c r="BA320" i="11"/>
  <c r="B321" i="11"/>
  <c r="A321" i="11" s="1"/>
  <c r="C322" i="11"/>
  <c r="L320" i="11" l="1"/>
  <c r="M320" i="11"/>
  <c r="DZ321" i="11"/>
  <c r="EH321" i="11"/>
  <c r="EC321" i="11"/>
  <c r="EA321" i="11"/>
  <c r="EI321" i="11"/>
  <c r="N287" i="12"/>
  <c r="M287" i="12"/>
  <c r="A288" i="12"/>
  <c r="N288" i="12" s="1"/>
  <c r="P321" i="11"/>
  <c r="BS319" i="11"/>
  <c r="DF319" i="11"/>
  <c r="BF319" i="11"/>
  <c r="BK319" i="11"/>
  <c r="AX318" i="11"/>
  <c r="AW318" i="11"/>
  <c r="BK318" i="11"/>
  <c r="DJ318" i="11"/>
  <c r="BJ318" i="11"/>
  <c r="DK318" i="11"/>
  <c r="AW319" i="11"/>
  <c r="B289" i="12"/>
  <c r="BY318" i="11"/>
  <c r="CK319" i="11"/>
  <c r="CW319" i="11"/>
  <c r="CX319" i="11"/>
  <c r="AB321" i="11"/>
  <c r="BR320" i="11"/>
  <c r="BT320" i="11" s="1"/>
  <c r="CJ319" i="11"/>
  <c r="CF320" i="11"/>
  <c r="CD320" i="11"/>
  <c r="CW320" i="11"/>
  <c r="CQ320" i="11"/>
  <c r="AQ320" i="11"/>
  <c r="AR320" i="11" s="1"/>
  <c r="AT320" i="11" s="1"/>
  <c r="DK319" i="11"/>
  <c r="DJ319" i="11"/>
  <c r="CK320" i="11"/>
  <c r="BE320" i="11"/>
  <c r="BG320" i="11" s="1"/>
  <c r="CE321" i="11"/>
  <c r="CG321" i="11" s="1"/>
  <c r="DU321" i="11"/>
  <c r="DV321" i="11"/>
  <c r="DI321" i="11"/>
  <c r="DH321" i="11"/>
  <c r="CR321" i="11"/>
  <c r="CT321" i="11" s="1"/>
  <c r="CU321" i="11"/>
  <c r="CV321" i="11"/>
  <c r="CH321" i="11"/>
  <c r="CI321" i="11"/>
  <c r="BU321" i="11"/>
  <c r="BV321" i="11"/>
  <c r="BI321" i="11"/>
  <c r="BH321" i="11"/>
  <c r="AI321" i="11"/>
  <c r="AU321" i="11"/>
  <c r="AV321" i="11"/>
  <c r="AH321" i="11"/>
  <c r="DE320" i="11"/>
  <c r="DG320" i="11" s="1"/>
  <c r="CY318" i="11"/>
  <c r="BA321" i="11"/>
  <c r="DC321" i="11"/>
  <c r="BM321" i="11"/>
  <c r="CZ321" i="11"/>
  <c r="BN321" i="11"/>
  <c r="BP321" i="11"/>
  <c r="DB321" i="11"/>
  <c r="DD321" i="11" s="1"/>
  <c r="CO321" i="11"/>
  <c r="BO321" i="11"/>
  <c r="BQ321" i="11" s="1"/>
  <c r="DA321" i="11"/>
  <c r="BB321" i="11"/>
  <c r="BD321" i="11" s="1"/>
  <c r="Y321" i="11"/>
  <c r="DP321" i="11"/>
  <c r="BZ321" i="11"/>
  <c r="CA321" i="11"/>
  <c r="AN321" i="11"/>
  <c r="CN321" i="11"/>
  <c r="DN321" i="11"/>
  <c r="BC321" i="11"/>
  <c r="CP321" i="11"/>
  <c r="AO321" i="11"/>
  <c r="AM321" i="11"/>
  <c r="CB321" i="11"/>
  <c r="AA321" i="11"/>
  <c r="W322" i="11"/>
  <c r="AZ321" i="11"/>
  <c r="CC321" i="11"/>
  <c r="X321" i="11"/>
  <c r="CM321" i="11"/>
  <c r="DM321" i="11"/>
  <c r="AP321" i="11"/>
  <c r="B322" i="11"/>
  <c r="A322" i="11" s="1"/>
  <c r="C323" i="11"/>
  <c r="V288" i="12" l="1"/>
  <c r="W288" i="12" s="1"/>
  <c r="L321" i="11"/>
  <c r="M321" i="11"/>
  <c r="EI322" i="11"/>
  <c r="EH322" i="11"/>
  <c r="EC322" i="11"/>
  <c r="EA322" i="11"/>
  <c r="DZ322" i="11"/>
  <c r="M288" i="12"/>
  <c r="A289" i="12"/>
  <c r="M289" i="12" s="1"/>
  <c r="P322" i="11"/>
  <c r="AY318" i="11"/>
  <c r="DF320" i="11"/>
  <c r="BS320" i="11"/>
  <c r="BX320" i="11"/>
  <c r="BF320" i="11"/>
  <c r="BJ319" i="11"/>
  <c r="BL319" i="11" s="1"/>
  <c r="BL318" i="11"/>
  <c r="BX319" i="11"/>
  <c r="DL318" i="11"/>
  <c r="DJ320" i="11"/>
  <c r="BW319" i="11"/>
  <c r="AS320" i="11"/>
  <c r="AS319" i="11"/>
  <c r="B290" i="12"/>
  <c r="AX319" i="11"/>
  <c r="AY319" i="11" s="1"/>
  <c r="CY319" i="11"/>
  <c r="CL319" i="11"/>
  <c r="CJ320" i="11"/>
  <c r="CL320" i="11" s="1"/>
  <c r="DL319" i="11"/>
  <c r="AB322" i="11"/>
  <c r="CF321" i="11"/>
  <c r="CD321" i="11"/>
  <c r="CX320" i="11"/>
  <c r="CY320" i="11" s="1"/>
  <c r="CS320" i="11"/>
  <c r="CS321" i="11"/>
  <c r="CQ321" i="11"/>
  <c r="AQ321" i="11"/>
  <c r="AR321" i="11" s="1"/>
  <c r="AT321" i="11" s="1"/>
  <c r="CE322" i="11"/>
  <c r="CG322" i="11" s="1"/>
  <c r="DU322" i="11"/>
  <c r="DV322" i="11"/>
  <c r="DH322" i="11"/>
  <c r="DI322" i="11"/>
  <c r="CU322" i="11"/>
  <c r="CR322" i="11"/>
  <c r="CT322" i="11" s="1"/>
  <c r="CV322" i="11"/>
  <c r="CH322" i="11"/>
  <c r="CI322" i="11"/>
  <c r="BU322" i="11"/>
  <c r="BV322" i="11"/>
  <c r="BH322" i="11"/>
  <c r="BI322" i="11"/>
  <c r="AV322" i="11"/>
  <c r="AH322" i="11"/>
  <c r="AU322" i="11"/>
  <c r="AI322" i="11"/>
  <c r="CK321" i="11"/>
  <c r="BR321" i="11"/>
  <c r="BT321" i="11" s="1"/>
  <c r="BE321" i="11"/>
  <c r="BG321" i="11" s="1"/>
  <c r="DE321" i="11"/>
  <c r="DG321" i="11" s="1"/>
  <c r="BN322" i="11"/>
  <c r="AP322" i="11"/>
  <c r="BZ322" i="11"/>
  <c r="DM322" i="11"/>
  <c r="CM322" i="11"/>
  <c r="BP322" i="11"/>
  <c r="BO322" i="11"/>
  <c r="BQ322" i="11" s="1"/>
  <c r="X322" i="11"/>
  <c r="DP322" i="11"/>
  <c r="AA322" i="11"/>
  <c r="CP322" i="11"/>
  <c r="CC322" i="11"/>
  <c r="CB322" i="11"/>
  <c r="AM322" i="11"/>
  <c r="DN322" i="11"/>
  <c r="DA322" i="11"/>
  <c r="Y322" i="11"/>
  <c r="AO322" i="11"/>
  <c r="BC322" i="11"/>
  <c r="BM322" i="11"/>
  <c r="CN322" i="11"/>
  <c r="CO322" i="11"/>
  <c r="AN322" i="11"/>
  <c r="BB322" i="11"/>
  <c r="BD322" i="11" s="1"/>
  <c r="BA322" i="11"/>
  <c r="W323" i="11"/>
  <c r="AZ322" i="11"/>
  <c r="DB322" i="11"/>
  <c r="DD322" i="11" s="1"/>
  <c r="CA322" i="11"/>
  <c r="DC322" i="11"/>
  <c r="CZ322" i="11"/>
  <c r="B323" i="11"/>
  <c r="A323" i="11" s="1"/>
  <c r="C324" i="11"/>
  <c r="V289" i="12" l="1"/>
  <c r="W289" i="12" s="1"/>
  <c r="M322" i="11"/>
  <c r="L322" i="11"/>
  <c r="EI323" i="11"/>
  <c r="EH323" i="11"/>
  <c r="EC323" i="11"/>
  <c r="EA323" i="11"/>
  <c r="DZ323" i="11"/>
  <c r="N289" i="12"/>
  <c r="A290" i="12"/>
  <c r="M290" i="12" s="1"/>
  <c r="P323" i="11"/>
  <c r="DF321" i="11"/>
  <c r="BF321" i="11"/>
  <c r="BS321" i="11"/>
  <c r="BW321" i="11"/>
  <c r="BY319" i="11"/>
  <c r="BW320" i="11"/>
  <c r="BY320" i="11" s="1"/>
  <c r="BK321" i="11"/>
  <c r="BK320" i="11"/>
  <c r="AX320" i="11"/>
  <c r="DK320" i="11"/>
  <c r="DL320" i="11" s="1"/>
  <c r="AW320" i="11"/>
  <c r="B291" i="12"/>
  <c r="BJ320" i="11"/>
  <c r="AX321" i="11"/>
  <c r="CJ321" i="11"/>
  <c r="CL321" i="11" s="1"/>
  <c r="CX321" i="11"/>
  <c r="AB323" i="11"/>
  <c r="CF322" i="11"/>
  <c r="CD322" i="11"/>
  <c r="CW321" i="11"/>
  <c r="CS322" i="11"/>
  <c r="CQ322" i="11"/>
  <c r="AQ322" i="11"/>
  <c r="AR322" i="11" s="1"/>
  <c r="AT322" i="11" s="1"/>
  <c r="BE322" i="11"/>
  <c r="BG322" i="11" s="1"/>
  <c r="CJ322" i="11"/>
  <c r="BR322" i="11"/>
  <c r="BT322" i="11" s="1"/>
  <c r="DE322" i="11"/>
  <c r="DG322" i="11" s="1"/>
  <c r="CE323" i="11"/>
  <c r="CG323" i="11" s="1"/>
  <c r="DV323" i="11"/>
  <c r="DU323" i="11"/>
  <c r="DH323" i="11"/>
  <c r="DI323" i="11"/>
  <c r="CR323" i="11"/>
  <c r="CT323" i="11" s="1"/>
  <c r="CU323" i="11"/>
  <c r="CV323" i="11"/>
  <c r="CH323" i="11"/>
  <c r="CI323" i="11"/>
  <c r="BU323" i="11"/>
  <c r="BV323" i="11"/>
  <c r="BI323" i="11"/>
  <c r="BH323" i="11"/>
  <c r="AV323" i="11"/>
  <c r="AI323" i="11"/>
  <c r="AU323" i="11"/>
  <c r="AH323" i="11"/>
  <c r="BP323" i="11"/>
  <c r="BN323" i="11"/>
  <c r="CZ323" i="11"/>
  <c r="BO323" i="11"/>
  <c r="AN323" i="11"/>
  <c r="DM323" i="11"/>
  <c r="DN323" i="11"/>
  <c r="DC323" i="11"/>
  <c r="BC323" i="11"/>
  <c r="CA323" i="11"/>
  <c r="CC323" i="11"/>
  <c r="CM323" i="11"/>
  <c r="BM323" i="11"/>
  <c r="DA323" i="11"/>
  <c r="CB323" i="11"/>
  <c r="AA323" i="11"/>
  <c r="DB323" i="11"/>
  <c r="DD323" i="11" s="1"/>
  <c r="CP323" i="11"/>
  <c r="CO323" i="11"/>
  <c r="Y323" i="11"/>
  <c r="AO323" i="11"/>
  <c r="W324" i="11"/>
  <c r="X323" i="11"/>
  <c r="AM323" i="11"/>
  <c r="BA323" i="11"/>
  <c r="BB323" i="11"/>
  <c r="BD323" i="11" s="1"/>
  <c r="DP323" i="11"/>
  <c r="AP323" i="11"/>
  <c r="AZ323" i="11"/>
  <c r="CN323" i="11"/>
  <c r="BZ323" i="11"/>
  <c r="B324" i="11"/>
  <c r="A324" i="11" s="1"/>
  <c r="C325" i="11"/>
  <c r="L323" i="11" l="1"/>
  <c r="M323" i="11"/>
  <c r="EI324" i="11"/>
  <c r="EH324" i="11"/>
  <c r="EC324" i="11"/>
  <c r="EA324" i="11"/>
  <c r="DZ324" i="11"/>
  <c r="V290" i="12"/>
  <c r="W290" i="12" s="1"/>
  <c r="N290" i="12"/>
  <c r="A291" i="12"/>
  <c r="M291" i="12" s="1"/>
  <c r="P324" i="11"/>
  <c r="DF322" i="11"/>
  <c r="BS322" i="11"/>
  <c r="BF322" i="11"/>
  <c r="BK322" i="11"/>
  <c r="BL320" i="11"/>
  <c r="AW321" i="11"/>
  <c r="AY321" i="11" s="1"/>
  <c r="AY320" i="11"/>
  <c r="BJ321" i="11"/>
  <c r="BL321" i="11" s="1"/>
  <c r="BX321" i="11"/>
  <c r="BY321" i="11" s="1"/>
  <c r="DK321" i="11"/>
  <c r="DJ321" i="11"/>
  <c r="AS322" i="11"/>
  <c r="B292" i="12"/>
  <c r="AS321" i="11"/>
  <c r="CW322" i="11"/>
  <c r="CY321" i="11"/>
  <c r="CK322" i="11"/>
  <c r="CL322" i="11" s="1"/>
  <c r="CX322" i="11"/>
  <c r="AB324" i="11"/>
  <c r="BQ323" i="11"/>
  <c r="BR323" i="11" s="1"/>
  <c r="BT323" i="11" s="1"/>
  <c r="CF323" i="11"/>
  <c r="CD323" i="11"/>
  <c r="CS323" i="11"/>
  <c r="CQ323" i="11"/>
  <c r="AQ323" i="11"/>
  <c r="AR323" i="11" s="1"/>
  <c r="AT323" i="11" s="1"/>
  <c r="DK322" i="11"/>
  <c r="DJ322" i="11"/>
  <c r="CK323" i="11"/>
  <c r="DE323" i="11"/>
  <c r="DG323" i="11" s="1"/>
  <c r="BE323" i="11"/>
  <c r="BG323" i="11" s="1"/>
  <c r="CE324" i="11"/>
  <c r="CG324" i="11" s="1"/>
  <c r="DV324" i="11"/>
  <c r="DU324" i="11"/>
  <c r="DI324" i="11"/>
  <c r="DH324" i="11"/>
  <c r="CR324" i="11"/>
  <c r="CT324" i="11" s="1"/>
  <c r="CU324" i="11"/>
  <c r="CV324" i="11"/>
  <c r="CH324" i="11"/>
  <c r="CI324" i="11"/>
  <c r="BU324" i="11"/>
  <c r="BV324" i="11"/>
  <c r="BH324" i="11"/>
  <c r="BI324" i="11"/>
  <c r="AU324" i="11"/>
  <c r="AH324" i="11"/>
  <c r="AI324" i="11"/>
  <c r="AV324" i="11"/>
  <c r="BW322" i="11"/>
  <c r="BX322" i="11"/>
  <c r="CC324" i="11"/>
  <c r="BP324" i="11"/>
  <c r="BN324" i="11"/>
  <c r="BO324" i="11"/>
  <c r="BQ324" i="11" s="1"/>
  <c r="BA324" i="11"/>
  <c r="BZ324" i="11"/>
  <c r="X324" i="11"/>
  <c r="CM324" i="11"/>
  <c r="AM324" i="11"/>
  <c r="AZ324" i="11"/>
  <c r="AO324" i="11"/>
  <c r="DC324" i="11"/>
  <c r="BC324" i="11"/>
  <c r="CB324" i="11"/>
  <c r="BM324" i="11"/>
  <c r="CA324" i="11"/>
  <c r="AN324" i="11"/>
  <c r="AP324" i="11"/>
  <c r="Y324" i="11"/>
  <c r="DB324" i="11"/>
  <c r="DD324" i="11" s="1"/>
  <c r="CN324" i="11"/>
  <c r="W325" i="11"/>
  <c r="DP324" i="11"/>
  <c r="CO324" i="11"/>
  <c r="DN324" i="11"/>
  <c r="CZ324" i="11"/>
  <c r="AA324" i="11"/>
  <c r="BB324" i="11"/>
  <c r="BD324" i="11" s="1"/>
  <c r="CP324" i="11"/>
  <c r="DA324" i="11"/>
  <c r="DM324" i="11"/>
  <c r="B325" i="11"/>
  <c r="A325" i="11" s="1"/>
  <c r="C326" i="11"/>
  <c r="V291" i="12" l="1"/>
  <c r="W291" i="12" s="1"/>
  <c r="M324" i="11"/>
  <c r="L324" i="11"/>
  <c r="DZ325" i="11"/>
  <c r="EH325" i="11"/>
  <c r="EI325" i="11"/>
  <c r="EC325" i="11"/>
  <c r="EA325" i="11"/>
  <c r="N291" i="12"/>
  <c r="A292" i="12"/>
  <c r="N292" i="12" s="1"/>
  <c r="P325" i="11"/>
  <c r="BF323" i="11"/>
  <c r="DF323" i="11"/>
  <c r="DJ323" i="11"/>
  <c r="DL321" i="11"/>
  <c r="BJ322" i="11"/>
  <c r="BL322" i="11" s="1"/>
  <c r="AW322" i="11"/>
  <c r="AX322" i="11"/>
  <c r="B293" i="12"/>
  <c r="BJ323" i="11"/>
  <c r="AS323" i="11"/>
  <c r="CJ323" i="11"/>
  <c r="CL323" i="11" s="1"/>
  <c r="CY322" i="11"/>
  <c r="DL322" i="11"/>
  <c r="CW323" i="11"/>
  <c r="BY322" i="11"/>
  <c r="BS323" i="11"/>
  <c r="BW323" i="11"/>
  <c r="BX323" i="11"/>
  <c r="AB325" i="11"/>
  <c r="BR324" i="11"/>
  <c r="BT324" i="11" s="1"/>
  <c r="BS324" i="11" s="1"/>
  <c r="CX323" i="11"/>
  <c r="CF324" i="11"/>
  <c r="CD324" i="11"/>
  <c r="CX324" i="11"/>
  <c r="CQ324" i="11"/>
  <c r="AQ324" i="11"/>
  <c r="AR324" i="11" s="1"/>
  <c r="AT324" i="11" s="1"/>
  <c r="BE324" i="11"/>
  <c r="BG324" i="11" s="1"/>
  <c r="DE324" i="11"/>
  <c r="DG324" i="11" s="1"/>
  <c r="CE325" i="11"/>
  <c r="CG325" i="11" s="1"/>
  <c r="DU325" i="11"/>
  <c r="DV325" i="11"/>
  <c r="DH325" i="11"/>
  <c r="DI325" i="11"/>
  <c r="CU325" i="11"/>
  <c r="CV325" i="11"/>
  <c r="CR325" i="11"/>
  <c r="CT325" i="11" s="1"/>
  <c r="CH325" i="11"/>
  <c r="CI325" i="11"/>
  <c r="BU325" i="11"/>
  <c r="BV325" i="11"/>
  <c r="BI325" i="11"/>
  <c r="BH325" i="11"/>
  <c r="AU325" i="11"/>
  <c r="AV325" i="11"/>
  <c r="AH325" i="11"/>
  <c r="AI325" i="11"/>
  <c r="BN325" i="11"/>
  <c r="BA325" i="11"/>
  <c r="BP325" i="11"/>
  <c r="CO325" i="11"/>
  <c r="BO325" i="11"/>
  <c r="BQ325" i="11" s="1"/>
  <c r="CN325" i="11"/>
  <c r="DB325" i="11"/>
  <c r="DD325" i="11" s="1"/>
  <c r="BC325" i="11"/>
  <c r="DC325" i="11"/>
  <c r="DM325" i="11"/>
  <c r="DA325" i="11"/>
  <c r="CP325" i="11"/>
  <c r="BB325" i="11"/>
  <c r="BD325" i="11" s="1"/>
  <c r="Y325" i="11"/>
  <c r="AO325" i="11"/>
  <c r="CB325" i="11"/>
  <c r="AP325" i="11"/>
  <c r="CZ325" i="11"/>
  <c r="DP325" i="11"/>
  <c r="AA325" i="11"/>
  <c r="DN325" i="11"/>
  <c r="X325" i="11"/>
  <c r="AZ325" i="11"/>
  <c r="W326" i="11"/>
  <c r="AN325" i="11"/>
  <c r="AM325" i="11"/>
  <c r="BZ325" i="11"/>
  <c r="CA325" i="11"/>
  <c r="CM325" i="11"/>
  <c r="BM325" i="11"/>
  <c r="CC325" i="11"/>
  <c r="B326" i="11"/>
  <c r="A326" i="11" s="1"/>
  <c r="C327" i="11"/>
  <c r="M325" i="11" l="1"/>
  <c r="L325" i="11"/>
  <c r="EH326" i="11"/>
  <c r="EI326" i="11"/>
  <c r="EC326" i="11"/>
  <c r="EA326" i="11"/>
  <c r="DZ326" i="11"/>
  <c r="V292" i="12"/>
  <c r="W292" i="12" s="1"/>
  <c r="M292" i="12"/>
  <c r="A293" i="12"/>
  <c r="N293" i="12" s="1"/>
  <c r="P326" i="11"/>
  <c r="DF324" i="11"/>
  <c r="DJ324" i="11"/>
  <c r="BF324" i="11"/>
  <c r="AY322" i="11"/>
  <c r="DK323" i="11"/>
  <c r="DL323" i="11" s="1"/>
  <c r="AX323" i="11"/>
  <c r="AW323" i="11"/>
  <c r="CY323" i="11"/>
  <c r="BK323" i="11"/>
  <c r="BL323" i="11" s="1"/>
  <c r="B294" i="12"/>
  <c r="BX324" i="11"/>
  <c r="BK324" i="11"/>
  <c r="CJ324" i="11"/>
  <c r="BW324" i="11"/>
  <c r="CK324" i="11"/>
  <c r="BY323" i="11"/>
  <c r="AB326" i="11"/>
  <c r="CW324" i="11"/>
  <c r="CY324" i="11" s="1"/>
  <c r="CS324" i="11"/>
  <c r="CF325" i="11"/>
  <c r="CD325" i="11"/>
  <c r="CS325" i="11"/>
  <c r="CQ325" i="11"/>
  <c r="AQ325" i="11"/>
  <c r="AR325" i="11" s="1"/>
  <c r="AT325" i="11" s="1"/>
  <c r="CE326" i="11"/>
  <c r="CG326" i="11" s="1"/>
  <c r="DU326" i="11"/>
  <c r="DV326" i="11"/>
  <c r="DH326" i="11"/>
  <c r="DI326" i="11"/>
  <c r="CR326" i="11"/>
  <c r="CT326" i="11" s="1"/>
  <c r="CV326" i="11"/>
  <c r="CH326" i="11"/>
  <c r="CU326" i="11"/>
  <c r="CI326" i="11"/>
  <c r="BU326" i="11"/>
  <c r="BV326" i="11"/>
  <c r="BH326" i="11"/>
  <c r="BI326" i="11"/>
  <c r="AU326" i="11"/>
  <c r="AV326" i="11"/>
  <c r="AI326" i="11"/>
  <c r="AH326" i="11"/>
  <c r="DE325" i="11"/>
  <c r="DG325" i="11" s="1"/>
  <c r="BE325" i="11"/>
  <c r="BG325" i="11" s="1"/>
  <c r="BR325" i="11"/>
  <c r="BT325" i="11" s="1"/>
  <c r="BN326" i="11"/>
  <c r="BP326" i="11"/>
  <c r="BO326" i="11"/>
  <c r="BQ326" i="11" s="1"/>
  <c r="BZ326" i="11"/>
  <c r="Y326" i="11"/>
  <c r="AM326" i="11"/>
  <c r="DM326" i="11"/>
  <c r="X326" i="11"/>
  <c r="DC326" i="11"/>
  <c r="CM326" i="11"/>
  <c r="CZ326" i="11"/>
  <c r="AZ326" i="11"/>
  <c r="AN326" i="11"/>
  <c r="AO326" i="11"/>
  <c r="CA326" i="11"/>
  <c r="AP326" i="11"/>
  <c r="DA326" i="11"/>
  <c r="DP326" i="11"/>
  <c r="BM326" i="11"/>
  <c r="DN326" i="11"/>
  <c r="AA326" i="11"/>
  <c r="CN326" i="11"/>
  <c r="CO326" i="11"/>
  <c r="CC326" i="11"/>
  <c r="W327" i="11"/>
  <c r="CP326" i="11"/>
  <c r="BB326" i="11"/>
  <c r="BD326" i="11" s="1"/>
  <c r="BC326" i="11"/>
  <c r="CB326" i="11"/>
  <c r="DB326" i="11"/>
  <c r="DD326" i="11" s="1"/>
  <c r="BA326" i="11"/>
  <c r="B327" i="11"/>
  <c r="A327" i="11" s="1"/>
  <c r="C328" i="11"/>
  <c r="L326" i="11" l="1"/>
  <c r="M326" i="11"/>
  <c r="EC327" i="11"/>
  <c r="EI327" i="11"/>
  <c r="EH327" i="11"/>
  <c r="EA327" i="11"/>
  <c r="DZ327" i="11"/>
  <c r="V293" i="12"/>
  <c r="W293" i="12" s="1"/>
  <c r="M293" i="12"/>
  <c r="A294" i="12"/>
  <c r="N294" i="12" s="1"/>
  <c r="P327" i="11"/>
  <c r="BF325" i="11"/>
  <c r="DF325" i="11"/>
  <c r="BS325" i="11"/>
  <c r="BY324" i="11"/>
  <c r="AS325" i="11"/>
  <c r="AY323" i="11"/>
  <c r="BJ324" i="11"/>
  <c r="BL324" i="11" s="1"/>
  <c r="AW324" i="11"/>
  <c r="AX324" i="11"/>
  <c r="DK325" i="11"/>
  <c r="CL324" i="11"/>
  <c r="BK325" i="11"/>
  <c r="B295" i="12"/>
  <c r="DK324" i="11"/>
  <c r="DL324" i="11" s="1"/>
  <c r="AS324" i="11"/>
  <c r="CJ325" i="11"/>
  <c r="CW325" i="11"/>
  <c r="CX325" i="11"/>
  <c r="AB327" i="11"/>
  <c r="CK325" i="11"/>
  <c r="CS326" i="11"/>
  <c r="CQ326" i="11"/>
  <c r="CJ326" i="11"/>
  <c r="CD326" i="11"/>
  <c r="AQ326" i="11"/>
  <c r="AR326" i="11" s="1"/>
  <c r="AT326" i="11" s="1"/>
  <c r="CX326" i="11"/>
  <c r="DE326" i="11"/>
  <c r="DG326" i="11" s="1"/>
  <c r="CE327" i="11"/>
  <c r="CG327" i="11" s="1"/>
  <c r="DV327" i="11"/>
  <c r="DU327" i="11"/>
  <c r="DH327" i="11"/>
  <c r="DI327" i="11"/>
  <c r="CR327" i="11"/>
  <c r="CT327" i="11" s="1"/>
  <c r="CU327" i="11"/>
  <c r="CV327" i="11"/>
  <c r="CH327" i="11"/>
  <c r="CI327" i="11"/>
  <c r="BU327" i="11"/>
  <c r="BV327" i="11"/>
  <c r="BH327" i="11"/>
  <c r="BI327" i="11"/>
  <c r="AU327" i="11"/>
  <c r="AV327" i="11"/>
  <c r="AH327" i="11"/>
  <c r="AI327" i="11"/>
  <c r="BE326" i="11"/>
  <c r="BG326" i="11" s="1"/>
  <c r="BR326" i="11"/>
  <c r="BT326" i="11" s="1"/>
  <c r="BZ327" i="11"/>
  <c r="BP327" i="11"/>
  <c r="BA327" i="11"/>
  <c r="BN327" i="11"/>
  <c r="DN327" i="11"/>
  <c r="DB327" i="11"/>
  <c r="DD327" i="11" s="1"/>
  <c r="CB327" i="11"/>
  <c r="BO327" i="11"/>
  <c r="BQ327" i="11" s="1"/>
  <c r="BM327" i="11"/>
  <c r="BB327" i="11"/>
  <c r="BD327" i="11" s="1"/>
  <c r="CO327" i="11"/>
  <c r="X327" i="11"/>
  <c r="CP327" i="11"/>
  <c r="CN327" i="11"/>
  <c r="AO327" i="11"/>
  <c r="CA327" i="11"/>
  <c r="AA327" i="11"/>
  <c r="AN327" i="11"/>
  <c r="DM327" i="11"/>
  <c r="AM327" i="11"/>
  <c r="DA327" i="11"/>
  <c r="CM327" i="11"/>
  <c r="BC327" i="11"/>
  <c r="CC327" i="11"/>
  <c r="AZ327" i="11"/>
  <c r="Y327" i="11"/>
  <c r="DP327" i="11"/>
  <c r="CZ327" i="11"/>
  <c r="W328" i="11"/>
  <c r="AP327" i="11"/>
  <c r="DC327" i="11"/>
  <c r="B328" i="11"/>
  <c r="A328" i="11" s="1"/>
  <c r="C329" i="11"/>
  <c r="L327" i="11" l="1"/>
  <c r="M327" i="11"/>
  <c r="EA328" i="11"/>
  <c r="EI328" i="11"/>
  <c r="EH328" i="11"/>
  <c r="EC328" i="11"/>
  <c r="DZ328" i="11"/>
  <c r="M294" i="12"/>
  <c r="V294" i="12"/>
  <c r="W294" i="12" s="1"/>
  <c r="A295" i="12"/>
  <c r="V295" i="12" s="1"/>
  <c r="W295" i="12" s="1"/>
  <c r="P328" i="11"/>
  <c r="DF326" i="11"/>
  <c r="BS326" i="11"/>
  <c r="BF326" i="11"/>
  <c r="BJ326" i="11"/>
  <c r="AW325" i="11"/>
  <c r="AX325" i="11"/>
  <c r="AY324" i="11"/>
  <c r="CY325" i="11"/>
  <c r="DJ325" i="11"/>
  <c r="DL325" i="11" s="1"/>
  <c r="BJ325" i="11"/>
  <c r="BL325" i="11" s="1"/>
  <c r="B296" i="12"/>
  <c r="AW326" i="11"/>
  <c r="BX325" i="11"/>
  <c r="BW325" i="11"/>
  <c r="DK326" i="11"/>
  <c r="CL325" i="11"/>
  <c r="AB328" i="11"/>
  <c r="CW326" i="11"/>
  <c r="CY326" i="11" s="1"/>
  <c r="CF327" i="11"/>
  <c r="CD327" i="11"/>
  <c r="CK326" i="11"/>
  <c r="CL326" i="11" s="1"/>
  <c r="CF326" i="11"/>
  <c r="CS327" i="11"/>
  <c r="CQ327" i="11"/>
  <c r="AQ327" i="11"/>
  <c r="AR327" i="11" s="1"/>
  <c r="AT327" i="11" s="1"/>
  <c r="DE327" i="11"/>
  <c r="DG327" i="11" s="1"/>
  <c r="CE328" i="11"/>
  <c r="CG328" i="11" s="1"/>
  <c r="DU328" i="11"/>
  <c r="DV328" i="11"/>
  <c r="DH328" i="11"/>
  <c r="DI328" i="11"/>
  <c r="CU328" i="11"/>
  <c r="CV328" i="11"/>
  <c r="CR328" i="11"/>
  <c r="CT328" i="11" s="1"/>
  <c r="CH328" i="11"/>
  <c r="CI328" i="11"/>
  <c r="BU328" i="11"/>
  <c r="BV328" i="11"/>
  <c r="BI328" i="11"/>
  <c r="BH328" i="11"/>
  <c r="AU328" i="11"/>
  <c r="AV328" i="11"/>
  <c r="AH328" i="11"/>
  <c r="AI328" i="11"/>
  <c r="BR327" i="11"/>
  <c r="BT327" i="11" s="1"/>
  <c r="BE327" i="11"/>
  <c r="BG327" i="11" s="1"/>
  <c r="BP328" i="11"/>
  <c r="AA328" i="11"/>
  <c r="BN328" i="11"/>
  <c r="BO328" i="11"/>
  <c r="BQ328" i="11" s="1"/>
  <c r="CA328" i="11"/>
  <c r="CZ328" i="11"/>
  <c r="BA328" i="11"/>
  <c r="BZ328" i="11"/>
  <c r="DP328" i="11"/>
  <c r="CP328" i="11"/>
  <c r="AM328" i="11"/>
  <c r="CO328" i="11"/>
  <c r="DM328" i="11"/>
  <c r="W329" i="11"/>
  <c r="Y328" i="11"/>
  <c r="AN328" i="11"/>
  <c r="CN328" i="11"/>
  <c r="AZ328" i="11"/>
  <c r="BM328" i="11"/>
  <c r="BB328" i="11"/>
  <c r="BD328" i="11" s="1"/>
  <c r="DC328" i="11"/>
  <c r="DA328" i="11"/>
  <c r="CB328" i="11"/>
  <c r="DB328" i="11"/>
  <c r="DD328" i="11" s="1"/>
  <c r="X328" i="11"/>
  <c r="AP328" i="11"/>
  <c r="CM328" i="11"/>
  <c r="CC328" i="11"/>
  <c r="BC328" i="11"/>
  <c r="DN328" i="11"/>
  <c r="AO328" i="11"/>
  <c r="B329" i="11"/>
  <c r="A329" i="11" s="1"/>
  <c r="C330" i="11"/>
  <c r="M328" i="11" l="1"/>
  <c r="L328" i="11"/>
  <c r="EA329" i="11"/>
  <c r="EI329" i="11"/>
  <c r="EH329" i="11"/>
  <c r="EC329" i="11"/>
  <c r="DZ329" i="11"/>
  <c r="N295" i="12"/>
  <c r="M295" i="12"/>
  <c r="A296" i="12"/>
  <c r="V296" i="12" s="1"/>
  <c r="W296" i="12" s="1"/>
  <c r="P329" i="11"/>
  <c r="DF327" i="11"/>
  <c r="BF327" i="11"/>
  <c r="BK327" i="11"/>
  <c r="BS327" i="11"/>
  <c r="BY325" i="11"/>
  <c r="AY325" i="11"/>
  <c r="DJ326" i="11"/>
  <c r="DL326" i="11" s="1"/>
  <c r="BX326" i="11"/>
  <c r="BW326" i="11"/>
  <c r="BK326" i="11"/>
  <c r="BL326" i="11" s="1"/>
  <c r="AS326" i="11"/>
  <c r="AX326" i="11"/>
  <c r="AY326" i="11" s="1"/>
  <c r="DK327" i="11"/>
  <c r="B297" i="12"/>
  <c r="AX327" i="11"/>
  <c r="CJ327" i="11"/>
  <c r="AB329" i="11"/>
  <c r="BC329" i="11"/>
  <c r="DC329" i="11"/>
  <c r="CK327" i="11"/>
  <c r="CS328" i="11"/>
  <c r="CQ328" i="11"/>
  <c r="CW327" i="11"/>
  <c r="CF328" i="11"/>
  <c r="CD328" i="11"/>
  <c r="CX327" i="11"/>
  <c r="AQ328" i="11"/>
  <c r="AR328" i="11" s="1"/>
  <c r="AT328" i="11" s="1"/>
  <c r="CE329" i="11"/>
  <c r="CG329" i="11" s="1"/>
  <c r="DV329" i="11"/>
  <c r="DU329" i="11"/>
  <c r="DI329" i="11"/>
  <c r="DH329" i="11"/>
  <c r="CU329" i="11"/>
  <c r="CR329" i="11"/>
  <c r="CT329" i="11" s="1"/>
  <c r="CV329" i="11"/>
  <c r="CH329" i="11"/>
  <c r="CI329" i="11"/>
  <c r="BU329" i="11"/>
  <c r="BV329" i="11"/>
  <c r="BH329" i="11"/>
  <c r="BI329" i="11"/>
  <c r="AU329" i="11"/>
  <c r="AV329" i="11"/>
  <c r="AH329" i="11"/>
  <c r="AI329" i="11"/>
  <c r="BE328" i="11"/>
  <c r="BG328" i="11" s="1"/>
  <c r="BX327" i="11"/>
  <c r="BW327" i="11"/>
  <c r="BR328" i="11"/>
  <c r="BT328" i="11" s="1"/>
  <c r="DE328" i="11"/>
  <c r="DG328" i="11" s="1"/>
  <c r="CC329" i="11"/>
  <c r="DP329" i="11"/>
  <c r="AN329" i="11"/>
  <c r="DA329" i="11"/>
  <c r="Y329" i="11"/>
  <c r="CM329" i="11"/>
  <c r="AP329" i="11"/>
  <c r="X329" i="11"/>
  <c r="DN329" i="11"/>
  <c r="BN329" i="11"/>
  <c r="BP329" i="11"/>
  <c r="DB329" i="11"/>
  <c r="DD329" i="11" s="1"/>
  <c r="CO329" i="11"/>
  <c r="CB329" i="11"/>
  <c r="BB329" i="11"/>
  <c r="BD329" i="11" s="1"/>
  <c r="AO329" i="11"/>
  <c r="BO329" i="11"/>
  <c r="BQ329" i="11" s="1"/>
  <c r="CA329" i="11"/>
  <c r="AZ329" i="11"/>
  <c r="BM329" i="11"/>
  <c r="DM329" i="11"/>
  <c r="BZ329" i="11"/>
  <c r="BA329" i="11"/>
  <c r="AM329" i="11"/>
  <c r="CP329" i="11"/>
  <c r="CN329" i="11"/>
  <c r="W330" i="11"/>
  <c r="CZ329" i="11"/>
  <c r="AA329" i="11"/>
  <c r="B330" i="11"/>
  <c r="A330" i="11" s="1"/>
  <c r="C331" i="11"/>
  <c r="M329" i="11" l="1"/>
  <c r="L329" i="11"/>
  <c r="EH330" i="11"/>
  <c r="DZ330" i="11"/>
  <c r="EI330" i="11"/>
  <c r="EC330" i="11"/>
  <c r="EA330" i="11"/>
  <c r="M296" i="12"/>
  <c r="N296" i="12"/>
  <c r="A297" i="12"/>
  <c r="N297" i="12" s="1"/>
  <c r="P330" i="11"/>
  <c r="DF328" i="11"/>
  <c r="BS328" i="11"/>
  <c r="BW328" i="11"/>
  <c r="BF328" i="11"/>
  <c r="BJ328" i="11"/>
  <c r="BY326" i="11"/>
  <c r="AS327" i="11"/>
  <c r="DJ327" i="11"/>
  <c r="DL327" i="11" s="1"/>
  <c r="AW327" i="11"/>
  <c r="AY327" i="11" s="1"/>
  <c r="B298" i="12"/>
  <c r="BJ327" i="11"/>
  <c r="BL327" i="11" s="1"/>
  <c r="DJ328" i="11"/>
  <c r="CL327" i="11"/>
  <c r="CJ328" i="11"/>
  <c r="AB330" i="11"/>
  <c r="CW328" i="11"/>
  <c r="CX328" i="11"/>
  <c r="CF329" i="11"/>
  <c r="CD329" i="11"/>
  <c r="CS329" i="11"/>
  <c r="CQ329" i="11"/>
  <c r="CY327" i="11"/>
  <c r="CK328" i="11"/>
  <c r="AQ329" i="11"/>
  <c r="AR329" i="11" s="1"/>
  <c r="AT329" i="11" s="1"/>
  <c r="BY327" i="11"/>
  <c r="CJ329" i="11"/>
  <c r="CK329" i="11"/>
  <c r="DE329" i="11"/>
  <c r="DG329" i="11" s="1"/>
  <c r="BE329" i="11"/>
  <c r="BG329" i="11" s="1"/>
  <c r="BX328" i="11"/>
  <c r="BR329" i="11"/>
  <c r="BT329" i="11" s="1"/>
  <c r="CE330" i="11"/>
  <c r="CG330" i="11" s="1"/>
  <c r="DU330" i="11"/>
  <c r="DV330" i="11"/>
  <c r="DH330" i="11"/>
  <c r="DI330" i="11"/>
  <c r="CR330" i="11"/>
  <c r="CT330" i="11" s="1"/>
  <c r="CV330" i="11"/>
  <c r="CU330" i="11"/>
  <c r="CH330" i="11"/>
  <c r="CI330" i="11"/>
  <c r="BU330" i="11"/>
  <c r="BV330" i="11"/>
  <c r="BI330" i="11"/>
  <c r="BH330" i="11"/>
  <c r="AU330" i="11"/>
  <c r="AV330" i="11"/>
  <c r="AH330" i="11"/>
  <c r="AI330" i="11"/>
  <c r="BP330" i="11"/>
  <c r="BN330" i="11"/>
  <c r="CA330" i="11"/>
  <c r="DN330" i="11"/>
  <c r="BO330" i="11"/>
  <c r="BQ330" i="11" s="1"/>
  <c r="CZ330" i="11"/>
  <c r="CB330" i="11"/>
  <c r="DM330" i="11"/>
  <c r="CN330" i="11"/>
  <c r="CP330" i="11"/>
  <c r="DP330" i="11"/>
  <c r="AM330" i="11"/>
  <c r="CO330" i="11"/>
  <c r="AO330" i="11"/>
  <c r="Y330" i="11"/>
  <c r="AP330" i="11"/>
  <c r="CC330" i="11"/>
  <c r="DC330" i="11"/>
  <c r="AA330" i="11"/>
  <c r="BC330" i="11"/>
  <c r="DA330" i="11"/>
  <c r="BB330" i="11"/>
  <c r="BD330" i="11" s="1"/>
  <c r="CM330" i="11"/>
  <c r="BM330" i="11"/>
  <c r="AZ330" i="11"/>
  <c r="AN330" i="11"/>
  <c r="W331" i="11"/>
  <c r="DB330" i="11"/>
  <c r="DD330" i="11" s="1"/>
  <c r="BA330" i="11"/>
  <c r="BZ330" i="11"/>
  <c r="X330" i="11"/>
  <c r="B331" i="11"/>
  <c r="A331" i="11" s="1"/>
  <c r="C332" i="11"/>
  <c r="M330" i="11" l="1"/>
  <c r="L330" i="11"/>
  <c r="EC331" i="11"/>
  <c r="EI331" i="11"/>
  <c r="EH331" i="11"/>
  <c r="EA331" i="11"/>
  <c r="DZ331" i="11"/>
  <c r="M297" i="12"/>
  <c r="V297" i="12"/>
  <c r="W297" i="12" s="1"/>
  <c r="A298" i="12"/>
  <c r="N298" i="12" s="1"/>
  <c r="P331" i="11"/>
  <c r="BK328" i="11"/>
  <c r="BL328" i="11" s="1"/>
  <c r="DF329" i="11"/>
  <c r="BS329" i="11"/>
  <c r="BX329" i="11"/>
  <c r="BF329" i="11"/>
  <c r="BJ329" i="11"/>
  <c r="AS329" i="11"/>
  <c r="DK328" i="11"/>
  <c r="DL328" i="11" s="1"/>
  <c r="AS328" i="11"/>
  <c r="B299" i="12"/>
  <c r="AX328" i="11"/>
  <c r="DJ329" i="11"/>
  <c r="AW328" i="11"/>
  <c r="CY328" i="11"/>
  <c r="CL328" i="11"/>
  <c r="CX329" i="11"/>
  <c r="AB331" i="11"/>
  <c r="CW329" i="11"/>
  <c r="CS330" i="11"/>
  <c r="CQ330" i="11"/>
  <c r="CF330" i="11"/>
  <c r="CD330" i="11"/>
  <c r="AQ330" i="11"/>
  <c r="AR330" i="11" s="1"/>
  <c r="AT330" i="11" s="1"/>
  <c r="AW329" i="11"/>
  <c r="CL329" i="11"/>
  <c r="BY328" i="11"/>
  <c r="CW330" i="11"/>
  <c r="CX330" i="11"/>
  <c r="BE330" i="11"/>
  <c r="BG330" i="11" s="1"/>
  <c r="BR330" i="11"/>
  <c r="BT330" i="11" s="1"/>
  <c r="DE330" i="11"/>
  <c r="DG330" i="11" s="1"/>
  <c r="CE331" i="11"/>
  <c r="CG331" i="11" s="1"/>
  <c r="DV331" i="11"/>
  <c r="DU331" i="11"/>
  <c r="DH331" i="11"/>
  <c r="DI331" i="11"/>
  <c r="CV331" i="11"/>
  <c r="CR331" i="11"/>
  <c r="CT331" i="11" s="1"/>
  <c r="CU331" i="11"/>
  <c r="CH331" i="11"/>
  <c r="CI331" i="11"/>
  <c r="BU331" i="11"/>
  <c r="BV331" i="11"/>
  <c r="BH331" i="11"/>
  <c r="BI331" i="11"/>
  <c r="AU331" i="11"/>
  <c r="AV331" i="11"/>
  <c r="AH331" i="11"/>
  <c r="AI331" i="11"/>
  <c r="X331" i="11"/>
  <c r="BZ331" i="11"/>
  <c r="BP331" i="11"/>
  <c r="BN331" i="11"/>
  <c r="CO331" i="11"/>
  <c r="CB331" i="11"/>
  <c r="BO331" i="11"/>
  <c r="BQ331" i="11" s="1"/>
  <c r="CN331" i="11"/>
  <c r="CP331" i="11"/>
  <c r="DA331" i="11"/>
  <c r="DC331" i="11"/>
  <c r="BC331" i="11"/>
  <c r="CC331" i="11"/>
  <c r="BA331" i="11"/>
  <c r="AP331" i="11"/>
  <c r="AZ331" i="11"/>
  <c r="CM331" i="11"/>
  <c r="AM331" i="11"/>
  <c r="BB331" i="11"/>
  <c r="BD331" i="11" s="1"/>
  <c r="DP331" i="11"/>
  <c r="AA331" i="11"/>
  <c r="DN331" i="11"/>
  <c r="CZ331" i="11"/>
  <c r="AO331" i="11"/>
  <c r="BM331" i="11"/>
  <c r="DB331" i="11"/>
  <c r="DD331" i="11" s="1"/>
  <c r="AN331" i="11"/>
  <c r="Y331" i="11"/>
  <c r="W332" i="11"/>
  <c r="DM331" i="11"/>
  <c r="CA331" i="11"/>
  <c r="B332" i="11"/>
  <c r="A332" i="11" s="1"/>
  <c r="C333" i="11"/>
  <c r="M331" i="11" l="1"/>
  <c r="L331" i="11"/>
  <c r="V298" i="12"/>
  <c r="W298" i="12" s="1"/>
  <c r="EA332" i="11"/>
  <c r="EI332" i="11"/>
  <c r="EH332" i="11"/>
  <c r="EC332" i="11"/>
  <c r="DZ332" i="11"/>
  <c r="M298" i="12"/>
  <c r="A299" i="12"/>
  <c r="N299" i="12" s="1"/>
  <c r="P332" i="11"/>
  <c r="DF330" i="11"/>
  <c r="BS330" i="11"/>
  <c r="BX330" i="11"/>
  <c r="BF330" i="11"/>
  <c r="AY328" i="11"/>
  <c r="AX329" i="11"/>
  <c r="AY329" i="11" s="1"/>
  <c r="BK329" i="11"/>
  <c r="BL329" i="11" s="1"/>
  <c r="BW329" i="11"/>
  <c r="BY329" i="11" s="1"/>
  <c r="DK330" i="11"/>
  <c r="AW330" i="11"/>
  <c r="B300" i="12"/>
  <c r="DK329" i="11"/>
  <c r="DL329" i="11" s="1"/>
  <c r="CJ330" i="11"/>
  <c r="CY329" i="11"/>
  <c r="AB332" i="11"/>
  <c r="CK331" i="11"/>
  <c r="CD331" i="11"/>
  <c r="CK330" i="11"/>
  <c r="CX331" i="11"/>
  <c r="CQ331" i="11"/>
  <c r="AQ331" i="11"/>
  <c r="AR331" i="11" s="1"/>
  <c r="AT331" i="11" s="1"/>
  <c r="BR331" i="11"/>
  <c r="BT331" i="11" s="1"/>
  <c r="DE331" i="11"/>
  <c r="DG331" i="11" s="1"/>
  <c r="CY330" i="11"/>
  <c r="CE332" i="11"/>
  <c r="CG332" i="11" s="1"/>
  <c r="DU332" i="11"/>
  <c r="DV332" i="11"/>
  <c r="DI332" i="11"/>
  <c r="DH332" i="11"/>
  <c r="CR332" i="11"/>
  <c r="CT332" i="11" s="1"/>
  <c r="CV332" i="11"/>
  <c r="CU332" i="11"/>
  <c r="CH332" i="11"/>
  <c r="CI332" i="11"/>
  <c r="BU332" i="11"/>
  <c r="BV332" i="11"/>
  <c r="BH332" i="11"/>
  <c r="BI332" i="11"/>
  <c r="AV332" i="11"/>
  <c r="AU332" i="11"/>
  <c r="AH332" i="11"/>
  <c r="AI332" i="11"/>
  <c r="BE331" i="11"/>
  <c r="BG331" i="11" s="1"/>
  <c r="Y332" i="11"/>
  <c r="BM332" i="11"/>
  <c r="AP332" i="11"/>
  <c r="BA332" i="11"/>
  <c r="BN332" i="11"/>
  <c r="BP332" i="11"/>
  <c r="BO332" i="11"/>
  <c r="BQ332" i="11" s="1"/>
  <c r="CZ332" i="11"/>
  <c r="BZ332" i="11"/>
  <c r="DC332" i="11"/>
  <c r="CA332" i="11"/>
  <c r="AZ332" i="11"/>
  <c r="AM332" i="11"/>
  <c r="AN332" i="11"/>
  <c r="DM332" i="11"/>
  <c r="CO332" i="11"/>
  <c r="DB332" i="11"/>
  <c r="DD332" i="11" s="1"/>
  <c r="W333" i="11"/>
  <c r="AA332" i="11"/>
  <c r="X332" i="11"/>
  <c r="DA332" i="11"/>
  <c r="CP332" i="11"/>
  <c r="CN332" i="11"/>
  <c r="DN332" i="11"/>
  <c r="CC332" i="11"/>
  <c r="BB332" i="11"/>
  <c r="BD332" i="11" s="1"/>
  <c r="DP332" i="11"/>
  <c r="CM332" i="11"/>
  <c r="BC332" i="11"/>
  <c r="AO332" i="11"/>
  <c r="CB332" i="11"/>
  <c r="B333" i="11"/>
  <c r="A333" i="11" s="1"/>
  <c r="C334" i="11"/>
  <c r="L332" i="11" l="1"/>
  <c r="M332" i="11"/>
  <c r="EI333" i="11"/>
  <c r="DZ333" i="11"/>
  <c r="EH333" i="11"/>
  <c r="EC333" i="11"/>
  <c r="EA333" i="11"/>
  <c r="V299" i="12"/>
  <c r="W299" i="12" s="1"/>
  <c r="M299" i="12"/>
  <c r="A300" i="12"/>
  <c r="M300" i="12" s="1"/>
  <c r="P333" i="11"/>
  <c r="BF331" i="11"/>
  <c r="DF331" i="11"/>
  <c r="DK331" i="11"/>
  <c r="BS331" i="11"/>
  <c r="DJ330" i="11"/>
  <c r="DL330" i="11" s="1"/>
  <c r="BW330" i="11"/>
  <c r="BY330" i="11" s="1"/>
  <c r="BJ331" i="11"/>
  <c r="AS331" i="11"/>
  <c r="AS330" i="11"/>
  <c r="AX330" i="11"/>
  <c r="AY330" i="11" s="1"/>
  <c r="B301" i="12"/>
  <c r="BK330" i="11"/>
  <c r="BJ330" i="11"/>
  <c r="CL330" i="11"/>
  <c r="AB333" i="11"/>
  <c r="CW332" i="11"/>
  <c r="CQ332" i="11"/>
  <c r="CW331" i="11"/>
  <c r="CY331" i="11" s="1"/>
  <c r="CS331" i="11"/>
  <c r="CF332" i="11"/>
  <c r="CD332" i="11"/>
  <c r="CJ331" i="11"/>
  <c r="CL331" i="11" s="1"/>
  <c r="CF331" i="11"/>
  <c r="AQ332" i="11"/>
  <c r="AR332" i="11" s="1"/>
  <c r="AT332" i="11" s="1"/>
  <c r="BR332" i="11"/>
  <c r="BT332" i="11" s="1"/>
  <c r="CE333" i="11"/>
  <c r="CG333" i="11" s="1"/>
  <c r="DU333" i="11"/>
  <c r="DV333" i="11"/>
  <c r="DI333" i="11"/>
  <c r="CU333" i="11"/>
  <c r="CV333" i="11"/>
  <c r="DH333" i="11"/>
  <c r="CR333" i="11"/>
  <c r="CT333" i="11" s="1"/>
  <c r="CI333" i="11"/>
  <c r="CH333" i="11"/>
  <c r="BU333" i="11"/>
  <c r="BV333" i="11"/>
  <c r="BI333" i="11"/>
  <c r="BH333" i="11"/>
  <c r="AU333" i="11"/>
  <c r="AV333" i="11"/>
  <c r="AH333" i="11"/>
  <c r="AI333" i="11"/>
  <c r="BE332" i="11"/>
  <c r="BG332" i="11" s="1"/>
  <c r="DE332" i="11"/>
  <c r="DG332" i="11" s="1"/>
  <c r="AN333" i="11"/>
  <c r="DN333" i="11"/>
  <c r="AP333" i="11"/>
  <c r="CP333" i="11"/>
  <c r="CM333" i="11"/>
  <c r="CN333" i="11"/>
  <c r="CA333" i="11"/>
  <c r="BC333" i="11"/>
  <c r="DP333" i="11"/>
  <c r="X333" i="11"/>
  <c r="BP333" i="11"/>
  <c r="Y333" i="11"/>
  <c r="BN333" i="11"/>
  <c r="CC333" i="11"/>
  <c r="DM333" i="11"/>
  <c r="AM333" i="11"/>
  <c r="DA333" i="11"/>
  <c r="CB333" i="11"/>
  <c r="BB333" i="11"/>
  <c r="BD333" i="11" s="1"/>
  <c r="AO333" i="11"/>
  <c r="BO333" i="11"/>
  <c r="BQ333" i="11" s="1"/>
  <c r="AA333" i="11"/>
  <c r="AZ333" i="11"/>
  <c r="DB333" i="11"/>
  <c r="DD333" i="11" s="1"/>
  <c r="BZ333" i="11"/>
  <c r="CO333" i="11"/>
  <c r="DC333" i="11"/>
  <c r="BM333" i="11"/>
  <c r="BA333" i="11"/>
  <c r="W334" i="11"/>
  <c r="CZ333" i="11"/>
  <c r="B334" i="11"/>
  <c r="A334" i="11" s="1"/>
  <c r="C335" i="11"/>
  <c r="L333" i="11" l="1"/>
  <c r="M333" i="11"/>
  <c r="EH334" i="11"/>
  <c r="EI334" i="11"/>
  <c r="DZ334" i="11"/>
  <c r="EC334" i="11"/>
  <c r="EA334" i="11"/>
  <c r="V300" i="12"/>
  <c r="W300" i="12" s="1"/>
  <c r="N300" i="12"/>
  <c r="A301" i="12"/>
  <c r="N301" i="12" s="1"/>
  <c r="P334" i="11"/>
  <c r="BS332" i="11"/>
  <c r="DF332" i="11"/>
  <c r="DK332" i="11"/>
  <c r="BF332" i="11"/>
  <c r="AX331" i="11"/>
  <c r="DJ331" i="11"/>
  <c r="DL331" i="11" s="1"/>
  <c r="AW331" i="11"/>
  <c r="BL330" i="11"/>
  <c r="BK331" i="11"/>
  <c r="BL331" i="11" s="1"/>
  <c r="BW331" i="11"/>
  <c r="AS332" i="11"/>
  <c r="B302" i="12"/>
  <c r="BX331" i="11"/>
  <c r="CJ332" i="11"/>
  <c r="AB334" i="11"/>
  <c r="CK332" i="11"/>
  <c r="BR333" i="11"/>
  <c r="BT333" i="11" s="1"/>
  <c r="CF333" i="11"/>
  <c r="CD333" i="11"/>
  <c r="CS333" i="11"/>
  <c r="CQ333" i="11"/>
  <c r="CX332" i="11"/>
  <c r="CY332" i="11" s="1"/>
  <c r="CS332" i="11"/>
  <c r="AQ333" i="11"/>
  <c r="AR333" i="11" s="1"/>
  <c r="AT333" i="11" s="1"/>
  <c r="BE333" i="11"/>
  <c r="BG333" i="11" s="1"/>
  <c r="CE334" i="11"/>
  <c r="CG334" i="11" s="1"/>
  <c r="DU334" i="11"/>
  <c r="DV334" i="11"/>
  <c r="DH334" i="11"/>
  <c r="DI334" i="11"/>
  <c r="CV334" i="11"/>
  <c r="CR334" i="11"/>
  <c r="CT334" i="11" s="1"/>
  <c r="CU334" i="11"/>
  <c r="CH334" i="11"/>
  <c r="CI334" i="11"/>
  <c r="BU334" i="11"/>
  <c r="BV334" i="11"/>
  <c r="BI334" i="11"/>
  <c r="BH334" i="11"/>
  <c r="AU334" i="11"/>
  <c r="AV334" i="11"/>
  <c r="AH334" i="11"/>
  <c r="AI334" i="11"/>
  <c r="DE333" i="11"/>
  <c r="DG333" i="11" s="1"/>
  <c r="BW332" i="11"/>
  <c r="BX332" i="11"/>
  <c r="CZ334" i="11"/>
  <c r="BP334" i="11"/>
  <c r="AM334" i="11"/>
  <c r="BN334" i="11"/>
  <c r="BO334" i="11"/>
  <c r="BQ334" i="11" s="1"/>
  <c r="CP334" i="11"/>
  <c r="DP334" i="11"/>
  <c r="AN334" i="11"/>
  <c r="AZ334" i="11"/>
  <c r="AO334" i="11"/>
  <c r="BB334" i="11"/>
  <c r="BD334" i="11" s="1"/>
  <c r="CC334" i="11"/>
  <c r="BC334" i="11"/>
  <c r="AP334" i="11"/>
  <c r="CO334" i="11"/>
  <c r="DB334" i="11"/>
  <c r="DD334" i="11" s="1"/>
  <c r="DN334" i="11"/>
  <c r="W335" i="11"/>
  <c r="X334" i="11"/>
  <c r="DM334" i="11"/>
  <c r="BM334" i="11"/>
  <c r="CB334" i="11"/>
  <c r="CN334" i="11"/>
  <c r="Y334" i="11"/>
  <c r="DC334" i="11"/>
  <c r="BZ334" i="11"/>
  <c r="CA334" i="11"/>
  <c r="BA334" i="11"/>
  <c r="AA334" i="11"/>
  <c r="DA334" i="11"/>
  <c r="CM334" i="11"/>
  <c r="B335" i="11"/>
  <c r="A335" i="11" s="1"/>
  <c r="C336" i="11"/>
  <c r="L334" i="11" l="1"/>
  <c r="M334" i="11"/>
  <c r="EC335" i="11"/>
  <c r="EH335" i="11"/>
  <c r="DZ335" i="11"/>
  <c r="EI335" i="11"/>
  <c r="EA335" i="11"/>
  <c r="M301" i="12"/>
  <c r="V301" i="12"/>
  <c r="W301" i="12" s="1"/>
  <c r="A302" i="12"/>
  <c r="V302" i="12" s="1"/>
  <c r="W302" i="12" s="1"/>
  <c r="P335" i="11"/>
  <c r="BS333" i="11"/>
  <c r="BX333" i="11"/>
  <c r="DF333" i="11"/>
  <c r="DK333" i="11"/>
  <c r="AY331" i="11"/>
  <c r="DJ332" i="11"/>
  <c r="DL332" i="11" s="1"/>
  <c r="BJ333" i="11"/>
  <c r="AX332" i="11"/>
  <c r="AW332" i="11"/>
  <c r="CL332" i="11"/>
  <c r="BY331" i="11"/>
  <c r="BK332" i="11"/>
  <c r="B303" i="12"/>
  <c r="BJ332" i="11"/>
  <c r="AX333" i="11"/>
  <c r="CQ334" i="11"/>
  <c r="CW333" i="11"/>
  <c r="CJ333" i="11"/>
  <c r="CK333" i="11"/>
  <c r="AB335" i="11"/>
  <c r="CF334" i="11"/>
  <c r="CD334" i="11"/>
  <c r="CX333" i="11"/>
  <c r="BF333" i="11"/>
  <c r="AQ334" i="11"/>
  <c r="AR334" i="11" s="1"/>
  <c r="AT334" i="11" s="1"/>
  <c r="BE334" i="11"/>
  <c r="BG334" i="11" s="1"/>
  <c r="CK334" i="11"/>
  <c r="CS334" i="11"/>
  <c r="BR334" i="11"/>
  <c r="BT334" i="11" s="1"/>
  <c r="BY332" i="11"/>
  <c r="DE334" i="11"/>
  <c r="DG334" i="11" s="1"/>
  <c r="CE335" i="11"/>
  <c r="CG335" i="11" s="1"/>
  <c r="DV335" i="11"/>
  <c r="DU335" i="11"/>
  <c r="DH335" i="11"/>
  <c r="DI335" i="11"/>
  <c r="CU335" i="11"/>
  <c r="CV335" i="11"/>
  <c r="CR335" i="11"/>
  <c r="CT335" i="11" s="1"/>
  <c r="CH335" i="11"/>
  <c r="CI335" i="11"/>
  <c r="BU335" i="11"/>
  <c r="BV335" i="11"/>
  <c r="BH335" i="11"/>
  <c r="BI335" i="11"/>
  <c r="AV335" i="11"/>
  <c r="AU335" i="11"/>
  <c r="AI335" i="11"/>
  <c r="AH335" i="11"/>
  <c r="BZ335" i="11"/>
  <c r="CP335" i="11"/>
  <c r="DA335" i="11"/>
  <c r="AA335" i="11"/>
  <c r="CM335" i="11"/>
  <c r="BM335" i="11"/>
  <c r="DC335" i="11"/>
  <c r="CA335" i="11"/>
  <c r="Y335" i="11"/>
  <c r="BN335" i="11"/>
  <c r="X335" i="11"/>
  <c r="CZ335" i="11"/>
  <c r="BP335" i="11"/>
  <c r="CB335" i="11"/>
  <c r="BO335" i="11"/>
  <c r="BQ335" i="11" s="1"/>
  <c r="BA335" i="11"/>
  <c r="DM335" i="11"/>
  <c r="BC335" i="11"/>
  <c r="CC335" i="11"/>
  <c r="BB335" i="11"/>
  <c r="BD335" i="11" s="1"/>
  <c r="CN335" i="11"/>
  <c r="DN335" i="11"/>
  <c r="AO335" i="11"/>
  <c r="CO335" i="11"/>
  <c r="DB335" i="11"/>
  <c r="DD335" i="11" s="1"/>
  <c r="AZ335" i="11"/>
  <c r="AN335" i="11"/>
  <c r="W336" i="11"/>
  <c r="AP335" i="11"/>
  <c r="DP335" i="11"/>
  <c r="AM335" i="11"/>
  <c r="B336" i="11"/>
  <c r="A336" i="11" s="1"/>
  <c r="C337" i="11"/>
  <c r="L335" i="11" l="1"/>
  <c r="M335" i="11"/>
  <c r="EA336" i="11"/>
  <c r="DZ336" i="11"/>
  <c r="EI336" i="11"/>
  <c r="EH336" i="11"/>
  <c r="EC336" i="11"/>
  <c r="N302" i="12"/>
  <c r="M302" i="12"/>
  <c r="A303" i="12"/>
  <c r="M303" i="12" s="1"/>
  <c r="P336" i="11"/>
  <c r="BF334" i="11"/>
  <c r="DF334" i="11"/>
  <c r="DJ334" i="11"/>
  <c r="BS334" i="11"/>
  <c r="BW334" i="11"/>
  <c r="BW333" i="11"/>
  <c r="BY333" i="11" s="1"/>
  <c r="DJ333" i="11"/>
  <c r="DL333" i="11" s="1"/>
  <c r="AY332" i="11"/>
  <c r="BK333" i="11"/>
  <c r="BL333" i="11" s="1"/>
  <c r="BL332" i="11"/>
  <c r="AS333" i="11"/>
  <c r="AW333" i="11"/>
  <c r="AY333" i="11" s="1"/>
  <c r="B304" i="12"/>
  <c r="AW334" i="11"/>
  <c r="CJ334" i="11"/>
  <c r="CL334" i="11" s="1"/>
  <c r="CL333" i="11"/>
  <c r="CY333" i="11"/>
  <c r="AB336" i="11"/>
  <c r="CS335" i="11"/>
  <c r="CQ335" i="11"/>
  <c r="CF335" i="11"/>
  <c r="CD335" i="11"/>
  <c r="AQ335" i="11"/>
  <c r="AR335" i="11" s="1"/>
  <c r="AT335" i="11" s="1"/>
  <c r="BE335" i="11"/>
  <c r="BG335" i="11" s="1"/>
  <c r="DE335" i="11"/>
  <c r="DG335" i="11" s="1"/>
  <c r="CX334" i="11"/>
  <c r="CW334" i="11"/>
  <c r="BR335" i="11"/>
  <c r="BT335" i="11" s="1"/>
  <c r="CE336" i="11"/>
  <c r="CG336" i="11" s="1"/>
  <c r="DU336" i="11"/>
  <c r="DV336" i="11"/>
  <c r="DH336" i="11"/>
  <c r="DI336" i="11"/>
  <c r="CR336" i="11"/>
  <c r="CT336" i="11" s="1"/>
  <c r="CU336" i="11"/>
  <c r="CV336" i="11"/>
  <c r="CH336" i="11"/>
  <c r="CI336" i="11"/>
  <c r="BU336" i="11"/>
  <c r="BV336" i="11"/>
  <c r="BH336" i="11"/>
  <c r="BI336" i="11"/>
  <c r="AU336" i="11"/>
  <c r="AV336" i="11"/>
  <c r="AH336" i="11"/>
  <c r="AI336" i="11"/>
  <c r="AM336" i="11"/>
  <c r="BP336" i="11"/>
  <c r="BN336" i="11"/>
  <c r="BB336" i="11"/>
  <c r="BD336" i="11" s="1"/>
  <c r="BO336" i="11"/>
  <c r="BQ336" i="11" s="1"/>
  <c r="CA336" i="11"/>
  <c r="BA336" i="11"/>
  <c r="DP336" i="11"/>
  <c r="CM336" i="11"/>
  <c r="AN336" i="11"/>
  <c r="AO336" i="11"/>
  <c r="BM336" i="11"/>
  <c r="CB336" i="11"/>
  <c r="CO336" i="11"/>
  <c r="DN336" i="11"/>
  <c r="CP336" i="11"/>
  <c r="AA336" i="11"/>
  <c r="CN336" i="11"/>
  <c r="DA336" i="11"/>
  <c r="DC336" i="11"/>
  <c r="Y336" i="11"/>
  <c r="AZ336" i="11"/>
  <c r="X336" i="11"/>
  <c r="DM336" i="11"/>
  <c r="CZ336" i="11"/>
  <c r="BC336" i="11"/>
  <c r="W337" i="11"/>
  <c r="AP336" i="11"/>
  <c r="BZ336" i="11"/>
  <c r="DB336" i="11"/>
  <c r="DD336" i="11" s="1"/>
  <c r="CC336" i="11"/>
  <c r="B337" i="11"/>
  <c r="A337" i="11" s="1"/>
  <c r="C338" i="11"/>
  <c r="V303" i="12" l="1"/>
  <c r="W303" i="12" s="1"/>
  <c r="M336" i="11"/>
  <c r="L336" i="11"/>
  <c r="EC337" i="11"/>
  <c r="EA337" i="11"/>
  <c r="DZ337" i="11"/>
  <c r="EI337" i="11"/>
  <c r="EH337" i="11"/>
  <c r="N303" i="12"/>
  <c r="A304" i="12"/>
  <c r="V304" i="12" s="1"/>
  <c r="W304" i="12" s="1"/>
  <c r="P337" i="11"/>
  <c r="DF335" i="11"/>
  <c r="BF335" i="11"/>
  <c r="BK335" i="11"/>
  <c r="BS335" i="11"/>
  <c r="BX335" i="11"/>
  <c r="BX334" i="11"/>
  <c r="BY334" i="11" s="1"/>
  <c r="AX334" i="11"/>
  <c r="AY334" i="11" s="1"/>
  <c r="DK334" i="11"/>
  <c r="DL334" i="11" s="1"/>
  <c r="AS334" i="11"/>
  <c r="B305" i="12"/>
  <c r="AS335" i="11"/>
  <c r="BJ334" i="11"/>
  <c r="BK334" i="11"/>
  <c r="DK335" i="11"/>
  <c r="CJ335" i="11"/>
  <c r="CY334" i="11"/>
  <c r="CW335" i="11"/>
  <c r="BR336" i="11"/>
  <c r="BT336" i="11" s="1"/>
  <c r="CX335" i="11"/>
  <c r="AB337" i="11"/>
  <c r="CK335" i="11"/>
  <c r="CQ336" i="11"/>
  <c r="CF336" i="11"/>
  <c r="CD336" i="11"/>
  <c r="AQ336" i="11"/>
  <c r="AR336" i="11" s="1"/>
  <c r="AT336" i="11" s="1"/>
  <c r="DC337" i="11"/>
  <c r="CE337" i="11"/>
  <c r="CG337" i="11" s="1"/>
  <c r="DU337" i="11"/>
  <c r="DV337" i="11"/>
  <c r="DI337" i="11"/>
  <c r="DH337" i="11"/>
  <c r="CR337" i="11"/>
  <c r="CT337" i="11" s="1"/>
  <c r="CU337" i="11"/>
  <c r="CV337" i="11"/>
  <c r="CH337" i="11"/>
  <c r="CI337" i="11"/>
  <c r="BU337" i="11"/>
  <c r="BV337" i="11"/>
  <c r="BI337" i="11"/>
  <c r="AU337" i="11"/>
  <c r="AV337" i="11"/>
  <c r="BH337" i="11"/>
  <c r="AI337" i="11"/>
  <c r="AH337" i="11"/>
  <c r="DE336" i="11"/>
  <c r="DG336" i="11" s="1"/>
  <c r="BE336" i="11"/>
  <c r="BG336" i="11" s="1"/>
  <c r="CK336" i="11"/>
  <c r="BC337" i="11"/>
  <c r="BP337" i="11"/>
  <c r="BM337" i="11"/>
  <c r="BN337" i="11"/>
  <c r="BO337" i="11"/>
  <c r="BQ337" i="11" s="1"/>
  <c r="DM337" i="11"/>
  <c r="BZ337" i="11"/>
  <c r="DP337" i="11"/>
  <c r="DB337" i="11"/>
  <c r="DD337" i="11" s="1"/>
  <c r="AP337" i="11"/>
  <c r="Y337" i="11"/>
  <c r="CZ337" i="11"/>
  <c r="X337" i="11"/>
  <c r="CC337" i="11"/>
  <c r="CA337" i="11"/>
  <c r="CN337" i="11"/>
  <c r="DA337" i="11"/>
  <c r="CM337" i="11"/>
  <c r="AZ337" i="11"/>
  <c r="CO337" i="11"/>
  <c r="AN337" i="11"/>
  <c r="BA337" i="11"/>
  <c r="AM337" i="11"/>
  <c r="AA337" i="11"/>
  <c r="DN337" i="11"/>
  <c r="CP337" i="11"/>
  <c r="CB337" i="11"/>
  <c r="W338" i="11"/>
  <c r="AO337" i="11"/>
  <c r="BB337" i="11"/>
  <c r="BD337" i="11" s="1"/>
  <c r="B338" i="11"/>
  <c r="A338" i="11" s="1"/>
  <c r="C339" i="11"/>
  <c r="L337" i="11" l="1"/>
  <c r="M337" i="11"/>
  <c r="EH338" i="11"/>
  <c r="EA338" i="11"/>
  <c r="DZ338" i="11"/>
  <c r="EI338" i="11"/>
  <c r="EC338" i="11"/>
  <c r="M304" i="12"/>
  <c r="N304" i="12"/>
  <c r="A305" i="12"/>
  <c r="N305" i="12" s="1"/>
  <c r="P338" i="11"/>
  <c r="BS336" i="11"/>
  <c r="BF336" i="11"/>
  <c r="BK336" i="11"/>
  <c r="DF336" i="11"/>
  <c r="CL335" i="11"/>
  <c r="BJ335" i="11"/>
  <c r="BL335" i="11" s="1"/>
  <c r="DJ335" i="11"/>
  <c r="DL335" i="11" s="1"/>
  <c r="BW335" i="11"/>
  <c r="BY335" i="11" s="1"/>
  <c r="BL334" i="11"/>
  <c r="AW335" i="11"/>
  <c r="AX335" i="11"/>
  <c r="AS336" i="11"/>
  <c r="B306" i="12"/>
  <c r="BW336" i="11"/>
  <c r="CY335" i="11"/>
  <c r="AB338" i="11"/>
  <c r="CF337" i="11"/>
  <c r="CD337" i="11"/>
  <c r="CX336" i="11"/>
  <c r="CS336" i="11"/>
  <c r="CJ336" i="11"/>
  <c r="CL336" i="11" s="1"/>
  <c r="CW336" i="11"/>
  <c r="CS337" i="11"/>
  <c r="CQ337" i="11"/>
  <c r="AQ337" i="11"/>
  <c r="AR337" i="11" s="1"/>
  <c r="AT337" i="11" s="1"/>
  <c r="CE338" i="11"/>
  <c r="CG338" i="11" s="1"/>
  <c r="DU338" i="11"/>
  <c r="DV338" i="11"/>
  <c r="DH338" i="11"/>
  <c r="DI338" i="11"/>
  <c r="CR338" i="11"/>
  <c r="CT338" i="11" s="1"/>
  <c r="CU338" i="11"/>
  <c r="CV338" i="11"/>
  <c r="CH338" i="11"/>
  <c r="CI338" i="11"/>
  <c r="BU338" i="11"/>
  <c r="BV338" i="11"/>
  <c r="BH338" i="11"/>
  <c r="BI338" i="11"/>
  <c r="AU338" i="11"/>
  <c r="AV338" i="11"/>
  <c r="AH338" i="11"/>
  <c r="AI338" i="11"/>
  <c r="BE337" i="11"/>
  <c r="BG337" i="11" s="1"/>
  <c r="DE337" i="11"/>
  <c r="DG337" i="11" s="1"/>
  <c r="BR337" i="11"/>
  <c r="BT337" i="11" s="1"/>
  <c r="BP338" i="11"/>
  <c r="CM338" i="11"/>
  <c r="BN338" i="11"/>
  <c r="BB338" i="11"/>
  <c r="BD338" i="11" s="1"/>
  <c r="BO338" i="11"/>
  <c r="BQ338" i="11" s="1"/>
  <c r="AO338" i="11"/>
  <c r="AZ338" i="11"/>
  <c r="DC338" i="11"/>
  <c r="AA338" i="11"/>
  <c r="AM338" i="11"/>
  <c r="AN338" i="11"/>
  <c r="DM338" i="11"/>
  <c r="BZ338" i="11"/>
  <c r="X338" i="11"/>
  <c r="DB338" i="11"/>
  <c r="DD338" i="11" s="1"/>
  <c r="CO338" i="11"/>
  <c r="CC338" i="11"/>
  <c r="CP338" i="11"/>
  <c r="CA338" i="11"/>
  <c r="DA338" i="11"/>
  <c r="W339" i="11"/>
  <c r="DN338" i="11"/>
  <c r="Y338" i="11"/>
  <c r="CN338" i="11"/>
  <c r="BC338" i="11"/>
  <c r="AP338" i="11"/>
  <c r="CZ338" i="11"/>
  <c r="CB338" i="11"/>
  <c r="BA338" i="11"/>
  <c r="DP338" i="11"/>
  <c r="BM338" i="11"/>
  <c r="B339" i="11"/>
  <c r="A339" i="11" s="1"/>
  <c r="C340" i="11"/>
  <c r="M338" i="11" l="1"/>
  <c r="L338" i="11"/>
  <c r="M305" i="12"/>
  <c r="V305" i="12"/>
  <c r="W305" i="12" s="1"/>
  <c r="EC339" i="11"/>
  <c r="EA339" i="11"/>
  <c r="DZ339" i="11"/>
  <c r="EI339" i="11"/>
  <c r="EH339" i="11"/>
  <c r="A306" i="12"/>
  <c r="V306" i="12" s="1"/>
  <c r="W306" i="12" s="1"/>
  <c r="P339" i="11"/>
  <c r="BS337" i="11"/>
  <c r="BX337" i="11"/>
  <c r="DF337" i="11"/>
  <c r="DJ337" i="11"/>
  <c r="BF337" i="11"/>
  <c r="BJ337" i="11"/>
  <c r="AY335" i="11"/>
  <c r="BJ336" i="11"/>
  <c r="BL336" i="11" s="1"/>
  <c r="AX336" i="11"/>
  <c r="AW336" i="11"/>
  <c r="DJ336" i="11"/>
  <c r="AS337" i="11"/>
  <c r="DK336" i="11"/>
  <c r="B307" i="12"/>
  <c r="BX336" i="11"/>
  <c r="BY336" i="11" s="1"/>
  <c r="CJ337" i="11"/>
  <c r="CK337" i="11"/>
  <c r="CY336" i="11"/>
  <c r="AB339" i="11"/>
  <c r="CW337" i="11"/>
  <c r="CS338" i="11"/>
  <c r="CQ338" i="11"/>
  <c r="CX337" i="11"/>
  <c r="CF338" i="11"/>
  <c r="CD338" i="11"/>
  <c r="AQ338" i="11"/>
  <c r="AR338" i="11" s="1"/>
  <c r="AT338" i="11" s="1"/>
  <c r="DE338" i="11"/>
  <c r="DG338" i="11" s="1"/>
  <c r="BR338" i="11"/>
  <c r="BT338" i="11" s="1"/>
  <c r="BE338" i="11"/>
  <c r="BG338" i="11" s="1"/>
  <c r="CE339" i="11"/>
  <c r="CG339" i="11" s="1"/>
  <c r="DV339" i="11"/>
  <c r="DU339" i="11"/>
  <c r="DH339" i="11"/>
  <c r="DI339" i="11"/>
  <c r="CU339" i="11"/>
  <c r="CV339" i="11"/>
  <c r="CR339" i="11"/>
  <c r="CT339" i="11" s="1"/>
  <c r="CH339" i="11"/>
  <c r="CI339" i="11"/>
  <c r="BU339" i="11"/>
  <c r="BV339" i="11"/>
  <c r="BI339" i="11"/>
  <c r="BH339" i="11"/>
  <c r="AU339" i="11"/>
  <c r="AV339" i="11"/>
  <c r="AH339" i="11"/>
  <c r="AI339" i="11"/>
  <c r="BN339" i="11"/>
  <c r="BP339" i="11"/>
  <c r="BO339" i="11"/>
  <c r="DC339" i="11"/>
  <c r="BC339" i="11"/>
  <c r="CC339" i="11"/>
  <c r="CO339" i="11"/>
  <c r="Y339" i="11"/>
  <c r="DB339" i="11"/>
  <c r="DD339" i="11" s="1"/>
  <c r="BA339" i="11"/>
  <c r="AO339" i="11"/>
  <c r="BM339" i="11"/>
  <c r="CB339" i="11"/>
  <c r="AZ339" i="11"/>
  <c r="DP339" i="11"/>
  <c r="AA339" i="11"/>
  <c r="DA339" i="11"/>
  <c r="X339" i="11"/>
  <c r="CN339" i="11"/>
  <c r="CA339" i="11"/>
  <c r="DN339" i="11"/>
  <c r="AN339" i="11"/>
  <c r="CZ339" i="11"/>
  <c r="AP339" i="11"/>
  <c r="BB339" i="11"/>
  <c r="BD339" i="11" s="1"/>
  <c r="AM339" i="11"/>
  <c r="W340" i="11"/>
  <c r="CP339" i="11"/>
  <c r="BZ339" i="11"/>
  <c r="DM339" i="11"/>
  <c r="CM339" i="11"/>
  <c r="B340" i="11"/>
  <c r="A340" i="11" s="1"/>
  <c r="C341" i="11"/>
  <c r="N306" i="12" l="1"/>
  <c r="M339" i="11"/>
  <c r="L339" i="11"/>
  <c r="EA340" i="11"/>
  <c r="DZ340" i="11"/>
  <c r="EC340" i="11"/>
  <c r="EI340" i="11"/>
  <c r="EH340" i="11"/>
  <c r="M306" i="12"/>
  <c r="A307" i="12"/>
  <c r="V307" i="12" s="1"/>
  <c r="W307" i="12" s="1"/>
  <c r="P340" i="11"/>
  <c r="DK337" i="11"/>
  <c r="DL337" i="11" s="1"/>
  <c r="BF338" i="11"/>
  <c r="BS338" i="11"/>
  <c r="BX338" i="11"/>
  <c r="DF338" i="11"/>
  <c r="DK338" i="11"/>
  <c r="AY336" i="11"/>
  <c r="BK337" i="11"/>
  <c r="BL337" i="11" s="1"/>
  <c r="DL336" i="11"/>
  <c r="BW337" i="11"/>
  <c r="BY337" i="11" s="1"/>
  <c r="AX337" i="11"/>
  <c r="AW337" i="11"/>
  <c r="CL337" i="11"/>
  <c r="B308" i="12"/>
  <c r="CQ339" i="11"/>
  <c r="CJ338" i="11"/>
  <c r="CY337" i="11"/>
  <c r="CK338" i="11"/>
  <c r="BQ339" i="11"/>
  <c r="BR339" i="11" s="1"/>
  <c r="BT339" i="11" s="1"/>
  <c r="AB340" i="11"/>
  <c r="CX338" i="11"/>
  <c r="CF339" i="11"/>
  <c r="CD339" i="11"/>
  <c r="CW338" i="11"/>
  <c r="AQ339" i="11"/>
  <c r="AR339" i="11" s="1"/>
  <c r="AT339" i="11" s="1"/>
  <c r="CS339" i="11"/>
  <c r="DE339" i="11"/>
  <c r="DG339" i="11" s="1"/>
  <c r="BE339" i="11"/>
  <c r="BG339" i="11" s="1"/>
  <c r="CE340" i="11"/>
  <c r="CG340" i="11" s="1"/>
  <c r="DV340" i="11"/>
  <c r="DU340" i="11"/>
  <c r="DI340" i="11"/>
  <c r="DH340" i="11"/>
  <c r="CU340" i="11"/>
  <c r="CR340" i="11"/>
  <c r="CT340" i="11" s="1"/>
  <c r="CV340" i="11"/>
  <c r="CH340" i="11"/>
  <c r="CI340" i="11"/>
  <c r="BU340" i="11"/>
  <c r="BV340" i="11"/>
  <c r="BH340" i="11"/>
  <c r="BI340" i="11"/>
  <c r="AU340" i="11"/>
  <c r="AV340" i="11"/>
  <c r="AH340" i="11"/>
  <c r="AI340" i="11"/>
  <c r="BP340" i="11"/>
  <c r="BN340" i="11"/>
  <c r="AO340" i="11"/>
  <c r="DB340" i="11"/>
  <c r="DD340" i="11" s="1"/>
  <c r="BO340" i="11"/>
  <c r="BQ340" i="11" s="1"/>
  <c r="X340" i="11"/>
  <c r="CM340" i="11"/>
  <c r="DM340" i="11"/>
  <c r="CO340" i="11"/>
  <c r="BC340" i="11"/>
  <c r="CN340" i="11"/>
  <c r="CC340" i="11"/>
  <c r="BZ340" i="11"/>
  <c r="BB340" i="11"/>
  <c r="BD340" i="11" s="1"/>
  <c r="CP340" i="11"/>
  <c r="AN340" i="11"/>
  <c r="AZ340" i="11"/>
  <c r="AP340" i="11"/>
  <c r="Y340" i="11"/>
  <c r="DA340" i="11"/>
  <c r="BM340" i="11"/>
  <c r="CB340" i="11"/>
  <c r="AM340" i="11"/>
  <c r="DP340" i="11"/>
  <c r="CZ340" i="11"/>
  <c r="BA340" i="11"/>
  <c r="DN340" i="11"/>
  <c r="W341" i="11"/>
  <c r="CA340" i="11"/>
  <c r="AA340" i="11"/>
  <c r="DC340" i="11"/>
  <c r="B341" i="11"/>
  <c r="A341" i="11" s="1"/>
  <c r="C342" i="11"/>
  <c r="M340" i="11" l="1"/>
  <c r="L340" i="11"/>
  <c r="DZ341" i="11"/>
  <c r="EC341" i="11"/>
  <c r="EA341" i="11"/>
  <c r="EI341" i="11"/>
  <c r="EH341" i="11"/>
  <c r="N307" i="12"/>
  <c r="M307" i="12"/>
  <c r="A308" i="12"/>
  <c r="M308" i="12" s="1"/>
  <c r="P341" i="11"/>
  <c r="DF339" i="11"/>
  <c r="BF339" i="11"/>
  <c r="BJ339" i="11"/>
  <c r="DJ338" i="11"/>
  <c r="DL338" i="11" s="1"/>
  <c r="AX339" i="11"/>
  <c r="AY337" i="11"/>
  <c r="BW338" i="11"/>
  <c r="BY338" i="11" s="1"/>
  <c r="BK338" i="11"/>
  <c r="DJ339" i="11"/>
  <c r="AW338" i="11"/>
  <c r="BX339" i="11"/>
  <c r="B309" i="12"/>
  <c r="AX338" i="11"/>
  <c r="AS338" i="11"/>
  <c r="BJ338" i="11"/>
  <c r="CL338" i="11"/>
  <c r="BS339" i="11"/>
  <c r="CK339" i="11"/>
  <c r="CY338" i="11"/>
  <c r="AB341" i="11"/>
  <c r="CJ339" i="11"/>
  <c r="CF340" i="11"/>
  <c r="CD340" i="11"/>
  <c r="CQ340" i="11"/>
  <c r="AQ340" i="11"/>
  <c r="AR340" i="11" s="1"/>
  <c r="AT340" i="11" s="1"/>
  <c r="AW339" i="11"/>
  <c r="CX339" i="11"/>
  <c r="CW339" i="11"/>
  <c r="BE340" i="11"/>
  <c r="BG340" i="11" s="1"/>
  <c r="DE340" i="11"/>
  <c r="DG340" i="11" s="1"/>
  <c r="CE341" i="11"/>
  <c r="CG341" i="11" s="1"/>
  <c r="DU341" i="11"/>
  <c r="DV341" i="11"/>
  <c r="DH341" i="11"/>
  <c r="DI341" i="11"/>
  <c r="CU341" i="11"/>
  <c r="CR341" i="11"/>
  <c r="CT341" i="11" s="1"/>
  <c r="CV341" i="11"/>
  <c r="CH341" i="11"/>
  <c r="CI341" i="11"/>
  <c r="BU341" i="11"/>
  <c r="BV341" i="11"/>
  <c r="BI341" i="11"/>
  <c r="BH341" i="11"/>
  <c r="AI341" i="11"/>
  <c r="AU341" i="11"/>
  <c r="AV341" i="11"/>
  <c r="AH341" i="11"/>
  <c r="BR340" i="11"/>
  <c r="BT340" i="11" s="1"/>
  <c r="CW340" i="11"/>
  <c r="AA341" i="11"/>
  <c r="BP341" i="11"/>
  <c r="AO341" i="11"/>
  <c r="DC341" i="11"/>
  <c r="AN341" i="11"/>
  <c r="BN341" i="11"/>
  <c r="CO341" i="11"/>
  <c r="BO341" i="11"/>
  <c r="BQ341" i="11" s="1"/>
  <c r="AM341" i="11"/>
  <c r="BM341" i="11"/>
  <c r="CM341" i="11"/>
  <c r="CP341" i="11"/>
  <c r="CC341" i="11"/>
  <c r="DP341" i="11"/>
  <c r="DM341" i="11"/>
  <c r="X341" i="11"/>
  <c r="DA341" i="11"/>
  <c r="CN341" i="11"/>
  <c r="BC341" i="11"/>
  <c r="CZ341" i="11"/>
  <c r="Y341" i="11"/>
  <c r="CA341" i="11"/>
  <c r="AP341" i="11"/>
  <c r="AZ341" i="11"/>
  <c r="W342" i="11"/>
  <c r="DB341" i="11"/>
  <c r="DD341" i="11" s="1"/>
  <c r="BA341" i="11"/>
  <c r="BZ341" i="11"/>
  <c r="BB341" i="11"/>
  <c r="BD341" i="11" s="1"/>
  <c r="CB341" i="11"/>
  <c r="DN341" i="11"/>
  <c r="B342" i="11"/>
  <c r="A342" i="11" s="1"/>
  <c r="C343" i="11"/>
  <c r="N308" i="12" l="1"/>
  <c r="M341" i="11"/>
  <c r="L341" i="11"/>
  <c r="EH342" i="11"/>
  <c r="EC342" i="11"/>
  <c r="EA342" i="11"/>
  <c r="DZ342" i="11"/>
  <c r="EI342" i="11"/>
  <c r="V308" i="12"/>
  <c r="W308" i="12" s="1"/>
  <c r="A309" i="12"/>
  <c r="N309" i="12" s="1"/>
  <c r="P342" i="11"/>
  <c r="BS340" i="11"/>
  <c r="DF340" i="11"/>
  <c r="BF340" i="11"/>
  <c r="BJ340" i="11"/>
  <c r="BK339" i="11"/>
  <c r="BL339" i="11" s="1"/>
  <c r="BL338" i="11"/>
  <c r="AY338" i="11"/>
  <c r="AS339" i="11"/>
  <c r="AY339" i="11"/>
  <c r="BW339" i="11"/>
  <c r="BY339" i="11" s="1"/>
  <c r="DK339" i="11"/>
  <c r="DL339" i="11" s="1"/>
  <c r="DK340" i="11"/>
  <c r="B310" i="12"/>
  <c r="AS340" i="11"/>
  <c r="BX340" i="11"/>
  <c r="CL339" i="11"/>
  <c r="CJ340" i="11"/>
  <c r="DN342" i="11"/>
  <c r="CK340" i="11"/>
  <c r="AB342" i="11"/>
  <c r="CS341" i="11"/>
  <c r="CQ341" i="11"/>
  <c r="CX340" i="11"/>
  <c r="CY340" i="11" s="1"/>
  <c r="CS340" i="11"/>
  <c r="CF341" i="11"/>
  <c r="CD341" i="11"/>
  <c r="AQ341" i="11"/>
  <c r="AR341" i="11" s="1"/>
  <c r="AT341" i="11" s="1"/>
  <c r="AX340" i="11"/>
  <c r="AW340" i="11"/>
  <c r="CY339" i="11"/>
  <c r="CE342" i="11"/>
  <c r="CG342" i="11" s="1"/>
  <c r="DU342" i="11"/>
  <c r="DV342" i="11"/>
  <c r="DH342" i="11"/>
  <c r="DI342" i="11"/>
  <c r="CU342" i="11"/>
  <c r="CV342" i="11"/>
  <c r="CR342" i="11"/>
  <c r="CT342" i="11" s="1"/>
  <c r="CI342" i="11"/>
  <c r="CH342" i="11"/>
  <c r="BU342" i="11"/>
  <c r="BV342" i="11"/>
  <c r="BH342" i="11"/>
  <c r="BI342" i="11"/>
  <c r="AU342" i="11"/>
  <c r="AV342" i="11"/>
  <c r="AH342" i="11"/>
  <c r="AI342" i="11"/>
  <c r="BR341" i="11"/>
  <c r="BT341" i="11" s="1"/>
  <c r="BE341" i="11"/>
  <c r="BG341" i="11" s="1"/>
  <c r="DE341" i="11"/>
  <c r="DG341" i="11" s="1"/>
  <c r="CM342" i="11"/>
  <c r="BM342" i="11"/>
  <c r="BZ342" i="11"/>
  <c r="AZ342" i="11"/>
  <c r="BN342" i="11"/>
  <c r="X342" i="11"/>
  <c r="DM342" i="11"/>
  <c r="BA342" i="11"/>
  <c r="AM342" i="11"/>
  <c r="CZ342" i="11"/>
  <c r="BP342" i="11"/>
  <c r="AN342" i="11"/>
  <c r="DB342" i="11"/>
  <c r="DD342" i="11" s="1"/>
  <c r="CB342" i="11"/>
  <c r="BB342" i="11"/>
  <c r="BD342" i="11" s="1"/>
  <c r="BO342" i="11"/>
  <c r="BQ342" i="11" s="1"/>
  <c r="AO342" i="11"/>
  <c r="Y342" i="11"/>
  <c r="CP342" i="11"/>
  <c r="AA342" i="11"/>
  <c r="DA342" i="11"/>
  <c r="DC342" i="11"/>
  <c r="AP342" i="11"/>
  <c r="W343" i="11"/>
  <c r="DP342" i="11"/>
  <c r="CA342" i="11"/>
  <c r="CN342" i="11"/>
  <c r="CO342" i="11"/>
  <c r="BC342" i="11"/>
  <c r="CC342" i="11"/>
  <c r="B343" i="11"/>
  <c r="A343" i="11" s="1"/>
  <c r="C344" i="11"/>
  <c r="M309" i="12" l="1"/>
  <c r="M342" i="11"/>
  <c r="L342" i="11"/>
  <c r="EC343" i="11"/>
  <c r="EA343" i="11"/>
  <c r="DZ343" i="11"/>
  <c r="EI343" i="11"/>
  <c r="EH343" i="11"/>
  <c r="V309" i="12"/>
  <c r="W309" i="12" s="1"/>
  <c r="A310" i="12"/>
  <c r="V310" i="12" s="1"/>
  <c r="W310" i="12" s="1"/>
  <c r="P343" i="11"/>
  <c r="DF341" i="11"/>
  <c r="BF341" i="11"/>
  <c r="BS341" i="11"/>
  <c r="BK340" i="11"/>
  <c r="BL340" i="11" s="1"/>
  <c r="DJ340" i="11"/>
  <c r="DL340" i="11" s="1"/>
  <c r="B311" i="12"/>
  <c r="BJ341" i="11"/>
  <c r="BW340" i="11"/>
  <c r="BY340" i="11" s="1"/>
  <c r="DK341" i="11"/>
  <c r="AW341" i="11"/>
  <c r="CP343" i="11"/>
  <c r="DP343" i="11"/>
  <c r="CL340" i="11"/>
  <c r="CK341" i="11"/>
  <c r="CJ341" i="11"/>
  <c r="AB343" i="11"/>
  <c r="CX341" i="11"/>
  <c r="DN343" i="11"/>
  <c r="CW341" i="11"/>
  <c r="CS342" i="11"/>
  <c r="CQ342" i="11"/>
  <c r="CF342" i="11"/>
  <c r="CD342" i="11"/>
  <c r="AQ342" i="11"/>
  <c r="AR342" i="11" s="1"/>
  <c r="AT342" i="11" s="1"/>
  <c r="AY340" i="11"/>
  <c r="BR342" i="11"/>
  <c r="BT342" i="11" s="1"/>
  <c r="CE343" i="11"/>
  <c r="CG343" i="11" s="1"/>
  <c r="DV343" i="11"/>
  <c r="DU343" i="11"/>
  <c r="DH343" i="11"/>
  <c r="DI343" i="11"/>
  <c r="CV343" i="11"/>
  <c r="CR343" i="11"/>
  <c r="CT343" i="11" s="1"/>
  <c r="CU343" i="11"/>
  <c r="CH343" i="11"/>
  <c r="CI343" i="11"/>
  <c r="BU343" i="11"/>
  <c r="BV343" i="11"/>
  <c r="BH343" i="11"/>
  <c r="BI343" i="11"/>
  <c r="AU343" i="11"/>
  <c r="AV343" i="11"/>
  <c r="AH343" i="11"/>
  <c r="AI343" i="11"/>
  <c r="BE342" i="11"/>
  <c r="BG342" i="11" s="1"/>
  <c r="DE342" i="11"/>
  <c r="DG342" i="11" s="1"/>
  <c r="CA343" i="11"/>
  <c r="BP343" i="11"/>
  <c r="AP343" i="11"/>
  <c r="BB343" i="11"/>
  <c r="BD343" i="11" s="1"/>
  <c r="CM343" i="11"/>
  <c r="BN343" i="11"/>
  <c r="BO343" i="11"/>
  <c r="BQ343" i="11" s="1"/>
  <c r="CN343" i="11"/>
  <c r="BA343" i="11"/>
  <c r="AN343" i="11"/>
  <c r="Y343" i="11"/>
  <c r="CZ343" i="11"/>
  <c r="BM343" i="11"/>
  <c r="AO343" i="11"/>
  <c r="AZ343" i="11"/>
  <c r="BZ343" i="11"/>
  <c r="CO343" i="11"/>
  <c r="CC343" i="11"/>
  <c r="BC343" i="11"/>
  <c r="DM343" i="11"/>
  <c r="AA343" i="11"/>
  <c r="DA343" i="11"/>
  <c r="X343" i="11"/>
  <c r="W344" i="11"/>
  <c r="DB343" i="11"/>
  <c r="DD343" i="11" s="1"/>
  <c r="AM343" i="11"/>
  <c r="DC343" i="11"/>
  <c r="CB343" i="11"/>
  <c r="B344" i="11"/>
  <c r="A344" i="11" s="1"/>
  <c r="C345" i="11"/>
  <c r="M343" i="11" l="1"/>
  <c r="N310" i="12"/>
  <c r="M310" i="12"/>
  <c r="L343" i="11"/>
  <c r="EA344" i="11"/>
  <c r="EI344" i="11"/>
  <c r="EC344" i="11"/>
  <c r="DZ344" i="11"/>
  <c r="EH344" i="11"/>
  <c r="A311" i="12"/>
  <c r="N311" i="12" s="1"/>
  <c r="P344" i="11"/>
  <c r="BS342" i="11"/>
  <c r="DF342" i="11"/>
  <c r="BF342" i="11"/>
  <c r="DJ341" i="11"/>
  <c r="DL341" i="11" s="1"/>
  <c r="AX341" i="11"/>
  <c r="AY341" i="11" s="1"/>
  <c r="AS341" i="11"/>
  <c r="BK341" i="11"/>
  <c r="BL341" i="11" s="1"/>
  <c r="BX341" i="11"/>
  <c r="BW341" i="11"/>
  <c r="BK342" i="11"/>
  <c r="B312" i="12"/>
  <c r="AW342" i="11"/>
  <c r="CY341" i="11"/>
  <c r="CJ342" i="11"/>
  <c r="CK342" i="11"/>
  <c r="CL341" i="11"/>
  <c r="AB344" i="11"/>
  <c r="CF343" i="11"/>
  <c r="CD343" i="11"/>
  <c r="CX342" i="11"/>
  <c r="CS343" i="11"/>
  <c r="CQ343" i="11"/>
  <c r="CW342" i="11"/>
  <c r="AQ343" i="11"/>
  <c r="AR343" i="11" s="1"/>
  <c r="AT343" i="11" s="1"/>
  <c r="DJ342" i="11"/>
  <c r="BX342" i="11"/>
  <c r="BW342" i="11"/>
  <c r="BE343" i="11"/>
  <c r="BG343" i="11" s="1"/>
  <c r="CE344" i="11"/>
  <c r="CG344" i="11" s="1"/>
  <c r="DU344" i="11"/>
  <c r="DV344" i="11"/>
  <c r="DH344" i="11"/>
  <c r="DI344" i="11"/>
  <c r="CR344" i="11"/>
  <c r="CT344" i="11" s="1"/>
  <c r="CV344" i="11"/>
  <c r="CU344" i="11"/>
  <c r="CI344" i="11"/>
  <c r="CH344" i="11"/>
  <c r="BU344" i="11"/>
  <c r="BV344" i="11"/>
  <c r="BH344" i="11"/>
  <c r="BI344" i="11"/>
  <c r="AH344" i="11"/>
  <c r="AI344" i="11"/>
  <c r="AU344" i="11"/>
  <c r="AV344" i="11"/>
  <c r="DE343" i="11"/>
  <c r="DG343" i="11" s="1"/>
  <c r="BR343" i="11"/>
  <c r="BT343" i="11" s="1"/>
  <c r="BN344" i="11"/>
  <c r="CP344" i="11"/>
  <c r="BP344" i="11"/>
  <c r="CC344" i="11"/>
  <c r="CB344" i="11"/>
  <c r="BO344" i="11"/>
  <c r="Y344" i="11"/>
  <c r="AA344" i="11"/>
  <c r="DN344" i="11"/>
  <c r="AO344" i="11"/>
  <c r="BC344" i="11"/>
  <c r="DM344" i="11"/>
  <c r="AN344" i="11"/>
  <c r="DC344" i="11"/>
  <c r="X344" i="11"/>
  <c r="CO344" i="11"/>
  <c r="BA344" i="11"/>
  <c r="AM344" i="11"/>
  <c r="BB344" i="11"/>
  <c r="BD344" i="11" s="1"/>
  <c r="DP344" i="11"/>
  <c r="CN344" i="11"/>
  <c r="W345" i="11"/>
  <c r="DA344" i="11"/>
  <c r="BM344" i="11"/>
  <c r="CA344" i="11"/>
  <c r="DB344" i="11"/>
  <c r="DD344" i="11" s="1"/>
  <c r="BZ344" i="11"/>
  <c r="AP344" i="11"/>
  <c r="AZ344" i="11"/>
  <c r="CZ344" i="11"/>
  <c r="CM344" i="11"/>
  <c r="B345" i="11"/>
  <c r="A345" i="11" s="1"/>
  <c r="C346" i="11"/>
  <c r="CZ345" i="11" l="1"/>
  <c r="M344" i="11"/>
  <c r="L344" i="11"/>
  <c r="M311" i="12"/>
  <c r="V311" i="12"/>
  <c r="W311" i="12" s="1"/>
  <c r="EH345" i="11"/>
  <c r="EC345" i="11"/>
  <c r="EA345" i="11"/>
  <c r="DZ345" i="11"/>
  <c r="EI345" i="11"/>
  <c r="A312" i="12"/>
  <c r="M312" i="12" s="1"/>
  <c r="P345" i="11"/>
  <c r="BS343" i="11"/>
  <c r="BX343" i="11"/>
  <c r="DF343" i="11"/>
  <c r="DK343" i="11"/>
  <c r="BF343" i="11"/>
  <c r="AX342" i="11"/>
  <c r="AY342" i="11" s="1"/>
  <c r="BY341" i="11"/>
  <c r="AS342" i="11"/>
  <c r="BJ342" i="11"/>
  <c r="BL342" i="11" s="1"/>
  <c r="BK343" i="11"/>
  <c r="B313" i="12"/>
  <c r="DK342" i="11"/>
  <c r="DL342" i="11" s="1"/>
  <c r="CL342" i="11"/>
  <c r="CY342" i="11"/>
  <c r="CJ343" i="11"/>
  <c r="CW343" i="11"/>
  <c r="CX343" i="11"/>
  <c r="BY342" i="11"/>
  <c r="CK343" i="11"/>
  <c r="AB345" i="11"/>
  <c r="BQ344" i="11"/>
  <c r="BR344" i="11" s="1"/>
  <c r="BT344" i="11" s="1"/>
  <c r="CF344" i="11"/>
  <c r="CD344" i="11"/>
  <c r="CS344" i="11"/>
  <c r="CQ344" i="11"/>
  <c r="AQ344" i="11"/>
  <c r="AR344" i="11" s="1"/>
  <c r="AT344" i="11" s="1"/>
  <c r="BE344" i="11"/>
  <c r="BG344" i="11" s="1"/>
  <c r="DE344" i="11"/>
  <c r="DG344" i="11" s="1"/>
  <c r="CE345" i="11"/>
  <c r="CG345" i="11" s="1"/>
  <c r="DV345" i="11"/>
  <c r="DU345" i="11"/>
  <c r="DH345" i="11"/>
  <c r="DI345" i="11"/>
  <c r="CR345" i="11"/>
  <c r="CT345" i="11" s="1"/>
  <c r="CU345" i="11"/>
  <c r="CV345" i="11"/>
  <c r="CH345" i="11"/>
  <c r="CI345" i="11"/>
  <c r="BU345" i="11"/>
  <c r="BV345" i="11"/>
  <c r="BH345" i="11"/>
  <c r="BI345" i="11"/>
  <c r="AU345" i="11"/>
  <c r="AV345" i="11"/>
  <c r="AH345" i="11"/>
  <c r="AI345" i="11"/>
  <c r="BP345" i="11"/>
  <c r="Y345" i="11"/>
  <c r="BN345" i="11"/>
  <c r="BO345" i="11"/>
  <c r="BQ345" i="11" s="1"/>
  <c r="AP345" i="11"/>
  <c r="AN345" i="11"/>
  <c r="BZ345" i="11"/>
  <c r="AO345" i="11"/>
  <c r="DP345" i="11"/>
  <c r="DN345" i="11"/>
  <c r="CA345" i="11"/>
  <c r="BB345" i="11"/>
  <c r="BD345" i="11" s="1"/>
  <c r="CM345" i="11"/>
  <c r="BM345" i="11"/>
  <c r="BA345" i="11"/>
  <c r="CO345" i="11"/>
  <c r="DM345" i="11"/>
  <c r="AZ345" i="11"/>
  <c r="DA345" i="11"/>
  <c r="AM345" i="11"/>
  <c r="CB345" i="11"/>
  <c r="DB345" i="11"/>
  <c r="DD345" i="11" s="1"/>
  <c r="BC345" i="11"/>
  <c r="CC345" i="11"/>
  <c r="CN345" i="11"/>
  <c r="AA345" i="11"/>
  <c r="X345" i="11"/>
  <c r="W346" i="11"/>
  <c r="DC345" i="11"/>
  <c r="CP345" i="11"/>
  <c r="B346" i="11"/>
  <c r="A346" i="11" s="1"/>
  <c r="C347" i="11"/>
  <c r="N312" i="12" l="1"/>
  <c r="V312" i="12"/>
  <c r="W312" i="12" s="1"/>
  <c r="M345" i="11"/>
  <c r="L345" i="11"/>
  <c r="EH346" i="11"/>
  <c r="EI346" i="11"/>
  <c r="EC346" i="11"/>
  <c r="EA346" i="11"/>
  <c r="DZ346" i="11"/>
  <c r="A313" i="12"/>
  <c r="N313" i="12" s="1"/>
  <c r="P346" i="11"/>
  <c r="BF344" i="11"/>
  <c r="DF344" i="11"/>
  <c r="DK344" i="11"/>
  <c r="DJ343" i="11"/>
  <c r="DL343" i="11" s="1"/>
  <c r="BJ343" i="11"/>
  <c r="BL343" i="11" s="1"/>
  <c r="AS344" i="11"/>
  <c r="AW343" i="11"/>
  <c r="AX343" i="11"/>
  <c r="BX344" i="11"/>
  <c r="AS343" i="11"/>
  <c r="B314" i="12"/>
  <c r="BW343" i="11"/>
  <c r="BY343" i="11" s="1"/>
  <c r="CY343" i="11"/>
  <c r="CL343" i="11"/>
  <c r="CX344" i="11"/>
  <c r="CW344" i="11"/>
  <c r="BS344" i="11"/>
  <c r="AB346" i="11"/>
  <c r="CJ345" i="11"/>
  <c r="CD345" i="11"/>
  <c r="CJ344" i="11"/>
  <c r="CK344" i="11"/>
  <c r="CS345" i="11"/>
  <c r="CQ345" i="11"/>
  <c r="AQ345" i="11"/>
  <c r="AR345" i="11" s="1"/>
  <c r="AT345" i="11" s="1"/>
  <c r="DJ344" i="11"/>
  <c r="AW344" i="11"/>
  <c r="DE345" i="11"/>
  <c r="DG345" i="11" s="1"/>
  <c r="BE345" i="11"/>
  <c r="BG345" i="11" s="1"/>
  <c r="BP346" i="11"/>
  <c r="CE346" i="11"/>
  <c r="CG346" i="11" s="1"/>
  <c r="DU346" i="11"/>
  <c r="DV346" i="11"/>
  <c r="DI346" i="11"/>
  <c r="DH346" i="11"/>
  <c r="CR346" i="11"/>
  <c r="CT346" i="11" s="1"/>
  <c r="CU346" i="11"/>
  <c r="CV346" i="11"/>
  <c r="CH346" i="11"/>
  <c r="CI346" i="11"/>
  <c r="BU346" i="11"/>
  <c r="BV346" i="11"/>
  <c r="BH346" i="11"/>
  <c r="BI346" i="11"/>
  <c r="AU346" i="11"/>
  <c r="AV346" i="11"/>
  <c r="AH346" i="11"/>
  <c r="AI346" i="11"/>
  <c r="BR345" i="11"/>
  <c r="BT345" i="11" s="1"/>
  <c r="CB346" i="11"/>
  <c r="BN346" i="11"/>
  <c r="BO346" i="11"/>
  <c r="BQ346" i="11" s="1"/>
  <c r="DC346" i="11"/>
  <c r="X346" i="11"/>
  <c r="AP346" i="11"/>
  <c r="CP346" i="11"/>
  <c r="BM346" i="11"/>
  <c r="DN346" i="11"/>
  <c r="AM346" i="11"/>
  <c r="CN346" i="11"/>
  <c r="DP346" i="11"/>
  <c r="CZ346" i="11"/>
  <c r="BA346" i="11"/>
  <c r="AA346" i="11"/>
  <c r="AO346" i="11"/>
  <c r="CA346" i="11"/>
  <c r="BB346" i="11"/>
  <c r="BD346" i="11" s="1"/>
  <c r="BC346" i="11"/>
  <c r="CM346" i="11"/>
  <c r="AZ346" i="11"/>
  <c r="DM346" i="11"/>
  <c r="DB346" i="11"/>
  <c r="DD346" i="11" s="1"/>
  <c r="BZ346" i="11"/>
  <c r="DA346" i="11"/>
  <c r="W347" i="11"/>
  <c r="CC346" i="11"/>
  <c r="CO346" i="11"/>
  <c r="AN346" i="11"/>
  <c r="Y346" i="11"/>
  <c r="B347" i="11"/>
  <c r="A347" i="11" s="1"/>
  <c r="C348" i="11"/>
  <c r="L346" i="11" l="1"/>
  <c r="V313" i="12"/>
  <c r="W313" i="12" s="1"/>
  <c r="M346" i="11"/>
  <c r="EC347" i="11"/>
  <c r="EI347" i="11"/>
  <c r="EH347" i="11"/>
  <c r="EA347" i="11"/>
  <c r="DZ347" i="11"/>
  <c r="M313" i="12"/>
  <c r="A314" i="12"/>
  <c r="V314" i="12" s="1"/>
  <c r="W314" i="12" s="1"/>
  <c r="P347" i="11"/>
  <c r="BS345" i="11"/>
  <c r="BX345" i="11"/>
  <c r="BF345" i="11"/>
  <c r="BK345" i="11"/>
  <c r="DF345" i="11"/>
  <c r="DK345" i="11"/>
  <c r="AX344" i="11"/>
  <c r="AY344" i="11" s="1"/>
  <c r="CY344" i="11"/>
  <c r="AY343" i="11"/>
  <c r="BW344" i="11"/>
  <c r="BY344" i="11" s="1"/>
  <c r="B315" i="12"/>
  <c r="AW345" i="11"/>
  <c r="BJ344" i="11"/>
  <c r="BK344" i="11"/>
  <c r="CW345" i="11"/>
  <c r="CX345" i="11"/>
  <c r="DL344" i="11"/>
  <c r="CL344" i="11"/>
  <c r="AB347" i="11"/>
  <c r="CF346" i="11"/>
  <c r="CD346" i="11"/>
  <c r="CS346" i="11"/>
  <c r="CQ346" i="11"/>
  <c r="CK345" i="11"/>
  <c r="CL345" i="11" s="1"/>
  <c r="CF345" i="11"/>
  <c r="AQ346" i="11"/>
  <c r="AR346" i="11" s="1"/>
  <c r="AT346" i="11" s="1"/>
  <c r="BE346" i="11"/>
  <c r="BG346" i="11" s="1"/>
  <c r="DE346" i="11"/>
  <c r="DG346" i="11" s="1"/>
  <c r="BP347" i="11"/>
  <c r="CE347" i="11"/>
  <c r="CG347" i="11" s="1"/>
  <c r="DV347" i="11"/>
  <c r="DU347" i="11"/>
  <c r="DH347" i="11"/>
  <c r="DI347" i="11"/>
  <c r="CR347" i="11"/>
  <c r="CT347" i="11" s="1"/>
  <c r="CU347" i="11"/>
  <c r="CV347" i="11"/>
  <c r="CH347" i="11"/>
  <c r="CI347" i="11"/>
  <c r="BU347" i="11"/>
  <c r="BV347" i="11"/>
  <c r="BI347" i="11"/>
  <c r="BH347" i="11"/>
  <c r="AU347" i="11"/>
  <c r="AH347" i="11"/>
  <c r="AI347" i="11"/>
  <c r="AV347" i="11"/>
  <c r="BR346" i="11"/>
  <c r="BT346" i="11" s="1"/>
  <c r="BN347" i="11"/>
  <c r="Y347" i="11"/>
  <c r="AN347" i="11"/>
  <c r="BO347" i="11"/>
  <c r="BQ347" i="11" s="1"/>
  <c r="DP347" i="11"/>
  <c r="BC347" i="11"/>
  <c r="AZ347" i="11"/>
  <c r="DB347" i="11"/>
  <c r="DD347" i="11" s="1"/>
  <c r="DM347" i="11"/>
  <c r="BB347" i="11"/>
  <c r="BD347" i="11" s="1"/>
  <c r="CN347" i="11"/>
  <c r="CA347" i="11"/>
  <c r="AM347" i="11"/>
  <c r="AO347" i="11"/>
  <c r="DN347" i="11"/>
  <c r="AA347" i="11"/>
  <c r="BM347" i="11"/>
  <c r="CC347" i="11"/>
  <c r="DA347" i="11"/>
  <c r="DC347" i="11"/>
  <c r="CZ347" i="11"/>
  <c r="AP347" i="11"/>
  <c r="CM347" i="11"/>
  <c r="CO347" i="11"/>
  <c r="W348" i="11"/>
  <c r="BA347" i="11"/>
  <c r="X347" i="11"/>
  <c r="BZ347" i="11"/>
  <c r="CP347" i="11"/>
  <c r="CB347" i="11"/>
  <c r="B348" i="11"/>
  <c r="A348" i="11" s="1"/>
  <c r="C349" i="11"/>
  <c r="L347" i="11" l="1"/>
  <c r="M347" i="11"/>
  <c r="EA348" i="11"/>
  <c r="EC348" i="11"/>
  <c r="EI348" i="11"/>
  <c r="EH348" i="11"/>
  <c r="DZ348" i="11"/>
  <c r="N314" i="12"/>
  <c r="M314" i="12"/>
  <c r="A315" i="12"/>
  <c r="M315" i="12" s="1"/>
  <c r="P348" i="11"/>
  <c r="BS346" i="11"/>
  <c r="DF346" i="11"/>
  <c r="DJ346" i="11"/>
  <c r="BF346" i="11"/>
  <c r="BK346" i="11"/>
  <c r="BW345" i="11"/>
  <c r="BY345" i="11" s="1"/>
  <c r="BL344" i="11"/>
  <c r="AX345" i="11"/>
  <c r="AY345" i="11" s="1"/>
  <c r="AS345" i="11"/>
  <c r="AX346" i="11"/>
  <c r="B316" i="12"/>
  <c r="BJ345" i="11"/>
  <c r="BL345" i="11" s="1"/>
  <c r="DJ345" i="11"/>
  <c r="DL345" i="11" s="1"/>
  <c r="CY345" i="11"/>
  <c r="CW346" i="11"/>
  <c r="CX346" i="11"/>
  <c r="AB348" i="11"/>
  <c r="CK346" i="11"/>
  <c r="BR347" i="11"/>
  <c r="BT347" i="11" s="1"/>
  <c r="CJ346" i="11"/>
  <c r="CF347" i="11"/>
  <c r="CD347" i="11"/>
  <c r="CX347" i="11"/>
  <c r="CQ347" i="11"/>
  <c r="AQ347" i="11"/>
  <c r="AR347" i="11" s="1"/>
  <c r="AT347" i="11" s="1"/>
  <c r="DK346" i="11"/>
  <c r="BN348" i="11"/>
  <c r="CE348" i="11"/>
  <c r="CG348" i="11" s="1"/>
  <c r="DU348" i="11"/>
  <c r="DV348" i="11"/>
  <c r="DH348" i="11"/>
  <c r="DI348" i="11"/>
  <c r="CR348" i="11"/>
  <c r="CT348" i="11" s="1"/>
  <c r="CU348" i="11"/>
  <c r="CH348" i="11"/>
  <c r="CI348" i="11"/>
  <c r="CV348" i="11"/>
  <c r="BU348" i="11"/>
  <c r="BV348" i="11"/>
  <c r="BH348" i="11"/>
  <c r="BI348" i="11"/>
  <c r="AU348" i="11"/>
  <c r="AV348" i="11"/>
  <c r="AH348" i="11"/>
  <c r="AI348" i="11"/>
  <c r="BE347" i="11"/>
  <c r="BG347" i="11" s="1"/>
  <c r="DE347" i="11"/>
  <c r="DG347" i="11" s="1"/>
  <c r="DP348" i="11"/>
  <c r="CP348" i="11"/>
  <c r="BC348" i="11"/>
  <c r="BP348" i="11"/>
  <c r="BO348" i="11"/>
  <c r="BQ348" i="11" s="1"/>
  <c r="BM348" i="11"/>
  <c r="DM348" i="11"/>
  <c r="AO348" i="11"/>
  <c r="AP348" i="11"/>
  <c r="DB348" i="11"/>
  <c r="DD348" i="11" s="1"/>
  <c r="CZ348" i="11"/>
  <c r="AM348" i="11"/>
  <c r="W349" i="11"/>
  <c r="CA348" i="11"/>
  <c r="AA348" i="11"/>
  <c r="DC348" i="11"/>
  <c r="BA348" i="11"/>
  <c r="AZ348" i="11"/>
  <c r="CO348" i="11"/>
  <c r="BZ348" i="11"/>
  <c r="X348" i="11"/>
  <c r="CM348" i="11"/>
  <c r="CN348" i="11"/>
  <c r="DA348" i="11"/>
  <c r="CC348" i="11"/>
  <c r="CB348" i="11"/>
  <c r="Y348" i="11"/>
  <c r="AN348" i="11"/>
  <c r="DN348" i="11"/>
  <c r="BB348" i="11"/>
  <c r="BD348" i="11" s="1"/>
  <c r="B349" i="11"/>
  <c r="A349" i="11" s="1"/>
  <c r="C350" i="11"/>
  <c r="M348" i="11" l="1"/>
  <c r="L348" i="11"/>
  <c r="EI349" i="11"/>
  <c r="EH349" i="11"/>
  <c r="EC349" i="11"/>
  <c r="EA349" i="11"/>
  <c r="DZ349" i="11"/>
  <c r="V315" i="12"/>
  <c r="W315" i="12" s="1"/>
  <c r="N315" i="12"/>
  <c r="A316" i="12"/>
  <c r="M316" i="12" s="1"/>
  <c r="P349" i="11"/>
  <c r="BS347" i="11"/>
  <c r="BX347" i="11"/>
  <c r="DF347" i="11"/>
  <c r="DK347" i="11"/>
  <c r="BF347" i="11"/>
  <c r="BJ346" i="11"/>
  <c r="BL346" i="11" s="1"/>
  <c r="BW346" i="11"/>
  <c r="BX346" i="11"/>
  <c r="AS346" i="11"/>
  <c r="AW346" i="11"/>
  <c r="AY346" i="11" s="1"/>
  <c r="AX347" i="11"/>
  <c r="CY346" i="11"/>
  <c r="B317" i="12"/>
  <c r="CL346" i="11"/>
  <c r="DL346" i="11"/>
  <c r="AB349" i="11"/>
  <c r="CK347" i="11"/>
  <c r="CJ347" i="11"/>
  <c r="CF348" i="11"/>
  <c r="CD348" i="11"/>
  <c r="CW347" i="11"/>
  <c r="CY347" i="11" s="1"/>
  <c r="CS347" i="11"/>
  <c r="CS348" i="11"/>
  <c r="CQ348" i="11"/>
  <c r="AQ348" i="11"/>
  <c r="AR348" i="11" s="1"/>
  <c r="AT348" i="11" s="1"/>
  <c r="BE348" i="11"/>
  <c r="BG348" i="11" s="1"/>
  <c r="BR348" i="11"/>
  <c r="BT348" i="11" s="1"/>
  <c r="DE348" i="11"/>
  <c r="DG348" i="11" s="1"/>
  <c r="CE349" i="11"/>
  <c r="CG349" i="11" s="1"/>
  <c r="DU349" i="11"/>
  <c r="DV349" i="11"/>
  <c r="DH349" i="11"/>
  <c r="DI349" i="11"/>
  <c r="CU349" i="11"/>
  <c r="CR349" i="11"/>
  <c r="CT349" i="11" s="1"/>
  <c r="CV349" i="11"/>
  <c r="CH349" i="11"/>
  <c r="CI349" i="11"/>
  <c r="BU349" i="11"/>
  <c r="BV349" i="11"/>
  <c r="BI349" i="11"/>
  <c r="BH349" i="11"/>
  <c r="AU349" i="11"/>
  <c r="AV349" i="11"/>
  <c r="AH349" i="11"/>
  <c r="AI349" i="11"/>
  <c r="DP349" i="11"/>
  <c r="BP349" i="11"/>
  <c r="BN349" i="11"/>
  <c r="BO349" i="11"/>
  <c r="AA349" i="11"/>
  <c r="X349" i="11"/>
  <c r="BB349" i="11"/>
  <c r="BD349" i="11" s="1"/>
  <c r="BZ349" i="11"/>
  <c r="AP349" i="11"/>
  <c r="AO349" i="11"/>
  <c r="CA349" i="11"/>
  <c r="AM349" i="11"/>
  <c r="DN349" i="11"/>
  <c r="AN349" i="11"/>
  <c r="CO349" i="11"/>
  <c r="CZ349" i="11"/>
  <c r="W350" i="11"/>
  <c r="Y349" i="11"/>
  <c r="DM349" i="11"/>
  <c r="DB349" i="11"/>
  <c r="DD349" i="11" s="1"/>
  <c r="CN349" i="11"/>
  <c r="AZ349" i="11"/>
  <c r="BM349" i="11"/>
  <c r="CB349" i="11"/>
  <c r="CC349" i="11"/>
  <c r="BA349" i="11"/>
  <c r="CP349" i="11"/>
  <c r="DA349" i="11"/>
  <c r="CM349" i="11"/>
  <c r="DC349" i="11"/>
  <c r="BC349" i="11"/>
  <c r="B350" i="11"/>
  <c r="A350" i="11" s="1"/>
  <c r="C351" i="11"/>
  <c r="L349" i="11" l="1"/>
  <c r="V316" i="12"/>
  <c r="W316" i="12" s="1"/>
  <c r="M349" i="11"/>
  <c r="EH350" i="11"/>
  <c r="EA350" i="11"/>
  <c r="EI350" i="11"/>
  <c r="EC350" i="11"/>
  <c r="DZ350" i="11"/>
  <c r="N316" i="12"/>
  <c r="A317" i="12"/>
  <c r="N317" i="12" s="1"/>
  <c r="P350" i="11"/>
  <c r="DF348" i="11"/>
  <c r="DJ348" i="11"/>
  <c r="BS348" i="11"/>
  <c r="BX348" i="11"/>
  <c r="DJ347" i="11"/>
  <c r="DL347" i="11" s="1"/>
  <c r="BW347" i="11"/>
  <c r="BY347" i="11" s="1"/>
  <c r="BY346" i="11"/>
  <c r="AW347" i="11"/>
  <c r="AY347" i="11" s="1"/>
  <c r="BJ347" i="11"/>
  <c r="AS348" i="11"/>
  <c r="BK347" i="11"/>
  <c r="B318" i="12"/>
  <c r="AS347" i="11"/>
  <c r="CX348" i="11"/>
  <c r="CL347" i="11"/>
  <c r="CJ348" i="11"/>
  <c r="CW348" i="11"/>
  <c r="BQ349" i="11"/>
  <c r="BR349" i="11" s="1"/>
  <c r="BT349" i="11" s="1"/>
  <c r="AB350" i="11"/>
  <c r="CK348" i="11"/>
  <c r="CF349" i="11"/>
  <c r="CD349" i="11"/>
  <c r="CS349" i="11"/>
  <c r="CQ349" i="11"/>
  <c r="BJ348" i="11"/>
  <c r="BF348" i="11"/>
  <c r="AQ349" i="11"/>
  <c r="AR349" i="11" s="1"/>
  <c r="AT349" i="11" s="1"/>
  <c r="BK348" i="11"/>
  <c r="BW348" i="11"/>
  <c r="BE349" i="11"/>
  <c r="BG349" i="11" s="1"/>
  <c r="CE350" i="11"/>
  <c r="CG350" i="11" s="1"/>
  <c r="DU350" i="11"/>
  <c r="DV350" i="11"/>
  <c r="DI350" i="11"/>
  <c r="DH350" i="11"/>
  <c r="CV350" i="11"/>
  <c r="CU350" i="11"/>
  <c r="CR350" i="11"/>
  <c r="CT350" i="11" s="1"/>
  <c r="CI350" i="11"/>
  <c r="CH350" i="11"/>
  <c r="BU350" i="11"/>
  <c r="BV350" i="11"/>
  <c r="BI350" i="11"/>
  <c r="BH350" i="11"/>
  <c r="AV350" i="11"/>
  <c r="AH350" i="11"/>
  <c r="AI350" i="11"/>
  <c r="AU350" i="11"/>
  <c r="DE349" i="11"/>
  <c r="DG349" i="11" s="1"/>
  <c r="DC350" i="11"/>
  <c r="BM350" i="11"/>
  <c r="BN350" i="11"/>
  <c r="BP350" i="11"/>
  <c r="BO350" i="11"/>
  <c r="BQ350" i="11" s="1"/>
  <c r="CA350" i="11"/>
  <c r="BC350" i="11"/>
  <c r="CB350" i="11"/>
  <c r="CM350" i="11"/>
  <c r="AZ350" i="11"/>
  <c r="DB350" i="11"/>
  <c r="DD350" i="11" s="1"/>
  <c r="CZ350" i="11"/>
  <c r="DA350" i="11"/>
  <c r="CN350" i="11"/>
  <c r="DM350" i="11"/>
  <c r="CP350" i="11"/>
  <c r="BA350" i="11"/>
  <c r="X350" i="11"/>
  <c r="AO350" i="11"/>
  <c r="AP350" i="11"/>
  <c r="Y350" i="11"/>
  <c r="CO350" i="11"/>
  <c r="BZ350" i="11"/>
  <c r="W351" i="11"/>
  <c r="BB350" i="11"/>
  <c r="BD350" i="11" s="1"/>
  <c r="DN350" i="11"/>
  <c r="AA350" i="11"/>
  <c r="AN350" i="11"/>
  <c r="CC350" i="11"/>
  <c r="AM350" i="11"/>
  <c r="DP350" i="11"/>
  <c r="B351" i="11"/>
  <c r="A351" i="11" s="1"/>
  <c r="C352" i="11"/>
  <c r="L350" i="11" l="1"/>
  <c r="M350" i="11"/>
  <c r="EC351" i="11"/>
  <c r="DZ351" i="11"/>
  <c r="EI351" i="11"/>
  <c r="EH351" i="11"/>
  <c r="EA351" i="11"/>
  <c r="V317" i="12"/>
  <c r="W317" i="12" s="1"/>
  <c r="M317" i="12"/>
  <c r="A318" i="12"/>
  <c r="V318" i="12" s="1"/>
  <c r="W318" i="12" s="1"/>
  <c r="P351" i="11"/>
  <c r="DF349" i="11"/>
  <c r="BF349" i="11"/>
  <c r="BJ349" i="11"/>
  <c r="DK348" i="11"/>
  <c r="DL348" i="11" s="1"/>
  <c r="AX348" i="11"/>
  <c r="AW348" i="11"/>
  <c r="BL347" i="11"/>
  <c r="B319" i="12"/>
  <c r="DK349" i="11"/>
  <c r="CY348" i="11"/>
  <c r="CK349" i="11"/>
  <c r="CJ349" i="11"/>
  <c r="CL348" i="11"/>
  <c r="BY348" i="11"/>
  <c r="BS349" i="11"/>
  <c r="BX349" i="11"/>
  <c r="BW349" i="11"/>
  <c r="CX349" i="11"/>
  <c r="AB351" i="11"/>
  <c r="CX350" i="11"/>
  <c r="CQ350" i="11"/>
  <c r="CF350" i="11"/>
  <c r="CD350" i="11"/>
  <c r="CW349" i="11"/>
  <c r="BL348" i="11"/>
  <c r="AQ350" i="11"/>
  <c r="AR350" i="11" s="1"/>
  <c r="AT350" i="11" s="1"/>
  <c r="DE350" i="11"/>
  <c r="DG350" i="11" s="1"/>
  <c r="BR350" i="11"/>
  <c r="BT350" i="11" s="1"/>
  <c r="BN351" i="11"/>
  <c r="CE351" i="11"/>
  <c r="CG351" i="11" s="1"/>
  <c r="DV351" i="11"/>
  <c r="DU351" i="11"/>
  <c r="DH351" i="11"/>
  <c r="DI351" i="11"/>
  <c r="CR351" i="11"/>
  <c r="CT351" i="11" s="1"/>
  <c r="CV351" i="11"/>
  <c r="CU351" i="11"/>
  <c r="CH351" i="11"/>
  <c r="CI351" i="11"/>
  <c r="BU351" i="11"/>
  <c r="BV351" i="11"/>
  <c r="BH351" i="11"/>
  <c r="BI351" i="11"/>
  <c r="AU351" i="11"/>
  <c r="AV351" i="11"/>
  <c r="AH351" i="11"/>
  <c r="AI351" i="11"/>
  <c r="BE350" i="11"/>
  <c r="BG350" i="11" s="1"/>
  <c r="DN351" i="11"/>
  <c r="BP351" i="11"/>
  <c r="CA351" i="11"/>
  <c r="BO351" i="11"/>
  <c r="BQ351" i="11" s="1"/>
  <c r="CM351" i="11"/>
  <c r="DP351" i="11"/>
  <c r="AP351" i="11"/>
  <c r="CB351" i="11"/>
  <c r="BC351" i="11"/>
  <c r="CZ351" i="11"/>
  <c r="AM351" i="11"/>
  <c r="BA351" i="11"/>
  <c r="DM351" i="11"/>
  <c r="CO351" i="11"/>
  <c r="BB351" i="11"/>
  <c r="BD351" i="11" s="1"/>
  <c r="BZ351" i="11"/>
  <c r="CC351" i="11"/>
  <c r="AN351" i="11"/>
  <c r="Y351" i="11"/>
  <c r="W352" i="11"/>
  <c r="DA351" i="11"/>
  <c r="CP351" i="11"/>
  <c r="X351" i="11"/>
  <c r="BM351" i="11"/>
  <c r="CN351" i="11"/>
  <c r="AO351" i="11"/>
  <c r="AA351" i="11"/>
  <c r="AZ351" i="11"/>
  <c r="DB351" i="11"/>
  <c r="DD351" i="11" s="1"/>
  <c r="DC351" i="11"/>
  <c r="B352" i="11"/>
  <c r="A352" i="11" s="1"/>
  <c r="C353" i="11"/>
  <c r="M351" i="11" l="1"/>
  <c r="L351" i="11"/>
  <c r="N318" i="12"/>
  <c r="M318" i="12"/>
  <c r="EA352" i="11"/>
  <c r="EI352" i="11"/>
  <c r="EH352" i="11"/>
  <c r="EC352" i="11"/>
  <c r="DZ352" i="11"/>
  <c r="A319" i="12"/>
  <c r="V319" i="12" s="1"/>
  <c r="W319" i="12" s="1"/>
  <c r="P352" i="11"/>
  <c r="BS350" i="11"/>
  <c r="BX350" i="11"/>
  <c r="DF350" i="11"/>
  <c r="DK350" i="11"/>
  <c r="BF350" i="11"/>
  <c r="BJ350" i="11"/>
  <c r="AY348" i="11"/>
  <c r="BK349" i="11"/>
  <c r="BL349" i="11" s="1"/>
  <c r="CL349" i="11"/>
  <c r="AS350" i="11"/>
  <c r="AW349" i="11"/>
  <c r="AX349" i="11"/>
  <c r="AS349" i="11"/>
  <c r="B320" i="12"/>
  <c r="DJ349" i="11"/>
  <c r="DL349" i="11" s="1"/>
  <c r="BY349" i="11"/>
  <c r="CY349" i="11"/>
  <c r="CK350" i="11"/>
  <c r="AB352" i="11"/>
  <c r="CJ350" i="11"/>
  <c r="CS351" i="11"/>
  <c r="CQ351" i="11"/>
  <c r="CF351" i="11"/>
  <c r="CD351" i="11"/>
  <c r="CW350" i="11"/>
  <c r="CY350" i="11" s="1"/>
  <c r="CS350" i="11"/>
  <c r="AQ351" i="11"/>
  <c r="AR351" i="11" s="1"/>
  <c r="AT351" i="11" s="1"/>
  <c r="DE351" i="11"/>
  <c r="DG351" i="11" s="1"/>
  <c r="BN352" i="11"/>
  <c r="CE352" i="11"/>
  <c r="CG352" i="11" s="1"/>
  <c r="DU352" i="11"/>
  <c r="DV352" i="11"/>
  <c r="DH352" i="11"/>
  <c r="DI352" i="11"/>
  <c r="CV352" i="11"/>
  <c r="CR352" i="11"/>
  <c r="CT352" i="11" s="1"/>
  <c r="CU352" i="11"/>
  <c r="CH352" i="11"/>
  <c r="CI352" i="11"/>
  <c r="BU352" i="11"/>
  <c r="BH352" i="11"/>
  <c r="BV352" i="11"/>
  <c r="BI352" i="11"/>
  <c r="AU352" i="11"/>
  <c r="AV352" i="11"/>
  <c r="AH352" i="11"/>
  <c r="AI352" i="11"/>
  <c r="BR351" i="11"/>
  <c r="BT351" i="11" s="1"/>
  <c r="BE351" i="11"/>
  <c r="BG351" i="11" s="1"/>
  <c r="DP352" i="11"/>
  <c r="BP352" i="11"/>
  <c r="BM352" i="11"/>
  <c r="BO352" i="11"/>
  <c r="BQ352" i="11" s="1"/>
  <c r="CN352" i="11"/>
  <c r="AP352" i="11"/>
  <c r="X352" i="11"/>
  <c r="DC352" i="11"/>
  <c r="Y352" i="11"/>
  <c r="AM352" i="11"/>
  <c r="DN352" i="11"/>
  <c r="CM352" i="11"/>
  <c r="CZ352" i="11"/>
  <c r="DB352" i="11"/>
  <c r="DD352" i="11" s="1"/>
  <c r="CP352" i="11"/>
  <c r="AN352" i="11"/>
  <c r="CO352" i="11"/>
  <c r="DA352" i="11"/>
  <c r="CB352" i="11"/>
  <c r="AA352" i="11"/>
  <c r="BZ352" i="11"/>
  <c r="BA352" i="11"/>
  <c r="BC352" i="11"/>
  <c r="AZ352" i="11"/>
  <c r="CC352" i="11"/>
  <c r="DM352" i="11"/>
  <c r="W353" i="11"/>
  <c r="AO352" i="11"/>
  <c r="BB352" i="11"/>
  <c r="BD352" i="11" s="1"/>
  <c r="CA352" i="11"/>
  <c r="B353" i="11"/>
  <c r="A353" i="11" s="1"/>
  <c r="C354" i="11"/>
  <c r="M319" i="12" l="1"/>
  <c r="N319" i="12"/>
  <c r="M352" i="11"/>
  <c r="L352" i="11"/>
  <c r="EI353" i="11"/>
  <c r="EH353" i="11"/>
  <c r="EC353" i="11"/>
  <c r="EA353" i="11"/>
  <c r="DZ353" i="11"/>
  <c r="A320" i="12"/>
  <c r="V320" i="12" s="1"/>
  <c r="W320" i="12" s="1"/>
  <c r="P353" i="11"/>
  <c r="DF351" i="11"/>
  <c r="BF351" i="11"/>
  <c r="BS351" i="11"/>
  <c r="DJ350" i="11"/>
  <c r="DL350" i="11" s="1"/>
  <c r="AX350" i="11"/>
  <c r="AW350" i="11"/>
  <c r="BW350" i="11"/>
  <c r="BY350" i="11" s="1"/>
  <c r="AY349" i="11"/>
  <c r="DK351" i="11"/>
  <c r="B321" i="12"/>
  <c r="BK350" i="11"/>
  <c r="BL350" i="11" s="1"/>
  <c r="AW351" i="11"/>
  <c r="BJ351" i="11"/>
  <c r="CL350" i="11"/>
  <c r="AB353" i="11"/>
  <c r="CQ352" i="11"/>
  <c r="CJ351" i="11"/>
  <c r="CX351" i="11"/>
  <c r="CF352" i="11"/>
  <c r="CD352" i="11"/>
  <c r="CW351" i="11"/>
  <c r="CK351" i="11"/>
  <c r="AQ352" i="11"/>
  <c r="AR352" i="11" s="1"/>
  <c r="AT352" i="11" s="1"/>
  <c r="CJ352" i="11"/>
  <c r="BR352" i="11"/>
  <c r="BT352" i="11" s="1"/>
  <c r="DE352" i="11"/>
  <c r="DG352" i="11" s="1"/>
  <c r="CS352" i="11"/>
  <c r="BE352" i="11"/>
  <c r="BG352" i="11" s="1"/>
  <c r="CE353" i="11"/>
  <c r="CG353" i="11" s="1"/>
  <c r="DV353" i="11"/>
  <c r="DU353" i="11"/>
  <c r="DH353" i="11"/>
  <c r="DI353" i="11"/>
  <c r="CR353" i="11"/>
  <c r="CT353" i="11" s="1"/>
  <c r="CU353" i="11"/>
  <c r="CV353" i="11"/>
  <c r="CH353" i="11"/>
  <c r="CI353" i="11"/>
  <c r="BU353" i="11"/>
  <c r="BV353" i="11"/>
  <c r="BI353" i="11"/>
  <c r="BH353" i="11"/>
  <c r="AU353" i="11"/>
  <c r="AV353" i="11"/>
  <c r="AH353" i="11"/>
  <c r="AI353" i="11"/>
  <c r="X353" i="11"/>
  <c r="BN353" i="11"/>
  <c r="BP353" i="11"/>
  <c r="BO353" i="11"/>
  <c r="BQ353" i="11" s="1"/>
  <c r="BC353" i="11"/>
  <c r="BA353" i="11"/>
  <c r="DN353" i="11"/>
  <c r="AA353" i="11"/>
  <c r="W354" i="11"/>
  <c r="AN353" i="11"/>
  <c r="CB353" i="11"/>
  <c r="CO353" i="11"/>
  <c r="CN353" i="11"/>
  <c r="DM353" i="11"/>
  <c r="DB353" i="11"/>
  <c r="DD353" i="11" s="1"/>
  <c r="CC353" i="11"/>
  <c r="Y353" i="11"/>
  <c r="BB353" i="11"/>
  <c r="BD353" i="11" s="1"/>
  <c r="AZ353" i="11"/>
  <c r="DC353" i="11"/>
  <c r="CZ353" i="11"/>
  <c r="BM353" i="11"/>
  <c r="BZ353" i="11"/>
  <c r="CP353" i="11"/>
  <c r="CA353" i="11"/>
  <c r="DA353" i="11"/>
  <c r="AO353" i="11"/>
  <c r="DP353" i="11"/>
  <c r="AP353" i="11"/>
  <c r="CM353" i="11"/>
  <c r="AM353" i="11"/>
  <c r="B354" i="11"/>
  <c r="A354" i="11" s="1"/>
  <c r="C355" i="11"/>
  <c r="CA354" i="11" l="1"/>
  <c r="N320" i="12"/>
  <c r="L353" i="11"/>
  <c r="M353" i="11"/>
  <c r="M320" i="12"/>
  <c r="EH354" i="11"/>
  <c r="EI354" i="11"/>
  <c r="EC354" i="11"/>
  <c r="EA354" i="11"/>
  <c r="DZ354" i="11"/>
  <c r="A321" i="12"/>
  <c r="V321" i="12" s="1"/>
  <c r="W321" i="12" s="1"/>
  <c r="P354" i="11"/>
  <c r="AY350" i="11"/>
  <c r="DF352" i="11"/>
  <c r="BS352" i="11"/>
  <c r="BW352" i="11"/>
  <c r="BF352" i="11"/>
  <c r="BJ352" i="11"/>
  <c r="DJ351" i="11"/>
  <c r="DL351" i="11" s="1"/>
  <c r="AS351" i="11"/>
  <c r="AX351" i="11"/>
  <c r="AY351" i="11" s="1"/>
  <c r="BX351" i="11"/>
  <c r="B322" i="12"/>
  <c r="BW351" i="11"/>
  <c r="BK351" i="11"/>
  <c r="BL351" i="11" s="1"/>
  <c r="AX352" i="11"/>
  <c r="DJ352" i="11"/>
  <c r="CQ353" i="11"/>
  <c r="CY351" i="11"/>
  <c r="AB354" i="11"/>
  <c r="CL351" i="11"/>
  <c r="CD353" i="11"/>
  <c r="CK352" i="11"/>
  <c r="CL352" i="11" s="1"/>
  <c r="AQ353" i="11"/>
  <c r="AR353" i="11" s="1"/>
  <c r="AT353" i="11" s="1"/>
  <c r="BE353" i="11"/>
  <c r="BG353" i="11" s="1"/>
  <c r="CS353" i="11"/>
  <c r="CE354" i="11"/>
  <c r="CG354" i="11" s="1"/>
  <c r="DU354" i="11"/>
  <c r="DV354" i="11"/>
  <c r="DI354" i="11"/>
  <c r="DH354" i="11"/>
  <c r="CV354" i="11"/>
  <c r="CR354" i="11"/>
  <c r="CT354" i="11" s="1"/>
  <c r="CU354" i="11"/>
  <c r="CH354" i="11"/>
  <c r="CI354" i="11"/>
  <c r="BV354" i="11"/>
  <c r="BU354" i="11"/>
  <c r="BH354" i="11"/>
  <c r="BI354" i="11"/>
  <c r="AV354" i="11"/>
  <c r="AH354" i="11"/>
  <c r="AI354" i="11"/>
  <c r="AU354" i="11"/>
  <c r="BR353" i="11"/>
  <c r="BT353" i="11" s="1"/>
  <c r="CW352" i="11"/>
  <c r="CX352" i="11"/>
  <c r="CF353" i="11"/>
  <c r="DE353" i="11"/>
  <c r="DG353" i="11" s="1"/>
  <c r="AM354" i="11"/>
  <c r="CC354" i="11"/>
  <c r="CP354" i="11"/>
  <c r="AP354" i="11"/>
  <c r="AN354" i="11"/>
  <c r="BP354" i="11"/>
  <c r="BN354" i="11"/>
  <c r="X354" i="11"/>
  <c r="BB354" i="11"/>
  <c r="BD354" i="11" s="1"/>
  <c r="BO354" i="11"/>
  <c r="BQ354" i="11" s="1"/>
  <c r="BA354" i="11"/>
  <c r="DC354" i="11"/>
  <c r="AZ354" i="11"/>
  <c r="CB354" i="11"/>
  <c r="DN354" i="11"/>
  <c r="CM354" i="11"/>
  <c r="BZ354" i="11"/>
  <c r="Y354" i="11"/>
  <c r="DP354" i="11"/>
  <c r="DB354" i="11"/>
  <c r="DD354" i="11" s="1"/>
  <c r="AO354" i="11"/>
  <c r="BM354" i="11"/>
  <c r="DM354" i="11"/>
  <c r="DA354" i="11"/>
  <c r="CZ354" i="11"/>
  <c r="W355" i="11"/>
  <c r="CN354" i="11"/>
  <c r="CO354" i="11"/>
  <c r="AA354" i="11"/>
  <c r="BC354" i="11"/>
  <c r="B355" i="11"/>
  <c r="A355" i="11" s="1"/>
  <c r="C356" i="11"/>
  <c r="N321" i="12" l="1"/>
  <c r="M354" i="11"/>
  <c r="M321" i="12"/>
  <c r="L354" i="11"/>
  <c r="EC355" i="11"/>
  <c r="EI355" i="11"/>
  <c r="EH355" i="11"/>
  <c r="EA355" i="11"/>
  <c r="DZ355" i="11"/>
  <c r="A322" i="12"/>
  <c r="N322" i="12" s="1"/>
  <c r="P355" i="11"/>
  <c r="BS353" i="11"/>
  <c r="DF353" i="11"/>
  <c r="BF353" i="11"/>
  <c r="BJ353" i="11"/>
  <c r="DK352" i="11"/>
  <c r="DL352" i="11" s="1"/>
  <c r="BX352" i="11"/>
  <c r="BY352" i="11" s="1"/>
  <c r="BY351" i="11"/>
  <c r="AS352" i="11"/>
  <c r="AW352" i="11"/>
  <c r="AY352" i="11" s="1"/>
  <c r="B323" i="12"/>
  <c r="AW353" i="11"/>
  <c r="BK352" i="11"/>
  <c r="BL352" i="11" s="1"/>
  <c r="AB355" i="11"/>
  <c r="CX354" i="11"/>
  <c r="CQ354" i="11"/>
  <c r="CF354" i="11"/>
  <c r="CD354" i="11"/>
  <c r="AQ354" i="11"/>
  <c r="AR354" i="11" s="1"/>
  <c r="AT354" i="11" s="1"/>
  <c r="BE354" i="11"/>
  <c r="BG354" i="11" s="1"/>
  <c r="CK354" i="11"/>
  <c r="CJ353" i="11"/>
  <c r="CK353" i="11"/>
  <c r="CX353" i="11"/>
  <c r="CW353" i="11"/>
  <c r="CE355" i="11"/>
  <c r="CG355" i="11" s="1"/>
  <c r="DV355" i="11"/>
  <c r="DU355" i="11"/>
  <c r="DH355" i="11"/>
  <c r="DI355" i="11"/>
  <c r="CV355" i="11"/>
  <c r="CR355" i="11"/>
  <c r="CT355" i="11" s="1"/>
  <c r="CU355" i="11"/>
  <c r="CH355" i="11"/>
  <c r="CI355" i="11"/>
  <c r="BU355" i="11"/>
  <c r="BV355" i="11"/>
  <c r="BH355" i="11"/>
  <c r="BI355" i="11"/>
  <c r="AV355" i="11"/>
  <c r="AU355" i="11"/>
  <c r="AH355" i="11"/>
  <c r="AI355" i="11"/>
  <c r="BR354" i="11"/>
  <c r="BT354" i="11" s="1"/>
  <c r="CY352" i="11"/>
  <c r="DE354" i="11"/>
  <c r="DG354" i="11" s="1"/>
  <c r="BP355" i="11"/>
  <c r="Y355" i="11"/>
  <c r="BC355" i="11"/>
  <c r="BN355" i="11"/>
  <c r="BO355" i="11"/>
  <c r="DC355" i="11"/>
  <c r="CM355" i="11"/>
  <c r="DB355" i="11"/>
  <c r="DD355" i="11" s="1"/>
  <c r="AM355" i="11"/>
  <c r="BM355" i="11"/>
  <c r="DM355" i="11"/>
  <c r="X355" i="11"/>
  <c r="AA355" i="11"/>
  <c r="AZ355" i="11"/>
  <c r="BZ355" i="11"/>
  <c r="CP355" i="11"/>
  <c r="DP355" i="11"/>
  <c r="BA355" i="11"/>
  <c r="CN355" i="11"/>
  <c r="BB355" i="11"/>
  <c r="BD355" i="11" s="1"/>
  <c r="CC355" i="11"/>
  <c r="AN355" i="11"/>
  <c r="CZ355" i="11"/>
  <c r="DN355" i="11"/>
  <c r="DA355" i="11"/>
  <c r="CA355" i="11"/>
  <c r="CO355" i="11"/>
  <c r="AO355" i="11"/>
  <c r="AP355" i="11"/>
  <c r="W356" i="11"/>
  <c r="CB355" i="11"/>
  <c r="B356" i="11"/>
  <c r="A356" i="11" s="1"/>
  <c r="C357" i="11"/>
  <c r="V322" i="12" l="1"/>
  <c r="W322" i="12" s="1"/>
  <c r="M322" i="12"/>
  <c r="M355" i="11"/>
  <c r="L355" i="11"/>
  <c r="EA356" i="11"/>
  <c r="EH356" i="11"/>
  <c r="EI356" i="11"/>
  <c r="EC356" i="11"/>
  <c r="DZ356" i="11"/>
  <c r="A323" i="12"/>
  <c r="N323" i="12" s="1"/>
  <c r="P356" i="11"/>
  <c r="BS354" i="11"/>
  <c r="BX354" i="11"/>
  <c r="BF354" i="11"/>
  <c r="DF354" i="11"/>
  <c r="DK354" i="11"/>
  <c r="BK353" i="11"/>
  <c r="BL353" i="11" s="1"/>
  <c r="AX353" i="11"/>
  <c r="AY353" i="11" s="1"/>
  <c r="DJ353" i="11"/>
  <c r="DK353" i="11"/>
  <c r="AS354" i="11"/>
  <c r="BW353" i="11"/>
  <c r="AS353" i="11"/>
  <c r="BX353" i="11"/>
  <c r="B324" i="12"/>
  <c r="BK354" i="11"/>
  <c r="AB356" i="11"/>
  <c r="BQ355" i="11"/>
  <c r="BR355" i="11" s="1"/>
  <c r="BT355" i="11" s="1"/>
  <c r="CJ354" i="11"/>
  <c r="CL354" i="11" s="1"/>
  <c r="CF355" i="11"/>
  <c r="CD355" i="11"/>
  <c r="CW355" i="11"/>
  <c r="CQ355" i="11"/>
  <c r="CY353" i="11"/>
  <c r="CW354" i="11"/>
  <c r="CY354" i="11" s="1"/>
  <c r="CS354" i="11"/>
  <c r="AQ355" i="11"/>
  <c r="AR355" i="11" s="1"/>
  <c r="AT355" i="11" s="1"/>
  <c r="CL353" i="11"/>
  <c r="CE356" i="11"/>
  <c r="CG356" i="11" s="1"/>
  <c r="DV356" i="11"/>
  <c r="DU356" i="11"/>
  <c r="DH356" i="11"/>
  <c r="DI356" i="11"/>
  <c r="CU356" i="11"/>
  <c r="CR356" i="11"/>
  <c r="CT356" i="11" s="1"/>
  <c r="CV356" i="11"/>
  <c r="CH356" i="11"/>
  <c r="CI356" i="11"/>
  <c r="BU356" i="11"/>
  <c r="BV356" i="11"/>
  <c r="BH356" i="11"/>
  <c r="BI356" i="11"/>
  <c r="AU356" i="11"/>
  <c r="AH356" i="11"/>
  <c r="AV356" i="11"/>
  <c r="AI356" i="11"/>
  <c r="BE355" i="11"/>
  <c r="BG355" i="11" s="1"/>
  <c r="DE355" i="11"/>
  <c r="DG355" i="11" s="1"/>
  <c r="BN356" i="11"/>
  <c r="DM356" i="11"/>
  <c r="BP356" i="11"/>
  <c r="BO356" i="11"/>
  <c r="BQ356" i="11" s="1"/>
  <c r="BC356" i="11"/>
  <c r="CC356" i="11"/>
  <c r="DP356" i="11"/>
  <c r="BA356" i="11"/>
  <c r="AZ356" i="11"/>
  <c r="CP356" i="11"/>
  <c r="AO356" i="11"/>
  <c r="BM356" i="11"/>
  <c r="BZ356" i="11"/>
  <c r="CO356" i="11"/>
  <c r="AP356" i="11"/>
  <c r="AM356" i="11"/>
  <c r="X356" i="11"/>
  <c r="DC356" i="11"/>
  <c r="AN356" i="11"/>
  <c r="DA356" i="11"/>
  <c r="BB356" i="11"/>
  <c r="BD356" i="11" s="1"/>
  <c r="CB356" i="11"/>
  <c r="W357" i="11"/>
  <c r="DN356" i="11"/>
  <c r="CN356" i="11"/>
  <c r="AA356" i="11"/>
  <c r="CZ356" i="11"/>
  <c r="CM356" i="11"/>
  <c r="CA356" i="11"/>
  <c r="DB356" i="11"/>
  <c r="DD356" i="11" s="1"/>
  <c r="Y356" i="11"/>
  <c r="B357" i="11"/>
  <c r="A357" i="11" s="1"/>
  <c r="C358" i="11"/>
  <c r="M356" i="11" l="1"/>
  <c r="L356" i="11"/>
  <c r="V323" i="12"/>
  <c r="W323" i="12" s="1"/>
  <c r="M323" i="12"/>
  <c r="DZ357" i="11"/>
  <c r="EI357" i="11"/>
  <c r="EH357" i="11"/>
  <c r="EC357" i="11"/>
  <c r="EA357" i="11"/>
  <c r="A324" i="12"/>
  <c r="N324" i="12" s="1"/>
  <c r="P357" i="11"/>
  <c r="BF355" i="11"/>
  <c r="DF355" i="11"/>
  <c r="BW354" i="11"/>
  <c r="BY354" i="11" s="1"/>
  <c r="BY353" i="11"/>
  <c r="DJ354" i="11"/>
  <c r="DL354" i="11" s="1"/>
  <c r="DL353" i="11"/>
  <c r="AX354" i="11"/>
  <c r="BJ354" i="11"/>
  <c r="BL354" i="11" s="1"/>
  <c r="AW354" i="11"/>
  <c r="BJ355" i="11"/>
  <c r="AW355" i="11"/>
  <c r="B325" i="12"/>
  <c r="CJ355" i="11"/>
  <c r="CK355" i="11"/>
  <c r="BS355" i="11"/>
  <c r="BW355" i="11"/>
  <c r="BX355" i="11"/>
  <c r="AB357" i="11"/>
  <c r="CF356" i="11"/>
  <c r="CD356" i="11"/>
  <c r="CX355" i="11"/>
  <c r="CY355" i="11" s="1"/>
  <c r="CS355" i="11"/>
  <c r="CS356" i="11"/>
  <c r="CQ356" i="11"/>
  <c r="AQ356" i="11"/>
  <c r="AR356" i="11" s="1"/>
  <c r="AT356" i="11" s="1"/>
  <c r="CK356" i="11"/>
  <c r="BE356" i="11"/>
  <c r="BG356" i="11" s="1"/>
  <c r="DE356" i="11"/>
  <c r="DG356" i="11" s="1"/>
  <c r="CE357" i="11"/>
  <c r="CG357" i="11" s="1"/>
  <c r="DU357" i="11"/>
  <c r="DV357" i="11"/>
  <c r="DH357" i="11"/>
  <c r="DI357" i="11"/>
  <c r="CV357" i="11"/>
  <c r="CU357" i="11"/>
  <c r="CR357" i="11"/>
  <c r="CT357" i="11" s="1"/>
  <c r="CH357" i="11"/>
  <c r="CI357" i="11"/>
  <c r="BU357" i="11"/>
  <c r="BV357" i="11"/>
  <c r="BI357" i="11"/>
  <c r="BH357" i="11"/>
  <c r="AU357" i="11"/>
  <c r="AV357" i="11"/>
  <c r="AH357" i="11"/>
  <c r="AI357" i="11"/>
  <c r="BR356" i="11"/>
  <c r="BT356" i="11" s="1"/>
  <c r="BP357" i="11"/>
  <c r="BN357" i="11"/>
  <c r="AA357" i="11"/>
  <c r="BO357" i="11"/>
  <c r="BQ357" i="11" s="1"/>
  <c r="CB357" i="11"/>
  <c r="DC357" i="11"/>
  <c r="AO357" i="11"/>
  <c r="CN357" i="11"/>
  <c r="X357" i="11"/>
  <c r="CP357" i="11"/>
  <c r="AM357" i="11"/>
  <c r="AZ357" i="11"/>
  <c r="Y357" i="11"/>
  <c r="DB357" i="11"/>
  <c r="DD357" i="11" s="1"/>
  <c r="AP357" i="11"/>
  <c r="BA357" i="11"/>
  <c r="CA357" i="11"/>
  <c r="CO357" i="11"/>
  <c r="DN357" i="11"/>
  <c r="BB357" i="11"/>
  <c r="BD357" i="11" s="1"/>
  <c r="BZ357" i="11"/>
  <c r="CM357" i="11"/>
  <c r="CZ357" i="11"/>
  <c r="DA357" i="11"/>
  <c r="DP357" i="11"/>
  <c r="CC357" i="11"/>
  <c r="W358" i="11"/>
  <c r="BC357" i="11"/>
  <c r="AN357" i="11"/>
  <c r="BM357" i="11"/>
  <c r="DM357" i="11"/>
  <c r="B358" i="11"/>
  <c r="A358" i="11" s="1"/>
  <c r="C359" i="11"/>
  <c r="M357" i="11" l="1"/>
  <c r="L357" i="11"/>
  <c r="EH358" i="11"/>
  <c r="EC358" i="11"/>
  <c r="DZ358" i="11"/>
  <c r="EI358" i="11"/>
  <c r="EA358" i="11"/>
  <c r="M324" i="12"/>
  <c r="V324" i="12"/>
  <c r="W324" i="12" s="1"/>
  <c r="A325" i="12"/>
  <c r="V325" i="12" s="1"/>
  <c r="W325" i="12" s="1"/>
  <c r="P358" i="11"/>
  <c r="BS356" i="11"/>
  <c r="DF356" i="11"/>
  <c r="BF356" i="11"/>
  <c r="BJ356" i="11"/>
  <c r="AX355" i="11"/>
  <c r="AY355" i="11" s="1"/>
  <c r="AY354" i="11"/>
  <c r="BK355" i="11"/>
  <c r="BL355" i="11" s="1"/>
  <c r="AA358" i="11"/>
  <c r="BY355" i="11"/>
  <c r="DK355" i="11"/>
  <c r="B326" i="12"/>
  <c r="AW356" i="11"/>
  <c r="DJ355" i="11"/>
  <c r="AS355" i="11"/>
  <c r="BX356" i="11"/>
  <c r="CJ356" i="11"/>
  <c r="CL356" i="11" s="1"/>
  <c r="CL355" i="11"/>
  <c r="CX356" i="11"/>
  <c r="CW356" i="11"/>
  <c r="AB358" i="11"/>
  <c r="BR357" i="11"/>
  <c r="BT357" i="11" s="1"/>
  <c r="CF357" i="11"/>
  <c r="CD357" i="11"/>
  <c r="CS357" i="11"/>
  <c r="CQ357" i="11"/>
  <c r="AQ357" i="11"/>
  <c r="AR357" i="11" s="1"/>
  <c r="AT357" i="11" s="1"/>
  <c r="DJ356" i="11"/>
  <c r="DK356" i="11"/>
  <c r="CE358" i="11"/>
  <c r="CG358" i="11" s="1"/>
  <c r="DU358" i="11"/>
  <c r="DV358" i="11"/>
  <c r="DI358" i="11"/>
  <c r="DH358" i="11"/>
  <c r="CR358" i="11"/>
  <c r="CT358" i="11" s="1"/>
  <c r="CU358" i="11"/>
  <c r="CV358" i="11"/>
  <c r="CH358" i="11"/>
  <c r="CI358" i="11"/>
  <c r="BU358" i="11"/>
  <c r="BV358" i="11"/>
  <c r="BH358" i="11"/>
  <c r="BI358" i="11"/>
  <c r="AU358" i="11"/>
  <c r="AV358" i="11"/>
  <c r="AI358" i="11"/>
  <c r="AH358" i="11"/>
  <c r="BE357" i="11"/>
  <c r="BG357" i="11" s="1"/>
  <c r="DE357" i="11"/>
  <c r="DG357" i="11" s="1"/>
  <c r="BM358" i="11"/>
  <c r="BN358" i="11"/>
  <c r="BP358" i="11"/>
  <c r="CO358" i="11"/>
  <c r="BO358" i="11"/>
  <c r="BQ358" i="11" s="1"/>
  <c r="CA358" i="11"/>
  <c r="AN358" i="11"/>
  <c r="AZ358" i="11"/>
  <c r="DC358" i="11"/>
  <c r="BC358" i="11"/>
  <c r="W359" i="11"/>
  <c r="DN358" i="11"/>
  <c r="AM358" i="11"/>
  <c r="DA358" i="11"/>
  <c r="CC358" i="11"/>
  <c r="AO358" i="11"/>
  <c r="CZ358" i="11"/>
  <c r="BZ358" i="11"/>
  <c r="BA358" i="11"/>
  <c r="CP358" i="11"/>
  <c r="BB358" i="11"/>
  <c r="BD358" i="11" s="1"/>
  <c r="AP358" i="11"/>
  <c r="X358" i="11"/>
  <c r="CM358" i="11"/>
  <c r="DB358" i="11"/>
  <c r="DD358" i="11" s="1"/>
  <c r="CN358" i="11"/>
  <c r="DM358" i="11"/>
  <c r="DP358" i="11"/>
  <c r="Y358" i="11"/>
  <c r="CB358" i="11"/>
  <c r="B359" i="11"/>
  <c r="A359" i="11" s="1"/>
  <c r="C360" i="11"/>
  <c r="N325" i="12" l="1"/>
  <c r="M358" i="11"/>
  <c r="L358" i="11"/>
  <c r="EC359" i="11"/>
  <c r="DZ359" i="11"/>
  <c r="EI359" i="11"/>
  <c r="EH359" i="11"/>
  <c r="EA359" i="11"/>
  <c r="M325" i="12"/>
  <c r="A326" i="12"/>
  <c r="N326" i="12" s="1"/>
  <c r="P359" i="11"/>
  <c r="DF357" i="11"/>
  <c r="BF357" i="11"/>
  <c r="BK357" i="11"/>
  <c r="BS357" i="11"/>
  <c r="BX357" i="11"/>
  <c r="BW356" i="11"/>
  <c r="BY356" i="11" s="1"/>
  <c r="DL355" i="11"/>
  <c r="BK356" i="11"/>
  <c r="BL356" i="11" s="1"/>
  <c r="AX356" i="11"/>
  <c r="AY356" i="11" s="1"/>
  <c r="AW357" i="11"/>
  <c r="B327" i="12"/>
  <c r="AS356" i="11"/>
  <c r="CY356" i="11"/>
  <c r="DL356" i="11"/>
  <c r="CK357" i="11"/>
  <c r="CX357" i="11"/>
  <c r="AB359" i="11"/>
  <c r="CJ357" i="11"/>
  <c r="CQ358" i="11"/>
  <c r="CF358" i="11"/>
  <c r="CD358" i="11"/>
  <c r="CW357" i="11"/>
  <c r="AQ358" i="11"/>
  <c r="AR358" i="11" s="1"/>
  <c r="AT358" i="11" s="1"/>
  <c r="BE358" i="11"/>
  <c r="BG358" i="11" s="1"/>
  <c r="DE358" i="11"/>
  <c r="DG358" i="11" s="1"/>
  <c r="CS358" i="11"/>
  <c r="DC359" i="11"/>
  <c r="CE359" i="11"/>
  <c r="CG359" i="11" s="1"/>
  <c r="DV359" i="11"/>
  <c r="DU359" i="11"/>
  <c r="DH359" i="11"/>
  <c r="CR359" i="11"/>
  <c r="CT359" i="11" s="1"/>
  <c r="DI359" i="11"/>
  <c r="CU359" i="11"/>
  <c r="CV359" i="11"/>
  <c r="CH359" i="11"/>
  <c r="CI359" i="11"/>
  <c r="BU359" i="11"/>
  <c r="BV359" i="11"/>
  <c r="BH359" i="11"/>
  <c r="BI359" i="11"/>
  <c r="AU359" i="11"/>
  <c r="AH359" i="11"/>
  <c r="AI359" i="11"/>
  <c r="AV359" i="11"/>
  <c r="BR358" i="11"/>
  <c r="BT358" i="11" s="1"/>
  <c r="DM359" i="11"/>
  <c r="DP359" i="11"/>
  <c r="AP359" i="11"/>
  <c r="CC359" i="11"/>
  <c r="AN359" i="11"/>
  <c r="CP359" i="11"/>
  <c r="DA359" i="11"/>
  <c r="CN359" i="11"/>
  <c r="BA359" i="11"/>
  <c r="AM359" i="11"/>
  <c r="AZ359" i="11"/>
  <c r="BP359" i="11"/>
  <c r="BZ359" i="11"/>
  <c r="CM359" i="11"/>
  <c r="CZ359" i="11"/>
  <c r="BN359" i="11"/>
  <c r="DN359" i="11"/>
  <c r="Y359" i="11"/>
  <c r="X359" i="11"/>
  <c r="CA359" i="11"/>
  <c r="DB359" i="11"/>
  <c r="DD359" i="11" s="1"/>
  <c r="CB359" i="11"/>
  <c r="BB359" i="11"/>
  <c r="BD359" i="11" s="1"/>
  <c r="AO359" i="11"/>
  <c r="BO359" i="11"/>
  <c r="BQ359" i="11" s="1"/>
  <c r="BC359" i="11"/>
  <c r="AA359" i="11"/>
  <c r="W360" i="11"/>
  <c r="CO359" i="11"/>
  <c r="BM359" i="11"/>
  <c r="B360" i="11"/>
  <c r="A360" i="11" s="1"/>
  <c r="C361" i="11"/>
  <c r="M359" i="11" l="1"/>
  <c r="L359" i="11"/>
  <c r="DZ360" i="11"/>
  <c r="EA360" i="11"/>
  <c r="EI360" i="11"/>
  <c r="EH360" i="11"/>
  <c r="EC360" i="11"/>
  <c r="M326" i="12"/>
  <c r="V326" i="12"/>
  <c r="W326" i="12" s="1"/>
  <c r="A327" i="12"/>
  <c r="N327" i="12" s="1"/>
  <c r="P360" i="11"/>
  <c r="DF358" i="11"/>
  <c r="BS358" i="11"/>
  <c r="BF358" i="11"/>
  <c r="AX357" i="11"/>
  <c r="AY357" i="11" s="1"/>
  <c r="AS357" i="11"/>
  <c r="BJ357" i="11"/>
  <c r="BL357" i="11" s="1"/>
  <c r="AS358" i="11"/>
  <c r="B328" i="12"/>
  <c r="DJ357" i="11"/>
  <c r="BJ358" i="11"/>
  <c r="DK357" i="11"/>
  <c r="BW357" i="11"/>
  <c r="BY357" i="11" s="1"/>
  <c r="CY357" i="11"/>
  <c r="CK358" i="11"/>
  <c r="CL357" i="11"/>
  <c r="AB360" i="11"/>
  <c r="CJ358" i="11"/>
  <c r="CF359" i="11"/>
  <c r="CD359" i="11"/>
  <c r="CS359" i="11"/>
  <c r="CQ359" i="11"/>
  <c r="AQ359" i="11"/>
  <c r="AR359" i="11" s="1"/>
  <c r="AT359" i="11" s="1"/>
  <c r="DK358" i="11"/>
  <c r="DJ358" i="11"/>
  <c r="CX359" i="11"/>
  <c r="CW358" i="11"/>
  <c r="CX358" i="11"/>
  <c r="CE360" i="11"/>
  <c r="CG360" i="11" s="1"/>
  <c r="DU360" i="11"/>
  <c r="DV360" i="11"/>
  <c r="DH360" i="11"/>
  <c r="DI360" i="11"/>
  <c r="CV360" i="11"/>
  <c r="CR360" i="11"/>
  <c r="CT360" i="11" s="1"/>
  <c r="CU360" i="11"/>
  <c r="CH360" i="11"/>
  <c r="CI360" i="11"/>
  <c r="BV360" i="11"/>
  <c r="BU360" i="11"/>
  <c r="BH360" i="11"/>
  <c r="BI360" i="11"/>
  <c r="AU360" i="11"/>
  <c r="AV360" i="11"/>
  <c r="AH360" i="11"/>
  <c r="AI360" i="11"/>
  <c r="DE359" i="11"/>
  <c r="DG359" i="11" s="1"/>
  <c r="BR359" i="11"/>
  <c r="BT359" i="11" s="1"/>
  <c r="BE359" i="11"/>
  <c r="BG359" i="11" s="1"/>
  <c r="BN360" i="11"/>
  <c r="CM360" i="11"/>
  <c r="BP360" i="11"/>
  <c r="BO360" i="11"/>
  <c r="BQ360" i="11" s="1"/>
  <c r="AZ360" i="11"/>
  <c r="AO360" i="11"/>
  <c r="DP360" i="11"/>
  <c r="CO360" i="11"/>
  <c r="BB360" i="11"/>
  <c r="BD360" i="11" s="1"/>
  <c r="CA360" i="11"/>
  <c r="X360" i="11"/>
  <c r="DA360" i="11"/>
  <c r="CP360" i="11"/>
  <c r="DN360" i="11"/>
  <c r="DM360" i="11"/>
  <c r="BA360" i="11"/>
  <c r="AN360" i="11"/>
  <c r="CZ360" i="11"/>
  <c r="BM360" i="11"/>
  <c r="Y360" i="11"/>
  <c r="DB360" i="11"/>
  <c r="DD360" i="11" s="1"/>
  <c r="CN360" i="11"/>
  <c r="BC360" i="11"/>
  <c r="DC360" i="11"/>
  <c r="AA360" i="11"/>
  <c r="CB360" i="11"/>
  <c r="CC360" i="11"/>
  <c r="W361" i="11"/>
  <c r="BZ360" i="11"/>
  <c r="AP360" i="11"/>
  <c r="AM360" i="11"/>
  <c r="B361" i="11"/>
  <c r="A361" i="11" s="1"/>
  <c r="C362" i="11"/>
  <c r="M360" i="11" l="1"/>
  <c r="L360" i="11"/>
  <c r="EI361" i="11"/>
  <c r="DZ361" i="11"/>
  <c r="EA361" i="11"/>
  <c r="EH361" i="11"/>
  <c r="EC361" i="11"/>
  <c r="M327" i="12"/>
  <c r="V327" i="12"/>
  <c r="W327" i="12" s="1"/>
  <c r="A328" i="12"/>
  <c r="N328" i="12" s="1"/>
  <c r="P361" i="11"/>
  <c r="BF359" i="11"/>
  <c r="BS359" i="11"/>
  <c r="DF359" i="11"/>
  <c r="DJ359" i="11"/>
  <c r="BK358" i="11"/>
  <c r="BL358" i="11" s="1"/>
  <c r="AX358" i="11"/>
  <c r="DL357" i="11"/>
  <c r="AW358" i="11"/>
  <c r="B329" i="12"/>
  <c r="AX359" i="11"/>
  <c r="BW358" i="11"/>
  <c r="BX358" i="11"/>
  <c r="CL358" i="11"/>
  <c r="CQ360" i="11"/>
  <c r="CK359" i="11"/>
  <c r="CJ359" i="11"/>
  <c r="AB361" i="11"/>
  <c r="CW359" i="11"/>
  <c r="CY359" i="11" s="1"/>
  <c r="DL358" i="11"/>
  <c r="CF360" i="11"/>
  <c r="CD360" i="11"/>
  <c r="AQ360" i="11"/>
  <c r="AR360" i="11" s="1"/>
  <c r="AT360" i="11" s="1"/>
  <c r="CY358" i="11"/>
  <c r="BR360" i="11"/>
  <c r="BT360" i="11" s="1"/>
  <c r="DE360" i="11"/>
  <c r="DG360" i="11" s="1"/>
  <c r="CE361" i="11"/>
  <c r="CG361" i="11" s="1"/>
  <c r="DV361" i="11"/>
  <c r="DU361" i="11"/>
  <c r="DH361" i="11"/>
  <c r="DI361" i="11"/>
  <c r="CR361" i="11"/>
  <c r="CT361" i="11" s="1"/>
  <c r="CU361" i="11"/>
  <c r="CV361" i="11"/>
  <c r="CH361" i="11"/>
  <c r="CI361" i="11"/>
  <c r="BU361" i="11"/>
  <c r="BV361" i="11"/>
  <c r="BI361" i="11"/>
  <c r="BH361" i="11"/>
  <c r="AU361" i="11"/>
  <c r="AV361" i="11"/>
  <c r="AH361" i="11"/>
  <c r="AI361" i="11"/>
  <c r="BE360" i="11"/>
  <c r="BG360" i="11" s="1"/>
  <c r="CS360" i="11"/>
  <c r="BN361" i="11"/>
  <c r="AM361" i="11"/>
  <c r="AO361" i="11"/>
  <c r="BP361" i="11"/>
  <c r="CB361" i="11"/>
  <c r="BO361" i="11"/>
  <c r="BQ361" i="11" s="1"/>
  <c r="BR361" i="11" s="1"/>
  <c r="BM361" i="11"/>
  <c r="AP361" i="11"/>
  <c r="CC361" i="11"/>
  <c r="CZ361" i="11"/>
  <c r="CA361" i="11"/>
  <c r="BZ361" i="11"/>
  <c r="AZ361" i="11"/>
  <c r="AN361" i="11"/>
  <c r="AA361" i="11"/>
  <c r="BA361" i="11"/>
  <c r="DC361" i="11"/>
  <c r="X361" i="11"/>
  <c r="BB361" i="11"/>
  <c r="BD361" i="11" s="1"/>
  <c r="DM361" i="11"/>
  <c r="CN361" i="11"/>
  <c r="DN361" i="11"/>
  <c r="Y361" i="11"/>
  <c r="DA361" i="11"/>
  <c r="CO361" i="11"/>
  <c r="W362" i="11"/>
  <c r="DP361" i="11"/>
  <c r="BC361" i="11"/>
  <c r="DB361" i="11"/>
  <c r="DD361" i="11" s="1"/>
  <c r="CP361" i="11"/>
  <c r="CM361" i="11"/>
  <c r="B362" i="11"/>
  <c r="A362" i="11" s="1"/>
  <c r="C363" i="11"/>
  <c r="BT361" i="11" l="1"/>
  <c r="BW361" i="11" s="1"/>
  <c r="M361" i="11"/>
  <c r="L361" i="11"/>
  <c r="M328" i="12"/>
  <c r="V328" i="12"/>
  <c r="W328" i="12" s="1"/>
  <c r="EI362" i="11"/>
  <c r="EC362" i="11"/>
  <c r="EA362" i="11"/>
  <c r="DZ362" i="11"/>
  <c r="EH362" i="11"/>
  <c r="A329" i="12"/>
  <c r="V329" i="12" s="1"/>
  <c r="W329" i="12" s="1"/>
  <c r="P362" i="11"/>
  <c r="BF360" i="11"/>
  <c r="DF360" i="11"/>
  <c r="BS360" i="11"/>
  <c r="DK359" i="11"/>
  <c r="DL359" i="11" s="1"/>
  <c r="AY358" i="11"/>
  <c r="BY358" i="11"/>
  <c r="BJ359" i="11"/>
  <c r="BK359" i="11"/>
  <c r="AW360" i="11"/>
  <c r="BW359" i="11"/>
  <c r="BX359" i="11"/>
  <c r="AS359" i="11"/>
  <c r="B330" i="12"/>
  <c r="AW359" i="11"/>
  <c r="AY359" i="11" s="1"/>
  <c r="CL359" i="11"/>
  <c r="CJ360" i="11"/>
  <c r="AB362" i="11"/>
  <c r="CD361" i="11"/>
  <c r="CK360" i="11"/>
  <c r="CS361" i="11"/>
  <c r="CQ361" i="11"/>
  <c r="BS361" i="11"/>
  <c r="AQ361" i="11"/>
  <c r="AR361" i="11" s="1"/>
  <c r="AT361" i="11" s="1"/>
  <c r="DE361" i="11"/>
  <c r="DG361" i="11" s="1"/>
  <c r="BJ360" i="11"/>
  <c r="BK360" i="11"/>
  <c r="AX360" i="11"/>
  <c r="CF361" i="11"/>
  <c r="BX360" i="11"/>
  <c r="BW360" i="11"/>
  <c r="CX360" i="11"/>
  <c r="CW360" i="11"/>
  <c r="CE362" i="11"/>
  <c r="CG362" i="11" s="1"/>
  <c r="DU362" i="11"/>
  <c r="DV362" i="11"/>
  <c r="DI362" i="11"/>
  <c r="DH362" i="11"/>
  <c r="CR362" i="11"/>
  <c r="CT362" i="11" s="1"/>
  <c r="CU362" i="11"/>
  <c r="CV362" i="11"/>
  <c r="CH362" i="11"/>
  <c r="CI362" i="11"/>
  <c r="BU362" i="11"/>
  <c r="BV362" i="11"/>
  <c r="BH362" i="11"/>
  <c r="BI362" i="11"/>
  <c r="AU362" i="11"/>
  <c r="AV362" i="11"/>
  <c r="AI362" i="11"/>
  <c r="AH362" i="11"/>
  <c r="BE361" i="11"/>
  <c r="BG361" i="11" s="1"/>
  <c r="CZ362" i="11"/>
  <c r="BP362" i="11"/>
  <c r="BN362" i="11"/>
  <c r="BO362" i="11"/>
  <c r="BQ362" i="11" s="1"/>
  <c r="CM362" i="11"/>
  <c r="CN362" i="11"/>
  <c r="CO362" i="11"/>
  <c r="CP362" i="11"/>
  <c r="DC362" i="11"/>
  <c r="BZ362" i="11"/>
  <c r="DB362" i="11"/>
  <c r="DD362" i="11" s="1"/>
  <c r="BC362" i="11"/>
  <c r="CB362" i="11"/>
  <c r="AP362" i="11"/>
  <c r="BB362" i="11"/>
  <c r="BD362" i="11" s="1"/>
  <c r="DM362" i="11"/>
  <c r="BA362" i="11"/>
  <c r="AO362" i="11"/>
  <c r="AA362" i="11"/>
  <c r="X362" i="11"/>
  <c r="BM362" i="11"/>
  <c r="CA362" i="11"/>
  <c r="AM362" i="11"/>
  <c r="DP362" i="11"/>
  <c r="AN362" i="11"/>
  <c r="DA362" i="11"/>
  <c r="W363" i="11"/>
  <c r="DN362" i="11"/>
  <c r="CC362" i="11"/>
  <c r="AZ362" i="11"/>
  <c r="Y362" i="11"/>
  <c r="B363" i="11"/>
  <c r="A363" i="11" s="1"/>
  <c r="C364" i="11"/>
  <c r="CL360" i="11" l="1"/>
  <c r="L362" i="11"/>
  <c r="N329" i="12"/>
  <c r="M362" i="11"/>
  <c r="M329" i="12"/>
  <c r="EH363" i="11"/>
  <c r="EI363" i="11"/>
  <c r="EC363" i="11"/>
  <c r="EA363" i="11"/>
  <c r="DZ363" i="11"/>
  <c r="A330" i="12"/>
  <c r="N330" i="12" s="1"/>
  <c r="P363" i="11"/>
  <c r="BF361" i="11"/>
  <c r="BY359" i="11"/>
  <c r="BX361" i="11"/>
  <c r="BY361" i="11" s="1"/>
  <c r="AS360" i="11"/>
  <c r="DJ361" i="11"/>
  <c r="BL359" i="11"/>
  <c r="DK360" i="11"/>
  <c r="DJ360" i="11"/>
  <c r="AX361" i="11"/>
  <c r="B331" i="12"/>
  <c r="BK361" i="11"/>
  <c r="CC363" i="11"/>
  <c r="BL360" i="11"/>
  <c r="AB363" i="11"/>
  <c r="CW361" i="11"/>
  <c r="CX361" i="11"/>
  <c r="DF361" i="11"/>
  <c r="CF362" i="11"/>
  <c r="CD362" i="11"/>
  <c r="CS362" i="11"/>
  <c r="CQ362" i="11"/>
  <c r="AY360" i="11"/>
  <c r="AQ362" i="11"/>
  <c r="AR362" i="11" s="1"/>
  <c r="AT362" i="11" s="1"/>
  <c r="BY360" i="11"/>
  <c r="CK361" i="11"/>
  <c r="CJ361" i="11"/>
  <c r="CE363" i="11"/>
  <c r="CG363" i="11" s="1"/>
  <c r="DV363" i="11"/>
  <c r="DU363" i="11"/>
  <c r="DH363" i="11"/>
  <c r="DI363" i="11"/>
  <c r="CR363" i="11"/>
  <c r="CT363" i="11" s="1"/>
  <c r="CV363" i="11"/>
  <c r="CU363" i="11"/>
  <c r="CH363" i="11"/>
  <c r="CI363" i="11"/>
  <c r="BU363" i="11"/>
  <c r="BV363" i="11"/>
  <c r="BH363" i="11"/>
  <c r="BI363" i="11"/>
  <c r="AU363" i="11"/>
  <c r="AV363" i="11"/>
  <c r="AH363" i="11"/>
  <c r="AI363" i="11"/>
  <c r="BE362" i="11"/>
  <c r="BG362" i="11" s="1"/>
  <c r="DE362" i="11"/>
  <c r="DG362" i="11" s="1"/>
  <c r="BR362" i="11"/>
  <c r="BT362" i="11" s="1"/>
  <c r="CY360" i="11"/>
  <c r="BP363" i="11"/>
  <c r="DC363" i="11"/>
  <c r="BN363" i="11"/>
  <c r="BO363" i="11"/>
  <c r="BQ363" i="11" s="1"/>
  <c r="AP363" i="11"/>
  <c r="Y363" i="11"/>
  <c r="AZ363" i="11"/>
  <c r="AA363" i="11"/>
  <c r="CA363" i="11"/>
  <c r="CB363" i="11"/>
  <c r="CN363" i="11"/>
  <c r="AO363" i="11"/>
  <c r="CM363" i="11"/>
  <c r="BA363" i="11"/>
  <c r="DM363" i="11"/>
  <c r="DA363" i="11"/>
  <c r="DB363" i="11"/>
  <c r="DD363" i="11" s="1"/>
  <c r="AN363" i="11"/>
  <c r="DP363" i="11"/>
  <c r="BM363" i="11"/>
  <c r="DN363" i="11"/>
  <c r="BC363" i="11"/>
  <c r="X363" i="11"/>
  <c r="W364" i="11"/>
  <c r="BB363" i="11"/>
  <c r="BD363" i="11" s="1"/>
  <c r="BZ363" i="11"/>
  <c r="CO363" i="11"/>
  <c r="AM363" i="11"/>
  <c r="CP363" i="11"/>
  <c r="CZ363" i="11"/>
  <c r="B364" i="11"/>
  <c r="A364" i="11" s="1"/>
  <c r="C365" i="11"/>
  <c r="V330" i="12" l="1"/>
  <c r="W330" i="12" s="1"/>
  <c r="M363" i="11"/>
  <c r="L363" i="11"/>
  <c r="M330" i="12"/>
  <c r="DZ364" i="11"/>
  <c r="EI364" i="11"/>
  <c r="EC364" i="11"/>
  <c r="EH364" i="11"/>
  <c r="EA364" i="11"/>
  <c r="A331" i="12"/>
  <c r="N331" i="12" s="1"/>
  <c r="P364" i="11"/>
  <c r="DF362" i="11"/>
  <c r="BF362" i="11"/>
  <c r="DK361" i="11"/>
  <c r="DL361" i="11" s="1"/>
  <c r="BJ361" i="11"/>
  <c r="BL361" i="11" s="1"/>
  <c r="DL360" i="11"/>
  <c r="AS362" i="11"/>
  <c r="BS362" i="11"/>
  <c r="BW362" i="11"/>
  <c r="AW361" i="11"/>
  <c r="AY361" i="11" s="1"/>
  <c r="DK362" i="11"/>
  <c r="B332" i="12"/>
  <c r="AS361" i="11"/>
  <c r="CK362" i="11"/>
  <c r="CJ362" i="11"/>
  <c r="CY361" i="11"/>
  <c r="AB364" i="11"/>
  <c r="CX362" i="11"/>
  <c r="BR363" i="11"/>
  <c r="BT363" i="11" s="1"/>
  <c r="CF363" i="11"/>
  <c r="CD363" i="11"/>
  <c r="CW362" i="11"/>
  <c r="CQ363" i="11"/>
  <c r="CL361" i="11"/>
  <c r="AQ363" i="11"/>
  <c r="AR363" i="11" s="1"/>
  <c r="AT363" i="11" s="1"/>
  <c r="CE364" i="11"/>
  <c r="CG364" i="11" s="1"/>
  <c r="DV364" i="11"/>
  <c r="DU364" i="11"/>
  <c r="DH364" i="11"/>
  <c r="DI364" i="11"/>
  <c r="CV364" i="11"/>
  <c r="CR364" i="11"/>
  <c r="CT364" i="11" s="1"/>
  <c r="CU364" i="11"/>
  <c r="CI364" i="11"/>
  <c r="CH364" i="11"/>
  <c r="BU364" i="11"/>
  <c r="BV364" i="11"/>
  <c r="BI364" i="11"/>
  <c r="BH364" i="11"/>
  <c r="AV364" i="11"/>
  <c r="AH364" i="11"/>
  <c r="AU364" i="11"/>
  <c r="AI364" i="11"/>
  <c r="DE363" i="11"/>
  <c r="DG363" i="11" s="1"/>
  <c r="CZ364" i="11"/>
  <c r="BE363" i="11"/>
  <c r="BG363" i="11" s="1"/>
  <c r="BC364" i="11"/>
  <c r="AM364" i="11"/>
  <c r="CP364" i="11"/>
  <c r="DM364" i="11"/>
  <c r="BN364" i="11"/>
  <c r="BP364" i="11"/>
  <c r="AO364" i="11"/>
  <c r="CO364" i="11"/>
  <c r="CB364" i="11"/>
  <c r="BO364" i="11"/>
  <c r="BQ364" i="11" s="1"/>
  <c r="BM364" i="11"/>
  <c r="DP364" i="11"/>
  <c r="BA364" i="11"/>
  <c r="AA364" i="11"/>
  <c r="X364" i="11"/>
  <c r="AN364" i="11"/>
  <c r="CN364" i="11"/>
  <c r="DN364" i="11"/>
  <c r="AZ364" i="11"/>
  <c r="Y364" i="11"/>
  <c r="DA364" i="11"/>
  <c r="BB364" i="11"/>
  <c r="BD364" i="11" s="1"/>
  <c r="CC364" i="11"/>
  <c r="AP364" i="11"/>
  <c r="CA364" i="11"/>
  <c r="CM364" i="11"/>
  <c r="DB364" i="11"/>
  <c r="DD364" i="11" s="1"/>
  <c r="BZ364" i="11"/>
  <c r="W365" i="11"/>
  <c r="DC364" i="11"/>
  <c r="B365" i="11"/>
  <c r="A365" i="11" s="1"/>
  <c r="C366" i="11"/>
  <c r="M364" i="11" l="1"/>
  <c r="L364" i="11"/>
  <c r="EI365" i="11"/>
  <c r="EH365" i="11"/>
  <c r="EC365" i="11"/>
  <c r="EA365" i="11"/>
  <c r="DZ365" i="11"/>
  <c r="M331" i="12"/>
  <c r="V331" i="12"/>
  <c r="W331" i="12" s="1"/>
  <c r="A332" i="12"/>
  <c r="V332" i="12" s="1"/>
  <c r="W332" i="12" s="1"/>
  <c r="P365" i="11"/>
  <c r="DF363" i="11"/>
  <c r="BF363" i="11"/>
  <c r="BJ363" i="11"/>
  <c r="BS363" i="11"/>
  <c r="BX363" i="11"/>
  <c r="DJ362" i="11"/>
  <c r="DL362" i="11" s="1"/>
  <c r="AW362" i="11"/>
  <c r="AX362" i="11"/>
  <c r="BJ362" i="11"/>
  <c r="B333" i="12"/>
  <c r="BK362" i="11"/>
  <c r="AS363" i="11"/>
  <c r="DJ363" i="11"/>
  <c r="BX362" i="11"/>
  <c r="BY362" i="11" s="1"/>
  <c r="CL362" i="11"/>
  <c r="CK363" i="11"/>
  <c r="CJ363" i="11"/>
  <c r="AB365" i="11"/>
  <c r="CY362" i="11"/>
  <c r="CW363" i="11"/>
  <c r="CS363" i="11"/>
  <c r="CX363" i="11"/>
  <c r="CQ364" i="11"/>
  <c r="CF364" i="11"/>
  <c r="CD364" i="11"/>
  <c r="AQ364" i="11"/>
  <c r="AR364" i="11" s="1"/>
  <c r="AT364" i="11" s="1"/>
  <c r="BE364" i="11"/>
  <c r="BG364" i="11" s="1"/>
  <c r="BR364" i="11"/>
  <c r="BT364" i="11" s="1"/>
  <c r="CE365" i="11"/>
  <c r="CG365" i="11" s="1"/>
  <c r="DU365" i="11"/>
  <c r="DV365" i="11"/>
  <c r="DI365" i="11"/>
  <c r="DH365" i="11"/>
  <c r="CR365" i="11"/>
  <c r="CT365" i="11" s="1"/>
  <c r="CU365" i="11"/>
  <c r="CV365" i="11"/>
  <c r="CH365" i="11"/>
  <c r="CI365" i="11"/>
  <c r="BU365" i="11"/>
  <c r="BV365" i="11"/>
  <c r="BH365" i="11"/>
  <c r="BI365" i="11"/>
  <c r="AU365" i="11"/>
  <c r="AV365" i="11"/>
  <c r="AH365" i="11"/>
  <c r="AI365" i="11"/>
  <c r="DE364" i="11"/>
  <c r="DG364" i="11" s="1"/>
  <c r="DC365" i="11"/>
  <c r="BP365" i="11"/>
  <c r="BN365" i="11"/>
  <c r="CZ365" i="11"/>
  <c r="BO365" i="11"/>
  <c r="BQ365" i="11" s="1"/>
  <c r="BR365" i="11" s="1"/>
  <c r="CB365" i="11"/>
  <c r="CM365" i="11"/>
  <c r="CO365" i="11"/>
  <c r="DA365" i="11"/>
  <c r="Y365" i="11"/>
  <c r="AA365" i="11"/>
  <c r="AN365" i="11"/>
  <c r="AP365" i="11"/>
  <c r="AO365" i="11"/>
  <c r="AM365" i="11"/>
  <c r="X365" i="11"/>
  <c r="CA365" i="11"/>
  <c r="BM365" i="11"/>
  <c r="BZ365" i="11"/>
  <c r="DN365" i="11"/>
  <c r="BA365" i="11"/>
  <c r="AZ365" i="11"/>
  <c r="DB365" i="11"/>
  <c r="DD365" i="11" s="1"/>
  <c r="CC365" i="11"/>
  <c r="BC365" i="11"/>
  <c r="CP365" i="11"/>
  <c r="W366" i="11"/>
  <c r="DP365" i="11"/>
  <c r="CN365" i="11"/>
  <c r="BB365" i="11"/>
  <c r="BD365" i="11" s="1"/>
  <c r="DM365" i="11"/>
  <c r="B366" i="11"/>
  <c r="A366" i="11" s="1"/>
  <c r="C367" i="11"/>
  <c r="BT365" i="11" l="1"/>
  <c r="BX365" i="11" s="1"/>
  <c r="M332" i="12"/>
  <c r="L365" i="11"/>
  <c r="N332" i="12"/>
  <c r="M365" i="11"/>
  <c r="EI366" i="11"/>
  <c r="EH366" i="11"/>
  <c r="EA366" i="11"/>
  <c r="EC366" i="11"/>
  <c r="DZ366" i="11"/>
  <c r="A333" i="12"/>
  <c r="N333" i="12" s="1"/>
  <c r="P366" i="11"/>
  <c r="BW363" i="11"/>
  <c r="BY363" i="11" s="1"/>
  <c r="BF364" i="11"/>
  <c r="BK364" i="11"/>
  <c r="DF364" i="11"/>
  <c r="DK364" i="11"/>
  <c r="BS364" i="11"/>
  <c r="BK363" i="11"/>
  <c r="BL363" i="11" s="1"/>
  <c r="BL362" i="11"/>
  <c r="DK363" i="11"/>
  <c r="DL363" i="11" s="1"/>
  <c r="AW363" i="11"/>
  <c r="AX363" i="11"/>
  <c r="AY362" i="11"/>
  <c r="B334" i="12"/>
  <c r="AX364" i="11"/>
  <c r="CL363" i="11"/>
  <c r="CK364" i="11"/>
  <c r="CJ364" i="11"/>
  <c r="AB366" i="11"/>
  <c r="BS365" i="11"/>
  <c r="CS365" i="11"/>
  <c r="CQ365" i="11"/>
  <c r="CX364" i="11"/>
  <c r="CS364" i="11"/>
  <c r="CF365" i="11"/>
  <c r="CD365" i="11"/>
  <c r="CW364" i="11"/>
  <c r="CY363" i="11"/>
  <c r="AQ365" i="11"/>
  <c r="AR365" i="11" s="1"/>
  <c r="AT365" i="11" s="1"/>
  <c r="DE365" i="11"/>
  <c r="DG365" i="11" s="1"/>
  <c r="BE365" i="11"/>
  <c r="BG365" i="11" s="1"/>
  <c r="CE366" i="11"/>
  <c r="CG366" i="11" s="1"/>
  <c r="DU366" i="11"/>
  <c r="DV366" i="11"/>
  <c r="DI366" i="11"/>
  <c r="DH366" i="11"/>
  <c r="CU366" i="11"/>
  <c r="CR366" i="11"/>
  <c r="CT366" i="11" s="1"/>
  <c r="CV366" i="11"/>
  <c r="CH366" i="11"/>
  <c r="CI366" i="11"/>
  <c r="BU366" i="11"/>
  <c r="BV366" i="11"/>
  <c r="BI366" i="11"/>
  <c r="BH366" i="11"/>
  <c r="AU366" i="11"/>
  <c r="AV366" i="11"/>
  <c r="AH366" i="11"/>
  <c r="AI366" i="11"/>
  <c r="DC366" i="11"/>
  <c r="BN366" i="11"/>
  <c r="BP366" i="11"/>
  <c r="BO366" i="11"/>
  <c r="BQ366" i="11" s="1"/>
  <c r="CB366" i="11"/>
  <c r="AO366" i="11"/>
  <c r="AN366" i="11"/>
  <c r="BA366" i="11"/>
  <c r="BB366" i="11"/>
  <c r="BD366" i="11" s="1"/>
  <c r="CN366" i="11"/>
  <c r="BZ366" i="11"/>
  <c r="DM366" i="11"/>
  <c r="BC366" i="11"/>
  <c r="CP366" i="11"/>
  <c r="DP366" i="11"/>
  <c r="X366" i="11"/>
  <c r="CO366" i="11"/>
  <c r="AM366" i="11"/>
  <c r="AP366" i="11"/>
  <c r="DN366" i="11"/>
  <c r="AA366" i="11"/>
  <c r="DA366" i="11"/>
  <c r="CC366" i="11"/>
  <c r="BM366" i="11"/>
  <c r="Y366" i="11"/>
  <c r="DB366" i="11"/>
  <c r="DD366" i="11" s="1"/>
  <c r="W367" i="11"/>
  <c r="CA366" i="11"/>
  <c r="AZ366" i="11"/>
  <c r="CM366" i="11"/>
  <c r="CZ366" i="11"/>
  <c r="B367" i="11"/>
  <c r="A367" i="11" s="1"/>
  <c r="C368" i="11"/>
  <c r="M366" i="11" l="1"/>
  <c r="L366" i="11"/>
  <c r="EH367" i="11"/>
  <c r="EA367" i="11"/>
  <c r="DZ367" i="11"/>
  <c r="EI367" i="11"/>
  <c r="EC367" i="11"/>
  <c r="M333" i="12"/>
  <c r="V333" i="12"/>
  <c r="W333" i="12" s="1"/>
  <c r="A334" i="12"/>
  <c r="N334" i="12" s="1"/>
  <c r="P367" i="11"/>
  <c r="DJ364" i="11"/>
  <c r="DL364" i="11" s="1"/>
  <c r="BF365" i="11"/>
  <c r="DF365" i="11"/>
  <c r="AY363" i="11"/>
  <c r="AS364" i="11"/>
  <c r="AW364" i="11"/>
  <c r="AY364" i="11" s="1"/>
  <c r="BJ364" i="11"/>
  <c r="BL364" i="11" s="1"/>
  <c r="B335" i="12"/>
  <c r="BK365" i="11"/>
  <c r="BW365" i="11"/>
  <c r="BY365" i="11" s="1"/>
  <c r="BW364" i="11"/>
  <c r="BX364" i="11"/>
  <c r="AW365" i="11"/>
  <c r="CY364" i="11"/>
  <c r="CX365" i="11"/>
  <c r="CW365" i="11"/>
  <c r="AB367" i="11"/>
  <c r="CK365" i="11"/>
  <c r="CL364" i="11"/>
  <c r="CJ366" i="11"/>
  <c r="CD366" i="11"/>
  <c r="CJ365" i="11"/>
  <c r="CS366" i="11"/>
  <c r="CQ366" i="11"/>
  <c r="AQ366" i="11"/>
  <c r="AR366" i="11" s="1"/>
  <c r="AT366" i="11" s="1"/>
  <c r="DE366" i="11"/>
  <c r="DG366" i="11" s="1"/>
  <c r="BE366" i="11"/>
  <c r="BG366" i="11" s="1"/>
  <c r="CE367" i="11"/>
  <c r="CG367" i="11" s="1"/>
  <c r="DV367" i="11"/>
  <c r="DU367" i="11"/>
  <c r="DH367" i="11"/>
  <c r="DI367" i="11"/>
  <c r="CU367" i="11"/>
  <c r="CV367" i="11"/>
  <c r="CR367" i="11"/>
  <c r="CT367" i="11" s="1"/>
  <c r="CH367" i="11"/>
  <c r="CI367" i="11"/>
  <c r="BU367" i="11"/>
  <c r="BV367" i="11"/>
  <c r="BH367" i="11"/>
  <c r="BI367" i="11"/>
  <c r="AV367" i="11"/>
  <c r="AH367" i="11"/>
  <c r="AI367" i="11"/>
  <c r="AU367" i="11"/>
  <c r="BR366" i="11"/>
  <c r="BT366" i="11" s="1"/>
  <c r="DP367" i="11"/>
  <c r="BN367" i="11"/>
  <c r="AM367" i="11"/>
  <c r="BP367" i="11"/>
  <c r="BO367" i="11"/>
  <c r="BQ367" i="11" s="1"/>
  <c r="DA367" i="11"/>
  <c r="BA367" i="11"/>
  <c r="BC367" i="11"/>
  <c r="Y367" i="11"/>
  <c r="DC367" i="11"/>
  <c r="AP367" i="11"/>
  <c r="DB367" i="11"/>
  <c r="DD367" i="11" s="1"/>
  <c r="CB367" i="11"/>
  <c r="BB367" i="11"/>
  <c r="BD367" i="11" s="1"/>
  <c r="CZ367" i="11"/>
  <c r="BM367" i="11"/>
  <c r="CP367" i="11"/>
  <c r="CO367" i="11"/>
  <c r="BZ367" i="11"/>
  <c r="CM367" i="11"/>
  <c r="CN367" i="11"/>
  <c r="CC367" i="11"/>
  <c r="AA367" i="11"/>
  <c r="AZ367" i="11"/>
  <c r="AO367" i="11"/>
  <c r="W368" i="11"/>
  <c r="CA367" i="11"/>
  <c r="X367" i="11"/>
  <c r="AN367" i="11"/>
  <c r="DN367" i="11"/>
  <c r="DM367" i="11"/>
  <c r="B368" i="11"/>
  <c r="A368" i="11" s="1"/>
  <c r="C369" i="11"/>
  <c r="M367" i="11" l="1"/>
  <c r="L367" i="11"/>
  <c r="M334" i="12"/>
  <c r="DZ368" i="11"/>
  <c r="EC368" i="11"/>
  <c r="EA368" i="11"/>
  <c r="EI368" i="11"/>
  <c r="EH368" i="11"/>
  <c r="V334" i="12"/>
  <c r="W334" i="12" s="1"/>
  <c r="A335" i="12"/>
  <c r="N335" i="12" s="1"/>
  <c r="P368" i="11"/>
  <c r="BF366" i="11"/>
  <c r="DF366" i="11"/>
  <c r="DJ366" i="11"/>
  <c r="BS366" i="11"/>
  <c r="BW366" i="11"/>
  <c r="BJ365" i="11"/>
  <c r="BL365" i="11" s="1"/>
  <c r="AS365" i="11"/>
  <c r="BY364" i="11"/>
  <c r="DJ365" i="11"/>
  <c r="AX365" i="11"/>
  <c r="AY365" i="11" s="1"/>
  <c r="DK365" i="11"/>
  <c r="B336" i="12"/>
  <c r="CX366" i="11"/>
  <c r="CW366" i="11"/>
  <c r="CY365" i="11"/>
  <c r="CQ367" i="11"/>
  <c r="CL365" i="11"/>
  <c r="AB368" i="11"/>
  <c r="CF367" i="11"/>
  <c r="CD367" i="11"/>
  <c r="CK366" i="11"/>
  <c r="CL366" i="11" s="1"/>
  <c r="CF366" i="11"/>
  <c r="AQ367" i="11"/>
  <c r="AR367" i="11" s="1"/>
  <c r="AT367" i="11" s="1"/>
  <c r="BE367" i="11"/>
  <c r="BG367" i="11" s="1"/>
  <c r="CK367" i="11"/>
  <c r="DE367" i="11"/>
  <c r="DG367" i="11" s="1"/>
  <c r="BR367" i="11"/>
  <c r="BT367" i="11" s="1"/>
  <c r="CS367" i="11"/>
  <c r="CE368" i="11"/>
  <c r="CG368" i="11" s="1"/>
  <c r="DU368" i="11"/>
  <c r="DV368" i="11"/>
  <c r="DH368" i="11"/>
  <c r="DI368" i="11"/>
  <c r="CR368" i="11"/>
  <c r="CT368" i="11" s="1"/>
  <c r="CU368" i="11"/>
  <c r="CV368" i="11"/>
  <c r="CI368" i="11"/>
  <c r="CH368" i="11"/>
  <c r="BV368" i="11"/>
  <c r="BU368" i="11"/>
  <c r="BI368" i="11"/>
  <c r="BH368" i="11"/>
  <c r="AU368" i="11"/>
  <c r="AV368" i="11"/>
  <c r="AH368" i="11"/>
  <c r="AI368" i="11"/>
  <c r="DN368" i="11"/>
  <c r="AN368" i="11"/>
  <c r="DM368" i="11"/>
  <c r="BN368" i="11"/>
  <c r="BA368" i="11"/>
  <c r="BP368" i="11"/>
  <c r="BO368" i="11"/>
  <c r="BQ368" i="11" s="1"/>
  <c r="CM368" i="11"/>
  <c r="BM368" i="11"/>
  <c r="CC368" i="11"/>
  <c r="BC368" i="11"/>
  <c r="CN368" i="11"/>
  <c r="CZ368" i="11"/>
  <c r="AP368" i="11"/>
  <c r="BZ368" i="11"/>
  <c r="W369" i="11"/>
  <c r="X368" i="11"/>
  <c r="DC368" i="11"/>
  <c r="Y368" i="11"/>
  <c r="BB368" i="11"/>
  <c r="BD368" i="11" s="1"/>
  <c r="CA368" i="11"/>
  <c r="AO368" i="11"/>
  <c r="AM368" i="11"/>
  <c r="DA368" i="11"/>
  <c r="CB368" i="11"/>
  <c r="AZ368" i="11"/>
  <c r="CO368" i="11"/>
  <c r="DB368" i="11"/>
  <c r="DD368" i="11" s="1"/>
  <c r="AA368" i="11"/>
  <c r="CP368" i="11"/>
  <c r="DP368" i="11"/>
  <c r="B369" i="11"/>
  <c r="A369" i="11" s="1"/>
  <c r="C370" i="11"/>
  <c r="L368" i="11" l="1"/>
  <c r="M368" i="11"/>
  <c r="EI369" i="11"/>
  <c r="EC369" i="11"/>
  <c r="DZ369" i="11"/>
  <c r="EH369" i="11"/>
  <c r="EA369" i="11"/>
  <c r="M335" i="12"/>
  <c r="V335" i="12"/>
  <c r="W335" i="12" s="1"/>
  <c r="A336" i="12"/>
  <c r="M336" i="12" s="1"/>
  <c r="P369" i="11"/>
  <c r="DK366" i="11"/>
  <c r="DL366" i="11" s="1"/>
  <c r="DF367" i="11"/>
  <c r="BF367" i="11"/>
  <c r="BJ367" i="11"/>
  <c r="BS367" i="11"/>
  <c r="AS367" i="11"/>
  <c r="DL365" i="11"/>
  <c r="BX366" i="11"/>
  <c r="BY366" i="11" s="1"/>
  <c r="BJ366" i="11"/>
  <c r="AW366" i="11"/>
  <c r="DJ367" i="11"/>
  <c r="AX366" i="11"/>
  <c r="AS366" i="11"/>
  <c r="B337" i="12"/>
  <c r="BK366" i="11"/>
  <c r="CY366" i="11"/>
  <c r="CJ367" i="11"/>
  <c r="CL367" i="11" s="1"/>
  <c r="AB369" i="11"/>
  <c r="CF368" i="11"/>
  <c r="CD368" i="11"/>
  <c r="CS368" i="11"/>
  <c r="CQ368" i="11"/>
  <c r="AQ368" i="11"/>
  <c r="AR368" i="11" s="1"/>
  <c r="AT368" i="11" s="1"/>
  <c r="BE368" i="11"/>
  <c r="BG368" i="11" s="1"/>
  <c r="BR368" i="11"/>
  <c r="BT368" i="11" s="1"/>
  <c r="CE369" i="11"/>
  <c r="CG369" i="11" s="1"/>
  <c r="DV369" i="11"/>
  <c r="DU369" i="11"/>
  <c r="DI369" i="11"/>
  <c r="DH369" i="11"/>
  <c r="CV369" i="11"/>
  <c r="CR369" i="11"/>
  <c r="CT369" i="11" s="1"/>
  <c r="CU369" i="11"/>
  <c r="CH369" i="11"/>
  <c r="CI369" i="11"/>
  <c r="BU369" i="11"/>
  <c r="BV369" i="11"/>
  <c r="BH369" i="11"/>
  <c r="BI369" i="11"/>
  <c r="AU369" i="11"/>
  <c r="AV369" i="11"/>
  <c r="AH369" i="11"/>
  <c r="AI369" i="11"/>
  <c r="DE368" i="11"/>
  <c r="DG368" i="11" s="1"/>
  <c r="CX367" i="11"/>
  <c r="CW367" i="11"/>
  <c r="DA369" i="11"/>
  <c r="BN369" i="11"/>
  <c r="BP369" i="11"/>
  <c r="DM369" i="11"/>
  <c r="BO369" i="11"/>
  <c r="BQ369" i="11" s="1"/>
  <c r="AO369" i="11"/>
  <c r="CO369" i="11"/>
  <c r="BM369" i="11"/>
  <c r="BZ369" i="11"/>
  <c r="DB369" i="11"/>
  <c r="DD369" i="11" s="1"/>
  <c r="AM369" i="11"/>
  <c r="X369" i="11"/>
  <c r="CC369" i="11"/>
  <c r="CA369" i="11"/>
  <c r="AP369" i="11"/>
  <c r="DP369" i="11"/>
  <c r="AZ369" i="11"/>
  <c r="AN369" i="11"/>
  <c r="CP369" i="11"/>
  <c r="BC369" i="11"/>
  <c r="BB369" i="11"/>
  <c r="BD369" i="11" s="1"/>
  <c r="CZ369" i="11"/>
  <c r="AA369" i="11"/>
  <c r="DN369" i="11"/>
  <c r="Y369" i="11"/>
  <c r="CN369" i="11"/>
  <c r="W370" i="11"/>
  <c r="CM369" i="11"/>
  <c r="CB369" i="11"/>
  <c r="DC369" i="11"/>
  <c r="BA369" i="11"/>
  <c r="B370" i="11"/>
  <c r="A370" i="11" s="1"/>
  <c r="C371" i="11"/>
  <c r="M369" i="11" l="1"/>
  <c r="V336" i="12"/>
  <c r="W336" i="12" s="1"/>
  <c r="L369" i="11"/>
  <c r="N336" i="12"/>
  <c r="EA370" i="11"/>
  <c r="EI370" i="11"/>
  <c r="EH370" i="11"/>
  <c r="EC370" i="11"/>
  <c r="DZ370" i="11"/>
  <c r="A337" i="12"/>
  <c r="V337" i="12" s="1"/>
  <c r="W337" i="12" s="1"/>
  <c r="P370" i="11"/>
  <c r="BK367" i="11"/>
  <c r="BL367" i="11" s="1"/>
  <c r="BF368" i="11"/>
  <c r="BS368" i="11"/>
  <c r="DF368" i="11"/>
  <c r="AX367" i="11"/>
  <c r="AW367" i="11"/>
  <c r="DK367" i="11"/>
  <c r="DL367" i="11" s="1"/>
  <c r="BL366" i="11"/>
  <c r="AY366" i="11"/>
  <c r="BW367" i="11"/>
  <c r="DK368" i="11"/>
  <c r="B338" i="12"/>
  <c r="AW368" i="11"/>
  <c r="BX367" i="11"/>
  <c r="BK368" i="11"/>
  <c r="CK368" i="11"/>
  <c r="CW368" i="11"/>
  <c r="AB370" i="11"/>
  <c r="CX368" i="11"/>
  <c r="CN370" i="11"/>
  <c r="CJ368" i="11"/>
  <c r="CJ369" i="11"/>
  <c r="CD369" i="11"/>
  <c r="CS369" i="11"/>
  <c r="CQ369" i="11"/>
  <c r="AQ369" i="11"/>
  <c r="AR369" i="11" s="1"/>
  <c r="AT369" i="11" s="1"/>
  <c r="CY367" i="11"/>
  <c r="BE369" i="11"/>
  <c r="BG369" i="11" s="1"/>
  <c r="CE370" i="11"/>
  <c r="CG370" i="11" s="1"/>
  <c r="DU370" i="11"/>
  <c r="DV370" i="11"/>
  <c r="DH370" i="11"/>
  <c r="DI370" i="11"/>
  <c r="CU370" i="11"/>
  <c r="CR370" i="11"/>
  <c r="CT370" i="11" s="1"/>
  <c r="CV370" i="11"/>
  <c r="CH370" i="11"/>
  <c r="BU370" i="11"/>
  <c r="CI370" i="11"/>
  <c r="BH370" i="11"/>
  <c r="BI370" i="11"/>
  <c r="BV370" i="11"/>
  <c r="AU370" i="11"/>
  <c r="AV370" i="11"/>
  <c r="AH370" i="11"/>
  <c r="AI370" i="11"/>
  <c r="BX368" i="11"/>
  <c r="BW368" i="11"/>
  <c r="BR369" i="11"/>
  <c r="BT369" i="11" s="1"/>
  <c r="CM370" i="11"/>
  <c r="DE369" i="11"/>
  <c r="DG369" i="11" s="1"/>
  <c r="BP370" i="11"/>
  <c r="BN370" i="11"/>
  <c r="BO370" i="11"/>
  <c r="BQ370" i="11" s="1"/>
  <c r="BM370" i="11"/>
  <c r="CA370" i="11"/>
  <c r="AA370" i="11"/>
  <c r="AO370" i="11"/>
  <c r="CC370" i="11"/>
  <c r="BA370" i="11"/>
  <c r="DA370" i="11"/>
  <c r="X370" i="11"/>
  <c r="AP370" i="11"/>
  <c r="CZ370" i="11"/>
  <c r="DC370" i="11"/>
  <c r="BZ370" i="11"/>
  <c r="BB370" i="11"/>
  <c r="BD370" i="11" s="1"/>
  <c r="AN370" i="11"/>
  <c r="AM370" i="11"/>
  <c r="CB370" i="11"/>
  <c r="BC370" i="11"/>
  <c r="AZ370" i="11"/>
  <c r="CP370" i="11"/>
  <c r="DP370" i="11"/>
  <c r="Y370" i="11"/>
  <c r="DB370" i="11"/>
  <c r="DD370" i="11" s="1"/>
  <c r="W371" i="11"/>
  <c r="DN370" i="11"/>
  <c r="CO370" i="11"/>
  <c r="DM370" i="11"/>
  <c r="B371" i="11"/>
  <c r="A371" i="11" s="1"/>
  <c r="C372" i="11"/>
  <c r="N337" i="12" l="1"/>
  <c r="M370" i="11"/>
  <c r="L370" i="11"/>
  <c r="EA371" i="11"/>
  <c r="DZ371" i="11"/>
  <c r="EI371" i="11"/>
  <c r="EH371" i="11"/>
  <c r="EC371" i="11"/>
  <c r="M337" i="12"/>
  <c r="A338" i="12"/>
  <c r="N338" i="12" s="1"/>
  <c r="P371" i="11"/>
  <c r="BF369" i="11"/>
  <c r="BS369" i="11"/>
  <c r="DF369" i="11"/>
  <c r="DK369" i="11"/>
  <c r="AY367" i="11"/>
  <c r="BY367" i="11"/>
  <c r="AX368" i="11"/>
  <c r="AY368" i="11" s="1"/>
  <c r="DJ368" i="11"/>
  <c r="DL368" i="11" s="1"/>
  <c r="B339" i="12"/>
  <c r="BJ369" i="11"/>
  <c r="BJ368" i="11"/>
  <c r="BL368" i="11" s="1"/>
  <c r="AS369" i="11"/>
  <c r="AS368" i="11"/>
  <c r="CY368" i="11"/>
  <c r="CL368" i="11"/>
  <c r="CQ370" i="11"/>
  <c r="AB371" i="11"/>
  <c r="CF370" i="11"/>
  <c r="CD370" i="11"/>
  <c r="BY368" i="11"/>
  <c r="CX369" i="11"/>
  <c r="CW369" i="11"/>
  <c r="CK369" i="11"/>
  <c r="CL369" i="11" s="1"/>
  <c r="CF369" i="11"/>
  <c r="AQ370" i="11"/>
  <c r="AR370" i="11" s="1"/>
  <c r="AT370" i="11" s="1"/>
  <c r="BP371" i="11"/>
  <c r="CE371" i="11"/>
  <c r="CG371" i="11" s="1"/>
  <c r="DV371" i="11"/>
  <c r="DU371" i="11"/>
  <c r="DH371" i="11"/>
  <c r="DI371" i="11"/>
  <c r="CU371" i="11"/>
  <c r="CR371" i="11"/>
  <c r="CT371" i="11" s="1"/>
  <c r="CH371" i="11"/>
  <c r="CI371" i="11"/>
  <c r="CV371" i="11"/>
  <c r="BU371" i="11"/>
  <c r="BV371" i="11"/>
  <c r="BI371" i="11"/>
  <c r="AU371" i="11"/>
  <c r="AV371" i="11"/>
  <c r="BH371" i="11"/>
  <c r="AH371" i="11"/>
  <c r="AI371" i="11"/>
  <c r="BR370" i="11"/>
  <c r="BT370" i="11" s="1"/>
  <c r="CS370" i="11"/>
  <c r="BE370" i="11"/>
  <c r="BG370" i="11" s="1"/>
  <c r="DE370" i="11"/>
  <c r="DG370" i="11" s="1"/>
  <c r="BN371" i="11"/>
  <c r="DN371" i="11"/>
  <c r="CO371" i="11"/>
  <c r="BO371" i="11"/>
  <c r="BQ371" i="11" s="1"/>
  <c r="X371" i="11"/>
  <c r="DM371" i="11"/>
  <c r="AN371" i="11"/>
  <c r="BZ371" i="11"/>
  <c r="CC371" i="11"/>
  <c r="Y371" i="11"/>
  <c r="DP371" i="11"/>
  <c r="CP371" i="11"/>
  <c r="CN371" i="11"/>
  <c r="BC371" i="11"/>
  <c r="BA371" i="11"/>
  <c r="DC371" i="11"/>
  <c r="BB371" i="11"/>
  <c r="BD371" i="11" s="1"/>
  <c r="CA371" i="11"/>
  <c r="CZ371" i="11"/>
  <c r="DA371" i="11"/>
  <c r="AO371" i="11"/>
  <c r="CM371" i="11"/>
  <c r="AA371" i="11"/>
  <c r="AM371" i="11"/>
  <c r="AP371" i="11"/>
  <c r="W372" i="11"/>
  <c r="CB371" i="11"/>
  <c r="DB371" i="11"/>
  <c r="DD371" i="11" s="1"/>
  <c r="AZ371" i="11"/>
  <c r="BM371" i="11"/>
  <c r="B372" i="11"/>
  <c r="A372" i="11" s="1"/>
  <c r="C373" i="11"/>
  <c r="M371" i="11" l="1"/>
  <c r="L371" i="11"/>
  <c r="M338" i="12"/>
  <c r="V338" i="12"/>
  <c r="W338" i="12" s="1"/>
  <c r="DZ372" i="11"/>
  <c r="EA372" i="11"/>
  <c r="EI372" i="11"/>
  <c r="EH372" i="11"/>
  <c r="EC372" i="11"/>
  <c r="A339" i="12"/>
  <c r="N339" i="12" s="1"/>
  <c r="P372" i="11"/>
  <c r="BS370" i="11"/>
  <c r="DF370" i="11"/>
  <c r="BF370" i="11"/>
  <c r="BJ370" i="11"/>
  <c r="BK369" i="11"/>
  <c r="BL369" i="11" s="1"/>
  <c r="AW369" i="11"/>
  <c r="AX369" i="11"/>
  <c r="BW369" i="11"/>
  <c r="BX369" i="11"/>
  <c r="DK370" i="11"/>
  <c r="B340" i="12"/>
  <c r="AS370" i="11"/>
  <c r="DJ369" i="11"/>
  <c r="DL369" i="11" s="1"/>
  <c r="CY369" i="11"/>
  <c r="CJ370" i="11"/>
  <c r="AB372" i="11"/>
  <c r="CK370" i="11"/>
  <c r="CX371" i="11"/>
  <c r="CQ371" i="11"/>
  <c r="CF371" i="11"/>
  <c r="CD371" i="11"/>
  <c r="AQ371" i="11"/>
  <c r="AR371" i="11" s="1"/>
  <c r="AT371" i="11" s="1"/>
  <c r="BW370" i="11"/>
  <c r="BX370" i="11"/>
  <c r="BR371" i="11"/>
  <c r="BT371" i="11" s="1"/>
  <c r="DE371" i="11"/>
  <c r="DG371" i="11" s="1"/>
  <c r="BE371" i="11"/>
  <c r="BG371" i="11" s="1"/>
  <c r="CW370" i="11"/>
  <c r="CX370" i="11"/>
  <c r="DM372" i="11"/>
  <c r="CE372" i="11"/>
  <c r="CG372" i="11" s="1"/>
  <c r="DV372" i="11"/>
  <c r="DU372" i="11"/>
  <c r="DH372" i="11"/>
  <c r="DI372" i="11"/>
  <c r="CU372" i="11"/>
  <c r="CV372" i="11"/>
  <c r="CR372" i="11"/>
  <c r="CT372" i="11" s="1"/>
  <c r="CH372" i="11"/>
  <c r="CI372" i="11"/>
  <c r="BU372" i="11"/>
  <c r="BV372" i="11"/>
  <c r="BH372" i="11"/>
  <c r="BI372" i="11"/>
  <c r="AU372" i="11"/>
  <c r="AV372" i="11"/>
  <c r="AH372" i="11"/>
  <c r="AI372" i="11"/>
  <c r="AP372" i="11"/>
  <c r="BM372" i="11"/>
  <c r="Y372" i="11"/>
  <c r="AA372" i="11"/>
  <c r="BA372" i="11"/>
  <c r="BZ372" i="11"/>
  <c r="DA372" i="11"/>
  <c r="CO372" i="11"/>
  <c r="BP372" i="11"/>
  <c r="BN372" i="11"/>
  <c r="DB372" i="11"/>
  <c r="DD372" i="11" s="1"/>
  <c r="AO372" i="11"/>
  <c r="BO372" i="11"/>
  <c r="BQ372" i="11" s="1"/>
  <c r="CZ372" i="11"/>
  <c r="BC372" i="11"/>
  <c r="CP372" i="11"/>
  <c r="AZ372" i="11"/>
  <c r="CB372" i="11"/>
  <c r="DN372" i="11"/>
  <c r="CC372" i="11"/>
  <c r="DP372" i="11"/>
  <c r="BB372" i="11"/>
  <c r="BD372" i="11" s="1"/>
  <c r="CM372" i="11"/>
  <c r="DC372" i="11"/>
  <c r="CN372" i="11"/>
  <c r="X372" i="11"/>
  <c r="AN372" i="11"/>
  <c r="W373" i="11"/>
  <c r="AM372" i="11"/>
  <c r="CA372" i="11"/>
  <c r="B373" i="11"/>
  <c r="A373" i="11" s="1"/>
  <c r="C374" i="11"/>
  <c r="V339" i="12" l="1"/>
  <c r="W339" i="12" s="1"/>
  <c r="M339" i="12"/>
  <c r="M372" i="11"/>
  <c r="L372" i="11"/>
  <c r="EI373" i="11"/>
  <c r="DZ373" i="11"/>
  <c r="EH373" i="11"/>
  <c r="EC373" i="11"/>
  <c r="EA373" i="11"/>
  <c r="A340" i="12"/>
  <c r="V340" i="12" s="1"/>
  <c r="W340" i="12" s="1"/>
  <c r="P373" i="11"/>
  <c r="DF371" i="11"/>
  <c r="BS371" i="11"/>
  <c r="BX371" i="11"/>
  <c r="BF371" i="11"/>
  <c r="BK371" i="11"/>
  <c r="AY369" i="11"/>
  <c r="DJ370" i="11"/>
  <c r="DL370" i="11" s="1"/>
  <c r="BY369" i="11"/>
  <c r="DK371" i="11"/>
  <c r="B341" i="12"/>
  <c r="AX370" i="11"/>
  <c r="AW370" i="11"/>
  <c r="BK370" i="11"/>
  <c r="BL370" i="11" s="1"/>
  <c r="AW371" i="11"/>
  <c r="CL370" i="11"/>
  <c r="CK371" i="11"/>
  <c r="CJ371" i="11"/>
  <c r="AB373" i="11"/>
  <c r="CQ372" i="11"/>
  <c r="CF372" i="11"/>
  <c r="CD372" i="11"/>
  <c r="CW371" i="11"/>
  <c r="CY371" i="11" s="1"/>
  <c r="CS371" i="11"/>
  <c r="AQ372" i="11"/>
  <c r="AR372" i="11" s="1"/>
  <c r="AT372" i="11" s="1"/>
  <c r="CY370" i="11"/>
  <c r="DE372" i="11"/>
  <c r="DG372" i="11" s="1"/>
  <c r="BE372" i="11"/>
  <c r="BG372" i="11" s="1"/>
  <c r="CE373" i="11"/>
  <c r="CG373" i="11" s="1"/>
  <c r="DU373" i="11"/>
  <c r="DV373" i="11"/>
  <c r="DI373" i="11"/>
  <c r="DH373" i="11"/>
  <c r="CR373" i="11"/>
  <c r="CT373" i="11" s="1"/>
  <c r="CU373" i="11"/>
  <c r="CV373" i="11"/>
  <c r="CH373" i="11"/>
  <c r="CI373" i="11"/>
  <c r="BU373" i="11"/>
  <c r="BV373" i="11"/>
  <c r="BI373" i="11"/>
  <c r="BH373" i="11"/>
  <c r="AI373" i="11"/>
  <c r="AU373" i="11"/>
  <c r="AV373" i="11"/>
  <c r="AH373" i="11"/>
  <c r="BR372" i="11"/>
  <c r="BT372" i="11" s="1"/>
  <c r="CS372" i="11"/>
  <c r="BY370" i="11"/>
  <c r="BN373" i="11"/>
  <c r="BP373" i="11"/>
  <c r="CC373" i="11"/>
  <c r="CA373" i="11"/>
  <c r="BO373" i="11"/>
  <c r="X373" i="11"/>
  <c r="AN373" i="11"/>
  <c r="CM373" i="11"/>
  <c r="AZ373" i="11"/>
  <c r="AM373" i="11"/>
  <c r="Y373" i="11"/>
  <c r="AP373" i="11"/>
  <c r="BA373" i="11"/>
  <c r="CZ373" i="11"/>
  <c r="BB373" i="11"/>
  <c r="BD373" i="11" s="1"/>
  <c r="DM373" i="11"/>
  <c r="BC373" i="11"/>
  <c r="BZ373" i="11"/>
  <c r="CN373" i="11"/>
  <c r="DA373" i="11"/>
  <c r="CO373" i="11"/>
  <c r="DC373" i="11"/>
  <c r="DP373" i="11"/>
  <c r="AO373" i="11"/>
  <c r="DB373" i="11"/>
  <c r="DD373" i="11" s="1"/>
  <c r="BM373" i="11"/>
  <c r="W374" i="11"/>
  <c r="CB373" i="11"/>
  <c r="DN373" i="11"/>
  <c r="AA373" i="11"/>
  <c r="CP373" i="11"/>
  <c r="B374" i="11"/>
  <c r="A374" i="11" s="1"/>
  <c r="C375" i="11"/>
  <c r="N340" i="12" l="1"/>
  <c r="M340" i="12"/>
  <c r="M373" i="11"/>
  <c r="L373" i="11"/>
  <c r="EH374" i="11"/>
  <c r="EC374" i="11"/>
  <c r="EA374" i="11"/>
  <c r="DZ374" i="11"/>
  <c r="EI374" i="11"/>
  <c r="A341" i="12"/>
  <c r="N341" i="12" s="1"/>
  <c r="P374" i="11"/>
  <c r="BF372" i="11"/>
  <c r="BJ372" i="11"/>
  <c r="DF372" i="11"/>
  <c r="BS372" i="11"/>
  <c r="AY370" i="11"/>
  <c r="BW371" i="11"/>
  <c r="BY371" i="11" s="1"/>
  <c r="BJ371" i="11"/>
  <c r="BL371" i="11" s="1"/>
  <c r="AX371" i="11"/>
  <c r="AY371" i="11" s="1"/>
  <c r="DJ371" i="11"/>
  <c r="DL371" i="11" s="1"/>
  <c r="DJ372" i="11"/>
  <c r="AS371" i="11"/>
  <c r="B342" i="12"/>
  <c r="CL371" i="11"/>
  <c r="CK372" i="11"/>
  <c r="CJ372" i="11"/>
  <c r="AB374" i="11"/>
  <c r="BQ373" i="11"/>
  <c r="BR373" i="11" s="1"/>
  <c r="BT373" i="11" s="1"/>
  <c r="CX373" i="11"/>
  <c r="CQ373" i="11"/>
  <c r="CF373" i="11"/>
  <c r="CD373" i="11"/>
  <c r="AQ373" i="11"/>
  <c r="AR373" i="11" s="1"/>
  <c r="AT373" i="11" s="1"/>
  <c r="CK373" i="11"/>
  <c r="DE373" i="11"/>
  <c r="DG373" i="11" s="1"/>
  <c r="BE373" i="11"/>
  <c r="BG373" i="11" s="1"/>
  <c r="CE374" i="11"/>
  <c r="CG374" i="11" s="1"/>
  <c r="DU374" i="11"/>
  <c r="DV374" i="11"/>
  <c r="DH374" i="11"/>
  <c r="DI374" i="11"/>
  <c r="CU374" i="11"/>
  <c r="CV374" i="11"/>
  <c r="CR374" i="11"/>
  <c r="CT374" i="11" s="1"/>
  <c r="CH374" i="11"/>
  <c r="CI374" i="11"/>
  <c r="BU374" i="11"/>
  <c r="BV374" i="11"/>
  <c r="BH374" i="11"/>
  <c r="BI374" i="11"/>
  <c r="AU374" i="11"/>
  <c r="AV374" i="11"/>
  <c r="AH374" i="11"/>
  <c r="AI374" i="11"/>
  <c r="CX372" i="11"/>
  <c r="CW372" i="11"/>
  <c r="CP374" i="11"/>
  <c r="Y374" i="11"/>
  <c r="BP374" i="11"/>
  <c r="BN374" i="11"/>
  <c r="BO374" i="11"/>
  <c r="BQ374" i="11" s="1"/>
  <c r="BB374" i="11"/>
  <c r="BD374" i="11" s="1"/>
  <c r="DP374" i="11"/>
  <c r="AA374" i="11"/>
  <c r="X374" i="11"/>
  <c r="DN374" i="11"/>
  <c r="BC374" i="11"/>
  <c r="BZ374" i="11"/>
  <c r="AZ374" i="11"/>
  <c r="BA374" i="11"/>
  <c r="CN374" i="11"/>
  <c r="AM374" i="11"/>
  <c r="CA374" i="11"/>
  <c r="AP374" i="11"/>
  <c r="CB374" i="11"/>
  <c r="CZ374" i="11"/>
  <c r="CM374" i="11"/>
  <c r="DM374" i="11"/>
  <c r="BM374" i="11"/>
  <c r="DC374" i="11"/>
  <c r="DB374" i="11"/>
  <c r="DD374" i="11" s="1"/>
  <c r="CO374" i="11"/>
  <c r="AN374" i="11"/>
  <c r="W375" i="11"/>
  <c r="AO374" i="11"/>
  <c r="DA374" i="11"/>
  <c r="CC374" i="11"/>
  <c r="B375" i="11"/>
  <c r="A375" i="11" s="1"/>
  <c r="C376" i="11"/>
  <c r="L374" i="11" l="1"/>
  <c r="M374" i="11"/>
  <c r="EI375" i="11"/>
  <c r="EC375" i="11"/>
  <c r="EH375" i="11"/>
  <c r="EA375" i="11"/>
  <c r="DZ375" i="11"/>
  <c r="M341" i="12"/>
  <c r="V341" i="12"/>
  <c r="W341" i="12" s="1"/>
  <c r="A342" i="12"/>
  <c r="V342" i="12" s="1"/>
  <c r="W342" i="12" s="1"/>
  <c r="P375" i="11"/>
  <c r="BF373" i="11"/>
  <c r="DF373" i="11"/>
  <c r="DK373" i="11"/>
  <c r="AX373" i="11"/>
  <c r="DK372" i="11"/>
  <c r="DL372" i="11" s="1"/>
  <c r="BK372" i="11"/>
  <c r="BL372" i="11" s="1"/>
  <c r="BX372" i="11"/>
  <c r="BW372" i="11"/>
  <c r="AW372" i="11"/>
  <c r="AS372" i="11"/>
  <c r="B343" i="12"/>
  <c r="AX372" i="11"/>
  <c r="AS373" i="11"/>
  <c r="CQ374" i="11"/>
  <c r="CL372" i="11"/>
  <c r="CJ373" i="11"/>
  <c r="CL373" i="11" s="1"/>
  <c r="CY372" i="11"/>
  <c r="BS373" i="11"/>
  <c r="BW373" i="11"/>
  <c r="BX373" i="11"/>
  <c r="AB375" i="11"/>
  <c r="CF374" i="11"/>
  <c r="CD374" i="11"/>
  <c r="CW373" i="11"/>
  <c r="CY373" i="11" s="1"/>
  <c r="CS373" i="11"/>
  <c r="AQ374" i="11"/>
  <c r="AR374" i="11" s="1"/>
  <c r="AT374" i="11" s="1"/>
  <c r="AW373" i="11"/>
  <c r="BR374" i="11"/>
  <c r="BT374" i="11" s="1"/>
  <c r="DE374" i="11"/>
  <c r="DG374" i="11" s="1"/>
  <c r="CS374" i="11"/>
  <c r="BE374" i="11"/>
  <c r="BG374" i="11" s="1"/>
  <c r="CE375" i="11"/>
  <c r="CG375" i="11" s="1"/>
  <c r="DV375" i="11"/>
  <c r="DU375" i="11"/>
  <c r="DH375" i="11"/>
  <c r="DI375" i="11"/>
  <c r="CR375" i="11"/>
  <c r="CT375" i="11" s="1"/>
  <c r="CU375" i="11"/>
  <c r="CV375" i="11"/>
  <c r="CH375" i="11"/>
  <c r="CI375" i="11"/>
  <c r="BU375" i="11"/>
  <c r="BV375" i="11"/>
  <c r="BI375" i="11"/>
  <c r="AU375" i="11"/>
  <c r="AV375" i="11"/>
  <c r="BH375" i="11"/>
  <c r="AI375" i="11"/>
  <c r="AH375" i="11"/>
  <c r="BP375" i="11"/>
  <c r="BN375" i="11"/>
  <c r="CN375" i="11"/>
  <c r="BO375" i="11"/>
  <c r="DM375" i="11"/>
  <c r="DB375" i="11"/>
  <c r="DD375" i="11" s="1"/>
  <c r="X375" i="11"/>
  <c r="BC375" i="11"/>
  <c r="Y375" i="11"/>
  <c r="AP375" i="11"/>
  <c r="CA375" i="11"/>
  <c r="DN375" i="11"/>
  <c r="AZ375" i="11"/>
  <c r="AA375" i="11"/>
  <c r="CM375" i="11"/>
  <c r="AM375" i="11"/>
  <c r="DA375" i="11"/>
  <c r="DC375" i="11"/>
  <c r="CB375" i="11"/>
  <c r="CZ375" i="11"/>
  <c r="AN375" i="11"/>
  <c r="BM375" i="11"/>
  <c r="BZ375" i="11"/>
  <c r="CP375" i="11"/>
  <c r="CC375" i="11"/>
  <c r="AO375" i="11"/>
  <c r="W376" i="11"/>
  <c r="CO375" i="11"/>
  <c r="BA375" i="11"/>
  <c r="BB375" i="11"/>
  <c r="BD375" i="11" s="1"/>
  <c r="DP375" i="11"/>
  <c r="B376" i="11"/>
  <c r="A376" i="11" s="1"/>
  <c r="C377" i="11"/>
  <c r="N342" i="12" l="1"/>
  <c r="M342" i="12"/>
  <c r="L375" i="11"/>
  <c r="M375" i="11"/>
  <c r="DZ376" i="11"/>
  <c r="EI376" i="11"/>
  <c r="EH376" i="11"/>
  <c r="EC376" i="11"/>
  <c r="EA376" i="11"/>
  <c r="A343" i="12"/>
  <c r="M343" i="12" s="1"/>
  <c r="P376" i="11"/>
  <c r="DF374" i="11"/>
  <c r="BS374" i="11"/>
  <c r="BF374" i="11"/>
  <c r="BJ374" i="11"/>
  <c r="BY372" i="11"/>
  <c r="AY372" i="11"/>
  <c r="DJ373" i="11"/>
  <c r="DL373" i="11" s="1"/>
  <c r="BK373" i="11"/>
  <c r="BX374" i="11"/>
  <c r="DJ374" i="11"/>
  <c r="AS374" i="11"/>
  <c r="B344" i="12"/>
  <c r="BJ373" i="11"/>
  <c r="BY373" i="11"/>
  <c r="BQ375" i="11"/>
  <c r="BR375" i="11" s="1"/>
  <c r="BT375" i="11" s="1"/>
  <c r="AB376" i="11"/>
  <c r="CS375" i="11"/>
  <c r="CQ375" i="11"/>
  <c r="AY373" i="11"/>
  <c r="CJ374" i="11"/>
  <c r="CF375" i="11"/>
  <c r="CD375" i="11"/>
  <c r="CK374" i="11"/>
  <c r="AQ375" i="11"/>
  <c r="AR375" i="11" s="1"/>
  <c r="AT375" i="11" s="1"/>
  <c r="AX374" i="11"/>
  <c r="AW374" i="11"/>
  <c r="BE375" i="11"/>
  <c r="BG375" i="11" s="1"/>
  <c r="DE375" i="11"/>
  <c r="DG375" i="11" s="1"/>
  <c r="CX374" i="11"/>
  <c r="CW374" i="11"/>
  <c r="CE376" i="11"/>
  <c r="CG376" i="11" s="1"/>
  <c r="DU376" i="11"/>
  <c r="DV376" i="11"/>
  <c r="DH376" i="11"/>
  <c r="DI376" i="11"/>
  <c r="CU376" i="11"/>
  <c r="CR376" i="11"/>
  <c r="CT376" i="11" s="1"/>
  <c r="CV376" i="11"/>
  <c r="CI376" i="11"/>
  <c r="CH376" i="11"/>
  <c r="BV376" i="11"/>
  <c r="BU376" i="11"/>
  <c r="BH376" i="11"/>
  <c r="BI376" i="11"/>
  <c r="AV376" i="11"/>
  <c r="AU376" i="11"/>
  <c r="AH376" i="11"/>
  <c r="AI376" i="11"/>
  <c r="BM376" i="11"/>
  <c r="CA376" i="11"/>
  <c r="BN376" i="11"/>
  <c r="BP376" i="11"/>
  <c r="DP376" i="11"/>
  <c r="BB376" i="11"/>
  <c r="BD376" i="11" s="1"/>
  <c r="BO376" i="11"/>
  <c r="BQ376" i="11" s="1"/>
  <c r="CZ376" i="11"/>
  <c r="AM376" i="11"/>
  <c r="CM376" i="11"/>
  <c r="CP376" i="11"/>
  <c r="BZ376" i="11"/>
  <c r="DB376" i="11"/>
  <c r="DD376" i="11" s="1"/>
  <c r="AO376" i="11"/>
  <c r="AN376" i="11"/>
  <c r="CB376" i="11"/>
  <c r="AZ376" i="11"/>
  <c r="AA376" i="11"/>
  <c r="DC376" i="11"/>
  <c r="DN376" i="11"/>
  <c r="W377" i="11"/>
  <c r="CC376" i="11"/>
  <c r="DA376" i="11"/>
  <c r="BC376" i="11"/>
  <c r="DM376" i="11"/>
  <c r="AP376" i="11"/>
  <c r="Y376" i="11"/>
  <c r="BA376" i="11"/>
  <c r="CO376" i="11"/>
  <c r="X376" i="11"/>
  <c r="CN376" i="11"/>
  <c r="B377" i="11"/>
  <c r="A377" i="11" s="1"/>
  <c r="C378" i="11"/>
  <c r="M376" i="11" l="1"/>
  <c r="L376" i="11"/>
  <c r="V343" i="12"/>
  <c r="W343" i="12" s="1"/>
  <c r="EI377" i="11"/>
  <c r="EH377" i="11"/>
  <c r="EA377" i="11"/>
  <c r="EC377" i="11"/>
  <c r="DZ377" i="11"/>
  <c r="N343" i="12"/>
  <c r="A344" i="12"/>
  <c r="V344" i="12" s="1"/>
  <c r="W344" i="12" s="1"/>
  <c r="P377" i="11"/>
  <c r="BK374" i="11"/>
  <c r="BL374" i="11" s="1"/>
  <c r="DF375" i="11"/>
  <c r="DK375" i="11"/>
  <c r="BF375" i="11"/>
  <c r="BJ375" i="11"/>
  <c r="BL373" i="11"/>
  <c r="DK374" i="11"/>
  <c r="DL374" i="11" s="1"/>
  <c r="BW374" i="11"/>
  <c r="BY374" i="11" s="1"/>
  <c r="B345" i="12"/>
  <c r="BW375" i="11"/>
  <c r="AW375" i="11"/>
  <c r="CL374" i="11"/>
  <c r="CQ376" i="11"/>
  <c r="CK375" i="11"/>
  <c r="CJ375" i="11"/>
  <c r="BS375" i="11"/>
  <c r="CW375" i="11"/>
  <c r="CX375" i="11"/>
  <c r="AB377" i="11"/>
  <c r="BR376" i="11"/>
  <c r="BT376" i="11" s="1"/>
  <c r="AY374" i="11"/>
  <c r="CF376" i="11"/>
  <c r="CD376" i="11"/>
  <c r="AQ376" i="11"/>
  <c r="AR376" i="11" s="1"/>
  <c r="AT376" i="11" s="1"/>
  <c r="DE376" i="11"/>
  <c r="DG376" i="11" s="1"/>
  <c r="BE376" i="11"/>
  <c r="BG376" i="11" s="1"/>
  <c r="CE377" i="11"/>
  <c r="CG377" i="11" s="1"/>
  <c r="DV377" i="11"/>
  <c r="DU377" i="11"/>
  <c r="DH377" i="11"/>
  <c r="DI377" i="11"/>
  <c r="CV377" i="11"/>
  <c r="CR377" i="11"/>
  <c r="CT377" i="11" s="1"/>
  <c r="CU377" i="11"/>
  <c r="CH377" i="11"/>
  <c r="CI377" i="11"/>
  <c r="BU377" i="11"/>
  <c r="BV377" i="11"/>
  <c r="BI377" i="11"/>
  <c r="BH377" i="11"/>
  <c r="AV377" i="11"/>
  <c r="AH377" i="11"/>
  <c r="AI377" i="11"/>
  <c r="AU377" i="11"/>
  <c r="CS376" i="11"/>
  <c r="CY374" i="11"/>
  <c r="Y377" i="11"/>
  <c r="CN377" i="11"/>
  <c r="BN377" i="11"/>
  <c r="BM377" i="11"/>
  <c r="BP377" i="11"/>
  <c r="BO377" i="11"/>
  <c r="BQ377" i="11" s="1"/>
  <c r="AP377" i="11"/>
  <c r="DA377" i="11"/>
  <c r="CA377" i="11"/>
  <c r="CC377" i="11"/>
  <c r="DC377" i="11"/>
  <c r="BZ377" i="11"/>
  <c r="AA377" i="11"/>
  <c r="CP377" i="11"/>
  <c r="CB377" i="11"/>
  <c r="X377" i="11"/>
  <c r="DM377" i="11"/>
  <c r="CO377" i="11"/>
  <c r="CZ377" i="11"/>
  <c r="BA377" i="11"/>
  <c r="BC377" i="11"/>
  <c r="DP377" i="11"/>
  <c r="AN377" i="11"/>
  <c r="AO377" i="11"/>
  <c r="DN377" i="11"/>
  <c r="DB377" i="11"/>
  <c r="DD377" i="11" s="1"/>
  <c r="BB377" i="11"/>
  <c r="BD377" i="11" s="1"/>
  <c r="W378" i="11"/>
  <c r="AM377" i="11"/>
  <c r="AZ377" i="11"/>
  <c r="CM377" i="11"/>
  <c r="B378" i="11"/>
  <c r="A378" i="11" s="1"/>
  <c r="C379" i="11"/>
  <c r="L377" i="11" l="1"/>
  <c r="N344" i="12"/>
  <c r="M344" i="12"/>
  <c r="M377" i="11"/>
  <c r="EA378" i="11"/>
  <c r="EI378" i="11"/>
  <c r="EH378" i="11"/>
  <c r="DZ378" i="11"/>
  <c r="EC378" i="11"/>
  <c r="A345" i="12"/>
  <c r="N345" i="12" s="1"/>
  <c r="P378" i="11"/>
  <c r="BF376" i="11"/>
  <c r="DF376" i="11"/>
  <c r="BS376" i="11"/>
  <c r="BX376" i="11"/>
  <c r="BK375" i="11"/>
  <c r="BL375" i="11" s="1"/>
  <c r="DJ375" i="11"/>
  <c r="DL375" i="11" s="1"/>
  <c r="AS375" i="11"/>
  <c r="AX375" i="11"/>
  <c r="AY375" i="11" s="1"/>
  <c r="B346" i="12"/>
  <c r="BX375" i="11"/>
  <c r="BY375" i="11" s="1"/>
  <c r="AS376" i="11"/>
  <c r="CL375" i="11"/>
  <c r="CY375" i="11"/>
  <c r="CK376" i="11"/>
  <c r="AB378" i="11"/>
  <c r="BR377" i="11"/>
  <c r="BT377" i="11" s="1"/>
  <c r="CK377" i="11"/>
  <c r="CD377" i="11"/>
  <c r="CX377" i="11"/>
  <c r="CQ377" i="11"/>
  <c r="CJ376" i="11"/>
  <c r="AQ377" i="11"/>
  <c r="AR377" i="11" s="1"/>
  <c r="AT377" i="11" s="1"/>
  <c r="DE377" i="11"/>
  <c r="DG377" i="11" s="1"/>
  <c r="BE377" i="11"/>
  <c r="BG377" i="11" s="1"/>
  <c r="CE378" i="11"/>
  <c r="CG378" i="11" s="1"/>
  <c r="DU378" i="11"/>
  <c r="DV378" i="11"/>
  <c r="DH378" i="11"/>
  <c r="DI378" i="11"/>
  <c r="CR378" i="11"/>
  <c r="CT378" i="11" s="1"/>
  <c r="CV378" i="11"/>
  <c r="CU378" i="11"/>
  <c r="CH378" i="11"/>
  <c r="CI378" i="11"/>
  <c r="BU378" i="11"/>
  <c r="BV378" i="11"/>
  <c r="BI378" i="11"/>
  <c r="BH378" i="11"/>
  <c r="AU378" i="11"/>
  <c r="AV378" i="11"/>
  <c r="AH378" i="11"/>
  <c r="AI378" i="11"/>
  <c r="CX376" i="11"/>
  <c r="CW376" i="11"/>
  <c r="BP378" i="11"/>
  <c r="BN378" i="11"/>
  <c r="CP378" i="11"/>
  <c r="BO378" i="11"/>
  <c r="BQ378" i="11" s="1"/>
  <c r="DB378" i="11"/>
  <c r="DD378" i="11" s="1"/>
  <c r="DN378" i="11"/>
  <c r="DM378" i="11"/>
  <c r="DC378" i="11"/>
  <c r="DP378" i="11"/>
  <c r="AM378" i="11"/>
  <c r="X378" i="11"/>
  <c r="Y378" i="11"/>
  <c r="AP378" i="11"/>
  <c r="BM378" i="11"/>
  <c r="BA378" i="11"/>
  <c r="AO378" i="11"/>
  <c r="CA378" i="11"/>
  <c r="CN378" i="11"/>
  <c r="CM378" i="11"/>
  <c r="BZ378" i="11"/>
  <c r="CC378" i="11"/>
  <c r="AN378" i="11"/>
  <c r="DA378" i="11"/>
  <c r="CZ378" i="11"/>
  <c r="AZ378" i="11"/>
  <c r="W379" i="11"/>
  <c r="CO378" i="11"/>
  <c r="BB378" i="11"/>
  <c r="BD378" i="11" s="1"/>
  <c r="BC378" i="11"/>
  <c r="AA378" i="11"/>
  <c r="CB378" i="11"/>
  <c r="B379" i="11"/>
  <c r="A379" i="11" s="1"/>
  <c r="C380" i="11"/>
  <c r="M378" i="11" l="1"/>
  <c r="L378" i="11"/>
  <c r="EI379" i="11"/>
  <c r="EH379" i="11"/>
  <c r="EC379" i="11"/>
  <c r="EA379" i="11"/>
  <c r="DZ379" i="11"/>
  <c r="M345" i="12"/>
  <c r="V345" i="12"/>
  <c r="W345" i="12" s="1"/>
  <c r="A346" i="12"/>
  <c r="V346" i="12" s="1"/>
  <c r="W346" i="12" s="1"/>
  <c r="P379" i="11"/>
  <c r="BW376" i="11"/>
  <c r="BY376" i="11" s="1"/>
  <c r="BF377" i="11"/>
  <c r="BJ377" i="11"/>
  <c r="DF377" i="11"/>
  <c r="DK377" i="11"/>
  <c r="BS377" i="11"/>
  <c r="AW376" i="11"/>
  <c r="AX376" i="11"/>
  <c r="BK376" i="11"/>
  <c r="BJ376" i="11"/>
  <c r="DK376" i="11"/>
  <c r="B347" i="12"/>
  <c r="DJ376" i="11"/>
  <c r="AW377" i="11"/>
  <c r="CL376" i="11"/>
  <c r="CY376" i="11"/>
  <c r="AB379" i="11"/>
  <c r="BR378" i="11"/>
  <c r="BT378" i="11" s="1"/>
  <c r="CF378" i="11"/>
  <c r="CD378" i="11"/>
  <c r="CX378" i="11"/>
  <c r="CQ378" i="11"/>
  <c r="CJ377" i="11"/>
  <c r="CL377" i="11" s="1"/>
  <c r="CF377" i="11"/>
  <c r="CW377" i="11"/>
  <c r="CY377" i="11" s="1"/>
  <c r="CS377" i="11"/>
  <c r="AQ378" i="11"/>
  <c r="AR378" i="11" s="1"/>
  <c r="AT378" i="11" s="1"/>
  <c r="CE379" i="11"/>
  <c r="CG379" i="11" s="1"/>
  <c r="DV379" i="11"/>
  <c r="DU379" i="11"/>
  <c r="DH379" i="11"/>
  <c r="DI379" i="11"/>
  <c r="CU379" i="11"/>
  <c r="CV379" i="11"/>
  <c r="CR379" i="11"/>
  <c r="CT379" i="11" s="1"/>
  <c r="CH379" i="11"/>
  <c r="CI379" i="11"/>
  <c r="BU379" i="11"/>
  <c r="BV379" i="11"/>
  <c r="BI379" i="11"/>
  <c r="BH379" i="11"/>
  <c r="AU379" i="11"/>
  <c r="AV379" i="11"/>
  <c r="AI379" i="11"/>
  <c r="AH379" i="11"/>
  <c r="BE378" i="11"/>
  <c r="BG378" i="11" s="1"/>
  <c r="DE378" i="11"/>
  <c r="DG378" i="11" s="1"/>
  <c r="BN379" i="11"/>
  <c r="BP379" i="11"/>
  <c r="BO379" i="11"/>
  <c r="CB379" i="11"/>
  <c r="CN379" i="11"/>
  <c r="AM379" i="11"/>
  <c r="CM379" i="11"/>
  <c r="CA379" i="11"/>
  <c r="DP379" i="11"/>
  <c r="AO379" i="11"/>
  <c r="DC379" i="11"/>
  <c r="AA379" i="11"/>
  <c r="BA379" i="11"/>
  <c r="DM379" i="11"/>
  <c r="BC379" i="11"/>
  <c r="BB379" i="11"/>
  <c r="BD379" i="11" s="1"/>
  <c r="CZ379" i="11"/>
  <c r="CO379" i="11"/>
  <c r="DA379" i="11"/>
  <c r="BM379" i="11"/>
  <c r="DN379" i="11"/>
  <c r="AZ379" i="11"/>
  <c r="AN379" i="11"/>
  <c r="AP379" i="11"/>
  <c r="CC379" i="11"/>
  <c r="Y379" i="11"/>
  <c r="DB379" i="11"/>
  <c r="DD379" i="11" s="1"/>
  <c r="W380" i="11"/>
  <c r="BZ379" i="11"/>
  <c r="X379" i="11"/>
  <c r="CP379" i="11"/>
  <c r="B380" i="11"/>
  <c r="A380" i="11" s="1"/>
  <c r="C381" i="11"/>
  <c r="M379" i="11" l="1"/>
  <c r="M346" i="12"/>
  <c r="N346" i="12"/>
  <c r="L379" i="11"/>
  <c r="DZ380" i="11"/>
  <c r="EH380" i="11"/>
  <c r="EI380" i="11"/>
  <c r="EC380" i="11"/>
  <c r="EA380" i="11"/>
  <c r="A347" i="12"/>
  <c r="V347" i="12" s="1"/>
  <c r="W347" i="12" s="1"/>
  <c r="P380" i="11"/>
  <c r="BS378" i="11"/>
  <c r="BF378" i="11"/>
  <c r="BK378" i="11"/>
  <c r="DF378" i="11"/>
  <c r="DK378" i="11"/>
  <c r="AY376" i="11"/>
  <c r="DL376" i="11"/>
  <c r="BX378" i="11"/>
  <c r="BK377" i="11"/>
  <c r="BL377" i="11" s="1"/>
  <c r="BX377" i="11"/>
  <c r="DJ377" i="11"/>
  <c r="DL377" i="11" s="1"/>
  <c r="BL376" i="11"/>
  <c r="AX377" i="11"/>
  <c r="AY377" i="11" s="1"/>
  <c r="AS377" i="11"/>
  <c r="B348" i="12"/>
  <c r="BW377" i="11"/>
  <c r="AW378" i="11"/>
  <c r="CK378" i="11"/>
  <c r="AB380" i="11"/>
  <c r="BQ379" i="11"/>
  <c r="BR379" i="11" s="1"/>
  <c r="BT379" i="11" s="1"/>
  <c r="CW378" i="11"/>
  <c r="CY378" i="11" s="1"/>
  <c r="CS378" i="11"/>
  <c r="CF379" i="11"/>
  <c r="CD379" i="11"/>
  <c r="CW379" i="11"/>
  <c r="CQ379" i="11"/>
  <c r="CJ378" i="11"/>
  <c r="AQ379" i="11"/>
  <c r="AR379" i="11" s="1"/>
  <c r="AT379" i="11" s="1"/>
  <c r="CJ379" i="11"/>
  <c r="BE379" i="11"/>
  <c r="BG379" i="11" s="1"/>
  <c r="DE379" i="11"/>
  <c r="DG379" i="11" s="1"/>
  <c r="CE380" i="11"/>
  <c r="CG380" i="11" s="1"/>
  <c r="DV380" i="11"/>
  <c r="DU380" i="11"/>
  <c r="DI380" i="11"/>
  <c r="DH380" i="11"/>
  <c r="CR380" i="11"/>
  <c r="CT380" i="11" s="1"/>
  <c r="CU380" i="11"/>
  <c r="CV380" i="11"/>
  <c r="CH380" i="11"/>
  <c r="CI380" i="11"/>
  <c r="BU380" i="11"/>
  <c r="BV380" i="11"/>
  <c r="BH380" i="11"/>
  <c r="BI380" i="11"/>
  <c r="AV380" i="11"/>
  <c r="AH380" i="11"/>
  <c r="AI380" i="11"/>
  <c r="AU380" i="11"/>
  <c r="BN380" i="11"/>
  <c r="BP380" i="11"/>
  <c r="X380" i="11"/>
  <c r="BB380" i="11"/>
  <c r="BD380" i="11" s="1"/>
  <c r="BO380" i="11"/>
  <c r="BQ380" i="11" s="1"/>
  <c r="CP380" i="11"/>
  <c r="AA380" i="11"/>
  <c r="DB380" i="11"/>
  <c r="DD380" i="11" s="1"/>
  <c r="AP380" i="11"/>
  <c r="BM380" i="11"/>
  <c r="CM380" i="11"/>
  <c r="CN380" i="11"/>
  <c r="DM380" i="11"/>
  <c r="BA380" i="11"/>
  <c r="BZ380" i="11"/>
  <c r="CC380" i="11"/>
  <c r="W381" i="11"/>
  <c r="Y380" i="11"/>
  <c r="DN380" i="11"/>
  <c r="CZ380" i="11"/>
  <c r="AN380" i="11"/>
  <c r="DA380" i="11"/>
  <c r="BC380" i="11"/>
  <c r="AO380" i="11"/>
  <c r="DC380" i="11"/>
  <c r="AM380" i="11"/>
  <c r="CO380" i="11"/>
  <c r="DP380" i="11"/>
  <c r="AZ380" i="11"/>
  <c r="CA380" i="11"/>
  <c r="CB380" i="11"/>
  <c r="B381" i="11"/>
  <c r="A381" i="11" s="1"/>
  <c r="C382" i="11"/>
  <c r="L380" i="11" l="1"/>
  <c r="M380" i="11"/>
  <c r="EI381" i="11"/>
  <c r="EC381" i="11"/>
  <c r="EH381" i="11"/>
  <c r="EA381" i="11"/>
  <c r="DZ381" i="11"/>
  <c r="N347" i="12"/>
  <c r="M347" i="12"/>
  <c r="A348" i="12"/>
  <c r="N348" i="12" s="1"/>
  <c r="P381" i="11"/>
  <c r="DF379" i="11"/>
  <c r="BF379" i="11"/>
  <c r="BW378" i="11"/>
  <c r="BY378" i="11" s="1"/>
  <c r="BJ378" i="11"/>
  <c r="BL378" i="11" s="1"/>
  <c r="BY377" i="11"/>
  <c r="AX378" i="11"/>
  <c r="AY378" i="11" s="1"/>
  <c r="AS378" i="11"/>
  <c r="CL378" i="11"/>
  <c r="BK379" i="11"/>
  <c r="B349" i="12"/>
  <c r="DJ379" i="11"/>
  <c r="DJ378" i="11"/>
  <c r="DL378" i="11" s="1"/>
  <c r="AS379" i="11"/>
  <c r="CK379" i="11"/>
  <c r="CL379" i="11" s="1"/>
  <c r="BS379" i="11"/>
  <c r="BW379" i="11"/>
  <c r="BX379" i="11"/>
  <c r="AB381" i="11"/>
  <c r="CF380" i="11"/>
  <c r="CD380" i="11"/>
  <c r="CX379" i="11"/>
  <c r="CY379" i="11" s="1"/>
  <c r="CS379" i="11"/>
  <c r="CQ380" i="11"/>
  <c r="AQ380" i="11"/>
  <c r="AR380" i="11" s="1"/>
  <c r="AT380" i="11" s="1"/>
  <c r="AP381" i="11"/>
  <c r="CE381" i="11"/>
  <c r="CG381" i="11" s="1"/>
  <c r="DU381" i="11"/>
  <c r="DV381" i="11"/>
  <c r="DH381" i="11"/>
  <c r="DI381" i="11"/>
  <c r="CR381" i="11"/>
  <c r="CT381" i="11" s="1"/>
  <c r="CU381" i="11"/>
  <c r="CV381" i="11"/>
  <c r="CH381" i="11"/>
  <c r="CI381" i="11"/>
  <c r="BU381" i="11"/>
  <c r="BV381" i="11"/>
  <c r="BI381" i="11"/>
  <c r="BH381" i="11"/>
  <c r="AU381" i="11"/>
  <c r="AV381" i="11"/>
  <c r="AH381" i="11"/>
  <c r="AI381" i="11"/>
  <c r="DE380" i="11"/>
  <c r="DG380" i="11" s="1"/>
  <c r="BE380" i="11"/>
  <c r="BG380" i="11" s="1"/>
  <c r="BR380" i="11"/>
  <c r="BT380" i="11" s="1"/>
  <c r="DN381" i="11"/>
  <c r="Y381" i="11"/>
  <c r="BP381" i="11"/>
  <c r="BN381" i="11"/>
  <c r="AO381" i="11"/>
  <c r="BO381" i="11"/>
  <c r="BQ381" i="11" s="1"/>
  <c r="CN381" i="11"/>
  <c r="CA381" i="11"/>
  <c r="BC381" i="11"/>
  <c r="DP381" i="11"/>
  <c r="CZ381" i="11"/>
  <c r="CO381" i="11"/>
  <c r="CP381" i="11"/>
  <c r="AN381" i="11"/>
  <c r="DA381" i="11"/>
  <c r="CM381" i="11"/>
  <c r="BM381" i="11"/>
  <c r="AM381" i="11"/>
  <c r="AA381" i="11"/>
  <c r="CB381" i="11"/>
  <c r="X381" i="11"/>
  <c r="DC381" i="11"/>
  <c r="AZ381" i="11"/>
  <c r="CC381" i="11"/>
  <c r="BZ381" i="11"/>
  <c r="BB381" i="11"/>
  <c r="BD381" i="11" s="1"/>
  <c r="BA381" i="11"/>
  <c r="DM381" i="11"/>
  <c r="W382" i="11"/>
  <c r="DB381" i="11"/>
  <c r="DD381" i="11" s="1"/>
  <c r="B382" i="11"/>
  <c r="A382" i="11" s="1"/>
  <c r="C383" i="11"/>
  <c r="M381" i="11" l="1"/>
  <c r="L381" i="11"/>
  <c r="EA382" i="11"/>
  <c r="EH382" i="11"/>
  <c r="EC382" i="11"/>
  <c r="DZ382" i="11"/>
  <c r="EI382" i="11"/>
  <c r="M348" i="12"/>
  <c r="V348" i="12"/>
  <c r="W348" i="12" s="1"/>
  <c r="A349" i="12"/>
  <c r="N349" i="12" s="1"/>
  <c r="P382" i="11"/>
  <c r="DF380" i="11"/>
  <c r="BS380" i="11"/>
  <c r="BF380" i="11"/>
  <c r="BK380" i="11"/>
  <c r="DK379" i="11"/>
  <c r="DL379" i="11" s="1"/>
  <c r="BJ379" i="11"/>
  <c r="BL379" i="11" s="1"/>
  <c r="AW379" i="11"/>
  <c r="AX379" i="11"/>
  <c r="AX380" i="11"/>
  <c r="B350" i="12"/>
  <c r="DK380" i="11"/>
  <c r="BY379" i="11"/>
  <c r="CJ380" i="11"/>
  <c r="AB382" i="11"/>
  <c r="CK380" i="11"/>
  <c r="CX380" i="11"/>
  <c r="CS380" i="11"/>
  <c r="CS381" i="11"/>
  <c r="CQ381" i="11"/>
  <c r="CW380" i="11"/>
  <c r="CF381" i="11"/>
  <c r="CD381" i="11"/>
  <c r="AQ381" i="11"/>
  <c r="AR381" i="11" s="1"/>
  <c r="AT381" i="11" s="1"/>
  <c r="CE382" i="11"/>
  <c r="CG382" i="11" s="1"/>
  <c r="DU382" i="11"/>
  <c r="DV382" i="11"/>
  <c r="DH382" i="11"/>
  <c r="DI382" i="11"/>
  <c r="CV382" i="11"/>
  <c r="CR382" i="11"/>
  <c r="CT382" i="11" s="1"/>
  <c r="CU382" i="11"/>
  <c r="CI382" i="11"/>
  <c r="CH382" i="11"/>
  <c r="BU382" i="11"/>
  <c r="BV382" i="11"/>
  <c r="BI382" i="11"/>
  <c r="BH382" i="11"/>
  <c r="AU382" i="11"/>
  <c r="AV382" i="11"/>
  <c r="AH382" i="11"/>
  <c r="AI382" i="11"/>
  <c r="BR381" i="11"/>
  <c r="BT381" i="11" s="1"/>
  <c r="BE381" i="11"/>
  <c r="BG381" i="11" s="1"/>
  <c r="DE381" i="11"/>
  <c r="DG381" i="11" s="1"/>
  <c r="BP382" i="11"/>
  <c r="DN382" i="11"/>
  <c r="BN382" i="11"/>
  <c r="CO382" i="11"/>
  <c r="BO382" i="11"/>
  <c r="DB382" i="11"/>
  <c r="DD382" i="11" s="1"/>
  <c r="CC382" i="11"/>
  <c r="DC382" i="11"/>
  <c r="BC382" i="11"/>
  <c r="Y382" i="11"/>
  <c r="BZ382" i="11"/>
  <c r="AA382" i="11"/>
  <c r="AO382" i="11"/>
  <c r="CN382" i="11"/>
  <c r="AP382" i="11"/>
  <c r="DM382" i="11"/>
  <c r="CA382" i="11"/>
  <c r="BA382" i="11"/>
  <c r="DA382" i="11"/>
  <c r="X382" i="11"/>
  <c r="BB382" i="11"/>
  <c r="BD382" i="11" s="1"/>
  <c r="W383" i="11"/>
  <c r="CB382" i="11"/>
  <c r="AZ382" i="11"/>
  <c r="BM382" i="11"/>
  <c r="AM382" i="11"/>
  <c r="AN382" i="11"/>
  <c r="DP382" i="11"/>
  <c r="CM382" i="11"/>
  <c r="CP382" i="11"/>
  <c r="CZ382" i="11"/>
  <c r="B383" i="11"/>
  <c r="A383" i="11" s="1"/>
  <c r="C384" i="11"/>
  <c r="L382" i="11" l="1"/>
  <c r="M382" i="11"/>
  <c r="EH383" i="11"/>
  <c r="EI383" i="11"/>
  <c r="EC383" i="11"/>
  <c r="EA383" i="11"/>
  <c r="DZ383" i="11"/>
  <c r="V349" i="12"/>
  <c r="W349" i="12" s="1"/>
  <c r="M349" i="12"/>
  <c r="A350" i="12"/>
  <c r="M350" i="12" s="1"/>
  <c r="P383" i="11"/>
  <c r="BF381" i="11"/>
  <c r="BS381" i="11"/>
  <c r="BW381" i="11"/>
  <c r="DF381" i="11"/>
  <c r="DJ381" i="11"/>
  <c r="AY379" i="11"/>
  <c r="BJ381" i="11"/>
  <c r="DJ380" i="11"/>
  <c r="DL380" i="11" s="1"/>
  <c r="AW380" i="11"/>
  <c r="AY380" i="11" s="1"/>
  <c r="BW380" i="11"/>
  <c r="BX380" i="11"/>
  <c r="AS381" i="11"/>
  <c r="AS380" i="11"/>
  <c r="B351" i="12"/>
  <c r="BJ380" i="11"/>
  <c r="BL380" i="11" s="1"/>
  <c r="CX381" i="11"/>
  <c r="CW381" i="11"/>
  <c r="CL380" i="11"/>
  <c r="CQ382" i="11"/>
  <c r="CY380" i="11"/>
  <c r="BQ382" i="11"/>
  <c r="BR382" i="11" s="1"/>
  <c r="BT382" i="11" s="1"/>
  <c r="AB383" i="11"/>
  <c r="CJ382" i="11"/>
  <c r="CD382" i="11"/>
  <c r="CK381" i="11"/>
  <c r="CJ381" i="11"/>
  <c r="AQ382" i="11"/>
  <c r="AR382" i="11" s="1"/>
  <c r="AT382" i="11" s="1"/>
  <c r="BE382" i="11"/>
  <c r="BG382" i="11" s="1"/>
  <c r="DE382" i="11"/>
  <c r="DG382" i="11" s="1"/>
  <c r="CE383" i="11"/>
  <c r="CG383" i="11" s="1"/>
  <c r="DV383" i="11"/>
  <c r="DU383" i="11"/>
  <c r="DH383" i="11"/>
  <c r="DI383" i="11"/>
  <c r="CR383" i="11"/>
  <c r="CT383" i="11" s="1"/>
  <c r="CU383" i="11"/>
  <c r="CV383" i="11"/>
  <c r="CH383" i="11"/>
  <c r="CI383" i="11"/>
  <c r="BU383" i="11"/>
  <c r="BV383" i="11"/>
  <c r="BH383" i="11"/>
  <c r="BI383" i="11"/>
  <c r="AV383" i="11"/>
  <c r="AU383" i="11"/>
  <c r="AH383" i="11"/>
  <c r="AI383" i="11"/>
  <c r="BP383" i="11"/>
  <c r="BN383" i="11"/>
  <c r="AO383" i="11"/>
  <c r="BO383" i="11"/>
  <c r="BQ383" i="11" s="1"/>
  <c r="AM383" i="11"/>
  <c r="BB383" i="11"/>
  <c r="BD383" i="11" s="1"/>
  <c r="CB383" i="11"/>
  <c r="CM383" i="11"/>
  <c r="DA383" i="11"/>
  <c r="CA383" i="11"/>
  <c r="DC383" i="11"/>
  <c r="CP383" i="11"/>
  <c r="CZ383" i="11"/>
  <c r="DP383" i="11"/>
  <c r="AN383" i="11"/>
  <c r="DM383" i="11"/>
  <c r="CC383" i="11"/>
  <c r="BZ383" i="11"/>
  <c r="BM383" i="11"/>
  <c r="Y383" i="11"/>
  <c r="AA383" i="11"/>
  <c r="W384" i="11"/>
  <c r="AP383" i="11"/>
  <c r="BA383" i="11"/>
  <c r="CN383" i="11"/>
  <c r="AZ383" i="11"/>
  <c r="BC383" i="11"/>
  <c r="X383" i="11"/>
  <c r="CO383" i="11"/>
  <c r="DB383" i="11"/>
  <c r="DD383" i="11" s="1"/>
  <c r="DN383" i="11"/>
  <c r="B384" i="11"/>
  <c r="A384" i="11" s="1"/>
  <c r="C385" i="11"/>
  <c r="M383" i="11" l="1"/>
  <c r="L383" i="11"/>
  <c r="V350" i="12"/>
  <c r="W350" i="12" s="1"/>
  <c r="N350" i="12"/>
  <c r="DZ384" i="11"/>
  <c r="EH384" i="11"/>
  <c r="EI384" i="11"/>
  <c r="EC384" i="11"/>
  <c r="EA384" i="11"/>
  <c r="A351" i="12"/>
  <c r="V351" i="12" s="1"/>
  <c r="W351" i="12" s="1"/>
  <c r="P384" i="11"/>
  <c r="BF382" i="11"/>
  <c r="BJ382" i="11"/>
  <c r="DF382" i="11"/>
  <c r="DK382" i="11"/>
  <c r="BX381" i="11"/>
  <c r="BY381" i="11" s="1"/>
  <c r="BK381" i="11"/>
  <c r="BL381" i="11" s="1"/>
  <c r="BY380" i="11"/>
  <c r="DK381" i="11"/>
  <c r="DL381" i="11" s="1"/>
  <c r="AX381" i="11"/>
  <c r="AW381" i="11"/>
  <c r="B352" i="12"/>
  <c r="CY381" i="11"/>
  <c r="BS382" i="11"/>
  <c r="BW382" i="11"/>
  <c r="BX382" i="11"/>
  <c r="AB384" i="11"/>
  <c r="CL381" i="11"/>
  <c r="BR383" i="11"/>
  <c r="BT383" i="11" s="1"/>
  <c r="CF383" i="11"/>
  <c r="CD383" i="11"/>
  <c r="CX382" i="11"/>
  <c r="CS382" i="11"/>
  <c r="CS383" i="11"/>
  <c r="CQ383" i="11"/>
  <c r="CK382" i="11"/>
  <c r="CL382" i="11" s="1"/>
  <c r="CF382" i="11"/>
  <c r="CW382" i="11"/>
  <c r="AQ383" i="11"/>
  <c r="AR383" i="11" s="1"/>
  <c r="AT383" i="11" s="1"/>
  <c r="BK382" i="11"/>
  <c r="DE383" i="11"/>
  <c r="DG383" i="11" s="1"/>
  <c r="CP384" i="11"/>
  <c r="CE384" i="11"/>
  <c r="CG384" i="11" s="1"/>
  <c r="DU384" i="11"/>
  <c r="DV384" i="11"/>
  <c r="DH384" i="11"/>
  <c r="DI384" i="11"/>
  <c r="CR384" i="11"/>
  <c r="CT384" i="11" s="1"/>
  <c r="CU384" i="11"/>
  <c r="CV384" i="11"/>
  <c r="CI384" i="11"/>
  <c r="CH384" i="11"/>
  <c r="BU384" i="11"/>
  <c r="BV384" i="11"/>
  <c r="BH384" i="11"/>
  <c r="BI384" i="11"/>
  <c r="AU384" i="11"/>
  <c r="AV384" i="11"/>
  <c r="AH384" i="11"/>
  <c r="AI384" i="11"/>
  <c r="BE383" i="11"/>
  <c r="BG383" i="11" s="1"/>
  <c r="BP384" i="11"/>
  <c r="BA384" i="11"/>
  <c r="BN384" i="11"/>
  <c r="DB384" i="11"/>
  <c r="DD384" i="11" s="1"/>
  <c r="BO384" i="11"/>
  <c r="BQ384" i="11" s="1"/>
  <c r="CZ384" i="11"/>
  <c r="DA384" i="11"/>
  <c r="AA384" i="11"/>
  <c r="Y384" i="11"/>
  <c r="DP384" i="11"/>
  <c r="BM384" i="11"/>
  <c r="CA384" i="11"/>
  <c r="BC384" i="11"/>
  <c r="CM384" i="11"/>
  <c r="AZ384" i="11"/>
  <c r="DN384" i="11"/>
  <c r="CN384" i="11"/>
  <c r="BB384" i="11"/>
  <c r="BD384" i="11" s="1"/>
  <c r="BZ384" i="11"/>
  <c r="CO384" i="11"/>
  <c r="AO384" i="11"/>
  <c r="CC384" i="11"/>
  <c r="X384" i="11"/>
  <c r="AP384" i="11"/>
  <c r="AN384" i="11"/>
  <c r="CB384" i="11"/>
  <c r="DC384" i="11"/>
  <c r="W385" i="11"/>
  <c r="DM384" i="11"/>
  <c r="AM384" i="11"/>
  <c r="B385" i="11"/>
  <c r="A385" i="11" s="1"/>
  <c r="C386" i="11"/>
  <c r="N351" i="12" l="1"/>
  <c r="M384" i="11"/>
  <c r="L384" i="11"/>
  <c r="M351" i="12"/>
  <c r="EI385" i="11"/>
  <c r="EC385" i="11"/>
  <c r="DZ385" i="11"/>
  <c r="EH385" i="11"/>
  <c r="EA385" i="11"/>
  <c r="A352" i="12"/>
  <c r="M352" i="12" s="1"/>
  <c r="P385" i="11"/>
  <c r="BS383" i="11"/>
  <c r="BW383" i="11"/>
  <c r="DF383" i="11"/>
  <c r="DJ383" i="11"/>
  <c r="BF383" i="11"/>
  <c r="AY381" i="11"/>
  <c r="DJ382" i="11"/>
  <c r="DL382" i="11" s="1"/>
  <c r="AW382" i="11"/>
  <c r="AS383" i="11"/>
  <c r="AX382" i="11"/>
  <c r="BJ383" i="11"/>
  <c r="AS382" i="11"/>
  <c r="B353" i="12"/>
  <c r="BY382" i="11"/>
  <c r="CX383" i="11"/>
  <c r="CK383" i="11"/>
  <c r="CJ383" i="11"/>
  <c r="AB385" i="11"/>
  <c r="CW383" i="11"/>
  <c r="CF384" i="11"/>
  <c r="CD384" i="11"/>
  <c r="CY382" i="11"/>
  <c r="CS384" i="11"/>
  <c r="CQ384" i="11"/>
  <c r="BL382" i="11"/>
  <c r="AQ384" i="11"/>
  <c r="AR384" i="11" s="1"/>
  <c r="AT384" i="11" s="1"/>
  <c r="AX383" i="11"/>
  <c r="AW383" i="11"/>
  <c r="CK384" i="11"/>
  <c r="BE384" i="11"/>
  <c r="BG384" i="11" s="1"/>
  <c r="DE384" i="11"/>
  <c r="DG384" i="11" s="1"/>
  <c r="CE385" i="11"/>
  <c r="CG385" i="11" s="1"/>
  <c r="DV385" i="11"/>
  <c r="DU385" i="11"/>
  <c r="DH385" i="11"/>
  <c r="DI385" i="11"/>
  <c r="CR385" i="11"/>
  <c r="CT385" i="11" s="1"/>
  <c r="CU385" i="11"/>
  <c r="CV385" i="11"/>
  <c r="CH385" i="11"/>
  <c r="CI385" i="11"/>
  <c r="BV385" i="11"/>
  <c r="BI385" i="11"/>
  <c r="BU385" i="11"/>
  <c r="BH385" i="11"/>
  <c r="AU385" i="11"/>
  <c r="AV385" i="11"/>
  <c r="AI385" i="11"/>
  <c r="AH385" i="11"/>
  <c r="BR384" i="11"/>
  <c r="BT384" i="11" s="1"/>
  <c r="BN385" i="11"/>
  <c r="BP385" i="11"/>
  <c r="BM385" i="11"/>
  <c r="BO385" i="11"/>
  <c r="BQ385" i="11" s="1"/>
  <c r="BR385" i="11" s="1"/>
  <c r="BT385" i="11" s="1"/>
  <c r="AM385" i="11"/>
  <c r="CC385" i="11"/>
  <c r="CA385" i="11"/>
  <c r="DN385" i="11"/>
  <c r="CZ385" i="11"/>
  <c r="AN385" i="11"/>
  <c r="AZ385" i="11"/>
  <c r="CN385" i="11"/>
  <c r="BB385" i="11"/>
  <c r="BD385" i="11" s="1"/>
  <c r="BZ385" i="11"/>
  <c r="CP385" i="11"/>
  <c r="AP385" i="11"/>
  <c r="DM385" i="11"/>
  <c r="AA385" i="11"/>
  <c r="W386" i="11"/>
  <c r="DP385" i="11"/>
  <c r="CM385" i="11"/>
  <c r="AO385" i="11"/>
  <c r="DA385" i="11"/>
  <c r="Y385" i="11"/>
  <c r="BA385" i="11"/>
  <c r="CB385" i="11"/>
  <c r="X385" i="11"/>
  <c r="DC385" i="11"/>
  <c r="CO385" i="11"/>
  <c r="DB385" i="11"/>
  <c r="DD385" i="11" s="1"/>
  <c r="BC385" i="11"/>
  <c r="B386" i="11"/>
  <c r="A386" i="11" s="1"/>
  <c r="C387" i="11"/>
  <c r="V352" i="12" l="1"/>
  <c r="W352" i="12" s="1"/>
  <c r="L385" i="11"/>
  <c r="M385" i="11"/>
  <c r="EA386" i="11"/>
  <c r="DZ386" i="11"/>
  <c r="EI386" i="11"/>
  <c r="EH386" i="11"/>
  <c r="EC386" i="11"/>
  <c r="N352" i="12"/>
  <c r="A353" i="12"/>
  <c r="N353" i="12" s="1"/>
  <c r="P386" i="11"/>
  <c r="BS384" i="11"/>
  <c r="DF384" i="11"/>
  <c r="BF384" i="11"/>
  <c r="BJ384" i="11"/>
  <c r="BK383" i="11"/>
  <c r="BL383" i="11" s="1"/>
  <c r="CL383" i="11"/>
  <c r="AY382" i="11"/>
  <c r="BX383" i="11"/>
  <c r="BY383" i="11" s="1"/>
  <c r="DK384" i="11"/>
  <c r="DK383" i="11"/>
  <c r="DL383" i="11" s="1"/>
  <c r="AW384" i="11"/>
  <c r="B354" i="12"/>
  <c r="CW384" i="11"/>
  <c r="CY383" i="11"/>
  <c r="CX384" i="11"/>
  <c r="AB386" i="11"/>
  <c r="CJ384" i="11"/>
  <c r="CL384" i="11" s="1"/>
  <c r="CF385" i="11"/>
  <c r="CD385" i="11"/>
  <c r="CS385" i="11"/>
  <c r="CQ385" i="11"/>
  <c r="BS385" i="11"/>
  <c r="AQ385" i="11"/>
  <c r="AR385" i="11" s="1"/>
  <c r="AT385" i="11" s="1"/>
  <c r="AY383" i="11"/>
  <c r="BE385" i="11"/>
  <c r="BG385" i="11" s="1"/>
  <c r="CE386" i="11"/>
  <c r="CG386" i="11" s="1"/>
  <c r="DU386" i="11"/>
  <c r="DV386" i="11"/>
  <c r="DH386" i="11"/>
  <c r="DI386" i="11"/>
  <c r="CR386" i="11"/>
  <c r="CT386" i="11" s="1"/>
  <c r="CU386" i="11"/>
  <c r="CV386" i="11"/>
  <c r="CH386" i="11"/>
  <c r="CI386" i="11"/>
  <c r="BU386" i="11"/>
  <c r="BV386" i="11"/>
  <c r="BH386" i="11"/>
  <c r="BI386" i="11"/>
  <c r="AU386" i="11"/>
  <c r="AV386" i="11"/>
  <c r="AH386" i="11"/>
  <c r="AI386" i="11"/>
  <c r="DE385" i="11"/>
  <c r="DG385" i="11" s="1"/>
  <c r="DA386" i="11"/>
  <c r="DC386" i="11"/>
  <c r="X386" i="11"/>
  <c r="AM386" i="11"/>
  <c r="AA386" i="11"/>
  <c r="BA386" i="11"/>
  <c r="BC386" i="11"/>
  <c r="DM386" i="11"/>
  <c r="BP386" i="11"/>
  <c r="BN386" i="11"/>
  <c r="AZ386" i="11"/>
  <c r="DB386" i="11"/>
  <c r="DD386" i="11" s="1"/>
  <c r="CO386" i="11"/>
  <c r="CB386" i="11"/>
  <c r="AO386" i="11"/>
  <c r="BO386" i="11"/>
  <c r="BQ386" i="11" s="1"/>
  <c r="DN386" i="11"/>
  <c r="Y386" i="11"/>
  <c r="CA386" i="11"/>
  <c r="CN386" i="11"/>
  <c r="CM386" i="11"/>
  <c r="AP386" i="11"/>
  <c r="AN386" i="11"/>
  <c r="DP386" i="11"/>
  <c r="CP386" i="11"/>
  <c r="CZ386" i="11"/>
  <c r="W387" i="11"/>
  <c r="BZ386" i="11"/>
  <c r="CC386" i="11"/>
  <c r="BB386" i="11"/>
  <c r="BD386" i="11" s="1"/>
  <c r="BM386" i="11"/>
  <c r="B387" i="11"/>
  <c r="A387" i="11" s="1"/>
  <c r="C388" i="11"/>
  <c r="M386" i="11" l="1"/>
  <c r="L386" i="11"/>
  <c r="EC387" i="11"/>
  <c r="EA387" i="11"/>
  <c r="DZ387" i="11"/>
  <c r="EI387" i="11"/>
  <c r="EH387" i="11"/>
  <c r="M353" i="12"/>
  <c r="V353" i="12"/>
  <c r="W353" i="12" s="1"/>
  <c r="A354" i="12"/>
  <c r="V354" i="12" s="1"/>
  <c r="W354" i="12" s="1"/>
  <c r="P387" i="11"/>
  <c r="DF385" i="11"/>
  <c r="BF385" i="11"/>
  <c r="BK384" i="11"/>
  <c r="BL384" i="11" s="1"/>
  <c r="BX384" i="11"/>
  <c r="BW384" i="11"/>
  <c r="DJ384" i="11"/>
  <c r="DL384" i="11" s="1"/>
  <c r="AS385" i="11"/>
  <c r="AS384" i="11"/>
  <c r="AX384" i="11"/>
  <c r="AY384" i="11" s="1"/>
  <c r="BK385" i="11"/>
  <c r="DJ385" i="11"/>
  <c r="BX385" i="11"/>
  <c r="B355" i="12"/>
  <c r="BW385" i="11"/>
  <c r="CY384" i="11"/>
  <c r="CJ385" i="11"/>
  <c r="CW385" i="11"/>
  <c r="CK385" i="11"/>
  <c r="BR386" i="11"/>
  <c r="BT386" i="11" s="1"/>
  <c r="AB387" i="11"/>
  <c r="CQ386" i="11"/>
  <c r="CJ386" i="11"/>
  <c r="CD386" i="11"/>
  <c r="CX385" i="11"/>
  <c r="AQ386" i="11"/>
  <c r="AR386" i="11" s="1"/>
  <c r="AT386" i="11" s="1"/>
  <c r="BE386" i="11"/>
  <c r="BG386" i="11" s="1"/>
  <c r="DE386" i="11"/>
  <c r="DG386" i="11" s="1"/>
  <c r="CE387" i="11"/>
  <c r="CG387" i="11" s="1"/>
  <c r="DV387" i="11"/>
  <c r="DU387" i="11"/>
  <c r="DH387" i="11"/>
  <c r="DI387" i="11"/>
  <c r="CR387" i="11"/>
  <c r="CT387" i="11" s="1"/>
  <c r="CV387" i="11"/>
  <c r="CU387" i="11"/>
  <c r="CH387" i="11"/>
  <c r="CI387" i="11"/>
  <c r="BU387" i="11"/>
  <c r="BI387" i="11"/>
  <c r="BV387" i="11"/>
  <c r="BH387" i="11"/>
  <c r="AU387" i="11"/>
  <c r="AV387" i="11"/>
  <c r="AI387" i="11"/>
  <c r="AH387" i="11"/>
  <c r="CS386" i="11"/>
  <c r="BP387" i="11"/>
  <c r="CC387" i="11"/>
  <c r="DA387" i="11"/>
  <c r="BN387" i="11"/>
  <c r="BM387" i="11"/>
  <c r="BO387" i="11"/>
  <c r="BQ387" i="11" s="1"/>
  <c r="DP387" i="11"/>
  <c r="BZ387" i="11"/>
  <c r="DB387" i="11"/>
  <c r="DD387" i="11" s="1"/>
  <c r="CO387" i="11"/>
  <c r="AZ387" i="11"/>
  <c r="CA387" i="11"/>
  <c r="AO387" i="11"/>
  <c r="BC387" i="11"/>
  <c r="CB387" i="11"/>
  <c r="W388" i="11"/>
  <c r="X387" i="11"/>
  <c r="AA387" i="11"/>
  <c r="AN387" i="11"/>
  <c r="CN387" i="11"/>
  <c r="BB387" i="11"/>
  <c r="BD387" i="11" s="1"/>
  <c r="BA387" i="11"/>
  <c r="CZ387" i="11"/>
  <c r="AP387" i="11"/>
  <c r="DM387" i="11"/>
  <c r="AM387" i="11"/>
  <c r="Y387" i="11"/>
  <c r="DC387" i="11"/>
  <c r="CP387" i="11"/>
  <c r="CM387" i="11"/>
  <c r="DN387" i="11"/>
  <c r="B388" i="11"/>
  <c r="A388" i="11" s="1"/>
  <c r="C389" i="11"/>
  <c r="N354" i="12" l="1"/>
  <c r="L387" i="11"/>
  <c r="M387" i="11"/>
  <c r="M354" i="12"/>
  <c r="DZ388" i="11"/>
  <c r="EH388" i="11"/>
  <c r="EC388" i="11"/>
  <c r="EA388" i="11"/>
  <c r="EI388" i="11"/>
  <c r="A355" i="12"/>
  <c r="N355" i="12" s="1"/>
  <c r="P388" i="11"/>
  <c r="DF386" i="11"/>
  <c r="DJ386" i="11"/>
  <c r="BF386" i="11"/>
  <c r="BJ386" i="11"/>
  <c r="BY385" i="11"/>
  <c r="BY384" i="11"/>
  <c r="DK385" i="11"/>
  <c r="DL385" i="11" s="1"/>
  <c r="AX385" i="11"/>
  <c r="AW385" i="11"/>
  <c r="B356" i="12"/>
  <c r="BX386" i="11"/>
  <c r="BJ385" i="11"/>
  <c r="BL385" i="11" s="1"/>
  <c r="CY385" i="11"/>
  <c r="CL385" i="11"/>
  <c r="BW386" i="11"/>
  <c r="BS386" i="11"/>
  <c r="AB388" i="11"/>
  <c r="BR387" i="11"/>
  <c r="BT387" i="11" s="1"/>
  <c r="CX387" i="11"/>
  <c r="CQ387" i="11"/>
  <c r="CF387" i="11"/>
  <c r="CD387" i="11"/>
  <c r="CK386" i="11"/>
  <c r="CL386" i="11" s="1"/>
  <c r="CF386" i="11"/>
  <c r="AQ387" i="11"/>
  <c r="AR387" i="11" s="1"/>
  <c r="AT387" i="11" s="1"/>
  <c r="AX386" i="11"/>
  <c r="DE387" i="11"/>
  <c r="DG387" i="11" s="1"/>
  <c r="CX386" i="11"/>
  <c r="CW386" i="11"/>
  <c r="BE387" i="11"/>
  <c r="BG387" i="11" s="1"/>
  <c r="CE388" i="11"/>
  <c r="CG388" i="11" s="1"/>
  <c r="DV388" i="11"/>
  <c r="DU388" i="11"/>
  <c r="DI388" i="11"/>
  <c r="DH388" i="11"/>
  <c r="CV388" i="11"/>
  <c r="CU388" i="11"/>
  <c r="CR388" i="11"/>
  <c r="CT388" i="11" s="1"/>
  <c r="CH388" i="11"/>
  <c r="CI388" i="11"/>
  <c r="BU388" i="11"/>
  <c r="BV388" i="11"/>
  <c r="BH388" i="11"/>
  <c r="BI388" i="11"/>
  <c r="AU388" i="11"/>
  <c r="AV388" i="11"/>
  <c r="AH388" i="11"/>
  <c r="AI388" i="11"/>
  <c r="AM388" i="11"/>
  <c r="DP388" i="11"/>
  <c r="BN388" i="11"/>
  <c r="BP388" i="11"/>
  <c r="BO388" i="11"/>
  <c r="BQ388" i="11" s="1"/>
  <c r="DM388" i="11"/>
  <c r="AA388" i="11"/>
  <c r="AP388" i="11"/>
  <c r="CA388" i="11"/>
  <c r="CP388" i="11"/>
  <c r="CZ388" i="11"/>
  <c r="X388" i="11"/>
  <c r="BA388" i="11"/>
  <c r="CC388" i="11"/>
  <c r="CM388" i="11"/>
  <c r="DC388" i="11"/>
  <c r="Y388" i="11"/>
  <c r="DB388" i="11"/>
  <c r="DD388" i="11" s="1"/>
  <c r="AO388" i="11"/>
  <c r="BB388" i="11"/>
  <c r="BD388" i="11" s="1"/>
  <c r="AZ388" i="11"/>
  <c r="W389" i="11"/>
  <c r="CO388" i="11"/>
  <c r="CN388" i="11"/>
  <c r="CB388" i="11"/>
  <c r="BZ388" i="11"/>
  <c r="DN388" i="11"/>
  <c r="BM388" i="11"/>
  <c r="AN388" i="11"/>
  <c r="BC388" i="11"/>
  <c r="DA388" i="11"/>
  <c r="B389" i="11"/>
  <c r="A389" i="11" s="1"/>
  <c r="C390" i="11"/>
  <c r="L388" i="11" l="1"/>
  <c r="M388" i="11"/>
  <c r="M355" i="12"/>
  <c r="V355" i="12"/>
  <c r="W355" i="12" s="1"/>
  <c r="EI389" i="11"/>
  <c r="EC389" i="11"/>
  <c r="EH389" i="11"/>
  <c r="EA389" i="11"/>
  <c r="DZ389" i="11"/>
  <c r="A356" i="12"/>
  <c r="V356" i="12" s="1"/>
  <c r="W356" i="12" s="1"/>
  <c r="P389" i="11"/>
  <c r="DF387" i="11"/>
  <c r="BS387" i="11"/>
  <c r="BF387" i="11"/>
  <c r="AY385" i="11"/>
  <c r="AS387" i="11"/>
  <c r="BY386" i="11"/>
  <c r="DK386" i="11"/>
  <c r="DL386" i="11" s="1"/>
  <c r="BK386" i="11"/>
  <c r="BL386" i="11" s="1"/>
  <c r="B357" i="12"/>
  <c r="AW386" i="11"/>
  <c r="AY386" i="11" s="1"/>
  <c r="AS386" i="11"/>
  <c r="CJ387" i="11"/>
  <c r="CK387" i="11"/>
  <c r="AB389" i="11"/>
  <c r="CD388" i="11"/>
  <c r="CS388" i="11"/>
  <c r="CQ388" i="11"/>
  <c r="CY386" i="11"/>
  <c r="CW387" i="11"/>
  <c r="CY387" i="11" s="1"/>
  <c r="CS387" i="11"/>
  <c r="AQ388" i="11"/>
  <c r="AR388" i="11" s="1"/>
  <c r="AT388" i="11" s="1"/>
  <c r="CF388" i="11"/>
  <c r="BE388" i="11"/>
  <c r="BG388" i="11" s="1"/>
  <c r="CE389" i="11"/>
  <c r="CG389" i="11" s="1"/>
  <c r="DU389" i="11"/>
  <c r="DV389" i="11"/>
  <c r="DH389" i="11"/>
  <c r="DI389" i="11"/>
  <c r="CR389" i="11"/>
  <c r="CT389" i="11" s="1"/>
  <c r="CU389" i="11"/>
  <c r="CV389" i="11"/>
  <c r="CH389" i="11"/>
  <c r="CI389" i="11"/>
  <c r="BU389" i="11"/>
  <c r="BV389" i="11"/>
  <c r="BI389" i="11"/>
  <c r="AV389" i="11"/>
  <c r="BH389" i="11"/>
  <c r="AH389" i="11"/>
  <c r="AU389" i="11"/>
  <c r="AI389" i="11"/>
  <c r="BR388" i="11"/>
  <c r="BT388" i="11" s="1"/>
  <c r="DE388" i="11"/>
  <c r="DG388" i="11" s="1"/>
  <c r="BP389" i="11"/>
  <c r="BN389" i="11"/>
  <c r="AP389" i="11"/>
  <c r="CB389" i="11"/>
  <c r="BO389" i="11"/>
  <c r="DN389" i="11"/>
  <c r="CO389" i="11"/>
  <c r="BA389" i="11"/>
  <c r="AO389" i="11"/>
  <c r="BZ389" i="11"/>
  <c r="CP389" i="11"/>
  <c r="CC389" i="11"/>
  <c r="DA389" i="11"/>
  <c r="DM389" i="11"/>
  <c r="BB389" i="11"/>
  <c r="BD389" i="11" s="1"/>
  <c r="CN389" i="11"/>
  <c r="X389" i="11"/>
  <c r="BC389" i="11"/>
  <c r="Y389" i="11"/>
  <c r="CA389" i="11"/>
  <c r="AM389" i="11"/>
  <c r="DB389" i="11"/>
  <c r="DD389" i="11" s="1"/>
  <c r="AN389" i="11"/>
  <c r="CZ389" i="11"/>
  <c r="AZ389" i="11"/>
  <c r="DC389" i="11"/>
  <c r="W390" i="11"/>
  <c r="BM389" i="11"/>
  <c r="CM389" i="11"/>
  <c r="AA389" i="11"/>
  <c r="DP389" i="11"/>
  <c r="B390" i="11"/>
  <c r="A390" i="11" s="1"/>
  <c r="C391" i="11"/>
  <c r="M356" i="12" l="1"/>
  <c r="N356" i="12"/>
  <c r="M389" i="11"/>
  <c r="L389" i="11"/>
  <c r="EA390" i="11"/>
  <c r="EI390" i="11"/>
  <c r="EH390" i="11"/>
  <c r="EC390" i="11"/>
  <c r="DZ390" i="11"/>
  <c r="A357" i="12"/>
  <c r="N357" i="12" s="1"/>
  <c r="P390" i="11"/>
  <c r="BS388" i="11"/>
  <c r="BF388" i="11"/>
  <c r="BJ388" i="11"/>
  <c r="DF388" i="11"/>
  <c r="AW387" i="11"/>
  <c r="AX387" i="11"/>
  <c r="BW388" i="11"/>
  <c r="BX387" i="11"/>
  <c r="BW387" i="11"/>
  <c r="BJ387" i="11"/>
  <c r="AS388" i="11"/>
  <c r="BK387" i="11"/>
  <c r="DJ387" i="11"/>
  <c r="CL387" i="11"/>
  <c r="B358" i="12"/>
  <c r="DK387" i="11"/>
  <c r="CW388" i="11"/>
  <c r="AB390" i="11"/>
  <c r="CX388" i="11"/>
  <c r="BQ389" i="11"/>
  <c r="BR389" i="11" s="1"/>
  <c r="BT389" i="11" s="1"/>
  <c r="CW389" i="11"/>
  <c r="CQ389" i="11"/>
  <c r="CF389" i="11"/>
  <c r="CD389" i="11"/>
  <c r="AQ389" i="11"/>
  <c r="AR389" i="11" s="1"/>
  <c r="AT389" i="11" s="1"/>
  <c r="CK388" i="11"/>
  <c r="CJ388" i="11"/>
  <c r="DE389" i="11"/>
  <c r="DG389" i="11" s="1"/>
  <c r="BP390" i="11"/>
  <c r="CE390" i="11"/>
  <c r="CG390" i="11" s="1"/>
  <c r="DU390" i="11"/>
  <c r="DV390" i="11"/>
  <c r="DH390" i="11"/>
  <c r="DI390" i="11"/>
  <c r="CV390" i="11"/>
  <c r="CR390" i="11"/>
  <c r="CT390" i="11" s="1"/>
  <c r="CU390" i="11"/>
  <c r="CI390" i="11"/>
  <c r="CH390" i="11"/>
  <c r="BU390" i="11"/>
  <c r="BV390" i="11"/>
  <c r="BI390" i="11"/>
  <c r="BH390" i="11"/>
  <c r="AU390" i="11"/>
  <c r="AH390" i="11"/>
  <c r="AI390" i="11"/>
  <c r="AV390" i="11"/>
  <c r="BE389" i="11"/>
  <c r="BG389" i="11" s="1"/>
  <c r="CM390" i="11"/>
  <c r="BN390" i="11"/>
  <c r="BO390" i="11"/>
  <c r="BQ390" i="11" s="1"/>
  <c r="DN390" i="11"/>
  <c r="DM390" i="11"/>
  <c r="AA390" i="11"/>
  <c r="AO390" i="11"/>
  <c r="CC390" i="11"/>
  <c r="BM390" i="11"/>
  <c r="DC390" i="11"/>
  <c r="AM390" i="11"/>
  <c r="CA390" i="11"/>
  <c r="BZ390" i="11"/>
  <c r="Y390" i="11"/>
  <c r="AZ390" i="11"/>
  <c r="DB390" i="11"/>
  <c r="DD390" i="11" s="1"/>
  <c r="DA390" i="11"/>
  <c r="W391" i="11"/>
  <c r="CP390" i="11"/>
  <c r="BC390" i="11"/>
  <c r="BA390" i="11"/>
  <c r="CZ390" i="11"/>
  <c r="X390" i="11"/>
  <c r="BB390" i="11"/>
  <c r="BD390" i="11" s="1"/>
  <c r="CO390" i="11"/>
  <c r="CB390" i="11"/>
  <c r="DP390" i="11"/>
  <c r="AN390" i="11"/>
  <c r="CN390" i="11"/>
  <c r="AP390" i="11"/>
  <c r="B391" i="11"/>
  <c r="A391" i="11" s="1"/>
  <c r="C392" i="11"/>
  <c r="L390" i="11" l="1"/>
  <c r="M390" i="11"/>
  <c r="M357" i="12"/>
  <c r="EI391" i="11"/>
  <c r="EH391" i="11"/>
  <c r="EC391" i="11"/>
  <c r="DZ391" i="11"/>
  <c r="EA391" i="11"/>
  <c r="V357" i="12"/>
  <c r="W357" i="12" s="1"/>
  <c r="A358" i="12"/>
  <c r="V358" i="12" s="1"/>
  <c r="W358" i="12" s="1"/>
  <c r="P391" i="11"/>
  <c r="BF389" i="11"/>
  <c r="BK389" i="11"/>
  <c r="DF389" i="11"/>
  <c r="DJ389" i="11"/>
  <c r="AY387" i="11"/>
  <c r="BK388" i="11"/>
  <c r="BL388" i="11" s="1"/>
  <c r="AW388" i="11"/>
  <c r="DL387" i="11"/>
  <c r="BL387" i="11"/>
  <c r="BX388" i="11"/>
  <c r="BY388" i="11" s="1"/>
  <c r="DJ388" i="11"/>
  <c r="AX388" i="11"/>
  <c r="BW389" i="11"/>
  <c r="DK388" i="11"/>
  <c r="B359" i="12"/>
  <c r="BY387" i="11"/>
  <c r="CY388" i="11"/>
  <c r="CK389" i="11"/>
  <c r="CJ389" i="11"/>
  <c r="BS389" i="11"/>
  <c r="AB391" i="11"/>
  <c r="CL388" i="11"/>
  <c r="CX390" i="11"/>
  <c r="CQ390" i="11"/>
  <c r="CF390" i="11"/>
  <c r="CD390" i="11"/>
  <c r="CX389" i="11"/>
  <c r="CY389" i="11" s="1"/>
  <c r="CS389" i="11"/>
  <c r="AQ390" i="11"/>
  <c r="AR390" i="11" s="1"/>
  <c r="AT390" i="11" s="1"/>
  <c r="BR390" i="11"/>
  <c r="BT390" i="11" s="1"/>
  <c r="DE390" i="11"/>
  <c r="DG390" i="11" s="1"/>
  <c r="BP391" i="11"/>
  <c r="CE391" i="11"/>
  <c r="CG391" i="11" s="1"/>
  <c r="DV391" i="11"/>
  <c r="DU391" i="11"/>
  <c r="DH391" i="11"/>
  <c r="DI391" i="11"/>
  <c r="CR391" i="11"/>
  <c r="CT391" i="11" s="1"/>
  <c r="CV391" i="11"/>
  <c r="CU391" i="11"/>
  <c r="CH391" i="11"/>
  <c r="CI391" i="11"/>
  <c r="BU391" i="11"/>
  <c r="BV391" i="11"/>
  <c r="BH391" i="11"/>
  <c r="BI391" i="11"/>
  <c r="AU391" i="11"/>
  <c r="AV391" i="11"/>
  <c r="AH391" i="11"/>
  <c r="AI391" i="11"/>
  <c r="BE390" i="11"/>
  <c r="BG390" i="11" s="1"/>
  <c r="AN391" i="11"/>
  <c r="BN391" i="11"/>
  <c r="AO391" i="11"/>
  <c r="BO391" i="11"/>
  <c r="BM391" i="11"/>
  <c r="CO391" i="11"/>
  <c r="W392" i="11"/>
  <c r="DP391" i="11"/>
  <c r="BB391" i="11"/>
  <c r="BD391" i="11" s="1"/>
  <c r="CP391" i="11"/>
  <c r="DA391" i="11"/>
  <c r="BA391" i="11"/>
  <c r="CM391" i="11"/>
  <c r="CB391" i="11"/>
  <c r="AZ391" i="11"/>
  <c r="DC391" i="11"/>
  <c r="BZ391" i="11"/>
  <c r="AP391" i="11"/>
  <c r="Y391" i="11"/>
  <c r="BC391" i="11"/>
  <c r="DM391" i="11"/>
  <c r="DB391" i="11"/>
  <c r="DD391" i="11" s="1"/>
  <c r="DN391" i="11"/>
  <c r="X391" i="11"/>
  <c r="CZ391" i="11"/>
  <c r="CC391" i="11"/>
  <c r="CN391" i="11"/>
  <c r="AM391" i="11"/>
  <c r="CA391" i="11"/>
  <c r="AA391" i="11"/>
  <c r="B392" i="11"/>
  <c r="A392" i="11" s="1"/>
  <c r="C393" i="11"/>
  <c r="DN392" i="11" l="1"/>
  <c r="M358" i="12"/>
  <c r="N358" i="12"/>
  <c r="M391" i="11"/>
  <c r="L391" i="11"/>
  <c r="EI392" i="11"/>
  <c r="EA392" i="11"/>
  <c r="EH392" i="11"/>
  <c r="DZ392" i="11"/>
  <c r="EC392" i="11"/>
  <c r="A359" i="12"/>
  <c r="M359" i="12" s="1"/>
  <c r="P392" i="11"/>
  <c r="BF390" i="11"/>
  <c r="DF390" i="11"/>
  <c r="DJ390" i="11"/>
  <c r="BS390" i="11"/>
  <c r="BW390" i="11"/>
  <c r="AN392" i="11"/>
  <c r="BX389" i="11"/>
  <c r="BY389" i="11" s="1"/>
  <c r="DK389" i="11"/>
  <c r="DL389" i="11" s="1"/>
  <c r="AY388" i="11"/>
  <c r="AS390" i="11"/>
  <c r="BJ389" i="11"/>
  <c r="BL389" i="11" s="1"/>
  <c r="DL388" i="11"/>
  <c r="B360" i="12"/>
  <c r="AW389" i="11"/>
  <c r="AX389" i="11"/>
  <c r="AS389" i="11"/>
  <c r="CK390" i="11"/>
  <c r="CL389" i="11"/>
  <c r="CJ390" i="11"/>
  <c r="CC392" i="11"/>
  <c r="BQ391" i="11"/>
  <c r="BR391" i="11" s="1"/>
  <c r="BT391" i="11" s="1"/>
  <c r="AB392" i="11"/>
  <c r="CS391" i="11"/>
  <c r="CQ391" i="11"/>
  <c r="CF391" i="11"/>
  <c r="CD391" i="11"/>
  <c r="CW390" i="11"/>
  <c r="CY390" i="11" s="1"/>
  <c r="CS390" i="11"/>
  <c r="AQ391" i="11"/>
  <c r="AR391" i="11" s="1"/>
  <c r="AT391" i="11" s="1"/>
  <c r="AX390" i="11"/>
  <c r="AW390" i="11"/>
  <c r="BE391" i="11"/>
  <c r="BG391" i="11" s="1"/>
  <c r="DE391" i="11"/>
  <c r="DG391" i="11" s="1"/>
  <c r="CE392" i="11"/>
  <c r="CG392" i="11" s="1"/>
  <c r="DU392" i="11"/>
  <c r="DV392" i="11"/>
  <c r="DH392" i="11"/>
  <c r="DI392" i="11"/>
  <c r="CU392" i="11"/>
  <c r="CV392" i="11"/>
  <c r="CR392" i="11"/>
  <c r="CT392" i="11" s="1"/>
  <c r="CI392" i="11"/>
  <c r="CH392" i="11"/>
  <c r="BU392" i="11"/>
  <c r="BV392" i="11"/>
  <c r="BH392" i="11"/>
  <c r="BI392" i="11"/>
  <c r="AU392" i="11"/>
  <c r="AV392" i="11"/>
  <c r="AH392" i="11"/>
  <c r="AI392" i="11"/>
  <c r="CK391" i="11"/>
  <c r="CN392" i="11"/>
  <c r="DC392" i="11"/>
  <c r="BN392" i="11"/>
  <c r="CZ392" i="11"/>
  <c r="BA392" i="11"/>
  <c r="BC392" i="11"/>
  <c r="Y392" i="11"/>
  <c r="DM392" i="11"/>
  <c r="AA392" i="11"/>
  <c r="DA392" i="11"/>
  <c r="CA392" i="11"/>
  <c r="AP392" i="11"/>
  <c r="CP392" i="11"/>
  <c r="CM392" i="11"/>
  <c r="X392" i="11"/>
  <c r="AM392" i="11"/>
  <c r="BZ392" i="11"/>
  <c r="BP392" i="11"/>
  <c r="DB392" i="11"/>
  <c r="DD392" i="11" s="1"/>
  <c r="CO392" i="11"/>
  <c r="CB392" i="11"/>
  <c r="BO392" i="11"/>
  <c r="BB392" i="11"/>
  <c r="BD392" i="11" s="1"/>
  <c r="W393" i="11"/>
  <c r="BM392" i="11"/>
  <c r="AZ392" i="11"/>
  <c r="DP392" i="11"/>
  <c r="AO392" i="11"/>
  <c r="B393" i="11"/>
  <c r="A393" i="11" s="1"/>
  <c r="C394" i="11"/>
  <c r="V359" i="12" l="1"/>
  <c r="W359" i="12" s="1"/>
  <c r="M392" i="11"/>
  <c r="L392" i="11"/>
  <c r="DZ393" i="11"/>
  <c r="EI393" i="11"/>
  <c r="EC393" i="11"/>
  <c r="EH393" i="11"/>
  <c r="EA393" i="11"/>
  <c r="N359" i="12"/>
  <c r="A360" i="12"/>
  <c r="N360" i="12" s="1"/>
  <c r="P393" i="11"/>
  <c r="BF391" i="11"/>
  <c r="DF391" i="11"/>
  <c r="DN393" i="11"/>
  <c r="BX390" i="11"/>
  <c r="BY390" i="11" s="1"/>
  <c r="DK390" i="11"/>
  <c r="DL390" i="11" s="1"/>
  <c r="AY389" i="11"/>
  <c r="BK390" i="11"/>
  <c r="DK391" i="11"/>
  <c r="B361" i="12"/>
  <c r="AS391" i="11"/>
  <c r="BJ390" i="11"/>
  <c r="CL390" i="11"/>
  <c r="CX391" i="11"/>
  <c r="CJ391" i="11"/>
  <c r="CL391" i="11" s="1"/>
  <c r="CQ392" i="11"/>
  <c r="CW391" i="11"/>
  <c r="BS391" i="11"/>
  <c r="BQ392" i="11"/>
  <c r="BR392" i="11" s="1"/>
  <c r="BT392" i="11" s="1"/>
  <c r="AB393" i="11"/>
  <c r="CF392" i="11"/>
  <c r="CD392" i="11"/>
  <c r="AY390" i="11"/>
  <c r="AQ392" i="11"/>
  <c r="AR392" i="11" s="1"/>
  <c r="AT392" i="11" s="1"/>
  <c r="BJ391" i="11"/>
  <c r="BK391" i="11"/>
  <c r="AW391" i="11"/>
  <c r="AX391" i="11"/>
  <c r="CE393" i="11"/>
  <c r="CG393" i="11" s="1"/>
  <c r="DV393" i="11"/>
  <c r="DU393" i="11"/>
  <c r="DH393" i="11"/>
  <c r="DI393" i="11"/>
  <c r="CU393" i="11"/>
  <c r="CR393" i="11"/>
  <c r="CT393" i="11" s="1"/>
  <c r="CV393" i="11"/>
  <c r="CH393" i="11"/>
  <c r="CI393" i="11"/>
  <c r="BU393" i="11"/>
  <c r="BV393" i="11"/>
  <c r="BH393" i="11"/>
  <c r="BI393" i="11"/>
  <c r="AI393" i="11"/>
  <c r="AU393" i="11"/>
  <c r="AV393" i="11"/>
  <c r="AH393" i="11"/>
  <c r="DE392" i="11"/>
  <c r="DG392" i="11" s="1"/>
  <c r="CS392" i="11"/>
  <c r="BE392" i="11"/>
  <c r="BG392" i="11" s="1"/>
  <c r="DP393" i="11"/>
  <c r="AZ393" i="11"/>
  <c r="CZ393" i="11"/>
  <c r="BN393" i="11"/>
  <c r="AN393" i="11"/>
  <c r="BB393" i="11"/>
  <c r="BD393" i="11" s="1"/>
  <c r="DC393" i="11"/>
  <c r="BP393" i="11"/>
  <c r="AO393" i="11"/>
  <c r="BO393" i="11"/>
  <c r="BQ393" i="11" s="1"/>
  <c r="CC393" i="11"/>
  <c r="AM393" i="11"/>
  <c r="CA393" i="11"/>
  <c r="DB393" i="11"/>
  <c r="DD393" i="11" s="1"/>
  <c r="DA393" i="11"/>
  <c r="Y393" i="11"/>
  <c r="CM393" i="11"/>
  <c r="BC393" i="11"/>
  <c r="BZ393" i="11"/>
  <c r="DM393" i="11"/>
  <c r="BM393" i="11"/>
  <c r="W394" i="11"/>
  <c r="AA393" i="11"/>
  <c r="CB393" i="11"/>
  <c r="AP393" i="11"/>
  <c r="CO393" i="11"/>
  <c r="CP393" i="11"/>
  <c r="CN393" i="11"/>
  <c r="BA393" i="11"/>
  <c r="X393" i="11"/>
  <c r="B394" i="11"/>
  <c r="A394" i="11" s="1"/>
  <c r="C395" i="11"/>
  <c r="L393" i="11" l="1"/>
  <c r="M393" i="11"/>
  <c r="M360" i="12"/>
  <c r="V360" i="12"/>
  <c r="W360" i="12" s="1"/>
  <c r="EH394" i="11"/>
  <c r="EA394" i="11"/>
  <c r="DZ394" i="11"/>
  <c r="EI394" i="11"/>
  <c r="EC394" i="11"/>
  <c r="A361" i="12"/>
  <c r="M361" i="12" s="1"/>
  <c r="P394" i="11"/>
  <c r="BF392" i="11"/>
  <c r="DF392" i="11"/>
  <c r="DJ392" i="11"/>
  <c r="BL390" i="11"/>
  <c r="BW391" i="11"/>
  <c r="DJ391" i="11"/>
  <c r="DL391" i="11" s="1"/>
  <c r="BX391" i="11"/>
  <c r="B362" i="12"/>
  <c r="AS392" i="11"/>
  <c r="CY391" i="11"/>
  <c r="BL391" i="11"/>
  <c r="CK392" i="11"/>
  <c r="BS392" i="11"/>
  <c r="BW392" i="11"/>
  <c r="BX392" i="11"/>
  <c r="CD393" i="11"/>
  <c r="AB394" i="11"/>
  <c r="CJ392" i="11"/>
  <c r="CW393" i="11"/>
  <c r="CQ393" i="11"/>
  <c r="AQ393" i="11"/>
  <c r="AR393" i="11" s="1"/>
  <c r="AT393" i="11" s="1"/>
  <c r="AY391" i="11"/>
  <c r="BJ392" i="11"/>
  <c r="BK392" i="11"/>
  <c r="AX392" i="11"/>
  <c r="CE394" i="11"/>
  <c r="CG394" i="11" s="1"/>
  <c r="DU394" i="11"/>
  <c r="DV394" i="11"/>
  <c r="DI394" i="11"/>
  <c r="CR394" i="11"/>
  <c r="CT394" i="11" s="1"/>
  <c r="DH394" i="11"/>
  <c r="CU394" i="11"/>
  <c r="CV394" i="11"/>
  <c r="CH394" i="11"/>
  <c r="CI394" i="11"/>
  <c r="BV394" i="11"/>
  <c r="BU394" i="11"/>
  <c r="BH394" i="11"/>
  <c r="BI394" i="11"/>
  <c r="AV394" i="11"/>
  <c r="AH394" i="11"/>
  <c r="AI394" i="11"/>
  <c r="AU394" i="11"/>
  <c r="DE393" i="11"/>
  <c r="DG393" i="11" s="1"/>
  <c r="CF393" i="11"/>
  <c r="BR393" i="11"/>
  <c r="BT393" i="11" s="1"/>
  <c r="BE393" i="11"/>
  <c r="BG393" i="11" s="1"/>
  <c r="CX392" i="11"/>
  <c r="CW392" i="11"/>
  <c r="BN394" i="11"/>
  <c r="BP394" i="11"/>
  <c r="BZ394" i="11"/>
  <c r="BO394" i="11"/>
  <c r="BQ394" i="11" s="1"/>
  <c r="DP394" i="11"/>
  <c r="CM394" i="11"/>
  <c r="CO394" i="11"/>
  <c r="X394" i="11"/>
  <c r="BM394" i="11"/>
  <c r="AA394" i="11"/>
  <c r="DM394" i="11"/>
  <c r="CN394" i="11"/>
  <c r="Y394" i="11"/>
  <c r="AM394" i="11"/>
  <c r="CP394" i="11"/>
  <c r="AZ394" i="11"/>
  <c r="DN394" i="11"/>
  <c r="AN394" i="11"/>
  <c r="BA394" i="11"/>
  <c r="CZ394" i="11"/>
  <c r="BC394" i="11"/>
  <c r="CB394" i="11"/>
  <c r="CA394" i="11"/>
  <c r="CC394" i="11"/>
  <c r="BB394" i="11"/>
  <c r="BD394" i="11" s="1"/>
  <c r="AP394" i="11"/>
  <c r="W395" i="11"/>
  <c r="DA394" i="11"/>
  <c r="DB394" i="11"/>
  <c r="DD394" i="11" s="1"/>
  <c r="DC394" i="11"/>
  <c r="AO394" i="11"/>
  <c r="B395" i="11"/>
  <c r="A395" i="11" s="1"/>
  <c r="C396" i="11"/>
  <c r="L394" i="11" l="1"/>
  <c r="N361" i="12"/>
  <c r="V361" i="12"/>
  <c r="W361" i="12" s="1"/>
  <c r="M394" i="11"/>
  <c r="DZ395" i="11"/>
  <c r="EC395" i="11"/>
  <c r="EA395" i="11"/>
  <c r="EI395" i="11"/>
  <c r="EH395" i="11"/>
  <c r="A362" i="12"/>
  <c r="V362" i="12" s="1"/>
  <c r="W362" i="12" s="1"/>
  <c r="P395" i="11"/>
  <c r="BF393" i="11"/>
  <c r="BJ393" i="11"/>
  <c r="BS393" i="11"/>
  <c r="DF393" i="11"/>
  <c r="BY391" i="11"/>
  <c r="AW392" i="11"/>
  <c r="AY392" i="11" s="1"/>
  <c r="DK392" i="11"/>
  <c r="DL392" i="11" s="1"/>
  <c r="AX393" i="11"/>
  <c r="B363" i="12"/>
  <c r="BY392" i="11"/>
  <c r="CL392" i="11"/>
  <c r="BL392" i="11"/>
  <c r="AB395" i="11"/>
  <c r="BR394" i="11"/>
  <c r="BT394" i="11" s="1"/>
  <c r="CX394" i="11"/>
  <c r="CQ394" i="11"/>
  <c r="CF394" i="11"/>
  <c r="CD394" i="11"/>
  <c r="CX393" i="11"/>
  <c r="CY393" i="11" s="1"/>
  <c r="CS393" i="11"/>
  <c r="AQ394" i="11"/>
  <c r="AR394" i="11" s="1"/>
  <c r="AT394" i="11" s="1"/>
  <c r="DE394" i="11"/>
  <c r="DG394" i="11" s="1"/>
  <c r="BX393" i="11"/>
  <c r="BW393" i="11"/>
  <c r="CY392" i="11"/>
  <c r="BE394" i="11"/>
  <c r="BG394" i="11" s="1"/>
  <c r="BN395" i="11"/>
  <c r="CE395" i="11"/>
  <c r="CG395" i="11" s="1"/>
  <c r="DV395" i="11"/>
  <c r="DU395" i="11"/>
  <c r="DH395" i="11"/>
  <c r="DI395" i="11"/>
  <c r="CU395" i="11"/>
  <c r="CR395" i="11"/>
  <c r="CT395" i="11" s="1"/>
  <c r="CV395" i="11"/>
  <c r="CH395" i="11"/>
  <c r="CI395" i="11"/>
  <c r="BU395" i="11"/>
  <c r="BV395" i="11"/>
  <c r="BH395" i="11"/>
  <c r="BI395" i="11"/>
  <c r="AV395" i="11"/>
  <c r="AI395" i="11"/>
  <c r="AH395" i="11"/>
  <c r="AU395" i="11"/>
  <c r="CK393" i="11"/>
  <c r="CJ393" i="11"/>
  <c r="BP395" i="11"/>
  <c r="BO395" i="11"/>
  <c r="BQ395" i="11" s="1"/>
  <c r="BM395" i="11"/>
  <c r="AZ395" i="11"/>
  <c r="CA395" i="11"/>
  <c r="CB395" i="11"/>
  <c r="CP395" i="11"/>
  <c r="CZ395" i="11"/>
  <c r="Y395" i="11"/>
  <c r="DM395" i="11"/>
  <c r="BC395" i="11"/>
  <c r="DB395" i="11"/>
  <c r="DD395" i="11" s="1"/>
  <c r="AP395" i="11"/>
  <c r="BA395" i="11"/>
  <c r="CN395" i="11"/>
  <c r="AA395" i="11"/>
  <c r="DC395" i="11"/>
  <c r="W396" i="11"/>
  <c r="DA395" i="11"/>
  <c r="X395" i="11"/>
  <c r="CM395" i="11"/>
  <c r="AM395" i="11"/>
  <c r="CO395" i="11"/>
  <c r="BB395" i="11"/>
  <c r="BD395" i="11" s="1"/>
  <c r="DP395" i="11"/>
  <c r="AO395" i="11"/>
  <c r="AN395" i="11"/>
  <c r="CC395" i="11"/>
  <c r="DN395" i="11"/>
  <c r="BZ395" i="11"/>
  <c r="B396" i="11"/>
  <c r="A396" i="11" s="1"/>
  <c r="C397" i="11"/>
  <c r="L395" i="11" l="1"/>
  <c r="M395" i="11"/>
  <c r="EI396" i="11"/>
  <c r="EC396" i="11"/>
  <c r="EH396" i="11"/>
  <c r="EA396" i="11"/>
  <c r="DZ396" i="11"/>
  <c r="N362" i="12"/>
  <c r="M362" i="12"/>
  <c r="A363" i="12"/>
  <c r="N363" i="12" s="1"/>
  <c r="P396" i="11"/>
  <c r="BF394" i="11"/>
  <c r="DF394" i="11"/>
  <c r="DK394" i="11"/>
  <c r="BS394" i="11"/>
  <c r="BX394" i="11"/>
  <c r="BK393" i="11"/>
  <c r="BL393" i="11" s="1"/>
  <c r="AW393" i="11"/>
  <c r="AY393" i="11" s="1"/>
  <c r="DK393" i="11"/>
  <c r="BK394" i="11"/>
  <c r="B364" i="12"/>
  <c r="AW394" i="11"/>
  <c r="AS393" i="11"/>
  <c r="DJ393" i="11"/>
  <c r="AB396" i="11"/>
  <c r="CD395" i="11"/>
  <c r="CW394" i="11"/>
  <c r="CY394" i="11" s="1"/>
  <c r="CS394" i="11"/>
  <c r="CK394" i="11"/>
  <c r="CJ394" i="11"/>
  <c r="CS395" i="11"/>
  <c r="CQ395" i="11"/>
  <c r="AQ395" i="11"/>
  <c r="AR395" i="11" s="1"/>
  <c r="AT395" i="11" s="1"/>
  <c r="CL393" i="11"/>
  <c r="BR395" i="11"/>
  <c r="BT395" i="11" s="1"/>
  <c r="CE396" i="11"/>
  <c r="CG396" i="11" s="1"/>
  <c r="DV396" i="11"/>
  <c r="DU396" i="11"/>
  <c r="DH396" i="11"/>
  <c r="DI396" i="11"/>
  <c r="CR396" i="11"/>
  <c r="CT396" i="11" s="1"/>
  <c r="CU396" i="11"/>
  <c r="CV396" i="11"/>
  <c r="CH396" i="11"/>
  <c r="CI396" i="11"/>
  <c r="BV396" i="11"/>
  <c r="BU396" i="11"/>
  <c r="BI396" i="11"/>
  <c r="BH396" i="11"/>
  <c r="AU396" i="11"/>
  <c r="AV396" i="11"/>
  <c r="AH396" i="11"/>
  <c r="AI396" i="11"/>
  <c r="BE395" i="11"/>
  <c r="BG395" i="11" s="1"/>
  <c r="CF395" i="11"/>
  <c r="CW395" i="11"/>
  <c r="DE395" i="11"/>
  <c r="DG395" i="11" s="1"/>
  <c r="BY393" i="11"/>
  <c r="BA396" i="11"/>
  <c r="BP396" i="11"/>
  <c r="BN396" i="11"/>
  <c r="BB396" i="11"/>
  <c r="BD396" i="11" s="1"/>
  <c r="BO396" i="11"/>
  <c r="CO396" i="11"/>
  <c r="BZ396" i="11"/>
  <c r="DN396" i="11"/>
  <c r="DB396" i="11"/>
  <c r="DD396" i="11" s="1"/>
  <c r="AM396" i="11"/>
  <c r="AP396" i="11"/>
  <c r="CC396" i="11"/>
  <c r="AZ396" i="11"/>
  <c r="BC396" i="11"/>
  <c r="DM396" i="11"/>
  <c r="CP396" i="11"/>
  <c r="W397" i="11"/>
  <c r="CM396" i="11"/>
  <c r="DC396" i="11"/>
  <c r="Y396" i="11"/>
  <c r="CB396" i="11"/>
  <c r="X396" i="11"/>
  <c r="CZ396" i="11"/>
  <c r="CA396" i="11"/>
  <c r="AN396" i="11"/>
  <c r="AO396" i="11"/>
  <c r="AA396" i="11"/>
  <c r="DP396" i="11"/>
  <c r="DA396" i="11"/>
  <c r="CN396" i="11"/>
  <c r="BM396" i="11"/>
  <c r="B397" i="11"/>
  <c r="A397" i="11" s="1"/>
  <c r="C398" i="11"/>
  <c r="M396" i="11" l="1"/>
  <c r="L396" i="11"/>
  <c r="EI397" i="11"/>
  <c r="EH397" i="11"/>
  <c r="EC397" i="11"/>
  <c r="DZ397" i="11"/>
  <c r="EA397" i="11"/>
  <c r="M363" i="12"/>
  <c r="V363" i="12"/>
  <c r="W363" i="12" s="1"/>
  <c r="A364" i="12"/>
  <c r="V364" i="12" s="1"/>
  <c r="W364" i="12" s="1"/>
  <c r="P397" i="11"/>
  <c r="BF395" i="11"/>
  <c r="BJ395" i="11"/>
  <c r="DF395" i="11"/>
  <c r="DJ395" i="11"/>
  <c r="BS395" i="11"/>
  <c r="BX395" i="11"/>
  <c r="DL393" i="11"/>
  <c r="DJ394" i="11"/>
  <c r="DL394" i="11" s="1"/>
  <c r="AX394" i="11"/>
  <c r="AY394" i="11" s="1"/>
  <c r="BJ394" i="11"/>
  <c r="BL394" i="11" s="1"/>
  <c r="B365" i="12"/>
  <c r="AS395" i="11"/>
  <c r="AS394" i="11"/>
  <c r="BW394" i="11"/>
  <c r="BY394" i="11" s="1"/>
  <c r="CX395" i="11"/>
  <c r="CY395" i="11" s="1"/>
  <c r="CL394" i="11"/>
  <c r="BQ396" i="11"/>
  <c r="BR396" i="11" s="1"/>
  <c r="BT396" i="11" s="1"/>
  <c r="AB397" i="11"/>
  <c r="CF396" i="11"/>
  <c r="CD396" i="11"/>
  <c r="CW396" i="11"/>
  <c r="CQ396" i="11"/>
  <c r="AQ396" i="11"/>
  <c r="AR396" i="11" s="1"/>
  <c r="AT396" i="11" s="1"/>
  <c r="CE397" i="11"/>
  <c r="CG397" i="11" s="1"/>
  <c r="DU397" i="11"/>
  <c r="DV397" i="11"/>
  <c r="DI397" i="11"/>
  <c r="DH397" i="11"/>
  <c r="CU397" i="11"/>
  <c r="CV397" i="11"/>
  <c r="CR397" i="11"/>
  <c r="CT397" i="11" s="1"/>
  <c r="CH397" i="11"/>
  <c r="CI397" i="11"/>
  <c r="BU397" i="11"/>
  <c r="BV397" i="11"/>
  <c r="BH397" i="11"/>
  <c r="BI397" i="11"/>
  <c r="AU397" i="11"/>
  <c r="AV397" i="11"/>
  <c r="AH397" i="11"/>
  <c r="AI397" i="11"/>
  <c r="CJ395" i="11"/>
  <c r="CK395" i="11"/>
  <c r="BE396" i="11"/>
  <c r="BG396" i="11" s="1"/>
  <c r="DE396" i="11"/>
  <c r="DG396" i="11" s="1"/>
  <c r="AN397" i="11"/>
  <c r="DC397" i="11"/>
  <c r="BN397" i="11"/>
  <c r="BP397" i="11"/>
  <c r="AM397" i="11"/>
  <c r="BO397" i="11"/>
  <c r="BQ397" i="11" s="1"/>
  <c r="CA397" i="11"/>
  <c r="BM397" i="11"/>
  <c r="AZ397" i="11"/>
  <c r="CB397" i="11"/>
  <c r="Y397" i="11"/>
  <c r="CC397" i="11"/>
  <c r="CP397" i="11"/>
  <c r="CM397" i="11"/>
  <c r="DA397" i="11"/>
  <c r="X397" i="11"/>
  <c r="DM397" i="11"/>
  <c r="DB397" i="11"/>
  <c r="DD397" i="11" s="1"/>
  <c r="CZ397" i="11"/>
  <c r="DP397" i="11"/>
  <c r="CN397" i="11"/>
  <c r="AP397" i="11"/>
  <c r="AA397" i="11"/>
  <c r="DN397" i="11"/>
  <c r="W398" i="11"/>
  <c r="BZ397" i="11"/>
  <c r="BB397" i="11"/>
  <c r="BD397" i="11" s="1"/>
  <c r="AO397" i="11"/>
  <c r="BA397" i="11"/>
  <c r="BC397" i="11"/>
  <c r="CO397" i="11"/>
  <c r="B398" i="11"/>
  <c r="A398" i="11" s="1"/>
  <c r="C399" i="11"/>
  <c r="M397" i="11" l="1"/>
  <c r="L397" i="11"/>
  <c r="EH398" i="11"/>
  <c r="EA398" i="11"/>
  <c r="EI398" i="11"/>
  <c r="EC398" i="11"/>
  <c r="DZ398" i="11"/>
  <c r="M364" i="12"/>
  <c r="N364" i="12"/>
  <c r="A365" i="12"/>
  <c r="V365" i="12" s="1"/>
  <c r="W365" i="12" s="1"/>
  <c r="P398" i="11"/>
  <c r="DF396" i="11"/>
  <c r="BF396" i="11"/>
  <c r="BK396" i="11"/>
  <c r="AX395" i="11"/>
  <c r="AW395" i="11"/>
  <c r="BW395" i="11"/>
  <c r="BY395" i="11" s="1"/>
  <c r="BK395" i="11"/>
  <c r="BL395" i="11" s="1"/>
  <c r="DK395" i="11"/>
  <c r="DL395" i="11" s="1"/>
  <c r="AX396" i="11"/>
  <c r="B366" i="12"/>
  <c r="BX396" i="11"/>
  <c r="CJ396" i="11"/>
  <c r="BS396" i="11"/>
  <c r="AB398" i="11"/>
  <c r="CK396" i="11"/>
  <c r="BR397" i="11"/>
  <c r="BT397" i="11" s="1"/>
  <c r="CF397" i="11"/>
  <c r="CD397" i="11"/>
  <c r="CX396" i="11"/>
  <c r="CY396" i="11" s="1"/>
  <c r="CS396" i="11"/>
  <c r="CS397" i="11"/>
  <c r="CQ397" i="11"/>
  <c r="AQ397" i="11"/>
  <c r="AR397" i="11" s="1"/>
  <c r="AT397" i="11" s="1"/>
  <c r="DJ396" i="11"/>
  <c r="CL395" i="11"/>
  <c r="BE397" i="11"/>
  <c r="BG397" i="11" s="1"/>
  <c r="DE397" i="11"/>
  <c r="DG397" i="11" s="1"/>
  <c r="CE398" i="11"/>
  <c r="CG398" i="11" s="1"/>
  <c r="DU398" i="11"/>
  <c r="DV398" i="11"/>
  <c r="DI398" i="11"/>
  <c r="DH398" i="11"/>
  <c r="CR398" i="11"/>
  <c r="CT398" i="11" s="1"/>
  <c r="CV398" i="11"/>
  <c r="CU398" i="11"/>
  <c r="CH398" i="11"/>
  <c r="CI398" i="11"/>
  <c r="BU398" i="11"/>
  <c r="BV398" i="11"/>
  <c r="BH398" i="11"/>
  <c r="BI398" i="11"/>
  <c r="AU398" i="11"/>
  <c r="AH398" i="11"/>
  <c r="AI398" i="11"/>
  <c r="AV398" i="11"/>
  <c r="BN398" i="11"/>
  <c r="BP398" i="11"/>
  <c r="BB398" i="11"/>
  <c r="BD398" i="11" s="1"/>
  <c r="BO398" i="11"/>
  <c r="BQ398" i="11" s="1"/>
  <c r="AO398" i="11"/>
  <c r="CZ398" i="11"/>
  <c r="DB398" i="11"/>
  <c r="DD398" i="11" s="1"/>
  <c r="DA398" i="11"/>
  <c r="CM398" i="11"/>
  <c r="BA398" i="11"/>
  <c r="DP398" i="11"/>
  <c r="DN398" i="11"/>
  <c r="BM398" i="11"/>
  <c r="BZ398" i="11"/>
  <c r="CB398" i="11"/>
  <c r="AN398" i="11"/>
  <c r="CP398" i="11"/>
  <c r="AZ398" i="11"/>
  <c r="CA398" i="11"/>
  <c r="DC398" i="11"/>
  <c r="AA398" i="11"/>
  <c r="DM398" i="11"/>
  <c r="CC398" i="11"/>
  <c r="CO398" i="11"/>
  <c r="AP398" i="11"/>
  <c r="Y398" i="11"/>
  <c r="W399" i="11"/>
  <c r="BC398" i="11"/>
  <c r="CN398" i="11"/>
  <c r="X398" i="11"/>
  <c r="AM398" i="11"/>
  <c r="B399" i="11"/>
  <c r="A399" i="11" s="1"/>
  <c r="C400" i="11"/>
  <c r="M398" i="11" l="1"/>
  <c r="L398" i="11"/>
  <c r="DZ399" i="11"/>
  <c r="EA399" i="11"/>
  <c r="EH399" i="11"/>
  <c r="EC399" i="11"/>
  <c r="EI399" i="11"/>
  <c r="N365" i="12"/>
  <c r="M365" i="12"/>
  <c r="A366" i="12"/>
  <c r="N366" i="12" s="1"/>
  <c r="P399" i="11"/>
  <c r="BF397" i="11"/>
  <c r="DF397" i="11"/>
  <c r="DJ397" i="11"/>
  <c r="BS397" i="11"/>
  <c r="AY395" i="11"/>
  <c r="BJ396" i="11"/>
  <c r="BL396" i="11" s="1"/>
  <c r="AS396" i="11"/>
  <c r="AW396" i="11"/>
  <c r="AY396" i="11" s="1"/>
  <c r="AX397" i="11"/>
  <c r="BJ397" i="11"/>
  <c r="B367" i="12"/>
  <c r="DK396" i="11"/>
  <c r="DL396" i="11" s="1"/>
  <c r="BW396" i="11"/>
  <c r="BY396" i="11" s="1"/>
  <c r="CL396" i="11"/>
  <c r="CK397" i="11"/>
  <c r="CJ397" i="11"/>
  <c r="CW397" i="11"/>
  <c r="CX397" i="11"/>
  <c r="AB399" i="11"/>
  <c r="CF398" i="11"/>
  <c r="CD398" i="11"/>
  <c r="CQ398" i="11"/>
  <c r="AQ398" i="11"/>
  <c r="AR398" i="11" s="1"/>
  <c r="AT398" i="11" s="1"/>
  <c r="AW397" i="11"/>
  <c r="BR398" i="11"/>
  <c r="BT398" i="11" s="1"/>
  <c r="DE398" i="11"/>
  <c r="DG398" i="11" s="1"/>
  <c r="CE399" i="11"/>
  <c r="CG399" i="11" s="1"/>
  <c r="DV399" i="11"/>
  <c r="DU399" i="11"/>
  <c r="DH399" i="11"/>
  <c r="DI399" i="11"/>
  <c r="CR399" i="11"/>
  <c r="CT399" i="11" s="1"/>
  <c r="CU399" i="11"/>
  <c r="CV399" i="11"/>
  <c r="CH399" i="11"/>
  <c r="CI399" i="11"/>
  <c r="BU399" i="11"/>
  <c r="BV399" i="11"/>
  <c r="BI399" i="11"/>
  <c r="BH399" i="11"/>
  <c r="AU399" i="11"/>
  <c r="AV399" i="11"/>
  <c r="AH399" i="11"/>
  <c r="AI399" i="11"/>
  <c r="BE398" i="11"/>
  <c r="BG398" i="11" s="1"/>
  <c r="AM399" i="11"/>
  <c r="BN399" i="11"/>
  <c r="DA399" i="11"/>
  <c r="BP399" i="11"/>
  <c r="BO399" i="11"/>
  <c r="BQ399" i="11" s="1"/>
  <c r="Y399" i="11"/>
  <c r="X399" i="11"/>
  <c r="BC399" i="11"/>
  <c r="AP399" i="11"/>
  <c r="BB399" i="11"/>
  <c r="BD399" i="11" s="1"/>
  <c r="CZ399" i="11"/>
  <c r="CO399" i="11"/>
  <c r="AO399" i="11"/>
  <c r="DP399" i="11"/>
  <c r="CM399" i="11"/>
  <c r="DM399" i="11"/>
  <c r="AN399" i="11"/>
  <c r="CN399" i="11"/>
  <c r="BA399" i="11"/>
  <c r="AA399" i="11"/>
  <c r="DC399" i="11"/>
  <c r="CB399" i="11"/>
  <c r="DB399" i="11"/>
  <c r="DD399" i="11" s="1"/>
  <c r="CA399" i="11"/>
  <c r="BZ399" i="11"/>
  <c r="W400" i="11"/>
  <c r="AZ399" i="11"/>
  <c r="BM399" i="11"/>
  <c r="CC399" i="11"/>
  <c r="CP399" i="11"/>
  <c r="DN399" i="11"/>
  <c r="B400" i="11"/>
  <c r="A400" i="11" s="1"/>
  <c r="C401" i="11"/>
  <c r="M399" i="11" l="1"/>
  <c r="L399" i="11"/>
  <c r="M366" i="12"/>
  <c r="V366" i="12"/>
  <c r="W366" i="12" s="1"/>
  <c r="EI400" i="11"/>
  <c r="EC400" i="11"/>
  <c r="DZ400" i="11"/>
  <c r="EA400" i="11"/>
  <c r="EH400" i="11"/>
  <c r="A367" i="12"/>
  <c r="N367" i="12" s="1"/>
  <c r="P400" i="11"/>
  <c r="BS398" i="11"/>
  <c r="DF398" i="11"/>
  <c r="DK398" i="11"/>
  <c r="BF398" i="11"/>
  <c r="BJ398" i="11"/>
  <c r="BK397" i="11"/>
  <c r="BL397" i="11" s="1"/>
  <c r="DK397" i="11"/>
  <c r="DL397" i="11" s="1"/>
  <c r="AW398" i="11"/>
  <c r="AS397" i="11"/>
  <c r="B368" i="12"/>
  <c r="BW397" i="11"/>
  <c r="BX397" i="11"/>
  <c r="CY397" i="11"/>
  <c r="CL397" i="11"/>
  <c r="AB400" i="11"/>
  <c r="CS399" i="11"/>
  <c r="CQ399" i="11"/>
  <c r="CW398" i="11"/>
  <c r="CS398" i="11"/>
  <c r="CJ399" i="11"/>
  <c r="CD399" i="11"/>
  <c r="CK398" i="11"/>
  <c r="CX398" i="11"/>
  <c r="CJ398" i="11"/>
  <c r="AQ399" i="11"/>
  <c r="AR399" i="11" s="1"/>
  <c r="AT399" i="11" s="1"/>
  <c r="AY397" i="11"/>
  <c r="BR399" i="11"/>
  <c r="BT399" i="11" s="1"/>
  <c r="BE399" i="11"/>
  <c r="BG399" i="11" s="1"/>
  <c r="BW398" i="11"/>
  <c r="BX398" i="11"/>
  <c r="X400" i="11"/>
  <c r="CE400" i="11"/>
  <c r="CG400" i="11" s="1"/>
  <c r="DU400" i="11"/>
  <c r="DV400" i="11"/>
  <c r="DH400" i="11"/>
  <c r="DI400" i="11"/>
  <c r="CR400" i="11"/>
  <c r="CT400" i="11" s="1"/>
  <c r="CU400" i="11"/>
  <c r="CV400" i="11"/>
  <c r="CH400" i="11"/>
  <c r="CI400" i="11"/>
  <c r="BU400" i="11"/>
  <c r="BV400" i="11"/>
  <c r="BI400" i="11"/>
  <c r="BH400" i="11"/>
  <c r="AV400" i="11"/>
  <c r="AH400" i="11"/>
  <c r="AI400" i="11"/>
  <c r="AU400" i="11"/>
  <c r="DE399" i="11"/>
  <c r="DG399" i="11" s="1"/>
  <c r="CP400" i="11"/>
  <c r="CC400" i="11"/>
  <c r="DN400" i="11"/>
  <c r="BN400" i="11"/>
  <c r="BB400" i="11"/>
  <c r="BD400" i="11" s="1"/>
  <c r="AA400" i="11"/>
  <c r="BP400" i="11"/>
  <c r="BO400" i="11"/>
  <c r="BZ400" i="11"/>
  <c r="AZ400" i="11"/>
  <c r="AM400" i="11"/>
  <c r="DP400" i="11"/>
  <c r="CA400" i="11"/>
  <c r="CM400" i="11"/>
  <c r="BC400" i="11"/>
  <c r="CO400" i="11"/>
  <c r="DM400" i="11"/>
  <c r="DB400" i="11"/>
  <c r="DD400" i="11" s="1"/>
  <c r="AP400" i="11"/>
  <c r="CB400" i="11"/>
  <c r="CN400" i="11"/>
  <c r="CZ400" i="11"/>
  <c r="W401" i="11"/>
  <c r="Y400" i="11"/>
  <c r="BA400" i="11"/>
  <c r="AO400" i="11"/>
  <c r="AN400" i="11"/>
  <c r="BM400" i="11"/>
  <c r="DC400" i="11"/>
  <c r="DA400" i="11"/>
  <c r="B401" i="11"/>
  <c r="A401" i="11" s="1"/>
  <c r="C402" i="11"/>
  <c r="M367" i="12" l="1"/>
  <c r="V367" i="12"/>
  <c r="W367" i="12" s="1"/>
  <c r="M400" i="11"/>
  <c r="L400" i="11"/>
  <c r="EH401" i="11"/>
  <c r="EC401" i="11"/>
  <c r="EA401" i="11"/>
  <c r="DZ401" i="11"/>
  <c r="EI401" i="11"/>
  <c r="A368" i="12"/>
  <c r="V368" i="12" s="1"/>
  <c r="W368" i="12" s="1"/>
  <c r="P401" i="11"/>
  <c r="DF399" i="11"/>
  <c r="BF399" i="11"/>
  <c r="DJ398" i="11"/>
  <c r="DL398" i="11" s="1"/>
  <c r="BK398" i="11"/>
  <c r="BL398" i="11" s="1"/>
  <c r="BY397" i="11"/>
  <c r="CL398" i="11"/>
  <c r="B369" i="12"/>
  <c r="AW399" i="11"/>
  <c r="BJ399" i="11"/>
  <c r="AS398" i="11"/>
  <c r="AX398" i="11"/>
  <c r="AY398" i="11" s="1"/>
  <c r="CY398" i="11"/>
  <c r="AB401" i="11"/>
  <c r="BQ400" i="11"/>
  <c r="BR400" i="11" s="1"/>
  <c r="BT400" i="11" s="1"/>
  <c r="BX399" i="11"/>
  <c r="BS399" i="11"/>
  <c r="CW399" i="11"/>
  <c r="CF400" i="11"/>
  <c r="CD400" i="11"/>
  <c r="CK399" i="11"/>
  <c r="CL399" i="11" s="1"/>
  <c r="CF399" i="11"/>
  <c r="CS400" i="11"/>
  <c r="CQ400" i="11"/>
  <c r="CX399" i="11"/>
  <c r="AQ400" i="11"/>
  <c r="AR400" i="11" s="1"/>
  <c r="AT400" i="11" s="1"/>
  <c r="BW399" i="11"/>
  <c r="DE400" i="11"/>
  <c r="DG400" i="11" s="1"/>
  <c r="CE401" i="11"/>
  <c r="CG401" i="11" s="1"/>
  <c r="DV401" i="11"/>
  <c r="DU401" i="11"/>
  <c r="DH401" i="11"/>
  <c r="DI401" i="11"/>
  <c r="CU401" i="11"/>
  <c r="CV401" i="11"/>
  <c r="CR401" i="11"/>
  <c r="CT401" i="11" s="1"/>
  <c r="CH401" i="11"/>
  <c r="CI401" i="11"/>
  <c r="BU401" i="11"/>
  <c r="BV401" i="11"/>
  <c r="BH401" i="11"/>
  <c r="BI401" i="11"/>
  <c r="AU401" i="11"/>
  <c r="AH401" i="11"/>
  <c r="AI401" i="11"/>
  <c r="AV401" i="11"/>
  <c r="BE400" i="11"/>
  <c r="BG400" i="11" s="1"/>
  <c r="BY398" i="11"/>
  <c r="BN401" i="11"/>
  <c r="AM401" i="11"/>
  <c r="BP401" i="11"/>
  <c r="BO401" i="11"/>
  <c r="BQ401" i="11" s="1"/>
  <c r="DC401" i="11"/>
  <c r="BM401" i="11"/>
  <c r="AO401" i="11"/>
  <c r="DM401" i="11"/>
  <c r="CM401" i="11"/>
  <c r="AA401" i="11"/>
  <c r="AZ401" i="11"/>
  <c r="BA401" i="11"/>
  <c r="BB401" i="11"/>
  <c r="BD401" i="11" s="1"/>
  <c r="CA401" i="11"/>
  <c r="DA401" i="11"/>
  <c r="CP401" i="11"/>
  <c r="BC401" i="11"/>
  <c r="X401" i="11"/>
  <c r="AP401" i="11"/>
  <c r="CB401" i="11"/>
  <c r="DB401" i="11"/>
  <c r="DD401" i="11" s="1"/>
  <c r="CO401" i="11"/>
  <c r="Y401" i="11"/>
  <c r="W402" i="11"/>
  <c r="CZ401" i="11"/>
  <c r="CC401" i="11"/>
  <c r="DP401" i="11"/>
  <c r="AN401" i="11"/>
  <c r="DN401" i="11"/>
  <c r="CN401" i="11"/>
  <c r="BZ401" i="11"/>
  <c r="B402" i="11"/>
  <c r="A402" i="11" s="1"/>
  <c r="C403" i="11"/>
  <c r="N368" i="12" l="1"/>
  <c r="M368" i="12"/>
  <c r="M401" i="11"/>
  <c r="L401" i="11"/>
  <c r="EA402" i="11"/>
  <c r="EI402" i="11"/>
  <c r="EH402" i="11"/>
  <c r="EC402" i="11"/>
  <c r="DZ402" i="11"/>
  <c r="A369" i="12"/>
  <c r="M369" i="12" s="1"/>
  <c r="P402" i="11"/>
  <c r="DF400" i="11"/>
  <c r="BF400" i="11"/>
  <c r="BJ400" i="11"/>
  <c r="CY399" i="11"/>
  <c r="AX399" i="11"/>
  <c r="AY399" i="11" s="1"/>
  <c r="BK399" i="11"/>
  <c r="BL399" i="11" s="1"/>
  <c r="B370" i="12"/>
  <c r="AS400" i="11"/>
  <c r="DJ399" i="11"/>
  <c r="DK399" i="11"/>
  <c r="AS399" i="11"/>
  <c r="CK400" i="11"/>
  <c r="CJ400" i="11"/>
  <c r="BS400" i="11"/>
  <c r="BX400" i="11"/>
  <c r="BW400" i="11"/>
  <c r="AB402" i="11"/>
  <c r="BY399" i="11"/>
  <c r="CX400" i="11"/>
  <c r="CW400" i="11"/>
  <c r="CS401" i="11"/>
  <c r="CQ401" i="11"/>
  <c r="CK401" i="11"/>
  <c r="CD401" i="11"/>
  <c r="AQ401" i="11"/>
  <c r="AR401" i="11" s="1"/>
  <c r="AT401" i="11" s="1"/>
  <c r="DJ400" i="11"/>
  <c r="DK400" i="11"/>
  <c r="BE401" i="11"/>
  <c r="BG401" i="11" s="1"/>
  <c r="DE401" i="11"/>
  <c r="DG401" i="11" s="1"/>
  <c r="CE402" i="11"/>
  <c r="CG402" i="11" s="1"/>
  <c r="DU402" i="11"/>
  <c r="DV402" i="11"/>
  <c r="DH402" i="11"/>
  <c r="DI402" i="11"/>
  <c r="CR402" i="11"/>
  <c r="CT402" i="11" s="1"/>
  <c r="CU402" i="11"/>
  <c r="CV402" i="11"/>
  <c r="CH402" i="11"/>
  <c r="CI402" i="11"/>
  <c r="BU402" i="11"/>
  <c r="BV402" i="11"/>
  <c r="BI402" i="11"/>
  <c r="BH402" i="11"/>
  <c r="AU402" i="11"/>
  <c r="AH402" i="11"/>
  <c r="AV402" i="11"/>
  <c r="AI402" i="11"/>
  <c r="BR401" i="11"/>
  <c r="BT401" i="11" s="1"/>
  <c r="AA402" i="11"/>
  <c r="CA402" i="11"/>
  <c r="BP402" i="11"/>
  <c r="BN402" i="11"/>
  <c r="BO402" i="11"/>
  <c r="BQ402" i="11" s="1"/>
  <c r="Y402" i="11"/>
  <c r="DP402" i="11"/>
  <c r="BC402" i="11"/>
  <c r="CO402" i="11"/>
  <c r="BB402" i="11"/>
  <c r="BD402" i="11" s="1"/>
  <c r="DB402" i="11"/>
  <c r="DD402" i="11" s="1"/>
  <c r="DC402" i="11"/>
  <c r="AN402" i="11"/>
  <c r="BM402" i="11"/>
  <c r="DN402" i="11"/>
  <c r="DM402" i="11"/>
  <c r="AO402" i="11"/>
  <c r="CP402" i="11"/>
  <c r="W403" i="11"/>
  <c r="AZ402" i="11"/>
  <c r="CB402" i="11"/>
  <c r="BA402" i="11"/>
  <c r="BZ402" i="11"/>
  <c r="CC402" i="11"/>
  <c r="CM402" i="11"/>
  <c r="AP402" i="11"/>
  <c r="DA402" i="11"/>
  <c r="CN402" i="11"/>
  <c r="CZ402" i="11"/>
  <c r="X402" i="11"/>
  <c r="AM402" i="11"/>
  <c r="B403" i="11"/>
  <c r="A403" i="11" s="1"/>
  <c r="C404" i="11"/>
  <c r="V369" i="12" l="1"/>
  <c r="W369" i="12" s="1"/>
  <c r="N369" i="12"/>
  <c r="L402" i="11"/>
  <c r="M402" i="11"/>
  <c r="DZ403" i="11"/>
  <c r="EA403" i="11"/>
  <c r="EI403" i="11"/>
  <c r="EH403" i="11"/>
  <c r="EC403" i="11"/>
  <c r="A370" i="12"/>
  <c r="N370" i="12" s="1"/>
  <c r="P403" i="11"/>
  <c r="BS401" i="11"/>
  <c r="DF401" i="11"/>
  <c r="DJ401" i="11"/>
  <c r="BF401" i="11"/>
  <c r="BK401" i="11"/>
  <c r="DL399" i="11"/>
  <c r="AX400" i="11"/>
  <c r="AW400" i="11"/>
  <c r="B371" i="12"/>
  <c r="BK400" i="11"/>
  <c r="BL400" i="11" s="1"/>
  <c r="AX401" i="11"/>
  <c r="BX401" i="11"/>
  <c r="CW401" i="11"/>
  <c r="CL400" i="11"/>
  <c r="CY400" i="11"/>
  <c r="CX401" i="11"/>
  <c r="BY400" i="11"/>
  <c r="AB403" i="11"/>
  <c r="BR402" i="11"/>
  <c r="BT402" i="11" s="1"/>
  <c r="DL400" i="11"/>
  <c r="CS402" i="11"/>
  <c r="CQ402" i="11"/>
  <c r="CF402" i="11"/>
  <c r="CD402" i="11"/>
  <c r="CJ401" i="11"/>
  <c r="CL401" i="11" s="1"/>
  <c r="CF401" i="11"/>
  <c r="AQ402" i="11"/>
  <c r="AR402" i="11" s="1"/>
  <c r="AT402" i="11" s="1"/>
  <c r="DK401" i="11"/>
  <c r="BE402" i="11"/>
  <c r="BG402" i="11" s="1"/>
  <c r="DE402" i="11"/>
  <c r="DG402" i="11" s="1"/>
  <c r="CE403" i="11"/>
  <c r="CG403" i="11" s="1"/>
  <c r="DV403" i="11"/>
  <c r="DU403" i="11"/>
  <c r="DH403" i="11"/>
  <c r="DI403" i="11"/>
  <c r="CR403" i="11"/>
  <c r="CT403" i="11" s="1"/>
  <c r="CU403" i="11"/>
  <c r="CV403" i="11"/>
  <c r="CI403" i="11"/>
  <c r="CH403" i="11"/>
  <c r="BU403" i="11"/>
  <c r="BV403" i="11"/>
  <c r="BI403" i="11"/>
  <c r="AU403" i="11"/>
  <c r="BH403" i="11"/>
  <c r="AV403" i="11"/>
  <c r="AH403" i="11"/>
  <c r="AI403" i="11"/>
  <c r="BP403" i="11"/>
  <c r="BN403" i="11"/>
  <c r="BC403" i="11"/>
  <c r="BO403" i="11"/>
  <c r="BQ403" i="11" s="1"/>
  <c r="DA403" i="11"/>
  <c r="CB403" i="11"/>
  <c r="DP403" i="11"/>
  <c r="CA403" i="11"/>
  <c r="AO403" i="11"/>
  <c r="CC403" i="11"/>
  <c r="DB403" i="11"/>
  <c r="DD403" i="11" s="1"/>
  <c r="BZ403" i="11"/>
  <c r="CZ403" i="11"/>
  <c r="BM403" i="11"/>
  <c r="CN403" i="11"/>
  <c r="BB403" i="11"/>
  <c r="BD403" i="11" s="1"/>
  <c r="AA403" i="11"/>
  <c r="DM403" i="11"/>
  <c r="W404" i="11"/>
  <c r="Y403" i="11"/>
  <c r="BA403" i="11"/>
  <c r="CO403" i="11"/>
  <c r="AN403" i="11"/>
  <c r="AP403" i="11"/>
  <c r="AZ403" i="11"/>
  <c r="AM403" i="11"/>
  <c r="X403" i="11"/>
  <c r="CM403" i="11"/>
  <c r="DC403" i="11"/>
  <c r="CP403" i="11"/>
  <c r="DN403" i="11"/>
  <c r="B404" i="11"/>
  <c r="A404" i="11" s="1"/>
  <c r="C405" i="11"/>
  <c r="L403" i="11" l="1"/>
  <c r="M370" i="12"/>
  <c r="M403" i="11"/>
  <c r="V370" i="12"/>
  <c r="W370" i="12" s="1"/>
  <c r="EI404" i="11"/>
  <c r="DZ404" i="11"/>
  <c r="EH404" i="11"/>
  <c r="EC404" i="11"/>
  <c r="EA404" i="11"/>
  <c r="A371" i="12"/>
  <c r="N371" i="12" s="1"/>
  <c r="P404" i="11"/>
  <c r="BS402" i="11"/>
  <c r="BF402" i="11"/>
  <c r="DF402" i="11"/>
  <c r="DJ402" i="11"/>
  <c r="AW401" i="11"/>
  <c r="AY401" i="11" s="1"/>
  <c r="BJ401" i="11"/>
  <c r="BL401" i="11" s="1"/>
  <c r="AY400" i="11"/>
  <c r="BX402" i="11"/>
  <c r="AS402" i="11"/>
  <c r="BW401" i="11"/>
  <c r="BY401" i="11" s="1"/>
  <c r="B372" i="12"/>
  <c r="AS401" i="11"/>
  <c r="CY401" i="11"/>
  <c r="CJ402" i="11"/>
  <c r="DL401" i="11"/>
  <c r="CK402" i="11"/>
  <c r="CX402" i="11"/>
  <c r="AB404" i="11"/>
  <c r="CW402" i="11"/>
  <c r="CF403" i="11"/>
  <c r="CD403" i="11"/>
  <c r="CS403" i="11"/>
  <c r="CQ403" i="11"/>
  <c r="AQ403" i="11"/>
  <c r="AR403" i="11" s="1"/>
  <c r="AT403" i="11" s="1"/>
  <c r="DE403" i="11"/>
  <c r="DG403" i="11" s="1"/>
  <c r="CX403" i="11"/>
  <c r="AM404" i="11"/>
  <c r="BE403" i="11"/>
  <c r="BG403" i="11" s="1"/>
  <c r="BR403" i="11"/>
  <c r="BT403" i="11" s="1"/>
  <c r="CE404" i="11"/>
  <c r="CG404" i="11" s="1"/>
  <c r="DV404" i="11"/>
  <c r="DU404" i="11"/>
  <c r="DH404" i="11"/>
  <c r="DI404" i="11"/>
  <c r="CR404" i="11"/>
  <c r="CT404" i="11" s="1"/>
  <c r="CU404" i="11"/>
  <c r="CV404" i="11"/>
  <c r="CH404" i="11"/>
  <c r="CI404" i="11"/>
  <c r="BU404" i="11"/>
  <c r="BV404" i="11"/>
  <c r="BH404" i="11"/>
  <c r="BI404" i="11"/>
  <c r="AU404" i="11"/>
  <c r="AV404" i="11"/>
  <c r="AH404" i="11"/>
  <c r="AI404" i="11"/>
  <c r="BP404" i="11"/>
  <c r="BN404" i="11"/>
  <c r="BZ404" i="11"/>
  <c r="CO404" i="11"/>
  <c r="BO404" i="11"/>
  <c r="BQ404" i="11" s="1"/>
  <c r="AZ404" i="11"/>
  <c r="BM404" i="11"/>
  <c r="AP404" i="11"/>
  <c r="CZ404" i="11"/>
  <c r="CB404" i="11"/>
  <c r="BA404" i="11"/>
  <c r="CN404" i="11"/>
  <c r="Y404" i="11"/>
  <c r="BB404" i="11"/>
  <c r="BD404" i="11" s="1"/>
  <c r="CP404" i="11"/>
  <c r="DC404" i="11"/>
  <c r="AN404" i="11"/>
  <c r="CA404" i="11"/>
  <c r="AO404" i="11"/>
  <c r="DA404" i="11"/>
  <c r="DP404" i="11"/>
  <c r="CC404" i="11"/>
  <c r="DN404" i="11"/>
  <c r="CM404" i="11"/>
  <c r="X404" i="11"/>
  <c r="DM404" i="11"/>
  <c r="AA404" i="11"/>
  <c r="DB404" i="11"/>
  <c r="DD404" i="11" s="1"/>
  <c r="W405" i="11"/>
  <c r="BC404" i="11"/>
  <c r="B405" i="11"/>
  <c r="A405" i="11" s="1"/>
  <c r="C406" i="11"/>
  <c r="M404" i="11" l="1"/>
  <c r="L404" i="11"/>
  <c r="EH405" i="11"/>
  <c r="EA405" i="11"/>
  <c r="DZ405" i="11"/>
  <c r="EI405" i="11"/>
  <c r="EC405" i="11"/>
  <c r="M371" i="12"/>
  <c r="V371" i="12"/>
  <c r="W371" i="12" s="1"/>
  <c r="A372" i="12"/>
  <c r="N372" i="12" s="1"/>
  <c r="P405" i="11"/>
  <c r="BS403" i="11"/>
  <c r="BF403" i="11"/>
  <c r="DF403" i="11"/>
  <c r="DJ403" i="11"/>
  <c r="BJ402" i="11"/>
  <c r="DK402" i="11"/>
  <c r="DL402" i="11" s="1"/>
  <c r="AX402" i="11"/>
  <c r="AW402" i="11"/>
  <c r="AW403" i="11"/>
  <c r="BW403" i="11"/>
  <c r="B373" i="12"/>
  <c r="BK402" i="11"/>
  <c r="BW402" i="11"/>
  <c r="BY402" i="11" s="1"/>
  <c r="CJ403" i="11"/>
  <c r="CL402" i="11"/>
  <c r="AB405" i="11"/>
  <c r="CY402" i="11"/>
  <c r="BR404" i="11"/>
  <c r="BT404" i="11" s="1"/>
  <c r="CW403" i="11"/>
  <c r="CY403" i="11" s="1"/>
  <c r="CJ404" i="11"/>
  <c r="CD404" i="11"/>
  <c r="CS404" i="11"/>
  <c r="CQ404" i="11"/>
  <c r="CK403" i="11"/>
  <c r="AQ404" i="11"/>
  <c r="AR404" i="11" s="1"/>
  <c r="AT404" i="11" s="1"/>
  <c r="BJ403" i="11"/>
  <c r="BK403" i="11"/>
  <c r="CE405" i="11"/>
  <c r="CG405" i="11" s="1"/>
  <c r="DU405" i="11"/>
  <c r="DV405" i="11"/>
  <c r="DH405" i="11"/>
  <c r="DI405" i="11"/>
  <c r="CR405" i="11"/>
  <c r="CT405" i="11" s="1"/>
  <c r="CU405" i="11"/>
  <c r="CV405" i="11"/>
  <c r="CH405" i="11"/>
  <c r="CI405" i="11"/>
  <c r="BV405" i="11"/>
  <c r="BU405" i="11"/>
  <c r="BH405" i="11"/>
  <c r="BI405" i="11"/>
  <c r="AV405" i="11"/>
  <c r="AH405" i="11"/>
  <c r="AI405" i="11"/>
  <c r="AU405" i="11"/>
  <c r="BE404" i="11"/>
  <c r="BG404" i="11" s="1"/>
  <c r="AN405" i="11"/>
  <c r="DE404" i="11"/>
  <c r="DG404" i="11" s="1"/>
  <c r="BA405" i="11"/>
  <c r="BC405" i="11"/>
  <c r="BN405" i="11"/>
  <c r="BP405" i="11"/>
  <c r="BO405" i="11"/>
  <c r="CN405" i="11"/>
  <c r="BM405" i="11"/>
  <c r="CZ405" i="11"/>
  <c r="AZ405" i="11"/>
  <c r="AM405" i="11"/>
  <c r="X405" i="11"/>
  <c r="CC405" i="11"/>
  <c r="W406" i="11"/>
  <c r="BB405" i="11"/>
  <c r="BD405" i="11" s="1"/>
  <c r="Y405" i="11"/>
  <c r="AO405" i="11"/>
  <c r="CO405" i="11"/>
  <c r="CM405" i="11"/>
  <c r="AA405" i="11"/>
  <c r="AP405" i="11"/>
  <c r="DN405" i="11"/>
  <c r="CB405" i="11"/>
  <c r="DC405" i="11"/>
  <c r="DM405" i="11"/>
  <c r="CP405" i="11"/>
  <c r="CA405" i="11"/>
  <c r="DP405" i="11"/>
  <c r="DA405" i="11"/>
  <c r="DB405" i="11"/>
  <c r="DD405" i="11" s="1"/>
  <c r="BZ405" i="11"/>
  <c r="B406" i="11"/>
  <c r="A406" i="11" s="1"/>
  <c r="C407" i="11"/>
  <c r="M405" i="11" l="1"/>
  <c r="L405" i="11"/>
  <c r="EC406" i="11"/>
  <c r="EA406" i="11"/>
  <c r="DZ406" i="11"/>
  <c r="EI406" i="11"/>
  <c r="EH406" i="11"/>
  <c r="M372" i="12"/>
  <c r="V372" i="12"/>
  <c r="W372" i="12" s="1"/>
  <c r="A373" i="12"/>
  <c r="M373" i="12" s="1"/>
  <c r="P406" i="11"/>
  <c r="AY402" i="11"/>
  <c r="DF404" i="11"/>
  <c r="BS404" i="11"/>
  <c r="BX404" i="11"/>
  <c r="BF404" i="11"/>
  <c r="BJ404" i="11"/>
  <c r="BL402" i="11"/>
  <c r="AX403" i="11"/>
  <c r="AY403" i="11" s="1"/>
  <c r="DK403" i="11"/>
  <c r="DL403" i="11" s="1"/>
  <c r="AS404" i="11"/>
  <c r="AS403" i="11"/>
  <c r="B374" i="12"/>
  <c r="BX403" i="11"/>
  <c r="BY403" i="11" s="1"/>
  <c r="CL403" i="11"/>
  <c r="AB406" i="11"/>
  <c r="BQ405" i="11"/>
  <c r="BR405" i="11" s="1"/>
  <c r="BT405" i="11" s="1"/>
  <c r="CQ405" i="11"/>
  <c r="CF405" i="11"/>
  <c r="CD405" i="11"/>
  <c r="CW404" i="11"/>
  <c r="CX404" i="11"/>
  <c r="CK404" i="11"/>
  <c r="CL404" i="11" s="1"/>
  <c r="CF404" i="11"/>
  <c r="AQ405" i="11"/>
  <c r="AR405" i="11" s="1"/>
  <c r="AT405" i="11" s="1"/>
  <c r="BL403" i="11"/>
  <c r="BE405" i="11"/>
  <c r="BG405" i="11" s="1"/>
  <c r="DE405" i="11"/>
  <c r="DG405" i="11" s="1"/>
  <c r="DU406" i="11"/>
  <c r="CE406" i="11"/>
  <c r="CG406" i="11" s="1"/>
  <c r="DV406" i="11"/>
  <c r="DH406" i="11"/>
  <c r="DI406" i="11"/>
  <c r="CV406" i="11"/>
  <c r="CU406" i="11"/>
  <c r="CR406" i="11"/>
  <c r="CT406" i="11" s="1"/>
  <c r="CH406" i="11"/>
  <c r="CI406" i="11"/>
  <c r="BU406" i="11"/>
  <c r="BV406" i="11"/>
  <c r="BI406" i="11"/>
  <c r="BH406" i="11"/>
  <c r="AU406" i="11"/>
  <c r="AH406" i="11"/>
  <c r="AI406" i="11"/>
  <c r="AV406" i="11"/>
  <c r="BP406" i="11"/>
  <c r="BN406" i="11"/>
  <c r="CZ406" i="11"/>
  <c r="CO406" i="11"/>
  <c r="BO406" i="11"/>
  <c r="BQ406" i="11" s="1"/>
  <c r="CC406" i="11"/>
  <c r="BZ406" i="11"/>
  <c r="BM406" i="11"/>
  <c r="CP406" i="11"/>
  <c r="AO406" i="11"/>
  <c r="DM406" i="11"/>
  <c r="X406" i="11"/>
  <c r="AM406" i="11"/>
  <c r="DC406" i="11"/>
  <c r="Y406" i="11"/>
  <c r="BC406" i="11"/>
  <c r="DA406" i="11"/>
  <c r="CB406" i="11"/>
  <c r="AZ406" i="11"/>
  <c r="BB406" i="11"/>
  <c r="BD406" i="11" s="1"/>
  <c r="W407" i="11"/>
  <c r="DN406" i="11"/>
  <c r="AA406" i="11"/>
  <c r="AN406" i="11"/>
  <c r="BA406" i="11"/>
  <c r="DB406" i="11"/>
  <c r="DD406" i="11" s="1"/>
  <c r="DP406" i="11"/>
  <c r="CA406" i="11"/>
  <c r="AP406" i="11"/>
  <c r="CM406" i="11"/>
  <c r="CN406" i="11"/>
  <c r="B407" i="11"/>
  <c r="A407" i="11" s="1"/>
  <c r="C408" i="11"/>
  <c r="M406" i="11" l="1"/>
  <c r="L406" i="11"/>
  <c r="V373" i="12"/>
  <c r="W373" i="12" s="1"/>
  <c r="DZ407" i="11"/>
  <c r="EI407" i="11"/>
  <c r="EC407" i="11"/>
  <c r="EH407" i="11"/>
  <c r="EA407" i="11"/>
  <c r="N373" i="12"/>
  <c r="A374" i="12"/>
  <c r="V374" i="12" s="1"/>
  <c r="W374" i="12" s="1"/>
  <c r="P407" i="11"/>
  <c r="DF405" i="11"/>
  <c r="DJ405" i="11"/>
  <c r="BF405" i="11"/>
  <c r="BJ405" i="11"/>
  <c r="AX404" i="11"/>
  <c r="BK404" i="11"/>
  <c r="BL404" i="11" s="1"/>
  <c r="BW404" i="11"/>
  <c r="BY404" i="11" s="1"/>
  <c r="AW404" i="11"/>
  <c r="AS405" i="11"/>
  <c r="DK404" i="11"/>
  <c r="BX405" i="11"/>
  <c r="DJ404" i="11"/>
  <c r="B375" i="12"/>
  <c r="CK405" i="11"/>
  <c r="CJ405" i="11"/>
  <c r="BS405" i="11"/>
  <c r="AB407" i="11"/>
  <c r="CW405" i="11"/>
  <c r="CS405" i="11"/>
  <c r="CF406" i="11"/>
  <c r="CD406" i="11"/>
  <c r="CS406" i="11"/>
  <c r="CQ406" i="11"/>
  <c r="CY404" i="11"/>
  <c r="CX405" i="11"/>
  <c r="AQ406" i="11"/>
  <c r="AR406" i="11" s="1"/>
  <c r="AT406" i="11" s="1"/>
  <c r="DK405" i="11"/>
  <c r="BE406" i="11"/>
  <c r="BG406" i="11" s="1"/>
  <c r="CE407" i="11"/>
  <c r="CG407" i="11" s="1"/>
  <c r="DV407" i="11"/>
  <c r="DU407" i="11"/>
  <c r="DH407" i="11"/>
  <c r="DI407" i="11"/>
  <c r="CR407" i="11"/>
  <c r="CT407" i="11" s="1"/>
  <c r="CU407" i="11"/>
  <c r="CV407" i="11"/>
  <c r="CH407" i="11"/>
  <c r="CI407" i="11"/>
  <c r="BV407" i="11"/>
  <c r="BU407" i="11"/>
  <c r="BH407" i="11"/>
  <c r="BI407" i="11"/>
  <c r="AU407" i="11"/>
  <c r="AV407" i="11"/>
  <c r="AH407" i="11"/>
  <c r="AI407" i="11"/>
  <c r="DE406" i="11"/>
  <c r="DG406" i="11" s="1"/>
  <c r="BR406" i="11"/>
  <c r="BT406" i="11" s="1"/>
  <c r="BA407" i="11"/>
  <c r="CZ407" i="11"/>
  <c r="BP407" i="11"/>
  <c r="BN407" i="11"/>
  <c r="BO407" i="11"/>
  <c r="BQ407" i="11" s="1"/>
  <c r="DB407" i="11"/>
  <c r="DD407" i="11" s="1"/>
  <c r="DC407" i="11"/>
  <c r="AZ407" i="11"/>
  <c r="X407" i="11"/>
  <c r="DP407" i="11"/>
  <c r="CB407" i="11"/>
  <c r="AM407" i="11"/>
  <c r="CN407" i="11"/>
  <c r="AN407" i="11"/>
  <c r="CP407" i="11"/>
  <c r="BZ407" i="11"/>
  <c r="AA407" i="11"/>
  <c r="AO407" i="11"/>
  <c r="DA407" i="11"/>
  <c r="CM407" i="11"/>
  <c r="AP407" i="11"/>
  <c r="DN407" i="11"/>
  <c r="CO407" i="11"/>
  <c r="BC407" i="11"/>
  <c r="BM407" i="11"/>
  <c r="DM407" i="11"/>
  <c r="W408" i="11"/>
  <c r="CA407" i="11"/>
  <c r="BB407" i="11"/>
  <c r="BD407" i="11" s="1"/>
  <c r="Y407" i="11"/>
  <c r="CC407" i="11"/>
  <c r="B408" i="11"/>
  <c r="A408" i="11" s="1"/>
  <c r="C409" i="11"/>
  <c r="M407" i="11" l="1"/>
  <c r="L407" i="11"/>
  <c r="EI408" i="11"/>
  <c r="EH408" i="11"/>
  <c r="EC408" i="11"/>
  <c r="DZ408" i="11"/>
  <c r="EA408" i="11"/>
  <c r="M374" i="12"/>
  <c r="N374" i="12"/>
  <c r="A375" i="12"/>
  <c r="P408" i="11"/>
  <c r="BF406" i="11"/>
  <c r="BS406" i="11"/>
  <c r="BX406" i="11"/>
  <c r="AY404" i="11"/>
  <c r="DF406" i="11"/>
  <c r="AX405" i="11"/>
  <c r="BK405" i="11"/>
  <c r="BL405" i="11" s="1"/>
  <c r="AW405" i="11"/>
  <c r="CL405" i="11"/>
  <c r="BW405" i="11"/>
  <c r="BY405" i="11" s="1"/>
  <c r="DL404" i="11"/>
  <c r="AW406" i="11"/>
  <c r="B376" i="12"/>
  <c r="CW406" i="11"/>
  <c r="DL405" i="11"/>
  <c r="CX406" i="11"/>
  <c r="AB408" i="11"/>
  <c r="CY405" i="11"/>
  <c r="CW407" i="11"/>
  <c r="CQ407" i="11"/>
  <c r="CF407" i="11"/>
  <c r="CD407" i="11"/>
  <c r="CJ406" i="11"/>
  <c r="CK406" i="11"/>
  <c r="AQ407" i="11"/>
  <c r="AR407" i="11" s="1"/>
  <c r="AT407" i="11" s="1"/>
  <c r="AX406" i="11"/>
  <c r="BR407" i="11"/>
  <c r="BT407" i="11" s="1"/>
  <c r="DE407" i="11"/>
  <c r="DG407" i="11" s="1"/>
  <c r="BE407" i="11"/>
  <c r="BG407" i="11" s="1"/>
  <c r="CE408" i="11"/>
  <c r="CG408" i="11" s="1"/>
  <c r="DU408" i="11"/>
  <c r="DV408" i="11"/>
  <c r="DH408" i="11"/>
  <c r="DI408" i="11"/>
  <c r="CU408" i="11"/>
  <c r="CV408" i="11"/>
  <c r="CR408" i="11"/>
  <c r="CT408" i="11" s="1"/>
  <c r="CH408" i="11"/>
  <c r="CI408" i="11"/>
  <c r="BU408" i="11"/>
  <c r="BV408" i="11"/>
  <c r="BH408" i="11"/>
  <c r="BI408" i="11"/>
  <c r="AU408" i="11"/>
  <c r="AV408" i="11"/>
  <c r="AH408" i="11"/>
  <c r="AI408" i="11"/>
  <c r="BA408" i="11"/>
  <c r="BN408" i="11"/>
  <c r="BP408" i="11"/>
  <c r="BB408" i="11"/>
  <c r="BD408" i="11" s="1"/>
  <c r="BO408" i="11"/>
  <c r="CO408" i="11"/>
  <c r="CC408" i="11"/>
  <c r="Y408" i="11"/>
  <c r="AP408" i="11"/>
  <c r="DN408" i="11"/>
  <c r="AN408" i="11"/>
  <c r="CN408" i="11"/>
  <c r="W409" i="11"/>
  <c r="AA408" i="11"/>
  <c r="CA408" i="11"/>
  <c r="DA408" i="11"/>
  <c r="AZ408" i="11"/>
  <c r="AM408" i="11"/>
  <c r="AO408" i="11"/>
  <c r="CM408" i="11"/>
  <c r="DC408" i="11"/>
  <c r="DP408" i="11"/>
  <c r="CB408" i="11"/>
  <c r="BM408" i="11"/>
  <c r="BZ408" i="11"/>
  <c r="DB408" i="11"/>
  <c r="DD408" i="11" s="1"/>
  <c r="X408" i="11"/>
  <c r="DM408" i="11"/>
  <c r="BC408" i="11"/>
  <c r="CP408" i="11"/>
  <c r="CZ408" i="11"/>
  <c r="B409" i="11"/>
  <c r="A409" i="11" s="1"/>
  <c r="C410" i="11"/>
  <c r="M375" i="12" l="1"/>
  <c r="N375" i="12"/>
  <c r="V375" i="12"/>
  <c r="W375" i="12" s="1"/>
  <c r="M408" i="11"/>
  <c r="L408" i="11"/>
  <c r="EH409" i="11"/>
  <c r="EA409" i="11"/>
  <c r="EI409" i="11"/>
  <c r="DZ409" i="11"/>
  <c r="EC409" i="11"/>
  <c r="A376" i="12"/>
  <c r="V376" i="12" s="1"/>
  <c r="W376" i="12" s="1"/>
  <c r="P409" i="11"/>
  <c r="DF407" i="11"/>
  <c r="BS407" i="11"/>
  <c r="BF407" i="11"/>
  <c r="AY405" i="11"/>
  <c r="BW406" i="11"/>
  <c r="BY406" i="11" s="1"/>
  <c r="BK406" i="11"/>
  <c r="DK406" i="11"/>
  <c r="DJ406" i="11"/>
  <c r="AW407" i="11"/>
  <c r="B377" i="12"/>
  <c r="BJ406" i="11"/>
  <c r="AS406" i="11"/>
  <c r="CY406" i="11"/>
  <c r="AB409" i="11"/>
  <c r="BQ408" i="11"/>
  <c r="BR408" i="11" s="1"/>
  <c r="BT408" i="11" s="1"/>
  <c r="CK407" i="11"/>
  <c r="CJ407" i="11"/>
  <c r="CX407" i="11"/>
  <c r="CY407" i="11" s="1"/>
  <c r="CS407" i="11"/>
  <c r="CF408" i="11"/>
  <c r="CD408" i="11"/>
  <c r="CL406" i="11"/>
  <c r="CS408" i="11"/>
  <c r="CQ408" i="11"/>
  <c r="AQ408" i="11"/>
  <c r="AR408" i="11" s="1"/>
  <c r="AT408" i="11" s="1"/>
  <c r="AY406" i="11"/>
  <c r="DJ407" i="11"/>
  <c r="DK407" i="11"/>
  <c r="BJ407" i="11"/>
  <c r="BK407" i="11"/>
  <c r="BE408" i="11"/>
  <c r="BG408" i="11" s="1"/>
  <c r="DE408" i="11"/>
  <c r="DG408" i="11" s="1"/>
  <c r="CE409" i="11"/>
  <c r="CG409" i="11" s="1"/>
  <c r="DV409" i="11"/>
  <c r="DU409" i="11"/>
  <c r="DH409" i="11"/>
  <c r="DI409" i="11"/>
  <c r="CR409" i="11"/>
  <c r="CT409" i="11" s="1"/>
  <c r="CU409" i="11"/>
  <c r="CV409" i="11"/>
  <c r="CH409" i="11"/>
  <c r="CI409" i="11"/>
  <c r="BU409" i="11"/>
  <c r="BV409" i="11"/>
  <c r="BI409" i="11"/>
  <c r="BH409" i="11"/>
  <c r="AU409" i="11"/>
  <c r="AV409" i="11"/>
  <c r="AH409" i="11"/>
  <c r="AI409" i="11"/>
  <c r="BP409" i="11"/>
  <c r="BN409" i="11"/>
  <c r="BB409" i="11"/>
  <c r="BD409" i="11" s="1"/>
  <c r="BO409" i="11"/>
  <c r="BQ409" i="11" s="1"/>
  <c r="CZ409" i="11"/>
  <c r="BC409" i="11"/>
  <c r="CP409" i="11"/>
  <c r="AP409" i="11"/>
  <c r="AM409" i="11"/>
  <c r="CB409" i="11"/>
  <c r="DA409" i="11"/>
  <c r="CC409" i="11"/>
  <c r="AN409" i="11"/>
  <c r="X409" i="11"/>
  <c r="AA409" i="11"/>
  <c r="CN409" i="11"/>
  <c r="AZ409" i="11"/>
  <c r="DC409" i="11"/>
  <c r="CO409" i="11"/>
  <c r="W410" i="11"/>
  <c r="DP409" i="11"/>
  <c r="BZ409" i="11"/>
  <c r="CM409" i="11"/>
  <c r="DN409" i="11"/>
  <c r="Y409" i="11"/>
  <c r="DM409" i="11"/>
  <c r="CA409" i="11"/>
  <c r="DB409" i="11"/>
  <c r="DD409" i="11" s="1"/>
  <c r="BM409" i="11"/>
  <c r="AO409" i="11"/>
  <c r="BA409" i="11"/>
  <c r="B410" i="11"/>
  <c r="A410" i="11" s="1"/>
  <c r="C411" i="11"/>
  <c r="N376" i="12" l="1"/>
  <c r="M409" i="11"/>
  <c r="L409" i="11"/>
  <c r="DZ410" i="11"/>
  <c r="EI410" i="11"/>
  <c r="EC410" i="11"/>
  <c r="EA410" i="11"/>
  <c r="EH410" i="11"/>
  <c r="M376" i="12"/>
  <c r="A377" i="12"/>
  <c r="N377" i="12" s="1"/>
  <c r="P410" i="11"/>
  <c r="DF408" i="11"/>
  <c r="BF408" i="11"/>
  <c r="BJ408" i="11"/>
  <c r="DL406" i="11"/>
  <c r="BL406" i="11"/>
  <c r="AX407" i="11"/>
  <c r="AY407" i="11" s="1"/>
  <c r="AX408" i="11"/>
  <c r="DK408" i="11"/>
  <c r="BX407" i="11"/>
  <c r="BW407" i="11"/>
  <c r="AS407" i="11"/>
  <c r="B378" i="12"/>
  <c r="DL407" i="11"/>
  <c r="CQ409" i="11"/>
  <c r="CW408" i="11"/>
  <c r="BS408" i="11"/>
  <c r="BX408" i="11"/>
  <c r="BW408" i="11"/>
  <c r="CX408" i="11"/>
  <c r="AB410" i="11"/>
  <c r="CD409" i="11"/>
  <c r="CJ408" i="11"/>
  <c r="CL407" i="11"/>
  <c r="CK408" i="11"/>
  <c r="AQ409" i="11"/>
  <c r="AR409" i="11" s="1"/>
  <c r="AT409" i="11" s="1"/>
  <c r="BL407" i="11"/>
  <c r="AW408" i="11"/>
  <c r="BR409" i="11"/>
  <c r="BT409" i="11" s="1"/>
  <c r="CE410" i="11"/>
  <c r="CG410" i="11" s="1"/>
  <c r="DU410" i="11"/>
  <c r="DV410" i="11"/>
  <c r="DH410" i="11"/>
  <c r="DI410" i="11"/>
  <c r="CR410" i="11"/>
  <c r="CT410" i="11" s="1"/>
  <c r="CU410" i="11"/>
  <c r="CV410" i="11"/>
  <c r="CH410" i="11"/>
  <c r="CI410" i="11"/>
  <c r="BU410" i="11"/>
  <c r="BV410" i="11"/>
  <c r="BH410" i="11"/>
  <c r="BI410" i="11"/>
  <c r="AU410" i="11"/>
  <c r="AV410" i="11"/>
  <c r="AH410" i="11"/>
  <c r="AI410" i="11"/>
  <c r="CS409" i="11"/>
  <c r="BE409" i="11"/>
  <c r="BG409" i="11" s="1"/>
  <c r="DE409" i="11"/>
  <c r="DG409" i="11" s="1"/>
  <c r="CA410" i="11"/>
  <c r="BP410" i="11"/>
  <c r="CZ410" i="11"/>
  <c r="BN410" i="11"/>
  <c r="BO410" i="11"/>
  <c r="BQ410" i="11" s="1"/>
  <c r="BB410" i="11"/>
  <c r="BD410" i="11" s="1"/>
  <c r="DN410" i="11"/>
  <c r="Y410" i="11"/>
  <c r="BA410" i="11"/>
  <c r="CO410" i="11"/>
  <c r="CM410" i="11"/>
  <c r="CC410" i="11"/>
  <c r="X410" i="11"/>
  <c r="AN410" i="11"/>
  <c r="AO410" i="11"/>
  <c r="BM410" i="11"/>
  <c r="BZ410" i="11"/>
  <c r="DB410" i="11"/>
  <c r="DD410" i="11" s="1"/>
  <c r="DP410" i="11"/>
  <c r="AZ410" i="11"/>
  <c r="DM410" i="11"/>
  <c r="AA410" i="11"/>
  <c r="AP410" i="11"/>
  <c r="CP410" i="11"/>
  <c r="DC410" i="11"/>
  <c r="DA410" i="11"/>
  <c r="AM410" i="11"/>
  <c r="W411" i="11"/>
  <c r="CB410" i="11"/>
  <c r="CN410" i="11"/>
  <c r="BC410" i="11"/>
  <c r="B411" i="11"/>
  <c r="A411" i="11" s="1"/>
  <c r="C412" i="11"/>
  <c r="L410" i="11" l="1"/>
  <c r="M410" i="11"/>
  <c r="M377" i="12"/>
  <c r="V377" i="12"/>
  <c r="W377" i="12" s="1"/>
  <c r="EA411" i="11"/>
  <c r="DZ411" i="11"/>
  <c r="EH411" i="11"/>
  <c r="EI411" i="11"/>
  <c r="EC411" i="11"/>
  <c r="A378" i="12"/>
  <c r="N378" i="12" s="1"/>
  <c r="P411" i="11"/>
  <c r="DF409" i="11"/>
  <c r="BF409" i="11"/>
  <c r="BS409" i="11"/>
  <c r="BX409" i="11"/>
  <c r="DJ408" i="11"/>
  <c r="DL408" i="11" s="1"/>
  <c r="BK408" i="11"/>
  <c r="BL408" i="11" s="1"/>
  <c r="BY407" i="11"/>
  <c r="B379" i="12"/>
  <c r="DJ409" i="11"/>
  <c r="AS409" i="11"/>
  <c r="AS408" i="11"/>
  <c r="CL408" i="11"/>
  <c r="CY408" i="11"/>
  <c r="BY408" i="11"/>
  <c r="BR410" i="11"/>
  <c r="BT410" i="11" s="1"/>
  <c r="CQ410" i="11"/>
  <c r="AB411" i="11"/>
  <c r="CF410" i="11"/>
  <c r="CD410" i="11"/>
  <c r="CJ409" i="11"/>
  <c r="CF409" i="11"/>
  <c r="CK409" i="11"/>
  <c r="AQ410" i="11"/>
  <c r="AR410" i="11" s="1"/>
  <c r="AT410" i="11" s="1"/>
  <c r="AY408" i="11"/>
  <c r="CE411" i="11"/>
  <c r="CG411" i="11" s="1"/>
  <c r="DV411" i="11"/>
  <c r="DU411" i="11"/>
  <c r="DH411" i="11"/>
  <c r="DI411" i="11"/>
  <c r="CV411" i="11"/>
  <c r="CR411" i="11"/>
  <c r="CT411" i="11" s="1"/>
  <c r="CU411" i="11"/>
  <c r="CH411" i="11"/>
  <c r="CI411" i="11"/>
  <c r="BU411" i="11"/>
  <c r="BV411" i="11"/>
  <c r="BI411" i="11"/>
  <c r="BH411" i="11"/>
  <c r="AU411" i="11"/>
  <c r="AV411" i="11"/>
  <c r="AH411" i="11"/>
  <c r="AI411" i="11"/>
  <c r="BE410" i="11"/>
  <c r="BG410" i="11" s="1"/>
  <c r="CS410" i="11"/>
  <c r="CX409" i="11"/>
  <c r="CW409" i="11"/>
  <c r="DE410" i="11"/>
  <c r="DG410" i="11" s="1"/>
  <c r="BP411" i="11"/>
  <c r="BN411" i="11"/>
  <c r="CO411" i="11"/>
  <c r="CB411" i="11"/>
  <c r="BO411" i="11"/>
  <c r="BQ411" i="11" s="1"/>
  <c r="CC411" i="11"/>
  <c r="CN411" i="11"/>
  <c r="DM411" i="11"/>
  <c r="CZ411" i="11"/>
  <c r="BA411" i="11"/>
  <c r="BC411" i="11"/>
  <c r="CM411" i="11"/>
  <c r="DP411" i="11"/>
  <c r="AM411" i="11"/>
  <c r="AP411" i="11"/>
  <c r="AN411" i="11"/>
  <c r="Y411" i="11"/>
  <c r="DA411" i="11"/>
  <c r="DN411" i="11"/>
  <c r="AZ411" i="11"/>
  <c r="BM411" i="11"/>
  <c r="W412" i="11"/>
  <c r="BZ411" i="11"/>
  <c r="DB411" i="11"/>
  <c r="DD411" i="11" s="1"/>
  <c r="AO411" i="11"/>
  <c r="BB411" i="11"/>
  <c r="BD411" i="11" s="1"/>
  <c r="X411" i="11"/>
  <c r="CA411" i="11"/>
  <c r="DC411" i="11"/>
  <c r="CP411" i="11"/>
  <c r="AA411" i="11"/>
  <c r="B412" i="11"/>
  <c r="A412" i="11" s="1"/>
  <c r="C413" i="11"/>
  <c r="M411" i="11" l="1"/>
  <c r="L411" i="11"/>
  <c r="EH412" i="11"/>
  <c r="EA412" i="11"/>
  <c r="EC412" i="11"/>
  <c r="DZ412" i="11"/>
  <c r="EI412" i="11"/>
  <c r="M378" i="12"/>
  <c r="V378" i="12"/>
  <c r="W378" i="12" s="1"/>
  <c r="A379" i="12"/>
  <c r="V379" i="12" s="1"/>
  <c r="W379" i="12" s="1"/>
  <c r="P412" i="11"/>
  <c r="BW409" i="11"/>
  <c r="BY409" i="11" s="1"/>
  <c r="DF410" i="11"/>
  <c r="DJ410" i="11"/>
  <c r="BS410" i="11"/>
  <c r="BW410" i="11"/>
  <c r="BF410" i="11"/>
  <c r="AX409" i="11"/>
  <c r="AW409" i="11"/>
  <c r="BK409" i="11"/>
  <c r="B380" i="12"/>
  <c r="BJ409" i="11"/>
  <c r="DK409" i="11"/>
  <c r="DL409" i="11" s="1"/>
  <c r="AX410" i="11"/>
  <c r="CL409" i="11"/>
  <c r="AB412" i="11"/>
  <c r="CJ410" i="11"/>
  <c r="CK410" i="11"/>
  <c r="CQ411" i="11"/>
  <c r="CF411" i="11"/>
  <c r="CD411" i="11"/>
  <c r="AQ411" i="11"/>
  <c r="AR411" i="11" s="1"/>
  <c r="AT411" i="11" s="1"/>
  <c r="BK410" i="11"/>
  <c r="BJ410" i="11"/>
  <c r="CW410" i="11"/>
  <c r="CX410" i="11"/>
  <c r="CY409" i="11"/>
  <c r="BR411" i="11"/>
  <c r="BT411" i="11" s="1"/>
  <c r="BP412" i="11"/>
  <c r="CE412" i="11"/>
  <c r="CG412" i="11" s="1"/>
  <c r="DV412" i="11"/>
  <c r="DU412" i="11"/>
  <c r="DH412" i="11"/>
  <c r="DI412" i="11"/>
  <c r="CR412" i="11"/>
  <c r="CT412" i="11" s="1"/>
  <c r="CU412" i="11"/>
  <c r="CV412" i="11"/>
  <c r="CH412" i="11"/>
  <c r="CI412" i="11"/>
  <c r="BU412" i="11"/>
  <c r="BV412" i="11"/>
  <c r="BH412" i="11"/>
  <c r="BI412" i="11"/>
  <c r="AV412" i="11"/>
  <c r="AU412" i="11"/>
  <c r="AH412" i="11"/>
  <c r="AI412" i="11"/>
  <c r="BE411" i="11"/>
  <c r="BG411" i="11" s="1"/>
  <c r="DE411" i="11"/>
  <c r="DG411" i="11" s="1"/>
  <c r="AA412" i="11"/>
  <c r="BN412" i="11"/>
  <c r="CB412" i="11"/>
  <c r="BO412" i="11"/>
  <c r="CN412" i="11"/>
  <c r="AM412" i="11"/>
  <c r="CM412" i="11"/>
  <c r="BB412" i="11"/>
  <c r="BD412" i="11" s="1"/>
  <c r="BM412" i="11"/>
  <c r="CP412" i="11"/>
  <c r="AN412" i="11"/>
  <c r="DP412" i="11"/>
  <c r="DN412" i="11"/>
  <c r="X412" i="11"/>
  <c r="DB412" i="11"/>
  <c r="DD412" i="11" s="1"/>
  <c r="AZ412" i="11"/>
  <c r="DA412" i="11"/>
  <c r="Y412" i="11"/>
  <c r="BC412" i="11"/>
  <c r="CA412" i="11"/>
  <c r="CZ412" i="11"/>
  <c r="DC412" i="11"/>
  <c r="W413" i="11"/>
  <c r="AO412" i="11"/>
  <c r="CC412" i="11"/>
  <c r="BZ412" i="11"/>
  <c r="AP412" i="11"/>
  <c r="DM412" i="11"/>
  <c r="BA412" i="11"/>
  <c r="CO412" i="11"/>
  <c r="B413" i="11"/>
  <c r="A413" i="11" s="1"/>
  <c r="C414" i="11"/>
  <c r="N379" i="12" l="1"/>
  <c r="M412" i="11"/>
  <c r="L412" i="11"/>
  <c r="EC413" i="11"/>
  <c r="DZ413" i="11"/>
  <c r="EI413" i="11"/>
  <c r="EH413" i="11"/>
  <c r="EA413" i="11"/>
  <c r="M379" i="12"/>
  <c r="A380" i="12"/>
  <c r="N380" i="12" s="1"/>
  <c r="P413" i="11"/>
  <c r="BF411" i="11"/>
  <c r="DF411" i="11"/>
  <c r="BS411" i="11"/>
  <c r="BW411" i="11"/>
  <c r="BL409" i="11"/>
  <c r="AY409" i="11"/>
  <c r="BX410" i="11"/>
  <c r="BY410" i="11" s="1"/>
  <c r="AW410" i="11"/>
  <c r="AY410" i="11" s="1"/>
  <c r="DK410" i="11"/>
  <c r="DL410" i="11" s="1"/>
  <c r="BK411" i="11"/>
  <c r="B381" i="12"/>
  <c r="AS411" i="11"/>
  <c r="AS410" i="11"/>
  <c r="CJ411" i="11"/>
  <c r="CK411" i="11"/>
  <c r="BZ413" i="11"/>
  <c r="AB413" i="11"/>
  <c r="CY410" i="11"/>
  <c r="BQ412" i="11"/>
  <c r="BR412" i="11" s="1"/>
  <c r="BT412" i="11" s="1"/>
  <c r="CW411" i="11"/>
  <c r="CS411" i="11"/>
  <c r="CL410" i="11"/>
  <c r="CS412" i="11"/>
  <c r="CQ412" i="11"/>
  <c r="CF412" i="11"/>
  <c r="CD412" i="11"/>
  <c r="CX411" i="11"/>
  <c r="AQ412" i="11"/>
  <c r="AR412" i="11" s="1"/>
  <c r="AT412" i="11" s="1"/>
  <c r="BL410" i="11"/>
  <c r="CE413" i="11"/>
  <c r="CG413" i="11" s="1"/>
  <c r="DU413" i="11"/>
  <c r="DV413" i="11"/>
  <c r="DH413" i="11"/>
  <c r="DI413" i="11"/>
  <c r="CU413" i="11"/>
  <c r="CV413" i="11"/>
  <c r="CR413" i="11"/>
  <c r="CT413" i="11" s="1"/>
  <c r="CH413" i="11"/>
  <c r="CI413" i="11"/>
  <c r="BU413" i="11"/>
  <c r="BV413" i="11"/>
  <c r="BI413" i="11"/>
  <c r="BH413" i="11"/>
  <c r="AU413" i="11"/>
  <c r="AV413" i="11"/>
  <c r="AH413" i="11"/>
  <c r="AI413" i="11"/>
  <c r="BE412" i="11"/>
  <c r="BG412" i="11" s="1"/>
  <c r="DE412" i="11"/>
  <c r="DG412" i="11" s="1"/>
  <c r="BN413" i="11"/>
  <c r="AA413" i="11"/>
  <c r="BP413" i="11"/>
  <c r="BO413" i="11"/>
  <c r="BQ413" i="11" s="1"/>
  <c r="CC413" i="11"/>
  <c r="DC413" i="11"/>
  <c r="DA413" i="11"/>
  <c r="CP413" i="11"/>
  <c r="AZ413" i="11"/>
  <c r="DB413" i="11"/>
  <c r="DD413" i="11" s="1"/>
  <c r="X413" i="11"/>
  <c r="BM413" i="11"/>
  <c r="AO413" i="11"/>
  <c r="BA413" i="11"/>
  <c r="CZ413" i="11"/>
  <c r="DN413" i="11"/>
  <c r="BB413" i="11"/>
  <c r="BD413" i="11" s="1"/>
  <c r="CA413" i="11"/>
  <c r="CO413" i="11"/>
  <c r="DM413" i="11"/>
  <c r="AP413" i="11"/>
  <c r="BC413" i="11"/>
  <c r="CM413" i="11"/>
  <c r="W414" i="11"/>
  <c r="CN413" i="11"/>
  <c r="DP413" i="11"/>
  <c r="AM413" i="11"/>
  <c r="Y413" i="11"/>
  <c r="AN413" i="11"/>
  <c r="CB413" i="11"/>
  <c r="B414" i="11"/>
  <c r="A414" i="11" s="1"/>
  <c r="C415" i="11"/>
  <c r="CY411" i="11" l="1"/>
  <c r="M413" i="11"/>
  <c r="L413" i="11"/>
  <c r="M380" i="12"/>
  <c r="V380" i="12"/>
  <c r="W380" i="12" s="1"/>
  <c r="EA414" i="11"/>
  <c r="EH414" i="11"/>
  <c r="EI414" i="11"/>
  <c r="EC414" i="11"/>
  <c r="DZ414" i="11"/>
  <c r="A381" i="12"/>
  <c r="V381" i="12" s="1"/>
  <c r="W381" i="12" s="1"/>
  <c r="P414" i="11"/>
  <c r="DF412" i="11"/>
  <c r="DJ412" i="11"/>
  <c r="BF412" i="11"/>
  <c r="BK412" i="11"/>
  <c r="BX411" i="11"/>
  <c r="BY411" i="11" s="1"/>
  <c r="BJ411" i="11"/>
  <c r="BL411" i="11" s="1"/>
  <c r="AX411" i="11"/>
  <c r="AW411" i="11"/>
  <c r="B382" i="12"/>
  <c r="DK411" i="11"/>
  <c r="DJ411" i="11"/>
  <c r="BW412" i="11"/>
  <c r="CL411" i="11"/>
  <c r="AX412" i="11"/>
  <c r="CX412" i="11"/>
  <c r="BS412" i="11"/>
  <c r="CK412" i="11"/>
  <c r="AB414" i="11"/>
  <c r="CW412" i="11"/>
  <c r="CK413" i="11"/>
  <c r="CD413" i="11"/>
  <c r="CJ412" i="11"/>
  <c r="CS413" i="11"/>
  <c r="CQ413" i="11"/>
  <c r="AQ413" i="11"/>
  <c r="AR413" i="11" s="1"/>
  <c r="AT413" i="11" s="1"/>
  <c r="BR413" i="11"/>
  <c r="BT413" i="11" s="1"/>
  <c r="DE413" i="11"/>
  <c r="DG413" i="11" s="1"/>
  <c r="CE414" i="11"/>
  <c r="CG414" i="11" s="1"/>
  <c r="DU414" i="11"/>
  <c r="DV414" i="11"/>
  <c r="DI414" i="11"/>
  <c r="DH414" i="11"/>
  <c r="CU414" i="11"/>
  <c r="CR414" i="11"/>
  <c r="CT414" i="11" s="1"/>
  <c r="CV414" i="11"/>
  <c r="CH414" i="11"/>
  <c r="CI414" i="11"/>
  <c r="BU414" i="11"/>
  <c r="BV414" i="11"/>
  <c r="BH414" i="11"/>
  <c r="BI414" i="11"/>
  <c r="AU414" i="11"/>
  <c r="AV414" i="11"/>
  <c r="AH414" i="11"/>
  <c r="AI414" i="11"/>
  <c r="BE413" i="11"/>
  <c r="BG413" i="11" s="1"/>
  <c r="AN414" i="11"/>
  <c r="Y414" i="11"/>
  <c r="CZ414" i="11"/>
  <c r="DC414" i="11"/>
  <c r="CC414" i="11"/>
  <c r="BN414" i="11"/>
  <c r="BP414" i="11"/>
  <c r="BO414" i="11"/>
  <c r="BQ414" i="11" s="1"/>
  <c r="BA414" i="11"/>
  <c r="AM414" i="11"/>
  <c r="DP414" i="11"/>
  <c r="CB414" i="11"/>
  <c r="BM414" i="11"/>
  <c r="X414" i="11"/>
  <c r="CO414" i="11"/>
  <c r="DB414" i="11"/>
  <c r="DD414" i="11" s="1"/>
  <c r="BB414" i="11"/>
  <c r="BD414" i="11" s="1"/>
  <c r="CN414" i="11"/>
  <c r="BZ414" i="11"/>
  <c r="AO414" i="11"/>
  <c r="AA414" i="11"/>
  <c r="CM414" i="11"/>
  <c r="W415" i="11"/>
  <c r="BC414" i="11"/>
  <c r="AZ414" i="11"/>
  <c r="CA414" i="11"/>
  <c r="AP414" i="11"/>
  <c r="CP414" i="11"/>
  <c r="DM414" i="11"/>
  <c r="DN414" i="11"/>
  <c r="DA414" i="11"/>
  <c r="B415" i="11"/>
  <c r="A415" i="11" s="1"/>
  <c r="C416" i="11"/>
  <c r="L414" i="11" l="1"/>
  <c r="M381" i="12"/>
  <c r="N381" i="12"/>
  <c r="M414" i="11"/>
  <c r="EI415" i="11"/>
  <c r="EH415" i="11"/>
  <c r="EA415" i="11"/>
  <c r="DZ415" i="11"/>
  <c r="EC415" i="11"/>
  <c r="A382" i="12"/>
  <c r="M382" i="12" s="1"/>
  <c r="P415" i="11"/>
  <c r="DF413" i="11"/>
  <c r="DK413" i="11"/>
  <c r="BS413" i="11"/>
  <c r="BF413" i="11"/>
  <c r="BJ413" i="11"/>
  <c r="DK412" i="11"/>
  <c r="DL412" i="11" s="1"/>
  <c r="AS412" i="11"/>
  <c r="AY411" i="11"/>
  <c r="AW412" i="11"/>
  <c r="AY412" i="11" s="1"/>
  <c r="DL411" i="11"/>
  <c r="BX412" i="11"/>
  <c r="BY412" i="11" s="1"/>
  <c r="B383" i="12"/>
  <c r="BJ412" i="11"/>
  <c r="BL412" i="11" s="1"/>
  <c r="AW413" i="11"/>
  <c r="CW413" i="11"/>
  <c r="CY412" i="11"/>
  <c r="CQ414" i="11"/>
  <c r="CL412" i="11"/>
  <c r="AB415" i="11"/>
  <c r="CX413" i="11"/>
  <c r="CF414" i="11"/>
  <c r="CD414" i="11"/>
  <c r="CJ413" i="11"/>
  <c r="CL413" i="11" s="1"/>
  <c r="CF413" i="11"/>
  <c r="AQ414" i="11"/>
  <c r="AR414" i="11" s="1"/>
  <c r="AT414" i="11" s="1"/>
  <c r="CS414" i="11"/>
  <c r="DE414" i="11"/>
  <c r="DG414" i="11" s="1"/>
  <c r="CE415" i="11"/>
  <c r="CG415" i="11" s="1"/>
  <c r="DV415" i="11"/>
  <c r="DU415" i="11"/>
  <c r="DH415" i="11"/>
  <c r="DI415" i="11"/>
  <c r="CR415" i="11"/>
  <c r="CT415" i="11" s="1"/>
  <c r="CU415" i="11"/>
  <c r="CV415" i="11"/>
  <c r="CH415" i="11"/>
  <c r="CI415" i="11"/>
  <c r="BU415" i="11"/>
  <c r="BV415" i="11"/>
  <c r="BH415" i="11"/>
  <c r="BI415" i="11"/>
  <c r="AU415" i="11"/>
  <c r="AV415" i="11"/>
  <c r="AH415" i="11"/>
  <c r="AI415" i="11"/>
  <c r="BR414" i="11"/>
  <c r="BT414" i="11" s="1"/>
  <c r="BE414" i="11"/>
  <c r="BG414" i="11" s="1"/>
  <c r="AP415" i="11"/>
  <c r="CP415" i="11"/>
  <c r="BN415" i="11"/>
  <c r="CM415" i="11"/>
  <c r="BP415" i="11"/>
  <c r="BO415" i="11"/>
  <c r="DA415" i="11"/>
  <c r="DN415" i="11"/>
  <c r="AM415" i="11"/>
  <c r="AO415" i="11"/>
  <c r="CZ415" i="11"/>
  <c r="BA415" i="11"/>
  <c r="DM415" i="11"/>
  <c r="CO415" i="11"/>
  <c r="CN415" i="11"/>
  <c r="CA415" i="11"/>
  <c r="DP415" i="11"/>
  <c r="BM415" i="11"/>
  <c r="BZ415" i="11"/>
  <c r="AZ415" i="11"/>
  <c r="AN415" i="11"/>
  <c r="BC415" i="11"/>
  <c r="BB415" i="11"/>
  <c r="BD415" i="11" s="1"/>
  <c r="AA415" i="11"/>
  <c r="W416" i="11"/>
  <c r="DB415" i="11"/>
  <c r="DD415" i="11" s="1"/>
  <c r="CB415" i="11"/>
  <c r="DC415" i="11"/>
  <c r="CC415" i="11"/>
  <c r="X415" i="11"/>
  <c r="Y415" i="11"/>
  <c r="B416" i="11"/>
  <c r="A416" i="11" s="1"/>
  <c r="C417" i="11"/>
  <c r="M415" i="11" l="1"/>
  <c r="L415" i="11"/>
  <c r="EH416" i="11"/>
  <c r="EC416" i="11"/>
  <c r="DZ416" i="11"/>
  <c r="EI416" i="11"/>
  <c r="EA416" i="11"/>
  <c r="N382" i="12"/>
  <c r="V382" i="12"/>
  <c r="W382" i="12" s="1"/>
  <c r="A383" i="12"/>
  <c r="V383" i="12" s="1"/>
  <c r="W383" i="12" s="1"/>
  <c r="P416" i="11"/>
  <c r="BF414" i="11"/>
  <c r="BJ414" i="11"/>
  <c r="BS414" i="11"/>
  <c r="BW414" i="11"/>
  <c r="DF414" i="11"/>
  <c r="DK414" i="11"/>
  <c r="DJ413" i="11"/>
  <c r="DL413" i="11" s="1"/>
  <c r="BX413" i="11"/>
  <c r="BK413" i="11"/>
  <c r="BL413" i="11" s="1"/>
  <c r="CY413" i="11"/>
  <c r="AX413" i="11"/>
  <c r="AY413" i="11" s="1"/>
  <c r="BW413" i="11"/>
  <c r="AX414" i="11"/>
  <c r="B384" i="12"/>
  <c r="AS413" i="11"/>
  <c r="CK414" i="11"/>
  <c r="CJ414" i="11"/>
  <c r="AB416" i="11"/>
  <c r="BQ415" i="11"/>
  <c r="BR415" i="11" s="1"/>
  <c r="BT415" i="11" s="1"/>
  <c r="CW415" i="11"/>
  <c r="CQ415" i="11"/>
  <c r="CD415" i="11"/>
  <c r="AQ415" i="11"/>
  <c r="AR415" i="11" s="1"/>
  <c r="AT415" i="11" s="1"/>
  <c r="AW414" i="11"/>
  <c r="CX414" i="11"/>
  <c r="CW414" i="11"/>
  <c r="BX414" i="11"/>
  <c r="BN416" i="11"/>
  <c r="CE416" i="11"/>
  <c r="CG416" i="11" s="1"/>
  <c r="DU416" i="11"/>
  <c r="DV416" i="11"/>
  <c r="DI416" i="11"/>
  <c r="DH416" i="11"/>
  <c r="CU416" i="11"/>
  <c r="CV416" i="11"/>
  <c r="CR416" i="11"/>
  <c r="CT416" i="11" s="1"/>
  <c r="CH416" i="11"/>
  <c r="CI416" i="11"/>
  <c r="BV416" i="11"/>
  <c r="BU416" i="11"/>
  <c r="BI416" i="11"/>
  <c r="BH416" i="11"/>
  <c r="AU416" i="11"/>
  <c r="AH416" i="11"/>
  <c r="AI416" i="11"/>
  <c r="AV416" i="11"/>
  <c r="BE415" i="11"/>
  <c r="BG415" i="11" s="1"/>
  <c r="DE415" i="11"/>
  <c r="DG415" i="11" s="1"/>
  <c r="BP416" i="11"/>
  <c r="AZ416" i="11"/>
  <c r="BO416" i="11"/>
  <c r="X416" i="11"/>
  <c r="Y416" i="11"/>
  <c r="BM416" i="11"/>
  <c r="CN416" i="11"/>
  <c r="CC416" i="11"/>
  <c r="BB416" i="11"/>
  <c r="BD416" i="11" s="1"/>
  <c r="AM416" i="11"/>
  <c r="DN416" i="11"/>
  <c r="DC416" i="11"/>
  <c r="CO416" i="11"/>
  <c r="CA416" i="11"/>
  <c r="CP416" i="11"/>
  <c r="BA416" i="11"/>
  <c r="DP416" i="11"/>
  <c r="DM416" i="11"/>
  <c r="CZ416" i="11"/>
  <c r="DB416" i="11"/>
  <c r="DD416" i="11" s="1"/>
  <c r="AA416" i="11"/>
  <c r="BC416" i="11"/>
  <c r="AP416" i="11"/>
  <c r="CB416" i="11"/>
  <c r="BZ416" i="11"/>
  <c r="DA416" i="11"/>
  <c r="W417" i="11"/>
  <c r="AO416" i="11"/>
  <c r="AN416" i="11"/>
  <c r="CM416" i="11"/>
  <c r="B417" i="11"/>
  <c r="A417" i="11" s="1"/>
  <c r="C418" i="11"/>
  <c r="M416" i="11" l="1"/>
  <c r="L416" i="11"/>
  <c r="N383" i="12"/>
  <c r="M383" i="12"/>
  <c r="EC417" i="11"/>
  <c r="EI417" i="11"/>
  <c r="EA417" i="11"/>
  <c r="DZ417" i="11"/>
  <c r="EH417" i="11"/>
  <c r="A384" i="12"/>
  <c r="N384" i="12" s="1"/>
  <c r="P417" i="11"/>
  <c r="DF415" i="11"/>
  <c r="BF415" i="11"/>
  <c r="BK415" i="11"/>
  <c r="AS414" i="11"/>
  <c r="DJ414" i="11"/>
  <c r="DL414" i="11" s="1"/>
  <c r="BY413" i="11"/>
  <c r="BK414" i="11"/>
  <c r="BL414" i="11" s="1"/>
  <c r="DJ415" i="11"/>
  <c r="B385" i="12"/>
  <c r="CL414" i="11"/>
  <c r="BS415" i="11"/>
  <c r="BX415" i="11"/>
  <c r="BW415" i="11"/>
  <c r="AB417" i="11"/>
  <c r="CM417" i="11"/>
  <c r="BQ416" i="11"/>
  <c r="BR416" i="11" s="1"/>
  <c r="BT416" i="11" s="1"/>
  <c r="CS416" i="11"/>
  <c r="CQ416" i="11"/>
  <c r="CJ415" i="11"/>
  <c r="CF415" i="11"/>
  <c r="CF416" i="11"/>
  <c r="CD416" i="11"/>
  <c r="CK415" i="11"/>
  <c r="AY414" i="11"/>
  <c r="CX415" i="11"/>
  <c r="CY415" i="11" s="1"/>
  <c r="CS415" i="11"/>
  <c r="AQ416" i="11"/>
  <c r="AR416" i="11" s="1"/>
  <c r="AT416" i="11" s="1"/>
  <c r="CY414" i="11"/>
  <c r="DE416" i="11"/>
  <c r="DG416" i="11" s="1"/>
  <c r="BE416" i="11"/>
  <c r="BG416" i="11" s="1"/>
  <c r="BN417" i="11"/>
  <c r="CE417" i="11"/>
  <c r="CG417" i="11" s="1"/>
  <c r="DV417" i="11"/>
  <c r="DU417" i="11"/>
  <c r="DH417" i="11"/>
  <c r="DI417" i="11"/>
  <c r="CR417" i="11"/>
  <c r="CT417" i="11" s="1"/>
  <c r="CU417" i="11"/>
  <c r="CV417" i="11"/>
  <c r="CI417" i="11"/>
  <c r="CH417" i="11"/>
  <c r="BU417" i="11"/>
  <c r="BV417" i="11"/>
  <c r="BH417" i="11"/>
  <c r="BI417" i="11"/>
  <c r="AU417" i="11"/>
  <c r="AV417" i="11"/>
  <c r="AH417" i="11"/>
  <c r="AI417" i="11"/>
  <c r="BY414" i="11"/>
  <c r="BP417" i="11"/>
  <c r="X417" i="11"/>
  <c r="DB417" i="11"/>
  <c r="DD417" i="11" s="1"/>
  <c r="BO417" i="11"/>
  <c r="BQ417" i="11" s="1"/>
  <c r="AA417" i="11"/>
  <c r="BC417" i="11"/>
  <c r="DM417" i="11"/>
  <c r="AM417" i="11"/>
  <c r="DP417" i="11"/>
  <c r="AO417" i="11"/>
  <c r="DA417" i="11"/>
  <c r="BZ417" i="11"/>
  <c r="AN417" i="11"/>
  <c r="CB417" i="11"/>
  <c r="DN417" i="11"/>
  <c r="BA417" i="11"/>
  <c r="BB417" i="11"/>
  <c r="BD417" i="11" s="1"/>
  <c r="BM417" i="11"/>
  <c r="CC417" i="11"/>
  <c r="CP417" i="11"/>
  <c r="CN417" i="11"/>
  <c r="CA417" i="11"/>
  <c r="CZ417" i="11"/>
  <c r="DC417" i="11"/>
  <c r="W418" i="11"/>
  <c r="AP417" i="11"/>
  <c r="Y417" i="11"/>
  <c r="CO417" i="11"/>
  <c r="AZ417" i="11"/>
  <c r="B418" i="11"/>
  <c r="A418" i="11" s="1"/>
  <c r="C419" i="11"/>
  <c r="M417" i="11" l="1"/>
  <c r="L417" i="11"/>
  <c r="EA418" i="11"/>
  <c r="EH418" i="11"/>
  <c r="EC418" i="11"/>
  <c r="DZ418" i="11"/>
  <c r="EI418" i="11"/>
  <c r="M384" i="12"/>
  <c r="V384" i="12"/>
  <c r="W384" i="12" s="1"/>
  <c r="A385" i="12"/>
  <c r="V385" i="12" s="1"/>
  <c r="W385" i="12" s="1"/>
  <c r="P418" i="11"/>
  <c r="BS416" i="11"/>
  <c r="BX416" i="11"/>
  <c r="BF416" i="11"/>
  <c r="BK416" i="11"/>
  <c r="DF416" i="11"/>
  <c r="DK416" i="11"/>
  <c r="BY415" i="11"/>
  <c r="BJ415" i="11"/>
  <c r="BL415" i="11" s="1"/>
  <c r="DK415" i="11"/>
  <c r="DL415" i="11" s="1"/>
  <c r="AS415" i="11"/>
  <c r="AS416" i="11"/>
  <c r="B386" i="12"/>
  <c r="AX415" i="11"/>
  <c r="AW415" i="11"/>
  <c r="CW416" i="11"/>
  <c r="CX416" i="11"/>
  <c r="CK416" i="11"/>
  <c r="CD417" i="11"/>
  <c r="CJ416" i="11"/>
  <c r="CL415" i="11"/>
  <c r="AB418" i="11"/>
  <c r="CX417" i="11"/>
  <c r="CQ417" i="11"/>
  <c r="AQ417" i="11"/>
  <c r="AR417" i="11" s="1"/>
  <c r="AT417" i="11" s="1"/>
  <c r="AW416" i="11"/>
  <c r="AX416" i="11"/>
  <c r="CF417" i="11"/>
  <c r="BE417" i="11"/>
  <c r="BG417" i="11" s="1"/>
  <c r="DE417" i="11"/>
  <c r="DG417" i="11" s="1"/>
  <c r="CE418" i="11"/>
  <c r="CG418" i="11" s="1"/>
  <c r="DU418" i="11"/>
  <c r="DV418" i="11"/>
  <c r="DH418" i="11"/>
  <c r="DI418" i="11"/>
  <c r="CU418" i="11"/>
  <c r="CV418" i="11"/>
  <c r="CR418" i="11"/>
  <c r="CT418" i="11" s="1"/>
  <c r="CH418" i="11"/>
  <c r="CI418" i="11"/>
  <c r="BU418" i="11"/>
  <c r="BV418" i="11"/>
  <c r="BH418" i="11"/>
  <c r="BI418" i="11"/>
  <c r="AU418" i="11"/>
  <c r="AV418" i="11"/>
  <c r="AH418" i="11"/>
  <c r="AI418" i="11"/>
  <c r="BR417" i="11"/>
  <c r="BT417" i="11" s="1"/>
  <c r="BP418" i="11"/>
  <c r="BN418" i="11"/>
  <c r="BO418" i="11"/>
  <c r="BQ418" i="11" s="1"/>
  <c r="DN418" i="11"/>
  <c r="AZ418" i="11"/>
  <c r="Y418" i="11"/>
  <c r="AP418" i="11"/>
  <c r="DA418" i="11"/>
  <c r="BC418" i="11"/>
  <c r="CO418" i="11"/>
  <c r="BZ418" i="11"/>
  <c r="CM418" i="11"/>
  <c r="DB418" i="11"/>
  <c r="DD418" i="11" s="1"/>
  <c r="W419" i="11"/>
  <c r="CA418" i="11"/>
  <c r="CC418" i="11"/>
  <c r="DM418" i="11"/>
  <c r="DP418" i="11"/>
  <c r="BM418" i="11"/>
  <c r="AA418" i="11"/>
  <c r="CN418" i="11"/>
  <c r="DC418" i="11"/>
  <c r="CB418" i="11"/>
  <c r="CZ418" i="11"/>
  <c r="AO418" i="11"/>
  <c r="AM418" i="11"/>
  <c r="BB418" i="11"/>
  <c r="BD418" i="11" s="1"/>
  <c r="BA418" i="11"/>
  <c r="CP418" i="11"/>
  <c r="AN418" i="11"/>
  <c r="X418" i="11"/>
  <c r="B419" i="11"/>
  <c r="A419" i="11" s="1"/>
  <c r="C420" i="11"/>
  <c r="M418" i="11" l="1"/>
  <c r="L418" i="11"/>
  <c r="M385" i="12"/>
  <c r="N385" i="12"/>
  <c r="EA419" i="11"/>
  <c r="EI419" i="11"/>
  <c r="EH419" i="11"/>
  <c r="EC419" i="11"/>
  <c r="DZ419" i="11"/>
  <c r="A386" i="12"/>
  <c r="V386" i="12" s="1"/>
  <c r="W386" i="12" s="1"/>
  <c r="P419" i="11"/>
  <c r="BF417" i="11"/>
  <c r="BS417" i="11"/>
  <c r="DF417" i="11"/>
  <c r="BW416" i="11"/>
  <c r="BY416" i="11" s="1"/>
  <c r="DJ416" i="11"/>
  <c r="DL416" i="11" s="1"/>
  <c r="BJ416" i="11"/>
  <c r="BL416" i="11" s="1"/>
  <c r="AY415" i="11"/>
  <c r="B387" i="12"/>
  <c r="BX417" i="11"/>
  <c r="AS417" i="11"/>
  <c r="CL416" i="11"/>
  <c r="CY416" i="11"/>
  <c r="CJ417" i="11"/>
  <c r="BR418" i="11"/>
  <c r="AB419" i="11"/>
  <c r="CF418" i="11"/>
  <c r="CD418" i="11"/>
  <c r="CW418" i="11"/>
  <c r="CQ418" i="11"/>
  <c r="CK417" i="11"/>
  <c r="CW417" i="11"/>
  <c r="CY417" i="11" s="1"/>
  <c r="CS417" i="11"/>
  <c r="AQ418" i="11"/>
  <c r="AR418" i="11" s="1"/>
  <c r="AT418" i="11" s="1"/>
  <c r="AY416" i="11"/>
  <c r="BJ417" i="11"/>
  <c r="AX417" i="11"/>
  <c r="AW417" i="11"/>
  <c r="BE418" i="11"/>
  <c r="BG418" i="11" s="1"/>
  <c r="DE418" i="11"/>
  <c r="DG418" i="11" s="1"/>
  <c r="CE419" i="11"/>
  <c r="CG419" i="11" s="1"/>
  <c r="DV419" i="11"/>
  <c r="DU419" i="11"/>
  <c r="DH419" i="11"/>
  <c r="DI419" i="11"/>
  <c r="CR419" i="11"/>
  <c r="CT419" i="11" s="1"/>
  <c r="CU419" i="11"/>
  <c r="CV419" i="11"/>
  <c r="CH419" i="11"/>
  <c r="CI419" i="11"/>
  <c r="BU419" i="11"/>
  <c r="BV419" i="11"/>
  <c r="BH419" i="11"/>
  <c r="BI419" i="11"/>
  <c r="AV419" i="11"/>
  <c r="AU419" i="11"/>
  <c r="AH419" i="11"/>
  <c r="AI419" i="11"/>
  <c r="AA419" i="11"/>
  <c r="AM419" i="11"/>
  <c r="BN419" i="11"/>
  <c r="BM419" i="11"/>
  <c r="BP419" i="11"/>
  <c r="AO419" i="11"/>
  <c r="BO419" i="11"/>
  <c r="BQ419" i="11" s="1"/>
  <c r="AN419" i="11"/>
  <c r="CB419" i="11"/>
  <c r="CC419" i="11"/>
  <c r="CM419" i="11"/>
  <c r="DP419" i="11"/>
  <c r="BC419" i="11"/>
  <c r="X419" i="11"/>
  <c r="CZ419" i="11"/>
  <c r="DM419" i="11"/>
  <c r="DB419" i="11"/>
  <c r="DD419" i="11" s="1"/>
  <c r="DA419" i="11"/>
  <c r="CP419" i="11"/>
  <c r="CA419" i="11"/>
  <c r="W420" i="11"/>
  <c r="BA419" i="11"/>
  <c r="CO419" i="11"/>
  <c r="AZ419" i="11"/>
  <c r="AP419" i="11"/>
  <c r="DC419" i="11"/>
  <c r="BZ419" i="11"/>
  <c r="Y419" i="11"/>
  <c r="BB419" i="11"/>
  <c r="BD419" i="11" s="1"/>
  <c r="CN419" i="11"/>
  <c r="DN419" i="11"/>
  <c r="B420" i="11"/>
  <c r="A420" i="11" s="1"/>
  <c r="C421" i="11"/>
  <c r="BT418" i="11" l="1"/>
  <c r="BS418" i="11" s="1"/>
  <c r="L419" i="11"/>
  <c r="M419" i="11"/>
  <c r="N386" i="12"/>
  <c r="M386" i="12"/>
  <c r="EH420" i="11"/>
  <c r="EC420" i="11"/>
  <c r="DZ420" i="11"/>
  <c r="EI420" i="11"/>
  <c r="EA420" i="11"/>
  <c r="A387" i="12"/>
  <c r="V387" i="12" s="1"/>
  <c r="W387" i="12" s="1"/>
  <c r="P420" i="11"/>
  <c r="DF418" i="11"/>
  <c r="DJ418" i="11"/>
  <c r="BF418" i="11"/>
  <c r="BJ418" i="11"/>
  <c r="CL417" i="11"/>
  <c r="BK417" i="11"/>
  <c r="BL417" i="11" s="1"/>
  <c r="BW417" i="11"/>
  <c r="BY417" i="11" s="1"/>
  <c r="DJ417" i="11"/>
  <c r="DK417" i="11"/>
  <c r="AS418" i="11"/>
  <c r="B388" i="12"/>
  <c r="CJ418" i="11"/>
  <c r="AB420" i="11"/>
  <c r="CF419" i="11"/>
  <c r="CD419" i="11"/>
  <c r="CX418" i="11"/>
  <c r="CY418" i="11" s="1"/>
  <c r="CS418" i="11"/>
  <c r="CS419" i="11"/>
  <c r="CQ419" i="11"/>
  <c r="CK418" i="11"/>
  <c r="AQ419" i="11"/>
  <c r="AR419" i="11" s="1"/>
  <c r="AT419" i="11" s="1"/>
  <c r="DK418" i="11"/>
  <c r="AY417" i="11"/>
  <c r="CE420" i="11"/>
  <c r="CG420" i="11" s="1"/>
  <c r="DV420" i="11"/>
  <c r="DU420" i="11"/>
  <c r="DH420" i="11"/>
  <c r="DI420" i="11"/>
  <c r="CR420" i="11"/>
  <c r="CT420" i="11" s="1"/>
  <c r="CU420" i="11"/>
  <c r="CV420" i="11"/>
  <c r="CI420" i="11"/>
  <c r="CH420" i="11"/>
  <c r="BU420" i="11"/>
  <c r="BI420" i="11"/>
  <c r="BV420" i="11"/>
  <c r="BH420" i="11"/>
  <c r="AU420" i="11"/>
  <c r="AV420" i="11"/>
  <c r="AH420" i="11"/>
  <c r="AI420" i="11"/>
  <c r="BR419" i="11"/>
  <c r="BT419" i="11" s="1"/>
  <c r="BE419" i="11"/>
  <c r="BG419" i="11" s="1"/>
  <c r="DE419" i="11"/>
  <c r="DG419" i="11" s="1"/>
  <c r="BN420" i="11"/>
  <c r="BP420" i="11"/>
  <c r="AA420" i="11"/>
  <c r="BO420" i="11"/>
  <c r="DA420" i="11"/>
  <c r="DB420" i="11"/>
  <c r="DD420" i="11" s="1"/>
  <c r="CC420" i="11"/>
  <c r="DN420" i="11"/>
  <c r="DM420" i="11"/>
  <c r="BB420" i="11"/>
  <c r="BD420" i="11" s="1"/>
  <c r="CZ420" i="11"/>
  <c r="AN420" i="11"/>
  <c r="Y420" i="11"/>
  <c r="CO420" i="11"/>
  <c r="CA420" i="11"/>
  <c r="X420" i="11"/>
  <c r="AZ420" i="11"/>
  <c r="BZ420" i="11"/>
  <c r="CP420" i="11"/>
  <c r="AO420" i="11"/>
  <c r="CN420" i="11"/>
  <c r="DC420" i="11"/>
  <c r="BA420" i="11"/>
  <c r="CM420" i="11"/>
  <c r="BC420" i="11"/>
  <c r="BM420" i="11"/>
  <c r="W421" i="11"/>
  <c r="AP420" i="11"/>
  <c r="CB420" i="11"/>
  <c r="DP420" i="11"/>
  <c r="AM420" i="11"/>
  <c r="B421" i="11"/>
  <c r="A421" i="11" s="1"/>
  <c r="C422" i="11"/>
  <c r="N387" i="12" l="1"/>
  <c r="M420" i="11"/>
  <c r="L420" i="11"/>
  <c r="EC421" i="11"/>
  <c r="EI421" i="11"/>
  <c r="EA421" i="11"/>
  <c r="EH421" i="11"/>
  <c r="DZ421" i="11"/>
  <c r="M387" i="12"/>
  <c r="A388" i="12"/>
  <c r="V388" i="12" s="1"/>
  <c r="W388" i="12" s="1"/>
  <c r="P421" i="11"/>
  <c r="BK418" i="11"/>
  <c r="BL418" i="11" s="1"/>
  <c r="BS419" i="11"/>
  <c r="DF419" i="11"/>
  <c r="DK419" i="11"/>
  <c r="BF419" i="11"/>
  <c r="BW419" i="11"/>
  <c r="AX418" i="11"/>
  <c r="AW418" i="11"/>
  <c r="DL417" i="11"/>
  <c r="BW418" i="11"/>
  <c r="BX418" i="11"/>
  <c r="B389" i="12"/>
  <c r="AW419" i="11"/>
  <c r="CW419" i="11"/>
  <c r="CL418" i="11"/>
  <c r="CK419" i="11"/>
  <c r="CX419" i="11"/>
  <c r="CJ419" i="11"/>
  <c r="AB421" i="11"/>
  <c r="BQ420" i="11"/>
  <c r="BR420" i="11" s="1"/>
  <c r="BT420" i="11" s="1"/>
  <c r="CQ420" i="11"/>
  <c r="CF420" i="11"/>
  <c r="CD420" i="11"/>
  <c r="AQ420" i="11"/>
  <c r="AR420" i="11" s="1"/>
  <c r="AT420" i="11" s="1"/>
  <c r="DL418" i="11"/>
  <c r="BX419" i="11"/>
  <c r="CS420" i="11"/>
  <c r="BE420" i="11"/>
  <c r="BG420" i="11" s="1"/>
  <c r="DE420" i="11"/>
  <c r="DG420" i="11" s="1"/>
  <c r="CE421" i="11"/>
  <c r="CG421" i="11" s="1"/>
  <c r="DU421" i="11"/>
  <c r="DV421" i="11"/>
  <c r="DH421" i="11"/>
  <c r="DI421" i="11"/>
  <c r="CR421" i="11"/>
  <c r="CT421" i="11" s="1"/>
  <c r="CU421" i="11"/>
  <c r="CV421" i="11"/>
  <c r="CH421" i="11"/>
  <c r="CI421" i="11"/>
  <c r="BU421" i="11"/>
  <c r="BV421" i="11"/>
  <c r="BH421" i="11"/>
  <c r="BI421" i="11"/>
  <c r="AU421" i="11"/>
  <c r="AV421" i="11"/>
  <c r="AH421" i="11"/>
  <c r="AI421" i="11"/>
  <c r="BP421" i="11"/>
  <c r="AM421" i="11"/>
  <c r="BN421" i="11"/>
  <c r="BO421" i="11"/>
  <c r="BQ421" i="11" s="1"/>
  <c r="BR421" i="11" s="1"/>
  <c r="BT421" i="11" s="1"/>
  <c r="AO421" i="11"/>
  <c r="CO421" i="11"/>
  <c r="BB421" i="11"/>
  <c r="BD421" i="11" s="1"/>
  <c r="CN421" i="11"/>
  <c r="CA421" i="11"/>
  <c r="CZ421" i="11"/>
  <c r="CP421" i="11"/>
  <c r="Y421" i="11"/>
  <c r="DM421" i="11"/>
  <c r="BM421" i="11"/>
  <c r="AN421" i="11"/>
  <c r="DN421" i="11"/>
  <c r="CB421" i="11"/>
  <c r="BC421" i="11"/>
  <c r="BZ421" i="11"/>
  <c r="CC421" i="11"/>
  <c r="DP421" i="11"/>
  <c r="W422" i="11"/>
  <c r="AP421" i="11"/>
  <c r="CM421" i="11"/>
  <c r="AZ421" i="11"/>
  <c r="DB421" i="11"/>
  <c r="DD421" i="11" s="1"/>
  <c r="DA421" i="11"/>
  <c r="BA421" i="11"/>
  <c r="DC421" i="11"/>
  <c r="X421" i="11"/>
  <c r="AA421" i="11"/>
  <c r="B422" i="11"/>
  <c r="A422" i="11" s="1"/>
  <c r="C423" i="11"/>
  <c r="N388" i="12" l="1"/>
  <c r="L421" i="11"/>
  <c r="M388" i="12"/>
  <c r="M421" i="11"/>
  <c r="EA422" i="11"/>
  <c r="DZ422" i="11"/>
  <c r="EH422" i="11"/>
  <c r="EI422" i="11"/>
  <c r="EC422" i="11"/>
  <c r="A389" i="12"/>
  <c r="N389" i="12" s="1"/>
  <c r="P422" i="11"/>
  <c r="DF420" i="11"/>
  <c r="BF420" i="11"/>
  <c r="BJ420" i="11"/>
  <c r="DJ419" i="11"/>
  <c r="DL419" i="11" s="1"/>
  <c r="BY418" i="11"/>
  <c r="AY418" i="11"/>
  <c r="AX419" i="11"/>
  <c r="AY419" i="11" s="1"/>
  <c r="BJ419" i="11"/>
  <c r="DJ420" i="11"/>
  <c r="BK419" i="11"/>
  <c r="AS419" i="11"/>
  <c r="B390" i="12"/>
  <c r="CY419" i="11"/>
  <c r="CL419" i="11"/>
  <c r="BW420" i="11"/>
  <c r="BS420" i="11"/>
  <c r="BX420" i="11"/>
  <c r="AB422" i="11"/>
  <c r="CJ420" i="11"/>
  <c r="CK420" i="11"/>
  <c r="CW421" i="11"/>
  <c r="CQ421" i="11"/>
  <c r="BX421" i="11"/>
  <c r="BS421" i="11"/>
  <c r="CF421" i="11"/>
  <c r="CD421" i="11"/>
  <c r="AQ421" i="11"/>
  <c r="AR421" i="11" s="1"/>
  <c r="AT421" i="11" s="1"/>
  <c r="BY419" i="11"/>
  <c r="BK420" i="11"/>
  <c r="DE421" i="11"/>
  <c r="DG421" i="11" s="1"/>
  <c r="CX420" i="11"/>
  <c r="CW420" i="11"/>
  <c r="CE422" i="11"/>
  <c r="CG422" i="11" s="1"/>
  <c r="DU422" i="11"/>
  <c r="DV422" i="11"/>
  <c r="DH422" i="11"/>
  <c r="DI422" i="11"/>
  <c r="CV422" i="11"/>
  <c r="CR422" i="11"/>
  <c r="CT422" i="11" s="1"/>
  <c r="CU422" i="11"/>
  <c r="CI422" i="11"/>
  <c r="CH422" i="11"/>
  <c r="BU422" i="11"/>
  <c r="BV422" i="11"/>
  <c r="BI422" i="11"/>
  <c r="AV422" i="11"/>
  <c r="BH422" i="11"/>
  <c r="AH422" i="11"/>
  <c r="AI422" i="11"/>
  <c r="AU422" i="11"/>
  <c r="BW421" i="11"/>
  <c r="BE421" i="11"/>
  <c r="BG421" i="11" s="1"/>
  <c r="CA422" i="11"/>
  <c r="CZ422" i="11"/>
  <c r="BN422" i="11"/>
  <c r="BP422" i="11"/>
  <c r="BO422" i="11"/>
  <c r="BQ422" i="11" s="1"/>
  <c r="CM422" i="11"/>
  <c r="AO422" i="11"/>
  <c r="BM422" i="11"/>
  <c r="AN422" i="11"/>
  <c r="AA422" i="11"/>
  <c r="AP422" i="11"/>
  <c r="CC422" i="11"/>
  <c r="X422" i="11"/>
  <c r="DB422" i="11"/>
  <c r="DD422" i="11" s="1"/>
  <c r="DA422" i="11"/>
  <c r="AZ422" i="11"/>
  <c r="DC422" i="11"/>
  <c r="BA422" i="11"/>
  <c r="DP422" i="11"/>
  <c r="CO422" i="11"/>
  <c r="DN422" i="11"/>
  <c r="AM422" i="11"/>
  <c r="BZ422" i="11"/>
  <c r="BC422" i="11"/>
  <c r="CB422" i="11"/>
  <c r="DM422" i="11"/>
  <c r="Y422" i="11"/>
  <c r="W423" i="11"/>
  <c r="CN422" i="11"/>
  <c r="CP422" i="11"/>
  <c r="BB422" i="11"/>
  <c r="BD422" i="11" s="1"/>
  <c r="B423" i="11"/>
  <c r="A423" i="11" s="1"/>
  <c r="C424" i="11"/>
  <c r="L422" i="11" l="1"/>
  <c r="M422" i="11"/>
  <c r="EA423" i="11"/>
  <c r="EI423" i="11"/>
  <c r="EC423" i="11"/>
  <c r="DZ423" i="11"/>
  <c r="EH423" i="11"/>
  <c r="M389" i="12"/>
  <c r="V389" i="12"/>
  <c r="W389" i="12" s="1"/>
  <c r="A390" i="12"/>
  <c r="V390" i="12" s="1"/>
  <c r="W390" i="12" s="1"/>
  <c r="P423" i="11"/>
  <c r="DF421" i="11"/>
  <c r="BF421" i="11"/>
  <c r="BK421" i="11"/>
  <c r="DK420" i="11"/>
  <c r="DL420" i="11" s="1"/>
  <c r="BL419" i="11"/>
  <c r="BY420" i="11"/>
  <c r="AS421" i="11"/>
  <c r="AX420" i="11"/>
  <c r="AS420" i="11"/>
  <c r="B391" i="12"/>
  <c r="AW420" i="11"/>
  <c r="BY421" i="11"/>
  <c r="CL420" i="11"/>
  <c r="AB423" i="11"/>
  <c r="CY420" i="11"/>
  <c r="CK421" i="11"/>
  <c r="CJ421" i="11"/>
  <c r="CS422" i="11"/>
  <c r="CQ422" i="11"/>
  <c r="CF422" i="11"/>
  <c r="CD422" i="11"/>
  <c r="CX421" i="11"/>
  <c r="CY421" i="11" s="1"/>
  <c r="CS421" i="11"/>
  <c r="AQ422" i="11"/>
  <c r="AR422" i="11" s="1"/>
  <c r="AT422" i="11" s="1"/>
  <c r="BL420" i="11"/>
  <c r="DK421" i="11"/>
  <c r="CE423" i="11"/>
  <c r="CG423" i="11" s="1"/>
  <c r="DU423" i="11"/>
  <c r="DV423" i="11"/>
  <c r="DH423" i="11"/>
  <c r="DI423" i="11"/>
  <c r="CR423" i="11"/>
  <c r="CT423" i="11" s="1"/>
  <c r="CU423" i="11"/>
  <c r="CV423" i="11"/>
  <c r="CI423" i="11"/>
  <c r="CH423" i="11"/>
  <c r="BU423" i="11"/>
  <c r="BV423" i="11"/>
  <c r="BI423" i="11"/>
  <c r="BH423" i="11"/>
  <c r="AU423" i="11"/>
  <c r="AH423" i="11"/>
  <c r="AI423" i="11"/>
  <c r="AV423" i="11"/>
  <c r="DE422" i="11"/>
  <c r="DG422" i="11" s="1"/>
  <c r="BR422" i="11"/>
  <c r="BT422" i="11" s="1"/>
  <c r="BE422" i="11"/>
  <c r="BG422" i="11" s="1"/>
  <c r="BP423" i="11"/>
  <c r="BN423" i="11"/>
  <c r="BO423" i="11"/>
  <c r="BQ423" i="11" s="1"/>
  <c r="AN423" i="11"/>
  <c r="BZ423" i="11"/>
  <c r="BA423" i="11"/>
  <c r="CC423" i="11"/>
  <c r="DB423" i="11"/>
  <c r="DD423" i="11" s="1"/>
  <c r="DP423" i="11"/>
  <c r="AM423" i="11"/>
  <c r="AP423" i="11"/>
  <c r="CB423" i="11"/>
  <c r="CA423" i="11"/>
  <c r="DA423" i="11"/>
  <c r="X423" i="11"/>
  <c r="AA423" i="11"/>
  <c r="Y423" i="11"/>
  <c r="AZ423" i="11"/>
  <c r="AO423" i="11"/>
  <c r="BM423" i="11"/>
  <c r="CP423" i="11"/>
  <c r="CO423" i="11"/>
  <c r="BC423" i="11"/>
  <c r="CM423" i="11"/>
  <c r="BB423" i="11"/>
  <c r="BD423" i="11" s="1"/>
  <c r="DN423" i="11"/>
  <c r="W424" i="11"/>
  <c r="CN423" i="11"/>
  <c r="DM423" i="11"/>
  <c r="DC423" i="11"/>
  <c r="CZ423" i="11"/>
  <c r="B424" i="11"/>
  <c r="A424" i="11" s="1"/>
  <c r="C425" i="11"/>
  <c r="M423" i="11" l="1"/>
  <c r="L423" i="11"/>
  <c r="EH424" i="11"/>
  <c r="DZ424" i="11"/>
  <c r="EI424" i="11"/>
  <c r="EC424" i="11"/>
  <c r="EA424" i="11"/>
  <c r="N390" i="12"/>
  <c r="M390" i="12"/>
  <c r="A391" i="12"/>
  <c r="N391" i="12" s="1"/>
  <c r="P424" i="11"/>
  <c r="DF422" i="11"/>
  <c r="BF422" i="11"/>
  <c r="BK422" i="11"/>
  <c r="BJ421" i="11"/>
  <c r="BL421" i="11" s="1"/>
  <c r="AW421" i="11"/>
  <c r="AX421" i="11"/>
  <c r="AY420" i="11"/>
  <c r="AW422" i="11"/>
  <c r="B392" i="12"/>
  <c r="BS422" i="11"/>
  <c r="BW422" i="11"/>
  <c r="DJ421" i="11"/>
  <c r="DL421" i="11" s="1"/>
  <c r="CJ422" i="11"/>
  <c r="CL421" i="11"/>
  <c r="DM424" i="11"/>
  <c r="CK422" i="11"/>
  <c r="AB424" i="11"/>
  <c r="CF423" i="11"/>
  <c r="CD423" i="11"/>
  <c r="CX423" i="11"/>
  <c r="CQ423" i="11"/>
  <c r="CX422" i="11"/>
  <c r="CW422" i="11"/>
  <c r="AQ423" i="11"/>
  <c r="AR423" i="11" s="1"/>
  <c r="AT423" i="11" s="1"/>
  <c r="BE423" i="11"/>
  <c r="BG423" i="11" s="1"/>
  <c r="BP424" i="11"/>
  <c r="CE424" i="11"/>
  <c r="CG424" i="11" s="1"/>
  <c r="DU424" i="11"/>
  <c r="DV424" i="11"/>
  <c r="DH424" i="11"/>
  <c r="DI424" i="11"/>
  <c r="CU424" i="11"/>
  <c r="CV424" i="11"/>
  <c r="CR424" i="11"/>
  <c r="CT424" i="11" s="1"/>
  <c r="CI424" i="11"/>
  <c r="CH424" i="11"/>
  <c r="BU424" i="11"/>
  <c r="BV424" i="11"/>
  <c r="BH424" i="11"/>
  <c r="BI424" i="11"/>
  <c r="AU424" i="11"/>
  <c r="AV424" i="11"/>
  <c r="AH424" i="11"/>
  <c r="AI424" i="11"/>
  <c r="BR423" i="11"/>
  <c r="BT423" i="11" s="1"/>
  <c r="DE423" i="11"/>
  <c r="DG423" i="11" s="1"/>
  <c r="BN424" i="11"/>
  <c r="BO424" i="11"/>
  <c r="BQ424" i="11" s="1"/>
  <c r="BR424" i="11" s="1"/>
  <c r="CZ424" i="11"/>
  <c r="CP424" i="11"/>
  <c r="AP424" i="11"/>
  <c r="AO424" i="11"/>
  <c r="DC424" i="11"/>
  <c r="BM424" i="11"/>
  <c r="AM424" i="11"/>
  <c r="Y424" i="11"/>
  <c r="DP424" i="11"/>
  <c r="AZ424" i="11"/>
  <c r="AA424" i="11"/>
  <c r="DB424" i="11"/>
  <c r="DD424" i="11" s="1"/>
  <c r="DN424" i="11"/>
  <c r="BB424" i="11"/>
  <c r="BD424" i="11" s="1"/>
  <c r="X424" i="11"/>
  <c r="CC424" i="11"/>
  <c r="CN424" i="11"/>
  <c r="CM424" i="11"/>
  <c r="DA424" i="11"/>
  <c r="BA424" i="11"/>
  <c r="BC424" i="11"/>
  <c r="CA424" i="11"/>
  <c r="BZ424" i="11"/>
  <c r="W425" i="11"/>
  <c r="CO424" i="11"/>
  <c r="CB424" i="11"/>
  <c r="AN424" i="11"/>
  <c r="B425" i="11"/>
  <c r="A425" i="11" s="1"/>
  <c r="C426" i="11"/>
  <c r="BT424" i="11" l="1"/>
  <c r="BW424" i="11" s="1"/>
  <c r="L424" i="11"/>
  <c r="M424" i="11"/>
  <c r="M391" i="12"/>
  <c r="V391" i="12"/>
  <c r="W391" i="12" s="1"/>
  <c r="EC425" i="11"/>
  <c r="EH425" i="11"/>
  <c r="EI425" i="11"/>
  <c r="DZ425" i="11"/>
  <c r="EA425" i="11"/>
  <c r="A392" i="12"/>
  <c r="M392" i="12" s="1"/>
  <c r="P425" i="11"/>
  <c r="BF423" i="11"/>
  <c r="DF423" i="11"/>
  <c r="BS423" i="11"/>
  <c r="AY421" i="11"/>
  <c r="DJ422" i="11"/>
  <c r="CY422" i="11"/>
  <c r="AX422" i="11"/>
  <c r="AY422" i="11" s="1"/>
  <c r="BJ422" i="11"/>
  <c r="BL422" i="11" s="1"/>
  <c r="BX422" i="11"/>
  <c r="BY422" i="11" s="1"/>
  <c r="AS422" i="11"/>
  <c r="AW423" i="11"/>
  <c r="B393" i="12"/>
  <c r="BJ423" i="11"/>
  <c r="DK422" i="11"/>
  <c r="CL422" i="11"/>
  <c r="AB425" i="11"/>
  <c r="BS424" i="11"/>
  <c r="CJ423" i="11"/>
  <c r="CK423" i="11"/>
  <c r="CW423" i="11"/>
  <c r="CY423" i="11" s="1"/>
  <c r="CS423" i="11"/>
  <c r="CQ424" i="11"/>
  <c r="CF424" i="11"/>
  <c r="CD424" i="11"/>
  <c r="AQ424" i="11"/>
  <c r="AR424" i="11" s="1"/>
  <c r="AT424" i="11" s="1"/>
  <c r="DJ423" i="11"/>
  <c r="DK423" i="11"/>
  <c r="BP425" i="11"/>
  <c r="CE425" i="11"/>
  <c r="CG425" i="11" s="1"/>
  <c r="DV425" i="11"/>
  <c r="DU425" i="11"/>
  <c r="DH425" i="11"/>
  <c r="DI425" i="11"/>
  <c r="CR425" i="11"/>
  <c r="CT425" i="11" s="1"/>
  <c r="CV425" i="11"/>
  <c r="CU425" i="11"/>
  <c r="CH425" i="11"/>
  <c r="CI425" i="11"/>
  <c r="BU425" i="11"/>
  <c r="BV425" i="11"/>
  <c r="BI425" i="11"/>
  <c r="BH425" i="11"/>
  <c r="AU425" i="11"/>
  <c r="AV425" i="11"/>
  <c r="AH425" i="11"/>
  <c r="AI425" i="11"/>
  <c r="DE424" i="11"/>
  <c r="DG424" i="11" s="1"/>
  <c r="BE424" i="11"/>
  <c r="BG424" i="11" s="1"/>
  <c r="BN425" i="11"/>
  <c r="BO425" i="11"/>
  <c r="BQ425" i="11" s="1"/>
  <c r="CB425" i="11"/>
  <c r="CP425" i="11"/>
  <c r="BB425" i="11"/>
  <c r="BD425" i="11" s="1"/>
  <c r="AN425" i="11"/>
  <c r="BA425" i="11"/>
  <c r="DN425" i="11"/>
  <c r="DA425" i="11"/>
  <c r="DB425" i="11"/>
  <c r="DD425" i="11" s="1"/>
  <c r="CM425" i="11"/>
  <c r="AA425" i="11"/>
  <c r="AM425" i="11"/>
  <c r="BZ425" i="11"/>
  <c r="CN425" i="11"/>
  <c r="AZ425" i="11"/>
  <c r="CO425" i="11"/>
  <c r="AO425" i="11"/>
  <c r="W426" i="11"/>
  <c r="CA425" i="11"/>
  <c r="CC425" i="11"/>
  <c r="CZ425" i="11"/>
  <c r="BM425" i="11"/>
  <c r="BC425" i="11"/>
  <c r="X425" i="11"/>
  <c r="DP425" i="11"/>
  <c r="DC425" i="11"/>
  <c r="DM425" i="11"/>
  <c r="Y425" i="11"/>
  <c r="AP425" i="11"/>
  <c r="B426" i="11"/>
  <c r="A426" i="11" s="1"/>
  <c r="C427" i="11"/>
  <c r="M425" i="11" l="1"/>
  <c r="L425" i="11"/>
  <c r="EA426" i="11"/>
  <c r="EI426" i="11"/>
  <c r="EH426" i="11"/>
  <c r="DZ426" i="11"/>
  <c r="EC426" i="11"/>
  <c r="N392" i="12"/>
  <c r="V392" i="12"/>
  <c r="W392" i="12" s="1"/>
  <c r="A393" i="12"/>
  <c r="N393" i="12" s="1"/>
  <c r="P426" i="11"/>
  <c r="BF424" i="11"/>
  <c r="DF424" i="11"/>
  <c r="DK424" i="11"/>
  <c r="DL422" i="11"/>
  <c r="BW423" i="11"/>
  <c r="AX423" i="11"/>
  <c r="AY423" i="11" s="1"/>
  <c r="BK423" i="11"/>
  <c r="BL423" i="11" s="1"/>
  <c r="BX424" i="11"/>
  <c r="BY424" i="11" s="1"/>
  <c r="BX423" i="11"/>
  <c r="AS424" i="11"/>
  <c r="B394" i="12"/>
  <c r="AS423" i="11"/>
  <c r="BJ424" i="11"/>
  <c r="DL423" i="11"/>
  <c r="AB426" i="11"/>
  <c r="CL423" i="11"/>
  <c r="CJ424" i="11"/>
  <c r="CX424" i="11"/>
  <c r="CS424" i="11"/>
  <c r="CW424" i="11"/>
  <c r="CF425" i="11"/>
  <c r="CD425" i="11"/>
  <c r="CS425" i="11"/>
  <c r="CQ425" i="11"/>
  <c r="CK424" i="11"/>
  <c r="AQ425" i="11"/>
  <c r="AR425" i="11" s="1"/>
  <c r="AT425" i="11" s="1"/>
  <c r="DJ424" i="11"/>
  <c r="CJ425" i="11"/>
  <c r="CE426" i="11"/>
  <c r="CG426" i="11" s="1"/>
  <c r="DU426" i="11"/>
  <c r="DV426" i="11"/>
  <c r="DH426" i="11"/>
  <c r="DI426" i="11"/>
  <c r="CR426" i="11"/>
  <c r="CT426" i="11" s="1"/>
  <c r="CU426" i="11"/>
  <c r="CV426" i="11"/>
  <c r="CH426" i="11"/>
  <c r="CI426" i="11"/>
  <c r="BU426" i="11"/>
  <c r="BV426" i="11"/>
  <c r="BH426" i="11"/>
  <c r="BI426" i="11"/>
  <c r="AH426" i="11"/>
  <c r="AU426" i="11"/>
  <c r="AI426" i="11"/>
  <c r="AV426" i="11"/>
  <c r="BR425" i="11"/>
  <c r="BT425" i="11" s="1"/>
  <c r="DE425" i="11"/>
  <c r="DG425" i="11" s="1"/>
  <c r="BE425" i="11"/>
  <c r="BG425" i="11" s="1"/>
  <c r="CC426" i="11"/>
  <c r="AM426" i="11"/>
  <c r="DM426" i="11"/>
  <c r="AA426" i="11"/>
  <c r="CP426" i="11"/>
  <c r="DC426" i="11"/>
  <c r="BN426" i="11"/>
  <c r="DP426" i="11"/>
  <c r="BP426" i="11"/>
  <c r="AP426" i="11"/>
  <c r="BM426" i="11"/>
  <c r="CO426" i="11"/>
  <c r="BB426" i="11"/>
  <c r="BD426" i="11" s="1"/>
  <c r="BO426" i="11"/>
  <c r="BQ426" i="11" s="1"/>
  <c r="Y426" i="11"/>
  <c r="CZ426" i="11"/>
  <c r="AO426" i="11"/>
  <c r="CA426" i="11"/>
  <c r="DA426" i="11"/>
  <c r="CB426" i="11"/>
  <c r="AZ426" i="11"/>
  <c r="X426" i="11"/>
  <c r="CM426" i="11"/>
  <c r="DB426" i="11"/>
  <c r="DD426" i="11" s="1"/>
  <c r="BC426" i="11"/>
  <c r="AN426" i="11"/>
  <c r="W427" i="11"/>
  <c r="CN426" i="11"/>
  <c r="DN426" i="11"/>
  <c r="BZ426" i="11"/>
  <c r="BA426" i="11"/>
  <c r="B427" i="11"/>
  <c r="A427" i="11" s="1"/>
  <c r="C428" i="11"/>
  <c r="L426" i="11" l="1"/>
  <c r="M426" i="11"/>
  <c r="V393" i="12"/>
  <c r="W393" i="12" s="1"/>
  <c r="M393" i="12"/>
  <c r="EI427" i="11"/>
  <c r="EC427" i="11"/>
  <c r="DZ427" i="11"/>
  <c r="EH427" i="11"/>
  <c r="EA427" i="11"/>
  <c r="A394" i="12"/>
  <c r="N394" i="12" s="1"/>
  <c r="P427" i="11"/>
  <c r="BF425" i="11"/>
  <c r="DF425" i="11"/>
  <c r="DK425" i="11"/>
  <c r="BS425" i="11"/>
  <c r="BY423" i="11"/>
  <c r="BK424" i="11"/>
  <c r="BL424" i="11" s="1"/>
  <c r="AW424" i="11"/>
  <c r="AX424" i="11"/>
  <c r="BJ425" i="11"/>
  <c r="B395" i="12"/>
  <c r="CQ426" i="11"/>
  <c r="CK425" i="11"/>
  <c r="CL425" i="11" s="1"/>
  <c r="AB427" i="11"/>
  <c r="CL424" i="11"/>
  <c r="DL424" i="11"/>
  <c r="CX425" i="11"/>
  <c r="CY424" i="11"/>
  <c r="CW425" i="11"/>
  <c r="CD426" i="11"/>
  <c r="AQ426" i="11"/>
  <c r="AR426" i="11" s="1"/>
  <c r="AT426" i="11" s="1"/>
  <c r="BR426" i="11"/>
  <c r="BT426" i="11" s="1"/>
  <c r="BN427" i="11"/>
  <c r="CE427" i="11"/>
  <c r="CG427" i="11" s="1"/>
  <c r="DU427" i="11"/>
  <c r="DV427" i="11"/>
  <c r="DH427" i="11"/>
  <c r="DI427" i="11"/>
  <c r="CR427" i="11"/>
  <c r="CT427" i="11" s="1"/>
  <c r="CV427" i="11"/>
  <c r="CU427" i="11"/>
  <c r="CI427" i="11"/>
  <c r="CH427" i="11"/>
  <c r="BV427" i="11"/>
  <c r="BU427" i="11"/>
  <c r="BI427" i="11"/>
  <c r="BH427" i="11"/>
  <c r="AU427" i="11"/>
  <c r="AV427" i="11"/>
  <c r="AI427" i="11"/>
  <c r="AH427" i="11"/>
  <c r="BE426" i="11"/>
  <c r="BG426" i="11" s="1"/>
  <c r="DE426" i="11"/>
  <c r="DG426" i="11" s="1"/>
  <c r="CS426" i="11"/>
  <c r="BP427" i="11"/>
  <c r="CB427" i="11"/>
  <c r="BO427" i="11"/>
  <c r="BQ427" i="11" s="1"/>
  <c r="BZ427" i="11"/>
  <c r="Y427" i="11"/>
  <c r="DP427" i="11"/>
  <c r="AP427" i="11"/>
  <c r="DC427" i="11"/>
  <c r="CP427" i="11"/>
  <c r="BB427" i="11"/>
  <c r="BD427" i="11" s="1"/>
  <c r="DN427" i="11"/>
  <c r="DM427" i="11"/>
  <c r="AA427" i="11"/>
  <c r="BA427" i="11"/>
  <c r="CN427" i="11"/>
  <c r="CC427" i="11"/>
  <c r="CO427" i="11"/>
  <c r="AM427" i="11"/>
  <c r="DA427" i="11"/>
  <c r="AO427" i="11"/>
  <c r="X427" i="11"/>
  <c r="BM427" i="11"/>
  <c r="DB427" i="11"/>
  <c r="DD427" i="11" s="1"/>
  <c r="AZ427" i="11"/>
  <c r="CA427" i="11"/>
  <c r="CM427" i="11"/>
  <c r="AN427" i="11"/>
  <c r="W428" i="11"/>
  <c r="CZ427" i="11"/>
  <c r="BC427" i="11"/>
  <c r="B428" i="11"/>
  <c r="A428" i="11" s="1"/>
  <c r="C429" i="11"/>
  <c r="L427" i="11" l="1"/>
  <c r="M427" i="11"/>
  <c r="EH428" i="11"/>
  <c r="EI428" i="11"/>
  <c r="EA428" i="11"/>
  <c r="DZ428" i="11"/>
  <c r="EC428" i="11"/>
  <c r="M394" i="12"/>
  <c r="V394" i="12"/>
  <c r="W394" i="12" s="1"/>
  <c r="A395" i="12"/>
  <c r="M395" i="12" s="1"/>
  <c r="P428" i="11"/>
  <c r="DF426" i="11"/>
  <c r="BF426" i="11"/>
  <c r="BS426" i="11"/>
  <c r="BK425" i="11"/>
  <c r="BL425" i="11" s="1"/>
  <c r="AW426" i="11"/>
  <c r="BW426" i="11"/>
  <c r="DJ425" i="11"/>
  <c r="DL425" i="11" s="1"/>
  <c r="AY424" i="11"/>
  <c r="AW425" i="11"/>
  <c r="BW425" i="11"/>
  <c r="BX425" i="11"/>
  <c r="DK426" i="11"/>
  <c r="BJ426" i="11"/>
  <c r="B396" i="12"/>
  <c r="AX425" i="11"/>
  <c r="AS426" i="11"/>
  <c r="AS425" i="11"/>
  <c r="CY425" i="11"/>
  <c r="AB428" i="11"/>
  <c r="CQ427" i="11"/>
  <c r="CF427" i="11"/>
  <c r="CD427" i="11"/>
  <c r="CK426" i="11"/>
  <c r="CF426" i="11"/>
  <c r="CJ426" i="11"/>
  <c r="AQ427" i="11"/>
  <c r="AR427" i="11" s="1"/>
  <c r="AT427" i="11" s="1"/>
  <c r="AX426" i="11"/>
  <c r="DE427" i="11"/>
  <c r="DG427" i="11" s="1"/>
  <c r="BE427" i="11"/>
  <c r="BG427" i="11" s="1"/>
  <c r="CX426" i="11"/>
  <c r="CW426" i="11"/>
  <c r="BR427" i="11"/>
  <c r="BT427" i="11" s="1"/>
  <c r="CE428" i="11"/>
  <c r="CG428" i="11" s="1"/>
  <c r="DU428" i="11"/>
  <c r="DV428" i="11"/>
  <c r="DH428" i="11"/>
  <c r="DI428" i="11"/>
  <c r="CU428" i="11"/>
  <c r="CV428" i="11"/>
  <c r="CR428" i="11"/>
  <c r="CT428" i="11" s="1"/>
  <c r="CH428" i="11"/>
  <c r="CI428" i="11"/>
  <c r="BU428" i="11"/>
  <c r="BV428" i="11"/>
  <c r="BH428" i="11"/>
  <c r="BI428" i="11"/>
  <c r="AU428" i="11"/>
  <c r="AV428" i="11"/>
  <c r="AH428" i="11"/>
  <c r="AI428" i="11"/>
  <c r="BX426" i="11"/>
  <c r="BP428" i="11"/>
  <c r="Y428" i="11"/>
  <c r="BN428" i="11"/>
  <c r="BO428" i="11"/>
  <c r="DP428" i="11"/>
  <c r="BC428" i="11"/>
  <c r="CZ428" i="11"/>
  <c r="AO428" i="11"/>
  <c r="CP428" i="11"/>
  <c r="CN428" i="11"/>
  <c r="CO428" i="11"/>
  <c r="CA428" i="11"/>
  <c r="AM428" i="11"/>
  <c r="CC428" i="11"/>
  <c r="X428" i="11"/>
  <c r="BM428" i="11"/>
  <c r="CM428" i="11"/>
  <c r="BA428" i="11"/>
  <c r="DA428" i="11"/>
  <c r="AZ428" i="11"/>
  <c r="BB428" i="11"/>
  <c r="BD428" i="11" s="1"/>
  <c r="W429" i="11"/>
  <c r="BZ428" i="11"/>
  <c r="DC428" i="11"/>
  <c r="DM428" i="11"/>
  <c r="AN428" i="11"/>
  <c r="AA428" i="11"/>
  <c r="DN428" i="11"/>
  <c r="DB428" i="11"/>
  <c r="DD428" i="11" s="1"/>
  <c r="AP428" i="11"/>
  <c r="CB428" i="11"/>
  <c r="B429" i="11"/>
  <c r="A429" i="11" s="1"/>
  <c r="C430" i="11"/>
  <c r="M428" i="11" l="1"/>
  <c r="L428" i="11"/>
  <c r="EC429" i="11"/>
  <c r="EH429" i="11"/>
  <c r="EA429" i="11"/>
  <c r="DZ429" i="11"/>
  <c r="EI429" i="11"/>
  <c r="N395" i="12"/>
  <c r="V395" i="12"/>
  <c r="W395" i="12" s="1"/>
  <c r="A396" i="12"/>
  <c r="V396" i="12" s="1"/>
  <c r="W396" i="12" s="1"/>
  <c r="P429" i="11"/>
  <c r="DF427" i="11"/>
  <c r="BS427" i="11"/>
  <c r="BW427" i="11"/>
  <c r="BF427" i="11"/>
  <c r="BY425" i="11"/>
  <c r="AY425" i="11"/>
  <c r="DJ426" i="11"/>
  <c r="DL426" i="11" s="1"/>
  <c r="B397" i="12"/>
  <c r="DK427" i="11"/>
  <c r="AS427" i="11"/>
  <c r="BK426" i="11"/>
  <c r="BL426" i="11" s="1"/>
  <c r="CL426" i="11"/>
  <c r="CJ427" i="11"/>
  <c r="CK427" i="11"/>
  <c r="AB429" i="11"/>
  <c r="BQ428" i="11"/>
  <c r="BR428" i="11" s="1"/>
  <c r="BT428" i="11" s="1"/>
  <c r="CX427" i="11"/>
  <c r="CS427" i="11"/>
  <c r="CW427" i="11"/>
  <c r="CF428" i="11"/>
  <c r="CD428" i="11"/>
  <c r="CQ428" i="11"/>
  <c r="AQ428" i="11"/>
  <c r="AR428" i="11" s="1"/>
  <c r="AT428" i="11" s="1"/>
  <c r="BY426" i="11"/>
  <c r="AW427" i="11"/>
  <c r="AX427" i="11"/>
  <c r="AY426" i="11"/>
  <c r="DE428" i="11"/>
  <c r="DG428" i="11" s="1"/>
  <c r="BE428" i="11"/>
  <c r="BG428" i="11" s="1"/>
  <c r="CY426" i="11"/>
  <c r="CE429" i="11"/>
  <c r="CG429" i="11" s="1"/>
  <c r="DV429" i="11"/>
  <c r="DU429" i="11"/>
  <c r="DH429" i="11"/>
  <c r="DI429" i="11"/>
  <c r="CR429" i="11"/>
  <c r="CT429" i="11" s="1"/>
  <c r="CU429" i="11"/>
  <c r="CV429" i="11"/>
  <c r="CI429" i="11"/>
  <c r="CH429" i="11"/>
  <c r="BU429" i="11"/>
  <c r="BV429" i="11"/>
  <c r="BI429" i="11"/>
  <c r="BH429" i="11"/>
  <c r="AV429" i="11"/>
  <c r="AH429" i="11"/>
  <c r="AI429" i="11"/>
  <c r="AU429" i="11"/>
  <c r="DM429" i="11"/>
  <c r="BP429" i="11"/>
  <c r="CZ429" i="11"/>
  <c r="BN429" i="11"/>
  <c r="BO429" i="11"/>
  <c r="BQ429" i="11" s="1"/>
  <c r="CC429" i="11"/>
  <c r="AN429" i="11"/>
  <c r="BM429" i="11"/>
  <c r="Y429" i="11"/>
  <c r="X429" i="11"/>
  <c r="BC429" i="11"/>
  <c r="CP429" i="11"/>
  <c r="AO429" i="11"/>
  <c r="AM429" i="11"/>
  <c r="BZ429" i="11"/>
  <c r="AZ429" i="11"/>
  <c r="CA429" i="11"/>
  <c r="DC429" i="11"/>
  <c r="AP429" i="11"/>
  <c r="DB429" i="11"/>
  <c r="DD429" i="11" s="1"/>
  <c r="DA429" i="11"/>
  <c r="CB429" i="11"/>
  <c r="W430" i="11"/>
  <c r="DN429" i="11"/>
  <c r="BA429" i="11"/>
  <c r="CO429" i="11"/>
  <c r="BB429" i="11"/>
  <c r="BD429" i="11" s="1"/>
  <c r="AA429" i="11"/>
  <c r="CM429" i="11"/>
  <c r="CN429" i="11"/>
  <c r="DP429" i="11"/>
  <c r="B430" i="11"/>
  <c r="A430" i="11" s="1"/>
  <c r="C431" i="11"/>
  <c r="N396" i="12" l="1"/>
  <c r="M396" i="12"/>
  <c r="M429" i="11"/>
  <c r="L429" i="11"/>
  <c r="EA430" i="11"/>
  <c r="DZ430" i="11"/>
  <c r="EI430" i="11"/>
  <c r="EH430" i="11"/>
  <c r="EC430" i="11"/>
  <c r="A397" i="12"/>
  <c r="V397" i="12" s="1"/>
  <c r="W397" i="12" s="1"/>
  <c r="P430" i="11"/>
  <c r="DF428" i="11"/>
  <c r="BF428" i="11"/>
  <c r="BJ428" i="11"/>
  <c r="DJ427" i="11"/>
  <c r="DL427" i="11" s="1"/>
  <c r="BX427" i="11"/>
  <c r="BY427" i="11" s="1"/>
  <c r="B398" i="12"/>
  <c r="BK427" i="11"/>
  <c r="BJ427" i="11"/>
  <c r="DK428" i="11"/>
  <c r="AW428" i="11"/>
  <c r="CL427" i="11"/>
  <c r="BS428" i="11"/>
  <c r="BR429" i="11"/>
  <c r="BT429" i="11" s="1"/>
  <c r="AB430" i="11"/>
  <c r="CQ429" i="11"/>
  <c r="CK428" i="11"/>
  <c r="CJ428" i="11"/>
  <c r="CW428" i="11"/>
  <c r="CS428" i="11"/>
  <c r="AY427" i="11"/>
  <c r="CF429" i="11"/>
  <c r="CD429" i="11"/>
  <c r="CY427" i="11"/>
  <c r="CX428" i="11"/>
  <c r="AQ429" i="11"/>
  <c r="AR429" i="11" s="1"/>
  <c r="AT429" i="11" s="1"/>
  <c r="BE429" i="11"/>
  <c r="BG429" i="11" s="1"/>
  <c r="DE429" i="11"/>
  <c r="DG429" i="11" s="1"/>
  <c r="CE430" i="11"/>
  <c r="CG430" i="11" s="1"/>
  <c r="DU430" i="11"/>
  <c r="DV430" i="11"/>
  <c r="DH430" i="11"/>
  <c r="DI430" i="11"/>
  <c r="CR430" i="11"/>
  <c r="CT430" i="11" s="1"/>
  <c r="CU430" i="11"/>
  <c r="CV430" i="11"/>
  <c r="CH430" i="11"/>
  <c r="CI430" i="11"/>
  <c r="BU430" i="11"/>
  <c r="BV430" i="11"/>
  <c r="BI430" i="11"/>
  <c r="BH430" i="11"/>
  <c r="AU430" i="11"/>
  <c r="AV430" i="11"/>
  <c r="AH430" i="11"/>
  <c r="AI430" i="11"/>
  <c r="CM430" i="11"/>
  <c r="BP430" i="11"/>
  <c r="BN430" i="11"/>
  <c r="CC430" i="11"/>
  <c r="BO430" i="11"/>
  <c r="BQ430" i="11" s="1"/>
  <c r="DP430" i="11"/>
  <c r="DC430" i="11"/>
  <c r="CN430" i="11"/>
  <c r="AA430" i="11"/>
  <c r="AP430" i="11"/>
  <c r="BC430" i="11"/>
  <c r="CA430" i="11"/>
  <c r="X430" i="11"/>
  <c r="CO430" i="11"/>
  <c r="CB430" i="11"/>
  <c r="AZ430" i="11"/>
  <c r="W431" i="11"/>
  <c r="BB430" i="11"/>
  <c r="BD430" i="11" s="1"/>
  <c r="BA430" i="11"/>
  <c r="DM430" i="11"/>
  <c r="BZ430" i="11"/>
  <c r="Y430" i="11"/>
  <c r="DN430" i="11"/>
  <c r="DA430" i="11"/>
  <c r="AM430" i="11"/>
  <c r="BM430" i="11"/>
  <c r="AO430" i="11"/>
  <c r="AN430" i="11"/>
  <c r="DB430" i="11"/>
  <c r="DD430" i="11" s="1"/>
  <c r="CP430" i="11"/>
  <c r="CZ430" i="11"/>
  <c r="B431" i="11"/>
  <c r="A431" i="11" s="1"/>
  <c r="C432" i="11"/>
  <c r="N397" i="12" l="1"/>
  <c r="M430" i="11"/>
  <c r="L430" i="11"/>
  <c r="M397" i="12"/>
  <c r="EC431" i="11"/>
  <c r="DZ431" i="11"/>
  <c r="EI431" i="11"/>
  <c r="EH431" i="11"/>
  <c r="EA431" i="11"/>
  <c r="A398" i="12"/>
  <c r="N398" i="12" s="1"/>
  <c r="P431" i="11"/>
  <c r="BK428" i="11"/>
  <c r="BL428" i="11" s="1"/>
  <c r="BF429" i="11"/>
  <c r="DF429" i="11"/>
  <c r="BW429" i="11"/>
  <c r="BX428" i="11"/>
  <c r="DJ428" i="11"/>
  <c r="DL428" i="11" s="1"/>
  <c r="BL427" i="11"/>
  <c r="AX429" i="11"/>
  <c r="BK429" i="11"/>
  <c r="BW428" i="11"/>
  <c r="AS428" i="11"/>
  <c r="B399" i="12"/>
  <c r="AX428" i="11"/>
  <c r="AY428" i="11" s="1"/>
  <c r="CL428" i="11"/>
  <c r="CK429" i="11"/>
  <c r="CY428" i="11"/>
  <c r="CJ429" i="11"/>
  <c r="BS429" i="11"/>
  <c r="AB431" i="11"/>
  <c r="CW429" i="11"/>
  <c r="CS429" i="11"/>
  <c r="CF430" i="11"/>
  <c r="CD430" i="11"/>
  <c r="CX429" i="11"/>
  <c r="CS430" i="11"/>
  <c r="CQ430" i="11"/>
  <c r="AQ430" i="11"/>
  <c r="AR430" i="11" s="1"/>
  <c r="AT430" i="11" s="1"/>
  <c r="CJ430" i="11"/>
  <c r="CK430" i="11"/>
  <c r="DE430" i="11"/>
  <c r="DG430" i="11" s="1"/>
  <c r="BR430" i="11"/>
  <c r="BT430" i="11" s="1"/>
  <c r="BE430" i="11"/>
  <c r="BG430" i="11" s="1"/>
  <c r="CE431" i="11"/>
  <c r="CG431" i="11" s="1"/>
  <c r="DU431" i="11"/>
  <c r="DV431" i="11"/>
  <c r="DH431" i="11"/>
  <c r="DI431" i="11"/>
  <c r="CR431" i="11"/>
  <c r="CT431" i="11" s="1"/>
  <c r="CU431" i="11"/>
  <c r="CV431" i="11"/>
  <c r="CH431" i="11"/>
  <c r="CI431" i="11"/>
  <c r="BU431" i="11"/>
  <c r="BV431" i="11"/>
  <c r="BH431" i="11"/>
  <c r="BI431" i="11"/>
  <c r="AU431" i="11"/>
  <c r="AV431" i="11"/>
  <c r="AI431" i="11"/>
  <c r="AH431" i="11"/>
  <c r="BZ431" i="11"/>
  <c r="AN431" i="11"/>
  <c r="BP431" i="11"/>
  <c r="BN431" i="11"/>
  <c r="BO431" i="11"/>
  <c r="AO431" i="11"/>
  <c r="DM431" i="11"/>
  <c r="BA431" i="11"/>
  <c r="CA431" i="11"/>
  <c r="CM431" i="11"/>
  <c r="BM431" i="11"/>
  <c r="BC431" i="11"/>
  <c r="BB431" i="11"/>
  <c r="BD431" i="11" s="1"/>
  <c r="CZ431" i="11"/>
  <c r="AM431" i="11"/>
  <c r="CB431" i="11"/>
  <c r="DC431" i="11"/>
  <c r="AZ431" i="11"/>
  <c r="DA431" i="11"/>
  <c r="CO431" i="11"/>
  <c r="AP431" i="11"/>
  <c r="CP431" i="11"/>
  <c r="DB431" i="11"/>
  <c r="DD431" i="11" s="1"/>
  <c r="DN431" i="11"/>
  <c r="AA431" i="11"/>
  <c r="DP431" i="11"/>
  <c r="W432" i="11"/>
  <c r="CN431" i="11"/>
  <c r="Y431" i="11"/>
  <c r="X431" i="11"/>
  <c r="CC431" i="11"/>
  <c r="B432" i="11"/>
  <c r="A432" i="11" s="1"/>
  <c r="C433" i="11"/>
  <c r="L431" i="11" l="1"/>
  <c r="M431" i="11"/>
  <c r="M398" i="12"/>
  <c r="V398" i="12"/>
  <c r="W398" i="12" s="1"/>
  <c r="EH432" i="11"/>
  <c r="EI432" i="11"/>
  <c r="EC432" i="11"/>
  <c r="EA432" i="11"/>
  <c r="DZ432" i="11"/>
  <c r="A399" i="12"/>
  <c r="N399" i="12" s="1"/>
  <c r="P432" i="11"/>
  <c r="BS430" i="11"/>
  <c r="DF430" i="11"/>
  <c r="DK430" i="11"/>
  <c r="BF430" i="11"/>
  <c r="BY428" i="11"/>
  <c r="BX429" i="11"/>
  <c r="BY429" i="11" s="1"/>
  <c r="AW429" i="11"/>
  <c r="AY429" i="11" s="1"/>
  <c r="CL429" i="11"/>
  <c r="BK430" i="11"/>
  <c r="AX430" i="11"/>
  <c r="B400" i="12"/>
  <c r="BJ429" i="11"/>
  <c r="BL429" i="11" s="1"/>
  <c r="DK429" i="11"/>
  <c r="DJ429" i="11"/>
  <c r="AS429" i="11"/>
  <c r="AB432" i="11"/>
  <c r="CX430" i="11"/>
  <c r="BQ431" i="11"/>
  <c r="BR431" i="11" s="1"/>
  <c r="BT431" i="11" s="1"/>
  <c r="CY429" i="11"/>
  <c r="CW430" i="11"/>
  <c r="CS431" i="11"/>
  <c r="CQ431" i="11"/>
  <c r="CF431" i="11"/>
  <c r="CD431" i="11"/>
  <c r="AQ431" i="11"/>
  <c r="AR431" i="11" s="1"/>
  <c r="AT431" i="11" s="1"/>
  <c r="CK431" i="11"/>
  <c r="CE432" i="11"/>
  <c r="CG432" i="11" s="1"/>
  <c r="DU432" i="11"/>
  <c r="DV432" i="11"/>
  <c r="DH432" i="11"/>
  <c r="DI432" i="11"/>
  <c r="CR432" i="11"/>
  <c r="CT432" i="11" s="1"/>
  <c r="CU432" i="11"/>
  <c r="CV432" i="11"/>
  <c r="CH432" i="11"/>
  <c r="CI432" i="11"/>
  <c r="BU432" i="11"/>
  <c r="BV432" i="11"/>
  <c r="BH432" i="11"/>
  <c r="BI432" i="11"/>
  <c r="AV432" i="11"/>
  <c r="AU432" i="11"/>
  <c r="AH432" i="11"/>
  <c r="AI432" i="11"/>
  <c r="BE431" i="11"/>
  <c r="BG431" i="11" s="1"/>
  <c r="DE431" i="11"/>
  <c r="DG431" i="11" s="1"/>
  <c r="BW430" i="11"/>
  <c r="BX430" i="11"/>
  <c r="CL430" i="11"/>
  <c r="Y432" i="11"/>
  <c r="BN432" i="11"/>
  <c r="BP432" i="11"/>
  <c r="BO432" i="11"/>
  <c r="BQ432" i="11" s="1"/>
  <c r="CC432" i="11"/>
  <c r="CP432" i="11"/>
  <c r="CB432" i="11"/>
  <c r="CM432" i="11"/>
  <c r="X432" i="11"/>
  <c r="BA432" i="11"/>
  <c r="AM432" i="11"/>
  <c r="DM432" i="11"/>
  <c r="AP432" i="11"/>
  <c r="CZ432" i="11"/>
  <c r="CA432" i="11"/>
  <c r="CN432" i="11"/>
  <c r="CO432" i="11"/>
  <c r="BB432" i="11"/>
  <c r="BD432" i="11" s="1"/>
  <c r="W433" i="11"/>
  <c r="DP432" i="11"/>
  <c r="DA432" i="11"/>
  <c r="AO432" i="11"/>
  <c r="AA432" i="11"/>
  <c r="AZ432" i="11"/>
  <c r="BC432" i="11"/>
  <c r="DN432" i="11"/>
  <c r="BM432" i="11"/>
  <c r="DB432" i="11"/>
  <c r="DD432" i="11" s="1"/>
  <c r="DC432" i="11"/>
  <c r="AN432" i="11"/>
  <c r="BZ432" i="11"/>
  <c r="B433" i="11"/>
  <c r="A433" i="11" s="1"/>
  <c r="C434" i="11"/>
  <c r="M399" i="12" l="1"/>
  <c r="V399" i="12"/>
  <c r="W399" i="12" s="1"/>
  <c r="M432" i="11"/>
  <c r="L432" i="11"/>
  <c r="EC433" i="11"/>
  <c r="EA433" i="11"/>
  <c r="DZ433" i="11"/>
  <c r="EH433" i="11"/>
  <c r="EI433" i="11"/>
  <c r="A400" i="12"/>
  <c r="V400" i="12" s="1"/>
  <c r="W400" i="12" s="1"/>
  <c r="P433" i="11"/>
  <c r="DF431" i="11"/>
  <c r="BF431" i="11"/>
  <c r="DJ430" i="11"/>
  <c r="DL430" i="11" s="1"/>
  <c r="DL429" i="11"/>
  <c r="AW430" i="11"/>
  <c r="AY430" i="11" s="1"/>
  <c r="AS430" i="11"/>
  <c r="BJ430" i="11"/>
  <c r="BL430" i="11" s="1"/>
  <c r="DJ431" i="11"/>
  <c r="AW431" i="11"/>
  <c r="B401" i="12"/>
  <c r="BJ431" i="11"/>
  <c r="CJ431" i="11"/>
  <c r="CL431" i="11" s="1"/>
  <c r="CY430" i="11"/>
  <c r="BS431" i="11"/>
  <c r="BW431" i="11"/>
  <c r="BX431" i="11"/>
  <c r="AB433" i="11"/>
  <c r="CW431" i="11"/>
  <c r="CF432" i="11"/>
  <c r="CD432" i="11"/>
  <c r="CX432" i="11"/>
  <c r="CQ432" i="11"/>
  <c r="CX431" i="11"/>
  <c r="AQ432" i="11"/>
  <c r="AR432" i="11" s="1"/>
  <c r="AT432" i="11" s="1"/>
  <c r="BR432" i="11"/>
  <c r="BT432" i="11" s="1"/>
  <c r="BE432" i="11"/>
  <c r="BG432" i="11" s="1"/>
  <c r="BY430" i="11"/>
  <c r="CE433" i="11"/>
  <c r="CG433" i="11" s="1"/>
  <c r="DV433" i="11"/>
  <c r="DU433" i="11"/>
  <c r="DH433" i="11"/>
  <c r="DI433" i="11"/>
  <c r="CR433" i="11"/>
  <c r="CT433" i="11" s="1"/>
  <c r="CU433" i="11"/>
  <c r="CV433" i="11"/>
  <c r="CI433" i="11"/>
  <c r="CH433" i="11"/>
  <c r="BU433" i="11"/>
  <c r="BV433" i="11"/>
  <c r="BI433" i="11"/>
  <c r="BH433" i="11"/>
  <c r="AU433" i="11"/>
  <c r="AH433" i="11"/>
  <c r="AI433" i="11"/>
  <c r="AV433" i="11"/>
  <c r="DE432" i="11"/>
  <c r="DG432" i="11" s="1"/>
  <c r="BP433" i="11"/>
  <c r="BN433" i="11"/>
  <c r="AZ433" i="11"/>
  <c r="Y433" i="11"/>
  <c r="DB433" i="11"/>
  <c r="DD433" i="11" s="1"/>
  <c r="BO433" i="11"/>
  <c r="BQ433" i="11" s="1"/>
  <c r="DA433" i="11"/>
  <c r="BB433" i="11"/>
  <c r="BD433" i="11" s="1"/>
  <c r="AM433" i="11"/>
  <c r="BM433" i="11"/>
  <c r="DP433" i="11"/>
  <c r="CO433" i="11"/>
  <c r="BZ433" i="11"/>
  <c r="DN433" i="11"/>
  <c r="AN433" i="11"/>
  <c r="CN433" i="11"/>
  <c r="DC433" i="11"/>
  <c r="CM433" i="11"/>
  <c r="X433" i="11"/>
  <c r="BA433" i="11"/>
  <c r="BC433" i="11"/>
  <c r="CA433" i="11"/>
  <c r="CB433" i="11"/>
  <c r="CZ433" i="11"/>
  <c r="CP433" i="11"/>
  <c r="W434" i="11"/>
  <c r="AA433" i="11"/>
  <c r="AP433" i="11"/>
  <c r="CC433" i="11"/>
  <c r="AO433" i="11"/>
  <c r="DM433" i="11"/>
  <c r="B434" i="11"/>
  <c r="A434" i="11" s="1"/>
  <c r="C435" i="11"/>
  <c r="M433" i="11" l="1"/>
  <c r="N400" i="12"/>
  <c r="L433" i="11"/>
  <c r="EA434" i="11"/>
  <c r="DZ434" i="11"/>
  <c r="EI434" i="11"/>
  <c r="EC434" i="11"/>
  <c r="EH434" i="11"/>
  <c r="M400" i="12"/>
  <c r="A401" i="12"/>
  <c r="V401" i="12" s="1"/>
  <c r="W401" i="12" s="1"/>
  <c r="P434" i="11"/>
  <c r="BF432" i="11"/>
  <c r="BJ432" i="11"/>
  <c r="DF432" i="11"/>
  <c r="AX431" i="11"/>
  <c r="AY431" i="11" s="1"/>
  <c r="BK431" i="11"/>
  <c r="BL431" i="11" s="1"/>
  <c r="DK431" i="11"/>
  <c r="DL431" i="11" s="1"/>
  <c r="AX432" i="11"/>
  <c r="B402" i="12"/>
  <c r="AS431" i="11"/>
  <c r="CD433" i="11"/>
  <c r="BY431" i="11"/>
  <c r="CQ433" i="11"/>
  <c r="CY431" i="11"/>
  <c r="AB434" i="11"/>
  <c r="CJ432" i="11"/>
  <c r="CK432" i="11"/>
  <c r="BW432" i="11"/>
  <c r="BS432" i="11"/>
  <c r="CW432" i="11"/>
  <c r="CY432" i="11" s="1"/>
  <c r="CS432" i="11"/>
  <c r="AQ433" i="11"/>
  <c r="AR433" i="11" s="1"/>
  <c r="AT433" i="11" s="1"/>
  <c r="BX432" i="11"/>
  <c r="BE433" i="11"/>
  <c r="BG433" i="11" s="1"/>
  <c r="BR433" i="11"/>
  <c r="BT433" i="11" s="1"/>
  <c r="CE434" i="11"/>
  <c r="CG434" i="11" s="1"/>
  <c r="DU434" i="11"/>
  <c r="DV434" i="11"/>
  <c r="DH434" i="11"/>
  <c r="DI434" i="11"/>
  <c r="CV434" i="11"/>
  <c r="CU434" i="11"/>
  <c r="CR434" i="11"/>
  <c r="CT434" i="11" s="1"/>
  <c r="CH434" i="11"/>
  <c r="CI434" i="11"/>
  <c r="BU434" i="11"/>
  <c r="BV434" i="11"/>
  <c r="BH434" i="11"/>
  <c r="AU434" i="11"/>
  <c r="AV434" i="11"/>
  <c r="BI434" i="11"/>
  <c r="AH434" i="11"/>
  <c r="AI434" i="11"/>
  <c r="CF433" i="11"/>
  <c r="DE433" i="11"/>
  <c r="DG433" i="11" s="1"/>
  <c r="CS433" i="11"/>
  <c r="BN434" i="11"/>
  <c r="DP434" i="11"/>
  <c r="BP434" i="11"/>
  <c r="AO434" i="11"/>
  <c r="BO434" i="11"/>
  <c r="DN434" i="11"/>
  <c r="DM434" i="11"/>
  <c r="CP434" i="11"/>
  <c r="CZ434" i="11"/>
  <c r="CB434" i="11"/>
  <c r="CA434" i="11"/>
  <c r="BA434" i="11"/>
  <c r="BC434" i="11"/>
  <c r="CO434" i="11"/>
  <c r="DC434" i="11"/>
  <c r="CC434" i="11"/>
  <c r="AN434" i="11"/>
  <c r="BM434" i="11"/>
  <c r="W435" i="11"/>
  <c r="AP434" i="11"/>
  <c r="CM434" i="11"/>
  <c r="AM434" i="11"/>
  <c r="AA434" i="11"/>
  <c r="CN434" i="11"/>
  <c r="AZ434" i="11"/>
  <c r="Y434" i="11"/>
  <c r="BB434" i="11"/>
  <c r="BD434" i="11" s="1"/>
  <c r="BZ434" i="11"/>
  <c r="DB434" i="11"/>
  <c r="DD434" i="11" s="1"/>
  <c r="X434" i="11"/>
  <c r="DA434" i="11"/>
  <c r="B435" i="11"/>
  <c r="A435" i="11" s="1"/>
  <c r="C436" i="11"/>
  <c r="M434" i="11" l="1"/>
  <c r="L434" i="11"/>
  <c r="M401" i="12"/>
  <c r="DZ435" i="11"/>
  <c r="EH435" i="11"/>
  <c r="EC435" i="11"/>
  <c r="EA435" i="11"/>
  <c r="EI435" i="11"/>
  <c r="N401" i="12"/>
  <c r="A402" i="12"/>
  <c r="N402" i="12" s="1"/>
  <c r="P435" i="11"/>
  <c r="DF433" i="11"/>
  <c r="BS433" i="11"/>
  <c r="BX433" i="11"/>
  <c r="BF433" i="11"/>
  <c r="AW432" i="11"/>
  <c r="AY432" i="11" s="1"/>
  <c r="DJ433" i="11"/>
  <c r="BK432" i="11"/>
  <c r="BL432" i="11" s="1"/>
  <c r="DJ432" i="11"/>
  <c r="AS432" i="11"/>
  <c r="AW433" i="11"/>
  <c r="B403" i="12"/>
  <c r="DK432" i="11"/>
  <c r="CL432" i="11"/>
  <c r="AB435" i="11"/>
  <c r="BQ434" i="11"/>
  <c r="BR434" i="11" s="1"/>
  <c r="BT434" i="11" s="1"/>
  <c r="CX434" i="11"/>
  <c r="CQ434" i="11"/>
  <c r="CF434" i="11"/>
  <c r="CD434" i="11"/>
  <c r="BY432" i="11"/>
  <c r="AQ434" i="11"/>
  <c r="AR434" i="11" s="1"/>
  <c r="AT434" i="11" s="1"/>
  <c r="DK433" i="11"/>
  <c r="CW433" i="11"/>
  <c r="CX433" i="11"/>
  <c r="BE434" i="11"/>
  <c r="BG434" i="11" s="1"/>
  <c r="CJ433" i="11"/>
  <c r="CK433" i="11"/>
  <c r="CE435" i="11"/>
  <c r="CG435" i="11" s="1"/>
  <c r="DU435" i="11"/>
  <c r="DV435" i="11"/>
  <c r="DH435" i="11"/>
  <c r="DI435" i="11"/>
  <c r="CR435" i="11"/>
  <c r="CT435" i="11" s="1"/>
  <c r="CU435" i="11"/>
  <c r="CV435" i="11"/>
  <c r="CI435" i="11"/>
  <c r="CH435" i="11"/>
  <c r="BU435" i="11"/>
  <c r="BV435" i="11"/>
  <c r="BI435" i="11"/>
  <c r="BH435" i="11"/>
  <c r="AU435" i="11"/>
  <c r="AV435" i="11"/>
  <c r="AI435" i="11"/>
  <c r="AH435" i="11"/>
  <c r="DE434" i="11"/>
  <c r="DG434" i="11" s="1"/>
  <c r="AP435" i="11"/>
  <c r="BN435" i="11"/>
  <c r="Y435" i="11"/>
  <c r="BP435" i="11"/>
  <c r="CZ435" i="11"/>
  <c r="CC435" i="11"/>
  <c r="BB435" i="11"/>
  <c r="BD435" i="11" s="1"/>
  <c r="BO435" i="11"/>
  <c r="BQ435" i="11" s="1"/>
  <c r="AZ435" i="11"/>
  <c r="CN435" i="11"/>
  <c r="DA435" i="11"/>
  <c r="X435" i="11"/>
  <c r="DN435" i="11"/>
  <c r="AM435" i="11"/>
  <c r="BZ435" i="11"/>
  <c r="CM435" i="11"/>
  <c r="CA435" i="11"/>
  <c r="AA435" i="11"/>
  <c r="DB435" i="11"/>
  <c r="DD435" i="11" s="1"/>
  <c r="DM435" i="11"/>
  <c r="BC435" i="11"/>
  <c r="BA435" i="11"/>
  <c r="DC435" i="11"/>
  <c r="CB435" i="11"/>
  <c r="W436" i="11"/>
  <c r="BM435" i="11"/>
  <c r="AO435" i="11"/>
  <c r="CP435" i="11"/>
  <c r="AN435" i="11"/>
  <c r="CO435" i="11"/>
  <c r="DP435" i="11"/>
  <c r="B436" i="11"/>
  <c r="A436" i="11" s="1"/>
  <c r="C437" i="11"/>
  <c r="M435" i="11" l="1"/>
  <c r="M402" i="12"/>
  <c r="V402" i="12"/>
  <c r="W402" i="12" s="1"/>
  <c r="L435" i="11"/>
  <c r="EH436" i="11"/>
  <c r="EI436" i="11"/>
  <c r="EC436" i="11"/>
  <c r="DZ436" i="11"/>
  <c r="EA436" i="11"/>
  <c r="A403" i="12"/>
  <c r="N403" i="12" s="1"/>
  <c r="P436" i="11"/>
  <c r="BF434" i="11"/>
  <c r="DF434" i="11"/>
  <c r="DK434" i="11"/>
  <c r="BK434" i="11"/>
  <c r="DL432" i="11"/>
  <c r="BW433" i="11"/>
  <c r="BY433" i="11" s="1"/>
  <c r="AX433" i="11"/>
  <c r="AY433" i="11" s="1"/>
  <c r="BJ433" i="11"/>
  <c r="AW434" i="11"/>
  <c r="AS433" i="11"/>
  <c r="B404" i="12"/>
  <c r="BK433" i="11"/>
  <c r="CJ434" i="11"/>
  <c r="BS434" i="11"/>
  <c r="AB436" i="11"/>
  <c r="CK434" i="11"/>
  <c r="CY433" i="11"/>
  <c r="CF435" i="11"/>
  <c r="CD435" i="11"/>
  <c r="CS435" i="11"/>
  <c r="CQ435" i="11"/>
  <c r="CW434" i="11"/>
  <c r="CY434" i="11" s="1"/>
  <c r="CS434" i="11"/>
  <c r="AQ435" i="11"/>
  <c r="AR435" i="11" s="1"/>
  <c r="AT435" i="11" s="1"/>
  <c r="DL433" i="11"/>
  <c r="CL433" i="11"/>
  <c r="BJ434" i="11"/>
  <c r="DE435" i="11"/>
  <c r="DG435" i="11" s="1"/>
  <c r="BR435" i="11"/>
  <c r="BT435" i="11" s="1"/>
  <c r="CE436" i="11"/>
  <c r="CG436" i="11" s="1"/>
  <c r="DU436" i="11"/>
  <c r="DV436" i="11"/>
  <c r="DH436" i="11"/>
  <c r="DI436" i="11"/>
  <c r="CU436" i="11"/>
  <c r="CR436" i="11"/>
  <c r="CT436" i="11" s="1"/>
  <c r="CV436" i="11"/>
  <c r="CH436" i="11"/>
  <c r="CI436" i="11"/>
  <c r="BU436" i="11"/>
  <c r="BV436" i="11"/>
  <c r="BH436" i="11"/>
  <c r="BI436" i="11"/>
  <c r="AU436" i="11"/>
  <c r="AV436" i="11"/>
  <c r="AH436" i="11"/>
  <c r="AI436" i="11"/>
  <c r="BE435" i="11"/>
  <c r="BG435" i="11" s="1"/>
  <c r="BP436" i="11"/>
  <c r="BN436" i="11"/>
  <c r="CC436" i="11"/>
  <c r="BO436" i="11"/>
  <c r="BQ436" i="11" s="1"/>
  <c r="BB436" i="11"/>
  <c r="BD436" i="11" s="1"/>
  <c r="CP436" i="11"/>
  <c r="DB436" i="11"/>
  <c r="DD436" i="11" s="1"/>
  <c r="BA436" i="11"/>
  <c r="CM436" i="11"/>
  <c r="AZ436" i="11"/>
  <c r="CA436" i="11"/>
  <c r="Y436" i="11"/>
  <c r="BC436" i="11"/>
  <c r="BM436" i="11"/>
  <c r="CB436" i="11"/>
  <c r="AO436" i="11"/>
  <c r="DC436" i="11"/>
  <c r="DP436" i="11"/>
  <c r="CO436" i="11"/>
  <c r="AM436" i="11"/>
  <c r="AN436" i="11"/>
  <c r="BZ436" i="11"/>
  <c r="DM436" i="11"/>
  <c r="AA436" i="11"/>
  <c r="W437" i="11"/>
  <c r="DA436" i="11"/>
  <c r="DN436" i="11"/>
  <c r="AP436" i="11"/>
  <c r="CN436" i="11"/>
  <c r="X436" i="11"/>
  <c r="CZ436" i="11"/>
  <c r="B437" i="11"/>
  <c r="A437" i="11" s="1"/>
  <c r="C438" i="11"/>
  <c r="M436" i="11" l="1"/>
  <c r="L436" i="11"/>
  <c r="M403" i="12"/>
  <c r="EC437" i="11"/>
  <c r="EI437" i="11"/>
  <c r="EH437" i="11"/>
  <c r="EA437" i="11"/>
  <c r="DZ437" i="11"/>
  <c r="V403" i="12"/>
  <c r="W403" i="12" s="1"/>
  <c r="A404" i="12"/>
  <c r="N404" i="12" s="1"/>
  <c r="P437" i="11"/>
  <c r="DF435" i="11"/>
  <c r="BF435" i="11"/>
  <c r="BJ435" i="11"/>
  <c r="BS435" i="11"/>
  <c r="AX434" i="11"/>
  <c r="AY434" i="11" s="1"/>
  <c r="BL433" i="11"/>
  <c r="DJ434" i="11"/>
  <c r="DL434" i="11" s="1"/>
  <c r="AX435" i="11"/>
  <c r="BX434" i="11"/>
  <c r="BW434" i="11"/>
  <c r="AS434" i="11"/>
  <c r="DJ435" i="11"/>
  <c r="B405" i="12"/>
  <c r="CL434" i="11"/>
  <c r="CX435" i="11"/>
  <c r="CW435" i="11"/>
  <c r="BR436" i="11"/>
  <c r="BT436" i="11" s="1"/>
  <c r="AB437" i="11"/>
  <c r="CK435" i="11"/>
  <c r="CS436" i="11"/>
  <c r="CQ436" i="11"/>
  <c r="CF436" i="11"/>
  <c r="CD436" i="11"/>
  <c r="CJ435" i="11"/>
  <c r="BL434" i="11"/>
  <c r="AQ436" i="11"/>
  <c r="AR436" i="11" s="1"/>
  <c r="AT436" i="11" s="1"/>
  <c r="CW436" i="11"/>
  <c r="BE436" i="11"/>
  <c r="BG436" i="11" s="1"/>
  <c r="BZ437" i="11"/>
  <c r="CE437" i="11"/>
  <c r="CG437" i="11" s="1"/>
  <c r="DV437" i="11"/>
  <c r="DU437" i="11"/>
  <c r="DH437" i="11"/>
  <c r="DI437" i="11"/>
  <c r="CU437" i="11"/>
  <c r="CV437" i="11"/>
  <c r="CR437" i="11"/>
  <c r="CT437" i="11" s="1"/>
  <c r="CI437" i="11"/>
  <c r="CH437" i="11"/>
  <c r="BU437" i="11"/>
  <c r="BV437" i="11"/>
  <c r="BI437" i="11"/>
  <c r="BH437" i="11"/>
  <c r="AU437" i="11"/>
  <c r="AV437" i="11"/>
  <c r="AH437" i="11"/>
  <c r="AI437" i="11"/>
  <c r="DE436" i="11"/>
  <c r="DG436" i="11" s="1"/>
  <c r="AP437" i="11"/>
  <c r="DP437" i="11"/>
  <c r="DA437" i="11"/>
  <c r="BN437" i="11"/>
  <c r="BP437" i="11"/>
  <c r="BO437" i="11"/>
  <c r="X437" i="11"/>
  <c r="CN437" i="11"/>
  <c r="AN437" i="11"/>
  <c r="BA437" i="11"/>
  <c r="BB437" i="11"/>
  <c r="BD437" i="11" s="1"/>
  <c r="CM437" i="11"/>
  <c r="DC437" i="11"/>
  <c r="AM437" i="11"/>
  <c r="AO437" i="11"/>
  <c r="CB437" i="11"/>
  <c r="AZ437" i="11"/>
  <c r="CZ437" i="11"/>
  <c r="DN437" i="11"/>
  <c r="BC437" i="11"/>
  <c r="BM437" i="11"/>
  <c r="W438" i="11"/>
  <c r="CA437" i="11"/>
  <c r="DM437" i="11"/>
  <c r="CP437" i="11"/>
  <c r="CO437" i="11"/>
  <c r="AA437" i="11"/>
  <c r="DB437" i="11"/>
  <c r="DD437" i="11" s="1"/>
  <c r="Y437" i="11"/>
  <c r="CC437" i="11"/>
  <c r="B438" i="11"/>
  <c r="A438" i="11" s="1"/>
  <c r="C439" i="11"/>
  <c r="M437" i="11" l="1"/>
  <c r="L437" i="11"/>
  <c r="M404" i="12"/>
  <c r="EA438" i="11"/>
  <c r="EI438" i="11"/>
  <c r="EH438" i="11"/>
  <c r="EC438" i="11"/>
  <c r="DZ438" i="11"/>
  <c r="V404" i="12"/>
  <c r="W404" i="12" s="1"/>
  <c r="CC438" i="11"/>
  <c r="A405" i="12"/>
  <c r="V405" i="12" s="1"/>
  <c r="W405" i="12" s="1"/>
  <c r="P438" i="11"/>
  <c r="DF436" i="11"/>
  <c r="BS436" i="11"/>
  <c r="BF436" i="11"/>
  <c r="BK436" i="11"/>
  <c r="BK435" i="11"/>
  <c r="BL435" i="11" s="1"/>
  <c r="DK435" i="11"/>
  <c r="DL435" i="11" s="1"/>
  <c r="BY434" i="11"/>
  <c r="BW435" i="11"/>
  <c r="BX435" i="11"/>
  <c r="AS435" i="11"/>
  <c r="AX436" i="11"/>
  <c r="AW435" i="11"/>
  <c r="AY435" i="11" s="1"/>
  <c r="DK436" i="11"/>
  <c r="B406" i="12"/>
  <c r="BW436" i="11"/>
  <c r="CK436" i="11"/>
  <c r="CY435" i="11"/>
  <c r="BX436" i="11"/>
  <c r="CL435" i="11"/>
  <c r="CX436" i="11"/>
  <c r="CY436" i="11" s="1"/>
  <c r="BQ437" i="11"/>
  <c r="BR437" i="11" s="1"/>
  <c r="BT437" i="11" s="1"/>
  <c r="AB438" i="11"/>
  <c r="CF437" i="11"/>
  <c r="CD437" i="11"/>
  <c r="CW437" i="11"/>
  <c r="CQ437" i="11"/>
  <c r="CJ436" i="11"/>
  <c r="AQ437" i="11"/>
  <c r="AR437" i="11" s="1"/>
  <c r="AT437" i="11" s="1"/>
  <c r="BE437" i="11"/>
  <c r="BG437" i="11" s="1"/>
  <c r="DE437" i="11"/>
  <c r="DG437" i="11" s="1"/>
  <c r="AP438" i="11"/>
  <c r="CE438" i="11"/>
  <c r="CG438" i="11" s="1"/>
  <c r="DU438" i="11"/>
  <c r="DV438" i="11"/>
  <c r="DH438" i="11"/>
  <c r="DI438" i="11"/>
  <c r="CU438" i="11"/>
  <c r="CR438" i="11"/>
  <c r="CT438" i="11" s="1"/>
  <c r="CV438" i="11"/>
  <c r="CH438" i="11"/>
  <c r="CI438" i="11"/>
  <c r="BU438" i="11"/>
  <c r="BV438" i="11"/>
  <c r="BH438" i="11"/>
  <c r="BI438" i="11"/>
  <c r="AU438" i="11"/>
  <c r="AV438" i="11"/>
  <c r="AH438" i="11"/>
  <c r="AI438" i="11"/>
  <c r="AA438" i="11"/>
  <c r="Y438" i="11"/>
  <c r="CP438" i="11"/>
  <c r="BN438" i="11"/>
  <c r="CN438" i="11"/>
  <c r="BP438" i="11"/>
  <c r="DB438" i="11"/>
  <c r="DD438" i="11" s="1"/>
  <c r="CO438" i="11"/>
  <c r="BO438" i="11"/>
  <c r="BQ438" i="11" s="1"/>
  <c r="DM438" i="11"/>
  <c r="DA438" i="11"/>
  <c r="DP438" i="11"/>
  <c r="DN438" i="11"/>
  <c r="DC438" i="11"/>
  <c r="CZ438" i="11"/>
  <c r="X438" i="11"/>
  <c r="W439" i="11"/>
  <c r="AZ438" i="11"/>
  <c r="CM438" i="11"/>
  <c r="CB438" i="11"/>
  <c r="BB438" i="11"/>
  <c r="BD438" i="11" s="1"/>
  <c r="BA438" i="11"/>
  <c r="BZ438" i="11"/>
  <c r="CA438" i="11"/>
  <c r="BM438" i="11"/>
  <c r="AO438" i="11"/>
  <c r="AN438" i="11"/>
  <c r="BC438" i="11"/>
  <c r="AM438" i="11"/>
  <c r="B439" i="11"/>
  <c r="A439" i="11" s="1"/>
  <c r="C440" i="11"/>
  <c r="L438" i="11" l="1"/>
  <c r="M438" i="11"/>
  <c r="EH439" i="11"/>
  <c r="EC439" i="11"/>
  <c r="DZ439" i="11"/>
  <c r="EA439" i="11"/>
  <c r="EI439" i="11"/>
  <c r="N405" i="12"/>
  <c r="M405" i="12"/>
  <c r="A406" i="12"/>
  <c r="M406" i="12" s="1"/>
  <c r="P439" i="11"/>
  <c r="DF437" i="11"/>
  <c r="BF437" i="11"/>
  <c r="BJ437" i="11"/>
  <c r="DJ436" i="11"/>
  <c r="DL436" i="11" s="1"/>
  <c r="AW436" i="11"/>
  <c r="AY436" i="11" s="1"/>
  <c r="BY435" i="11"/>
  <c r="AX437" i="11"/>
  <c r="BJ436" i="11"/>
  <c r="BL436" i="11" s="1"/>
  <c r="AS436" i="11"/>
  <c r="B407" i="12"/>
  <c r="CL436" i="11"/>
  <c r="BY436" i="11"/>
  <c r="CK437" i="11"/>
  <c r="CJ437" i="11"/>
  <c r="BS437" i="11"/>
  <c r="BX437" i="11"/>
  <c r="BW437" i="11"/>
  <c r="AB439" i="11"/>
  <c r="CS438" i="11"/>
  <c r="CQ438" i="11"/>
  <c r="CX437" i="11"/>
  <c r="CY437" i="11" s="1"/>
  <c r="CS437" i="11"/>
  <c r="CK438" i="11"/>
  <c r="CD438" i="11"/>
  <c r="AQ438" i="11"/>
  <c r="AR438" i="11" s="1"/>
  <c r="AT438" i="11" s="1"/>
  <c r="BE438" i="11"/>
  <c r="BG438" i="11" s="1"/>
  <c r="DE438" i="11"/>
  <c r="DG438" i="11" s="1"/>
  <c r="BR438" i="11"/>
  <c r="BT438" i="11" s="1"/>
  <c r="AP439" i="11"/>
  <c r="CE439" i="11"/>
  <c r="CG439" i="11" s="1"/>
  <c r="DU439" i="11"/>
  <c r="DV439" i="11"/>
  <c r="DH439" i="11"/>
  <c r="DI439" i="11"/>
  <c r="CR439" i="11"/>
  <c r="CT439" i="11" s="1"/>
  <c r="CU439" i="11"/>
  <c r="CV439" i="11"/>
  <c r="CH439" i="11"/>
  <c r="CI439" i="11"/>
  <c r="BU439" i="11"/>
  <c r="BV439" i="11"/>
  <c r="BH439" i="11"/>
  <c r="BI439" i="11"/>
  <c r="AV439" i="11"/>
  <c r="AH439" i="11"/>
  <c r="AI439" i="11"/>
  <c r="AU439" i="11"/>
  <c r="BA439" i="11"/>
  <c r="BN439" i="11"/>
  <c r="BP439" i="11"/>
  <c r="AN439" i="11"/>
  <c r="DC439" i="11"/>
  <c r="BO439" i="11"/>
  <c r="BQ439" i="11" s="1"/>
  <c r="CC439" i="11"/>
  <c r="DN439" i="11"/>
  <c r="BZ439" i="11"/>
  <c r="CP439" i="11"/>
  <c r="AO439" i="11"/>
  <c r="DA439" i="11"/>
  <c r="CM439" i="11"/>
  <c r="X439" i="11"/>
  <c r="W440" i="11"/>
  <c r="DP439" i="11"/>
  <c r="AZ439" i="11"/>
  <c r="CZ439" i="11"/>
  <c r="AA439" i="11"/>
  <c r="BM439" i="11"/>
  <c r="BB439" i="11"/>
  <c r="BD439" i="11" s="1"/>
  <c r="AM439" i="11"/>
  <c r="DM439" i="11"/>
  <c r="CB439" i="11"/>
  <c r="DB439" i="11"/>
  <c r="DD439" i="11" s="1"/>
  <c r="Y439" i="11"/>
  <c r="CA439" i="11"/>
  <c r="BC439" i="11"/>
  <c r="CO439" i="11"/>
  <c r="CN439" i="11"/>
  <c r="B440" i="11"/>
  <c r="A440" i="11" s="1"/>
  <c r="C441" i="11"/>
  <c r="CN440" i="11" l="1"/>
  <c r="V406" i="12"/>
  <c r="W406" i="12" s="1"/>
  <c r="M439" i="11"/>
  <c r="L439" i="11"/>
  <c r="EH440" i="11"/>
  <c r="EC440" i="11"/>
  <c r="EA440" i="11"/>
  <c r="EI440" i="11"/>
  <c r="DZ440" i="11"/>
  <c r="N406" i="12"/>
  <c r="AM440" i="11"/>
  <c r="A407" i="12"/>
  <c r="V407" i="12" s="1"/>
  <c r="W407" i="12" s="1"/>
  <c r="P440" i="11"/>
  <c r="DF438" i="11"/>
  <c r="DJ438" i="11"/>
  <c r="BF438" i="11"/>
  <c r="BS438" i="11"/>
  <c r="BX438" i="11"/>
  <c r="CL437" i="11"/>
  <c r="BK437" i="11"/>
  <c r="BL437" i="11" s="1"/>
  <c r="AW437" i="11"/>
  <c r="AY437" i="11" s="1"/>
  <c r="DJ437" i="11"/>
  <c r="AS438" i="11"/>
  <c r="BK438" i="11"/>
  <c r="DK437" i="11"/>
  <c r="AS437" i="11"/>
  <c r="B408" i="12"/>
  <c r="BY437" i="11"/>
  <c r="CX438" i="11"/>
  <c r="AB440" i="11"/>
  <c r="BR439" i="11"/>
  <c r="BT439" i="11" s="1"/>
  <c r="CW438" i="11"/>
  <c r="CJ438" i="11"/>
  <c r="CL438" i="11" s="1"/>
  <c r="CF438" i="11"/>
  <c r="CF439" i="11"/>
  <c r="CD439" i="11"/>
  <c r="CX439" i="11"/>
  <c r="CQ439" i="11"/>
  <c r="AQ439" i="11"/>
  <c r="AR439" i="11" s="1"/>
  <c r="AT439" i="11" s="1"/>
  <c r="BC440" i="11"/>
  <c r="Y440" i="11"/>
  <c r="AA440" i="11"/>
  <c r="AZ440" i="11"/>
  <c r="DE439" i="11"/>
  <c r="DG439" i="11" s="1"/>
  <c r="AP440" i="11"/>
  <c r="CE440" i="11"/>
  <c r="CG440" i="11" s="1"/>
  <c r="DU440" i="11"/>
  <c r="DV440" i="11"/>
  <c r="DH440" i="11"/>
  <c r="DI440" i="11"/>
  <c r="CU440" i="11"/>
  <c r="CV440" i="11"/>
  <c r="CR440" i="11"/>
  <c r="CT440" i="11" s="1"/>
  <c r="CH440" i="11"/>
  <c r="CI440" i="11"/>
  <c r="BV440" i="11"/>
  <c r="BI440" i="11"/>
  <c r="BU440" i="11"/>
  <c r="BH440" i="11"/>
  <c r="AU440" i="11"/>
  <c r="AV440" i="11"/>
  <c r="AH440" i="11"/>
  <c r="AI440" i="11"/>
  <c r="BE439" i="11"/>
  <c r="BG439" i="11" s="1"/>
  <c r="DA440" i="11"/>
  <c r="AN440" i="11"/>
  <c r="BM440" i="11"/>
  <c r="BP440" i="11"/>
  <c r="DM440" i="11"/>
  <c r="DP440" i="11"/>
  <c r="CA440" i="11"/>
  <c r="BA440" i="11"/>
  <c r="BN440" i="11"/>
  <c r="DB440" i="11"/>
  <c r="DD440" i="11" s="1"/>
  <c r="CO440" i="11"/>
  <c r="CB440" i="11"/>
  <c r="BB440" i="11"/>
  <c r="BD440" i="11" s="1"/>
  <c r="AO440" i="11"/>
  <c r="BO440" i="11"/>
  <c r="CP440" i="11"/>
  <c r="BZ440" i="11"/>
  <c r="X440" i="11"/>
  <c r="DN440" i="11"/>
  <c r="W441" i="11"/>
  <c r="CM440" i="11"/>
  <c r="CC440" i="11"/>
  <c r="CZ440" i="11"/>
  <c r="DC440" i="11"/>
  <c r="B441" i="11"/>
  <c r="A441" i="11" s="1"/>
  <c r="C442" i="11"/>
  <c r="M440" i="11" l="1"/>
  <c r="L440" i="11"/>
  <c r="EC441" i="11"/>
  <c r="EA441" i="11"/>
  <c r="DZ441" i="11"/>
  <c r="EI441" i="11"/>
  <c r="EH441" i="11"/>
  <c r="M407" i="12"/>
  <c r="N407" i="12"/>
  <c r="A408" i="12"/>
  <c r="V408" i="12" s="1"/>
  <c r="W408" i="12" s="1"/>
  <c r="P441" i="11"/>
  <c r="DF439" i="11"/>
  <c r="DK439" i="11"/>
  <c r="BS439" i="11"/>
  <c r="BW439" i="11"/>
  <c r="BF439" i="11"/>
  <c r="DK438" i="11"/>
  <c r="DL438" i="11" s="1"/>
  <c r="AW438" i="11"/>
  <c r="BJ438" i="11"/>
  <c r="BL438" i="11" s="1"/>
  <c r="AX438" i="11"/>
  <c r="DL437" i="11"/>
  <c r="BW438" i="11"/>
  <c r="BY438" i="11" s="1"/>
  <c r="BK439" i="11"/>
  <c r="B409" i="12"/>
  <c r="CJ439" i="11"/>
  <c r="CY438" i="11"/>
  <c r="AB441" i="11"/>
  <c r="CK439" i="11"/>
  <c r="BQ440" i="11"/>
  <c r="BR440" i="11" s="1"/>
  <c r="BT440" i="11" s="1"/>
  <c r="CF440" i="11"/>
  <c r="CD440" i="11"/>
  <c r="CW439" i="11"/>
  <c r="CY439" i="11" s="1"/>
  <c r="CS439" i="11"/>
  <c r="CS440" i="11"/>
  <c r="CQ440" i="11"/>
  <c r="AQ440" i="11"/>
  <c r="AR440" i="11" s="1"/>
  <c r="AT440" i="11" s="1"/>
  <c r="BE440" i="11"/>
  <c r="BG440" i="11" s="1"/>
  <c r="CE441" i="11"/>
  <c r="CG441" i="11" s="1"/>
  <c r="DV441" i="11"/>
  <c r="DU441" i="11"/>
  <c r="DH441" i="11"/>
  <c r="DI441" i="11"/>
  <c r="CU441" i="11"/>
  <c r="CV441" i="11"/>
  <c r="CR441" i="11"/>
  <c r="CT441" i="11" s="1"/>
  <c r="CH441" i="11"/>
  <c r="CI441" i="11"/>
  <c r="BU441" i="11"/>
  <c r="BV441" i="11"/>
  <c r="BH441" i="11"/>
  <c r="BI441" i="11"/>
  <c r="AU441" i="11"/>
  <c r="AV441" i="11"/>
  <c r="AH441" i="11"/>
  <c r="AI441" i="11"/>
  <c r="DE440" i="11"/>
  <c r="DG440" i="11" s="1"/>
  <c r="DC441" i="11"/>
  <c r="BN441" i="11"/>
  <c r="DA441" i="11"/>
  <c r="BP441" i="11"/>
  <c r="BO441" i="11"/>
  <c r="BQ441" i="11" s="1"/>
  <c r="AA441" i="11"/>
  <c r="BM441" i="11"/>
  <c r="CZ441" i="11"/>
  <c r="DB441" i="11"/>
  <c r="DD441" i="11" s="1"/>
  <c r="DN441" i="11"/>
  <c r="CM441" i="11"/>
  <c r="X441" i="11"/>
  <c r="CA441" i="11"/>
  <c r="BC441" i="11"/>
  <c r="AO441" i="11"/>
  <c r="AP441" i="11"/>
  <c r="DP441" i="11"/>
  <c r="AM441" i="11"/>
  <c r="AN441" i="11"/>
  <c r="W442" i="11"/>
  <c r="Y441" i="11"/>
  <c r="BZ441" i="11"/>
  <c r="CO441" i="11"/>
  <c r="AZ441" i="11"/>
  <c r="DM441" i="11"/>
  <c r="CP441" i="11"/>
  <c r="CN441" i="11"/>
  <c r="CC441" i="11"/>
  <c r="CB441" i="11"/>
  <c r="BB441" i="11"/>
  <c r="BD441" i="11" s="1"/>
  <c r="BA441" i="11"/>
  <c r="B442" i="11"/>
  <c r="A442" i="11" s="1"/>
  <c r="C443" i="11"/>
  <c r="L441" i="11" l="1"/>
  <c r="N408" i="12"/>
  <c r="M408" i="12"/>
  <c r="M441" i="11"/>
  <c r="EA442" i="11"/>
  <c r="EC442" i="11"/>
  <c r="DZ442" i="11"/>
  <c r="EI442" i="11"/>
  <c r="EH442" i="11"/>
  <c r="A409" i="12"/>
  <c r="N409" i="12" s="1"/>
  <c r="P442" i="11"/>
  <c r="BF440" i="11"/>
  <c r="DF440" i="11"/>
  <c r="DK440" i="11"/>
  <c r="AY438" i="11"/>
  <c r="BJ439" i="11"/>
  <c r="BL439" i="11" s="1"/>
  <c r="CL439" i="11"/>
  <c r="AS440" i="11"/>
  <c r="DJ439" i="11"/>
  <c r="DL439" i="11" s="1"/>
  <c r="BJ440" i="11"/>
  <c r="AS439" i="11"/>
  <c r="AX439" i="11"/>
  <c r="AW439" i="11"/>
  <c r="B410" i="12"/>
  <c r="BX439" i="11"/>
  <c r="BY439" i="11" s="1"/>
  <c r="CQ441" i="11"/>
  <c r="CJ440" i="11"/>
  <c r="CK440" i="11"/>
  <c r="BS440" i="11"/>
  <c r="CX440" i="11"/>
  <c r="AB442" i="11"/>
  <c r="CF441" i="11"/>
  <c r="CD441" i="11"/>
  <c r="CW440" i="11"/>
  <c r="AQ441" i="11"/>
  <c r="AR441" i="11" s="1"/>
  <c r="AT441" i="11" s="1"/>
  <c r="BE441" i="11"/>
  <c r="BG441" i="11" s="1"/>
  <c r="DE441" i="11"/>
  <c r="DG441" i="11" s="1"/>
  <c r="CE442" i="11"/>
  <c r="CG442" i="11" s="1"/>
  <c r="DU442" i="11"/>
  <c r="DV442" i="11"/>
  <c r="DH442" i="11"/>
  <c r="DI442" i="11"/>
  <c r="CV442" i="11"/>
  <c r="CR442" i="11"/>
  <c r="CT442" i="11" s="1"/>
  <c r="CU442" i="11"/>
  <c r="CH442" i="11"/>
  <c r="CI442" i="11"/>
  <c r="BU442" i="11"/>
  <c r="BV442" i="11"/>
  <c r="BH442" i="11"/>
  <c r="BI442" i="11"/>
  <c r="AU442" i="11"/>
  <c r="AV442" i="11"/>
  <c r="AH442" i="11"/>
  <c r="AI442" i="11"/>
  <c r="BR441" i="11"/>
  <c r="BT441" i="11" s="1"/>
  <c r="CS441" i="11"/>
  <c r="CZ442" i="11"/>
  <c r="CN442" i="11"/>
  <c r="BN442" i="11"/>
  <c r="BP442" i="11"/>
  <c r="BO442" i="11"/>
  <c r="BQ442" i="11" s="1"/>
  <c r="BB442" i="11"/>
  <c r="BD442" i="11" s="1"/>
  <c r="AZ442" i="11"/>
  <c r="BA442" i="11"/>
  <c r="CO442" i="11"/>
  <c r="CB442" i="11"/>
  <c r="CP442" i="11"/>
  <c r="DM442" i="11"/>
  <c r="AO442" i="11"/>
  <c r="AN442" i="11"/>
  <c r="BM442" i="11"/>
  <c r="AM442" i="11"/>
  <c r="BC442" i="11"/>
  <c r="CM442" i="11"/>
  <c r="DB442" i="11"/>
  <c r="DD442" i="11" s="1"/>
  <c r="X442" i="11"/>
  <c r="DP442" i="11"/>
  <c r="DC442" i="11"/>
  <c r="CA442" i="11"/>
  <c r="CC442" i="11"/>
  <c r="BZ442" i="11"/>
  <c r="AP442" i="11"/>
  <c r="DN442" i="11"/>
  <c r="W443" i="11"/>
  <c r="Y442" i="11"/>
  <c r="AA442" i="11"/>
  <c r="DA442" i="11"/>
  <c r="B443" i="11"/>
  <c r="A443" i="11" s="1"/>
  <c r="C444" i="11"/>
  <c r="M442" i="11" l="1"/>
  <c r="M409" i="12"/>
  <c r="L442" i="11"/>
  <c r="V409" i="12"/>
  <c r="W409" i="12" s="1"/>
  <c r="EA443" i="11"/>
  <c r="DZ443" i="11"/>
  <c r="EH443" i="11"/>
  <c r="EI443" i="11"/>
  <c r="EC443" i="11"/>
  <c r="A410" i="12"/>
  <c r="N410" i="12" s="1"/>
  <c r="P443" i="11"/>
  <c r="BF441" i="11"/>
  <c r="DF441" i="11"/>
  <c r="BS441" i="11"/>
  <c r="DJ440" i="11"/>
  <c r="DL440" i="11" s="1"/>
  <c r="AX440" i="11"/>
  <c r="BK440" i="11"/>
  <c r="BL440" i="11" s="1"/>
  <c r="AY439" i="11"/>
  <c r="B411" i="12"/>
  <c r="AX441" i="11"/>
  <c r="BW440" i="11"/>
  <c r="AW440" i="11"/>
  <c r="BX440" i="11"/>
  <c r="BK441" i="11"/>
  <c r="CL440" i="11"/>
  <c r="CY440" i="11"/>
  <c r="CK441" i="11"/>
  <c r="CJ441" i="11"/>
  <c r="CQ442" i="11"/>
  <c r="BR442" i="11"/>
  <c r="BT442" i="11" s="1"/>
  <c r="AB443" i="11"/>
  <c r="CF442" i="11"/>
  <c r="CD442" i="11"/>
  <c r="AQ442" i="11"/>
  <c r="AR442" i="11" s="1"/>
  <c r="AT442" i="11" s="1"/>
  <c r="BX441" i="11"/>
  <c r="BW441" i="11"/>
  <c r="CE443" i="11"/>
  <c r="CG443" i="11" s="1"/>
  <c r="DU443" i="11"/>
  <c r="DV443" i="11"/>
  <c r="DH443" i="11"/>
  <c r="DI443" i="11"/>
  <c r="CR443" i="11"/>
  <c r="CT443" i="11" s="1"/>
  <c r="CU443" i="11"/>
  <c r="CV443" i="11"/>
  <c r="CH443" i="11"/>
  <c r="CI443" i="11"/>
  <c r="BU443" i="11"/>
  <c r="BV443" i="11"/>
  <c r="BH443" i="11"/>
  <c r="BI443" i="11"/>
  <c r="AH443" i="11"/>
  <c r="AU443" i="11"/>
  <c r="AI443" i="11"/>
  <c r="AV443" i="11"/>
  <c r="CW441" i="11"/>
  <c r="CX441" i="11"/>
  <c r="BE442" i="11"/>
  <c r="BG442" i="11" s="1"/>
  <c r="DE442" i="11"/>
  <c r="DG442" i="11" s="1"/>
  <c r="CS442" i="11"/>
  <c r="DA443" i="11"/>
  <c r="DC443" i="11"/>
  <c r="CN443" i="11"/>
  <c r="BP443" i="11"/>
  <c r="BN443" i="11"/>
  <c r="BO443" i="11"/>
  <c r="BQ443" i="11" s="1"/>
  <c r="CB443" i="11"/>
  <c r="DP443" i="11"/>
  <c r="DN443" i="11"/>
  <c r="BB443" i="11"/>
  <c r="BD443" i="11" s="1"/>
  <c r="Y443" i="11"/>
  <c r="BZ443" i="11"/>
  <c r="AA443" i="11"/>
  <c r="CC443" i="11"/>
  <c r="AM443" i="11"/>
  <c r="BA443" i="11"/>
  <c r="BC443" i="11"/>
  <c r="AP443" i="11"/>
  <c r="AZ443" i="11"/>
  <c r="DM443" i="11"/>
  <c r="BM443" i="11"/>
  <c r="X443" i="11"/>
  <c r="AN443" i="11"/>
  <c r="CO443" i="11"/>
  <c r="DB443" i="11"/>
  <c r="DD443" i="11" s="1"/>
  <c r="CP443" i="11"/>
  <c r="AO443" i="11"/>
  <c r="W444" i="11"/>
  <c r="CA443" i="11"/>
  <c r="CM443" i="11"/>
  <c r="CZ443" i="11"/>
  <c r="B444" i="11"/>
  <c r="A444" i="11" s="1"/>
  <c r="C445" i="11"/>
  <c r="M443" i="11" l="1"/>
  <c r="L443" i="11"/>
  <c r="EH444" i="11"/>
  <c r="EA444" i="11"/>
  <c r="DZ444" i="11"/>
  <c r="EC444" i="11"/>
  <c r="EI444" i="11"/>
  <c r="M410" i="12"/>
  <c r="V410" i="12"/>
  <c r="W410" i="12" s="1"/>
  <c r="A411" i="12"/>
  <c r="M411" i="12" s="1"/>
  <c r="P444" i="11"/>
  <c r="BS442" i="11"/>
  <c r="BX442" i="11"/>
  <c r="DF442" i="11"/>
  <c r="BF442" i="11"/>
  <c r="BK442" i="11"/>
  <c r="BJ441" i="11"/>
  <c r="BL441" i="11" s="1"/>
  <c r="BY440" i="11"/>
  <c r="AY440" i="11"/>
  <c r="AW441" i="11"/>
  <c r="AY441" i="11" s="1"/>
  <c r="AS441" i="11"/>
  <c r="DJ442" i="11"/>
  <c r="B412" i="12"/>
  <c r="DK441" i="11"/>
  <c r="DJ441" i="11"/>
  <c r="AS442" i="11"/>
  <c r="CL441" i="11"/>
  <c r="CJ442" i="11"/>
  <c r="CY441" i="11"/>
  <c r="AB444" i="11"/>
  <c r="CQ443" i="11"/>
  <c r="CK442" i="11"/>
  <c r="CF443" i="11"/>
  <c r="CD443" i="11"/>
  <c r="AQ443" i="11"/>
  <c r="AR443" i="11" s="1"/>
  <c r="AT443" i="11" s="1"/>
  <c r="BY441" i="11"/>
  <c r="CS443" i="11"/>
  <c r="BE443" i="11"/>
  <c r="BG443" i="11" s="1"/>
  <c r="DE443" i="11"/>
  <c r="DG443" i="11" s="1"/>
  <c r="CE444" i="11"/>
  <c r="CG444" i="11" s="1"/>
  <c r="DU444" i="11"/>
  <c r="DV444" i="11"/>
  <c r="DH444" i="11"/>
  <c r="CV444" i="11"/>
  <c r="CR444" i="11"/>
  <c r="CT444" i="11" s="1"/>
  <c r="CU444" i="11"/>
  <c r="DI444" i="11"/>
  <c r="CH444" i="11"/>
  <c r="CI444" i="11"/>
  <c r="BU444" i="11"/>
  <c r="BV444" i="11"/>
  <c r="BH444" i="11"/>
  <c r="BI444" i="11"/>
  <c r="AU444" i="11"/>
  <c r="AV444" i="11"/>
  <c r="AI444" i="11"/>
  <c r="AH444" i="11"/>
  <c r="BR443" i="11"/>
  <c r="BT443" i="11" s="1"/>
  <c r="CX442" i="11"/>
  <c r="CW442" i="11"/>
  <c r="Y444" i="11"/>
  <c r="CC444" i="11"/>
  <c r="CZ444" i="11"/>
  <c r="CM444" i="11"/>
  <c r="CA444" i="11"/>
  <c r="BN444" i="11"/>
  <c r="CO444" i="11"/>
  <c r="BP444" i="11"/>
  <c r="BO444" i="11"/>
  <c r="AA444" i="11"/>
  <c r="DB444" i="11"/>
  <c r="DD444" i="11" s="1"/>
  <c r="AM444" i="11"/>
  <c r="CP444" i="11"/>
  <c r="BC444" i="11"/>
  <c r="BM444" i="11"/>
  <c r="DC444" i="11"/>
  <c r="BB444" i="11"/>
  <c r="BD444" i="11" s="1"/>
  <c r="CB444" i="11"/>
  <c r="AO444" i="11"/>
  <c r="BZ444" i="11"/>
  <c r="AN444" i="11"/>
  <c r="DN444" i="11"/>
  <c r="BA444" i="11"/>
  <c r="W445" i="11"/>
  <c r="X444" i="11"/>
  <c r="DM444" i="11"/>
  <c r="AZ444" i="11"/>
  <c r="DA444" i="11"/>
  <c r="DP444" i="11"/>
  <c r="AP444" i="11"/>
  <c r="CN444" i="11"/>
  <c r="B445" i="11"/>
  <c r="A445" i="11" s="1"/>
  <c r="C446" i="11"/>
  <c r="L444" i="11" l="1"/>
  <c r="N411" i="12"/>
  <c r="M444" i="11"/>
  <c r="V411" i="12"/>
  <c r="W411" i="12" s="1"/>
  <c r="EC445" i="11"/>
  <c r="DZ445" i="11"/>
  <c r="EI445" i="11"/>
  <c r="EA445" i="11"/>
  <c r="EH445" i="11"/>
  <c r="A412" i="12"/>
  <c r="M412" i="12" s="1"/>
  <c r="P445" i="11"/>
  <c r="BS443" i="11"/>
  <c r="DF443" i="11"/>
  <c r="BF443" i="11"/>
  <c r="BW442" i="11"/>
  <c r="BY442" i="11" s="1"/>
  <c r="CL442" i="11"/>
  <c r="BW443" i="11"/>
  <c r="AX442" i="11"/>
  <c r="BJ442" i="11"/>
  <c r="BL442" i="11" s="1"/>
  <c r="DK442" i="11"/>
  <c r="DL442" i="11" s="1"/>
  <c r="AW442" i="11"/>
  <c r="DL441" i="11"/>
  <c r="AS443" i="11"/>
  <c r="DK443" i="11"/>
  <c r="B413" i="12"/>
  <c r="CK443" i="11"/>
  <c r="AB445" i="11"/>
  <c r="BQ444" i="11"/>
  <c r="BR444" i="11" s="1"/>
  <c r="BT444" i="11" s="1"/>
  <c r="CF444" i="11"/>
  <c r="CD444" i="11"/>
  <c r="CJ443" i="11"/>
  <c r="CS444" i="11"/>
  <c r="CQ444" i="11"/>
  <c r="AQ444" i="11"/>
  <c r="AR444" i="11" s="1"/>
  <c r="AT444" i="11" s="1"/>
  <c r="CY442" i="11"/>
  <c r="BE444" i="11"/>
  <c r="BG444" i="11" s="1"/>
  <c r="DE444" i="11"/>
  <c r="DG444" i="11" s="1"/>
  <c r="CW443" i="11"/>
  <c r="CX443" i="11"/>
  <c r="CE445" i="11"/>
  <c r="CG445" i="11" s="1"/>
  <c r="DV445" i="11"/>
  <c r="DU445" i="11"/>
  <c r="DH445" i="11"/>
  <c r="DI445" i="11"/>
  <c r="CR445" i="11"/>
  <c r="CT445" i="11" s="1"/>
  <c r="CV445" i="11"/>
  <c r="CU445" i="11"/>
  <c r="CH445" i="11"/>
  <c r="CI445" i="11"/>
  <c r="BU445" i="11"/>
  <c r="BV445" i="11"/>
  <c r="BI445" i="11"/>
  <c r="BH445" i="11"/>
  <c r="AU445" i="11"/>
  <c r="AV445" i="11"/>
  <c r="AH445" i="11"/>
  <c r="AI445" i="11"/>
  <c r="BX443" i="11"/>
  <c r="AZ445" i="11"/>
  <c r="BP445" i="11"/>
  <c r="BN445" i="11"/>
  <c r="DM445" i="11"/>
  <c r="BO445" i="11"/>
  <c r="BA445" i="11"/>
  <c r="CN445" i="11"/>
  <c r="AP445" i="11"/>
  <c r="X445" i="11"/>
  <c r="DC445" i="11"/>
  <c r="BZ445" i="11"/>
  <c r="BM445" i="11"/>
  <c r="CA445" i="11"/>
  <c r="AO445" i="11"/>
  <c r="DB445" i="11"/>
  <c r="DD445" i="11" s="1"/>
  <c r="CM445" i="11"/>
  <c r="CO445" i="11"/>
  <c r="DN445" i="11"/>
  <c r="BC445" i="11"/>
  <c r="DP445" i="11"/>
  <c r="CP445" i="11"/>
  <c r="W446" i="11"/>
  <c r="CZ445" i="11"/>
  <c r="AM445" i="11"/>
  <c r="Y445" i="11"/>
  <c r="CB445" i="11"/>
  <c r="AN445" i="11"/>
  <c r="BB445" i="11"/>
  <c r="BD445" i="11" s="1"/>
  <c r="DA445" i="11"/>
  <c r="CC445" i="11"/>
  <c r="AA445" i="11"/>
  <c r="B446" i="11"/>
  <c r="A446" i="11" s="1"/>
  <c r="C447" i="11"/>
  <c r="M445" i="11" l="1"/>
  <c r="L445" i="11"/>
  <c r="V412" i="12"/>
  <c r="W412" i="12" s="1"/>
  <c r="N412" i="12"/>
  <c r="EA446" i="11"/>
  <c r="EI446" i="11"/>
  <c r="EH446" i="11"/>
  <c r="EC446" i="11"/>
  <c r="DZ446" i="11"/>
  <c r="A413" i="12"/>
  <c r="N413" i="12" s="1"/>
  <c r="P446" i="11"/>
  <c r="DF444" i="11"/>
  <c r="BF444" i="11"/>
  <c r="AY442" i="11"/>
  <c r="BK443" i="11"/>
  <c r="AX443" i="11"/>
  <c r="AW443" i="11"/>
  <c r="DJ443" i="11"/>
  <c r="DL443" i="11" s="1"/>
  <c r="AS444" i="11"/>
  <c r="B414" i="12"/>
  <c r="BJ443" i="11"/>
  <c r="DJ444" i="11"/>
  <c r="CL443" i="11"/>
  <c r="BS444" i="11"/>
  <c r="BW444" i="11"/>
  <c r="BX444" i="11"/>
  <c r="AB446" i="11"/>
  <c r="BQ445" i="11"/>
  <c r="BR445" i="11" s="1"/>
  <c r="BT445" i="11" s="1"/>
  <c r="CX445" i="11"/>
  <c r="CQ445" i="11"/>
  <c r="CJ444" i="11"/>
  <c r="CK445" i="11"/>
  <c r="CD445" i="11"/>
  <c r="CK444" i="11"/>
  <c r="CX444" i="11"/>
  <c r="CW444" i="11"/>
  <c r="AQ445" i="11"/>
  <c r="AR445" i="11" s="1"/>
  <c r="AT445" i="11" s="1"/>
  <c r="BJ444" i="11"/>
  <c r="BK444" i="11"/>
  <c r="BY443" i="11"/>
  <c r="CE446" i="11"/>
  <c r="CG446" i="11" s="1"/>
  <c r="DU446" i="11"/>
  <c r="DV446" i="11"/>
  <c r="DH446" i="11"/>
  <c r="DI446" i="11"/>
  <c r="CU446" i="11"/>
  <c r="CV446" i="11"/>
  <c r="CR446" i="11"/>
  <c r="CT446" i="11" s="1"/>
  <c r="CH446" i="11"/>
  <c r="CI446" i="11"/>
  <c r="BU446" i="11"/>
  <c r="BV446" i="11"/>
  <c r="BH446" i="11"/>
  <c r="BI446" i="11"/>
  <c r="AV446" i="11"/>
  <c r="AH446" i="11"/>
  <c r="AI446" i="11"/>
  <c r="AU446" i="11"/>
  <c r="BE445" i="11"/>
  <c r="BG445" i="11" s="1"/>
  <c r="DE445" i="11"/>
  <c r="DG445" i="11" s="1"/>
  <c r="CY443" i="11"/>
  <c r="BN446" i="11"/>
  <c r="BP446" i="11"/>
  <c r="AN446" i="11"/>
  <c r="DM446" i="11"/>
  <c r="BZ446" i="11"/>
  <c r="AP446" i="11"/>
  <c r="X446" i="11"/>
  <c r="CC446" i="11"/>
  <c r="CM446" i="11"/>
  <c r="CO446" i="11"/>
  <c r="CB446" i="11"/>
  <c r="BB446" i="11"/>
  <c r="BD446" i="11" s="1"/>
  <c r="BO446" i="11"/>
  <c r="BQ446" i="11" s="1"/>
  <c r="CN446" i="11"/>
  <c r="AA446" i="11"/>
  <c r="Y446" i="11"/>
  <c r="CP446" i="11"/>
  <c r="DB446" i="11"/>
  <c r="DD446" i="11" s="1"/>
  <c r="AM446" i="11"/>
  <c r="DP446" i="11"/>
  <c r="AO446" i="11"/>
  <c r="DA446" i="11"/>
  <c r="CZ446" i="11"/>
  <c r="BC446" i="11"/>
  <c r="CA446" i="11"/>
  <c r="DN446" i="11"/>
  <c r="BM446" i="11"/>
  <c r="W447" i="11"/>
  <c r="DC446" i="11"/>
  <c r="BA446" i="11"/>
  <c r="AZ446" i="11"/>
  <c r="B447" i="11"/>
  <c r="A447" i="11" s="1"/>
  <c r="C448" i="11"/>
  <c r="L446" i="11" l="1"/>
  <c r="M413" i="12"/>
  <c r="M446" i="11"/>
  <c r="V413" i="12"/>
  <c r="W413" i="12" s="1"/>
  <c r="EI447" i="11"/>
  <c r="EH447" i="11"/>
  <c r="EA447" i="11"/>
  <c r="EC447" i="11"/>
  <c r="DZ447" i="11"/>
  <c r="A414" i="12"/>
  <c r="V414" i="12" s="1"/>
  <c r="W414" i="12" s="1"/>
  <c r="P447" i="11"/>
  <c r="AY443" i="11"/>
  <c r="DF445" i="11"/>
  <c r="BF445" i="11"/>
  <c r="BL443" i="11"/>
  <c r="DK444" i="11"/>
  <c r="DL444" i="11" s="1"/>
  <c r="AX444" i="11"/>
  <c r="AW444" i="11"/>
  <c r="B415" i="12"/>
  <c r="BK445" i="11"/>
  <c r="DJ445" i="11"/>
  <c r="BY444" i="11"/>
  <c r="BS445" i="11"/>
  <c r="BX445" i="11"/>
  <c r="BW445" i="11"/>
  <c r="AB447" i="11"/>
  <c r="CY444" i="11"/>
  <c r="CW445" i="11"/>
  <c r="CY445" i="11" s="1"/>
  <c r="CS445" i="11"/>
  <c r="CF446" i="11"/>
  <c r="CD446" i="11"/>
  <c r="CX446" i="11"/>
  <c r="CQ446" i="11"/>
  <c r="CL444" i="11"/>
  <c r="CJ445" i="11"/>
  <c r="CL445" i="11" s="1"/>
  <c r="CF445" i="11"/>
  <c r="AQ446" i="11"/>
  <c r="AR446" i="11" s="1"/>
  <c r="AT446" i="11" s="1"/>
  <c r="BL444" i="11"/>
  <c r="DE446" i="11"/>
  <c r="DG446" i="11" s="1"/>
  <c r="BR446" i="11"/>
  <c r="BT446" i="11" s="1"/>
  <c r="CO447" i="11"/>
  <c r="CE447" i="11"/>
  <c r="CG447" i="11" s="1"/>
  <c r="DU447" i="11"/>
  <c r="DV447" i="11"/>
  <c r="DH447" i="11"/>
  <c r="DI447" i="11"/>
  <c r="CR447" i="11"/>
  <c r="CT447" i="11" s="1"/>
  <c r="CU447" i="11"/>
  <c r="CV447" i="11"/>
  <c r="CI447" i="11"/>
  <c r="CH447" i="11"/>
  <c r="BU447" i="11"/>
  <c r="BV447" i="11"/>
  <c r="BH447" i="11"/>
  <c r="BI447" i="11"/>
  <c r="AU447" i="11"/>
  <c r="AV447" i="11"/>
  <c r="AH447" i="11"/>
  <c r="AI447" i="11"/>
  <c r="BE446" i="11"/>
  <c r="BG446" i="11" s="1"/>
  <c r="DM447" i="11"/>
  <c r="DB447" i="11"/>
  <c r="DD447" i="11" s="1"/>
  <c r="BP447" i="11"/>
  <c r="DC447" i="11"/>
  <c r="BN447" i="11"/>
  <c r="BO447" i="11"/>
  <c r="CA447" i="11"/>
  <c r="AZ447" i="11"/>
  <c r="X447" i="11"/>
  <c r="AM447" i="11"/>
  <c r="BA447" i="11"/>
  <c r="CZ447" i="11"/>
  <c r="BZ447" i="11"/>
  <c r="CB447" i="11"/>
  <c r="DA447" i="11"/>
  <c r="DP447" i="11"/>
  <c r="CN447" i="11"/>
  <c r="CM447" i="11"/>
  <c r="AN447" i="11"/>
  <c r="DN447" i="11"/>
  <c r="CP447" i="11"/>
  <c r="AP447" i="11"/>
  <c r="BB447" i="11"/>
  <c r="BD447" i="11" s="1"/>
  <c r="Y447" i="11"/>
  <c r="CC447" i="11"/>
  <c r="AO447" i="11"/>
  <c r="AA447" i="11"/>
  <c r="W448" i="11"/>
  <c r="BM447" i="11"/>
  <c r="BC447" i="11"/>
  <c r="B448" i="11"/>
  <c r="A448" i="11" s="1"/>
  <c r="C449" i="11"/>
  <c r="N414" i="12" l="1"/>
  <c r="M414" i="12"/>
  <c r="M447" i="11"/>
  <c r="L447" i="11"/>
  <c r="EH448" i="11"/>
  <c r="EI448" i="11"/>
  <c r="EC448" i="11"/>
  <c r="EA448" i="11"/>
  <c r="DZ448" i="11"/>
  <c r="A415" i="12"/>
  <c r="N415" i="12" s="1"/>
  <c r="P448" i="11"/>
  <c r="BS446" i="11"/>
  <c r="DF446" i="11"/>
  <c r="BF446" i="11"/>
  <c r="BK446" i="11"/>
  <c r="AX446" i="11"/>
  <c r="BJ445" i="11"/>
  <c r="BL445" i="11" s="1"/>
  <c r="DK445" i="11"/>
  <c r="DL445" i="11" s="1"/>
  <c r="AY444" i="11"/>
  <c r="AS446" i="11"/>
  <c r="AS445" i="11"/>
  <c r="AW445" i="11"/>
  <c r="B416" i="12"/>
  <c r="BX446" i="11"/>
  <c r="DJ446" i="11"/>
  <c r="AX445" i="11"/>
  <c r="CJ446" i="11"/>
  <c r="AB448" i="11"/>
  <c r="BQ447" i="11"/>
  <c r="BR447" i="11" s="1"/>
  <c r="BT447" i="11" s="1"/>
  <c r="BY445" i="11"/>
  <c r="CW446" i="11"/>
  <c r="CY446" i="11" s="1"/>
  <c r="CS446" i="11"/>
  <c r="CX447" i="11"/>
  <c r="CQ447" i="11"/>
  <c r="CK446" i="11"/>
  <c r="CF447" i="11"/>
  <c r="CD447" i="11"/>
  <c r="AQ447" i="11"/>
  <c r="AR447" i="11" s="1"/>
  <c r="AT447" i="11" s="1"/>
  <c r="DE447" i="11"/>
  <c r="DG447" i="11" s="1"/>
  <c r="CE448" i="11"/>
  <c r="CG448" i="11" s="1"/>
  <c r="DU448" i="11"/>
  <c r="DV448" i="11"/>
  <c r="DH448" i="11"/>
  <c r="DI448" i="11"/>
  <c r="CU448" i="11"/>
  <c r="CV448" i="11"/>
  <c r="CR448" i="11"/>
  <c r="CT448" i="11" s="1"/>
  <c r="CH448" i="11"/>
  <c r="BV448" i="11"/>
  <c r="CI448" i="11"/>
  <c r="BU448" i="11"/>
  <c r="BH448" i="11"/>
  <c r="AU448" i="11"/>
  <c r="AV448" i="11"/>
  <c r="BI448" i="11"/>
  <c r="AH448" i="11"/>
  <c r="AI448" i="11"/>
  <c r="BE447" i="11"/>
  <c r="BG447" i="11" s="1"/>
  <c r="BP448" i="11"/>
  <c r="BC448" i="11"/>
  <c r="CO448" i="11"/>
  <c r="BN448" i="11"/>
  <c r="BO448" i="11"/>
  <c r="AP448" i="11"/>
  <c r="BB448" i="11"/>
  <c r="BD448" i="11" s="1"/>
  <c r="CN448" i="11"/>
  <c r="BA448" i="11"/>
  <c r="AM448" i="11"/>
  <c r="CB448" i="11"/>
  <c r="CP448" i="11"/>
  <c r="AA448" i="11"/>
  <c r="DN448" i="11"/>
  <c r="DA448" i="11"/>
  <c r="CZ448" i="11"/>
  <c r="BM448" i="11"/>
  <c r="CA448" i="11"/>
  <c r="AO448" i="11"/>
  <c r="AN448" i="11"/>
  <c r="DC448" i="11"/>
  <c r="DB448" i="11"/>
  <c r="DD448" i="11" s="1"/>
  <c r="CC448" i="11"/>
  <c r="CM448" i="11"/>
  <c r="DP448" i="11"/>
  <c r="BZ448" i="11"/>
  <c r="W449" i="11"/>
  <c r="X448" i="11"/>
  <c r="Y448" i="11"/>
  <c r="AZ448" i="11"/>
  <c r="DM448" i="11"/>
  <c r="B449" i="11"/>
  <c r="A449" i="11" s="1"/>
  <c r="C450" i="11"/>
  <c r="M448" i="11" l="1"/>
  <c r="L448" i="11"/>
  <c r="EC449" i="11"/>
  <c r="EI449" i="11"/>
  <c r="EH449" i="11"/>
  <c r="DZ449" i="11"/>
  <c r="EA449" i="11"/>
  <c r="M415" i="12"/>
  <c r="V415" i="12"/>
  <c r="W415" i="12" s="1"/>
  <c r="A416" i="12"/>
  <c r="N416" i="12" s="1"/>
  <c r="P449" i="11"/>
  <c r="DF447" i="11"/>
  <c r="BF447" i="11"/>
  <c r="BK447" i="11"/>
  <c r="AW446" i="11"/>
  <c r="AY446" i="11" s="1"/>
  <c r="BJ446" i="11"/>
  <c r="BL446" i="11" s="1"/>
  <c r="BW446" i="11"/>
  <c r="BY446" i="11" s="1"/>
  <c r="DK446" i="11"/>
  <c r="DL446" i="11" s="1"/>
  <c r="AY445" i="11"/>
  <c r="AX447" i="11"/>
  <c r="B417" i="12"/>
  <c r="DJ447" i="11"/>
  <c r="BW447" i="11"/>
  <c r="CL446" i="11"/>
  <c r="BS447" i="11"/>
  <c r="AB449" i="11"/>
  <c r="BQ448" i="11"/>
  <c r="BR448" i="11" s="1"/>
  <c r="BT448" i="11" s="1"/>
  <c r="CJ448" i="11"/>
  <c r="CD448" i="11"/>
  <c r="CW447" i="11"/>
  <c r="CY447" i="11" s="1"/>
  <c r="CS447" i="11"/>
  <c r="CS448" i="11"/>
  <c r="CQ448" i="11"/>
  <c r="CK447" i="11"/>
  <c r="CJ447" i="11"/>
  <c r="AQ448" i="11"/>
  <c r="AR448" i="11" s="1"/>
  <c r="AT448" i="11" s="1"/>
  <c r="DE448" i="11"/>
  <c r="DG448" i="11" s="1"/>
  <c r="BE448" i="11"/>
  <c r="BG448" i="11" s="1"/>
  <c r="CE449" i="11"/>
  <c r="CG449" i="11" s="1"/>
  <c r="DV449" i="11"/>
  <c r="DU449" i="11"/>
  <c r="DH449" i="11"/>
  <c r="DI449" i="11"/>
  <c r="CR449" i="11"/>
  <c r="CT449" i="11" s="1"/>
  <c r="CU449" i="11"/>
  <c r="CV449" i="11"/>
  <c r="CH449" i="11"/>
  <c r="CI449" i="11"/>
  <c r="BU449" i="11"/>
  <c r="BV449" i="11"/>
  <c r="BI449" i="11"/>
  <c r="BH449" i="11"/>
  <c r="AV449" i="11"/>
  <c r="AH449" i="11"/>
  <c r="AU449" i="11"/>
  <c r="AI449" i="11"/>
  <c r="AP449" i="11"/>
  <c r="BN449" i="11"/>
  <c r="BP449" i="11"/>
  <c r="BO449" i="11"/>
  <c r="BQ449" i="11" s="1"/>
  <c r="DM449" i="11"/>
  <c r="X449" i="11"/>
  <c r="CP449" i="11"/>
  <c r="AO449" i="11"/>
  <c r="BB449" i="11"/>
  <c r="BD449" i="11" s="1"/>
  <c r="DP449" i="11"/>
  <c r="BM449" i="11"/>
  <c r="AZ449" i="11"/>
  <c r="BZ449" i="11"/>
  <c r="CM449" i="11"/>
  <c r="Y449" i="11"/>
  <c r="CA449" i="11"/>
  <c r="BC449" i="11"/>
  <c r="CB449" i="11"/>
  <c r="CC449" i="11"/>
  <c r="AM449" i="11"/>
  <c r="CZ449" i="11"/>
  <c r="BA449" i="11"/>
  <c r="DB449" i="11"/>
  <c r="DD449" i="11" s="1"/>
  <c r="DA449" i="11"/>
  <c r="CN449" i="11"/>
  <c r="DC449" i="11"/>
  <c r="DN449" i="11"/>
  <c r="W450" i="11"/>
  <c r="AN449" i="11"/>
  <c r="AA449" i="11"/>
  <c r="CO449" i="11"/>
  <c r="B450" i="11"/>
  <c r="A450" i="11" s="1"/>
  <c r="C451" i="11"/>
  <c r="M449" i="11" l="1"/>
  <c r="M416" i="12"/>
  <c r="V416" i="12"/>
  <c r="W416" i="12" s="1"/>
  <c r="L449" i="11"/>
  <c r="EA450" i="11"/>
  <c r="EH450" i="11"/>
  <c r="EC450" i="11"/>
  <c r="DZ450" i="11"/>
  <c r="EI450" i="11"/>
  <c r="A417" i="12"/>
  <c r="N417" i="12" s="1"/>
  <c r="P450" i="11"/>
  <c r="BF448" i="11"/>
  <c r="DF448" i="11"/>
  <c r="DJ448" i="11"/>
  <c r="BS448" i="11"/>
  <c r="BW448" i="11"/>
  <c r="AW447" i="11"/>
  <c r="AY447" i="11" s="1"/>
  <c r="BX447" i="11"/>
  <c r="BY447" i="11" s="1"/>
  <c r="BJ447" i="11"/>
  <c r="BL447" i="11" s="1"/>
  <c r="AX448" i="11"/>
  <c r="B418" i="12"/>
  <c r="AS447" i="11"/>
  <c r="DK447" i="11"/>
  <c r="DL447" i="11" s="1"/>
  <c r="CQ449" i="11"/>
  <c r="CL447" i="11"/>
  <c r="AB450" i="11"/>
  <c r="CJ449" i="11"/>
  <c r="CD449" i="11"/>
  <c r="CX448" i="11"/>
  <c r="CK448" i="11"/>
  <c r="CL448" i="11" s="1"/>
  <c r="CF448" i="11"/>
  <c r="CW448" i="11"/>
  <c r="AQ449" i="11"/>
  <c r="AR449" i="11" s="1"/>
  <c r="AT449" i="11" s="1"/>
  <c r="BJ448" i="11"/>
  <c r="BK448" i="11"/>
  <c r="BR449" i="11"/>
  <c r="BT449" i="11" s="1"/>
  <c r="BE449" i="11"/>
  <c r="BG449" i="11" s="1"/>
  <c r="DE449" i="11"/>
  <c r="DG449" i="11" s="1"/>
  <c r="CS449" i="11"/>
  <c r="CE450" i="11"/>
  <c r="CG450" i="11" s="1"/>
  <c r="DU450" i="11"/>
  <c r="DV450" i="11"/>
  <c r="DH450" i="11"/>
  <c r="DI450" i="11"/>
  <c r="CR450" i="11"/>
  <c r="CT450" i="11" s="1"/>
  <c r="CU450" i="11"/>
  <c r="CV450" i="11"/>
  <c r="CI450" i="11"/>
  <c r="CH450" i="11"/>
  <c r="BV450" i="11"/>
  <c r="BU450" i="11"/>
  <c r="BH450" i="11"/>
  <c r="BI450" i="11"/>
  <c r="AU450" i="11"/>
  <c r="AH450" i="11"/>
  <c r="AV450" i="11"/>
  <c r="AI450" i="11"/>
  <c r="AA450" i="11"/>
  <c r="BP450" i="11"/>
  <c r="BN450" i="11"/>
  <c r="CO450" i="11"/>
  <c r="AO450" i="11"/>
  <c r="BO450" i="11"/>
  <c r="BQ450" i="11" s="1"/>
  <c r="DC450" i="11"/>
  <c r="Y450" i="11"/>
  <c r="BZ450" i="11"/>
  <c r="CN450" i="11"/>
  <c r="AZ450" i="11"/>
  <c r="BC450" i="11"/>
  <c r="DA450" i="11"/>
  <c r="AM450" i="11"/>
  <c r="CA450" i="11"/>
  <c r="DB450" i="11"/>
  <c r="DD450" i="11" s="1"/>
  <c r="DP450" i="11"/>
  <c r="BA450" i="11"/>
  <c r="CC450" i="11"/>
  <c r="CP450" i="11"/>
  <c r="CZ450" i="11"/>
  <c r="CB450" i="11"/>
  <c r="W451" i="11"/>
  <c r="DM450" i="11"/>
  <c r="BM450" i="11"/>
  <c r="BB450" i="11"/>
  <c r="BD450" i="11" s="1"/>
  <c r="AN450" i="11"/>
  <c r="DN450" i="11"/>
  <c r="X450" i="11"/>
  <c r="CM450" i="11"/>
  <c r="AP450" i="11"/>
  <c r="B451" i="11"/>
  <c r="A451" i="11" s="1"/>
  <c r="C452" i="11"/>
  <c r="M450" i="11" l="1"/>
  <c r="L450" i="11"/>
  <c r="EC451" i="11"/>
  <c r="EA451" i="11"/>
  <c r="EI451" i="11"/>
  <c r="EH451" i="11"/>
  <c r="DZ451" i="11"/>
  <c r="V417" i="12"/>
  <c r="W417" i="12" s="1"/>
  <c r="M417" i="12"/>
  <c r="A418" i="12"/>
  <c r="V418" i="12" s="1"/>
  <c r="W418" i="12" s="1"/>
  <c r="P451" i="11"/>
  <c r="DF449" i="11"/>
  <c r="BF449" i="11"/>
  <c r="BS449" i="11"/>
  <c r="AW448" i="11"/>
  <c r="AY448" i="11" s="1"/>
  <c r="DK448" i="11"/>
  <c r="DL448" i="11" s="1"/>
  <c r="BK449" i="11"/>
  <c r="AX449" i="11"/>
  <c r="DJ449" i="11"/>
  <c r="B419" i="12"/>
  <c r="BX449" i="11"/>
  <c r="AS448" i="11"/>
  <c r="BX448" i="11"/>
  <c r="BY448" i="11" s="1"/>
  <c r="CQ450" i="11"/>
  <c r="CY448" i="11"/>
  <c r="BL448" i="11"/>
  <c r="AB451" i="11"/>
  <c r="BR450" i="11"/>
  <c r="BT450" i="11" s="1"/>
  <c r="CF450" i="11"/>
  <c r="CD450" i="11"/>
  <c r="CK449" i="11"/>
  <c r="CL449" i="11" s="1"/>
  <c r="CF449" i="11"/>
  <c r="AQ450" i="11"/>
  <c r="AR450" i="11" s="1"/>
  <c r="AT450" i="11" s="1"/>
  <c r="BJ449" i="11"/>
  <c r="AW449" i="11"/>
  <c r="CX449" i="11"/>
  <c r="CW449" i="11"/>
  <c r="BE450" i="11"/>
  <c r="BG450" i="11" s="1"/>
  <c r="CE451" i="11"/>
  <c r="CG451" i="11" s="1"/>
  <c r="DU451" i="11"/>
  <c r="DV451" i="11"/>
  <c r="DH451" i="11"/>
  <c r="DI451" i="11"/>
  <c r="CV451" i="11"/>
  <c r="CR451" i="11"/>
  <c r="CT451" i="11" s="1"/>
  <c r="CU451" i="11"/>
  <c r="CH451" i="11"/>
  <c r="CI451" i="11"/>
  <c r="BU451" i="11"/>
  <c r="BV451" i="11"/>
  <c r="BI451" i="11"/>
  <c r="AU451" i="11"/>
  <c r="AV451" i="11"/>
  <c r="BH451" i="11"/>
  <c r="AH451" i="11"/>
  <c r="AI451" i="11"/>
  <c r="DE450" i="11"/>
  <c r="DG450" i="11" s="1"/>
  <c r="BN451" i="11"/>
  <c r="BP451" i="11"/>
  <c r="AN451" i="11"/>
  <c r="BO451" i="11"/>
  <c r="BQ451" i="11" s="1"/>
  <c r="BM451" i="11"/>
  <c r="CC451" i="11"/>
  <c r="BC451" i="11"/>
  <c r="BB451" i="11"/>
  <c r="BD451" i="11" s="1"/>
  <c r="BA451" i="11"/>
  <c r="AZ451" i="11"/>
  <c r="DP451" i="11"/>
  <c r="CN451" i="11"/>
  <c r="CO451" i="11"/>
  <c r="AP451" i="11"/>
  <c r="DM451" i="11"/>
  <c r="AA451" i="11"/>
  <c r="DB451" i="11"/>
  <c r="DD451" i="11" s="1"/>
  <c r="BZ451" i="11"/>
  <c r="CM451" i="11"/>
  <c r="CB451" i="11"/>
  <c r="CA451" i="11"/>
  <c r="Y451" i="11"/>
  <c r="X451" i="11"/>
  <c r="CZ451" i="11"/>
  <c r="AM451" i="11"/>
  <c r="DC451" i="11"/>
  <c r="W452" i="11"/>
  <c r="DN451" i="11"/>
  <c r="CP451" i="11"/>
  <c r="DA451" i="11"/>
  <c r="AO451" i="11"/>
  <c r="B452" i="11"/>
  <c r="A452" i="11" s="1"/>
  <c r="C453" i="11"/>
  <c r="M451" i="11" l="1"/>
  <c r="L451" i="11"/>
  <c r="EH452" i="11"/>
  <c r="EC452" i="11"/>
  <c r="EA452" i="11"/>
  <c r="DZ452" i="11"/>
  <c r="EI452" i="11"/>
  <c r="M418" i="12"/>
  <c r="N418" i="12"/>
  <c r="A419" i="12"/>
  <c r="M419" i="12" s="1"/>
  <c r="P452" i="11"/>
  <c r="DF450" i="11"/>
  <c r="BF450" i="11"/>
  <c r="BJ450" i="11"/>
  <c r="DK449" i="11"/>
  <c r="DL449" i="11" s="1"/>
  <c r="BW449" i="11"/>
  <c r="BY449" i="11" s="1"/>
  <c r="DJ450" i="11"/>
  <c r="B420" i="12"/>
  <c r="AS449" i="11"/>
  <c r="BW450" i="11"/>
  <c r="BL449" i="11"/>
  <c r="AB452" i="11"/>
  <c r="BS450" i="11"/>
  <c r="CX450" i="11"/>
  <c r="CS450" i="11"/>
  <c r="CF451" i="11"/>
  <c r="CD451" i="11"/>
  <c r="CS451" i="11"/>
  <c r="CQ451" i="11"/>
  <c r="CK450" i="11"/>
  <c r="CJ450" i="11"/>
  <c r="AQ451" i="11"/>
  <c r="AR451" i="11" s="1"/>
  <c r="AT451" i="11" s="1"/>
  <c r="AY449" i="11"/>
  <c r="CW450" i="11"/>
  <c r="CX451" i="11"/>
  <c r="CW451" i="11"/>
  <c r="CY449" i="11"/>
  <c r="BN452" i="11"/>
  <c r="CE452" i="11"/>
  <c r="CG452" i="11" s="1"/>
  <c r="DU452" i="11"/>
  <c r="DV452" i="11"/>
  <c r="DH452" i="11"/>
  <c r="DI452" i="11"/>
  <c r="CR452" i="11"/>
  <c r="CT452" i="11" s="1"/>
  <c r="CU452" i="11"/>
  <c r="CV452" i="11"/>
  <c r="CI452" i="11"/>
  <c r="CH452" i="11"/>
  <c r="BU452" i="11"/>
  <c r="BV452" i="11"/>
  <c r="BI452" i="11"/>
  <c r="BH452" i="11"/>
  <c r="AU452" i="11"/>
  <c r="AV452" i="11"/>
  <c r="AH452" i="11"/>
  <c r="AI452" i="11"/>
  <c r="BR451" i="11"/>
  <c r="BT451" i="11" s="1"/>
  <c r="DE451" i="11"/>
  <c r="DG451" i="11" s="1"/>
  <c r="BE451" i="11"/>
  <c r="BG451" i="11" s="1"/>
  <c r="DN452" i="11"/>
  <c r="DA452" i="11"/>
  <c r="CC452" i="11"/>
  <c r="CM452" i="11"/>
  <c r="BZ452" i="11"/>
  <c r="CP452" i="11"/>
  <c r="BC452" i="11"/>
  <c r="BP452" i="11"/>
  <c r="DC452" i="11"/>
  <c r="AN452" i="11"/>
  <c r="AM452" i="11"/>
  <c r="CZ452" i="11"/>
  <c r="CB452" i="11"/>
  <c r="AO452" i="11"/>
  <c r="BO452" i="11"/>
  <c r="BQ452" i="11" s="1"/>
  <c r="DB452" i="11"/>
  <c r="DD452" i="11" s="1"/>
  <c r="CN452" i="11"/>
  <c r="AA452" i="11"/>
  <c r="DP452" i="11"/>
  <c r="X452" i="11"/>
  <c r="DM452" i="11"/>
  <c r="CO452" i="11"/>
  <c r="BB452" i="11"/>
  <c r="BD452" i="11" s="1"/>
  <c r="W453" i="11"/>
  <c r="Y452" i="11"/>
  <c r="AP452" i="11"/>
  <c r="AZ452" i="11"/>
  <c r="CA452" i="11"/>
  <c r="BM452" i="11"/>
  <c r="BA452" i="11"/>
  <c r="B453" i="11"/>
  <c r="A453" i="11" s="1"/>
  <c r="C454" i="11"/>
  <c r="M452" i="11" l="1"/>
  <c r="L452" i="11"/>
  <c r="EC453" i="11"/>
  <c r="EA453" i="11"/>
  <c r="DZ453" i="11"/>
  <c r="EI453" i="11"/>
  <c r="EH453" i="11"/>
  <c r="N419" i="12"/>
  <c r="V419" i="12"/>
  <c r="W419" i="12" s="1"/>
  <c r="A420" i="12"/>
  <c r="M420" i="12" s="1"/>
  <c r="P453" i="11"/>
  <c r="BF451" i="11"/>
  <c r="DF451" i="11"/>
  <c r="BS451" i="11"/>
  <c r="AW451" i="11"/>
  <c r="BK450" i="11"/>
  <c r="BL450" i="11" s="1"/>
  <c r="AW450" i="11"/>
  <c r="AS451" i="11"/>
  <c r="AS450" i="11"/>
  <c r="AX450" i="11"/>
  <c r="BX450" i="11"/>
  <c r="BY450" i="11" s="1"/>
  <c r="B421" i="12"/>
  <c r="DK450" i="11"/>
  <c r="DL450" i="11" s="1"/>
  <c r="CL450" i="11"/>
  <c r="CY450" i="11"/>
  <c r="CK451" i="11"/>
  <c r="AB453" i="11"/>
  <c r="CJ451" i="11"/>
  <c r="CF452" i="11"/>
  <c r="CD452" i="11"/>
  <c r="CW452" i="11"/>
  <c r="CQ452" i="11"/>
  <c r="AQ452" i="11"/>
  <c r="AR452" i="11" s="1"/>
  <c r="AT452" i="11" s="1"/>
  <c r="AX451" i="11"/>
  <c r="BE452" i="11"/>
  <c r="BG452" i="11" s="1"/>
  <c r="BR452" i="11"/>
  <c r="BT452" i="11" s="1"/>
  <c r="DE452" i="11"/>
  <c r="DG452" i="11" s="1"/>
  <c r="CE453" i="11"/>
  <c r="CG453" i="11" s="1"/>
  <c r="DV453" i="11"/>
  <c r="DU453" i="11"/>
  <c r="DH453" i="11"/>
  <c r="DI453" i="11"/>
  <c r="CU453" i="11"/>
  <c r="CV453" i="11"/>
  <c r="CR453" i="11"/>
  <c r="CT453" i="11" s="1"/>
  <c r="CH453" i="11"/>
  <c r="CI453" i="11"/>
  <c r="BU453" i="11"/>
  <c r="BV453" i="11"/>
  <c r="BH453" i="11"/>
  <c r="BI453" i="11"/>
  <c r="AU453" i="11"/>
  <c r="AV453" i="11"/>
  <c r="AI453" i="11"/>
  <c r="AH453" i="11"/>
  <c r="CY451" i="11"/>
  <c r="BP453" i="11"/>
  <c r="BN453" i="11"/>
  <c r="DN453" i="11"/>
  <c r="BB453" i="11"/>
  <c r="BD453" i="11" s="1"/>
  <c r="BO453" i="11"/>
  <c r="BQ453" i="11" s="1"/>
  <c r="DM453" i="11"/>
  <c r="AN453" i="11"/>
  <c r="CP453" i="11"/>
  <c r="CN453" i="11"/>
  <c r="BZ453" i="11"/>
  <c r="DB453" i="11"/>
  <c r="DD453" i="11" s="1"/>
  <c r="BC453" i="11"/>
  <c r="BA453" i="11"/>
  <c r="DC453" i="11"/>
  <c r="DP453" i="11"/>
  <c r="AA453" i="11"/>
  <c r="CM453" i="11"/>
  <c r="BM453" i="11"/>
  <c r="CZ453" i="11"/>
  <c r="AO453" i="11"/>
  <c r="AP453" i="11"/>
  <c r="AM453" i="11"/>
  <c r="AZ453" i="11"/>
  <c r="CA453" i="11"/>
  <c r="Y453" i="11"/>
  <c r="CC453" i="11"/>
  <c r="CO453" i="11"/>
  <c r="W454" i="11"/>
  <c r="X453" i="11"/>
  <c r="DA453" i="11"/>
  <c r="CB453" i="11"/>
  <c r="B454" i="11"/>
  <c r="A454" i="11" s="1"/>
  <c r="C455" i="11"/>
  <c r="N420" i="12" l="1"/>
  <c r="L453" i="11"/>
  <c r="V420" i="12"/>
  <c r="W420" i="12" s="1"/>
  <c r="M453" i="11"/>
  <c r="EA454" i="11"/>
  <c r="DZ454" i="11"/>
  <c r="EH454" i="11"/>
  <c r="EI454" i="11"/>
  <c r="EC454" i="11"/>
  <c r="A421" i="12"/>
  <c r="V421" i="12" s="1"/>
  <c r="W421" i="12" s="1"/>
  <c r="P454" i="11"/>
  <c r="DF452" i="11"/>
  <c r="BS452" i="11"/>
  <c r="BF452" i="11"/>
  <c r="BJ452" i="11"/>
  <c r="AY450" i="11"/>
  <c r="B422" i="12"/>
  <c r="BJ451" i="11"/>
  <c r="BK451" i="11"/>
  <c r="AX452" i="11"/>
  <c r="BX451" i="11"/>
  <c r="DJ452" i="11"/>
  <c r="BW451" i="11"/>
  <c r="DK451" i="11"/>
  <c r="DJ451" i="11"/>
  <c r="CL451" i="11"/>
  <c r="AB454" i="11"/>
  <c r="CW453" i="11"/>
  <c r="CQ453" i="11"/>
  <c r="CK452" i="11"/>
  <c r="CJ452" i="11"/>
  <c r="CX452" i="11"/>
  <c r="CY452" i="11" s="1"/>
  <c r="CS452" i="11"/>
  <c r="CD453" i="11"/>
  <c r="AQ453" i="11"/>
  <c r="AR453" i="11" s="1"/>
  <c r="AT453" i="11" s="1"/>
  <c r="AY451" i="11"/>
  <c r="CE454" i="11"/>
  <c r="CG454" i="11" s="1"/>
  <c r="DU454" i="11"/>
  <c r="DV454" i="11"/>
  <c r="DH454" i="11"/>
  <c r="DI454" i="11"/>
  <c r="CR454" i="11"/>
  <c r="CT454" i="11" s="1"/>
  <c r="CU454" i="11"/>
  <c r="CV454" i="11"/>
  <c r="CI454" i="11"/>
  <c r="CH454" i="11"/>
  <c r="BU454" i="11"/>
  <c r="BV454" i="11"/>
  <c r="BI454" i="11"/>
  <c r="BH454" i="11"/>
  <c r="AU454" i="11"/>
  <c r="AV454" i="11"/>
  <c r="AH454" i="11"/>
  <c r="AI454" i="11"/>
  <c r="DE453" i="11"/>
  <c r="DG453" i="11" s="1"/>
  <c r="BR453" i="11"/>
  <c r="BT453" i="11" s="1"/>
  <c r="BE453" i="11"/>
  <c r="BG453" i="11" s="1"/>
  <c r="BP454" i="11"/>
  <c r="BN454" i="11"/>
  <c r="BO454" i="11"/>
  <c r="BQ454" i="11" s="1"/>
  <c r="BM454" i="11"/>
  <c r="BZ454" i="11"/>
  <c r="CB454" i="11"/>
  <c r="CO454" i="11"/>
  <c r="AA454" i="11"/>
  <c r="CN454" i="11"/>
  <c r="CC454" i="11"/>
  <c r="AM454" i="11"/>
  <c r="DP454" i="11"/>
  <c r="X454" i="11"/>
  <c r="AP454" i="11"/>
  <c r="DC454" i="11"/>
  <c r="CP454" i="11"/>
  <c r="DA454" i="11"/>
  <c r="Y454" i="11"/>
  <c r="CA454" i="11"/>
  <c r="DN454" i="11"/>
  <c r="BA454" i="11"/>
  <c r="AN454" i="11"/>
  <c r="W455" i="11"/>
  <c r="AO454" i="11"/>
  <c r="BC454" i="11"/>
  <c r="DM454" i="11"/>
  <c r="CM454" i="11"/>
  <c r="AZ454" i="11"/>
  <c r="CZ454" i="11"/>
  <c r="DB454" i="11"/>
  <c r="DD454" i="11" s="1"/>
  <c r="BB454" i="11"/>
  <c r="BD454" i="11" s="1"/>
  <c r="B455" i="11"/>
  <c r="A455" i="11" s="1"/>
  <c r="C456" i="11"/>
  <c r="M454" i="11" l="1"/>
  <c r="L454" i="11"/>
  <c r="DZ455" i="11"/>
  <c r="EA455" i="11"/>
  <c r="EH455" i="11"/>
  <c r="EI455" i="11"/>
  <c r="EC455" i="11"/>
  <c r="N421" i="12"/>
  <c r="M421" i="12"/>
  <c r="A422" i="12"/>
  <c r="N422" i="12" s="1"/>
  <c r="P455" i="11"/>
  <c r="BK452" i="11"/>
  <c r="BL452" i="11" s="1"/>
  <c r="BF453" i="11"/>
  <c r="BK453" i="11"/>
  <c r="BS453" i="11"/>
  <c r="BW453" i="11"/>
  <c r="DF453" i="11"/>
  <c r="DK453" i="11"/>
  <c r="AW452" i="11"/>
  <c r="AY452" i="11" s="1"/>
  <c r="BL451" i="11"/>
  <c r="BY451" i="11"/>
  <c r="DK452" i="11"/>
  <c r="DL452" i="11" s="1"/>
  <c r="DL451" i="11"/>
  <c r="B423" i="12"/>
  <c r="BW452" i="11"/>
  <c r="BX452" i="11"/>
  <c r="AS453" i="11"/>
  <c r="AS452" i="11"/>
  <c r="AB455" i="11"/>
  <c r="CJ453" i="11"/>
  <c r="CF453" i="11"/>
  <c r="CQ454" i="11"/>
  <c r="CL452" i="11"/>
  <c r="CD454" i="11"/>
  <c r="CK453" i="11"/>
  <c r="CX453" i="11"/>
  <c r="CY453" i="11" s="1"/>
  <c r="CS453" i="11"/>
  <c r="AQ454" i="11"/>
  <c r="AR454" i="11" s="1"/>
  <c r="AT454" i="11" s="1"/>
  <c r="BE454" i="11"/>
  <c r="BG454" i="11" s="1"/>
  <c r="DE454" i="11"/>
  <c r="DG454" i="11" s="1"/>
  <c r="CE455" i="11"/>
  <c r="CG455" i="11" s="1"/>
  <c r="DU455" i="11"/>
  <c r="DV455" i="11"/>
  <c r="DH455" i="11"/>
  <c r="DI455" i="11"/>
  <c r="CU455" i="11"/>
  <c r="CV455" i="11"/>
  <c r="CR455" i="11"/>
  <c r="CT455" i="11" s="1"/>
  <c r="CI455" i="11"/>
  <c r="CH455" i="11"/>
  <c r="BU455" i="11"/>
  <c r="BV455" i="11"/>
  <c r="BI455" i="11"/>
  <c r="BH455" i="11"/>
  <c r="AU455" i="11"/>
  <c r="AV455" i="11"/>
  <c r="AI455" i="11"/>
  <c r="AH455" i="11"/>
  <c r="BR454" i="11"/>
  <c r="BT454" i="11" s="1"/>
  <c r="BP455" i="11"/>
  <c r="BN455" i="11"/>
  <c r="CM455" i="11"/>
  <c r="BO455" i="11"/>
  <c r="BQ455" i="11" s="1"/>
  <c r="DC455" i="11"/>
  <c r="DM455" i="11"/>
  <c r="AN455" i="11"/>
  <c r="AP455" i="11"/>
  <c r="BM455" i="11"/>
  <c r="CN455" i="11"/>
  <c r="X455" i="11"/>
  <c r="DN455" i="11"/>
  <c r="BB455" i="11"/>
  <c r="BD455" i="11" s="1"/>
  <c r="CA455" i="11"/>
  <c r="AA455" i="11"/>
  <c r="BC455" i="11"/>
  <c r="AO455" i="11"/>
  <c r="DB455" i="11"/>
  <c r="DD455" i="11" s="1"/>
  <c r="Y455" i="11"/>
  <c r="DP455" i="11"/>
  <c r="CO455" i="11"/>
  <c r="BA455" i="11"/>
  <c r="CZ455" i="11"/>
  <c r="DA455" i="11"/>
  <c r="AM455" i="11"/>
  <c r="CB455" i="11"/>
  <c r="W456" i="11"/>
  <c r="AZ455" i="11"/>
  <c r="CP455" i="11"/>
  <c r="CC455" i="11"/>
  <c r="BZ455" i="11"/>
  <c r="B456" i="11"/>
  <c r="A456" i="11" s="1"/>
  <c r="C457" i="11"/>
  <c r="M422" i="12" l="1"/>
  <c r="M455" i="11"/>
  <c r="L455" i="11"/>
  <c r="EI456" i="11"/>
  <c r="EA456" i="11"/>
  <c r="DZ456" i="11"/>
  <c r="EH456" i="11"/>
  <c r="EC456" i="11"/>
  <c r="V422" i="12"/>
  <c r="W422" i="12" s="1"/>
  <c r="A423" i="12"/>
  <c r="N423" i="12" s="1"/>
  <c r="P456" i="11"/>
  <c r="BX453" i="11"/>
  <c r="BY453" i="11" s="1"/>
  <c r="BF454" i="11"/>
  <c r="BS454" i="11"/>
  <c r="BX454" i="11"/>
  <c r="DF454" i="11"/>
  <c r="DJ454" i="11"/>
  <c r="BY452" i="11"/>
  <c r="DJ453" i="11"/>
  <c r="DL453" i="11" s="1"/>
  <c r="AW453" i="11"/>
  <c r="AX453" i="11"/>
  <c r="B424" i="12"/>
  <c r="BJ454" i="11"/>
  <c r="BJ453" i="11"/>
  <c r="BL453" i="11" s="1"/>
  <c r="AW454" i="11"/>
  <c r="BR455" i="11"/>
  <c r="BT455" i="11" s="1"/>
  <c r="AB456" i="11"/>
  <c r="CJ454" i="11"/>
  <c r="CF454" i="11"/>
  <c r="CX455" i="11"/>
  <c r="CQ455" i="11"/>
  <c r="CX454" i="11"/>
  <c r="CS454" i="11"/>
  <c r="CK455" i="11"/>
  <c r="CD455" i="11"/>
  <c r="CK454" i="11"/>
  <c r="CL453" i="11"/>
  <c r="CW454" i="11"/>
  <c r="AQ455" i="11"/>
  <c r="AR455" i="11" s="1"/>
  <c r="AT455" i="11" s="1"/>
  <c r="DE455" i="11"/>
  <c r="DG455" i="11" s="1"/>
  <c r="CE456" i="11"/>
  <c r="CG456" i="11" s="1"/>
  <c r="DU456" i="11"/>
  <c r="DV456" i="11"/>
  <c r="DH456" i="11"/>
  <c r="DI456" i="11"/>
  <c r="CV456" i="11"/>
  <c r="CR456" i="11"/>
  <c r="CT456" i="11" s="1"/>
  <c r="CU456" i="11"/>
  <c r="CH456" i="11"/>
  <c r="CI456" i="11"/>
  <c r="BV456" i="11"/>
  <c r="BI456" i="11"/>
  <c r="BU456" i="11"/>
  <c r="BH456" i="11"/>
  <c r="AU456" i="11"/>
  <c r="AH456" i="11"/>
  <c r="AV456" i="11"/>
  <c r="AI456" i="11"/>
  <c r="BE455" i="11"/>
  <c r="BG455" i="11" s="1"/>
  <c r="BZ456" i="11"/>
  <c r="CP456" i="11"/>
  <c r="DP456" i="11"/>
  <c r="BN456" i="11"/>
  <c r="BP456" i="11"/>
  <c r="CC456" i="11"/>
  <c r="BA456" i="11"/>
  <c r="CO456" i="11"/>
  <c r="BO456" i="11"/>
  <c r="CA456" i="11"/>
  <c r="AZ456" i="11"/>
  <c r="AA456" i="11"/>
  <c r="Y456" i="11"/>
  <c r="BB456" i="11"/>
  <c r="BD456" i="11" s="1"/>
  <c r="CB456" i="11"/>
  <c r="DB456" i="11"/>
  <c r="DD456" i="11" s="1"/>
  <c r="DN456" i="11"/>
  <c r="W457" i="11"/>
  <c r="AO456" i="11"/>
  <c r="AP456" i="11"/>
  <c r="AM456" i="11"/>
  <c r="DA456" i="11"/>
  <c r="BC456" i="11"/>
  <c r="AN456" i="11"/>
  <c r="X456" i="11"/>
  <c r="CZ456" i="11"/>
  <c r="DC456" i="11"/>
  <c r="CN456" i="11"/>
  <c r="DM456" i="11"/>
  <c r="BM456" i="11"/>
  <c r="CM456" i="11"/>
  <c r="B457" i="11"/>
  <c r="A457" i="11" s="1"/>
  <c r="C458" i="11"/>
  <c r="L456" i="11" l="1"/>
  <c r="M456" i="11"/>
  <c r="EA457" i="11"/>
  <c r="DZ457" i="11"/>
  <c r="EI457" i="11"/>
  <c r="EH457" i="11"/>
  <c r="EC457" i="11"/>
  <c r="M423" i="12"/>
  <c r="V423" i="12"/>
  <c r="W423" i="12" s="1"/>
  <c r="A424" i="12"/>
  <c r="M424" i="12" s="1"/>
  <c r="CZ457" i="11"/>
  <c r="P457" i="11"/>
  <c r="BS455" i="11"/>
  <c r="BF455" i="11"/>
  <c r="DF455" i="11"/>
  <c r="DJ455" i="11"/>
  <c r="DK454" i="11"/>
  <c r="DL454" i="11" s="1"/>
  <c r="BK454" i="11"/>
  <c r="BL454" i="11" s="1"/>
  <c r="AY453" i="11"/>
  <c r="BW454" i="11"/>
  <c r="BY454" i="11" s="1"/>
  <c r="B425" i="12"/>
  <c r="AS454" i="11"/>
  <c r="BX455" i="11"/>
  <c r="AX454" i="11"/>
  <c r="AY454" i="11" s="1"/>
  <c r="CL454" i="11"/>
  <c r="CY454" i="11"/>
  <c r="BQ456" i="11"/>
  <c r="BR456" i="11" s="1"/>
  <c r="BT456" i="11" s="1"/>
  <c r="AB457" i="11"/>
  <c r="CF456" i="11"/>
  <c r="CD456" i="11"/>
  <c r="CJ455" i="11"/>
  <c r="CL455" i="11" s="1"/>
  <c r="CF455" i="11"/>
  <c r="CS456" i="11"/>
  <c r="CQ456" i="11"/>
  <c r="CW455" i="11"/>
  <c r="CY455" i="11" s="1"/>
  <c r="CS455" i="11"/>
  <c r="AQ456" i="11"/>
  <c r="AR456" i="11" s="1"/>
  <c r="AT456" i="11" s="1"/>
  <c r="CE457" i="11"/>
  <c r="CG457" i="11" s="1"/>
  <c r="DV457" i="11"/>
  <c r="DU457" i="11"/>
  <c r="DH457" i="11"/>
  <c r="DI457" i="11"/>
  <c r="CR457" i="11"/>
  <c r="CT457" i="11" s="1"/>
  <c r="CU457" i="11"/>
  <c r="CV457" i="11"/>
  <c r="CH457" i="11"/>
  <c r="CI457" i="11"/>
  <c r="BU457" i="11"/>
  <c r="BV457" i="11"/>
  <c r="BH457" i="11"/>
  <c r="BI457" i="11"/>
  <c r="AU457" i="11"/>
  <c r="AV457" i="11"/>
  <c r="AH457" i="11"/>
  <c r="AI457" i="11"/>
  <c r="BE456" i="11"/>
  <c r="BG456" i="11" s="1"/>
  <c r="DE456" i="11"/>
  <c r="DG456" i="11" s="1"/>
  <c r="BP457" i="11"/>
  <c r="BN457" i="11"/>
  <c r="AN457" i="11"/>
  <c r="DP457" i="11"/>
  <c r="CA457" i="11"/>
  <c r="AA457" i="11"/>
  <c r="DM457" i="11"/>
  <c r="AM457" i="11"/>
  <c r="BO457" i="11"/>
  <c r="BQ457" i="11" s="1"/>
  <c r="BB457" i="11"/>
  <c r="BD457" i="11" s="1"/>
  <c r="CN457" i="11"/>
  <c r="BC457" i="11"/>
  <c r="Y457" i="11"/>
  <c r="DC457" i="11"/>
  <c r="DA457" i="11"/>
  <c r="X457" i="11"/>
  <c r="AP457" i="11"/>
  <c r="AZ457" i="11"/>
  <c r="DB457" i="11"/>
  <c r="DD457" i="11" s="1"/>
  <c r="DN457" i="11"/>
  <c r="CM457" i="11"/>
  <c r="AO457" i="11"/>
  <c r="BM457" i="11"/>
  <c r="CB457" i="11"/>
  <c r="W458" i="11"/>
  <c r="BA457" i="11"/>
  <c r="CP457" i="11"/>
  <c r="CO457" i="11"/>
  <c r="CC457" i="11"/>
  <c r="BZ457" i="11"/>
  <c r="B458" i="11"/>
  <c r="A458" i="11" s="1"/>
  <c r="C459" i="11"/>
  <c r="L457" i="11" l="1"/>
  <c r="V424" i="12"/>
  <c r="W424" i="12" s="1"/>
  <c r="M457" i="11"/>
  <c r="EI458" i="11"/>
  <c r="EC458" i="11"/>
  <c r="EA458" i="11"/>
  <c r="DZ458" i="11"/>
  <c r="EH458" i="11"/>
  <c r="N424" i="12"/>
  <c r="A425" i="12"/>
  <c r="M425" i="12" s="1"/>
  <c r="P458" i="11"/>
  <c r="DF456" i="11"/>
  <c r="BF456" i="11"/>
  <c r="AX456" i="11"/>
  <c r="BK456" i="11"/>
  <c r="BW455" i="11"/>
  <c r="BY455" i="11" s="1"/>
  <c r="BJ455" i="11"/>
  <c r="BK455" i="11"/>
  <c r="DK456" i="11"/>
  <c r="DK455" i="11"/>
  <c r="DL455" i="11" s="1"/>
  <c r="B426" i="12"/>
  <c r="AS455" i="11"/>
  <c r="AX455" i="11"/>
  <c r="AW455" i="11"/>
  <c r="BS456" i="11"/>
  <c r="AB458" i="11"/>
  <c r="CW457" i="11"/>
  <c r="CQ457" i="11"/>
  <c r="CJ456" i="11"/>
  <c r="CW456" i="11"/>
  <c r="CK456" i="11"/>
  <c r="CX456" i="11"/>
  <c r="CF457" i="11"/>
  <c r="CD457" i="11"/>
  <c r="AQ457" i="11"/>
  <c r="AR457" i="11" s="1"/>
  <c r="AT457" i="11" s="1"/>
  <c r="BJ456" i="11"/>
  <c r="AW456" i="11"/>
  <c r="CJ457" i="11"/>
  <c r="CK457" i="11"/>
  <c r="BE457" i="11"/>
  <c r="BG457" i="11" s="1"/>
  <c r="BR457" i="11"/>
  <c r="BT457" i="11" s="1"/>
  <c r="DE457" i="11"/>
  <c r="DG457" i="11" s="1"/>
  <c r="DC458" i="11"/>
  <c r="CE458" i="11"/>
  <c r="CG458" i="11" s="1"/>
  <c r="DU458" i="11"/>
  <c r="DV458" i="11"/>
  <c r="DH458" i="11"/>
  <c r="DI458" i="11"/>
  <c r="CR458" i="11"/>
  <c r="CT458" i="11" s="1"/>
  <c r="CV458" i="11"/>
  <c r="CU458" i="11"/>
  <c r="CH458" i="11"/>
  <c r="CI458" i="11"/>
  <c r="BV458" i="11"/>
  <c r="BU458" i="11"/>
  <c r="BI458" i="11"/>
  <c r="BH458" i="11"/>
  <c r="AU458" i="11"/>
  <c r="AV458" i="11"/>
  <c r="AH458" i="11"/>
  <c r="AI458" i="11"/>
  <c r="BZ458" i="11"/>
  <c r="AP458" i="11"/>
  <c r="BN458" i="11"/>
  <c r="BP458" i="11"/>
  <c r="BO458" i="11"/>
  <c r="CB458" i="11"/>
  <c r="CM458" i="11"/>
  <c r="CA458" i="11"/>
  <c r="DN458" i="11"/>
  <c r="AM458" i="11"/>
  <c r="BB458" i="11"/>
  <c r="BD458" i="11" s="1"/>
  <c r="DB458" i="11"/>
  <c r="DD458" i="11" s="1"/>
  <c r="CO458" i="11"/>
  <c r="W459" i="11"/>
  <c r="CZ458" i="11"/>
  <c r="BC458" i="11"/>
  <c r="BM458" i="11"/>
  <c r="AO458" i="11"/>
  <c r="X458" i="11"/>
  <c r="CC458" i="11"/>
  <c r="CN458" i="11"/>
  <c r="AN458" i="11"/>
  <c r="AZ458" i="11"/>
  <c r="Y458" i="11"/>
  <c r="CP458" i="11"/>
  <c r="DM458" i="11"/>
  <c r="AA458" i="11"/>
  <c r="DA458" i="11"/>
  <c r="BA458" i="11"/>
  <c r="DP458" i="11"/>
  <c r="B459" i="11"/>
  <c r="A459" i="11" s="1"/>
  <c r="C460" i="11"/>
  <c r="N425" i="12" l="1"/>
  <c r="V425" i="12"/>
  <c r="W425" i="12" s="1"/>
  <c r="M458" i="11"/>
  <c r="L458" i="11"/>
  <c r="DZ459" i="11"/>
  <c r="EH459" i="11"/>
  <c r="EC459" i="11"/>
  <c r="EA459" i="11"/>
  <c r="EI459" i="11"/>
  <c r="A426" i="12"/>
  <c r="N426" i="12" s="1"/>
  <c r="P459" i="11"/>
  <c r="DF457" i="11"/>
  <c r="DK457" i="11"/>
  <c r="BS457" i="11"/>
  <c r="AY455" i="11"/>
  <c r="BF457" i="11"/>
  <c r="AS456" i="11"/>
  <c r="BL455" i="11"/>
  <c r="DJ456" i="11"/>
  <c r="DL456" i="11" s="1"/>
  <c r="BW457" i="11"/>
  <c r="BX456" i="11"/>
  <c r="AW457" i="11"/>
  <c r="BW456" i="11"/>
  <c r="B427" i="12"/>
  <c r="AY456" i="11"/>
  <c r="CY456" i="11"/>
  <c r="BL456" i="11"/>
  <c r="CQ458" i="11"/>
  <c r="CL456" i="11"/>
  <c r="BQ458" i="11"/>
  <c r="BR458" i="11" s="1"/>
  <c r="BT458" i="11" s="1"/>
  <c r="AB459" i="11"/>
  <c r="CF458" i="11"/>
  <c r="CD458" i="11"/>
  <c r="CX457" i="11"/>
  <c r="CY457" i="11" s="1"/>
  <c r="CS457" i="11"/>
  <c r="AQ458" i="11"/>
  <c r="AR458" i="11" s="1"/>
  <c r="AT458" i="11" s="1"/>
  <c r="CL457" i="11"/>
  <c r="BE458" i="11"/>
  <c r="BG458" i="11" s="1"/>
  <c r="CS458" i="11"/>
  <c r="CE459" i="11"/>
  <c r="CG459" i="11" s="1"/>
  <c r="DU459" i="11"/>
  <c r="DV459" i="11"/>
  <c r="DH459" i="11"/>
  <c r="DI459" i="11"/>
  <c r="CV459" i="11"/>
  <c r="CR459" i="11"/>
  <c r="CT459" i="11" s="1"/>
  <c r="CU459" i="11"/>
  <c r="CH459" i="11"/>
  <c r="CI459" i="11"/>
  <c r="BU459" i="11"/>
  <c r="BV459" i="11"/>
  <c r="BH459" i="11"/>
  <c r="BI459" i="11"/>
  <c r="AU459" i="11"/>
  <c r="AV459" i="11"/>
  <c r="AH459" i="11"/>
  <c r="AI459" i="11"/>
  <c r="BA459" i="11"/>
  <c r="DE458" i="11"/>
  <c r="DG458" i="11" s="1"/>
  <c r="DP459" i="11"/>
  <c r="Y459" i="11"/>
  <c r="DA459" i="11"/>
  <c r="AM459" i="11"/>
  <c r="CP459" i="11"/>
  <c r="BZ459" i="11"/>
  <c r="CN459" i="11"/>
  <c r="CC459" i="11"/>
  <c r="AA459" i="11"/>
  <c r="BP459" i="11"/>
  <c r="BN459" i="11"/>
  <c r="BB459" i="11"/>
  <c r="BD459" i="11" s="1"/>
  <c r="AO459" i="11"/>
  <c r="BO459" i="11"/>
  <c r="BQ459" i="11" s="1"/>
  <c r="DC459" i="11"/>
  <c r="DM459" i="11"/>
  <c r="X459" i="11"/>
  <c r="DN459" i="11"/>
  <c r="CA459" i="11"/>
  <c r="AZ459" i="11"/>
  <c r="BM459" i="11"/>
  <c r="CM459" i="11"/>
  <c r="W460" i="11"/>
  <c r="AN459" i="11"/>
  <c r="BC459" i="11"/>
  <c r="CO459" i="11"/>
  <c r="CB459" i="11"/>
  <c r="CZ459" i="11"/>
  <c r="DB459" i="11"/>
  <c r="DD459" i="11" s="1"/>
  <c r="AP459" i="11"/>
  <c r="B460" i="11"/>
  <c r="A460" i="11" s="1"/>
  <c r="C461" i="11"/>
  <c r="M426" i="12" l="1"/>
  <c r="M459" i="11"/>
  <c r="L459" i="11"/>
  <c r="EI460" i="11"/>
  <c r="EC460" i="11"/>
  <c r="EA460" i="11"/>
  <c r="DZ460" i="11"/>
  <c r="EH460" i="11"/>
  <c r="V426" i="12"/>
  <c r="W426" i="12" s="1"/>
  <c r="A427" i="12"/>
  <c r="V427" i="12" s="1"/>
  <c r="W427" i="12" s="1"/>
  <c r="P460" i="11"/>
  <c r="BF458" i="11"/>
  <c r="BJ458" i="11"/>
  <c r="DF458" i="11"/>
  <c r="DK458" i="11"/>
  <c r="BX457" i="11"/>
  <c r="BY457" i="11" s="1"/>
  <c r="BY456" i="11"/>
  <c r="AX457" i="11"/>
  <c r="AY457" i="11" s="1"/>
  <c r="BJ457" i="11"/>
  <c r="BK457" i="11"/>
  <c r="B428" i="12"/>
  <c r="AS458" i="11"/>
  <c r="DJ457" i="11"/>
  <c r="DL457" i="11" s="1"/>
  <c r="AS457" i="11"/>
  <c r="CQ459" i="11"/>
  <c r="BS458" i="11"/>
  <c r="CK458" i="11"/>
  <c r="CJ458" i="11"/>
  <c r="AB460" i="11"/>
  <c r="CF459" i="11"/>
  <c r="CD459" i="11"/>
  <c r="AQ459" i="11"/>
  <c r="AR459" i="11" s="1"/>
  <c r="AT459" i="11" s="1"/>
  <c r="BE459" i="11"/>
  <c r="BG459" i="11" s="1"/>
  <c r="DE459" i="11"/>
  <c r="DG459" i="11" s="1"/>
  <c r="CS459" i="11"/>
  <c r="CX458" i="11"/>
  <c r="CW458" i="11"/>
  <c r="CE460" i="11"/>
  <c r="CG460" i="11" s="1"/>
  <c r="DU460" i="11"/>
  <c r="DV460" i="11"/>
  <c r="DH460" i="11"/>
  <c r="DI460" i="11"/>
  <c r="CR460" i="11"/>
  <c r="CT460" i="11" s="1"/>
  <c r="CV460" i="11"/>
  <c r="CU460" i="11"/>
  <c r="CI460" i="11"/>
  <c r="BV460" i="11"/>
  <c r="CH460" i="11"/>
  <c r="BU460" i="11"/>
  <c r="BH460" i="11"/>
  <c r="BI460" i="11"/>
  <c r="AU460" i="11"/>
  <c r="AH460" i="11"/>
  <c r="AV460" i="11"/>
  <c r="AI460" i="11"/>
  <c r="BR459" i="11"/>
  <c r="BT459" i="11" s="1"/>
  <c r="CZ460" i="11"/>
  <c r="BN460" i="11"/>
  <c r="BP460" i="11"/>
  <c r="AM460" i="11"/>
  <c r="DB460" i="11"/>
  <c r="DD460" i="11" s="1"/>
  <c r="BO460" i="11"/>
  <c r="BQ460" i="11" s="1"/>
  <c r="Y460" i="11"/>
  <c r="BM460" i="11"/>
  <c r="AN460" i="11"/>
  <c r="AZ460" i="11"/>
  <c r="AP460" i="11"/>
  <c r="CA460" i="11"/>
  <c r="BA460" i="11"/>
  <c r="BZ460" i="11"/>
  <c r="X460" i="11"/>
  <c r="DA460" i="11"/>
  <c r="DM460" i="11"/>
  <c r="CB460" i="11"/>
  <c r="CO460" i="11"/>
  <c r="DP460" i="11"/>
  <c r="BC460" i="11"/>
  <c r="CM460" i="11"/>
  <c r="AO460" i="11"/>
  <c r="BB460" i="11"/>
  <c r="BD460" i="11" s="1"/>
  <c r="CN460" i="11"/>
  <c r="DN460" i="11"/>
  <c r="W461" i="11"/>
  <c r="DC460" i="11"/>
  <c r="CC460" i="11"/>
  <c r="CP460" i="11"/>
  <c r="AA460" i="11"/>
  <c r="B461" i="11"/>
  <c r="A461" i="11" s="1"/>
  <c r="C462" i="11"/>
  <c r="A462" i="11" s="1"/>
  <c r="M460" i="11" l="1"/>
  <c r="L460" i="11"/>
  <c r="EC461" i="11"/>
  <c r="EH461" i="11"/>
  <c r="EA461" i="11"/>
  <c r="DZ461" i="11"/>
  <c r="EI461" i="11"/>
  <c r="M427" i="12"/>
  <c r="N427" i="12"/>
  <c r="A428" i="12"/>
  <c r="V428" i="12" s="1"/>
  <c r="W428" i="12" s="1"/>
  <c r="P461" i="11"/>
  <c r="DF459" i="11"/>
  <c r="BF459" i="11"/>
  <c r="BS459" i="11"/>
  <c r="BW459" i="11"/>
  <c r="BK458" i="11"/>
  <c r="BL458" i="11" s="1"/>
  <c r="DJ458" i="11"/>
  <c r="DL458" i="11" s="1"/>
  <c r="BL457" i="11"/>
  <c r="AX458" i="11"/>
  <c r="AW458" i="11"/>
  <c r="B429" i="12"/>
  <c r="BX458" i="11"/>
  <c r="AX459" i="11"/>
  <c r="BW458" i="11"/>
  <c r="DJ459" i="11"/>
  <c r="CJ459" i="11"/>
  <c r="CK459" i="11"/>
  <c r="CY458" i="11"/>
  <c r="BR460" i="11"/>
  <c r="BT460" i="11" s="1"/>
  <c r="AB461" i="11"/>
  <c r="CL458" i="11"/>
  <c r="CF460" i="11"/>
  <c r="CD460" i="11"/>
  <c r="CS460" i="11"/>
  <c r="CQ460" i="11"/>
  <c r="AQ460" i="11"/>
  <c r="AR460" i="11" s="1"/>
  <c r="AT460" i="11" s="1"/>
  <c r="BE460" i="11"/>
  <c r="BG460" i="11" s="1"/>
  <c r="DE460" i="11"/>
  <c r="DG460" i="11" s="1"/>
  <c r="CX459" i="11"/>
  <c r="CW459" i="11"/>
  <c r="CE461" i="11"/>
  <c r="CG461" i="11" s="1"/>
  <c r="DV461" i="11"/>
  <c r="DU461" i="11"/>
  <c r="DH461" i="11"/>
  <c r="DI461" i="11"/>
  <c r="CU461" i="11"/>
  <c r="CV461" i="11"/>
  <c r="CR461" i="11"/>
  <c r="CT461" i="11" s="1"/>
  <c r="CH461" i="11"/>
  <c r="CI461" i="11"/>
  <c r="BU461" i="11"/>
  <c r="BV461" i="11"/>
  <c r="BI461" i="11"/>
  <c r="BH461" i="11"/>
  <c r="AU461" i="11"/>
  <c r="AV461" i="11"/>
  <c r="AH461" i="11"/>
  <c r="AI461" i="11"/>
  <c r="BX459" i="11"/>
  <c r="BP461" i="11"/>
  <c r="DC461" i="11"/>
  <c r="BN461" i="11"/>
  <c r="BO461" i="11"/>
  <c r="Y461" i="11"/>
  <c r="CN461" i="11"/>
  <c r="CP461" i="11"/>
  <c r="AA461" i="11"/>
  <c r="AP461" i="11"/>
  <c r="X461" i="11"/>
  <c r="AZ461" i="11"/>
  <c r="DA461" i="11"/>
  <c r="CZ461" i="11"/>
  <c r="AO461" i="11"/>
  <c r="DN461" i="11"/>
  <c r="BC461" i="11"/>
  <c r="CB461" i="11"/>
  <c r="CA461" i="11"/>
  <c r="CC461" i="11"/>
  <c r="AN461" i="11"/>
  <c r="BA461" i="11"/>
  <c r="BZ461" i="11"/>
  <c r="BB461" i="11"/>
  <c r="BD461" i="11" s="1"/>
  <c r="DP461" i="11"/>
  <c r="W462" i="11"/>
  <c r="DB461" i="11"/>
  <c r="DD461" i="11" s="1"/>
  <c r="BM461" i="11"/>
  <c r="CO461" i="11"/>
  <c r="CM461" i="11"/>
  <c r="DM461" i="11"/>
  <c r="AM461" i="11"/>
  <c r="B462" i="11"/>
  <c r="C463" i="11"/>
  <c r="N428" i="12" l="1"/>
  <c r="M461" i="11"/>
  <c r="L461" i="11"/>
  <c r="EC462" i="11"/>
  <c r="EH462" i="11"/>
  <c r="EA462" i="11"/>
  <c r="DZ462" i="11"/>
  <c r="EI462" i="11"/>
  <c r="M428" i="12"/>
  <c r="A429" i="12"/>
  <c r="N429" i="12" s="1"/>
  <c r="P462" i="11"/>
  <c r="AY458" i="11"/>
  <c r="BF460" i="11"/>
  <c r="BS460" i="11"/>
  <c r="DF460" i="11"/>
  <c r="DK460" i="11"/>
  <c r="AW459" i="11"/>
  <c r="AY459" i="11" s="1"/>
  <c r="BK460" i="11"/>
  <c r="CL459" i="11"/>
  <c r="DK459" i="11"/>
  <c r="DL459" i="11" s="1"/>
  <c r="BY458" i="11"/>
  <c r="BJ459" i="11"/>
  <c r="AW460" i="11"/>
  <c r="B430" i="12"/>
  <c r="BK459" i="11"/>
  <c r="AS459" i="11"/>
  <c r="CW460" i="11"/>
  <c r="AB462" i="11"/>
  <c r="CY459" i="11"/>
  <c r="CX460" i="11"/>
  <c r="BQ461" i="11"/>
  <c r="BR461" i="11" s="1"/>
  <c r="BT461" i="11" s="1"/>
  <c r="CS461" i="11"/>
  <c r="CQ461" i="11"/>
  <c r="CJ460" i="11"/>
  <c r="CK460" i="11"/>
  <c r="CF461" i="11"/>
  <c r="CD461" i="11"/>
  <c r="AQ461" i="11"/>
  <c r="AR461" i="11" s="1"/>
  <c r="AT461" i="11" s="1"/>
  <c r="DE461" i="11"/>
  <c r="DG461" i="11" s="1"/>
  <c r="BY459" i="11"/>
  <c r="BE461" i="11"/>
  <c r="BG461" i="11" s="1"/>
  <c r="CE462" i="11"/>
  <c r="CG462" i="11" s="1"/>
  <c r="DU462" i="11"/>
  <c r="DV462" i="11"/>
  <c r="DH462" i="11"/>
  <c r="DI462" i="11"/>
  <c r="CR462" i="11"/>
  <c r="CT462" i="11" s="1"/>
  <c r="CU462" i="11"/>
  <c r="CV462" i="11"/>
  <c r="CH462" i="11"/>
  <c r="CI462" i="11"/>
  <c r="BU462" i="11"/>
  <c r="BV462" i="11"/>
  <c r="BH462" i="11"/>
  <c r="AU462" i="11"/>
  <c r="BI462" i="11"/>
  <c r="AV462" i="11"/>
  <c r="AH462" i="11"/>
  <c r="AI462" i="11"/>
  <c r="CA462" i="11"/>
  <c r="BP462" i="11"/>
  <c r="BN462" i="11"/>
  <c r="CB462" i="11"/>
  <c r="BO462" i="11"/>
  <c r="BQ462" i="11" s="1"/>
  <c r="CN462" i="11"/>
  <c r="AN462" i="11"/>
  <c r="CO462" i="11"/>
  <c r="BM462" i="11"/>
  <c r="BB462" i="11"/>
  <c r="BD462" i="11" s="1"/>
  <c r="CP462" i="11"/>
  <c r="DN462" i="11"/>
  <c r="CC462" i="11"/>
  <c r="DB462" i="11"/>
  <c r="DD462" i="11" s="1"/>
  <c r="DP462" i="11"/>
  <c r="BA462" i="11"/>
  <c r="AM462" i="11"/>
  <c r="CZ462" i="11"/>
  <c r="DM462" i="11"/>
  <c r="DA462" i="11"/>
  <c r="BC462" i="11"/>
  <c r="CM462" i="11"/>
  <c r="AO462" i="11"/>
  <c r="Y462" i="11"/>
  <c r="W463" i="11"/>
  <c r="AZ462" i="11"/>
  <c r="X462" i="11"/>
  <c r="AA462" i="11"/>
  <c r="AP462" i="11"/>
  <c r="BZ462" i="11"/>
  <c r="DC462" i="11"/>
  <c r="B463" i="11"/>
  <c r="A463" i="11" s="1"/>
  <c r="C464" i="11"/>
  <c r="M462" i="11" l="1"/>
  <c r="L462" i="11"/>
  <c r="M429" i="12"/>
  <c r="V429" i="12"/>
  <c r="W429" i="12" s="1"/>
  <c r="DZ463" i="11"/>
  <c r="EH463" i="11"/>
  <c r="EC463" i="11"/>
  <c r="EA463" i="11"/>
  <c r="EI463" i="11"/>
  <c r="A430" i="12"/>
  <c r="V430" i="12" s="1"/>
  <c r="P463" i="11"/>
  <c r="DF461" i="11"/>
  <c r="BF461" i="11"/>
  <c r="BK461" i="11"/>
  <c r="BJ460" i="11"/>
  <c r="BL460" i="11" s="1"/>
  <c r="DJ460" i="11"/>
  <c r="DL460" i="11" s="1"/>
  <c r="BX461" i="11"/>
  <c r="BL459" i="11"/>
  <c r="AX460" i="11"/>
  <c r="AY460" i="11" s="1"/>
  <c r="B431" i="12"/>
  <c r="AX461" i="11"/>
  <c r="AS460" i="11"/>
  <c r="BX460" i="11"/>
  <c r="DK461" i="11"/>
  <c r="BW460" i="11"/>
  <c r="CK461" i="11"/>
  <c r="CY460" i="11"/>
  <c r="CX461" i="11"/>
  <c r="CW461" i="11"/>
  <c r="CL460" i="11"/>
  <c r="BS461" i="11"/>
  <c r="AB463" i="11"/>
  <c r="CJ461" i="11"/>
  <c r="CX462" i="11"/>
  <c r="CQ462" i="11"/>
  <c r="CF462" i="11"/>
  <c r="CD462" i="11"/>
  <c r="AQ462" i="11"/>
  <c r="AR462" i="11" s="1"/>
  <c r="AT462" i="11" s="1"/>
  <c r="BJ461" i="11"/>
  <c r="CE463" i="11"/>
  <c r="CG463" i="11" s="1"/>
  <c r="DU463" i="11"/>
  <c r="DV463" i="11"/>
  <c r="DH463" i="11"/>
  <c r="DI463" i="11"/>
  <c r="CU463" i="11"/>
  <c r="CV463" i="11"/>
  <c r="CR463" i="11"/>
  <c r="CT463" i="11" s="1"/>
  <c r="CI463" i="11"/>
  <c r="CH463" i="11"/>
  <c r="BU463" i="11"/>
  <c r="BV463" i="11"/>
  <c r="BH463" i="11"/>
  <c r="BI463" i="11"/>
  <c r="AV463" i="11"/>
  <c r="AH463" i="11"/>
  <c r="AU463" i="11"/>
  <c r="AI463" i="11"/>
  <c r="DE462" i="11"/>
  <c r="DG462" i="11" s="1"/>
  <c r="BE462" i="11"/>
  <c r="BG462" i="11" s="1"/>
  <c r="BR462" i="11"/>
  <c r="BT462" i="11" s="1"/>
  <c r="DC463" i="11"/>
  <c r="BM463" i="11"/>
  <c r="BP463" i="11"/>
  <c r="BN463" i="11"/>
  <c r="DA463" i="11"/>
  <c r="BO463" i="11"/>
  <c r="BQ463" i="11" s="1"/>
  <c r="X463" i="11"/>
  <c r="Y463" i="11"/>
  <c r="BZ463" i="11"/>
  <c r="AN463" i="11"/>
  <c r="DM463" i="11"/>
  <c r="BC463" i="11"/>
  <c r="CZ463" i="11"/>
  <c r="AP463" i="11"/>
  <c r="AA463" i="11"/>
  <c r="DN463" i="11"/>
  <c r="AM463" i="11"/>
  <c r="BB463" i="11"/>
  <c r="BD463" i="11" s="1"/>
  <c r="DP463" i="11"/>
  <c r="DB463" i="11"/>
  <c r="DD463" i="11" s="1"/>
  <c r="CP463" i="11"/>
  <c r="CN463" i="11"/>
  <c r="AZ463" i="11"/>
  <c r="CM463" i="11"/>
  <c r="AO463" i="11"/>
  <c r="CC463" i="11"/>
  <c r="W464" i="11"/>
  <c r="CO463" i="11"/>
  <c r="CB463" i="11"/>
  <c r="BA463" i="11"/>
  <c r="CA463" i="11"/>
  <c r="B464" i="11"/>
  <c r="A464" i="11" s="1"/>
  <c r="C465" i="11"/>
  <c r="L463" i="11" l="1"/>
  <c r="W430" i="12"/>
  <c r="M463" i="11"/>
  <c r="EI464" i="11"/>
  <c r="EA464" i="11"/>
  <c r="EH464" i="11"/>
  <c r="EC464" i="11"/>
  <c r="DZ464" i="11"/>
  <c r="M430" i="12"/>
  <c r="N430" i="12"/>
  <c r="A431" i="12"/>
  <c r="N431" i="12" s="1"/>
  <c r="P464" i="11"/>
  <c r="BF462" i="11"/>
  <c r="DF462" i="11"/>
  <c r="DK462" i="11"/>
  <c r="BS462" i="11"/>
  <c r="BW461" i="11"/>
  <c r="BY461" i="11" s="1"/>
  <c r="AW461" i="11"/>
  <c r="AY461" i="11" s="1"/>
  <c r="DJ461" i="11"/>
  <c r="DL461" i="11" s="1"/>
  <c r="AS461" i="11"/>
  <c r="BY460" i="11"/>
  <c r="AS462" i="11"/>
  <c r="B432" i="12"/>
  <c r="BJ462" i="11"/>
  <c r="CL461" i="11"/>
  <c r="CK462" i="11"/>
  <c r="CJ462" i="11"/>
  <c r="CY461" i="11"/>
  <c r="AB464" i="11"/>
  <c r="BR463" i="11"/>
  <c r="BT463" i="11" s="1"/>
  <c r="CF463" i="11"/>
  <c r="CD463" i="11"/>
  <c r="CX463" i="11"/>
  <c r="CQ463" i="11"/>
  <c r="CW462" i="11"/>
  <c r="CY462" i="11" s="1"/>
  <c r="CS462" i="11"/>
  <c r="AQ463" i="11"/>
  <c r="AR463" i="11" s="1"/>
  <c r="AT463" i="11" s="1"/>
  <c r="BL461" i="11"/>
  <c r="BE463" i="11"/>
  <c r="BG463" i="11" s="1"/>
  <c r="CE464" i="11"/>
  <c r="CG464" i="11" s="1"/>
  <c r="DU464" i="11"/>
  <c r="DV464" i="11"/>
  <c r="DH464" i="11"/>
  <c r="DI464" i="11"/>
  <c r="CR464" i="11"/>
  <c r="CT464" i="11" s="1"/>
  <c r="CU464" i="11"/>
  <c r="CV464" i="11"/>
  <c r="CH464" i="11"/>
  <c r="CI464" i="11"/>
  <c r="BU464" i="11"/>
  <c r="BV464" i="11"/>
  <c r="BH464" i="11"/>
  <c r="BI464" i="11"/>
  <c r="AU464" i="11"/>
  <c r="AV464" i="11"/>
  <c r="AH464" i="11"/>
  <c r="AI464" i="11"/>
  <c r="DE463" i="11"/>
  <c r="DG463" i="11" s="1"/>
  <c r="AZ464" i="11"/>
  <c r="BM464" i="11"/>
  <c r="BN464" i="11"/>
  <c r="BP464" i="11"/>
  <c r="CB464" i="11"/>
  <c r="BO464" i="11"/>
  <c r="BQ464" i="11" s="1"/>
  <c r="BA464" i="11"/>
  <c r="CA464" i="11"/>
  <c r="BZ464" i="11"/>
  <c r="DM464" i="11"/>
  <c r="AA464" i="11"/>
  <c r="AN464" i="11"/>
  <c r="CO464" i="11"/>
  <c r="DA464" i="11"/>
  <c r="X464" i="11"/>
  <c r="BB464" i="11"/>
  <c r="BD464" i="11" s="1"/>
  <c r="AP464" i="11"/>
  <c r="CN464" i="11"/>
  <c r="CC464" i="11"/>
  <c r="DC464" i="11"/>
  <c r="AM464" i="11"/>
  <c r="DP464" i="11"/>
  <c r="AO464" i="11"/>
  <c r="CP464" i="11"/>
  <c r="BC464" i="11"/>
  <c r="Y464" i="11"/>
  <c r="W465" i="11"/>
  <c r="CM464" i="11"/>
  <c r="DB464" i="11"/>
  <c r="DD464" i="11" s="1"/>
  <c r="DN464" i="11"/>
  <c r="CZ464" i="11"/>
  <c r="B465" i="11"/>
  <c r="A465" i="11" s="1"/>
  <c r="C466" i="11"/>
  <c r="L464" i="11" l="1"/>
  <c r="M464" i="11"/>
  <c r="DZ465" i="11"/>
  <c r="EI465" i="11"/>
  <c r="EH465" i="11"/>
  <c r="EC465" i="11"/>
  <c r="EA465" i="11"/>
  <c r="M431" i="12"/>
  <c r="V431" i="12"/>
  <c r="W431" i="12" s="1"/>
  <c r="A432" i="12"/>
  <c r="V432" i="12" s="1"/>
  <c r="W432" i="12" s="1"/>
  <c r="P465" i="11"/>
  <c r="BF463" i="11"/>
  <c r="BS463" i="11"/>
  <c r="BW463" i="11"/>
  <c r="DF463" i="11"/>
  <c r="DJ463" i="11"/>
  <c r="DJ462" i="11"/>
  <c r="DL462" i="11" s="1"/>
  <c r="BX462" i="11"/>
  <c r="AW462" i="11"/>
  <c r="BW462" i="11"/>
  <c r="AX462" i="11"/>
  <c r="B433" i="12"/>
  <c r="BK462" i="11"/>
  <c r="BL462" i="11" s="1"/>
  <c r="AW463" i="11"/>
  <c r="CL462" i="11"/>
  <c r="BJ463" i="11"/>
  <c r="CJ463" i="11"/>
  <c r="BR464" i="11"/>
  <c r="BT464" i="11" s="1"/>
  <c r="AB465" i="11"/>
  <c r="CK463" i="11"/>
  <c r="CF464" i="11"/>
  <c r="CD464" i="11"/>
  <c r="CX464" i="11"/>
  <c r="CQ464" i="11"/>
  <c r="CW463" i="11"/>
  <c r="CY463" i="11" s="1"/>
  <c r="CS463" i="11"/>
  <c r="AQ464" i="11"/>
  <c r="AR464" i="11" s="1"/>
  <c r="AT464" i="11" s="1"/>
  <c r="CE465" i="11"/>
  <c r="CG465" i="11" s="1"/>
  <c r="DV465" i="11"/>
  <c r="DU465" i="11"/>
  <c r="DH465" i="11"/>
  <c r="DI465" i="11"/>
  <c r="CR465" i="11"/>
  <c r="CT465" i="11" s="1"/>
  <c r="CU465" i="11"/>
  <c r="CV465" i="11"/>
  <c r="CH465" i="11"/>
  <c r="CI465" i="11"/>
  <c r="BU465" i="11"/>
  <c r="BV465" i="11"/>
  <c r="BI465" i="11"/>
  <c r="AU465" i="11"/>
  <c r="BH465" i="11"/>
  <c r="AV465" i="11"/>
  <c r="AH465" i="11"/>
  <c r="AI465" i="11"/>
  <c r="BE464" i="11"/>
  <c r="BG464" i="11" s="1"/>
  <c r="DE464" i="11"/>
  <c r="DG464" i="11" s="1"/>
  <c r="BP465" i="11"/>
  <c r="CZ465" i="11"/>
  <c r="BN465" i="11"/>
  <c r="BO465" i="11"/>
  <c r="BQ465" i="11" s="1"/>
  <c r="AM465" i="11"/>
  <c r="DN465" i="11"/>
  <c r="DP465" i="11"/>
  <c r="BB465" i="11"/>
  <c r="BD465" i="11" s="1"/>
  <c r="X465" i="11"/>
  <c r="DC465" i="11"/>
  <c r="DA465" i="11"/>
  <c r="CC465" i="11"/>
  <c r="CO465" i="11"/>
  <c r="CA465" i="11"/>
  <c r="DB465" i="11"/>
  <c r="DD465" i="11" s="1"/>
  <c r="Y465" i="11"/>
  <c r="BC465" i="11"/>
  <c r="CN465" i="11"/>
  <c r="BZ465" i="11"/>
  <c r="AA465" i="11"/>
  <c r="AN465" i="11"/>
  <c r="DM465" i="11"/>
  <c r="W466" i="11"/>
  <c r="AO465" i="11"/>
  <c r="BA465" i="11"/>
  <c r="AZ465" i="11"/>
  <c r="CM465" i="11"/>
  <c r="CP465" i="11"/>
  <c r="CB465" i="11"/>
  <c r="AP465" i="11"/>
  <c r="BM465" i="11"/>
  <c r="B466" i="11"/>
  <c r="A466" i="11" s="1"/>
  <c r="C467" i="11"/>
  <c r="N432" i="12" l="1"/>
  <c r="M465" i="11"/>
  <c r="L465" i="11"/>
  <c r="EI466" i="11"/>
  <c r="EH466" i="11"/>
  <c r="EC466" i="11"/>
  <c r="DZ466" i="11"/>
  <c r="EA466" i="11"/>
  <c r="M432" i="12"/>
  <c r="A433" i="12"/>
  <c r="M433" i="12" s="1"/>
  <c r="P466" i="11"/>
  <c r="BX463" i="11"/>
  <c r="BY463" i="11" s="1"/>
  <c r="BS464" i="11"/>
  <c r="BX464" i="11"/>
  <c r="DF464" i="11"/>
  <c r="DJ464" i="11"/>
  <c r="BF464" i="11"/>
  <c r="BJ464" i="11"/>
  <c r="BY462" i="11"/>
  <c r="BK463" i="11"/>
  <c r="BL463" i="11" s="1"/>
  <c r="AY462" i="11"/>
  <c r="AX463" i="11"/>
  <c r="AY463" i="11" s="1"/>
  <c r="DK463" i="11"/>
  <c r="DL463" i="11" s="1"/>
  <c r="B434" i="12"/>
  <c r="AS464" i="11"/>
  <c r="AS463" i="11"/>
  <c r="CD465" i="11"/>
  <c r="CJ464" i="11"/>
  <c r="CQ465" i="11"/>
  <c r="CK464" i="11"/>
  <c r="CL463" i="11"/>
  <c r="AB466" i="11"/>
  <c r="CW464" i="11"/>
  <c r="CY464" i="11" s="1"/>
  <c r="CS464" i="11"/>
  <c r="AQ465" i="11"/>
  <c r="AR465" i="11" s="1"/>
  <c r="AT465" i="11" s="1"/>
  <c r="CF465" i="11"/>
  <c r="CS465" i="11"/>
  <c r="DE465" i="11"/>
  <c r="DG465" i="11" s="1"/>
  <c r="CE466" i="11"/>
  <c r="CG466" i="11" s="1"/>
  <c r="DU466" i="11"/>
  <c r="DV466" i="11"/>
  <c r="DH466" i="11"/>
  <c r="DI466" i="11"/>
  <c r="CR466" i="11"/>
  <c r="CT466" i="11" s="1"/>
  <c r="CV466" i="11"/>
  <c r="CU466" i="11"/>
  <c r="CH466" i="11"/>
  <c r="CI466" i="11"/>
  <c r="BU466" i="11"/>
  <c r="BV466" i="11"/>
  <c r="BH466" i="11"/>
  <c r="BI466" i="11"/>
  <c r="AV466" i="11"/>
  <c r="AU466" i="11"/>
  <c r="AH466" i="11"/>
  <c r="AI466" i="11"/>
  <c r="BR465" i="11"/>
  <c r="BT465" i="11" s="1"/>
  <c r="BE465" i="11"/>
  <c r="BG465" i="11" s="1"/>
  <c r="BP466" i="11"/>
  <c r="DN466" i="11"/>
  <c r="BN466" i="11"/>
  <c r="BO466" i="11"/>
  <c r="BQ466" i="11" s="1"/>
  <c r="CZ466" i="11"/>
  <c r="BM466" i="11"/>
  <c r="DB466" i="11"/>
  <c r="DD466" i="11" s="1"/>
  <c r="AO466" i="11"/>
  <c r="AM466" i="11"/>
  <c r="AP466" i="11"/>
  <c r="DM466" i="11"/>
  <c r="CA466" i="11"/>
  <c r="AN466" i="11"/>
  <c r="CB466" i="11"/>
  <c r="CO466" i="11"/>
  <c r="CP466" i="11"/>
  <c r="AA466" i="11"/>
  <c r="CM466" i="11"/>
  <c r="BZ466" i="11"/>
  <c r="AZ466" i="11"/>
  <c r="BA466" i="11"/>
  <c r="Y466" i="11"/>
  <c r="W467" i="11"/>
  <c r="CC466" i="11"/>
  <c r="X466" i="11"/>
  <c r="CN466" i="11"/>
  <c r="DA466" i="11"/>
  <c r="BB466" i="11"/>
  <c r="BD466" i="11" s="1"/>
  <c r="BC466" i="11"/>
  <c r="DC466" i="11"/>
  <c r="DP466" i="11"/>
  <c r="B467" i="11"/>
  <c r="A467" i="11" s="1"/>
  <c r="C468" i="11"/>
  <c r="L466" i="11" l="1"/>
  <c r="N433" i="12"/>
  <c r="M466" i="11"/>
  <c r="V433" i="12"/>
  <c r="W433" i="12" s="1"/>
  <c r="DZ467" i="11"/>
  <c r="EI467" i="11"/>
  <c r="EH467" i="11"/>
  <c r="EC467" i="11"/>
  <c r="EA467" i="11"/>
  <c r="A434" i="12"/>
  <c r="N434" i="12" s="1"/>
  <c r="P467" i="11"/>
  <c r="DF465" i="11"/>
  <c r="BF465" i="11"/>
  <c r="BS465" i="11"/>
  <c r="BX465" i="11"/>
  <c r="BK464" i="11"/>
  <c r="BL464" i="11" s="1"/>
  <c r="AW464" i="11"/>
  <c r="DK464" i="11"/>
  <c r="DL464" i="11" s="1"/>
  <c r="AX464" i="11"/>
  <c r="BJ465" i="11"/>
  <c r="B435" i="12"/>
  <c r="AS465" i="11"/>
  <c r="BW464" i="11"/>
  <c r="BY464" i="11" s="1"/>
  <c r="DK465" i="11"/>
  <c r="BZ467" i="11"/>
  <c r="CL464" i="11"/>
  <c r="DP467" i="11"/>
  <c r="AB467" i="11"/>
  <c r="CQ466" i="11"/>
  <c r="CD466" i="11"/>
  <c r="AQ466" i="11"/>
  <c r="AR466" i="11" s="1"/>
  <c r="AT466" i="11" s="1"/>
  <c r="BR466" i="11"/>
  <c r="BT466" i="11" s="1"/>
  <c r="BE466" i="11"/>
  <c r="BG466" i="11" s="1"/>
  <c r="CX465" i="11"/>
  <c r="CW465" i="11"/>
  <c r="CE467" i="11"/>
  <c r="CG467" i="11" s="1"/>
  <c r="DU467" i="11"/>
  <c r="DV467" i="11"/>
  <c r="DH467" i="11"/>
  <c r="DI467" i="11"/>
  <c r="CR467" i="11"/>
  <c r="CT467" i="11" s="1"/>
  <c r="CU467" i="11"/>
  <c r="CV467" i="11"/>
  <c r="CH467" i="11"/>
  <c r="CI467" i="11"/>
  <c r="BU467" i="11"/>
  <c r="BV467" i="11"/>
  <c r="BH467" i="11"/>
  <c r="BI467" i="11"/>
  <c r="AU467" i="11"/>
  <c r="AH467" i="11"/>
  <c r="AV467" i="11"/>
  <c r="AI467" i="11"/>
  <c r="DE466" i="11"/>
  <c r="DG466" i="11" s="1"/>
  <c r="CS466" i="11"/>
  <c r="CK465" i="11"/>
  <c r="CJ465" i="11"/>
  <c r="DC467" i="11"/>
  <c r="CA467" i="11"/>
  <c r="CN467" i="11"/>
  <c r="BC467" i="11"/>
  <c r="AA467" i="11"/>
  <c r="BN467" i="11"/>
  <c r="X467" i="11"/>
  <c r="AZ467" i="11"/>
  <c r="AP467" i="11"/>
  <c r="CO467" i="11"/>
  <c r="BP467" i="11"/>
  <c r="BB467" i="11"/>
  <c r="BD467" i="11" s="1"/>
  <c r="BO467" i="11"/>
  <c r="BQ467" i="11" s="1"/>
  <c r="BM467" i="11"/>
  <c r="CB467" i="11"/>
  <c r="DB467" i="11"/>
  <c r="DD467" i="11" s="1"/>
  <c r="AM467" i="11"/>
  <c r="DA467" i="11"/>
  <c r="CM467" i="11"/>
  <c r="AO467" i="11"/>
  <c r="CZ467" i="11"/>
  <c r="CC467" i="11"/>
  <c r="W468" i="11"/>
  <c r="Y467" i="11"/>
  <c r="BA467" i="11"/>
  <c r="DM467" i="11"/>
  <c r="CP467" i="11"/>
  <c r="AN467" i="11"/>
  <c r="DN467" i="11"/>
  <c r="B468" i="11"/>
  <c r="A468" i="11" s="1"/>
  <c r="C469" i="11"/>
  <c r="L467" i="11" l="1"/>
  <c r="M467" i="11"/>
  <c r="EI468" i="11"/>
  <c r="EC468" i="11"/>
  <c r="EH468" i="11"/>
  <c r="EA468" i="11"/>
  <c r="DZ468" i="11"/>
  <c r="M434" i="12"/>
  <c r="V434" i="12"/>
  <c r="W434" i="12" s="1"/>
  <c r="A435" i="12"/>
  <c r="N435" i="12" s="1"/>
  <c r="P468" i="11"/>
  <c r="DF466" i="11"/>
  <c r="BF466" i="11"/>
  <c r="BJ466" i="11"/>
  <c r="DJ465" i="11"/>
  <c r="DL465" i="11" s="1"/>
  <c r="BW465" i="11"/>
  <c r="BY465" i="11" s="1"/>
  <c r="AY464" i="11"/>
  <c r="BK465" i="11"/>
  <c r="BL465" i="11" s="1"/>
  <c r="AS466" i="11"/>
  <c r="AX465" i="11"/>
  <c r="B436" i="12"/>
  <c r="AW465" i="11"/>
  <c r="BX466" i="11"/>
  <c r="DJ466" i="11"/>
  <c r="CQ467" i="11"/>
  <c r="DA468" i="11"/>
  <c r="BA468" i="11"/>
  <c r="AB468" i="11"/>
  <c r="CJ466" i="11"/>
  <c r="CF466" i="11"/>
  <c r="BS466" i="11"/>
  <c r="CD467" i="11"/>
  <c r="CK466" i="11"/>
  <c r="AQ467" i="11"/>
  <c r="AR467" i="11" s="1"/>
  <c r="AT467" i="11" s="1"/>
  <c r="CY465" i="11"/>
  <c r="CL465" i="11"/>
  <c r="DE467" i="11"/>
  <c r="DG467" i="11" s="1"/>
  <c r="CE468" i="11"/>
  <c r="CG468" i="11" s="1"/>
  <c r="DU468" i="11"/>
  <c r="DV468" i="11"/>
  <c r="DH468" i="11"/>
  <c r="DI468" i="11"/>
  <c r="CR468" i="11"/>
  <c r="CT468" i="11" s="1"/>
  <c r="CV468" i="11"/>
  <c r="CU468" i="11"/>
  <c r="CH468" i="11"/>
  <c r="CI468" i="11"/>
  <c r="BV468" i="11"/>
  <c r="BU468" i="11"/>
  <c r="BI468" i="11"/>
  <c r="BH468" i="11"/>
  <c r="AU468" i="11"/>
  <c r="AV468" i="11"/>
  <c r="AH468" i="11"/>
  <c r="AI468" i="11"/>
  <c r="BE467" i="11"/>
  <c r="BG467" i="11" s="1"/>
  <c r="DM468" i="11"/>
  <c r="BR467" i="11"/>
  <c r="BT467" i="11" s="1"/>
  <c r="CX466" i="11"/>
  <c r="CW466" i="11"/>
  <c r="AZ468" i="11"/>
  <c r="AA468" i="11"/>
  <c r="Y468" i="11"/>
  <c r="DP468" i="11"/>
  <c r="BP468" i="11"/>
  <c r="AN468" i="11"/>
  <c r="CP468" i="11"/>
  <c r="BN468" i="11"/>
  <c r="BO468" i="11"/>
  <c r="X468" i="11"/>
  <c r="CZ468" i="11"/>
  <c r="AP468" i="11"/>
  <c r="AM468" i="11"/>
  <c r="CO468" i="11"/>
  <c r="DC468" i="11"/>
  <c r="CB468" i="11"/>
  <c r="CC468" i="11"/>
  <c r="DB468" i="11"/>
  <c r="DD468" i="11" s="1"/>
  <c r="DN468" i="11"/>
  <c r="BB468" i="11"/>
  <c r="BD468" i="11" s="1"/>
  <c r="BZ468" i="11"/>
  <c r="CM468" i="11"/>
  <c r="AO468" i="11"/>
  <c r="CA468" i="11"/>
  <c r="CN468" i="11"/>
  <c r="W469" i="11"/>
  <c r="BC468" i="11"/>
  <c r="BM468" i="11"/>
  <c r="B469" i="11"/>
  <c r="A469" i="11" s="1"/>
  <c r="C470" i="11"/>
  <c r="M468" i="11" l="1"/>
  <c r="L468" i="11"/>
  <c r="EI469" i="11"/>
  <c r="DZ469" i="11"/>
  <c r="EH469" i="11"/>
  <c r="EC469" i="11"/>
  <c r="EA469" i="11"/>
  <c r="M435" i="12"/>
  <c r="V435" i="12"/>
  <c r="W435" i="12" s="1"/>
  <c r="A436" i="12"/>
  <c r="N436" i="12" s="1"/>
  <c r="P469" i="11"/>
  <c r="DF467" i="11"/>
  <c r="BS467" i="11"/>
  <c r="BF467" i="11"/>
  <c r="AX466" i="11"/>
  <c r="AW466" i="11"/>
  <c r="BK466" i="11"/>
  <c r="BL466" i="11" s="1"/>
  <c r="AY465" i="11"/>
  <c r="BW466" i="11"/>
  <c r="BY466" i="11" s="1"/>
  <c r="DK466" i="11"/>
  <c r="DL466" i="11" s="1"/>
  <c r="B437" i="12"/>
  <c r="DK467" i="11"/>
  <c r="AS467" i="11"/>
  <c r="BK467" i="11"/>
  <c r="CQ468" i="11"/>
  <c r="AB469" i="11"/>
  <c r="BQ468" i="11"/>
  <c r="BR468" i="11" s="1"/>
  <c r="BT468" i="11" s="1"/>
  <c r="CL466" i="11"/>
  <c r="CW467" i="11"/>
  <c r="CS467" i="11"/>
  <c r="CK467" i="11"/>
  <c r="CF467" i="11"/>
  <c r="CF468" i="11"/>
  <c r="CD468" i="11"/>
  <c r="CX467" i="11"/>
  <c r="CJ467" i="11"/>
  <c r="AQ468" i="11"/>
  <c r="AR468" i="11" s="1"/>
  <c r="AT468" i="11" s="1"/>
  <c r="CS468" i="11"/>
  <c r="DE468" i="11"/>
  <c r="DG468" i="11" s="1"/>
  <c r="BE468" i="11"/>
  <c r="BG468" i="11" s="1"/>
  <c r="CE469" i="11"/>
  <c r="CG469" i="11" s="1"/>
  <c r="DV469" i="11"/>
  <c r="DU469" i="11"/>
  <c r="DH469" i="11"/>
  <c r="DI469" i="11"/>
  <c r="CU469" i="11"/>
  <c r="CV469" i="11"/>
  <c r="CR469" i="11"/>
  <c r="CT469" i="11" s="1"/>
  <c r="CI469" i="11"/>
  <c r="CH469" i="11"/>
  <c r="BU469" i="11"/>
  <c r="BV469" i="11"/>
  <c r="BH469" i="11"/>
  <c r="BI469" i="11"/>
  <c r="AV469" i="11"/>
  <c r="AU469" i="11"/>
  <c r="AI469" i="11"/>
  <c r="AH469" i="11"/>
  <c r="CY466" i="11"/>
  <c r="BN469" i="11"/>
  <c r="AM469" i="11"/>
  <c r="BP469" i="11"/>
  <c r="BO469" i="11"/>
  <c r="BM469" i="11"/>
  <c r="AP469" i="11"/>
  <c r="AZ469" i="11"/>
  <c r="BZ469" i="11"/>
  <c r="BA469" i="11"/>
  <c r="DB469" i="11"/>
  <c r="DD469" i="11" s="1"/>
  <c r="BB469" i="11"/>
  <c r="BD469" i="11" s="1"/>
  <c r="AO469" i="11"/>
  <c r="CZ469" i="11"/>
  <c r="DN469" i="11"/>
  <c r="AA469" i="11"/>
  <c r="AN469" i="11"/>
  <c r="DA469" i="11"/>
  <c r="DC469" i="11"/>
  <c r="DM469" i="11"/>
  <c r="X469" i="11"/>
  <c r="CC469" i="11"/>
  <c r="CP469" i="11"/>
  <c r="CN469" i="11"/>
  <c r="CA469" i="11"/>
  <c r="Y469" i="11"/>
  <c r="CB469" i="11"/>
  <c r="BC469" i="11"/>
  <c r="W470" i="11"/>
  <c r="CM469" i="11"/>
  <c r="CO469" i="11"/>
  <c r="DP469" i="11"/>
  <c r="B470" i="11"/>
  <c r="A470" i="11" s="1"/>
  <c r="C471" i="11"/>
  <c r="M436" i="12" l="1"/>
  <c r="V436" i="12"/>
  <c r="W436" i="12" s="1"/>
  <c r="L469" i="11"/>
  <c r="M469" i="11"/>
  <c r="EH470" i="11"/>
  <c r="EA470" i="11"/>
  <c r="EC470" i="11"/>
  <c r="DZ470" i="11"/>
  <c r="EI470" i="11"/>
  <c r="A437" i="12"/>
  <c r="V437" i="12" s="1"/>
  <c r="W437" i="12" s="1"/>
  <c r="P470" i="11"/>
  <c r="BF468" i="11"/>
  <c r="BK468" i="11"/>
  <c r="DF468" i="11"/>
  <c r="DK468" i="11"/>
  <c r="AX467" i="11"/>
  <c r="BW468" i="11"/>
  <c r="DJ467" i="11"/>
  <c r="DL467" i="11" s="1"/>
  <c r="AY466" i="11"/>
  <c r="AW467" i="11"/>
  <c r="BW467" i="11"/>
  <c r="BJ467" i="11"/>
  <c r="BL467" i="11" s="1"/>
  <c r="AX468" i="11"/>
  <c r="B438" i="12"/>
  <c r="BX467" i="11"/>
  <c r="CY467" i="11"/>
  <c r="BS468" i="11"/>
  <c r="CJ468" i="11"/>
  <c r="CK468" i="11"/>
  <c r="BQ469" i="11"/>
  <c r="BR469" i="11" s="1"/>
  <c r="BT469" i="11" s="1"/>
  <c r="AB470" i="11"/>
  <c r="CJ469" i="11"/>
  <c r="CD469" i="11"/>
  <c r="CS469" i="11"/>
  <c r="CQ469" i="11"/>
  <c r="CL467" i="11"/>
  <c r="AQ469" i="11"/>
  <c r="AR469" i="11" s="1"/>
  <c r="AT469" i="11" s="1"/>
  <c r="BE469" i="11"/>
  <c r="BG469" i="11" s="1"/>
  <c r="CX468" i="11"/>
  <c r="CW468" i="11"/>
  <c r="BN470" i="11"/>
  <c r="CE470" i="11"/>
  <c r="CG470" i="11" s="1"/>
  <c r="DU470" i="11"/>
  <c r="DV470" i="11"/>
  <c r="DH470" i="11"/>
  <c r="DI470" i="11"/>
  <c r="CR470" i="11"/>
  <c r="CT470" i="11" s="1"/>
  <c r="CU470" i="11"/>
  <c r="CH470" i="11"/>
  <c r="CV470" i="11"/>
  <c r="CI470" i="11"/>
  <c r="BU470" i="11"/>
  <c r="BV470" i="11"/>
  <c r="BI470" i="11"/>
  <c r="BH470" i="11"/>
  <c r="AU470" i="11"/>
  <c r="AV470" i="11"/>
  <c r="AH470" i="11"/>
  <c r="AI470" i="11"/>
  <c r="DE469" i="11"/>
  <c r="DG469" i="11" s="1"/>
  <c r="BP470" i="11"/>
  <c r="DP470" i="11"/>
  <c r="CO470" i="11"/>
  <c r="BO470" i="11"/>
  <c r="BQ470" i="11" s="1"/>
  <c r="CP470" i="11"/>
  <c r="CB470" i="11"/>
  <c r="CC470" i="11"/>
  <c r="CM470" i="11"/>
  <c r="BC470" i="11"/>
  <c r="X470" i="11"/>
  <c r="BB470" i="11"/>
  <c r="BD470" i="11" s="1"/>
  <c r="BM470" i="11"/>
  <c r="DC470" i="11"/>
  <c r="DB470" i="11"/>
  <c r="DD470" i="11" s="1"/>
  <c r="DA470" i="11"/>
  <c r="BA470" i="11"/>
  <c r="AN470" i="11"/>
  <c r="BZ470" i="11"/>
  <c r="DM470" i="11"/>
  <c r="AA470" i="11"/>
  <c r="AZ470" i="11"/>
  <c r="Y470" i="11"/>
  <c r="DN470" i="11"/>
  <c r="W471" i="11"/>
  <c r="CA470" i="11"/>
  <c r="CZ470" i="11"/>
  <c r="AP470" i="11"/>
  <c r="CN470" i="11"/>
  <c r="AO470" i="11"/>
  <c r="AM470" i="11"/>
  <c r="B471" i="11"/>
  <c r="A471" i="11" s="1"/>
  <c r="C472" i="11"/>
  <c r="M470" i="11" l="1"/>
  <c r="L470" i="11"/>
  <c r="N437" i="12"/>
  <c r="M437" i="12"/>
  <c r="DZ471" i="11"/>
  <c r="EA471" i="11"/>
  <c r="EH471" i="11"/>
  <c r="EC471" i="11"/>
  <c r="EI471" i="11"/>
  <c r="A438" i="12"/>
  <c r="V438" i="12" s="1"/>
  <c r="W438" i="12" s="1"/>
  <c r="P471" i="11"/>
  <c r="AY467" i="11"/>
  <c r="BF469" i="11"/>
  <c r="BJ469" i="11"/>
  <c r="DF469" i="11"/>
  <c r="BX468" i="11"/>
  <c r="BY468" i="11" s="1"/>
  <c r="BY467" i="11"/>
  <c r="AW468" i="11"/>
  <c r="AY468" i="11" s="1"/>
  <c r="BJ468" i="11"/>
  <c r="BL468" i="11" s="1"/>
  <c r="B439" i="12"/>
  <c r="DJ469" i="11"/>
  <c r="AS469" i="11"/>
  <c r="AS468" i="11"/>
  <c r="DJ468" i="11"/>
  <c r="DL468" i="11" s="1"/>
  <c r="CL468" i="11"/>
  <c r="CW469" i="11"/>
  <c r="BS469" i="11"/>
  <c r="BW469" i="11"/>
  <c r="BX469" i="11"/>
  <c r="AB471" i="11"/>
  <c r="CX469" i="11"/>
  <c r="CF470" i="11"/>
  <c r="CD470" i="11"/>
  <c r="CW470" i="11"/>
  <c r="CQ470" i="11"/>
  <c r="CK469" i="11"/>
  <c r="CL469" i="11" s="1"/>
  <c r="CF469" i="11"/>
  <c r="AQ470" i="11"/>
  <c r="AR470" i="11" s="1"/>
  <c r="AT470" i="11" s="1"/>
  <c r="CY468" i="11"/>
  <c r="CJ470" i="11"/>
  <c r="CK470" i="11"/>
  <c r="BP471" i="11"/>
  <c r="CE471" i="11"/>
  <c r="CG471" i="11" s="1"/>
  <c r="DU471" i="11"/>
  <c r="DV471" i="11"/>
  <c r="DH471" i="11"/>
  <c r="DI471" i="11"/>
  <c r="CU471" i="11"/>
  <c r="CV471" i="11"/>
  <c r="CR471" i="11"/>
  <c r="CT471" i="11" s="1"/>
  <c r="CH471" i="11"/>
  <c r="CI471" i="11"/>
  <c r="BU471" i="11"/>
  <c r="BV471" i="11"/>
  <c r="BH471" i="11"/>
  <c r="BI471" i="11"/>
  <c r="AU471" i="11"/>
  <c r="AV471" i="11"/>
  <c r="AH471" i="11"/>
  <c r="AI471" i="11"/>
  <c r="DE470" i="11"/>
  <c r="DG470" i="11" s="1"/>
  <c r="BR470" i="11"/>
  <c r="BT470" i="11" s="1"/>
  <c r="BE470" i="11"/>
  <c r="BG470" i="11" s="1"/>
  <c r="BN471" i="11"/>
  <c r="CP471" i="11"/>
  <c r="BO471" i="11"/>
  <c r="BQ471" i="11" s="1"/>
  <c r="CM471" i="11"/>
  <c r="DN471" i="11"/>
  <c r="AN471" i="11"/>
  <c r="CA471" i="11"/>
  <c r="Y471" i="11"/>
  <c r="X471" i="11"/>
  <c r="AM471" i="11"/>
  <c r="BC471" i="11"/>
  <c r="AO471" i="11"/>
  <c r="BZ471" i="11"/>
  <c r="CN471" i="11"/>
  <c r="AP471" i="11"/>
  <c r="DC471" i="11"/>
  <c r="CZ471" i="11"/>
  <c r="CB471" i="11"/>
  <c r="BM471" i="11"/>
  <c r="AZ471" i="11"/>
  <c r="BA471" i="11"/>
  <c r="AA471" i="11"/>
  <c r="DA471" i="11"/>
  <c r="DB471" i="11"/>
  <c r="DD471" i="11" s="1"/>
  <c r="CO471" i="11"/>
  <c r="BB471" i="11"/>
  <c r="BD471" i="11" s="1"/>
  <c r="W472" i="11"/>
  <c r="DM471" i="11"/>
  <c r="CC471" i="11"/>
  <c r="DP471" i="11"/>
  <c r="B472" i="11"/>
  <c r="A472" i="11" s="1"/>
  <c r="C473" i="11"/>
  <c r="M471" i="11" l="1"/>
  <c r="L471" i="11"/>
  <c r="M438" i="12"/>
  <c r="N438" i="12"/>
  <c r="EI472" i="11"/>
  <c r="EC472" i="11"/>
  <c r="DZ472" i="11"/>
  <c r="EH472" i="11"/>
  <c r="EA472" i="11"/>
  <c r="A439" i="12"/>
  <c r="N439" i="12" s="1"/>
  <c r="P472" i="11"/>
  <c r="DF470" i="11"/>
  <c r="BS470" i="11"/>
  <c r="BW470" i="11"/>
  <c r="BF470" i="11"/>
  <c r="BJ470" i="11"/>
  <c r="DK469" i="11"/>
  <c r="DL469" i="11" s="1"/>
  <c r="AW469" i="11"/>
  <c r="AX469" i="11"/>
  <c r="BK469" i="11"/>
  <c r="BL469" i="11" s="1"/>
  <c r="DJ470" i="11"/>
  <c r="B440" i="12"/>
  <c r="AS470" i="11"/>
  <c r="CY469" i="11"/>
  <c r="AB472" i="11"/>
  <c r="BY469" i="11"/>
  <c r="CF471" i="11"/>
  <c r="CD471" i="11"/>
  <c r="CS471" i="11"/>
  <c r="CQ471" i="11"/>
  <c r="CX470" i="11"/>
  <c r="CY470" i="11" s="1"/>
  <c r="CS470" i="11"/>
  <c r="AQ471" i="11"/>
  <c r="AR471" i="11" s="1"/>
  <c r="AT471" i="11" s="1"/>
  <c r="DE471" i="11"/>
  <c r="DG471" i="11" s="1"/>
  <c r="BN472" i="11"/>
  <c r="CE472" i="11"/>
  <c r="CG472" i="11" s="1"/>
  <c r="DU472" i="11"/>
  <c r="DV472" i="11"/>
  <c r="DH472" i="11"/>
  <c r="DI472" i="11"/>
  <c r="CR472" i="11"/>
  <c r="CT472" i="11" s="1"/>
  <c r="CV472" i="11"/>
  <c r="CU472" i="11"/>
  <c r="CI472" i="11"/>
  <c r="BU472" i="11"/>
  <c r="BV472" i="11"/>
  <c r="CH472" i="11"/>
  <c r="BH472" i="11"/>
  <c r="BI472" i="11"/>
  <c r="AU472" i="11"/>
  <c r="AV472" i="11"/>
  <c r="AH472" i="11"/>
  <c r="AI472" i="11"/>
  <c r="BR471" i="11"/>
  <c r="BT471" i="11" s="1"/>
  <c r="BE471" i="11"/>
  <c r="BG471" i="11" s="1"/>
  <c r="CL470" i="11"/>
  <c r="DM472" i="11"/>
  <c r="CZ472" i="11"/>
  <c r="CC472" i="11"/>
  <c r="BP472" i="11"/>
  <c r="BO472" i="11"/>
  <c r="BQ472" i="11" s="1"/>
  <c r="DB472" i="11"/>
  <c r="DD472" i="11" s="1"/>
  <c r="X472" i="11"/>
  <c r="DN472" i="11"/>
  <c r="DC472" i="11"/>
  <c r="AO472" i="11"/>
  <c r="DP472" i="11"/>
  <c r="BB472" i="11"/>
  <c r="BD472" i="11" s="1"/>
  <c r="CB472" i="11"/>
  <c r="CO472" i="11"/>
  <c r="BC472" i="11"/>
  <c r="DA472" i="11"/>
  <c r="AM472" i="11"/>
  <c r="AA472" i="11"/>
  <c r="BZ472" i="11"/>
  <c r="AN472" i="11"/>
  <c r="BA472" i="11"/>
  <c r="Y472" i="11"/>
  <c r="W473" i="11"/>
  <c r="AZ472" i="11"/>
  <c r="CA472" i="11"/>
  <c r="CM472" i="11"/>
  <c r="CN472" i="11"/>
  <c r="AP472" i="11"/>
  <c r="BM472" i="11"/>
  <c r="CP472" i="11"/>
  <c r="B473" i="11"/>
  <c r="A473" i="11" s="1"/>
  <c r="C474" i="11"/>
  <c r="M472" i="11" l="1"/>
  <c r="L472" i="11"/>
  <c r="EI473" i="11"/>
  <c r="EH473" i="11"/>
  <c r="EA473" i="11"/>
  <c r="DZ473" i="11"/>
  <c r="EC473" i="11"/>
  <c r="M439" i="12"/>
  <c r="V439" i="12"/>
  <c r="W439" i="12" s="1"/>
  <c r="A440" i="12"/>
  <c r="V440" i="12" s="1"/>
  <c r="W440" i="12" s="1"/>
  <c r="P473" i="11"/>
  <c r="BS471" i="11"/>
  <c r="BF471" i="11"/>
  <c r="BJ471" i="11"/>
  <c r="DF471" i="11"/>
  <c r="AY469" i="11"/>
  <c r="BK470" i="11"/>
  <c r="BL470" i="11" s="1"/>
  <c r="BX470" i="11"/>
  <c r="BY470" i="11" s="1"/>
  <c r="AX470" i="11"/>
  <c r="AW470" i="11"/>
  <c r="DK470" i="11"/>
  <c r="DL470" i="11" s="1"/>
  <c r="AX471" i="11"/>
  <c r="B441" i="12"/>
  <c r="BW471" i="11"/>
  <c r="CK471" i="11"/>
  <c r="CJ471" i="11"/>
  <c r="AB473" i="11"/>
  <c r="CW471" i="11"/>
  <c r="CX471" i="11"/>
  <c r="CS472" i="11"/>
  <c r="CQ472" i="11"/>
  <c r="CF472" i="11"/>
  <c r="CD472" i="11"/>
  <c r="AQ472" i="11"/>
  <c r="AR472" i="11" s="1"/>
  <c r="AT472" i="11" s="1"/>
  <c r="BE472" i="11"/>
  <c r="BG472" i="11" s="1"/>
  <c r="CE473" i="11"/>
  <c r="CG473" i="11" s="1"/>
  <c r="DV473" i="11"/>
  <c r="DU473" i="11"/>
  <c r="DH473" i="11"/>
  <c r="DI473" i="11"/>
  <c r="CR473" i="11"/>
  <c r="CT473" i="11" s="1"/>
  <c r="CU473" i="11"/>
  <c r="CV473" i="11"/>
  <c r="CH473" i="11"/>
  <c r="CI473" i="11"/>
  <c r="BV473" i="11"/>
  <c r="BU473" i="11"/>
  <c r="BH473" i="11"/>
  <c r="BI473" i="11"/>
  <c r="AI473" i="11"/>
  <c r="AU473" i="11"/>
  <c r="AV473" i="11"/>
  <c r="AH473" i="11"/>
  <c r="BR472" i="11"/>
  <c r="BT472" i="11" s="1"/>
  <c r="DE472" i="11"/>
  <c r="DG472" i="11" s="1"/>
  <c r="BP473" i="11"/>
  <c r="BN473" i="11"/>
  <c r="CP473" i="11"/>
  <c r="BO473" i="11"/>
  <c r="BQ473" i="11" s="1"/>
  <c r="DA473" i="11"/>
  <c r="AN473" i="11"/>
  <c r="AO473" i="11"/>
  <c r="BM473" i="11"/>
  <c r="BB473" i="11"/>
  <c r="BD473" i="11" s="1"/>
  <c r="DN473" i="11"/>
  <c r="CC473" i="11"/>
  <c r="X473" i="11"/>
  <c r="CN473" i="11"/>
  <c r="DP473" i="11"/>
  <c r="CB473" i="11"/>
  <c r="AA473" i="11"/>
  <c r="Y473" i="11"/>
  <c r="AM473" i="11"/>
  <c r="BZ473" i="11"/>
  <c r="AP473" i="11"/>
  <c r="BA473" i="11"/>
  <c r="CZ473" i="11"/>
  <c r="CO473" i="11"/>
  <c r="CM473" i="11"/>
  <c r="CA473" i="11"/>
  <c r="DM473" i="11"/>
  <c r="DC473" i="11"/>
  <c r="W474" i="11"/>
  <c r="AZ473" i="11"/>
  <c r="BC473" i="11"/>
  <c r="DB473" i="11"/>
  <c r="DD473" i="11" s="1"/>
  <c r="B474" i="11"/>
  <c r="A474" i="11" s="1"/>
  <c r="C475" i="11"/>
  <c r="M440" i="12" l="1"/>
  <c r="N440" i="12"/>
  <c r="L473" i="11"/>
  <c r="M473" i="11"/>
  <c r="EA474" i="11"/>
  <c r="EI474" i="11"/>
  <c r="EC474" i="11"/>
  <c r="DZ474" i="11"/>
  <c r="EH474" i="11"/>
  <c r="A441" i="12"/>
  <c r="V441" i="12" s="1"/>
  <c r="W441" i="12" s="1"/>
  <c r="P474" i="11"/>
  <c r="DF472" i="11"/>
  <c r="BS472" i="11"/>
  <c r="BF472" i="11"/>
  <c r="BK472" i="11"/>
  <c r="AY470" i="11"/>
  <c r="BK471" i="11"/>
  <c r="BL471" i="11" s="1"/>
  <c r="CL471" i="11"/>
  <c r="BX471" i="11"/>
  <c r="BY471" i="11" s="1"/>
  <c r="AS472" i="11"/>
  <c r="DK471" i="11"/>
  <c r="AS471" i="11"/>
  <c r="AW471" i="11"/>
  <c r="AY471" i="11" s="1"/>
  <c r="DJ471" i="11"/>
  <c r="BW472" i="11"/>
  <c r="B442" i="12"/>
  <c r="CD473" i="11"/>
  <c r="CX472" i="11"/>
  <c r="CW472" i="11"/>
  <c r="CQ473" i="11"/>
  <c r="CY471" i="11"/>
  <c r="AB474" i="11"/>
  <c r="CK472" i="11"/>
  <c r="CJ472" i="11"/>
  <c r="AQ473" i="11"/>
  <c r="AR473" i="11" s="1"/>
  <c r="AT473" i="11" s="1"/>
  <c r="DJ472" i="11"/>
  <c r="DK472" i="11"/>
  <c r="CS473" i="11"/>
  <c r="CE474" i="11"/>
  <c r="CG474" i="11" s="1"/>
  <c r="DU474" i="11"/>
  <c r="DV474" i="11"/>
  <c r="DH474" i="11"/>
  <c r="DI474" i="11"/>
  <c r="CR474" i="11"/>
  <c r="CT474" i="11" s="1"/>
  <c r="CU474" i="11"/>
  <c r="CV474" i="11"/>
  <c r="CH474" i="11"/>
  <c r="CI474" i="11"/>
  <c r="BU474" i="11"/>
  <c r="BV474" i="11"/>
  <c r="BI474" i="11"/>
  <c r="BH474" i="11"/>
  <c r="AU474" i="11"/>
  <c r="AV474" i="11"/>
  <c r="AH474" i="11"/>
  <c r="AI474" i="11"/>
  <c r="CF473" i="11"/>
  <c r="BE473" i="11"/>
  <c r="BG473" i="11" s="1"/>
  <c r="BR473" i="11"/>
  <c r="BT473" i="11" s="1"/>
  <c r="DE473" i="11"/>
  <c r="DG473" i="11" s="1"/>
  <c r="BN474" i="11"/>
  <c r="BP474" i="11"/>
  <c r="AN474" i="11"/>
  <c r="BO474" i="11"/>
  <c r="BQ474" i="11" s="1"/>
  <c r="AZ474" i="11"/>
  <c r="CN474" i="11"/>
  <c r="DM474" i="11"/>
  <c r="DC474" i="11"/>
  <c r="DB474" i="11"/>
  <c r="DD474" i="11" s="1"/>
  <c r="BC474" i="11"/>
  <c r="AP474" i="11"/>
  <c r="BZ474" i="11"/>
  <c r="CA474" i="11"/>
  <c r="AM474" i="11"/>
  <c r="CM474" i="11"/>
  <c r="X474" i="11"/>
  <c r="CC474" i="11"/>
  <c r="DN474" i="11"/>
  <c r="Y474" i="11"/>
  <c r="BB474" i="11"/>
  <c r="BD474" i="11" s="1"/>
  <c r="CO474" i="11"/>
  <c r="AA474" i="11"/>
  <c r="BM474" i="11"/>
  <c r="W475" i="11"/>
  <c r="CZ474" i="11"/>
  <c r="CB474" i="11"/>
  <c r="AO474" i="11"/>
  <c r="CP474" i="11"/>
  <c r="BA474" i="11"/>
  <c r="DP474" i="11"/>
  <c r="DA474" i="11"/>
  <c r="B475" i="11"/>
  <c r="A475" i="11" s="1"/>
  <c r="C476" i="11"/>
  <c r="M474" i="11" l="1"/>
  <c r="L474" i="11"/>
  <c r="N441" i="12"/>
  <c r="M441" i="12"/>
  <c r="DZ475" i="11"/>
  <c r="EA475" i="11"/>
  <c r="EI475" i="11"/>
  <c r="EH475" i="11"/>
  <c r="EC475" i="11"/>
  <c r="A442" i="12"/>
  <c r="M442" i="12" s="1"/>
  <c r="P475" i="11"/>
  <c r="DF473" i="11"/>
  <c r="DK473" i="11"/>
  <c r="BS473" i="11"/>
  <c r="BW473" i="11"/>
  <c r="BF473" i="11"/>
  <c r="BJ473" i="11"/>
  <c r="BJ472" i="11"/>
  <c r="BL472" i="11" s="1"/>
  <c r="BX472" i="11"/>
  <c r="BY472" i="11" s="1"/>
  <c r="DL471" i="11"/>
  <c r="AW472" i="11"/>
  <c r="AX472" i="11"/>
  <c r="B443" i="12"/>
  <c r="AS473" i="11"/>
  <c r="CY472" i="11"/>
  <c r="CL472" i="11"/>
  <c r="AB475" i="11"/>
  <c r="DL472" i="11"/>
  <c r="CF474" i="11"/>
  <c r="CD474" i="11"/>
  <c r="CS474" i="11"/>
  <c r="CQ474" i="11"/>
  <c r="AQ474" i="11"/>
  <c r="AR474" i="11" s="1"/>
  <c r="AT474" i="11" s="1"/>
  <c r="BR474" i="11"/>
  <c r="BT474" i="11" s="1"/>
  <c r="BE474" i="11"/>
  <c r="BG474" i="11" s="1"/>
  <c r="CX473" i="11"/>
  <c r="CW473" i="11"/>
  <c r="CE475" i="11"/>
  <c r="CG475" i="11" s="1"/>
  <c r="DU475" i="11"/>
  <c r="DV475" i="11"/>
  <c r="DI475" i="11"/>
  <c r="DH475" i="11"/>
  <c r="CR475" i="11"/>
  <c r="CT475" i="11" s="1"/>
  <c r="CU475" i="11"/>
  <c r="CV475" i="11"/>
  <c r="CH475" i="11"/>
  <c r="CI475" i="11"/>
  <c r="BU475" i="11"/>
  <c r="BV475" i="11"/>
  <c r="BH475" i="11"/>
  <c r="BI475" i="11"/>
  <c r="AU475" i="11"/>
  <c r="AV475" i="11"/>
  <c r="AI475" i="11"/>
  <c r="AH475" i="11"/>
  <c r="DE474" i="11"/>
  <c r="DG474" i="11" s="1"/>
  <c r="CK473" i="11"/>
  <c r="CJ473" i="11"/>
  <c r="BP475" i="11"/>
  <c r="BN475" i="11"/>
  <c r="BO475" i="11"/>
  <c r="BQ475" i="11" s="1"/>
  <c r="DC475" i="11"/>
  <c r="X475" i="11"/>
  <c r="AP475" i="11"/>
  <c r="CZ475" i="11"/>
  <c r="AZ475" i="11"/>
  <c r="DM475" i="11"/>
  <c r="DP475" i="11"/>
  <c r="AA475" i="11"/>
  <c r="BA475" i="11"/>
  <c r="CO475" i="11"/>
  <c r="BB475" i="11"/>
  <c r="BD475" i="11" s="1"/>
  <c r="CP475" i="11"/>
  <c r="Y475" i="11"/>
  <c r="CM475" i="11"/>
  <c r="DN475" i="11"/>
  <c r="DB475" i="11"/>
  <c r="DD475" i="11" s="1"/>
  <c r="CA475" i="11"/>
  <c r="W476" i="11"/>
  <c r="AM475" i="11"/>
  <c r="CN475" i="11"/>
  <c r="BC475" i="11"/>
  <c r="AO475" i="11"/>
  <c r="CC475" i="11"/>
  <c r="DA475" i="11"/>
  <c r="CB475" i="11"/>
  <c r="BM475" i="11"/>
  <c r="BZ475" i="11"/>
  <c r="AN475" i="11"/>
  <c r="B476" i="11"/>
  <c r="A476" i="11" s="1"/>
  <c r="C477" i="11"/>
  <c r="N442" i="12" l="1"/>
  <c r="L475" i="11"/>
  <c r="M475" i="11"/>
  <c r="EI476" i="11"/>
  <c r="DZ476" i="11"/>
  <c r="EH476" i="11"/>
  <c r="EC476" i="11"/>
  <c r="EA476" i="11"/>
  <c r="V442" i="12"/>
  <c r="W442" i="12" s="1"/>
  <c r="A443" i="12"/>
  <c r="N443" i="12" s="1"/>
  <c r="P476" i="11"/>
  <c r="BF474" i="11"/>
  <c r="BS474" i="11"/>
  <c r="DF474" i="11"/>
  <c r="DJ474" i="11"/>
  <c r="DJ473" i="11"/>
  <c r="DL473" i="11" s="1"/>
  <c r="AX473" i="11"/>
  <c r="AW473" i="11"/>
  <c r="BK473" i="11"/>
  <c r="BL473" i="11" s="1"/>
  <c r="AY472" i="11"/>
  <c r="BX473" i="11"/>
  <c r="BY473" i="11" s="1"/>
  <c r="BX474" i="11"/>
  <c r="B444" i="12"/>
  <c r="AS474" i="11"/>
  <c r="CK474" i="11"/>
  <c r="CJ474" i="11"/>
  <c r="CX474" i="11"/>
  <c r="AB476" i="11"/>
  <c r="CW474" i="11"/>
  <c r="CF475" i="11"/>
  <c r="CD475" i="11"/>
  <c r="CY473" i="11"/>
  <c r="CX475" i="11"/>
  <c r="CQ475" i="11"/>
  <c r="AQ475" i="11"/>
  <c r="AR475" i="11" s="1"/>
  <c r="AT475" i="11" s="1"/>
  <c r="CL473" i="11"/>
  <c r="BE475" i="11"/>
  <c r="BG475" i="11" s="1"/>
  <c r="DE475" i="11"/>
  <c r="DG475" i="11" s="1"/>
  <c r="CE476" i="11"/>
  <c r="CG476" i="11" s="1"/>
  <c r="DU476" i="11"/>
  <c r="DV476" i="11"/>
  <c r="DH476" i="11"/>
  <c r="DI476" i="11"/>
  <c r="CR476" i="11"/>
  <c r="CT476" i="11" s="1"/>
  <c r="CU476" i="11"/>
  <c r="CV476" i="11"/>
  <c r="CI476" i="11"/>
  <c r="CH476" i="11"/>
  <c r="BU476" i="11"/>
  <c r="BV476" i="11"/>
  <c r="BI476" i="11"/>
  <c r="BH476" i="11"/>
  <c r="AV476" i="11"/>
  <c r="AU476" i="11"/>
  <c r="AH476" i="11"/>
  <c r="AI476" i="11"/>
  <c r="BR475" i="11"/>
  <c r="BT475" i="11" s="1"/>
  <c r="BN476" i="11"/>
  <c r="BP476" i="11"/>
  <c r="BC476" i="11"/>
  <c r="DA476" i="11"/>
  <c r="CB476" i="11"/>
  <c r="AO476" i="11"/>
  <c r="BO476" i="11"/>
  <c r="BQ476" i="11" s="1"/>
  <c r="CA476" i="11"/>
  <c r="DN476" i="11"/>
  <c r="CN476" i="11"/>
  <c r="DP476" i="11"/>
  <c r="AN476" i="11"/>
  <c r="X476" i="11"/>
  <c r="BZ476" i="11"/>
  <c r="DB476" i="11"/>
  <c r="DD476" i="11" s="1"/>
  <c r="BM476" i="11"/>
  <c r="CC476" i="11"/>
  <c r="BB476" i="11"/>
  <c r="BD476" i="11" s="1"/>
  <c r="CO476" i="11"/>
  <c r="BA476" i="11"/>
  <c r="W477" i="11"/>
  <c r="AM476" i="11"/>
  <c r="DM476" i="11"/>
  <c r="AZ476" i="11"/>
  <c r="CP476" i="11"/>
  <c r="CM476" i="11"/>
  <c r="AP476" i="11"/>
  <c r="CZ476" i="11"/>
  <c r="AA476" i="11"/>
  <c r="Y476" i="11"/>
  <c r="DC476" i="11"/>
  <c r="B477" i="11"/>
  <c r="A477" i="11" s="1"/>
  <c r="C478" i="11"/>
  <c r="M443" i="12" l="1"/>
  <c r="V443" i="12"/>
  <c r="W443" i="12" s="1"/>
  <c r="L476" i="11"/>
  <c r="M476" i="11"/>
  <c r="EH477" i="11"/>
  <c r="EI477" i="11"/>
  <c r="EC477" i="11"/>
  <c r="EA477" i="11"/>
  <c r="DZ477" i="11"/>
  <c r="A444" i="12"/>
  <c r="N444" i="12" s="1"/>
  <c r="P477" i="11"/>
  <c r="BF475" i="11"/>
  <c r="BS475" i="11"/>
  <c r="DF475" i="11"/>
  <c r="AY473" i="11"/>
  <c r="AX474" i="11"/>
  <c r="AW474" i="11"/>
  <c r="BW474" i="11"/>
  <c r="BY474" i="11" s="1"/>
  <c r="B445" i="12"/>
  <c r="BK474" i="11"/>
  <c r="BJ474" i="11"/>
  <c r="AS475" i="11"/>
  <c r="DK474" i="11"/>
  <c r="DL474" i="11" s="1"/>
  <c r="CY474" i="11"/>
  <c r="CL474" i="11"/>
  <c r="CJ475" i="11"/>
  <c r="AB477" i="11"/>
  <c r="CK475" i="11"/>
  <c r="CS476" i="11"/>
  <c r="CQ476" i="11"/>
  <c r="CW475" i="11"/>
  <c r="CY475" i="11" s="1"/>
  <c r="CS475" i="11"/>
  <c r="CF476" i="11"/>
  <c r="CD476" i="11"/>
  <c r="AQ476" i="11"/>
  <c r="AR476" i="11" s="1"/>
  <c r="AT476" i="11" s="1"/>
  <c r="DE476" i="11"/>
  <c r="DG476" i="11" s="1"/>
  <c r="CE477" i="11"/>
  <c r="CG477" i="11" s="1"/>
  <c r="DV477" i="11"/>
  <c r="DU477" i="11"/>
  <c r="DI477" i="11"/>
  <c r="CU477" i="11"/>
  <c r="CV477" i="11"/>
  <c r="CR477" i="11"/>
  <c r="CT477" i="11" s="1"/>
  <c r="DH477" i="11"/>
  <c r="CH477" i="11"/>
  <c r="CI477" i="11"/>
  <c r="BU477" i="11"/>
  <c r="BV477" i="11"/>
  <c r="BI477" i="11"/>
  <c r="BH477" i="11"/>
  <c r="AU477" i="11"/>
  <c r="AV477" i="11"/>
  <c r="AH477" i="11"/>
  <c r="AI477" i="11"/>
  <c r="BE476" i="11"/>
  <c r="BG476" i="11" s="1"/>
  <c r="BR476" i="11"/>
  <c r="BT476" i="11" s="1"/>
  <c r="BN477" i="11"/>
  <c r="BP477" i="11"/>
  <c r="BO477" i="11"/>
  <c r="BQ477" i="11" s="1"/>
  <c r="X477" i="11"/>
  <c r="CN477" i="11"/>
  <c r="BA477" i="11"/>
  <c r="AO477" i="11"/>
  <c r="CP477" i="11"/>
  <c r="DC477" i="11"/>
  <c r="AZ477" i="11"/>
  <c r="AP477" i="11"/>
  <c r="CM477" i="11"/>
  <c r="Y477" i="11"/>
  <c r="DP477" i="11"/>
  <c r="DN477" i="11"/>
  <c r="CO477" i="11"/>
  <c r="DB477" i="11"/>
  <c r="DD477" i="11" s="1"/>
  <c r="AA477" i="11"/>
  <c r="DM477" i="11"/>
  <c r="CC477" i="11"/>
  <c r="BZ477" i="11"/>
  <c r="CB477" i="11"/>
  <c r="AM477" i="11"/>
  <c r="BM477" i="11"/>
  <c r="AN477" i="11"/>
  <c r="BB477" i="11"/>
  <c r="BD477" i="11" s="1"/>
  <c r="W478" i="11"/>
  <c r="CZ477" i="11"/>
  <c r="DA477" i="11"/>
  <c r="CA477" i="11"/>
  <c r="BC477" i="11"/>
  <c r="B478" i="11"/>
  <c r="A478" i="11" s="1"/>
  <c r="C479" i="11"/>
  <c r="L477" i="11" l="1"/>
  <c r="M477" i="11"/>
  <c r="M444" i="12"/>
  <c r="EI478" i="11"/>
  <c r="EH478" i="11"/>
  <c r="EC478" i="11"/>
  <c r="DZ478" i="11"/>
  <c r="EA478" i="11"/>
  <c r="V444" i="12"/>
  <c r="W444" i="12" s="1"/>
  <c r="A445" i="12"/>
  <c r="M445" i="12" s="1"/>
  <c r="P478" i="11"/>
  <c r="DF476" i="11"/>
  <c r="BS476" i="11"/>
  <c r="BW476" i="11"/>
  <c r="AY474" i="11"/>
  <c r="BF476" i="11"/>
  <c r="BK476" i="11"/>
  <c r="DJ475" i="11"/>
  <c r="BL474" i="11"/>
  <c r="BK475" i="11"/>
  <c r="BJ475" i="11"/>
  <c r="DK475" i="11"/>
  <c r="BX475" i="11"/>
  <c r="BW475" i="11"/>
  <c r="AW476" i="11"/>
  <c r="B446" i="12"/>
  <c r="AX475" i="11"/>
  <c r="AW475" i="11"/>
  <c r="CL475" i="11"/>
  <c r="CD477" i="11"/>
  <c r="CW476" i="11"/>
  <c r="CJ476" i="11"/>
  <c r="BR477" i="11"/>
  <c r="AB478" i="11"/>
  <c r="CX477" i="11"/>
  <c r="CQ477" i="11"/>
  <c r="CK476" i="11"/>
  <c r="CX476" i="11"/>
  <c r="AQ477" i="11"/>
  <c r="AR477" i="11" s="1"/>
  <c r="AT477" i="11" s="1"/>
  <c r="DK476" i="11"/>
  <c r="DJ476" i="11"/>
  <c r="BJ476" i="11"/>
  <c r="BE477" i="11"/>
  <c r="BG477" i="11" s="1"/>
  <c r="CF477" i="11"/>
  <c r="DE477" i="11"/>
  <c r="DG477" i="11" s="1"/>
  <c r="CE478" i="11"/>
  <c r="CG478" i="11" s="1"/>
  <c r="DU478" i="11"/>
  <c r="DV478" i="11"/>
  <c r="DI478" i="11"/>
  <c r="DH478" i="11"/>
  <c r="CR478" i="11"/>
  <c r="CT478" i="11" s="1"/>
  <c r="CU478" i="11"/>
  <c r="CV478" i="11"/>
  <c r="CH478" i="11"/>
  <c r="CI478" i="11"/>
  <c r="BU478" i="11"/>
  <c r="BV478" i="11"/>
  <c r="BH478" i="11"/>
  <c r="BI478" i="11"/>
  <c r="AU478" i="11"/>
  <c r="AV478" i="11"/>
  <c r="AH478" i="11"/>
  <c r="AI478" i="11"/>
  <c r="BN478" i="11"/>
  <c r="BP478" i="11"/>
  <c r="AO478" i="11"/>
  <c r="BO478" i="11"/>
  <c r="BQ478" i="11" s="1"/>
  <c r="BC478" i="11"/>
  <c r="CA478" i="11"/>
  <c r="AZ478" i="11"/>
  <c r="CZ478" i="11"/>
  <c r="BZ478" i="11"/>
  <c r="DN478" i="11"/>
  <c r="BB478" i="11"/>
  <c r="BD478" i="11" s="1"/>
  <c r="CC478" i="11"/>
  <c r="BA478" i="11"/>
  <c r="DA478" i="11"/>
  <c r="DM478" i="11"/>
  <c r="CN478" i="11"/>
  <c r="AP478" i="11"/>
  <c r="AA478" i="11"/>
  <c r="DP478" i="11"/>
  <c r="AN478" i="11"/>
  <c r="Y478" i="11"/>
  <c r="BM478" i="11"/>
  <c r="AM478" i="11"/>
  <c r="W479" i="11"/>
  <c r="DC478" i="11"/>
  <c r="CM478" i="11"/>
  <c r="CB478" i="11"/>
  <c r="DB478" i="11"/>
  <c r="DD478" i="11" s="1"/>
  <c r="CP478" i="11"/>
  <c r="CO478" i="11"/>
  <c r="X478" i="11"/>
  <c r="B479" i="11"/>
  <c r="A479" i="11" s="1"/>
  <c r="C480" i="11"/>
  <c r="BT477" i="11" l="1"/>
  <c r="BS477" i="11" s="1"/>
  <c r="M478" i="11"/>
  <c r="N445" i="12"/>
  <c r="L478" i="11"/>
  <c r="V445" i="12"/>
  <c r="W445" i="12" s="1"/>
  <c r="DZ479" i="11"/>
  <c r="EI479" i="11"/>
  <c r="EC479" i="11"/>
  <c r="EH479" i="11"/>
  <c r="EA479" i="11"/>
  <c r="A446" i="12"/>
  <c r="N446" i="12" s="1"/>
  <c r="P479" i="11"/>
  <c r="BX476" i="11"/>
  <c r="BY476" i="11" s="1"/>
  <c r="BF477" i="11"/>
  <c r="DF477" i="11"/>
  <c r="DK477" i="11"/>
  <c r="AX476" i="11"/>
  <c r="AY476" i="11" s="1"/>
  <c r="DL475" i="11"/>
  <c r="BL475" i="11"/>
  <c r="AY475" i="11"/>
  <c r="BY475" i="11"/>
  <c r="BK477" i="11"/>
  <c r="AW477" i="11"/>
  <c r="AS476" i="11"/>
  <c r="B447" i="12"/>
  <c r="DL476" i="11"/>
  <c r="CL476" i="11"/>
  <c r="CY476" i="11"/>
  <c r="AB479" i="11"/>
  <c r="CD478" i="11"/>
  <c r="CW477" i="11"/>
  <c r="CY477" i="11" s="1"/>
  <c r="CS477" i="11"/>
  <c r="CQ478" i="11"/>
  <c r="AQ478" i="11"/>
  <c r="AR478" i="11" s="1"/>
  <c r="AT478" i="11" s="1"/>
  <c r="BL476" i="11"/>
  <c r="BJ477" i="11"/>
  <c r="BE478" i="11"/>
  <c r="BG478" i="11" s="1"/>
  <c r="CJ477" i="11"/>
  <c r="CK477" i="11"/>
  <c r="CK478" i="11"/>
  <c r="DP479" i="11"/>
  <c r="CE479" i="11"/>
  <c r="CG479" i="11" s="1"/>
  <c r="DU479" i="11"/>
  <c r="DV479" i="11"/>
  <c r="DH479" i="11"/>
  <c r="DI479" i="11"/>
  <c r="CR479" i="11"/>
  <c r="CT479" i="11" s="1"/>
  <c r="CV479" i="11"/>
  <c r="CU479" i="11"/>
  <c r="CI479" i="11"/>
  <c r="CH479" i="11"/>
  <c r="BV479" i="11"/>
  <c r="BU479" i="11"/>
  <c r="BH479" i="11"/>
  <c r="AU479" i="11"/>
  <c r="BI479" i="11"/>
  <c r="AV479" i="11"/>
  <c r="AH479" i="11"/>
  <c r="AI479" i="11"/>
  <c r="DE478" i="11"/>
  <c r="DG478" i="11" s="1"/>
  <c r="BR478" i="11"/>
  <c r="BT478" i="11" s="1"/>
  <c r="BP479" i="11"/>
  <c r="CZ479" i="11"/>
  <c r="BN479" i="11"/>
  <c r="DB479" i="11"/>
  <c r="DD479" i="11" s="1"/>
  <c r="CB479" i="11"/>
  <c r="BO479" i="11"/>
  <c r="BQ479" i="11" s="1"/>
  <c r="AZ479" i="11"/>
  <c r="AA479" i="11"/>
  <c r="AP479" i="11"/>
  <c r="BC479" i="11"/>
  <c r="DM479" i="11"/>
  <c r="CA479" i="11"/>
  <c r="DN479" i="11"/>
  <c r="X479" i="11"/>
  <c r="AN479" i="11"/>
  <c r="Y479" i="11"/>
  <c r="BB479" i="11"/>
  <c r="BD479" i="11" s="1"/>
  <c r="CC479" i="11"/>
  <c r="CO479" i="11"/>
  <c r="CM479" i="11"/>
  <c r="BM479" i="11"/>
  <c r="CN479" i="11"/>
  <c r="CP479" i="11"/>
  <c r="DC479" i="11"/>
  <c r="BZ479" i="11"/>
  <c r="DA479" i="11"/>
  <c r="W480" i="11"/>
  <c r="AM479" i="11"/>
  <c r="BA479" i="11"/>
  <c r="AO479" i="11"/>
  <c r="B480" i="11"/>
  <c r="A480" i="11" s="1"/>
  <c r="C481" i="11"/>
  <c r="BX477" i="11" l="1"/>
  <c r="M479" i="11"/>
  <c r="L479" i="11"/>
  <c r="EI480" i="11"/>
  <c r="EH480" i="11"/>
  <c r="DZ480" i="11"/>
  <c r="EC480" i="11"/>
  <c r="EA480" i="11"/>
  <c r="M446" i="12"/>
  <c r="V446" i="12"/>
  <c r="W446" i="12" s="1"/>
  <c r="A447" i="12"/>
  <c r="M447" i="12" s="1"/>
  <c r="P480" i="11"/>
  <c r="BS478" i="11"/>
  <c r="DF478" i="11"/>
  <c r="BF478" i="11"/>
  <c r="DJ477" i="11"/>
  <c r="DL477" i="11" s="1"/>
  <c r="BW477" i="11"/>
  <c r="BY477" i="11" s="1"/>
  <c r="AW478" i="11"/>
  <c r="AX477" i="11"/>
  <c r="AY477" i="11" s="1"/>
  <c r="AS477" i="11"/>
  <c r="BK478" i="11"/>
  <c r="BX478" i="11"/>
  <c r="B448" i="12"/>
  <c r="AB480" i="11"/>
  <c r="BR479" i="11"/>
  <c r="BT479" i="11" s="1"/>
  <c r="CX478" i="11"/>
  <c r="CS478" i="11"/>
  <c r="CW478" i="11"/>
  <c r="CF479" i="11"/>
  <c r="CD479" i="11"/>
  <c r="CS479" i="11"/>
  <c r="CQ479" i="11"/>
  <c r="CJ478" i="11"/>
  <c r="CL478" i="11" s="1"/>
  <c r="CF478" i="11"/>
  <c r="AQ479" i="11"/>
  <c r="AR479" i="11" s="1"/>
  <c r="AT479" i="11" s="1"/>
  <c r="DJ478" i="11"/>
  <c r="DK478" i="11"/>
  <c r="BL477" i="11"/>
  <c r="DE479" i="11"/>
  <c r="DG479" i="11" s="1"/>
  <c r="CL477" i="11"/>
  <c r="CE480" i="11"/>
  <c r="CG480" i="11" s="1"/>
  <c r="DU480" i="11"/>
  <c r="DV480" i="11"/>
  <c r="DH480" i="11"/>
  <c r="DI480" i="11"/>
  <c r="CR480" i="11"/>
  <c r="CT480" i="11" s="1"/>
  <c r="CU480" i="11"/>
  <c r="CV480" i="11"/>
  <c r="CH480" i="11"/>
  <c r="CI480" i="11"/>
  <c r="BU480" i="11"/>
  <c r="BV480" i="11"/>
  <c r="BH480" i="11"/>
  <c r="BI480" i="11"/>
  <c r="AU480" i="11"/>
  <c r="AH480" i="11"/>
  <c r="AI480" i="11"/>
  <c r="AV480" i="11"/>
  <c r="BE479" i="11"/>
  <c r="BG479" i="11" s="1"/>
  <c r="BA480" i="11"/>
  <c r="BN480" i="11"/>
  <c r="CB480" i="11"/>
  <c r="BP480" i="11"/>
  <c r="BO480" i="11"/>
  <c r="BQ480" i="11" s="1"/>
  <c r="CM480" i="11"/>
  <c r="CN480" i="11"/>
  <c r="AN480" i="11"/>
  <c r="AO480" i="11"/>
  <c r="BM480" i="11"/>
  <c r="X480" i="11"/>
  <c r="DB480" i="11"/>
  <c r="DD480" i="11" s="1"/>
  <c r="DA480" i="11"/>
  <c r="CO480" i="11"/>
  <c r="DN480" i="11"/>
  <c r="CZ480" i="11"/>
  <c r="W481" i="11"/>
  <c r="BZ480" i="11"/>
  <c r="CA480" i="11"/>
  <c r="DM480" i="11"/>
  <c r="DC480" i="11"/>
  <c r="CC480" i="11"/>
  <c r="AA480" i="11"/>
  <c r="AM480" i="11"/>
  <c r="CP480" i="11"/>
  <c r="BB480" i="11"/>
  <c r="BD480" i="11" s="1"/>
  <c r="BC480" i="11"/>
  <c r="DP480" i="11"/>
  <c r="AP480" i="11"/>
  <c r="Y480" i="11"/>
  <c r="AZ480" i="11"/>
  <c r="B481" i="11"/>
  <c r="A481" i="11" s="1"/>
  <c r="C482" i="11"/>
  <c r="M480" i="11" l="1"/>
  <c r="L480" i="11"/>
  <c r="EH481" i="11"/>
  <c r="EA481" i="11"/>
  <c r="DZ481" i="11"/>
  <c r="EI481" i="11"/>
  <c r="EC481" i="11"/>
  <c r="N447" i="12"/>
  <c r="V447" i="12"/>
  <c r="W447" i="12" s="1"/>
  <c r="A448" i="12"/>
  <c r="M448" i="12" s="1"/>
  <c r="P481" i="11"/>
  <c r="DF479" i="11"/>
  <c r="BS479" i="11"/>
  <c r="BW479" i="11"/>
  <c r="BF479" i="11"/>
  <c r="BJ478" i="11"/>
  <c r="BL478" i="11" s="1"/>
  <c r="AX478" i="11"/>
  <c r="AY478" i="11" s="1"/>
  <c r="AS478" i="11"/>
  <c r="BW478" i="11"/>
  <c r="BY478" i="11" s="1"/>
  <c r="B449" i="12"/>
  <c r="DK479" i="11"/>
  <c r="AS479" i="11"/>
  <c r="CY478" i="11"/>
  <c r="DL478" i="11"/>
  <c r="CJ479" i="11"/>
  <c r="CX479" i="11"/>
  <c r="BR480" i="11"/>
  <c r="BT480" i="11" s="1"/>
  <c r="AB481" i="11"/>
  <c r="CS480" i="11"/>
  <c r="CQ480" i="11"/>
  <c r="CW479" i="11"/>
  <c r="CF480" i="11"/>
  <c r="CD480" i="11"/>
  <c r="CK479" i="11"/>
  <c r="AQ480" i="11"/>
  <c r="AR480" i="11" s="1"/>
  <c r="AT480" i="11" s="1"/>
  <c r="BE480" i="11"/>
  <c r="BG480" i="11" s="1"/>
  <c r="CE481" i="11"/>
  <c r="CG481" i="11" s="1"/>
  <c r="DV481" i="11"/>
  <c r="DU481" i="11"/>
  <c r="DH481" i="11"/>
  <c r="DI481" i="11"/>
  <c r="CV481" i="11"/>
  <c r="CR481" i="11"/>
  <c r="CT481" i="11" s="1"/>
  <c r="CU481" i="11"/>
  <c r="CH481" i="11"/>
  <c r="CI481" i="11"/>
  <c r="BU481" i="11"/>
  <c r="BV481" i="11"/>
  <c r="BH481" i="11"/>
  <c r="BI481" i="11"/>
  <c r="AU481" i="11"/>
  <c r="AV481" i="11"/>
  <c r="AI481" i="11"/>
  <c r="AH481" i="11"/>
  <c r="DE480" i="11"/>
  <c r="DG480" i="11" s="1"/>
  <c r="AM481" i="11"/>
  <c r="AZ481" i="11"/>
  <c r="BN481" i="11"/>
  <c r="BP481" i="11"/>
  <c r="CM481" i="11"/>
  <c r="BO481" i="11"/>
  <c r="BQ481" i="11" s="1"/>
  <c r="Y481" i="11"/>
  <c r="AP481" i="11"/>
  <c r="DC481" i="11"/>
  <c r="AA481" i="11"/>
  <c r="DM481" i="11"/>
  <c r="DB481" i="11"/>
  <c r="DD481" i="11" s="1"/>
  <c r="CC481" i="11"/>
  <c r="CA481" i="11"/>
  <c r="X481" i="11"/>
  <c r="BZ481" i="11"/>
  <c r="BM481" i="11"/>
  <c r="CZ481" i="11"/>
  <c r="AO481" i="11"/>
  <c r="BC481" i="11"/>
  <c r="DN481" i="11"/>
  <c r="CO481" i="11"/>
  <c r="AN481" i="11"/>
  <c r="W482" i="11"/>
  <c r="DP481" i="11"/>
  <c r="BB481" i="11"/>
  <c r="BD481" i="11" s="1"/>
  <c r="CP481" i="11"/>
  <c r="DA481" i="11"/>
  <c r="CN481" i="11"/>
  <c r="BA481" i="11"/>
  <c r="CB481" i="11"/>
  <c r="B482" i="11"/>
  <c r="A482" i="11" s="1"/>
  <c r="C483" i="11"/>
  <c r="L481" i="11" l="1"/>
  <c r="M481" i="11"/>
  <c r="DZ482" i="11"/>
  <c r="EH482" i="11"/>
  <c r="EC482" i="11"/>
  <c r="EA482" i="11"/>
  <c r="EI482" i="11"/>
  <c r="N448" i="12"/>
  <c r="V448" i="12"/>
  <c r="W448" i="12" s="1"/>
  <c r="A449" i="12"/>
  <c r="M449" i="12" s="1"/>
  <c r="P482" i="11"/>
  <c r="BF480" i="11"/>
  <c r="BS480" i="11"/>
  <c r="BX480" i="11"/>
  <c r="DF480" i="11"/>
  <c r="DJ480" i="11"/>
  <c r="BK479" i="11"/>
  <c r="AW479" i="11"/>
  <c r="AX479" i="11"/>
  <c r="B450" i="12"/>
  <c r="BJ479" i="11"/>
  <c r="DJ479" i="11"/>
  <c r="DL479" i="11" s="1"/>
  <c r="BX479" i="11"/>
  <c r="BY479" i="11" s="1"/>
  <c r="CL479" i="11"/>
  <c r="CY479" i="11"/>
  <c r="CX480" i="11"/>
  <c r="CW480" i="11"/>
  <c r="CK480" i="11"/>
  <c r="CJ480" i="11"/>
  <c r="AB482" i="11"/>
  <c r="CD481" i="11"/>
  <c r="CW481" i="11"/>
  <c r="CQ481" i="11"/>
  <c r="AQ481" i="11"/>
  <c r="AR481" i="11" s="1"/>
  <c r="AT481" i="11" s="1"/>
  <c r="BJ480" i="11"/>
  <c r="BK480" i="11"/>
  <c r="AZ482" i="11"/>
  <c r="CE482" i="11"/>
  <c r="CG482" i="11" s="1"/>
  <c r="DU482" i="11"/>
  <c r="DV482" i="11"/>
  <c r="DH482" i="11"/>
  <c r="DI482" i="11"/>
  <c r="CR482" i="11"/>
  <c r="CT482" i="11" s="1"/>
  <c r="CU482" i="11"/>
  <c r="CV482" i="11"/>
  <c r="CH482" i="11"/>
  <c r="CI482" i="11"/>
  <c r="BU482" i="11"/>
  <c r="BV482" i="11"/>
  <c r="BH482" i="11"/>
  <c r="BI482" i="11"/>
  <c r="AU482" i="11"/>
  <c r="AV482" i="11"/>
  <c r="AH482" i="11"/>
  <c r="AI482" i="11"/>
  <c r="DE481" i="11"/>
  <c r="DG481" i="11" s="1"/>
  <c r="BE481" i="11"/>
  <c r="BG481" i="11" s="1"/>
  <c r="BR481" i="11"/>
  <c r="BT481" i="11" s="1"/>
  <c r="CF481" i="11"/>
  <c r="BA482" i="11"/>
  <c r="BN482" i="11"/>
  <c r="BP482" i="11"/>
  <c r="CB482" i="11"/>
  <c r="BO482" i="11"/>
  <c r="BQ482" i="11" s="1"/>
  <c r="Y482" i="11"/>
  <c r="CN482" i="11"/>
  <c r="DN482" i="11"/>
  <c r="AP482" i="11"/>
  <c r="CA482" i="11"/>
  <c r="DA482" i="11"/>
  <c r="AM482" i="11"/>
  <c r="CC482" i="11"/>
  <c r="CP482" i="11"/>
  <c r="AO482" i="11"/>
  <c r="BB482" i="11"/>
  <c r="BD482" i="11" s="1"/>
  <c r="AN482" i="11"/>
  <c r="CZ482" i="11"/>
  <c r="DB482" i="11"/>
  <c r="DD482" i="11" s="1"/>
  <c r="DP482" i="11"/>
  <c r="CO482" i="11"/>
  <c r="DC482" i="11"/>
  <c r="DM482" i="11"/>
  <c r="BM482" i="11"/>
  <c r="W483" i="11"/>
  <c r="AA482" i="11"/>
  <c r="BZ482" i="11"/>
  <c r="BC482" i="11"/>
  <c r="X482" i="11"/>
  <c r="CM482" i="11"/>
  <c r="B483" i="11"/>
  <c r="A483" i="11" s="1"/>
  <c r="C484" i="11"/>
  <c r="M482" i="11" l="1"/>
  <c r="L482" i="11"/>
  <c r="DZ483" i="11"/>
  <c r="EC483" i="11"/>
  <c r="EI483" i="11"/>
  <c r="EH483" i="11"/>
  <c r="EA483" i="11"/>
  <c r="N449" i="12"/>
  <c r="V449" i="12"/>
  <c r="W449" i="12" s="1"/>
  <c r="A450" i="12"/>
  <c r="M450" i="12" s="1"/>
  <c r="P483" i="11"/>
  <c r="BS481" i="11"/>
  <c r="BF481" i="11"/>
  <c r="BK481" i="11"/>
  <c r="DF481" i="11"/>
  <c r="DK480" i="11"/>
  <c r="DL480" i="11" s="1"/>
  <c r="AS481" i="11"/>
  <c r="AY479" i="11"/>
  <c r="BL479" i="11"/>
  <c r="BW481" i="11"/>
  <c r="B451" i="12"/>
  <c r="AW480" i="11"/>
  <c r="AS480" i="11"/>
  <c r="AX480" i="11"/>
  <c r="BW480" i="11"/>
  <c r="BY480" i="11" s="1"/>
  <c r="CY480" i="11"/>
  <c r="CL480" i="11"/>
  <c r="BR482" i="11"/>
  <c r="BT482" i="11" s="1"/>
  <c r="AB483" i="11"/>
  <c r="CF482" i="11"/>
  <c r="CD482" i="11"/>
  <c r="BL480" i="11"/>
  <c r="CS482" i="11"/>
  <c r="CQ482" i="11"/>
  <c r="CX481" i="11"/>
  <c r="CY481" i="11" s="1"/>
  <c r="CS481" i="11"/>
  <c r="AQ482" i="11"/>
  <c r="AR482" i="11" s="1"/>
  <c r="AT482" i="11" s="1"/>
  <c r="BE482" i="11"/>
  <c r="BG482" i="11" s="1"/>
  <c r="CJ481" i="11"/>
  <c r="CK481" i="11"/>
  <c r="CE483" i="11"/>
  <c r="CG483" i="11" s="1"/>
  <c r="DU483" i="11"/>
  <c r="DV483" i="11"/>
  <c r="DH483" i="11"/>
  <c r="DI483" i="11"/>
  <c r="CU483" i="11"/>
  <c r="CV483" i="11"/>
  <c r="CR483" i="11"/>
  <c r="CT483" i="11" s="1"/>
  <c r="CI483" i="11"/>
  <c r="CH483" i="11"/>
  <c r="BU483" i="11"/>
  <c r="BV483" i="11"/>
  <c r="BI483" i="11"/>
  <c r="AV483" i="11"/>
  <c r="BH483" i="11"/>
  <c r="AH483" i="11"/>
  <c r="AU483" i="11"/>
  <c r="AI483" i="11"/>
  <c r="DE482" i="11"/>
  <c r="DG482" i="11" s="1"/>
  <c r="CM483" i="11"/>
  <c r="X483" i="11"/>
  <c r="BC483" i="11"/>
  <c r="AO483" i="11"/>
  <c r="BN483" i="11"/>
  <c r="AZ483" i="11"/>
  <c r="BP483" i="11"/>
  <c r="DN483" i="11"/>
  <c r="BO483" i="11"/>
  <c r="DP483" i="11"/>
  <c r="BZ483" i="11"/>
  <c r="CC483" i="11"/>
  <c r="AM483" i="11"/>
  <c r="DA483" i="11"/>
  <c r="CP483" i="11"/>
  <c r="CA483" i="11"/>
  <c r="BA483" i="11"/>
  <c r="DC483" i="11"/>
  <c r="AA483" i="11"/>
  <c r="CO483" i="11"/>
  <c r="DB483" i="11"/>
  <c r="DD483" i="11" s="1"/>
  <c r="AP483" i="11"/>
  <c r="W484" i="11"/>
  <c r="CZ483" i="11"/>
  <c r="CN483" i="11"/>
  <c r="BM483" i="11"/>
  <c r="AN483" i="11"/>
  <c r="CB483" i="11"/>
  <c r="DM483" i="11"/>
  <c r="BB483" i="11"/>
  <c r="BD483" i="11" s="1"/>
  <c r="Y483" i="11"/>
  <c r="B484" i="11"/>
  <c r="A484" i="11" s="1"/>
  <c r="C485" i="11"/>
  <c r="M483" i="11" l="1"/>
  <c r="L483" i="11"/>
  <c r="V450" i="12"/>
  <c r="W450" i="12" s="1"/>
  <c r="EI484" i="11"/>
  <c r="EH484" i="11"/>
  <c r="EA484" i="11"/>
  <c r="DZ484" i="11"/>
  <c r="EC484" i="11"/>
  <c r="N450" i="12"/>
  <c r="A451" i="12"/>
  <c r="V451" i="12" s="1"/>
  <c r="W451" i="12" s="1"/>
  <c r="P484" i="11"/>
  <c r="BF482" i="11"/>
  <c r="DF482" i="11"/>
  <c r="DJ482" i="11"/>
  <c r="BS482" i="11"/>
  <c r="AX481" i="11"/>
  <c r="AW481" i="11"/>
  <c r="BJ481" i="11"/>
  <c r="BL481" i="11" s="1"/>
  <c r="BX481" i="11"/>
  <c r="BY481" i="11" s="1"/>
  <c r="AY480" i="11"/>
  <c r="DK481" i="11"/>
  <c r="BW482" i="11"/>
  <c r="B452" i="12"/>
  <c r="DJ481" i="11"/>
  <c r="BK482" i="11"/>
  <c r="AS482" i="11"/>
  <c r="CK482" i="11"/>
  <c r="CJ482" i="11"/>
  <c r="AB484" i="11"/>
  <c r="BQ483" i="11"/>
  <c r="BR483" i="11" s="1"/>
  <c r="BT483" i="11" s="1"/>
  <c r="CJ483" i="11"/>
  <c r="CD483" i="11"/>
  <c r="CQ483" i="11"/>
  <c r="CW482" i="11"/>
  <c r="CX482" i="11"/>
  <c r="AQ483" i="11"/>
  <c r="AR483" i="11" s="1"/>
  <c r="AT483" i="11" s="1"/>
  <c r="DK482" i="11"/>
  <c r="AW482" i="11"/>
  <c r="AX482" i="11"/>
  <c r="CL481" i="11"/>
  <c r="CE484" i="11"/>
  <c r="CG484" i="11" s="1"/>
  <c r="DU484" i="11"/>
  <c r="DV484" i="11"/>
  <c r="DH484" i="11"/>
  <c r="DI484" i="11"/>
  <c r="CU484" i="11"/>
  <c r="CR484" i="11"/>
  <c r="CT484" i="11" s="1"/>
  <c r="CV484" i="11"/>
  <c r="CI484" i="11"/>
  <c r="CH484" i="11"/>
  <c r="BV484" i="11"/>
  <c r="BU484" i="11"/>
  <c r="BH484" i="11"/>
  <c r="BI484" i="11"/>
  <c r="AU484" i="11"/>
  <c r="AV484" i="11"/>
  <c r="AH484" i="11"/>
  <c r="AI484" i="11"/>
  <c r="BE483" i="11"/>
  <c r="BG483" i="11" s="1"/>
  <c r="DE483" i="11"/>
  <c r="DG483" i="11" s="1"/>
  <c r="BM484" i="11"/>
  <c r="AP484" i="11"/>
  <c r="BN484" i="11"/>
  <c r="AN484" i="11"/>
  <c r="DP484" i="11"/>
  <c r="Y484" i="11"/>
  <c r="BP484" i="11"/>
  <c r="BO484" i="11"/>
  <c r="BQ484" i="11" s="1"/>
  <c r="DB484" i="11"/>
  <c r="DD484" i="11" s="1"/>
  <c r="CO484" i="11"/>
  <c r="CA484" i="11"/>
  <c r="AO484" i="11"/>
  <c r="BB484" i="11"/>
  <c r="BD484" i="11" s="1"/>
  <c r="DM484" i="11"/>
  <c r="BZ484" i="11"/>
  <c r="CP484" i="11"/>
  <c r="CN484" i="11"/>
  <c r="DA484" i="11"/>
  <c r="DN484" i="11"/>
  <c r="X484" i="11"/>
  <c r="W485" i="11"/>
  <c r="CC484" i="11"/>
  <c r="CZ484" i="11"/>
  <c r="AM484" i="11"/>
  <c r="BA484" i="11"/>
  <c r="CM484" i="11"/>
  <c r="CB484" i="11"/>
  <c r="AA484" i="11"/>
  <c r="DC484" i="11"/>
  <c r="BC484" i="11"/>
  <c r="AZ484" i="11"/>
  <c r="B485" i="11"/>
  <c r="A485" i="11" s="1"/>
  <c r="C486" i="11"/>
  <c r="N451" i="12" l="1"/>
  <c r="L484" i="11"/>
  <c r="M484" i="11"/>
  <c r="EA485" i="11"/>
  <c r="EI485" i="11"/>
  <c r="EC485" i="11"/>
  <c r="EH485" i="11"/>
  <c r="DZ485" i="11"/>
  <c r="M451" i="12"/>
  <c r="A452" i="12"/>
  <c r="V452" i="12" s="1"/>
  <c r="W452" i="12" s="1"/>
  <c r="P485" i="11"/>
  <c r="AY481" i="11"/>
  <c r="DF483" i="11"/>
  <c r="BF483" i="11"/>
  <c r="BK483" i="11"/>
  <c r="DL481" i="11"/>
  <c r="BJ482" i="11"/>
  <c r="BL482" i="11" s="1"/>
  <c r="DJ483" i="11"/>
  <c r="B453" i="12"/>
  <c r="AS483" i="11"/>
  <c r="BX482" i="11"/>
  <c r="BY482" i="11" s="1"/>
  <c r="CL482" i="11"/>
  <c r="CQ484" i="11"/>
  <c r="BS483" i="11"/>
  <c r="AB485" i="11"/>
  <c r="CY482" i="11"/>
  <c r="CF484" i="11"/>
  <c r="CD484" i="11"/>
  <c r="CW483" i="11"/>
  <c r="CS483" i="11"/>
  <c r="DL482" i="11"/>
  <c r="CX483" i="11"/>
  <c r="CK483" i="11"/>
  <c r="CL483" i="11" s="1"/>
  <c r="CF483" i="11"/>
  <c r="AY482" i="11"/>
  <c r="AQ484" i="11"/>
  <c r="AR484" i="11" s="1"/>
  <c r="AT484" i="11" s="1"/>
  <c r="BR484" i="11"/>
  <c r="BT484" i="11" s="1"/>
  <c r="DE484" i="11"/>
  <c r="DG484" i="11" s="1"/>
  <c r="BE484" i="11"/>
  <c r="BG484" i="11" s="1"/>
  <c r="CE485" i="11"/>
  <c r="CG485" i="11" s="1"/>
  <c r="DV485" i="11"/>
  <c r="DU485" i="11"/>
  <c r="DH485" i="11"/>
  <c r="DI485" i="11"/>
  <c r="CR485" i="11"/>
  <c r="CT485" i="11" s="1"/>
  <c r="CU485" i="11"/>
  <c r="CV485" i="11"/>
  <c r="CH485" i="11"/>
  <c r="CI485" i="11"/>
  <c r="BU485" i="11"/>
  <c r="BV485" i="11"/>
  <c r="BI485" i="11"/>
  <c r="BH485" i="11"/>
  <c r="AU485" i="11"/>
  <c r="AV485" i="11"/>
  <c r="AH485" i="11"/>
  <c r="AI485" i="11"/>
  <c r="CS484" i="11"/>
  <c r="CP485" i="11"/>
  <c r="CM485" i="11"/>
  <c r="BN485" i="11"/>
  <c r="AM485" i="11"/>
  <c r="BP485" i="11"/>
  <c r="Y485" i="11"/>
  <c r="DB485" i="11"/>
  <c r="DD485" i="11" s="1"/>
  <c r="BO485" i="11"/>
  <c r="BQ485" i="11" s="1"/>
  <c r="BA485" i="11"/>
  <c r="BZ485" i="11"/>
  <c r="AZ485" i="11"/>
  <c r="CO485" i="11"/>
  <c r="X485" i="11"/>
  <c r="DM485" i="11"/>
  <c r="BC485" i="11"/>
  <c r="DC485" i="11"/>
  <c r="CC485" i="11"/>
  <c r="BM485" i="11"/>
  <c r="BB485" i="11"/>
  <c r="BD485" i="11" s="1"/>
  <c r="CZ485" i="11"/>
  <c r="AA485" i="11"/>
  <c r="DN485" i="11"/>
  <c r="DP485" i="11"/>
  <c r="CB485" i="11"/>
  <c r="DA485" i="11"/>
  <c r="AO485" i="11"/>
  <c r="W486" i="11"/>
  <c r="AP485" i="11"/>
  <c r="CN485" i="11"/>
  <c r="CA485" i="11"/>
  <c r="AN485" i="11"/>
  <c r="B486" i="11"/>
  <c r="A486" i="11" s="1"/>
  <c r="C487" i="11"/>
  <c r="M452" i="12" l="1"/>
  <c r="L485" i="11"/>
  <c r="N452" i="12"/>
  <c r="M485" i="11"/>
  <c r="DZ486" i="11"/>
  <c r="EI486" i="11"/>
  <c r="EA486" i="11"/>
  <c r="EH486" i="11"/>
  <c r="EC486" i="11"/>
  <c r="A453" i="12"/>
  <c r="N453" i="12" s="1"/>
  <c r="P486" i="11"/>
  <c r="BF484" i="11"/>
  <c r="DF484" i="11"/>
  <c r="BS484" i="11"/>
  <c r="AX483" i="11"/>
  <c r="AW483" i="11"/>
  <c r="BJ483" i="11"/>
  <c r="BL483" i="11" s="1"/>
  <c r="DK483" i="11"/>
  <c r="DL483" i="11" s="1"/>
  <c r="BW483" i="11"/>
  <c r="B454" i="12"/>
  <c r="BX483" i="11"/>
  <c r="AX484" i="11"/>
  <c r="BJ484" i="11"/>
  <c r="CY483" i="11"/>
  <c r="CJ484" i="11"/>
  <c r="AB486" i="11"/>
  <c r="CS485" i="11"/>
  <c r="CQ485" i="11"/>
  <c r="CK484" i="11"/>
  <c r="CF485" i="11"/>
  <c r="CD485" i="11"/>
  <c r="AQ485" i="11"/>
  <c r="AR485" i="11" s="1"/>
  <c r="AT485" i="11" s="1"/>
  <c r="BR485" i="11"/>
  <c r="BT485" i="11" s="1"/>
  <c r="DE485" i="11"/>
  <c r="DG485" i="11" s="1"/>
  <c r="CX484" i="11"/>
  <c r="CW484" i="11"/>
  <c r="BN486" i="11"/>
  <c r="CE486" i="11"/>
  <c r="CG486" i="11" s="1"/>
  <c r="DU486" i="11"/>
  <c r="DV486" i="11"/>
  <c r="DH486" i="11"/>
  <c r="DI486" i="11"/>
  <c r="CU486" i="11"/>
  <c r="CV486" i="11"/>
  <c r="CR486" i="11"/>
  <c r="CT486" i="11" s="1"/>
  <c r="CI486" i="11"/>
  <c r="CH486" i="11"/>
  <c r="BU486" i="11"/>
  <c r="BV486" i="11"/>
  <c r="BH486" i="11"/>
  <c r="BI486" i="11"/>
  <c r="AV486" i="11"/>
  <c r="AU486" i="11"/>
  <c r="AI486" i="11"/>
  <c r="AH486" i="11"/>
  <c r="BE485" i="11"/>
  <c r="BG485" i="11" s="1"/>
  <c r="BW484" i="11"/>
  <c r="BX484" i="11"/>
  <c r="CA486" i="11"/>
  <c r="BP486" i="11"/>
  <c r="AM486" i="11"/>
  <c r="BO486" i="11"/>
  <c r="BQ486" i="11" s="1"/>
  <c r="DA486" i="11"/>
  <c r="CB486" i="11"/>
  <c r="DM486" i="11"/>
  <c r="BA486" i="11"/>
  <c r="AO486" i="11"/>
  <c r="X486" i="11"/>
  <c r="AP486" i="11"/>
  <c r="AN486" i="11"/>
  <c r="CN486" i="11"/>
  <c r="DB486" i="11"/>
  <c r="DD486" i="11" s="1"/>
  <c r="BZ486" i="11"/>
  <c r="BB486" i="11"/>
  <c r="BD486" i="11" s="1"/>
  <c r="DP486" i="11"/>
  <c r="BM486" i="11"/>
  <c r="AZ486" i="11"/>
  <c r="DN486" i="11"/>
  <c r="CC486" i="11"/>
  <c r="CP486" i="11"/>
  <c r="CM486" i="11"/>
  <c r="AA486" i="11"/>
  <c r="DC486" i="11"/>
  <c r="Y486" i="11"/>
  <c r="W487" i="11"/>
  <c r="CZ486" i="11"/>
  <c r="BC486" i="11"/>
  <c r="CO486" i="11"/>
  <c r="B487" i="11"/>
  <c r="A487" i="11" s="1"/>
  <c r="C488" i="11"/>
  <c r="L486" i="11" l="1"/>
  <c r="M486" i="11"/>
  <c r="DZ487" i="11"/>
  <c r="EH487" i="11"/>
  <c r="EC487" i="11"/>
  <c r="EA487" i="11"/>
  <c r="EI487" i="11"/>
  <c r="M453" i="12"/>
  <c r="V453" i="12"/>
  <c r="W453" i="12" s="1"/>
  <c r="A454" i="12"/>
  <c r="N454" i="12" s="1"/>
  <c r="P487" i="11"/>
  <c r="BF485" i="11"/>
  <c r="DF485" i="11"/>
  <c r="DJ485" i="11"/>
  <c r="AY483" i="11"/>
  <c r="BK484" i="11"/>
  <c r="BL484" i="11" s="1"/>
  <c r="BY483" i="11"/>
  <c r="DJ484" i="11"/>
  <c r="DK484" i="11"/>
  <c r="BK485" i="11"/>
  <c r="AW485" i="11"/>
  <c r="AW484" i="11"/>
  <c r="AY484" i="11" s="1"/>
  <c r="B455" i="12"/>
  <c r="AS484" i="11"/>
  <c r="CL484" i="11"/>
  <c r="CX485" i="11"/>
  <c r="CW485" i="11"/>
  <c r="AB487" i="11"/>
  <c r="BY484" i="11"/>
  <c r="CS486" i="11"/>
  <c r="CQ486" i="11"/>
  <c r="BX485" i="11"/>
  <c r="BS485" i="11"/>
  <c r="CJ485" i="11"/>
  <c r="CF486" i="11"/>
  <c r="CD486" i="11"/>
  <c r="CK485" i="11"/>
  <c r="AQ486" i="11"/>
  <c r="AR486" i="11" s="1"/>
  <c r="AT486" i="11" s="1"/>
  <c r="CY484" i="11"/>
  <c r="BW485" i="11"/>
  <c r="BE486" i="11"/>
  <c r="BG486" i="11" s="1"/>
  <c r="CE487" i="11"/>
  <c r="CG487" i="11" s="1"/>
  <c r="DU487" i="11"/>
  <c r="DV487" i="11"/>
  <c r="DH487" i="11"/>
  <c r="DI487" i="11"/>
  <c r="CU487" i="11"/>
  <c r="CR487" i="11"/>
  <c r="CT487" i="11" s="1"/>
  <c r="CV487" i="11"/>
  <c r="CH487" i="11"/>
  <c r="CI487" i="11"/>
  <c r="BU487" i="11"/>
  <c r="BV487" i="11"/>
  <c r="BI487" i="11"/>
  <c r="BH487" i="11"/>
  <c r="AU487" i="11"/>
  <c r="AV487" i="11"/>
  <c r="AH487" i="11"/>
  <c r="AI487" i="11"/>
  <c r="BR486" i="11"/>
  <c r="BT486" i="11" s="1"/>
  <c r="DE486" i="11"/>
  <c r="DG486" i="11" s="1"/>
  <c r="BC487" i="11"/>
  <c r="BZ487" i="11"/>
  <c r="BP487" i="11"/>
  <c r="BN487" i="11"/>
  <c r="BO487" i="11"/>
  <c r="CO487" i="11"/>
  <c r="CB487" i="11"/>
  <c r="CP487" i="11"/>
  <c r="CZ487" i="11"/>
  <c r="DA487" i="11"/>
  <c r="Y487" i="11"/>
  <c r="AN487" i="11"/>
  <c r="X487" i="11"/>
  <c r="AZ487" i="11"/>
  <c r="AA487" i="11"/>
  <c r="CN487" i="11"/>
  <c r="CM487" i="11"/>
  <c r="BM487" i="11"/>
  <c r="AP487" i="11"/>
  <c r="DP487" i="11"/>
  <c r="AO487" i="11"/>
  <c r="DM487" i="11"/>
  <c r="BA487" i="11"/>
  <c r="CC487" i="11"/>
  <c r="CA487" i="11"/>
  <c r="DB487" i="11"/>
  <c r="DD487" i="11" s="1"/>
  <c r="W488" i="11"/>
  <c r="DC487" i="11"/>
  <c r="DN487" i="11"/>
  <c r="BB487" i="11"/>
  <c r="BD487" i="11" s="1"/>
  <c r="AM487" i="11"/>
  <c r="B488" i="11"/>
  <c r="A488" i="11" s="1"/>
  <c r="C489" i="11"/>
  <c r="M487" i="11" l="1"/>
  <c r="L487" i="11"/>
  <c r="V454" i="12"/>
  <c r="W454" i="12" s="1"/>
  <c r="EI488" i="11"/>
  <c r="EH488" i="11"/>
  <c r="EC488" i="11"/>
  <c r="EA488" i="11"/>
  <c r="DZ488" i="11"/>
  <c r="M454" i="12"/>
  <c r="A455" i="12"/>
  <c r="M455" i="12" s="1"/>
  <c r="P488" i="11"/>
  <c r="DK485" i="11"/>
  <c r="DL485" i="11" s="1"/>
  <c r="DF486" i="11"/>
  <c r="BS486" i="11"/>
  <c r="BF486" i="11"/>
  <c r="BK486" i="11"/>
  <c r="DL484" i="11"/>
  <c r="AX485" i="11"/>
  <c r="AY485" i="11" s="1"/>
  <c r="BJ485" i="11"/>
  <c r="BL485" i="11" s="1"/>
  <c r="AS485" i="11"/>
  <c r="BY485" i="11"/>
  <c r="DK486" i="11"/>
  <c r="B456" i="12"/>
  <c r="AW486" i="11"/>
  <c r="CL485" i="11"/>
  <c r="CY485" i="11"/>
  <c r="DM488" i="11"/>
  <c r="CX486" i="11"/>
  <c r="AB488" i="11"/>
  <c r="CW486" i="11"/>
  <c r="BQ487" i="11"/>
  <c r="BR487" i="11" s="1"/>
  <c r="BT487" i="11" s="1"/>
  <c r="CF487" i="11"/>
  <c r="CD487" i="11"/>
  <c r="CW487" i="11"/>
  <c r="CQ487" i="11"/>
  <c r="CJ486" i="11"/>
  <c r="CK486" i="11"/>
  <c r="AQ487" i="11"/>
  <c r="AR487" i="11" s="1"/>
  <c r="AT487" i="11" s="1"/>
  <c r="BE487" i="11"/>
  <c r="BG487" i="11" s="1"/>
  <c r="CE488" i="11"/>
  <c r="CG488" i="11" s="1"/>
  <c r="DU488" i="11"/>
  <c r="DV488" i="11"/>
  <c r="DH488" i="11"/>
  <c r="DI488" i="11"/>
  <c r="CR488" i="11"/>
  <c r="CT488" i="11" s="1"/>
  <c r="CU488" i="11"/>
  <c r="CV488" i="11"/>
  <c r="CI488" i="11"/>
  <c r="CH488" i="11"/>
  <c r="BU488" i="11"/>
  <c r="BV488" i="11"/>
  <c r="BI488" i="11"/>
  <c r="BH488" i="11"/>
  <c r="AU488" i="11"/>
  <c r="AV488" i="11"/>
  <c r="AI488" i="11"/>
  <c r="AH488" i="11"/>
  <c r="DE487" i="11"/>
  <c r="DG487" i="11" s="1"/>
  <c r="BN488" i="11"/>
  <c r="CC488" i="11"/>
  <c r="BP488" i="11"/>
  <c r="BB488" i="11"/>
  <c r="BD488" i="11" s="1"/>
  <c r="BO488" i="11"/>
  <c r="BQ488" i="11" s="1"/>
  <c r="AA488" i="11"/>
  <c r="Y488" i="11"/>
  <c r="X488" i="11"/>
  <c r="CO488" i="11"/>
  <c r="CM488" i="11"/>
  <c r="AM488" i="11"/>
  <c r="AO488" i="11"/>
  <c r="DP488" i="11"/>
  <c r="BA488" i="11"/>
  <c r="AZ488" i="11"/>
  <c r="DC488" i="11"/>
  <c r="AN488" i="11"/>
  <c r="CP488" i="11"/>
  <c r="BM488" i="11"/>
  <c r="DN488" i="11"/>
  <c r="W489" i="11"/>
  <c r="DB488" i="11"/>
  <c r="DD488" i="11" s="1"/>
  <c r="DA488" i="11"/>
  <c r="BC488" i="11"/>
  <c r="CN488" i="11"/>
  <c r="AP488" i="11"/>
  <c r="CA488" i="11"/>
  <c r="CZ488" i="11"/>
  <c r="CB488" i="11"/>
  <c r="BZ488" i="11"/>
  <c r="B489" i="11"/>
  <c r="A489" i="11" s="1"/>
  <c r="C490" i="11"/>
  <c r="L488" i="11" l="1"/>
  <c r="V455" i="12"/>
  <c r="W455" i="12" s="1"/>
  <c r="M488" i="11"/>
  <c r="EC489" i="11"/>
  <c r="EI489" i="11"/>
  <c r="EH489" i="11"/>
  <c r="DZ489" i="11"/>
  <c r="EA489" i="11"/>
  <c r="N455" i="12"/>
  <c r="A456" i="12"/>
  <c r="V456" i="12" s="1"/>
  <c r="W456" i="12" s="1"/>
  <c r="P489" i="11"/>
  <c r="DF487" i="11"/>
  <c r="BF487" i="11"/>
  <c r="BK487" i="11"/>
  <c r="DJ486" i="11"/>
  <c r="DL486" i="11" s="1"/>
  <c r="BX486" i="11"/>
  <c r="BW486" i="11"/>
  <c r="AS486" i="11"/>
  <c r="AX486" i="11"/>
  <c r="AY486" i="11" s="1"/>
  <c r="BJ486" i="11"/>
  <c r="BL486" i="11" s="1"/>
  <c r="DK487" i="11"/>
  <c r="B457" i="12"/>
  <c r="CK487" i="11"/>
  <c r="CY486" i="11"/>
  <c r="CJ487" i="11"/>
  <c r="CL486" i="11"/>
  <c r="BS487" i="11"/>
  <c r="BW487" i="11"/>
  <c r="BX487" i="11"/>
  <c r="AB489" i="11"/>
  <c r="BR488" i="11"/>
  <c r="BT488" i="11" s="1"/>
  <c r="CS488" i="11"/>
  <c r="CQ488" i="11"/>
  <c r="CX487" i="11"/>
  <c r="CY487" i="11" s="1"/>
  <c r="CS487" i="11"/>
  <c r="CF488" i="11"/>
  <c r="CD488" i="11"/>
  <c r="AQ488" i="11"/>
  <c r="AR488" i="11" s="1"/>
  <c r="AT488" i="11" s="1"/>
  <c r="AX487" i="11"/>
  <c r="AW487" i="11"/>
  <c r="CX488" i="11"/>
  <c r="CE489" i="11"/>
  <c r="CG489" i="11" s="1"/>
  <c r="DV489" i="11"/>
  <c r="DU489" i="11"/>
  <c r="DH489" i="11"/>
  <c r="DI489" i="11"/>
  <c r="CR489" i="11"/>
  <c r="CT489" i="11" s="1"/>
  <c r="CV489" i="11"/>
  <c r="CU489" i="11"/>
  <c r="CI489" i="11"/>
  <c r="CH489" i="11"/>
  <c r="BU489" i="11"/>
  <c r="BV489" i="11"/>
  <c r="BH489" i="11"/>
  <c r="BI489" i="11"/>
  <c r="AU489" i="11"/>
  <c r="AV489" i="11"/>
  <c r="AI489" i="11"/>
  <c r="AH489" i="11"/>
  <c r="DE488" i="11"/>
  <c r="DG488" i="11" s="1"/>
  <c r="BE488" i="11"/>
  <c r="BG488" i="11" s="1"/>
  <c r="CZ489" i="11"/>
  <c r="CA489" i="11"/>
  <c r="AN489" i="11"/>
  <c r="BC489" i="11"/>
  <c r="BN489" i="11"/>
  <c r="X489" i="11"/>
  <c r="BP489" i="11"/>
  <c r="BO489" i="11"/>
  <c r="BQ489" i="11" s="1"/>
  <c r="DC489" i="11"/>
  <c r="CN489" i="11"/>
  <c r="AP489" i="11"/>
  <c r="AO489" i="11"/>
  <c r="AZ489" i="11"/>
  <c r="CC489" i="11"/>
  <c r="BB489" i="11"/>
  <c r="BD489" i="11" s="1"/>
  <c r="AM489" i="11"/>
  <c r="W490" i="11"/>
  <c r="DM489" i="11"/>
  <c r="BA489" i="11"/>
  <c r="CM489" i="11"/>
  <c r="DA489" i="11"/>
  <c r="BM489" i="11"/>
  <c r="Y489" i="11"/>
  <c r="CO489" i="11"/>
  <c r="DN489" i="11"/>
  <c r="BZ489" i="11"/>
  <c r="CB489" i="11"/>
  <c r="DB489" i="11"/>
  <c r="DD489" i="11" s="1"/>
  <c r="CP489" i="11"/>
  <c r="DP489" i="11"/>
  <c r="AA489" i="11"/>
  <c r="B490" i="11"/>
  <c r="A490" i="11" s="1"/>
  <c r="C491" i="11"/>
  <c r="N456" i="12" l="1"/>
  <c r="L489" i="11"/>
  <c r="M489" i="11"/>
  <c r="EI490" i="11"/>
  <c r="EC490" i="11"/>
  <c r="EH490" i="11"/>
  <c r="EA490" i="11"/>
  <c r="DZ490" i="11"/>
  <c r="M456" i="12"/>
  <c r="A457" i="12"/>
  <c r="V457" i="12" s="1"/>
  <c r="W457" i="12" s="1"/>
  <c r="P490" i="11"/>
  <c r="BF488" i="11"/>
  <c r="BS488" i="11"/>
  <c r="BW488" i="11"/>
  <c r="DF488" i="11"/>
  <c r="DJ488" i="11"/>
  <c r="BJ487" i="11"/>
  <c r="BL487" i="11" s="1"/>
  <c r="BY487" i="11"/>
  <c r="BY486" i="11"/>
  <c r="DJ487" i="11"/>
  <c r="DL487" i="11" s="1"/>
  <c r="CL487" i="11"/>
  <c r="AS488" i="11"/>
  <c r="BK488" i="11"/>
  <c r="AS487" i="11"/>
  <c r="B458" i="12"/>
  <c r="CD489" i="11"/>
  <c r="CW488" i="11"/>
  <c r="CY488" i="11" s="1"/>
  <c r="AB490" i="11"/>
  <c r="CQ489" i="11"/>
  <c r="CK488" i="11"/>
  <c r="CJ488" i="11"/>
  <c r="AQ489" i="11"/>
  <c r="AR489" i="11" s="1"/>
  <c r="AT489" i="11" s="1"/>
  <c r="AY487" i="11"/>
  <c r="BE489" i="11"/>
  <c r="BG489" i="11" s="1"/>
  <c r="BR489" i="11"/>
  <c r="BT489" i="11" s="1"/>
  <c r="CF489" i="11"/>
  <c r="CE490" i="11"/>
  <c r="CG490" i="11" s="1"/>
  <c r="DU490" i="11"/>
  <c r="DV490" i="11"/>
  <c r="DH490" i="11"/>
  <c r="DI490" i="11"/>
  <c r="CR490" i="11"/>
  <c r="CT490" i="11" s="1"/>
  <c r="CU490" i="11"/>
  <c r="CV490" i="11"/>
  <c r="CH490" i="11"/>
  <c r="CI490" i="11"/>
  <c r="BU490" i="11"/>
  <c r="BV490" i="11"/>
  <c r="BI490" i="11"/>
  <c r="BH490" i="11"/>
  <c r="AH490" i="11"/>
  <c r="AI490" i="11"/>
  <c r="AU490" i="11"/>
  <c r="AV490" i="11"/>
  <c r="CS489" i="11"/>
  <c r="DE489" i="11"/>
  <c r="DG489" i="11" s="1"/>
  <c r="BN490" i="11"/>
  <c r="BP490" i="11"/>
  <c r="CZ490" i="11"/>
  <c r="DB490" i="11"/>
  <c r="DD490" i="11" s="1"/>
  <c r="BO490" i="11"/>
  <c r="BQ490" i="11" s="1"/>
  <c r="CB490" i="11"/>
  <c r="CM490" i="11"/>
  <c r="BC490" i="11"/>
  <c r="BZ490" i="11"/>
  <c r="DN490" i="11"/>
  <c r="CP490" i="11"/>
  <c r="DA490" i="11"/>
  <c r="DC490" i="11"/>
  <c r="DM490" i="11"/>
  <c r="CO490" i="11"/>
  <c r="AM490" i="11"/>
  <c r="AA490" i="11"/>
  <c r="CN490" i="11"/>
  <c r="Y490" i="11"/>
  <c r="BB490" i="11"/>
  <c r="BD490" i="11" s="1"/>
  <c r="DP490" i="11"/>
  <c r="BM490" i="11"/>
  <c r="CC490" i="11"/>
  <c r="AP490" i="11"/>
  <c r="AO490" i="11"/>
  <c r="W491" i="11"/>
  <c r="AZ490" i="11"/>
  <c r="CA490" i="11"/>
  <c r="BA490" i="11"/>
  <c r="AN490" i="11"/>
  <c r="X490" i="11"/>
  <c r="B491" i="11"/>
  <c r="A491" i="11" s="1"/>
  <c r="C492" i="11"/>
  <c r="M457" i="12" l="1"/>
  <c r="M490" i="11"/>
  <c r="L490" i="11"/>
  <c r="DZ491" i="11"/>
  <c r="EH491" i="11"/>
  <c r="EC491" i="11"/>
  <c r="EI491" i="11"/>
  <c r="EA491" i="11"/>
  <c r="N457" i="12"/>
  <c r="A458" i="12"/>
  <c r="N458" i="12" s="1"/>
  <c r="P491" i="11"/>
  <c r="CQ490" i="11"/>
  <c r="BX488" i="11"/>
  <c r="BY488" i="11" s="1"/>
  <c r="BS489" i="11"/>
  <c r="BF489" i="11"/>
  <c r="DF489" i="11"/>
  <c r="DK489" i="11"/>
  <c r="AW488" i="11"/>
  <c r="BJ488" i="11"/>
  <c r="BL488" i="11" s="1"/>
  <c r="DK488" i="11"/>
  <c r="DL488" i="11" s="1"/>
  <c r="B459" i="12"/>
  <c r="AS489" i="11"/>
  <c r="AX488" i="11"/>
  <c r="CL488" i="11"/>
  <c r="AB491" i="11"/>
  <c r="CF490" i="11"/>
  <c r="CD490" i="11"/>
  <c r="AQ490" i="11"/>
  <c r="AR490" i="11" s="1"/>
  <c r="AT490" i="11" s="1"/>
  <c r="BR490" i="11"/>
  <c r="BT490" i="11" s="1"/>
  <c r="CW489" i="11"/>
  <c r="CX489" i="11"/>
  <c r="BE490" i="11"/>
  <c r="BG490" i="11" s="1"/>
  <c r="CS490" i="11"/>
  <c r="CJ489" i="11"/>
  <c r="CK489" i="11"/>
  <c r="CE491" i="11"/>
  <c r="CG491" i="11" s="1"/>
  <c r="DU491" i="11"/>
  <c r="DV491" i="11"/>
  <c r="DI491" i="11"/>
  <c r="DH491" i="11"/>
  <c r="CU491" i="11"/>
  <c r="CV491" i="11"/>
  <c r="CR491" i="11"/>
  <c r="CT491" i="11" s="1"/>
  <c r="CI491" i="11"/>
  <c r="CH491" i="11"/>
  <c r="BU491" i="11"/>
  <c r="BV491" i="11"/>
  <c r="BI491" i="11"/>
  <c r="BH491" i="11"/>
  <c r="AU491" i="11"/>
  <c r="AV491" i="11"/>
  <c r="AI491" i="11"/>
  <c r="AH491" i="11"/>
  <c r="DE490" i="11"/>
  <c r="DG490" i="11" s="1"/>
  <c r="BN491" i="11"/>
  <c r="BP491" i="11"/>
  <c r="BO491" i="11"/>
  <c r="CP491" i="11"/>
  <c r="BB491" i="11"/>
  <c r="BD491" i="11" s="1"/>
  <c r="BC491" i="11"/>
  <c r="Y491" i="11"/>
  <c r="BA491" i="11"/>
  <c r="CM491" i="11"/>
  <c r="DB491" i="11"/>
  <c r="DD491" i="11" s="1"/>
  <c r="AM491" i="11"/>
  <c r="DP491" i="11"/>
  <c r="AO491" i="11"/>
  <c r="CN491" i="11"/>
  <c r="AN491" i="11"/>
  <c r="BZ491" i="11"/>
  <c r="X491" i="11"/>
  <c r="DA491" i="11"/>
  <c r="DM491" i="11"/>
  <c r="CA491" i="11"/>
  <c r="CB491" i="11"/>
  <c r="DN491" i="11"/>
  <c r="AZ491" i="11"/>
  <c r="AA491" i="11"/>
  <c r="BM491" i="11"/>
  <c r="DC491" i="11"/>
  <c r="W492" i="11"/>
  <c r="AP491" i="11"/>
  <c r="CO491" i="11"/>
  <c r="CC491" i="11"/>
  <c r="CZ491" i="11"/>
  <c r="B492" i="11"/>
  <c r="A492" i="11" s="1"/>
  <c r="C493" i="11"/>
  <c r="M458" i="12" l="1"/>
  <c r="L491" i="11"/>
  <c r="M491" i="11"/>
  <c r="V458" i="12"/>
  <c r="W458" i="12" s="1"/>
  <c r="EI492" i="11"/>
  <c r="EA492" i="11"/>
  <c r="DZ492" i="11"/>
  <c r="EH492" i="11"/>
  <c r="EC492" i="11"/>
  <c r="A459" i="12"/>
  <c r="V459" i="12" s="1"/>
  <c r="W459" i="12" s="1"/>
  <c r="P492" i="11"/>
  <c r="BS490" i="11"/>
  <c r="DF490" i="11"/>
  <c r="BF490" i="11"/>
  <c r="AY488" i="11"/>
  <c r="BX489" i="11"/>
  <c r="BW489" i="11"/>
  <c r="AX489" i="11"/>
  <c r="AW489" i="11"/>
  <c r="DJ490" i="11"/>
  <c r="BK489" i="11"/>
  <c r="BJ489" i="11"/>
  <c r="DJ489" i="11"/>
  <c r="DL489" i="11" s="1"/>
  <c r="B460" i="12"/>
  <c r="AX490" i="11"/>
  <c r="CY489" i="11"/>
  <c r="AB492" i="11"/>
  <c r="CJ490" i="11"/>
  <c r="CK490" i="11"/>
  <c r="BQ491" i="11"/>
  <c r="BR491" i="11" s="1"/>
  <c r="BT491" i="11" s="1"/>
  <c r="CS491" i="11"/>
  <c r="CQ491" i="11"/>
  <c r="CF491" i="11"/>
  <c r="CD491" i="11"/>
  <c r="AQ491" i="11"/>
  <c r="AR491" i="11" s="1"/>
  <c r="AT491" i="11" s="1"/>
  <c r="BK490" i="11"/>
  <c r="BJ490" i="11"/>
  <c r="CJ491" i="11"/>
  <c r="CL489" i="11"/>
  <c r="BX490" i="11"/>
  <c r="BW490" i="11"/>
  <c r="CX490" i="11"/>
  <c r="CW490" i="11"/>
  <c r="DE491" i="11"/>
  <c r="DG491" i="11" s="1"/>
  <c r="CE492" i="11"/>
  <c r="CG492" i="11" s="1"/>
  <c r="DU492" i="11"/>
  <c r="DV492" i="11"/>
  <c r="DH492" i="11"/>
  <c r="DI492" i="11"/>
  <c r="CR492" i="11"/>
  <c r="CT492" i="11" s="1"/>
  <c r="CV492" i="11"/>
  <c r="CU492" i="11"/>
  <c r="CH492" i="11"/>
  <c r="CI492" i="11"/>
  <c r="BU492" i="11"/>
  <c r="BV492" i="11"/>
  <c r="BH492" i="11"/>
  <c r="BI492" i="11"/>
  <c r="AU492" i="11"/>
  <c r="AV492" i="11"/>
  <c r="AH492" i="11"/>
  <c r="AI492" i="11"/>
  <c r="BE491" i="11"/>
  <c r="BG491" i="11" s="1"/>
  <c r="CC492" i="11"/>
  <c r="AN492" i="11"/>
  <c r="CZ492" i="11"/>
  <c r="BP492" i="11"/>
  <c r="BZ492" i="11"/>
  <c r="BN492" i="11"/>
  <c r="DA492" i="11"/>
  <c r="Y492" i="11"/>
  <c r="AP492" i="11"/>
  <c r="CO492" i="11"/>
  <c r="BO492" i="11"/>
  <c r="DN492" i="11"/>
  <c r="BM492" i="11"/>
  <c r="DB492" i="11"/>
  <c r="DD492" i="11" s="1"/>
  <c r="CM492" i="11"/>
  <c r="BA492" i="11"/>
  <c r="CN492" i="11"/>
  <c r="DC492" i="11"/>
  <c r="AO492" i="11"/>
  <c r="AM492" i="11"/>
  <c r="BB492" i="11"/>
  <c r="BD492" i="11" s="1"/>
  <c r="AA492" i="11"/>
  <c r="AZ492" i="11"/>
  <c r="DP492" i="11"/>
  <c r="CB492" i="11"/>
  <c r="CP492" i="11"/>
  <c r="BC492" i="11"/>
  <c r="CA492" i="11"/>
  <c r="W493" i="11"/>
  <c r="X492" i="11"/>
  <c r="DM492" i="11"/>
  <c r="B493" i="11"/>
  <c r="A493" i="11" s="1"/>
  <c r="C494" i="11"/>
  <c r="N459" i="12" l="1"/>
  <c r="M459" i="12"/>
  <c r="M492" i="11"/>
  <c r="L492" i="11"/>
  <c r="EI493" i="11"/>
  <c r="EC493" i="11"/>
  <c r="DZ493" i="11"/>
  <c r="EH493" i="11"/>
  <c r="EA493" i="11"/>
  <c r="A460" i="12"/>
  <c r="M460" i="12" s="1"/>
  <c r="P493" i="11"/>
  <c r="DF491" i="11"/>
  <c r="DK491" i="11"/>
  <c r="BS491" i="11"/>
  <c r="BF491" i="11"/>
  <c r="BJ491" i="11"/>
  <c r="AY489" i="11"/>
  <c r="BL489" i="11"/>
  <c r="BY489" i="11"/>
  <c r="DK490" i="11"/>
  <c r="DL490" i="11" s="1"/>
  <c r="AW490" i="11"/>
  <c r="AY490" i="11" s="1"/>
  <c r="AS491" i="11"/>
  <c r="BW491" i="11"/>
  <c r="AS490" i="11"/>
  <c r="B461" i="12"/>
  <c r="CX492" i="11"/>
  <c r="BL490" i="11"/>
  <c r="CK491" i="11"/>
  <c r="CL491" i="11" s="1"/>
  <c r="CL490" i="11"/>
  <c r="CX491" i="11"/>
  <c r="CW491" i="11"/>
  <c r="AB493" i="11"/>
  <c r="BQ492" i="11"/>
  <c r="BR492" i="11" s="1"/>
  <c r="BT492" i="11" s="1"/>
  <c r="CQ492" i="11"/>
  <c r="CF492" i="11"/>
  <c r="CD492" i="11"/>
  <c r="AQ492" i="11"/>
  <c r="AR492" i="11" s="1"/>
  <c r="AT492" i="11" s="1"/>
  <c r="CY490" i="11"/>
  <c r="BY490" i="11"/>
  <c r="BP493" i="11"/>
  <c r="CE493" i="11"/>
  <c r="CG493" i="11" s="1"/>
  <c r="DV493" i="11"/>
  <c r="DU493" i="11"/>
  <c r="DH493" i="11"/>
  <c r="DI493" i="11"/>
  <c r="CU493" i="11"/>
  <c r="CV493" i="11"/>
  <c r="CR493" i="11"/>
  <c r="CT493" i="11" s="1"/>
  <c r="CH493" i="11"/>
  <c r="CI493" i="11"/>
  <c r="BU493" i="11"/>
  <c r="BV493" i="11"/>
  <c r="BH493" i="11"/>
  <c r="BI493" i="11"/>
  <c r="AU493" i="11"/>
  <c r="AV493" i="11"/>
  <c r="AI493" i="11"/>
  <c r="AH493" i="11"/>
  <c r="DE492" i="11"/>
  <c r="DG492" i="11" s="1"/>
  <c r="BE492" i="11"/>
  <c r="BG492" i="11" s="1"/>
  <c r="BN493" i="11"/>
  <c r="CN493" i="11"/>
  <c r="BO493" i="11"/>
  <c r="BQ493" i="11" s="1"/>
  <c r="BC493" i="11"/>
  <c r="CC493" i="11"/>
  <c r="AM493" i="11"/>
  <c r="DP493" i="11"/>
  <c r="DN493" i="11"/>
  <c r="CP493" i="11"/>
  <c r="Y493" i="11"/>
  <c r="AN493" i="11"/>
  <c r="CM493" i="11"/>
  <c r="DM493" i="11"/>
  <c r="CZ493" i="11"/>
  <c r="AP493" i="11"/>
  <c r="X493" i="11"/>
  <c r="CB493" i="11"/>
  <c r="AO493" i="11"/>
  <c r="AZ493" i="11"/>
  <c r="DB493" i="11"/>
  <c r="DD493" i="11" s="1"/>
  <c r="BA493" i="11"/>
  <c r="DA493" i="11"/>
  <c r="CO493" i="11"/>
  <c r="W494" i="11"/>
  <c r="BB493" i="11"/>
  <c r="BD493" i="11" s="1"/>
  <c r="AA493" i="11"/>
  <c r="CA493" i="11"/>
  <c r="DC493" i="11"/>
  <c r="BM493" i="11"/>
  <c r="BZ493" i="11"/>
  <c r="B494" i="11"/>
  <c r="A494" i="11" s="1"/>
  <c r="C495" i="11"/>
  <c r="N460" i="12" l="1"/>
  <c r="M493" i="11"/>
  <c r="L493" i="11"/>
  <c r="EH494" i="11"/>
  <c r="EI494" i="11"/>
  <c r="EA494" i="11"/>
  <c r="EC494" i="11"/>
  <c r="DZ494" i="11"/>
  <c r="V460" i="12"/>
  <c r="W460" i="12" s="1"/>
  <c r="A461" i="12"/>
  <c r="M461" i="12" s="1"/>
  <c r="P494" i="11"/>
  <c r="BF492" i="11"/>
  <c r="DF492" i="11"/>
  <c r="BK491" i="11"/>
  <c r="BL491" i="11" s="1"/>
  <c r="DJ491" i="11"/>
  <c r="DL491" i="11" s="1"/>
  <c r="AX491" i="11"/>
  <c r="BX491" i="11"/>
  <c r="BY491" i="11" s="1"/>
  <c r="AW491" i="11"/>
  <c r="AX492" i="11"/>
  <c r="B462" i="12"/>
  <c r="BK492" i="11"/>
  <c r="CY491" i="11"/>
  <c r="BS492" i="11"/>
  <c r="AB494" i="11"/>
  <c r="CJ492" i="11"/>
  <c r="CK493" i="11"/>
  <c r="CD493" i="11"/>
  <c r="CK492" i="11"/>
  <c r="CW492" i="11"/>
  <c r="CY492" i="11" s="1"/>
  <c r="CS492" i="11"/>
  <c r="CS493" i="11"/>
  <c r="CQ493" i="11"/>
  <c r="AQ493" i="11"/>
  <c r="AR493" i="11" s="1"/>
  <c r="AT493" i="11" s="1"/>
  <c r="BR493" i="11"/>
  <c r="BT493" i="11" s="1"/>
  <c r="DE493" i="11"/>
  <c r="DG493" i="11" s="1"/>
  <c r="BP494" i="11"/>
  <c r="CE494" i="11"/>
  <c r="CG494" i="11" s="1"/>
  <c r="DU494" i="11"/>
  <c r="DV494" i="11"/>
  <c r="DI494" i="11"/>
  <c r="DH494" i="11"/>
  <c r="CV494" i="11"/>
  <c r="CU494" i="11"/>
  <c r="CR494" i="11"/>
  <c r="CT494" i="11" s="1"/>
  <c r="CH494" i="11"/>
  <c r="CI494" i="11"/>
  <c r="BU494" i="11"/>
  <c r="BV494" i="11"/>
  <c r="BH494" i="11"/>
  <c r="BI494" i="11"/>
  <c r="AU494" i="11"/>
  <c r="AV494" i="11"/>
  <c r="AH494" i="11"/>
  <c r="AI494" i="11"/>
  <c r="BE493" i="11"/>
  <c r="BG493" i="11" s="1"/>
  <c r="BZ494" i="11"/>
  <c r="BM494" i="11"/>
  <c r="BN494" i="11"/>
  <c r="AN494" i="11"/>
  <c r="BO494" i="11"/>
  <c r="BQ494" i="11" s="1"/>
  <c r="AA494" i="11"/>
  <c r="DB494" i="11"/>
  <c r="DD494" i="11" s="1"/>
  <c r="DC494" i="11"/>
  <c r="CA494" i="11"/>
  <c r="X494" i="11"/>
  <c r="AP494" i="11"/>
  <c r="CO494" i="11"/>
  <c r="AZ494" i="11"/>
  <c r="AM494" i="11"/>
  <c r="CB494" i="11"/>
  <c r="Y494" i="11"/>
  <c r="CP494" i="11"/>
  <c r="DM494" i="11"/>
  <c r="CZ494" i="11"/>
  <c r="CM494" i="11"/>
  <c r="DN494" i="11"/>
  <c r="CC494" i="11"/>
  <c r="BB494" i="11"/>
  <c r="BD494" i="11" s="1"/>
  <c r="DA494" i="11"/>
  <c r="AO494" i="11"/>
  <c r="BC494" i="11"/>
  <c r="W495" i="11"/>
  <c r="BA494" i="11"/>
  <c r="DP494" i="11"/>
  <c r="CN494" i="11"/>
  <c r="B495" i="11"/>
  <c r="A495" i="11" s="1"/>
  <c r="C496" i="11"/>
  <c r="N461" i="12" l="1"/>
  <c r="M494" i="11"/>
  <c r="L494" i="11"/>
  <c r="V461" i="12"/>
  <c r="W461" i="12" s="1"/>
  <c r="EH495" i="11"/>
  <c r="EI495" i="11"/>
  <c r="EC495" i="11"/>
  <c r="DZ495" i="11"/>
  <c r="EA495" i="11"/>
  <c r="A462" i="12"/>
  <c r="V462" i="12" s="1"/>
  <c r="W462" i="12" s="1"/>
  <c r="P495" i="11"/>
  <c r="AY491" i="11"/>
  <c r="BS493" i="11"/>
  <c r="DF493" i="11"/>
  <c r="DK493" i="11"/>
  <c r="BF493" i="11"/>
  <c r="BJ493" i="11"/>
  <c r="BJ492" i="11"/>
  <c r="BL492" i="11" s="1"/>
  <c r="AW492" i="11"/>
  <c r="AY492" i="11" s="1"/>
  <c r="AS493" i="11"/>
  <c r="BW493" i="11"/>
  <c r="DK492" i="11"/>
  <c r="BW492" i="11"/>
  <c r="AS492" i="11"/>
  <c r="B463" i="12"/>
  <c r="DJ492" i="11"/>
  <c r="BX492" i="11"/>
  <c r="AB495" i="11"/>
  <c r="CL492" i="11"/>
  <c r="CQ494" i="11"/>
  <c r="CX493" i="11"/>
  <c r="CW493" i="11"/>
  <c r="CF494" i="11"/>
  <c r="CD494" i="11"/>
  <c r="CJ493" i="11"/>
  <c r="CL493" i="11" s="1"/>
  <c r="CF493" i="11"/>
  <c r="AQ494" i="11"/>
  <c r="AR494" i="11" s="1"/>
  <c r="AT494" i="11" s="1"/>
  <c r="DE494" i="11"/>
  <c r="DG494" i="11" s="1"/>
  <c r="BX493" i="11"/>
  <c r="BE494" i="11"/>
  <c r="BG494" i="11" s="1"/>
  <c r="BP495" i="11"/>
  <c r="CE495" i="11"/>
  <c r="CG495" i="11" s="1"/>
  <c r="DU495" i="11"/>
  <c r="DV495" i="11"/>
  <c r="DH495" i="11"/>
  <c r="DI495" i="11"/>
  <c r="CR495" i="11"/>
  <c r="CT495" i="11" s="1"/>
  <c r="CV495" i="11"/>
  <c r="CU495" i="11"/>
  <c r="CH495" i="11"/>
  <c r="CI495" i="11"/>
  <c r="BU495" i="11"/>
  <c r="BV495" i="11"/>
  <c r="BH495" i="11"/>
  <c r="BI495" i="11"/>
  <c r="AU495" i="11"/>
  <c r="AV495" i="11"/>
  <c r="AH495" i="11"/>
  <c r="AI495" i="11"/>
  <c r="BR494" i="11"/>
  <c r="BT494" i="11" s="1"/>
  <c r="CN495" i="11"/>
  <c r="BN495" i="11"/>
  <c r="CA495" i="11"/>
  <c r="BO495" i="11"/>
  <c r="BQ495" i="11" s="1"/>
  <c r="AZ495" i="11"/>
  <c r="CO495" i="11"/>
  <c r="CZ495" i="11"/>
  <c r="DA495" i="11"/>
  <c r="BB495" i="11"/>
  <c r="BD495" i="11" s="1"/>
  <c r="CP495" i="11"/>
  <c r="CM495" i="11"/>
  <c r="DC495" i="11"/>
  <c r="CC495" i="11"/>
  <c r="BA495" i="11"/>
  <c r="BM495" i="11"/>
  <c r="DM495" i="11"/>
  <c r="AP495" i="11"/>
  <c r="W496" i="11"/>
  <c r="X495" i="11"/>
  <c r="DN495" i="11"/>
  <c r="Y495" i="11"/>
  <c r="DP495" i="11"/>
  <c r="BC495" i="11"/>
  <c r="AA495" i="11"/>
  <c r="CB495" i="11"/>
  <c r="DB495" i="11"/>
  <c r="DD495" i="11" s="1"/>
  <c r="AO495" i="11"/>
  <c r="BZ495" i="11"/>
  <c r="AM495" i="11"/>
  <c r="AN495" i="11"/>
  <c r="B496" i="11"/>
  <c r="A496" i="11" s="1"/>
  <c r="C497" i="11"/>
  <c r="N462" i="12" l="1"/>
  <c r="M495" i="11"/>
  <c r="L495" i="11"/>
  <c r="EC496" i="11"/>
  <c r="DZ496" i="11"/>
  <c r="EI496" i="11"/>
  <c r="EH496" i="11"/>
  <c r="EA496" i="11"/>
  <c r="M462" i="12"/>
  <c r="A463" i="12"/>
  <c r="M463" i="12" s="1"/>
  <c r="P496" i="11"/>
  <c r="BF494" i="11"/>
  <c r="BJ494" i="11"/>
  <c r="BS494" i="11"/>
  <c r="BX494" i="11"/>
  <c r="DF494" i="11"/>
  <c r="AW493" i="11"/>
  <c r="DJ493" i="11"/>
  <c r="DL493" i="11" s="1"/>
  <c r="BY492" i="11"/>
  <c r="DL492" i="11"/>
  <c r="AX493" i="11"/>
  <c r="DK494" i="11"/>
  <c r="BK493" i="11"/>
  <c r="BL493" i="11" s="1"/>
  <c r="B464" i="12"/>
  <c r="AW494" i="11"/>
  <c r="CX494" i="11"/>
  <c r="CK494" i="11"/>
  <c r="CJ494" i="11"/>
  <c r="CY493" i="11"/>
  <c r="AM496" i="11"/>
  <c r="Y496" i="11"/>
  <c r="BY493" i="11"/>
  <c r="AB496" i="11"/>
  <c r="BR495" i="11"/>
  <c r="BT495" i="11" s="1"/>
  <c r="CK495" i="11"/>
  <c r="CD495" i="11"/>
  <c r="CQ495" i="11"/>
  <c r="CW494" i="11"/>
  <c r="CS494" i="11"/>
  <c r="AQ495" i="11"/>
  <c r="AR495" i="11" s="1"/>
  <c r="AT495" i="11" s="1"/>
  <c r="DE495" i="11"/>
  <c r="DG495" i="11" s="1"/>
  <c r="AZ496" i="11"/>
  <c r="CE496" i="11"/>
  <c r="CG496" i="11" s="1"/>
  <c r="DU496" i="11"/>
  <c r="DV496" i="11"/>
  <c r="DH496" i="11"/>
  <c r="DI496" i="11"/>
  <c r="CU496" i="11"/>
  <c r="CV496" i="11"/>
  <c r="CR496" i="11"/>
  <c r="CT496" i="11" s="1"/>
  <c r="CI496" i="11"/>
  <c r="CH496" i="11"/>
  <c r="BU496" i="11"/>
  <c r="BV496" i="11"/>
  <c r="BI496" i="11"/>
  <c r="BH496" i="11"/>
  <c r="AV496" i="11"/>
  <c r="AH496" i="11"/>
  <c r="AI496" i="11"/>
  <c r="AU496" i="11"/>
  <c r="BE495" i="11"/>
  <c r="BG495" i="11" s="1"/>
  <c r="AN496" i="11"/>
  <c r="DP496" i="11"/>
  <c r="BM496" i="11"/>
  <c r="BC496" i="11"/>
  <c r="BB496" i="11"/>
  <c r="BD496" i="11" s="1"/>
  <c r="BZ496" i="11"/>
  <c r="AA496" i="11"/>
  <c r="CN496" i="11"/>
  <c r="DN496" i="11"/>
  <c r="CZ496" i="11"/>
  <c r="BA496" i="11"/>
  <c r="X496" i="11"/>
  <c r="BP496" i="11"/>
  <c r="BN496" i="11"/>
  <c r="DB496" i="11"/>
  <c r="DD496" i="11" s="1"/>
  <c r="CB496" i="11"/>
  <c r="AO496" i="11"/>
  <c r="BO496" i="11"/>
  <c r="BQ496" i="11" s="1"/>
  <c r="CO496" i="11"/>
  <c r="DM496" i="11"/>
  <c r="DA496" i="11"/>
  <c r="CP496" i="11"/>
  <c r="CM496" i="11"/>
  <c r="AP496" i="11"/>
  <c r="CC496" i="11"/>
  <c r="DC496" i="11"/>
  <c r="W497" i="11"/>
  <c r="CA496" i="11"/>
  <c r="B497" i="11"/>
  <c r="A497" i="11" s="1"/>
  <c r="C498" i="11"/>
  <c r="V463" i="12" l="1"/>
  <c r="W463" i="12" s="1"/>
  <c r="M496" i="11"/>
  <c r="L496" i="11"/>
  <c r="EA497" i="11"/>
  <c r="EI497" i="11"/>
  <c r="DZ497" i="11"/>
  <c r="EH497" i="11"/>
  <c r="EC497" i="11"/>
  <c r="N463" i="12"/>
  <c r="A464" i="12"/>
  <c r="V464" i="12" s="1"/>
  <c r="W464" i="12" s="1"/>
  <c r="P497" i="11"/>
  <c r="DF495" i="11"/>
  <c r="DK495" i="11"/>
  <c r="BF495" i="11"/>
  <c r="BK495" i="11"/>
  <c r="BS495" i="11"/>
  <c r="BW495" i="11"/>
  <c r="AY493" i="11"/>
  <c r="DJ494" i="11"/>
  <c r="DL494" i="11" s="1"/>
  <c r="BK494" i="11"/>
  <c r="BL494" i="11" s="1"/>
  <c r="BW494" i="11"/>
  <c r="BY494" i="11" s="1"/>
  <c r="AX494" i="11"/>
  <c r="AY494" i="11" s="1"/>
  <c r="AS494" i="11"/>
  <c r="CY494" i="11"/>
  <c r="B465" i="12"/>
  <c r="CL494" i="11"/>
  <c r="AS495" i="11"/>
  <c r="BR496" i="11"/>
  <c r="BT496" i="11" s="1"/>
  <c r="AB497" i="11"/>
  <c r="CF496" i="11"/>
  <c r="CD496" i="11"/>
  <c r="CX495" i="11"/>
  <c r="CS495" i="11"/>
  <c r="CS496" i="11"/>
  <c r="CQ496" i="11"/>
  <c r="CW495" i="11"/>
  <c r="CJ495" i="11"/>
  <c r="CL495" i="11" s="1"/>
  <c r="CF495" i="11"/>
  <c r="AQ496" i="11"/>
  <c r="AR496" i="11" s="1"/>
  <c r="AT496" i="11" s="1"/>
  <c r="BE496" i="11"/>
  <c r="BG496" i="11" s="1"/>
  <c r="DE496" i="11"/>
  <c r="DG496" i="11" s="1"/>
  <c r="CE497" i="11"/>
  <c r="CG497" i="11" s="1"/>
  <c r="DV497" i="11"/>
  <c r="DU497" i="11"/>
  <c r="DI497" i="11"/>
  <c r="DH497" i="11"/>
  <c r="CU497" i="11"/>
  <c r="CR497" i="11"/>
  <c r="CT497" i="11" s="1"/>
  <c r="CV497" i="11"/>
  <c r="CH497" i="11"/>
  <c r="CI497" i="11"/>
  <c r="BU497" i="11"/>
  <c r="BV497" i="11"/>
  <c r="BI497" i="11"/>
  <c r="BH497" i="11"/>
  <c r="AU497" i="11"/>
  <c r="AI497" i="11"/>
  <c r="AV497" i="11"/>
  <c r="AH497" i="11"/>
  <c r="DA497" i="11"/>
  <c r="AZ497" i="11"/>
  <c r="BP497" i="11"/>
  <c r="BN497" i="11"/>
  <c r="BO497" i="11"/>
  <c r="BQ497" i="11" s="1"/>
  <c r="AA497" i="11"/>
  <c r="BZ497" i="11"/>
  <c r="DC497" i="11"/>
  <c r="AP497" i="11"/>
  <c r="CZ497" i="11"/>
  <c r="CB497" i="11"/>
  <c r="AM497" i="11"/>
  <c r="CM497" i="11"/>
  <c r="BA497" i="11"/>
  <c r="CN497" i="11"/>
  <c r="DN497" i="11"/>
  <c r="CP497" i="11"/>
  <c r="X497" i="11"/>
  <c r="BC497" i="11"/>
  <c r="CC497" i="11"/>
  <c r="Y497" i="11"/>
  <c r="DP497" i="11"/>
  <c r="CA497" i="11"/>
  <c r="AO497" i="11"/>
  <c r="DB497" i="11"/>
  <c r="DD497" i="11" s="1"/>
  <c r="BB497" i="11"/>
  <c r="BD497" i="11" s="1"/>
  <c r="W498" i="11"/>
  <c r="BM497" i="11"/>
  <c r="DM497" i="11"/>
  <c r="AN497" i="11"/>
  <c r="CO497" i="11"/>
  <c r="B498" i="11"/>
  <c r="A498" i="11" s="1"/>
  <c r="C499" i="11"/>
  <c r="M464" i="12" l="1"/>
  <c r="N464" i="12"/>
  <c r="L497" i="11"/>
  <c r="M497" i="11"/>
  <c r="EC498" i="11"/>
  <c r="EA498" i="11"/>
  <c r="DZ498" i="11"/>
  <c r="EI498" i="11"/>
  <c r="EH498" i="11"/>
  <c r="A465" i="12"/>
  <c r="N465" i="12" s="1"/>
  <c r="P498" i="11"/>
  <c r="BS496" i="11"/>
  <c r="DF496" i="11"/>
  <c r="DK496" i="11"/>
  <c r="BX495" i="11"/>
  <c r="BY495" i="11" s="1"/>
  <c r="BF496" i="11"/>
  <c r="AX495" i="11"/>
  <c r="AW495" i="11"/>
  <c r="BJ495" i="11"/>
  <c r="BL495" i="11" s="1"/>
  <c r="DJ495" i="11"/>
  <c r="DL495" i="11" s="1"/>
  <c r="BJ496" i="11"/>
  <c r="BW496" i="11"/>
  <c r="AX496" i="11"/>
  <c r="B466" i="12"/>
  <c r="CY495" i="11"/>
  <c r="CK496" i="11"/>
  <c r="CX496" i="11"/>
  <c r="AB498" i="11"/>
  <c r="CD497" i="11"/>
  <c r="CS497" i="11"/>
  <c r="CQ497" i="11"/>
  <c r="CW496" i="11"/>
  <c r="CJ496" i="11"/>
  <c r="AQ497" i="11"/>
  <c r="AR497" i="11" s="1"/>
  <c r="AT497" i="11" s="1"/>
  <c r="DE497" i="11"/>
  <c r="DG497" i="11" s="1"/>
  <c r="BE497" i="11"/>
  <c r="BG497" i="11" s="1"/>
  <c r="CE498" i="11"/>
  <c r="CG498" i="11" s="1"/>
  <c r="DU498" i="11"/>
  <c r="DV498" i="11"/>
  <c r="DH498" i="11"/>
  <c r="DI498" i="11"/>
  <c r="CU498" i="11"/>
  <c r="CV498" i="11"/>
  <c r="CR498" i="11"/>
  <c r="CT498" i="11" s="1"/>
  <c r="CH498" i="11"/>
  <c r="CI498" i="11"/>
  <c r="BU498" i="11"/>
  <c r="BV498" i="11"/>
  <c r="BH498" i="11"/>
  <c r="BI498" i="11"/>
  <c r="AU498" i="11"/>
  <c r="AV498" i="11"/>
  <c r="AH498" i="11"/>
  <c r="AI498" i="11"/>
  <c r="CF497" i="11"/>
  <c r="BR497" i="11"/>
  <c r="BT497" i="11" s="1"/>
  <c r="BP498" i="11"/>
  <c r="BN498" i="11"/>
  <c r="DA498" i="11"/>
  <c r="BO498" i="11"/>
  <c r="BQ498" i="11" s="1"/>
  <c r="AP498" i="11"/>
  <c r="DP498" i="11"/>
  <c r="CN498" i="11"/>
  <c r="DC498" i="11"/>
  <c r="BA498" i="11"/>
  <c r="DM498" i="11"/>
  <c r="Y498" i="11"/>
  <c r="CM498" i="11"/>
  <c r="AN498" i="11"/>
  <c r="BC498" i="11"/>
  <c r="CO498" i="11"/>
  <c r="DB498" i="11"/>
  <c r="DD498" i="11" s="1"/>
  <c r="W499" i="11"/>
  <c r="BM498" i="11"/>
  <c r="BB498" i="11"/>
  <c r="BD498" i="11" s="1"/>
  <c r="CC498" i="11"/>
  <c r="AM498" i="11"/>
  <c r="AO498" i="11"/>
  <c r="X498" i="11"/>
  <c r="CB498" i="11"/>
  <c r="CP498" i="11"/>
  <c r="CZ498" i="11"/>
  <c r="BZ498" i="11"/>
  <c r="CA498" i="11"/>
  <c r="DN498" i="11"/>
  <c r="AA498" i="11"/>
  <c r="AZ498" i="11"/>
  <c r="B499" i="11"/>
  <c r="A499" i="11" s="1"/>
  <c r="C500" i="11"/>
  <c r="M498" i="11" l="1"/>
  <c r="M465" i="12"/>
  <c r="L498" i="11"/>
  <c r="EH499" i="11"/>
  <c r="DZ499" i="11"/>
  <c r="EI499" i="11"/>
  <c r="EC499" i="11"/>
  <c r="EA499" i="11"/>
  <c r="V465" i="12"/>
  <c r="W465" i="12" s="1"/>
  <c r="A466" i="12"/>
  <c r="M466" i="12" s="1"/>
  <c r="P499" i="11"/>
  <c r="DF497" i="11"/>
  <c r="BF497" i="11"/>
  <c r="BS497" i="11"/>
  <c r="BW497" i="11"/>
  <c r="AY495" i="11"/>
  <c r="BK496" i="11"/>
  <c r="BL496" i="11" s="1"/>
  <c r="CY496" i="11"/>
  <c r="DJ496" i="11"/>
  <c r="DL496" i="11" s="1"/>
  <c r="CW498" i="11"/>
  <c r="AS497" i="11"/>
  <c r="AW496" i="11"/>
  <c r="AY496" i="11" s="1"/>
  <c r="AS496" i="11"/>
  <c r="BX496" i="11"/>
  <c r="BY496" i="11" s="1"/>
  <c r="B467" i="12"/>
  <c r="DK497" i="11"/>
  <c r="CX497" i="11"/>
  <c r="CL496" i="11"/>
  <c r="CW497" i="11"/>
  <c r="AB499" i="11"/>
  <c r="CQ498" i="11"/>
  <c r="CF498" i="11"/>
  <c r="CD498" i="11"/>
  <c r="AQ498" i="11"/>
  <c r="AR498" i="11" s="1"/>
  <c r="AT498" i="11" s="1"/>
  <c r="BR498" i="11"/>
  <c r="BT498" i="11" s="1"/>
  <c r="BE498" i="11"/>
  <c r="BG498" i="11" s="1"/>
  <c r="CK497" i="11"/>
  <c r="CJ497" i="11"/>
  <c r="CE499" i="11"/>
  <c r="CG499" i="11" s="1"/>
  <c r="DU499" i="11"/>
  <c r="DV499" i="11"/>
  <c r="DH499" i="11"/>
  <c r="DI499" i="11"/>
  <c r="CU499" i="11"/>
  <c r="CV499" i="11"/>
  <c r="CR499" i="11"/>
  <c r="CT499" i="11" s="1"/>
  <c r="CH499" i="11"/>
  <c r="CI499" i="11"/>
  <c r="BU499" i="11"/>
  <c r="BV499" i="11"/>
  <c r="BI499" i="11"/>
  <c r="AU499" i="11"/>
  <c r="AV499" i="11"/>
  <c r="BH499" i="11"/>
  <c r="AH499" i="11"/>
  <c r="AI499" i="11"/>
  <c r="DE498" i="11"/>
  <c r="DG498" i="11" s="1"/>
  <c r="DN499" i="11"/>
  <c r="BN499" i="11"/>
  <c r="BP499" i="11"/>
  <c r="AZ499" i="11"/>
  <c r="CZ499" i="11"/>
  <c r="BO499" i="11"/>
  <c r="BQ499" i="11" s="1"/>
  <c r="BR499" i="11" s="1"/>
  <c r="CM499" i="11"/>
  <c r="AA499" i="11"/>
  <c r="CA499" i="11"/>
  <c r="DC499" i="11"/>
  <c r="BC499" i="11"/>
  <c r="AO499" i="11"/>
  <c r="DA499" i="11"/>
  <c r="CP499" i="11"/>
  <c r="DB499" i="11"/>
  <c r="DD499" i="11" s="1"/>
  <c r="BA499" i="11"/>
  <c r="AP499" i="11"/>
  <c r="DM499" i="11"/>
  <c r="AM499" i="11"/>
  <c r="CO499" i="11"/>
  <c r="CC499" i="11"/>
  <c r="Y499" i="11"/>
  <c r="CB499" i="11"/>
  <c r="BB499" i="11"/>
  <c r="BD499" i="11" s="1"/>
  <c r="AN499" i="11"/>
  <c r="BZ499" i="11"/>
  <c r="X499" i="11"/>
  <c r="BM499" i="11"/>
  <c r="W500" i="11"/>
  <c r="CN499" i="11"/>
  <c r="DP499" i="11"/>
  <c r="B500" i="11"/>
  <c r="A500" i="11" s="1"/>
  <c r="C501" i="11"/>
  <c r="BT499" i="11" l="1"/>
  <c r="BW499" i="11" s="1"/>
  <c r="N466" i="12"/>
  <c r="L499" i="11"/>
  <c r="V466" i="12"/>
  <c r="W466" i="12" s="1"/>
  <c r="M499" i="11"/>
  <c r="EC500" i="11"/>
  <c r="DZ500" i="11"/>
  <c r="EI500" i="11"/>
  <c r="EH500" i="11"/>
  <c r="EA500" i="11"/>
  <c r="A467" i="12"/>
  <c r="V467" i="12" s="1"/>
  <c r="P500" i="11"/>
  <c r="BF498" i="11"/>
  <c r="BS498" i="11"/>
  <c r="DF498" i="11"/>
  <c r="DJ498" i="11"/>
  <c r="AW497" i="11"/>
  <c r="AX497" i="11"/>
  <c r="B468" i="12"/>
  <c r="BX497" i="11"/>
  <c r="BY497" i="11" s="1"/>
  <c r="BJ497" i="11"/>
  <c r="AS498" i="11"/>
  <c r="BK497" i="11"/>
  <c r="DJ497" i="11"/>
  <c r="DL497" i="11" s="1"/>
  <c r="CY497" i="11"/>
  <c r="CK498" i="11"/>
  <c r="AB500" i="11"/>
  <c r="CJ498" i="11"/>
  <c r="CS499" i="11"/>
  <c r="CQ499" i="11"/>
  <c r="BS499" i="11"/>
  <c r="CF499" i="11"/>
  <c r="CD499" i="11"/>
  <c r="CX498" i="11"/>
  <c r="CY498" i="11" s="1"/>
  <c r="CS498" i="11"/>
  <c r="AQ499" i="11"/>
  <c r="AR499" i="11" s="1"/>
  <c r="AT499" i="11" s="1"/>
  <c r="CL497" i="11"/>
  <c r="BJ498" i="11"/>
  <c r="BK498" i="11"/>
  <c r="BE499" i="11"/>
  <c r="BG499" i="11" s="1"/>
  <c r="CE500" i="11"/>
  <c r="CG500" i="11" s="1"/>
  <c r="DU500" i="11"/>
  <c r="DV500" i="11"/>
  <c r="DH500" i="11"/>
  <c r="DI500" i="11"/>
  <c r="CR500" i="11"/>
  <c r="CT500" i="11" s="1"/>
  <c r="CU500" i="11"/>
  <c r="CV500" i="11"/>
  <c r="CH500" i="11"/>
  <c r="CI500" i="11"/>
  <c r="BU500" i="11"/>
  <c r="BV500" i="11"/>
  <c r="BH500" i="11"/>
  <c r="BI500" i="11"/>
  <c r="AI500" i="11"/>
  <c r="AU500" i="11"/>
  <c r="AV500" i="11"/>
  <c r="AH500" i="11"/>
  <c r="DE499" i="11"/>
  <c r="DG499" i="11" s="1"/>
  <c r="AM500" i="11"/>
  <c r="AP500" i="11"/>
  <c r="DP500" i="11"/>
  <c r="BP500" i="11"/>
  <c r="BN500" i="11"/>
  <c r="BB500" i="11"/>
  <c r="BD500" i="11" s="1"/>
  <c r="BO500" i="11"/>
  <c r="CP500" i="11"/>
  <c r="DC500" i="11"/>
  <c r="AO500" i="11"/>
  <c r="CM500" i="11"/>
  <c r="DM500" i="11"/>
  <c r="BC500" i="11"/>
  <c r="BM500" i="11"/>
  <c r="CA500" i="11"/>
  <c r="AZ500" i="11"/>
  <c r="Y500" i="11"/>
  <c r="DN500" i="11"/>
  <c r="CN500" i="11"/>
  <c r="CO500" i="11"/>
  <c r="AA500" i="11"/>
  <c r="BA500" i="11"/>
  <c r="X500" i="11"/>
  <c r="DB500" i="11"/>
  <c r="DD500" i="11" s="1"/>
  <c r="BZ500" i="11"/>
  <c r="AN500" i="11"/>
  <c r="W501" i="11"/>
  <c r="DA500" i="11"/>
  <c r="CZ500" i="11"/>
  <c r="CC500" i="11"/>
  <c r="CB500" i="11"/>
  <c r="B501" i="11"/>
  <c r="A501" i="11" s="1"/>
  <c r="C502" i="11"/>
  <c r="L500" i="11" l="1"/>
  <c r="M500" i="11"/>
  <c r="EA501" i="11"/>
  <c r="EI501" i="11"/>
  <c r="EH501" i="11"/>
  <c r="EC501" i="11"/>
  <c r="DZ501" i="11"/>
  <c r="M467" i="12"/>
  <c r="N467" i="12"/>
  <c r="W467" i="12"/>
  <c r="A468" i="12"/>
  <c r="V468" i="12" s="1"/>
  <c r="W468" i="12" s="1"/>
  <c r="P501" i="11"/>
  <c r="AY497" i="11"/>
  <c r="DF499" i="11"/>
  <c r="DK499" i="11"/>
  <c r="BF499" i="11"/>
  <c r="BK499" i="11"/>
  <c r="DK498" i="11"/>
  <c r="DL498" i="11" s="1"/>
  <c r="BL497" i="11"/>
  <c r="AW498" i="11"/>
  <c r="AX498" i="11"/>
  <c r="BX498" i="11"/>
  <c r="BW498" i="11"/>
  <c r="BX499" i="11"/>
  <c r="BY499" i="11" s="1"/>
  <c r="CX500" i="11"/>
  <c r="AX499" i="11"/>
  <c r="CL498" i="11"/>
  <c r="B502" i="11"/>
  <c r="A502" i="11" s="1"/>
  <c r="B469" i="12"/>
  <c r="CW499" i="11"/>
  <c r="CF500" i="11"/>
  <c r="CJ500" i="11"/>
  <c r="CK500" i="11"/>
  <c r="CS500" i="11"/>
  <c r="BQ500" i="11"/>
  <c r="BR500" i="11" s="1"/>
  <c r="BT500" i="11" s="1"/>
  <c r="AB501" i="11"/>
  <c r="BE500" i="11"/>
  <c r="BG500" i="11" s="1"/>
  <c r="CX499" i="11"/>
  <c r="CD500" i="11"/>
  <c r="DE500" i="11"/>
  <c r="DG500" i="11" s="1"/>
  <c r="CQ500" i="11"/>
  <c r="CK499" i="11"/>
  <c r="BL498" i="11"/>
  <c r="CJ499" i="11"/>
  <c r="AQ500" i="11"/>
  <c r="AR500" i="11" s="1"/>
  <c r="AT500" i="11" s="1"/>
  <c r="DP501" i="11"/>
  <c r="CE501" i="11"/>
  <c r="CG501" i="11" s="1"/>
  <c r="DU501" i="11"/>
  <c r="DV501" i="11"/>
  <c r="DH501" i="11"/>
  <c r="DI501" i="11"/>
  <c r="CU501" i="11"/>
  <c r="CV501" i="11"/>
  <c r="CR501" i="11"/>
  <c r="CT501" i="11" s="1"/>
  <c r="CH501" i="11"/>
  <c r="CI501" i="11"/>
  <c r="BU501" i="11"/>
  <c r="BV501" i="11"/>
  <c r="BH501" i="11"/>
  <c r="BI501" i="11"/>
  <c r="AU501" i="11"/>
  <c r="AV501" i="11"/>
  <c r="AI501" i="11"/>
  <c r="AH501" i="11"/>
  <c r="CZ501" i="11"/>
  <c r="BP501" i="11"/>
  <c r="BN501" i="11"/>
  <c r="BA501" i="11"/>
  <c r="CC501" i="11"/>
  <c r="BC501" i="11"/>
  <c r="CB501" i="11"/>
  <c r="CF501" i="11" s="1"/>
  <c r="BO501" i="11"/>
  <c r="AN501" i="11"/>
  <c r="CN501" i="11"/>
  <c r="AM501" i="11"/>
  <c r="BM501" i="11"/>
  <c r="BZ501" i="11"/>
  <c r="DB501" i="11"/>
  <c r="AA501" i="11"/>
  <c r="AZ501" i="11"/>
  <c r="AO501" i="11"/>
  <c r="CA501" i="11"/>
  <c r="DA501" i="11"/>
  <c r="AP501" i="11"/>
  <c r="CP501" i="11"/>
  <c r="Y501" i="11"/>
  <c r="DN501" i="11"/>
  <c r="CM501" i="11"/>
  <c r="W502" i="11"/>
  <c r="DC501" i="11"/>
  <c r="DM501" i="11"/>
  <c r="CO501" i="11"/>
  <c r="CS501" i="11" s="1"/>
  <c r="X501" i="11"/>
  <c r="BB501" i="11"/>
  <c r="BD501" i="11" s="1"/>
  <c r="C503" i="11"/>
  <c r="DF500" i="11" l="1"/>
  <c r="M468" i="12"/>
  <c r="M501" i="11"/>
  <c r="N468" i="12"/>
  <c r="L501" i="11"/>
  <c r="DZ502" i="11"/>
  <c r="EI502" i="11"/>
  <c r="EC502" i="11"/>
  <c r="EH502" i="11"/>
  <c r="EA502" i="11"/>
  <c r="A469" i="12"/>
  <c r="V469" i="12" s="1"/>
  <c r="W469" i="12" s="1"/>
  <c r="P502" i="11"/>
  <c r="BJ499" i="11"/>
  <c r="BL499" i="11" s="1"/>
  <c r="BY498" i="11"/>
  <c r="AY498" i="11"/>
  <c r="DJ499" i="11"/>
  <c r="DL499" i="11" s="1"/>
  <c r="AW499" i="11"/>
  <c r="AY499" i="11" s="1"/>
  <c r="AW500" i="11"/>
  <c r="DJ500" i="11"/>
  <c r="CW501" i="11"/>
  <c r="CW500" i="11"/>
  <c r="CY500" i="11" s="1"/>
  <c r="AS499" i="11"/>
  <c r="B503" i="11"/>
  <c r="A503" i="11" s="1"/>
  <c r="B470" i="12"/>
  <c r="CY499" i="11"/>
  <c r="CL499" i="11"/>
  <c r="BW500" i="11"/>
  <c r="BX500" i="11"/>
  <c r="BS500" i="11"/>
  <c r="CJ501" i="11"/>
  <c r="CK501" i="11"/>
  <c r="CD501" i="11"/>
  <c r="AB502" i="11"/>
  <c r="BQ501" i="11"/>
  <c r="BR501" i="11" s="1"/>
  <c r="BT501" i="11" s="1"/>
  <c r="BE501" i="11"/>
  <c r="BG501" i="11" s="1"/>
  <c r="BF500" i="11"/>
  <c r="BK500" i="11"/>
  <c r="BJ500" i="11"/>
  <c r="CQ501" i="11"/>
  <c r="CL500" i="11"/>
  <c r="DD501" i="11"/>
  <c r="DE501" i="11" s="1"/>
  <c r="DG501" i="11" s="1"/>
  <c r="AQ501" i="11"/>
  <c r="AR501" i="11" s="1"/>
  <c r="AT501" i="11" s="1"/>
  <c r="CE502" i="11"/>
  <c r="CG502" i="11" s="1"/>
  <c r="DU502" i="11"/>
  <c r="DV502" i="11"/>
  <c r="DH502" i="11"/>
  <c r="DI502" i="11"/>
  <c r="CU502" i="11"/>
  <c r="CV502" i="11"/>
  <c r="CR502" i="11"/>
  <c r="CT502" i="11" s="1"/>
  <c r="CI502" i="11"/>
  <c r="CH502" i="11"/>
  <c r="BU502" i="11"/>
  <c r="BV502" i="11"/>
  <c r="BI502" i="11"/>
  <c r="BH502" i="11"/>
  <c r="AU502" i="11"/>
  <c r="AH502" i="11"/>
  <c r="AI502" i="11"/>
  <c r="AV502" i="11"/>
  <c r="BN502" i="11"/>
  <c r="BO502" i="11"/>
  <c r="BP502" i="11"/>
  <c r="AN502" i="11"/>
  <c r="AO502" i="11"/>
  <c r="AP502" i="11"/>
  <c r="Y502" i="11"/>
  <c r="AA502" i="11"/>
  <c r="BB502" i="11"/>
  <c r="BD502" i="11" s="1"/>
  <c r="BC502" i="11"/>
  <c r="BA502" i="11"/>
  <c r="DM502" i="11"/>
  <c r="DN502" i="11"/>
  <c r="CZ502" i="11"/>
  <c r="DA502" i="11"/>
  <c r="DP502" i="11"/>
  <c r="DB502" i="11"/>
  <c r="CP502" i="11"/>
  <c r="CA502" i="11"/>
  <c r="BM502" i="11"/>
  <c r="CB502" i="11"/>
  <c r="AZ502" i="11"/>
  <c r="CC502" i="11"/>
  <c r="AM502" i="11"/>
  <c r="X502" i="11"/>
  <c r="DC502" i="11"/>
  <c r="CM502" i="11"/>
  <c r="CN502" i="11"/>
  <c r="CO502" i="11"/>
  <c r="BZ502" i="11"/>
  <c r="W503" i="11"/>
  <c r="C504" i="11"/>
  <c r="M502" i="11" l="1"/>
  <c r="L502" i="11"/>
  <c r="M469" i="12"/>
  <c r="EH503" i="11"/>
  <c r="DZ503" i="11"/>
  <c r="EA503" i="11"/>
  <c r="EI503" i="11"/>
  <c r="EC503" i="11"/>
  <c r="N469" i="12"/>
  <c r="A470" i="12"/>
  <c r="V470" i="12" s="1"/>
  <c r="W470" i="12" s="1"/>
  <c r="P503" i="11"/>
  <c r="BS501" i="11"/>
  <c r="DK500" i="11"/>
  <c r="DL500" i="11" s="1"/>
  <c r="CX501" i="11"/>
  <c r="CY501" i="11" s="1"/>
  <c r="AS500" i="11"/>
  <c r="AX500" i="11"/>
  <c r="AY500" i="11" s="1"/>
  <c r="BX501" i="11"/>
  <c r="DJ501" i="11"/>
  <c r="B504" i="11"/>
  <c r="A504" i="11" s="1"/>
  <c r="B471" i="12"/>
  <c r="CL501" i="11"/>
  <c r="CD502" i="11"/>
  <c r="CQ502" i="11"/>
  <c r="DF501" i="11"/>
  <c r="DD502" i="11"/>
  <c r="DE502" i="11" s="1"/>
  <c r="DG502" i="11" s="1"/>
  <c r="AB503" i="11"/>
  <c r="BQ502" i="11"/>
  <c r="BR502" i="11" s="1"/>
  <c r="BT502" i="11" s="1"/>
  <c r="BK501" i="11"/>
  <c r="BF501" i="11"/>
  <c r="BJ501" i="11"/>
  <c r="BL500" i="11"/>
  <c r="BY500" i="11"/>
  <c r="BE502" i="11"/>
  <c r="BG502" i="11" s="1"/>
  <c r="AQ502" i="11"/>
  <c r="AR502" i="11" s="1"/>
  <c r="AT502" i="11" s="1"/>
  <c r="CE503" i="11"/>
  <c r="CG503" i="11" s="1"/>
  <c r="DU503" i="11"/>
  <c r="DV503" i="11"/>
  <c r="DH503" i="11"/>
  <c r="DI503" i="11"/>
  <c r="CR503" i="11"/>
  <c r="CT503" i="11" s="1"/>
  <c r="CU503" i="11"/>
  <c r="CV503" i="11"/>
  <c r="CH503" i="11"/>
  <c r="CI503" i="11"/>
  <c r="BU503" i="11"/>
  <c r="BV503" i="11"/>
  <c r="BH503" i="11"/>
  <c r="BI503" i="11"/>
  <c r="AU503" i="11"/>
  <c r="AV503" i="11"/>
  <c r="AI503" i="11"/>
  <c r="AH503" i="11"/>
  <c r="BO503" i="11"/>
  <c r="BP503" i="11"/>
  <c r="BN503" i="11"/>
  <c r="AN503" i="11"/>
  <c r="AP503" i="11"/>
  <c r="AO503" i="11"/>
  <c r="AA503" i="11"/>
  <c r="Y503" i="11"/>
  <c r="BC503" i="11"/>
  <c r="BB503" i="11"/>
  <c r="BD503" i="11" s="1"/>
  <c r="BA503" i="11"/>
  <c r="DP503" i="11"/>
  <c r="DB503" i="11"/>
  <c r="DD503" i="11" s="1"/>
  <c r="DC503" i="11"/>
  <c r="DM503" i="11"/>
  <c r="DN503" i="11"/>
  <c r="CM503" i="11"/>
  <c r="BM503" i="11"/>
  <c r="CN503" i="11"/>
  <c r="AZ503" i="11"/>
  <c r="CO503" i="11"/>
  <c r="BZ503" i="11"/>
  <c r="AM503" i="11"/>
  <c r="CP503" i="11"/>
  <c r="CA503" i="11"/>
  <c r="X503" i="11"/>
  <c r="CZ503" i="11"/>
  <c r="CB503" i="11"/>
  <c r="CD503" i="11" s="1"/>
  <c r="DA503" i="11"/>
  <c r="CC503" i="11"/>
  <c r="W504" i="11"/>
  <c r="C505" i="11"/>
  <c r="N470" i="12" l="1"/>
  <c r="M470" i="12"/>
  <c r="L503" i="11"/>
  <c r="M503" i="11"/>
  <c r="EC504" i="11"/>
  <c r="DZ504" i="11"/>
  <c r="EA504" i="11"/>
  <c r="EI504" i="11"/>
  <c r="EH504" i="11"/>
  <c r="A471" i="12"/>
  <c r="M471" i="12" s="1"/>
  <c r="P504" i="11"/>
  <c r="BW501" i="11"/>
  <c r="BY501" i="11" s="1"/>
  <c r="AW501" i="11"/>
  <c r="AX501" i="11"/>
  <c r="BW502" i="11"/>
  <c r="AS501" i="11"/>
  <c r="DK501" i="11"/>
  <c r="DL501" i="11" s="1"/>
  <c r="CK503" i="11"/>
  <c r="B505" i="11"/>
  <c r="A505" i="11" s="1"/>
  <c r="B472" i="12"/>
  <c r="CS503" i="11"/>
  <c r="BL501" i="11"/>
  <c r="CF503" i="11"/>
  <c r="DF502" i="11"/>
  <c r="BS502" i="11"/>
  <c r="BJ502" i="11"/>
  <c r="BK502" i="11"/>
  <c r="BF502" i="11"/>
  <c r="CQ503" i="11"/>
  <c r="CS502" i="11"/>
  <c r="CX502" i="11"/>
  <c r="CW502" i="11"/>
  <c r="BE503" i="11"/>
  <c r="BG503" i="11" s="1"/>
  <c r="DE503" i="11"/>
  <c r="DG503" i="11" s="1"/>
  <c r="AB504" i="11"/>
  <c r="BQ503" i="11"/>
  <c r="BR503" i="11" s="1"/>
  <c r="BT503" i="11" s="1"/>
  <c r="CK502" i="11"/>
  <c r="CJ502" i="11"/>
  <c r="CF502" i="11"/>
  <c r="AQ503" i="11"/>
  <c r="AR503" i="11" s="1"/>
  <c r="AT503" i="11" s="1"/>
  <c r="CE504" i="11"/>
  <c r="CG504" i="11" s="1"/>
  <c r="DV504" i="11"/>
  <c r="DU504" i="11"/>
  <c r="DH504" i="11"/>
  <c r="DI504" i="11"/>
  <c r="CR504" i="11"/>
  <c r="CT504" i="11" s="1"/>
  <c r="CV504" i="11"/>
  <c r="CU504" i="11"/>
  <c r="CH504" i="11"/>
  <c r="CI504" i="11"/>
  <c r="BU504" i="11"/>
  <c r="BV504" i="11"/>
  <c r="BI504" i="11"/>
  <c r="BH504" i="11"/>
  <c r="AV504" i="11"/>
  <c r="AH504" i="11"/>
  <c r="AI504" i="11"/>
  <c r="AU504" i="11"/>
  <c r="BN504" i="11"/>
  <c r="BP504" i="11"/>
  <c r="BO504" i="11"/>
  <c r="AO504" i="11"/>
  <c r="AP504" i="11"/>
  <c r="AN504" i="11"/>
  <c r="AA504" i="11"/>
  <c r="Y504" i="11"/>
  <c r="BA504" i="11"/>
  <c r="BC504" i="11"/>
  <c r="BB504" i="11"/>
  <c r="BD504" i="11" s="1"/>
  <c r="DM504" i="11"/>
  <c r="DN504" i="11"/>
  <c r="CZ504" i="11"/>
  <c r="DA504" i="11"/>
  <c r="DP504" i="11"/>
  <c r="DB504" i="11"/>
  <c r="CP504" i="11"/>
  <c r="CA504" i="11"/>
  <c r="CB504" i="11"/>
  <c r="CF504" i="11" s="1"/>
  <c r="CC504" i="11"/>
  <c r="BM504" i="11"/>
  <c r="AZ504" i="11"/>
  <c r="AM504" i="11"/>
  <c r="CM504" i="11"/>
  <c r="CN504" i="11"/>
  <c r="DC504" i="11"/>
  <c r="CO504" i="11"/>
  <c r="CS504" i="11" s="1"/>
  <c r="BZ504" i="11"/>
  <c r="X504" i="11"/>
  <c r="W505" i="11"/>
  <c r="C506" i="11"/>
  <c r="DF503" i="11" l="1"/>
  <c r="DJ503" i="11"/>
  <c r="M504" i="11"/>
  <c r="L504" i="11"/>
  <c r="EA505" i="11"/>
  <c r="EI505" i="11"/>
  <c r="EH505" i="11"/>
  <c r="DZ505" i="11"/>
  <c r="EC505" i="11"/>
  <c r="N471" i="12"/>
  <c r="V471" i="12"/>
  <c r="W471" i="12" s="1"/>
  <c r="A472" i="12"/>
  <c r="N472" i="12" s="1"/>
  <c r="P505" i="11"/>
  <c r="BF503" i="11"/>
  <c r="BS503" i="11"/>
  <c r="AY501" i="11"/>
  <c r="CJ503" i="11"/>
  <c r="CL503" i="11" s="1"/>
  <c r="CX503" i="11"/>
  <c r="CW503" i="11"/>
  <c r="DK502" i="11"/>
  <c r="CK504" i="11"/>
  <c r="DJ502" i="11"/>
  <c r="BX502" i="11"/>
  <c r="BY502" i="11" s="1"/>
  <c r="B506" i="11"/>
  <c r="A506" i="11" s="1"/>
  <c r="B473" i="12"/>
  <c r="CY502" i="11"/>
  <c r="CL502" i="11"/>
  <c r="BL502" i="11"/>
  <c r="CW504" i="11"/>
  <c r="CX504" i="11"/>
  <c r="BE504" i="11"/>
  <c r="BG504" i="11" s="1"/>
  <c r="CD504" i="11"/>
  <c r="DK503" i="11"/>
  <c r="AB505" i="11"/>
  <c r="CQ504" i="11"/>
  <c r="DD504" i="11"/>
  <c r="DE504" i="11" s="1"/>
  <c r="DG504" i="11" s="1"/>
  <c r="AW502" i="11"/>
  <c r="AX502" i="11"/>
  <c r="AS502" i="11"/>
  <c r="BQ504" i="11"/>
  <c r="BR504" i="11" s="1"/>
  <c r="BT504" i="11" s="1"/>
  <c r="AQ504" i="11"/>
  <c r="AR504" i="11" s="1"/>
  <c r="AT504" i="11" s="1"/>
  <c r="CE505" i="11"/>
  <c r="CG505" i="11" s="1"/>
  <c r="DU505" i="11"/>
  <c r="DV505" i="11"/>
  <c r="DH505" i="11"/>
  <c r="DI505" i="11"/>
  <c r="CR505" i="11"/>
  <c r="CT505" i="11" s="1"/>
  <c r="CU505" i="11"/>
  <c r="CV505" i="11"/>
  <c r="CH505" i="11"/>
  <c r="CI505" i="11"/>
  <c r="BU505" i="11"/>
  <c r="BV505" i="11"/>
  <c r="BI505" i="11"/>
  <c r="BH505" i="11"/>
  <c r="AU505" i="11"/>
  <c r="AV505" i="11"/>
  <c r="AH505" i="11"/>
  <c r="AI505" i="11"/>
  <c r="BN505" i="11"/>
  <c r="BP505" i="11"/>
  <c r="BO505" i="11"/>
  <c r="W506" i="11"/>
  <c r="AN505" i="11"/>
  <c r="AO505" i="11"/>
  <c r="AP505" i="11"/>
  <c r="Y505" i="11"/>
  <c r="AA505" i="11"/>
  <c r="BA505" i="11"/>
  <c r="BB505" i="11"/>
  <c r="BD505" i="11" s="1"/>
  <c r="BC505" i="11"/>
  <c r="DP505" i="11"/>
  <c r="DB505" i="11"/>
  <c r="DC505" i="11"/>
  <c r="DM505" i="11"/>
  <c r="DN505" i="11"/>
  <c r="CZ505" i="11"/>
  <c r="DA505" i="11"/>
  <c r="CM505" i="11"/>
  <c r="CN505" i="11"/>
  <c r="CO505" i="11"/>
  <c r="BZ505" i="11"/>
  <c r="BM505" i="11"/>
  <c r="CP505" i="11"/>
  <c r="CA505" i="11"/>
  <c r="AZ505" i="11"/>
  <c r="CB505" i="11"/>
  <c r="CC505" i="11"/>
  <c r="AM505" i="11"/>
  <c r="X505" i="11"/>
  <c r="C507" i="11"/>
  <c r="M505" i="11" l="1"/>
  <c r="L505" i="11"/>
  <c r="EI506" i="11"/>
  <c r="EC506" i="11"/>
  <c r="DZ506" i="11"/>
  <c r="EH506" i="11"/>
  <c r="EA506" i="11"/>
  <c r="V472" i="12"/>
  <c r="W472" i="12" s="1"/>
  <c r="M472" i="12"/>
  <c r="A473" i="12"/>
  <c r="N473" i="12" s="1"/>
  <c r="P506" i="11"/>
  <c r="BJ504" i="11"/>
  <c r="CJ504" i="11"/>
  <c r="CL504" i="11" s="1"/>
  <c r="DL502" i="11"/>
  <c r="CY503" i="11"/>
  <c r="CJ505" i="11"/>
  <c r="BK503" i="11"/>
  <c r="BX503" i="11"/>
  <c r="BW503" i="11"/>
  <c r="BJ503" i="11"/>
  <c r="AX504" i="11"/>
  <c r="B507" i="11"/>
  <c r="A507" i="11" s="1"/>
  <c r="B474" i="12"/>
  <c r="AY502" i="11"/>
  <c r="DL503" i="11"/>
  <c r="CY504" i="11"/>
  <c r="CF505" i="11"/>
  <c r="CS505" i="11"/>
  <c r="DF504" i="11"/>
  <c r="DK504" i="11"/>
  <c r="DJ504" i="11"/>
  <c r="CW505" i="11"/>
  <c r="CX505" i="11"/>
  <c r="BW504" i="11"/>
  <c r="BX504" i="11"/>
  <c r="CQ505" i="11"/>
  <c r="CD505" i="11"/>
  <c r="BS504" i="11"/>
  <c r="AW503" i="11"/>
  <c r="AX503" i="11"/>
  <c r="AS503" i="11"/>
  <c r="BE505" i="11"/>
  <c r="BG505" i="11" s="1"/>
  <c r="DD505" i="11"/>
  <c r="DE505" i="11" s="1"/>
  <c r="DG505" i="11" s="1"/>
  <c r="BF504" i="11"/>
  <c r="AB506" i="11"/>
  <c r="BQ505" i="11"/>
  <c r="BR505" i="11" s="1"/>
  <c r="BT505" i="11" s="1"/>
  <c r="AQ505" i="11"/>
  <c r="AR505" i="11" s="1"/>
  <c r="AT505" i="11" s="1"/>
  <c r="CE506" i="11"/>
  <c r="CG506" i="11" s="1"/>
  <c r="DV506" i="11"/>
  <c r="DU506" i="11"/>
  <c r="DI506" i="11"/>
  <c r="DH506" i="11"/>
  <c r="CR506" i="11"/>
  <c r="CT506" i="11" s="1"/>
  <c r="CV506" i="11"/>
  <c r="CU506" i="11"/>
  <c r="CI506" i="11"/>
  <c r="CH506" i="11"/>
  <c r="BU506" i="11"/>
  <c r="BV506" i="11"/>
  <c r="BI506" i="11"/>
  <c r="BH506" i="11"/>
  <c r="AU506" i="11"/>
  <c r="AV506" i="11"/>
  <c r="AH506" i="11"/>
  <c r="AI506" i="11"/>
  <c r="BN506" i="11"/>
  <c r="BO506" i="11"/>
  <c r="BQ506" i="11" s="1"/>
  <c r="BP506" i="11"/>
  <c r="W507" i="11"/>
  <c r="AO506" i="11"/>
  <c r="AN506" i="11"/>
  <c r="AP506" i="11"/>
  <c r="AA506" i="11"/>
  <c r="Y506" i="11"/>
  <c r="BB506" i="11"/>
  <c r="BD506" i="11" s="1"/>
  <c r="BC506" i="11"/>
  <c r="BA506" i="11"/>
  <c r="DM506" i="11"/>
  <c r="DN506" i="11"/>
  <c r="CZ506" i="11"/>
  <c r="DA506" i="11"/>
  <c r="DP506" i="11"/>
  <c r="DB506" i="11"/>
  <c r="DD506" i="11" s="1"/>
  <c r="CP506" i="11"/>
  <c r="CA506" i="11"/>
  <c r="CB506" i="11"/>
  <c r="DC506" i="11"/>
  <c r="CC506" i="11"/>
  <c r="BM506" i="11"/>
  <c r="CM506" i="11"/>
  <c r="AZ506" i="11"/>
  <c r="CN506" i="11"/>
  <c r="CO506" i="11"/>
  <c r="BZ506" i="11"/>
  <c r="X506" i="11"/>
  <c r="AM506" i="11"/>
  <c r="C508" i="11"/>
  <c r="L506" i="11" l="1"/>
  <c r="M506" i="11"/>
  <c r="EH507" i="11"/>
  <c r="EC507" i="11"/>
  <c r="EI507" i="11"/>
  <c r="EA507" i="11"/>
  <c r="DZ507" i="11"/>
  <c r="M473" i="12"/>
  <c r="V473" i="12"/>
  <c r="W473" i="12" s="1"/>
  <c r="A474" i="12"/>
  <c r="N474" i="12" s="1"/>
  <c r="P507" i="11"/>
  <c r="BK504" i="11"/>
  <c r="BL504" i="11" s="1"/>
  <c r="CK505" i="11"/>
  <c r="CL505" i="11" s="1"/>
  <c r="BY503" i="11"/>
  <c r="BL503" i="11"/>
  <c r="AW505" i="11"/>
  <c r="AS504" i="11"/>
  <c r="CJ506" i="11"/>
  <c r="AW504" i="11"/>
  <c r="AY504" i="11" s="1"/>
  <c r="B508" i="11"/>
  <c r="A508" i="11" s="1"/>
  <c r="B475" i="12"/>
  <c r="AY503" i="11"/>
  <c r="DL504" i="11"/>
  <c r="CY505" i="11"/>
  <c r="CQ506" i="11"/>
  <c r="CF506" i="11"/>
  <c r="CS506" i="11"/>
  <c r="BY504" i="11"/>
  <c r="BF505" i="11"/>
  <c r="BJ505" i="11"/>
  <c r="BK505" i="11"/>
  <c r="BW505" i="11"/>
  <c r="BX505" i="11"/>
  <c r="BS505" i="11"/>
  <c r="DJ505" i="11"/>
  <c r="DK505" i="11"/>
  <c r="DF505" i="11"/>
  <c r="BR506" i="11"/>
  <c r="BT506" i="11" s="1"/>
  <c r="DE506" i="11"/>
  <c r="DG506" i="11" s="1"/>
  <c r="AB507" i="11"/>
  <c r="BE506" i="11"/>
  <c r="BG506" i="11" s="1"/>
  <c r="CD506" i="11"/>
  <c r="AQ506" i="11"/>
  <c r="AR506" i="11" s="1"/>
  <c r="AT506" i="11" s="1"/>
  <c r="CE507" i="11"/>
  <c r="CG507" i="11" s="1"/>
  <c r="DU507" i="11"/>
  <c r="DV507" i="11"/>
  <c r="DH507" i="11"/>
  <c r="DI507" i="11"/>
  <c r="CV507" i="11"/>
  <c r="CR507" i="11"/>
  <c r="CT507" i="11" s="1"/>
  <c r="CU507" i="11"/>
  <c r="CH507" i="11"/>
  <c r="CI507" i="11"/>
  <c r="BV507" i="11"/>
  <c r="BU507" i="11"/>
  <c r="BI507" i="11"/>
  <c r="BH507" i="11"/>
  <c r="AU507" i="11"/>
  <c r="AV507" i="11"/>
  <c r="AH507" i="11"/>
  <c r="AI507" i="11"/>
  <c r="BO507" i="11"/>
  <c r="BQ507" i="11" s="1"/>
  <c r="BP507" i="11"/>
  <c r="BN507" i="11"/>
  <c r="AN507" i="11"/>
  <c r="AO507" i="11"/>
  <c r="AP507" i="11"/>
  <c r="AA507" i="11"/>
  <c r="Y507" i="11"/>
  <c r="BA507" i="11"/>
  <c r="BB507" i="11"/>
  <c r="BD507" i="11" s="1"/>
  <c r="BC507" i="11"/>
  <c r="DP507" i="11"/>
  <c r="DB507" i="11"/>
  <c r="DD507" i="11" s="1"/>
  <c r="DC507" i="11"/>
  <c r="DM507" i="11"/>
  <c r="DN507" i="11"/>
  <c r="X507" i="11"/>
  <c r="CM507" i="11"/>
  <c r="CN507" i="11"/>
  <c r="CZ507" i="11"/>
  <c r="CO507" i="11"/>
  <c r="CQ507" i="11" s="1"/>
  <c r="BZ507" i="11"/>
  <c r="DA507" i="11"/>
  <c r="CP507" i="11"/>
  <c r="CA507" i="11"/>
  <c r="CB507" i="11"/>
  <c r="BM507" i="11"/>
  <c r="CC507" i="11"/>
  <c r="AZ507" i="11"/>
  <c r="AM507" i="11"/>
  <c r="W508" i="11"/>
  <c r="C509" i="11"/>
  <c r="M474" i="12" l="1"/>
  <c r="V474" i="12"/>
  <c r="W474" i="12" s="1"/>
  <c r="M507" i="11"/>
  <c r="L507" i="11"/>
  <c r="EC508" i="11"/>
  <c r="DZ508" i="11"/>
  <c r="EH508" i="11"/>
  <c r="EI508" i="11"/>
  <c r="EA508" i="11"/>
  <c r="A475" i="12"/>
  <c r="V475" i="12" s="1"/>
  <c r="W475" i="12" s="1"/>
  <c r="P508" i="11"/>
  <c r="BF506" i="11"/>
  <c r="BS506" i="11"/>
  <c r="BW506" i="11"/>
  <c r="AS505" i="11"/>
  <c r="CK507" i="11"/>
  <c r="AX505" i="11"/>
  <c r="AY505" i="11" s="1"/>
  <c r="CK506" i="11"/>
  <c r="CL506" i="11" s="1"/>
  <c r="B509" i="11"/>
  <c r="A509" i="11" s="1"/>
  <c r="B476" i="12"/>
  <c r="DL505" i="11"/>
  <c r="CW506" i="11"/>
  <c r="BY505" i="11"/>
  <c r="CX507" i="11"/>
  <c r="CW507" i="11"/>
  <c r="BL505" i="11"/>
  <c r="CF507" i="11"/>
  <c r="CX506" i="11"/>
  <c r="CS507" i="11"/>
  <c r="AB508" i="11"/>
  <c r="DE507" i="11"/>
  <c r="DG507" i="11" s="1"/>
  <c r="CD507" i="11"/>
  <c r="BR507" i="11"/>
  <c r="BE507" i="11"/>
  <c r="BG507" i="11" s="1"/>
  <c r="BJ506" i="11"/>
  <c r="BK506" i="11"/>
  <c r="DJ506" i="11"/>
  <c r="DK506" i="11"/>
  <c r="DF506" i="11"/>
  <c r="AQ507" i="11"/>
  <c r="AR507" i="11" s="1"/>
  <c r="AT507" i="11" s="1"/>
  <c r="CE508" i="11"/>
  <c r="CG508" i="11" s="1"/>
  <c r="DV508" i="11"/>
  <c r="DU508" i="11"/>
  <c r="DH508" i="11"/>
  <c r="DI508" i="11"/>
  <c r="CU508" i="11"/>
  <c r="CV508" i="11"/>
  <c r="CR508" i="11"/>
  <c r="CT508" i="11" s="1"/>
  <c r="CH508" i="11"/>
  <c r="CI508" i="11"/>
  <c r="BU508" i="11"/>
  <c r="BV508" i="11"/>
  <c r="BI508" i="11"/>
  <c r="BH508" i="11"/>
  <c r="AU508" i="11"/>
  <c r="AV508" i="11"/>
  <c r="AH508" i="11"/>
  <c r="AI508" i="11"/>
  <c r="BP508" i="11"/>
  <c r="BN508" i="11"/>
  <c r="BO508" i="11"/>
  <c r="AN508" i="11"/>
  <c r="AO508" i="11"/>
  <c r="AP508" i="11"/>
  <c r="Y508" i="11"/>
  <c r="AA508" i="11"/>
  <c r="BB508" i="11"/>
  <c r="BD508" i="11" s="1"/>
  <c r="BC508" i="11"/>
  <c r="BA508" i="11"/>
  <c r="DM508" i="11"/>
  <c r="DN508" i="11"/>
  <c r="CZ508" i="11"/>
  <c r="DA508" i="11"/>
  <c r="DP508" i="11"/>
  <c r="DB508" i="11"/>
  <c r="CP508" i="11"/>
  <c r="CA508" i="11"/>
  <c r="AM508" i="11"/>
  <c r="CB508" i="11"/>
  <c r="CF508" i="11" s="1"/>
  <c r="X508" i="11"/>
  <c r="CC508" i="11"/>
  <c r="DC508" i="11"/>
  <c r="CM508" i="11"/>
  <c r="CN508" i="11"/>
  <c r="BM508" i="11"/>
  <c r="CO508" i="11"/>
  <c r="CS508" i="11" s="1"/>
  <c r="BZ508" i="11"/>
  <c r="AZ508" i="11"/>
  <c r="W509" i="11"/>
  <c r="C510" i="11"/>
  <c r="A510" i="11" s="1"/>
  <c r="BT507" i="11" l="1"/>
  <c r="BS507" i="11" s="1"/>
  <c r="DF507" i="11"/>
  <c r="DJ507" i="11"/>
  <c r="L508" i="11"/>
  <c r="M508" i="11"/>
  <c r="EA509" i="11"/>
  <c r="EI509" i="11"/>
  <c r="DZ509" i="11"/>
  <c r="EH509" i="11"/>
  <c r="EC509" i="11"/>
  <c r="M475" i="12"/>
  <c r="N475" i="12"/>
  <c r="A476" i="12"/>
  <c r="M476" i="12" s="1"/>
  <c r="P509" i="11"/>
  <c r="BK507" i="11"/>
  <c r="BX506" i="11"/>
  <c r="BY506" i="11" s="1"/>
  <c r="CJ507" i="11"/>
  <c r="CL507" i="11" s="1"/>
  <c r="CY507" i="11"/>
  <c r="CW508" i="11"/>
  <c r="CJ508" i="11"/>
  <c r="B510" i="11"/>
  <c r="B477" i="12"/>
  <c r="BL506" i="11"/>
  <c r="CY506" i="11"/>
  <c r="DL506" i="11"/>
  <c r="BF507" i="11"/>
  <c r="CQ508" i="11"/>
  <c r="BE508" i="11"/>
  <c r="BG508" i="11" s="1"/>
  <c r="DD508" i="11"/>
  <c r="DE508" i="11" s="1"/>
  <c r="DG508" i="11" s="1"/>
  <c r="AB509" i="11"/>
  <c r="AX506" i="11"/>
  <c r="AW506" i="11"/>
  <c r="AS506" i="11"/>
  <c r="BQ508" i="11"/>
  <c r="BR508" i="11" s="1"/>
  <c r="BT508" i="11" s="1"/>
  <c r="CD508" i="11"/>
  <c r="AQ508" i="11"/>
  <c r="AR508" i="11" s="1"/>
  <c r="AT508" i="11" s="1"/>
  <c r="CE509" i="11"/>
  <c r="CG509" i="11" s="1"/>
  <c r="DU509" i="11"/>
  <c r="DV509" i="11"/>
  <c r="DI509" i="11"/>
  <c r="DH509" i="11"/>
  <c r="CU509" i="11"/>
  <c r="CV509" i="11"/>
  <c r="CR509" i="11"/>
  <c r="CT509" i="11" s="1"/>
  <c r="CH509" i="11"/>
  <c r="CI509" i="11"/>
  <c r="BU509" i="11"/>
  <c r="BV509" i="11"/>
  <c r="BI509" i="11"/>
  <c r="BH509" i="11"/>
  <c r="AU509" i="11"/>
  <c r="AV509" i="11"/>
  <c r="AI509" i="11"/>
  <c r="AH509" i="11"/>
  <c r="BN509" i="11"/>
  <c r="BO509" i="11"/>
  <c r="BQ509" i="11" s="1"/>
  <c r="BP509" i="11"/>
  <c r="W510" i="11"/>
  <c r="AP509" i="11"/>
  <c r="AN509" i="11"/>
  <c r="AO509" i="11"/>
  <c r="Y509" i="11"/>
  <c r="AA509" i="11"/>
  <c r="BA509" i="11"/>
  <c r="BC509" i="11"/>
  <c r="BB509" i="11"/>
  <c r="BD509" i="11" s="1"/>
  <c r="DP509" i="11"/>
  <c r="DB509" i="11"/>
  <c r="DD509" i="11" s="1"/>
  <c r="DC509" i="11"/>
  <c r="DM509" i="11"/>
  <c r="DN509" i="11"/>
  <c r="AZ509" i="11"/>
  <c r="CM509" i="11"/>
  <c r="AM509" i="11"/>
  <c r="CN509" i="11"/>
  <c r="X509" i="11"/>
  <c r="CO509" i="11"/>
  <c r="CS509" i="11" s="1"/>
  <c r="BZ509" i="11"/>
  <c r="CP509" i="11"/>
  <c r="CA509" i="11"/>
  <c r="CB509" i="11"/>
  <c r="CZ509" i="11"/>
  <c r="CC509" i="11"/>
  <c r="DA509" i="11"/>
  <c r="BM509" i="11"/>
  <c r="C511" i="11"/>
  <c r="A511" i="11" s="1"/>
  <c r="Z510" i="11" l="1"/>
  <c r="F510" i="11" s="1"/>
  <c r="EB510" i="11"/>
  <c r="ED510" i="11" s="1"/>
  <c r="BW507" i="11"/>
  <c r="DK507" i="11"/>
  <c r="DL507" i="11" s="1"/>
  <c r="M509" i="11"/>
  <c r="L509" i="11"/>
  <c r="N476" i="12"/>
  <c r="V476" i="12"/>
  <c r="W476" i="12" s="1"/>
  <c r="EH510" i="11"/>
  <c r="EC510" i="11"/>
  <c r="DZ510" i="11"/>
  <c r="EI510" i="11"/>
  <c r="EA510" i="11"/>
  <c r="A477" i="12"/>
  <c r="M477" i="12" s="1"/>
  <c r="P510" i="11"/>
  <c r="CK508" i="11"/>
  <c r="CL508" i="11" s="1"/>
  <c r="BJ507" i="11"/>
  <c r="BL507" i="11" s="1"/>
  <c r="BX507" i="11"/>
  <c r="CW509" i="11"/>
  <c r="CX508" i="11"/>
  <c r="CY508" i="11" s="1"/>
  <c r="BW508" i="11"/>
  <c r="CK509" i="11"/>
  <c r="B511" i="11"/>
  <c r="B478" i="12"/>
  <c r="AY506" i="11"/>
  <c r="CD509" i="11"/>
  <c r="BS508" i="11"/>
  <c r="DK508" i="11"/>
  <c r="DJ508" i="11"/>
  <c r="DF508" i="11"/>
  <c r="CF509" i="11"/>
  <c r="BK508" i="11"/>
  <c r="BJ508" i="11"/>
  <c r="CQ509" i="11"/>
  <c r="AX507" i="11"/>
  <c r="AW507" i="11"/>
  <c r="AS507" i="11"/>
  <c r="AB510" i="11"/>
  <c r="DE509" i="11"/>
  <c r="DG509" i="11" s="1"/>
  <c r="BE509" i="11"/>
  <c r="BG509" i="11" s="1"/>
  <c r="BR509" i="11"/>
  <c r="BT509" i="11" s="1"/>
  <c r="BF508" i="11"/>
  <c r="AQ509" i="11"/>
  <c r="AR509" i="11" s="1"/>
  <c r="AT509" i="11" s="1"/>
  <c r="CE510" i="11"/>
  <c r="CG510" i="11" s="1"/>
  <c r="DU510" i="11"/>
  <c r="DV510" i="11"/>
  <c r="DH510" i="11"/>
  <c r="DI510" i="11"/>
  <c r="CU510" i="11"/>
  <c r="CV510" i="11"/>
  <c r="CR510" i="11"/>
  <c r="CT510" i="11" s="1"/>
  <c r="CI510" i="11"/>
  <c r="CH510" i="11"/>
  <c r="BU510" i="11"/>
  <c r="BV510" i="11"/>
  <c r="BI510" i="11"/>
  <c r="BH510" i="11"/>
  <c r="AU510" i="11"/>
  <c r="AH510" i="11"/>
  <c r="AV510" i="11"/>
  <c r="AI510" i="11"/>
  <c r="BN510" i="11"/>
  <c r="BO510" i="11"/>
  <c r="BP510" i="11"/>
  <c r="W511" i="11"/>
  <c r="AN510" i="11"/>
  <c r="AO510" i="11"/>
  <c r="AP510" i="11"/>
  <c r="Y510" i="11"/>
  <c r="AA510" i="11"/>
  <c r="BA510" i="11"/>
  <c r="BC510" i="11"/>
  <c r="BB510" i="11"/>
  <c r="BD510" i="11" s="1"/>
  <c r="DM510" i="11"/>
  <c r="DN510" i="11"/>
  <c r="CZ510" i="11"/>
  <c r="DA510" i="11"/>
  <c r="DP510" i="11"/>
  <c r="DB510" i="11"/>
  <c r="DC510" i="11"/>
  <c r="CP510" i="11"/>
  <c r="CA510" i="11"/>
  <c r="BM510" i="11"/>
  <c r="CB510" i="11"/>
  <c r="CD510" i="11" s="1"/>
  <c r="AZ510" i="11"/>
  <c r="CC510" i="11"/>
  <c r="AM510" i="11"/>
  <c r="X510" i="11"/>
  <c r="CM510" i="11"/>
  <c r="CN510" i="11"/>
  <c r="CO510" i="11"/>
  <c r="BZ510" i="11"/>
  <c r="C512" i="11"/>
  <c r="A512" i="11" s="1"/>
  <c r="EB511" i="11" l="1"/>
  <c r="ED511" i="11" s="1"/>
  <c r="Z511" i="11"/>
  <c r="F511" i="11" s="1"/>
  <c r="BY507" i="11"/>
  <c r="L510" i="11"/>
  <c r="M510" i="11"/>
  <c r="EH511" i="11"/>
  <c r="EI511" i="11"/>
  <c r="EA511" i="11"/>
  <c r="EC511" i="11"/>
  <c r="DZ511" i="11"/>
  <c r="EE510" i="11"/>
  <c r="EG510" i="11" s="1"/>
  <c r="N477" i="12"/>
  <c r="V477" i="12"/>
  <c r="W477" i="12" s="1"/>
  <c r="A478" i="12"/>
  <c r="V478" i="12" s="1"/>
  <c r="W478" i="12" s="1"/>
  <c r="P511" i="11"/>
  <c r="BS509" i="11"/>
  <c r="BW509" i="11"/>
  <c r="CJ509" i="11"/>
  <c r="CL509" i="11" s="1"/>
  <c r="BX508" i="11"/>
  <c r="BY508" i="11" s="1"/>
  <c r="CW510" i="11"/>
  <c r="CX509" i="11"/>
  <c r="CY509" i="11" s="1"/>
  <c r="B512" i="11"/>
  <c r="B479" i="12"/>
  <c r="AC510" i="11"/>
  <c r="DL508" i="11"/>
  <c r="BL508" i="11"/>
  <c r="CS510" i="11"/>
  <c r="BJ509" i="11"/>
  <c r="BK509" i="11"/>
  <c r="CF510" i="11"/>
  <c r="DJ509" i="11"/>
  <c r="DK509" i="11"/>
  <c r="CQ510" i="11"/>
  <c r="AY507" i="11"/>
  <c r="BE510" i="11"/>
  <c r="BG510" i="11" s="1"/>
  <c r="BF509" i="11"/>
  <c r="DD510" i="11"/>
  <c r="DE510" i="11" s="1"/>
  <c r="DG510" i="11" s="1"/>
  <c r="AB511" i="11"/>
  <c r="DF509" i="11"/>
  <c r="BQ510" i="11"/>
  <c r="BR510" i="11" s="1"/>
  <c r="BT510" i="11" s="1"/>
  <c r="AW508" i="11"/>
  <c r="AX508" i="11"/>
  <c r="AS508" i="11"/>
  <c r="AQ510" i="11"/>
  <c r="AR510" i="11" s="1"/>
  <c r="AT510" i="11" s="1"/>
  <c r="CE511" i="11"/>
  <c r="CG511" i="11" s="1"/>
  <c r="DV511" i="11"/>
  <c r="DU511" i="11"/>
  <c r="DH511" i="11"/>
  <c r="DI511" i="11"/>
  <c r="CR511" i="11"/>
  <c r="CT511" i="11" s="1"/>
  <c r="CU511" i="11"/>
  <c r="CV511" i="11"/>
  <c r="CH511" i="11"/>
  <c r="CI511" i="11"/>
  <c r="BU511" i="11"/>
  <c r="BV511" i="11"/>
  <c r="BH511" i="11"/>
  <c r="BI511" i="11"/>
  <c r="AI511" i="11"/>
  <c r="AU511" i="11"/>
  <c r="AV511" i="11"/>
  <c r="AH511" i="11"/>
  <c r="BO511" i="11"/>
  <c r="BP511" i="11"/>
  <c r="BN511" i="11"/>
  <c r="W512" i="11"/>
  <c r="AN511" i="11"/>
  <c r="AP511" i="11"/>
  <c r="AO511" i="11"/>
  <c r="Y511" i="11"/>
  <c r="AA511" i="11"/>
  <c r="BC511" i="11"/>
  <c r="BA511" i="11"/>
  <c r="BB511" i="11"/>
  <c r="BD511" i="11" s="1"/>
  <c r="DP511" i="11"/>
  <c r="DB511" i="11"/>
  <c r="DC511" i="11"/>
  <c r="DM511" i="11"/>
  <c r="DN511" i="11"/>
  <c r="CZ511" i="11"/>
  <c r="CM511" i="11"/>
  <c r="BM511" i="11"/>
  <c r="DA511" i="11"/>
  <c r="CN511" i="11"/>
  <c r="AZ511" i="11"/>
  <c r="CO511" i="11"/>
  <c r="CQ511" i="11" s="1"/>
  <c r="BZ511" i="11"/>
  <c r="AM511" i="11"/>
  <c r="CP511" i="11"/>
  <c r="CA511" i="11"/>
  <c r="X511" i="11"/>
  <c r="CB511" i="11"/>
  <c r="CC511" i="11"/>
  <c r="C513" i="11"/>
  <c r="A513" i="11" s="1"/>
  <c r="EB512" i="11" l="1"/>
  <c r="ED512" i="11" s="1"/>
  <c r="Z512" i="11"/>
  <c r="F512" i="11" s="1"/>
  <c r="M478" i="12"/>
  <c r="N478" i="12"/>
  <c r="L511" i="11"/>
  <c r="EE511" i="11"/>
  <c r="EG511" i="11" s="1"/>
  <c r="M511" i="11"/>
  <c r="EC512" i="11"/>
  <c r="DZ512" i="11"/>
  <c r="EI512" i="11"/>
  <c r="EA512" i="11"/>
  <c r="EH512" i="11"/>
  <c r="A479" i="12"/>
  <c r="V479" i="12" s="1"/>
  <c r="W479" i="12" s="1"/>
  <c r="P512" i="11"/>
  <c r="BX509" i="11"/>
  <c r="BY509" i="11" s="1"/>
  <c r="CJ511" i="11"/>
  <c r="AY508" i="11"/>
  <c r="CX511" i="11"/>
  <c r="CX510" i="11"/>
  <c r="CY510" i="11" s="1"/>
  <c r="AS510" i="11"/>
  <c r="CK510" i="11"/>
  <c r="CJ510" i="11"/>
  <c r="E477" i="12"/>
  <c r="B513" i="11"/>
  <c r="B480" i="12"/>
  <c r="DL509" i="11"/>
  <c r="BL509" i="11"/>
  <c r="AC511" i="11"/>
  <c r="CD511" i="11"/>
  <c r="DJ510" i="11"/>
  <c r="DK510" i="11"/>
  <c r="DF510" i="11"/>
  <c r="BS510" i="11"/>
  <c r="BJ510" i="11"/>
  <c r="BK510" i="11"/>
  <c r="BF510" i="11"/>
  <c r="CS511" i="11"/>
  <c r="BE511" i="11"/>
  <c r="BG511" i="11" s="1"/>
  <c r="DD511" i="11"/>
  <c r="DE511" i="11" s="1"/>
  <c r="DG511" i="11" s="1"/>
  <c r="AW510" i="11"/>
  <c r="AX510" i="11"/>
  <c r="BQ511" i="11"/>
  <c r="BR511" i="11" s="1"/>
  <c r="BT511" i="11" s="1"/>
  <c r="CF511" i="11"/>
  <c r="AB512" i="11"/>
  <c r="AX509" i="11"/>
  <c r="AW509" i="11"/>
  <c r="AS509" i="11"/>
  <c r="AQ511" i="11"/>
  <c r="AR511" i="11" s="1"/>
  <c r="AT511" i="11" s="1"/>
  <c r="CE512" i="11"/>
  <c r="CG512" i="11" s="1"/>
  <c r="DU512" i="11"/>
  <c r="DV512" i="11"/>
  <c r="DH512" i="11"/>
  <c r="DI512" i="11"/>
  <c r="CR512" i="11"/>
  <c r="CT512" i="11" s="1"/>
  <c r="CV512" i="11"/>
  <c r="CU512" i="11"/>
  <c r="CH512" i="11"/>
  <c r="CI512" i="11"/>
  <c r="BU512" i="11"/>
  <c r="BV512" i="11"/>
  <c r="BI512" i="11"/>
  <c r="AV512" i="11"/>
  <c r="BH512" i="11"/>
  <c r="AH512" i="11"/>
  <c r="AI512" i="11"/>
  <c r="AU512" i="11"/>
  <c r="BN512" i="11"/>
  <c r="BP512" i="11"/>
  <c r="BO512" i="11"/>
  <c r="AO512" i="11"/>
  <c r="AP512" i="11"/>
  <c r="AN512" i="11"/>
  <c r="AA512" i="11"/>
  <c r="Y512" i="11"/>
  <c r="BC512" i="11"/>
  <c r="BB512" i="11"/>
  <c r="BD512" i="11" s="1"/>
  <c r="BA512" i="11"/>
  <c r="DM512" i="11"/>
  <c r="DN512" i="11"/>
  <c r="CZ512" i="11"/>
  <c r="DA512" i="11"/>
  <c r="DP512" i="11"/>
  <c r="DB512" i="11"/>
  <c r="CP512" i="11"/>
  <c r="CA512" i="11"/>
  <c r="CB512" i="11"/>
  <c r="CC512" i="11"/>
  <c r="BM512" i="11"/>
  <c r="DC512" i="11"/>
  <c r="AZ512" i="11"/>
  <c r="AM512" i="11"/>
  <c r="CM512" i="11"/>
  <c r="CN512" i="11"/>
  <c r="CO512" i="11"/>
  <c r="CQ512" i="11" s="1"/>
  <c r="BZ512" i="11"/>
  <c r="X512" i="11"/>
  <c r="W513" i="11"/>
  <c r="C514" i="11"/>
  <c r="A514" i="11" s="1"/>
  <c r="EB513" i="11" l="1"/>
  <c r="Z513" i="11"/>
  <c r="F513" i="11" s="1"/>
  <c r="L512" i="11"/>
  <c r="EE512" i="11"/>
  <c r="EG512" i="11" s="1"/>
  <c r="N479" i="12"/>
  <c r="M479" i="12"/>
  <c r="M512" i="11"/>
  <c r="EA513" i="11"/>
  <c r="EI513" i="11"/>
  <c r="EH513" i="11"/>
  <c r="EC513" i="11"/>
  <c r="ED513" i="11"/>
  <c r="DZ513" i="11"/>
  <c r="A480" i="12"/>
  <c r="M480" i="12" s="1"/>
  <c r="P513" i="11"/>
  <c r="CK511" i="11"/>
  <c r="CL511" i="11" s="1"/>
  <c r="BX511" i="11"/>
  <c r="CL510" i="11"/>
  <c r="CW511" i="11"/>
  <c r="CY511" i="11" s="1"/>
  <c r="BX510" i="11"/>
  <c r="CJ512" i="11"/>
  <c r="BW510" i="11"/>
  <c r="AY510" i="11"/>
  <c r="BL510" i="11"/>
  <c r="E478" i="12"/>
  <c r="B514" i="11"/>
  <c r="B481" i="12"/>
  <c r="AY509" i="11"/>
  <c r="AC512" i="11"/>
  <c r="DL510" i="11"/>
  <c r="CD512" i="11"/>
  <c r="CS512" i="11"/>
  <c r="BJ511" i="11"/>
  <c r="BK511" i="11"/>
  <c r="BF511" i="11"/>
  <c r="DJ511" i="11"/>
  <c r="DK511" i="11"/>
  <c r="DF511" i="11"/>
  <c r="BW511" i="11"/>
  <c r="BS511" i="11"/>
  <c r="CF512" i="11"/>
  <c r="BE512" i="11"/>
  <c r="BG512" i="11" s="1"/>
  <c r="DD512" i="11"/>
  <c r="DE512" i="11" s="1"/>
  <c r="DG512" i="11" s="1"/>
  <c r="BQ512" i="11"/>
  <c r="BR512" i="11" s="1"/>
  <c r="BT512" i="11" s="1"/>
  <c r="AB513" i="11"/>
  <c r="AQ512" i="11"/>
  <c r="AR512" i="11" s="1"/>
  <c r="AT512" i="11" s="1"/>
  <c r="CE513" i="11"/>
  <c r="CG513" i="11" s="1"/>
  <c r="DU513" i="11"/>
  <c r="DV513" i="11"/>
  <c r="DH513" i="11"/>
  <c r="DI513" i="11"/>
  <c r="CR513" i="11"/>
  <c r="CT513" i="11" s="1"/>
  <c r="CU513" i="11"/>
  <c r="CV513" i="11"/>
  <c r="CH513" i="11"/>
  <c r="CI513" i="11"/>
  <c r="BU513" i="11"/>
  <c r="BV513" i="11"/>
  <c r="BI513" i="11"/>
  <c r="AU513" i="11"/>
  <c r="AV513" i="11"/>
  <c r="BH513" i="11"/>
  <c r="AH513" i="11"/>
  <c r="AI513" i="11"/>
  <c r="BN513" i="11"/>
  <c r="BO513" i="11"/>
  <c r="BP513" i="11"/>
  <c r="AN513" i="11"/>
  <c r="AO513" i="11"/>
  <c r="AP513" i="11"/>
  <c r="Y513" i="11"/>
  <c r="AA513" i="11"/>
  <c r="BA513" i="11"/>
  <c r="BB513" i="11"/>
  <c r="BD513" i="11" s="1"/>
  <c r="BC513" i="11"/>
  <c r="DP513" i="11"/>
  <c r="DB513" i="11"/>
  <c r="DD513" i="11" s="1"/>
  <c r="DC513" i="11"/>
  <c r="DM513" i="11"/>
  <c r="DN513" i="11"/>
  <c r="CM513" i="11"/>
  <c r="CN513" i="11"/>
  <c r="CO513" i="11"/>
  <c r="BZ513" i="11"/>
  <c r="BM513" i="11"/>
  <c r="CZ513" i="11"/>
  <c r="CP513" i="11"/>
  <c r="CA513" i="11"/>
  <c r="AZ513" i="11"/>
  <c r="DA513" i="11"/>
  <c r="CB513" i="11"/>
  <c r="CC513" i="11"/>
  <c r="X513" i="11"/>
  <c r="AM513" i="11"/>
  <c r="W514" i="11"/>
  <c r="C515" i="11"/>
  <c r="A515" i="11" s="1"/>
  <c r="EB514" i="11" l="1"/>
  <c r="ED514" i="11" s="1"/>
  <c r="Z514" i="11"/>
  <c r="F514" i="11" s="1"/>
  <c r="M513" i="11"/>
  <c r="L513" i="11"/>
  <c r="N480" i="12"/>
  <c r="EE513" i="11"/>
  <c r="EG513" i="11" s="1"/>
  <c r="EA514" i="11"/>
  <c r="DZ514" i="11"/>
  <c r="EH514" i="11"/>
  <c r="EI514" i="11"/>
  <c r="EC514" i="11"/>
  <c r="V480" i="12"/>
  <c r="W480" i="12" s="1"/>
  <c r="A481" i="12"/>
  <c r="M481" i="12" s="1"/>
  <c r="P514" i="11"/>
  <c r="DF512" i="11"/>
  <c r="CX513" i="11"/>
  <c r="BY510" i="11"/>
  <c r="CK512" i="11"/>
  <c r="CL512" i="11" s="1"/>
  <c r="CX512" i="11"/>
  <c r="CJ513" i="11"/>
  <c r="DK512" i="11"/>
  <c r="CW512" i="11"/>
  <c r="E479" i="12"/>
  <c r="B515" i="11"/>
  <c r="B482" i="12"/>
  <c r="DL511" i="11"/>
  <c r="AC513" i="11"/>
  <c r="BY511" i="11"/>
  <c r="BL511" i="11"/>
  <c r="CF513" i="11"/>
  <c r="CS513" i="11"/>
  <c r="CQ513" i="11"/>
  <c r="BW512" i="11"/>
  <c r="BX512" i="11"/>
  <c r="BS512" i="11"/>
  <c r="BJ512" i="11"/>
  <c r="BK512" i="11"/>
  <c r="AX511" i="11"/>
  <c r="AW511" i="11"/>
  <c r="AS511" i="11"/>
  <c r="CD513" i="11"/>
  <c r="BF512" i="11"/>
  <c r="DE513" i="11"/>
  <c r="DG513" i="11" s="1"/>
  <c r="AB514" i="11"/>
  <c r="BE513" i="11"/>
  <c r="BG513" i="11" s="1"/>
  <c r="BQ513" i="11"/>
  <c r="BR513" i="11" s="1"/>
  <c r="BT513" i="11" s="1"/>
  <c r="AQ513" i="11"/>
  <c r="AR513" i="11" s="1"/>
  <c r="AT513" i="11" s="1"/>
  <c r="CE514" i="11"/>
  <c r="CG514" i="11" s="1"/>
  <c r="DU514" i="11"/>
  <c r="DV514" i="11"/>
  <c r="DI514" i="11"/>
  <c r="DH514" i="11"/>
  <c r="CR514" i="11"/>
  <c r="CT514" i="11" s="1"/>
  <c r="CU514" i="11"/>
  <c r="CV514" i="11"/>
  <c r="CI514" i="11"/>
  <c r="CH514" i="11"/>
  <c r="BU514" i="11"/>
  <c r="BV514" i="11"/>
  <c r="BI514" i="11"/>
  <c r="AU514" i="11"/>
  <c r="AV514" i="11"/>
  <c r="BH514" i="11"/>
  <c r="AH514" i="11"/>
  <c r="AI514" i="11"/>
  <c r="BN514" i="11"/>
  <c r="BO514" i="11"/>
  <c r="BP514" i="11"/>
  <c r="W515" i="11"/>
  <c r="AO514" i="11"/>
  <c r="AN514" i="11"/>
  <c r="AP514" i="11"/>
  <c r="Y514" i="11"/>
  <c r="AA514" i="11"/>
  <c r="BB514" i="11"/>
  <c r="BD514" i="11" s="1"/>
  <c r="BC514" i="11"/>
  <c r="BA514" i="11"/>
  <c r="DM514" i="11"/>
  <c r="DN514" i="11"/>
  <c r="CZ514" i="11"/>
  <c r="DA514" i="11"/>
  <c r="DP514" i="11"/>
  <c r="DB514" i="11"/>
  <c r="CP514" i="11"/>
  <c r="CA514" i="11"/>
  <c r="CB514" i="11"/>
  <c r="CC514" i="11"/>
  <c r="BM514" i="11"/>
  <c r="CM514" i="11"/>
  <c r="AZ514" i="11"/>
  <c r="DC514" i="11"/>
  <c r="CN514" i="11"/>
  <c r="CO514" i="11"/>
  <c r="CQ514" i="11" s="1"/>
  <c r="BZ514" i="11"/>
  <c r="X514" i="11"/>
  <c r="AM514" i="11"/>
  <c r="C516" i="11"/>
  <c r="A516" i="11" s="1"/>
  <c r="EB515" i="11" l="1"/>
  <c r="Z515" i="11"/>
  <c r="F515" i="11" s="1"/>
  <c r="N481" i="12"/>
  <c r="M514" i="11"/>
  <c r="L514" i="11"/>
  <c r="V481" i="12"/>
  <c r="W481" i="12" s="1"/>
  <c r="EE514" i="11"/>
  <c r="EG514" i="11" s="1"/>
  <c r="EH515" i="11"/>
  <c r="ED515" i="11"/>
  <c r="EC515" i="11"/>
  <c r="EA515" i="11"/>
  <c r="EI515" i="11"/>
  <c r="DZ515" i="11"/>
  <c r="A482" i="12"/>
  <c r="M482" i="12" s="1"/>
  <c r="P515" i="11"/>
  <c r="CW513" i="11"/>
  <c r="CY513" i="11" s="1"/>
  <c r="CK513" i="11"/>
  <c r="CL513" i="11" s="1"/>
  <c r="CY512" i="11"/>
  <c r="DJ512" i="11"/>
  <c r="DL512" i="11" s="1"/>
  <c r="CJ514" i="11"/>
  <c r="DK513" i="11"/>
  <c r="AS513" i="11"/>
  <c r="E480" i="12"/>
  <c r="B516" i="11"/>
  <c r="B483" i="12"/>
  <c r="AC514" i="11"/>
  <c r="AY511" i="11"/>
  <c r="BY512" i="11"/>
  <c r="BL512" i="11"/>
  <c r="CF514" i="11"/>
  <c r="CD514" i="11"/>
  <c r="CW514" i="11"/>
  <c r="CX514" i="11"/>
  <c r="AB515" i="11"/>
  <c r="CS514" i="11"/>
  <c r="BE514" i="11"/>
  <c r="BG514" i="11" s="1"/>
  <c r="BX513" i="11"/>
  <c r="BS513" i="11"/>
  <c r="BW513" i="11"/>
  <c r="BK513" i="11"/>
  <c r="BJ513" i="11"/>
  <c r="BQ514" i="11"/>
  <c r="BR514" i="11" s="1"/>
  <c r="BT514" i="11" s="1"/>
  <c r="DD514" i="11"/>
  <c r="DE514" i="11" s="1"/>
  <c r="DG514" i="11" s="1"/>
  <c r="AW512" i="11"/>
  <c r="AX512" i="11"/>
  <c r="AS512" i="11"/>
  <c r="DF513" i="11"/>
  <c r="BF513" i="11"/>
  <c r="AQ514" i="11"/>
  <c r="AR514" i="11" s="1"/>
  <c r="AT514" i="11" s="1"/>
  <c r="CE515" i="11"/>
  <c r="CG515" i="11" s="1"/>
  <c r="DV515" i="11"/>
  <c r="DU515" i="11"/>
  <c r="DH515" i="11"/>
  <c r="DI515" i="11"/>
  <c r="CV515" i="11"/>
  <c r="CR515" i="11"/>
  <c r="CT515" i="11" s="1"/>
  <c r="CU515" i="11"/>
  <c r="CH515" i="11"/>
  <c r="CI515" i="11"/>
  <c r="BV515" i="11"/>
  <c r="BU515" i="11"/>
  <c r="BI515" i="11"/>
  <c r="AU515" i="11"/>
  <c r="AV515" i="11"/>
  <c r="BH515" i="11"/>
  <c r="AH515" i="11"/>
  <c r="AI515" i="11"/>
  <c r="BO515" i="11"/>
  <c r="BP515" i="11"/>
  <c r="BN515" i="11"/>
  <c r="AN515" i="11"/>
  <c r="AO515" i="11"/>
  <c r="AP515" i="11"/>
  <c r="Y515" i="11"/>
  <c r="AA515" i="11"/>
  <c r="BC515" i="11"/>
  <c r="BA515" i="11"/>
  <c r="BB515" i="11"/>
  <c r="BD515" i="11" s="1"/>
  <c r="DP515" i="11"/>
  <c r="DB515" i="11"/>
  <c r="DC515" i="11"/>
  <c r="DM515" i="11"/>
  <c r="DN515" i="11"/>
  <c r="DA515" i="11"/>
  <c r="X515" i="11"/>
  <c r="CM515" i="11"/>
  <c r="CN515" i="11"/>
  <c r="CO515" i="11"/>
  <c r="BZ515" i="11"/>
  <c r="CP515" i="11"/>
  <c r="CA515" i="11"/>
  <c r="CB515" i="11"/>
  <c r="BM515" i="11"/>
  <c r="CC515" i="11"/>
  <c r="AZ515" i="11"/>
  <c r="CZ515" i="11"/>
  <c r="AM515" i="11"/>
  <c r="W516" i="11"/>
  <c r="C517" i="11"/>
  <c r="A517" i="11" s="1"/>
  <c r="Z516" i="11" l="1"/>
  <c r="F516" i="11" s="1"/>
  <c r="EB516" i="11"/>
  <c r="ED516" i="11" s="1"/>
  <c r="M515" i="11"/>
  <c r="L515" i="11"/>
  <c r="EE515" i="11"/>
  <c r="EG515" i="11" s="1"/>
  <c r="EC516" i="11"/>
  <c r="DZ516" i="11"/>
  <c r="EA516" i="11"/>
  <c r="EI516" i="11"/>
  <c r="EH516" i="11"/>
  <c r="N482" i="12"/>
  <c r="V482" i="12"/>
  <c r="W482" i="12" s="1"/>
  <c r="A483" i="12"/>
  <c r="N483" i="12" s="1"/>
  <c r="P516" i="11"/>
  <c r="DJ513" i="11"/>
  <c r="DL513" i="11" s="1"/>
  <c r="CK514" i="11"/>
  <c r="CL514" i="11" s="1"/>
  <c r="AX513" i="11"/>
  <c r="AW513" i="11"/>
  <c r="CJ515" i="11"/>
  <c r="E481" i="12"/>
  <c r="B517" i="11"/>
  <c r="B484" i="12"/>
  <c r="BL513" i="11"/>
  <c r="BY513" i="11"/>
  <c r="AC515" i="11"/>
  <c r="AY512" i="11"/>
  <c r="CQ515" i="11"/>
  <c r="CY514" i="11"/>
  <c r="CD515" i="11"/>
  <c r="BJ514" i="11"/>
  <c r="BK514" i="11"/>
  <c r="BF514" i="11"/>
  <c r="BX514" i="11"/>
  <c r="BW514" i="11"/>
  <c r="BS514" i="11"/>
  <c r="CX515" i="11"/>
  <c r="CW515" i="11"/>
  <c r="DF514" i="11"/>
  <c r="CF515" i="11"/>
  <c r="CS515" i="11"/>
  <c r="BQ515" i="11"/>
  <c r="BR515" i="11" s="1"/>
  <c r="BT515" i="11" s="1"/>
  <c r="DD515" i="11"/>
  <c r="DE515" i="11" s="1"/>
  <c r="DG515" i="11" s="1"/>
  <c r="BE515" i="11"/>
  <c r="BG515" i="11" s="1"/>
  <c r="AB516" i="11"/>
  <c r="AQ515" i="11"/>
  <c r="AR515" i="11" s="1"/>
  <c r="AT515" i="11" s="1"/>
  <c r="CE516" i="11"/>
  <c r="CG516" i="11" s="1"/>
  <c r="DU516" i="11"/>
  <c r="DV516" i="11"/>
  <c r="DH516" i="11"/>
  <c r="DI516" i="11"/>
  <c r="CU516" i="11"/>
  <c r="CV516" i="11"/>
  <c r="CR516" i="11"/>
  <c r="CT516" i="11" s="1"/>
  <c r="CH516" i="11"/>
  <c r="CI516" i="11"/>
  <c r="BU516" i="11"/>
  <c r="BV516" i="11"/>
  <c r="BI516" i="11"/>
  <c r="AU516" i="11"/>
  <c r="AV516" i="11"/>
  <c r="BH516" i="11"/>
  <c r="AH516" i="11"/>
  <c r="AI516" i="11"/>
  <c r="BP516" i="11"/>
  <c r="BN516" i="11"/>
  <c r="BO516" i="11"/>
  <c r="W517" i="11"/>
  <c r="AN516" i="11"/>
  <c r="AO516" i="11"/>
  <c r="AP516" i="11"/>
  <c r="AA516" i="11"/>
  <c r="Y516" i="11"/>
  <c r="BA516" i="11"/>
  <c r="BC516" i="11"/>
  <c r="BB516" i="11"/>
  <c r="BD516" i="11" s="1"/>
  <c r="DM516" i="11"/>
  <c r="DN516" i="11"/>
  <c r="CZ516" i="11"/>
  <c r="DA516" i="11"/>
  <c r="DP516" i="11"/>
  <c r="DB516" i="11"/>
  <c r="CP516" i="11"/>
  <c r="CA516" i="11"/>
  <c r="AM516" i="11"/>
  <c r="DC516" i="11"/>
  <c r="CB516" i="11"/>
  <c r="X516" i="11"/>
  <c r="CC516" i="11"/>
  <c r="CM516" i="11"/>
  <c r="CN516" i="11"/>
  <c r="BM516" i="11"/>
  <c r="CO516" i="11"/>
  <c r="BZ516" i="11"/>
  <c r="AZ516" i="11"/>
  <c r="C518" i="11"/>
  <c r="A518" i="11" s="1"/>
  <c r="EB517" i="11" l="1"/>
  <c r="Z517" i="11"/>
  <c r="F517" i="11" s="1"/>
  <c r="BF515" i="11"/>
  <c r="M516" i="11"/>
  <c r="L516" i="11"/>
  <c r="DZ517" i="11"/>
  <c r="EH517" i="11"/>
  <c r="EI517" i="11"/>
  <c r="ED517" i="11"/>
  <c r="EA517" i="11"/>
  <c r="EC517" i="11"/>
  <c r="M483" i="12"/>
  <c r="EE516" i="11"/>
  <c r="EG516" i="11" s="1"/>
  <c r="V483" i="12"/>
  <c r="W483" i="12" s="1"/>
  <c r="A484" i="12"/>
  <c r="N484" i="12" s="1"/>
  <c r="P517" i="11"/>
  <c r="AY513" i="11"/>
  <c r="DK514" i="11"/>
  <c r="CK516" i="11"/>
  <c r="CK515" i="11"/>
  <c r="CL515" i="11" s="1"/>
  <c r="DJ514" i="11"/>
  <c r="E482" i="12"/>
  <c r="B518" i="11"/>
  <c r="B485" i="12"/>
  <c r="CY515" i="11"/>
  <c r="CF516" i="11"/>
  <c r="AC516" i="11"/>
  <c r="BL514" i="11"/>
  <c r="CS516" i="11"/>
  <c r="BY514" i="11"/>
  <c r="BW515" i="11"/>
  <c r="BX515" i="11"/>
  <c r="BS515" i="11"/>
  <c r="DK515" i="11"/>
  <c r="DJ515" i="11"/>
  <c r="DF515" i="11"/>
  <c r="CW516" i="11"/>
  <c r="CX516" i="11"/>
  <c r="BQ516" i="11"/>
  <c r="BR516" i="11" s="1"/>
  <c r="BT516" i="11" s="1"/>
  <c r="CD516" i="11"/>
  <c r="CQ516" i="11"/>
  <c r="AB517" i="11"/>
  <c r="DD516" i="11"/>
  <c r="DE516" i="11" s="1"/>
  <c r="DG516" i="11" s="1"/>
  <c r="BE516" i="11"/>
  <c r="BG516" i="11" s="1"/>
  <c r="AW514" i="11"/>
  <c r="AX514" i="11"/>
  <c r="AS514" i="11"/>
  <c r="AQ516" i="11"/>
  <c r="AR516" i="11" s="1"/>
  <c r="AT516" i="11" s="1"/>
  <c r="CE517" i="11"/>
  <c r="CG517" i="11" s="1"/>
  <c r="DU517" i="11"/>
  <c r="DV517" i="11"/>
  <c r="DI517" i="11"/>
  <c r="DH517" i="11"/>
  <c r="CU517" i="11"/>
  <c r="CV517" i="11"/>
  <c r="CR517" i="11"/>
  <c r="CT517" i="11" s="1"/>
  <c r="CH517" i="11"/>
  <c r="CI517" i="11"/>
  <c r="BU517" i="11"/>
  <c r="BV517" i="11"/>
  <c r="BI517" i="11"/>
  <c r="AU517" i="11"/>
  <c r="AV517" i="11"/>
  <c r="BH517" i="11"/>
  <c r="AI517" i="11"/>
  <c r="AH517" i="11"/>
  <c r="BN517" i="11"/>
  <c r="BO517" i="11"/>
  <c r="BQ517" i="11" s="1"/>
  <c r="BP517" i="11"/>
  <c r="W518" i="11"/>
  <c r="AP517" i="11"/>
  <c r="AN517" i="11"/>
  <c r="Y517" i="11"/>
  <c r="AA517" i="11"/>
  <c r="AO517" i="11"/>
  <c r="BA517" i="11"/>
  <c r="BB517" i="11"/>
  <c r="BD517" i="11" s="1"/>
  <c r="BC517" i="11"/>
  <c r="DP517" i="11"/>
  <c r="DB517" i="11"/>
  <c r="DD517" i="11" s="1"/>
  <c r="DC517" i="11"/>
  <c r="DM517" i="11"/>
  <c r="DN517" i="11"/>
  <c r="AZ517" i="11"/>
  <c r="CM517" i="11"/>
  <c r="AM517" i="11"/>
  <c r="CZ517" i="11"/>
  <c r="CN517" i="11"/>
  <c r="X517" i="11"/>
  <c r="DA517" i="11"/>
  <c r="CO517" i="11"/>
  <c r="BZ517" i="11"/>
  <c r="CP517" i="11"/>
  <c r="CA517" i="11"/>
  <c r="CB517" i="11"/>
  <c r="CC517" i="11"/>
  <c r="BM517" i="11"/>
  <c r="C519" i="11"/>
  <c r="A519" i="11" s="1"/>
  <c r="EB518" i="11" l="1"/>
  <c r="Z518" i="11"/>
  <c r="F518" i="11" s="1"/>
  <c r="BK515" i="11"/>
  <c r="BJ515" i="11"/>
  <c r="L517" i="11"/>
  <c r="M484" i="12"/>
  <c r="M517" i="11"/>
  <c r="EE517" i="11"/>
  <c r="EG517" i="11" s="1"/>
  <c r="EI518" i="11"/>
  <c r="EC518" i="11"/>
  <c r="EA518" i="11"/>
  <c r="EH518" i="11"/>
  <c r="ED518" i="11"/>
  <c r="DZ518" i="11"/>
  <c r="V484" i="12"/>
  <c r="W484" i="12" s="1"/>
  <c r="A485" i="12"/>
  <c r="N485" i="12" s="1"/>
  <c r="P518" i="11"/>
  <c r="BF516" i="11"/>
  <c r="BK516" i="11"/>
  <c r="DL514" i="11"/>
  <c r="CK517" i="11"/>
  <c r="CJ516" i="11"/>
  <c r="CL516" i="11" s="1"/>
  <c r="E483" i="12"/>
  <c r="B519" i="11"/>
  <c r="B486" i="12"/>
  <c r="DL515" i="11"/>
  <c r="BY515" i="11"/>
  <c r="CY516" i="11"/>
  <c r="AC517" i="11"/>
  <c r="CF517" i="11"/>
  <c r="CX517" i="11"/>
  <c r="CW517" i="11"/>
  <c r="CS517" i="11"/>
  <c r="BX516" i="11"/>
  <c r="BW516" i="11"/>
  <c r="BS516" i="11"/>
  <c r="DJ516" i="11"/>
  <c r="DK516" i="11"/>
  <c r="DF516" i="11"/>
  <c r="AB518" i="11"/>
  <c r="DE517" i="11"/>
  <c r="DG517" i="11" s="1"/>
  <c r="AY514" i="11"/>
  <c r="AW515" i="11"/>
  <c r="AX515" i="11"/>
  <c r="AS515" i="11"/>
  <c r="BR517" i="11"/>
  <c r="BT517" i="11" s="1"/>
  <c r="BJ516" i="11"/>
  <c r="CD517" i="11"/>
  <c r="CQ517" i="11"/>
  <c r="BE517" i="11"/>
  <c r="BG517" i="11" s="1"/>
  <c r="AQ517" i="11"/>
  <c r="AR517" i="11" s="1"/>
  <c r="AT517" i="11" s="1"/>
  <c r="CE518" i="11"/>
  <c r="CG518" i="11" s="1"/>
  <c r="DU518" i="11"/>
  <c r="DV518" i="11"/>
  <c r="DH518" i="11"/>
  <c r="DI518" i="11"/>
  <c r="CU518" i="11"/>
  <c r="CV518" i="11"/>
  <c r="CR518" i="11"/>
  <c r="CT518" i="11" s="1"/>
  <c r="CI518" i="11"/>
  <c r="CH518" i="11"/>
  <c r="BU518" i="11"/>
  <c r="BV518" i="11"/>
  <c r="BI518" i="11"/>
  <c r="AU518" i="11"/>
  <c r="AH518" i="11"/>
  <c r="BH518" i="11"/>
  <c r="AV518" i="11"/>
  <c r="AI518" i="11"/>
  <c r="BN518" i="11"/>
  <c r="BO518" i="11"/>
  <c r="BP518" i="11"/>
  <c r="W519" i="11"/>
  <c r="AN518" i="11"/>
  <c r="AO518" i="11"/>
  <c r="AP518" i="11"/>
  <c r="Y518" i="11"/>
  <c r="AA518" i="11"/>
  <c r="BC518" i="11"/>
  <c r="BB518" i="11"/>
  <c r="BD518" i="11" s="1"/>
  <c r="BA518" i="11"/>
  <c r="DM518" i="11"/>
  <c r="DN518" i="11"/>
  <c r="CZ518" i="11"/>
  <c r="DA518" i="11"/>
  <c r="DP518" i="11"/>
  <c r="DB518" i="11"/>
  <c r="DD518" i="11" s="1"/>
  <c r="CP518" i="11"/>
  <c r="CA518" i="11"/>
  <c r="BM518" i="11"/>
  <c r="CB518" i="11"/>
  <c r="AZ518" i="11"/>
  <c r="CC518" i="11"/>
  <c r="AM518" i="11"/>
  <c r="X518" i="11"/>
  <c r="DC518" i="11"/>
  <c r="CM518" i="11"/>
  <c r="CN518" i="11"/>
  <c r="CO518" i="11"/>
  <c r="BZ518" i="11"/>
  <c r="C520" i="11"/>
  <c r="A520" i="11" s="1"/>
  <c r="EB519" i="11" l="1"/>
  <c r="ED519" i="11" s="1"/>
  <c r="Z519" i="11"/>
  <c r="F519" i="11" s="1"/>
  <c r="BL515" i="11"/>
  <c r="DF517" i="11"/>
  <c r="M518" i="11"/>
  <c r="L518" i="11"/>
  <c r="EE518" i="11"/>
  <c r="EG518" i="11" s="1"/>
  <c r="M485" i="12"/>
  <c r="V485" i="12"/>
  <c r="W485" i="12" s="1"/>
  <c r="EA519" i="11"/>
  <c r="EI519" i="11"/>
  <c r="EC519" i="11"/>
  <c r="EH519" i="11"/>
  <c r="DZ519" i="11"/>
  <c r="A486" i="12"/>
  <c r="V486" i="12" s="1"/>
  <c r="W486" i="12" s="1"/>
  <c r="P519" i="11"/>
  <c r="BS517" i="11"/>
  <c r="BW517" i="11"/>
  <c r="BL516" i="11"/>
  <c r="CJ518" i="11"/>
  <c r="CJ517" i="11"/>
  <c r="CL517" i="11" s="1"/>
  <c r="DL516" i="11"/>
  <c r="CX518" i="11"/>
  <c r="E484" i="12"/>
  <c r="B520" i="11"/>
  <c r="B487" i="12"/>
  <c r="CY517" i="11"/>
  <c r="AC518" i="11"/>
  <c r="BY516" i="11"/>
  <c r="CS518" i="11"/>
  <c r="CD518" i="11"/>
  <c r="BK517" i="11"/>
  <c r="BJ517" i="11"/>
  <c r="BF517" i="11"/>
  <c r="DE518" i="11"/>
  <c r="DG518" i="11" s="1"/>
  <c r="AY515" i="11"/>
  <c r="BQ518" i="11"/>
  <c r="BR518" i="11" s="1"/>
  <c r="BT518" i="11" s="1"/>
  <c r="AX516" i="11"/>
  <c r="AW516" i="11"/>
  <c r="AS516" i="11"/>
  <c r="CF518" i="11"/>
  <c r="AB519" i="11"/>
  <c r="DK517" i="11"/>
  <c r="DJ517" i="11"/>
  <c r="CQ518" i="11"/>
  <c r="BE518" i="11"/>
  <c r="BG518" i="11" s="1"/>
  <c r="AQ518" i="11"/>
  <c r="AR518" i="11" s="1"/>
  <c r="AT518" i="11" s="1"/>
  <c r="CE519" i="11"/>
  <c r="CG519" i="11" s="1"/>
  <c r="DV519" i="11"/>
  <c r="DU519" i="11"/>
  <c r="DH519" i="11"/>
  <c r="DI519" i="11"/>
  <c r="CR519" i="11"/>
  <c r="CT519" i="11" s="1"/>
  <c r="CU519" i="11"/>
  <c r="CV519" i="11"/>
  <c r="CH519" i="11"/>
  <c r="CI519" i="11"/>
  <c r="BU519" i="11"/>
  <c r="BV519" i="11"/>
  <c r="BH519" i="11"/>
  <c r="BI519" i="11"/>
  <c r="AI519" i="11"/>
  <c r="AU519" i="11"/>
  <c r="AV519" i="11"/>
  <c r="AH519" i="11"/>
  <c r="BO519" i="11"/>
  <c r="BP519" i="11"/>
  <c r="BN519" i="11"/>
  <c r="AN519" i="11"/>
  <c r="AP519" i="11"/>
  <c r="AO519" i="11"/>
  <c r="AA519" i="11"/>
  <c r="Y519" i="11"/>
  <c r="BC519" i="11"/>
  <c r="BA519" i="11"/>
  <c r="BB519" i="11"/>
  <c r="BD519" i="11" s="1"/>
  <c r="DP519" i="11"/>
  <c r="DB519" i="11"/>
  <c r="DD519" i="11" s="1"/>
  <c r="DC519" i="11"/>
  <c r="DM519" i="11"/>
  <c r="DN519" i="11"/>
  <c r="CM519" i="11"/>
  <c r="BM519" i="11"/>
  <c r="CN519" i="11"/>
  <c r="AZ519" i="11"/>
  <c r="CO519" i="11"/>
  <c r="CQ519" i="11" s="1"/>
  <c r="BZ519" i="11"/>
  <c r="AM519" i="11"/>
  <c r="CP519" i="11"/>
  <c r="CA519" i="11"/>
  <c r="X519" i="11"/>
  <c r="CZ519" i="11"/>
  <c r="CB519" i="11"/>
  <c r="CD519" i="11" s="1"/>
  <c r="DA519" i="11"/>
  <c r="CC519" i="11"/>
  <c r="W520" i="11"/>
  <c r="C521" i="11"/>
  <c r="A521" i="11" s="1"/>
  <c r="EB520" i="11" l="1"/>
  <c r="Z520" i="11"/>
  <c r="F520" i="11" s="1"/>
  <c r="M519" i="11"/>
  <c r="L519" i="11"/>
  <c r="EE519" i="11"/>
  <c r="EG519" i="11" s="1"/>
  <c r="ED520" i="11"/>
  <c r="DZ520" i="11"/>
  <c r="EA520" i="11"/>
  <c r="EH520" i="11"/>
  <c r="EI520" i="11"/>
  <c r="EC520" i="11"/>
  <c r="N486" i="12"/>
  <c r="M486" i="12"/>
  <c r="A487" i="12"/>
  <c r="M487" i="12" s="1"/>
  <c r="P520" i="11"/>
  <c r="BS518" i="11"/>
  <c r="BX518" i="11"/>
  <c r="CW518" i="11"/>
  <c r="CY518" i="11" s="1"/>
  <c r="BX517" i="11"/>
  <c r="BY517" i="11" s="1"/>
  <c r="CJ519" i="11"/>
  <c r="CK518" i="11"/>
  <c r="CL518" i="11" s="1"/>
  <c r="CW519" i="11"/>
  <c r="E485" i="12"/>
  <c r="B521" i="11"/>
  <c r="B488" i="12"/>
  <c r="AY516" i="11"/>
  <c r="DL517" i="11"/>
  <c r="BL517" i="11"/>
  <c r="AC519" i="11"/>
  <c r="BK518" i="11"/>
  <c r="BJ518" i="11"/>
  <c r="BF518" i="11"/>
  <c r="CF519" i="11"/>
  <c r="DJ518" i="11"/>
  <c r="DK518" i="11"/>
  <c r="CS519" i="11"/>
  <c r="BQ519" i="11"/>
  <c r="BR519" i="11" s="1"/>
  <c r="BT519" i="11" s="1"/>
  <c r="AW517" i="11"/>
  <c r="AX517" i="11"/>
  <c r="AS517" i="11"/>
  <c r="BE519" i="11"/>
  <c r="BG519" i="11" s="1"/>
  <c r="AB520" i="11"/>
  <c r="DF518" i="11"/>
  <c r="DE519" i="11"/>
  <c r="DG519" i="11" s="1"/>
  <c r="AQ519" i="11"/>
  <c r="AR519" i="11" s="1"/>
  <c r="AT519" i="11" s="1"/>
  <c r="CE520" i="11"/>
  <c r="CG520" i="11" s="1"/>
  <c r="DU520" i="11"/>
  <c r="DV520" i="11"/>
  <c r="DH520" i="11"/>
  <c r="DI520" i="11"/>
  <c r="CR520" i="11"/>
  <c r="CT520" i="11" s="1"/>
  <c r="CV520" i="11"/>
  <c r="CU520" i="11"/>
  <c r="CH520" i="11"/>
  <c r="CI520" i="11"/>
  <c r="BU520" i="11"/>
  <c r="BV520" i="11"/>
  <c r="BH520" i="11"/>
  <c r="AV520" i="11"/>
  <c r="BI520" i="11"/>
  <c r="AU520" i="11"/>
  <c r="AH520" i="11"/>
  <c r="AI520" i="11"/>
  <c r="BN520" i="11"/>
  <c r="BP520" i="11"/>
  <c r="BO520" i="11"/>
  <c r="AO520" i="11"/>
  <c r="AP520" i="11"/>
  <c r="Y520" i="11"/>
  <c r="AA520" i="11"/>
  <c r="AN520" i="11"/>
  <c r="BC520" i="11"/>
  <c r="BA520" i="11"/>
  <c r="BB520" i="11"/>
  <c r="BD520" i="11" s="1"/>
  <c r="DM520" i="11"/>
  <c r="DN520" i="11"/>
  <c r="CZ520" i="11"/>
  <c r="DA520" i="11"/>
  <c r="DP520" i="11"/>
  <c r="DB520" i="11"/>
  <c r="CP520" i="11"/>
  <c r="CA520" i="11"/>
  <c r="CB520" i="11"/>
  <c r="CC520" i="11"/>
  <c r="BM520" i="11"/>
  <c r="AZ520" i="11"/>
  <c r="AM520" i="11"/>
  <c r="CM520" i="11"/>
  <c r="CN520" i="11"/>
  <c r="DC520" i="11"/>
  <c r="CO520" i="11"/>
  <c r="CS520" i="11" s="1"/>
  <c r="BZ520" i="11"/>
  <c r="X520" i="11"/>
  <c r="W521" i="11"/>
  <c r="C522" i="11"/>
  <c r="A522" i="11" s="1"/>
  <c r="EB521" i="11" l="1"/>
  <c r="ED521" i="11" s="1"/>
  <c r="Z521" i="11"/>
  <c r="F521" i="11" s="1"/>
  <c r="M520" i="11"/>
  <c r="L520" i="11"/>
  <c r="EE520" i="11"/>
  <c r="EG520" i="11" s="1"/>
  <c r="N487" i="12"/>
  <c r="V487" i="12"/>
  <c r="W487" i="12" s="1"/>
  <c r="DZ521" i="11"/>
  <c r="EH521" i="11"/>
  <c r="EA521" i="11"/>
  <c r="EC521" i="11"/>
  <c r="EI521" i="11"/>
  <c r="A488" i="12"/>
  <c r="V488" i="12" s="1"/>
  <c r="W488" i="12" s="1"/>
  <c r="P521" i="11"/>
  <c r="DF519" i="11"/>
  <c r="DK519" i="11"/>
  <c r="CX519" i="11"/>
  <c r="CY519" i="11" s="1"/>
  <c r="BW518" i="11"/>
  <c r="BY518" i="11" s="1"/>
  <c r="CK519" i="11"/>
  <c r="CL519" i="11" s="1"/>
  <c r="AX519" i="11"/>
  <c r="BX519" i="11"/>
  <c r="CK520" i="11"/>
  <c r="CW520" i="11"/>
  <c r="E486" i="12"/>
  <c r="B522" i="11"/>
  <c r="B489" i="12"/>
  <c r="AC520" i="11"/>
  <c r="AY517" i="11"/>
  <c r="BL518" i="11"/>
  <c r="DL518" i="11"/>
  <c r="BK519" i="11"/>
  <c r="BJ519" i="11"/>
  <c r="BF519" i="11"/>
  <c r="BW519" i="11"/>
  <c r="BS519" i="11"/>
  <c r="CF520" i="11"/>
  <c r="AB521" i="11"/>
  <c r="DD520" i="11"/>
  <c r="DE520" i="11" s="1"/>
  <c r="DG520" i="11" s="1"/>
  <c r="BE520" i="11"/>
  <c r="BG520" i="11" s="1"/>
  <c r="DJ519" i="11"/>
  <c r="BQ520" i="11"/>
  <c r="BR520" i="11" s="1"/>
  <c r="BT520" i="11" s="1"/>
  <c r="AW518" i="11"/>
  <c r="AX518" i="11"/>
  <c r="AS518" i="11"/>
  <c r="CD520" i="11"/>
  <c r="AW519" i="11"/>
  <c r="CQ520" i="11"/>
  <c r="AQ520" i="11"/>
  <c r="AR520" i="11" s="1"/>
  <c r="AT520" i="11" s="1"/>
  <c r="CE521" i="11"/>
  <c r="CG521" i="11" s="1"/>
  <c r="DU521" i="11"/>
  <c r="DV521" i="11"/>
  <c r="DH521" i="11"/>
  <c r="DI521" i="11"/>
  <c r="CR521" i="11"/>
  <c r="CT521" i="11" s="1"/>
  <c r="CU521" i="11"/>
  <c r="CV521" i="11"/>
  <c r="CH521" i="11"/>
  <c r="CI521" i="11"/>
  <c r="BU521" i="11"/>
  <c r="BV521" i="11"/>
  <c r="BH521" i="11"/>
  <c r="AU521" i="11"/>
  <c r="AV521" i="11"/>
  <c r="BI521" i="11"/>
  <c r="AH521" i="11"/>
  <c r="AI521" i="11"/>
  <c r="BN521" i="11"/>
  <c r="BO521" i="11"/>
  <c r="BP521" i="11"/>
  <c r="W522" i="11"/>
  <c r="AN521" i="11"/>
  <c r="AO521" i="11"/>
  <c r="AP521" i="11"/>
  <c r="AA521" i="11"/>
  <c r="Y521" i="11"/>
  <c r="BC521" i="11"/>
  <c r="BA521" i="11"/>
  <c r="BB521" i="11"/>
  <c r="BD521" i="11" s="1"/>
  <c r="DP521" i="11"/>
  <c r="DB521" i="11"/>
  <c r="DC521" i="11"/>
  <c r="DM521" i="11"/>
  <c r="DN521" i="11"/>
  <c r="CZ521" i="11"/>
  <c r="DA521" i="11"/>
  <c r="CM521" i="11"/>
  <c r="CN521" i="11"/>
  <c r="CO521" i="11"/>
  <c r="BZ521" i="11"/>
  <c r="BM521" i="11"/>
  <c r="CP521" i="11"/>
  <c r="CA521" i="11"/>
  <c r="AZ521" i="11"/>
  <c r="CB521" i="11"/>
  <c r="CF521" i="11" s="1"/>
  <c r="CC521" i="11"/>
  <c r="AM521" i="11"/>
  <c r="X521" i="11"/>
  <c r="C523" i="11"/>
  <c r="A523" i="11" s="1"/>
  <c r="EB522" i="11" l="1"/>
  <c r="Z522" i="11"/>
  <c r="F522" i="11" s="1"/>
  <c r="N488" i="12"/>
  <c r="M521" i="11"/>
  <c r="L521" i="11"/>
  <c r="EE521" i="11"/>
  <c r="EG521" i="11" s="1"/>
  <c r="M488" i="12"/>
  <c r="EI522" i="11"/>
  <c r="EC522" i="11"/>
  <c r="EA522" i="11"/>
  <c r="EH522" i="11"/>
  <c r="DZ522" i="11"/>
  <c r="ED522" i="11"/>
  <c r="A489" i="12"/>
  <c r="M489" i="12" s="1"/>
  <c r="P522" i="11"/>
  <c r="BF520" i="11"/>
  <c r="BK520" i="11"/>
  <c r="CX520" i="11"/>
  <c r="CY520" i="11" s="1"/>
  <c r="CJ521" i="11"/>
  <c r="BX520" i="11"/>
  <c r="CJ520" i="11"/>
  <c r="CL520" i="11" s="1"/>
  <c r="AS519" i="11"/>
  <c r="CW521" i="11"/>
  <c r="E487" i="12"/>
  <c r="B523" i="11"/>
  <c r="B490" i="12"/>
  <c r="AY518" i="11"/>
  <c r="AY519" i="11"/>
  <c r="BL519" i="11"/>
  <c r="AC521" i="11"/>
  <c r="CQ521" i="11"/>
  <c r="DL519" i="11"/>
  <c r="BY519" i="11"/>
  <c r="DK520" i="11"/>
  <c r="DJ520" i="11"/>
  <c r="DF520" i="11"/>
  <c r="BS520" i="11"/>
  <c r="CS521" i="11"/>
  <c r="DD521" i="11"/>
  <c r="DE521" i="11" s="1"/>
  <c r="DG521" i="11" s="1"/>
  <c r="AB522" i="11"/>
  <c r="BE521" i="11"/>
  <c r="BG521" i="11" s="1"/>
  <c r="BQ521" i="11"/>
  <c r="BR521" i="11" s="1"/>
  <c r="BT521" i="11" s="1"/>
  <c r="CD521" i="11"/>
  <c r="AQ521" i="11"/>
  <c r="AR521" i="11" s="1"/>
  <c r="AT521" i="11" s="1"/>
  <c r="CE522" i="11"/>
  <c r="CG522" i="11" s="1"/>
  <c r="DU522" i="11"/>
  <c r="DV522" i="11"/>
  <c r="DI522" i="11"/>
  <c r="DH522" i="11"/>
  <c r="CR522" i="11"/>
  <c r="CT522" i="11" s="1"/>
  <c r="CU522" i="11"/>
  <c r="CV522" i="11"/>
  <c r="CI522" i="11"/>
  <c r="CH522" i="11"/>
  <c r="BU522" i="11"/>
  <c r="BV522" i="11"/>
  <c r="BH522" i="11"/>
  <c r="AU522" i="11"/>
  <c r="AV522" i="11"/>
  <c r="BI522" i="11"/>
  <c r="AH522" i="11"/>
  <c r="AI522" i="11"/>
  <c r="BN522" i="11"/>
  <c r="BO522" i="11"/>
  <c r="BP522" i="11"/>
  <c r="AO522" i="11"/>
  <c r="AN522" i="11"/>
  <c r="AP522" i="11"/>
  <c r="AA522" i="11"/>
  <c r="Y522" i="11"/>
  <c r="BB522" i="11"/>
  <c r="BD522" i="11" s="1"/>
  <c r="BA522" i="11"/>
  <c r="BC522" i="11"/>
  <c r="DM522" i="11"/>
  <c r="DN522" i="11"/>
  <c r="CZ522" i="11"/>
  <c r="DA522" i="11"/>
  <c r="DP522" i="11"/>
  <c r="DB522" i="11"/>
  <c r="CP522" i="11"/>
  <c r="CA522" i="11"/>
  <c r="CB522" i="11"/>
  <c r="DC522" i="11"/>
  <c r="CC522" i="11"/>
  <c r="BM522" i="11"/>
  <c r="CM522" i="11"/>
  <c r="AZ522" i="11"/>
  <c r="CN522" i="11"/>
  <c r="CO522" i="11"/>
  <c r="BZ522" i="11"/>
  <c r="X522" i="11"/>
  <c r="AM522" i="11"/>
  <c r="W523" i="11"/>
  <c r="C524" i="11"/>
  <c r="A524" i="11" s="1"/>
  <c r="EB523" i="11" l="1"/>
  <c r="ED523" i="11" s="1"/>
  <c r="Z523" i="11"/>
  <c r="F523" i="11" s="1"/>
  <c r="M522" i="11"/>
  <c r="L522" i="11"/>
  <c r="EE522" i="11"/>
  <c r="EG522" i="11" s="1"/>
  <c r="N489" i="12"/>
  <c r="EA523" i="11"/>
  <c r="EI523" i="11"/>
  <c r="EC523" i="11"/>
  <c r="EH523" i="11"/>
  <c r="DZ523" i="11"/>
  <c r="V489" i="12"/>
  <c r="W489" i="12" s="1"/>
  <c r="A490" i="12"/>
  <c r="M490" i="12" s="1"/>
  <c r="P523" i="11"/>
  <c r="BS521" i="11"/>
  <c r="BW521" i="11"/>
  <c r="BF521" i="11"/>
  <c r="BK521" i="11"/>
  <c r="CK521" i="11"/>
  <c r="CL521" i="11" s="1"/>
  <c r="BJ520" i="11"/>
  <c r="BL520" i="11" s="1"/>
  <c r="CW522" i="11"/>
  <c r="BW520" i="11"/>
  <c r="BY520" i="11" s="1"/>
  <c r="CX521" i="11"/>
  <c r="CY521" i="11" s="1"/>
  <c r="E488" i="12"/>
  <c r="B524" i="11"/>
  <c r="B491" i="12"/>
  <c r="DL520" i="11"/>
  <c r="CQ522" i="11"/>
  <c r="CF522" i="11"/>
  <c r="AC522" i="11"/>
  <c r="AB523" i="11"/>
  <c r="CD522" i="11"/>
  <c r="AX520" i="11"/>
  <c r="AW520" i="11"/>
  <c r="AS520" i="11"/>
  <c r="DK521" i="11"/>
  <c r="DJ521" i="11"/>
  <c r="CS522" i="11"/>
  <c r="DF521" i="11"/>
  <c r="BE522" i="11"/>
  <c r="BG522" i="11" s="1"/>
  <c r="BQ522" i="11"/>
  <c r="BR522" i="11" s="1"/>
  <c r="BT522" i="11" s="1"/>
  <c r="DD522" i="11"/>
  <c r="DE522" i="11" s="1"/>
  <c r="DG522" i="11" s="1"/>
  <c r="AQ522" i="11"/>
  <c r="AR522" i="11" s="1"/>
  <c r="AT522" i="11" s="1"/>
  <c r="CE523" i="11"/>
  <c r="CG523" i="11" s="1"/>
  <c r="DV523" i="11"/>
  <c r="DU523" i="11"/>
  <c r="DH523" i="11"/>
  <c r="DI523" i="11"/>
  <c r="CV523" i="11"/>
  <c r="CU523" i="11"/>
  <c r="CR523" i="11"/>
  <c r="CT523" i="11" s="1"/>
  <c r="CH523" i="11"/>
  <c r="CI523" i="11"/>
  <c r="BV523" i="11"/>
  <c r="BU523" i="11"/>
  <c r="BH523" i="11"/>
  <c r="AU523" i="11"/>
  <c r="AV523" i="11"/>
  <c r="BI523" i="11"/>
  <c r="AH523" i="11"/>
  <c r="AI523" i="11"/>
  <c r="BO523" i="11"/>
  <c r="BQ523" i="11" s="1"/>
  <c r="BP523" i="11"/>
  <c r="BN523" i="11"/>
  <c r="W524" i="11"/>
  <c r="AN523" i="11"/>
  <c r="AO523" i="11"/>
  <c r="AP523" i="11"/>
  <c r="Y523" i="11"/>
  <c r="AA523" i="11"/>
  <c r="BA523" i="11"/>
  <c r="BB523" i="11"/>
  <c r="BD523" i="11" s="1"/>
  <c r="BC523" i="11"/>
  <c r="DP523" i="11"/>
  <c r="DB523" i="11"/>
  <c r="DC523" i="11"/>
  <c r="DM523" i="11"/>
  <c r="DN523" i="11"/>
  <c r="X523" i="11"/>
  <c r="CM523" i="11"/>
  <c r="CN523" i="11"/>
  <c r="CZ523" i="11"/>
  <c r="CO523" i="11"/>
  <c r="CQ523" i="11" s="1"/>
  <c r="BZ523" i="11"/>
  <c r="DA523" i="11"/>
  <c r="CP523" i="11"/>
  <c r="CA523" i="11"/>
  <c r="CB523" i="11"/>
  <c r="CF523" i="11" s="1"/>
  <c r="BM523" i="11"/>
  <c r="CC523" i="11"/>
  <c r="AZ523" i="11"/>
  <c r="AM523" i="11"/>
  <c r="C525" i="11"/>
  <c r="A525" i="11" s="1"/>
  <c r="EB524" i="11" l="1"/>
  <c r="ED524" i="11" s="1"/>
  <c r="Z524" i="11"/>
  <c r="F524" i="11" s="1"/>
  <c r="L523" i="11"/>
  <c r="M523" i="11"/>
  <c r="EE523" i="11"/>
  <c r="EG523" i="11" s="1"/>
  <c r="EC524" i="11"/>
  <c r="EH524" i="11"/>
  <c r="EA524" i="11"/>
  <c r="DZ524" i="11"/>
  <c r="EI524" i="11"/>
  <c r="N490" i="12"/>
  <c r="V490" i="12"/>
  <c r="W490" i="12" s="1"/>
  <c r="A491" i="12"/>
  <c r="V491" i="12" s="1"/>
  <c r="W491" i="12" s="1"/>
  <c r="P524" i="11"/>
  <c r="CK523" i="11"/>
  <c r="BJ521" i="11"/>
  <c r="BL521" i="11" s="1"/>
  <c r="BX521" i="11"/>
  <c r="BY521" i="11" s="1"/>
  <c r="CX522" i="11"/>
  <c r="CY522" i="11" s="1"/>
  <c r="CW523" i="11"/>
  <c r="BW522" i="11"/>
  <c r="CK522" i="11"/>
  <c r="CJ522" i="11"/>
  <c r="E489" i="12"/>
  <c r="B525" i="11"/>
  <c r="B492" i="12"/>
  <c r="AC523" i="11"/>
  <c r="DL521" i="11"/>
  <c r="AY520" i="11"/>
  <c r="BF522" i="11"/>
  <c r="CJ523" i="11"/>
  <c r="DK522" i="11"/>
  <c r="DJ522" i="11"/>
  <c r="DF522" i="11"/>
  <c r="BS522" i="11"/>
  <c r="DD523" i="11"/>
  <c r="DE523" i="11" s="1"/>
  <c r="DG523" i="11" s="1"/>
  <c r="BE523" i="11"/>
  <c r="BG523" i="11" s="1"/>
  <c r="AB524" i="11"/>
  <c r="BR523" i="11"/>
  <c r="BT523" i="11" s="1"/>
  <c r="CD523" i="11"/>
  <c r="AW521" i="11"/>
  <c r="AX521" i="11"/>
  <c r="AS521" i="11"/>
  <c r="CS523" i="11"/>
  <c r="AQ523" i="11"/>
  <c r="AR523" i="11" s="1"/>
  <c r="AT523" i="11" s="1"/>
  <c r="CE524" i="11"/>
  <c r="CG524" i="11" s="1"/>
  <c r="DV524" i="11"/>
  <c r="DU524" i="11"/>
  <c r="DH524" i="11"/>
  <c r="DI524" i="11"/>
  <c r="CU524" i="11"/>
  <c r="CV524" i="11"/>
  <c r="CR524" i="11"/>
  <c r="CT524" i="11" s="1"/>
  <c r="CH524" i="11"/>
  <c r="CI524" i="11"/>
  <c r="BU524" i="11"/>
  <c r="BV524" i="11"/>
  <c r="BH524" i="11"/>
  <c r="AU524" i="11"/>
  <c r="AV524" i="11"/>
  <c r="BI524" i="11"/>
  <c r="AI524" i="11"/>
  <c r="AH524" i="11"/>
  <c r="BP524" i="11"/>
  <c r="BO524" i="11"/>
  <c r="BQ524" i="11" s="1"/>
  <c r="BN524" i="11"/>
  <c r="W525" i="11"/>
  <c r="AN524" i="11"/>
  <c r="AO524" i="11"/>
  <c r="AP524" i="11"/>
  <c r="Y524" i="11"/>
  <c r="AA524" i="11"/>
  <c r="BC524" i="11"/>
  <c r="BB524" i="11"/>
  <c r="BD524" i="11" s="1"/>
  <c r="BA524" i="11"/>
  <c r="DM524" i="11"/>
  <c r="DN524" i="11"/>
  <c r="CZ524" i="11"/>
  <c r="DA524" i="11"/>
  <c r="DP524" i="11"/>
  <c r="DB524" i="11"/>
  <c r="DD524" i="11" s="1"/>
  <c r="CP524" i="11"/>
  <c r="CA524" i="11"/>
  <c r="AM524" i="11"/>
  <c r="CB524" i="11"/>
  <c r="X524" i="11"/>
  <c r="CC524" i="11"/>
  <c r="DC524" i="11"/>
  <c r="CM524" i="11"/>
  <c r="CN524" i="11"/>
  <c r="BM524" i="11"/>
  <c r="CO524" i="11"/>
  <c r="BZ524" i="11"/>
  <c r="AZ524" i="11"/>
  <c r="C526" i="11"/>
  <c r="A526" i="11" s="1"/>
  <c r="EB525" i="11" l="1"/>
  <c r="ED525" i="11" s="1"/>
  <c r="Z525" i="11"/>
  <c r="F525" i="11" s="1"/>
  <c r="M491" i="12"/>
  <c r="M524" i="11"/>
  <c r="N491" i="12"/>
  <c r="L524" i="11"/>
  <c r="DZ525" i="11"/>
  <c r="EH525" i="11"/>
  <c r="EC525" i="11"/>
  <c r="EA525" i="11"/>
  <c r="EI525" i="11"/>
  <c r="EE524" i="11"/>
  <c r="EG524" i="11" s="1"/>
  <c r="A492" i="12"/>
  <c r="M492" i="12" s="1"/>
  <c r="P525" i="11"/>
  <c r="BJ523" i="11"/>
  <c r="CL522" i="11"/>
  <c r="CX523" i="11"/>
  <c r="CY523" i="11" s="1"/>
  <c r="BX522" i="11"/>
  <c r="BY522" i="11" s="1"/>
  <c r="BJ522" i="11"/>
  <c r="BX523" i="11"/>
  <c r="CW524" i="11"/>
  <c r="BK522" i="11"/>
  <c r="AY521" i="11"/>
  <c r="E490" i="12"/>
  <c r="B526" i="11"/>
  <c r="B493" i="12"/>
  <c r="AC524" i="11"/>
  <c r="CF524" i="11"/>
  <c r="DL522" i="11"/>
  <c r="CL523" i="11"/>
  <c r="DJ523" i="11"/>
  <c r="DK523" i="11"/>
  <c r="DF523" i="11"/>
  <c r="CS524" i="11"/>
  <c r="CK524" i="11"/>
  <c r="CJ524" i="11"/>
  <c r="AB525" i="11"/>
  <c r="BF523" i="11"/>
  <c r="BR524" i="11"/>
  <c r="BT524" i="11" s="1"/>
  <c r="DE524" i="11"/>
  <c r="DG524" i="11" s="1"/>
  <c r="BE524" i="11"/>
  <c r="BG524" i="11" s="1"/>
  <c r="CD524" i="11"/>
  <c r="BS523" i="11"/>
  <c r="AW522" i="11"/>
  <c r="AX522" i="11"/>
  <c r="AS522" i="11"/>
  <c r="CQ524" i="11"/>
  <c r="AQ524" i="11"/>
  <c r="AR524" i="11" s="1"/>
  <c r="AT524" i="11" s="1"/>
  <c r="CE525" i="11"/>
  <c r="CG525" i="11" s="1"/>
  <c r="DV525" i="11"/>
  <c r="DU525" i="11"/>
  <c r="DI525" i="11"/>
  <c r="DH525" i="11"/>
  <c r="CU525" i="11"/>
  <c r="CV525" i="11"/>
  <c r="CR525" i="11"/>
  <c r="CT525" i="11" s="1"/>
  <c r="CH525" i="11"/>
  <c r="CI525" i="11"/>
  <c r="BU525" i="11"/>
  <c r="BV525" i="11"/>
  <c r="BH525" i="11"/>
  <c r="AU525" i="11"/>
  <c r="AV525" i="11"/>
  <c r="BI525" i="11"/>
  <c r="AI525" i="11"/>
  <c r="AH525" i="11"/>
  <c r="BN525" i="11"/>
  <c r="BO525" i="11"/>
  <c r="BQ525" i="11" s="1"/>
  <c r="BP525" i="11"/>
  <c r="W526" i="11"/>
  <c r="AP525" i="11"/>
  <c r="AN525" i="11"/>
  <c r="AO525" i="11"/>
  <c r="Y525" i="11"/>
  <c r="AA525" i="11"/>
  <c r="BA525" i="11"/>
  <c r="BB525" i="11"/>
  <c r="BD525" i="11" s="1"/>
  <c r="BC525" i="11"/>
  <c r="DP525" i="11"/>
  <c r="DB525" i="11"/>
  <c r="DC525" i="11"/>
  <c r="DM525" i="11"/>
  <c r="DN525" i="11"/>
  <c r="AZ525" i="11"/>
  <c r="CM525" i="11"/>
  <c r="AM525" i="11"/>
  <c r="CN525" i="11"/>
  <c r="X525" i="11"/>
  <c r="CO525" i="11"/>
  <c r="CQ525" i="11" s="1"/>
  <c r="BZ525" i="11"/>
  <c r="CP525" i="11"/>
  <c r="CA525" i="11"/>
  <c r="CB525" i="11"/>
  <c r="CZ525" i="11"/>
  <c r="CC525" i="11"/>
  <c r="DA525" i="11"/>
  <c r="BM525" i="11"/>
  <c r="C527" i="11"/>
  <c r="A527" i="11" s="1"/>
  <c r="EB526" i="11" l="1"/>
  <c r="ED526" i="11" s="1"/>
  <c r="Z526" i="11"/>
  <c r="F526" i="11" s="1"/>
  <c r="N492" i="12"/>
  <c r="L525" i="11"/>
  <c r="M525" i="11"/>
  <c r="EE525" i="11"/>
  <c r="EG525" i="11" s="1"/>
  <c r="V492" i="12"/>
  <c r="W492" i="12" s="1"/>
  <c r="EI526" i="11"/>
  <c r="EC526" i="11"/>
  <c r="DZ526" i="11"/>
  <c r="EH526" i="11"/>
  <c r="EA526" i="11"/>
  <c r="A493" i="12"/>
  <c r="V493" i="12" s="1"/>
  <c r="W493" i="12" s="1"/>
  <c r="P526" i="11"/>
  <c r="DF524" i="11"/>
  <c r="BW523" i="11"/>
  <c r="BY523" i="11" s="1"/>
  <c r="BK523" i="11"/>
  <c r="BL523" i="11" s="1"/>
  <c r="BL522" i="11"/>
  <c r="CX524" i="11"/>
  <c r="CY524" i="11" s="1"/>
  <c r="BX524" i="11"/>
  <c r="CW525" i="11"/>
  <c r="DL523" i="11"/>
  <c r="E491" i="12"/>
  <c r="B527" i="11"/>
  <c r="B494" i="12"/>
  <c r="AC525" i="11"/>
  <c r="CL524" i="11"/>
  <c r="CK525" i="11"/>
  <c r="CJ525" i="11"/>
  <c r="CS525" i="11"/>
  <c r="CF525" i="11"/>
  <c r="BR525" i="11"/>
  <c r="BT525" i="11" s="1"/>
  <c r="BS525" i="11" s="1"/>
  <c r="AY522" i="11"/>
  <c r="DD525" i="11"/>
  <c r="DE525" i="11" s="1"/>
  <c r="DG525" i="11" s="1"/>
  <c r="BJ524" i="11"/>
  <c r="BK524" i="11"/>
  <c r="BE525" i="11"/>
  <c r="BG525" i="11" s="1"/>
  <c r="BS524" i="11"/>
  <c r="AW523" i="11"/>
  <c r="AX523" i="11"/>
  <c r="AS523" i="11"/>
  <c r="CD525" i="11"/>
  <c r="BF524" i="11"/>
  <c r="AB526" i="11"/>
  <c r="AQ525" i="11"/>
  <c r="AR525" i="11" s="1"/>
  <c r="AT525" i="11" s="1"/>
  <c r="CE526" i="11"/>
  <c r="CG526" i="11" s="1"/>
  <c r="DU526" i="11"/>
  <c r="DV526" i="11"/>
  <c r="DH526" i="11"/>
  <c r="DI526" i="11"/>
  <c r="CU526" i="11"/>
  <c r="CV526" i="11"/>
  <c r="CR526" i="11"/>
  <c r="CT526" i="11" s="1"/>
  <c r="CI526" i="11"/>
  <c r="BU526" i="11"/>
  <c r="CH526" i="11"/>
  <c r="BV526" i="11"/>
  <c r="BI526" i="11"/>
  <c r="BH526" i="11"/>
  <c r="AU526" i="11"/>
  <c r="AH526" i="11"/>
  <c r="AV526" i="11"/>
  <c r="AI526" i="11"/>
  <c r="BN526" i="11"/>
  <c r="BO526" i="11"/>
  <c r="BP526" i="11"/>
  <c r="W527" i="11"/>
  <c r="AN526" i="11"/>
  <c r="AO526" i="11"/>
  <c r="AP526" i="11"/>
  <c r="Y526" i="11"/>
  <c r="AA526" i="11"/>
  <c r="BA526" i="11"/>
  <c r="BC526" i="11"/>
  <c r="BB526" i="11"/>
  <c r="BD526" i="11" s="1"/>
  <c r="DM526" i="11"/>
  <c r="DN526" i="11"/>
  <c r="CZ526" i="11"/>
  <c r="DA526" i="11"/>
  <c r="DP526" i="11"/>
  <c r="DB526" i="11"/>
  <c r="DD526" i="11" s="1"/>
  <c r="DC526" i="11"/>
  <c r="CP526" i="11"/>
  <c r="CA526" i="11"/>
  <c r="BM526" i="11"/>
  <c r="CB526" i="11"/>
  <c r="CD526" i="11" s="1"/>
  <c r="AZ526" i="11"/>
  <c r="CC526" i="11"/>
  <c r="AM526" i="11"/>
  <c r="X526" i="11"/>
  <c r="CM526" i="11"/>
  <c r="CN526" i="11"/>
  <c r="CO526" i="11"/>
  <c r="BZ526" i="11"/>
  <c r="C528" i="11"/>
  <c r="A528" i="11" s="1"/>
  <c r="EB527" i="11" l="1"/>
  <c r="ED527" i="11" s="1"/>
  <c r="Z527" i="11"/>
  <c r="F527" i="11" s="1"/>
  <c r="L526" i="11"/>
  <c r="M526" i="11"/>
  <c r="M493" i="12"/>
  <c r="EE526" i="11"/>
  <c r="EG526" i="11" s="1"/>
  <c r="EA527" i="11"/>
  <c r="EH527" i="11"/>
  <c r="DZ527" i="11"/>
  <c r="EC527" i="11"/>
  <c r="EI527" i="11"/>
  <c r="N493" i="12"/>
  <c r="A494" i="12"/>
  <c r="N494" i="12" s="1"/>
  <c r="P527" i="11"/>
  <c r="BF525" i="11"/>
  <c r="CX525" i="11"/>
  <c r="CY525" i="11" s="1"/>
  <c r="DJ525" i="11"/>
  <c r="DJ524" i="11"/>
  <c r="DK524" i="11"/>
  <c r="AX525" i="11"/>
  <c r="BX525" i="11"/>
  <c r="BW524" i="11"/>
  <c r="BY524" i="11" s="1"/>
  <c r="CK526" i="11"/>
  <c r="CX526" i="11"/>
  <c r="E492" i="12"/>
  <c r="B528" i="11"/>
  <c r="B495" i="12"/>
  <c r="CL525" i="11"/>
  <c r="BL524" i="11"/>
  <c r="CQ526" i="11"/>
  <c r="CF526" i="11"/>
  <c r="AY523" i="11"/>
  <c r="AC526" i="11"/>
  <c r="DK525" i="11"/>
  <c r="DF525" i="11"/>
  <c r="CS526" i="11"/>
  <c r="AX524" i="11"/>
  <c r="AW524" i="11"/>
  <c r="AS524" i="11"/>
  <c r="AB527" i="11"/>
  <c r="BQ526" i="11"/>
  <c r="BR526" i="11" s="1"/>
  <c r="BT526" i="11" s="1"/>
  <c r="BJ525" i="11"/>
  <c r="BK525" i="11"/>
  <c r="CJ526" i="11"/>
  <c r="BE526" i="11"/>
  <c r="BG526" i="11" s="1"/>
  <c r="DE526" i="11"/>
  <c r="DG526" i="11" s="1"/>
  <c r="AQ526" i="11"/>
  <c r="AR526" i="11" s="1"/>
  <c r="AT526" i="11" s="1"/>
  <c r="CE527" i="11"/>
  <c r="CG527" i="11" s="1"/>
  <c r="DV527" i="11"/>
  <c r="DU527" i="11"/>
  <c r="DH527" i="11"/>
  <c r="DI527" i="11"/>
  <c r="CR527" i="11"/>
  <c r="CT527" i="11" s="1"/>
  <c r="CU527" i="11"/>
  <c r="CV527" i="11"/>
  <c r="CH527" i="11"/>
  <c r="CI527" i="11"/>
  <c r="BU527" i="11"/>
  <c r="BV527" i="11"/>
  <c r="BH527" i="11"/>
  <c r="BI527" i="11"/>
  <c r="AV527" i="11"/>
  <c r="AI527" i="11"/>
  <c r="AU527" i="11"/>
  <c r="AH527" i="11"/>
  <c r="BO527" i="11"/>
  <c r="BP527" i="11"/>
  <c r="BN527" i="11"/>
  <c r="W528" i="11"/>
  <c r="AN527" i="11"/>
  <c r="AP527" i="11"/>
  <c r="AO527" i="11"/>
  <c r="AA527" i="11"/>
  <c r="Y527" i="11"/>
  <c r="BC527" i="11"/>
  <c r="BA527" i="11"/>
  <c r="BB527" i="11"/>
  <c r="BD527" i="11" s="1"/>
  <c r="DP527" i="11"/>
  <c r="DB527" i="11"/>
  <c r="DC527" i="11"/>
  <c r="DM527" i="11"/>
  <c r="DN527" i="11"/>
  <c r="CZ527" i="11"/>
  <c r="CM527" i="11"/>
  <c r="BM527" i="11"/>
  <c r="DA527" i="11"/>
  <c r="CN527" i="11"/>
  <c r="AZ527" i="11"/>
  <c r="CO527" i="11"/>
  <c r="CQ527" i="11" s="1"/>
  <c r="BZ527" i="11"/>
  <c r="AM527" i="11"/>
  <c r="CP527" i="11"/>
  <c r="CA527" i="11"/>
  <c r="X527" i="11"/>
  <c r="CB527" i="11"/>
  <c r="CC527" i="11"/>
  <c r="C529" i="11"/>
  <c r="A529" i="11" s="1"/>
  <c r="Z528" i="11" l="1"/>
  <c r="F528" i="11" s="1"/>
  <c r="EB528" i="11"/>
  <c r="ED528" i="11" s="1"/>
  <c r="M527" i="11"/>
  <c r="M494" i="12"/>
  <c r="V494" i="12"/>
  <c r="W494" i="12" s="1"/>
  <c r="EE527" i="11"/>
  <c r="EG527" i="11" s="1"/>
  <c r="L527" i="11"/>
  <c r="EH528" i="11"/>
  <c r="EA528" i="11"/>
  <c r="EI528" i="11"/>
  <c r="EC528" i="11"/>
  <c r="DZ528" i="11"/>
  <c r="A495" i="12"/>
  <c r="V495" i="12" s="1"/>
  <c r="W495" i="12" s="1"/>
  <c r="P528" i="11"/>
  <c r="AS525" i="11"/>
  <c r="AW525" i="11"/>
  <c r="AY525" i="11" s="1"/>
  <c r="DL524" i="11"/>
  <c r="CW526" i="11"/>
  <c r="CY526" i="11" s="1"/>
  <c r="CL526" i="11"/>
  <c r="BW525" i="11"/>
  <c r="BY525" i="11" s="1"/>
  <c r="BW526" i="11"/>
  <c r="AX526" i="11"/>
  <c r="CX527" i="11"/>
  <c r="CK527" i="11"/>
  <c r="DJ526" i="11"/>
  <c r="E493" i="12"/>
  <c r="B529" i="11"/>
  <c r="B496" i="12"/>
  <c r="DL525" i="11"/>
  <c r="AY524" i="11"/>
  <c r="AC527" i="11"/>
  <c r="BL525" i="11"/>
  <c r="CD527" i="11"/>
  <c r="BS526" i="11"/>
  <c r="CS527" i="11"/>
  <c r="BQ527" i="11"/>
  <c r="BR527" i="11" s="1"/>
  <c r="BT527" i="11" s="1"/>
  <c r="CF527" i="11"/>
  <c r="AB528" i="11"/>
  <c r="BK526" i="11"/>
  <c r="BJ526" i="11"/>
  <c r="BE527" i="11"/>
  <c r="BG527" i="11" s="1"/>
  <c r="DD527" i="11"/>
  <c r="DE527" i="11" s="1"/>
  <c r="DG527" i="11" s="1"/>
  <c r="BF526" i="11"/>
  <c r="DF526" i="11"/>
  <c r="AQ527" i="11"/>
  <c r="AR527" i="11" s="1"/>
  <c r="AT527" i="11" s="1"/>
  <c r="CE528" i="11"/>
  <c r="CG528" i="11" s="1"/>
  <c r="DU528" i="11"/>
  <c r="DV528" i="11"/>
  <c r="DH528" i="11"/>
  <c r="DI528" i="11"/>
  <c r="CR528" i="11"/>
  <c r="CT528" i="11" s="1"/>
  <c r="CV528" i="11"/>
  <c r="CU528" i="11"/>
  <c r="CH528" i="11"/>
  <c r="CI528" i="11"/>
  <c r="BU528" i="11"/>
  <c r="BV528" i="11"/>
  <c r="BH528" i="11"/>
  <c r="BI528" i="11"/>
  <c r="AV528" i="11"/>
  <c r="AU528" i="11"/>
  <c r="AH528" i="11"/>
  <c r="AI528" i="11"/>
  <c r="BN528" i="11"/>
  <c r="BP528" i="11"/>
  <c r="BO528" i="11"/>
  <c r="BQ528" i="11" s="1"/>
  <c r="W529" i="11"/>
  <c r="AO528" i="11"/>
  <c r="AP528" i="11"/>
  <c r="AN528" i="11"/>
  <c r="Y528" i="11"/>
  <c r="AA528" i="11"/>
  <c r="BA528" i="11"/>
  <c r="BB528" i="11"/>
  <c r="BD528" i="11" s="1"/>
  <c r="BC528" i="11"/>
  <c r="DM528" i="11"/>
  <c r="DN528" i="11"/>
  <c r="CZ528" i="11"/>
  <c r="DA528" i="11"/>
  <c r="DP528" i="11"/>
  <c r="DB528" i="11"/>
  <c r="CP528" i="11"/>
  <c r="CA528" i="11"/>
  <c r="CB528" i="11"/>
  <c r="CC528" i="11"/>
  <c r="BM528" i="11"/>
  <c r="DC528" i="11"/>
  <c r="AZ528" i="11"/>
  <c r="AM528" i="11"/>
  <c r="CM528" i="11"/>
  <c r="CN528" i="11"/>
  <c r="CO528" i="11"/>
  <c r="BZ528" i="11"/>
  <c r="X528" i="11"/>
  <c r="C530" i="11"/>
  <c r="A530" i="11" s="1"/>
  <c r="EB529" i="11" l="1"/>
  <c r="ED529" i="11" s="1"/>
  <c r="Z529" i="11"/>
  <c r="F529" i="11" s="1"/>
  <c r="L528" i="11"/>
  <c r="M495" i="12"/>
  <c r="N495" i="12"/>
  <c r="M528" i="11"/>
  <c r="DZ529" i="11"/>
  <c r="EH529" i="11"/>
  <c r="EI529" i="11"/>
  <c r="EC529" i="11"/>
  <c r="EA529" i="11"/>
  <c r="EE528" i="11"/>
  <c r="EG528" i="11" s="1"/>
  <c r="A496" i="12"/>
  <c r="N496" i="12" s="1"/>
  <c r="P529" i="11"/>
  <c r="BS527" i="11"/>
  <c r="AS526" i="11"/>
  <c r="DK526" i="11"/>
  <c r="DL526" i="11" s="1"/>
  <c r="CJ527" i="11"/>
  <c r="CL527" i="11" s="1"/>
  <c r="AW526" i="11"/>
  <c r="AY526" i="11" s="1"/>
  <c r="CW527" i="11"/>
  <c r="CY527" i="11" s="1"/>
  <c r="BX526" i="11"/>
  <c r="BY526" i="11" s="1"/>
  <c r="CX528" i="11"/>
  <c r="AS527" i="11"/>
  <c r="DK527" i="11"/>
  <c r="CK528" i="11"/>
  <c r="E494" i="12"/>
  <c r="B530" i="11"/>
  <c r="B497" i="12"/>
  <c r="CF528" i="11"/>
  <c r="BL526" i="11"/>
  <c r="AC528" i="11"/>
  <c r="DF527" i="11"/>
  <c r="BK527" i="11"/>
  <c r="BJ527" i="11"/>
  <c r="BF527" i="11"/>
  <c r="CS528" i="11"/>
  <c r="BR528" i="11"/>
  <c r="BT528" i="11" s="1"/>
  <c r="CD528" i="11"/>
  <c r="CQ528" i="11"/>
  <c r="AB529" i="11"/>
  <c r="BE528" i="11"/>
  <c r="BG528" i="11" s="1"/>
  <c r="DD528" i="11"/>
  <c r="DE528" i="11" s="1"/>
  <c r="DG528" i="11" s="1"/>
  <c r="AQ528" i="11"/>
  <c r="AR528" i="11" s="1"/>
  <c r="AT528" i="11" s="1"/>
  <c r="CE529" i="11"/>
  <c r="CG529" i="11" s="1"/>
  <c r="DV529" i="11"/>
  <c r="DU529" i="11"/>
  <c r="DH529" i="11"/>
  <c r="DI529" i="11"/>
  <c r="CR529" i="11"/>
  <c r="CT529" i="11" s="1"/>
  <c r="CU529" i="11"/>
  <c r="CV529" i="11"/>
  <c r="CH529" i="11"/>
  <c r="CI529" i="11"/>
  <c r="BU529" i="11"/>
  <c r="BV529" i="11"/>
  <c r="BH529" i="11"/>
  <c r="BI529" i="11"/>
  <c r="AU529" i="11"/>
  <c r="AV529" i="11"/>
  <c r="AH529" i="11"/>
  <c r="AI529" i="11"/>
  <c r="BN529" i="11"/>
  <c r="BP529" i="11"/>
  <c r="BO529" i="11"/>
  <c r="W530" i="11"/>
  <c r="AN529" i="11"/>
  <c r="AO529" i="11"/>
  <c r="AP529" i="11"/>
  <c r="AA529" i="11"/>
  <c r="Y529" i="11"/>
  <c r="BA529" i="11"/>
  <c r="BB529" i="11"/>
  <c r="BD529" i="11" s="1"/>
  <c r="BC529" i="11"/>
  <c r="DP529" i="11"/>
  <c r="DB529" i="11"/>
  <c r="DC529" i="11"/>
  <c r="DM529" i="11"/>
  <c r="DN529" i="11"/>
  <c r="CM529" i="11"/>
  <c r="CN529" i="11"/>
  <c r="CO529" i="11"/>
  <c r="BZ529" i="11"/>
  <c r="BM529" i="11"/>
  <c r="CZ529" i="11"/>
  <c r="CP529" i="11"/>
  <c r="CA529" i="11"/>
  <c r="AZ529" i="11"/>
  <c r="DA529" i="11"/>
  <c r="CB529" i="11"/>
  <c r="CC529" i="11"/>
  <c r="AM529" i="11"/>
  <c r="X529" i="11"/>
  <c r="C531" i="11"/>
  <c r="A531" i="11" s="1"/>
  <c r="EB530" i="11" l="1"/>
  <c r="Z530" i="11"/>
  <c r="F530" i="11" s="1"/>
  <c r="M529" i="11"/>
  <c r="L529" i="11"/>
  <c r="EI530" i="11"/>
  <c r="EC530" i="11"/>
  <c r="ED530" i="11"/>
  <c r="EH530" i="11"/>
  <c r="EA530" i="11"/>
  <c r="DZ530" i="11"/>
  <c r="M496" i="12"/>
  <c r="EE529" i="11"/>
  <c r="EG529" i="11" s="1"/>
  <c r="V496" i="12"/>
  <c r="W496" i="12" s="1"/>
  <c r="A497" i="12"/>
  <c r="M497" i="12" s="1"/>
  <c r="P530" i="11"/>
  <c r="BS528" i="11"/>
  <c r="AW527" i="11"/>
  <c r="CJ528" i="11"/>
  <c r="CL528" i="11" s="1"/>
  <c r="BW528" i="11"/>
  <c r="BW527" i="11"/>
  <c r="AX527" i="11"/>
  <c r="DK528" i="11"/>
  <c r="CX529" i="11"/>
  <c r="BX527" i="11"/>
  <c r="CW528" i="11"/>
  <c r="CY528" i="11" s="1"/>
  <c r="DJ527" i="11"/>
  <c r="DL527" i="11" s="1"/>
  <c r="CK529" i="11"/>
  <c r="E495" i="12"/>
  <c r="B531" i="11"/>
  <c r="B498" i="12"/>
  <c r="BL527" i="11"/>
  <c r="AC529" i="11"/>
  <c r="CQ529" i="11"/>
  <c r="CF529" i="11"/>
  <c r="DF528" i="11"/>
  <c r="BK528" i="11"/>
  <c r="BJ528" i="11"/>
  <c r="BF528" i="11"/>
  <c r="CS529" i="11"/>
  <c r="DD529" i="11"/>
  <c r="DE529" i="11" s="1"/>
  <c r="DG529" i="11" s="1"/>
  <c r="BQ529" i="11"/>
  <c r="BR529" i="11" s="1"/>
  <c r="BT529" i="11" s="1"/>
  <c r="BE529" i="11"/>
  <c r="AB530" i="11"/>
  <c r="CD529" i="11"/>
  <c r="BX528" i="11"/>
  <c r="AQ529" i="11"/>
  <c r="AR529" i="11" s="1"/>
  <c r="AT529" i="11" s="1"/>
  <c r="CE530" i="11"/>
  <c r="CG530" i="11" s="1"/>
  <c r="DU530" i="11"/>
  <c r="DV530" i="11"/>
  <c r="DI530" i="11"/>
  <c r="DH530" i="11"/>
  <c r="CR530" i="11"/>
  <c r="CT530" i="11" s="1"/>
  <c r="CV530" i="11"/>
  <c r="CU530" i="11"/>
  <c r="CI530" i="11"/>
  <c r="CH530" i="11"/>
  <c r="BU530" i="11"/>
  <c r="BV530" i="11"/>
  <c r="BH530" i="11"/>
  <c r="BI530" i="11"/>
  <c r="AU530" i="11"/>
  <c r="AV530" i="11"/>
  <c r="AH530" i="11"/>
  <c r="AI530" i="11"/>
  <c r="BN530" i="11"/>
  <c r="BO530" i="11"/>
  <c r="BP530" i="11"/>
  <c r="AO530" i="11"/>
  <c r="AN530" i="11"/>
  <c r="AP530" i="11"/>
  <c r="AA530" i="11"/>
  <c r="Y530" i="11"/>
  <c r="BB530" i="11"/>
  <c r="BD530" i="11" s="1"/>
  <c r="BC530" i="11"/>
  <c r="BA530" i="11"/>
  <c r="DM530" i="11"/>
  <c r="DN530" i="11"/>
  <c r="CZ530" i="11"/>
  <c r="DA530" i="11"/>
  <c r="DP530" i="11"/>
  <c r="DB530" i="11"/>
  <c r="DD530" i="11" s="1"/>
  <c r="CP530" i="11"/>
  <c r="CA530" i="11"/>
  <c r="CB530" i="11"/>
  <c r="CC530" i="11"/>
  <c r="BM530" i="11"/>
  <c r="CM530" i="11"/>
  <c r="AZ530" i="11"/>
  <c r="DC530" i="11"/>
  <c r="CN530" i="11"/>
  <c r="CO530" i="11"/>
  <c r="CQ530" i="11" s="1"/>
  <c r="BZ530" i="11"/>
  <c r="X530" i="11"/>
  <c r="AM530" i="11"/>
  <c r="W531" i="11"/>
  <c r="C532" i="11"/>
  <c r="A532" i="11" s="1"/>
  <c r="EB531" i="11" l="1"/>
  <c r="Z531" i="11"/>
  <c r="F531" i="11" s="1"/>
  <c r="BG529" i="11"/>
  <c r="BJ529" i="11" s="1"/>
  <c r="L530" i="11"/>
  <c r="M530" i="11"/>
  <c r="EA531" i="11"/>
  <c r="EC531" i="11"/>
  <c r="EI531" i="11"/>
  <c r="ED531" i="11"/>
  <c r="EH531" i="11"/>
  <c r="DZ531" i="11"/>
  <c r="N497" i="12"/>
  <c r="V497" i="12"/>
  <c r="W497" i="12" s="1"/>
  <c r="EE530" i="11"/>
  <c r="EG530" i="11" s="1"/>
  <c r="A498" i="12"/>
  <c r="V498" i="12" s="1"/>
  <c r="W498" i="12" s="1"/>
  <c r="P531" i="11"/>
  <c r="AY527" i="11"/>
  <c r="BX529" i="11"/>
  <c r="BY527" i="11"/>
  <c r="CJ529" i="11"/>
  <c r="CL529" i="11" s="1"/>
  <c r="CW529" i="11"/>
  <c r="CY529" i="11" s="1"/>
  <c r="CJ530" i="11"/>
  <c r="DJ528" i="11"/>
  <c r="DL528" i="11" s="1"/>
  <c r="E496" i="12"/>
  <c r="B532" i="11"/>
  <c r="B499" i="12"/>
  <c r="BY528" i="11"/>
  <c r="AC530" i="11"/>
  <c r="BL528" i="11"/>
  <c r="CF530" i="11"/>
  <c r="DF529" i="11"/>
  <c r="CS530" i="11"/>
  <c r="AB531" i="11"/>
  <c r="BE530" i="11"/>
  <c r="BW529" i="11"/>
  <c r="BQ530" i="11"/>
  <c r="BR530" i="11" s="1"/>
  <c r="BT530" i="11" s="1"/>
  <c r="AW528" i="11"/>
  <c r="AX528" i="11"/>
  <c r="AS528" i="11"/>
  <c r="DE530" i="11"/>
  <c r="DG530" i="11" s="1"/>
  <c r="BS529" i="11"/>
  <c r="CD530" i="11"/>
  <c r="AQ530" i="11"/>
  <c r="AR530" i="11" s="1"/>
  <c r="AT530" i="11" s="1"/>
  <c r="CE531" i="11"/>
  <c r="CG531" i="11" s="1"/>
  <c r="DV531" i="11"/>
  <c r="DU531" i="11"/>
  <c r="DH531" i="11"/>
  <c r="DI531" i="11"/>
  <c r="CV531" i="11"/>
  <c r="CR531" i="11"/>
  <c r="CT531" i="11" s="1"/>
  <c r="CU531" i="11"/>
  <c r="CH531" i="11"/>
  <c r="CI531" i="11"/>
  <c r="BV531" i="11"/>
  <c r="BH531" i="11"/>
  <c r="BU531" i="11"/>
  <c r="BI531" i="11"/>
  <c r="AU531" i="11"/>
  <c r="AV531" i="11"/>
  <c r="AH531" i="11"/>
  <c r="AI531" i="11"/>
  <c r="BO531" i="11"/>
  <c r="BP531" i="11"/>
  <c r="BN531" i="11"/>
  <c r="AN531" i="11"/>
  <c r="AO531" i="11"/>
  <c r="AP531" i="11"/>
  <c r="Y531" i="11"/>
  <c r="AA531" i="11"/>
  <c r="BA531" i="11"/>
  <c r="BB531" i="11"/>
  <c r="BD531" i="11" s="1"/>
  <c r="BC531" i="11"/>
  <c r="DP531" i="11"/>
  <c r="DB531" i="11"/>
  <c r="DD531" i="11" s="1"/>
  <c r="DC531" i="11"/>
  <c r="DM531" i="11"/>
  <c r="DN531" i="11"/>
  <c r="DA531" i="11"/>
  <c r="X531" i="11"/>
  <c r="CM531" i="11"/>
  <c r="CN531" i="11"/>
  <c r="CO531" i="11"/>
  <c r="CS531" i="11" s="1"/>
  <c r="BZ531" i="11"/>
  <c r="CP531" i="11"/>
  <c r="CA531" i="11"/>
  <c r="CB531" i="11"/>
  <c r="BM531" i="11"/>
  <c r="CC531" i="11"/>
  <c r="AZ531" i="11"/>
  <c r="CZ531" i="11"/>
  <c r="AM531" i="11"/>
  <c r="W532" i="11"/>
  <c r="C533" i="11"/>
  <c r="A533" i="11" s="1"/>
  <c r="EB532" i="11" l="1"/>
  <c r="ED532" i="11" s="1"/>
  <c r="Z532" i="11"/>
  <c r="F532" i="11" s="1"/>
  <c r="BK529" i="11"/>
  <c r="BL529" i="11" s="1"/>
  <c r="BG530" i="11"/>
  <c r="BK530" i="11" s="1"/>
  <c r="BF529" i="11"/>
  <c r="L531" i="11"/>
  <c r="N498" i="12"/>
  <c r="M498" i="12"/>
  <c r="M531" i="11"/>
  <c r="EA532" i="11"/>
  <c r="DZ532" i="11"/>
  <c r="EI532" i="11"/>
  <c r="EH532" i="11"/>
  <c r="EC532" i="11"/>
  <c r="EE531" i="11"/>
  <c r="EG531" i="11" s="1"/>
  <c r="A499" i="12"/>
  <c r="V499" i="12" s="1"/>
  <c r="W499" i="12" s="1"/>
  <c r="P532" i="11"/>
  <c r="DF530" i="11"/>
  <c r="CK530" i="11"/>
  <c r="CL530" i="11" s="1"/>
  <c r="DJ529" i="11"/>
  <c r="DK529" i="11"/>
  <c r="CW531" i="11"/>
  <c r="CJ531" i="11"/>
  <c r="CX530" i="11"/>
  <c r="CW530" i="11"/>
  <c r="E497" i="12"/>
  <c r="B533" i="11"/>
  <c r="B500" i="12"/>
  <c r="AC531" i="11"/>
  <c r="AY528" i="11"/>
  <c r="BY529" i="11"/>
  <c r="BX530" i="11"/>
  <c r="BW530" i="11"/>
  <c r="BS530" i="11"/>
  <c r="CF531" i="11"/>
  <c r="BF530" i="11"/>
  <c r="CD531" i="11"/>
  <c r="AW529" i="11"/>
  <c r="AX529" i="11"/>
  <c r="AS529" i="11"/>
  <c r="BE531" i="11"/>
  <c r="BQ531" i="11"/>
  <c r="BR531" i="11" s="1"/>
  <c r="BT531" i="11" s="1"/>
  <c r="DE531" i="11"/>
  <c r="DJ530" i="11"/>
  <c r="DK530" i="11"/>
  <c r="CQ531" i="11"/>
  <c r="AB532" i="11"/>
  <c r="AQ531" i="11"/>
  <c r="AR531" i="11" s="1"/>
  <c r="AT531" i="11" s="1"/>
  <c r="CE532" i="11"/>
  <c r="CG532" i="11" s="1"/>
  <c r="DU532" i="11"/>
  <c r="DV532" i="11"/>
  <c r="DH532" i="11"/>
  <c r="DI532" i="11"/>
  <c r="CU532" i="11"/>
  <c r="CV532" i="11"/>
  <c r="CR532" i="11"/>
  <c r="CT532" i="11" s="1"/>
  <c r="CH532" i="11"/>
  <c r="CI532" i="11"/>
  <c r="BU532" i="11"/>
  <c r="BV532" i="11"/>
  <c r="BH532" i="11"/>
  <c r="BI532" i="11"/>
  <c r="AU532" i="11"/>
  <c r="AV532" i="11"/>
  <c r="AH532" i="11"/>
  <c r="AI532" i="11"/>
  <c r="BP532" i="11"/>
  <c r="BN532" i="11"/>
  <c r="BO532" i="11"/>
  <c r="BQ532" i="11" s="1"/>
  <c r="W533" i="11"/>
  <c r="AN532" i="11"/>
  <c r="AO532" i="11"/>
  <c r="AP532" i="11"/>
  <c r="Y532" i="11"/>
  <c r="AA532" i="11"/>
  <c r="BC532" i="11"/>
  <c r="BA532" i="11"/>
  <c r="BB532" i="11"/>
  <c r="BD532" i="11" s="1"/>
  <c r="DM532" i="11"/>
  <c r="DN532" i="11"/>
  <c r="CZ532" i="11"/>
  <c r="DA532" i="11"/>
  <c r="DP532" i="11"/>
  <c r="DB532" i="11"/>
  <c r="DD532" i="11" s="1"/>
  <c r="CP532" i="11"/>
  <c r="CA532" i="11"/>
  <c r="AM532" i="11"/>
  <c r="DC532" i="11"/>
  <c r="CB532" i="11"/>
  <c r="X532" i="11"/>
  <c r="CC532" i="11"/>
  <c r="CM532" i="11"/>
  <c r="CN532" i="11"/>
  <c r="BM532" i="11"/>
  <c r="CO532" i="11"/>
  <c r="CS532" i="11" s="1"/>
  <c r="BZ532" i="11"/>
  <c r="AZ532" i="11"/>
  <c r="C534" i="11"/>
  <c r="A534" i="11" s="1"/>
  <c r="EB533" i="11" l="1"/>
  <c r="Z533" i="11"/>
  <c r="F533" i="11" s="1"/>
  <c r="BJ530" i="11"/>
  <c r="BL530" i="11" s="1"/>
  <c r="BG531" i="11"/>
  <c r="BK531" i="11" s="1"/>
  <c r="DF531" i="11"/>
  <c r="DG531" i="11"/>
  <c r="DK531" i="11" s="1"/>
  <c r="M532" i="11"/>
  <c r="L532" i="11"/>
  <c r="N499" i="12"/>
  <c r="DZ533" i="11"/>
  <c r="EH533" i="11"/>
  <c r="EI533" i="11"/>
  <c r="EC533" i="11"/>
  <c r="EA533" i="11"/>
  <c r="ED533" i="11"/>
  <c r="M499" i="12"/>
  <c r="EE532" i="11"/>
  <c r="EG532" i="11" s="1"/>
  <c r="A500" i="12"/>
  <c r="M500" i="12" s="1"/>
  <c r="P533" i="11"/>
  <c r="CY530" i="11"/>
  <c r="CK531" i="11"/>
  <c r="CL531" i="11" s="1"/>
  <c r="CX531" i="11"/>
  <c r="CY531" i="11" s="1"/>
  <c r="DL529" i="11"/>
  <c r="BY530" i="11"/>
  <c r="CK532" i="11"/>
  <c r="CX532" i="11"/>
  <c r="E498" i="12"/>
  <c r="B534" i="11"/>
  <c r="B501" i="12"/>
  <c r="AY529" i="11"/>
  <c r="DL530" i="11"/>
  <c r="CF532" i="11"/>
  <c r="AC532" i="11"/>
  <c r="BF531" i="11"/>
  <c r="BW531" i="11"/>
  <c r="BX531" i="11"/>
  <c r="BR532" i="11"/>
  <c r="BT532" i="11" s="1"/>
  <c r="AB533" i="11"/>
  <c r="BS531" i="11"/>
  <c r="DJ531" i="11"/>
  <c r="AX530" i="11"/>
  <c r="AW530" i="11"/>
  <c r="AS530" i="11"/>
  <c r="DE532" i="11"/>
  <c r="CD532" i="11"/>
  <c r="CQ532" i="11"/>
  <c r="BE532" i="11"/>
  <c r="AQ532" i="11"/>
  <c r="AR532" i="11" s="1"/>
  <c r="AT532" i="11" s="1"/>
  <c r="CE533" i="11"/>
  <c r="CG533" i="11" s="1"/>
  <c r="DV533" i="11"/>
  <c r="DU533" i="11"/>
  <c r="DI533" i="11"/>
  <c r="DH533" i="11"/>
  <c r="CU533" i="11"/>
  <c r="CV533" i="11"/>
  <c r="CR533" i="11"/>
  <c r="CT533" i="11" s="1"/>
  <c r="CH533" i="11"/>
  <c r="CI533" i="11"/>
  <c r="BU533" i="11"/>
  <c r="BV533" i="11"/>
  <c r="BH533" i="11"/>
  <c r="BI533" i="11"/>
  <c r="AU533" i="11"/>
  <c r="AV533" i="11"/>
  <c r="AI533" i="11"/>
  <c r="AH533" i="11"/>
  <c r="BN533" i="11"/>
  <c r="BO533" i="11"/>
  <c r="BQ533" i="11" s="1"/>
  <c r="BP533" i="11"/>
  <c r="W534" i="11"/>
  <c r="AP533" i="11"/>
  <c r="AN533" i="11"/>
  <c r="AO533" i="11"/>
  <c r="Y533" i="11"/>
  <c r="AA533" i="11"/>
  <c r="BA533" i="11"/>
  <c r="BB533" i="11"/>
  <c r="BD533" i="11" s="1"/>
  <c r="BC533" i="11"/>
  <c r="DP533" i="11"/>
  <c r="DB533" i="11"/>
  <c r="DC533" i="11"/>
  <c r="DM533" i="11"/>
  <c r="DN533" i="11"/>
  <c r="AZ533" i="11"/>
  <c r="CM533" i="11"/>
  <c r="AM533" i="11"/>
  <c r="CZ533" i="11"/>
  <c r="CN533" i="11"/>
  <c r="X533" i="11"/>
  <c r="DA533" i="11"/>
  <c r="CO533" i="11"/>
  <c r="BZ533" i="11"/>
  <c r="CP533" i="11"/>
  <c r="CA533" i="11"/>
  <c r="CB533" i="11"/>
  <c r="CC533" i="11"/>
  <c r="BM533" i="11"/>
  <c r="C535" i="11"/>
  <c r="A535" i="11" s="1"/>
  <c r="EB534" i="11" l="1"/>
  <c r="Z534" i="11"/>
  <c r="F534" i="11" s="1"/>
  <c r="BJ531" i="11"/>
  <c r="DG532" i="11"/>
  <c r="BG532" i="11"/>
  <c r="BK532" i="11" s="1"/>
  <c r="N500" i="12"/>
  <c r="M533" i="11"/>
  <c r="L533" i="11"/>
  <c r="EE533" i="11"/>
  <c r="EG533" i="11" s="1"/>
  <c r="EI534" i="11"/>
  <c r="EC534" i="11"/>
  <c r="EH534" i="11"/>
  <c r="EA534" i="11"/>
  <c r="ED534" i="11"/>
  <c r="DZ534" i="11"/>
  <c r="V500" i="12"/>
  <c r="W500" i="12" s="1"/>
  <c r="A501" i="12"/>
  <c r="N501" i="12" s="1"/>
  <c r="P534" i="11"/>
  <c r="DF532" i="11"/>
  <c r="CW532" i="11"/>
  <c r="CY532" i="11" s="1"/>
  <c r="CJ532" i="11"/>
  <c r="CL532" i="11" s="1"/>
  <c r="CX533" i="11"/>
  <c r="E499" i="12"/>
  <c r="B535" i="11"/>
  <c r="B502" i="12"/>
  <c r="DL531" i="11"/>
  <c r="AY530" i="11"/>
  <c r="BY531" i="11"/>
  <c r="BL531" i="11"/>
  <c r="CF533" i="11"/>
  <c r="AC533" i="11"/>
  <c r="BF532" i="11"/>
  <c r="CS533" i="11"/>
  <c r="BX532" i="11"/>
  <c r="BS532" i="11"/>
  <c r="BW532" i="11"/>
  <c r="CD533" i="11"/>
  <c r="AB534" i="11"/>
  <c r="AW531" i="11"/>
  <c r="AX531" i="11"/>
  <c r="AS531" i="11"/>
  <c r="CQ533" i="11"/>
  <c r="BR533" i="11"/>
  <c r="BT533" i="11" s="1"/>
  <c r="DD533" i="11"/>
  <c r="DE533" i="11" s="1"/>
  <c r="DG533" i="11" s="1"/>
  <c r="BE533" i="11"/>
  <c r="AQ533" i="11"/>
  <c r="AR533" i="11" s="1"/>
  <c r="AT533" i="11" s="1"/>
  <c r="CE534" i="11"/>
  <c r="CG534" i="11" s="1"/>
  <c r="DV534" i="11"/>
  <c r="DU534" i="11"/>
  <c r="DH534" i="11"/>
  <c r="DI534" i="11"/>
  <c r="CU534" i="11"/>
  <c r="CV534" i="11"/>
  <c r="CR534" i="11"/>
  <c r="CT534" i="11" s="1"/>
  <c r="CI534" i="11"/>
  <c r="CH534" i="11"/>
  <c r="BU534" i="11"/>
  <c r="BV534" i="11"/>
  <c r="BI534" i="11"/>
  <c r="BH534" i="11"/>
  <c r="AU534" i="11"/>
  <c r="AH534" i="11"/>
  <c r="AI534" i="11"/>
  <c r="AV534" i="11"/>
  <c r="BN534" i="11"/>
  <c r="BO534" i="11"/>
  <c r="BQ534" i="11" s="1"/>
  <c r="BP534" i="11"/>
  <c r="W535" i="11"/>
  <c r="AN534" i="11"/>
  <c r="AO534" i="11"/>
  <c r="AP534" i="11"/>
  <c r="Y534" i="11"/>
  <c r="AA534" i="11"/>
  <c r="BA534" i="11"/>
  <c r="BB534" i="11"/>
  <c r="BD534" i="11" s="1"/>
  <c r="BC534" i="11"/>
  <c r="DM534" i="11"/>
  <c r="DN534" i="11"/>
  <c r="CZ534" i="11"/>
  <c r="DA534" i="11"/>
  <c r="DP534" i="11"/>
  <c r="DB534" i="11"/>
  <c r="CP534" i="11"/>
  <c r="CA534" i="11"/>
  <c r="BM534" i="11"/>
  <c r="CB534" i="11"/>
  <c r="AZ534" i="11"/>
  <c r="CC534" i="11"/>
  <c r="AM534" i="11"/>
  <c r="X534" i="11"/>
  <c r="DC534" i="11"/>
  <c r="CM534" i="11"/>
  <c r="CN534" i="11"/>
  <c r="CO534" i="11"/>
  <c r="BZ534" i="11"/>
  <c r="C536" i="11"/>
  <c r="A536" i="11" s="1"/>
  <c r="EB535" i="11" l="1"/>
  <c r="ED535" i="11" s="1"/>
  <c r="Z535" i="11"/>
  <c r="F535" i="11" s="1"/>
  <c r="BJ532" i="11"/>
  <c r="BL532" i="11" s="1"/>
  <c r="BG533" i="11"/>
  <c r="BJ533" i="11" s="1"/>
  <c r="M534" i="11"/>
  <c r="L534" i="11"/>
  <c r="EE534" i="11"/>
  <c r="EG534" i="11" s="1"/>
  <c r="EA535" i="11"/>
  <c r="EI535" i="11"/>
  <c r="DZ535" i="11"/>
  <c r="EH535" i="11"/>
  <c r="EC535" i="11"/>
  <c r="V501" i="12"/>
  <c r="W501" i="12" s="1"/>
  <c r="M501" i="12"/>
  <c r="A502" i="12"/>
  <c r="V502" i="12" s="1"/>
  <c r="W502" i="12" s="1"/>
  <c r="P535" i="11"/>
  <c r="BF533" i="11"/>
  <c r="BS533" i="11"/>
  <c r="CW533" i="11"/>
  <c r="CY533" i="11" s="1"/>
  <c r="DJ532" i="11"/>
  <c r="DK532" i="11"/>
  <c r="CK533" i="11"/>
  <c r="CX534" i="11"/>
  <c r="CJ533" i="11"/>
  <c r="BW533" i="11"/>
  <c r="E500" i="12"/>
  <c r="B536" i="11"/>
  <c r="B503" i="12"/>
  <c r="AY531" i="11"/>
  <c r="AC534" i="11"/>
  <c r="BY532" i="11"/>
  <c r="CQ534" i="11"/>
  <c r="CD534" i="11"/>
  <c r="DJ533" i="11"/>
  <c r="DK533" i="11"/>
  <c r="DF533" i="11"/>
  <c r="CF534" i="11"/>
  <c r="AB535" i="11"/>
  <c r="AW532" i="11"/>
  <c r="AX532" i="11"/>
  <c r="AS532" i="11"/>
  <c r="CS534" i="11"/>
  <c r="DD534" i="11"/>
  <c r="DE534" i="11" s="1"/>
  <c r="DG534" i="11" s="1"/>
  <c r="BE534" i="11"/>
  <c r="BR534" i="11"/>
  <c r="BT534" i="11" s="1"/>
  <c r="AQ534" i="11"/>
  <c r="AR534" i="11" s="1"/>
  <c r="AT534" i="11" s="1"/>
  <c r="CE535" i="11"/>
  <c r="CG535" i="11" s="1"/>
  <c r="DV535" i="11"/>
  <c r="DU535" i="11"/>
  <c r="DH535" i="11"/>
  <c r="DI535" i="11"/>
  <c r="CR535" i="11"/>
  <c r="CT535" i="11" s="1"/>
  <c r="CU535" i="11"/>
  <c r="CV535" i="11"/>
  <c r="CH535" i="11"/>
  <c r="CI535" i="11"/>
  <c r="BU535" i="11"/>
  <c r="BV535" i="11"/>
  <c r="BH535" i="11"/>
  <c r="BI535" i="11"/>
  <c r="AU535" i="11"/>
  <c r="AV535" i="11"/>
  <c r="AI535" i="11"/>
  <c r="AH535" i="11"/>
  <c r="BO535" i="11"/>
  <c r="BQ535" i="11" s="1"/>
  <c r="BP535" i="11"/>
  <c r="BN535" i="11"/>
  <c r="W536" i="11"/>
  <c r="AN535" i="11"/>
  <c r="AP535" i="11"/>
  <c r="AO535" i="11"/>
  <c r="AA535" i="11"/>
  <c r="Y535" i="11"/>
  <c r="BC535" i="11"/>
  <c r="BA535" i="11"/>
  <c r="BB535" i="11"/>
  <c r="BD535" i="11" s="1"/>
  <c r="DP535" i="11"/>
  <c r="DB535" i="11"/>
  <c r="DC535" i="11"/>
  <c r="DM535" i="11"/>
  <c r="DN535" i="11"/>
  <c r="CM535" i="11"/>
  <c r="BM535" i="11"/>
  <c r="CN535" i="11"/>
  <c r="AZ535" i="11"/>
  <c r="CO535" i="11"/>
  <c r="BZ535" i="11"/>
  <c r="AM535" i="11"/>
  <c r="CP535" i="11"/>
  <c r="CA535" i="11"/>
  <c r="X535" i="11"/>
  <c r="CZ535" i="11"/>
  <c r="CB535" i="11"/>
  <c r="DA535" i="11"/>
  <c r="CC535" i="11"/>
  <c r="C537" i="11"/>
  <c r="A537" i="11" s="1"/>
  <c r="EB536" i="11" l="1"/>
  <c r="Z536" i="11"/>
  <c r="F536" i="11" s="1"/>
  <c r="BK533" i="11"/>
  <c r="BL533" i="11" s="1"/>
  <c r="BG534" i="11"/>
  <c r="BJ534" i="11" s="1"/>
  <c r="L535" i="11"/>
  <c r="M535" i="11"/>
  <c r="EE535" i="11"/>
  <c r="EG535" i="11" s="1"/>
  <c r="ED536" i="11"/>
  <c r="DZ536" i="11"/>
  <c r="EI536" i="11"/>
  <c r="EC536" i="11"/>
  <c r="EH536" i="11"/>
  <c r="EA536" i="11"/>
  <c r="N502" i="12"/>
  <c r="M502" i="12"/>
  <c r="A503" i="12"/>
  <c r="M503" i="12" s="1"/>
  <c r="P536" i="11"/>
  <c r="BS534" i="11"/>
  <c r="BW534" i="11"/>
  <c r="BX533" i="11"/>
  <c r="BY533" i="11" s="1"/>
  <c r="DL532" i="11"/>
  <c r="CW534" i="11"/>
  <c r="CY534" i="11" s="1"/>
  <c r="CK535" i="11"/>
  <c r="CW535" i="11"/>
  <c r="CK534" i="11"/>
  <c r="CJ534" i="11"/>
  <c r="CL533" i="11"/>
  <c r="E501" i="12"/>
  <c r="B537" i="11"/>
  <c r="B504" i="12"/>
  <c r="AC535" i="11"/>
  <c r="DL533" i="11"/>
  <c r="AY532" i="11"/>
  <c r="CD535" i="11"/>
  <c r="CS535" i="11"/>
  <c r="DJ534" i="11"/>
  <c r="DK534" i="11"/>
  <c r="DF534" i="11"/>
  <c r="CQ535" i="11"/>
  <c r="BR535" i="11"/>
  <c r="BT535" i="11" s="1"/>
  <c r="DD535" i="11"/>
  <c r="DE535" i="11" s="1"/>
  <c r="DG535" i="11" s="1"/>
  <c r="BE535" i="11"/>
  <c r="BF534" i="11"/>
  <c r="CF535" i="11"/>
  <c r="AB536" i="11"/>
  <c r="AW533" i="11"/>
  <c r="AX533" i="11"/>
  <c r="AS533" i="11"/>
  <c r="AQ535" i="11"/>
  <c r="AR535" i="11" s="1"/>
  <c r="AT535" i="11" s="1"/>
  <c r="CE536" i="11"/>
  <c r="CG536" i="11" s="1"/>
  <c r="DU536" i="11"/>
  <c r="DV536" i="11"/>
  <c r="DH536" i="11"/>
  <c r="DI536" i="11"/>
  <c r="CR536" i="11"/>
  <c r="CT536" i="11" s="1"/>
  <c r="CV536" i="11"/>
  <c r="CU536" i="11"/>
  <c r="CH536" i="11"/>
  <c r="CI536" i="11"/>
  <c r="BU536" i="11"/>
  <c r="BV536" i="11"/>
  <c r="BH536" i="11"/>
  <c r="AV536" i="11"/>
  <c r="BI536" i="11"/>
  <c r="AH536" i="11"/>
  <c r="AI536" i="11"/>
  <c r="AU536" i="11"/>
  <c r="BN536" i="11"/>
  <c r="BP536" i="11"/>
  <c r="BO536" i="11"/>
  <c r="W537" i="11"/>
  <c r="AO536" i="11"/>
  <c r="AP536" i="11"/>
  <c r="AN536" i="11"/>
  <c r="Y536" i="11"/>
  <c r="AA536" i="11"/>
  <c r="BC536" i="11"/>
  <c r="BA536" i="11"/>
  <c r="BB536" i="11"/>
  <c r="BD536" i="11" s="1"/>
  <c r="DM536" i="11"/>
  <c r="DN536" i="11"/>
  <c r="CZ536" i="11"/>
  <c r="DA536" i="11"/>
  <c r="DP536" i="11"/>
  <c r="DB536" i="11"/>
  <c r="CP536" i="11"/>
  <c r="CA536" i="11"/>
  <c r="CB536" i="11"/>
  <c r="CF536" i="11" s="1"/>
  <c r="CC536" i="11"/>
  <c r="BM536" i="11"/>
  <c r="AZ536" i="11"/>
  <c r="AM536" i="11"/>
  <c r="CM536" i="11"/>
  <c r="CN536" i="11"/>
  <c r="DC536" i="11"/>
  <c r="CO536" i="11"/>
  <c r="CS536" i="11" s="1"/>
  <c r="BZ536" i="11"/>
  <c r="X536" i="11"/>
  <c r="C538" i="11"/>
  <c r="A538" i="11" s="1"/>
  <c r="EB537" i="11" l="1"/>
  <c r="ED537" i="11" s="1"/>
  <c r="Z537" i="11"/>
  <c r="F537" i="11" s="1"/>
  <c r="BK534" i="11"/>
  <c r="BG535" i="11"/>
  <c r="BK535" i="11" s="1"/>
  <c r="L536" i="11"/>
  <c r="N503" i="12"/>
  <c r="EE536" i="11"/>
  <c r="EG536" i="11" s="1"/>
  <c r="M536" i="11"/>
  <c r="V503" i="12"/>
  <c r="W503" i="12" s="1"/>
  <c r="DZ537" i="11"/>
  <c r="EA537" i="11"/>
  <c r="EI537" i="11"/>
  <c r="EH537" i="11"/>
  <c r="EC537" i="11"/>
  <c r="A504" i="12"/>
  <c r="M504" i="12" s="1"/>
  <c r="P537" i="11"/>
  <c r="BS535" i="11"/>
  <c r="BW535" i="11"/>
  <c r="BX534" i="11"/>
  <c r="BY534" i="11" s="1"/>
  <c r="CL534" i="11"/>
  <c r="CX536" i="11"/>
  <c r="CK536" i="11"/>
  <c r="CJ535" i="11"/>
  <c r="CL535" i="11" s="1"/>
  <c r="CX535" i="11"/>
  <c r="CY535" i="11" s="1"/>
  <c r="E502" i="12"/>
  <c r="B538" i="11"/>
  <c r="B505" i="12"/>
  <c r="BL534" i="11"/>
  <c r="DL534" i="11"/>
  <c r="AC536" i="11"/>
  <c r="CQ536" i="11"/>
  <c r="DJ535" i="11"/>
  <c r="DK535" i="11"/>
  <c r="DF535" i="11"/>
  <c r="AY533" i="11"/>
  <c r="BE536" i="11"/>
  <c r="DD536" i="11"/>
  <c r="DE536" i="11" s="1"/>
  <c r="DG536" i="11" s="1"/>
  <c r="BQ536" i="11"/>
  <c r="BR536" i="11" s="1"/>
  <c r="BT536" i="11" s="1"/>
  <c r="AX534" i="11"/>
  <c r="AW534" i="11"/>
  <c r="AS534" i="11"/>
  <c r="AB537" i="11"/>
  <c r="CD536" i="11"/>
  <c r="BF535" i="11"/>
  <c r="BX535" i="11"/>
  <c r="AQ536" i="11"/>
  <c r="AR536" i="11" s="1"/>
  <c r="AT536" i="11" s="1"/>
  <c r="CE537" i="11"/>
  <c r="CG537" i="11" s="1"/>
  <c r="DV537" i="11"/>
  <c r="DU537" i="11"/>
  <c r="DH537" i="11"/>
  <c r="DI537" i="11"/>
  <c r="CR537" i="11"/>
  <c r="CT537" i="11" s="1"/>
  <c r="CU537" i="11"/>
  <c r="CV537" i="11"/>
  <c r="CH537" i="11"/>
  <c r="CI537" i="11"/>
  <c r="BU537" i="11"/>
  <c r="BV537" i="11"/>
  <c r="BI537" i="11"/>
  <c r="AU537" i="11"/>
  <c r="AV537" i="11"/>
  <c r="BH537" i="11"/>
  <c r="AH537" i="11"/>
  <c r="AI537" i="11"/>
  <c r="BN537" i="11"/>
  <c r="BO537" i="11"/>
  <c r="BQ537" i="11" s="1"/>
  <c r="BP537" i="11"/>
  <c r="W538" i="11"/>
  <c r="AN537" i="11"/>
  <c r="AO537" i="11"/>
  <c r="AP537" i="11"/>
  <c r="AA537" i="11"/>
  <c r="Y537" i="11"/>
  <c r="BA537" i="11"/>
  <c r="BB537" i="11"/>
  <c r="BD537" i="11" s="1"/>
  <c r="BC537" i="11"/>
  <c r="DP537" i="11"/>
  <c r="DB537" i="11"/>
  <c r="DD537" i="11" s="1"/>
  <c r="DC537" i="11"/>
  <c r="DM537" i="11"/>
  <c r="DN537" i="11"/>
  <c r="CZ537" i="11"/>
  <c r="DA537" i="11"/>
  <c r="CM537" i="11"/>
  <c r="CN537" i="11"/>
  <c r="CO537" i="11"/>
  <c r="BZ537" i="11"/>
  <c r="BM537" i="11"/>
  <c r="CP537" i="11"/>
  <c r="CA537" i="11"/>
  <c r="AZ537" i="11"/>
  <c r="CB537" i="11"/>
  <c r="CC537" i="11"/>
  <c r="AM537" i="11"/>
  <c r="X537" i="11"/>
  <c r="C539" i="11"/>
  <c r="A539" i="11" s="1"/>
  <c r="EB538" i="11" l="1"/>
  <c r="Z538" i="11"/>
  <c r="F538" i="11" s="1"/>
  <c r="BJ535" i="11"/>
  <c r="BL535" i="11" s="1"/>
  <c r="BG536" i="11"/>
  <c r="BK536" i="11" s="1"/>
  <c r="M537" i="11"/>
  <c r="L537" i="11"/>
  <c r="EH538" i="11"/>
  <c r="ED538" i="11"/>
  <c r="DZ538" i="11"/>
  <c r="EI538" i="11"/>
  <c r="EC538" i="11"/>
  <c r="EA538" i="11"/>
  <c r="EE537" i="11"/>
  <c r="EG537" i="11" s="1"/>
  <c r="V504" i="12"/>
  <c r="W504" i="12" s="1"/>
  <c r="N504" i="12"/>
  <c r="A505" i="12"/>
  <c r="M505" i="12" s="1"/>
  <c r="P538" i="11"/>
  <c r="CW536" i="11"/>
  <c r="CY536" i="11" s="1"/>
  <c r="CJ536" i="11"/>
  <c r="CL536" i="11" s="1"/>
  <c r="CJ537" i="11"/>
  <c r="CX537" i="11"/>
  <c r="E503" i="12"/>
  <c r="B539" i="11"/>
  <c r="B506" i="12"/>
  <c r="CF537" i="11"/>
  <c r="AC537" i="11"/>
  <c r="BY535" i="11"/>
  <c r="DL535" i="11"/>
  <c r="BW536" i="11"/>
  <c r="BX536" i="11"/>
  <c r="BS536" i="11"/>
  <c r="DK536" i="11"/>
  <c r="DJ536" i="11"/>
  <c r="DF536" i="11"/>
  <c r="BF536" i="11"/>
  <c r="CS537" i="11"/>
  <c r="BR537" i="11"/>
  <c r="BT537" i="11" s="1"/>
  <c r="CD537" i="11"/>
  <c r="BE537" i="11"/>
  <c r="CQ537" i="11"/>
  <c r="AY534" i="11"/>
  <c r="AB538" i="11"/>
  <c r="AW535" i="11"/>
  <c r="AX535" i="11"/>
  <c r="AS535" i="11"/>
  <c r="DE537" i="11"/>
  <c r="DG537" i="11" s="1"/>
  <c r="AQ537" i="11"/>
  <c r="AR537" i="11" s="1"/>
  <c r="AT537" i="11" s="1"/>
  <c r="CE538" i="11"/>
  <c r="CG538" i="11" s="1"/>
  <c r="DU538" i="11"/>
  <c r="DV538" i="11"/>
  <c r="DI538" i="11"/>
  <c r="DH538" i="11"/>
  <c r="CR538" i="11"/>
  <c r="CT538" i="11" s="1"/>
  <c r="CU538" i="11"/>
  <c r="CV538" i="11"/>
  <c r="CI538" i="11"/>
  <c r="CH538" i="11"/>
  <c r="BU538" i="11"/>
  <c r="BV538" i="11"/>
  <c r="BI538" i="11"/>
  <c r="BH538" i="11"/>
  <c r="AU538" i="11"/>
  <c r="AV538" i="11"/>
  <c r="AH538" i="11"/>
  <c r="AI538" i="11"/>
  <c r="BN538" i="11"/>
  <c r="BO538" i="11"/>
  <c r="BP538" i="11"/>
  <c r="W539" i="11"/>
  <c r="AO538" i="11"/>
  <c r="AA538" i="11"/>
  <c r="AP538" i="11"/>
  <c r="Y538" i="11"/>
  <c r="AN538" i="11"/>
  <c r="BB538" i="11"/>
  <c r="BD538" i="11" s="1"/>
  <c r="BA538" i="11"/>
  <c r="BC538" i="11"/>
  <c r="DM538" i="11"/>
  <c r="DN538" i="11"/>
  <c r="CZ538" i="11"/>
  <c r="DA538" i="11"/>
  <c r="DP538" i="11"/>
  <c r="DB538" i="11"/>
  <c r="CP538" i="11"/>
  <c r="CA538" i="11"/>
  <c r="CB538" i="11"/>
  <c r="CF538" i="11" s="1"/>
  <c r="DC538" i="11"/>
  <c r="CC538" i="11"/>
  <c r="BM538" i="11"/>
  <c r="CM538" i="11"/>
  <c r="AZ538" i="11"/>
  <c r="CN538" i="11"/>
  <c r="CO538" i="11"/>
  <c r="CQ538" i="11" s="1"/>
  <c r="BZ538" i="11"/>
  <c r="X538" i="11"/>
  <c r="AM538" i="11"/>
  <c r="C540" i="11"/>
  <c r="A540" i="11" s="1"/>
  <c r="EB539" i="11" l="1"/>
  <c r="Z539" i="11"/>
  <c r="F539" i="11" s="1"/>
  <c r="BJ536" i="11"/>
  <c r="BL536" i="11" s="1"/>
  <c r="BG537" i="11"/>
  <c r="BF537" i="11" s="1"/>
  <c r="V505" i="12"/>
  <c r="W505" i="12" s="1"/>
  <c r="N505" i="12"/>
  <c r="M538" i="11"/>
  <c r="L538" i="11"/>
  <c r="EE538" i="11"/>
  <c r="EG538" i="11" s="1"/>
  <c r="EC539" i="11"/>
  <c r="DZ539" i="11"/>
  <c r="EA539" i="11"/>
  <c r="ED539" i="11"/>
  <c r="EI539" i="11"/>
  <c r="EH539" i="11"/>
  <c r="A506" i="12"/>
  <c r="N506" i="12" s="1"/>
  <c r="P539" i="11"/>
  <c r="BS537" i="11"/>
  <c r="CK537" i="11"/>
  <c r="CL537" i="11" s="1"/>
  <c r="CX538" i="11"/>
  <c r="BW537" i="11"/>
  <c r="CJ538" i="11"/>
  <c r="CW537" i="11"/>
  <c r="CY537" i="11" s="1"/>
  <c r="E504" i="12"/>
  <c r="B540" i="11"/>
  <c r="B507" i="12"/>
  <c r="DL536" i="11"/>
  <c r="AY535" i="11"/>
  <c r="AC538" i="11"/>
  <c r="BY536" i="11"/>
  <c r="CD538" i="11"/>
  <c r="AW536" i="11"/>
  <c r="AX536" i="11"/>
  <c r="AS536" i="11"/>
  <c r="AB539" i="11"/>
  <c r="CS538" i="11"/>
  <c r="BE538" i="11"/>
  <c r="DJ537" i="11"/>
  <c r="DK537" i="11"/>
  <c r="DF537" i="11"/>
  <c r="BQ538" i="11"/>
  <c r="BR538" i="11" s="1"/>
  <c r="BT538" i="11" s="1"/>
  <c r="DD538" i="11"/>
  <c r="DE538" i="11" s="1"/>
  <c r="DG538" i="11" s="1"/>
  <c r="AQ538" i="11"/>
  <c r="AR538" i="11" s="1"/>
  <c r="AT538" i="11" s="1"/>
  <c r="CE539" i="11"/>
  <c r="CG539" i="11" s="1"/>
  <c r="DV539" i="11"/>
  <c r="DU539" i="11"/>
  <c r="DH539" i="11"/>
  <c r="DI539" i="11"/>
  <c r="CV539" i="11"/>
  <c r="CR539" i="11"/>
  <c r="CT539" i="11" s="1"/>
  <c r="CU539" i="11"/>
  <c r="CH539" i="11"/>
  <c r="CI539" i="11"/>
  <c r="BV539" i="11"/>
  <c r="BU539" i="11"/>
  <c r="BH539" i="11"/>
  <c r="BI539" i="11"/>
  <c r="AU539" i="11"/>
  <c r="AV539" i="11"/>
  <c r="AH539" i="11"/>
  <c r="AI539" i="11"/>
  <c r="BO539" i="11"/>
  <c r="BP539" i="11"/>
  <c r="BN539" i="11"/>
  <c r="AN539" i="11"/>
  <c r="AO539" i="11"/>
  <c r="AP539" i="11"/>
  <c r="Y539" i="11"/>
  <c r="AA539" i="11"/>
  <c r="BA539" i="11"/>
  <c r="BB539" i="11"/>
  <c r="BD539" i="11" s="1"/>
  <c r="BC539" i="11"/>
  <c r="DP539" i="11"/>
  <c r="DB539" i="11"/>
  <c r="DC539" i="11"/>
  <c r="DM539" i="11"/>
  <c r="DN539" i="11"/>
  <c r="X539" i="11"/>
  <c r="CM539" i="11"/>
  <c r="CN539" i="11"/>
  <c r="CZ539" i="11"/>
  <c r="CO539" i="11"/>
  <c r="CQ539" i="11" s="1"/>
  <c r="BZ539" i="11"/>
  <c r="DA539" i="11"/>
  <c r="CP539" i="11"/>
  <c r="CA539" i="11"/>
  <c r="CB539" i="11"/>
  <c r="CF539" i="11" s="1"/>
  <c r="BM539" i="11"/>
  <c r="CC539" i="11"/>
  <c r="AZ539" i="11"/>
  <c r="AM539" i="11"/>
  <c r="W540" i="11"/>
  <c r="C541" i="11"/>
  <c r="A541" i="11" s="1"/>
  <c r="Z540" i="11" l="1"/>
  <c r="F540" i="11" s="1"/>
  <c r="EB540" i="11"/>
  <c r="BK537" i="11"/>
  <c r="BJ537" i="11"/>
  <c r="BG538" i="11"/>
  <c r="BF538" i="11" s="1"/>
  <c r="M539" i="11"/>
  <c r="L539" i="11"/>
  <c r="EA540" i="11"/>
  <c r="EI540" i="11"/>
  <c r="ED540" i="11"/>
  <c r="EH540" i="11"/>
  <c r="EC540" i="11"/>
  <c r="DZ540" i="11"/>
  <c r="V506" i="12"/>
  <c r="W506" i="12" s="1"/>
  <c r="EE539" i="11"/>
  <c r="EG539" i="11" s="1"/>
  <c r="M506" i="12"/>
  <c r="A507" i="12"/>
  <c r="N507" i="12" s="1"/>
  <c r="P540" i="11"/>
  <c r="CW538" i="11"/>
  <c r="CY538" i="11" s="1"/>
  <c r="BX537" i="11"/>
  <c r="BY537" i="11" s="1"/>
  <c r="CK539" i="11"/>
  <c r="BW538" i="11"/>
  <c r="CK538" i="11"/>
  <c r="CL538" i="11" s="1"/>
  <c r="E505" i="12"/>
  <c r="B541" i="11"/>
  <c r="B508" i="12"/>
  <c r="AC539" i="11"/>
  <c r="DL537" i="11"/>
  <c r="DJ538" i="11"/>
  <c r="DK538" i="11"/>
  <c r="DF538" i="11"/>
  <c r="BS538" i="11"/>
  <c r="CD539" i="11"/>
  <c r="AY536" i="11"/>
  <c r="CS539" i="11"/>
  <c r="AB540" i="11"/>
  <c r="AW537" i="11"/>
  <c r="AX537" i="11"/>
  <c r="AS537" i="11"/>
  <c r="BE539" i="11"/>
  <c r="BQ539" i="11"/>
  <c r="BR539" i="11" s="1"/>
  <c r="BT539" i="11" s="1"/>
  <c r="DD539" i="11"/>
  <c r="DE539" i="11" s="1"/>
  <c r="DG539" i="11" s="1"/>
  <c r="AQ539" i="11"/>
  <c r="AR539" i="11" s="1"/>
  <c r="AT539" i="11" s="1"/>
  <c r="CE540" i="11"/>
  <c r="CG540" i="11" s="1"/>
  <c r="DV540" i="11"/>
  <c r="DU540" i="11"/>
  <c r="DH540" i="11"/>
  <c r="CU540" i="11"/>
  <c r="DI540" i="11"/>
  <c r="CV540" i="11"/>
  <c r="CR540" i="11"/>
  <c r="CT540" i="11" s="1"/>
  <c r="CH540" i="11"/>
  <c r="CI540" i="11"/>
  <c r="BU540" i="11"/>
  <c r="BV540" i="11"/>
  <c r="BH540" i="11"/>
  <c r="BI540" i="11"/>
  <c r="AU540" i="11"/>
  <c r="AV540" i="11"/>
  <c r="AI540" i="11"/>
  <c r="AH540" i="11"/>
  <c r="BP540" i="11"/>
  <c r="BN540" i="11"/>
  <c r="BO540" i="11"/>
  <c r="W541" i="11"/>
  <c r="AN540" i="11"/>
  <c r="AO540" i="11"/>
  <c r="AP540" i="11"/>
  <c r="Y540" i="11"/>
  <c r="AA540" i="11"/>
  <c r="BA540" i="11"/>
  <c r="BB540" i="11"/>
  <c r="BD540" i="11" s="1"/>
  <c r="BC540" i="11"/>
  <c r="DM540" i="11"/>
  <c r="DN540" i="11"/>
  <c r="CZ540" i="11"/>
  <c r="DA540" i="11"/>
  <c r="DP540" i="11"/>
  <c r="DB540" i="11"/>
  <c r="DD540" i="11" s="1"/>
  <c r="CP540" i="11"/>
  <c r="CA540" i="11"/>
  <c r="AM540" i="11"/>
  <c r="CB540" i="11"/>
  <c r="X540" i="11"/>
  <c r="CC540" i="11"/>
  <c r="DC540" i="11"/>
  <c r="CM540" i="11"/>
  <c r="CN540" i="11"/>
  <c r="BM540" i="11"/>
  <c r="CO540" i="11"/>
  <c r="CQ540" i="11" s="1"/>
  <c r="BZ540" i="11"/>
  <c r="AZ540" i="11"/>
  <c r="C542" i="11"/>
  <c r="A542" i="11" s="1"/>
  <c r="Z541" i="11" l="1"/>
  <c r="F541" i="11" s="1"/>
  <c r="EB541" i="11"/>
  <c r="ED541" i="11" s="1"/>
  <c r="BL537" i="11"/>
  <c r="BJ538" i="11"/>
  <c r="BK538" i="11"/>
  <c r="BG539" i="11"/>
  <c r="BK539" i="11" s="1"/>
  <c r="L540" i="11"/>
  <c r="M540" i="11"/>
  <c r="EI541" i="11"/>
  <c r="EH541" i="11"/>
  <c r="EA541" i="11"/>
  <c r="DZ541" i="11"/>
  <c r="EC541" i="11"/>
  <c r="M507" i="12"/>
  <c r="V507" i="12"/>
  <c r="W507" i="12" s="1"/>
  <c r="EE540" i="11"/>
  <c r="EG540" i="11" s="1"/>
  <c r="A508" i="12"/>
  <c r="M508" i="12" s="1"/>
  <c r="P541" i="11"/>
  <c r="BX538" i="11"/>
  <c r="BY538" i="11" s="1"/>
  <c r="CJ539" i="11"/>
  <c r="CL539" i="11" s="1"/>
  <c r="CW540" i="11"/>
  <c r="CX539" i="11"/>
  <c r="CK540" i="11"/>
  <c r="CW539" i="11"/>
  <c r="E506" i="12"/>
  <c r="B542" i="11"/>
  <c r="B509" i="12"/>
  <c r="DL538" i="11"/>
  <c r="AY537" i="11"/>
  <c r="AC540" i="11"/>
  <c r="CF540" i="11"/>
  <c r="DJ539" i="11"/>
  <c r="DK539" i="11"/>
  <c r="DF539" i="11"/>
  <c r="BS539" i="11"/>
  <c r="CS540" i="11"/>
  <c r="BF539" i="11"/>
  <c r="DE540" i="11"/>
  <c r="DG540" i="11" s="1"/>
  <c r="BE540" i="11"/>
  <c r="BQ540" i="11"/>
  <c r="BR540" i="11" s="1"/>
  <c r="BT540" i="11" s="1"/>
  <c r="AW538" i="11"/>
  <c r="AX538" i="11"/>
  <c r="AS538" i="11"/>
  <c r="AB541" i="11"/>
  <c r="CD540" i="11"/>
  <c r="AQ540" i="11"/>
  <c r="AR540" i="11" s="1"/>
  <c r="AT540" i="11" s="1"/>
  <c r="CE541" i="11"/>
  <c r="CG541" i="11" s="1"/>
  <c r="DV541" i="11"/>
  <c r="DU541" i="11"/>
  <c r="DI541" i="11"/>
  <c r="DH541" i="11"/>
  <c r="CU541" i="11"/>
  <c r="CV541" i="11"/>
  <c r="CR541" i="11"/>
  <c r="CT541" i="11" s="1"/>
  <c r="CH541" i="11"/>
  <c r="CI541" i="11"/>
  <c r="BU541" i="11"/>
  <c r="BV541" i="11"/>
  <c r="BH541" i="11"/>
  <c r="BI541" i="11"/>
  <c r="AU541" i="11"/>
  <c r="AI541" i="11"/>
  <c r="AV541" i="11"/>
  <c r="AH541" i="11"/>
  <c r="BN541" i="11"/>
  <c r="BO541" i="11"/>
  <c r="BQ541" i="11" s="1"/>
  <c r="BP541" i="11"/>
  <c r="W542" i="11"/>
  <c r="AP541" i="11"/>
  <c r="AN541" i="11"/>
  <c r="Y541" i="11"/>
  <c r="AA541" i="11"/>
  <c r="AO541" i="11"/>
  <c r="BA541" i="11"/>
  <c r="BB541" i="11"/>
  <c r="BD541" i="11" s="1"/>
  <c r="BC541" i="11"/>
  <c r="DP541" i="11"/>
  <c r="DB541" i="11"/>
  <c r="DC541" i="11"/>
  <c r="DM541" i="11"/>
  <c r="DN541" i="11"/>
  <c r="AZ541" i="11"/>
  <c r="CM541" i="11"/>
  <c r="AM541" i="11"/>
  <c r="CN541" i="11"/>
  <c r="X541" i="11"/>
  <c r="CO541" i="11"/>
  <c r="CQ541" i="11" s="1"/>
  <c r="BZ541" i="11"/>
  <c r="CP541" i="11"/>
  <c r="CA541" i="11"/>
  <c r="CB541" i="11"/>
  <c r="CZ541" i="11"/>
  <c r="CC541" i="11"/>
  <c r="DA541" i="11"/>
  <c r="BM541" i="11"/>
  <c r="C543" i="11"/>
  <c r="A543" i="11" s="1"/>
  <c r="Z542" i="11" l="1"/>
  <c r="F542" i="11" s="1"/>
  <c r="EB542" i="11"/>
  <c r="ED542" i="11" s="1"/>
  <c r="BL538" i="11"/>
  <c r="BJ539" i="11"/>
  <c r="BL539" i="11" s="1"/>
  <c r="BG540" i="11"/>
  <c r="V508" i="12"/>
  <c r="W508" i="12" s="1"/>
  <c r="EE541" i="11"/>
  <c r="EG541" i="11" s="1"/>
  <c r="N508" i="12"/>
  <c r="L541" i="11"/>
  <c r="M541" i="11"/>
  <c r="EH542" i="11"/>
  <c r="EC542" i="11"/>
  <c r="DZ542" i="11"/>
  <c r="EI542" i="11"/>
  <c r="EA542" i="11"/>
  <c r="A509" i="12"/>
  <c r="M509" i="12" s="1"/>
  <c r="P542" i="11"/>
  <c r="BF540" i="11"/>
  <c r="DF540" i="11"/>
  <c r="CJ540" i="11"/>
  <c r="CL540" i="11" s="1"/>
  <c r="CY539" i="11"/>
  <c r="CX541" i="11"/>
  <c r="CX540" i="11"/>
  <c r="CY540" i="11" s="1"/>
  <c r="BX539" i="11"/>
  <c r="DK540" i="11"/>
  <c r="BW539" i="11"/>
  <c r="CJ541" i="11"/>
  <c r="BK540" i="11"/>
  <c r="E507" i="12"/>
  <c r="B543" i="11"/>
  <c r="B510" i="12"/>
  <c r="AC541" i="11"/>
  <c r="DL539" i="11"/>
  <c r="CF541" i="11"/>
  <c r="AY538" i="11"/>
  <c r="BW540" i="11"/>
  <c r="BX540" i="11"/>
  <c r="BS540" i="11"/>
  <c r="DD541" i="11"/>
  <c r="DE541" i="11" s="1"/>
  <c r="DG541" i="11" s="1"/>
  <c r="BR541" i="11"/>
  <c r="BT541" i="11" s="1"/>
  <c r="BS541" i="11" s="1"/>
  <c r="CS541" i="11"/>
  <c r="BE541" i="11"/>
  <c r="CD541" i="11"/>
  <c r="AB542" i="11"/>
  <c r="AX539" i="11"/>
  <c r="AW539" i="11"/>
  <c r="AS539" i="11"/>
  <c r="AQ541" i="11"/>
  <c r="AR541" i="11" s="1"/>
  <c r="AT541" i="11" s="1"/>
  <c r="CE542" i="11"/>
  <c r="CG542" i="11" s="1"/>
  <c r="DU542" i="11"/>
  <c r="DV542" i="11"/>
  <c r="DH542" i="11"/>
  <c r="DI542" i="11"/>
  <c r="CU542" i="11"/>
  <c r="CV542" i="11"/>
  <c r="CR542" i="11"/>
  <c r="CT542" i="11" s="1"/>
  <c r="CI542" i="11"/>
  <c r="BU542" i="11"/>
  <c r="BV542" i="11"/>
  <c r="CH542" i="11"/>
  <c r="BH542" i="11"/>
  <c r="BI542" i="11"/>
  <c r="AH542" i="11"/>
  <c r="AU542" i="11"/>
  <c r="AV542" i="11"/>
  <c r="AI542" i="11"/>
  <c r="BN542" i="11"/>
  <c r="BO542" i="11"/>
  <c r="BQ542" i="11" s="1"/>
  <c r="BP542" i="11"/>
  <c r="W543" i="11"/>
  <c r="AN542" i="11"/>
  <c r="AO542" i="11"/>
  <c r="AP542" i="11"/>
  <c r="Y542" i="11"/>
  <c r="AA542" i="11"/>
  <c r="BA542" i="11"/>
  <c r="BC542" i="11"/>
  <c r="BB542" i="11"/>
  <c r="BD542" i="11" s="1"/>
  <c r="DM542" i="11"/>
  <c r="DN542" i="11"/>
  <c r="CZ542" i="11"/>
  <c r="DA542" i="11"/>
  <c r="DP542" i="11"/>
  <c r="DB542" i="11"/>
  <c r="DC542" i="11"/>
  <c r="CP542" i="11"/>
  <c r="CA542" i="11"/>
  <c r="BM542" i="11"/>
  <c r="CB542" i="11"/>
  <c r="AZ542" i="11"/>
  <c r="CC542" i="11"/>
  <c r="AM542" i="11"/>
  <c r="X542" i="11"/>
  <c r="CM542" i="11"/>
  <c r="CN542" i="11"/>
  <c r="CO542" i="11"/>
  <c r="BZ542" i="11"/>
  <c r="C544" i="11"/>
  <c r="A544" i="11" s="1"/>
  <c r="EB543" i="11" l="1"/>
  <c r="ED543" i="11" s="1"/>
  <c r="Z543" i="11"/>
  <c r="F543" i="11" s="1"/>
  <c r="BG541" i="11"/>
  <c r="BF541" i="11" s="1"/>
  <c r="L542" i="11"/>
  <c r="N509" i="12"/>
  <c r="M542" i="11"/>
  <c r="EC543" i="11"/>
  <c r="DZ543" i="11"/>
  <c r="EH543" i="11"/>
  <c r="EA543" i="11"/>
  <c r="EI543" i="11"/>
  <c r="V509" i="12"/>
  <c r="W509" i="12" s="1"/>
  <c r="EE542" i="11"/>
  <c r="EG542" i="11" s="1"/>
  <c r="A510" i="12"/>
  <c r="V510" i="12" s="1"/>
  <c r="W510" i="12" s="1"/>
  <c r="P543" i="11"/>
  <c r="AC542" i="11"/>
  <c r="BJ540" i="11"/>
  <c r="BL540" i="11" s="1"/>
  <c r="BY539" i="11"/>
  <c r="DJ540" i="11"/>
  <c r="DL540" i="11" s="1"/>
  <c r="CK542" i="11"/>
  <c r="CK541" i="11"/>
  <c r="CL541" i="11" s="1"/>
  <c r="CW541" i="11"/>
  <c r="CY541" i="11" s="1"/>
  <c r="DK541" i="11"/>
  <c r="E508" i="12"/>
  <c r="B544" i="11"/>
  <c r="B511" i="12"/>
  <c r="CS542" i="11"/>
  <c r="AY539" i="11"/>
  <c r="CD542" i="11"/>
  <c r="CQ542" i="11"/>
  <c r="BY540" i="11"/>
  <c r="DF541" i="11"/>
  <c r="CF542" i="11"/>
  <c r="DD542" i="11"/>
  <c r="DE542" i="11" s="1"/>
  <c r="DG542" i="11" s="1"/>
  <c r="BE542" i="11"/>
  <c r="BX541" i="11"/>
  <c r="BW541" i="11"/>
  <c r="AB543" i="11"/>
  <c r="AW540" i="11"/>
  <c r="AX540" i="11"/>
  <c r="AS540" i="11"/>
  <c r="BR542" i="11"/>
  <c r="BT542" i="11" s="1"/>
  <c r="AQ542" i="11"/>
  <c r="AR542" i="11" s="1"/>
  <c r="AT542" i="11" s="1"/>
  <c r="CE543" i="11"/>
  <c r="CG543" i="11" s="1"/>
  <c r="DV543" i="11"/>
  <c r="DU543" i="11"/>
  <c r="DH543" i="11"/>
  <c r="DI543" i="11"/>
  <c r="CR543" i="11"/>
  <c r="CT543" i="11" s="1"/>
  <c r="CU543" i="11"/>
  <c r="CV543" i="11"/>
  <c r="CH543" i="11"/>
  <c r="CI543" i="11"/>
  <c r="BU543" i="11"/>
  <c r="BV543" i="11"/>
  <c r="BH543" i="11"/>
  <c r="BI543" i="11"/>
  <c r="AU543" i="11"/>
  <c r="AI543" i="11"/>
  <c r="AV543" i="11"/>
  <c r="AH543" i="11"/>
  <c r="BO543" i="11"/>
  <c r="BP543" i="11"/>
  <c r="BN543" i="11"/>
  <c r="W544" i="11"/>
  <c r="AN543" i="11"/>
  <c r="AP543" i="11"/>
  <c r="AO543" i="11"/>
  <c r="AA543" i="11"/>
  <c r="Y543" i="11"/>
  <c r="BC543" i="11"/>
  <c r="BA543" i="11"/>
  <c r="BB543" i="11"/>
  <c r="BD543" i="11" s="1"/>
  <c r="DP543" i="11"/>
  <c r="DB543" i="11"/>
  <c r="DD543" i="11" s="1"/>
  <c r="DC543" i="11"/>
  <c r="DM543" i="11"/>
  <c r="DN543" i="11"/>
  <c r="CZ543" i="11"/>
  <c r="CM543" i="11"/>
  <c r="BM543" i="11"/>
  <c r="DA543" i="11"/>
  <c r="CN543" i="11"/>
  <c r="AZ543" i="11"/>
  <c r="CO543" i="11"/>
  <c r="CS543" i="11" s="1"/>
  <c r="BZ543" i="11"/>
  <c r="AM543" i="11"/>
  <c r="CP543" i="11"/>
  <c r="CA543" i="11"/>
  <c r="X543" i="11"/>
  <c r="CB543" i="11"/>
  <c r="CD543" i="11" s="1"/>
  <c r="CC543" i="11"/>
  <c r="C545" i="11"/>
  <c r="A545" i="11" s="1"/>
  <c r="EB544" i="11" l="1"/>
  <c r="ED544" i="11" s="1"/>
  <c r="Z544" i="11"/>
  <c r="F544" i="11" s="1"/>
  <c r="BG542" i="11"/>
  <c r="BJ542" i="11" s="1"/>
  <c r="L543" i="11"/>
  <c r="M543" i="11"/>
  <c r="N510" i="12"/>
  <c r="M510" i="12"/>
  <c r="EA544" i="11"/>
  <c r="EI544" i="11"/>
  <c r="DZ544" i="11"/>
  <c r="EH544" i="11"/>
  <c r="EC544" i="11"/>
  <c r="EE543" i="11"/>
  <c r="EG543" i="11" s="1"/>
  <c r="A511" i="12"/>
  <c r="N511" i="12" s="1"/>
  <c r="E509" i="12"/>
  <c r="P544" i="11"/>
  <c r="BS542" i="11"/>
  <c r="BW542" i="11"/>
  <c r="BF542" i="11"/>
  <c r="DJ541" i="11"/>
  <c r="DL541" i="11" s="1"/>
  <c r="CW543" i="11"/>
  <c r="CW542" i="11"/>
  <c r="CJ542" i="11"/>
  <c r="CL542" i="11" s="1"/>
  <c r="BK541" i="11"/>
  <c r="BJ541" i="11"/>
  <c r="CK543" i="11"/>
  <c r="CX542" i="11"/>
  <c r="B545" i="11"/>
  <c r="B512" i="12"/>
  <c r="AC543" i="11"/>
  <c r="BY541" i="11"/>
  <c r="DF542" i="11"/>
  <c r="AB544" i="11"/>
  <c r="DE543" i="11"/>
  <c r="DG543" i="11" s="1"/>
  <c r="BQ543" i="11"/>
  <c r="BR543" i="11" s="1"/>
  <c r="BT543" i="11" s="1"/>
  <c r="AY540" i="11"/>
  <c r="CF543" i="11"/>
  <c r="BE543" i="11"/>
  <c r="CQ543" i="11"/>
  <c r="AX541" i="11"/>
  <c r="AW541" i="11"/>
  <c r="AS541" i="11"/>
  <c r="AQ543" i="11"/>
  <c r="AR543" i="11" s="1"/>
  <c r="AT543" i="11" s="1"/>
  <c r="CE544" i="11"/>
  <c r="CG544" i="11" s="1"/>
  <c r="DU544" i="11"/>
  <c r="DV544" i="11"/>
  <c r="DH544" i="11"/>
  <c r="DI544" i="11"/>
  <c r="CR544" i="11"/>
  <c r="CT544" i="11" s="1"/>
  <c r="CV544" i="11"/>
  <c r="CU544" i="11"/>
  <c r="CH544" i="11"/>
  <c r="CI544" i="11"/>
  <c r="BU544" i="11"/>
  <c r="BV544" i="11"/>
  <c r="BH544" i="11"/>
  <c r="AV544" i="11"/>
  <c r="BI544" i="11"/>
  <c r="AH544" i="11"/>
  <c r="AI544" i="11"/>
  <c r="AU544" i="11"/>
  <c r="BN544" i="11"/>
  <c r="BP544" i="11"/>
  <c r="BO544" i="11"/>
  <c r="BQ544" i="11" s="1"/>
  <c r="W545" i="11"/>
  <c r="AO544" i="11"/>
  <c r="AP544" i="11"/>
  <c r="AN544" i="11"/>
  <c r="Y544" i="11"/>
  <c r="AA544" i="11"/>
  <c r="BA544" i="11"/>
  <c r="BB544" i="11"/>
  <c r="BD544" i="11" s="1"/>
  <c r="BC544" i="11"/>
  <c r="DM544" i="11"/>
  <c r="DN544" i="11"/>
  <c r="CZ544" i="11"/>
  <c r="DA544" i="11"/>
  <c r="DP544" i="11"/>
  <c r="DB544" i="11"/>
  <c r="CP544" i="11"/>
  <c r="CA544" i="11"/>
  <c r="CB544" i="11"/>
  <c r="CC544" i="11"/>
  <c r="BM544" i="11"/>
  <c r="DC544" i="11"/>
  <c r="AZ544" i="11"/>
  <c r="AM544" i="11"/>
  <c r="CM544" i="11"/>
  <c r="CN544" i="11"/>
  <c r="CO544" i="11"/>
  <c r="CS544" i="11" s="1"/>
  <c r="BZ544" i="11"/>
  <c r="X544" i="11"/>
  <c r="C546" i="11"/>
  <c r="A546" i="11" s="1"/>
  <c r="EB545" i="11" l="1"/>
  <c r="ED545" i="11" s="1"/>
  <c r="Z545" i="11"/>
  <c r="F545" i="11" s="1"/>
  <c r="BK542" i="11"/>
  <c r="BL542" i="11" s="1"/>
  <c r="BG543" i="11"/>
  <c r="BF543" i="11" s="1"/>
  <c r="M544" i="11"/>
  <c r="L544" i="11"/>
  <c r="EH545" i="11"/>
  <c r="EA545" i="11"/>
  <c r="EC545" i="11"/>
  <c r="EI545" i="11"/>
  <c r="DZ545" i="11"/>
  <c r="M511" i="12"/>
  <c r="EE544" i="11"/>
  <c r="EG544" i="11" s="1"/>
  <c r="V511" i="12"/>
  <c r="W511" i="12" s="1"/>
  <c r="A512" i="12"/>
  <c r="N512" i="12" s="1"/>
  <c r="P545" i="11"/>
  <c r="DF543" i="11"/>
  <c r="BX542" i="11"/>
  <c r="BY542" i="11" s="1"/>
  <c r="CX543" i="11"/>
  <c r="CY543" i="11" s="1"/>
  <c r="DJ543" i="11"/>
  <c r="BL541" i="11"/>
  <c r="CY542" i="11"/>
  <c r="CJ543" i="11"/>
  <c r="CL543" i="11" s="1"/>
  <c r="CJ544" i="11"/>
  <c r="DK542" i="11"/>
  <c r="DJ542" i="11"/>
  <c r="E510" i="12"/>
  <c r="B546" i="11"/>
  <c r="B513" i="12"/>
  <c r="AC544" i="11"/>
  <c r="CF544" i="11"/>
  <c r="CX544" i="11"/>
  <c r="CW544" i="11"/>
  <c r="CQ544" i="11"/>
  <c r="AY541" i="11"/>
  <c r="DD544" i="11"/>
  <c r="DE544" i="11" s="1"/>
  <c r="DG544" i="11" s="1"/>
  <c r="BE544" i="11"/>
  <c r="AB545" i="11"/>
  <c r="BR544" i="11"/>
  <c r="BT544" i="11" s="1"/>
  <c r="BS544" i="11" s="1"/>
  <c r="BW543" i="11"/>
  <c r="BX543" i="11"/>
  <c r="CD544" i="11"/>
  <c r="BS543" i="11"/>
  <c r="AX542" i="11"/>
  <c r="AW542" i="11"/>
  <c r="AS542" i="11"/>
  <c r="AQ544" i="11"/>
  <c r="AR544" i="11" s="1"/>
  <c r="AT544" i="11" s="1"/>
  <c r="CE545" i="11"/>
  <c r="CG545" i="11" s="1"/>
  <c r="DV545" i="11"/>
  <c r="DU545" i="11"/>
  <c r="DH545" i="11"/>
  <c r="DI545" i="11"/>
  <c r="CR545" i="11"/>
  <c r="CT545" i="11" s="1"/>
  <c r="CU545" i="11"/>
  <c r="CV545" i="11"/>
  <c r="CH545" i="11"/>
  <c r="CI545" i="11"/>
  <c r="BU545" i="11"/>
  <c r="BV545" i="11"/>
  <c r="BI545" i="11"/>
  <c r="AU545" i="11"/>
  <c r="AV545" i="11"/>
  <c r="BH545" i="11"/>
  <c r="AH545" i="11"/>
  <c r="AI545" i="11"/>
  <c r="BN545" i="11"/>
  <c r="BP545" i="11"/>
  <c r="BO545" i="11"/>
  <c r="BQ545" i="11" s="1"/>
  <c r="W546" i="11"/>
  <c r="AN545" i="11"/>
  <c r="AO545" i="11"/>
  <c r="AP545" i="11"/>
  <c r="AA545" i="11"/>
  <c r="Y545" i="11"/>
  <c r="BA545" i="11"/>
  <c r="BB545" i="11"/>
  <c r="BD545" i="11" s="1"/>
  <c r="BC545" i="11"/>
  <c r="DP545" i="11"/>
  <c r="DB545" i="11"/>
  <c r="DC545" i="11"/>
  <c r="DM545" i="11"/>
  <c r="DN545" i="11"/>
  <c r="CM545" i="11"/>
  <c r="CN545" i="11"/>
  <c r="CO545" i="11"/>
  <c r="CS545" i="11" s="1"/>
  <c r="BZ545" i="11"/>
  <c r="BM545" i="11"/>
  <c r="CZ545" i="11"/>
  <c r="CP545" i="11"/>
  <c r="CA545" i="11"/>
  <c r="AZ545" i="11"/>
  <c r="DA545" i="11"/>
  <c r="CB545" i="11"/>
  <c r="CC545" i="11"/>
  <c r="X545" i="11"/>
  <c r="AM545" i="11"/>
  <c r="C547" i="11"/>
  <c r="A547" i="11" s="1"/>
  <c r="EB546" i="11" l="1"/>
  <c r="ED546" i="11" s="1"/>
  <c r="Z546" i="11"/>
  <c r="F546" i="11" s="1"/>
  <c r="BK543" i="11"/>
  <c r="BJ543" i="11"/>
  <c r="BG544" i="11"/>
  <c r="BK544" i="11" s="1"/>
  <c r="V512" i="12"/>
  <c r="W512" i="12" s="1"/>
  <c r="M545" i="11"/>
  <c r="L545" i="11"/>
  <c r="EH546" i="11"/>
  <c r="EI546" i="11"/>
  <c r="EA546" i="11"/>
  <c r="EC546" i="11"/>
  <c r="DZ546" i="11"/>
  <c r="EE545" i="11"/>
  <c r="EG545" i="11" s="1"/>
  <c r="M512" i="12"/>
  <c r="A513" i="12"/>
  <c r="N513" i="12" s="1"/>
  <c r="P546" i="11"/>
  <c r="DF544" i="11"/>
  <c r="DK543" i="11"/>
  <c r="DL543" i="11" s="1"/>
  <c r="CK544" i="11"/>
  <c r="CL544" i="11" s="1"/>
  <c r="DL542" i="11"/>
  <c r="CK545" i="11"/>
  <c r="CY544" i="11"/>
  <c r="E511" i="12"/>
  <c r="B547" i="11"/>
  <c r="B514" i="12"/>
  <c r="BY543" i="11"/>
  <c r="AY542" i="11"/>
  <c r="BL543" i="11"/>
  <c r="AC545" i="11"/>
  <c r="CW545" i="11"/>
  <c r="CX545" i="11"/>
  <c r="CF545" i="11"/>
  <c r="BF544" i="11"/>
  <c r="CD545" i="11"/>
  <c r="BR545" i="11"/>
  <c r="BT545" i="11" s="1"/>
  <c r="CQ545" i="11"/>
  <c r="BW544" i="11"/>
  <c r="BX544" i="11"/>
  <c r="DD545" i="11"/>
  <c r="DE545" i="11" s="1"/>
  <c r="DG545" i="11" s="1"/>
  <c r="AW543" i="11"/>
  <c r="AX543" i="11"/>
  <c r="AS543" i="11"/>
  <c r="AB546" i="11"/>
  <c r="BE545" i="11"/>
  <c r="AQ545" i="11"/>
  <c r="AR545" i="11" s="1"/>
  <c r="AT545" i="11" s="1"/>
  <c r="CE546" i="11"/>
  <c r="CG546" i="11" s="1"/>
  <c r="DU546" i="11"/>
  <c r="DV546" i="11"/>
  <c r="DI546" i="11"/>
  <c r="DH546" i="11"/>
  <c r="CR546" i="11"/>
  <c r="CT546" i="11" s="1"/>
  <c r="CU546" i="11"/>
  <c r="CV546" i="11"/>
  <c r="CI546" i="11"/>
  <c r="CH546" i="11"/>
  <c r="BU546" i="11"/>
  <c r="BV546" i="11"/>
  <c r="BI546" i="11"/>
  <c r="BH546" i="11"/>
  <c r="AU546" i="11"/>
  <c r="AV546" i="11"/>
  <c r="AH546" i="11"/>
  <c r="AI546" i="11"/>
  <c r="BN546" i="11"/>
  <c r="BO546" i="11"/>
  <c r="BQ546" i="11" s="1"/>
  <c r="BP546" i="11"/>
  <c r="AO546" i="11"/>
  <c r="AN546" i="11"/>
  <c r="AP546" i="11"/>
  <c r="AA546" i="11"/>
  <c r="Y546" i="11"/>
  <c r="BB546" i="11"/>
  <c r="BD546" i="11" s="1"/>
  <c r="BA546" i="11"/>
  <c r="BC546" i="11"/>
  <c r="DM546" i="11"/>
  <c r="DN546" i="11"/>
  <c r="CZ546" i="11"/>
  <c r="DA546" i="11"/>
  <c r="DP546" i="11"/>
  <c r="DB546" i="11"/>
  <c r="DD546" i="11" s="1"/>
  <c r="CP546" i="11"/>
  <c r="CA546" i="11"/>
  <c r="CB546" i="11"/>
  <c r="CD546" i="11" s="1"/>
  <c r="CC546" i="11"/>
  <c r="BM546" i="11"/>
  <c r="CM546" i="11"/>
  <c r="AZ546" i="11"/>
  <c r="DC546" i="11"/>
  <c r="CN546" i="11"/>
  <c r="CO546" i="11"/>
  <c r="CS546" i="11" s="1"/>
  <c r="BZ546" i="11"/>
  <c r="X546" i="11"/>
  <c r="AM546" i="11"/>
  <c r="W547" i="11"/>
  <c r="C548" i="11"/>
  <c r="A548" i="11" s="1"/>
  <c r="EB547" i="11" l="1"/>
  <c r="ED547" i="11" s="1"/>
  <c r="Z547" i="11"/>
  <c r="F547" i="11" s="1"/>
  <c r="BJ544" i="11"/>
  <c r="BL544" i="11" s="1"/>
  <c r="BG545" i="11"/>
  <c r="BJ545" i="11" s="1"/>
  <c r="M546" i="11"/>
  <c r="L546" i="11"/>
  <c r="V513" i="12"/>
  <c r="W513" i="12" s="1"/>
  <c r="EC547" i="11"/>
  <c r="DZ547" i="11"/>
  <c r="EI547" i="11"/>
  <c r="EH547" i="11"/>
  <c r="EA547" i="11"/>
  <c r="M513" i="12"/>
  <c r="EE546" i="11"/>
  <c r="EG546" i="11" s="1"/>
  <c r="A514" i="12"/>
  <c r="M514" i="12" s="1"/>
  <c r="P547" i="11"/>
  <c r="CJ545" i="11"/>
  <c r="CL545" i="11" s="1"/>
  <c r="DK544" i="11"/>
  <c r="DJ544" i="11"/>
  <c r="E512" i="12"/>
  <c r="B548" i="11"/>
  <c r="B515" i="12"/>
  <c r="AC546" i="11"/>
  <c r="AY543" i="11"/>
  <c r="BY544" i="11"/>
  <c r="CY545" i="11"/>
  <c r="CQ546" i="11"/>
  <c r="BF545" i="11"/>
  <c r="DJ545" i="11"/>
  <c r="DK545" i="11"/>
  <c r="DF545" i="11"/>
  <c r="CF546" i="11"/>
  <c r="AW544" i="11"/>
  <c r="AX544" i="11"/>
  <c r="AS544" i="11"/>
  <c r="AB547" i="11"/>
  <c r="DE546" i="11"/>
  <c r="DG546" i="11" s="1"/>
  <c r="BX545" i="11"/>
  <c r="BW545" i="11"/>
  <c r="BE546" i="11"/>
  <c r="BS545" i="11"/>
  <c r="BR546" i="11"/>
  <c r="BT546" i="11" s="1"/>
  <c r="AQ546" i="11"/>
  <c r="AR546" i="11" s="1"/>
  <c r="AT546" i="11" s="1"/>
  <c r="CE547" i="11"/>
  <c r="CG547" i="11" s="1"/>
  <c r="DV547" i="11"/>
  <c r="DU547" i="11"/>
  <c r="DH547" i="11"/>
  <c r="DI547" i="11"/>
  <c r="CV547" i="11"/>
  <c r="CU547" i="11"/>
  <c r="CR547" i="11"/>
  <c r="CT547" i="11" s="1"/>
  <c r="CH547" i="11"/>
  <c r="CI547" i="11"/>
  <c r="BV547" i="11"/>
  <c r="BU547" i="11"/>
  <c r="BH547" i="11"/>
  <c r="BI547" i="11"/>
  <c r="AU547" i="11"/>
  <c r="AV547" i="11"/>
  <c r="AH547" i="11"/>
  <c r="AI547" i="11"/>
  <c r="BO547" i="11"/>
  <c r="BP547" i="11"/>
  <c r="BN547" i="11"/>
  <c r="W548" i="11"/>
  <c r="AN547" i="11"/>
  <c r="AO547" i="11"/>
  <c r="AP547" i="11"/>
  <c r="Y547" i="11"/>
  <c r="AA547" i="11"/>
  <c r="BB547" i="11"/>
  <c r="BD547" i="11" s="1"/>
  <c r="BC547" i="11"/>
  <c r="BA547" i="11"/>
  <c r="DP547" i="11"/>
  <c r="DB547" i="11"/>
  <c r="DD547" i="11" s="1"/>
  <c r="DC547" i="11"/>
  <c r="DM547" i="11"/>
  <c r="DN547" i="11"/>
  <c r="DA547" i="11"/>
  <c r="X547" i="11"/>
  <c r="CM547" i="11"/>
  <c r="CN547" i="11"/>
  <c r="CO547" i="11"/>
  <c r="CQ547" i="11" s="1"/>
  <c r="BZ547" i="11"/>
  <c r="CP547" i="11"/>
  <c r="CA547" i="11"/>
  <c r="CB547" i="11"/>
  <c r="CF547" i="11" s="1"/>
  <c r="BM547" i="11"/>
  <c r="CC547" i="11"/>
  <c r="AZ547" i="11"/>
  <c r="CZ547" i="11"/>
  <c r="AM547" i="11"/>
  <c r="C549" i="11"/>
  <c r="A549" i="11" s="1"/>
  <c r="EB548" i="11" l="1"/>
  <c r="ED548" i="11" s="1"/>
  <c r="Z548" i="11"/>
  <c r="F548" i="11" s="1"/>
  <c r="BK545" i="11"/>
  <c r="BL545" i="11" s="1"/>
  <c r="BG546" i="11"/>
  <c r="BJ546" i="11" s="1"/>
  <c r="N514" i="12"/>
  <c r="V514" i="12"/>
  <c r="W514" i="12" s="1"/>
  <c r="M547" i="11"/>
  <c r="L547" i="11"/>
  <c r="EA548" i="11"/>
  <c r="EI548" i="11"/>
  <c r="EC548" i="11"/>
  <c r="EH548" i="11"/>
  <c r="DZ548" i="11"/>
  <c r="EE547" i="11"/>
  <c r="EG547" i="11" s="1"/>
  <c r="A515" i="12"/>
  <c r="V515" i="12" s="1"/>
  <c r="W515" i="12" s="1"/>
  <c r="P548" i="11"/>
  <c r="CW547" i="11"/>
  <c r="AS546" i="11"/>
  <c r="DL544" i="11"/>
  <c r="CW546" i="11"/>
  <c r="CK547" i="11"/>
  <c r="CK546" i="11"/>
  <c r="CX546" i="11"/>
  <c r="CJ546" i="11"/>
  <c r="E513" i="12"/>
  <c r="B549" i="11"/>
  <c r="B516" i="12"/>
  <c r="BY545" i="11"/>
  <c r="AC547" i="11"/>
  <c r="DL545" i="11"/>
  <c r="AY544" i="11"/>
  <c r="BF546" i="11"/>
  <c r="BE547" i="11"/>
  <c r="BQ547" i="11"/>
  <c r="BR547" i="11" s="1"/>
  <c r="BT547" i="11" s="1"/>
  <c r="BW546" i="11"/>
  <c r="BX546" i="11"/>
  <c r="AB548" i="11"/>
  <c r="DK546" i="11"/>
  <c r="DJ546" i="11"/>
  <c r="DF546" i="11"/>
  <c r="CS547" i="11"/>
  <c r="DE547" i="11"/>
  <c r="DG547" i="11" s="1"/>
  <c r="BS546" i="11"/>
  <c r="CD547" i="11"/>
  <c r="AX546" i="11"/>
  <c r="AX545" i="11"/>
  <c r="AW545" i="11"/>
  <c r="AS545" i="11"/>
  <c r="AQ547" i="11"/>
  <c r="AR547" i="11" s="1"/>
  <c r="AT547" i="11" s="1"/>
  <c r="CE548" i="11"/>
  <c r="CG548" i="11" s="1"/>
  <c r="DU548" i="11"/>
  <c r="DV548" i="11"/>
  <c r="DH548" i="11"/>
  <c r="DI548" i="11"/>
  <c r="CU548" i="11"/>
  <c r="CV548" i="11"/>
  <c r="CR548" i="11"/>
  <c r="CT548" i="11" s="1"/>
  <c r="CH548" i="11"/>
  <c r="CI548" i="11"/>
  <c r="BU548" i="11"/>
  <c r="BV548" i="11"/>
  <c r="BH548" i="11"/>
  <c r="BI548" i="11"/>
  <c r="AU548" i="11"/>
  <c r="AV548" i="11"/>
  <c r="AH548" i="11"/>
  <c r="AI548" i="11"/>
  <c r="BP548" i="11"/>
  <c r="BO548" i="11"/>
  <c r="BN548" i="11"/>
  <c r="AN548" i="11"/>
  <c r="AO548" i="11"/>
  <c r="AP548" i="11"/>
  <c r="Y548" i="11"/>
  <c r="AA548" i="11"/>
  <c r="BC548" i="11"/>
  <c r="BA548" i="11"/>
  <c r="BB548" i="11"/>
  <c r="BD548" i="11" s="1"/>
  <c r="DM548" i="11"/>
  <c r="DN548" i="11"/>
  <c r="CZ548" i="11"/>
  <c r="DA548" i="11"/>
  <c r="DP548" i="11"/>
  <c r="DB548" i="11"/>
  <c r="DD548" i="11" s="1"/>
  <c r="CP548" i="11"/>
  <c r="CA548" i="11"/>
  <c r="AM548" i="11"/>
  <c r="DC548" i="11"/>
  <c r="CB548" i="11"/>
  <c r="X548" i="11"/>
  <c r="CC548" i="11"/>
  <c r="CM548" i="11"/>
  <c r="CN548" i="11"/>
  <c r="BM548" i="11"/>
  <c r="CO548" i="11"/>
  <c r="BZ548" i="11"/>
  <c r="AZ548" i="11"/>
  <c r="W549" i="11"/>
  <c r="C550" i="11"/>
  <c r="A550" i="11" s="1"/>
  <c r="EB549" i="11" l="1"/>
  <c r="Z549" i="11"/>
  <c r="F549" i="11" s="1"/>
  <c r="BK546" i="11"/>
  <c r="BL546" i="11" s="1"/>
  <c r="BG547" i="11"/>
  <c r="BK547" i="11" s="1"/>
  <c r="N515" i="12"/>
  <c r="L548" i="11"/>
  <c r="M548" i="11"/>
  <c r="EC549" i="11"/>
  <c r="EA549" i="11"/>
  <c r="DZ549" i="11"/>
  <c r="EI549" i="11"/>
  <c r="EH549" i="11"/>
  <c r="ED549" i="11"/>
  <c r="EE548" i="11"/>
  <c r="EG548" i="11" s="1"/>
  <c r="M515" i="12"/>
  <c r="A516" i="12"/>
  <c r="V516" i="12" s="1"/>
  <c r="W516" i="12" s="1"/>
  <c r="P549" i="11"/>
  <c r="BS547" i="11"/>
  <c r="AW546" i="11"/>
  <c r="AY546" i="11" s="1"/>
  <c r="CX547" i="11"/>
  <c r="CY547" i="11" s="1"/>
  <c r="CJ547" i="11"/>
  <c r="CL547" i="11" s="1"/>
  <c r="CY546" i="11"/>
  <c r="CL546" i="11"/>
  <c r="CJ548" i="11"/>
  <c r="BX547" i="11"/>
  <c r="B550" i="11"/>
  <c r="B517" i="12"/>
  <c r="E514" i="12"/>
  <c r="CF548" i="11"/>
  <c r="AC548" i="11"/>
  <c r="AY545" i="11"/>
  <c r="CW548" i="11"/>
  <c r="CX548" i="11"/>
  <c r="DL546" i="11"/>
  <c r="BY546" i="11"/>
  <c r="CD548" i="11"/>
  <c r="CS548" i="11"/>
  <c r="BF547" i="11"/>
  <c r="CQ548" i="11"/>
  <c r="DF547" i="11"/>
  <c r="DJ547" i="11"/>
  <c r="DK547" i="11"/>
  <c r="BE548" i="11"/>
  <c r="BQ548" i="11"/>
  <c r="BR548" i="11" s="1"/>
  <c r="BT548" i="11" s="1"/>
  <c r="DE548" i="11"/>
  <c r="DG548" i="11" s="1"/>
  <c r="AB549" i="11"/>
  <c r="AQ548" i="11"/>
  <c r="AR548" i="11" s="1"/>
  <c r="AT548" i="11" s="1"/>
  <c r="CE549" i="11"/>
  <c r="CG549" i="11" s="1"/>
  <c r="DV549" i="11"/>
  <c r="DU549" i="11"/>
  <c r="DI549" i="11"/>
  <c r="DH549" i="11"/>
  <c r="CU549" i="11"/>
  <c r="CV549" i="11"/>
  <c r="CR549" i="11"/>
  <c r="CT549" i="11" s="1"/>
  <c r="CH549" i="11"/>
  <c r="CI549" i="11"/>
  <c r="BU549" i="11"/>
  <c r="BV549" i="11"/>
  <c r="BH549" i="11"/>
  <c r="BI549" i="11"/>
  <c r="AU549" i="11"/>
  <c r="AI549" i="11"/>
  <c r="AV549" i="11"/>
  <c r="AH549" i="11"/>
  <c r="BN549" i="11"/>
  <c r="BO549" i="11"/>
  <c r="BP549" i="11"/>
  <c r="W550" i="11"/>
  <c r="AP549" i="11"/>
  <c r="AN549" i="11"/>
  <c r="AO549" i="11"/>
  <c r="Y549" i="11"/>
  <c r="AA549" i="11"/>
  <c r="BA549" i="11"/>
  <c r="BB549" i="11"/>
  <c r="BD549" i="11" s="1"/>
  <c r="BC549" i="11"/>
  <c r="DP549" i="11"/>
  <c r="DB549" i="11"/>
  <c r="DD549" i="11" s="1"/>
  <c r="DC549" i="11"/>
  <c r="DM549" i="11"/>
  <c r="DN549" i="11"/>
  <c r="AZ549" i="11"/>
  <c r="CM549" i="11"/>
  <c r="AM549" i="11"/>
  <c r="CZ549" i="11"/>
  <c r="CN549" i="11"/>
  <c r="X549" i="11"/>
  <c r="DA549" i="11"/>
  <c r="CO549" i="11"/>
  <c r="BZ549" i="11"/>
  <c r="CP549" i="11"/>
  <c r="CA549" i="11"/>
  <c r="CB549" i="11"/>
  <c r="CC549" i="11"/>
  <c r="BM549" i="11"/>
  <c r="C551" i="11"/>
  <c r="A551" i="11" s="1"/>
  <c r="EB550" i="11" l="1"/>
  <c r="ED550" i="11" s="1"/>
  <c r="Z550" i="11"/>
  <c r="F550" i="11" s="1"/>
  <c r="BJ547" i="11"/>
  <c r="BL547" i="11" s="1"/>
  <c r="BG548" i="11"/>
  <c r="BJ548" i="11" s="1"/>
  <c r="N516" i="12"/>
  <c r="L549" i="11"/>
  <c r="M549" i="11"/>
  <c r="EE549" i="11"/>
  <c r="EG549" i="11" s="1"/>
  <c r="M516" i="12"/>
  <c r="EH550" i="11"/>
  <c r="EI550" i="11"/>
  <c r="EC550" i="11"/>
  <c r="EA550" i="11"/>
  <c r="DZ550" i="11"/>
  <c r="A517" i="12"/>
  <c r="V517" i="12" s="1"/>
  <c r="W517" i="12" s="1"/>
  <c r="P550" i="11"/>
  <c r="BW548" i="11"/>
  <c r="CJ549" i="11"/>
  <c r="CK548" i="11"/>
  <c r="CL548" i="11" s="1"/>
  <c r="CW549" i="11"/>
  <c r="BW547" i="11"/>
  <c r="BY547" i="11" s="1"/>
  <c r="E515" i="12"/>
  <c r="B551" i="11"/>
  <c r="B518" i="12"/>
  <c r="AC549" i="11"/>
  <c r="DL547" i="11"/>
  <c r="CY548" i="11"/>
  <c r="CF549" i="11"/>
  <c r="CS549" i="11"/>
  <c r="BX548" i="11"/>
  <c r="BS548" i="11"/>
  <c r="BQ549" i="11"/>
  <c r="BR549" i="11" s="1"/>
  <c r="BT549" i="11" s="1"/>
  <c r="DK548" i="11"/>
  <c r="DJ548" i="11"/>
  <c r="DF548" i="11"/>
  <c r="BF548" i="11"/>
  <c r="CD549" i="11"/>
  <c r="AB550" i="11"/>
  <c r="CQ549" i="11"/>
  <c r="AW547" i="11"/>
  <c r="AX547" i="11"/>
  <c r="AS547" i="11"/>
  <c r="DE549" i="11"/>
  <c r="DG549" i="11" s="1"/>
  <c r="BE549" i="11"/>
  <c r="AQ549" i="11"/>
  <c r="AR549" i="11" s="1"/>
  <c r="AT549" i="11" s="1"/>
  <c r="CE550" i="11"/>
  <c r="CG550" i="11" s="1"/>
  <c r="DV550" i="11"/>
  <c r="DU550" i="11"/>
  <c r="DH550" i="11"/>
  <c r="DI550" i="11"/>
  <c r="CU550" i="11"/>
  <c r="CV550" i="11"/>
  <c r="CR550" i="11"/>
  <c r="CT550" i="11" s="1"/>
  <c r="CI550" i="11"/>
  <c r="CH550" i="11"/>
  <c r="BU550" i="11"/>
  <c r="BV550" i="11"/>
  <c r="BH550" i="11"/>
  <c r="BI550" i="11"/>
  <c r="AH550" i="11"/>
  <c r="AU550" i="11"/>
  <c r="AV550" i="11"/>
  <c r="AI550" i="11"/>
  <c r="BN550" i="11"/>
  <c r="BO550" i="11"/>
  <c r="BP550" i="11"/>
  <c r="AN550" i="11"/>
  <c r="AO550" i="11"/>
  <c r="AP550" i="11"/>
  <c r="Y550" i="11"/>
  <c r="AA550" i="11"/>
  <c r="BA550" i="11"/>
  <c r="BB550" i="11"/>
  <c r="BD550" i="11" s="1"/>
  <c r="BC550" i="11"/>
  <c r="DM550" i="11"/>
  <c r="DN550" i="11"/>
  <c r="CZ550" i="11"/>
  <c r="DA550" i="11"/>
  <c r="DP550" i="11"/>
  <c r="DB550" i="11"/>
  <c r="DD550" i="11" s="1"/>
  <c r="CP550" i="11"/>
  <c r="CA550" i="11"/>
  <c r="BM550" i="11"/>
  <c r="CB550" i="11"/>
  <c r="AZ550" i="11"/>
  <c r="CC550" i="11"/>
  <c r="AM550" i="11"/>
  <c r="X550" i="11"/>
  <c r="DC550" i="11"/>
  <c r="CM550" i="11"/>
  <c r="CN550" i="11"/>
  <c r="CO550" i="11"/>
  <c r="BZ550" i="11"/>
  <c r="W551" i="11"/>
  <c r="C552" i="11"/>
  <c r="A552" i="11" s="1"/>
  <c r="EB551" i="11" l="1"/>
  <c r="ED551" i="11" s="1"/>
  <c r="Z551" i="11"/>
  <c r="F551" i="11" s="1"/>
  <c r="BK548" i="11"/>
  <c r="BL548" i="11" s="1"/>
  <c r="BG549" i="11"/>
  <c r="BK549" i="11" s="1"/>
  <c r="M517" i="12"/>
  <c r="L550" i="11"/>
  <c r="M550" i="11"/>
  <c r="EE550" i="11"/>
  <c r="EG550" i="11" s="1"/>
  <c r="EC551" i="11"/>
  <c r="DZ551" i="11"/>
  <c r="EH551" i="11"/>
  <c r="EI551" i="11"/>
  <c r="EA551" i="11"/>
  <c r="N517" i="12"/>
  <c r="A518" i="12"/>
  <c r="V518" i="12" s="1"/>
  <c r="W518" i="12" s="1"/>
  <c r="P551" i="11"/>
  <c r="CX549" i="11"/>
  <c r="CY549" i="11" s="1"/>
  <c r="CK549" i="11"/>
  <c r="CL549" i="11" s="1"/>
  <c r="CW550" i="11"/>
  <c r="E516" i="12"/>
  <c r="B552" i="11"/>
  <c r="B519" i="12"/>
  <c r="BY548" i="11"/>
  <c r="CQ550" i="11"/>
  <c r="CD550" i="11"/>
  <c r="DL548" i="11"/>
  <c r="AC550" i="11"/>
  <c r="BF549" i="11"/>
  <c r="BX549" i="11"/>
  <c r="BW549" i="11"/>
  <c r="BS549" i="11"/>
  <c r="BQ550" i="11"/>
  <c r="BR550" i="11" s="1"/>
  <c r="BT550" i="11" s="1"/>
  <c r="CF550" i="11"/>
  <c r="AX548" i="11"/>
  <c r="AW548" i="11"/>
  <c r="AS548" i="11"/>
  <c r="CS550" i="11"/>
  <c r="DJ549" i="11"/>
  <c r="DK549" i="11"/>
  <c r="DF549" i="11"/>
  <c r="DE550" i="11"/>
  <c r="DG550" i="11" s="1"/>
  <c r="BE550" i="11"/>
  <c r="AY547" i="11"/>
  <c r="AB551" i="11"/>
  <c r="AQ550" i="11"/>
  <c r="AR550" i="11" s="1"/>
  <c r="AT550" i="11" s="1"/>
  <c r="CE551" i="11"/>
  <c r="CG551" i="11" s="1"/>
  <c r="DV551" i="11"/>
  <c r="DU551" i="11"/>
  <c r="DH551" i="11"/>
  <c r="DI551" i="11"/>
  <c r="CR551" i="11"/>
  <c r="CT551" i="11" s="1"/>
  <c r="CU551" i="11"/>
  <c r="CV551" i="11"/>
  <c r="CH551" i="11"/>
  <c r="CI551" i="11"/>
  <c r="BU551" i="11"/>
  <c r="BV551" i="11"/>
  <c r="BH551" i="11"/>
  <c r="BI551" i="11"/>
  <c r="AI551" i="11"/>
  <c r="AU551" i="11"/>
  <c r="AV551" i="11"/>
  <c r="AH551" i="11"/>
  <c r="BO551" i="11"/>
  <c r="BQ551" i="11" s="1"/>
  <c r="BP551" i="11"/>
  <c r="BN551" i="11"/>
  <c r="AN551" i="11"/>
  <c r="AP551" i="11"/>
  <c r="AO551" i="11"/>
  <c r="AA551" i="11"/>
  <c r="Y551" i="11"/>
  <c r="BC551" i="11"/>
  <c r="BA551" i="11"/>
  <c r="BB551" i="11"/>
  <c r="BD551" i="11" s="1"/>
  <c r="DP551" i="11"/>
  <c r="DB551" i="11"/>
  <c r="DC551" i="11"/>
  <c r="DM551" i="11"/>
  <c r="DN551" i="11"/>
  <c r="CM551" i="11"/>
  <c r="BM551" i="11"/>
  <c r="CN551" i="11"/>
  <c r="AZ551" i="11"/>
  <c r="CO551" i="11"/>
  <c r="CS551" i="11" s="1"/>
  <c r="BZ551" i="11"/>
  <c r="AM551" i="11"/>
  <c r="CP551" i="11"/>
  <c r="CA551" i="11"/>
  <c r="X551" i="11"/>
  <c r="CZ551" i="11"/>
  <c r="CB551" i="11"/>
  <c r="CD551" i="11" s="1"/>
  <c r="DA551" i="11"/>
  <c r="CC551" i="11"/>
  <c r="W552" i="11"/>
  <c r="C553" i="11"/>
  <c r="A553" i="11" s="1"/>
  <c r="Z552" i="11" l="1"/>
  <c r="F552" i="11" s="1"/>
  <c r="EB552" i="11"/>
  <c r="ED552" i="11" s="1"/>
  <c r="BJ549" i="11"/>
  <c r="BL549" i="11" s="1"/>
  <c r="BG550" i="11"/>
  <c r="BF550" i="11" s="1"/>
  <c r="N518" i="12"/>
  <c r="M551" i="11"/>
  <c r="L551" i="11"/>
  <c r="EE551" i="11"/>
  <c r="EG551" i="11" s="1"/>
  <c r="EA552" i="11"/>
  <c r="EI552" i="11"/>
  <c r="EH552" i="11"/>
  <c r="DZ552" i="11"/>
  <c r="EC552" i="11"/>
  <c r="M518" i="12"/>
  <c r="A519" i="12"/>
  <c r="N519" i="12" s="1"/>
  <c r="P552" i="11"/>
  <c r="CX551" i="11"/>
  <c r="CK550" i="11"/>
  <c r="CX550" i="11"/>
  <c r="CY550" i="11" s="1"/>
  <c r="CJ550" i="11"/>
  <c r="DL549" i="11"/>
  <c r="E517" i="12"/>
  <c r="B553" i="11"/>
  <c r="B520" i="12"/>
  <c r="BY549" i="11"/>
  <c r="AC551" i="11"/>
  <c r="CF551" i="11"/>
  <c r="BX550" i="11"/>
  <c r="BW550" i="11"/>
  <c r="BS550" i="11"/>
  <c r="CQ551" i="11"/>
  <c r="DJ550" i="11"/>
  <c r="DK550" i="11"/>
  <c r="AY548" i="11"/>
  <c r="BE551" i="11"/>
  <c r="DD551" i="11"/>
  <c r="DE551" i="11" s="1"/>
  <c r="DG551" i="11" s="1"/>
  <c r="DF550" i="11"/>
  <c r="AB552" i="11"/>
  <c r="BR551" i="11"/>
  <c r="BT551" i="11" s="1"/>
  <c r="AW549" i="11"/>
  <c r="AX549" i="11"/>
  <c r="AS549" i="11"/>
  <c r="AQ551" i="11"/>
  <c r="AR551" i="11" s="1"/>
  <c r="AT551" i="11" s="1"/>
  <c r="CE552" i="11"/>
  <c r="CG552" i="11" s="1"/>
  <c r="DU552" i="11"/>
  <c r="DV552" i="11"/>
  <c r="DH552" i="11"/>
  <c r="DI552" i="11"/>
  <c r="CR552" i="11"/>
  <c r="CT552" i="11" s="1"/>
  <c r="CV552" i="11"/>
  <c r="CU552" i="11"/>
  <c r="CH552" i="11"/>
  <c r="CI552" i="11"/>
  <c r="BU552" i="11"/>
  <c r="BV552" i="11"/>
  <c r="BH552" i="11"/>
  <c r="AV552" i="11"/>
  <c r="BI552" i="11"/>
  <c r="AU552" i="11"/>
  <c r="AH552" i="11"/>
  <c r="AI552" i="11"/>
  <c r="BN552" i="11"/>
  <c r="BP552" i="11"/>
  <c r="BO552" i="11"/>
  <c r="AO552" i="11"/>
  <c r="AP552" i="11"/>
  <c r="AN552" i="11"/>
  <c r="Y552" i="11"/>
  <c r="AA552" i="11"/>
  <c r="BB552" i="11"/>
  <c r="BD552" i="11" s="1"/>
  <c r="BC552" i="11"/>
  <c r="BA552" i="11"/>
  <c r="DM552" i="11"/>
  <c r="DN552" i="11"/>
  <c r="CZ552" i="11"/>
  <c r="DA552" i="11"/>
  <c r="DP552" i="11"/>
  <c r="DB552" i="11"/>
  <c r="CP552" i="11"/>
  <c r="CA552" i="11"/>
  <c r="CB552" i="11"/>
  <c r="CC552" i="11"/>
  <c r="BM552" i="11"/>
  <c r="AZ552" i="11"/>
  <c r="AM552" i="11"/>
  <c r="CM552" i="11"/>
  <c r="CN552" i="11"/>
  <c r="DC552" i="11"/>
  <c r="CO552" i="11"/>
  <c r="CQ552" i="11" s="1"/>
  <c r="BZ552" i="11"/>
  <c r="X552" i="11"/>
  <c r="W553" i="11"/>
  <c r="C554" i="11"/>
  <c r="A554" i="11" s="1"/>
  <c r="EB553" i="11" l="1"/>
  <c r="ED553" i="11" s="1"/>
  <c r="Z553" i="11"/>
  <c r="F553" i="11" s="1"/>
  <c r="BJ550" i="11"/>
  <c r="BK550" i="11"/>
  <c r="BG551" i="11"/>
  <c r="BJ551" i="11" s="1"/>
  <c r="V519" i="12"/>
  <c r="W519" i="12" s="1"/>
  <c r="M552" i="11"/>
  <c r="L552" i="11"/>
  <c r="DZ553" i="11"/>
  <c r="EI553" i="11"/>
  <c r="EC553" i="11"/>
  <c r="EA553" i="11"/>
  <c r="EH553" i="11"/>
  <c r="M519" i="12"/>
  <c r="EE552" i="11"/>
  <c r="EG552" i="11" s="1"/>
  <c r="A520" i="12"/>
  <c r="V520" i="12" s="1"/>
  <c r="W520" i="12" s="1"/>
  <c r="P553" i="11"/>
  <c r="BS551" i="11"/>
  <c r="BW551" i="11"/>
  <c r="CW551" i="11"/>
  <c r="CY551" i="11" s="1"/>
  <c r="CJ552" i="11"/>
  <c r="CK551" i="11"/>
  <c r="CJ551" i="11"/>
  <c r="CL550" i="11"/>
  <c r="CW552" i="11"/>
  <c r="E518" i="12"/>
  <c r="B554" i="11"/>
  <c r="B521" i="12"/>
  <c r="DL550" i="11"/>
  <c r="AC552" i="11"/>
  <c r="BY550" i="11"/>
  <c r="DK551" i="11"/>
  <c r="DJ551" i="11"/>
  <c r="DF551" i="11"/>
  <c r="BK551" i="11"/>
  <c r="BF551" i="11"/>
  <c r="CK552" i="11"/>
  <c r="CF552" i="11"/>
  <c r="AY549" i="11"/>
  <c r="BE552" i="11"/>
  <c r="DD552" i="11"/>
  <c r="DE552" i="11" s="1"/>
  <c r="DG552" i="11" s="1"/>
  <c r="BQ552" i="11"/>
  <c r="BR552" i="11" s="1"/>
  <c r="BT552" i="11" s="1"/>
  <c r="AX550" i="11"/>
  <c r="AW550" i="11"/>
  <c r="AS550" i="11"/>
  <c r="CS552" i="11"/>
  <c r="AB553" i="11"/>
  <c r="CD552" i="11"/>
  <c r="AQ552" i="11"/>
  <c r="AR552" i="11" s="1"/>
  <c r="AT552" i="11" s="1"/>
  <c r="CE553" i="11"/>
  <c r="CG553" i="11" s="1"/>
  <c r="DV553" i="11"/>
  <c r="DU553" i="11"/>
  <c r="DH553" i="11"/>
  <c r="DI553" i="11"/>
  <c r="CR553" i="11"/>
  <c r="CT553" i="11" s="1"/>
  <c r="CU553" i="11"/>
  <c r="CV553" i="11"/>
  <c r="CH553" i="11"/>
  <c r="CI553" i="11"/>
  <c r="BU553" i="11"/>
  <c r="BV553" i="11"/>
  <c r="BI553" i="11"/>
  <c r="AU553" i="11"/>
  <c r="AV553" i="11"/>
  <c r="BH553" i="11"/>
  <c r="AH553" i="11"/>
  <c r="AI553" i="11"/>
  <c r="BN553" i="11"/>
  <c r="BO553" i="11"/>
  <c r="BQ553" i="11" s="1"/>
  <c r="BP553" i="11"/>
  <c r="W554" i="11"/>
  <c r="AN553" i="11"/>
  <c r="AO553" i="11"/>
  <c r="AP553" i="11"/>
  <c r="Y553" i="11"/>
  <c r="AA553" i="11"/>
  <c r="BB553" i="11"/>
  <c r="BD553" i="11" s="1"/>
  <c r="BC553" i="11"/>
  <c r="BA553" i="11"/>
  <c r="DP553" i="11"/>
  <c r="DB553" i="11"/>
  <c r="DC553" i="11"/>
  <c r="DM553" i="11"/>
  <c r="DN553" i="11"/>
  <c r="CZ553" i="11"/>
  <c r="DA553" i="11"/>
  <c r="CM553" i="11"/>
  <c r="CN553" i="11"/>
  <c r="CO553" i="11"/>
  <c r="CQ553" i="11" s="1"/>
  <c r="BZ553" i="11"/>
  <c r="BM553" i="11"/>
  <c r="CP553" i="11"/>
  <c r="CA553" i="11"/>
  <c r="AZ553" i="11"/>
  <c r="CB553" i="11"/>
  <c r="CD553" i="11" s="1"/>
  <c r="CC553" i="11"/>
  <c r="AM553" i="11"/>
  <c r="X553" i="11"/>
  <c r="C555" i="11"/>
  <c r="A555" i="11" s="1"/>
  <c r="EB554" i="11" l="1"/>
  <c r="ED554" i="11" s="1"/>
  <c r="Z554" i="11"/>
  <c r="F554" i="11" s="1"/>
  <c r="BL550" i="11"/>
  <c r="BG552" i="11"/>
  <c r="BK552" i="11" s="1"/>
  <c r="M553" i="11"/>
  <c r="M520" i="12"/>
  <c r="L553" i="11"/>
  <c r="N520" i="12"/>
  <c r="EH554" i="11"/>
  <c r="DZ554" i="11"/>
  <c r="EI554" i="11"/>
  <c r="EC554" i="11"/>
  <c r="EA554" i="11"/>
  <c r="EE553" i="11"/>
  <c r="EG553" i="11" s="1"/>
  <c r="A521" i="12"/>
  <c r="N521" i="12" s="1"/>
  <c r="P554" i="11"/>
  <c r="BX551" i="11"/>
  <c r="BY551" i="11" s="1"/>
  <c r="CL551" i="11"/>
  <c r="AY550" i="11"/>
  <c r="BW552" i="11"/>
  <c r="CX552" i="11"/>
  <c r="CY552" i="11" s="1"/>
  <c r="E519" i="12"/>
  <c r="B555" i="11"/>
  <c r="B522" i="12"/>
  <c r="DL551" i="11"/>
  <c r="CL552" i="11"/>
  <c r="BL551" i="11"/>
  <c r="AC553" i="11"/>
  <c r="BS552" i="11"/>
  <c r="DK552" i="11"/>
  <c r="DJ552" i="11"/>
  <c r="DF552" i="11"/>
  <c r="BF552" i="11"/>
  <c r="CF553" i="11"/>
  <c r="CJ553" i="11"/>
  <c r="CK553" i="11"/>
  <c r="CS553" i="11"/>
  <c r="DD553" i="11"/>
  <c r="DE553" i="11" s="1"/>
  <c r="DG553" i="11" s="1"/>
  <c r="BR553" i="11"/>
  <c r="BT553" i="11" s="1"/>
  <c r="BS553" i="11" s="1"/>
  <c r="AB554" i="11"/>
  <c r="BE553" i="11"/>
  <c r="AX551" i="11"/>
  <c r="AW551" i="11"/>
  <c r="AS551" i="11"/>
  <c r="AQ553" i="11"/>
  <c r="AR553" i="11" s="1"/>
  <c r="AT553" i="11" s="1"/>
  <c r="CE554" i="11"/>
  <c r="CG554" i="11" s="1"/>
  <c r="DU554" i="11"/>
  <c r="DV554" i="11"/>
  <c r="DI554" i="11"/>
  <c r="DH554" i="11"/>
  <c r="CR554" i="11"/>
  <c r="CT554" i="11" s="1"/>
  <c r="CU554" i="11"/>
  <c r="CV554" i="11"/>
  <c r="CI554" i="11"/>
  <c r="CH554" i="11"/>
  <c r="BU554" i="11"/>
  <c r="BV554" i="11"/>
  <c r="BI554" i="11"/>
  <c r="BH554" i="11"/>
  <c r="AU554" i="11"/>
  <c r="AV554" i="11"/>
  <c r="AH554" i="11"/>
  <c r="AI554" i="11"/>
  <c r="BN554" i="11"/>
  <c r="BO554" i="11"/>
  <c r="BP554" i="11"/>
  <c r="W555" i="11"/>
  <c r="AO554" i="11"/>
  <c r="AN554" i="11"/>
  <c r="AP554" i="11"/>
  <c r="AA554" i="11"/>
  <c r="Y554" i="11"/>
  <c r="BB554" i="11"/>
  <c r="BD554" i="11" s="1"/>
  <c r="BA554" i="11"/>
  <c r="BC554" i="11"/>
  <c r="DM554" i="11"/>
  <c r="DN554" i="11"/>
  <c r="CZ554" i="11"/>
  <c r="DA554" i="11"/>
  <c r="DP554" i="11"/>
  <c r="DB554" i="11"/>
  <c r="CP554" i="11"/>
  <c r="CA554" i="11"/>
  <c r="CB554" i="11"/>
  <c r="DC554" i="11"/>
  <c r="CC554" i="11"/>
  <c r="BM554" i="11"/>
  <c r="CM554" i="11"/>
  <c r="AZ554" i="11"/>
  <c r="CN554" i="11"/>
  <c r="CO554" i="11"/>
  <c r="CQ554" i="11" s="1"/>
  <c r="BZ554" i="11"/>
  <c r="X554" i="11"/>
  <c r="AM554" i="11"/>
  <c r="C556" i="11"/>
  <c r="A556" i="11" s="1"/>
  <c r="EB555" i="11" l="1"/>
  <c r="ED555" i="11" s="1"/>
  <c r="Z555" i="11"/>
  <c r="F555" i="11" s="1"/>
  <c r="BJ552" i="11"/>
  <c r="BL552" i="11" s="1"/>
  <c r="BG553" i="11"/>
  <c r="BJ553" i="11" s="1"/>
  <c r="M554" i="11"/>
  <c r="L554" i="11"/>
  <c r="EC555" i="11"/>
  <c r="DZ555" i="11"/>
  <c r="EA555" i="11"/>
  <c r="EI555" i="11"/>
  <c r="EH555" i="11"/>
  <c r="EE554" i="11"/>
  <c r="EG554" i="11" s="1"/>
  <c r="V521" i="12"/>
  <c r="W521" i="12" s="1"/>
  <c r="M521" i="12"/>
  <c r="A522" i="12"/>
  <c r="M522" i="12" s="1"/>
  <c r="P555" i="11"/>
  <c r="CW553" i="11"/>
  <c r="CX553" i="11"/>
  <c r="CW554" i="11"/>
  <c r="BX552" i="11"/>
  <c r="BY552" i="11" s="1"/>
  <c r="E520" i="12"/>
  <c r="B556" i="11"/>
  <c r="B523" i="12"/>
  <c r="AY551" i="11"/>
  <c r="AC554" i="11"/>
  <c r="DL552" i="11"/>
  <c r="CL553" i="11"/>
  <c r="CF554" i="11"/>
  <c r="CJ554" i="11"/>
  <c r="CK554" i="11"/>
  <c r="DK553" i="11"/>
  <c r="DJ553" i="11"/>
  <c r="DF553" i="11"/>
  <c r="CD554" i="11"/>
  <c r="BF553" i="11"/>
  <c r="CX554" i="11"/>
  <c r="CS554" i="11"/>
  <c r="AB555" i="11"/>
  <c r="BE554" i="11"/>
  <c r="BQ554" i="11"/>
  <c r="BR554" i="11" s="1"/>
  <c r="BT554" i="11" s="1"/>
  <c r="DD554" i="11"/>
  <c r="DE554" i="11" s="1"/>
  <c r="DG554" i="11" s="1"/>
  <c r="AW552" i="11"/>
  <c r="AX552" i="11"/>
  <c r="AS552" i="11"/>
  <c r="AQ554" i="11"/>
  <c r="AR554" i="11" s="1"/>
  <c r="AT554" i="11" s="1"/>
  <c r="CE555" i="11"/>
  <c r="CG555" i="11" s="1"/>
  <c r="DV555" i="11"/>
  <c r="DU555" i="11"/>
  <c r="DH555" i="11"/>
  <c r="DI555" i="11"/>
  <c r="CV555" i="11"/>
  <c r="CR555" i="11"/>
  <c r="CT555" i="11" s="1"/>
  <c r="CU555" i="11"/>
  <c r="CH555" i="11"/>
  <c r="CI555" i="11"/>
  <c r="BV555" i="11"/>
  <c r="BU555" i="11"/>
  <c r="BH555" i="11"/>
  <c r="BI555" i="11"/>
  <c r="AU555" i="11"/>
  <c r="AV555" i="11"/>
  <c r="AH555" i="11"/>
  <c r="AI555" i="11"/>
  <c r="BO555" i="11"/>
  <c r="BP555" i="11"/>
  <c r="BN555" i="11"/>
  <c r="AN555" i="11"/>
  <c r="AO555" i="11"/>
  <c r="AP555" i="11"/>
  <c r="Y555" i="11"/>
  <c r="AA555" i="11"/>
  <c r="BB555" i="11"/>
  <c r="BD555" i="11" s="1"/>
  <c r="BC555" i="11"/>
  <c r="BA555" i="11"/>
  <c r="DP555" i="11"/>
  <c r="DB555" i="11"/>
  <c r="DD555" i="11" s="1"/>
  <c r="DC555" i="11"/>
  <c r="DM555" i="11"/>
  <c r="DN555" i="11"/>
  <c r="X555" i="11"/>
  <c r="CM555" i="11"/>
  <c r="CN555" i="11"/>
  <c r="CZ555" i="11"/>
  <c r="CO555" i="11"/>
  <c r="CQ555" i="11" s="1"/>
  <c r="BZ555" i="11"/>
  <c r="DA555" i="11"/>
  <c r="CP555" i="11"/>
  <c r="CA555" i="11"/>
  <c r="CB555" i="11"/>
  <c r="CF555" i="11" s="1"/>
  <c r="BM555" i="11"/>
  <c r="CC555" i="11"/>
  <c r="AZ555" i="11"/>
  <c r="AM555" i="11"/>
  <c r="W556" i="11"/>
  <c r="C557" i="11"/>
  <c r="A557" i="11" s="1"/>
  <c r="EB556" i="11" l="1"/>
  <c r="ED556" i="11" s="1"/>
  <c r="Z556" i="11"/>
  <c r="F556" i="11" s="1"/>
  <c r="BK553" i="11"/>
  <c r="BL553" i="11" s="1"/>
  <c r="BG554" i="11"/>
  <c r="BK554" i="11" s="1"/>
  <c r="N522" i="12"/>
  <c r="V522" i="12"/>
  <c r="W522" i="12" s="1"/>
  <c r="M555" i="11"/>
  <c r="L555" i="11"/>
  <c r="EE555" i="11"/>
  <c r="EG555" i="11" s="1"/>
  <c r="EA556" i="11"/>
  <c r="EI556" i="11"/>
  <c r="EC556" i="11"/>
  <c r="DZ556" i="11"/>
  <c r="EH556" i="11"/>
  <c r="A523" i="12"/>
  <c r="N523" i="12" s="1"/>
  <c r="P556" i="11"/>
  <c r="CY554" i="11"/>
  <c r="CY553" i="11"/>
  <c r="BW553" i="11"/>
  <c r="BX553" i="11"/>
  <c r="AX554" i="11"/>
  <c r="E521" i="12"/>
  <c r="B557" i="11"/>
  <c r="B524" i="12"/>
  <c r="DL553" i="11"/>
  <c r="AC555" i="11"/>
  <c r="AY552" i="11"/>
  <c r="CL554" i="11"/>
  <c r="CS555" i="11"/>
  <c r="DJ554" i="11"/>
  <c r="DK554" i="11"/>
  <c r="DF554" i="11"/>
  <c r="CW555" i="11"/>
  <c r="CX555" i="11"/>
  <c r="CJ555" i="11"/>
  <c r="CK555" i="11"/>
  <c r="BS554" i="11"/>
  <c r="CD555" i="11"/>
  <c r="BE555" i="11"/>
  <c r="BF554" i="11"/>
  <c r="BQ555" i="11"/>
  <c r="BR555" i="11" s="1"/>
  <c r="BT555" i="11" s="1"/>
  <c r="AB556" i="11"/>
  <c r="DE555" i="11"/>
  <c r="DG555" i="11" s="1"/>
  <c r="AW553" i="11"/>
  <c r="AX553" i="11"/>
  <c r="AS553" i="11"/>
  <c r="AQ555" i="11"/>
  <c r="AR555" i="11" s="1"/>
  <c r="AT555" i="11" s="1"/>
  <c r="CE556" i="11"/>
  <c r="CG556" i="11" s="1"/>
  <c r="DV556" i="11"/>
  <c r="DU556" i="11"/>
  <c r="DH556" i="11"/>
  <c r="DI556" i="11"/>
  <c r="CU556" i="11"/>
  <c r="CV556" i="11"/>
  <c r="CR556" i="11"/>
  <c r="CT556" i="11" s="1"/>
  <c r="CH556" i="11"/>
  <c r="CI556" i="11"/>
  <c r="BU556" i="11"/>
  <c r="BV556" i="11"/>
  <c r="BH556" i="11"/>
  <c r="BI556" i="11"/>
  <c r="AU556" i="11"/>
  <c r="AV556" i="11"/>
  <c r="AH556" i="11"/>
  <c r="AI556" i="11"/>
  <c r="BP556" i="11"/>
  <c r="BO556" i="11"/>
  <c r="BN556" i="11"/>
  <c r="W557" i="11"/>
  <c r="AN556" i="11"/>
  <c r="AO556" i="11"/>
  <c r="AP556" i="11"/>
  <c r="AA556" i="11"/>
  <c r="Y556" i="11"/>
  <c r="BA556" i="11"/>
  <c r="BB556" i="11"/>
  <c r="BD556" i="11" s="1"/>
  <c r="BC556" i="11"/>
  <c r="DM556" i="11"/>
  <c r="DN556" i="11"/>
  <c r="CZ556" i="11"/>
  <c r="DA556" i="11"/>
  <c r="DP556" i="11"/>
  <c r="DB556" i="11"/>
  <c r="DD556" i="11" s="1"/>
  <c r="CP556" i="11"/>
  <c r="CA556" i="11"/>
  <c r="AM556" i="11"/>
  <c r="CB556" i="11"/>
  <c r="X556" i="11"/>
  <c r="CC556" i="11"/>
  <c r="DC556" i="11"/>
  <c r="CM556" i="11"/>
  <c r="CN556" i="11"/>
  <c r="BM556" i="11"/>
  <c r="CO556" i="11"/>
  <c r="BZ556" i="11"/>
  <c r="AZ556" i="11"/>
  <c r="C558" i="11"/>
  <c r="A558" i="11" s="1"/>
  <c r="EB557" i="11" l="1"/>
  <c r="ED557" i="11" s="1"/>
  <c r="Z557" i="11"/>
  <c r="F557" i="11" s="1"/>
  <c r="BJ554" i="11"/>
  <c r="BL554" i="11" s="1"/>
  <c r="BG555" i="11"/>
  <c r="M523" i="12"/>
  <c r="M556" i="11"/>
  <c r="V523" i="12"/>
  <c r="W523" i="12" s="1"/>
  <c r="L556" i="11"/>
  <c r="EE556" i="11"/>
  <c r="EG556" i="11" s="1"/>
  <c r="EI557" i="11"/>
  <c r="EH557" i="11"/>
  <c r="EC557" i="11"/>
  <c r="EA557" i="11"/>
  <c r="DZ557" i="11"/>
  <c r="A524" i="12"/>
  <c r="M524" i="12" s="1"/>
  <c r="P557" i="11"/>
  <c r="DF555" i="11"/>
  <c r="BX555" i="11"/>
  <c r="BW554" i="11"/>
  <c r="AW554" i="11"/>
  <c r="AY554" i="11" s="1"/>
  <c r="BY553" i="11"/>
  <c r="BX554" i="11"/>
  <c r="AS554" i="11"/>
  <c r="E522" i="12"/>
  <c r="B558" i="11"/>
  <c r="B525" i="12"/>
  <c r="CL555" i="11"/>
  <c r="DL554" i="11"/>
  <c r="AC556" i="11"/>
  <c r="CF556" i="11"/>
  <c r="CY555" i="11"/>
  <c r="CQ556" i="11"/>
  <c r="BW555" i="11"/>
  <c r="BS555" i="11"/>
  <c r="CK556" i="11"/>
  <c r="CJ556" i="11"/>
  <c r="CW556" i="11"/>
  <c r="CX556" i="11"/>
  <c r="CS556" i="11"/>
  <c r="BQ556" i="11"/>
  <c r="BR556" i="11" s="1"/>
  <c r="BT556" i="11" s="1"/>
  <c r="BJ555" i="11"/>
  <c r="BK555" i="11"/>
  <c r="AB557" i="11"/>
  <c r="AY553" i="11"/>
  <c r="BF555" i="11"/>
  <c r="CD556" i="11"/>
  <c r="DE556" i="11"/>
  <c r="DG556" i="11" s="1"/>
  <c r="BE556" i="11"/>
  <c r="AQ556" i="11"/>
  <c r="AR556" i="11" s="1"/>
  <c r="AT556" i="11" s="1"/>
  <c r="CE557" i="11"/>
  <c r="CG557" i="11" s="1"/>
  <c r="DV557" i="11"/>
  <c r="DU557" i="11"/>
  <c r="DI557" i="11"/>
  <c r="DH557" i="11"/>
  <c r="CU557" i="11"/>
  <c r="CV557" i="11"/>
  <c r="CR557" i="11"/>
  <c r="CT557" i="11" s="1"/>
  <c r="CH557" i="11"/>
  <c r="CI557" i="11"/>
  <c r="BU557" i="11"/>
  <c r="BV557" i="11"/>
  <c r="BH557" i="11"/>
  <c r="BI557" i="11"/>
  <c r="AU557" i="11"/>
  <c r="AI557" i="11"/>
  <c r="AV557" i="11"/>
  <c r="AH557" i="11"/>
  <c r="BN557" i="11"/>
  <c r="BO557" i="11"/>
  <c r="BP557" i="11"/>
  <c r="W558" i="11"/>
  <c r="AP557" i="11"/>
  <c r="AN557" i="11"/>
  <c r="AO557" i="11"/>
  <c r="Y557" i="11"/>
  <c r="AA557" i="11"/>
  <c r="BA557" i="11"/>
  <c r="BB557" i="11"/>
  <c r="BD557" i="11" s="1"/>
  <c r="BC557" i="11"/>
  <c r="DP557" i="11"/>
  <c r="DB557" i="11"/>
  <c r="DC557" i="11"/>
  <c r="DM557" i="11"/>
  <c r="DN557" i="11"/>
  <c r="AZ557" i="11"/>
  <c r="CM557" i="11"/>
  <c r="AM557" i="11"/>
  <c r="CN557" i="11"/>
  <c r="X557" i="11"/>
  <c r="CO557" i="11"/>
  <c r="BZ557" i="11"/>
  <c r="CP557" i="11"/>
  <c r="CA557" i="11"/>
  <c r="CB557" i="11"/>
  <c r="CZ557" i="11"/>
  <c r="CC557" i="11"/>
  <c r="DA557" i="11"/>
  <c r="BM557" i="11"/>
  <c r="C559" i="11"/>
  <c r="A559" i="11" s="1"/>
  <c r="Z558" i="11" l="1"/>
  <c r="F558" i="11" s="1"/>
  <c r="EB558" i="11"/>
  <c r="ED558" i="11" s="1"/>
  <c r="BG556" i="11"/>
  <c r="BK556" i="11" s="1"/>
  <c r="L557" i="11"/>
  <c r="M557" i="11"/>
  <c r="EE557" i="11"/>
  <c r="EG557" i="11" s="1"/>
  <c r="V524" i="12"/>
  <c r="W524" i="12" s="1"/>
  <c r="N524" i="12"/>
  <c r="EH558" i="11"/>
  <c r="EC558" i="11"/>
  <c r="EI558" i="11"/>
  <c r="EA558" i="11"/>
  <c r="DZ558" i="11"/>
  <c r="A525" i="12"/>
  <c r="N525" i="12" s="1"/>
  <c r="P558" i="11"/>
  <c r="BY554" i="11"/>
  <c r="DJ556" i="11"/>
  <c r="DK555" i="11"/>
  <c r="DJ555" i="11"/>
  <c r="CY556" i="11"/>
  <c r="E523" i="12"/>
  <c r="B559" i="11"/>
  <c r="B526" i="12"/>
  <c r="AC557" i="11"/>
  <c r="CL556" i="11"/>
  <c r="CD557" i="11"/>
  <c r="CQ557" i="11"/>
  <c r="BL555" i="11"/>
  <c r="BY555" i="11"/>
  <c r="CJ557" i="11"/>
  <c r="CK557" i="11"/>
  <c r="CF557" i="11"/>
  <c r="BW556" i="11"/>
  <c r="BX556" i="11"/>
  <c r="BS556" i="11"/>
  <c r="CW557" i="11"/>
  <c r="CX557" i="11"/>
  <c r="AW555" i="11"/>
  <c r="AX555" i="11"/>
  <c r="AS555" i="11"/>
  <c r="BF556" i="11"/>
  <c r="DF556" i="11"/>
  <c r="BE557" i="11"/>
  <c r="CS557" i="11"/>
  <c r="DD557" i="11"/>
  <c r="DE557" i="11" s="1"/>
  <c r="DG557" i="11" s="1"/>
  <c r="AB558" i="11"/>
  <c r="BQ557" i="11"/>
  <c r="BR557" i="11" s="1"/>
  <c r="BT557" i="11" s="1"/>
  <c r="AQ557" i="11"/>
  <c r="AR557" i="11" s="1"/>
  <c r="AT557" i="11" s="1"/>
  <c r="CE558" i="11"/>
  <c r="CG558" i="11" s="1"/>
  <c r="DU558" i="11"/>
  <c r="DV558" i="11"/>
  <c r="DH558" i="11"/>
  <c r="DI558" i="11"/>
  <c r="CU558" i="11"/>
  <c r="CV558" i="11"/>
  <c r="CR558" i="11"/>
  <c r="CT558" i="11" s="1"/>
  <c r="CI558" i="11"/>
  <c r="CH558" i="11"/>
  <c r="BU558" i="11"/>
  <c r="BV558" i="11"/>
  <c r="BH558" i="11"/>
  <c r="BI558" i="11"/>
  <c r="AH558" i="11"/>
  <c r="AU558" i="11"/>
  <c r="AV558" i="11"/>
  <c r="AI558" i="11"/>
  <c r="BN558" i="11"/>
  <c r="BO558" i="11"/>
  <c r="BQ558" i="11" s="1"/>
  <c r="BP558" i="11"/>
  <c r="W559" i="11"/>
  <c r="AN558" i="11"/>
  <c r="AO558" i="11"/>
  <c r="AP558" i="11"/>
  <c r="Y558" i="11"/>
  <c r="AA558" i="11"/>
  <c r="BB558" i="11"/>
  <c r="BD558" i="11" s="1"/>
  <c r="BC558" i="11"/>
  <c r="BA558" i="11"/>
  <c r="DM558" i="11"/>
  <c r="DN558" i="11"/>
  <c r="CZ558" i="11"/>
  <c r="DA558" i="11"/>
  <c r="DP558" i="11"/>
  <c r="DB558" i="11"/>
  <c r="DD558" i="11" s="1"/>
  <c r="DC558" i="11"/>
  <c r="CP558" i="11"/>
  <c r="CA558" i="11"/>
  <c r="BM558" i="11"/>
  <c r="CB558" i="11"/>
  <c r="CD558" i="11" s="1"/>
  <c r="AZ558" i="11"/>
  <c r="CC558" i="11"/>
  <c r="AM558" i="11"/>
  <c r="X558" i="11"/>
  <c r="CM558" i="11"/>
  <c r="CN558" i="11"/>
  <c r="CO558" i="11"/>
  <c r="BZ558" i="11"/>
  <c r="C560" i="11"/>
  <c r="A560" i="11" s="1"/>
  <c r="EB559" i="11" l="1"/>
  <c r="ED559" i="11" s="1"/>
  <c r="Z559" i="11"/>
  <c r="F559" i="11" s="1"/>
  <c r="BJ556" i="11"/>
  <c r="BL556" i="11" s="1"/>
  <c r="BG557" i="11"/>
  <c r="BK557" i="11" s="1"/>
  <c r="L558" i="11"/>
  <c r="M558" i="11"/>
  <c r="EE558" i="11"/>
  <c r="EG558" i="11" s="1"/>
  <c r="V525" i="12"/>
  <c r="W525" i="12" s="1"/>
  <c r="EC559" i="11"/>
  <c r="DZ559" i="11"/>
  <c r="EA559" i="11"/>
  <c r="EI559" i="11"/>
  <c r="EH559" i="11"/>
  <c r="M525" i="12"/>
  <c r="A526" i="12"/>
  <c r="N526" i="12" s="1"/>
  <c r="P559" i="11"/>
  <c r="BS557" i="11"/>
  <c r="DL555" i="11"/>
  <c r="AY555" i="11"/>
  <c r="DK556" i="11"/>
  <c r="DL556" i="11" s="1"/>
  <c r="DK557" i="11"/>
  <c r="BW557" i="11"/>
  <c r="E524" i="12"/>
  <c r="B560" i="11"/>
  <c r="B527" i="12"/>
  <c r="BY556" i="11"/>
  <c r="CL557" i="11"/>
  <c r="CY557" i="11"/>
  <c r="AC558" i="11"/>
  <c r="BF557" i="11"/>
  <c r="CJ558" i="11"/>
  <c r="CK558" i="11"/>
  <c r="CS558" i="11"/>
  <c r="CX558" i="11"/>
  <c r="CW558" i="11"/>
  <c r="DF557" i="11"/>
  <c r="CQ558" i="11"/>
  <c r="BR558" i="11"/>
  <c r="BT558" i="11" s="1"/>
  <c r="DE558" i="11"/>
  <c r="DG558" i="11" s="1"/>
  <c r="BE558" i="11"/>
  <c r="AB559" i="11"/>
  <c r="CF558" i="11"/>
  <c r="AW556" i="11"/>
  <c r="AX556" i="11"/>
  <c r="AS556" i="11"/>
  <c r="AQ558" i="11"/>
  <c r="AR558" i="11" s="1"/>
  <c r="AT558" i="11" s="1"/>
  <c r="CE559" i="11"/>
  <c r="CG559" i="11" s="1"/>
  <c r="DV559" i="11"/>
  <c r="DU559" i="11"/>
  <c r="DH559" i="11"/>
  <c r="DI559" i="11"/>
  <c r="CR559" i="11"/>
  <c r="CT559" i="11" s="1"/>
  <c r="CU559" i="11"/>
  <c r="CV559" i="11"/>
  <c r="CH559" i="11"/>
  <c r="CI559" i="11"/>
  <c r="BU559" i="11"/>
  <c r="BV559" i="11"/>
  <c r="BH559" i="11"/>
  <c r="BI559" i="11"/>
  <c r="AU559" i="11"/>
  <c r="AV559" i="11"/>
  <c r="AI559" i="11"/>
  <c r="AH559" i="11"/>
  <c r="BO559" i="11"/>
  <c r="BP559" i="11"/>
  <c r="BN559" i="11"/>
  <c r="W560" i="11"/>
  <c r="AN559" i="11"/>
  <c r="AP559" i="11"/>
  <c r="AO559" i="11"/>
  <c r="AA559" i="11"/>
  <c r="Y559" i="11"/>
  <c r="BC559" i="11"/>
  <c r="BB559" i="11"/>
  <c r="BD559" i="11" s="1"/>
  <c r="BA559" i="11"/>
  <c r="DP559" i="11"/>
  <c r="DB559" i="11"/>
  <c r="DC559" i="11"/>
  <c r="DM559" i="11"/>
  <c r="DN559" i="11"/>
  <c r="CZ559" i="11"/>
  <c r="CM559" i="11"/>
  <c r="BM559" i="11"/>
  <c r="DA559" i="11"/>
  <c r="CN559" i="11"/>
  <c r="AZ559" i="11"/>
  <c r="CO559" i="11"/>
  <c r="BZ559" i="11"/>
  <c r="AM559" i="11"/>
  <c r="CP559" i="11"/>
  <c r="CA559" i="11"/>
  <c r="X559" i="11"/>
  <c r="CB559" i="11"/>
  <c r="CD559" i="11" s="1"/>
  <c r="CC559" i="11"/>
  <c r="C561" i="11"/>
  <c r="A561" i="11" s="1"/>
  <c r="EB560" i="11" l="1"/>
  <c r="ED560" i="11" s="1"/>
  <c r="Z560" i="11"/>
  <c r="F560" i="11" s="1"/>
  <c r="BJ557" i="11"/>
  <c r="BG558" i="11"/>
  <c r="BJ558" i="11" s="1"/>
  <c r="M559" i="11"/>
  <c r="L559" i="11"/>
  <c r="EE559" i="11"/>
  <c r="EG559" i="11" s="1"/>
  <c r="EA560" i="11"/>
  <c r="EI560" i="11"/>
  <c r="DZ560" i="11"/>
  <c r="EH560" i="11"/>
  <c r="EC560" i="11"/>
  <c r="M526" i="12"/>
  <c r="V526" i="12"/>
  <c r="W526" i="12" s="1"/>
  <c r="A527" i="12"/>
  <c r="V527" i="12" s="1"/>
  <c r="P560" i="11"/>
  <c r="BF558" i="11"/>
  <c r="DF558" i="11"/>
  <c r="DJ558" i="11"/>
  <c r="BS558" i="11"/>
  <c r="BX557" i="11"/>
  <c r="BY557" i="11" s="1"/>
  <c r="DJ557" i="11"/>
  <c r="DL557" i="11" s="1"/>
  <c r="E525" i="12"/>
  <c r="B561" i="11"/>
  <c r="B528" i="12"/>
  <c r="CY558" i="11"/>
  <c r="AY556" i="11"/>
  <c r="CL558" i="11"/>
  <c r="BL557" i="11"/>
  <c r="AC559" i="11"/>
  <c r="CX559" i="11"/>
  <c r="CW559" i="11"/>
  <c r="CS559" i="11"/>
  <c r="CK559" i="11"/>
  <c r="CJ559" i="11"/>
  <c r="AB560" i="11"/>
  <c r="CF559" i="11"/>
  <c r="CQ559" i="11"/>
  <c r="AX557" i="11"/>
  <c r="AW557" i="11"/>
  <c r="AS557" i="11"/>
  <c r="DD559" i="11"/>
  <c r="DE559" i="11" s="1"/>
  <c r="DG559" i="11" s="1"/>
  <c r="BE559" i="11"/>
  <c r="BQ559" i="11"/>
  <c r="BR559" i="11" s="1"/>
  <c r="BT559" i="11" s="1"/>
  <c r="AQ559" i="11"/>
  <c r="AR559" i="11" s="1"/>
  <c r="AT559" i="11" s="1"/>
  <c r="CE560" i="11"/>
  <c r="CG560" i="11" s="1"/>
  <c r="DU560" i="11"/>
  <c r="DV560" i="11"/>
  <c r="DH560" i="11"/>
  <c r="DI560" i="11"/>
  <c r="CR560" i="11"/>
  <c r="CT560" i="11" s="1"/>
  <c r="CV560" i="11"/>
  <c r="CU560" i="11"/>
  <c r="CH560" i="11"/>
  <c r="CI560" i="11"/>
  <c r="BU560" i="11"/>
  <c r="BV560" i="11"/>
  <c r="BH560" i="11"/>
  <c r="AV560" i="11"/>
  <c r="BI560" i="11"/>
  <c r="AH560" i="11"/>
  <c r="AI560" i="11"/>
  <c r="AU560" i="11"/>
  <c r="BN560" i="11"/>
  <c r="BP560" i="11"/>
  <c r="BO560" i="11"/>
  <c r="BQ560" i="11" s="1"/>
  <c r="W561" i="11"/>
  <c r="AO560" i="11"/>
  <c r="AP560" i="11"/>
  <c r="AN560" i="11"/>
  <c r="Y560" i="11"/>
  <c r="AA560" i="11"/>
  <c r="BA560" i="11"/>
  <c r="BC560" i="11"/>
  <c r="BB560" i="11"/>
  <c r="BD560" i="11" s="1"/>
  <c r="DM560" i="11"/>
  <c r="DN560" i="11"/>
  <c r="CZ560" i="11"/>
  <c r="DA560" i="11"/>
  <c r="DP560" i="11"/>
  <c r="DB560" i="11"/>
  <c r="CP560" i="11"/>
  <c r="CA560" i="11"/>
  <c r="CB560" i="11"/>
  <c r="CC560" i="11"/>
  <c r="BM560" i="11"/>
  <c r="DC560" i="11"/>
  <c r="AZ560" i="11"/>
  <c r="AM560" i="11"/>
  <c r="CM560" i="11"/>
  <c r="CN560" i="11"/>
  <c r="CO560" i="11"/>
  <c r="BZ560" i="11"/>
  <c r="X560" i="11"/>
  <c r="C562" i="11"/>
  <c r="A562" i="11" s="1"/>
  <c r="EB561" i="11" l="1"/>
  <c r="ED561" i="11" s="1"/>
  <c r="Z561" i="11"/>
  <c r="F561" i="11" s="1"/>
  <c r="BG559" i="11"/>
  <c r="BK559" i="11" s="1"/>
  <c r="M560" i="11"/>
  <c r="L560" i="11"/>
  <c r="EH561" i="11"/>
  <c r="EA561" i="11"/>
  <c r="EI561" i="11"/>
  <c r="EC561" i="11"/>
  <c r="DZ561" i="11"/>
  <c r="N527" i="12"/>
  <c r="W527" i="12"/>
  <c r="EE560" i="11"/>
  <c r="EG560" i="11" s="1"/>
  <c r="M527" i="12"/>
  <c r="A528" i="12"/>
  <c r="V528" i="12" s="1"/>
  <c r="W528" i="12" s="1"/>
  <c r="P561" i="11"/>
  <c r="DK558" i="11"/>
  <c r="DL558" i="11" s="1"/>
  <c r="AX559" i="11"/>
  <c r="DK559" i="11"/>
  <c r="BX558" i="11"/>
  <c r="BW558" i="11"/>
  <c r="BK558" i="11"/>
  <c r="BL558" i="11" s="1"/>
  <c r="E526" i="12"/>
  <c r="B562" i="11"/>
  <c r="B529" i="12"/>
  <c r="AC560" i="11"/>
  <c r="AY557" i="11"/>
  <c r="CL559" i="11"/>
  <c r="CY559" i="11"/>
  <c r="CQ560" i="11"/>
  <c r="CF560" i="11"/>
  <c r="DF559" i="11"/>
  <c r="CJ560" i="11"/>
  <c r="CK560" i="11"/>
  <c r="CW560" i="11"/>
  <c r="CX560" i="11"/>
  <c r="BX559" i="11"/>
  <c r="BW559" i="11"/>
  <c r="BS559" i="11"/>
  <c r="AB561" i="11"/>
  <c r="BR560" i="11"/>
  <c r="BT560" i="11" s="1"/>
  <c r="CS560" i="11"/>
  <c r="BE560" i="11"/>
  <c r="DD560" i="11"/>
  <c r="DE560" i="11" s="1"/>
  <c r="DG560" i="11" s="1"/>
  <c r="BS560" i="11"/>
  <c r="AW558" i="11"/>
  <c r="AX558" i="11"/>
  <c r="AS558" i="11"/>
  <c r="CD560" i="11"/>
  <c r="BF559" i="11"/>
  <c r="AQ560" i="11"/>
  <c r="AR560" i="11" s="1"/>
  <c r="AT560" i="11" s="1"/>
  <c r="CE561" i="11"/>
  <c r="CG561" i="11" s="1"/>
  <c r="DV561" i="11"/>
  <c r="DU561" i="11"/>
  <c r="DH561" i="11"/>
  <c r="DI561" i="11"/>
  <c r="CR561" i="11"/>
  <c r="CT561" i="11" s="1"/>
  <c r="CU561" i="11"/>
  <c r="CV561" i="11"/>
  <c r="CH561" i="11"/>
  <c r="CI561" i="11"/>
  <c r="BU561" i="11"/>
  <c r="BV561" i="11"/>
  <c r="BI561" i="11"/>
  <c r="AU561" i="11"/>
  <c r="AV561" i="11"/>
  <c r="BH561" i="11"/>
  <c r="AH561" i="11"/>
  <c r="AI561" i="11"/>
  <c r="BN561" i="11"/>
  <c r="BO561" i="11"/>
  <c r="BP561" i="11"/>
  <c r="W562" i="11"/>
  <c r="AN561" i="11"/>
  <c r="AO561" i="11"/>
  <c r="AP561" i="11"/>
  <c r="Y561" i="11"/>
  <c r="AA561" i="11"/>
  <c r="BB561" i="11"/>
  <c r="BD561" i="11" s="1"/>
  <c r="BC561" i="11"/>
  <c r="BA561" i="11"/>
  <c r="DP561" i="11"/>
  <c r="DB561" i="11"/>
  <c r="DC561" i="11"/>
  <c r="DM561" i="11"/>
  <c r="DN561" i="11"/>
  <c r="CM561" i="11"/>
  <c r="CN561" i="11"/>
  <c r="CO561" i="11"/>
  <c r="BZ561" i="11"/>
  <c r="BM561" i="11"/>
  <c r="CZ561" i="11"/>
  <c r="CP561" i="11"/>
  <c r="CA561" i="11"/>
  <c r="AZ561" i="11"/>
  <c r="DA561" i="11"/>
  <c r="CB561" i="11"/>
  <c r="CC561" i="11"/>
  <c r="AM561" i="11"/>
  <c r="X561" i="11"/>
  <c r="C563" i="11"/>
  <c r="A563" i="11" s="1"/>
  <c r="EB562" i="11" l="1"/>
  <c r="Z562" i="11"/>
  <c r="F562" i="11" s="1"/>
  <c r="BG560" i="11"/>
  <c r="N528" i="12"/>
  <c r="M561" i="11"/>
  <c r="L561" i="11"/>
  <c r="EH562" i="11"/>
  <c r="ED562" i="11"/>
  <c r="EI562" i="11"/>
  <c r="EA562" i="11"/>
  <c r="EC562" i="11"/>
  <c r="DZ562" i="11"/>
  <c r="EE561" i="11"/>
  <c r="EG561" i="11" s="1"/>
  <c r="M528" i="12"/>
  <c r="A529" i="12"/>
  <c r="V529" i="12" s="1"/>
  <c r="W529" i="12" s="1"/>
  <c r="P562" i="11"/>
  <c r="DJ560" i="11"/>
  <c r="AW559" i="11"/>
  <c r="AY559" i="11" s="1"/>
  <c r="BY558" i="11"/>
  <c r="BJ559" i="11"/>
  <c r="BL559" i="11" s="1"/>
  <c r="AX560" i="11"/>
  <c r="DJ559" i="11"/>
  <c r="DL559" i="11" s="1"/>
  <c r="AS559" i="11"/>
  <c r="BK560" i="11"/>
  <c r="E527" i="12"/>
  <c r="B563" i="11"/>
  <c r="B530" i="12"/>
  <c r="AC561" i="11"/>
  <c r="CL560" i="11"/>
  <c r="AY558" i="11"/>
  <c r="BY559" i="11"/>
  <c r="CY560" i="11"/>
  <c r="CD561" i="11"/>
  <c r="CQ561" i="11"/>
  <c r="CJ561" i="11"/>
  <c r="CK561" i="11"/>
  <c r="DF560" i="11"/>
  <c r="DK560" i="11"/>
  <c r="BF560" i="11"/>
  <c r="CF561" i="11"/>
  <c r="CS561" i="11"/>
  <c r="DD561" i="11"/>
  <c r="DE561" i="11" s="1"/>
  <c r="DG561" i="11" s="1"/>
  <c r="BQ561" i="11"/>
  <c r="BR561" i="11" s="1"/>
  <c r="BT561" i="11" s="1"/>
  <c r="AB562" i="11"/>
  <c r="BX560" i="11"/>
  <c r="BW560" i="11"/>
  <c r="BE561" i="11"/>
  <c r="AQ561" i="11"/>
  <c r="AR561" i="11" s="1"/>
  <c r="AT561" i="11" s="1"/>
  <c r="CE562" i="11"/>
  <c r="CG562" i="11" s="1"/>
  <c r="DU562" i="11"/>
  <c r="DV562" i="11"/>
  <c r="DI562" i="11"/>
  <c r="DH562" i="11"/>
  <c r="CR562" i="11"/>
  <c r="CT562" i="11" s="1"/>
  <c r="CU562" i="11"/>
  <c r="CV562" i="11"/>
  <c r="CI562" i="11"/>
  <c r="CH562" i="11"/>
  <c r="BU562" i="11"/>
  <c r="BV562" i="11"/>
  <c r="BI562" i="11"/>
  <c r="BH562" i="11"/>
  <c r="AU562" i="11"/>
  <c r="AV562" i="11"/>
  <c r="AH562" i="11"/>
  <c r="AI562" i="11"/>
  <c r="BN562" i="11"/>
  <c r="BO562" i="11"/>
  <c r="BP562" i="11"/>
  <c r="AO562" i="11"/>
  <c r="AN562" i="11"/>
  <c r="AA562" i="11"/>
  <c r="AP562" i="11"/>
  <c r="Y562" i="11"/>
  <c r="BB562" i="11"/>
  <c r="BD562" i="11" s="1"/>
  <c r="BA562" i="11"/>
  <c r="BC562" i="11"/>
  <c r="DM562" i="11"/>
  <c r="DN562" i="11"/>
  <c r="CZ562" i="11"/>
  <c r="DA562" i="11"/>
  <c r="DP562" i="11"/>
  <c r="DB562" i="11"/>
  <c r="DD562" i="11" s="1"/>
  <c r="CP562" i="11"/>
  <c r="CA562" i="11"/>
  <c r="CB562" i="11"/>
  <c r="CC562" i="11"/>
  <c r="BM562" i="11"/>
  <c r="CM562" i="11"/>
  <c r="AZ562" i="11"/>
  <c r="DC562" i="11"/>
  <c r="CN562" i="11"/>
  <c r="CO562" i="11"/>
  <c r="CQ562" i="11" s="1"/>
  <c r="BZ562" i="11"/>
  <c r="X562" i="11"/>
  <c r="AM562" i="11"/>
  <c r="W563" i="11"/>
  <c r="C564" i="11"/>
  <c r="A564" i="11" s="1"/>
  <c r="EB563" i="11" l="1"/>
  <c r="ED563" i="11" s="1"/>
  <c r="Z563" i="11"/>
  <c r="F563" i="11" s="1"/>
  <c r="BG561" i="11"/>
  <c r="BK561" i="11" s="1"/>
  <c r="L562" i="11"/>
  <c r="M562" i="11"/>
  <c r="N529" i="12"/>
  <c r="M529" i="12"/>
  <c r="EE562" i="11"/>
  <c r="EG562" i="11" s="1"/>
  <c r="EC563" i="11"/>
  <c r="DZ563" i="11"/>
  <c r="EI563" i="11"/>
  <c r="EA563" i="11"/>
  <c r="EH563" i="11"/>
  <c r="A530" i="12"/>
  <c r="N530" i="12" s="1"/>
  <c r="P563" i="11"/>
  <c r="BS561" i="11"/>
  <c r="BJ560" i="11"/>
  <c r="BL560" i="11" s="1"/>
  <c r="AW560" i="11"/>
  <c r="AY560" i="11" s="1"/>
  <c r="CW562" i="11"/>
  <c r="AS560" i="11"/>
  <c r="CX561" i="11"/>
  <c r="CW561" i="11"/>
  <c r="BW561" i="11"/>
  <c r="E528" i="12"/>
  <c r="BY560" i="11"/>
  <c r="B564" i="11"/>
  <c r="B531" i="12"/>
  <c r="CL561" i="11"/>
  <c r="DL560" i="11"/>
  <c r="AC562" i="11"/>
  <c r="CJ562" i="11"/>
  <c r="CK562" i="11"/>
  <c r="CF562" i="11"/>
  <c r="DK561" i="11"/>
  <c r="DF561" i="11"/>
  <c r="DJ561" i="11"/>
  <c r="BF561" i="11"/>
  <c r="BQ562" i="11"/>
  <c r="BR562" i="11" s="1"/>
  <c r="BT562" i="11" s="1"/>
  <c r="BE562" i="11"/>
  <c r="DE562" i="11"/>
  <c r="DG562" i="11" s="1"/>
  <c r="AB563" i="11"/>
  <c r="CD562" i="11"/>
  <c r="CS562" i="11"/>
  <c r="AQ562" i="11"/>
  <c r="AR562" i="11" s="1"/>
  <c r="AT562" i="11" s="1"/>
  <c r="CE563" i="11"/>
  <c r="CG563" i="11" s="1"/>
  <c r="DV563" i="11"/>
  <c r="DU563" i="11"/>
  <c r="DH563" i="11"/>
  <c r="DI563" i="11"/>
  <c r="CV563" i="11"/>
  <c r="CR563" i="11"/>
  <c r="CT563" i="11" s="1"/>
  <c r="CU563" i="11"/>
  <c r="CH563" i="11"/>
  <c r="CI563" i="11"/>
  <c r="BV563" i="11"/>
  <c r="BU563" i="11"/>
  <c r="BH563" i="11"/>
  <c r="BI563" i="11"/>
  <c r="AU563" i="11"/>
  <c r="AV563" i="11"/>
  <c r="AH563" i="11"/>
  <c r="AI563" i="11"/>
  <c r="BO563" i="11"/>
  <c r="BP563" i="11"/>
  <c r="BN563" i="11"/>
  <c r="W564" i="11"/>
  <c r="AN563" i="11"/>
  <c r="AO563" i="11"/>
  <c r="AP563" i="11"/>
  <c r="Y563" i="11"/>
  <c r="AA563" i="11"/>
  <c r="BB563" i="11"/>
  <c r="BD563" i="11" s="1"/>
  <c r="BC563" i="11"/>
  <c r="BA563" i="11"/>
  <c r="DP563" i="11"/>
  <c r="DB563" i="11"/>
  <c r="DD563" i="11" s="1"/>
  <c r="DC563" i="11"/>
  <c r="DM563" i="11"/>
  <c r="DN563" i="11"/>
  <c r="DA563" i="11"/>
  <c r="X563" i="11"/>
  <c r="CM563" i="11"/>
  <c r="CN563" i="11"/>
  <c r="CO563" i="11"/>
  <c r="CQ563" i="11" s="1"/>
  <c r="BZ563" i="11"/>
  <c r="CP563" i="11"/>
  <c r="CA563" i="11"/>
  <c r="CB563" i="11"/>
  <c r="CF563" i="11" s="1"/>
  <c r="BM563" i="11"/>
  <c r="CC563" i="11"/>
  <c r="AZ563" i="11"/>
  <c r="CZ563" i="11"/>
  <c r="AM563" i="11"/>
  <c r="C565" i="11"/>
  <c r="A565" i="11" s="1"/>
  <c r="Z564" i="11" l="1"/>
  <c r="F564" i="11" s="1"/>
  <c r="EB564" i="11"/>
  <c r="ED564" i="11" s="1"/>
  <c r="BG562" i="11"/>
  <c r="BK562" i="11" s="1"/>
  <c r="M563" i="11"/>
  <c r="L563" i="11"/>
  <c r="M530" i="12"/>
  <c r="V530" i="12"/>
  <c r="W530" i="12" s="1"/>
  <c r="EE563" i="11"/>
  <c r="EG563" i="11" s="1"/>
  <c r="EA564" i="11"/>
  <c r="EI564" i="11"/>
  <c r="EC564" i="11"/>
  <c r="EH564" i="11"/>
  <c r="DZ564" i="11"/>
  <c r="A531" i="12"/>
  <c r="N531" i="12" s="1"/>
  <c r="P564" i="11"/>
  <c r="BF562" i="11"/>
  <c r="BS562" i="11"/>
  <c r="BJ561" i="11"/>
  <c r="BL561" i="11" s="1"/>
  <c r="CX562" i="11"/>
  <c r="CY562" i="11" s="1"/>
  <c r="BX561" i="11"/>
  <c r="BY561" i="11" s="1"/>
  <c r="CY561" i="11"/>
  <c r="BX562" i="11"/>
  <c r="CX563" i="11"/>
  <c r="CK563" i="11"/>
  <c r="E529" i="12"/>
  <c r="B565" i="11"/>
  <c r="B532" i="12"/>
  <c r="AC563" i="11"/>
  <c r="DL561" i="11"/>
  <c r="CS563" i="11"/>
  <c r="CL562" i="11"/>
  <c r="BE563" i="11"/>
  <c r="BQ563" i="11"/>
  <c r="BR563" i="11" s="1"/>
  <c r="BT563" i="11" s="1"/>
  <c r="AB564" i="11"/>
  <c r="DJ562" i="11"/>
  <c r="DK562" i="11"/>
  <c r="DF562" i="11"/>
  <c r="CD563" i="11"/>
  <c r="DE563" i="11"/>
  <c r="DG563" i="11" s="1"/>
  <c r="AW561" i="11"/>
  <c r="AX561" i="11"/>
  <c r="AS561" i="11"/>
  <c r="AQ563" i="11"/>
  <c r="AR563" i="11" s="1"/>
  <c r="AT563" i="11" s="1"/>
  <c r="CE564" i="11"/>
  <c r="CG564" i="11" s="1"/>
  <c r="DU564" i="11"/>
  <c r="DV564" i="11"/>
  <c r="DI564" i="11"/>
  <c r="DH564" i="11"/>
  <c r="CU564" i="11"/>
  <c r="CR564" i="11"/>
  <c r="CT564" i="11" s="1"/>
  <c r="CV564" i="11"/>
  <c r="CH564" i="11"/>
  <c r="CI564" i="11"/>
  <c r="BU564" i="11"/>
  <c r="BV564" i="11"/>
  <c r="BH564" i="11"/>
  <c r="BI564" i="11"/>
  <c r="AU564" i="11"/>
  <c r="AV564" i="11"/>
  <c r="AH564" i="11"/>
  <c r="AI564" i="11"/>
  <c r="BP564" i="11"/>
  <c r="BN564" i="11"/>
  <c r="BO564" i="11"/>
  <c r="AN564" i="11"/>
  <c r="AO564" i="11"/>
  <c r="AP564" i="11"/>
  <c r="Y564" i="11"/>
  <c r="AA564" i="11"/>
  <c r="BB564" i="11"/>
  <c r="BD564" i="11" s="1"/>
  <c r="BC564" i="11"/>
  <c r="BA564" i="11"/>
  <c r="DM564" i="11"/>
  <c r="DN564" i="11"/>
  <c r="CZ564" i="11"/>
  <c r="DA564" i="11"/>
  <c r="DP564" i="11"/>
  <c r="DB564" i="11"/>
  <c r="DD564" i="11" s="1"/>
  <c r="CP564" i="11"/>
  <c r="CA564" i="11"/>
  <c r="AM564" i="11"/>
  <c r="DC564" i="11"/>
  <c r="CB564" i="11"/>
  <c r="CD564" i="11" s="1"/>
  <c r="X564" i="11"/>
  <c r="CC564" i="11"/>
  <c r="CM564" i="11"/>
  <c r="CN564" i="11"/>
  <c r="BM564" i="11"/>
  <c r="CO564" i="11"/>
  <c r="CQ564" i="11" s="1"/>
  <c r="BZ564" i="11"/>
  <c r="AZ564" i="11"/>
  <c r="W565" i="11"/>
  <c r="C566" i="11"/>
  <c r="A566" i="11" s="1"/>
  <c r="EB565" i="11" l="1"/>
  <c r="ED565" i="11" s="1"/>
  <c r="Z565" i="11"/>
  <c r="F565" i="11" s="1"/>
  <c r="BG563" i="11"/>
  <c r="BK563" i="11" s="1"/>
  <c r="M564" i="11"/>
  <c r="L564" i="11"/>
  <c r="M531" i="12"/>
  <c r="V531" i="12"/>
  <c r="W531" i="12" s="1"/>
  <c r="EI565" i="11"/>
  <c r="EC565" i="11"/>
  <c r="EA565" i="11"/>
  <c r="EH565" i="11"/>
  <c r="DZ565" i="11"/>
  <c r="EE564" i="11"/>
  <c r="EG564" i="11" s="1"/>
  <c r="A532" i="12"/>
  <c r="N532" i="12" s="1"/>
  <c r="P565" i="11"/>
  <c r="BF563" i="11"/>
  <c r="BS563" i="11"/>
  <c r="BW563" i="11"/>
  <c r="BW562" i="11"/>
  <c r="BY562" i="11" s="1"/>
  <c r="CJ563" i="11"/>
  <c r="CL563" i="11" s="1"/>
  <c r="BJ562" i="11"/>
  <c r="BL562" i="11" s="1"/>
  <c r="AX563" i="11"/>
  <c r="CX564" i="11"/>
  <c r="CW563" i="11"/>
  <c r="CY563" i="11" s="1"/>
  <c r="E530" i="12"/>
  <c r="B566" i="11"/>
  <c r="B533" i="12"/>
  <c r="AY561" i="11"/>
  <c r="CS564" i="11"/>
  <c r="DL562" i="11"/>
  <c r="AC564" i="11"/>
  <c r="DE564" i="11"/>
  <c r="DG564" i="11" s="1"/>
  <c r="BQ564" i="11"/>
  <c r="BR564" i="11" s="1"/>
  <c r="BT564" i="11" s="1"/>
  <c r="BE564" i="11"/>
  <c r="AB565" i="11"/>
  <c r="CF564" i="11"/>
  <c r="DK563" i="11"/>
  <c r="DF563" i="11"/>
  <c r="DJ563" i="11"/>
  <c r="AW562" i="11"/>
  <c r="AX562" i="11"/>
  <c r="AS562" i="11"/>
  <c r="AQ564" i="11"/>
  <c r="AR564" i="11" s="1"/>
  <c r="AT564" i="11" s="1"/>
  <c r="CE565" i="11"/>
  <c r="CG565" i="11" s="1"/>
  <c r="DV565" i="11"/>
  <c r="DU565" i="11"/>
  <c r="DI565" i="11"/>
  <c r="DH565" i="11"/>
  <c r="CU565" i="11"/>
  <c r="CV565" i="11"/>
  <c r="CR565" i="11"/>
  <c r="CT565" i="11" s="1"/>
  <c r="CH565" i="11"/>
  <c r="CI565" i="11"/>
  <c r="BU565" i="11"/>
  <c r="BV565" i="11"/>
  <c r="BH565" i="11"/>
  <c r="BI565" i="11"/>
  <c r="AU565" i="11"/>
  <c r="AI565" i="11"/>
  <c r="AV565" i="11"/>
  <c r="AH565" i="11"/>
  <c r="BN565" i="11"/>
  <c r="BO565" i="11"/>
  <c r="BQ565" i="11" s="1"/>
  <c r="BP565" i="11"/>
  <c r="W566" i="11"/>
  <c r="AP565" i="11"/>
  <c r="AN565" i="11"/>
  <c r="AO565" i="11"/>
  <c r="Y565" i="11"/>
  <c r="AA565" i="11"/>
  <c r="BA565" i="11"/>
  <c r="BC565" i="11"/>
  <c r="BB565" i="11"/>
  <c r="BD565" i="11" s="1"/>
  <c r="DP565" i="11"/>
  <c r="DB565" i="11"/>
  <c r="DC565" i="11"/>
  <c r="DM565" i="11"/>
  <c r="DN565" i="11"/>
  <c r="AZ565" i="11"/>
  <c r="CM565" i="11"/>
  <c r="AM565" i="11"/>
  <c r="CZ565" i="11"/>
  <c r="CN565" i="11"/>
  <c r="X565" i="11"/>
  <c r="DA565" i="11"/>
  <c r="CO565" i="11"/>
  <c r="BZ565" i="11"/>
  <c r="CP565" i="11"/>
  <c r="CA565" i="11"/>
  <c r="CB565" i="11"/>
  <c r="CC565" i="11"/>
  <c r="BM565" i="11"/>
  <c r="C567" i="11"/>
  <c r="A567" i="11" s="1"/>
  <c r="EB566" i="11" l="1"/>
  <c r="Z566" i="11"/>
  <c r="F566" i="11" s="1"/>
  <c r="BG564" i="11"/>
  <c r="BF564" i="11" s="1"/>
  <c r="L565" i="11"/>
  <c r="M565" i="11"/>
  <c r="EI566" i="11"/>
  <c r="EC566" i="11"/>
  <c r="EH566" i="11"/>
  <c r="ED566" i="11"/>
  <c r="EA566" i="11"/>
  <c r="DZ566" i="11"/>
  <c r="V532" i="12"/>
  <c r="W532" i="12" s="1"/>
  <c r="M532" i="12"/>
  <c r="EE565" i="11"/>
  <c r="EG565" i="11" s="1"/>
  <c r="A533" i="12"/>
  <c r="M533" i="12" s="1"/>
  <c r="P566" i="11"/>
  <c r="DF564" i="11"/>
  <c r="DK564" i="11"/>
  <c r="BX563" i="11"/>
  <c r="BY563" i="11" s="1"/>
  <c r="CW564" i="11"/>
  <c r="CY564" i="11" s="1"/>
  <c r="AW563" i="11"/>
  <c r="AY563" i="11" s="1"/>
  <c r="AS563" i="11"/>
  <c r="BJ563" i="11"/>
  <c r="BL563" i="11" s="1"/>
  <c r="CK565" i="11"/>
  <c r="BW564" i="11"/>
  <c r="CW565" i="11"/>
  <c r="CK564" i="11"/>
  <c r="CJ564" i="11"/>
  <c r="E531" i="12"/>
  <c r="B567" i="11"/>
  <c r="B534" i="12"/>
  <c r="CF565" i="11"/>
  <c r="DL563" i="11"/>
  <c r="AY562" i="11"/>
  <c r="AC565" i="11"/>
  <c r="CD565" i="11"/>
  <c r="CS565" i="11"/>
  <c r="BS564" i="11"/>
  <c r="DD565" i="11"/>
  <c r="DE565" i="11" s="1"/>
  <c r="DG565" i="11" s="1"/>
  <c r="AB566" i="11"/>
  <c r="BR565" i="11"/>
  <c r="BT565" i="11" s="1"/>
  <c r="CQ565" i="11"/>
  <c r="BE565" i="11"/>
  <c r="AQ565" i="11"/>
  <c r="AR565" i="11" s="1"/>
  <c r="AT565" i="11" s="1"/>
  <c r="CE566" i="11"/>
  <c r="CG566" i="11" s="1"/>
  <c r="DV566" i="11"/>
  <c r="DU566" i="11"/>
  <c r="DH566" i="11"/>
  <c r="DI566" i="11"/>
  <c r="CV566" i="11"/>
  <c r="CU566" i="11"/>
  <c r="CR566" i="11"/>
  <c r="CT566" i="11" s="1"/>
  <c r="CI566" i="11"/>
  <c r="CH566" i="11"/>
  <c r="BU566" i="11"/>
  <c r="BV566" i="11"/>
  <c r="BH566" i="11"/>
  <c r="BI566" i="11"/>
  <c r="AV566" i="11"/>
  <c r="AH566" i="11"/>
  <c r="AI566" i="11"/>
  <c r="AU566" i="11"/>
  <c r="BN566" i="11"/>
  <c r="BO566" i="11"/>
  <c r="BP566" i="11"/>
  <c r="AN566" i="11"/>
  <c r="AO566" i="11"/>
  <c r="AP566" i="11"/>
  <c r="Y566" i="11"/>
  <c r="AA566" i="11"/>
  <c r="BA566" i="11"/>
  <c r="BB566" i="11"/>
  <c r="BD566" i="11" s="1"/>
  <c r="BC566" i="11"/>
  <c r="DM566" i="11"/>
  <c r="DN566" i="11"/>
  <c r="CZ566" i="11"/>
  <c r="DA566" i="11"/>
  <c r="DP566" i="11"/>
  <c r="DB566" i="11"/>
  <c r="CP566" i="11"/>
  <c r="CA566" i="11"/>
  <c r="BM566" i="11"/>
  <c r="CB566" i="11"/>
  <c r="AZ566" i="11"/>
  <c r="CC566" i="11"/>
  <c r="AM566" i="11"/>
  <c r="X566" i="11"/>
  <c r="DC566" i="11"/>
  <c r="CM566" i="11"/>
  <c r="CN566" i="11"/>
  <c r="CO566" i="11"/>
  <c r="BZ566" i="11"/>
  <c r="W567" i="11"/>
  <c r="C568" i="11"/>
  <c r="A568" i="11" s="1"/>
  <c r="EB567" i="11" l="1"/>
  <c r="ED567" i="11" s="1"/>
  <c r="Z567" i="11"/>
  <c r="F567" i="11" s="1"/>
  <c r="BK564" i="11"/>
  <c r="BG565" i="11"/>
  <c r="BK565" i="11" s="1"/>
  <c r="M566" i="11"/>
  <c r="L566" i="11"/>
  <c r="EE566" i="11"/>
  <c r="EG566" i="11" s="1"/>
  <c r="V533" i="12"/>
  <c r="W533" i="12" s="1"/>
  <c r="EA567" i="11"/>
  <c r="EH567" i="11"/>
  <c r="EI567" i="11"/>
  <c r="EC567" i="11"/>
  <c r="DZ567" i="11"/>
  <c r="N533" i="12"/>
  <c r="A534" i="12"/>
  <c r="V534" i="12" s="1"/>
  <c r="W534" i="12" s="1"/>
  <c r="P567" i="11"/>
  <c r="BS565" i="11"/>
  <c r="BF565" i="11"/>
  <c r="CJ565" i="11"/>
  <c r="CL565" i="11" s="1"/>
  <c r="BX564" i="11"/>
  <c r="BY564" i="11" s="1"/>
  <c r="DJ564" i="11"/>
  <c r="DL564" i="11" s="1"/>
  <c r="CX565" i="11"/>
  <c r="CY565" i="11" s="1"/>
  <c r="BJ564" i="11"/>
  <c r="BL564" i="11" s="1"/>
  <c r="CL564" i="11"/>
  <c r="CX566" i="11"/>
  <c r="BX565" i="11"/>
  <c r="CJ566" i="11"/>
  <c r="E532" i="12"/>
  <c r="B568" i="11"/>
  <c r="B535" i="12"/>
  <c r="AC566" i="11"/>
  <c r="CF566" i="11"/>
  <c r="DF565" i="11"/>
  <c r="CS566" i="11"/>
  <c r="CQ566" i="11"/>
  <c r="CD566" i="11"/>
  <c r="AB567" i="11"/>
  <c r="BE566" i="11"/>
  <c r="DD566" i="11"/>
  <c r="DE566" i="11" s="1"/>
  <c r="DG566" i="11" s="1"/>
  <c r="BQ566" i="11"/>
  <c r="BR566" i="11" s="1"/>
  <c r="BT566" i="11" s="1"/>
  <c r="AW564" i="11"/>
  <c r="AX564" i="11"/>
  <c r="AS564" i="11"/>
  <c r="AQ566" i="11"/>
  <c r="AR566" i="11" s="1"/>
  <c r="AT566" i="11" s="1"/>
  <c r="CE567" i="11"/>
  <c r="CG567" i="11" s="1"/>
  <c r="DV567" i="11"/>
  <c r="DU567" i="11"/>
  <c r="DH567" i="11"/>
  <c r="DI567" i="11"/>
  <c r="CR567" i="11"/>
  <c r="CT567" i="11" s="1"/>
  <c r="CU567" i="11"/>
  <c r="CV567" i="11"/>
  <c r="CH567" i="11"/>
  <c r="CI567" i="11"/>
  <c r="BU567" i="11"/>
  <c r="BV567" i="11"/>
  <c r="BH567" i="11"/>
  <c r="BI567" i="11"/>
  <c r="AI567" i="11"/>
  <c r="AU567" i="11"/>
  <c r="AV567" i="11"/>
  <c r="AH567" i="11"/>
  <c r="BO567" i="11"/>
  <c r="BQ567" i="11" s="1"/>
  <c r="BP567" i="11"/>
  <c r="BN567" i="11"/>
  <c r="W568" i="11"/>
  <c r="AN567" i="11"/>
  <c r="AP567" i="11"/>
  <c r="AO567" i="11"/>
  <c r="AA567" i="11"/>
  <c r="Y567" i="11"/>
  <c r="BC567" i="11"/>
  <c r="BB567" i="11"/>
  <c r="BD567" i="11" s="1"/>
  <c r="BA567" i="11"/>
  <c r="DP567" i="11"/>
  <c r="DB567" i="11"/>
  <c r="DC567" i="11"/>
  <c r="DM567" i="11"/>
  <c r="DN567" i="11"/>
  <c r="CM567" i="11"/>
  <c r="BM567" i="11"/>
  <c r="CN567" i="11"/>
  <c r="AZ567" i="11"/>
  <c r="CO567" i="11"/>
  <c r="BZ567" i="11"/>
  <c r="AM567" i="11"/>
  <c r="CP567" i="11"/>
  <c r="CA567" i="11"/>
  <c r="X567" i="11"/>
  <c r="CZ567" i="11"/>
  <c r="CB567" i="11"/>
  <c r="DA567" i="11"/>
  <c r="CC567" i="11"/>
  <c r="C569" i="11"/>
  <c r="A569" i="11" s="1"/>
  <c r="EB568" i="11" l="1"/>
  <c r="Z568" i="11"/>
  <c r="F568" i="11" s="1"/>
  <c r="BG566" i="11"/>
  <c r="BK566" i="11" s="1"/>
  <c r="N534" i="12"/>
  <c r="M567" i="11"/>
  <c r="L567" i="11"/>
  <c r="EE567" i="11"/>
  <c r="EG567" i="11" s="1"/>
  <c r="EA568" i="11"/>
  <c r="ED568" i="11"/>
  <c r="EH568" i="11"/>
  <c r="EC568" i="11"/>
  <c r="EI568" i="11"/>
  <c r="DZ568" i="11"/>
  <c r="M534" i="12"/>
  <c r="A535" i="12"/>
  <c r="M535" i="12" s="1"/>
  <c r="P568" i="11"/>
  <c r="BF566" i="11"/>
  <c r="CW566" i="11"/>
  <c r="CY566" i="11" s="1"/>
  <c r="BJ565" i="11"/>
  <c r="BL565" i="11" s="1"/>
  <c r="DK566" i="11"/>
  <c r="BW565" i="11"/>
  <c r="BY565" i="11" s="1"/>
  <c r="CK566" i="11"/>
  <c r="CL566" i="11" s="1"/>
  <c r="BX566" i="11"/>
  <c r="CX567" i="11"/>
  <c r="DK565" i="11"/>
  <c r="DJ565" i="11"/>
  <c r="CK567" i="11"/>
  <c r="E533" i="12"/>
  <c r="B569" i="11"/>
  <c r="B536" i="12"/>
  <c r="AY564" i="11"/>
  <c r="AC567" i="11"/>
  <c r="CD567" i="11"/>
  <c r="BS566" i="11"/>
  <c r="CS567" i="11"/>
  <c r="BR567" i="11"/>
  <c r="BT567" i="11" s="1"/>
  <c r="BE567" i="11"/>
  <c r="DD567" i="11"/>
  <c r="DE567" i="11" s="1"/>
  <c r="DG567" i="11" s="1"/>
  <c r="CQ567" i="11"/>
  <c r="AB568" i="11"/>
  <c r="BS567" i="11"/>
  <c r="AW565" i="11"/>
  <c r="AX565" i="11"/>
  <c r="AS565" i="11"/>
  <c r="DJ566" i="11"/>
  <c r="CF567" i="11"/>
  <c r="DF566" i="11"/>
  <c r="AQ567" i="11"/>
  <c r="AR567" i="11" s="1"/>
  <c r="AT567" i="11" s="1"/>
  <c r="CE568" i="11"/>
  <c r="CG568" i="11" s="1"/>
  <c r="DU568" i="11"/>
  <c r="DV568" i="11"/>
  <c r="DH568" i="11"/>
  <c r="DI568" i="11"/>
  <c r="CR568" i="11"/>
  <c r="CT568" i="11" s="1"/>
  <c r="CV568" i="11"/>
  <c r="CU568" i="11"/>
  <c r="CH568" i="11"/>
  <c r="CI568" i="11"/>
  <c r="BU568" i="11"/>
  <c r="BV568" i="11"/>
  <c r="BH568" i="11"/>
  <c r="AV568" i="11"/>
  <c r="BI568" i="11"/>
  <c r="AH568" i="11"/>
  <c r="AI568" i="11"/>
  <c r="AU568" i="11"/>
  <c r="BN568" i="11"/>
  <c r="BP568" i="11"/>
  <c r="BO568" i="11"/>
  <c r="W569" i="11"/>
  <c r="AO568" i="11"/>
  <c r="AP568" i="11"/>
  <c r="AN568" i="11"/>
  <c r="Y568" i="11"/>
  <c r="AA568" i="11"/>
  <c r="BA568" i="11"/>
  <c r="BB568" i="11"/>
  <c r="BD568" i="11" s="1"/>
  <c r="BC568" i="11"/>
  <c r="DM568" i="11"/>
  <c r="DN568" i="11"/>
  <c r="CZ568" i="11"/>
  <c r="DA568" i="11"/>
  <c r="DP568" i="11"/>
  <c r="DB568" i="11"/>
  <c r="DD568" i="11" s="1"/>
  <c r="CP568" i="11"/>
  <c r="CA568" i="11"/>
  <c r="CB568" i="11"/>
  <c r="CF568" i="11" s="1"/>
  <c r="CC568" i="11"/>
  <c r="BM568" i="11"/>
  <c r="AZ568" i="11"/>
  <c r="AM568" i="11"/>
  <c r="CM568" i="11"/>
  <c r="CN568" i="11"/>
  <c r="DC568" i="11"/>
  <c r="CO568" i="11"/>
  <c r="CQ568" i="11" s="1"/>
  <c r="BZ568" i="11"/>
  <c r="X568" i="11"/>
  <c r="C570" i="11"/>
  <c r="A570" i="11" s="1"/>
  <c r="EB569" i="11" l="1"/>
  <c r="ED569" i="11" s="1"/>
  <c r="Z569" i="11"/>
  <c r="F569" i="11" s="1"/>
  <c r="BG567" i="11"/>
  <c r="BK567" i="11" s="1"/>
  <c r="L568" i="11"/>
  <c r="N535" i="12"/>
  <c r="M568" i="11"/>
  <c r="EH569" i="11"/>
  <c r="EC569" i="11"/>
  <c r="DZ569" i="11"/>
  <c r="EI569" i="11"/>
  <c r="EA569" i="11"/>
  <c r="EE568" i="11"/>
  <c r="EG568" i="11" s="1"/>
  <c r="V535" i="12"/>
  <c r="W535" i="12" s="1"/>
  <c r="A536" i="12"/>
  <c r="M536" i="12" s="1"/>
  <c r="P569" i="11"/>
  <c r="DF567" i="11"/>
  <c r="BW566" i="11"/>
  <c r="BY566" i="11" s="1"/>
  <c r="CW567" i="11"/>
  <c r="CY567" i="11" s="1"/>
  <c r="DL565" i="11"/>
  <c r="BJ566" i="11"/>
  <c r="BL566" i="11" s="1"/>
  <c r="CJ567" i="11"/>
  <c r="CL567" i="11" s="1"/>
  <c r="CX568" i="11"/>
  <c r="CJ568" i="11"/>
  <c r="BX567" i="11"/>
  <c r="DL566" i="11"/>
  <c r="E534" i="12"/>
  <c r="B570" i="11"/>
  <c r="B537" i="12"/>
  <c r="AY565" i="11"/>
  <c r="AC568" i="11"/>
  <c r="BF567" i="11"/>
  <c r="CS568" i="11"/>
  <c r="BQ568" i="11"/>
  <c r="BR568" i="11" s="1"/>
  <c r="BT568" i="11" s="1"/>
  <c r="BE568" i="11"/>
  <c r="DE568" i="11"/>
  <c r="AB569" i="11"/>
  <c r="CD568" i="11"/>
  <c r="AW566" i="11"/>
  <c r="AX566" i="11"/>
  <c r="AS566" i="11"/>
  <c r="AQ568" i="11"/>
  <c r="AR568" i="11" s="1"/>
  <c r="AT568" i="11" s="1"/>
  <c r="CE569" i="11"/>
  <c r="CG569" i="11" s="1"/>
  <c r="DV569" i="11"/>
  <c r="DU569" i="11"/>
  <c r="DH569" i="11"/>
  <c r="DI569" i="11"/>
  <c r="CR569" i="11"/>
  <c r="CT569" i="11" s="1"/>
  <c r="CU569" i="11"/>
  <c r="CV569" i="11"/>
  <c r="CH569" i="11"/>
  <c r="CI569" i="11"/>
  <c r="BU569" i="11"/>
  <c r="BV569" i="11"/>
  <c r="BI569" i="11"/>
  <c r="AU569" i="11"/>
  <c r="AV569" i="11"/>
  <c r="BH569" i="11"/>
  <c r="AH569" i="11"/>
  <c r="AI569" i="11"/>
  <c r="BN569" i="11"/>
  <c r="BO569" i="11"/>
  <c r="BP569" i="11"/>
  <c r="AN569" i="11"/>
  <c r="AO569" i="11"/>
  <c r="AP569" i="11"/>
  <c r="Y569" i="11"/>
  <c r="AA569" i="11"/>
  <c r="BB569" i="11"/>
  <c r="BD569" i="11" s="1"/>
  <c r="BC569" i="11"/>
  <c r="BA569" i="11"/>
  <c r="DP569" i="11"/>
  <c r="DB569" i="11"/>
  <c r="DC569" i="11"/>
  <c r="DM569" i="11"/>
  <c r="DN569" i="11"/>
  <c r="CZ569" i="11"/>
  <c r="DA569" i="11"/>
  <c r="CM569" i="11"/>
  <c r="CN569" i="11"/>
  <c r="CO569" i="11"/>
  <c r="CQ569" i="11" s="1"/>
  <c r="BZ569" i="11"/>
  <c r="BM569" i="11"/>
  <c r="CP569" i="11"/>
  <c r="CA569" i="11"/>
  <c r="AZ569" i="11"/>
  <c r="CB569" i="11"/>
  <c r="CD569" i="11" s="1"/>
  <c r="CC569" i="11"/>
  <c r="AM569" i="11"/>
  <c r="X569" i="11"/>
  <c r="W570" i="11"/>
  <c r="C571" i="11"/>
  <c r="A571" i="11" s="1"/>
  <c r="EB570" i="11" l="1"/>
  <c r="ED570" i="11" s="1"/>
  <c r="Z570" i="11"/>
  <c r="F570" i="11" s="1"/>
  <c r="BG568" i="11"/>
  <c r="BJ568" i="11" s="1"/>
  <c r="DF568" i="11"/>
  <c r="DG568" i="11"/>
  <c r="DK568" i="11" s="1"/>
  <c r="N536" i="12"/>
  <c r="L569" i="11"/>
  <c r="V536" i="12"/>
  <c r="W536" i="12" s="1"/>
  <c r="M569" i="11"/>
  <c r="EE569" i="11"/>
  <c r="EG569" i="11" s="1"/>
  <c r="EC570" i="11"/>
  <c r="EI570" i="11"/>
  <c r="EA570" i="11"/>
  <c r="EH570" i="11"/>
  <c r="DZ570" i="11"/>
  <c r="A537" i="12"/>
  <c r="V537" i="12" s="1"/>
  <c r="W537" i="12" s="1"/>
  <c r="P570" i="11"/>
  <c r="BF568" i="11"/>
  <c r="BW567" i="11"/>
  <c r="BY567" i="11" s="1"/>
  <c r="CW568" i="11"/>
  <c r="CY568" i="11" s="1"/>
  <c r="CK568" i="11"/>
  <c r="CL568" i="11" s="1"/>
  <c r="DK567" i="11"/>
  <c r="DJ567" i="11"/>
  <c r="CJ569" i="11"/>
  <c r="BJ567" i="11"/>
  <c r="BL567" i="11" s="1"/>
  <c r="BX568" i="11"/>
  <c r="E535" i="12"/>
  <c r="B571" i="11"/>
  <c r="B538" i="12"/>
  <c r="AC569" i="11"/>
  <c r="AY566" i="11"/>
  <c r="CF569" i="11"/>
  <c r="BS568" i="11"/>
  <c r="CS569" i="11"/>
  <c r="AX567" i="11"/>
  <c r="AW567" i="11"/>
  <c r="AS567" i="11"/>
  <c r="DD569" i="11"/>
  <c r="DE569" i="11" s="1"/>
  <c r="DG569" i="11" s="1"/>
  <c r="BE569" i="11"/>
  <c r="BQ569" i="11"/>
  <c r="BR569" i="11" s="1"/>
  <c r="BT569" i="11" s="1"/>
  <c r="AB570" i="11"/>
  <c r="AQ569" i="11"/>
  <c r="AR569" i="11" s="1"/>
  <c r="AT569" i="11" s="1"/>
  <c r="CE570" i="11"/>
  <c r="CG570" i="11" s="1"/>
  <c r="DV570" i="11"/>
  <c r="DU570" i="11"/>
  <c r="DI570" i="11"/>
  <c r="DH570" i="11"/>
  <c r="CR570" i="11"/>
  <c r="CT570" i="11" s="1"/>
  <c r="CU570" i="11"/>
  <c r="CV570" i="11"/>
  <c r="CI570" i="11"/>
  <c r="CH570" i="11"/>
  <c r="BU570" i="11"/>
  <c r="BV570" i="11"/>
  <c r="BI570" i="11"/>
  <c r="BH570" i="11"/>
  <c r="AU570" i="11"/>
  <c r="AV570" i="11"/>
  <c r="AH570" i="11"/>
  <c r="AI570" i="11"/>
  <c r="BN570" i="11"/>
  <c r="BO570" i="11"/>
  <c r="BQ570" i="11" s="1"/>
  <c r="BP570" i="11"/>
  <c r="W571" i="11"/>
  <c r="AO570" i="11"/>
  <c r="AN570" i="11"/>
  <c r="AP570" i="11"/>
  <c r="AA570" i="11"/>
  <c r="Y570" i="11"/>
  <c r="BB570" i="11"/>
  <c r="BD570" i="11" s="1"/>
  <c r="BC570" i="11"/>
  <c r="BA570" i="11"/>
  <c r="DM570" i="11"/>
  <c r="DN570" i="11"/>
  <c r="CZ570" i="11"/>
  <c r="DA570" i="11"/>
  <c r="DP570" i="11"/>
  <c r="DB570" i="11"/>
  <c r="DD570" i="11" s="1"/>
  <c r="CP570" i="11"/>
  <c r="CA570" i="11"/>
  <c r="CB570" i="11"/>
  <c r="DC570" i="11"/>
  <c r="CC570" i="11"/>
  <c r="BM570" i="11"/>
  <c r="CM570" i="11"/>
  <c r="AZ570" i="11"/>
  <c r="CN570" i="11"/>
  <c r="CO570" i="11"/>
  <c r="CQ570" i="11" s="1"/>
  <c r="BZ570" i="11"/>
  <c r="X570" i="11"/>
  <c r="AM570" i="11"/>
  <c r="C572" i="11"/>
  <c r="A572" i="11" s="1"/>
  <c r="EB571" i="11" l="1"/>
  <c r="ED571" i="11" s="1"/>
  <c r="Z571" i="11"/>
  <c r="F571" i="11" s="1"/>
  <c r="DJ568" i="11"/>
  <c r="BG569" i="11"/>
  <c r="BK569" i="11" s="1"/>
  <c r="N537" i="12"/>
  <c r="L570" i="11"/>
  <c r="M570" i="11"/>
  <c r="EE570" i="11"/>
  <c r="EG570" i="11" s="1"/>
  <c r="M537" i="12"/>
  <c r="EA571" i="11"/>
  <c r="DZ571" i="11"/>
  <c r="EI571" i="11"/>
  <c r="EH571" i="11"/>
  <c r="EC571" i="11"/>
  <c r="A538" i="12"/>
  <c r="N538" i="12" s="1"/>
  <c r="P571" i="11"/>
  <c r="DL567" i="11"/>
  <c r="CK569" i="11"/>
  <c r="CL569" i="11" s="1"/>
  <c r="BW568" i="11"/>
  <c r="BY568" i="11" s="1"/>
  <c r="BK568" i="11"/>
  <c r="BL568" i="11" s="1"/>
  <c r="CW570" i="11"/>
  <c r="CW569" i="11"/>
  <c r="CK570" i="11"/>
  <c r="CX569" i="11"/>
  <c r="BX569" i="11"/>
  <c r="E536" i="12"/>
  <c r="B572" i="11"/>
  <c r="B539" i="12"/>
  <c r="AY567" i="11"/>
  <c r="AC570" i="11"/>
  <c r="CF570" i="11"/>
  <c r="DL568" i="11"/>
  <c r="BS569" i="11"/>
  <c r="DK569" i="11"/>
  <c r="DJ569" i="11"/>
  <c r="DF569" i="11"/>
  <c r="BR570" i="11"/>
  <c r="BT570" i="11" s="1"/>
  <c r="DE570" i="11"/>
  <c r="CD570" i="11"/>
  <c r="AB571" i="11"/>
  <c r="CS570" i="11"/>
  <c r="AX568" i="11"/>
  <c r="AW568" i="11"/>
  <c r="AS568" i="11"/>
  <c r="BE570" i="11"/>
  <c r="BF569" i="11"/>
  <c r="AQ570" i="11"/>
  <c r="AR570" i="11" s="1"/>
  <c r="AT570" i="11" s="1"/>
  <c r="CE571" i="11"/>
  <c r="CG571" i="11" s="1"/>
  <c r="DV571" i="11"/>
  <c r="DU571" i="11"/>
  <c r="DH571" i="11"/>
  <c r="DI571" i="11"/>
  <c r="CV571" i="11"/>
  <c r="CU571" i="11"/>
  <c r="CR571" i="11"/>
  <c r="CT571" i="11" s="1"/>
  <c r="CH571" i="11"/>
  <c r="CI571" i="11"/>
  <c r="BV571" i="11"/>
  <c r="BU571" i="11"/>
  <c r="BH571" i="11"/>
  <c r="BI571" i="11"/>
  <c r="AU571" i="11"/>
  <c r="AV571" i="11"/>
  <c r="AH571" i="11"/>
  <c r="AI571" i="11"/>
  <c r="BO571" i="11"/>
  <c r="BP571" i="11"/>
  <c r="BN571" i="11"/>
  <c r="W572" i="11"/>
  <c r="AN571" i="11"/>
  <c r="AO571" i="11"/>
  <c r="AP571" i="11"/>
  <c r="Y571" i="11"/>
  <c r="AA571" i="11"/>
  <c r="BA571" i="11"/>
  <c r="BC571" i="11"/>
  <c r="BB571" i="11"/>
  <c r="BD571" i="11" s="1"/>
  <c r="DP571" i="11"/>
  <c r="DB571" i="11"/>
  <c r="DD571" i="11" s="1"/>
  <c r="DC571" i="11"/>
  <c r="DM571" i="11"/>
  <c r="DN571" i="11"/>
  <c r="X571" i="11"/>
  <c r="CM571" i="11"/>
  <c r="CN571" i="11"/>
  <c r="CZ571" i="11"/>
  <c r="CO571" i="11"/>
  <c r="BZ571" i="11"/>
  <c r="DA571" i="11"/>
  <c r="CP571" i="11"/>
  <c r="CA571" i="11"/>
  <c r="CB571" i="11"/>
  <c r="BM571" i="11"/>
  <c r="CC571" i="11"/>
  <c r="AZ571" i="11"/>
  <c r="AM571" i="11"/>
  <c r="C573" i="11"/>
  <c r="A573" i="11" s="1"/>
  <c r="Z572" i="11" l="1"/>
  <c r="F572" i="11" s="1"/>
  <c r="EB572" i="11"/>
  <c r="ED572" i="11" s="1"/>
  <c r="BG570" i="11"/>
  <c r="BK570" i="11" s="1"/>
  <c r="DF570" i="11"/>
  <c r="DG570" i="11"/>
  <c r="DJ570" i="11" s="1"/>
  <c r="M571" i="11"/>
  <c r="L571" i="11"/>
  <c r="EE571" i="11"/>
  <c r="EG571" i="11" s="1"/>
  <c r="EA572" i="11"/>
  <c r="EI572" i="11"/>
  <c r="EH572" i="11"/>
  <c r="EC572" i="11"/>
  <c r="DZ572" i="11"/>
  <c r="M538" i="12"/>
  <c r="V538" i="12"/>
  <c r="W538" i="12" s="1"/>
  <c r="A539" i="12"/>
  <c r="N539" i="12" s="1"/>
  <c r="P572" i="11"/>
  <c r="BS570" i="11"/>
  <c r="CJ570" i="11"/>
  <c r="CL570" i="11" s="1"/>
  <c r="CY569" i="11"/>
  <c r="BJ569" i="11"/>
  <c r="BL569" i="11" s="1"/>
  <c r="BW569" i="11"/>
  <c r="BY569" i="11" s="1"/>
  <c r="CJ571" i="11"/>
  <c r="CW571" i="11"/>
  <c r="BW570" i="11"/>
  <c r="DL569" i="11"/>
  <c r="CX570" i="11"/>
  <c r="CY570" i="11" s="1"/>
  <c r="AX570" i="11"/>
  <c r="E537" i="12"/>
  <c r="B573" i="11"/>
  <c r="B540" i="12"/>
  <c r="AY568" i="11"/>
  <c r="AC571" i="11"/>
  <c r="CQ571" i="11"/>
  <c r="BF570" i="11"/>
  <c r="CF571" i="11"/>
  <c r="CD571" i="11"/>
  <c r="AX569" i="11"/>
  <c r="AW569" i="11"/>
  <c r="AS569" i="11"/>
  <c r="DE571" i="11"/>
  <c r="DK570" i="11"/>
  <c r="CS571" i="11"/>
  <c r="BE571" i="11"/>
  <c r="AB572" i="11"/>
  <c r="BQ571" i="11"/>
  <c r="BR571" i="11" s="1"/>
  <c r="BT571" i="11" s="1"/>
  <c r="AQ571" i="11"/>
  <c r="AR571" i="11" s="1"/>
  <c r="AT571" i="11" s="1"/>
  <c r="CE572" i="11"/>
  <c r="CG572" i="11" s="1"/>
  <c r="DV572" i="11"/>
  <c r="DU572" i="11"/>
  <c r="DH572" i="11"/>
  <c r="DI572" i="11"/>
  <c r="CU572" i="11"/>
  <c r="CV572" i="11"/>
  <c r="CR572" i="11"/>
  <c r="CT572" i="11" s="1"/>
  <c r="CH572" i="11"/>
  <c r="CI572" i="11"/>
  <c r="BU572" i="11"/>
  <c r="BV572" i="11"/>
  <c r="BH572" i="11"/>
  <c r="BI572" i="11"/>
  <c r="AU572" i="11"/>
  <c r="AV572" i="11"/>
  <c r="AH572" i="11"/>
  <c r="AI572" i="11"/>
  <c r="BP572" i="11"/>
  <c r="BN572" i="11"/>
  <c r="BO572" i="11"/>
  <c r="W573" i="11"/>
  <c r="AN572" i="11"/>
  <c r="AO572" i="11"/>
  <c r="AP572" i="11"/>
  <c r="AA572" i="11"/>
  <c r="Y572" i="11"/>
  <c r="BA572" i="11"/>
  <c r="BB572" i="11"/>
  <c r="BD572" i="11" s="1"/>
  <c r="BC572" i="11"/>
  <c r="DM572" i="11"/>
  <c r="DN572" i="11"/>
  <c r="CZ572" i="11"/>
  <c r="DA572" i="11"/>
  <c r="DP572" i="11"/>
  <c r="DB572" i="11"/>
  <c r="CP572" i="11"/>
  <c r="CA572" i="11"/>
  <c r="AM572" i="11"/>
  <c r="CB572" i="11"/>
  <c r="X572" i="11"/>
  <c r="CC572" i="11"/>
  <c r="DC572" i="11"/>
  <c r="CM572" i="11"/>
  <c r="CN572" i="11"/>
  <c r="BM572" i="11"/>
  <c r="CO572" i="11"/>
  <c r="BZ572" i="11"/>
  <c r="AZ572" i="11"/>
  <c r="C574" i="11"/>
  <c r="A574" i="11" s="1"/>
  <c r="EB573" i="11" l="1"/>
  <c r="Z573" i="11"/>
  <c r="F573" i="11" s="1"/>
  <c r="BG571" i="11"/>
  <c r="BJ571" i="11" s="1"/>
  <c r="DF571" i="11"/>
  <c r="DG571" i="11"/>
  <c r="DK571" i="11" s="1"/>
  <c r="L572" i="11"/>
  <c r="M572" i="11"/>
  <c r="M539" i="12"/>
  <c r="EE572" i="11"/>
  <c r="EG572" i="11" s="1"/>
  <c r="EH573" i="11"/>
  <c r="DZ573" i="11"/>
  <c r="EI573" i="11"/>
  <c r="EA573" i="11"/>
  <c r="EC573" i="11"/>
  <c r="ED573" i="11"/>
  <c r="V539" i="12"/>
  <c r="W539" i="12" s="1"/>
  <c r="A540" i="12"/>
  <c r="M540" i="12" s="1"/>
  <c r="P573" i="11"/>
  <c r="BF571" i="11"/>
  <c r="CK571" i="11"/>
  <c r="CL571" i="11" s="1"/>
  <c r="BX570" i="11"/>
  <c r="BY570" i="11" s="1"/>
  <c r="AW570" i="11"/>
  <c r="AY570" i="11" s="1"/>
  <c r="BW571" i="11"/>
  <c r="CW572" i="11"/>
  <c r="AS570" i="11"/>
  <c r="BJ570" i="11"/>
  <c r="BL570" i="11" s="1"/>
  <c r="CJ572" i="11"/>
  <c r="CX571" i="11"/>
  <c r="CY571" i="11" s="1"/>
  <c r="AY569" i="11"/>
  <c r="E538" i="12"/>
  <c r="B574" i="11"/>
  <c r="B541" i="12"/>
  <c r="AC572" i="11"/>
  <c r="DL570" i="11"/>
  <c r="CS572" i="11"/>
  <c r="CD572" i="11"/>
  <c r="CQ572" i="11"/>
  <c r="BS571" i="11"/>
  <c r="CF572" i="11"/>
  <c r="BE572" i="11"/>
  <c r="DD572" i="11"/>
  <c r="DE572" i="11" s="1"/>
  <c r="DG572" i="11" s="1"/>
  <c r="BQ572" i="11"/>
  <c r="BR572" i="11" s="1"/>
  <c r="BT572" i="11" s="1"/>
  <c r="DJ571" i="11"/>
  <c r="AB573" i="11"/>
  <c r="AQ572" i="11"/>
  <c r="AR572" i="11" s="1"/>
  <c r="AT572" i="11" s="1"/>
  <c r="CE573" i="11"/>
  <c r="CG573" i="11" s="1"/>
  <c r="DV573" i="11"/>
  <c r="DU573" i="11"/>
  <c r="DI573" i="11"/>
  <c r="DH573" i="11"/>
  <c r="CU573" i="11"/>
  <c r="CV573" i="11"/>
  <c r="CR573" i="11"/>
  <c r="CT573" i="11" s="1"/>
  <c r="CH573" i="11"/>
  <c r="CI573" i="11"/>
  <c r="BU573" i="11"/>
  <c r="BV573" i="11"/>
  <c r="BH573" i="11"/>
  <c r="BI573" i="11"/>
  <c r="AU573" i="11"/>
  <c r="AI573" i="11"/>
  <c r="AV573" i="11"/>
  <c r="AH573" i="11"/>
  <c r="BN573" i="11"/>
  <c r="BO573" i="11"/>
  <c r="BP573" i="11"/>
  <c r="W574" i="11"/>
  <c r="AP573" i="11"/>
  <c r="AN573" i="11"/>
  <c r="AO573" i="11"/>
  <c r="Y573" i="11"/>
  <c r="AA573" i="11"/>
  <c r="BA573" i="11"/>
  <c r="BC573" i="11"/>
  <c r="BB573" i="11"/>
  <c r="BD573" i="11" s="1"/>
  <c r="DP573" i="11"/>
  <c r="DB573" i="11"/>
  <c r="DC573" i="11"/>
  <c r="DM573" i="11"/>
  <c r="DN573" i="11"/>
  <c r="AZ573" i="11"/>
  <c r="CM573" i="11"/>
  <c r="AM573" i="11"/>
  <c r="CN573" i="11"/>
  <c r="X573" i="11"/>
  <c r="CO573" i="11"/>
  <c r="BZ573" i="11"/>
  <c r="CP573" i="11"/>
  <c r="CA573" i="11"/>
  <c r="CB573" i="11"/>
  <c r="CD573" i="11" s="1"/>
  <c r="CZ573" i="11"/>
  <c r="CC573" i="11"/>
  <c r="DA573" i="11"/>
  <c r="BM573" i="11"/>
  <c r="C575" i="11"/>
  <c r="A575" i="11" s="1"/>
  <c r="Z574" i="11" l="1"/>
  <c r="F574" i="11" s="1"/>
  <c r="EB574" i="11"/>
  <c r="ED574" i="11" s="1"/>
  <c r="BG572" i="11"/>
  <c r="BK572" i="11" s="1"/>
  <c r="N540" i="12"/>
  <c r="V540" i="12"/>
  <c r="W540" i="12" s="1"/>
  <c r="L573" i="11"/>
  <c r="M573" i="11"/>
  <c r="EE573" i="11"/>
  <c r="EG573" i="11" s="1"/>
  <c r="EC574" i="11"/>
  <c r="EH574" i="11"/>
  <c r="EA574" i="11"/>
  <c r="DZ574" i="11"/>
  <c r="EI574" i="11"/>
  <c r="A541" i="12"/>
  <c r="V541" i="12" s="1"/>
  <c r="W541" i="12" s="1"/>
  <c r="P574" i="11"/>
  <c r="CX572" i="11"/>
  <c r="CY572" i="11" s="1"/>
  <c r="BK571" i="11"/>
  <c r="BL571" i="11" s="1"/>
  <c r="BJ572" i="11"/>
  <c r="CK572" i="11"/>
  <c r="CL572" i="11" s="1"/>
  <c r="BX571" i="11"/>
  <c r="BY571" i="11" s="1"/>
  <c r="CW573" i="11"/>
  <c r="BX572" i="11"/>
  <c r="E539" i="12"/>
  <c r="B575" i="11"/>
  <c r="B542" i="12"/>
  <c r="AC573" i="11"/>
  <c r="DL571" i="11"/>
  <c r="CS573" i="11"/>
  <c r="BS572" i="11"/>
  <c r="DJ572" i="11"/>
  <c r="DK572" i="11"/>
  <c r="DF572" i="11"/>
  <c r="BF572" i="11"/>
  <c r="CF573" i="11"/>
  <c r="AW571" i="11"/>
  <c r="AX571" i="11"/>
  <c r="AS571" i="11"/>
  <c r="CQ573" i="11"/>
  <c r="AB574" i="11"/>
  <c r="DD573" i="11"/>
  <c r="DE573" i="11" s="1"/>
  <c r="DG573" i="11" s="1"/>
  <c r="BE573" i="11"/>
  <c r="BQ573" i="11"/>
  <c r="BR573" i="11" s="1"/>
  <c r="BT573" i="11" s="1"/>
  <c r="AQ573" i="11"/>
  <c r="AR573" i="11" s="1"/>
  <c r="AT573" i="11" s="1"/>
  <c r="CE574" i="11"/>
  <c r="CG574" i="11" s="1"/>
  <c r="DU574" i="11"/>
  <c r="DV574" i="11"/>
  <c r="DH574" i="11"/>
  <c r="DI574" i="11"/>
  <c r="CV574" i="11"/>
  <c r="CU574" i="11"/>
  <c r="CR574" i="11"/>
  <c r="CT574" i="11" s="1"/>
  <c r="CI574" i="11"/>
  <c r="BU574" i="11"/>
  <c r="BV574" i="11"/>
  <c r="CH574" i="11"/>
  <c r="BH574" i="11"/>
  <c r="BI574" i="11"/>
  <c r="AH574" i="11"/>
  <c r="AU574" i="11"/>
  <c r="AV574" i="11"/>
  <c r="AI574" i="11"/>
  <c r="BN574" i="11"/>
  <c r="BO574" i="11"/>
  <c r="BP574" i="11"/>
  <c r="W575" i="11"/>
  <c r="AN574" i="11"/>
  <c r="AO574" i="11"/>
  <c r="AP574" i="11"/>
  <c r="Y574" i="11"/>
  <c r="AA574" i="11"/>
  <c r="BA574" i="11"/>
  <c r="BB574" i="11"/>
  <c r="BD574" i="11" s="1"/>
  <c r="BC574" i="11"/>
  <c r="DM574" i="11"/>
  <c r="DN574" i="11"/>
  <c r="CZ574" i="11"/>
  <c r="DA574" i="11"/>
  <c r="DP574" i="11"/>
  <c r="DB574" i="11"/>
  <c r="DC574" i="11"/>
  <c r="CP574" i="11"/>
  <c r="CA574" i="11"/>
  <c r="BM574" i="11"/>
  <c r="CB574" i="11"/>
  <c r="AZ574" i="11"/>
  <c r="CC574" i="11"/>
  <c r="AM574" i="11"/>
  <c r="X574" i="11"/>
  <c r="CM574" i="11"/>
  <c r="CN574" i="11"/>
  <c r="CO574" i="11"/>
  <c r="BZ574" i="11"/>
  <c r="C576" i="11"/>
  <c r="A576" i="11" s="1"/>
  <c r="EB575" i="11" l="1"/>
  <c r="ED575" i="11" s="1"/>
  <c r="Z575" i="11"/>
  <c r="F575" i="11" s="1"/>
  <c r="BG573" i="11"/>
  <c r="BJ573" i="11" s="1"/>
  <c r="M574" i="11"/>
  <c r="L574" i="11"/>
  <c r="M541" i="12"/>
  <c r="EA575" i="11"/>
  <c r="EH575" i="11"/>
  <c r="DZ575" i="11"/>
  <c r="EI575" i="11"/>
  <c r="EC575" i="11"/>
  <c r="EE574" i="11"/>
  <c r="EG574" i="11" s="1"/>
  <c r="N541" i="12"/>
  <c r="A542" i="12"/>
  <c r="N542" i="12" s="1"/>
  <c r="P575" i="11"/>
  <c r="CX573" i="11"/>
  <c r="CY573" i="11" s="1"/>
  <c r="CJ573" i="11"/>
  <c r="CK573" i="11"/>
  <c r="BW572" i="11"/>
  <c r="BY572" i="11" s="1"/>
  <c r="BX573" i="11"/>
  <c r="E540" i="12"/>
  <c r="B576" i="11"/>
  <c r="B543" i="12"/>
  <c r="DL572" i="11"/>
  <c r="AY571" i="11"/>
  <c r="AC574" i="11"/>
  <c r="CD574" i="11"/>
  <c r="CQ574" i="11"/>
  <c r="BL572" i="11"/>
  <c r="CK574" i="11"/>
  <c r="CJ574" i="11"/>
  <c r="DF573" i="11"/>
  <c r="DJ573" i="11"/>
  <c r="DK573" i="11"/>
  <c r="CS574" i="11"/>
  <c r="BE574" i="11"/>
  <c r="DD574" i="11"/>
  <c r="DE574" i="11" s="1"/>
  <c r="DG574" i="11" s="1"/>
  <c r="BQ574" i="11"/>
  <c r="BR574" i="11" s="1"/>
  <c r="BT574" i="11" s="1"/>
  <c r="BF573" i="11"/>
  <c r="AB575" i="11"/>
  <c r="CF574" i="11"/>
  <c r="AX572" i="11"/>
  <c r="AW572" i="11"/>
  <c r="AS572" i="11"/>
  <c r="BS573" i="11"/>
  <c r="AQ574" i="11"/>
  <c r="AR574" i="11" s="1"/>
  <c r="AT574" i="11" s="1"/>
  <c r="CE575" i="11"/>
  <c r="CG575" i="11" s="1"/>
  <c r="DV575" i="11"/>
  <c r="DU575" i="11"/>
  <c r="DH575" i="11"/>
  <c r="DI575" i="11"/>
  <c r="CU575" i="11"/>
  <c r="CV575" i="11"/>
  <c r="CR575" i="11"/>
  <c r="CT575" i="11" s="1"/>
  <c r="CH575" i="11"/>
  <c r="CI575" i="11"/>
  <c r="BU575" i="11"/>
  <c r="BV575" i="11"/>
  <c r="BH575" i="11"/>
  <c r="BI575" i="11"/>
  <c r="AI575" i="11"/>
  <c r="AU575" i="11"/>
  <c r="AH575" i="11"/>
  <c r="AV575" i="11"/>
  <c r="BO575" i="11"/>
  <c r="BQ575" i="11" s="1"/>
  <c r="BP575" i="11"/>
  <c r="BN575" i="11"/>
  <c r="W576" i="11"/>
  <c r="AN575" i="11"/>
  <c r="AP575" i="11"/>
  <c r="AO575" i="11"/>
  <c r="AA575" i="11"/>
  <c r="Y575" i="11"/>
  <c r="BC575" i="11"/>
  <c r="BB575" i="11"/>
  <c r="BD575" i="11" s="1"/>
  <c r="BA575" i="11"/>
  <c r="DP575" i="11"/>
  <c r="DB575" i="11"/>
  <c r="DC575" i="11"/>
  <c r="DM575" i="11"/>
  <c r="DN575" i="11"/>
  <c r="CZ575" i="11"/>
  <c r="CM575" i="11"/>
  <c r="BM575" i="11"/>
  <c r="DA575" i="11"/>
  <c r="CN575" i="11"/>
  <c r="AZ575" i="11"/>
  <c r="CO575" i="11"/>
  <c r="BZ575" i="11"/>
  <c r="AM575" i="11"/>
  <c r="CP575" i="11"/>
  <c r="CA575" i="11"/>
  <c r="X575" i="11"/>
  <c r="CB575" i="11"/>
  <c r="CD575" i="11" s="1"/>
  <c r="CC575" i="11"/>
  <c r="C577" i="11"/>
  <c r="A577" i="11" s="1"/>
  <c r="EB576" i="11" l="1"/>
  <c r="ED576" i="11" s="1"/>
  <c r="Z576" i="11"/>
  <c r="F576" i="11" s="1"/>
  <c r="BK573" i="11"/>
  <c r="BL573" i="11" s="1"/>
  <c r="BG574" i="11"/>
  <c r="BJ574" i="11" s="1"/>
  <c r="EE575" i="11"/>
  <c r="EG575" i="11" s="1"/>
  <c r="L575" i="11"/>
  <c r="M575" i="11"/>
  <c r="M542" i="12"/>
  <c r="EI576" i="11"/>
  <c r="EC576" i="11"/>
  <c r="DZ576" i="11"/>
  <c r="EH576" i="11"/>
  <c r="EA576" i="11"/>
  <c r="V542" i="12"/>
  <c r="W542" i="12" s="1"/>
  <c r="A543" i="12"/>
  <c r="N543" i="12" s="1"/>
  <c r="AC575" i="11"/>
  <c r="P576" i="11"/>
  <c r="DF574" i="11"/>
  <c r="DJ574" i="11"/>
  <c r="BW573" i="11"/>
  <c r="BY573" i="11" s="1"/>
  <c r="CL573" i="11"/>
  <c r="CX574" i="11"/>
  <c r="CW574" i="11"/>
  <c r="BX574" i="11"/>
  <c r="E541" i="12"/>
  <c r="B577" i="11"/>
  <c r="B544" i="12"/>
  <c r="CL574" i="11"/>
  <c r="DL573" i="11"/>
  <c r="CX575" i="11"/>
  <c r="CW575" i="11"/>
  <c r="CS575" i="11"/>
  <c r="CQ575" i="11"/>
  <c r="BS574" i="11"/>
  <c r="CJ575" i="11"/>
  <c r="CK575" i="11"/>
  <c r="DD575" i="11"/>
  <c r="DE575" i="11" s="1"/>
  <c r="DG575" i="11" s="1"/>
  <c r="BE575" i="11"/>
  <c r="BR575" i="11"/>
  <c r="BT575" i="11" s="1"/>
  <c r="AW573" i="11"/>
  <c r="AX573" i="11"/>
  <c r="AS573" i="11"/>
  <c r="CF575" i="11"/>
  <c r="AB576" i="11"/>
  <c r="AY572" i="11"/>
  <c r="AQ575" i="11"/>
  <c r="AR575" i="11" s="1"/>
  <c r="AT575" i="11" s="1"/>
  <c r="CE576" i="11"/>
  <c r="CG576" i="11" s="1"/>
  <c r="DU576" i="11"/>
  <c r="DV576" i="11"/>
  <c r="DH576" i="11"/>
  <c r="DI576" i="11"/>
  <c r="CV576" i="11"/>
  <c r="CU576" i="11"/>
  <c r="CR576" i="11"/>
  <c r="CT576" i="11" s="1"/>
  <c r="CH576" i="11"/>
  <c r="CI576" i="11"/>
  <c r="BU576" i="11"/>
  <c r="BV576" i="11"/>
  <c r="BH576" i="11"/>
  <c r="AV576" i="11"/>
  <c r="BI576" i="11"/>
  <c r="AU576" i="11"/>
  <c r="AH576" i="11"/>
  <c r="AI576" i="11"/>
  <c r="BN576" i="11"/>
  <c r="BP576" i="11"/>
  <c r="BO576" i="11"/>
  <c r="W577" i="11"/>
  <c r="AO576" i="11"/>
  <c r="AP576" i="11"/>
  <c r="AN576" i="11"/>
  <c r="Y576" i="11"/>
  <c r="AA576" i="11"/>
  <c r="BC576" i="11"/>
  <c r="BA576" i="11"/>
  <c r="BB576" i="11"/>
  <c r="BD576" i="11" s="1"/>
  <c r="DM576" i="11"/>
  <c r="DN576" i="11"/>
  <c r="CZ576" i="11"/>
  <c r="DA576" i="11"/>
  <c r="DP576" i="11"/>
  <c r="DB576" i="11"/>
  <c r="CP576" i="11"/>
  <c r="CA576" i="11"/>
  <c r="CB576" i="11"/>
  <c r="CD576" i="11" s="1"/>
  <c r="CC576" i="11"/>
  <c r="BM576" i="11"/>
  <c r="DC576" i="11"/>
  <c r="AZ576" i="11"/>
  <c r="AM576" i="11"/>
  <c r="CM576" i="11"/>
  <c r="CN576" i="11"/>
  <c r="CO576" i="11"/>
  <c r="BZ576" i="11"/>
  <c r="X576" i="11"/>
  <c r="C578" i="11"/>
  <c r="A578" i="11" s="1"/>
  <c r="EB577" i="11" l="1"/>
  <c r="ED577" i="11" s="1"/>
  <c r="Z577" i="11"/>
  <c r="F577" i="11" s="1"/>
  <c r="BK574" i="11"/>
  <c r="BL574" i="11" s="1"/>
  <c r="BG575" i="11"/>
  <c r="BJ575" i="11" s="1"/>
  <c r="BF574" i="11"/>
  <c r="M576" i="11"/>
  <c r="V543" i="12"/>
  <c r="W543" i="12" s="1"/>
  <c r="M543" i="12"/>
  <c r="L576" i="11"/>
  <c r="EE576" i="11"/>
  <c r="EG576" i="11" s="1"/>
  <c r="EH577" i="11"/>
  <c r="EI577" i="11"/>
  <c r="EC577" i="11"/>
  <c r="EA577" i="11"/>
  <c r="DZ577" i="11"/>
  <c r="A544" i="12"/>
  <c r="M544" i="12" s="1"/>
  <c r="E542" i="12"/>
  <c r="P577" i="11"/>
  <c r="BS575" i="11"/>
  <c r="BF575" i="11"/>
  <c r="DK574" i="11"/>
  <c r="DL574" i="11" s="1"/>
  <c r="BW574" i="11"/>
  <c r="BY574" i="11" s="1"/>
  <c r="CY574" i="11"/>
  <c r="DJ575" i="11"/>
  <c r="B578" i="11"/>
  <c r="B545" i="12"/>
  <c r="AY573" i="11"/>
  <c r="CY575" i="11"/>
  <c r="CF576" i="11"/>
  <c r="AC576" i="11"/>
  <c r="CL575" i="11"/>
  <c r="CS576" i="11"/>
  <c r="CW576" i="11"/>
  <c r="CX576" i="11"/>
  <c r="DD576" i="11"/>
  <c r="DE576" i="11" s="1"/>
  <c r="DG576" i="11" s="1"/>
  <c r="AB577" i="11"/>
  <c r="CK576" i="11"/>
  <c r="CJ576" i="11"/>
  <c r="BQ576" i="11"/>
  <c r="BR576" i="11" s="1"/>
  <c r="BT576" i="11" s="1"/>
  <c r="CQ576" i="11"/>
  <c r="DF575" i="11"/>
  <c r="BE576" i="11"/>
  <c r="AX574" i="11"/>
  <c r="AW574" i="11"/>
  <c r="AS574" i="11"/>
  <c r="AQ576" i="11"/>
  <c r="AR576" i="11" s="1"/>
  <c r="AT576" i="11" s="1"/>
  <c r="CE577" i="11"/>
  <c r="CG577" i="11" s="1"/>
  <c r="DV577" i="11"/>
  <c r="DU577" i="11"/>
  <c r="DH577" i="11"/>
  <c r="DI577" i="11"/>
  <c r="CV577" i="11"/>
  <c r="CR577" i="11"/>
  <c r="CT577" i="11" s="1"/>
  <c r="CU577" i="11"/>
  <c r="CH577" i="11"/>
  <c r="CI577" i="11"/>
  <c r="BU577" i="11"/>
  <c r="BV577" i="11"/>
  <c r="BI577" i="11"/>
  <c r="AU577" i="11"/>
  <c r="AV577" i="11"/>
  <c r="BH577" i="11"/>
  <c r="AH577" i="11"/>
  <c r="AI577" i="11"/>
  <c r="BN577" i="11"/>
  <c r="BP577" i="11"/>
  <c r="BO577" i="11"/>
  <c r="BQ577" i="11" s="1"/>
  <c r="W578" i="11"/>
  <c r="AN577" i="11"/>
  <c r="AO577" i="11"/>
  <c r="AP577" i="11"/>
  <c r="AA577" i="11"/>
  <c r="Y577" i="11"/>
  <c r="BA577" i="11"/>
  <c r="BC577" i="11"/>
  <c r="BB577" i="11"/>
  <c r="BD577" i="11" s="1"/>
  <c r="DP577" i="11"/>
  <c r="DB577" i="11"/>
  <c r="DC577" i="11"/>
  <c r="DM577" i="11"/>
  <c r="DN577" i="11"/>
  <c r="CM577" i="11"/>
  <c r="CN577" i="11"/>
  <c r="CO577" i="11"/>
  <c r="BZ577" i="11"/>
  <c r="BM577" i="11"/>
  <c r="CZ577" i="11"/>
  <c r="CP577" i="11"/>
  <c r="CA577" i="11"/>
  <c r="AZ577" i="11"/>
  <c r="DA577" i="11"/>
  <c r="CB577" i="11"/>
  <c r="CC577" i="11"/>
  <c r="X577" i="11"/>
  <c r="AM577" i="11"/>
  <c r="C579" i="11"/>
  <c r="A579" i="11" s="1"/>
  <c r="EB578" i="11" l="1"/>
  <c r="ED578" i="11" s="1"/>
  <c r="Z578" i="11"/>
  <c r="F578" i="11" s="1"/>
  <c r="BG576" i="11"/>
  <c r="M577" i="11"/>
  <c r="L577" i="11"/>
  <c r="EE577" i="11"/>
  <c r="EG577" i="11" s="1"/>
  <c r="EC578" i="11"/>
  <c r="EH578" i="11"/>
  <c r="EA578" i="11"/>
  <c r="EI578" i="11"/>
  <c r="DZ578" i="11"/>
  <c r="N544" i="12"/>
  <c r="V544" i="12"/>
  <c r="W544" i="12" s="1"/>
  <c r="A545" i="12"/>
  <c r="M545" i="12" s="1"/>
  <c r="P578" i="11"/>
  <c r="DK575" i="11"/>
  <c r="DL575" i="11" s="1"/>
  <c r="BK575" i="11"/>
  <c r="BL575" i="11" s="1"/>
  <c r="BW575" i="11"/>
  <c r="BX575" i="11"/>
  <c r="E543" i="12"/>
  <c r="CL576" i="11"/>
  <c r="B579" i="11"/>
  <c r="B546" i="12"/>
  <c r="CY576" i="11"/>
  <c r="AY574" i="11"/>
  <c r="AC577" i="11"/>
  <c r="CF577" i="11"/>
  <c r="DF576" i="11"/>
  <c r="CK577" i="11"/>
  <c r="CJ577" i="11"/>
  <c r="CS577" i="11"/>
  <c r="CW577" i="11"/>
  <c r="CX577" i="11"/>
  <c r="CQ577" i="11"/>
  <c r="BF576" i="11"/>
  <c r="AX575" i="11"/>
  <c r="AW575" i="11"/>
  <c r="AS575" i="11"/>
  <c r="BR577" i="11"/>
  <c r="BT577" i="11" s="1"/>
  <c r="CD577" i="11"/>
  <c r="BX576" i="11"/>
  <c r="BW576" i="11"/>
  <c r="AB578" i="11"/>
  <c r="DD577" i="11"/>
  <c r="DE577" i="11" s="1"/>
  <c r="DG577" i="11" s="1"/>
  <c r="BS576" i="11"/>
  <c r="BE577" i="11"/>
  <c r="AQ577" i="11"/>
  <c r="AR577" i="11" s="1"/>
  <c r="AT577" i="11" s="1"/>
  <c r="CE578" i="11"/>
  <c r="CG578" i="11" s="1"/>
  <c r="DV578" i="11"/>
  <c r="DU578" i="11"/>
  <c r="DI578" i="11"/>
  <c r="DH578" i="11"/>
  <c r="CR578" i="11"/>
  <c r="CT578" i="11" s="1"/>
  <c r="CV578" i="11"/>
  <c r="CU578" i="11"/>
  <c r="CI578" i="11"/>
  <c r="CH578" i="11"/>
  <c r="BU578" i="11"/>
  <c r="BV578" i="11"/>
  <c r="BI578" i="11"/>
  <c r="BH578" i="11"/>
  <c r="AU578" i="11"/>
  <c r="AV578" i="11"/>
  <c r="AH578" i="11"/>
  <c r="AI578" i="11"/>
  <c r="BN578" i="11"/>
  <c r="BO578" i="11"/>
  <c r="BP578" i="11"/>
  <c r="W579" i="11"/>
  <c r="AO578" i="11"/>
  <c r="AN578" i="11"/>
  <c r="AP578" i="11"/>
  <c r="AA578" i="11"/>
  <c r="Y578" i="11"/>
  <c r="BB578" i="11"/>
  <c r="BD578" i="11" s="1"/>
  <c r="BA578" i="11"/>
  <c r="BC578" i="11"/>
  <c r="DM578" i="11"/>
  <c r="DN578" i="11"/>
  <c r="CZ578" i="11"/>
  <c r="DA578" i="11"/>
  <c r="DP578" i="11"/>
  <c r="DB578" i="11"/>
  <c r="CP578" i="11"/>
  <c r="CA578" i="11"/>
  <c r="CB578" i="11"/>
  <c r="CF578" i="11" s="1"/>
  <c r="CC578" i="11"/>
  <c r="BM578" i="11"/>
  <c r="CM578" i="11"/>
  <c r="AZ578" i="11"/>
  <c r="DC578" i="11"/>
  <c r="CN578" i="11"/>
  <c r="CO578" i="11"/>
  <c r="CQ578" i="11" s="1"/>
  <c r="BZ578" i="11"/>
  <c r="X578" i="11"/>
  <c r="AM578" i="11"/>
  <c r="C580" i="11"/>
  <c r="A580" i="11" s="1"/>
  <c r="EB579" i="11" l="1"/>
  <c r="ED579" i="11" s="1"/>
  <c r="Z579" i="11"/>
  <c r="F579" i="11" s="1"/>
  <c r="P579" i="11"/>
  <c r="BG577" i="11"/>
  <c r="BJ577" i="11" s="1"/>
  <c r="L578" i="11"/>
  <c r="N545" i="12"/>
  <c r="V545" i="12"/>
  <c r="W545" i="12" s="1"/>
  <c r="M578" i="11"/>
  <c r="EA579" i="11"/>
  <c r="DZ579" i="11"/>
  <c r="EC579" i="11"/>
  <c r="EI579" i="11"/>
  <c r="EH579" i="11"/>
  <c r="EE578" i="11"/>
  <c r="EG578" i="11" s="1"/>
  <c r="A546" i="12"/>
  <c r="BS577" i="11"/>
  <c r="BW577" i="11"/>
  <c r="CL577" i="11"/>
  <c r="BY575" i="11"/>
  <c r="DJ577" i="11"/>
  <c r="BK576" i="11"/>
  <c r="BJ576" i="11"/>
  <c r="DK576" i="11"/>
  <c r="DJ576" i="11"/>
  <c r="E544" i="12"/>
  <c r="B580" i="11"/>
  <c r="B547" i="12"/>
  <c r="CY577" i="11"/>
  <c r="AY575" i="11"/>
  <c r="BY576" i="11"/>
  <c r="AC578" i="11"/>
  <c r="DF577" i="11"/>
  <c r="CK578" i="11"/>
  <c r="CJ578" i="11"/>
  <c r="CW578" i="11"/>
  <c r="CX578" i="11"/>
  <c r="CS578" i="11"/>
  <c r="BF577" i="11"/>
  <c r="AB579" i="11"/>
  <c r="BE578" i="11"/>
  <c r="BQ578" i="11"/>
  <c r="BR578" i="11" s="1"/>
  <c r="BT578" i="11" s="1"/>
  <c r="DD578" i="11"/>
  <c r="DE578" i="11" s="1"/>
  <c r="DG578" i="11" s="1"/>
  <c r="CD578" i="11"/>
  <c r="AX576" i="11"/>
  <c r="AW576" i="11"/>
  <c r="AS576" i="11"/>
  <c r="AQ578" i="11"/>
  <c r="AR578" i="11" s="1"/>
  <c r="AT578" i="11" s="1"/>
  <c r="CE579" i="11"/>
  <c r="CG579" i="11" s="1"/>
  <c r="DV579" i="11"/>
  <c r="DU579" i="11"/>
  <c r="DH579" i="11"/>
  <c r="DI579" i="11"/>
  <c r="CV579" i="11"/>
  <c r="CR579" i="11"/>
  <c r="CT579" i="11" s="1"/>
  <c r="CU579" i="11"/>
  <c r="CH579" i="11"/>
  <c r="CI579" i="11"/>
  <c r="BV579" i="11"/>
  <c r="BU579" i="11"/>
  <c r="BH579" i="11"/>
  <c r="BI579" i="11"/>
  <c r="AU579" i="11"/>
  <c r="AV579" i="11"/>
  <c r="AH579" i="11"/>
  <c r="AI579" i="11"/>
  <c r="BO579" i="11"/>
  <c r="BQ579" i="11" s="1"/>
  <c r="BP579" i="11"/>
  <c r="BN579" i="11"/>
  <c r="AN579" i="11"/>
  <c r="AO579" i="11"/>
  <c r="AP579" i="11"/>
  <c r="Y579" i="11"/>
  <c r="AA579" i="11"/>
  <c r="BC579" i="11"/>
  <c r="BB579" i="11"/>
  <c r="BD579" i="11" s="1"/>
  <c r="BA579" i="11"/>
  <c r="DP579" i="11"/>
  <c r="DB579" i="11"/>
  <c r="DC579" i="11"/>
  <c r="DM579" i="11"/>
  <c r="DN579" i="11"/>
  <c r="DA579" i="11"/>
  <c r="X579" i="11"/>
  <c r="CM579" i="11"/>
  <c r="CN579" i="11"/>
  <c r="CO579" i="11"/>
  <c r="BZ579" i="11"/>
  <c r="CP579" i="11"/>
  <c r="CA579" i="11"/>
  <c r="CB579" i="11"/>
  <c r="BM579" i="11"/>
  <c r="CC579" i="11"/>
  <c r="AZ579" i="11"/>
  <c r="CZ579" i="11"/>
  <c r="AM579" i="11"/>
  <c r="W580" i="11"/>
  <c r="C581" i="11"/>
  <c r="A581" i="11" s="1"/>
  <c r="Z580" i="11" l="1"/>
  <c r="F580" i="11" s="1"/>
  <c r="EB580" i="11"/>
  <c r="ED580" i="11" s="1"/>
  <c r="BK577" i="11"/>
  <c r="BL577" i="11" s="1"/>
  <c r="P580" i="11"/>
  <c r="BG578" i="11"/>
  <c r="BK578" i="11" s="1"/>
  <c r="N546" i="12"/>
  <c r="M579" i="11"/>
  <c r="L579" i="11"/>
  <c r="V546" i="12"/>
  <c r="W546" i="12" s="1"/>
  <c r="EI580" i="11"/>
  <c r="EC580" i="11"/>
  <c r="DZ580" i="11"/>
  <c r="EH580" i="11"/>
  <c r="EA580" i="11"/>
  <c r="EE579" i="11"/>
  <c r="EG579" i="11" s="1"/>
  <c r="M546" i="12"/>
  <c r="A547" i="12"/>
  <c r="N547" i="12" s="1"/>
  <c r="BX577" i="11"/>
  <c r="BY577" i="11" s="1"/>
  <c r="DK577" i="11"/>
  <c r="DL577" i="11" s="1"/>
  <c r="DL576" i="11"/>
  <c r="BL576" i="11"/>
  <c r="E545" i="12"/>
  <c r="B581" i="11"/>
  <c r="B548" i="12"/>
  <c r="CY578" i="11"/>
  <c r="AY576" i="11"/>
  <c r="CQ579" i="11"/>
  <c r="CL578" i="11"/>
  <c r="AC579" i="11"/>
  <c r="CF579" i="11"/>
  <c r="BS578" i="11"/>
  <c r="BF578" i="11"/>
  <c r="CJ579" i="11"/>
  <c r="CK579" i="11"/>
  <c r="DF578" i="11"/>
  <c r="AX577" i="11"/>
  <c r="AW577" i="11"/>
  <c r="AS577" i="11"/>
  <c r="BR579" i="11"/>
  <c r="BT579" i="11" s="1"/>
  <c r="AB580" i="11"/>
  <c r="CD579" i="11"/>
  <c r="BE579" i="11"/>
  <c r="DD579" i="11"/>
  <c r="DE579" i="11" s="1"/>
  <c r="DG579" i="11" s="1"/>
  <c r="AQ579" i="11"/>
  <c r="AR579" i="11" s="1"/>
  <c r="AT579" i="11" s="1"/>
  <c r="CE580" i="11"/>
  <c r="CG580" i="11" s="1"/>
  <c r="DV580" i="11"/>
  <c r="DU580" i="11"/>
  <c r="DH580" i="11"/>
  <c r="DI580" i="11"/>
  <c r="CV580" i="11"/>
  <c r="CR580" i="11"/>
  <c r="CT580" i="11" s="1"/>
  <c r="CU580" i="11"/>
  <c r="CH580" i="11"/>
  <c r="CI580" i="11"/>
  <c r="BU580" i="11"/>
  <c r="BV580" i="11"/>
  <c r="BH580" i="11"/>
  <c r="BI580" i="11"/>
  <c r="AU580" i="11"/>
  <c r="AV580" i="11"/>
  <c r="AH580" i="11"/>
  <c r="AI580" i="11"/>
  <c r="BP580" i="11"/>
  <c r="BN580" i="11"/>
  <c r="BO580" i="11"/>
  <c r="BQ580" i="11" s="1"/>
  <c r="W581" i="11"/>
  <c r="AN580" i="11"/>
  <c r="AO580" i="11"/>
  <c r="AP580" i="11"/>
  <c r="Y580" i="11"/>
  <c r="AA580" i="11"/>
  <c r="BA580" i="11"/>
  <c r="BB580" i="11"/>
  <c r="BD580" i="11" s="1"/>
  <c r="BC580" i="11"/>
  <c r="DM580" i="11"/>
  <c r="DN580" i="11"/>
  <c r="CZ580" i="11"/>
  <c r="DA580" i="11"/>
  <c r="DP580" i="11"/>
  <c r="DB580" i="11"/>
  <c r="DD580" i="11" s="1"/>
  <c r="CP580" i="11"/>
  <c r="CA580" i="11"/>
  <c r="AM580" i="11"/>
  <c r="DC580" i="11"/>
  <c r="CB580" i="11"/>
  <c r="X580" i="11"/>
  <c r="CC580" i="11"/>
  <c r="CM580" i="11"/>
  <c r="CN580" i="11"/>
  <c r="BM580" i="11"/>
  <c r="CO580" i="11"/>
  <c r="BZ580" i="11"/>
  <c r="AZ580" i="11"/>
  <c r="C582" i="11"/>
  <c r="A582" i="11" s="1"/>
  <c r="EB581" i="11" l="1"/>
  <c r="ED581" i="11" s="1"/>
  <c r="Z581" i="11"/>
  <c r="F581" i="11" s="1"/>
  <c r="BJ578" i="11"/>
  <c r="P581" i="11"/>
  <c r="BG579" i="11"/>
  <c r="BK579" i="11" s="1"/>
  <c r="M580" i="11"/>
  <c r="L580" i="11"/>
  <c r="DZ581" i="11"/>
  <c r="EH581" i="11"/>
  <c r="EC581" i="11"/>
  <c r="EI581" i="11"/>
  <c r="EA581" i="11"/>
  <c r="EE580" i="11"/>
  <c r="EG580" i="11" s="1"/>
  <c r="M547" i="12"/>
  <c r="V547" i="12"/>
  <c r="W547" i="12" s="1"/>
  <c r="A548" i="12"/>
  <c r="V548" i="12" s="1"/>
  <c r="BX578" i="11"/>
  <c r="BW578" i="11"/>
  <c r="DK578" i="11"/>
  <c r="DJ578" i="11"/>
  <c r="B582" i="11"/>
  <c r="E546" i="12"/>
  <c r="CL579" i="11"/>
  <c r="AY577" i="11"/>
  <c r="AC580" i="11"/>
  <c r="BL578" i="11"/>
  <c r="CK580" i="11"/>
  <c r="CJ580" i="11"/>
  <c r="CF580" i="11"/>
  <c r="CS580" i="11"/>
  <c r="CX580" i="11"/>
  <c r="CW580" i="11"/>
  <c r="DK579" i="11"/>
  <c r="DJ579" i="11"/>
  <c r="DF579" i="11"/>
  <c r="BJ579" i="11"/>
  <c r="BF579" i="11"/>
  <c r="BR580" i="11"/>
  <c r="BT580" i="11" s="1"/>
  <c r="BW579" i="11"/>
  <c r="BX579" i="11"/>
  <c r="BS579" i="11"/>
  <c r="AB581" i="11"/>
  <c r="CD580" i="11"/>
  <c r="BE580" i="11"/>
  <c r="DE580" i="11"/>
  <c r="DG580" i="11" s="1"/>
  <c r="CW579" i="11"/>
  <c r="CX579" i="11"/>
  <c r="CS579" i="11"/>
  <c r="CQ580" i="11"/>
  <c r="AW578" i="11"/>
  <c r="AX578" i="11"/>
  <c r="AS578" i="11"/>
  <c r="AQ580" i="11"/>
  <c r="AR580" i="11" s="1"/>
  <c r="AT580" i="11" s="1"/>
  <c r="CE581" i="11"/>
  <c r="CG581" i="11" s="1"/>
  <c r="DV581" i="11"/>
  <c r="DU581" i="11"/>
  <c r="DI581" i="11"/>
  <c r="DH581" i="11"/>
  <c r="CV581" i="11"/>
  <c r="CR581" i="11"/>
  <c r="CT581" i="11" s="1"/>
  <c r="CU581" i="11"/>
  <c r="CI581" i="11"/>
  <c r="CH581" i="11"/>
  <c r="BU581" i="11"/>
  <c r="BV581" i="11"/>
  <c r="BH581" i="11"/>
  <c r="BI581" i="11"/>
  <c r="AU581" i="11"/>
  <c r="AI581" i="11"/>
  <c r="AV581" i="11"/>
  <c r="AH581" i="11"/>
  <c r="BN581" i="11"/>
  <c r="BO581" i="11"/>
  <c r="BQ581" i="11" s="1"/>
  <c r="BP581" i="11"/>
  <c r="W582" i="11"/>
  <c r="AP581" i="11"/>
  <c r="AN581" i="11"/>
  <c r="Y581" i="11"/>
  <c r="AA581" i="11"/>
  <c r="AO581" i="11"/>
  <c r="BA581" i="11"/>
  <c r="BC581" i="11"/>
  <c r="BB581" i="11"/>
  <c r="BD581" i="11" s="1"/>
  <c r="DP581" i="11"/>
  <c r="DB581" i="11"/>
  <c r="DD581" i="11" s="1"/>
  <c r="DC581" i="11"/>
  <c r="DM581" i="11"/>
  <c r="DN581" i="11"/>
  <c r="AZ581" i="11"/>
  <c r="CM581" i="11"/>
  <c r="AM581" i="11"/>
  <c r="CZ581" i="11"/>
  <c r="CN581" i="11"/>
  <c r="X581" i="11"/>
  <c r="DA581" i="11"/>
  <c r="CO581" i="11"/>
  <c r="BZ581" i="11"/>
  <c r="CP581" i="11"/>
  <c r="CA581" i="11"/>
  <c r="CB581" i="11"/>
  <c r="CD581" i="11" s="1"/>
  <c r="CC581" i="11"/>
  <c r="BM581" i="11"/>
  <c r="C583" i="11"/>
  <c r="A583" i="11" s="1"/>
  <c r="EB582" i="11" l="1"/>
  <c r="ED582" i="11" s="1"/>
  <c r="Z582" i="11"/>
  <c r="F582" i="11" s="1"/>
  <c r="P582" i="11"/>
  <c r="BG580" i="11"/>
  <c r="BK580" i="11" s="1"/>
  <c r="N548" i="12"/>
  <c r="M581" i="11"/>
  <c r="AS580" i="11"/>
  <c r="AX580" i="11"/>
  <c r="L581" i="11"/>
  <c r="CY579" i="11"/>
  <c r="CW581" i="11"/>
  <c r="EE581" i="11"/>
  <c r="EG581" i="11" s="1"/>
  <c r="EI582" i="11"/>
  <c r="EC582" i="11"/>
  <c r="EA582" i="11"/>
  <c r="EH582" i="11"/>
  <c r="DZ582" i="11"/>
  <c r="W548" i="12"/>
  <c r="M548" i="12"/>
  <c r="BY578" i="11"/>
  <c r="DL578" i="11"/>
  <c r="B583" i="11"/>
  <c r="CY580" i="11"/>
  <c r="AY578" i="11"/>
  <c r="E547" i="12"/>
  <c r="CF581" i="11"/>
  <c r="CL580" i="11"/>
  <c r="DL579" i="11"/>
  <c r="BL579" i="11"/>
  <c r="AC581" i="11"/>
  <c r="BY579" i="11"/>
  <c r="CS581" i="11"/>
  <c r="BX580" i="11"/>
  <c r="BW580" i="11"/>
  <c r="CK581" i="11"/>
  <c r="AB582" i="11"/>
  <c r="DE581" i="11"/>
  <c r="DG581" i="11" s="1"/>
  <c r="CJ581" i="11"/>
  <c r="DF580" i="11"/>
  <c r="DK580" i="11"/>
  <c r="DJ580" i="11"/>
  <c r="BF580" i="11"/>
  <c r="BR581" i="11"/>
  <c r="BT581" i="11" s="1"/>
  <c r="CQ581" i="11"/>
  <c r="BS580" i="11"/>
  <c r="AW579" i="11"/>
  <c r="AX579" i="11"/>
  <c r="AS579" i="11"/>
  <c r="BE581" i="11"/>
  <c r="AQ581" i="11"/>
  <c r="AR581" i="11" s="1"/>
  <c r="AT581" i="11" s="1"/>
  <c r="CE582" i="11"/>
  <c r="CG582" i="11" s="1"/>
  <c r="DV582" i="11"/>
  <c r="DU582" i="11"/>
  <c r="DH582" i="11"/>
  <c r="DI582" i="11"/>
  <c r="CV582" i="11"/>
  <c r="CR582" i="11"/>
  <c r="CT582" i="11" s="1"/>
  <c r="CU582" i="11"/>
  <c r="CH582" i="11"/>
  <c r="CI582" i="11"/>
  <c r="BU582" i="11"/>
  <c r="BV582" i="11"/>
  <c r="BH582" i="11"/>
  <c r="BI582" i="11"/>
  <c r="AH582" i="11"/>
  <c r="AU582" i="11"/>
  <c r="AV582" i="11"/>
  <c r="AI582" i="11"/>
  <c r="BN582" i="11"/>
  <c r="BO582" i="11"/>
  <c r="BQ582" i="11" s="1"/>
  <c r="BP582" i="11"/>
  <c r="W583" i="11"/>
  <c r="AN582" i="11"/>
  <c r="AO582" i="11"/>
  <c r="AP582" i="11"/>
  <c r="Y582" i="11"/>
  <c r="AA582" i="11"/>
  <c r="BC582" i="11"/>
  <c r="BA582" i="11"/>
  <c r="BB582" i="11"/>
  <c r="BD582" i="11" s="1"/>
  <c r="DM582" i="11"/>
  <c r="DN582" i="11"/>
  <c r="CZ582" i="11"/>
  <c r="DA582" i="11"/>
  <c r="DP582" i="11"/>
  <c r="DB582" i="11"/>
  <c r="CP582" i="11"/>
  <c r="CA582" i="11"/>
  <c r="BM582" i="11"/>
  <c r="CB582" i="11"/>
  <c r="CD582" i="11" s="1"/>
  <c r="AZ582" i="11"/>
  <c r="CC582" i="11"/>
  <c r="AM582" i="11"/>
  <c r="X582" i="11"/>
  <c r="DC582" i="11"/>
  <c r="CM582" i="11"/>
  <c r="CN582" i="11"/>
  <c r="CO582" i="11"/>
  <c r="CS582" i="11" s="1"/>
  <c r="BZ582" i="11"/>
  <c r="C584" i="11"/>
  <c r="A584" i="11" s="1"/>
  <c r="Z583" i="11" l="1"/>
  <c r="F583" i="11" s="1"/>
  <c r="EB583" i="11"/>
  <c r="ED583" i="11" s="1"/>
  <c r="BJ580" i="11"/>
  <c r="BL580" i="11" s="1"/>
  <c r="P583" i="11"/>
  <c r="BG581" i="11"/>
  <c r="BK581" i="11" s="1"/>
  <c r="AW580" i="11"/>
  <c r="CX581" i="11"/>
  <c r="CY581" i="11" s="1"/>
  <c r="CJ582" i="11"/>
  <c r="CK582" i="11"/>
  <c r="B584" i="11"/>
  <c r="AC582" i="11"/>
  <c r="BS581" i="11"/>
  <c r="BX581" i="11"/>
  <c r="M582" i="11"/>
  <c r="DF581" i="11"/>
  <c r="L582" i="11"/>
  <c r="EA583" i="11"/>
  <c r="DZ583" i="11"/>
  <c r="EH583" i="11"/>
  <c r="EI583" i="11"/>
  <c r="EC583" i="11"/>
  <c r="EE582" i="11"/>
  <c r="EG582" i="11" s="1"/>
  <c r="E548" i="12"/>
  <c r="AY580" i="11"/>
  <c r="BY580" i="11"/>
  <c r="DL580" i="11"/>
  <c r="AY579" i="11"/>
  <c r="CX582" i="11"/>
  <c r="CW582" i="11"/>
  <c r="BF581" i="11"/>
  <c r="CL581" i="11"/>
  <c r="BR582" i="11"/>
  <c r="BT582" i="11" s="1"/>
  <c r="BS582" i="11" s="1"/>
  <c r="CF582" i="11"/>
  <c r="CQ582" i="11"/>
  <c r="BE582" i="11"/>
  <c r="AB583" i="11"/>
  <c r="DD582" i="11"/>
  <c r="DE582" i="11" s="1"/>
  <c r="DG582" i="11" s="1"/>
  <c r="AQ582" i="11"/>
  <c r="AR582" i="11" s="1"/>
  <c r="AT582" i="11" s="1"/>
  <c r="CE583" i="11"/>
  <c r="CG583" i="11" s="1"/>
  <c r="DV583" i="11"/>
  <c r="DU583" i="11"/>
  <c r="DH583" i="11"/>
  <c r="DI583" i="11"/>
  <c r="CU583" i="11"/>
  <c r="CR583" i="11"/>
  <c r="CV583" i="11"/>
  <c r="CH583" i="11"/>
  <c r="CI583" i="11"/>
  <c r="BU583" i="11"/>
  <c r="BV583" i="11"/>
  <c r="BH583" i="11"/>
  <c r="BI583" i="11"/>
  <c r="AU583" i="11"/>
  <c r="AV583" i="11"/>
  <c r="AI583" i="11"/>
  <c r="AH583" i="11"/>
  <c r="BO583" i="11"/>
  <c r="BQ583" i="11" s="1"/>
  <c r="BP583" i="11"/>
  <c r="BN583" i="11"/>
  <c r="W584" i="11"/>
  <c r="AN583" i="11"/>
  <c r="AP583" i="11"/>
  <c r="AO583" i="11"/>
  <c r="AA583" i="11"/>
  <c r="Y583" i="11"/>
  <c r="BC583" i="11"/>
  <c r="BA583" i="11"/>
  <c r="BB583" i="11"/>
  <c r="BD583" i="11" s="1"/>
  <c r="DP583" i="11"/>
  <c r="DB583" i="11"/>
  <c r="DC583" i="11"/>
  <c r="DM583" i="11"/>
  <c r="DN583" i="11"/>
  <c r="CM583" i="11"/>
  <c r="BM583" i="11"/>
  <c r="CN583" i="11"/>
  <c r="AZ583" i="11"/>
  <c r="CO583" i="11"/>
  <c r="CS583" i="11" s="1"/>
  <c r="BZ583" i="11"/>
  <c r="AM583" i="11"/>
  <c r="CP583" i="11"/>
  <c r="CA583" i="11"/>
  <c r="X583" i="11"/>
  <c r="CZ583" i="11"/>
  <c r="CB583" i="11"/>
  <c r="DA583" i="11"/>
  <c r="CC583" i="11"/>
  <c r="C585" i="11"/>
  <c r="A585" i="11" s="1"/>
  <c r="EB584" i="11" l="1"/>
  <c r="ED584" i="11" s="1"/>
  <c r="Z584" i="11"/>
  <c r="F584" i="11" s="1"/>
  <c r="BJ581" i="11"/>
  <c r="BL581" i="11" s="1"/>
  <c r="P584" i="11"/>
  <c r="BG582" i="11"/>
  <c r="BF582" i="11" s="1"/>
  <c r="CT583" i="11"/>
  <c r="CX583" i="11" s="1"/>
  <c r="BW581" i="11"/>
  <c r="BY581" i="11" s="1"/>
  <c r="CY582" i="11"/>
  <c r="DK581" i="11"/>
  <c r="DJ581" i="11"/>
  <c r="L583" i="11"/>
  <c r="M583" i="11"/>
  <c r="B585" i="11"/>
  <c r="CL582" i="11"/>
  <c r="AC583" i="11"/>
  <c r="EI584" i="11"/>
  <c r="DZ584" i="11"/>
  <c r="EH584" i="11"/>
  <c r="EA584" i="11"/>
  <c r="EC584" i="11"/>
  <c r="EE583" i="11"/>
  <c r="EG583" i="11" s="1"/>
  <c r="CD583" i="11"/>
  <c r="DJ582" i="11"/>
  <c r="DK582" i="11"/>
  <c r="DF582" i="11"/>
  <c r="BR583" i="11"/>
  <c r="BT583" i="11" s="1"/>
  <c r="CF583" i="11"/>
  <c r="AX581" i="11"/>
  <c r="AW581" i="11"/>
  <c r="AS581" i="11"/>
  <c r="BW582" i="11"/>
  <c r="BX582" i="11"/>
  <c r="CQ583" i="11"/>
  <c r="AB584" i="11"/>
  <c r="BE583" i="11"/>
  <c r="DD583" i="11"/>
  <c r="DE583" i="11" s="1"/>
  <c r="DG583" i="11" s="1"/>
  <c r="AQ583" i="11"/>
  <c r="AR583" i="11" s="1"/>
  <c r="AT583" i="11" s="1"/>
  <c r="CE584" i="11"/>
  <c r="CG584" i="11" s="1"/>
  <c r="DU584" i="11"/>
  <c r="DV584" i="11"/>
  <c r="DH584" i="11"/>
  <c r="DI584" i="11"/>
  <c r="CR584" i="11"/>
  <c r="CU584" i="11"/>
  <c r="CV584" i="11"/>
  <c r="CH584" i="11"/>
  <c r="CI584" i="11"/>
  <c r="BU584" i="11"/>
  <c r="BV584" i="11"/>
  <c r="BH584" i="11"/>
  <c r="AV584" i="11"/>
  <c r="AH584" i="11"/>
  <c r="BI584" i="11"/>
  <c r="AI584" i="11"/>
  <c r="AU584" i="11"/>
  <c r="BN584" i="11"/>
  <c r="BP584" i="11"/>
  <c r="BO584" i="11"/>
  <c r="W585" i="11"/>
  <c r="AO584" i="11"/>
  <c r="AP584" i="11"/>
  <c r="Y584" i="11"/>
  <c r="AA584" i="11"/>
  <c r="AN584" i="11"/>
  <c r="BA584" i="11"/>
  <c r="BB584" i="11"/>
  <c r="BD584" i="11" s="1"/>
  <c r="BC584" i="11"/>
  <c r="DM584" i="11"/>
  <c r="DN584" i="11"/>
  <c r="CZ584" i="11"/>
  <c r="DA584" i="11"/>
  <c r="DP584" i="11"/>
  <c r="DB584" i="11"/>
  <c r="CP584" i="11"/>
  <c r="CA584" i="11"/>
  <c r="CB584" i="11"/>
  <c r="CD584" i="11" s="1"/>
  <c r="CC584" i="11"/>
  <c r="BM584" i="11"/>
  <c r="AZ584" i="11"/>
  <c r="AM584" i="11"/>
  <c r="CM584" i="11"/>
  <c r="CN584" i="11"/>
  <c r="DC584" i="11"/>
  <c r="CO584" i="11"/>
  <c r="CQ584" i="11" s="1"/>
  <c r="BZ584" i="11"/>
  <c r="X584" i="11"/>
  <c r="C586" i="11"/>
  <c r="A586" i="11" s="1"/>
  <c r="EB585" i="11" l="1"/>
  <c r="ED585" i="11" s="1"/>
  <c r="Z585" i="11"/>
  <c r="F585" i="11" s="1"/>
  <c r="CT584" i="11"/>
  <c r="CW584" i="11" s="1"/>
  <c r="CW583" i="11"/>
  <c r="CY583" i="11" s="1"/>
  <c r="BJ582" i="11"/>
  <c r="BK582" i="11"/>
  <c r="P585" i="11"/>
  <c r="BG583" i="11"/>
  <c r="BJ583" i="11" s="1"/>
  <c r="AC584" i="11"/>
  <c r="M584" i="11"/>
  <c r="AY581" i="11"/>
  <c r="DL581" i="11"/>
  <c r="CJ584" i="11"/>
  <c r="CK584" i="11"/>
  <c r="BY582" i="11"/>
  <c r="L584" i="11"/>
  <c r="B586" i="11"/>
  <c r="BS583" i="11"/>
  <c r="DL582" i="11"/>
  <c r="DZ585" i="11"/>
  <c r="EH585" i="11"/>
  <c r="EC585" i="11"/>
  <c r="EI585" i="11"/>
  <c r="EA585" i="11"/>
  <c r="EE584" i="11"/>
  <c r="EG584" i="11" s="1"/>
  <c r="CS584" i="11"/>
  <c r="BQ584" i="11"/>
  <c r="BR584" i="11" s="1"/>
  <c r="BT584" i="11" s="1"/>
  <c r="CF584" i="11"/>
  <c r="BF583" i="11"/>
  <c r="BE584" i="11"/>
  <c r="DD584" i="11"/>
  <c r="DE584" i="11" s="1"/>
  <c r="DG584" i="11" s="1"/>
  <c r="AB585" i="11"/>
  <c r="DJ583" i="11"/>
  <c r="DK583" i="11"/>
  <c r="DF583" i="11"/>
  <c r="CK583" i="11"/>
  <c r="CJ583" i="11"/>
  <c r="AW582" i="11"/>
  <c r="AX582" i="11"/>
  <c r="AS582" i="11"/>
  <c r="AR584" i="11"/>
  <c r="AT584" i="11" s="1"/>
  <c r="AS584" i="11"/>
  <c r="AQ584" i="11"/>
  <c r="CE585" i="11"/>
  <c r="CG585" i="11" s="1"/>
  <c r="DV585" i="11"/>
  <c r="DU585" i="11"/>
  <c r="DH585" i="11"/>
  <c r="DI585" i="11"/>
  <c r="CR585" i="11"/>
  <c r="CU585" i="11"/>
  <c r="CV585" i="11"/>
  <c r="CH585" i="11"/>
  <c r="CI585" i="11"/>
  <c r="BU585" i="11"/>
  <c r="BV585" i="11"/>
  <c r="BI585" i="11"/>
  <c r="BH585" i="11"/>
  <c r="AU585" i="11"/>
  <c r="AV585" i="11"/>
  <c r="AH585" i="11"/>
  <c r="AI585" i="11"/>
  <c r="BN585" i="11"/>
  <c r="BO585" i="11"/>
  <c r="BP585" i="11"/>
  <c r="W586" i="11"/>
  <c r="AN585" i="11"/>
  <c r="AO585" i="11"/>
  <c r="AP585" i="11"/>
  <c r="Y585" i="11"/>
  <c r="AA585" i="11"/>
  <c r="BC585" i="11"/>
  <c r="BB585" i="11"/>
  <c r="BD585" i="11" s="1"/>
  <c r="BA585" i="11"/>
  <c r="DP585" i="11"/>
  <c r="DB585" i="11"/>
  <c r="DC585" i="11"/>
  <c r="DM585" i="11"/>
  <c r="DN585" i="11"/>
  <c r="CZ585" i="11"/>
  <c r="DA585" i="11"/>
  <c r="CM585" i="11"/>
  <c r="CN585" i="11"/>
  <c r="CO585" i="11"/>
  <c r="CQ585" i="11" s="1"/>
  <c r="BZ585" i="11"/>
  <c r="BM585" i="11"/>
  <c r="CP585" i="11"/>
  <c r="CA585" i="11"/>
  <c r="AZ585" i="11"/>
  <c r="CB585" i="11"/>
  <c r="CD585" i="11" s="1"/>
  <c r="CC585" i="11"/>
  <c r="AM585" i="11"/>
  <c r="X585" i="11"/>
  <c r="C587" i="11"/>
  <c r="A587" i="11" s="1"/>
  <c r="EB586" i="11" l="1"/>
  <c r="Z586" i="11"/>
  <c r="F586" i="11" s="1"/>
  <c r="BK583" i="11"/>
  <c r="BL583" i="11" s="1"/>
  <c r="CX584" i="11"/>
  <c r="CY584" i="11" s="1"/>
  <c r="BL582" i="11"/>
  <c r="P586" i="11"/>
  <c r="BS584" i="11"/>
  <c r="BW584" i="11"/>
  <c r="BX584" i="11"/>
  <c r="AY582" i="11"/>
  <c r="BG584" i="11"/>
  <c r="BK584" i="11" s="1"/>
  <c r="CT585" i="11"/>
  <c r="CW585" i="11" s="1"/>
  <c r="CL583" i="11"/>
  <c r="AC585" i="11"/>
  <c r="CL584" i="11"/>
  <c r="DK584" i="11"/>
  <c r="DJ584" i="11"/>
  <c r="DF584" i="11"/>
  <c r="CJ585" i="11"/>
  <c r="CK585" i="11"/>
  <c r="M585" i="11"/>
  <c r="BX583" i="11"/>
  <c r="DL583" i="11"/>
  <c r="L585" i="11"/>
  <c r="AW584" i="11"/>
  <c r="AX584" i="11"/>
  <c r="BW583" i="11"/>
  <c r="B587" i="11"/>
  <c r="EE585" i="11"/>
  <c r="EG585" i="11" s="1"/>
  <c r="EI586" i="11"/>
  <c r="EC586" i="11"/>
  <c r="ED586" i="11"/>
  <c r="EH586" i="11"/>
  <c r="DZ586" i="11"/>
  <c r="EA586" i="11"/>
  <c r="CS585" i="11"/>
  <c r="CF585" i="11"/>
  <c r="AB586" i="11"/>
  <c r="DD585" i="11"/>
  <c r="DE585" i="11" s="1"/>
  <c r="DG585" i="11" s="1"/>
  <c r="BE585" i="11"/>
  <c r="BQ585" i="11"/>
  <c r="BR585" i="11" s="1"/>
  <c r="BT585" i="11" s="1"/>
  <c r="AX583" i="11"/>
  <c r="AW583" i="11"/>
  <c r="AS583" i="11"/>
  <c r="AR585" i="11"/>
  <c r="AT585" i="11" s="1"/>
  <c r="AS585" i="11"/>
  <c r="AQ585" i="11"/>
  <c r="CE586" i="11"/>
  <c r="CG586" i="11" s="1"/>
  <c r="DU586" i="11"/>
  <c r="DV586" i="11"/>
  <c r="DI586" i="11"/>
  <c r="DH586" i="11"/>
  <c r="CR586" i="11"/>
  <c r="CV586" i="11"/>
  <c r="CU586" i="11"/>
  <c r="CI586" i="11"/>
  <c r="CH586" i="11"/>
  <c r="BU586" i="11"/>
  <c r="BV586" i="11"/>
  <c r="BI586" i="11"/>
  <c r="BH586" i="11"/>
  <c r="AU586" i="11"/>
  <c r="AV586" i="11"/>
  <c r="AH586" i="11"/>
  <c r="AI586" i="11"/>
  <c r="BN586" i="11"/>
  <c r="BO586" i="11"/>
  <c r="BP586" i="11"/>
  <c r="AO586" i="11"/>
  <c r="AN586" i="11"/>
  <c r="AP586" i="11"/>
  <c r="AA586" i="11"/>
  <c r="Y586" i="11"/>
  <c r="BB586" i="11"/>
  <c r="BD586" i="11" s="1"/>
  <c r="BA586" i="11"/>
  <c r="BC586" i="11"/>
  <c r="DM586" i="11"/>
  <c r="DN586" i="11"/>
  <c r="CZ586" i="11"/>
  <c r="DA586" i="11"/>
  <c r="DP586" i="11"/>
  <c r="DB586" i="11"/>
  <c r="CP586" i="11"/>
  <c r="CA586" i="11"/>
  <c r="CB586" i="11"/>
  <c r="CF586" i="11" s="1"/>
  <c r="DC586" i="11"/>
  <c r="CC586" i="11"/>
  <c r="BM586" i="11"/>
  <c r="CM586" i="11"/>
  <c r="AZ586" i="11"/>
  <c r="CN586" i="11"/>
  <c r="CO586" i="11"/>
  <c r="CQ586" i="11" s="1"/>
  <c r="BZ586" i="11"/>
  <c r="AM586" i="11"/>
  <c r="X586" i="11"/>
  <c r="W587" i="11"/>
  <c r="C588" i="11"/>
  <c r="A588" i="11" s="1"/>
  <c r="EB587" i="11" l="1"/>
  <c r="Z587" i="11"/>
  <c r="F587" i="11" s="1"/>
  <c r="BY584" i="11"/>
  <c r="CT586" i="11"/>
  <c r="CX586" i="11" s="1"/>
  <c r="P587" i="11"/>
  <c r="BS585" i="11"/>
  <c r="BX585" i="11"/>
  <c r="BW585" i="11"/>
  <c r="BF584" i="11"/>
  <c r="CX585" i="11"/>
  <c r="CY585" i="11" s="1"/>
  <c r="BJ584" i="11"/>
  <c r="BL584" i="11" s="1"/>
  <c r="BG585" i="11"/>
  <c r="BK585" i="11" s="1"/>
  <c r="AC586" i="11"/>
  <c r="AY584" i="11"/>
  <c r="CJ586" i="11"/>
  <c r="BY583" i="11"/>
  <c r="DL584" i="11"/>
  <c r="CL585" i="11"/>
  <c r="DJ585" i="11"/>
  <c r="DK585" i="11"/>
  <c r="DF585" i="11"/>
  <c r="B588" i="11"/>
  <c r="AY583" i="11"/>
  <c r="M586" i="11"/>
  <c r="CK586" i="11"/>
  <c r="L586" i="11"/>
  <c r="AX585" i="11"/>
  <c r="AW585" i="11"/>
  <c r="EA587" i="11"/>
  <c r="DZ587" i="11"/>
  <c r="EC587" i="11"/>
  <c r="EI587" i="11"/>
  <c r="EH587" i="11"/>
  <c r="ED587" i="11"/>
  <c r="EE586" i="11"/>
  <c r="EG586" i="11" s="1"/>
  <c r="CD586" i="11"/>
  <c r="CS586" i="11"/>
  <c r="BE586" i="11"/>
  <c r="BQ586" i="11"/>
  <c r="BR586" i="11" s="1"/>
  <c r="BT586" i="11" s="1"/>
  <c r="DD586" i="11"/>
  <c r="DE586" i="11" s="1"/>
  <c r="DG586" i="11" s="1"/>
  <c r="AB587" i="11"/>
  <c r="AR586" i="11"/>
  <c r="AT586" i="11" s="1"/>
  <c r="AS586" i="11"/>
  <c r="AQ586" i="11"/>
  <c r="CE587" i="11"/>
  <c r="CG587" i="11" s="1"/>
  <c r="DV587" i="11"/>
  <c r="DU587" i="11"/>
  <c r="DH587" i="11"/>
  <c r="DI587" i="11"/>
  <c r="CR587" i="11"/>
  <c r="CT587" i="11" s="1"/>
  <c r="CU587" i="11"/>
  <c r="CV587" i="11"/>
  <c r="CH587" i="11"/>
  <c r="CI587" i="11"/>
  <c r="BV587" i="11"/>
  <c r="BU587" i="11"/>
  <c r="BH587" i="11"/>
  <c r="BI587" i="11"/>
  <c r="AU587" i="11"/>
  <c r="AV587" i="11"/>
  <c r="AH587" i="11"/>
  <c r="AI587" i="11"/>
  <c r="BO587" i="11"/>
  <c r="BP587" i="11"/>
  <c r="BN587" i="11"/>
  <c r="W588" i="11"/>
  <c r="AN587" i="11"/>
  <c r="AO587" i="11"/>
  <c r="AP587" i="11"/>
  <c r="Y587" i="11"/>
  <c r="AA587" i="11"/>
  <c r="BA587" i="11"/>
  <c r="BC587" i="11"/>
  <c r="BB587" i="11"/>
  <c r="BD587" i="11" s="1"/>
  <c r="DP587" i="11"/>
  <c r="DB587" i="11"/>
  <c r="DC587" i="11"/>
  <c r="DM587" i="11"/>
  <c r="DN587" i="11"/>
  <c r="X587" i="11"/>
  <c r="CM587" i="11"/>
  <c r="CN587" i="11"/>
  <c r="CZ587" i="11"/>
  <c r="CO587" i="11"/>
  <c r="CQ587" i="11" s="1"/>
  <c r="BZ587" i="11"/>
  <c r="DA587" i="11"/>
  <c r="CP587" i="11"/>
  <c r="CA587" i="11"/>
  <c r="CB587" i="11"/>
  <c r="CD587" i="11" s="1"/>
  <c r="BM587" i="11"/>
  <c r="CC587" i="11"/>
  <c r="AZ587" i="11"/>
  <c r="AM587" i="11"/>
  <c r="C589" i="11"/>
  <c r="A589" i="11" s="1"/>
  <c r="EB588" i="11" l="1"/>
  <c r="ED588" i="11" s="1"/>
  <c r="Z588" i="11"/>
  <c r="F588" i="11" s="1"/>
  <c r="CW586" i="11"/>
  <c r="CY586" i="11" s="1"/>
  <c r="BY585" i="11"/>
  <c r="P588" i="11"/>
  <c r="BW586" i="11"/>
  <c r="BS586" i="11"/>
  <c r="BX586" i="11"/>
  <c r="BF585" i="11"/>
  <c r="BJ585" i="11"/>
  <c r="BL585" i="11" s="1"/>
  <c r="BG586" i="11"/>
  <c r="BJ586" i="11" s="1"/>
  <c r="AC587" i="11"/>
  <c r="CL586" i="11"/>
  <c r="AY585" i="11"/>
  <c r="CW587" i="11"/>
  <c r="CX587" i="11"/>
  <c r="DL585" i="11"/>
  <c r="DK586" i="11"/>
  <c r="DJ586" i="11"/>
  <c r="DF586" i="11"/>
  <c r="CJ587" i="11"/>
  <c r="CK587" i="11"/>
  <c r="AX586" i="11"/>
  <c r="AW586" i="11"/>
  <c r="M587" i="11"/>
  <c r="EE587" i="11"/>
  <c r="EG587" i="11" s="1"/>
  <c r="B589" i="11"/>
  <c r="L587" i="11"/>
  <c r="EI588" i="11"/>
  <c r="EH588" i="11"/>
  <c r="EA588" i="11"/>
  <c r="EC588" i="11"/>
  <c r="DZ588" i="11"/>
  <c r="DD587" i="11"/>
  <c r="DE587" i="11" s="1"/>
  <c r="DG587" i="11" s="1"/>
  <c r="BE587" i="11"/>
  <c r="AB588" i="11"/>
  <c r="CF587" i="11"/>
  <c r="CS587" i="11"/>
  <c r="BQ587" i="11"/>
  <c r="BR587" i="11" s="1"/>
  <c r="BT587" i="11" s="1"/>
  <c r="AR587" i="11"/>
  <c r="AT587" i="11" s="1"/>
  <c r="AS587" i="11"/>
  <c r="AQ587" i="11"/>
  <c r="CE588" i="11"/>
  <c r="DU588" i="11"/>
  <c r="DV588" i="11"/>
  <c r="DH588" i="11"/>
  <c r="DI588" i="11"/>
  <c r="CR588" i="11"/>
  <c r="CT588" i="11" s="1"/>
  <c r="CV588" i="11"/>
  <c r="CU588" i="11"/>
  <c r="CH588" i="11"/>
  <c r="CI588" i="11"/>
  <c r="BU588" i="11"/>
  <c r="BV588" i="11"/>
  <c r="BH588" i="11"/>
  <c r="BI588" i="11"/>
  <c r="AU588" i="11"/>
  <c r="AV588" i="11"/>
  <c r="AI588" i="11"/>
  <c r="AH588" i="11"/>
  <c r="BP588" i="11"/>
  <c r="BO588" i="11"/>
  <c r="BN588" i="11"/>
  <c r="W589" i="11"/>
  <c r="AN588" i="11"/>
  <c r="AO588" i="11"/>
  <c r="AP588" i="11"/>
  <c r="AA588" i="11"/>
  <c r="Y588" i="11"/>
  <c r="BC588" i="11"/>
  <c r="BA588" i="11"/>
  <c r="BB588" i="11"/>
  <c r="BD588" i="11" s="1"/>
  <c r="DM588" i="11"/>
  <c r="DN588" i="11"/>
  <c r="CZ588" i="11"/>
  <c r="DA588" i="11"/>
  <c r="DP588" i="11"/>
  <c r="DB588" i="11"/>
  <c r="CP588" i="11"/>
  <c r="CA588" i="11"/>
  <c r="AM588" i="11"/>
  <c r="CB588" i="11"/>
  <c r="CF588" i="11" s="1"/>
  <c r="X588" i="11"/>
  <c r="CC588" i="11"/>
  <c r="DC588" i="11"/>
  <c r="CM588" i="11"/>
  <c r="CN588" i="11"/>
  <c r="BM588" i="11"/>
  <c r="CO588" i="11"/>
  <c r="CS588" i="11" s="1"/>
  <c r="BZ588" i="11"/>
  <c r="AZ588" i="11"/>
  <c r="C590" i="11"/>
  <c r="A590" i="11" s="1"/>
  <c r="EB589" i="11" l="1"/>
  <c r="Z589" i="11"/>
  <c r="F589" i="11" s="1"/>
  <c r="BY586" i="11"/>
  <c r="P589" i="11"/>
  <c r="BW587" i="11"/>
  <c r="BX587" i="11"/>
  <c r="BS587" i="11"/>
  <c r="BK586" i="11"/>
  <c r="BL586" i="11" s="1"/>
  <c r="BF586" i="11"/>
  <c r="BG587" i="11"/>
  <c r="BK587" i="11" s="1"/>
  <c r="CG588" i="11"/>
  <c r="CK588" i="11" s="1"/>
  <c r="CL587" i="11"/>
  <c r="CY587" i="11"/>
  <c r="AY586" i="11"/>
  <c r="AC588" i="11"/>
  <c r="DJ587" i="11"/>
  <c r="DF587" i="11"/>
  <c r="DK587" i="11"/>
  <c r="DL586" i="11"/>
  <c r="CX588" i="11"/>
  <c r="CW588" i="11"/>
  <c r="AX587" i="11"/>
  <c r="AW587" i="11"/>
  <c r="L588" i="11"/>
  <c r="EE588" i="11"/>
  <c r="EG588" i="11" s="1"/>
  <c r="B590" i="11"/>
  <c r="M588" i="11"/>
  <c r="DZ589" i="11"/>
  <c r="EH589" i="11"/>
  <c r="EA589" i="11"/>
  <c r="EI589" i="11"/>
  <c r="EC589" i="11"/>
  <c r="ED589" i="11"/>
  <c r="BQ588" i="11"/>
  <c r="BR588" i="11" s="1"/>
  <c r="BT588" i="11" s="1"/>
  <c r="DD588" i="11"/>
  <c r="DE588" i="11" s="1"/>
  <c r="DG588" i="11" s="1"/>
  <c r="AB589" i="11"/>
  <c r="CD588" i="11"/>
  <c r="CQ588" i="11"/>
  <c r="BE588" i="11"/>
  <c r="AR588" i="11"/>
  <c r="AT588" i="11" s="1"/>
  <c r="AQ588" i="11"/>
  <c r="AS588" i="11"/>
  <c r="CE589" i="11"/>
  <c r="DV589" i="11"/>
  <c r="DU589" i="11"/>
  <c r="DI589" i="11"/>
  <c r="DH589" i="11"/>
  <c r="CR589" i="11"/>
  <c r="CT589" i="11" s="1"/>
  <c r="CV589" i="11"/>
  <c r="CU589" i="11"/>
  <c r="CH589" i="11"/>
  <c r="CI589" i="11"/>
  <c r="BU589" i="11"/>
  <c r="BV589" i="11"/>
  <c r="BH589" i="11"/>
  <c r="BI589" i="11"/>
  <c r="AU589" i="11"/>
  <c r="AI589" i="11"/>
  <c r="AV589" i="11"/>
  <c r="AH589" i="11"/>
  <c r="BN589" i="11"/>
  <c r="BO589" i="11"/>
  <c r="BP589" i="11"/>
  <c r="W590" i="11"/>
  <c r="AP589" i="11"/>
  <c r="AN589" i="11"/>
  <c r="Y589" i="11"/>
  <c r="AA589" i="11"/>
  <c r="AO589" i="11"/>
  <c r="BA589" i="11"/>
  <c r="BB589" i="11"/>
  <c r="BD589" i="11" s="1"/>
  <c r="BC589" i="11"/>
  <c r="DP589" i="11"/>
  <c r="DB589" i="11"/>
  <c r="DC589" i="11"/>
  <c r="DM589" i="11"/>
  <c r="DN589" i="11"/>
  <c r="AZ589" i="11"/>
  <c r="CM589" i="11"/>
  <c r="AM589" i="11"/>
  <c r="CN589" i="11"/>
  <c r="X589" i="11"/>
  <c r="CO589" i="11"/>
  <c r="CS589" i="11" s="1"/>
  <c r="BZ589" i="11"/>
  <c r="CP589" i="11"/>
  <c r="CA589" i="11"/>
  <c r="CB589" i="11"/>
  <c r="CF589" i="11" s="1"/>
  <c r="CZ589" i="11"/>
  <c r="CC589" i="11"/>
  <c r="DA589" i="11"/>
  <c r="BM589" i="11"/>
  <c r="C591" i="11"/>
  <c r="A591" i="11" s="1"/>
  <c r="Z590" i="11" l="1"/>
  <c r="F590" i="11" s="1"/>
  <c r="EB590" i="11"/>
  <c r="BY587" i="11"/>
  <c r="CG589" i="11"/>
  <c r="CK589" i="11" s="1"/>
  <c r="P590" i="11"/>
  <c r="BW588" i="11"/>
  <c r="BS588" i="11"/>
  <c r="BX588" i="11"/>
  <c r="BF587" i="11"/>
  <c r="BJ587" i="11"/>
  <c r="BL587" i="11" s="1"/>
  <c r="AC589" i="11"/>
  <c r="BG588" i="11"/>
  <c r="BK588" i="11" s="1"/>
  <c r="CY588" i="11"/>
  <c r="CJ588" i="11"/>
  <c r="CL588" i="11" s="1"/>
  <c r="AY587" i="11"/>
  <c r="DF588" i="11"/>
  <c r="DJ588" i="11"/>
  <c r="DK588" i="11"/>
  <c r="DL587" i="11"/>
  <c r="CW589" i="11"/>
  <c r="CX589" i="11"/>
  <c r="AX588" i="11"/>
  <c r="AW588" i="11"/>
  <c r="M589" i="11"/>
  <c r="B591" i="11"/>
  <c r="L589" i="11"/>
  <c r="EE589" i="11"/>
  <c r="EG589" i="11" s="1"/>
  <c r="EI590" i="11"/>
  <c r="EC590" i="11"/>
  <c r="ED590" i="11"/>
  <c r="EH590" i="11"/>
  <c r="DZ590" i="11"/>
  <c r="EA590" i="11"/>
  <c r="CD589" i="11"/>
  <c r="CQ589" i="11"/>
  <c r="BE589" i="11"/>
  <c r="DD589" i="11"/>
  <c r="DE589" i="11" s="1"/>
  <c r="DG589" i="11" s="1"/>
  <c r="AB590" i="11"/>
  <c r="BQ589" i="11"/>
  <c r="BR589" i="11" s="1"/>
  <c r="BT589" i="11" s="1"/>
  <c r="AR589" i="11"/>
  <c r="AT589" i="11" s="1"/>
  <c r="AS589" i="11"/>
  <c r="AQ589" i="11"/>
  <c r="CE590" i="11"/>
  <c r="DU590" i="11"/>
  <c r="DV590" i="11"/>
  <c r="DH590" i="11"/>
  <c r="DI590" i="11"/>
  <c r="CV590" i="11"/>
  <c r="CR590" i="11"/>
  <c r="CT590" i="11" s="1"/>
  <c r="CU590" i="11"/>
  <c r="CH590" i="11"/>
  <c r="CI590" i="11"/>
  <c r="BU590" i="11"/>
  <c r="BV590" i="11"/>
  <c r="BH590" i="11"/>
  <c r="BI590" i="11"/>
  <c r="AU590" i="11"/>
  <c r="AH590" i="11"/>
  <c r="AV590" i="11"/>
  <c r="AI590" i="11"/>
  <c r="BN590" i="11"/>
  <c r="BO590" i="11"/>
  <c r="BP590" i="11"/>
  <c r="AN590" i="11"/>
  <c r="AO590" i="11"/>
  <c r="AP590" i="11"/>
  <c r="Y590" i="11"/>
  <c r="AA590" i="11"/>
  <c r="BA590" i="11"/>
  <c r="BB590" i="11"/>
  <c r="BD590" i="11" s="1"/>
  <c r="BC590" i="11"/>
  <c r="DM590" i="11"/>
  <c r="DN590" i="11"/>
  <c r="CZ590" i="11"/>
  <c r="DA590" i="11"/>
  <c r="DP590" i="11"/>
  <c r="DB590" i="11"/>
  <c r="DC590" i="11"/>
  <c r="CP590" i="11"/>
  <c r="CA590" i="11"/>
  <c r="BM590" i="11"/>
  <c r="CB590" i="11"/>
  <c r="CD590" i="11" s="1"/>
  <c r="AZ590" i="11"/>
  <c r="CC590" i="11"/>
  <c r="AM590" i="11"/>
  <c r="X590" i="11"/>
  <c r="CM590" i="11"/>
  <c r="CN590" i="11"/>
  <c r="CO590" i="11"/>
  <c r="CQ590" i="11" s="1"/>
  <c r="BZ590" i="11"/>
  <c r="W591" i="11"/>
  <c r="C592" i="11"/>
  <c r="A592" i="11" s="1"/>
  <c r="EB591" i="11" l="1"/>
  <c r="Z591" i="11"/>
  <c r="F591" i="11" s="1"/>
  <c r="CJ589" i="11"/>
  <c r="CL589" i="11" s="1"/>
  <c r="CG590" i="11"/>
  <c r="BY588" i="11"/>
  <c r="P591" i="11"/>
  <c r="BW589" i="11"/>
  <c r="BS589" i="11"/>
  <c r="BJ588" i="11"/>
  <c r="BL588" i="11" s="1"/>
  <c r="BF588" i="11"/>
  <c r="BX589" i="11"/>
  <c r="BG589" i="11"/>
  <c r="BK589" i="11" s="1"/>
  <c r="AY588" i="11"/>
  <c r="AC590" i="11"/>
  <c r="CW590" i="11"/>
  <c r="CX590" i="11"/>
  <c r="CY589" i="11"/>
  <c r="DF589" i="11"/>
  <c r="DK589" i="11"/>
  <c r="DJ589" i="11"/>
  <c r="DL588" i="11"/>
  <c r="CK590" i="11"/>
  <c r="CJ590" i="11"/>
  <c r="L590" i="11"/>
  <c r="AX589" i="11"/>
  <c r="AW589" i="11"/>
  <c r="B592" i="11"/>
  <c r="M590" i="11"/>
  <c r="EA591" i="11"/>
  <c r="EI591" i="11"/>
  <c r="DZ591" i="11"/>
  <c r="ED591" i="11"/>
  <c r="EH591" i="11"/>
  <c r="EC591" i="11"/>
  <c r="EE590" i="11"/>
  <c r="EG590" i="11" s="1"/>
  <c r="DD590" i="11"/>
  <c r="DE590" i="11" s="1"/>
  <c r="DG590" i="11" s="1"/>
  <c r="BE590" i="11"/>
  <c r="CS590" i="11"/>
  <c r="CF590" i="11"/>
  <c r="AB591" i="11"/>
  <c r="BQ590" i="11"/>
  <c r="BR590" i="11" s="1"/>
  <c r="BT590" i="11" s="1"/>
  <c r="AR590" i="11"/>
  <c r="AT590" i="11" s="1"/>
  <c r="AQ590" i="11"/>
  <c r="AS590" i="11"/>
  <c r="CE591" i="11"/>
  <c r="CG591" i="11" s="1"/>
  <c r="DV591" i="11"/>
  <c r="DU591" i="11"/>
  <c r="DH591" i="11"/>
  <c r="DI591" i="11"/>
  <c r="CU591" i="11"/>
  <c r="CR591" i="11"/>
  <c r="CT591" i="11" s="1"/>
  <c r="CV591" i="11"/>
  <c r="CH591" i="11"/>
  <c r="CI591" i="11"/>
  <c r="BU591" i="11"/>
  <c r="BV591" i="11"/>
  <c r="BH591" i="11"/>
  <c r="BI591" i="11"/>
  <c r="AI591" i="11"/>
  <c r="AU591" i="11"/>
  <c r="AV591" i="11"/>
  <c r="AH591" i="11"/>
  <c r="BO591" i="11"/>
  <c r="BP591" i="11"/>
  <c r="BN591" i="11"/>
  <c r="AP591" i="11"/>
  <c r="AN591" i="11"/>
  <c r="AO591" i="11"/>
  <c r="AA591" i="11"/>
  <c r="Y591" i="11"/>
  <c r="BC591" i="11"/>
  <c r="BB591" i="11"/>
  <c r="BD591" i="11" s="1"/>
  <c r="BA591" i="11"/>
  <c r="DP591" i="11"/>
  <c r="DB591" i="11"/>
  <c r="DC591" i="11"/>
  <c r="DM591" i="11"/>
  <c r="DN591" i="11"/>
  <c r="CZ591" i="11"/>
  <c r="CM591" i="11"/>
  <c r="BM591" i="11"/>
  <c r="DA591" i="11"/>
  <c r="CN591" i="11"/>
  <c r="AZ591" i="11"/>
  <c r="CO591" i="11"/>
  <c r="CS591" i="11" s="1"/>
  <c r="BZ591" i="11"/>
  <c r="AM591" i="11"/>
  <c r="CP591" i="11"/>
  <c r="CA591" i="11"/>
  <c r="X591" i="11"/>
  <c r="CB591" i="11"/>
  <c r="CD591" i="11" s="1"/>
  <c r="CC591" i="11"/>
  <c r="W592" i="11"/>
  <c r="C593" i="11"/>
  <c r="A593" i="11" s="1"/>
  <c r="Z592" i="11" l="1"/>
  <c r="F592" i="11" s="1"/>
  <c r="EB592" i="11"/>
  <c r="ED592" i="11" s="1"/>
  <c r="BY589" i="11"/>
  <c r="P592" i="11"/>
  <c r="BF589" i="11"/>
  <c r="BW590" i="11"/>
  <c r="BX590" i="11"/>
  <c r="BS590" i="11"/>
  <c r="BJ589" i="11"/>
  <c r="BL589" i="11" s="1"/>
  <c r="BG590" i="11"/>
  <c r="BK590" i="11" s="1"/>
  <c r="DL589" i="11"/>
  <c r="AC591" i="11"/>
  <c r="AY589" i="11"/>
  <c r="CL590" i="11"/>
  <c r="CY590" i="11"/>
  <c r="DJ590" i="11"/>
  <c r="DF590" i="11"/>
  <c r="DK590" i="11"/>
  <c r="CW591" i="11"/>
  <c r="CX591" i="11"/>
  <c r="CJ591" i="11"/>
  <c r="CK591" i="11"/>
  <c r="B593" i="11"/>
  <c r="AX590" i="11"/>
  <c r="AW590" i="11"/>
  <c r="L591" i="11"/>
  <c r="M591" i="11"/>
  <c r="DZ592" i="11"/>
  <c r="EH592" i="11"/>
  <c r="EA592" i="11"/>
  <c r="EI592" i="11"/>
  <c r="EC592" i="11"/>
  <c r="EE591" i="11"/>
  <c r="EG591" i="11" s="1"/>
  <c r="CQ591" i="11"/>
  <c r="BE591" i="11"/>
  <c r="DD591" i="11"/>
  <c r="DE591" i="11" s="1"/>
  <c r="DG591" i="11" s="1"/>
  <c r="AB592" i="11"/>
  <c r="BQ591" i="11"/>
  <c r="BR591" i="11" s="1"/>
  <c r="BT591" i="11" s="1"/>
  <c r="CF591" i="11"/>
  <c r="AR591" i="11"/>
  <c r="AT591" i="11" s="1"/>
  <c r="AS591" i="11"/>
  <c r="AQ591" i="11"/>
  <c r="CE592" i="11"/>
  <c r="CG592" i="11" s="1"/>
  <c r="DU592" i="11"/>
  <c r="DV592" i="11"/>
  <c r="DH592" i="11"/>
  <c r="DI592" i="11"/>
  <c r="CR592" i="11"/>
  <c r="CT592" i="11" s="1"/>
  <c r="CV592" i="11"/>
  <c r="CU592" i="11"/>
  <c r="CH592" i="11"/>
  <c r="CI592" i="11"/>
  <c r="BU592" i="11"/>
  <c r="BV592" i="11"/>
  <c r="BH592" i="11"/>
  <c r="BI592" i="11"/>
  <c r="AV592" i="11"/>
  <c r="AU592" i="11"/>
  <c r="AH592" i="11"/>
  <c r="AI592" i="11"/>
  <c r="BN592" i="11"/>
  <c r="BP592" i="11"/>
  <c r="BO592" i="11"/>
  <c r="AO592" i="11"/>
  <c r="AP592" i="11"/>
  <c r="AN592" i="11"/>
  <c r="Y592" i="11"/>
  <c r="AA592" i="11"/>
  <c r="BA592" i="11"/>
  <c r="BB592" i="11"/>
  <c r="BD592" i="11" s="1"/>
  <c r="BC592" i="11"/>
  <c r="DM592" i="11"/>
  <c r="DN592" i="11"/>
  <c r="CZ592" i="11"/>
  <c r="DA592" i="11"/>
  <c r="DP592" i="11"/>
  <c r="DB592" i="11"/>
  <c r="CP592" i="11"/>
  <c r="CA592" i="11"/>
  <c r="CB592" i="11"/>
  <c r="CD592" i="11" s="1"/>
  <c r="CC592" i="11"/>
  <c r="BM592" i="11"/>
  <c r="DC592" i="11"/>
  <c r="AZ592" i="11"/>
  <c r="AM592" i="11"/>
  <c r="CM592" i="11"/>
  <c r="CN592" i="11"/>
  <c r="CO592" i="11"/>
  <c r="CS592" i="11" s="1"/>
  <c r="BZ592" i="11"/>
  <c r="X592" i="11"/>
  <c r="W593" i="11"/>
  <c r="C594" i="11"/>
  <c r="A594" i="11" s="1"/>
  <c r="EB593" i="11" l="1"/>
  <c r="ED593" i="11" s="1"/>
  <c r="Z593" i="11"/>
  <c r="F593" i="11" s="1"/>
  <c r="P593" i="11"/>
  <c r="BY590" i="11"/>
  <c r="AC592" i="11"/>
  <c r="BX591" i="11"/>
  <c r="BW591" i="11"/>
  <c r="BS591" i="11"/>
  <c r="BF590" i="11"/>
  <c r="BJ590" i="11"/>
  <c r="BL590" i="11" s="1"/>
  <c r="BG591" i="11"/>
  <c r="BJ591" i="11" s="1"/>
  <c r="CL591" i="11"/>
  <c r="CY591" i="11"/>
  <c r="AY590" i="11"/>
  <c r="DL590" i="11"/>
  <c r="DJ591" i="11"/>
  <c r="DK591" i="11"/>
  <c r="DF591" i="11"/>
  <c r="CX592" i="11"/>
  <c r="CW592" i="11"/>
  <c r="CK592" i="11"/>
  <c r="CJ592" i="11"/>
  <c r="B594" i="11"/>
  <c r="AW591" i="11"/>
  <c r="AX591" i="11"/>
  <c r="M592" i="11"/>
  <c r="L592" i="11"/>
  <c r="EE592" i="11"/>
  <c r="EG592" i="11" s="1"/>
  <c r="EI593" i="11"/>
  <c r="EC593" i="11"/>
  <c r="EH593" i="11"/>
  <c r="DZ593" i="11"/>
  <c r="EA593" i="11"/>
  <c r="CF592" i="11"/>
  <c r="CQ592" i="11"/>
  <c r="BE592" i="11"/>
  <c r="DD592" i="11"/>
  <c r="DE592" i="11" s="1"/>
  <c r="DG592" i="11" s="1"/>
  <c r="AB593" i="11"/>
  <c r="BQ592" i="11"/>
  <c r="BR592" i="11" s="1"/>
  <c r="BT592" i="11" s="1"/>
  <c r="AR592" i="11"/>
  <c r="AT592" i="11" s="1"/>
  <c r="AS592" i="11"/>
  <c r="AQ592" i="11"/>
  <c r="CE593" i="11"/>
  <c r="CG593" i="11" s="1"/>
  <c r="DV593" i="11"/>
  <c r="DU593" i="11"/>
  <c r="DH593" i="11"/>
  <c r="DI593" i="11"/>
  <c r="CR593" i="11"/>
  <c r="CT593" i="11" s="1"/>
  <c r="CV593" i="11"/>
  <c r="CU593" i="11"/>
  <c r="CH593" i="11"/>
  <c r="CI593" i="11"/>
  <c r="BU593" i="11"/>
  <c r="BV593" i="11"/>
  <c r="BI593" i="11"/>
  <c r="AU593" i="11"/>
  <c r="BH593" i="11"/>
  <c r="AV593" i="11"/>
  <c r="AH593" i="11"/>
  <c r="AI593" i="11"/>
  <c r="BN593" i="11"/>
  <c r="BP593" i="11"/>
  <c r="BO593" i="11"/>
  <c r="W594" i="11"/>
  <c r="AN593" i="11"/>
  <c r="AO593" i="11"/>
  <c r="AP593" i="11"/>
  <c r="Y593" i="11"/>
  <c r="AA593" i="11"/>
  <c r="BC593" i="11"/>
  <c r="BB593" i="11"/>
  <c r="BD593" i="11" s="1"/>
  <c r="BA593" i="11"/>
  <c r="DP593" i="11"/>
  <c r="DB593" i="11"/>
  <c r="DC593" i="11"/>
  <c r="DM593" i="11"/>
  <c r="DN593" i="11"/>
  <c r="CM593" i="11"/>
  <c r="CN593" i="11"/>
  <c r="CO593" i="11"/>
  <c r="CS593" i="11" s="1"/>
  <c r="BZ593" i="11"/>
  <c r="BM593" i="11"/>
  <c r="CZ593" i="11"/>
  <c r="CP593" i="11"/>
  <c r="CA593" i="11"/>
  <c r="AZ593" i="11"/>
  <c r="DA593" i="11"/>
  <c r="CB593" i="11"/>
  <c r="CF593" i="11" s="1"/>
  <c r="CC593" i="11"/>
  <c r="AM593" i="11"/>
  <c r="X593" i="11"/>
  <c r="C595" i="11"/>
  <c r="A595" i="11" s="1"/>
  <c r="EB594" i="11" l="1"/>
  <c r="Z594" i="11"/>
  <c r="F594" i="11" s="1"/>
  <c r="BY591" i="11"/>
  <c r="P594" i="11"/>
  <c r="BX592" i="11"/>
  <c r="BW592" i="11"/>
  <c r="BS592" i="11"/>
  <c r="BK591" i="11"/>
  <c r="BL591" i="11" s="1"/>
  <c r="BF591" i="11"/>
  <c r="BG592" i="11"/>
  <c r="BK592" i="11" s="1"/>
  <c r="CL592" i="11"/>
  <c r="AY591" i="11"/>
  <c r="CY592" i="11"/>
  <c r="AC593" i="11"/>
  <c r="DL591" i="11"/>
  <c r="DK592" i="11"/>
  <c r="DJ592" i="11"/>
  <c r="DF592" i="11"/>
  <c r="CW593" i="11"/>
  <c r="CX593" i="11"/>
  <c r="CJ593" i="11"/>
  <c r="CK593" i="11"/>
  <c r="AX592" i="11"/>
  <c r="AW592" i="11"/>
  <c r="B595" i="11"/>
  <c r="EE593" i="11"/>
  <c r="EG593" i="11" s="1"/>
  <c r="M593" i="11"/>
  <c r="L593" i="11"/>
  <c r="EA594" i="11"/>
  <c r="DZ594" i="11"/>
  <c r="EI594" i="11"/>
  <c r="EC594" i="11"/>
  <c r="ED594" i="11"/>
  <c r="EH594" i="11"/>
  <c r="DD593" i="11"/>
  <c r="DE593" i="11" s="1"/>
  <c r="DG593" i="11" s="1"/>
  <c r="BE593" i="11"/>
  <c r="BQ593" i="11"/>
  <c r="BR593" i="11" s="1"/>
  <c r="BT593" i="11" s="1"/>
  <c r="CD593" i="11"/>
  <c r="AB594" i="11"/>
  <c r="CQ593" i="11"/>
  <c r="AR593" i="11"/>
  <c r="AT593" i="11" s="1"/>
  <c r="AS593" i="11"/>
  <c r="AQ593" i="11"/>
  <c r="CE594" i="11"/>
  <c r="DU594" i="11"/>
  <c r="DV594" i="11"/>
  <c r="DI594" i="11"/>
  <c r="DH594" i="11"/>
  <c r="CR594" i="11"/>
  <c r="CT594" i="11" s="1"/>
  <c r="CU594" i="11"/>
  <c r="CV594" i="11"/>
  <c r="CH594" i="11"/>
  <c r="CI594" i="11"/>
  <c r="BU594" i="11"/>
  <c r="BI594" i="11"/>
  <c r="BV594" i="11"/>
  <c r="BH594" i="11"/>
  <c r="AU594" i="11"/>
  <c r="AV594" i="11"/>
  <c r="AH594" i="11"/>
  <c r="AI594" i="11"/>
  <c r="BN594" i="11"/>
  <c r="BO594" i="11"/>
  <c r="BP594" i="11"/>
  <c r="W595" i="11"/>
  <c r="AP594" i="11"/>
  <c r="AO594" i="11"/>
  <c r="AA594" i="11"/>
  <c r="Y594" i="11"/>
  <c r="AN594" i="11"/>
  <c r="BB594" i="11"/>
  <c r="BD594" i="11" s="1"/>
  <c r="BA594" i="11"/>
  <c r="BC594" i="11"/>
  <c r="DM594" i="11"/>
  <c r="DN594" i="11"/>
  <c r="CZ594" i="11"/>
  <c r="DA594" i="11"/>
  <c r="DP594" i="11"/>
  <c r="DB594" i="11"/>
  <c r="CP594" i="11"/>
  <c r="CA594" i="11"/>
  <c r="CB594" i="11"/>
  <c r="CF594" i="11" s="1"/>
  <c r="CC594" i="11"/>
  <c r="BM594" i="11"/>
  <c r="CM594" i="11"/>
  <c r="AZ594" i="11"/>
  <c r="DC594" i="11"/>
  <c r="CN594" i="11"/>
  <c r="CO594" i="11"/>
  <c r="CS594" i="11" s="1"/>
  <c r="BZ594" i="11"/>
  <c r="AM594" i="11"/>
  <c r="X594" i="11"/>
  <c r="C596" i="11"/>
  <c r="A596" i="11" s="1"/>
  <c r="EB595" i="11" l="1"/>
  <c r="ED595" i="11" s="1"/>
  <c r="Z595" i="11"/>
  <c r="F595" i="11" s="1"/>
  <c r="BY592" i="11"/>
  <c r="P595" i="11"/>
  <c r="AC594" i="11"/>
  <c r="BJ592" i="11"/>
  <c r="BL592" i="11" s="1"/>
  <c r="BX593" i="11"/>
  <c r="BW593" i="11"/>
  <c r="BS593" i="11"/>
  <c r="BF592" i="11"/>
  <c r="BG593" i="11"/>
  <c r="BK593" i="11" s="1"/>
  <c r="CG594" i="11"/>
  <c r="CK594" i="11" s="1"/>
  <c r="AY592" i="11"/>
  <c r="CL593" i="11"/>
  <c r="DL592" i="11"/>
  <c r="CY593" i="11"/>
  <c r="DF593" i="11"/>
  <c r="DK593" i="11"/>
  <c r="DJ593" i="11"/>
  <c r="CX594" i="11"/>
  <c r="CW594" i="11"/>
  <c r="L594" i="11"/>
  <c r="AW593" i="11"/>
  <c r="AX593" i="11"/>
  <c r="M594" i="11"/>
  <c r="B596" i="11"/>
  <c r="EI595" i="11"/>
  <c r="EC595" i="11"/>
  <c r="EA595" i="11"/>
  <c r="DZ595" i="11"/>
  <c r="EH595" i="11"/>
  <c r="EE594" i="11"/>
  <c r="EG594" i="11" s="1"/>
  <c r="CQ594" i="11"/>
  <c r="BE594" i="11"/>
  <c r="BQ594" i="11"/>
  <c r="BR594" i="11" s="1"/>
  <c r="BT594" i="11" s="1"/>
  <c r="DD594" i="11"/>
  <c r="DE594" i="11" s="1"/>
  <c r="DG594" i="11" s="1"/>
  <c r="AB595" i="11"/>
  <c r="CD594" i="11"/>
  <c r="AR594" i="11"/>
  <c r="AT594" i="11" s="1"/>
  <c r="AS594" i="11"/>
  <c r="AQ594" i="11"/>
  <c r="CE595" i="11"/>
  <c r="CG595" i="11" s="1"/>
  <c r="DV595" i="11"/>
  <c r="DU595" i="11"/>
  <c r="DH595" i="11"/>
  <c r="DI595" i="11"/>
  <c r="CR595" i="11"/>
  <c r="CT595" i="11" s="1"/>
  <c r="CU595" i="11"/>
  <c r="CV595" i="11"/>
  <c r="CH595" i="11"/>
  <c r="CI595" i="11"/>
  <c r="BV595" i="11"/>
  <c r="BU595" i="11"/>
  <c r="BH595" i="11"/>
  <c r="BI595" i="11"/>
  <c r="AU595" i="11"/>
  <c r="AV595" i="11"/>
  <c r="AH595" i="11"/>
  <c r="AI595" i="11"/>
  <c r="BO595" i="11"/>
  <c r="BP595" i="11"/>
  <c r="BN595" i="11"/>
  <c r="W596" i="11"/>
  <c r="AN595" i="11"/>
  <c r="AO595" i="11"/>
  <c r="AP595" i="11"/>
  <c r="Y595" i="11"/>
  <c r="AA595" i="11"/>
  <c r="BA595" i="11"/>
  <c r="BB595" i="11"/>
  <c r="BD595" i="11" s="1"/>
  <c r="BC595" i="11"/>
  <c r="DP595" i="11"/>
  <c r="DB595" i="11"/>
  <c r="DC595" i="11"/>
  <c r="DM595" i="11"/>
  <c r="DN595" i="11"/>
  <c r="DA595" i="11"/>
  <c r="X595" i="11"/>
  <c r="CM595" i="11"/>
  <c r="CN595" i="11"/>
  <c r="CO595" i="11"/>
  <c r="CQ595" i="11" s="1"/>
  <c r="BZ595" i="11"/>
  <c r="CP595" i="11"/>
  <c r="CA595" i="11"/>
  <c r="CB595" i="11"/>
  <c r="CF595" i="11" s="1"/>
  <c r="BM595" i="11"/>
  <c r="CC595" i="11"/>
  <c r="AZ595" i="11"/>
  <c r="CZ595" i="11"/>
  <c r="AM595" i="11"/>
  <c r="C597" i="11"/>
  <c r="A597" i="11" s="1"/>
  <c r="Z596" i="11" l="1"/>
  <c r="F596" i="11" s="1"/>
  <c r="EB596" i="11"/>
  <c r="ED596" i="11" s="1"/>
  <c r="BY593" i="11"/>
  <c r="P596" i="11"/>
  <c r="BX594" i="11"/>
  <c r="BW594" i="11"/>
  <c r="BS594" i="11"/>
  <c r="BJ593" i="11"/>
  <c r="BL593" i="11" s="1"/>
  <c r="CJ594" i="11"/>
  <c r="CL594" i="11" s="1"/>
  <c r="BG594" i="11"/>
  <c r="BK594" i="11" s="1"/>
  <c r="BF593" i="11"/>
  <c r="AY593" i="11"/>
  <c r="CY594" i="11"/>
  <c r="CK595" i="11"/>
  <c r="AC595" i="11"/>
  <c r="DL593" i="11"/>
  <c r="DF594" i="11"/>
  <c r="DJ594" i="11"/>
  <c r="DK594" i="11"/>
  <c r="CW595" i="11"/>
  <c r="CX595" i="11"/>
  <c r="AW594" i="11"/>
  <c r="AX594" i="11"/>
  <c r="CJ595" i="11"/>
  <c r="M595" i="11"/>
  <c r="B597" i="11"/>
  <c r="L595" i="11"/>
  <c r="DZ596" i="11"/>
  <c r="EH596" i="11"/>
  <c r="EI596" i="11"/>
  <c r="EA596" i="11"/>
  <c r="EC596" i="11"/>
  <c r="EE595" i="11"/>
  <c r="EG595" i="11" s="1"/>
  <c r="CS595" i="11"/>
  <c r="BE595" i="11"/>
  <c r="BQ595" i="11"/>
  <c r="BR595" i="11" s="1"/>
  <c r="BT595" i="11" s="1"/>
  <c r="DD595" i="11"/>
  <c r="DE595" i="11" s="1"/>
  <c r="DG595" i="11" s="1"/>
  <c r="AB596" i="11"/>
  <c r="CD595" i="11"/>
  <c r="AR595" i="11"/>
  <c r="AT595" i="11" s="1"/>
  <c r="AS595" i="11"/>
  <c r="AQ595" i="11"/>
  <c r="CE596" i="11"/>
  <c r="DU596" i="11"/>
  <c r="DV596" i="11"/>
  <c r="DH596" i="11"/>
  <c r="DI596" i="11"/>
  <c r="CR596" i="11"/>
  <c r="CT596" i="11" s="1"/>
  <c r="CU596" i="11"/>
  <c r="CV596" i="11"/>
  <c r="CH596" i="11"/>
  <c r="CI596" i="11"/>
  <c r="BU596" i="11"/>
  <c r="BV596" i="11"/>
  <c r="BH596" i="11"/>
  <c r="BI596" i="11"/>
  <c r="AU596" i="11"/>
  <c r="AV596" i="11"/>
  <c r="AH596" i="11"/>
  <c r="AI596" i="11"/>
  <c r="BP596" i="11"/>
  <c r="BN596" i="11"/>
  <c r="BO596" i="11"/>
  <c r="AO596" i="11"/>
  <c r="AP596" i="11"/>
  <c r="AN596" i="11"/>
  <c r="Y596" i="11"/>
  <c r="AA596" i="11"/>
  <c r="BA596" i="11"/>
  <c r="BB596" i="11"/>
  <c r="BD596" i="11" s="1"/>
  <c r="BC596" i="11"/>
  <c r="DM596" i="11"/>
  <c r="DN596" i="11"/>
  <c r="CZ596" i="11"/>
  <c r="DA596" i="11"/>
  <c r="DP596" i="11"/>
  <c r="DB596" i="11"/>
  <c r="CP596" i="11"/>
  <c r="CA596" i="11"/>
  <c r="AM596" i="11"/>
  <c r="DC596" i="11"/>
  <c r="CB596" i="11"/>
  <c r="CF596" i="11" s="1"/>
  <c r="X596" i="11"/>
  <c r="CC596" i="11"/>
  <c r="CM596" i="11"/>
  <c r="CN596" i="11"/>
  <c r="BM596" i="11"/>
  <c r="CO596" i="11"/>
  <c r="CQ596" i="11" s="1"/>
  <c r="BZ596" i="11"/>
  <c r="AZ596" i="11"/>
  <c r="W597" i="11"/>
  <c r="C598" i="11"/>
  <c r="A598" i="11" s="1"/>
  <c r="EB597" i="11" l="1"/>
  <c r="Z597" i="11"/>
  <c r="F597" i="11" s="1"/>
  <c r="BY594" i="11"/>
  <c r="P597" i="11"/>
  <c r="BG595" i="11"/>
  <c r="BJ595" i="11" s="1"/>
  <c r="BJ594" i="11"/>
  <c r="BL594" i="11" s="1"/>
  <c r="BF594" i="11"/>
  <c r="BX595" i="11"/>
  <c r="BS595" i="11"/>
  <c r="BW595" i="11"/>
  <c r="CL595" i="11"/>
  <c r="BF595" i="11"/>
  <c r="AC596" i="11"/>
  <c r="CG596" i="11"/>
  <c r="CK596" i="11" s="1"/>
  <c r="CY595" i="11"/>
  <c r="AY594" i="11"/>
  <c r="DF595" i="11"/>
  <c r="DJ595" i="11"/>
  <c r="DK595" i="11"/>
  <c r="DL594" i="11"/>
  <c r="CW596" i="11"/>
  <c r="CX596" i="11"/>
  <c r="AW595" i="11"/>
  <c r="AX595" i="11"/>
  <c r="M596" i="11"/>
  <c r="B598" i="11"/>
  <c r="L596" i="11"/>
  <c r="EI597" i="11"/>
  <c r="EC597" i="11"/>
  <c r="ED597" i="11"/>
  <c r="DZ597" i="11"/>
  <c r="EH597" i="11"/>
  <c r="EA597" i="11"/>
  <c r="EE596" i="11"/>
  <c r="EG596" i="11" s="1"/>
  <c r="DD596" i="11"/>
  <c r="DE596" i="11" s="1"/>
  <c r="DG596" i="11" s="1"/>
  <c r="BE596" i="11"/>
  <c r="BG596" i="11" s="1"/>
  <c r="CS596" i="11"/>
  <c r="BQ596" i="11"/>
  <c r="BR596" i="11" s="1"/>
  <c r="BT596" i="11" s="1"/>
  <c r="CD596" i="11"/>
  <c r="AB597" i="11"/>
  <c r="AR596" i="11"/>
  <c r="AT596" i="11" s="1"/>
  <c r="AQ596" i="11"/>
  <c r="AS596" i="11"/>
  <c r="CE597" i="11"/>
  <c r="DV597" i="11"/>
  <c r="DU597" i="11"/>
  <c r="DI597" i="11"/>
  <c r="DH597" i="11"/>
  <c r="CR597" i="11"/>
  <c r="CT597" i="11" s="1"/>
  <c r="CV597" i="11"/>
  <c r="CU597" i="11"/>
  <c r="CH597" i="11"/>
  <c r="CI597" i="11"/>
  <c r="BU597" i="11"/>
  <c r="BV597" i="11"/>
  <c r="BH597" i="11"/>
  <c r="BI597" i="11"/>
  <c r="AU597" i="11"/>
  <c r="AV597" i="11"/>
  <c r="AI597" i="11"/>
  <c r="AH597" i="11"/>
  <c r="BN597" i="11"/>
  <c r="BO597" i="11"/>
  <c r="BP597" i="11"/>
  <c r="W598" i="11"/>
  <c r="AN597" i="11"/>
  <c r="AO597" i="11"/>
  <c r="AP597" i="11"/>
  <c r="Y597" i="11"/>
  <c r="AA597" i="11"/>
  <c r="BA597" i="11"/>
  <c r="BC597" i="11"/>
  <c r="BB597" i="11"/>
  <c r="BD597" i="11" s="1"/>
  <c r="DP597" i="11"/>
  <c r="DB597" i="11"/>
  <c r="DC597" i="11"/>
  <c r="DM597" i="11"/>
  <c r="DN597" i="11"/>
  <c r="AZ597" i="11"/>
  <c r="CM597" i="11"/>
  <c r="AM597" i="11"/>
  <c r="CZ597" i="11"/>
  <c r="CN597" i="11"/>
  <c r="X597" i="11"/>
  <c r="DA597" i="11"/>
  <c r="CO597" i="11"/>
  <c r="CS597" i="11" s="1"/>
  <c r="BZ597" i="11"/>
  <c r="CP597" i="11"/>
  <c r="CA597" i="11"/>
  <c r="CB597" i="11"/>
  <c r="CF597" i="11" s="1"/>
  <c r="CC597" i="11"/>
  <c r="BM597" i="11"/>
  <c r="C599" i="11"/>
  <c r="A599" i="11" s="1"/>
  <c r="EB598" i="11" l="1"/>
  <c r="Z598" i="11"/>
  <c r="F598" i="11" s="1"/>
  <c r="BY595" i="11"/>
  <c r="BK595" i="11"/>
  <c r="BL595" i="11" s="1"/>
  <c r="P598" i="11"/>
  <c r="BW596" i="11"/>
  <c r="BX596" i="11"/>
  <c r="BS596" i="11"/>
  <c r="AC597" i="11"/>
  <c r="CG597" i="11"/>
  <c r="CJ597" i="11" s="1"/>
  <c r="BK596" i="11"/>
  <c r="BJ596" i="11"/>
  <c r="BF596" i="11"/>
  <c r="CJ596" i="11"/>
  <c r="CL596" i="11" s="1"/>
  <c r="AY595" i="11"/>
  <c r="CY596" i="11"/>
  <c r="DL595" i="11"/>
  <c r="DJ596" i="11"/>
  <c r="DF596" i="11"/>
  <c r="DK596" i="11"/>
  <c r="CX597" i="11"/>
  <c r="CW597" i="11"/>
  <c r="AX596" i="11"/>
  <c r="AW596" i="11"/>
  <c r="M597" i="11"/>
  <c r="L597" i="11"/>
  <c r="EE597" i="11"/>
  <c r="EG597" i="11" s="1"/>
  <c r="B599" i="11"/>
  <c r="EA598" i="11"/>
  <c r="DZ598" i="11"/>
  <c r="EI598" i="11"/>
  <c r="ED598" i="11"/>
  <c r="EH598" i="11"/>
  <c r="EC598" i="11"/>
  <c r="CQ597" i="11"/>
  <c r="AB598" i="11"/>
  <c r="BE597" i="11"/>
  <c r="BG597" i="11" s="1"/>
  <c r="DD597" i="11"/>
  <c r="DE597" i="11" s="1"/>
  <c r="DG597" i="11" s="1"/>
  <c r="BQ597" i="11"/>
  <c r="BR597" i="11" s="1"/>
  <c r="BT597" i="11" s="1"/>
  <c r="CD597" i="11"/>
  <c r="AR597" i="11"/>
  <c r="AT597" i="11" s="1"/>
  <c r="AS597" i="11"/>
  <c r="AQ597" i="11"/>
  <c r="CE598" i="11"/>
  <c r="DV598" i="11"/>
  <c r="DU598" i="11"/>
  <c r="DH598" i="11"/>
  <c r="DI598" i="11"/>
  <c r="CV598" i="11"/>
  <c r="CR598" i="11"/>
  <c r="CT598" i="11" s="1"/>
  <c r="CU598" i="11"/>
  <c r="CH598" i="11"/>
  <c r="CI598" i="11"/>
  <c r="BU598" i="11"/>
  <c r="BV598" i="11"/>
  <c r="BH598" i="11"/>
  <c r="BI598" i="11"/>
  <c r="AH598" i="11"/>
  <c r="AU598" i="11"/>
  <c r="AV598" i="11"/>
  <c r="AI598" i="11"/>
  <c r="BN598" i="11"/>
  <c r="BO598" i="11"/>
  <c r="BP598" i="11"/>
  <c r="W599" i="11"/>
  <c r="AO598" i="11"/>
  <c r="AP598" i="11"/>
  <c r="AN598" i="11"/>
  <c r="Y598" i="11"/>
  <c r="AA598" i="11"/>
  <c r="BA598" i="11"/>
  <c r="BB598" i="11"/>
  <c r="BD598" i="11" s="1"/>
  <c r="BC598" i="11"/>
  <c r="DM598" i="11"/>
  <c r="DN598" i="11"/>
  <c r="CZ598" i="11"/>
  <c r="DA598" i="11"/>
  <c r="DP598" i="11"/>
  <c r="DB598" i="11"/>
  <c r="CP598" i="11"/>
  <c r="CA598" i="11"/>
  <c r="BM598" i="11"/>
  <c r="CB598" i="11"/>
  <c r="CD598" i="11" s="1"/>
  <c r="AZ598" i="11"/>
  <c r="CC598" i="11"/>
  <c r="AM598" i="11"/>
  <c r="X598" i="11"/>
  <c r="DC598" i="11"/>
  <c r="CM598" i="11"/>
  <c r="CN598" i="11"/>
  <c r="CO598" i="11"/>
  <c r="CS598" i="11" s="1"/>
  <c r="BZ598" i="11"/>
  <c r="C600" i="11"/>
  <c r="A600" i="11" s="1"/>
  <c r="EB599" i="11" l="1"/>
  <c r="Z599" i="11"/>
  <c r="F599" i="11" s="1"/>
  <c r="BY596" i="11"/>
  <c r="CK597" i="11"/>
  <c r="CL597" i="11" s="1"/>
  <c r="CG598" i="11"/>
  <c r="CK598" i="11" s="1"/>
  <c r="P599" i="11"/>
  <c r="BL596" i="11"/>
  <c r="BS597" i="11"/>
  <c r="BW597" i="11"/>
  <c r="BX597" i="11"/>
  <c r="BK597" i="11"/>
  <c r="BF597" i="11"/>
  <c r="BJ597" i="11"/>
  <c r="AY596" i="11"/>
  <c r="CY597" i="11"/>
  <c r="AC598" i="11"/>
  <c r="DF597" i="11"/>
  <c r="DK597" i="11"/>
  <c r="DJ597" i="11"/>
  <c r="DL596" i="11"/>
  <c r="CX598" i="11"/>
  <c r="CW598" i="11"/>
  <c r="AW597" i="11"/>
  <c r="AX597" i="11"/>
  <c r="M598" i="11"/>
  <c r="B600" i="11"/>
  <c r="L598" i="11"/>
  <c r="EE598" i="11"/>
  <c r="EG598" i="11" s="1"/>
  <c r="ED599" i="11"/>
  <c r="EI599" i="11"/>
  <c r="EA599" i="11"/>
  <c r="DZ599" i="11"/>
  <c r="EH599" i="11"/>
  <c r="EC599" i="11"/>
  <c r="BQ598" i="11"/>
  <c r="BR598" i="11" s="1"/>
  <c r="BT598" i="11" s="1"/>
  <c r="AB599" i="11"/>
  <c r="CF598" i="11"/>
  <c r="CQ598" i="11"/>
  <c r="BE598" i="11"/>
  <c r="BG598" i="11" s="1"/>
  <c r="DD598" i="11"/>
  <c r="DE598" i="11" s="1"/>
  <c r="DG598" i="11" s="1"/>
  <c r="AR598" i="11"/>
  <c r="AT598" i="11" s="1"/>
  <c r="AQ598" i="11"/>
  <c r="AS598" i="11"/>
  <c r="CE599" i="11"/>
  <c r="CG599" i="11" s="1"/>
  <c r="DV599" i="11"/>
  <c r="DU599" i="11"/>
  <c r="DH599" i="11"/>
  <c r="DI599" i="11"/>
  <c r="CU599" i="11"/>
  <c r="CR599" i="11"/>
  <c r="CT599" i="11" s="1"/>
  <c r="CV599" i="11"/>
  <c r="CH599" i="11"/>
  <c r="CI599" i="11"/>
  <c r="BU599" i="11"/>
  <c r="BV599" i="11"/>
  <c r="BH599" i="11"/>
  <c r="BI599" i="11"/>
  <c r="AV599" i="11"/>
  <c r="AI599" i="11"/>
  <c r="AU599" i="11"/>
  <c r="AH599" i="11"/>
  <c r="BO599" i="11"/>
  <c r="BP599" i="11"/>
  <c r="BN599" i="11"/>
  <c r="AN599" i="11"/>
  <c r="AO599" i="11"/>
  <c r="AP599" i="11"/>
  <c r="AA599" i="11"/>
  <c r="Y599" i="11"/>
  <c r="BC599" i="11"/>
  <c r="BA599" i="11"/>
  <c r="BB599" i="11"/>
  <c r="BD599" i="11" s="1"/>
  <c r="DP599" i="11"/>
  <c r="DB599" i="11"/>
  <c r="DC599" i="11"/>
  <c r="DM599" i="11"/>
  <c r="DN599" i="11"/>
  <c r="CM599" i="11"/>
  <c r="BM599" i="11"/>
  <c r="CN599" i="11"/>
  <c r="AZ599" i="11"/>
  <c r="CO599" i="11"/>
  <c r="CS599" i="11" s="1"/>
  <c r="BZ599" i="11"/>
  <c r="AM599" i="11"/>
  <c r="CP599" i="11"/>
  <c r="CA599" i="11"/>
  <c r="X599" i="11"/>
  <c r="CZ599" i="11"/>
  <c r="CB599" i="11"/>
  <c r="CD599" i="11" s="1"/>
  <c r="DA599" i="11"/>
  <c r="CC599" i="11"/>
  <c r="W600" i="11"/>
  <c r="C601" i="11"/>
  <c r="A601" i="11" s="1"/>
  <c r="EB600" i="11" l="1"/>
  <c r="Z600" i="11"/>
  <c r="F600" i="11" s="1"/>
  <c r="CJ598" i="11"/>
  <c r="CL598" i="11" s="1"/>
  <c r="BY597" i="11"/>
  <c r="P600" i="11"/>
  <c r="BL597" i="11"/>
  <c r="BW598" i="11"/>
  <c r="BS598" i="11"/>
  <c r="BF598" i="11"/>
  <c r="BJ598" i="11"/>
  <c r="BK598" i="11"/>
  <c r="BX598" i="11"/>
  <c r="AC599" i="11"/>
  <c r="DL597" i="11"/>
  <c r="CY598" i="11"/>
  <c r="AY597" i="11"/>
  <c r="L599" i="11"/>
  <c r="DJ598" i="11"/>
  <c r="DF598" i="11"/>
  <c r="DK598" i="11"/>
  <c r="CJ599" i="11"/>
  <c r="CK599" i="11"/>
  <c r="CW599" i="11"/>
  <c r="CX599" i="11"/>
  <c r="M599" i="11"/>
  <c r="AW598" i="11"/>
  <c r="AX598" i="11"/>
  <c r="B601" i="11"/>
  <c r="EE599" i="11"/>
  <c r="EG599" i="11" s="1"/>
  <c r="DZ600" i="11"/>
  <c r="EH600" i="11"/>
  <c r="EC600" i="11"/>
  <c r="EI600" i="11"/>
  <c r="ED600" i="11"/>
  <c r="EA600" i="11"/>
  <c r="CF599" i="11"/>
  <c r="CQ599" i="11"/>
  <c r="BE599" i="11"/>
  <c r="BG599" i="11" s="1"/>
  <c r="DD599" i="11"/>
  <c r="DE599" i="11" s="1"/>
  <c r="DG599" i="11" s="1"/>
  <c r="AB600" i="11"/>
  <c r="BQ599" i="11"/>
  <c r="BR599" i="11" s="1"/>
  <c r="BT599" i="11" s="1"/>
  <c r="AR599" i="11"/>
  <c r="AT599" i="11" s="1"/>
  <c r="AS599" i="11"/>
  <c r="AQ599" i="11"/>
  <c r="CE600" i="11"/>
  <c r="CG600" i="11" s="1"/>
  <c r="DU600" i="11"/>
  <c r="DV600" i="11"/>
  <c r="DH600" i="11"/>
  <c r="DI600" i="11"/>
  <c r="CR600" i="11"/>
  <c r="CU600" i="11"/>
  <c r="CV600" i="11"/>
  <c r="CH600" i="11"/>
  <c r="CI600" i="11"/>
  <c r="BU600" i="11"/>
  <c r="BV600" i="11"/>
  <c r="BH600" i="11"/>
  <c r="AV600" i="11"/>
  <c r="BI600" i="11"/>
  <c r="AH600" i="11"/>
  <c r="AU600" i="11"/>
  <c r="AI600" i="11"/>
  <c r="BN600" i="11"/>
  <c r="BP600" i="11"/>
  <c r="BO600" i="11"/>
  <c r="W601" i="11"/>
  <c r="AN600" i="11"/>
  <c r="Y600" i="11"/>
  <c r="AO600" i="11"/>
  <c r="AA600" i="11"/>
  <c r="AP600" i="11"/>
  <c r="BA600" i="11"/>
  <c r="BB600" i="11"/>
  <c r="BD600" i="11" s="1"/>
  <c r="BC600" i="11"/>
  <c r="DM600" i="11"/>
  <c r="DN600" i="11"/>
  <c r="CZ600" i="11"/>
  <c r="DA600" i="11"/>
  <c r="DP600" i="11"/>
  <c r="DB600" i="11"/>
  <c r="CP600" i="11"/>
  <c r="CA600" i="11"/>
  <c r="CB600" i="11"/>
  <c r="CF600" i="11" s="1"/>
  <c r="CC600" i="11"/>
  <c r="BM600" i="11"/>
  <c r="AZ600" i="11"/>
  <c r="AM600" i="11"/>
  <c r="CM600" i="11"/>
  <c r="CN600" i="11"/>
  <c r="DC600" i="11"/>
  <c r="CO600" i="11"/>
  <c r="CS600" i="11" s="1"/>
  <c r="BZ600" i="11"/>
  <c r="X600" i="11"/>
  <c r="C602" i="11"/>
  <c r="A602" i="11" s="1"/>
  <c r="EB601" i="11" l="1"/>
  <c r="ED601" i="11" s="1"/>
  <c r="Z601" i="11"/>
  <c r="F601" i="11" s="1"/>
  <c r="P601" i="11"/>
  <c r="BY598" i="11"/>
  <c r="BX599" i="11"/>
  <c r="BS599" i="11"/>
  <c r="BW599" i="11"/>
  <c r="BL598" i="11"/>
  <c r="BF599" i="11"/>
  <c r="BK599" i="11"/>
  <c r="BJ599" i="11"/>
  <c r="CT600" i="11"/>
  <c r="CX600" i="11" s="1"/>
  <c r="AY598" i="11"/>
  <c r="CY599" i="11"/>
  <c r="CL599" i="11"/>
  <c r="AC600" i="11"/>
  <c r="DL598" i="11"/>
  <c r="DJ599" i="11"/>
  <c r="DK599" i="11"/>
  <c r="DF599" i="11"/>
  <c r="CK600" i="11"/>
  <c r="CJ600" i="11"/>
  <c r="M600" i="11"/>
  <c r="L600" i="11"/>
  <c r="AW599" i="11"/>
  <c r="AX599" i="11"/>
  <c r="B602" i="11"/>
  <c r="EI601" i="11"/>
  <c r="EC601" i="11"/>
  <c r="EA601" i="11"/>
  <c r="EH601" i="11"/>
  <c r="DZ601" i="11"/>
  <c r="EE600" i="11"/>
  <c r="EG600" i="11" s="1"/>
  <c r="DD600" i="11"/>
  <c r="DE600" i="11" s="1"/>
  <c r="DG600" i="11" s="1"/>
  <c r="BE600" i="11"/>
  <c r="BG600" i="11" s="1"/>
  <c r="BQ600" i="11"/>
  <c r="BR600" i="11" s="1"/>
  <c r="BT600" i="11" s="1"/>
  <c r="CD600" i="11"/>
  <c r="AB601" i="11"/>
  <c r="CQ600" i="11"/>
  <c r="AR600" i="11"/>
  <c r="AT600" i="11" s="1"/>
  <c r="AS600" i="11"/>
  <c r="AQ600" i="11"/>
  <c r="CE601" i="11"/>
  <c r="CG601" i="11" s="1"/>
  <c r="DV601" i="11"/>
  <c r="DU601" i="11"/>
  <c r="DH601" i="11"/>
  <c r="DI601" i="11"/>
  <c r="CR601" i="11"/>
  <c r="CU601" i="11"/>
  <c r="CV601" i="11"/>
  <c r="CH601" i="11"/>
  <c r="CI601" i="11"/>
  <c r="BU601" i="11"/>
  <c r="BV601" i="11"/>
  <c r="BI601" i="11"/>
  <c r="AU601" i="11"/>
  <c r="AV601" i="11"/>
  <c r="BH601" i="11"/>
  <c r="AH601" i="11"/>
  <c r="AI601" i="11"/>
  <c r="BN601" i="11"/>
  <c r="BO601" i="11"/>
  <c r="BP601" i="11"/>
  <c r="AP601" i="11"/>
  <c r="AN601" i="11"/>
  <c r="Y601" i="11"/>
  <c r="AA601" i="11"/>
  <c r="AO601" i="11"/>
  <c r="BA601" i="11"/>
  <c r="BB601" i="11"/>
  <c r="BD601" i="11" s="1"/>
  <c r="BC601" i="11"/>
  <c r="DP601" i="11"/>
  <c r="DB601" i="11"/>
  <c r="DC601" i="11"/>
  <c r="DM601" i="11"/>
  <c r="DN601" i="11"/>
  <c r="CZ601" i="11"/>
  <c r="DA601" i="11"/>
  <c r="CM601" i="11"/>
  <c r="CN601" i="11"/>
  <c r="CO601" i="11"/>
  <c r="CS601" i="11" s="1"/>
  <c r="BZ601" i="11"/>
  <c r="BM601" i="11"/>
  <c r="CP601" i="11"/>
  <c r="CA601" i="11"/>
  <c r="AZ601" i="11"/>
  <c r="CB601" i="11"/>
  <c r="CD601" i="11" s="1"/>
  <c r="CC601" i="11"/>
  <c r="X601" i="11"/>
  <c r="AM601" i="11"/>
  <c r="W602" i="11"/>
  <c r="C603" i="11"/>
  <c r="A603" i="11" s="1"/>
  <c r="EB602" i="11" l="1"/>
  <c r="Z602" i="11"/>
  <c r="F602" i="11" s="1"/>
  <c r="BY599" i="11"/>
  <c r="BL599" i="11"/>
  <c r="P602" i="11"/>
  <c r="CT601" i="11"/>
  <c r="CW601" i="11" s="1"/>
  <c r="BW600" i="11"/>
  <c r="BS600" i="11"/>
  <c r="BK600" i="11"/>
  <c r="BJ600" i="11"/>
  <c r="BF600" i="11"/>
  <c r="BX600" i="11"/>
  <c r="CW600" i="11"/>
  <c r="CY600" i="11" s="1"/>
  <c r="M601" i="11"/>
  <c r="AC601" i="11"/>
  <c r="AY599" i="11"/>
  <c r="CL600" i="11"/>
  <c r="DL599" i="11"/>
  <c r="DK600" i="11"/>
  <c r="DJ600" i="11"/>
  <c r="DF600" i="11"/>
  <c r="CK601" i="11"/>
  <c r="CJ601" i="11"/>
  <c r="AW600" i="11"/>
  <c r="AX600" i="11"/>
  <c r="B603" i="11"/>
  <c r="EE601" i="11"/>
  <c r="EG601" i="11" s="1"/>
  <c r="L601" i="11"/>
  <c r="EA602" i="11"/>
  <c r="DZ602" i="11"/>
  <c r="EH602" i="11"/>
  <c r="ED602" i="11"/>
  <c r="EI602" i="11"/>
  <c r="EC602" i="11"/>
  <c r="CQ601" i="11"/>
  <c r="CF601" i="11"/>
  <c r="AB602" i="11"/>
  <c r="DD601" i="11"/>
  <c r="DE601" i="11" s="1"/>
  <c r="DG601" i="11" s="1"/>
  <c r="BE601" i="11"/>
  <c r="BG601" i="11" s="1"/>
  <c r="BQ601" i="11"/>
  <c r="BR601" i="11" s="1"/>
  <c r="BT601" i="11" s="1"/>
  <c r="AR601" i="11"/>
  <c r="AT601" i="11" s="1"/>
  <c r="AS601" i="11"/>
  <c r="AQ601" i="11"/>
  <c r="CE602" i="11"/>
  <c r="CG602" i="11" s="1"/>
  <c r="DU602" i="11"/>
  <c r="DV602" i="11"/>
  <c r="DI602" i="11"/>
  <c r="DH602" i="11"/>
  <c r="CR602" i="11"/>
  <c r="CT602" i="11" s="1"/>
  <c r="CU602" i="11"/>
  <c r="CV602" i="11"/>
  <c r="CH602" i="11"/>
  <c r="CI602" i="11"/>
  <c r="BU602" i="11"/>
  <c r="BV602" i="11"/>
  <c r="BI602" i="11"/>
  <c r="BH602" i="11"/>
  <c r="AU602" i="11"/>
  <c r="AV602" i="11"/>
  <c r="AH602" i="11"/>
  <c r="AI602" i="11"/>
  <c r="BN602" i="11"/>
  <c r="BO602" i="11"/>
  <c r="BP602" i="11"/>
  <c r="W603" i="11"/>
  <c r="AN602" i="11"/>
  <c r="AO602" i="11"/>
  <c r="AP602" i="11"/>
  <c r="AA602" i="11"/>
  <c r="Y602" i="11"/>
  <c r="BB602" i="11"/>
  <c r="BD602" i="11" s="1"/>
  <c r="BA602" i="11"/>
  <c r="BC602" i="11"/>
  <c r="DM602" i="11"/>
  <c r="DN602" i="11"/>
  <c r="CZ602" i="11"/>
  <c r="DA602" i="11"/>
  <c r="DP602" i="11"/>
  <c r="DB602" i="11"/>
  <c r="CP602" i="11"/>
  <c r="CA602" i="11"/>
  <c r="CB602" i="11"/>
  <c r="CF602" i="11" s="1"/>
  <c r="DC602" i="11"/>
  <c r="CC602" i="11"/>
  <c r="BM602" i="11"/>
  <c r="CM602" i="11"/>
  <c r="AZ602" i="11"/>
  <c r="CN602" i="11"/>
  <c r="CO602" i="11"/>
  <c r="CQ602" i="11" s="1"/>
  <c r="BZ602" i="11"/>
  <c r="X602" i="11"/>
  <c r="AM602" i="11"/>
  <c r="C604" i="11"/>
  <c r="A604" i="11" s="1"/>
  <c r="EB603" i="11" l="1"/>
  <c r="ED603" i="11" s="1"/>
  <c r="Z603" i="11"/>
  <c r="F603" i="11" s="1"/>
  <c r="BL600" i="11"/>
  <c r="CX601" i="11"/>
  <c r="CY601" i="11" s="1"/>
  <c r="P603" i="11"/>
  <c r="BY600" i="11"/>
  <c r="BS601" i="11"/>
  <c r="BX601" i="11"/>
  <c r="BW601" i="11"/>
  <c r="BJ601" i="11"/>
  <c r="BF601" i="11"/>
  <c r="BK601" i="11"/>
  <c r="DL600" i="11"/>
  <c r="AC602" i="11"/>
  <c r="AY600" i="11"/>
  <c r="CL601" i="11"/>
  <c r="DJ601" i="11"/>
  <c r="DK601" i="11"/>
  <c r="DF601" i="11"/>
  <c r="CW602" i="11"/>
  <c r="CX602" i="11"/>
  <c r="CJ602" i="11"/>
  <c r="CK602" i="11"/>
  <c r="B604" i="11"/>
  <c r="L602" i="11"/>
  <c r="AX601" i="11"/>
  <c r="AW601" i="11"/>
  <c r="M602" i="11"/>
  <c r="EE602" i="11"/>
  <c r="EG602" i="11" s="1"/>
  <c r="EI603" i="11"/>
  <c r="DZ603" i="11"/>
  <c r="EC603" i="11"/>
  <c r="EA603" i="11"/>
  <c r="EH603" i="11"/>
  <c r="CD602" i="11"/>
  <c r="AB603" i="11"/>
  <c r="CS602" i="11"/>
  <c r="BE602" i="11"/>
  <c r="BG602" i="11" s="1"/>
  <c r="BQ602" i="11"/>
  <c r="BR602" i="11" s="1"/>
  <c r="BT602" i="11" s="1"/>
  <c r="DD602" i="11"/>
  <c r="DE602" i="11" s="1"/>
  <c r="DG602" i="11" s="1"/>
  <c r="AR602" i="11"/>
  <c r="AT602" i="11" s="1"/>
  <c r="AS602" i="11"/>
  <c r="AQ602" i="11"/>
  <c r="CE603" i="11"/>
  <c r="CG603" i="11" s="1"/>
  <c r="DV603" i="11"/>
  <c r="DU603" i="11"/>
  <c r="DH603" i="11"/>
  <c r="DI603" i="11"/>
  <c r="CR603" i="11"/>
  <c r="CT603" i="11" s="1"/>
  <c r="CU603" i="11"/>
  <c r="CV603" i="11"/>
  <c r="CH603" i="11"/>
  <c r="CI603" i="11"/>
  <c r="BV603" i="11"/>
  <c r="BU603" i="11"/>
  <c r="BH603" i="11"/>
  <c r="BI603" i="11"/>
  <c r="AU603" i="11"/>
  <c r="AV603" i="11"/>
  <c r="AH603" i="11"/>
  <c r="AI603" i="11"/>
  <c r="BO603" i="11"/>
  <c r="BP603" i="11"/>
  <c r="BN603" i="11"/>
  <c r="AN603" i="11"/>
  <c r="AP603" i="11"/>
  <c r="Y603" i="11"/>
  <c r="AO603" i="11"/>
  <c r="AA603" i="11"/>
  <c r="BA603" i="11"/>
  <c r="BC603" i="11"/>
  <c r="BB603" i="11"/>
  <c r="BD603" i="11" s="1"/>
  <c r="DP603" i="11"/>
  <c r="DB603" i="11"/>
  <c r="DC603" i="11"/>
  <c r="DM603" i="11"/>
  <c r="DN603" i="11"/>
  <c r="X603" i="11"/>
  <c r="CM603" i="11"/>
  <c r="CN603" i="11"/>
  <c r="CZ603" i="11"/>
  <c r="CO603" i="11"/>
  <c r="CQ603" i="11" s="1"/>
  <c r="BZ603" i="11"/>
  <c r="DA603" i="11"/>
  <c r="CP603" i="11"/>
  <c r="CA603" i="11"/>
  <c r="CB603" i="11"/>
  <c r="CF603" i="11" s="1"/>
  <c r="BM603" i="11"/>
  <c r="CC603" i="11"/>
  <c r="AZ603" i="11"/>
  <c r="AM603" i="11"/>
  <c r="W604" i="11"/>
  <c r="C605" i="11"/>
  <c r="A605" i="11" s="1"/>
  <c r="Z604" i="11" l="1"/>
  <c r="F604" i="11" s="1"/>
  <c r="EB604" i="11"/>
  <c r="ED604" i="11" s="1"/>
  <c r="BY601" i="11"/>
  <c r="P604" i="11"/>
  <c r="BW602" i="11"/>
  <c r="BS602" i="11"/>
  <c r="BX602" i="11"/>
  <c r="BL601" i="11"/>
  <c r="BF602" i="11"/>
  <c r="BJ602" i="11"/>
  <c r="BK602" i="11"/>
  <c r="AY601" i="11"/>
  <c r="CW603" i="11"/>
  <c r="CK603" i="11"/>
  <c r="CY602" i="11"/>
  <c r="AC603" i="11"/>
  <c r="CL602" i="11"/>
  <c r="DJ602" i="11"/>
  <c r="DF602" i="11"/>
  <c r="DK602" i="11"/>
  <c r="DL601" i="11"/>
  <c r="CJ603" i="11"/>
  <c r="L603" i="11"/>
  <c r="AX602" i="11"/>
  <c r="AW602" i="11"/>
  <c r="B605" i="11"/>
  <c r="M603" i="11"/>
  <c r="CX603" i="11"/>
  <c r="EE603" i="11"/>
  <c r="EG603" i="11" s="1"/>
  <c r="DZ604" i="11"/>
  <c r="EH604" i="11"/>
  <c r="EC604" i="11"/>
  <c r="EA604" i="11"/>
  <c r="EI604" i="11"/>
  <c r="CS603" i="11"/>
  <c r="CD603" i="11"/>
  <c r="BE603" i="11"/>
  <c r="BG603" i="11" s="1"/>
  <c r="AB604" i="11"/>
  <c r="BQ603" i="11"/>
  <c r="BR603" i="11" s="1"/>
  <c r="BT603" i="11" s="1"/>
  <c r="DD603" i="11"/>
  <c r="DE603" i="11" s="1"/>
  <c r="DG603" i="11" s="1"/>
  <c r="AR603" i="11"/>
  <c r="AT603" i="11" s="1"/>
  <c r="AS603" i="11"/>
  <c r="AQ603" i="11"/>
  <c r="CE604" i="11"/>
  <c r="CG604" i="11" s="1"/>
  <c r="DU604" i="11"/>
  <c r="DV604" i="11"/>
  <c r="DH604" i="11"/>
  <c r="CR604" i="11"/>
  <c r="CT604" i="11" s="1"/>
  <c r="CU604" i="11"/>
  <c r="CV604" i="11"/>
  <c r="DI604" i="11"/>
  <c r="CH604" i="11"/>
  <c r="CI604" i="11"/>
  <c r="BU604" i="11"/>
  <c r="BV604" i="11"/>
  <c r="BH604" i="11"/>
  <c r="BI604" i="11"/>
  <c r="AU604" i="11"/>
  <c r="AV604" i="11"/>
  <c r="AI604" i="11"/>
  <c r="AH604" i="11"/>
  <c r="BP604" i="11"/>
  <c r="BN604" i="11"/>
  <c r="BO604" i="11"/>
  <c r="W605" i="11"/>
  <c r="AO604" i="11"/>
  <c r="AP604" i="11"/>
  <c r="AN604" i="11"/>
  <c r="AA604" i="11"/>
  <c r="Y604" i="11"/>
  <c r="BA604" i="11"/>
  <c r="BB604" i="11"/>
  <c r="BD604" i="11" s="1"/>
  <c r="BC604" i="11"/>
  <c r="DM604" i="11"/>
  <c r="DN604" i="11"/>
  <c r="CZ604" i="11"/>
  <c r="DA604" i="11"/>
  <c r="DP604" i="11"/>
  <c r="DB604" i="11"/>
  <c r="CP604" i="11"/>
  <c r="CA604" i="11"/>
  <c r="AM604" i="11"/>
  <c r="CB604" i="11"/>
  <c r="CF604" i="11" s="1"/>
  <c r="X604" i="11"/>
  <c r="CC604" i="11"/>
  <c r="DC604" i="11"/>
  <c r="CM604" i="11"/>
  <c r="CN604" i="11"/>
  <c r="BM604" i="11"/>
  <c r="CO604" i="11"/>
  <c r="CQ604" i="11" s="1"/>
  <c r="BZ604" i="11"/>
  <c r="AZ604" i="11"/>
  <c r="C606" i="11"/>
  <c r="A606" i="11" s="1"/>
  <c r="EB605" i="11" l="1"/>
  <c r="Z605" i="11"/>
  <c r="F605" i="11" s="1"/>
  <c r="AY602" i="11"/>
  <c r="BY602" i="11"/>
  <c r="CY603" i="11"/>
  <c r="P605" i="11"/>
  <c r="BL602" i="11"/>
  <c r="BS603" i="11"/>
  <c r="BW603" i="11"/>
  <c r="BX603" i="11"/>
  <c r="BJ603" i="11"/>
  <c r="BK603" i="11"/>
  <c r="BF603" i="11"/>
  <c r="CL603" i="11"/>
  <c r="CJ604" i="11"/>
  <c r="CW604" i="11"/>
  <c r="CX604" i="11"/>
  <c r="AC604" i="11"/>
  <c r="DK603" i="11"/>
  <c r="DF603" i="11"/>
  <c r="DJ603" i="11"/>
  <c r="DL602" i="11"/>
  <c r="B606" i="11"/>
  <c r="L604" i="11"/>
  <c r="CK604" i="11"/>
  <c r="M604" i="11"/>
  <c r="AW603" i="11"/>
  <c r="AX603" i="11"/>
  <c r="EI605" i="11"/>
  <c r="EC605" i="11"/>
  <c r="ED605" i="11"/>
  <c r="EH605" i="11"/>
  <c r="DZ605" i="11"/>
  <c r="EA605" i="11"/>
  <c r="EE604" i="11"/>
  <c r="EG604" i="11" s="1"/>
  <c r="CD604" i="11"/>
  <c r="CS604" i="11"/>
  <c r="AB605" i="11"/>
  <c r="BE604" i="11"/>
  <c r="BG604" i="11" s="1"/>
  <c r="DD604" i="11"/>
  <c r="DE604" i="11" s="1"/>
  <c r="DG604" i="11" s="1"/>
  <c r="BQ604" i="11"/>
  <c r="BR604" i="11" s="1"/>
  <c r="BT604" i="11" s="1"/>
  <c r="AR604" i="11"/>
  <c r="AT604" i="11" s="1"/>
  <c r="AQ604" i="11"/>
  <c r="AS604" i="11"/>
  <c r="CE605" i="11"/>
  <c r="CG605" i="11" s="1"/>
  <c r="DV605" i="11"/>
  <c r="DU605" i="11"/>
  <c r="DI605" i="11"/>
  <c r="DH605" i="11"/>
  <c r="CR605" i="11"/>
  <c r="CT605" i="11" s="1"/>
  <c r="CU605" i="11"/>
  <c r="CV605" i="11"/>
  <c r="CH605" i="11"/>
  <c r="CI605" i="11"/>
  <c r="BU605" i="11"/>
  <c r="BV605" i="11"/>
  <c r="BH605" i="11"/>
  <c r="BI605" i="11"/>
  <c r="AU605" i="11"/>
  <c r="AI605" i="11"/>
  <c r="AV605" i="11"/>
  <c r="AH605" i="11"/>
  <c r="BN605" i="11"/>
  <c r="BO605" i="11"/>
  <c r="BP605" i="11"/>
  <c r="W606" i="11"/>
  <c r="AN605" i="11"/>
  <c r="AO605" i="11"/>
  <c r="Y605" i="11"/>
  <c r="AA605" i="11"/>
  <c r="AP605" i="11"/>
  <c r="BA605" i="11"/>
  <c r="BB605" i="11"/>
  <c r="BD605" i="11" s="1"/>
  <c r="BC605" i="11"/>
  <c r="DP605" i="11"/>
  <c r="DB605" i="11"/>
  <c r="DC605" i="11"/>
  <c r="DM605" i="11"/>
  <c r="DN605" i="11"/>
  <c r="AZ605" i="11"/>
  <c r="CM605" i="11"/>
  <c r="AM605" i="11"/>
  <c r="CN605" i="11"/>
  <c r="X605" i="11"/>
  <c r="CO605" i="11"/>
  <c r="CS605" i="11" s="1"/>
  <c r="BZ605" i="11"/>
  <c r="CP605" i="11"/>
  <c r="CA605" i="11"/>
  <c r="CB605" i="11"/>
  <c r="CF605" i="11" s="1"/>
  <c r="CZ605" i="11"/>
  <c r="CC605" i="11"/>
  <c r="DA605" i="11"/>
  <c r="BM605" i="11"/>
  <c r="C607" i="11"/>
  <c r="A607" i="11" s="1"/>
  <c r="EB606" i="11" l="1"/>
  <c r="ED606" i="11" s="1"/>
  <c r="Z606" i="11"/>
  <c r="F606" i="11" s="1"/>
  <c r="P606" i="11"/>
  <c r="BY603" i="11"/>
  <c r="BL603" i="11"/>
  <c r="BW604" i="11"/>
  <c r="BX604" i="11"/>
  <c r="BS604" i="11"/>
  <c r="CL604" i="11"/>
  <c r="BK604" i="11"/>
  <c r="BF604" i="11"/>
  <c r="BJ604" i="11"/>
  <c r="AY603" i="11"/>
  <c r="DL603" i="11"/>
  <c r="AC605" i="11"/>
  <c r="CY604" i="11"/>
  <c r="DJ604" i="11"/>
  <c r="DK604" i="11"/>
  <c r="DF604" i="11"/>
  <c r="CJ605" i="11"/>
  <c r="CK605" i="11"/>
  <c r="CW605" i="11"/>
  <c r="CX605" i="11"/>
  <c r="B607" i="11"/>
  <c r="L605" i="11"/>
  <c r="M605" i="11"/>
  <c r="AX604" i="11"/>
  <c r="AW604" i="11"/>
  <c r="EE605" i="11"/>
  <c r="EG605" i="11" s="1"/>
  <c r="EA606" i="11"/>
  <c r="DZ606" i="11"/>
  <c r="EC606" i="11"/>
  <c r="EI606" i="11"/>
  <c r="EH606" i="11"/>
  <c r="CD605" i="11"/>
  <c r="CQ605" i="11"/>
  <c r="AB606" i="11"/>
  <c r="BE605" i="11"/>
  <c r="BG605" i="11" s="1"/>
  <c r="DD605" i="11"/>
  <c r="DE605" i="11" s="1"/>
  <c r="DG605" i="11" s="1"/>
  <c r="BQ605" i="11"/>
  <c r="BR605" i="11" s="1"/>
  <c r="BT605" i="11" s="1"/>
  <c r="AR605" i="11"/>
  <c r="AT605" i="11" s="1"/>
  <c r="AS605" i="11"/>
  <c r="AQ605" i="11"/>
  <c r="CE606" i="11"/>
  <c r="DU606" i="11"/>
  <c r="DV606" i="11"/>
  <c r="DH606" i="11"/>
  <c r="DI606" i="11"/>
  <c r="CV606" i="11"/>
  <c r="CR606" i="11"/>
  <c r="CT606" i="11" s="1"/>
  <c r="CU606" i="11"/>
  <c r="CH606" i="11"/>
  <c r="CI606" i="11"/>
  <c r="BU606" i="11"/>
  <c r="BV606" i="11"/>
  <c r="BH606" i="11"/>
  <c r="BI606" i="11"/>
  <c r="AH606" i="11"/>
  <c r="AU606" i="11"/>
  <c r="AV606" i="11"/>
  <c r="AI606" i="11"/>
  <c r="BN606" i="11"/>
  <c r="BO606" i="11"/>
  <c r="BP606" i="11"/>
  <c r="W607" i="11"/>
  <c r="AO606" i="11"/>
  <c r="AN606" i="11"/>
  <c r="AP606" i="11"/>
  <c r="Y606" i="11"/>
  <c r="AA606" i="11"/>
  <c r="BA606" i="11"/>
  <c r="BB606" i="11"/>
  <c r="BD606" i="11" s="1"/>
  <c r="BC606" i="11"/>
  <c r="DM606" i="11"/>
  <c r="DN606" i="11"/>
  <c r="CZ606" i="11"/>
  <c r="DA606" i="11"/>
  <c r="DP606" i="11"/>
  <c r="DB606" i="11"/>
  <c r="DC606" i="11"/>
  <c r="CP606" i="11"/>
  <c r="CA606" i="11"/>
  <c r="BM606" i="11"/>
  <c r="CB606" i="11"/>
  <c r="CD606" i="11" s="1"/>
  <c r="AZ606" i="11"/>
  <c r="CC606" i="11"/>
  <c r="AM606" i="11"/>
  <c r="X606" i="11"/>
  <c r="CM606" i="11"/>
  <c r="CN606" i="11"/>
  <c r="CO606" i="11"/>
  <c r="CS606" i="11" s="1"/>
  <c r="BZ606" i="11"/>
  <c r="C608" i="11"/>
  <c r="A608" i="11" s="1"/>
  <c r="EB607" i="11" l="1"/>
  <c r="ED607" i="11" s="1"/>
  <c r="Z607" i="11"/>
  <c r="F607" i="11" s="1"/>
  <c r="BY604" i="11"/>
  <c r="P607" i="11"/>
  <c r="BX605" i="11"/>
  <c r="BS605" i="11"/>
  <c r="BW605" i="11"/>
  <c r="AC606" i="11"/>
  <c r="BK605" i="11"/>
  <c r="BF605" i="11"/>
  <c r="BJ605" i="11"/>
  <c r="BL604" i="11"/>
  <c r="CG606" i="11"/>
  <c r="CK606" i="11" s="1"/>
  <c r="AY604" i="11"/>
  <c r="CY605" i="11"/>
  <c r="CL605" i="11"/>
  <c r="DL604" i="11"/>
  <c r="DF605" i="11"/>
  <c r="DK605" i="11"/>
  <c r="DJ605" i="11"/>
  <c r="CW606" i="11"/>
  <c r="CX606" i="11"/>
  <c r="B608" i="11"/>
  <c r="L606" i="11"/>
  <c r="AW605" i="11"/>
  <c r="AX605" i="11"/>
  <c r="M606" i="11"/>
  <c r="EE606" i="11"/>
  <c r="EG606" i="11" s="1"/>
  <c r="EI607" i="11"/>
  <c r="EH607" i="11"/>
  <c r="EC607" i="11"/>
  <c r="EA607" i="11"/>
  <c r="DZ607" i="11"/>
  <c r="CF606" i="11"/>
  <c r="CQ606" i="11"/>
  <c r="BE606" i="11"/>
  <c r="BG606" i="11" s="1"/>
  <c r="DD606" i="11"/>
  <c r="DE606" i="11" s="1"/>
  <c r="DG606" i="11" s="1"/>
  <c r="BQ606" i="11"/>
  <c r="BR606" i="11" s="1"/>
  <c r="BT606" i="11" s="1"/>
  <c r="AB607" i="11"/>
  <c r="AR606" i="11"/>
  <c r="AT606" i="11" s="1"/>
  <c r="AQ606" i="11"/>
  <c r="AS606" i="11"/>
  <c r="CE607" i="11"/>
  <c r="CG607" i="11" s="1"/>
  <c r="DV607" i="11"/>
  <c r="DU607" i="11"/>
  <c r="DH607" i="11"/>
  <c r="DI607" i="11"/>
  <c r="CU607" i="11"/>
  <c r="CR607" i="11"/>
  <c r="CV607" i="11"/>
  <c r="CH607" i="11"/>
  <c r="CI607" i="11"/>
  <c r="BU607" i="11"/>
  <c r="BV607" i="11"/>
  <c r="BH607" i="11"/>
  <c r="BI607" i="11"/>
  <c r="AU607" i="11"/>
  <c r="AI607" i="11"/>
  <c r="AV607" i="11"/>
  <c r="AH607" i="11"/>
  <c r="BO607" i="11"/>
  <c r="BP607" i="11"/>
  <c r="BN607" i="11"/>
  <c r="AN607" i="11"/>
  <c r="AO607" i="11"/>
  <c r="AP607" i="11"/>
  <c r="AA607" i="11"/>
  <c r="Y607" i="11"/>
  <c r="BC607" i="11"/>
  <c r="BA607" i="11"/>
  <c r="BB607" i="11"/>
  <c r="BD607" i="11" s="1"/>
  <c r="DP607" i="11"/>
  <c r="DB607" i="11"/>
  <c r="DC607" i="11"/>
  <c r="DM607" i="11"/>
  <c r="DN607" i="11"/>
  <c r="CZ607" i="11"/>
  <c r="CM607" i="11"/>
  <c r="BM607" i="11"/>
  <c r="DA607" i="11"/>
  <c r="CN607" i="11"/>
  <c r="AZ607" i="11"/>
  <c r="CO607" i="11"/>
  <c r="CS607" i="11" s="1"/>
  <c r="BZ607" i="11"/>
  <c r="AM607" i="11"/>
  <c r="CP607" i="11"/>
  <c r="CA607" i="11"/>
  <c r="X607" i="11"/>
  <c r="CB607" i="11"/>
  <c r="CD607" i="11" s="1"/>
  <c r="CC607" i="11"/>
  <c r="W608" i="11"/>
  <c r="C609" i="11"/>
  <c r="A609" i="11" s="1"/>
  <c r="EB608" i="11" l="1"/>
  <c r="Z608" i="11"/>
  <c r="F608" i="11" s="1"/>
  <c r="CJ606" i="11"/>
  <c r="CL606" i="11" s="1"/>
  <c r="BY605" i="11"/>
  <c r="P608" i="11"/>
  <c r="BL605" i="11"/>
  <c r="BS606" i="11"/>
  <c r="BW606" i="11"/>
  <c r="BX606" i="11"/>
  <c r="AC607" i="11"/>
  <c r="BK606" i="11"/>
  <c r="BJ606" i="11"/>
  <c r="BF606" i="11"/>
  <c r="CT607" i="11"/>
  <c r="CX607" i="11" s="1"/>
  <c r="DL605" i="11"/>
  <c r="CY606" i="11"/>
  <c r="AY605" i="11"/>
  <c r="DJ606" i="11"/>
  <c r="DK606" i="11"/>
  <c r="DF606" i="11"/>
  <c r="CK607" i="11"/>
  <c r="CJ607" i="11"/>
  <c r="M607" i="11"/>
  <c r="AW606" i="11"/>
  <c r="AX606" i="11"/>
  <c r="B609" i="11"/>
  <c r="L607" i="11"/>
  <c r="DZ608" i="11"/>
  <c r="EH608" i="11"/>
  <c r="EA608" i="11"/>
  <c r="EC608" i="11"/>
  <c r="EI608" i="11"/>
  <c r="ED608" i="11"/>
  <c r="EE607" i="11"/>
  <c r="EG607" i="11" s="1"/>
  <c r="DD607" i="11"/>
  <c r="DE607" i="11" s="1"/>
  <c r="DG607" i="11" s="1"/>
  <c r="BQ607" i="11"/>
  <c r="BR607" i="11" s="1"/>
  <c r="BT607" i="11" s="1"/>
  <c r="CF607" i="11"/>
  <c r="AB608" i="11"/>
  <c r="BE607" i="11"/>
  <c r="BG607" i="11" s="1"/>
  <c r="CQ607" i="11"/>
  <c r="AR607" i="11"/>
  <c r="AT607" i="11" s="1"/>
  <c r="AS607" i="11"/>
  <c r="AQ607" i="11"/>
  <c r="CE608" i="11"/>
  <c r="CG608" i="11" s="1"/>
  <c r="DU608" i="11"/>
  <c r="DV608" i="11"/>
  <c r="DH608" i="11"/>
  <c r="DI608" i="11"/>
  <c r="CR608" i="11"/>
  <c r="CT608" i="11" s="1"/>
  <c r="CU608" i="11"/>
  <c r="CV608" i="11"/>
  <c r="CH608" i="11"/>
  <c r="CI608" i="11"/>
  <c r="BU608" i="11"/>
  <c r="BV608" i="11"/>
  <c r="BH608" i="11"/>
  <c r="AV608" i="11"/>
  <c r="BI608" i="11"/>
  <c r="AH608" i="11"/>
  <c r="AI608" i="11"/>
  <c r="AU608" i="11"/>
  <c r="BN608" i="11"/>
  <c r="BP608" i="11"/>
  <c r="BO608" i="11"/>
  <c r="W609" i="11"/>
  <c r="AN608" i="11"/>
  <c r="AO608" i="11"/>
  <c r="AP608" i="11"/>
  <c r="AA608" i="11"/>
  <c r="Y608" i="11"/>
  <c r="BB608" i="11"/>
  <c r="BD608" i="11" s="1"/>
  <c r="BC608" i="11"/>
  <c r="BA608" i="11"/>
  <c r="DM608" i="11"/>
  <c r="DN608" i="11"/>
  <c r="CZ608" i="11"/>
  <c r="DA608" i="11"/>
  <c r="DP608" i="11"/>
  <c r="DB608" i="11"/>
  <c r="CP608" i="11"/>
  <c r="CA608" i="11"/>
  <c r="CB608" i="11"/>
  <c r="CD608" i="11" s="1"/>
  <c r="CC608" i="11"/>
  <c r="BM608" i="11"/>
  <c r="DC608" i="11"/>
  <c r="AZ608" i="11"/>
  <c r="AM608" i="11"/>
  <c r="CM608" i="11"/>
  <c r="CN608" i="11"/>
  <c r="CO608" i="11"/>
  <c r="CS608" i="11" s="1"/>
  <c r="BZ608" i="11"/>
  <c r="X608" i="11"/>
  <c r="C610" i="11"/>
  <c r="A610" i="11" s="1"/>
  <c r="EB609" i="11" l="1"/>
  <c r="ED609" i="11" s="1"/>
  <c r="Z609" i="11"/>
  <c r="F609" i="11" s="1"/>
  <c r="BY606" i="11"/>
  <c r="P609" i="11"/>
  <c r="BL606" i="11"/>
  <c r="BW607" i="11"/>
  <c r="BX607" i="11"/>
  <c r="BS607" i="11"/>
  <c r="BF607" i="11"/>
  <c r="BK607" i="11"/>
  <c r="BJ607" i="11"/>
  <c r="CW607" i="11"/>
  <c r="CY607" i="11" s="1"/>
  <c r="AC608" i="11"/>
  <c r="CL607" i="11"/>
  <c r="AY606" i="11"/>
  <c r="DJ607" i="11"/>
  <c r="DK607" i="11"/>
  <c r="DF607" i="11"/>
  <c r="DL606" i="11"/>
  <c r="CK608" i="11"/>
  <c r="CJ608" i="11"/>
  <c r="CW608" i="11"/>
  <c r="CX608" i="11"/>
  <c r="M608" i="11"/>
  <c r="L608" i="11"/>
  <c r="AW607" i="11"/>
  <c r="AX607" i="11"/>
  <c r="B610" i="11"/>
  <c r="EI609" i="11"/>
  <c r="EC609" i="11"/>
  <c r="DZ609" i="11"/>
  <c r="EH609" i="11"/>
  <c r="EA609" i="11"/>
  <c r="EE608" i="11"/>
  <c r="EG608" i="11" s="1"/>
  <c r="CF608" i="11"/>
  <c r="CQ608" i="11"/>
  <c r="BE608" i="11"/>
  <c r="BG608" i="11" s="1"/>
  <c r="DD608" i="11"/>
  <c r="DE608" i="11" s="1"/>
  <c r="DG608" i="11" s="1"/>
  <c r="AB609" i="11"/>
  <c r="BQ608" i="11"/>
  <c r="BR608" i="11" s="1"/>
  <c r="BT608" i="11" s="1"/>
  <c r="AR608" i="11"/>
  <c r="AT608" i="11" s="1"/>
  <c r="AS608" i="11"/>
  <c r="AQ608" i="11"/>
  <c r="CE609" i="11"/>
  <c r="CG609" i="11" s="1"/>
  <c r="DV609" i="11"/>
  <c r="DU609" i="11"/>
  <c r="DH609" i="11"/>
  <c r="DI609" i="11"/>
  <c r="CR609" i="11"/>
  <c r="CT609" i="11" s="1"/>
  <c r="CU609" i="11"/>
  <c r="CV609" i="11"/>
  <c r="CH609" i="11"/>
  <c r="CI609" i="11"/>
  <c r="BU609" i="11"/>
  <c r="BV609" i="11"/>
  <c r="BI609" i="11"/>
  <c r="AU609" i="11"/>
  <c r="AV609" i="11"/>
  <c r="BH609" i="11"/>
  <c r="AH609" i="11"/>
  <c r="AI609" i="11"/>
  <c r="BN609" i="11"/>
  <c r="BP609" i="11"/>
  <c r="BO609" i="11"/>
  <c r="W610" i="11"/>
  <c r="AP609" i="11"/>
  <c r="AN609" i="11"/>
  <c r="AO609" i="11"/>
  <c r="AA609" i="11"/>
  <c r="Y609" i="11"/>
  <c r="BC609" i="11"/>
  <c r="BA609" i="11"/>
  <c r="BB609" i="11"/>
  <c r="BD609" i="11" s="1"/>
  <c r="DP609" i="11"/>
  <c r="DB609" i="11"/>
  <c r="DC609" i="11"/>
  <c r="DM609" i="11"/>
  <c r="DN609" i="11"/>
  <c r="CM609" i="11"/>
  <c r="CN609" i="11"/>
  <c r="CO609" i="11"/>
  <c r="CQ609" i="11" s="1"/>
  <c r="BZ609" i="11"/>
  <c r="BM609" i="11"/>
  <c r="CZ609" i="11"/>
  <c r="CP609" i="11"/>
  <c r="CA609" i="11"/>
  <c r="AZ609" i="11"/>
  <c r="DA609" i="11"/>
  <c r="CB609" i="11"/>
  <c r="CD609" i="11" s="1"/>
  <c r="CC609" i="11"/>
  <c r="X609" i="11"/>
  <c r="AM609" i="11"/>
  <c r="C611" i="11"/>
  <c r="A611" i="11" s="1"/>
  <c r="EB610" i="11" l="1"/>
  <c r="Z610" i="11"/>
  <c r="F610" i="11" s="1"/>
  <c r="BY607" i="11"/>
  <c r="P610" i="11"/>
  <c r="BL607" i="11"/>
  <c r="BW608" i="11"/>
  <c r="BS608" i="11"/>
  <c r="BK608" i="11"/>
  <c r="BJ608" i="11"/>
  <c r="BF608" i="11"/>
  <c r="BX608" i="11"/>
  <c r="AY607" i="11"/>
  <c r="AC609" i="11"/>
  <c r="DL607" i="11"/>
  <c r="CL608" i="11"/>
  <c r="CY608" i="11"/>
  <c r="DK608" i="11"/>
  <c r="DJ608" i="11"/>
  <c r="DF608" i="11"/>
  <c r="CJ609" i="11"/>
  <c r="CK609" i="11"/>
  <c r="CW609" i="11"/>
  <c r="CX609" i="11"/>
  <c r="M609" i="11"/>
  <c r="EE609" i="11"/>
  <c r="EG609" i="11" s="1"/>
  <c r="L609" i="11"/>
  <c r="B611" i="11"/>
  <c r="AW608" i="11"/>
  <c r="AX608" i="11"/>
  <c r="EA610" i="11"/>
  <c r="DZ610" i="11"/>
  <c r="EI610" i="11"/>
  <c r="ED610" i="11"/>
  <c r="EC610" i="11"/>
  <c r="EH610" i="11"/>
  <c r="CS609" i="11"/>
  <c r="CF609" i="11"/>
  <c r="DD609" i="11"/>
  <c r="DE609" i="11" s="1"/>
  <c r="DG609" i="11" s="1"/>
  <c r="BQ609" i="11"/>
  <c r="BR609" i="11" s="1"/>
  <c r="BT609" i="11" s="1"/>
  <c r="AB610" i="11"/>
  <c r="BE609" i="11"/>
  <c r="BG609" i="11" s="1"/>
  <c r="AR609" i="11"/>
  <c r="AT609" i="11" s="1"/>
  <c r="AS609" i="11"/>
  <c r="AQ609" i="11"/>
  <c r="CE610" i="11"/>
  <c r="CG610" i="11" s="1"/>
  <c r="DU610" i="11"/>
  <c r="DV610" i="11"/>
  <c r="DI610" i="11"/>
  <c r="DH610" i="11"/>
  <c r="CR610" i="11"/>
  <c r="CT610" i="11" s="1"/>
  <c r="CU610" i="11"/>
  <c r="CV610" i="11"/>
  <c r="CH610" i="11"/>
  <c r="CI610" i="11"/>
  <c r="BU610" i="11"/>
  <c r="BV610" i="11"/>
  <c r="BI610" i="11"/>
  <c r="BH610" i="11"/>
  <c r="AU610" i="11"/>
  <c r="AV610" i="11"/>
  <c r="AH610" i="11"/>
  <c r="AI610" i="11"/>
  <c r="BN610" i="11"/>
  <c r="BO610" i="11"/>
  <c r="BP610" i="11"/>
  <c r="AN610" i="11"/>
  <c r="AO610" i="11"/>
  <c r="AP610" i="11"/>
  <c r="Y610" i="11"/>
  <c r="AA610" i="11"/>
  <c r="BB610" i="11"/>
  <c r="BD610" i="11" s="1"/>
  <c r="BA610" i="11"/>
  <c r="BC610" i="11"/>
  <c r="DM610" i="11"/>
  <c r="DN610" i="11"/>
  <c r="CZ610" i="11"/>
  <c r="DA610" i="11"/>
  <c r="DP610" i="11"/>
  <c r="DB610" i="11"/>
  <c r="CP610" i="11"/>
  <c r="CA610" i="11"/>
  <c r="CB610" i="11"/>
  <c r="CD610" i="11" s="1"/>
  <c r="CC610" i="11"/>
  <c r="BM610" i="11"/>
  <c r="CM610" i="11"/>
  <c r="AZ610" i="11"/>
  <c r="DC610" i="11"/>
  <c r="CN610" i="11"/>
  <c r="CO610" i="11"/>
  <c r="CQ610" i="11" s="1"/>
  <c r="BZ610" i="11"/>
  <c r="AM610" i="11"/>
  <c r="X610" i="11"/>
  <c r="W611" i="11"/>
  <c r="C612" i="11"/>
  <c r="A612" i="11" s="1"/>
  <c r="EB611" i="11" l="1"/>
  <c r="ED611" i="11" s="1"/>
  <c r="Z611" i="11"/>
  <c r="F611" i="11" s="1"/>
  <c r="BL608" i="11"/>
  <c r="P611" i="11"/>
  <c r="BY608" i="11"/>
  <c r="BW609" i="11"/>
  <c r="BS609" i="11"/>
  <c r="BX609" i="11"/>
  <c r="BK609" i="11"/>
  <c r="BJ609" i="11"/>
  <c r="BF609" i="11"/>
  <c r="CK610" i="11"/>
  <c r="CY609" i="11"/>
  <c r="CL609" i="11"/>
  <c r="AC610" i="11"/>
  <c r="AY608" i="11"/>
  <c r="DL608" i="11"/>
  <c r="DK609" i="11"/>
  <c r="DF609" i="11"/>
  <c r="DJ609" i="11"/>
  <c r="CX610" i="11"/>
  <c r="CW610" i="11"/>
  <c r="L610" i="11"/>
  <c r="CJ610" i="11"/>
  <c r="AW609" i="11"/>
  <c r="AX609" i="11"/>
  <c r="B612" i="11"/>
  <c r="M610" i="11"/>
  <c r="EI611" i="11"/>
  <c r="EH611" i="11"/>
  <c r="EA611" i="11"/>
  <c r="DZ611" i="11"/>
  <c r="EC611" i="11"/>
  <c r="EE610" i="11"/>
  <c r="EG610" i="11" s="1"/>
  <c r="CF610" i="11"/>
  <c r="CS610" i="11"/>
  <c r="BE610" i="11"/>
  <c r="BG610" i="11" s="1"/>
  <c r="BQ610" i="11"/>
  <c r="BR610" i="11" s="1"/>
  <c r="BT610" i="11" s="1"/>
  <c r="DD610" i="11"/>
  <c r="DE610" i="11" s="1"/>
  <c r="DG610" i="11" s="1"/>
  <c r="AB611" i="11"/>
  <c r="AR610" i="11"/>
  <c r="AT610" i="11" s="1"/>
  <c r="AS610" i="11"/>
  <c r="AQ610" i="11"/>
  <c r="CE611" i="11"/>
  <c r="CG611" i="11" s="1"/>
  <c r="DV611" i="11"/>
  <c r="DU611" i="11"/>
  <c r="DH611" i="11"/>
  <c r="DI611" i="11"/>
  <c r="CR611" i="11"/>
  <c r="CT611" i="11" s="1"/>
  <c r="CU611" i="11"/>
  <c r="CV611" i="11"/>
  <c r="CH611" i="11"/>
  <c r="CI611" i="11"/>
  <c r="BV611" i="11"/>
  <c r="BU611" i="11"/>
  <c r="BH611" i="11"/>
  <c r="BI611" i="11"/>
  <c r="AU611" i="11"/>
  <c r="AV611" i="11"/>
  <c r="AH611" i="11"/>
  <c r="AI611" i="11"/>
  <c r="BO611" i="11"/>
  <c r="BP611" i="11"/>
  <c r="BN611" i="11"/>
  <c r="AP611" i="11"/>
  <c r="AN611" i="11"/>
  <c r="Y611" i="11"/>
  <c r="AA611" i="11"/>
  <c r="AO611" i="11"/>
  <c r="BA611" i="11"/>
  <c r="BB611" i="11"/>
  <c r="BD611" i="11" s="1"/>
  <c r="BC611" i="11"/>
  <c r="DP611" i="11"/>
  <c r="DB611" i="11"/>
  <c r="DC611" i="11"/>
  <c r="DM611" i="11"/>
  <c r="DN611" i="11"/>
  <c r="DA611" i="11"/>
  <c r="X611" i="11"/>
  <c r="CM611" i="11"/>
  <c r="CN611" i="11"/>
  <c r="CO611" i="11"/>
  <c r="CQ611" i="11" s="1"/>
  <c r="BZ611" i="11"/>
  <c r="CP611" i="11"/>
  <c r="CA611" i="11"/>
  <c r="CB611" i="11"/>
  <c r="CF611" i="11" s="1"/>
  <c r="BM611" i="11"/>
  <c r="CC611" i="11"/>
  <c r="AZ611" i="11"/>
  <c r="CZ611" i="11"/>
  <c r="AM611" i="11"/>
  <c r="W612" i="11"/>
  <c r="C613" i="11"/>
  <c r="A613" i="11" s="1"/>
  <c r="Z612" i="11" l="1"/>
  <c r="F612" i="11" s="1"/>
  <c r="EB612" i="11"/>
  <c r="BY609" i="11"/>
  <c r="BL609" i="11"/>
  <c r="P612" i="11"/>
  <c r="CL610" i="11"/>
  <c r="BS610" i="11"/>
  <c r="BX610" i="11"/>
  <c r="BW610" i="11"/>
  <c r="BJ610" i="11"/>
  <c r="BK610" i="11"/>
  <c r="BF610" i="11"/>
  <c r="CY610" i="11"/>
  <c r="DL609" i="11"/>
  <c r="AY609" i="11"/>
  <c r="M611" i="11"/>
  <c r="AC611" i="11"/>
  <c r="DK610" i="11"/>
  <c r="DJ610" i="11"/>
  <c r="DF610" i="11"/>
  <c r="CX611" i="11"/>
  <c r="CW611" i="11"/>
  <c r="CK611" i="11"/>
  <c r="CJ611" i="11"/>
  <c r="L611" i="11"/>
  <c r="AX610" i="11"/>
  <c r="AW610" i="11"/>
  <c r="B613" i="11"/>
  <c r="EE611" i="11"/>
  <c r="EG611" i="11" s="1"/>
  <c r="DZ612" i="11"/>
  <c r="EH612" i="11"/>
  <c r="EC612" i="11"/>
  <c r="EI612" i="11"/>
  <c r="ED612" i="11"/>
  <c r="EA612" i="11"/>
  <c r="BE611" i="11"/>
  <c r="BG611" i="11" s="1"/>
  <c r="DD611" i="11"/>
  <c r="DE611" i="11" s="1"/>
  <c r="DG611" i="11" s="1"/>
  <c r="BQ611" i="11"/>
  <c r="BR611" i="11" s="1"/>
  <c r="BT611" i="11" s="1"/>
  <c r="CS611" i="11"/>
  <c r="CD611" i="11"/>
  <c r="AB612" i="11"/>
  <c r="AR611" i="11"/>
  <c r="AT611" i="11" s="1"/>
  <c r="AS611" i="11"/>
  <c r="AQ611" i="11"/>
  <c r="CE612" i="11"/>
  <c r="CG612" i="11" s="1"/>
  <c r="DU612" i="11"/>
  <c r="DV612" i="11"/>
  <c r="DH612" i="11"/>
  <c r="DI612" i="11"/>
  <c r="CR612" i="11"/>
  <c r="CT612" i="11" s="1"/>
  <c r="CU612" i="11"/>
  <c r="CV612" i="11"/>
  <c r="CH612" i="11"/>
  <c r="CI612" i="11"/>
  <c r="BU612" i="11"/>
  <c r="BV612" i="11"/>
  <c r="BH612" i="11"/>
  <c r="BI612" i="11"/>
  <c r="AU612" i="11"/>
  <c r="AV612" i="11"/>
  <c r="AH612" i="11"/>
  <c r="AI612" i="11"/>
  <c r="BP612" i="11"/>
  <c r="BO612" i="11"/>
  <c r="BN612" i="11"/>
  <c r="W613" i="11"/>
  <c r="AO612" i="11"/>
  <c r="AP612" i="11"/>
  <c r="AN612" i="11"/>
  <c r="AA612" i="11"/>
  <c r="Y612" i="11"/>
  <c r="BA612" i="11"/>
  <c r="BB612" i="11"/>
  <c r="BD612" i="11" s="1"/>
  <c r="BC612" i="11"/>
  <c r="DM612" i="11"/>
  <c r="DN612" i="11"/>
  <c r="CZ612" i="11"/>
  <c r="DA612" i="11"/>
  <c r="DP612" i="11"/>
  <c r="DB612" i="11"/>
  <c r="CP612" i="11"/>
  <c r="CA612" i="11"/>
  <c r="AM612" i="11"/>
  <c r="DC612" i="11"/>
  <c r="CB612" i="11"/>
  <c r="CF612" i="11" s="1"/>
  <c r="X612" i="11"/>
  <c r="CC612" i="11"/>
  <c r="CM612" i="11"/>
  <c r="CN612" i="11"/>
  <c r="BM612" i="11"/>
  <c r="CO612" i="11"/>
  <c r="CS612" i="11" s="1"/>
  <c r="BZ612" i="11"/>
  <c r="AZ612" i="11"/>
  <c r="C614" i="11"/>
  <c r="A614" i="11" s="1"/>
  <c r="EB613" i="11" l="1"/>
  <c r="ED613" i="11" s="1"/>
  <c r="Z613" i="11"/>
  <c r="F613" i="11" s="1"/>
  <c r="BY610" i="11"/>
  <c r="P613" i="11"/>
  <c r="BL610" i="11"/>
  <c r="BS611" i="11"/>
  <c r="BW611" i="11"/>
  <c r="BX611" i="11"/>
  <c r="BJ611" i="11"/>
  <c r="BK611" i="11"/>
  <c r="BF611" i="11"/>
  <c r="CY611" i="11"/>
  <c r="CL611" i="11"/>
  <c r="AY610" i="11"/>
  <c r="AC612" i="11"/>
  <c r="M612" i="11"/>
  <c r="L612" i="11"/>
  <c r="DL610" i="11"/>
  <c r="DJ611" i="11"/>
  <c r="DK611" i="11"/>
  <c r="DF611" i="11"/>
  <c r="CJ612" i="11"/>
  <c r="CK612" i="11"/>
  <c r="CW612" i="11"/>
  <c r="CX612" i="11"/>
  <c r="B614" i="11"/>
  <c r="AW611" i="11"/>
  <c r="AX611" i="11"/>
  <c r="EI613" i="11"/>
  <c r="EC613" i="11"/>
  <c r="EA613" i="11"/>
  <c r="EH613" i="11"/>
  <c r="DZ613" i="11"/>
  <c r="EE612" i="11"/>
  <c r="EG612" i="11" s="1"/>
  <c r="CQ612" i="11"/>
  <c r="BE612" i="11"/>
  <c r="BG612" i="11" s="1"/>
  <c r="AB613" i="11"/>
  <c r="BQ612" i="11"/>
  <c r="BR612" i="11" s="1"/>
  <c r="BT612" i="11" s="1"/>
  <c r="DD612" i="11"/>
  <c r="DE612" i="11" s="1"/>
  <c r="DG612" i="11" s="1"/>
  <c r="CD612" i="11"/>
  <c r="AR612" i="11"/>
  <c r="AT612" i="11" s="1"/>
  <c r="AQ612" i="11"/>
  <c r="AS612" i="11"/>
  <c r="CE613" i="11"/>
  <c r="CG613" i="11" s="1"/>
  <c r="DV613" i="11"/>
  <c r="DU613" i="11"/>
  <c r="DI613" i="11"/>
  <c r="DH613" i="11"/>
  <c r="CR613" i="11"/>
  <c r="CT613" i="11" s="1"/>
  <c r="CU613" i="11"/>
  <c r="CV613" i="11"/>
  <c r="CH613" i="11"/>
  <c r="CI613" i="11"/>
  <c r="BU613" i="11"/>
  <c r="BV613" i="11"/>
  <c r="BH613" i="11"/>
  <c r="BI613" i="11"/>
  <c r="AU613" i="11"/>
  <c r="AI613" i="11"/>
  <c r="AH613" i="11"/>
  <c r="AV613" i="11"/>
  <c r="BN613" i="11"/>
  <c r="BO613" i="11"/>
  <c r="BP613" i="11"/>
  <c r="W614" i="11"/>
  <c r="AN613" i="11"/>
  <c r="AO613" i="11"/>
  <c r="AP613" i="11"/>
  <c r="Y613" i="11"/>
  <c r="AA613" i="11"/>
  <c r="BA613" i="11"/>
  <c r="BB613" i="11"/>
  <c r="BD613" i="11" s="1"/>
  <c r="BC613" i="11"/>
  <c r="DP613" i="11"/>
  <c r="DB613" i="11"/>
  <c r="DC613" i="11"/>
  <c r="DM613" i="11"/>
  <c r="DN613" i="11"/>
  <c r="AZ613" i="11"/>
  <c r="CM613" i="11"/>
  <c r="AM613" i="11"/>
  <c r="CZ613" i="11"/>
  <c r="CN613" i="11"/>
  <c r="X613" i="11"/>
  <c r="DA613" i="11"/>
  <c r="CO613" i="11"/>
  <c r="CS613" i="11" s="1"/>
  <c r="BZ613" i="11"/>
  <c r="CP613" i="11"/>
  <c r="CA613" i="11"/>
  <c r="CB613" i="11"/>
  <c r="CD613" i="11" s="1"/>
  <c r="CC613" i="11"/>
  <c r="BM613" i="11"/>
  <c r="C615" i="11"/>
  <c r="A615" i="11" s="1"/>
  <c r="EB614" i="11" l="1"/>
  <c r="ED614" i="11" s="1"/>
  <c r="Z614" i="11"/>
  <c r="F614" i="11" s="1"/>
  <c r="BY611" i="11"/>
  <c r="P614" i="11"/>
  <c r="BW612" i="11"/>
  <c r="BX612" i="11"/>
  <c r="BS612" i="11"/>
  <c r="BL611" i="11"/>
  <c r="BF612" i="11"/>
  <c r="BJ612" i="11"/>
  <c r="BK612" i="11"/>
  <c r="CK613" i="11"/>
  <c r="CY612" i="11"/>
  <c r="AC613" i="11"/>
  <c r="AY611" i="11"/>
  <c r="CL612" i="11"/>
  <c r="DL611" i="11"/>
  <c r="DJ612" i="11"/>
  <c r="DF612" i="11"/>
  <c r="DK612" i="11"/>
  <c r="CW613" i="11"/>
  <c r="CX613" i="11"/>
  <c r="L613" i="11"/>
  <c r="AW612" i="11"/>
  <c r="AX612" i="11"/>
  <c r="M613" i="11"/>
  <c r="CJ613" i="11"/>
  <c r="B615" i="11"/>
  <c r="EE613" i="11"/>
  <c r="EG613" i="11" s="1"/>
  <c r="EA614" i="11"/>
  <c r="DZ614" i="11"/>
  <c r="EH614" i="11"/>
  <c r="EI614" i="11"/>
  <c r="EC614" i="11"/>
  <c r="CF613" i="11"/>
  <c r="CQ613" i="11"/>
  <c r="BE613" i="11"/>
  <c r="BG613" i="11" s="1"/>
  <c r="DD613" i="11"/>
  <c r="DE613" i="11" s="1"/>
  <c r="DG613" i="11" s="1"/>
  <c r="BQ613" i="11"/>
  <c r="BR613" i="11" s="1"/>
  <c r="BT613" i="11" s="1"/>
  <c r="AB614" i="11"/>
  <c r="AR613" i="11"/>
  <c r="AT613" i="11" s="1"/>
  <c r="AQ613" i="11"/>
  <c r="AS613" i="11"/>
  <c r="CE614" i="11"/>
  <c r="CG614" i="11" s="1"/>
  <c r="DV614" i="11"/>
  <c r="DU614" i="11"/>
  <c r="DH614" i="11"/>
  <c r="DI614" i="11"/>
  <c r="CV614" i="11"/>
  <c r="CR614" i="11"/>
  <c r="CT614" i="11" s="1"/>
  <c r="CU614" i="11"/>
  <c r="CH614" i="11"/>
  <c r="CI614" i="11"/>
  <c r="BU614" i="11"/>
  <c r="BV614" i="11"/>
  <c r="BH614" i="11"/>
  <c r="BI614" i="11"/>
  <c r="AH614" i="11"/>
  <c r="AU614" i="11"/>
  <c r="AV614" i="11"/>
  <c r="AI614" i="11"/>
  <c r="BN614" i="11"/>
  <c r="BO614" i="11"/>
  <c r="BP614" i="11"/>
  <c r="W615" i="11"/>
  <c r="AO614" i="11"/>
  <c r="AP614" i="11"/>
  <c r="AN614" i="11"/>
  <c r="Y614" i="11"/>
  <c r="AA614" i="11"/>
  <c r="BB614" i="11"/>
  <c r="BD614" i="11" s="1"/>
  <c r="BC614" i="11"/>
  <c r="BA614" i="11"/>
  <c r="DM614" i="11"/>
  <c r="DN614" i="11"/>
  <c r="CZ614" i="11"/>
  <c r="DA614" i="11"/>
  <c r="DP614" i="11"/>
  <c r="DB614" i="11"/>
  <c r="CP614" i="11"/>
  <c r="CA614" i="11"/>
  <c r="BM614" i="11"/>
  <c r="CB614" i="11"/>
  <c r="CD614" i="11" s="1"/>
  <c r="AZ614" i="11"/>
  <c r="CC614" i="11"/>
  <c r="AM614" i="11"/>
  <c r="X614" i="11"/>
  <c r="DC614" i="11"/>
  <c r="CM614" i="11"/>
  <c r="CN614" i="11"/>
  <c r="CO614" i="11"/>
  <c r="CS614" i="11" s="1"/>
  <c r="BZ614" i="11"/>
  <c r="C616" i="11"/>
  <c r="A616" i="11" s="1"/>
  <c r="EB615" i="11" l="1"/>
  <c r="Z615" i="11"/>
  <c r="F615" i="11" s="1"/>
  <c r="P615" i="11"/>
  <c r="BL612" i="11"/>
  <c r="BY612" i="11"/>
  <c r="BS613" i="11"/>
  <c r="BW613" i="11"/>
  <c r="BX613" i="11"/>
  <c r="BK613" i="11"/>
  <c r="BJ613" i="11"/>
  <c r="BF613" i="11"/>
  <c r="CL613" i="11"/>
  <c r="AY612" i="11"/>
  <c r="AC614" i="11"/>
  <c r="CY613" i="11"/>
  <c r="DF613" i="11"/>
  <c r="DK613" i="11"/>
  <c r="DJ613" i="11"/>
  <c r="DL612" i="11"/>
  <c r="CK614" i="11"/>
  <c r="CJ614" i="11"/>
  <c r="CX614" i="11"/>
  <c r="CW614" i="11"/>
  <c r="AX613" i="11"/>
  <c r="AW613" i="11"/>
  <c r="M614" i="11"/>
  <c r="L614" i="11"/>
  <c r="B616" i="11"/>
  <c r="EE614" i="11"/>
  <c r="EG614" i="11" s="1"/>
  <c r="ED615" i="11"/>
  <c r="EI615" i="11"/>
  <c r="EC615" i="11"/>
  <c r="EA615" i="11"/>
  <c r="EH615" i="11"/>
  <c r="DZ615" i="11"/>
  <c r="BE614" i="11"/>
  <c r="BG614" i="11" s="1"/>
  <c r="BQ614" i="11"/>
  <c r="BR614" i="11" s="1"/>
  <c r="BT614" i="11" s="1"/>
  <c r="DD614" i="11"/>
  <c r="DE614" i="11" s="1"/>
  <c r="DG614" i="11" s="1"/>
  <c r="CF614" i="11"/>
  <c r="AB615" i="11"/>
  <c r="CQ614" i="11"/>
  <c r="AR614" i="11"/>
  <c r="AT614" i="11" s="1"/>
  <c r="AQ614" i="11"/>
  <c r="AS614" i="11"/>
  <c r="CE615" i="11"/>
  <c r="CG615" i="11" s="1"/>
  <c r="DV615" i="11"/>
  <c r="DU615" i="11"/>
  <c r="DH615" i="11"/>
  <c r="DI615" i="11"/>
  <c r="CU615" i="11"/>
  <c r="CR615" i="11"/>
  <c r="CT615" i="11" s="1"/>
  <c r="CV615" i="11"/>
  <c r="CH615" i="11"/>
  <c r="CI615" i="11"/>
  <c r="BU615" i="11"/>
  <c r="BV615" i="11"/>
  <c r="BH615" i="11"/>
  <c r="BI615" i="11"/>
  <c r="AI615" i="11"/>
  <c r="AU615" i="11"/>
  <c r="AV615" i="11"/>
  <c r="AH615" i="11"/>
  <c r="BO615" i="11"/>
  <c r="BP615" i="11"/>
  <c r="BN615" i="11"/>
  <c r="W616" i="11"/>
  <c r="AN615" i="11"/>
  <c r="AO615" i="11"/>
  <c r="AP615" i="11"/>
  <c r="AA615" i="11"/>
  <c r="Y615" i="11"/>
  <c r="BC615" i="11"/>
  <c r="BA615" i="11"/>
  <c r="BB615" i="11"/>
  <c r="BD615" i="11" s="1"/>
  <c r="DP615" i="11"/>
  <c r="DB615" i="11"/>
  <c r="DC615" i="11"/>
  <c r="DM615" i="11"/>
  <c r="DN615" i="11"/>
  <c r="CM615" i="11"/>
  <c r="BM615" i="11"/>
  <c r="CN615" i="11"/>
  <c r="AZ615" i="11"/>
  <c r="CO615" i="11"/>
  <c r="CS615" i="11" s="1"/>
  <c r="BZ615" i="11"/>
  <c r="AM615" i="11"/>
  <c r="CP615" i="11"/>
  <c r="CA615" i="11"/>
  <c r="X615" i="11"/>
  <c r="CZ615" i="11"/>
  <c r="CB615" i="11"/>
  <c r="CF615" i="11" s="1"/>
  <c r="DA615" i="11"/>
  <c r="CC615" i="11"/>
  <c r="C617" i="11"/>
  <c r="A617" i="11" s="1"/>
  <c r="EB616" i="11" l="1"/>
  <c r="Z616" i="11"/>
  <c r="F616" i="11" s="1"/>
  <c r="P616" i="11"/>
  <c r="BL613" i="11"/>
  <c r="BY613" i="11"/>
  <c r="BX614" i="11"/>
  <c r="BS614" i="11"/>
  <c r="BJ614" i="11"/>
  <c r="BF614" i="11"/>
  <c r="BK614" i="11"/>
  <c r="BW614" i="11"/>
  <c r="CY614" i="11"/>
  <c r="CL614" i="11"/>
  <c r="M615" i="11"/>
  <c r="AY613" i="11"/>
  <c r="AC615" i="11"/>
  <c r="DL613" i="11"/>
  <c r="DJ614" i="11"/>
  <c r="DF614" i="11"/>
  <c r="DK614" i="11"/>
  <c r="CK615" i="11"/>
  <c r="CJ615" i="11"/>
  <c r="CW615" i="11"/>
  <c r="CX615" i="11"/>
  <c r="L615" i="11"/>
  <c r="AX614" i="11"/>
  <c r="AW614" i="11"/>
  <c r="B617" i="11"/>
  <c r="EE615" i="11"/>
  <c r="EG615" i="11" s="1"/>
  <c r="DZ616" i="11"/>
  <c r="EH616" i="11"/>
  <c r="EI616" i="11"/>
  <c r="EC616" i="11"/>
  <c r="ED616" i="11"/>
  <c r="EA616" i="11"/>
  <c r="AB616" i="11"/>
  <c r="CD615" i="11"/>
  <c r="CQ615" i="11"/>
  <c r="BE615" i="11"/>
  <c r="BG615" i="11" s="1"/>
  <c r="DD615" i="11"/>
  <c r="DE615" i="11" s="1"/>
  <c r="DG615" i="11" s="1"/>
  <c r="BQ615" i="11"/>
  <c r="BR615" i="11" s="1"/>
  <c r="BT615" i="11" s="1"/>
  <c r="AR615" i="11"/>
  <c r="AT615" i="11" s="1"/>
  <c r="AS615" i="11"/>
  <c r="AQ615" i="11"/>
  <c r="CE616" i="11"/>
  <c r="CG616" i="11" s="1"/>
  <c r="DU616" i="11"/>
  <c r="DV616" i="11"/>
  <c r="DH616" i="11"/>
  <c r="DI616" i="11"/>
  <c r="CR616" i="11"/>
  <c r="CT616" i="11" s="1"/>
  <c r="CU616" i="11"/>
  <c r="CV616" i="11"/>
  <c r="CH616" i="11"/>
  <c r="CI616" i="11"/>
  <c r="BV616" i="11"/>
  <c r="BU616" i="11"/>
  <c r="BH616" i="11"/>
  <c r="AV616" i="11"/>
  <c r="BI616" i="11"/>
  <c r="AU616" i="11"/>
  <c r="AH616" i="11"/>
  <c r="AI616" i="11"/>
  <c r="BN616" i="11"/>
  <c r="BP616" i="11"/>
  <c r="BO616" i="11"/>
  <c r="W617" i="11"/>
  <c r="AN616" i="11"/>
  <c r="AP616" i="11"/>
  <c r="Y616" i="11"/>
  <c r="AO616" i="11"/>
  <c r="AA616" i="11"/>
  <c r="BB616" i="11"/>
  <c r="BD616" i="11" s="1"/>
  <c r="BC616" i="11"/>
  <c r="BA616" i="11"/>
  <c r="DM616" i="11"/>
  <c r="DN616" i="11"/>
  <c r="CZ616" i="11"/>
  <c r="DA616" i="11"/>
  <c r="DP616" i="11"/>
  <c r="DB616" i="11"/>
  <c r="CP616" i="11"/>
  <c r="CA616" i="11"/>
  <c r="CB616" i="11"/>
  <c r="CF616" i="11" s="1"/>
  <c r="CC616" i="11"/>
  <c r="BM616" i="11"/>
  <c r="AZ616" i="11"/>
  <c r="AM616" i="11"/>
  <c r="CM616" i="11"/>
  <c r="CN616" i="11"/>
  <c r="DC616" i="11"/>
  <c r="CO616" i="11"/>
  <c r="CS616" i="11" s="1"/>
  <c r="BZ616" i="11"/>
  <c r="X616" i="11"/>
  <c r="C618" i="11"/>
  <c r="A618" i="11" s="1"/>
  <c r="EB617" i="11" l="1"/>
  <c r="Z617" i="11"/>
  <c r="F617" i="11" s="1"/>
  <c r="P617" i="11"/>
  <c r="BY614" i="11"/>
  <c r="BL614" i="11"/>
  <c r="BW615" i="11"/>
  <c r="BX615" i="11"/>
  <c r="BS615" i="11"/>
  <c r="BK615" i="11"/>
  <c r="BJ615" i="11"/>
  <c r="BF615" i="11"/>
  <c r="CL615" i="11"/>
  <c r="AY614" i="11"/>
  <c r="DL614" i="11"/>
  <c r="CW616" i="11"/>
  <c r="CY615" i="11"/>
  <c r="M616" i="11"/>
  <c r="AC616" i="11"/>
  <c r="DF615" i="11"/>
  <c r="DK615" i="11"/>
  <c r="DJ615" i="11"/>
  <c r="AW615" i="11"/>
  <c r="AX615" i="11"/>
  <c r="L616" i="11"/>
  <c r="CJ616" i="11"/>
  <c r="CK616" i="11"/>
  <c r="B618" i="11"/>
  <c r="CX616" i="11"/>
  <c r="EE616" i="11"/>
  <c r="EG616" i="11" s="1"/>
  <c r="EI617" i="11"/>
  <c r="EC617" i="11"/>
  <c r="ED617" i="11"/>
  <c r="DZ617" i="11"/>
  <c r="EH617" i="11"/>
  <c r="EA617" i="11"/>
  <c r="BQ616" i="11"/>
  <c r="BR616" i="11" s="1"/>
  <c r="BT616" i="11" s="1"/>
  <c r="CD616" i="11"/>
  <c r="CQ616" i="11"/>
  <c r="BE616" i="11"/>
  <c r="BG616" i="11" s="1"/>
  <c r="DD616" i="11"/>
  <c r="DE616" i="11" s="1"/>
  <c r="DG616" i="11" s="1"/>
  <c r="AB617" i="11"/>
  <c r="AR616" i="11"/>
  <c r="AT616" i="11" s="1"/>
  <c r="AS616" i="11"/>
  <c r="AQ616" i="11"/>
  <c r="CE617" i="11"/>
  <c r="CG617" i="11" s="1"/>
  <c r="DV617" i="11"/>
  <c r="DU617" i="11"/>
  <c r="DH617" i="11"/>
  <c r="DI617" i="11"/>
  <c r="CR617" i="11"/>
  <c r="CT617" i="11" s="1"/>
  <c r="CU617" i="11"/>
  <c r="CV617" i="11"/>
  <c r="CH617" i="11"/>
  <c r="CI617" i="11"/>
  <c r="BU617" i="11"/>
  <c r="BV617" i="11"/>
  <c r="BI617" i="11"/>
  <c r="AU617" i="11"/>
  <c r="AV617" i="11"/>
  <c r="BH617" i="11"/>
  <c r="AH617" i="11"/>
  <c r="AI617" i="11"/>
  <c r="BN617" i="11"/>
  <c r="BO617" i="11"/>
  <c r="BP617" i="11"/>
  <c r="AP617" i="11"/>
  <c r="AN617" i="11"/>
  <c r="AO617" i="11"/>
  <c r="Y617" i="11"/>
  <c r="AA617" i="11"/>
  <c r="BA617" i="11"/>
  <c r="BB617" i="11"/>
  <c r="BD617" i="11" s="1"/>
  <c r="BC617" i="11"/>
  <c r="DP617" i="11"/>
  <c r="DB617" i="11"/>
  <c r="DC617" i="11"/>
  <c r="DM617" i="11"/>
  <c r="DN617" i="11"/>
  <c r="CZ617" i="11"/>
  <c r="DA617" i="11"/>
  <c r="CM617" i="11"/>
  <c r="CN617" i="11"/>
  <c r="CO617" i="11"/>
  <c r="CQ617" i="11" s="1"/>
  <c r="BZ617" i="11"/>
  <c r="BM617" i="11"/>
  <c r="CP617" i="11"/>
  <c r="CA617" i="11"/>
  <c r="AZ617" i="11"/>
  <c r="CB617" i="11"/>
  <c r="CF617" i="11" s="1"/>
  <c r="CC617" i="11"/>
  <c r="AM617" i="11"/>
  <c r="X617" i="11"/>
  <c r="W618" i="11"/>
  <c r="C619" i="11"/>
  <c r="A619" i="11" s="1"/>
  <c r="EB618" i="11" l="1"/>
  <c r="ED618" i="11" s="1"/>
  <c r="Z618" i="11"/>
  <c r="F618" i="11" s="1"/>
  <c r="BY615" i="11"/>
  <c r="CY616" i="11"/>
  <c r="P618" i="11"/>
  <c r="BL615" i="11"/>
  <c r="BW616" i="11"/>
  <c r="BX616" i="11"/>
  <c r="BS616" i="11"/>
  <c r="BF616" i="11"/>
  <c r="BK616" i="11"/>
  <c r="BJ616" i="11"/>
  <c r="AY615" i="11"/>
  <c r="CL616" i="11"/>
  <c r="AC617" i="11"/>
  <c r="DF616" i="11"/>
  <c r="DK616" i="11"/>
  <c r="DJ616" i="11"/>
  <c r="DL615" i="11"/>
  <c r="CX617" i="11"/>
  <c r="CW617" i="11"/>
  <c r="CK617" i="11"/>
  <c r="CJ617" i="11"/>
  <c r="L617" i="11"/>
  <c r="AW616" i="11"/>
  <c r="AX616" i="11"/>
  <c r="M617" i="11"/>
  <c r="B619" i="11"/>
  <c r="EE617" i="11"/>
  <c r="EG617" i="11" s="1"/>
  <c r="EA618" i="11"/>
  <c r="DZ618" i="11"/>
  <c r="EC618" i="11"/>
  <c r="EI618" i="11"/>
  <c r="EH618" i="11"/>
  <c r="CS617" i="11"/>
  <c r="BE617" i="11"/>
  <c r="BG617" i="11" s="1"/>
  <c r="DD617" i="11"/>
  <c r="DE617" i="11" s="1"/>
  <c r="DG617" i="11" s="1"/>
  <c r="BQ617" i="11"/>
  <c r="BR617" i="11" s="1"/>
  <c r="BT617" i="11" s="1"/>
  <c r="AB618" i="11"/>
  <c r="CD617" i="11"/>
  <c r="AR617" i="11"/>
  <c r="AT617" i="11" s="1"/>
  <c r="AS617" i="11"/>
  <c r="AQ617" i="11"/>
  <c r="CE618" i="11"/>
  <c r="CG618" i="11" s="1"/>
  <c r="DU618" i="11"/>
  <c r="DV618" i="11"/>
  <c r="DI618" i="11"/>
  <c r="DH618" i="11"/>
  <c r="CR618" i="11"/>
  <c r="CT618" i="11" s="1"/>
  <c r="CU618" i="11"/>
  <c r="CV618" i="11"/>
  <c r="CH618" i="11"/>
  <c r="CI618" i="11"/>
  <c r="BU618" i="11"/>
  <c r="BV618" i="11"/>
  <c r="BI618" i="11"/>
  <c r="BH618" i="11"/>
  <c r="AU618" i="11"/>
  <c r="AV618" i="11"/>
  <c r="AH618" i="11"/>
  <c r="AI618" i="11"/>
  <c r="BN618" i="11"/>
  <c r="BO618" i="11"/>
  <c r="BP618" i="11"/>
  <c r="W619" i="11"/>
  <c r="AN618" i="11"/>
  <c r="AO618" i="11"/>
  <c r="AP618" i="11"/>
  <c r="Y618" i="11"/>
  <c r="AA618" i="11"/>
  <c r="BB618" i="11"/>
  <c r="BD618" i="11" s="1"/>
  <c r="BA618" i="11"/>
  <c r="BC618" i="11"/>
  <c r="DM618" i="11"/>
  <c r="DN618" i="11"/>
  <c r="CZ618" i="11"/>
  <c r="DA618" i="11"/>
  <c r="DP618" i="11"/>
  <c r="DB618" i="11"/>
  <c r="CP618" i="11"/>
  <c r="CA618" i="11"/>
  <c r="CB618" i="11"/>
  <c r="CF618" i="11" s="1"/>
  <c r="DC618" i="11"/>
  <c r="CC618" i="11"/>
  <c r="BM618" i="11"/>
  <c r="CM618" i="11"/>
  <c r="AZ618" i="11"/>
  <c r="CN618" i="11"/>
  <c r="CO618" i="11"/>
  <c r="CS618" i="11" s="1"/>
  <c r="BZ618" i="11"/>
  <c r="X618" i="11"/>
  <c r="AM618" i="11"/>
  <c r="C620" i="11"/>
  <c r="A620" i="11" s="1"/>
  <c r="EB619" i="11" l="1"/>
  <c r="ED619" i="11" s="1"/>
  <c r="Z619" i="11"/>
  <c r="F619" i="11" s="1"/>
  <c r="BY616" i="11"/>
  <c r="BL616" i="11"/>
  <c r="P619" i="11"/>
  <c r="BW617" i="11"/>
  <c r="BX617" i="11"/>
  <c r="BS617" i="11"/>
  <c r="BJ617" i="11"/>
  <c r="BF617" i="11"/>
  <c r="AC618" i="11"/>
  <c r="AY616" i="11"/>
  <c r="CK618" i="11"/>
  <c r="BK617" i="11"/>
  <c r="CY617" i="11"/>
  <c r="CL617" i="11"/>
  <c r="CX618" i="11"/>
  <c r="CW618" i="11"/>
  <c r="DL616" i="11"/>
  <c r="L618" i="11"/>
  <c r="DK617" i="11"/>
  <c r="DF617" i="11"/>
  <c r="DJ617" i="11"/>
  <c r="AW617" i="11"/>
  <c r="AX617" i="11"/>
  <c r="CJ618" i="11"/>
  <c r="B620" i="11"/>
  <c r="M618" i="11"/>
  <c r="EE618" i="11"/>
  <c r="EG618" i="11" s="1"/>
  <c r="EI619" i="11"/>
  <c r="EH619" i="11"/>
  <c r="EA619" i="11"/>
  <c r="EC619" i="11"/>
  <c r="DZ619" i="11"/>
  <c r="CQ618" i="11"/>
  <c r="BE618" i="11"/>
  <c r="BG618" i="11" s="1"/>
  <c r="BQ618" i="11"/>
  <c r="BR618" i="11" s="1"/>
  <c r="BT618" i="11" s="1"/>
  <c r="DD618" i="11"/>
  <c r="DE618" i="11" s="1"/>
  <c r="DG618" i="11" s="1"/>
  <c r="AB619" i="11"/>
  <c r="CD618" i="11"/>
  <c r="AR618" i="11"/>
  <c r="AT618" i="11" s="1"/>
  <c r="AS618" i="11"/>
  <c r="AQ618" i="11"/>
  <c r="CE619" i="11"/>
  <c r="DV619" i="11"/>
  <c r="DU619" i="11"/>
  <c r="DH619" i="11"/>
  <c r="DI619" i="11"/>
  <c r="CU619" i="11"/>
  <c r="CV619" i="11"/>
  <c r="CR619" i="11"/>
  <c r="CT619" i="11" s="1"/>
  <c r="CH619" i="11"/>
  <c r="CI619" i="11"/>
  <c r="BV619" i="11"/>
  <c r="BU619" i="11"/>
  <c r="BH619" i="11"/>
  <c r="BI619" i="11"/>
  <c r="AU619" i="11"/>
  <c r="AV619" i="11"/>
  <c r="AH619" i="11"/>
  <c r="AI619" i="11"/>
  <c r="BO619" i="11"/>
  <c r="BP619" i="11"/>
  <c r="BN619" i="11"/>
  <c r="W620" i="11"/>
  <c r="AN619" i="11"/>
  <c r="AP619" i="11"/>
  <c r="AO619" i="11"/>
  <c r="Y619" i="11"/>
  <c r="AA619" i="11"/>
  <c r="BB619" i="11"/>
  <c r="BD619" i="11" s="1"/>
  <c r="BC619" i="11"/>
  <c r="BA619" i="11"/>
  <c r="DP619" i="11"/>
  <c r="DB619" i="11"/>
  <c r="DC619" i="11"/>
  <c r="DM619" i="11"/>
  <c r="DN619" i="11"/>
  <c r="X619" i="11"/>
  <c r="CM619" i="11"/>
  <c r="CN619" i="11"/>
  <c r="CZ619" i="11"/>
  <c r="CO619" i="11"/>
  <c r="CQ619" i="11" s="1"/>
  <c r="BZ619" i="11"/>
  <c r="DA619" i="11"/>
  <c r="CP619" i="11"/>
  <c r="CA619" i="11"/>
  <c r="CB619" i="11"/>
  <c r="CF619" i="11" s="1"/>
  <c r="BM619" i="11"/>
  <c r="CC619" i="11"/>
  <c r="AZ619" i="11"/>
  <c r="AM619" i="11"/>
  <c r="C621" i="11"/>
  <c r="A621" i="11" s="1"/>
  <c r="EB620" i="11" l="1"/>
  <c r="ED620" i="11" s="1"/>
  <c r="Z620" i="11"/>
  <c r="F620" i="11" s="1"/>
  <c r="BY617" i="11"/>
  <c r="CY618" i="11"/>
  <c r="P620" i="11"/>
  <c r="CL618" i="11"/>
  <c r="BL617" i="11"/>
  <c r="BX618" i="11"/>
  <c r="BW618" i="11"/>
  <c r="BS618" i="11"/>
  <c r="BK618" i="11"/>
  <c r="BJ618" i="11"/>
  <c r="BF618" i="11"/>
  <c r="AY617" i="11"/>
  <c r="AC619" i="11"/>
  <c r="CG619" i="11"/>
  <c r="CK619" i="11" s="1"/>
  <c r="L619" i="11"/>
  <c r="DL617" i="11"/>
  <c r="DJ618" i="11"/>
  <c r="DF618" i="11"/>
  <c r="DK618" i="11"/>
  <c r="CX619" i="11"/>
  <c r="CW619" i="11"/>
  <c r="AW618" i="11"/>
  <c r="AX618" i="11"/>
  <c r="B621" i="11"/>
  <c r="M619" i="11"/>
  <c r="DZ620" i="11"/>
  <c r="EH620" i="11"/>
  <c r="EC620" i="11"/>
  <c r="EA620" i="11"/>
  <c r="EI620" i="11"/>
  <c r="EE619" i="11"/>
  <c r="EG619" i="11" s="1"/>
  <c r="BE619" i="11"/>
  <c r="BG619" i="11" s="1"/>
  <c r="BQ619" i="11"/>
  <c r="BR619" i="11" s="1"/>
  <c r="BT619" i="11" s="1"/>
  <c r="DD619" i="11"/>
  <c r="DE619" i="11" s="1"/>
  <c r="DG619" i="11" s="1"/>
  <c r="CD619" i="11"/>
  <c r="CS619" i="11"/>
  <c r="AB620" i="11"/>
  <c r="AR619" i="11"/>
  <c r="AT619" i="11" s="1"/>
  <c r="AS619" i="11"/>
  <c r="AQ619" i="11"/>
  <c r="CE620" i="11"/>
  <c r="DU620" i="11"/>
  <c r="DV620" i="11"/>
  <c r="DH620" i="11"/>
  <c r="DI620" i="11"/>
  <c r="CU620" i="11"/>
  <c r="CV620" i="11"/>
  <c r="CR620" i="11"/>
  <c r="CT620" i="11" s="1"/>
  <c r="CH620" i="11"/>
  <c r="CI620" i="11"/>
  <c r="BU620" i="11"/>
  <c r="BV620" i="11"/>
  <c r="BH620" i="11"/>
  <c r="BI620" i="11"/>
  <c r="AU620" i="11"/>
  <c r="AV620" i="11"/>
  <c r="AH620" i="11"/>
  <c r="AI620" i="11"/>
  <c r="BP620" i="11"/>
  <c r="BO620" i="11"/>
  <c r="BN620" i="11"/>
  <c r="AO620" i="11"/>
  <c r="AP620" i="11"/>
  <c r="AN620" i="11"/>
  <c r="Y620" i="11"/>
  <c r="AA620" i="11"/>
  <c r="BB620" i="11"/>
  <c r="BD620" i="11" s="1"/>
  <c r="BC620" i="11"/>
  <c r="BA620" i="11"/>
  <c r="DM620" i="11"/>
  <c r="DN620" i="11"/>
  <c r="CZ620" i="11"/>
  <c r="DA620" i="11"/>
  <c r="DP620" i="11"/>
  <c r="DB620" i="11"/>
  <c r="CP620" i="11"/>
  <c r="CA620" i="11"/>
  <c r="AM620" i="11"/>
  <c r="CB620" i="11"/>
  <c r="CF620" i="11" s="1"/>
  <c r="X620" i="11"/>
  <c r="CC620" i="11"/>
  <c r="DC620" i="11"/>
  <c r="CM620" i="11"/>
  <c r="CN620" i="11"/>
  <c r="BM620" i="11"/>
  <c r="CO620" i="11"/>
  <c r="CS620" i="11" s="1"/>
  <c r="BZ620" i="11"/>
  <c r="AZ620" i="11"/>
  <c r="W621" i="11"/>
  <c r="C622" i="11"/>
  <c r="A622" i="11" s="1"/>
  <c r="EB621" i="11" l="1"/>
  <c r="ED621" i="11" s="1"/>
  <c r="Z621" i="11"/>
  <c r="F621" i="11" s="1"/>
  <c r="CG620" i="11"/>
  <c r="CK620" i="11" s="1"/>
  <c r="BL618" i="11"/>
  <c r="P621" i="11"/>
  <c r="BY618" i="11"/>
  <c r="BS619" i="11"/>
  <c r="BX619" i="11"/>
  <c r="BW619" i="11"/>
  <c r="AC620" i="11"/>
  <c r="BK619" i="11"/>
  <c r="BJ619" i="11"/>
  <c r="BF619" i="11"/>
  <c r="CJ619" i="11"/>
  <c r="CL619" i="11" s="1"/>
  <c r="AY618" i="11"/>
  <c r="CY619" i="11"/>
  <c r="DK619" i="11"/>
  <c r="DF619" i="11"/>
  <c r="DJ619" i="11"/>
  <c r="DL618" i="11"/>
  <c r="CX620" i="11"/>
  <c r="CW620" i="11"/>
  <c r="B622" i="11"/>
  <c r="M620" i="11"/>
  <c r="L620" i="11"/>
  <c r="AW619" i="11"/>
  <c r="AX619" i="11"/>
  <c r="EI621" i="11"/>
  <c r="EC621" i="11"/>
  <c r="DZ621" i="11"/>
  <c r="EH621" i="11"/>
  <c r="EA621" i="11"/>
  <c r="EE620" i="11"/>
  <c r="EG620" i="11" s="1"/>
  <c r="CD620" i="11"/>
  <c r="DD620" i="11"/>
  <c r="DE620" i="11" s="1"/>
  <c r="DG620" i="11" s="1"/>
  <c r="BE620" i="11"/>
  <c r="BG620" i="11" s="1"/>
  <c r="BQ620" i="11"/>
  <c r="BR620" i="11" s="1"/>
  <c r="BT620" i="11" s="1"/>
  <c r="AB621" i="11"/>
  <c r="CQ620" i="11"/>
  <c r="AR620" i="11"/>
  <c r="AT620" i="11" s="1"/>
  <c r="AQ620" i="11"/>
  <c r="AS620" i="11"/>
  <c r="CE621" i="11"/>
  <c r="CG621" i="11" s="1"/>
  <c r="DV621" i="11"/>
  <c r="DU621" i="11"/>
  <c r="DI621" i="11"/>
  <c r="DH621" i="11"/>
  <c r="CU621" i="11"/>
  <c r="CV621" i="11"/>
  <c r="CR621" i="11"/>
  <c r="CT621" i="11" s="1"/>
  <c r="CH621" i="11"/>
  <c r="CI621" i="11"/>
  <c r="BU621" i="11"/>
  <c r="BV621" i="11"/>
  <c r="BH621" i="11"/>
  <c r="BI621" i="11"/>
  <c r="AU621" i="11"/>
  <c r="AI621" i="11"/>
  <c r="AV621" i="11"/>
  <c r="AH621" i="11"/>
  <c r="BN621" i="11"/>
  <c r="BO621" i="11"/>
  <c r="BP621" i="11"/>
  <c r="AN621" i="11"/>
  <c r="AO621" i="11"/>
  <c r="Y621" i="11"/>
  <c r="AP621" i="11"/>
  <c r="AA621" i="11"/>
  <c r="BA621" i="11"/>
  <c r="BB621" i="11"/>
  <c r="BD621" i="11" s="1"/>
  <c r="BC621" i="11"/>
  <c r="DP621" i="11"/>
  <c r="DB621" i="11"/>
  <c r="DC621" i="11"/>
  <c r="DM621" i="11"/>
  <c r="DN621" i="11"/>
  <c r="AZ621" i="11"/>
  <c r="CM621" i="11"/>
  <c r="AM621" i="11"/>
  <c r="CN621" i="11"/>
  <c r="X621" i="11"/>
  <c r="CO621" i="11"/>
  <c r="CS621" i="11" s="1"/>
  <c r="BZ621" i="11"/>
  <c r="CP621" i="11"/>
  <c r="CA621" i="11"/>
  <c r="CB621" i="11"/>
  <c r="CF621" i="11" s="1"/>
  <c r="CZ621" i="11"/>
  <c r="CC621" i="11"/>
  <c r="DA621" i="11"/>
  <c r="BM621" i="11"/>
  <c r="W622" i="11"/>
  <c r="C623" i="11"/>
  <c r="A623" i="11" s="1"/>
  <c r="Z622" i="11" l="1"/>
  <c r="F622" i="11" s="1"/>
  <c r="EB622" i="11"/>
  <c r="ED622" i="11" s="1"/>
  <c r="CJ620" i="11"/>
  <c r="CL620" i="11" s="1"/>
  <c r="BY619" i="11"/>
  <c r="P622" i="11"/>
  <c r="BS620" i="11"/>
  <c r="BW620" i="11"/>
  <c r="BX620" i="11"/>
  <c r="AC621" i="11"/>
  <c r="BL619" i="11"/>
  <c r="BJ620" i="11"/>
  <c r="BK620" i="11"/>
  <c r="BF620" i="11"/>
  <c r="AY619" i="11"/>
  <c r="CY620" i="11"/>
  <c r="DL619" i="11"/>
  <c r="DJ620" i="11"/>
  <c r="DK620" i="11"/>
  <c r="DF620" i="11"/>
  <c r="CJ621" i="11"/>
  <c r="CK621" i="11"/>
  <c r="CW621" i="11"/>
  <c r="CX621" i="11"/>
  <c r="AW620" i="11"/>
  <c r="AX620" i="11"/>
  <c r="B623" i="11"/>
  <c r="EE621" i="11"/>
  <c r="EG621" i="11" s="1"/>
  <c r="L621" i="11"/>
  <c r="M621" i="11"/>
  <c r="EA622" i="11"/>
  <c r="DZ622" i="11"/>
  <c r="EI622" i="11"/>
  <c r="EH622" i="11"/>
  <c r="EC622" i="11"/>
  <c r="CQ621" i="11"/>
  <c r="BE621" i="11"/>
  <c r="BG621" i="11" s="1"/>
  <c r="DD621" i="11"/>
  <c r="DE621" i="11" s="1"/>
  <c r="DG621" i="11" s="1"/>
  <c r="CD621" i="11"/>
  <c r="BQ621" i="11"/>
  <c r="BR621" i="11" s="1"/>
  <c r="BT621" i="11" s="1"/>
  <c r="AB622" i="11"/>
  <c r="AR621" i="11"/>
  <c r="AT621" i="11" s="1"/>
  <c r="AS621" i="11"/>
  <c r="AQ621" i="11"/>
  <c r="CE622" i="11"/>
  <c r="CG622" i="11" s="1"/>
  <c r="DU622" i="11"/>
  <c r="DV622" i="11"/>
  <c r="DH622" i="11"/>
  <c r="DI622" i="11"/>
  <c r="CV622" i="11"/>
  <c r="CU622" i="11"/>
  <c r="CR622" i="11"/>
  <c r="CT622" i="11" s="1"/>
  <c r="CH622" i="11"/>
  <c r="CI622" i="11"/>
  <c r="BU622" i="11"/>
  <c r="BV622" i="11"/>
  <c r="BH622" i="11"/>
  <c r="BI622" i="11"/>
  <c r="AH622" i="11"/>
  <c r="AU622" i="11"/>
  <c r="AV622" i="11"/>
  <c r="AI622" i="11"/>
  <c r="BN622" i="11"/>
  <c r="BO622" i="11"/>
  <c r="BP622" i="11"/>
  <c r="AO622" i="11"/>
  <c r="Y622" i="11"/>
  <c r="AN622" i="11"/>
  <c r="AA622" i="11"/>
  <c r="AP622" i="11"/>
  <c r="BB622" i="11"/>
  <c r="BD622" i="11" s="1"/>
  <c r="BC622" i="11"/>
  <c r="BA622" i="11"/>
  <c r="DM622" i="11"/>
  <c r="DN622" i="11"/>
  <c r="CZ622" i="11"/>
  <c r="DA622" i="11"/>
  <c r="DP622" i="11"/>
  <c r="DB622" i="11"/>
  <c r="DC622" i="11"/>
  <c r="CP622" i="11"/>
  <c r="CA622" i="11"/>
  <c r="BM622" i="11"/>
  <c r="CB622" i="11"/>
  <c r="CF622" i="11" s="1"/>
  <c r="AZ622" i="11"/>
  <c r="CC622" i="11"/>
  <c r="AM622" i="11"/>
  <c r="X622" i="11"/>
  <c r="CM622" i="11"/>
  <c r="CN622" i="11"/>
  <c r="CO622" i="11"/>
  <c r="CQ622" i="11" s="1"/>
  <c r="BZ622" i="11"/>
  <c r="W623" i="11"/>
  <c r="C624" i="11"/>
  <c r="A624" i="11" s="1"/>
  <c r="EB623" i="11" l="1"/>
  <c r="Z623" i="11"/>
  <c r="F623" i="11" s="1"/>
  <c r="BY620" i="11"/>
  <c r="P623" i="11"/>
  <c r="BS621" i="11"/>
  <c r="BX621" i="11"/>
  <c r="BW621" i="11"/>
  <c r="BL620" i="11"/>
  <c r="BJ621" i="11"/>
  <c r="BF621" i="11"/>
  <c r="BK621" i="11"/>
  <c r="AY620" i="11"/>
  <c r="AC622" i="11"/>
  <c r="CX622" i="11"/>
  <c r="CL621" i="11"/>
  <c r="CY621" i="11"/>
  <c r="DJ621" i="11"/>
  <c r="DF621" i="11"/>
  <c r="DK621" i="11"/>
  <c r="DL620" i="11"/>
  <c r="CK622" i="11"/>
  <c r="CJ622" i="11"/>
  <c r="CW622" i="11"/>
  <c r="AW621" i="11"/>
  <c r="AX621" i="11"/>
  <c r="L622" i="11"/>
  <c r="B624" i="11"/>
  <c r="M622" i="11"/>
  <c r="EE622" i="11"/>
  <c r="EG622" i="11" s="1"/>
  <c r="ED623" i="11"/>
  <c r="EI623" i="11"/>
  <c r="DZ623" i="11"/>
  <c r="EH623" i="11"/>
  <c r="EC623" i="11"/>
  <c r="EA623" i="11"/>
  <c r="CS622" i="11"/>
  <c r="AB623" i="11"/>
  <c r="BE622" i="11"/>
  <c r="BG622" i="11" s="1"/>
  <c r="DD622" i="11"/>
  <c r="DE622" i="11" s="1"/>
  <c r="DG622" i="11" s="1"/>
  <c r="CD622" i="11"/>
  <c r="BQ622" i="11"/>
  <c r="BR622" i="11" s="1"/>
  <c r="BT622" i="11" s="1"/>
  <c r="AR622" i="11"/>
  <c r="AT622" i="11" s="1"/>
  <c r="AQ622" i="11"/>
  <c r="AS622" i="11"/>
  <c r="CE623" i="11"/>
  <c r="CG623" i="11" s="1"/>
  <c r="DV623" i="11"/>
  <c r="DU623" i="11"/>
  <c r="DH623" i="11"/>
  <c r="DI623" i="11"/>
  <c r="CU623" i="11"/>
  <c r="CV623" i="11"/>
  <c r="CR623" i="11"/>
  <c r="CT623" i="11" s="1"/>
  <c r="CH623" i="11"/>
  <c r="CI623" i="11"/>
  <c r="BU623" i="11"/>
  <c r="BV623" i="11"/>
  <c r="BH623" i="11"/>
  <c r="BI623" i="11"/>
  <c r="AU623" i="11"/>
  <c r="AV623" i="11"/>
  <c r="AI623" i="11"/>
  <c r="AH623" i="11"/>
  <c r="BO623" i="11"/>
  <c r="BP623" i="11"/>
  <c r="BN623" i="11"/>
  <c r="W624" i="11"/>
  <c r="AN623" i="11"/>
  <c r="AO623" i="11"/>
  <c r="AP623" i="11"/>
  <c r="AA623" i="11"/>
  <c r="Y623" i="11"/>
  <c r="BC623" i="11"/>
  <c r="BA623" i="11"/>
  <c r="BB623" i="11"/>
  <c r="BD623" i="11" s="1"/>
  <c r="DP623" i="11"/>
  <c r="DB623" i="11"/>
  <c r="DC623" i="11"/>
  <c r="DM623" i="11"/>
  <c r="DN623" i="11"/>
  <c r="CZ623" i="11"/>
  <c r="CM623" i="11"/>
  <c r="BM623" i="11"/>
  <c r="DA623" i="11"/>
  <c r="CN623" i="11"/>
  <c r="AZ623" i="11"/>
  <c r="CO623" i="11"/>
  <c r="CS623" i="11" s="1"/>
  <c r="BZ623" i="11"/>
  <c r="AM623" i="11"/>
  <c r="CP623" i="11"/>
  <c r="CA623" i="11"/>
  <c r="X623" i="11"/>
  <c r="CB623" i="11"/>
  <c r="CD623" i="11" s="1"/>
  <c r="CC623" i="11"/>
  <c r="C625" i="11"/>
  <c r="A625" i="11" s="1"/>
  <c r="EB624" i="11" l="1"/>
  <c r="ED624" i="11" s="1"/>
  <c r="Z624" i="11"/>
  <c r="F624" i="11" s="1"/>
  <c r="BY621" i="11"/>
  <c r="CY622" i="11"/>
  <c r="P624" i="11"/>
  <c r="BL621" i="11"/>
  <c r="BX622" i="11"/>
  <c r="BS622" i="11"/>
  <c r="AC623" i="11"/>
  <c r="BK622" i="11"/>
  <c r="BJ622" i="11"/>
  <c r="BF622" i="11"/>
  <c r="BW622" i="11"/>
  <c r="DL621" i="11"/>
  <c r="AY621" i="11"/>
  <c r="CL622" i="11"/>
  <c r="DF622" i="11"/>
  <c r="DK622" i="11"/>
  <c r="DJ622" i="11"/>
  <c r="CJ623" i="11"/>
  <c r="CK623" i="11"/>
  <c r="CW623" i="11"/>
  <c r="CX623" i="11"/>
  <c r="L623" i="11"/>
  <c r="B625" i="11"/>
  <c r="EE623" i="11"/>
  <c r="EG623" i="11" s="1"/>
  <c r="M623" i="11"/>
  <c r="AW622" i="11"/>
  <c r="AX622" i="11"/>
  <c r="DZ624" i="11"/>
  <c r="EI624" i="11"/>
  <c r="EC624" i="11"/>
  <c r="EH624" i="11"/>
  <c r="EA624" i="11"/>
  <c r="BQ623" i="11"/>
  <c r="BR623" i="11" s="1"/>
  <c r="BT623" i="11" s="1"/>
  <c r="CF623" i="11"/>
  <c r="CQ623" i="11"/>
  <c r="BE623" i="11"/>
  <c r="BG623" i="11" s="1"/>
  <c r="DD623" i="11"/>
  <c r="DE623" i="11" s="1"/>
  <c r="DG623" i="11" s="1"/>
  <c r="AB624" i="11"/>
  <c r="AR623" i="11"/>
  <c r="AT623" i="11" s="1"/>
  <c r="AS623" i="11"/>
  <c r="AQ623" i="11"/>
  <c r="CE624" i="11"/>
  <c r="CG624" i="11" s="1"/>
  <c r="DU624" i="11"/>
  <c r="DV624" i="11"/>
  <c r="DH624" i="11"/>
  <c r="DI624" i="11"/>
  <c r="CU624" i="11"/>
  <c r="CV624" i="11"/>
  <c r="CR624" i="11"/>
  <c r="CT624" i="11" s="1"/>
  <c r="CH624" i="11"/>
  <c r="CI624" i="11"/>
  <c r="BV624" i="11"/>
  <c r="BU624" i="11"/>
  <c r="BH624" i="11"/>
  <c r="AV624" i="11"/>
  <c r="BI624" i="11"/>
  <c r="AH624" i="11"/>
  <c r="AI624" i="11"/>
  <c r="AU624" i="11"/>
  <c r="BN624" i="11"/>
  <c r="BP624" i="11"/>
  <c r="BO624" i="11"/>
  <c r="W625" i="11"/>
  <c r="AN624" i="11"/>
  <c r="AO624" i="11"/>
  <c r="AP624" i="11"/>
  <c r="Y624" i="11"/>
  <c r="AA624" i="11"/>
  <c r="BB624" i="11"/>
  <c r="BD624" i="11" s="1"/>
  <c r="BC624" i="11"/>
  <c r="BA624" i="11"/>
  <c r="DM624" i="11"/>
  <c r="DN624" i="11"/>
  <c r="CZ624" i="11"/>
  <c r="DA624" i="11"/>
  <c r="DP624" i="11"/>
  <c r="DB624" i="11"/>
  <c r="CP624" i="11"/>
  <c r="CA624" i="11"/>
  <c r="CB624" i="11"/>
  <c r="CF624" i="11" s="1"/>
  <c r="CC624" i="11"/>
  <c r="BM624" i="11"/>
  <c r="DC624" i="11"/>
  <c r="AZ624" i="11"/>
  <c r="AM624" i="11"/>
  <c r="CM624" i="11"/>
  <c r="CN624" i="11"/>
  <c r="CO624" i="11"/>
  <c r="CQ624" i="11" s="1"/>
  <c r="BZ624" i="11"/>
  <c r="X624" i="11"/>
  <c r="C626" i="11"/>
  <c r="A626" i="11" s="1"/>
  <c r="Z625" i="11" l="1"/>
  <c r="F625" i="11" s="1"/>
  <c r="EB625" i="11"/>
  <c r="BY622" i="11"/>
  <c r="P625" i="11"/>
  <c r="BS623" i="11"/>
  <c r="BW623" i="11"/>
  <c r="BX623" i="11"/>
  <c r="BL622" i="11"/>
  <c r="BJ623" i="11"/>
  <c r="BK623" i="11"/>
  <c r="BF623" i="11"/>
  <c r="AC624" i="11"/>
  <c r="AY622" i="11"/>
  <c r="CL623" i="11"/>
  <c r="CY623" i="11"/>
  <c r="DF623" i="11"/>
  <c r="DK623" i="11"/>
  <c r="DJ623" i="11"/>
  <c r="DL622" i="11"/>
  <c r="CW624" i="11"/>
  <c r="CX624" i="11"/>
  <c r="CK624" i="11"/>
  <c r="CJ624" i="11"/>
  <c r="M624" i="11"/>
  <c r="L624" i="11"/>
  <c r="AW623" i="11"/>
  <c r="AX623" i="11"/>
  <c r="B626" i="11"/>
  <c r="EE624" i="11"/>
  <c r="EG624" i="11" s="1"/>
  <c r="EH625" i="11"/>
  <c r="ED625" i="11"/>
  <c r="EA625" i="11"/>
  <c r="EC625" i="11"/>
  <c r="EI625" i="11"/>
  <c r="DZ625" i="11"/>
  <c r="BQ624" i="11"/>
  <c r="BR624" i="11" s="1"/>
  <c r="BT624" i="11" s="1"/>
  <c r="BE624" i="11"/>
  <c r="BG624" i="11" s="1"/>
  <c r="DD624" i="11"/>
  <c r="DE624" i="11" s="1"/>
  <c r="DG624" i="11" s="1"/>
  <c r="CS624" i="11"/>
  <c r="CD624" i="11"/>
  <c r="AB625" i="11"/>
  <c r="AR624" i="11"/>
  <c r="AT624" i="11" s="1"/>
  <c r="AS624" i="11"/>
  <c r="AQ624" i="11"/>
  <c r="CE625" i="11"/>
  <c r="CG625" i="11" s="1"/>
  <c r="DV625" i="11"/>
  <c r="DU625" i="11"/>
  <c r="DH625" i="11"/>
  <c r="DI625" i="11"/>
  <c r="CU625" i="11"/>
  <c r="CV625" i="11"/>
  <c r="CR625" i="11"/>
  <c r="CT625" i="11" s="1"/>
  <c r="CH625" i="11"/>
  <c r="CI625" i="11"/>
  <c r="BU625" i="11"/>
  <c r="BV625" i="11"/>
  <c r="BI625" i="11"/>
  <c r="AU625" i="11"/>
  <c r="AV625" i="11"/>
  <c r="BH625" i="11"/>
  <c r="AH625" i="11"/>
  <c r="AI625" i="11"/>
  <c r="BN625" i="11"/>
  <c r="BO625" i="11"/>
  <c r="BP625" i="11"/>
  <c r="AP625" i="11"/>
  <c r="AN625" i="11"/>
  <c r="AO625" i="11"/>
  <c r="Y625" i="11"/>
  <c r="AA625" i="11"/>
  <c r="BB625" i="11"/>
  <c r="BD625" i="11" s="1"/>
  <c r="BC625" i="11"/>
  <c r="BA625" i="11"/>
  <c r="DP625" i="11"/>
  <c r="DB625" i="11"/>
  <c r="DC625" i="11"/>
  <c r="DM625" i="11"/>
  <c r="DN625" i="11"/>
  <c r="CM625" i="11"/>
  <c r="CN625" i="11"/>
  <c r="CO625" i="11"/>
  <c r="CS625" i="11" s="1"/>
  <c r="BZ625" i="11"/>
  <c r="BM625" i="11"/>
  <c r="CZ625" i="11"/>
  <c r="CP625" i="11"/>
  <c r="CA625" i="11"/>
  <c r="AZ625" i="11"/>
  <c r="DA625" i="11"/>
  <c r="CB625" i="11"/>
  <c r="CF625" i="11" s="1"/>
  <c r="CC625" i="11"/>
  <c r="AM625" i="11"/>
  <c r="X625" i="11"/>
  <c r="W626" i="11"/>
  <c r="C627" i="11"/>
  <c r="A627" i="11" s="1"/>
  <c r="EB626" i="11" l="1"/>
  <c r="ED626" i="11" s="1"/>
  <c r="Z626" i="11"/>
  <c r="F626" i="11" s="1"/>
  <c r="BY623" i="11"/>
  <c r="P626" i="11"/>
  <c r="BL623" i="11"/>
  <c r="BS624" i="11"/>
  <c r="BX624" i="11"/>
  <c r="BW624" i="11"/>
  <c r="BK624" i="11"/>
  <c r="BJ624" i="11"/>
  <c r="BF624" i="11"/>
  <c r="AC625" i="11"/>
  <c r="DL623" i="11"/>
  <c r="CK625" i="11"/>
  <c r="CL624" i="11"/>
  <c r="CY624" i="11"/>
  <c r="M625" i="11"/>
  <c r="AY623" i="11"/>
  <c r="DJ624" i="11"/>
  <c r="DF624" i="11"/>
  <c r="DK624" i="11"/>
  <c r="CW625" i="11"/>
  <c r="CX625" i="11"/>
  <c r="CJ625" i="11"/>
  <c r="L625" i="11"/>
  <c r="AX624" i="11"/>
  <c r="AW624" i="11"/>
  <c r="B627" i="11"/>
  <c r="EE625" i="11"/>
  <c r="EG625" i="11" s="1"/>
  <c r="EC626" i="11"/>
  <c r="DZ626" i="11"/>
  <c r="EI626" i="11"/>
  <c r="EA626" i="11"/>
  <c r="EH626" i="11"/>
  <c r="BQ625" i="11"/>
  <c r="BR625" i="11" s="1"/>
  <c r="BT625" i="11" s="1"/>
  <c r="CD625" i="11"/>
  <c r="CQ625" i="11"/>
  <c r="AB626" i="11"/>
  <c r="BE625" i="11"/>
  <c r="BG625" i="11" s="1"/>
  <c r="DD625" i="11"/>
  <c r="DE625" i="11" s="1"/>
  <c r="DG625" i="11" s="1"/>
  <c r="AR625" i="11"/>
  <c r="AT625" i="11" s="1"/>
  <c r="AS625" i="11"/>
  <c r="AQ625" i="11"/>
  <c r="CE626" i="11"/>
  <c r="CG626" i="11" s="1"/>
  <c r="DU626" i="11"/>
  <c r="DV626" i="11"/>
  <c r="DI626" i="11"/>
  <c r="DH626" i="11"/>
  <c r="CR626" i="11"/>
  <c r="CU626" i="11"/>
  <c r="CV626" i="11"/>
  <c r="CH626" i="11"/>
  <c r="CI626" i="11"/>
  <c r="BU626" i="11"/>
  <c r="BV626" i="11"/>
  <c r="BI626" i="11"/>
  <c r="BH626" i="11"/>
  <c r="AU626" i="11"/>
  <c r="AV626" i="11"/>
  <c r="AH626" i="11"/>
  <c r="AI626" i="11"/>
  <c r="BN626" i="11"/>
  <c r="BO626" i="11"/>
  <c r="BP626" i="11"/>
  <c r="AN626" i="11"/>
  <c r="AO626" i="11"/>
  <c r="AP626" i="11"/>
  <c r="Y626" i="11"/>
  <c r="AA626" i="11"/>
  <c r="BB626" i="11"/>
  <c r="BD626" i="11" s="1"/>
  <c r="BC626" i="11"/>
  <c r="BA626" i="11"/>
  <c r="DM626" i="11"/>
  <c r="DN626" i="11"/>
  <c r="CZ626" i="11"/>
  <c r="DA626" i="11"/>
  <c r="DP626" i="11"/>
  <c r="DB626" i="11"/>
  <c r="CP626" i="11"/>
  <c r="CA626" i="11"/>
  <c r="CB626" i="11"/>
  <c r="CF626" i="11" s="1"/>
  <c r="CC626" i="11"/>
  <c r="BM626" i="11"/>
  <c r="CM626" i="11"/>
  <c r="AZ626" i="11"/>
  <c r="DC626" i="11"/>
  <c r="CN626" i="11"/>
  <c r="CO626" i="11"/>
  <c r="CQ626" i="11" s="1"/>
  <c r="BZ626" i="11"/>
  <c r="AM626" i="11"/>
  <c r="X626" i="11"/>
  <c r="W627" i="11"/>
  <c r="C628" i="11"/>
  <c r="A628" i="11" s="1"/>
  <c r="EB627" i="11" l="1"/>
  <c r="Z627" i="11"/>
  <c r="F627" i="11" s="1"/>
  <c r="P627" i="11"/>
  <c r="BY624" i="11"/>
  <c r="BW625" i="11"/>
  <c r="BS625" i="11"/>
  <c r="BL624" i="11"/>
  <c r="BF625" i="11"/>
  <c r="BJ625" i="11"/>
  <c r="BK625" i="11"/>
  <c r="BX625" i="11"/>
  <c r="CL625" i="11"/>
  <c r="AY624" i="11"/>
  <c r="CT626" i="11"/>
  <c r="CW626" i="11" s="1"/>
  <c r="AC626" i="11"/>
  <c r="CY625" i="11"/>
  <c r="DK625" i="11"/>
  <c r="DJ625" i="11"/>
  <c r="DF625" i="11"/>
  <c r="DL624" i="11"/>
  <c r="CJ626" i="11"/>
  <c r="CK626" i="11"/>
  <c r="AW625" i="11"/>
  <c r="AX625" i="11"/>
  <c r="B628" i="11"/>
  <c r="M626" i="11"/>
  <c r="L626" i="11"/>
  <c r="EA627" i="11"/>
  <c r="EI627" i="11"/>
  <c r="EH627" i="11"/>
  <c r="ED627" i="11"/>
  <c r="DZ627" i="11"/>
  <c r="EC627" i="11"/>
  <c r="EE626" i="11"/>
  <c r="EG626" i="11" s="1"/>
  <c r="BE626" i="11"/>
  <c r="BG626" i="11" s="1"/>
  <c r="BQ626" i="11"/>
  <c r="BR626" i="11" s="1"/>
  <c r="BT626" i="11" s="1"/>
  <c r="DD626" i="11"/>
  <c r="DE626" i="11" s="1"/>
  <c r="DG626" i="11" s="1"/>
  <c r="CD626" i="11"/>
  <c r="CS626" i="11"/>
  <c r="AB627" i="11"/>
  <c r="AR626" i="11"/>
  <c r="AT626" i="11" s="1"/>
  <c r="AS626" i="11"/>
  <c r="AQ626" i="11"/>
  <c r="CE627" i="11"/>
  <c r="CG627" i="11" s="1"/>
  <c r="DV627" i="11"/>
  <c r="DU627" i="11"/>
  <c r="DH627" i="11"/>
  <c r="DI627" i="11"/>
  <c r="CU627" i="11"/>
  <c r="CV627" i="11"/>
  <c r="CR627" i="11"/>
  <c r="CH627" i="11"/>
  <c r="CI627" i="11"/>
  <c r="BV627" i="11"/>
  <c r="BU627" i="11"/>
  <c r="BH627" i="11"/>
  <c r="BI627" i="11"/>
  <c r="AU627" i="11"/>
  <c r="AV627" i="11"/>
  <c r="AH627" i="11"/>
  <c r="AI627" i="11"/>
  <c r="BO627" i="11"/>
  <c r="BP627" i="11"/>
  <c r="BN627" i="11"/>
  <c r="W628" i="11"/>
  <c r="AP627" i="11"/>
  <c r="AO627" i="11"/>
  <c r="AN627" i="11"/>
  <c r="Y627" i="11"/>
  <c r="AA627" i="11"/>
  <c r="BA627" i="11"/>
  <c r="BB627" i="11"/>
  <c r="BD627" i="11" s="1"/>
  <c r="BC627" i="11"/>
  <c r="DP627" i="11"/>
  <c r="DB627" i="11"/>
  <c r="DC627" i="11"/>
  <c r="DM627" i="11"/>
  <c r="DN627" i="11"/>
  <c r="DA627" i="11"/>
  <c r="X627" i="11"/>
  <c r="CM627" i="11"/>
  <c r="CN627" i="11"/>
  <c r="CO627" i="11"/>
  <c r="CQ627" i="11" s="1"/>
  <c r="BZ627" i="11"/>
  <c r="CP627" i="11"/>
  <c r="CA627" i="11"/>
  <c r="CB627" i="11"/>
  <c r="CF627" i="11" s="1"/>
  <c r="BM627" i="11"/>
  <c r="CC627" i="11"/>
  <c r="AZ627" i="11"/>
  <c r="CZ627" i="11"/>
  <c r="AM627" i="11"/>
  <c r="C629" i="11"/>
  <c r="A629" i="11" s="1"/>
  <c r="Z628" i="11" l="1"/>
  <c r="F628" i="11" s="1"/>
  <c r="EB628" i="11"/>
  <c r="CT627" i="11"/>
  <c r="CW627" i="11" s="1"/>
  <c r="BY625" i="11"/>
  <c r="P628" i="11"/>
  <c r="BW626" i="11"/>
  <c r="BX626" i="11"/>
  <c r="BS626" i="11"/>
  <c r="BL625" i="11"/>
  <c r="BJ626" i="11"/>
  <c r="BF626" i="11"/>
  <c r="BK626" i="11"/>
  <c r="CX626" i="11"/>
  <c r="CY626" i="11" s="1"/>
  <c r="CL626" i="11"/>
  <c r="AY625" i="11"/>
  <c r="M627" i="11"/>
  <c r="DL625" i="11"/>
  <c r="AC627" i="11"/>
  <c r="DF626" i="11"/>
  <c r="DJ626" i="11"/>
  <c r="DK626" i="11"/>
  <c r="CK627" i="11"/>
  <c r="CJ627" i="11"/>
  <c r="L627" i="11"/>
  <c r="AW626" i="11"/>
  <c r="AX626" i="11"/>
  <c r="B629" i="11"/>
  <c r="EC628" i="11"/>
  <c r="EH628" i="11"/>
  <c r="DZ628" i="11"/>
  <c r="ED628" i="11"/>
  <c r="EA628" i="11"/>
  <c r="EI628" i="11"/>
  <c r="EE627" i="11"/>
  <c r="EG627" i="11" s="1"/>
  <c r="BQ627" i="11"/>
  <c r="BR627" i="11" s="1"/>
  <c r="BT627" i="11" s="1"/>
  <c r="DD627" i="11"/>
  <c r="DE627" i="11" s="1"/>
  <c r="DG627" i="11" s="1"/>
  <c r="AB628" i="11"/>
  <c r="CD627" i="11"/>
  <c r="CS627" i="11"/>
  <c r="BE627" i="11"/>
  <c r="BG627" i="11" s="1"/>
  <c r="AR627" i="11"/>
  <c r="AT627" i="11" s="1"/>
  <c r="AS627" i="11"/>
  <c r="AQ627" i="11"/>
  <c r="CE628" i="11"/>
  <c r="CG628" i="11" s="1"/>
  <c r="DU628" i="11"/>
  <c r="DV628" i="11"/>
  <c r="DI628" i="11"/>
  <c r="DH628" i="11"/>
  <c r="CU628" i="11"/>
  <c r="CV628" i="11"/>
  <c r="CR628" i="11"/>
  <c r="CT628" i="11" s="1"/>
  <c r="CH628" i="11"/>
  <c r="CI628" i="11"/>
  <c r="BU628" i="11"/>
  <c r="BV628" i="11"/>
  <c r="BH628" i="11"/>
  <c r="BI628" i="11"/>
  <c r="AU628" i="11"/>
  <c r="AV628" i="11"/>
  <c r="AH628" i="11"/>
  <c r="AI628" i="11"/>
  <c r="BP628" i="11"/>
  <c r="BN628" i="11"/>
  <c r="BO628" i="11"/>
  <c r="AO628" i="11"/>
  <c r="AP628" i="11"/>
  <c r="AN628" i="11"/>
  <c r="Y628" i="11"/>
  <c r="AA628" i="11"/>
  <c r="BB628" i="11"/>
  <c r="BD628" i="11" s="1"/>
  <c r="BC628" i="11"/>
  <c r="BA628" i="11"/>
  <c r="DM628" i="11"/>
  <c r="DN628" i="11"/>
  <c r="CZ628" i="11"/>
  <c r="DA628" i="11"/>
  <c r="DP628" i="11"/>
  <c r="DB628" i="11"/>
  <c r="CP628" i="11"/>
  <c r="CA628" i="11"/>
  <c r="AM628" i="11"/>
  <c r="DC628" i="11"/>
  <c r="CB628" i="11"/>
  <c r="CD628" i="11" s="1"/>
  <c r="X628" i="11"/>
  <c r="CC628" i="11"/>
  <c r="CM628" i="11"/>
  <c r="CN628" i="11"/>
  <c r="BM628" i="11"/>
  <c r="CO628" i="11"/>
  <c r="CS628" i="11" s="1"/>
  <c r="BZ628" i="11"/>
  <c r="AZ628" i="11"/>
  <c r="W629" i="11"/>
  <c r="C630" i="11"/>
  <c r="A630" i="11" s="1"/>
  <c r="EB629" i="11" l="1"/>
  <c r="ED629" i="11" s="1"/>
  <c r="Z629" i="11"/>
  <c r="F629" i="11" s="1"/>
  <c r="B630" i="11"/>
  <c r="CX627" i="11"/>
  <c r="P629" i="11"/>
  <c r="BL626" i="11"/>
  <c r="BY626" i="11"/>
  <c r="CL627" i="11"/>
  <c r="BX627" i="11"/>
  <c r="BW627" i="11"/>
  <c r="BS627" i="11"/>
  <c r="BF627" i="11"/>
  <c r="BJ627" i="11"/>
  <c r="BK627" i="11"/>
  <c r="DL626" i="11"/>
  <c r="AY626" i="11"/>
  <c r="CK628" i="11"/>
  <c r="CW628" i="11"/>
  <c r="AC628" i="11"/>
  <c r="CY627" i="11"/>
  <c r="DJ627" i="11"/>
  <c r="DK627" i="11"/>
  <c r="DF627" i="11"/>
  <c r="CJ628" i="11"/>
  <c r="CX628" i="11"/>
  <c r="AW627" i="11"/>
  <c r="AX627" i="11"/>
  <c r="M628" i="11"/>
  <c r="L628" i="11"/>
  <c r="EH629" i="11"/>
  <c r="EA629" i="11"/>
  <c r="EC629" i="11"/>
  <c r="EI629" i="11"/>
  <c r="DZ629" i="11"/>
  <c r="EE628" i="11"/>
  <c r="EG628" i="11" s="1"/>
  <c r="CQ628" i="11"/>
  <c r="CF628" i="11"/>
  <c r="BE628" i="11"/>
  <c r="BG628" i="11" s="1"/>
  <c r="AB629" i="11"/>
  <c r="DD628" i="11"/>
  <c r="DE628" i="11" s="1"/>
  <c r="DG628" i="11" s="1"/>
  <c r="BQ628" i="11"/>
  <c r="BR628" i="11" s="1"/>
  <c r="BT628" i="11" s="1"/>
  <c r="AR628" i="11"/>
  <c r="AT628" i="11" s="1"/>
  <c r="AQ628" i="11"/>
  <c r="AS628" i="11"/>
  <c r="CE629" i="11"/>
  <c r="CG629" i="11" s="1"/>
  <c r="DV629" i="11"/>
  <c r="DU629" i="11"/>
  <c r="DI629" i="11"/>
  <c r="DH629" i="11"/>
  <c r="CU629" i="11"/>
  <c r="CV629" i="11"/>
  <c r="CR629" i="11"/>
  <c r="CT629" i="11" s="1"/>
  <c r="CH629" i="11"/>
  <c r="CI629" i="11"/>
  <c r="BU629" i="11"/>
  <c r="BV629" i="11"/>
  <c r="BH629" i="11"/>
  <c r="BI629" i="11"/>
  <c r="AU629" i="11"/>
  <c r="AI629" i="11"/>
  <c r="AV629" i="11"/>
  <c r="AH629" i="11"/>
  <c r="BN629" i="11"/>
  <c r="BO629" i="11"/>
  <c r="BP629" i="11"/>
  <c r="AN629" i="11"/>
  <c r="AO629" i="11"/>
  <c r="AP629" i="11"/>
  <c r="Y629" i="11"/>
  <c r="AA629" i="11"/>
  <c r="BA629" i="11"/>
  <c r="BB629" i="11"/>
  <c r="BD629" i="11" s="1"/>
  <c r="BC629" i="11"/>
  <c r="DP629" i="11"/>
  <c r="DB629" i="11"/>
  <c r="DC629" i="11"/>
  <c r="DM629" i="11"/>
  <c r="DN629" i="11"/>
  <c r="AZ629" i="11"/>
  <c r="CM629" i="11"/>
  <c r="AM629" i="11"/>
  <c r="CZ629" i="11"/>
  <c r="CN629" i="11"/>
  <c r="X629" i="11"/>
  <c r="DA629" i="11"/>
  <c r="CO629" i="11"/>
  <c r="CS629" i="11" s="1"/>
  <c r="BZ629" i="11"/>
  <c r="CP629" i="11"/>
  <c r="CA629" i="11"/>
  <c r="CB629" i="11"/>
  <c r="CD629" i="11" s="1"/>
  <c r="CC629" i="11"/>
  <c r="BM629" i="11"/>
  <c r="W630" i="11"/>
  <c r="C631" i="11"/>
  <c r="A631" i="11" s="1"/>
  <c r="EB630" i="11" l="1"/>
  <c r="Z630" i="11"/>
  <c r="F630" i="11" s="1"/>
  <c r="P630" i="11"/>
  <c r="B631" i="11"/>
  <c r="BY627" i="11"/>
  <c r="BW628" i="11"/>
  <c r="BX628" i="11"/>
  <c r="BS628" i="11"/>
  <c r="CY628" i="11"/>
  <c r="BK628" i="11"/>
  <c r="BJ628" i="11"/>
  <c r="BF628" i="11"/>
  <c r="CL628" i="11"/>
  <c r="BL627" i="11"/>
  <c r="AC629" i="11"/>
  <c r="AY627" i="11"/>
  <c r="L629" i="11"/>
  <c r="DL627" i="11"/>
  <c r="DJ628" i="11"/>
  <c r="DF628" i="11"/>
  <c r="DK628" i="11"/>
  <c r="CK629" i="11"/>
  <c r="CJ629" i="11"/>
  <c r="CW629" i="11"/>
  <c r="CX629" i="11"/>
  <c r="EE629" i="11"/>
  <c r="EG629" i="11" s="1"/>
  <c r="AW628" i="11"/>
  <c r="AX628" i="11"/>
  <c r="M629" i="11"/>
  <c r="EC630" i="11"/>
  <c r="DZ630" i="11"/>
  <c r="EH630" i="11"/>
  <c r="EI630" i="11"/>
  <c r="ED630" i="11"/>
  <c r="EA630" i="11"/>
  <c r="CF629" i="11"/>
  <c r="AB630" i="11"/>
  <c r="CQ629" i="11"/>
  <c r="BE629" i="11"/>
  <c r="BG629" i="11" s="1"/>
  <c r="DD629" i="11"/>
  <c r="DE629" i="11" s="1"/>
  <c r="DG629" i="11" s="1"/>
  <c r="BQ629" i="11"/>
  <c r="BR629" i="11" s="1"/>
  <c r="BT629" i="11" s="1"/>
  <c r="AR629" i="11"/>
  <c r="AT629" i="11" s="1"/>
  <c r="AS629" i="11"/>
  <c r="AQ629" i="11"/>
  <c r="CE630" i="11"/>
  <c r="CG630" i="11" s="1"/>
  <c r="DV630" i="11"/>
  <c r="DU630" i="11"/>
  <c r="DH630" i="11"/>
  <c r="DI630" i="11"/>
  <c r="CV630" i="11"/>
  <c r="CU630" i="11"/>
  <c r="CR630" i="11"/>
  <c r="CT630" i="11" s="1"/>
  <c r="CH630" i="11"/>
  <c r="CI630" i="11"/>
  <c r="BU630" i="11"/>
  <c r="BV630" i="11"/>
  <c r="BH630" i="11"/>
  <c r="BI630" i="11"/>
  <c r="AV630" i="11"/>
  <c r="AH630" i="11"/>
  <c r="AI630" i="11"/>
  <c r="AU630" i="11"/>
  <c r="BN630" i="11"/>
  <c r="BO630" i="11"/>
  <c r="BR630" i="11" s="1"/>
  <c r="BP630" i="11"/>
  <c r="AO630" i="11"/>
  <c r="AP630" i="11"/>
  <c r="AN630" i="11"/>
  <c r="Y630" i="11"/>
  <c r="AA630" i="11"/>
  <c r="BB630" i="11"/>
  <c r="BD630" i="11" s="1"/>
  <c r="BC630" i="11"/>
  <c r="BA630" i="11"/>
  <c r="DM630" i="11"/>
  <c r="DN630" i="11"/>
  <c r="CZ630" i="11"/>
  <c r="DA630" i="11"/>
  <c r="DP630" i="11"/>
  <c r="DB630" i="11"/>
  <c r="DE630" i="11" s="1"/>
  <c r="CP630" i="11"/>
  <c r="CA630" i="11"/>
  <c r="BM630" i="11"/>
  <c r="CB630" i="11"/>
  <c r="CF630" i="11" s="1"/>
  <c r="AZ630" i="11"/>
  <c r="CC630" i="11"/>
  <c r="AM630" i="11"/>
  <c r="X630" i="11"/>
  <c r="DC630" i="11"/>
  <c r="CM630" i="11"/>
  <c r="CN630" i="11"/>
  <c r="CO630" i="11"/>
  <c r="CS630" i="11" s="1"/>
  <c r="BZ630" i="11"/>
  <c r="W631" i="11"/>
  <c r="C632" i="11"/>
  <c r="A632" i="11" s="1"/>
  <c r="EB631" i="11" l="1"/>
  <c r="ED631" i="11" s="1"/>
  <c r="Z631" i="11"/>
  <c r="F631" i="11" s="1"/>
  <c r="BY628" i="11"/>
  <c r="P631" i="11"/>
  <c r="B632" i="11"/>
  <c r="DG630" i="11"/>
  <c r="DJ630" i="11" s="1"/>
  <c r="BT630" i="11"/>
  <c r="BW630" i="11" s="1"/>
  <c r="AC630" i="11"/>
  <c r="BW629" i="11"/>
  <c r="BX629" i="11"/>
  <c r="BS629" i="11"/>
  <c r="BL628" i="11"/>
  <c r="BF629" i="11"/>
  <c r="BJ629" i="11"/>
  <c r="BK629" i="11"/>
  <c r="CW630" i="11"/>
  <c r="CX630" i="11"/>
  <c r="CJ630" i="11"/>
  <c r="CK630" i="11"/>
  <c r="L630" i="11"/>
  <c r="CY629" i="11"/>
  <c r="M630" i="11"/>
  <c r="CL629" i="11"/>
  <c r="AY628" i="11"/>
  <c r="DJ629" i="11"/>
  <c r="DF629" i="11"/>
  <c r="DK629" i="11"/>
  <c r="DL628" i="11"/>
  <c r="AX629" i="11"/>
  <c r="AW629" i="11"/>
  <c r="EA631" i="11"/>
  <c r="EI631" i="11"/>
  <c r="EH631" i="11"/>
  <c r="DZ631" i="11"/>
  <c r="EC631" i="11"/>
  <c r="EE630" i="11"/>
  <c r="EG630" i="11" s="1"/>
  <c r="BS630" i="11"/>
  <c r="CD630" i="11"/>
  <c r="AB631" i="11"/>
  <c r="CQ630" i="11"/>
  <c r="BE630" i="11"/>
  <c r="BG630" i="11" s="1"/>
  <c r="DD630" i="11"/>
  <c r="DF630" i="11"/>
  <c r="BQ630" i="11"/>
  <c r="AR630" i="11"/>
  <c r="AT630" i="11" s="1"/>
  <c r="AQ630" i="11"/>
  <c r="AS630" i="11"/>
  <c r="CE631" i="11"/>
  <c r="CG631" i="11" s="1"/>
  <c r="CK631" i="11" s="1"/>
  <c r="DU631" i="11"/>
  <c r="DV631" i="11"/>
  <c r="DH631" i="11"/>
  <c r="DI631" i="11"/>
  <c r="CU631" i="11"/>
  <c r="CV631" i="11"/>
  <c r="CR631" i="11"/>
  <c r="CT631" i="11" s="1"/>
  <c r="CH631" i="11"/>
  <c r="CI631" i="11"/>
  <c r="BU631" i="11"/>
  <c r="BV631" i="11"/>
  <c r="BH631" i="11"/>
  <c r="BI631" i="11"/>
  <c r="AI631" i="11"/>
  <c r="AU631" i="11"/>
  <c r="AV631" i="11"/>
  <c r="AH631" i="11"/>
  <c r="BO631" i="11"/>
  <c r="BR631" i="11" s="1"/>
  <c r="BT631" i="11" s="1"/>
  <c r="BP631" i="11"/>
  <c r="BN631" i="11"/>
  <c r="W632" i="11"/>
  <c r="AN631" i="11"/>
  <c r="AO631" i="11"/>
  <c r="AP631" i="11"/>
  <c r="AA631" i="11"/>
  <c r="Y631" i="11"/>
  <c r="BC631" i="11"/>
  <c r="BB631" i="11"/>
  <c r="BD631" i="11" s="1"/>
  <c r="BA631" i="11"/>
  <c r="DP631" i="11"/>
  <c r="DB631" i="11"/>
  <c r="DE631" i="11" s="1"/>
  <c r="DG631" i="11" s="1"/>
  <c r="DC631" i="11"/>
  <c r="DM631" i="11"/>
  <c r="DN631" i="11"/>
  <c r="CM631" i="11"/>
  <c r="BM631" i="11"/>
  <c r="CN631" i="11"/>
  <c r="AZ631" i="11"/>
  <c r="CO631" i="11"/>
  <c r="CS631" i="11" s="1"/>
  <c r="BZ631" i="11"/>
  <c r="AM631" i="11"/>
  <c r="CP631" i="11"/>
  <c r="CA631" i="11"/>
  <c r="X631" i="11"/>
  <c r="CZ631" i="11"/>
  <c r="CB631" i="11"/>
  <c r="CF631" i="11" s="1"/>
  <c r="DA631" i="11"/>
  <c r="CC631" i="11"/>
  <c r="C633" i="11"/>
  <c r="A633" i="11" s="1"/>
  <c r="EB632" i="11" l="1"/>
  <c r="ED632" i="11" s="1"/>
  <c r="Z632" i="11"/>
  <c r="F632" i="11" s="1"/>
  <c r="P632" i="11"/>
  <c r="DK630" i="11"/>
  <c r="DL630" i="11" s="1"/>
  <c r="BY629" i="11"/>
  <c r="B633" i="11"/>
  <c r="BX630" i="11"/>
  <c r="BY630" i="11" s="1"/>
  <c r="BL629" i="11"/>
  <c r="BF630" i="11"/>
  <c r="BJ630" i="11"/>
  <c r="BK630" i="11"/>
  <c r="AC631" i="11"/>
  <c r="CL630" i="11"/>
  <c r="CY630" i="11"/>
  <c r="BW631" i="11"/>
  <c r="BX631" i="11"/>
  <c r="EK630" i="11"/>
  <c r="EJ630" i="11"/>
  <c r="EF630" i="11"/>
  <c r="DJ631" i="11"/>
  <c r="DK631" i="11"/>
  <c r="CX631" i="11"/>
  <c r="CW631" i="11"/>
  <c r="CJ631" i="11"/>
  <c r="CL631" i="11" s="1"/>
  <c r="M631" i="11"/>
  <c r="AX630" i="11"/>
  <c r="AW630" i="11"/>
  <c r="L631" i="11"/>
  <c r="AY629" i="11"/>
  <c r="DL629" i="11"/>
  <c r="EC632" i="11"/>
  <c r="EH632" i="11"/>
  <c r="EA632" i="11"/>
  <c r="EI632" i="11"/>
  <c r="DZ632" i="11"/>
  <c r="EE631" i="11"/>
  <c r="EG631" i="11" s="1"/>
  <c r="P633" i="11"/>
  <c r="BS631" i="11"/>
  <c r="CD631" i="11"/>
  <c r="CQ631" i="11"/>
  <c r="BE631" i="11"/>
  <c r="BG631" i="11" s="1"/>
  <c r="DD631" i="11"/>
  <c r="DF631" i="11"/>
  <c r="AB632" i="11"/>
  <c r="BQ631" i="11"/>
  <c r="AR631" i="11"/>
  <c r="AT631" i="11" s="1"/>
  <c r="AQ631" i="11"/>
  <c r="AS631" i="11"/>
  <c r="CE632" i="11"/>
  <c r="CG632" i="11" s="1"/>
  <c r="DU632" i="11"/>
  <c r="DV632" i="11"/>
  <c r="DH632" i="11"/>
  <c r="DI632" i="11"/>
  <c r="CU632" i="11"/>
  <c r="CV632" i="11"/>
  <c r="CR632" i="11"/>
  <c r="CT632" i="11" s="1"/>
  <c r="CH632" i="11"/>
  <c r="CI632" i="11"/>
  <c r="BV632" i="11"/>
  <c r="BU632" i="11"/>
  <c r="BH632" i="11"/>
  <c r="AV632" i="11"/>
  <c r="BI632" i="11"/>
  <c r="AH632" i="11"/>
  <c r="AI632" i="11"/>
  <c r="AU632" i="11"/>
  <c r="BN632" i="11"/>
  <c r="BP632" i="11"/>
  <c r="BO632" i="11"/>
  <c r="BR632" i="11" s="1"/>
  <c r="BT632" i="11" s="1"/>
  <c r="W633" i="11"/>
  <c r="AN632" i="11"/>
  <c r="AO632" i="11"/>
  <c r="Y632" i="11"/>
  <c r="AA632" i="11"/>
  <c r="AP632" i="11"/>
  <c r="BA632" i="11"/>
  <c r="BC632" i="11"/>
  <c r="BB632" i="11"/>
  <c r="BD632" i="11" s="1"/>
  <c r="DM632" i="11"/>
  <c r="DN632" i="11"/>
  <c r="CZ632" i="11"/>
  <c r="DA632" i="11"/>
  <c r="DP632" i="11"/>
  <c r="DB632" i="11"/>
  <c r="DE632" i="11" s="1"/>
  <c r="DG632" i="11" s="1"/>
  <c r="CP632" i="11"/>
  <c r="CA632" i="11"/>
  <c r="CB632" i="11"/>
  <c r="CF632" i="11" s="1"/>
  <c r="CC632" i="11"/>
  <c r="BM632" i="11"/>
  <c r="AZ632" i="11"/>
  <c r="AM632" i="11"/>
  <c r="CM632" i="11"/>
  <c r="CN632" i="11"/>
  <c r="DC632" i="11"/>
  <c r="CO632" i="11"/>
  <c r="CS632" i="11" s="1"/>
  <c r="BZ632" i="11"/>
  <c r="X632" i="11"/>
  <c r="C634" i="11"/>
  <c r="A634" i="11" s="1"/>
  <c r="EB633" i="11" l="1"/>
  <c r="ED633" i="11" s="1"/>
  <c r="Z633" i="11"/>
  <c r="F633" i="11" s="1"/>
  <c r="B634" i="11"/>
  <c r="BL630" i="11"/>
  <c r="AC632" i="11"/>
  <c r="BJ631" i="11"/>
  <c r="BF631" i="11"/>
  <c r="BK631" i="11"/>
  <c r="AY630" i="11"/>
  <c r="BY631" i="11"/>
  <c r="L632" i="11"/>
  <c r="CY631" i="11"/>
  <c r="DL631" i="11"/>
  <c r="EL630" i="11"/>
  <c r="CJ632" i="11"/>
  <c r="CK632" i="11"/>
  <c r="CW632" i="11"/>
  <c r="CX632" i="11"/>
  <c r="DK632" i="11"/>
  <c r="DJ632" i="11"/>
  <c r="EJ631" i="11"/>
  <c r="EK631" i="11"/>
  <c r="EF631" i="11"/>
  <c r="BW632" i="11"/>
  <c r="BX632" i="11"/>
  <c r="AW631" i="11"/>
  <c r="AX631" i="11"/>
  <c r="M632" i="11"/>
  <c r="EH633" i="11"/>
  <c r="EA633" i="11"/>
  <c r="EI633" i="11"/>
  <c r="DZ633" i="11"/>
  <c r="EC633" i="11"/>
  <c r="EE632" i="11"/>
  <c r="EG632" i="11" s="1"/>
  <c r="P634" i="11"/>
  <c r="BE632" i="11"/>
  <c r="BG632" i="11" s="1"/>
  <c r="DD632" i="11"/>
  <c r="DF632" i="11"/>
  <c r="BQ632" i="11"/>
  <c r="BS632" i="11"/>
  <c r="AB633" i="11"/>
  <c r="CD632" i="11"/>
  <c r="CQ632" i="11"/>
  <c r="AR632" i="11"/>
  <c r="AT632" i="11" s="1"/>
  <c r="AS632" i="11"/>
  <c r="AQ632" i="11"/>
  <c r="CE633" i="11"/>
  <c r="CG633" i="11" s="1"/>
  <c r="DU633" i="11"/>
  <c r="DV633" i="11"/>
  <c r="DH633" i="11"/>
  <c r="DI633" i="11"/>
  <c r="CU633" i="11"/>
  <c r="CV633" i="11"/>
  <c r="CR633" i="11"/>
  <c r="CT633" i="11" s="1"/>
  <c r="CH633" i="11"/>
  <c r="CI633" i="11"/>
  <c r="BU633" i="11"/>
  <c r="BV633" i="11"/>
  <c r="BI633" i="11"/>
  <c r="AU633" i="11"/>
  <c r="AV633" i="11"/>
  <c r="BH633" i="11"/>
  <c r="AH633" i="11"/>
  <c r="AI633" i="11"/>
  <c r="BN633" i="11"/>
  <c r="BP633" i="11"/>
  <c r="BO633" i="11"/>
  <c r="BR633" i="11" s="1"/>
  <c r="BT633" i="11" s="1"/>
  <c r="W634" i="11"/>
  <c r="AP633" i="11"/>
  <c r="AN633" i="11"/>
  <c r="AA633" i="11"/>
  <c r="Y633" i="11"/>
  <c r="AO633" i="11"/>
  <c r="BA633" i="11"/>
  <c r="BB633" i="11"/>
  <c r="BD633" i="11" s="1"/>
  <c r="BC633" i="11"/>
  <c r="DP633" i="11"/>
  <c r="DB633" i="11"/>
  <c r="DE633" i="11" s="1"/>
  <c r="DG633" i="11" s="1"/>
  <c r="DC633" i="11"/>
  <c r="DM633" i="11"/>
  <c r="DN633" i="11"/>
  <c r="CZ633" i="11"/>
  <c r="DA633" i="11"/>
  <c r="CM633" i="11"/>
  <c r="CN633" i="11"/>
  <c r="CO633" i="11"/>
  <c r="CQ633" i="11" s="1"/>
  <c r="BZ633" i="11"/>
  <c r="BM633" i="11"/>
  <c r="CP633" i="11"/>
  <c r="CA633" i="11"/>
  <c r="AZ633" i="11"/>
  <c r="CB633" i="11"/>
  <c r="CF633" i="11" s="1"/>
  <c r="CC633" i="11"/>
  <c r="AM633" i="11"/>
  <c r="X633" i="11"/>
  <c r="C635" i="11"/>
  <c r="A635" i="11" s="1"/>
  <c r="EB634" i="11" l="1"/>
  <c r="ED634" i="11" s="1"/>
  <c r="Z634" i="11"/>
  <c r="F634" i="11" s="1"/>
  <c r="AC633" i="11"/>
  <c r="AF633" i="11" s="1"/>
  <c r="BL631" i="11"/>
  <c r="B635" i="11"/>
  <c r="CL632" i="11"/>
  <c r="BK632" i="11"/>
  <c r="BF632" i="11"/>
  <c r="BJ632" i="11"/>
  <c r="DL632" i="11"/>
  <c r="AY631" i="11"/>
  <c r="BY632" i="11"/>
  <c r="CY632" i="11"/>
  <c r="EL631" i="11"/>
  <c r="BW633" i="11"/>
  <c r="BX633" i="11"/>
  <c r="EJ632" i="11"/>
  <c r="EK632" i="11"/>
  <c r="EF632" i="11"/>
  <c r="CK633" i="11"/>
  <c r="CJ633" i="11"/>
  <c r="CX633" i="11"/>
  <c r="CW633" i="11"/>
  <c r="DJ633" i="11"/>
  <c r="DK633" i="11"/>
  <c r="L633" i="11"/>
  <c r="AW632" i="11"/>
  <c r="AX632" i="11"/>
  <c r="M633" i="11"/>
  <c r="EE633" i="11"/>
  <c r="EG633" i="11" s="1"/>
  <c r="EC634" i="11"/>
  <c r="DZ634" i="11"/>
  <c r="EI634" i="11"/>
  <c r="EA634" i="11"/>
  <c r="EH634" i="11"/>
  <c r="P635" i="11"/>
  <c r="CS633" i="11"/>
  <c r="BE633" i="11"/>
  <c r="BG633" i="11" s="1"/>
  <c r="DD633" i="11"/>
  <c r="AB634" i="11"/>
  <c r="DF633" i="11"/>
  <c r="BQ633" i="11"/>
  <c r="BS633" i="11"/>
  <c r="CD633" i="11"/>
  <c r="AR633" i="11"/>
  <c r="AT633" i="11" s="1"/>
  <c r="AS633" i="11"/>
  <c r="AQ633" i="11"/>
  <c r="CE634" i="11"/>
  <c r="CG634" i="11" s="1"/>
  <c r="DU634" i="11"/>
  <c r="DV634" i="11"/>
  <c r="DI634" i="11"/>
  <c r="DH634" i="11"/>
  <c r="CR634" i="11"/>
  <c r="CT634" i="11" s="1"/>
  <c r="CU634" i="11"/>
  <c r="CV634" i="11"/>
  <c r="CH634" i="11"/>
  <c r="CI634" i="11"/>
  <c r="BU634" i="11"/>
  <c r="BV634" i="11"/>
  <c r="BI634" i="11"/>
  <c r="BH634" i="11"/>
  <c r="AU634" i="11"/>
  <c r="AV634" i="11"/>
  <c r="AH634" i="11"/>
  <c r="AI634" i="11"/>
  <c r="BN634" i="11"/>
  <c r="BO634" i="11"/>
  <c r="BR634" i="11" s="1"/>
  <c r="BT634" i="11" s="1"/>
  <c r="BP634" i="11"/>
  <c r="W635" i="11"/>
  <c r="AN634" i="11"/>
  <c r="AO634" i="11"/>
  <c r="AP634" i="11"/>
  <c r="Y634" i="11"/>
  <c r="AA634" i="11"/>
  <c r="BB634" i="11"/>
  <c r="BD634" i="11" s="1"/>
  <c r="BC634" i="11"/>
  <c r="BA634" i="11"/>
  <c r="DM634" i="11"/>
  <c r="DN634" i="11"/>
  <c r="CZ634" i="11"/>
  <c r="DA634" i="11"/>
  <c r="DP634" i="11"/>
  <c r="DB634" i="11"/>
  <c r="DE634" i="11" s="1"/>
  <c r="DG634" i="11" s="1"/>
  <c r="CP634" i="11"/>
  <c r="CA634" i="11"/>
  <c r="CB634" i="11"/>
  <c r="CF634" i="11" s="1"/>
  <c r="DC634" i="11"/>
  <c r="CC634" i="11"/>
  <c r="BM634" i="11"/>
  <c r="CM634" i="11"/>
  <c r="AZ634" i="11"/>
  <c r="CN634" i="11"/>
  <c r="CO634" i="11"/>
  <c r="CQ634" i="11" s="1"/>
  <c r="BZ634" i="11"/>
  <c r="X634" i="11"/>
  <c r="AM634" i="11"/>
  <c r="C636" i="11"/>
  <c r="A636" i="11" s="1"/>
  <c r="EB635" i="11" l="1"/>
  <c r="ED635" i="11" s="1"/>
  <c r="Z635" i="11"/>
  <c r="F635" i="11" s="1"/>
  <c r="BL632" i="11"/>
  <c r="B636" i="11"/>
  <c r="BJ633" i="11"/>
  <c r="BK633" i="11"/>
  <c r="BF633" i="11"/>
  <c r="DL633" i="11"/>
  <c r="AY632" i="11"/>
  <c r="CL633" i="11"/>
  <c r="BY633" i="11"/>
  <c r="CY633" i="11"/>
  <c r="L634" i="11"/>
  <c r="AC634" i="11"/>
  <c r="AF634" i="11" s="1"/>
  <c r="BL633" i="11"/>
  <c r="EL632" i="11"/>
  <c r="CX634" i="11"/>
  <c r="CW634" i="11"/>
  <c r="BX634" i="11"/>
  <c r="BW634" i="11"/>
  <c r="DJ634" i="11"/>
  <c r="DK634" i="11"/>
  <c r="CK634" i="11"/>
  <c r="CJ634" i="11"/>
  <c r="M634" i="11"/>
  <c r="AW633" i="11"/>
  <c r="AX633" i="11"/>
  <c r="EK633" i="11"/>
  <c r="EJ633" i="11"/>
  <c r="EF633" i="11"/>
  <c r="EA635" i="11"/>
  <c r="EI635" i="11"/>
  <c r="EH635" i="11"/>
  <c r="EC635" i="11"/>
  <c r="DZ635" i="11"/>
  <c r="EE634" i="11"/>
  <c r="EG634" i="11" s="1"/>
  <c r="P636" i="11"/>
  <c r="BS634" i="11"/>
  <c r="CD634" i="11"/>
  <c r="CS634" i="11"/>
  <c r="BE634" i="11"/>
  <c r="BG634" i="11" s="1"/>
  <c r="DF634" i="11"/>
  <c r="AB635" i="11"/>
  <c r="BQ634" i="11"/>
  <c r="DD634" i="11"/>
  <c r="AR634" i="11"/>
  <c r="AT634" i="11" s="1"/>
  <c r="AS634" i="11"/>
  <c r="AQ634" i="11"/>
  <c r="CE635" i="11"/>
  <c r="CG635" i="11" s="1"/>
  <c r="DV635" i="11"/>
  <c r="DU635" i="11"/>
  <c r="DH635" i="11"/>
  <c r="DI635" i="11"/>
  <c r="CR635" i="11"/>
  <c r="CT635" i="11" s="1"/>
  <c r="CU635" i="11"/>
  <c r="CV635" i="11"/>
  <c r="CH635" i="11"/>
  <c r="CI635" i="11"/>
  <c r="BV635" i="11"/>
  <c r="BU635" i="11"/>
  <c r="BH635" i="11"/>
  <c r="BI635" i="11"/>
  <c r="AU635" i="11"/>
  <c r="AV635" i="11"/>
  <c r="AH635" i="11"/>
  <c r="AI635" i="11"/>
  <c r="BO635" i="11"/>
  <c r="BR635" i="11" s="1"/>
  <c r="BT635" i="11" s="1"/>
  <c r="BP635" i="11"/>
  <c r="BN635" i="11"/>
  <c r="AN635" i="11"/>
  <c r="AP635" i="11"/>
  <c r="AO635" i="11"/>
  <c r="Y635" i="11"/>
  <c r="AA635" i="11"/>
  <c r="BA635" i="11"/>
  <c r="BB635" i="11"/>
  <c r="BD635" i="11" s="1"/>
  <c r="BC635" i="11"/>
  <c r="DP635" i="11"/>
  <c r="DB635" i="11"/>
  <c r="DE635" i="11" s="1"/>
  <c r="DG635" i="11" s="1"/>
  <c r="DC635" i="11"/>
  <c r="DM635" i="11"/>
  <c r="DN635" i="11"/>
  <c r="X635" i="11"/>
  <c r="CM635" i="11"/>
  <c r="CN635" i="11"/>
  <c r="CZ635" i="11"/>
  <c r="CO635" i="11"/>
  <c r="CQ635" i="11" s="1"/>
  <c r="BZ635" i="11"/>
  <c r="DA635" i="11"/>
  <c r="CP635" i="11"/>
  <c r="CA635" i="11"/>
  <c r="CB635" i="11"/>
  <c r="CF635" i="11" s="1"/>
  <c r="BM635" i="11"/>
  <c r="CC635" i="11"/>
  <c r="AZ635" i="11"/>
  <c r="AM635" i="11"/>
  <c r="W636" i="11"/>
  <c r="C637" i="11"/>
  <c r="A637" i="11" s="1"/>
  <c r="Z636" i="11" l="1"/>
  <c r="F636" i="11" s="1"/>
  <c r="EB636" i="11"/>
  <c r="B637" i="11"/>
  <c r="AY633" i="11"/>
  <c r="BJ634" i="11"/>
  <c r="BK634" i="11"/>
  <c r="BF634" i="11"/>
  <c r="BY634" i="11"/>
  <c r="DL634" i="11"/>
  <c r="CL634" i="11"/>
  <c r="CY634" i="11"/>
  <c r="M635" i="11"/>
  <c r="AC635" i="11"/>
  <c r="AF635" i="11" s="1"/>
  <c r="EL633" i="11"/>
  <c r="CW635" i="11"/>
  <c r="CX635" i="11"/>
  <c r="EK634" i="11"/>
  <c r="EJ634" i="11"/>
  <c r="EF634" i="11"/>
  <c r="BW635" i="11"/>
  <c r="BX635" i="11"/>
  <c r="CJ635" i="11"/>
  <c r="CK635" i="11"/>
  <c r="DK635" i="11"/>
  <c r="DJ635" i="11"/>
  <c r="AW634" i="11"/>
  <c r="AX634" i="11"/>
  <c r="L635" i="11"/>
  <c r="EE635" i="11"/>
  <c r="EG635" i="11" s="1"/>
  <c r="EC636" i="11"/>
  <c r="EA636" i="11"/>
  <c r="DZ636" i="11"/>
  <c r="EI636" i="11"/>
  <c r="ED636" i="11"/>
  <c r="EH636" i="11"/>
  <c r="BQ635" i="11"/>
  <c r="DF635" i="11"/>
  <c r="CS635" i="11"/>
  <c r="BE635" i="11"/>
  <c r="BG635" i="11" s="1"/>
  <c r="DD635" i="11"/>
  <c r="BS635" i="11"/>
  <c r="AB636" i="11"/>
  <c r="CD635" i="11"/>
  <c r="AR635" i="11"/>
  <c r="AT635" i="11" s="1"/>
  <c r="AS635" i="11"/>
  <c r="AQ635" i="11"/>
  <c r="CE636" i="11"/>
  <c r="CG636" i="11" s="1"/>
  <c r="DU636" i="11"/>
  <c r="DV636" i="11"/>
  <c r="DH636" i="11"/>
  <c r="DI636" i="11"/>
  <c r="CR636" i="11"/>
  <c r="CT636" i="11" s="1"/>
  <c r="CU636" i="11"/>
  <c r="CV636" i="11"/>
  <c r="CH636" i="11"/>
  <c r="CI636" i="11"/>
  <c r="BU636" i="11"/>
  <c r="BV636" i="11"/>
  <c r="BH636" i="11"/>
  <c r="BI636" i="11"/>
  <c r="AU636" i="11"/>
  <c r="AV636" i="11"/>
  <c r="AH636" i="11"/>
  <c r="AI636" i="11"/>
  <c r="BP636" i="11"/>
  <c r="BN636" i="11"/>
  <c r="BO636" i="11"/>
  <c r="BR636" i="11" s="1"/>
  <c r="BT636" i="11" s="1"/>
  <c r="AO636" i="11"/>
  <c r="AP636" i="11"/>
  <c r="AN636" i="11"/>
  <c r="AA636" i="11"/>
  <c r="Y636" i="11"/>
  <c r="BB636" i="11"/>
  <c r="BD636" i="11" s="1"/>
  <c r="BC636" i="11"/>
  <c r="BA636" i="11"/>
  <c r="DM636" i="11"/>
  <c r="DN636" i="11"/>
  <c r="CZ636" i="11"/>
  <c r="DA636" i="11"/>
  <c r="DP636" i="11"/>
  <c r="DB636" i="11"/>
  <c r="DE636" i="11" s="1"/>
  <c r="DG636" i="11" s="1"/>
  <c r="CP636" i="11"/>
  <c r="CA636" i="11"/>
  <c r="AM636" i="11"/>
  <c r="CB636" i="11"/>
  <c r="CF636" i="11" s="1"/>
  <c r="X636" i="11"/>
  <c r="CC636" i="11"/>
  <c r="DC636" i="11"/>
  <c r="CM636" i="11"/>
  <c r="CN636" i="11"/>
  <c r="BM636" i="11"/>
  <c r="CO636" i="11"/>
  <c r="CS636" i="11" s="1"/>
  <c r="BZ636" i="11"/>
  <c r="AZ636" i="11"/>
  <c r="W637" i="11"/>
  <c r="C638" i="11"/>
  <c r="A638" i="11" s="1"/>
  <c r="EB637" i="11" l="1"/>
  <c r="ED637" i="11" s="1"/>
  <c r="Z637" i="11"/>
  <c r="F637" i="11" s="1"/>
  <c r="P637" i="11"/>
  <c r="AC636" i="11"/>
  <c r="AF636" i="11" s="1"/>
  <c r="B638" i="11"/>
  <c r="BL634" i="11"/>
  <c r="BF635" i="11"/>
  <c r="BJ635" i="11"/>
  <c r="BK635" i="11"/>
  <c r="BL635" i="11" s="1"/>
  <c r="DL635" i="11"/>
  <c r="BY635" i="11"/>
  <c r="EL634" i="11"/>
  <c r="CL635" i="11"/>
  <c r="CY635" i="11"/>
  <c r="L636" i="11"/>
  <c r="AY634" i="11"/>
  <c r="EJ635" i="11"/>
  <c r="EK635" i="11"/>
  <c r="EF635" i="11"/>
  <c r="DJ636" i="11"/>
  <c r="DK636" i="11"/>
  <c r="CJ636" i="11"/>
  <c r="CK636" i="11"/>
  <c r="BW636" i="11"/>
  <c r="BX636" i="11"/>
  <c r="CW636" i="11"/>
  <c r="CX636" i="11"/>
  <c r="AW635" i="11"/>
  <c r="AX635" i="11"/>
  <c r="M636" i="11"/>
  <c r="EE636" i="11"/>
  <c r="EG636" i="11" s="1"/>
  <c r="EH637" i="11"/>
  <c r="EA637" i="11"/>
  <c r="EC637" i="11"/>
  <c r="DZ637" i="11"/>
  <c r="EI637" i="11"/>
  <c r="P638" i="11"/>
  <c r="BQ636" i="11"/>
  <c r="CQ636" i="11"/>
  <c r="BE636" i="11"/>
  <c r="BG636" i="11" s="1"/>
  <c r="DD636" i="11"/>
  <c r="DF636" i="11"/>
  <c r="AB637" i="11"/>
  <c r="CD636" i="11"/>
  <c r="BS636" i="11"/>
  <c r="AR636" i="11"/>
  <c r="AT636" i="11" s="1"/>
  <c r="AQ636" i="11"/>
  <c r="AS636" i="11"/>
  <c r="CE637" i="11"/>
  <c r="CG637" i="11" s="1"/>
  <c r="DU637" i="11"/>
  <c r="DV637" i="11"/>
  <c r="DI637" i="11"/>
  <c r="DH637" i="11"/>
  <c r="CR637" i="11"/>
  <c r="CT637" i="11" s="1"/>
  <c r="CX637" i="11" s="1"/>
  <c r="CV637" i="11"/>
  <c r="CU637" i="11"/>
  <c r="CH637" i="11"/>
  <c r="CI637" i="11"/>
  <c r="BU637" i="11"/>
  <c r="BV637" i="11"/>
  <c r="BH637" i="11"/>
  <c r="BI637" i="11"/>
  <c r="AU637" i="11"/>
  <c r="AH637" i="11"/>
  <c r="AI637" i="11"/>
  <c r="AV637" i="11"/>
  <c r="BN637" i="11"/>
  <c r="BO637" i="11"/>
  <c r="BR637" i="11" s="1"/>
  <c r="BT637" i="11" s="1"/>
  <c r="BP637" i="11"/>
  <c r="W638" i="11"/>
  <c r="AN637" i="11"/>
  <c r="AO637" i="11"/>
  <c r="Y637" i="11"/>
  <c r="AA637" i="11"/>
  <c r="AP637" i="11"/>
  <c r="BA637" i="11"/>
  <c r="BC637" i="11"/>
  <c r="BB637" i="11"/>
  <c r="BD637" i="11" s="1"/>
  <c r="DP637" i="11"/>
  <c r="DB637" i="11"/>
  <c r="DE637" i="11" s="1"/>
  <c r="DG637" i="11" s="1"/>
  <c r="DC637" i="11"/>
  <c r="DM637" i="11"/>
  <c r="DN637" i="11"/>
  <c r="AZ637" i="11"/>
  <c r="CM637" i="11"/>
  <c r="AM637" i="11"/>
  <c r="CN637" i="11"/>
  <c r="X637" i="11"/>
  <c r="CO637" i="11"/>
  <c r="CQ637" i="11" s="1"/>
  <c r="BZ637" i="11"/>
  <c r="CP637" i="11"/>
  <c r="CA637" i="11"/>
  <c r="CB637" i="11"/>
  <c r="CD637" i="11" s="1"/>
  <c r="CZ637" i="11"/>
  <c r="CC637" i="11"/>
  <c r="DA637" i="11"/>
  <c r="BM637" i="11"/>
  <c r="C639" i="11"/>
  <c r="A639" i="11" s="1"/>
  <c r="Z638" i="11" l="1"/>
  <c r="F638" i="11" s="1"/>
  <c r="EB638" i="11"/>
  <c r="ED638" i="11" s="1"/>
  <c r="AC637" i="11"/>
  <c r="AF637" i="11" s="1"/>
  <c r="B639" i="11"/>
  <c r="BJ636" i="11"/>
  <c r="BK636" i="11"/>
  <c r="BF636" i="11"/>
  <c r="CL636" i="11"/>
  <c r="CY636" i="11"/>
  <c r="BY636" i="11"/>
  <c r="DL636" i="11"/>
  <c r="EL635" i="11"/>
  <c r="AY635" i="11"/>
  <c r="BX637" i="11"/>
  <c r="BW637" i="11"/>
  <c r="DK637" i="11"/>
  <c r="DJ637" i="11"/>
  <c r="CJ637" i="11"/>
  <c r="CK637" i="11"/>
  <c r="EK636" i="11"/>
  <c r="EJ636" i="11"/>
  <c r="EF636" i="11"/>
  <c r="L637" i="11"/>
  <c r="CW637" i="11"/>
  <c r="CY637" i="11" s="1"/>
  <c r="AW636" i="11"/>
  <c r="AX636" i="11"/>
  <c r="M637" i="11"/>
  <c r="EE637" i="11"/>
  <c r="EC638" i="11"/>
  <c r="DZ638" i="11"/>
  <c r="EI638" i="11"/>
  <c r="EH638" i="11"/>
  <c r="EA638" i="11"/>
  <c r="P639" i="11"/>
  <c r="CF637" i="11"/>
  <c r="CS637" i="11"/>
  <c r="BE637" i="11"/>
  <c r="BG637" i="11" s="1"/>
  <c r="DD637" i="11"/>
  <c r="AB638" i="11"/>
  <c r="DF637" i="11"/>
  <c r="BQ637" i="11"/>
  <c r="BS637" i="11"/>
  <c r="AR637" i="11"/>
  <c r="AT637" i="11" s="1"/>
  <c r="AS637" i="11"/>
  <c r="AQ637" i="11"/>
  <c r="CE638" i="11"/>
  <c r="CG638" i="11" s="1"/>
  <c r="DU638" i="11"/>
  <c r="DV638" i="11"/>
  <c r="DH638" i="11"/>
  <c r="DI638" i="11"/>
  <c r="CV638" i="11"/>
  <c r="CR638" i="11"/>
  <c r="CT638" i="11" s="1"/>
  <c r="CU638" i="11"/>
  <c r="CH638" i="11"/>
  <c r="CI638" i="11"/>
  <c r="BU638" i="11"/>
  <c r="BV638" i="11"/>
  <c r="BH638" i="11"/>
  <c r="BI638" i="11"/>
  <c r="AU638" i="11"/>
  <c r="AV638" i="11"/>
  <c r="AH638" i="11"/>
  <c r="AI638" i="11"/>
  <c r="BN638" i="11"/>
  <c r="BO638" i="11"/>
  <c r="BR638" i="11" s="1"/>
  <c r="BT638" i="11" s="1"/>
  <c r="BP638" i="11"/>
  <c r="W639" i="11"/>
  <c r="AO638" i="11"/>
  <c r="AN638" i="11"/>
  <c r="AP638" i="11"/>
  <c r="Y638" i="11"/>
  <c r="AA638" i="11"/>
  <c r="BA638" i="11"/>
  <c r="BC638" i="11"/>
  <c r="BB638" i="11"/>
  <c r="BD638" i="11" s="1"/>
  <c r="DM638" i="11"/>
  <c r="DN638" i="11"/>
  <c r="CZ638" i="11"/>
  <c r="DA638" i="11"/>
  <c r="DP638" i="11"/>
  <c r="DB638" i="11"/>
  <c r="DE638" i="11" s="1"/>
  <c r="DG638" i="11" s="1"/>
  <c r="DC638" i="11"/>
  <c r="CP638" i="11"/>
  <c r="CA638" i="11"/>
  <c r="BM638" i="11"/>
  <c r="CB638" i="11"/>
  <c r="CD638" i="11" s="1"/>
  <c r="AZ638" i="11"/>
  <c r="CC638" i="11"/>
  <c r="AM638" i="11"/>
  <c r="X638" i="11"/>
  <c r="CM638" i="11"/>
  <c r="CN638" i="11"/>
  <c r="CO638" i="11"/>
  <c r="CS638" i="11" s="1"/>
  <c r="BZ638" i="11"/>
  <c r="C640" i="11"/>
  <c r="A640" i="11" s="1"/>
  <c r="EB639" i="11" l="1"/>
  <c r="Z639" i="11"/>
  <c r="F639" i="11" s="1"/>
  <c r="BL636" i="11"/>
  <c r="B640" i="11"/>
  <c r="BF637" i="11"/>
  <c r="BJ637" i="11"/>
  <c r="BK637" i="11"/>
  <c r="CL637" i="11"/>
  <c r="DL637" i="11"/>
  <c r="DK638" i="11"/>
  <c r="DJ638" i="11"/>
  <c r="EG637" i="11"/>
  <c r="EF637" i="11" s="1"/>
  <c r="AY636" i="11"/>
  <c r="M638" i="11"/>
  <c r="AC638" i="11"/>
  <c r="AF638" i="11" s="1"/>
  <c r="BY637" i="11"/>
  <c r="EL636" i="11"/>
  <c r="CW638" i="11"/>
  <c r="CX638" i="11"/>
  <c r="CK638" i="11"/>
  <c r="CJ638" i="11"/>
  <c r="BX638" i="11"/>
  <c r="BW638" i="11"/>
  <c r="AW637" i="11"/>
  <c r="AX637" i="11"/>
  <c r="L638" i="11"/>
  <c r="EE638" i="11"/>
  <c r="EA639" i="11"/>
  <c r="EI639" i="11"/>
  <c r="EH639" i="11"/>
  <c r="ED639" i="11"/>
  <c r="EC639" i="11"/>
  <c r="DZ639" i="11"/>
  <c r="P640" i="11"/>
  <c r="CF638" i="11"/>
  <c r="CQ638" i="11"/>
  <c r="BE638" i="11"/>
  <c r="BG638" i="11" s="1"/>
  <c r="DD638" i="11"/>
  <c r="DF638" i="11"/>
  <c r="BQ638" i="11"/>
  <c r="BS638" i="11"/>
  <c r="AB639" i="11"/>
  <c r="AR638" i="11"/>
  <c r="AT638" i="11" s="1"/>
  <c r="AQ638" i="11"/>
  <c r="AS638" i="11"/>
  <c r="CE639" i="11"/>
  <c r="CG639" i="11" s="1"/>
  <c r="DV639" i="11"/>
  <c r="DU639" i="11"/>
  <c r="DH639" i="11"/>
  <c r="DI639" i="11"/>
  <c r="CU639" i="11"/>
  <c r="CV639" i="11"/>
  <c r="CR639" i="11"/>
  <c r="CT639" i="11" s="1"/>
  <c r="CH639" i="11"/>
  <c r="CI639" i="11"/>
  <c r="BU639" i="11"/>
  <c r="BV639" i="11"/>
  <c r="BH639" i="11"/>
  <c r="BI639" i="11"/>
  <c r="AI639" i="11"/>
  <c r="AU639" i="11"/>
  <c r="AV639" i="11"/>
  <c r="AH639" i="11"/>
  <c r="BO639" i="11"/>
  <c r="BR639" i="11" s="1"/>
  <c r="BT639" i="11" s="1"/>
  <c r="BP639" i="11"/>
  <c r="BN639" i="11"/>
  <c r="W640" i="11"/>
  <c r="AN639" i="11"/>
  <c r="AO639" i="11"/>
  <c r="AP639" i="11"/>
  <c r="AA639" i="11"/>
  <c r="Y639" i="11"/>
  <c r="BC639" i="11"/>
  <c r="BA639" i="11"/>
  <c r="BB639" i="11"/>
  <c r="BD639" i="11" s="1"/>
  <c r="DP639" i="11"/>
  <c r="DB639" i="11"/>
  <c r="DE639" i="11" s="1"/>
  <c r="DG639" i="11" s="1"/>
  <c r="DC639" i="11"/>
  <c r="DM639" i="11"/>
  <c r="DN639" i="11"/>
  <c r="CZ639" i="11"/>
  <c r="CM639" i="11"/>
  <c r="BM639" i="11"/>
  <c r="DA639" i="11"/>
  <c r="CN639" i="11"/>
  <c r="AZ639" i="11"/>
  <c r="CO639" i="11"/>
  <c r="CS639" i="11" s="1"/>
  <c r="BZ639" i="11"/>
  <c r="AM639" i="11"/>
  <c r="CP639" i="11"/>
  <c r="CA639" i="11"/>
  <c r="X639" i="11"/>
  <c r="CB639" i="11"/>
  <c r="CD639" i="11" s="1"/>
  <c r="CC639" i="11"/>
  <c r="C641" i="11"/>
  <c r="A641" i="11" s="1"/>
  <c r="EB640" i="11" l="1"/>
  <c r="ED640" i="11" s="1"/>
  <c r="Z640" i="11"/>
  <c r="F640" i="11" s="1"/>
  <c r="BL637" i="11"/>
  <c r="DL638" i="11"/>
  <c r="AC639" i="11"/>
  <c r="AF639" i="11" s="1"/>
  <c r="B641" i="11"/>
  <c r="EJ637" i="11"/>
  <c r="EG638" i="11"/>
  <c r="EK638" i="11" s="1"/>
  <c r="BF638" i="11"/>
  <c r="BK638" i="11"/>
  <c r="BJ638" i="11"/>
  <c r="CL638" i="11"/>
  <c r="CY638" i="11"/>
  <c r="EK637" i="11"/>
  <c r="EL637" i="11" s="1"/>
  <c r="L639" i="11"/>
  <c r="BY638" i="11"/>
  <c r="AY637" i="11"/>
  <c r="CK639" i="11"/>
  <c r="CJ639" i="11"/>
  <c r="CW639" i="11"/>
  <c r="CX639" i="11"/>
  <c r="EJ638" i="11"/>
  <c r="EF638" i="11"/>
  <c r="BW639" i="11"/>
  <c r="BX639" i="11"/>
  <c r="DK639" i="11"/>
  <c r="DJ639" i="11"/>
  <c r="M639" i="11"/>
  <c r="AX638" i="11"/>
  <c r="AW638" i="11"/>
  <c r="AY638" i="11" s="1"/>
  <c r="EE639" i="11"/>
  <c r="EG639" i="11" s="1"/>
  <c r="EC640" i="11"/>
  <c r="DZ640" i="11"/>
  <c r="EH640" i="11"/>
  <c r="EI640" i="11"/>
  <c r="EA640" i="11"/>
  <c r="P641" i="11"/>
  <c r="DF639" i="11"/>
  <c r="BQ639" i="11"/>
  <c r="BS639" i="11"/>
  <c r="CF639" i="11"/>
  <c r="CQ639" i="11"/>
  <c r="AB640" i="11"/>
  <c r="BE639" i="11"/>
  <c r="BG639" i="11" s="1"/>
  <c r="DD639" i="11"/>
  <c r="AR639" i="11"/>
  <c r="AT639" i="11" s="1"/>
  <c r="AQ639" i="11"/>
  <c r="AS639" i="11"/>
  <c r="CE640" i="11"/>
  <c r="CG640" i="11" s="1"/>
  <c r="DV640" i="11"/>
  <c r="DU640" i="11"/>
  <c r="DH640" i="11"/>
  <c r="DI640" i="11"/>
  <c r="CU640" i="11"/>
  <c r="CV640" i="11"/>
  <c r="CR640" i="11"/>
  <c r="CT640" i="11" s="1"/>
  <c r="CH640" i="11"/>
  <c r="CI640" i="11"/>
  <c r="BV640" i="11"/>
  <c r="BU640" i="11"/>
  <c r="BH640" i="11"/>
  <c r="AV640" i="11"/>
  <c r="BI640" i="11"/>
  <c r="AU640" i="11"/>
  <c r="AI640" i="11"/>
  <c r="AH640" i="11"/>
  <c r="BN640" i="11"/>
  <c r="BP640" i="11"/>
  <c r="BO640" i="11"/>
  <c r="BR640" i="11" s="1"/>
  <c r="BT640" i="11" s="1"/>
  <c r="AN640" i="11"/>
  <c r="AO640" i="11"/>
  <c r="AP640" i="11"/>
  <c r="Y640" i="11"/>
  <c r="AA640" i="11"/>
  <c r="BC640" i="11"/>
  <c r="BB640" i="11"/>
  <c r="BD640" i="11" s="1"/>
  <c r="BA640" i="11"/>
  <c r="DM640" i="11"/>
  <c r="DN640" i="11"/>
  <c r="CZ640" i="11"/>
  <c r="DA640" i="11"/>
  <c r="DP640" i="11"/>
  <c r="DB640" i="11"/>
  <c r="DE640" i="11" s="1"/>
  <c r="DG640" i="11" s="1"/>
  <c r="CP640" i="11"/>
  <c r="CA640" i="11"/>
  <c r="CB640" i="11"/>
  <c r="CF640" i="11" s="1"/>
  <c r="CC640" i="11"/>
  <c r="BM640" i="11"/>
  <c r="DC640" i="11"/>
  <c r="AZ640" i="11"/>
  <c r="AM640" i="11"/>
  <c r="CM640" i="11"/>
  <c r="CN640" i="11"/>
  <c r="CO640" i="11"/>
  <c r="CQ640" i="11" s="1"/>
  <c r="BZ640" i="11"/>
  <c r="X640" i="11"/>
  <c r="W641" i="11"/>
  <c r="C642" i="11"/>
  <c r="A642" i="11" s="1"/>
  <c r="EB641" i="11" l="1"/>
  <c r="ED641" i="11" s="1"/>
  <c r="Z641" i="11"/>
  <c r="F641" i="11" s="1"/>
  <c r="BL638" i="11"/>
  <c r="B642" i="11"/>
  <c r="EL638" i="11"/>
  <c r="BF639" i="11"/>
  <c r="BJ639" i="11"/>
  <c r="BK639" i="11"/>
  <c r="CL639" i="11"/>
  <c r="CY639" i="11"/>
  <c r="DL639" i="11"/>
  <c r="L640" i="11"/>
  <c r="BY639" i="11"/>
  <c r="AC640" i="11"/>
  <c r="AF640" i="11" s="1"/>
  <c r="DK640" i="11"/>
  <c r="DJ640" i="11"/>
  <c r="CJ640" i="11"/>
  <c r="CK640" i="11"/>
  <c r="CW640" i="11"/>
  <c r="CX640" i="11"/>
  <c r="BW640" i="11"/>
  <c r="BX640" i="11"/>
  <c r="EJ639" i="11"/>
  <c r="EK639" i="11"/>
  <c r="EF639" i="11"/>
  <c r="AW639" i="11"/>
  <c r="AX639" i="11"/>
  <c r="M640" i="11"/>
  <c r="EH641" i="11"/>
  <c r="EA641" i="11"/>
  <c r="EC641" i="11"/>
  <c r="DZ641" i="11"/>
  <c r="EI641" i="11"/>
  <c r="EE640" i="11"/>
  <c r="EG640" i="11" s="1"/>
  <c r="P642" i="11"/>
  <c r="CS640" i="11"/>
  <c r="BE640" i="11"/>
  <c r="BG640" i="11" s="1"/>
  <c r="DD640" i="11"/>
  <c r="DF640" i="11"/>
  <c r="BQ640" i="11"/>
  <c r="BS640" i="11"/>
  <c r="CD640" i="11"/>
  <c r="AB641" i="11"/>
  <c r="AR640" i="11"/>
  <c r="AT640" i="11" s="1"/>
  <c r="AS640" i="11"/>
  <c r="AQ640" i="11"/>
  <c r="CE641" i="11"/>
  <c r="CG641" i="11" s="1"/>
  <c r="DU641" i="11"/>
  <c r="DV641" i="11"/>
  <c r="DH641" i="11"/>
  <c r="DI641" i="11"/>
  <c r="CU641" i="11"/>
  <c r="CV641" i="11"/>
  <c r="CR641" i="11"/>
  <c r="CT641" i="11" s="1"/>
  <c r="CH641" i="11"/>
  <c r="CI641" i="11"/>
  <c r="BU641" i="11"/>
  <c r="BV641" i="11"/>
  <c r="BI641" i="11"/>
  <c r="AU641" i="11"/>
  <c r="AV641" i="11"/>
  <c r="BH641" i="11"/>
  <c r="AI641" i="11"/>
  <c r="AH641" i="11"/>
  <c r="BN641" i="11"/>
  <c r="BP641" i="11"/>
  <c r="BO641" i="11"/>
  <c r="BR641" i="11" s="1"/>
  <c r="BT641" i="11" s="1"/>
  <c r="BX641" i="11" s="1"/>
  <c r="W642" i="11"/>
  <c r="AP641" i="11"/>
  <c r="AN641" i="11"/>
  <c r="AO641" i="11"/>
  <c r="AA641" i="11"/>
  <c r="Y641" i="11"/>
  <c r="BA641" i="11"/>
  <c r="BB641" i="11"/>
  <c r="BD641" i="11" s="1"/>
  <c r="BC641" i="11"/>
  <c r="DP641" i="11"/>
  <c r="DB641" i="11"/>
  <c r="DE641" i="11" s="1"/>
  <c r="DG641" i="11" s="1"/>
  <c r="DC641" i="11"/>
  <c r="DM641" i="11"/>
  <c r="DN641" i="11"/>
  <c r="CM641" i="11"/>
  <c r="CN641" i="11"/>
  <c r="CO641" i="11"/>
  <c r="CS641" i="11" s="1"/>
  <c r="BZ641" i="11"/>
  <c r="BM641" i="11"/>
  <c r="CZ641" i="11"/>
  <c r="CP641" i="11"/>
  <c r="CA641" i="11"/>
  <c r="AZ641" i="11"/>
  <c r="DA641" i="11"/>
  <c r="CB641" i="11"/>
  <c r="CF641" i="11" s="1"/>
  <c r="CC641" i="11"/>
  <c r="X641" i="11"/>
  <c r="AM641" i="11"/>
  <c r="C643" i="11"/>
  <c r="A643" i="11" s="1"/>
  <c r="EB642" i="11" l="1"/>
  <c r="Z642" i="11"/>
  <c r="F642" i="11" s="1"/>
  <c r="BL639" i="11"/>
  <c r="B643" i="11"/>
  <c r="BJ640" i="11"/>
  <c r="BK640" i="11"/>
  <c r="BF640" i="11"/>
  <c r="AC641" i="11"/>
  <c r="AF641" i="11" s="1"/>
  <c r="AY639" i="11"/>
  <c r="DL640" i="11"/>
  <c r="CY640" i="11"/>
  <c r="CL640" i="11"/>
  <c r="BY640" i="11"/>
  <c r="EL639" i="11"/>
  <c r="DJ641" i="11"/>
  <c r="DK641" i="11"/>
  <c r="CJ641" i="11"/>
  <c r="CK641" i="11"/>
  <c r="CW641" i="11"/>
  <c r="CX641" i="11"/>
  <c r="EK640" i="11"/>
  <c r="EJ640" i="11"/>
  <c r="EF640" i="11"/>
  <c r="AW640" i="11"/>
  <c r="AX640" i="11"/>
  <c r="L641" i="11"/>
  <c r="BW641" i="11"/>
  <c r="BY641" i="11" s="1"/>
  <c r="M641" i="11"/>
  <c r="EC642" i="11"/>
  <c r="DZ642" i="11"/>
  <c r="EH642" i="11"/>
  <c r="EA642" i="11"/>
  <c r="ED642" i="11"/>
  <c r="EI642" i="11"/>
  <c r="EE641" i="11"/>
  <c r="EG641" i="11" s="1"/>
  <c r="P643" i="11"/>
  <c r="BE641" i="11"/>
  <c r="BG641" i="11" s="1"/>
  <c r="BS641" i="11"/>
  <c r="CD641" i="11"/>
  <c r="CQ641" i="11"/>
  <c r="BQ641" i="11"/>
  <c r="AB642" i="11"/>
  <c r="DD641" i="11"/>
  <c r="DF641" i="11"/>
  <c r="AR641" i="11"/>
  <c r="AT641" i="11" s="1"/>
  <c r="AS641" i="11"/>
  <c r="AQ641" i="11"/>
  <c r="CE642" i="11"/>
  <c r="CG642" i="11" s="1"/>
  <c r="DU642" i="11"/>
  <c r="DV642" i="11"/>
  <c r="DI642" i="11"/>
  <c r="DH642" i="11"/>
  <c r="CR642" i="11"/>
  <c r="CT642" i="11" s="1"/>
  <c r="CU642" i="11"/>
  <c r="CV642" i="11"/>
  <c r="CH642" i="11"/>
  <c r="CI642" i="11"/>
  <c r="BU642" i="11"/>
  <c r="BV642" i="11"/>
  <c r="BI642" i="11"/>
  <c r="BH642" i="11"/>
  <c r="AU642" i="11"/>
  <c r="AV642" i="11"/>
  <c r="AI642" i="11"/>
  <c r="AH642" i="11"/>
  <c r="BN642" i="11"/>
  <c r="BO642" i="11"/>
  <c r="BR642" i="11" s="1"/>
  <c r="BT642" i="11" s="1"/>
  <c r="BP642" i="11"/>
  <c r="W643" i="11"/>
  <c r="AN642" i="11"/>
  <c r="AO642" i="11"/>
  <c r="AP642" i="11"/>
  <c r="Y642" i="11"/>
  <c r="AA642" i="11"/>
  <c r="BB642" i="11"/>
  <c r="BD642" i="11" s="1"/>
  <c r="BC642" i="11"/>
  <c r="BA642" i="11"/>
  <c r="DM642" i="11"/>
  <c r="DN642" i="11"/>
  <c r="CZ642" i="11"/>
  <c r="DA642" i="11"/>
  <c r="DP642" i="11"/>
  <c r="DB642" i="11"/>
  <c r="DE642" i="11" s="1"/>
  <c r="DG642" i="11" s="1"/>
  <c r="CP642" i="11"/>
  <c r="CA642" i="11"/>
  <c r="CB642" i="11"/>
  <c r="CF642" i="11" s="1"/>
  <c r="CC642" i="11"/>
  <c r="BM642" i="11"/>
  <c r="CM642" i="11"/>
  <c r="AZ642" i="11"/>
  <c r="DC642" i="11"/>
  <c r="CN642" i="11"/>
  <c r="CO642" i="11"/>
  <c r="CQ642" i="11" s="1"/>
  <c r="BZ642" i="11"/>
  <c r="X642" i="11"/>
  <c r="AM642" i="11"/>
  <c r="C644" i="11"/>
  <c r="A644" i="11" s="1"/>
  <c r="EB643" i="11" l="1"/>
  <c r="ED643" i="11" s="1"/>
  <c r="Z643" i="11"/>
  <c r="F643" i="11" s="1"/>
  <c r="BL640" i="11"/>
  <c r="B644" i="11"/>
  <c r="DL641" i="11"/>
  <c r="BJ641" i="11"/>
  <c r="BF641" i="11"/>
  <c r="BK641" i="11"/>
  <c r="BL641" i="11" s="1"/>
  <c r="CL641" i="11"/>
  <c r="EL640" i="11"/>
  <c r="AC642" i="11"/>
  <c r="AF642" i="11" s="1"/>
  <c r="CY641" i="11"/>
  <c r="AY640" i="11"/>
  <c r="DK642" i="11"/>
  <c r="DJ642" i="11"/>
  <c r="DL642" i="11" s="1"/>
  <c r="CW642" i="11"/>
  <c r="CX642" i="11"/>
  <c r="BX642" i="11"/>
  <c r="BW642" i="11"/>
  <c r="CK642" i="11"/>
  <c r="CJ642" i="11"/>
  <c r="M642" i="11"/>
  <c r="AW641" i="11"/>
  <c r="AX641" i="11"/>
  <c r="L642" i="11"/>
  <c r="EJ641" i="11"/>
  <c r="EK641" i="11"/>
  <c r="EF641" i="11"/>
  <c r="EA643" i="11"/>
  <c r="EI643" i="11"/>
  <c r="EH643" i="11"/>
  <c r="EC643" i="11"/>
  <c r="DZ643" i="11"/>
  <c r="EE642" i="11"/>
  <c r="P644" i="11"/>
  <c r="CS642" i="11"/>
  <c r="BE642" i="11"/>
  <c r="BG642" i="11" s="1"/>
  <c r="DF642" i="11"/>
  <c r="BQ642" i="11"/>
  <c r="DD642" i="11"/>
  <c r="AB643" i="11"/>
  <c r="AC643" i="11" s="1"/>
  <c r="AF643" i="11" s="1"/>
  <c r="BS642" i="11"/>
  <c r="CD642" i="11"/>
  <c r="AR642" i="11"/>
  <c r="AT642" i="11" s="1"/>
  <c r="AS642" i="11"/>
  <c r="AQ642" i="11"/>
  <c r="CE643" i="11"/>
  <c r="CG643" i="11" s="1"/>
  <c r="DV643" i="11"/>
  <c r="DU643" i="11"/>
  <c r="DH643" i="11"/>
  <c r="DI643" i="11"/>
  <c r="CR643" i="11"/>
  <c r="CT643" i="11" s="1"/>
  <c r="CU643" i="11"/>
  <c r="CV643" i="11"/>
  <c r="CH643" i="11"/>
  <c r="CI643" i="11"/>
  <c r="BV643" i="11"/>
  <c r="BU643" i="11"/>
  <c r="BH643" i="11"/>
  <c r="BI643" i="11"/>
  <c r="AU643" i="11"/>
  <c r="AV643" i="11"/>
  <c r="AH643" i="11"/>
  <c r="AI643" i="11"/>
  <c r="BO643" i="11"/>
  <c r="BR643" i="11" s="1"/>
  <c r="BT643" i="11" s="1"/>
  <c r="BP643" i="11"/>
  <c r="BN643" i="11"/>
  <c r="AP643" i="11"/>
  <c r="AN643" i="11"/>
  <c r="AO643" i="11"/>
  <c r="Y643" i="11"/>
  <c r="AA643" i="11"/>
  <c r="BC643" i="11"/>
  <c r="BA643" i="11"/>
  <c r="BB643" i="11"/>
  <c r="BD643" i="11" s="1"/>
  <c r="DP643" i="11"/>
  <c r="DB643" i="11"/>
  <c r="DE643" i="11" s="1"/>
  <c r="DG643" i="11" s="1"/>
  <c r="DK643" i="11" s="1"/>
  <c r="DC643" i="11"/>
  <c r="DM643" i="11"/>
  <c r="DN643" i="11"/>
  <c r="DA643" i="11"/>
  <c r="X643" i="11"/>
  <c r="CM643" i="11"/>
  <c r="CN643" i="11"/>
  <c r="CO643" i="11"/>
  <c r="CQ643" i="11" s="1"/>
  <c r="BZ643" i="11"/>
  <c r="CP643" i="11"/>
  <c r="CA643" i="11"/>
  <c r="CB643" i="11"/>
  <c r="CD643" i="11" s="1"/>
  <c r="BM643" i="11"/>
  <c r="CC643" i="11"/>
  <c r="AZ643" i="11"/>
  <c r="CZ643" i="11"/>
  <c r="AM643" i="11"/>
  <c r="W644" i="11"/>
  <c r="C645" i="11"/>
  <c r="A645" i="11" s="1"/>
  <c r="Z644" i="11" l="1"/>
  <c r="F644" i="11" s="1"/>
  <c r="EB644" i="11"/>
  <c r="ED644" i="11" s="1"/>
  <c r="B645" i="11"/>
  <c r="CL642" i="11"/>
  <c r="BF642" i="11"/>
  <c r="BJ642" i="11"/>
  <c r="BK642" i="11"/>
  <c r="BL642" i="11" s="1"/>
  <c r="BY642" i="11"/>
  <c r="AY641" i="11"/>
  <c r="EG642" i="11"/>
  <c r="EK642" i="11" s="1"/>
  <c r="CY642" i="11"/>
  <c r="EL641" i="11"/>
  <c r="CK643" i="11"/>
  <c r="CJ643" i="11"/>
  <c r="BW643" i="11"/>
  <c r="BX643" i="11"/>
  <c r="CX643" i="11"/>
  <c r="CW643" i="11"/>
  <c r="L643" i="11"/>
  <c r="AW642" i="11"/>
  <c r="AX642" i="11"/>
  <c r="DJ643" i="11"/>
  <c r="DL643" i="11" s="1"/>
  <c r="M643" i="11"/>
  <c r="EE643" i="11"/>
  <c r="EC644" i="11"/>
  <c r="EI644" i="11"/>
  <c r="EH644" i="11"/>
  <c r="EA644" i="11"/>
  <c r="DZ644" i="11"/>
  <c r="P645" i="11"/>
  <c r="CF643" i="11"/>
  <c r="CS643" i="11"/>
  <c r="AB644" i="11"/>
  <c r="BQ643" i="11"/>
  <c r="DF643" i="11"/>
  <c r="BE643" i="11"/>
  <c r="BG643" i="11" s="1"/>
  <c r="DD643" i="11"/>
  <c r="BS643" i="11"/>
  <c r="AR643" i="11"/>
  <c r="AT643" i="11" s="1"/>
  <c r="AS643" i="11"/>
  <c r="AQ643" i="11"/>
  <c r="CE644" i="11"/>
  <c r="CG644" i="11" s="1"/>
  <c r="DV644" i="11"/>
  <c r="DU644" i="11"/>
  <c r="DH644" i="11"/>
  <c r="DI644" i="11"/>
  <c r="CR644" i="11"/>
  <c r="CT644" i="11" s="1"/>
  <c r="CU644" i="11"/>
  <c r="CV644" i="11"/>
  <c r="CH644" i="11"/>
  <c r="CI644" i="11"/>
  <c r="BU644" i="11"/>
  <c r="BV644" i="11"/>
  <c r="BH644" i="11"/>
  <c r="BI644" i="11"/>
  <c r="AU644" i="11"/>
  <c r="AV644" i="11"/>
  <c r="AH644" i="11"/>
  <c r="AI644" i="11"/>
  <c r="BP644" i="11"/>
  <c r="BO644" i="11"/>
  <c r="BR644" i="11" s="1"/>
  <c r="BT644" i="11" s="1"/>
  <c r="BN644" i="11"/>
  <c r="W645" i="11"/>
  <c r="AO644" i="11"/>
  <c r="AP644" i="11"/>
  <c r="AA644" i="11"/>
  <c r="AN644" i="11"/>
  <c r="Y644" i="11"/>
  <c r="BA644" i="11"/>
  <c r="BC644" i="11"/>
  <c r="BB644" i="11"/>
  <c r="BD644" i="11" s="1"/>
  <c r="DM644" i="11"/>
  <c r="DN644" i="11"/>
  <c r="CZ644" i="11"/>
  <c r="DA644" i="11"/>
  <c r="DP644" i="11"/>
  <c r="DB644" i="11"/>
  <c r="DE644" i="11" s="1"/>
  <c r="DG644" i="11" s="1"/>
  <c r="CP644" i="11"/>
  <c r="CA644" i="11"/>
  <c r="AM644" i="11"/>
  <c r="DC644" i="11"/>
  <c r="CB644" i="11"/>
  <c r="CF644" i="11" s="1"/>
  <c r="X644" i="11"/>
  <c r="CC644" i="11"/>
  <c r="CM644" i="11"/>
  <c r="CN644" i="11"/>
  <c r="BM644" i="11"/>
  <c r="CO644" i="11"/>
  <c r="CS644" i="11" s="1"/>
  <c r="BZ644" i="11"/>
  <c r="AZ644" i="11"/>
  <c r="C646" i="11"/>
  <c r="A646" i="11" s="1"/>
  <c r="EB645" i="11" l="1"/>
  <c r="ED645" i="11" s="1"/>
  <c r="Z645" i="11"/>
  <c r="F645" i="11" s="1"/>
  <c r="B646" i="11"/>
  <c r="CY643" i="11"/>
  <c r="CL643" i="11"/>
  <c r="BK643" i="11"/>
  <c r="BJ643" i="11"/>
  <c r="BL643" i="11" s="1"/>
  <c r="BF643" i="11"/>
  <c r="EG643" i="11"/>
  <c r="EJ643" i="11" s="1"/>
  <c r="AY642" i="11"/>
  <c r="BY643" i="11"/>
  <c r="EF642" i="11"/>
  <c r="AC644" i="11"/>
  <c r="AF644" i="11" s="1"/>
  <c r="EJ642" i="11"/>
  <c r="EL642" i="11" s="1"/>
  <c r="CK644" i="11"/>
  <c r="CJ644" i="11"/>
  <c r="BW644" i="11"/>
  <c r="BX644" i="11"/>
  <c r="DK644" i="11"/>
  <c r="DJ644" i="11"/>
  <c r="CX644" i="11"/>
  <c r="CW644" i="11"/>
  <c r="L644" i="11"/>
  <c r="AW643" i="11"/>
  <c r="AX643" i="11"/>
  <c r="EF643" i="11"/>
  <c r="M644" i="11"/>
  <c r="EH645" i="11"/>
  <c r="EA645" i="11"/>
  <c r="DZ645" i="11"/>
  <c r="EI645" i="11"/>
  <c r="EC645" i="11"/>
  <c r="EE644" i="11"/>
  <c r="P646" i="11"/>
  <c r="BQ644" i="11"/>
  <c r="AB645" i="11"/>
  <c r="CD644" i="11"/>
  <c r="BS644" i="11"/>
  <c r="CQ644" i="11"/>
  <c r="BE644" i="11"/>
  <c r="BG644" i="11" s="1"/>
  <c r="DD644" i="11"/>
  <c r="DF644" i="11"/>
  <c r="AR644" i="11"/>
  <c r="AT644" i="11" s="1"/>
  <c r="AQ644" i="11"/>
  <c r="AS644" i="11"/>
  <c r="CE645" i="11"/>
  <c r="CG645" i="11" s="1"/>
  <c r="DU645" i="11"/>
  <c r="DV645" i="11"/>
  <c r="DI645" i="11"/>
  <c r="DH645" i="11"/>
  <c r="CR645" i="11"/>
  <c r="CT645" i="11" s="1"/>
  <c r="CV645" i="11"/>
  <c r="CU645" i="11"/>
  <c r="CH645" i="11"/>
  <c r="CI645" i="11"/>
  <c r="BU645" i="11"/>
  <c r="BV645" i="11"/>
  <c r="BH645" i="11"/>
  <c r="BI645" i="11"/>
  <c r="AU645" i="11"/>
  <c r="AV645" i="11"/>
  <c r="AH645" i="11"/>
  <c r="AI645" i="11"/>
  <c r="BN645" i="11"/>
  <c r="BO645" i="11"/>
  <c r="BR645" i="11" s="1"/>
  <c r="BT645" i="11" s="1"/>
  <c r="BP645" i="11"/>
  <c r="W646" i="11"/>
  <c r="AN645" i="11"/>
  <c r="AO645" i="11"/>
  <c r="AP645" i="11"/>
  <c r="Y645" i="11"/>
  <c r="AA645" i="11"/>
  <c r="BA645" i="11"/>
  <c r="BB645" i="11"/>
  <c r="BD645" i="11" s="1"/>
  <c r="BC645" i="11"/>
  <c r="DP645" i="11"/>
  <c r="DB645" i="11"/>
  <c r="DE645" i="11" s="1"/>
  <c r="DG645" i="11" s="1"/>
  <c r="DC645" i="11"/>
  <c r="DM645" i="11"/>
  <c r="DN645" i="11"/>
  <c r="AZ645" i="11"/>
  <c r="CM645" i="11"/>
  <c r="AM645" i="11"/>
  <c r="CZ645" i="11"/>
  <c r="CN645" i="11"/>
  <c r="X645" i="11"/>
  <c r="DA645" i="11"/>
  <c r="CO645" i="11"/>
  <c r="CS645" i="11" s="1"/>
  <c r="BZ645" i="11"/>
  <c r="CP645" i="11"/>
  <c r="CA645" i="11"/>
  <c r="CB645" i="11"/>
  <c r="CD645" i="11" s="1"/>
  <c r="CC645" i="11"/>
  <c r="BM645" i="11"/>
  <c r="C647" i="11"/>
  <c r="A647" i="11" s="1"/>
  <c r="EB646" i="11" l="1"/>
  <c r="ED646" i="11" s="1"/>
  <c r="Z646" i="11"/>
  <c r="F646" i="11" s="1"/>
  <c r="EK643" i="11"/>
  <c r="B647" i="11"/>
  <c r="EG644" i="11"/>
  <c r="BJ644" i="11"/>
  <c r="BF644" i="11"/>
  <c r="BK644" i="11"/>
  <c r="CY644" i="11"/>
  <c r="AY643" i="11"/>
  <c r="DK645" i="11"/>
  <c r="DJ645" i="11"/>
  <c r="DL644" i="11"/>
  <c r="AC645" i="11"/>
  <c r="AF645" i="11" s="1"/>
  <c r="BY644" i="11"/>
  <c r="CL644" i="11"/>
  <c r="EL643" i="11"/>
  <c r="BW645" i="11"/>
  <c r="BX645" i="11"/>
  <c r="EK644" i="11"/>
  <c r="EJ644" i="11"/>
  <c r="EF644" i="11"/>
  <c r="CJ645" i="11"/>
  <c r="CK645" i="11"/>
  <c r="CW645" i="11"/>
  <c r="CX645" i="11"/>
  <c r="M645" i="11"/>
  <c r="L645" i="11"/>
  <c r="AX644" i="11"/>
  <c r="AW644" i="11"/>
  <c r="EC646" i="11"/>
  <c r="DZ646" i="11"/>
  <c r="EA646" i="11"/>
  <c r="EH646" i="11"/>
  <c r="EI646" i="11"/>
  <c r="EE645" i="11"/>
  <c r="P647" i="11"/>
  <c r="BQ645" i="11"/>
  <c r="BS645" i="11"/>
  <c r="CF645" i="11"/>
  <c r="CQ645" i="11"/>
  <c r="BE645" i="11"/>
  <c r="BG645" i="11" s="1"/>
  <c r="DD645" i="11"/>
  <c r="AB646" i="11"/>
  <c r="DF645" i="11"/>
  <c r="AR645" i="11"/>
  <c r="AT645" i="11" s="1"/>
  <c r="AS645" i="11"/>
  <c r="AQ645" i="11"/>
  <c r="CE646" i="11"/>
  <c r="CG646" i="11" s="1"/>
  <c r="DU646" i="11"/>
  <c r="DV646" i="11"/>
  <c r="DH646" i="11"/>
  <c r="DI646" i="11"/>
  <c r="CV646" i="11"/>
  <c r="CR646" i="11"/>
  <c r="CT646" i="11" s="1"/>
  <c r="CU646" i="11"/>
  <c r="CH646" i="11"/>
  <c r="CI646" i="11"/>
  <c r="BU646" i="11"/>
  <c r="BV646" i="11"/>
  <c r="BH646" i="11"/>
  <c r="BI646" i="11"/>
  <c r="AU646" i="11"/>
  <c r="AV646" i="11"/>
  <c r="AH646" i="11"/>
  <c r="AI646" i="11"/>
  <c r="BN646" i="11"/>
  <c r="BO646" i="11"/>
  <c r="BR646" i="11" s="1"/>
  <c r="BT646" i="11" s="1"/>
  <c r="BP646" i="11"/>
  <c r="W647" i="11"/>
  <c r="AO646" i="11"/>
  <c r="AP646" i="11"/>
  <c r="AN646" i="11"/>
  <c r="Y646" i="11"/>
  <c r="AA646" i="11"/>
  <c r="BC646" i="11"/>
  <c r="BB646" i="11"/>
  <c r="BD646" i="11" s="1"/>
  <c r="BA646" i="11"/>
  <c r="DM646" i="11"/>
  <c r="DN646" i="11"/>
  <c r="CZ646" i="11"/>
  <c r="DA646" i="11"/>
  <c r="DP646" i="11"/>
  <c r="DB646" i="11"/>
  <c r="DE646" i="11" s="1"/>
  <c r="DG646" i="11" s="1"/>
  <c r="CP646" i="11"/>
  <c r="CA646" i="11"/>
  <c r="BM646" i="11"/>
  <c r="CB646" i="11"/>
  <c r="CF646" i="11" s="1"/>
  <c r="AZ646" i="11"/>
  <c r="CC646" i="11"/>
  <c r="AM646" i="11"/>
  <c r="X646" i="11"/>
  <c r="DC646" i="11"/>
  <c r="CM646" i="11"/>
  <c r="CN646" i="11"/>
  <c r="CO646" i="11"/>
  <c r="CQ646" i="11" s="1"/>
  <c r="BZ646" i="11"/>
  <c r="C648" i="11"/>
  <c r="A648" i="11" s="1"/>
  <c r="Z647" i="11" l="1"/>
  <c r="F647" i="11" s="1"/>
  <c r="EB647" i="11"/>
  <c r="BL644" i="11"/>
  <c r="B648" i="11"/>
  <c r="BJ645" i="11"/>
  <c r="BF645" i="11"/>
  <c r="BK645" i="11"/>
  <c r="DL645" i="11"/>
  <c r="AY644" i="11"/>
  <c r="L646" i="11"/>
  <c r="CY645" i="11"/>
  <c r="M646" i="11"/>
  <c r="BY645" i="11"/>
  <c r="CL645" i="11"/>
  <c r="AC646" i="11"/>
  <c r="AF646" i="11" s="1"/>
  <c r="EG645" i="11"/>
  <c r="EK645" i="11" s="1"/>
  <c r="EL644" i="11"/>
  <c r="CW646" i="11"/>
  <c r="CX646" i="11"/>
  <c r="CK646" i="11"/>
  <c r="CJ646" i="11"/>
  <c r="BX646" i="11"/>
  <c r="BW646" i="11"/>
  <c r="DJ646" i="11"/>
  <c r="DK646" i="11"/>
  <c r="AW645" i="11"/>
  <c r="AX645" i="11"/>
  <c r="EA647" i="11"/>
  <c r="EI647" i="11"/>
  <c r="EH647" i="11"/>
  <c r="ED647" i="11"/>
  <c r="EC647" i="11"/>
  <c r="DZ647" i="11"/>
  <c r="EE646" i="11"/>
  <c r="EG646" i="11" s="1"/>
  <c r="P648" i="11"/>
  <c r="CS646" i="11"/>
  <c r="BE646" i="11"/>
  <c r="BG646" i="11" s="1"/>
  <c r="DD646" i="11"/>
  <c r="DF646" i="11"/>
  <c r="BQ646" i="11"/>
  <c r="BS646" i="11"/>
  <c r="CD646" i="11"/>
  <c r="AB647" i="11"/>
  <c r="AR646" i="11"/>
  <c r="AT646" i="11" s="1"/>
  <c r="AQ646" i="11"/>
  <c r="AS646" i="11"/>
  <c r="CE647" i="11"/>
  <c r="CG647" i="11" s="1"/>
  <c r="DV647" i="11"/>
  <c r="DU647" i="11"/>
  <c r="DH647" i="11"/>
  <c r="DI647" i="11"/>
  <c r="CU647" i="11"/>
  <c r="CV647" i="11"/>
  <c r="CR647" i="11"/>
  <c r="CT647" i="11" s="1"/>
  <c r="CH647" i="11"/>
  <c r="CI647" i="11"/>
  <c r="BU647" i="11"/>
  <c r="BV647" i="11"/>
  <c r="BH647" i="11"/>
  <c r="BI647" i="11"/>
  <c r="AU647" i="11"/>
  <c r="AV647" i="11"/>
  <c r="AH647" i="11"/>
  <c r="AI647" i="11"/>
  <c r="BO647" i="11"/>
  <c r="BR647" i="11" s="1"/>
  <c r="BT647" i="11" s="1"/>
  <c r="BP647" i="11"/>
  <c r="BN647" i="11"/>
  <c r="W648" i="11"/>
  <c r="AN647" i="11"/>
  <c r="AO647" i="11"/>
  <c r="AP647" i="11"/>
  <c r="AA647" i="11"/>
  <c r="Y647" i="11"/>
  <c r="BC647" i="11"/>
  <c r="BA647" i="11"/>
  <c r="BB647" i="11"/>
  <c r="BD647" i="11" s="1"/>
  <c r="DP647" i="11"/>
  <c r="DB647" i="11"/>
  <c r="DE647" i="11" s="1"/>
  <c r="DG647" i="11" s="1"/>
  <c r="DC647" i="11"/>
  <c r="DM647" i="11"/>
  <c r="DN647" i="11"/>
  <c r="CM647" i="11"/>
  <c r="BM647" i="11"/>
  <c r="CN647" i="11"/>
  <c r="AZ647" i="11"/>
  <c r="CO647" i="11"/>
  <c r="CQ647" i="11" s="1"/>
  <c r="BZ647" i="11"/>
  <c r="AM647" i="11"/>
  <c r="CP647" i="11"/>
  <c r="CA647" i="11"/>
  <c r="X647" i="11"/>
  <c r="CZ647" i="11"/>
  <c r="CB647" i="11"/>
  <c r="CD647" i="11" s="1"/>
  <c r="DA647" i="11"/>
  <c r="CC647" i="11"/>
  <c r="C649" i="11"/>
  <c r="A649" i="11" s="1"/>
  <c r="EB648" i="11" l="1"/>
  <c r="ED648" i="11" s="1"/>
  <c r="Z648" i="11"/>
  <c r="F648" i="11" s="1"/>
  <c r="BL645" i="11"/>
  <c r="B649" i="11"/>
  <c r="BK646" i="11"/>
  <c r="BJ646" i="11"/>
  <c r="BL646" i="11" s="1"/>
  <c r="BF646" i="11"/>
  <c r="BY646" i="11"/>
  <c r="EJ645" i="11"/>
  <c r="EL645" i="11" s="1"/>
  <c r="EF645" i="11"/>
  <c r="AY645" i="11"/>
  <c r="CK647" i="11"/>
  <c r="CJ647" i="11"/>
  <c r="CL646" i="11"/>
  <c r="DL646" i="11"/>
  <c r="CY646" i="11"/>
  <c r="AC647" i="11"/>
  <c r="AF647" i="11" s="1"/>
  <c r="BW647" i="11"/>
  <c r="BX647" i="11"/>
  <c r="EK646" i="11"/>
  <c r="EJ646" i="11"/>
  <c r="EF646" i="11"/>
  <c r="DJ647" i="11"/>
  <c r="DK647" i="11"/>
  <c r="CW647" i="11"/>
  <c r="CX647" i="11"/>
  <c r="M647" i="11"/>
  <c r="AW646" i="11"/>
  <c r="AX646" i="11"/>
  <c r="L647" i="11"/>
  <c r="EC648" i="11"/>
  <c r="EH648" i="11"/>
  <c r="EA648" i="11"/>
  <c r="DZ648" i="11"/>
  <c r="EI648" i="11"/>
  <c r="EE647" i="11"/>
  <c r="EG647" i="11" s="1"/>
  <c r="P649" i="11"/>
  <c r="CS647" i="11"/>
  <c r="DF647" i="11"/>
  <c r="BQ647" i="11"/>
  <c r="BS647" i="11"/>
  <c r="CF647" i="11"/>
  <c r="AB648" i="11"/>
  <c r="BE647" i="11"/>
  <c r="BG647" i="11" s="1"/>
  <c r="DD647" i="11"/>
  <c r="AR647" i="11"/>
  <c r="AT647" i="11" s="1"/>
  <c r="AS647" i="11"/>
  <c r="AQ647" i="11"/>
  <c r="CE648" i="11"/>
  <c r="CG648" i="11" s="1"/>
  <c r="DV648" i="11"/>
  <c r="DU648" i="11"/>
  <c r="DH648" i="11"/>
  <c r="DI648" i="11"/>
  <c r="CU648" i="11"/>
  <c r="CV648" i="11"/>
  <c r="CR648" i="11"/>
  <c r="CT648" i="11" s="1"/>
  <c r="CH648" i="11"/>
  <c r="CI648" i="11"/>
  <c r="BV648" i="11"/>
  <c r="BU648" i="11"/>
  <c r="BH648" i="11"/>
  <c r="AV648" i="11"/>
  <c r="BI648" i="11"/>
  <c r="AU648" i="11"/>
  <c r="AI648" i="11"/>
  <c r="AH648" i="11"/>
  <c r="BN648" i="11"/>
  <c r="BP648" i="11"/>
  <c r="BO648" i="11"/>
  <c r="BR648" i="11" s="1"/>
  <c r="BT648" i="11" s="1"/>
  <c r="W649" i="11"/>
  <c r="AN648" i="11"/>
  <c r="AP648" i="11"/>
  <c r="AO648" i="11"/>
  <c r="Y648" i="11"/>
  <c r="AA648" i="11"/>
  <c r="BA648" i="11"/>
  <c r="BC648" i="11"/>
  <c r="BB648" i="11"/>
  <c r="BD648" i="11" s="1"/>
  <c r="DM648" i="11"/>
  <c r="DN648" i="11"/>
  <c r="CZ648" i="11"/>
  <c r="DA648" i="11"/>
  <c r="DP648" i="11"/>
  <c r="DB648" i="11"/>
  <c r="DE648" i="11" s="1"/>
  <c r="DG648" i="11" s="1"/>
  <c r="CP648" i="11"/>
  <c r="CA648" i="11"/>
  <c r="CB648" i="11"/>
  <c r="CF648" i="11" s="1"/>
  <c r="CC648" i="11"/>
  <c r="BM648" i="11"/>
  <c r="AZ648" i="11"/>
  <c r="AM648" i="11"/>
  <c r="CM648" i="11"/>
  <c r="CN648" i="11"/>
  <c r="DC648" i="11"/>
  <c r="CO648" i="11"/>
  <c r="CS648" i="11" s="1"/>
  <c r="BZ648" i="11"/>
  <c r="X648" i="11"/>
  <c r="C650" i="11"/>
  <c r="A650" i="11" s="1"/>
  <c r="EB649" i="11" l="1"/>
  <c r="Z649" i="11"/>
  <c r="F649" i="11" s="1"/>
  <c r="DL647" i="11"/>
  <c r="B650" i="11"/>
  <c r="CY647" i="11"/>
  <c r="AC648" i="11"/>
  <c r="AF648" i="11" s="1"/>
  <c r="CL647" i="11"/>
  <c r="BJ647" i="11"/>
  <c r="BK647" i="11"/>
  <c r="BF647" i="11"/>
  <c r="BY647" i="11"/>
  <c r="M648" i="11"/>
  <c r="AY646" i="11"/>
  <c r="EL646" i="11"/>
  <c r="DJ648" i="11"/>
  <c r="DK648" i="11"/>
  <c r="CW648" i="11"/>
  <c r="CX648" i="11"/>
  <c r="CK648" i="11"/>
  <c r="CJ648" i="11"/>
  <c r="BX648" i="11"/>
  <c r="BW648" i="11"/>
  <c r="AW647" i="11"/>
  <c r="AX647" i="11"/>
  <c r="EK647" i="11"/>
  <c r="EJ647" i="11"/>
  <c r="L648" i="11"/>
  <c r="EF647" i="11"/>
  <c r="EE648" i="11"/>
  <c r="EG648" i="11" s="1"/>
  <c r="EH649" i="11"/>
  <c r="ED649" i="11"/>
  <c r="EA649" i="11"/>
  <c r="EI649" i="11"/>
  <c r="EC649" i="11"/>
  <c r="DZ649" i="11"/>
  <c r="P650" i="11"/>
  <c r="CQ648" i="11"/>
  <c r="BE648" i="11"/>
  <c r="BG648" i="11" s="1"/>
  <c r="DD648" i="11"/>
  <c r="DF648" i="11"/>
  <c r="BQ648" i="11"/>
  <c r="AB649" i="11"/>
  <c r="BS648" i="11"/>
  <c r="CD648" i="11"/>
  <c r="AR648" i="11"/>
  <c r="AT648" i="11" s="1"/>
  <c r="AS648" i="11"/>
  <c r="AQ648" i="11"/>
  <c r="CE649" i="11"/>
  <c r="CG649" i="11" s="1"/>
  <c r="CJ649" i="11" s="1"/>
  <c r="DU649" i="11"/>
  <c r="DV649" i="11"/>
  <c r="DH649" i="11"/>
  <c r="DI649" i="11"/>
  <c r="CU649" i="11"/>
  <c r="CV649" i="11"/>
  <c r="CR649" i="11"/>
  <c r="CT649" i="11" s="1"/>
  <c r="CH649" i="11"/>
  <c r="CI649" i="11"/>
  <c r="BU649" i="11"/>
  <c r="BV649" i="11"/>
  <c r="BI649" i="11"/>
  <c r="BH649" i="11"/>
  <c r="AU649" i="11"/>
  <c r="AV649" i="11"/>
  <c r="AH649" i="11"/>
  <c r="AI649" i="11"/>
  <c r="BN649" i="11"/>
  <c r="BO649" i="11"/>
  <c r="BR649" i="11" s="1"/>
  <c r="BT649" i="11" s="1"/>
  <c r="BP649" i="11"/>
  <c r="AP649" i="11"/>
  <c r="AN649" i="11"/>
  <c r="AO649" i="11"/>
  <c r="Y649" i="11"/>
  <c r="AA649" i="11"/>
  <c r="BC649" i="11"/>
  <c r="BA649" i="11"/>
  <c r="BB649" i="11"/>
  <c r="BD649" i="11" s="1"/>
  <c r="DP649" i="11"/>
  <c r="DB649" i="11"/>
  <c r="DE649" i="11" s="1"/>
  <c r="DG649" i="11" s="1"/>
  <c r="DJ649" i="11" s="1"/>
  <c r="DC649" i="11"/>
  <c r="DM649" i="11"/>
  <c r="DN649" i="11"/>
  <c r="CZ649" i="11"/>
  <c r="DA649" i="11"/>
  <c r="CM649" i="11"/>
  <c r="CN649" i="11"/>
  <c r="CO649" i="11"/>
  <c r="CQ649" i="11" s="1"/>
  <c r="BZ649" i="11"/>
  <c r="BM649" i="11"/>
  <c r="CP649" i="11"/>
  <c r="CA649" i="11"/>
  <c r="AZ649" i="11"/>
  <c r="CB649" i="11"/>
  <c r="CF649" i="11" s="1"/>
  <c r="CC649" i="11"/>
  <c r="AM649" i="11"/>
  <c r="X649" i="11"/>
  <c r="W650" i="11"/>
  <c r="C651" i="11"/>
  <c r="A651" i="11" s="1"/>
  <c r="EB650" i="11" l="1"/>
  <c r="ED650" i="11" s="1"/>
  <c r="Z650" i="11"/>
  <c r="F650" i="11" s="1"/>
  <c r="BL647" i="11"/>
  <c r="B651" i="11"/>
  <c r="CL648" i="11"/>
  <c r="BK648" i="11"/>
  <c r="BJ648" i="11"/>
  <c r="BF648" i="11"/>
  <c r="BY648" i="11"/>
  <c r="DL648" i="11"/>
  <c r="AY647" i="11"/>
  <c r="L649" i="11"/>
  <c r="CY648" i="11"/>
  <c r="AC649" i="11"/>
  <c r="AF649" i="11" s="1"/>
  <c r="EL647" i="11"/>
  <c r="CX649" i="11"/>
  <c r="CW649" i="11"/>
  <c r="EJ648" i="11"/>
  <c r="EK648" i="11"/>
  <c r="EF648" i="11"/>
  <c r="BX649" i="11"/>
  <c r="BW649" i="11"/>
  <c r="M649" i="11"/>
  <c r="DK649" i="11"/>
  <c r="DL649" i="11" s="1"/>
  <c r="CK649" i="11"/>
  <c r="CL649" i="11" s="1"/>
  <c r="AX648" i="11"/>
  <c r="AW648" i="11"/>
  <c r="EE649" i="11"/>
  <c r="EG649" i="11" s="1"/>
  <c r="EC650" i="11"/>
  <c r="EA650" i="11"/>
  <c r="DZ650" i="11"/>
  <c r="EI650" i="11"/>
  <c r="EH650" i="11"/>
  <c r="P651" i="11"/>
  <c r="CS649" i="11"/>
  <c r="DD649" i="11"/>
  <c r="BE649" i="11"/>
  <c r="BG649" i="11" s="1"/>
  <c r="DF649" i="11"/>
  <c r="BQ649" i="11"/>
  <c r="BS649" i="11"/>
  <c r="CD649" i="11"/>
  <c r="AB650" i="11"/>
  <c r="AR649" i="11"/>
  <c r="AT649" i="11" s="1"/>
  <c r="AS649" i="11"/>
  <c r="AQ649" i="11"/>
  <c r="CE650" i="11"/>
  <c r="CG650" i="11" s="1"/>
  <c r="DU650" i="11"/>
  <c r="DV650" i="11"/>
  <c r="DI650" i="11"/>
  <c r="DH650" i="11"/>
  <c r="CR650" i="11"/>
  <c r="CT650" i="11" s="1"/>
  <c r="CU650" i="11"/>
  <c r="CV650" i="11"/>
  <c r="CH650" i="11"/>
  <c r="CI650" i="11"/>
  <c r="BU650" i="11"/>
  <c r="BI650" i="11"/>
  <c r="BV650" i="11"/>
  <c r="BH650" i="11"/>
  <c r="AU650" i="11"/>
  <c r="AV650" i="11"/>
  <c r="AI650" i="11"/>
  <c r="AH650" i="11"/>
  <c r="BN650" i="11"/>
  <c r="BO650" i="11"/>
  <c r="BR650" i="11" s="1"/>
  <c r="BT650" i="11" s="1"/>
  <c r="BP650" i="11"/>
  <c r="AN650" i="11"/>
  <c r="AO650" i="11"/>
  <c r="AP650" i="11"/>
  <c r="Y650" i="11"/>
  <c r="AA650" i="11"/>
  <c r="BB650" i="11"/>
  <c r="BD650" i="11" s="1"/>
  <c r="BA650" i="11"/>
  <c r="BC650" i="11"/>
  <c r="DM650" i="11"/>
  <c r="DN650" i="11"/>
  <c r="CZ650" i="11"/>
  <c r="DA650" i="11"/>
  <c r="DP650" i="11"/>
  <c r="DB650" i="11"/>
  <c r="DE650" i="11" s="1"/>
  <c r="DG650" i="11" s="1"/>
  <c r="CP650" i="11"/>
  <c r="CA650" i="11"/>
  <c r="CB650" i="11"/>
  <c r="CF650" i="11" s="1"/>
  <c r="DC650" i="11"/>
  <c r="CC650" i="11"/>
  <c r="BM650" i="11"/>
  <c r="CM650" i="11"/>
  <c r="AZ650" i="11"/>
  <c r="CN650" i="11"/>
  <c r="CO650" i="11"/>
  <c r="CQ650" i="11" s="1"/>
  <c r="BZ650" i="11"/>
  <c r="AM650" i="11"/>
  <c r="X650" i="11"/>
  <c r="W651" i="11"/>
  <c r="C652" i="11"/>
  <c r="A652" i="11" s="1"/>
  <c r="EB651" i="11" l="1"/>
  <c r="ED651" i="11" s="1"/>
  <c r="Z651" i="11"/>
  <c r="F651" i="11" s="1"/>
  <c r="BL648" i="11"/>
  <c r="AY648" i="11"/>
  <c r="EL648" i="11"/>
  <c r="AC650" i="11"/>
  <c r="AF650" i="11" s="1"/>
  <c r="B652" i="11"/>
  <c r="BJ649" i="11"/>
  <c r="BK649" i="11"/>
  <c r="BF649" i="11"/>
  <c r="CY649" i="11"/>
  <c r="L650" i="11"/>
  <c r="BY649" i="11"/>
  <c r="CJ650" i="11"/>
  <c r="CK650" i="11"/>
  <c r="CX650" i="11"/>
  <c r="CW650" i="11"/>
  <c r="CY650" i="11" s="1"/>
  <c r="DJ650" i="11"/>
  <c r="DK650" i="11"/>
  <c r="BW650" i="11"/>
  <c r="BX650" i="11"/>
  <c r="EJ649" i="11"/>
  <c r="EK649" i="11"/>
  <c r="EF649" i="11"/>
  <c r="M650" i="11"/>
  <c r="AX649" i="11"/>
  <c r="AW649" i="11"/>
  <c r="EE650" i="11"/>
  <c r="EG650" i="11" s="1"/>
  <c r="EA651" i="11"/>
  <c r="DZ651" i="11"/>
  <c r="EI651" i="11"/>
  <c r="EH651" i="11"/>
  <c r="EC651" i="11"/>
  <c r="BE650" i="11"/>
  <c r="BG650" i="11" s="1"/>
  <c r="BQ650" i="11"/>
  <c r="CD650" i="11"/>
  <c r="DF650" i="11"/>
  <c r="DD650" i="11"/>
  <c r="BS650" i="11"/>
  <c r="CS650" i="11"/>
  <c r="AB651" i="11"/>
  <c r="AR650" i="11"/>
  <c r="AT650" i="11" s="1"/>
  <c r="AS650" i="11"/>
  <c r="AQ650" i="11"/>
  <c r="CE651" i="11"/>
  <c r="CG651" i="11" s="1"/>
  <c r="DV651" i="11"/>
  <c r="DU651" i="11"/>
  <c r="DH651" i="11"/>
  <c r="DI651" i="11"/>
  <c r="CR651" i="11"/>
  <c r="CT651" i="11" s="1"/>
  <c r="CU651" i="11"/>
  <c r="CV651" i="11"/>
  <c r="CH651" i="11"/>
  <c r="CI651" i="11"/>
  <c r="BV651" i="11"/>
  <c r="BU651" i="11"/>
  <c r="BH651" i="11"/>
  <c r="BI651" i="11"/>
  <c r="AU651" i="11"/>
  <c r="AV651" i="11"/>
  <c r="AH651" i="11"/>
  <c r="AI651" i="11"/>
  <c r="BO651" i="11"/>
  <c r="BR651" i="11" s="1"/>
  <c r="BT651" i="11" s="1"/>
  <c r="BP651" i="11"/>
  <c r="BN651" i="11"/>
  <c r="W652" i="11"/>
  <c r="AN651" i="11"/>
  <c r="AP651" i="11"/>
  <c r="AO651" i="11"/>
  <c r="Y651" i="11"/>
  <c r="AA651" i="11"/>
  <c r="BA651" i="11"/>
  <c r="BB651" i="11"/>
  <c r="BD651" i="11" s="1"/>
  <c r="BC651" i="11"/>
  <c r="DP651" i="11"/>
  <c r="DB651" i="11"/>
  <c r="DE651" i="11" s="1"/>
  <c r="DG651" i="11" s="1"/>
  <c r="DC651" i="11"/>
  <c r="DM651" i="11"/>
  <c r="DN651" i="11"/>
  <c r="X651" i="11"/>
  <c r="CM651" i="11"/>
  <c r="CN651" i="11"/>
  <c r="CZ651" i="11"/>
  <c r="CO651" i="11"/>
  <c r="CQ651" i="11" s="1"/>
  <c r="BZ651" i="11"/>
  <c r="DA651" i="11"/>
  <c r="CP651" i="11"/>
  <c r="CA651" i="11"/>
  <c r="CB651" i="11"/>
  <c r="CD651" i="11" s="1"/>
  <c r="BM651" i="11"/>
  <c r="CC651" i="11"/>
  <c r="AZ651" i="11"/>
  <c r="AM651" i="11"/>
  <c r="C653" i="11"/>
  <c r="A653" i="11" s="1"/>
  <c r="EB652" i="11" l="1"/>
  <c r="ED652" i="11" s="1"/>
  <c r="Z652" i="11"/>
  <c r="F652" i="11" s="1"/>
  <c r="P652" i="11"/>
  <c r="BL649" i="11"/>
  <c r="AC651" i="11"/>
  <c r="AF651" i="11" s="1"/>
  <c r="B653" i="11"/>
  <c r="BJ650" i="11"/>
  <c r="BK650" i="11"/>
  <c r="BF650" i="11"/>
  <c r="CL650" i="11"/>
  <c r="DL650" i="11"/>
  <c r="AY649" i="11"/>
  <c r="L651" i="11"/>
  <c r="BY650" i="11"/>
  <c r="EL649" i="11"/>
  <c r="BX651" i="11"/>
  <c r="BW651" i="11"/>
  <c r="EK650" i="11"/>
  <c r="EJ650" i="11"/>
  <c r="EF650" i="11"/>
  <c r="CK651" i="11"/>
  <c r="CJ651" i="11"/>
  <c r="CX651" i="11"/>
  <c r="CW651" i="11"/>
  <c r="DK651" i="11"/>
  <c r="DJ651" i="11"/>
  <c r="M651" i="11"/>
  <c r="AX650" i="11"/>
  <c r="AW650" i="11"/>
  <c r="AY650" i="11" s="1"/>
  <c r="EE651" i="11"/>
  <c r="EG651" i="11" s="1"/>
  <c r="EI652" i="11"/>
  <c r="EH652" i="11"/>
  <c r="EC652" i="11"/>
  <c r="EA652" i="11"/>
  <c r="DZ652" i="11"/>
  <c r="P653" i="11"/>
  <c r="BE651" i="11"/>
  <c r="BG651" i="11" s="1"/>
  <c r="CF651" i="11"/>
  <c r="CS651" i="11"/>
  <c r="BQ651" i="11"/>
  <c r="DF651" i="11"/>
  <c r="DD651" i="11"/>
  <c r="BS651" i="11"/>
  <c r="AB652" i="11"/>
  <c r="AR651" i="11"/>
  <c r="AT651" i="11" s="1"/>
  <c r="AS651" i="11"/>
  <c r="AQ651" i="11"/>
  <c r="CE652" i="11"/>
  <c r="CG652" i="11" s="1"/>
  <c r="DV652" i="11"/>
  <c r="DU652" i="11"/>
  <c r="DH652" i="11"/>
  <c r="DI652" i="11"/>
  <c r="CR652" i="11"/>
  <c r="CT652" i="11" s="1"/>
  <c r="CU652" i="11"/>
  <c r="CV652" i="11"/>
  <c r="CH652" i="11"/>
  <c r="CI652" i="11"/>
  <c r="BU652" i="11"/>
  <c r="BV652" i="11"/>
  <c r="BH652" i="11"/>
  <c r="BI652" i="11"/>
  <c r="AU652" i="11"/>
  <c r="AV652" i="11"/>
  <c r="AH652" i="11"/>
  <c r="AI652" i="11"/>
  <c r="BP652" i="11"/>
  <c r="BO652" i="11"/>
  <c r="BR652" i="11" s="1"/>
  <c r="BT652" i="11" s="1"/>
  <c r="BN652" i="11"/>
  <c r="AO652" i="11"/>
  <c r="AP652" i="11"/>
  <c r="AN652" i="11"/>
  <c r="AA652" i="11"/>
  <c r="Y652" i="11"/>
  <c r="BC652" i="11"/>
  <c r="BB652" i="11"/>
  <c r="BD652" i="11" s="1"/>
  <c r="BA652" i="11"/>
  <c r="DM652" i="11"/>
  <c r="DN652" i="11"/>
  <c r="CZ652" i="11"/>
  <c r="DA652" i="11"/>
  <c r="DP652" i="11"/>
  <c r="DB652" i="11"/>
  <c r="DE652" i="11" s="1"/>
  <c r="DG652" i="11" s="1"/>
  <c r="DJ652" i="11" s="1"/>
  <c r="CP652" i="11"/>
  <c r="CA652" i="11"/>
  <c r="AM652" i="11"/>
  <c r="CB652" i="11"/>
  <c r="CF652" i="11" s="1"/>
  <c r="X652" i="11"/>
  <c r="CC652" i="11"/>
  <c r="DC652" i="11"/>
  <c r="CM652" i="11"/>
  <c r="CN652" i="11"/>
  <c r="BM652" i="11"/>
  <c r="CO652" i="11"/>
  <c r="CS652" i="11" s="1"/>
  <c r="BZ652" i="11"/>
  <c r="AZ652" i="11"/>
  <c r="W653" i="11"/>
  <c r="C654" i="11"/>
  <c r="A654" i="11" s="1"/>
  <c r="EB653" i="11" l="1"/>
  <c r="ED653" i="11" s="1"/>
  <c r="Z653" i="11"/>
  <c r="F653" i="11" s="1"/>
  <c r="B654" i="11"/>
  <c r="CL651" i="11"/>
  <c r="DL651" i="11"/>
  <c r="BL650" i="11"/>
  <c r="BJ651" i="11"/>
  <c r="BF651" i="11"/>
  <c r="BK651" i="11"/>
  <c r="BY651" i="11"/>
  <c r="CY651" i="11"/>
  <c r="EL650" i="11"/>
  <c r="AC652" i="11"/>
  <c r="AF652" i="11" s="1"/>
  <c r="BW652" i="11"/>
  <c r="BX652" i="11"/>
  <c r="CW652" i="11"/>
  <c r="CX652" i="11"/>
  <c r="CJ652" i="11"/>
  <c r="CK652" i="11"/>
  <c r="EJ651" i="11"/>
  <c r="EK651" i="11"/>
  <c r="EF651" i="11"/>
  <c r="AW651" i="11"/>
  <c r="AX651" i="11"/>
  <c r="M652" i="11"/>
  <c r="DK652" i="11"/>
  <c r="DL652" i="11" s="1"/>
  <c r="L652" i="11"/>
  <c r="EC653" i="11"/>
  <c r="DZ653" i="11"/>
  <c r="EI653" i="11"/>
  <c r="EH653" i="11"/>
  <c r="EA653" i="11"/>
  <c r="EE652" i="11"/>
  <c r="EG652" i="11" s="1"/>
  <c r="P654" i="11"/>
  <c r="DD652" i="11"/>
  <c r="BE652" i="11"/>
  <c r="BG652" i="11" s="1"/>
  <c r="DF652" i="11"/>
  <c r="BQ652" i="11"/>
  <c r="CD652" i="11"/>
  <c r="AB653" i="11"/>
  <c r="BS652" i="11"/>
  <c r="CQ652" i="11"/>
  <c r="AR652" i="11"/>
  <c r="AT652" i="11" s="1"/>
  <c r="AQ652" i="11"/>
  <c r="AS652" i="11"/>
  <c r="CE653" i="11"/>
  <c r="CG653" i="11" s="1"/>
  <c r="DU653" i="11"/>
  <c r="DV653" i="11"/>
  <c r="DI653" i="11"/>
  <c r="DH653" i="11"/>
  <c r="CR653" i="11"/>
  <c r="CT653" i="11" s="1"/>
  <c r="CU653" i="11"/>
  <c r="CV653" i="11"/>
  <c r="CH653" i="11"/>
  <c r="CI653" i="11"/>
  <c r="BU653" i="11"/>
  <c r="BV653" i="11"/>
  <c r="BH653" i="11"/>
  <c r="BI653" i="11"/>
  <c r="AU653" i="11"/>
  <c r="AV653" i="11"/>
  <c r="AH653" i="11"/>
  <c r="AI653" i="11"/>
  <c r="BN653" i="11"/>
  <c r="BO653" i="11"/>
  <c r="BR653" i="11" s="1"/>
  <c r="BT653" i="11" s="1"/>
  <c r="BP653" i="11"/>
  <c r="W654" i="11"/>
  <c r="AN653" i="11"/>
  <c r="AO653" i="11"/>
  <c r="AP653" i="11"/>
  <c r="Y653" i="11"/>
  <c r="AA653" i="11"/>
  <c r="BA653" i="11"/>
  <c r="BB653" i="11"/>
  <c r="BD653" i="11" s="1"/>
  <c r="BC653" i="11"/>
  <c r="DP653" i="11"/>
  <c r="DB653" i="11"/>
  <c r="DE653" i="11" s="1"/>
  <c r="DG653" i="11" s="1"/>
  <c r="DC653" i="11"/>
  <c r="DM653" i="11"/>
  <c r="DN653" i="11"/>
  <c r="AZ653" i="11"/>
  <c r="CM653" i="11"/>
  <c r="AM653" i="11"/>
  <c r="CN653" i="11"/>
  <c r="X653" i="11"/>
  <c r="CO653" i="11"/>
  <c r="CS653" i="11" s="1"/>
  <c r="BZ653" i="11"/>
  <c r="CP653" i="11"/>
  <c r="CA653" i="11"/>
  <c r="CB653" i="11"/>
  <c r="CF653" i="11" s="1"/>
  <c r="CZ653" i="11"/>
  <c r="CC653" i="11"/>
  <c r="DA653" i="11"/>
  <c r="BM653" i="11"/>
  <c r="C655" i="11"/>
  <c r="A655" i="11" s="1"/>
  <c r="Z654" i="11" l="1"/>
  <c r="F654" i="11" s="1"/>
  <c r="EB654" i="11"/>
  <c r="CL652" i="11"/>
  <c r="BL651" i="11"/>
  <c r="B655" i="11"/>
  <c r="BJ652" i="11"/>
  <c r="BF652" i="11"/>
  <c r="BK652" i="11"/>
  <c r="CY652" i="11"/>
  <c r="BY652" i="11"/>
  <c r="AC653" i="11"/>
  <c r="AF653" i="11" s="1"/>
  <c r="CW653" i="11"/>
  <c r="CX653" i="11"/>
  <c r="AY651" i="11"/>
  <c r="EL651" i="11"/>
  <c r="DJ653" i="11"/>
  <c r="DK653" i="11"/>
  <c r="BW653" i="11"/>
  <c r="BX653" i="11"/>
  <c r="EK652" i="11"/>
  <c r="EJ652" i="11"/>
  <c r="EF652" i="11"/>
  <c r="CK653" i="11"/>
  <c r="CJ653" i="11"/>
  <c r="L653" i="11"/>
  <c r="AW652" i="11"/>
  <c r="AX652" i="11"/>
  <c r="M653" i="11"/>
  <c r="EA654" i="11"/>
  <c r="EI654" i="11"/>
  <c r="EH654" i="11"/>
  <c r="DZ654" i="11"/>
  <c r="EC654" i="11"/>
  <c r="ED654" i="11"/>
  <c r="EE653" i="11"/>
  <c r="P655" i="11"/>
  <c r="CQ653" i="11"/>
  <c r="AB654" i="11"/>
  <c r="BE653" i="11"/>
  <c r="BG653" i="11" s="1"/>
  <c r="DD653" i="11"/>
  <c r="CD653" i="11"/>
  <c r="BQ653" i="11"/>
  <c r="DF653" i="11"/>
  <c r="BS653" i="11"/>
  <c r="AR653" i="11"/>
  <c r="AT653" i="11" s="1"/>
  <c r="AS653" i="11"/>
  <c r="AQ653" i="11"/>
  <c r="CE654" i="11"/>
  <c r="CG654" i="11" s="1"/>
  <c r="DU654" i="11"/>
  <c r="DV654" i="11"/>
  <c r="DH654" i="11"/>
  <c r="DI654" i="11"/>
  <c r="CV654" i="11"/>
  <c r="CR654" i="11"/>
  <c r="CT654" i="11" s="1"/>
  <c r="CU654" i="11"/>
  <c r="CH654" i="11"/>
  <c r="CI654" i="11"/>
  <c r="BU654" i="11"/>
  <c r="BV654" i="11"/>
  <c r="BH654" i="11"/>
  <c r="BI654" i="11"/>
  <c r="AU654" i="11"/>
  <c r="AV654" i="11"/>
  <c r="AH654" i="11"/>
  <c r="AI654" i="11"/>
  <c r="BN654" i="11"/>
  <c r="BO654" i="11"/>
  <c r="BR654" i="11" s="1"/>
  <c r="BT654" i="11" s="1"/>
  <c r="BP654" i="11"/>
  <c r="W655" i="11"/>
  <c r="AO654" i="11"/>
  <c r="AN654" i="11"/>
  <c r="AP654" i="11"/>
  <c r="Y654" i="11"/>
  <c r="AA654" i="11"/>
  <c r="BC654" i="11"/>
  <c r="BA654" i="11"/>
  <c r="BB654" i="11"/>
  <c r="BD654" i="11" s="1"/>
  <c r="DM654" i="11"/>
  <c r="DN654" i="11"/>
  <c r="CZ654" i="11"/>
  <c r="DA654" i="11"/>
  <c r="DP654" i="11"/>
  <c r="DB654" i="11"/>
  <c r="DE654" i="11" s="1"/>
  <c r="DG654" i="11" s="1"/>
  <c r="DC654" i="11"/>
  <c r="CP654" i="11"/>
  <c r="CA654" i="11"/>
  <c r="BM654" i="11"/>
  <c r="CB654" i="11"/>
  <c r="CD654" i="11" s="1"/>
  <c r="AZ654" i="11"/>
  <c r="CC654" i="11"/>
  <c r="AM654" i="11"/>
  <c r="X654" i="11"/>
  <c r="CM654" i="11"/>
  <c r="CN654" i="11"/>
  <c r="CO654" i="11"/>
  <c r="CS654" i="11" s="1"/>
  <c r="BZ654" i="11"/>
  <c r="C656" i="11"/>
  <c r="A656" i="11" s="1"/>
  <c r="EB655" i="11" l="1"/>
  <c r="ED655" i="11" s="1"/>
  <c r="Z655" i="11"/>
  <c r="F655" i="11" s="1"/>
  <c r="BL652" i="11"/>
  <c r="B656" i="11"/>
  <c r="DL653" i="11"/>
  <c r="BY653" i="11"/>
  <c r="BK653" i="11"/>
  <c r="BJ653" i="11"/>
  <c r="BF653" i="11"/>
  <c r="CL653" i="11"/>
  <c r="CY653" i="11"/>
  <c r="EG653" i="11"/>
  <c r="EF653" i="11" s="1"/>
  <c r="AC654" i="11"/>
  <c r="AF654" i="11" s="1"/>
  <c r="AY652" i="11"/>
  <c r="EL652" i="11"/>
  <c r="CW654" i="11"/>
  <c r="CX654" i="11"/>
  <c r="DK654" i="11"/>
  <c r="DJ654" i="11"/>
  <c r="BX654" i="11"/>
  <c r="BW654" i="11"/>
  <c r="CJ654" i="11"/>
  <c r="CK654" i="11"/>
  <c r="M654" i="11"/>
  <c r="AW653" i="11"/>
  <c r="AX653" i="11"/>
  <c r="L654" i="11"/>
  <c r="EC655" i="11"/>
  <c r="EA655" i="11"/>
  <c r="DZ655" i="11"/>
  <c r="EI655" i="11"/>
  <c r="EH655" i="11"/>
  <c r="EE654" i="11"/>
  <c r="P656" i="11"/>
  <c r="BQ654" i="11"/>
  <c r="CF654" i="11"/>
  <c r="BS654" i="11"/>
  <c r="CQ654" i="11"/>
  <c r="BE654" i="11"/>
  <c r="BG654" i="11" s="1"/>
  <c r="DD654" i="11"/>
  <c r="AB655" i="11"/>
  <c r="DF654" i="11"/>
  <c r="AR654" i="11"/>
  <c r="AT654" i="11" s="1"/>
  <c r="AQ654" i="11"/>
  <c r="AS654" i="11"/>
  <c r="CE655" i="11"/>
  <c r="CG655" i="11" s="1"/>
  <c r="DV655" i="11"/>
  <c r="DU655" i="11"/>
  <c r="DH655" i="11"/>
  <c r="DI655" i="11"/>
  <c r="CU655" i="11"/>
  <c r="CV655" i="11"/>
  <c r="CR655" i="11"/>
  <c r="CT655" i="11" s="1"/>
  <c r="CH655" i="11"/>
  <c r="CI655" i="11"/>
  <c r="BU655" i="11"/>
  <c r="BV655" i="11"/>
  <c r="BH655" i="11"/>
  <c r="BI655" i="11"/>
  <c r="AU655" i="11"/>
  <c r="AV655" i="11"/>
  <c r="AH655" i="11"/>
  <c r="AI655" i="11"/>
  <c r="BO655" i="11"/>
  <c r="BR655" i="11" s="1"/>
  <c r="BT655" i="11" s="1"/>
  <c r="BP655" i="11"/>
  <c r="BN655" i="11"/>
  <c r="W656" i="11"/>
  <c r="AN655" i="11"/>
  <c r="AO655" i="11"/>
  <c r="AP655" i="11"/>
  <c r="AA655" i="11"/>
  <c r="Y655" i="11"/>
  <c r="BC655" i="11"/>
  <c r="BA655" i="11"/>
  <c r="BB655" i="11"/>
  <c r="BD655" i="11" s="1"/>
  <c r="DP655" i="11"/>
  <c r="DB655" i="11"/>
  <c r="DE655" i="11" s="1"/>
  <c r="DG655" i="11" s="1"/>
  <c r="DC655" i="11"/>
  <c r="DM655" i="11"/>
  <c r="DN655" i="11"/>
  <c r="CZ655" i="11"/>
  <c r="CM655" i="11"/>
  <c r="BM655" i="11"/>
  <c r="DA655" i="11"/>
  <c r="CN655" i="11"/>
  <c r="AZ655" i="11"/>
  <c r="CO655" i="11"/>
  <c r="CS655" i="11" s="1"/>
  <c r="BZ655" i="11"/>
  <c r="AM655" i="11"/>
  <c r="CP655" i="11"/>
  <c r="CA655" i="11"/>
  <c r="X655" i="11"/>
  <c r="CB655" i="11"/>
  <c r="CF655" i="11" s="1"/>
  <c r="CC655" i="11"/>
  <c r="C657" i="11"/>
  <c r="A657" i="11" s="1"/>
  <c r="Z656" i="11" l="1"/>
  <c r="F656" i="11" s="1"/>
  <c r="EB656" i="11"/>
  <c r="DL654" i="11"/>
  <c r="B657" i="11"/>
  <c r="EK653" i="11"/>
  <c r="BL653" i="11"/>
  <c r="BJ654" i="11"/>
  <c r="BF654" i="11"/>
  <c r="BK654" i="11"/>
  <c r="AC655" i="11"/>
  <c r="AF655" i="11" s="1"/>
  <c r="EG654" i="11"/>
  <c r="EK654" i="11" s="1"/>
  <c r="EJ653" i="11"/>
  <c r="CY654" i="11"/>
  <c r="CL654" i="11"/>
  <c r="BY654" i="11"/>
  <c r="AY653" i="11"/>
  <c r="BW655" i="11"/>
  <c r="BX655" i="11"/>
  <c r="CK655" i="11"/>
  <c r="CJ655" i="11"/>
  <c r="DJ655" i="11"/>
  <c r="DK655" i="11"/>
  <c r="CX655" i="11"/>
  <c r="CW655" i="11"/>
  <c r="CY655" i="11" s="1"/>
  <c r="AX654" i="11"/>
  <c r="AW654" i="11"/>
  <c r="M655" i="11"/>
  <c r="EF654" i="11"/>
  <c r="L655" i="11"/>
  <c r="EE655" i="11"/>
  <c r="EH656" i="11"/>
  <c r="ED656" i="11"/>
  <c r="EA656" i="11"/>
  <c r="EI656" i="11"/>
  <c r="EC656" i="11"/>
  <c r="DZ656" i="11"/>
  <c r="P657" i="11"/>
  <c r="CD655" i="11"/>
  <c r="BE655" i="11"/>
  <c r="BG655" i="11" s="1"/>
  <c r="BS655" i="11"/>
  <c r="CQ655" i="11"/>
  <c r="AB656" i="11"/>
  <c r="DD655" i="11"/>
  <c r="BQ655" i="11"/>
  <c r="DF655" i="11"/>
  <c r="AR655" i="11"/>
  <c r="AT655" i="11" s="1"/>
  <c r="AS655" i="11"/>
  <c r="AQ655" i="11"/>
  <c r="CE656" i="11"/>
  <c r="CG656" i="11" s="1"/>
  <c r="DV656" i="11"/>
  <c r="DU656" i="11"/>
  <c r="DH656" i="11"/>
  <c r="DI656" i="11"/>
  <c r="CU656" i="11"/>
  <c r="CV656" i="11"/>
  <c r="CR656" i="11"/>
  <c r="CT656" i="11" s="1"/>
  <c r="CH656" i="11"/>
  <c r="CI656" i="11"/>
  <c r="BV656" i="11"/>
  <c r="BU656" i="11"/>
  <c r="AV656" i="11"/>
  <c r="BH656" i="11"/>
  <c r="BI656" i="11"/>
  <c r="AU656" i="11"/>
  <c r="AH656" i="11"/>
  <c r="AI656" i="11"/>
  <c r="BN656" i="11"/>
  <c r="BP656" i="11"/>
  <c r="BO656" i="11"/>
  <c r="BR656" i="11" s="1"/>
  <c r="BT656" i="11" s="1"/>
  <c r="BW656" i="11" s="1"/>
  <c r="W657" i="11"/>
  <c r="AN656" i="11"/>
  <c r="AO656" i="11"/>
  <c r="AP656" i="11"/>
  <c r="Y656" i="11"/>
  <c r="AA656" i="11"/>
  <c r="BA656" i="11"/>
  <c r="BB656" i="11"/>
  <c r="BD656" i="11" s="1"/>
  <c r="BC656" i="11"/>
  <c r="DM656" i="11"/>
  <c r="DN656" i="11"/>
  <c r="CZ656" i="11"/>
  <c r="DA656" i="11"/>
  <c r="DP656" i="11"/>
  <c r="DB656" i="11"/>
  <c r="DE656" i="11" s="1"/>
  <c r="DG656" i="11" s="1"/>
  <c r="CP656" i="11"/>
  <c r="CA656" i="11"/>
  <c r="CB656" i="11"/>
  <c r="CF656" i="11" s="1"/>
  <c r="CC656" i="11"/>
  <c r="BM656" i="11"/>
  <c r="DC656" i="11"/>
  <c r="AZ656" i="11"/>
  <c r="AM656" i="11"/>
  <c r="CM656" i="11"/>
  <c r="CN656" i="11"/>
  <c r="CO656" i="11"/>
  <c r="CS656" i="11" s="1"/>
  <c r="BZ656" i="11"/>
  <c r="X656" i="11"/>
  <c r="C658" i="11"/>
  <c r="A658" i="11" s="1"/>
  <c r="EB657" i="11" l="1"/>
  <c r="Z657" i="11"/>
  <c r="F657" i="11" s="1"/>
  <c r="EL653" i="11"/>
  <c r="BL654" i="11"/>
  <c r="B658" i="11"/>
  <c r="BF655" i="11"/>
  <c r="BJ655" i="11"/>
  <c r="BK655" i="11"/>
  <c r="EJ654" i="11"/>
  <c r="EL654" i="11" s="1"/>
  <c r="AY654" i="11"/>
  <c r="CL655" i="11"/>
  <c r="BY655" i="11"/>
  <c r="DL655" i="11"/>
  <c r="L656" i="11"/>
  <c r="AC656" i="11"/>
  <c r="AF656" i="11" s="1"/>
  <c r="EG655" i="11"/>
  <c r="EF655" i="11" s="1"/>
  <c r="CX656" i="11"/>
  <c r="CW656" i="11"/>
  <c r="DK656" i="11"/>
  <c r="DJ656" i="11"/>
  <c r="CJ656" i="11"/>
  <c r="CK656" i="11"/>
  <c r="AW655" i="11"/>
  <c r="AX655" i="11"/>
  <c r="BX656" i="11"/>
  <c r="BY656" i="11" s="1"/>
  <c r="M656" i="11"/>
  <c r="EE656" i="11"/>
  <c r="EC657" i="11"/>
  <c r="DZ657" i="11"/>
  <c r="EI657" i="11"/>
  <c r="EH657" i="11"/>
  <c r="ED657" i="11"/>
  <c r="EA657" i="11"/>
  <c r="BS656" i="11"/>
  <c r="CD656" i="11"/>
  <c r="AB657" i="11"/>
  <c r="BQ656" i="11"/>
  <c r="CQ656" i="11"/>
  <c r="BE656" i="11"/>
  <c r="BG656" i="11" s="1"/>
  <c r="DD656" i="11"/>
  <c r="DF656" i="11"/>
  <c r="AR656" i="11"/>
  <c r="AT656" i="11" s="1"/>
  <c r="AS656" i="11"/>
  <c r="AQ656" i="11"/>
  <c r="CE657" i="11"/>
  <c r="CG657" i="11" s="1"/>
  <c r="CK657" i="11" s="1"/>
  <c r="DU657" i="11"/>
  <c r="DV657" i="11"/>
  <c r="DH657" i="11"/>
  <c r="DI657" i="11"/>
  <c r="CU657" i="11"/>
  <c r="CV657" i="11"/>
  <c r="CR657" i="11"/>
  <c r="CT657" i="11" s="1"/>
  <c r="CH657" i="11"/>
  <c r="CI657" i="11"/>
  <c r="BU657" i="11"/>
  <c r="BV657" i="11"/>
  <c r="BI657" i="11"/>
  <c r="AU657" i="11"/>
  <c r="AV657" i="11"/>
  <c r="BH657" i="11"/>
  <c r="AH657" i="11"/>
  <c r="AI657" i="11"/>
  <c r="BN657" i="11"/>
  <c r="BP657" i="11"/>
  <c r="BO657" i="11"/>
  <c r="BR657" i="11" s="1"/>
  <c r="BT657" i="11" s="1"/>
  <c r="AP657" i="11"/>
  <c r="AN657" i="11"/>
  <c r="AO657" i="11"/>
  <c r="Y657" i="11"/>
  <c r="AA657" i="11"/>
  <c r="BA657" i="11"/>
  <c r="BB657" i="11"/>
  <c r="BD657" i="11" s="1"/>
  <c r="BC657" i="11"/>
  <c r="DP657" i="11"/>
  <c r="DB657" i="11"/>
  <c r="DE657" i="11" s="1"/>
  <c r="DG657" i="11" s="1"/>
  <c r="DC657" i="11"/>
  <c r="DM657" i="11"/>
  <c r="DN657" i="11"/>
  <c r="CM657" i="11"/>
  <c r="CN657" i="11"/>
  <c r="CO657" i="11"/>
  <c r="CS657" i="11" s="1"/>
  <c r="BZ657" i="11"/>
  <c r="BM657" i="11"/>
  <c r="CZ657" i="11"/>
  <c r="CP657" i="11"/>
  <c r="CA657" i="11"/>
  <c r="AZ657" i="11"/>
  <c r="DA657" i="11"/>
  <c r="CB657" i="11"/>
  <c r="CF657" i="11" s="1"/>
  <c r="CC657" i="11"/>
  <c r="AM657" i="11"/>
  <c r="X657" i="11"/>
  <c r="W658" i="11"/>
  <c r="C659" i="11"/>
  <c r="A659" i="11" s="1"/>
  <c r="EB658" i="11" l="1"/>
  <c r="Z658" i="11"/>
  <c r="F658" i="11" s="1"/>
  <c r="BL655" i="11"/>
  <c r="P658" i="11"/>
  <c r="B659" i="11"/>
  <c r="AY655" i="11"/>
  <c r="DL656" i="11"/>
  <c r="BJ656" i="11"/>
  <c r="BK656" i="11"/>
  <c r="BF656" i="11"/>
  <c r="EG656" i="11"/>
  <c r="EJ656" i="11" s="1"/>
  <c r="CL656" i="11"/>
  <c r="CY656" i="11"/>
  <c r="EK655" i="11"/>
  <c r="AC657" i="11"/>
  <c r="AF657" i="11" s="1"/>
  <c r="M657" i="11"/>
  <c r="EJ655" i="11"/>
  <c r="DK657" i="11"/>
  <c r="DJ657" i="11"/>
  <c r="EF656" i="11"/>
  <c r="CW657" i="11"/>
  <c r="CX657" i="11"/>
  <c r="BW657" i="11"/>
  <c r="BX657" i="11"/>
  <c r="CJ657" i="11"/>
  <c r="CL657" i="11" s="1"/>
  <c r="AX656" i="11"/>
  <c r="AW656" i="11"/>
  <c r="L657" i="11"/>
  <c r="EA658" i="11"/>
  <c r="EI658" i="11"/>
  <c r="EH658" i="11"/>
  <c r="EC658" i="11"/>
  <c r="ED658" i="11"/>
  <c r="DZ658" i="11"/>
  <c r="EE657" i="11"/>
  <c r="P659" i="11"/>
  <c r="BQ657" i="11"/>
  <c r="BS657" i="11"/>
  <c r="CD657" i="11"/>
  <c r="CQ657" i="11"/>
  <c r="DD657" i="11"/>
  <c r="BE657" i="11"/>
  <c r="BG657" i="11" s="1"/>
  <c r="DF657" i="11"/>
  <c r="AB658" i="11"/>
  <c r="AR657" i="11"/>
  <c r="AT657" i="11" s="1"/>
  <c r="AS657" i="11"/>
  <c r="AQ657" i="11"/>
  <c r="CE658" i="11"/>
  <c r="CG658" i="11" s="1"/>
  <c r="DU658" i="11"/>
  <c r="DV658" i="11"/>
  <c r="DI658" i="11"/>
  <c r="DH658" i="11"/>
  <c r="CR658" i="11"/>
  <c r="CT658" i="11" s="1"/>
  <c r="CU658" i="11"/>
  <c r="CV658" i="11"/>
  <c r="CH658" i="11"/>
  <c r="CI658" i="11"/>
  <c r="BU658" i="11"/>
  <c r="BV658" i="11"/>
  <c r="BI658" i="11"/>
  <c r="BH658" i="11"/>
  <c r="AU658" i="11"/>
  <c r="AV658" i="11"/>
  <c r="AI658" i="11"/>
  <c r="AH658" i="11"/>
  <c r="BN658" i="11"/>
  <c r="BO658" i="11"/>
  <c r="BR658" i="11" s="1"/>
  <c r="BT658" i="11" s="1"/>
  <c r="BP658" i="11"/>
  <c r="W659" i="11"/>
  <c r="AN658" i="11"/>
  <c r="AO658" i="11"/>
  <c r="AP658" i="11"/>
  <c r="Y658" i="11"/>
  <c r="AA658" i="11"/>
  <c r="BB658" i="11"/>
  <c r="BD658" i="11" s="1"/>
  <c r="BC658" i="11"/>
  <c r="BA658" i="11"/>
  <c r="DM658" i="11"/>
  <c r="DN658" i="11"/>
  <c r="CZ658" i="11"/>
  <c r="DA658" i="11"/>
  <c r="DP658" i="11"/>
  <c r="DB658" i="11"/>
  <c r="DE658" i="11" s="1"/>
  <c r="DG658" i="11" s="1"/>
  <c r="CP658" i="11"/>
  <c r="CA658" i="11"/>
  <c r="CB658" i="11"/>
  <c r="CF658" i="11" s="1"/>
  <c r="CC658" i="11"/>
  <c r="BM658" i="11"/>
  <c r="CM658" i="11"/>
  <c r="AZ658" i="11"/>
  <c r="DC658" i="11"/>
  <c r="CN658" i="11"/>
  <c r="CO658" i="11"/>
  <c r="CQ658" i="11" s="1"/>
  <c r="BZ658" i="11"/>
  <c r="AM658" i="11"/>
  <c r="X658" i="11"/>
  <c r="C660" i="11"/>
  <c r="A660" i="11" s="1"/>
  <c r="EB659" i="11" l="1"/>
  <c r="ED659" i="11" s="1"/>
  <c r="Z659" i="11"/>
  <c r="F659" i="11" s="1"/>
  <c r="BL656" i="11"/>
  <c r="B660" i="11"/>
  <c r="EK656" i="11"/>
  <c r="EG657" i="11"/>
  <c r="EK657" i="11" s="1"/>
  <c r="AY656" i="11"/>
  <c r="BJ657" i="11"/>
  <c r="BK657" i="11"/>
  <c r="BF657" i="11"/>
  <c r="AC658" i="11"/>
  <c r="AF658" i="11" s="1"/>
  <c r="EL655" i="11"/>
  <c r="BY657" i="11"/>
  <c r="DL657" i="11"/>
  <c r="BW658" i="11"/>
  <c r="BX658" i="11"/>
  <c r="CY657" i="11"/>
  <c r="EL656" i="11"/>
  <c r="CJ658" i="11"/>
  <c r="CK658" i="11"/>
  <c r="CX658" i="11"/>
  <c r="CW658" i="11"/>
  <c r="DJ658" i="11"/>
  <c r="DK658" i="11"/>
  <c r="AW657" i="11"/>
  <c r="AX657" i="11"/>
  <c r="L658" i="11"/>
  <c r="EF657" i="11"/>
  <c r="M658" i="11"/>
  <c r="EE658" i="11"/>
  <c r="EG658" i="11" s="1"/>
  <c r="EC659" i="11"/>
  <c r="EA659" i="11"/>
  <c r="DZ659" i="11"/>
  <c r="EI659" i="11"/>
  <c r="EH659" i="11"/>
  <c r="P660" i="11"/>
  <c r="CS658" i="11"/>
  <c r="DD658" i="11"/>
  <c r="BE658" i="11"/>
  <c r="BG658" i="11" s="1"/>
  <c r="DF658" i="11"/>
  <c r="BQ658" i="11"/>
  <c r="BS658" i="11"/>
  <c r="CD658" i="11"/>
  <c r="AB659" i="11"/>
  <c r="AR658" i="11"/>
  <c r="AT658" i="11" s="1"/>
  <c r="AS658" i="11"/>
  <c r="AQ658" i="11"/>
  <c r="CE659" i="11"/>
  <c r="CG659" i="11" s="1"/>
  <c r="DV659" i="11"/>
  <c r="DU659" i="11"/>
  <c r="DH659" i="11"/>
  <c r="DI659" i="11"/>
  <c r="CR659" i="11"/>
  <c r="CT659" i="11" s="1"/>
  <c r="CU659" i="11"/>
  <c r="CV659" i="11"/>
  <c r="CH659" i="11"/>
  <c r="CI659" i="11"/>
  <c r="BV659" i="11"/>
  <c r="BU659" i="11"/>
  <c r="BH659" i="11"/>
  <c r="BI659" i="11"/>
  <c r="AU659" i="11"/>
  <c r="AV659" i="11"/>
  <c r="AH659" i="11"/>
  <c r="AI659" i="11"/>
  <c r="BO659" i="11"/>
  <c r="BR659" i="11" s="1"/>
  <c r="BT659" i="11" s="1"/>
  <c r="BP659" i="11"/>
  <c r="BN659" i="11"/>
  <c r="AP659" i="11"/>
  <c r="AO659" i="11"/>
  <c r="Y659" i="11"/>
  <c r="AN659" i="11"/>
  <c r="AA659" i="11"/>
  <c r="BA659" i="11"/>
  <c r="BB659" i="11"/>
  <c r="BD659" i="11" s="1"/>
  <c r="BC659" i="11"/>
  <c r="DP659" i="11"/>
  <c r="DB659" i="11"/>
  <c r="DE659" i="11" s="1"/>
  <c r="DG659" i="11" s="1"/>
  <c r="DC659" i="11"/>
  <c r="DM659" i="11"/>
  <c r="DN659" i="11"/>
  <c r="DA659" i="11"/>
  <c r="X659" i="11"/>
  <c r="CM659" i="11"/>
  <c r="CN659" i="11"/>
  <c r="CO659" i="11"/>
  <c r="CQ659" i="11" s="1"/>
  <c r="BZ659" i="11"/>
  <c r="CP659" i="11"/>
  <c r="CA659" i="11"/>
  <c r="CB659" i="11"/>
  <c r="CD659" i="11" s="1"/>
  <c r="BM659" i="11"/>
  <c r="CC659" i="11"/>
  <c r="AZ659" i="11"/>
  <c r="CZ659" i="11"/>
  <c r="AM659" i="11"/>
  <c r="W660" i="11"/>
  <c r="C661" i="11"/>
  <c r="A661" i="11" s="1"/>
  <c r="Z660" i="11" l="1"/>
  <c r="F660" i="11" s="1"/>
  <c r="EB660" i="11"/>
  <c r="ED660" i="11" s="1"/>
  <c r="EJ657" i="11"/>
  <c r="BY658" i="11"/>
  <c r="BL657" i="11"/>
  <c r="B661" i="11"/>
  <c r="AC659" i="11"/>
  <c r="AF659" i="11" s="1"/>
  <c r="BF658" i="11"/>
  <c r="BJ658" i="11"/>
  <c r="BK658" i="11"/>
  <c r="CL658" i="11"/>
  <c r="CY658" i="11"/>
  <c r="DL658" i="11"/>
  <c r="EL657" i="11"/>
  <c r="AY657" i="11"/>
  <c r="L659" i="11"/>
  <c r="DJ659" i="11"/>
  <c r="DK659" i="11"/>
  <c r="CW659" i="11"/>
  <c r="CX659" i="11"/>
  <c r="EK658" i="11"/>
  <c r="EJ658" i="11"/>
  <c r="EF658" i="11"/>
  <c r="BW659" i="11"/>
  <c r="BX659" i="11"/>
  <c r="CK659" i="11"/>
  <c r="CJ659" i="11"/>
  <c r="M659" i="11"/>
  <c r="AW658" i="11"/>
  <c r="AX658" i="11"/>
  <c r="EE659" i="11"/>
  <c r="EG659" i="11" s="1"/>
  <c r="EH660" i="11"/>
  <c r="EA660" i="11"/>
  <c r="EC660" i="11"/>
  <c r="DZ660" i="11"/>
  <c r="EI660" i="11"/>
  <c r="P661" i="11"/>
  <c r="BQ659" i="11"/>
  <c r="CF659" i="11"/>
  <c r="BE659" i="11"/>
  <c r="BG659" i="11" s="1"/>
  <c r="DF659" i="11"/>
  <c r="DD659" i="11"/>
  <c r="AB660" i="11"/>
  <c r="BS659" i="11"/>
  <c r="CS659" i="11"/>
  <c r="AR659" i="11"/>
  <c r="AT659" i="11" s="1"/>
  <c r="AS659" i="11"/>
  <c r="AQ659" i="11"/>
  <c r="CE660" i="11"/>
  <c r="CG660" i="11" s="1"/>
  <c r="DV660" i="11"/>
  <c r="DU660" i="11"/>
  <c r="DH660" i="11"/>
  <c r="DI660" i="11"/>
  <c r="CR660" i="11"/>
  <c r="CT660" i="11" s="1"/>
  <c r="CV660" i="11"/>
  <c r="CU660" i="11"/>
  <c r="CH660" i="11"/>
  <c r="CI660" i="11"/>
  <c r="BU660" i="11"/>
  <c r="BV660" i="11"/>
  <c r="BH660" i="11"/>
  <c r="BI660" i="11"/>
  <c r="AU660" i="11"/>
  <c r="AV660" i="11"/>
  <c r="AH660" i="11"/>
  <c r="AI660" i="11"/>
  <c r="BP660" i="11"/>
  <c r="BN660" i="11"/>
  <c r="BO660" i="11"/>
  <c r="BR660" i="11" s="1"/>
  <c r="BT660" i="11" s="1"/>
  <c r="W661" i="11"/>
  <c r="AO660" i="11"/>
  <c r="AP660" i="11"/>
  <c r="AN660" i="11"/>
  <c r="AA660" i="11"/>
  <c r="Y660" i="11"/>
  <c r="BA660" i="11"/>
  <c r="BC660" i="11"/>
  <c r="BB660" i="11"/>
  <c r="BD660" i="11" s="1"/>
  <c r="DM660" i="11"/>
  <c r="DN660" i="11"/>
  <c r="CZ660" i="11"/>
  <c r="DA660" i="11"/>
  <c r="DP660" i="11"/>
  <c r="DB660" i="11"/>
  <c r="DE660" i="11" s="1"/>
  <c r="DG660" i="11" s="1"/>
  <c r="CP660" i="11"/>
  <c r="CA660" i="11"/>
  <c r="AM660" i="11"/>
  <c r="DC660" i="11"/>
  <c r="CB660" i="11"/>
  <c r="CD660" i="11" s="1"/>
  <c r="X660" i="11"/>
  <c r="CC660" i="11"/>
  <c r="CM660" i="11"/>
  <c r="CN660" i="11"/>
  <c r="BM660" i="11"/>
  <c r="CO660" i="11"/>
  <c r="CS660" i="11" s="1"/>
  <c r="BZ660" i="11"/>
  <c r="AZ660" i="11"/>
  <c r="C662" i="11"/>
  <c r="A662" i="11" s="1"/>
  <c r="EB661" i="11" l="1"/>
  <c r="Z661" i="11"/>
  <c r="F661" i="11" s="1"/>
  <c r="BL658" i="11"/>
  <c r="B662" i="11"/>
  <c r="BJ659" i="11"/>
  <c r="BK659" i="11"/>
  <c r="BL659" i="11" s="1"/>
  <c r="BF659" i="11"/>
  <c r="EL658" i="11"/>
  <c r="CY659" i="11"/>
  <c r="AY658" i="11"/>
  <c r="BY659" i="11"/>
  <c r="AC660" i="11"/>
  <c r="AF660" i="11" s="1"/>
  <c r="CL659" i="11"/>
  <c r="BX660" i="11"/>
  <c r="BW660" i="11"/>
  <c r="DL659" i="11"/>
  <c r="CW660" i="11"/>
  <c r="CX660" i="11"/>
  <c r="EK659" i="11"/>
  <c r="EJ659" i="11"/>
  <c r="EF659" i="11"/>
  <c r="CJ660" i="11"/>
  <c r="CK660" i="11"/>
  <c r="DK660" i="11"/>
  <c r="DJ660" i="11"/>
  <c r="L660" i="11"/>
  <c r="AW659" i="11"/>
  <c r="AX659" i="11"/>
  <c r="M660" i="11"/>
  <c r="EC661" i="11"/>
  <c r="DZ661" i="11"/>
  <c r="EI661" i="11"/>
  <c r="EH661" i="11"/>
  <c r="ED661" i="11"/>
  <c r="EA661" i="11"/>
  <c r="EE660" i="11"/>
  <c r="EG660" i="11" s="1"/>
  <c r="P662" i="11"/>
  <c r="DD660" i="11"/>
  <c r="DF660" i="11"/>
  <c r="CF660" i="11"/>
  <c r="CQ660" i="11"/>
  <c r="AB661" i="11"/>
  <c r="BE660" i="11"/>
  <c r="BG660" i="11" s="1"/>
  <c r="BQ660" i="11"/>
  <c r="BS660" i="11"/>
  <c r="AR660" i="11"/>
  <c r="AT660" i="11" s="1"/>
  <c r="AQ660" i="11"/>
  <c r="AS660" i="11"/>
  <c r="CE661" i="11"/>
  <c r="CG661" i="11" s="1"/>
  <c r="DU661" i="11"/>
  <c r="DV661" i="11"/>
  <c r="DI661" i="11"/>
  <c r="DH661" i="11"/>
  <c r="CR661" i="11"/>
  <c r="CT661" i="11" s="1"/>
  <c r="CU661" i="11"/>
  <c r="CV661" i="11"/>
  <c r="CH661" i="11"/>
  <c r="CI661" i="11"/>
  <c r="BU661" i="11"/>
  <c r="BV661" i="11"/>
  <c r="BH661" i="11"/>
  <c r="BI661" i="11"/>
  <c r="AU661" i="11"/>
  <c r="AV661" i="11"/>
  <c r="AH661" i="11"/>
  <c r="AI661" i="11"/>
  <c r="BN661" i="11"/>
  <c r="BO661" i="11"/>
  <c r="BR661" i="11" s="1"/>
  <c r="BT661" i="11" s="1"/>
  <c r="BP661" i="11"/>
  <c r="W662" i="11"/>
  <c r="AN661" i="11"/>
  <c r="AO661" i="11"/>
  <c r="AP661" i="11"/>
  <c r="Y661" i="11"/>
  <c r="AA661" i="11"/>
  <c r="BA661" i="11"/>
  <c r="BB661" i="11"/>
  <c r="BD661" i="11" s="1"/>
  <c r="BC661" i="11"/>
  <c r="DP661" i="11"/>
  <c r="DB661" i="11"/>
  <c r="DE661" i="11" s="1"/>
  <c r="DG661" i="11" s="1"/>
  <c r="DC661" i="11"/>
  <c r="DM661" i="11"/>
  <c r="DN661" i="11"/>
  <c r="AZ661" i="11"/>
  <c r="CM661" i="11"/>
  <c r="AM661" i="11"/>
  <c r="CZ661" i="11"/>
  <c r="CN661" i="11"/>
  <c r="X661" i="11"/>
  <c r="DA661" i="11"/>
  <c r="CO661" i="11"/>
  <c r="CS661" i="11" s="1"/>
  <c r="BZ661" i="11"/>
  <c r="CP661" i="11"/>
  <c r="CA661" i="11"/>
  <c r="CB661" i="11"/>
  <c r="CD661" i="11" s="1"/>
  <c r="CC661" i="11"/>
  <c r="BM661" i="11"/>
  <c r="C663" i="11"/>
  <c r="A663" i="11" s="1"/>
  <c r="EB662" i="11" l="1"/>
  <c r="Z662" i="11"/>
  <c r="F662" i="11" s="1"/>
  <c r="BY660" i="11"/>
  <c r="B663" i="11"/>
  <c r="AC661" i="11"/>
  <c r="AF661" i="11" s="1"/>
  <c r="EL659" i="11"/>
  <c r="BF660" i="11"/>
  <c r="BK660" i="11"/>
  <c r="BJ660" i="11"/>
  <c r="CL660" i="11"/>
  <c r="CY660" i="11"/>
  <c r="DL660" i="11"/>
  <c r="AY659" i="11"/>
  <c r="BW661" i="11"/>
  <c r="BX661" i="11"/>
  <c r="EK660" i="11"/>
  <c r="EJ660" i="11"/>
  <c r="EF660" i="11"/>
  <c r="CW661" i="11"/>
  <c r="CX661" i="11"/>
  <c r="DJ661" i="11"/>
  <c r="DK661" i="11"/>
  <c r="CK661" i="11"/>
  <c r="CJ661" i="11"/>
  <c r="M661" i="11"/>
  <c r="AX660" i="11"/>
  <c r="AW660" i="11"/>
  <c r="L661" i="11"/>
  <c r="EA662" i="11"/>
  <c r="EI662" i="11"/>
  <c r="EH662" i="11"/>
  <c r="EC662" i="11"/>
  <c r="ED662" i="11"/>
  <c r="DZ662" i="11"/>
  <c r="EE661" i="11"/>
  <c r="EG661" i="11" s="1"/>
  <c r="P663" i="11"/>
  <c r="BQ661" i="11"/>
  <c r="CQ661" i="11"/>
  <c r="AB662" i="11"/>
  <c r="BS661" i="11"/>
  <c r="CF661" i="11"/>
  <c r="BE661" i="11"/>
  <c r="BG661" i="11" s="1"/>
  <c r="DD661" i="11"/>
  <c r="DF661" i="11"/>
  <c r="AR661" i="11"/>
  <c r="AT661" i="11" s="1"/>
  <c r="AQ661" i="11"/>
  <c r="AS661" i="11"/>
  <c r="CE662" i="11"/>
  <c r="CG662" i="11" s="1"/>
  <c r="DU662" i="11"/>
  <c r="DV662" i="11"/>
  <c r="DH662" i="11"/>
  <c r="DI662" i="11"/>
  <c r="CV662" i="11"/>
  <c r="CR662" i="11"/>
  <c r="CT662" i="11" s="1"/>
  <c r="CU662" i="11"/>
  <c r="CH662" i="11"/>
  <c r="CI662" i="11"/>
  <c r="BU662" i="11"/>
  <c r="BV662" i="11"/>
  <c r="BH662" i="11"/>
  <c r="BI662" i="11"/>
  <c r="AU662" i="11"/>
  <c r="AV662" i="11"/>
  <c r="AH662" i="11"/>
  <c r="AI662" i="11"/>
  <c r="BN662" i="11"/>
  <c r="BO662" i="11"/>
  <c r="BR662" i="11" s="1"/>
  <c r="BT662" i="11" s="1"/>
  <c r="BP662" i="11"/>
  <c r="W663" i="11"/>
  <c r="AO662" i="11"/>
  <c r="AP662" i="11"/>
  <c r="AN662" i="11"/>
  <c r="Y662" i="11"/>
  <c r="AA662" i="11"/>
  <c r="BA662" i="11"/>
  <c r="BB662" i="11"/>
  <c r="BD662" i="11" s="1"/>
  <c r="BC662" i="11"/>
  <c r="DM662" i="11"/>
  <c r="DN662" i="11"/>
  <c r="CZ662" i="11"/>
  <c r="DA662" i="11"/>
  <c r="DP662" i="11"/>
  <c r="DB662" i="11"/>
  <c r="DE662" i="11" s="1"/>
  <c r="DG662" i="11" s="1"/>
  <c r="CP662" i="11"/>
  <c r="CA662" i="11"/>
  <c r="BM662" i="11"/>
  <c r="CB662" i="11"/>
  <c r="CF662" i="11" s="1"/>
  <c r="AZ662" i="11"/>
  <c r="CC662" i="11"/>
  <c r="AM662" i="11"/>
  <c r="X662" i="11"/>
  <c r="DC662" i="11"/>
  <c r="CM662" i="11"/>
  <c r="CN662" i="11"/>
  <c r="CO662" i="11"/>
  <c r="CS662" i="11" s="1"/>
  <c r="BZ662" i="11"/>
  <c r="C664" i="11"/>
  <c r="A664" i="11" s="1"/>
  <c r="EB663" i="11" l="1"/>
  <c r="ED663" i="11" s="1"/>
  <c r="Z663" i="11"/>
  <c r="F663" i="11" s="1"/>
  <c r="CL661" i="11"/>
  <c r="BL660" i="11"/>
  <c r="B664" i="11"/>
  <c r="BJ661" i="11"/>
  <c r="BK661" i="11"/>
  <c r="BF661" i="11"/>
  <c r="EL660" i="11"/>
  <c r="AY660" i="11"/>
  <c r="CY661" i="11"/>
  <c r="BW662" i="11"/>
  <c r="BX662" i="11"/>
  <c r="M662" i="11"/>
  <c r="BY661" i="11"/>
  <c r="DL661" i="11"/>
  <c r="AC662" i="11"/>
  <c r="AF662" i="11" s="1"/>
  <c r="EK661" i="11"/>
  <c r="EJ661" i="11"/>
  <c r="EF661" i="11"/>
  <c r="CJ662" i="11"/>
  <c r="CK662" i="11"/>
  <c r="DJ662" i="11"/>
  <c r="DK662" i="11"/>
  <c r="CX662" i="11"/>
  <c r="CW662" i="11"/>
  <c r="L662" i="11"/>
  <c r="AW661" i="11"/>
  <c r="AX661" i="11"/>
  <c r="EC663" i="11"/>
  <c r="DZ663" i="11"/>
  <c r="EI663" i="11"/>
  <c r="EH663" i="11"/>
  <c r="EA663" i="11"/>
  <c r="EE662" i="11"/>
  <c r="EG662" i="11" s="1"/>
  <c r="P664" i="11"/>
  <c r="BE662" i="11"/>
  <c r="BG662" i="11" s="1"/>
  <c r="CD662" i="11"/>
  <c r="DD662" i="11"/>
  <c r="DF662" i="11"/>
  <c r="AB663" i="11"/>
  <c r="BQ662" i="11"/>
  <c r="BS662" i="11"/>
  <c r="CQ662" i="11"/>
  <c r="AR662" i="11"/>
  <c r="AT662" i="11" s="1"/>
  <c r="AQ662" i="11"/>
  <c r="AS662" i="11"/>
  <c r="CE663" i="11"/>
  <c r="CG663" i="11" s="1"/>
  <c r="DU663" i="11"/>
  <c r="DV663" i="11"/>
  <c r="DH663" i="11"/>
  <c r="DI663" i="11"/>
  <c r="CU663" i="11"/>
  <c r="CV663" i="11"/>
  <c r="CR663" i="11"/>
  <c r="CT663" i="11" s="1"/>
  <c r="CH663" i="11"/>
  <c r="CI663" i="11"/>
  <c r="BU663" i="11"/>
  <c r="BV663" i="11"/>
  <c r="BH663" i="11"/>
  <c r="BI663" i="11"/>
  <c r="AV663" i="11"/>
  <c r="AU663" i="11"/>
  <c r="AH663" i="11"/>
  <c r="AI663" i="11"/>
  <c r="BO663" i="11"/>
  <c r="BR663" i="11" s="1"/>
  <c r="BT663" i="11" s="1"/>
  <c r="BP663" i="11"/>
  <c r="BN663" i="11"/>
  <c r="W664" i="11"/>
  <c r="AN663" i="11"/>
  <c r="AO663" i="11"/>
  <c r="AP663" i="11"/>
  <c r="AA663" i="11"/>
  <c r="Y663" i="11"/>
  <c r="BC663" i="11"/>
  <c r="BA663" i="11"/>
  <c r="BB663" i="11"/>
  <c r="BD663" i="11" s="1"/>
  <c r="DP663" i="11"/>
  <c r="DB663" i="11"/>
  <c r="DE663" i="11" s="1"/>
  <c r="DG663" i="11" s="1"/>
  <c r="DC663" i="11"/>
  <c r="DM663" i="11"/>
  <c r="DN663" i="11"/>
  <c r="CM663" i="11"/>
  <c r="BM663" i="11"/>
  <c r="CN663" i="11"/>
  <c r="AZ663" i="11"/>
  <c r="CO663" i="11"/>
  <c r="CS663" i="11" s="1"/>
  <c r="BZ663" i="11"/>
  <c r="AM663" i="11"/>
  <c r="CP663" i="11"/>
  <c r="CA663" i="11"/>
  <c r="X663" i="11"/>
  <c r="CZ663" i="11"/>
  <c r="CB663" i="11"/>
  <c r="CD663" i="11" s="1"/>
  <c r="DA663" i="11"/>
  <c r="CC663" i="11"/>
  <c r="C665" i="11"/>
  <c r="A665" i="11" s="1"/>
  <c r="EB664" i="11" l="1"/>
  <c r="ED664" i="11" s="1"/>
  <c r="Z664" i="11"/>
  <c r="F664" i="11" s="1"/>
  <c r="B665" i="11"/>
  <c r="DL662" i="11"/>
  <c r="CL662" i="11"/>
  <c r="BL661" i="11"/>
  <c r="BJ662" i="11"/>
  <c r="BK662" i="11"/>
  <c r="BF662" i="11"/>
  <c r="CY662" i="11"/>
  <c r="AY661" i="11"/>
  <c r="AC663" i="11"/>
  <c r="AF663" i="11" s="1"/>
  <c r="BW663" i="11"/>
  <c r="BX663" i="11"/>
  <c r="BY662" i="11"/>
  <c r="EL661" i="11"/>
  <c r="DK663" i="11"/>
  <c r="DJ663" i="11"/>
  <c r="CX663" i="11"/>
  <c r="CW663" i="11"/>
  <c r="CK663" i="11"/>
  <c r="CJ663" i="11"/>
  <c r="CL663" i="11" s="1"/>
  <c r="L663" i="11"/>
  <c r="AX662" i="11"/>
  <c r="AW662" i="11"/>
  <c r="EJ662" i="11"/>
  <c r="EK662" i="11"/>
  <c r="M663" i="11"/>
  <c r="EF662" i="11"/>
  <c r="EA664" i="11"/>
  <c r="EC664" i="11"/>
  <c r="DZ664" i="11"/>
  <c r="EI664" i="11"/>
  <c r="EH664" i="11"/>
  <c r="EE663" i="11"/>
  <c r="EG663" i="11" s="1"/>
  <c r="P665" i="11"/>
  <c r="BQ663" i="11"/>
  <c r="CF663" i="11"/>
  <c r="BS663" i="11"/>
  <c r="AB664" i="11"/>
  <c r="CQ663" i="11"/>
  <c r="BE663" i="11"/>
  <c r="BG663" i="11" s="1"/>
  <c r="DD663" i="11"/>
  <c r="DF663" i="11"/>
  <c r="AR663" i="11"/>
  <c r="AT663" i="11" s="1"/>
  <c r="AS663" i="11"/>
  <c r="AQ663" i="11"/>
  <c r="CE664" i="11"/>
  <c r="CG664" i="11" s="1"/>
  <c r="DV664" i="11"/>
  <c r="DU664" i="11"/>
  <c r="DH664" i="11"/>
  <c r="DI664" i="11"/>
  <c r="CU664" i="11"/>
  <c r="CV664" i="11"/>
  <c r="CR664" i="11"/>
  <c r="CT664" i="11" s="1"/>
  <c r="CW664" i="11" s="1"/>
  <c r="CH664" i="11"/>
  <c r="CI664" i="11"/>
  <c r="BV664" i="11"/>
  <c r="BU664" i="11"/>
  <c r="AV664" i="11"/>
  <c r="BH664" i="11"/>
  <c r="BI664" i="11"/>
  <c r="AU664" i="11"/>
  <c r="AI664" i="11"/>
  <c r="AH664" i="11"/>
  <c r="BN664" i="11"/>
  <c r="BP664" i="11"/>
  <c r="BO664" i="11"/>
  <c r="BR664" i="11" s="1"/>
  <c r="BT664" i="11" s="1"/>
  <c r="W665" i="11"/>
  <c r="AN664" i="11"/>
  <c r="AO664" i="11"/>
  <c r="Y664" i="11"/>
  <c r="AA664" i="11"/>
  <c r="AP664" i="11"/>
  <c r="BA664" i="11"/>
  <c r="BC664" i="11"/>
  <c r="BB664" i="11"/>
  <c r="BD664" i="11" s="1"/>
  <c r="DM664" i="11"/>
  <c r="DN664" i="11"/>
  <c r="CZ664" i="11"/>
  <c r="DA664" i="11"/>
  <c r="DP664" i="11"/>
  <c r="DB664" i="11"/>
  <c r="DE664" i="11" s="1"/>
  <c r="DG664" i="11" s="1"/>
  <c r="CP664" i="11"/>
  <c r="CA664" i="11"/>
  <c r="CB664" i="11"/>
  <c r="CD664" i="11" s="1"/>
  <c r="CC664" i="11"/>
  <c r="BM664" i="11"/>
  <c r="AZ664" i="11"/>
  <c r="AM664" i="11"/>
  <c r="CM664" i="11"/>
  <c r="CN664" i="11"/>
  <c r="DC664" i="11"/>
  <c r="CO664" i="11"/>
  <c r="CS664" i="11" s="1"/>
  <c r="BZ664" i="11"/>
  <c r="X664" i="11"/>
  <c r="C666" i="11"/>
  <c r="A666" i="11" s="1"/>
  <c r="EB665" i="11" l="1"/>
  <c r="ED665" i="11" s="1"/>
  <c r="Z665" i="11"/>
  <c r="F665" i="11" s="1"/>
  <c r="BL662" i="11"/>
  <c r="B666" i="11"/>
  <c r="CY663" i="11"/>
  <c r="BF663" i="11"/>
  <c r="BJ663" i="11"/>
  <c r="BK663" i="11"/>
  <c r="DL663" i="11"/>
  <c r="BY663" i="11"/>
  <c r="AY662" i="11"/>
  <c r="M664" i="11"/>
  <c r="AC664" i="11"/>
  <c r="AF664" i="11" s="1"/>
  <c r="EL662" i="11"/>
  <c r="BW664" i="11"/>
  <c r="BX664" i="11"/>
  <c r="CJ664" i="11"/>
  <c r="CK664" i="11"/>
  <c r="DK664" i="11"/>
  <c r="DJ664" i="11"/>
  <c r="CX664" i="11"/>
  <c r="CY664" i="11" s="1"/>
  <c r="AW663" i="11"/>
  <c r="AX663" i="11"/>
  <c r="EK663" i="11"/>
  <c r="EJ663" i="11"/>
  <c r="L664" i="11"/>
  <c r="EF663" i="11"/>
  <c r="EI665" i="11"/>
  <c r="EH665" i="11"/>
  <c r="EC665" i="11"/>
  <c r="EA665" i="11"/>
  <c r="DZ665" i="11"/>
  <c r="EE664" i="11"/>
  <c r="EG664" i="11" s="1"/>
  <c r="P666" i="11"/>
  <c r="CF664" i="11"/>
  <c r="CQ664" i="11"/>
  <c r="AB665" i="11"/>
  <c r="BE664" i="11"/>
  <c r="BG664" i="11" s="1"/>
  <c r="DD664" i="11"/>
  <c r="DF664" i="11"/>
  <c r="BQ664" i="11"/>
  <c r="BS664" i="11"/>
  <c r="AR664" i="11"/>
  <c r="AT664" i="11" s="1"/>
  <c r="AS664" i="11"/>
  <c r="AQ664" i="11"/>
  <c r="CE665" i="11"/>
  <c r="CG665" i="11" s="1"/>
  <c r="DU665" i="11"/>
  <c r="DV665" i="11"/>
  <c r="DH665" i="11"/>
  <c r="DI665" i="11"/>
  <c r="CU665" i="11"/>
  <c r="CV665" i="11"/>
  <c r="CR665" i="11"/>
  <c r="CT665" i="11" s="1"/>
  <c r="CH665" i="11"/>
  <c r="CI665" i="11"/>
  <c r="BU665" i="11"/>
  <c r="BV665" i="11"/>
  <c r="BI665" i="11"/>
  <c r="BH665" i="11"/>
  <c r="AU665" i="11"/>
  <c r="AV665" i="11"/>
  <c r="AH665" i="11"/>
  <c r="AI665" i="11"/>
  <c r="BN665" i="11"/>
  <c r="BO665" i="11"/>
  <c r="BR665" i="11" s="1"/>
  <c r="BT665" i="11" s="1"/>
  <c r="BP665" i="11"/>
  <c r="W666" i="11"/>
  <c r="AP665" i="11"/>
  <c r="AN665" i="11"/>
  <c r="AO665" i="11"/>
  <c r="Y665" i="11"/>
  <c r="AA665" i="11"/>
  <c r="BA665" i="11"/>
  <c r="BB665" i="11"/>
  <c r="BD665" i="11" s="1"/>
  <c r="BC665" i="11"/>
  <c r="DP665" i="11"/>
  <c r="DB665" i="11"/>
  <c r="DE665" i="11" s="1"/>
  <c r="DG665" i="11" s="1"/>
  <c r="DC665" i="11"/>
  <c r="DM665" i="11"/>
  <c r="DN665" i="11"/>
  <c r="CZ665" i="11"/>
  <c r="DA665" i="11"/>
  <c r="CM665" i="11"/>
  <c r="CN665" i="11"/>
  <c r="CO665" i="11"/>
  <c r="CS665" i="11" s="1"/>
  <c r="BZ665" i="11"/>
  <c r="BM665" i="11"/>
  <c r="CP665" i="11"/>
  <c r="CA665" i="11"/>
  <c r="AZ665" i="11"/>
  <c r="CB665" i="11"/>
  <c r="CF665" i="11" s="1"/>
  <c r="CC665" i="11"/>
  <c r="X665" i="11"/>
  <c r="AM665" i="11"/>
  <c r="C667" i="11"/>
  <c r="A667" i="11" s="1"/>
  <c r="EB666" i="11" l="1"/>
  <c r="Z666" i="11"/>
  <c r="F666" i="11" s="1"/>
  <c r="BL663" i="11"/>
  <c r="B667" i="11"/>
  <c r="BJ664" i="11"/>
  <c r="BK664" i="11"/>
  <c r="BF664" i="11"/>
  <c r="BL664" i="11"/>
  <c r="AC665" i="11"/>
  <c r="AF665" i="11" s="1"/>
  <c r="CL664" i="11"/>
  <c r="CX665" i="11"/>
  <c r="CW665" i="11"/>
  <c r="BY664" i="11"/>
  <c r="DL664" i="11"/>
  <c r="AY663" i="11"/>
  <c r="EL663" i="11"/>
  <c r="BX665" i="11"/>
  <c r="BW665" i="11"/>
  <c r="EK664" i="11"/>
  <c r="EJ664" i="11"/>
  <c r="EF664" i="11"/>
  <c r="CK665" i="11"/>
  <c r="CJ665" i="11"/>
  <c r="DJ665" i="11"/>
  <c r="DK665" i="11"/>
  <c r="AW664" i="11"/>
  <c r="AX664" i="11"/>
  <c r="M665" i="11"/>
  <c r="L665" i="11"/>
  <c r="EC666" i="11"/>
  <c r="EI666" i="11"/>
  <c r="EH666" i="11"/>
  <c r="ED666" i="11"/>
  <c r="EA666" i="11"/>
  <c r="DZ666" i="11"/>
  <c r="EE665" i="11"/>
  <c r="EG665" i="11" s="1"/>
  <c r="P667" i="11"/>
  <c r="BE665" i="11"/>
  <c r="BG665" i="11" s="1"/>
  <c r="CD665" i="11"/>
  <c r="CQ665" i="11"/>
  <c r="DD665" i="11"/>
  <c r="AB666" i="11"/>
  <c r="DF665" i="11"/>
  <c r="BQ665" i="11"/>
  <c r="BS665" i="11"/>
  <c r="AR665" i="11"/>
  <c r="AT665" i="11" s="1"/>
  <c r="AS665" i="11"/>
  <c r="AQ665" i="11"/>
  <c r="CE666" i="11"/>
  <c r="CG666" i="11" s="1"/>
  <c r="DU666" i="11"/>
  <c r="DV666" i="11"/>
  <c r="DI666" i="11"/>
  <c r="DH666" i="11"/>
  <c r="CR666" i="11"/>
  <c r="CT666" i="11" s="1"/>
  <c r="CU666" i="11"/>
  <c r="CV666" i="11"/>
  <c r="CH666" i="11"/>
  <c r="CI666" i="11"/>
  <c r="BU666" i="11"/>
  <c r="BV666" i="11"/>
  <c r="BI666" i="11"/>
  <c r="BH666" i="11"/>
  <c r="AU666" i="11"/>
  <c r="AV666" i="11"/>
  <c r="AI666" i="11"/>
  <c r="AH666" i="11"/>
  <c r="BN666" i="11"/>
  <c r="BO666" i="11"/>
  <c r="BR666" i="11" s="1"/>
  <c r="BT666" i="11" s="1"/>
  <c r="BP666" i="11"/>
  <c r="AN666" i="11"/>
  <c r="AO666" i="11"/>
  <c r="AP666" i="11"/>
  <c r="Y666" i="11"/>
  <c r="AA666" i="11"/>
  <c r="BB666" i="11"/>
  <c r="BD666" i="11" s="1"/>
  <c r="BA666" i="11"/>
  <c r="BC666" i="11"/>
  <c r="DM666" i="11"/>
  <c r="DN666" i="11"/>
  <c r="CZ666" i="11"/>
  <c r="DA666" i="11"/>
  <c r="DP666" i="11"/>
  <c r="DB666" i="11"/>
  <c r="DE666" i="11" s="1"/>
  <c r="DG666" i="11" s="1"/>
  <c r="CP666" i="11"/>
  <c r="CA666" i="11"/>
  <c r="CB666" i="11"/>
  <c r="CF666" i="11" s="1"/>
  <c r="DC666" i="11"/>
  <c r="CC666" i="11"/>
  <c r="BM666" i="11"/>
  <c r="CM666" i="11"/>
  <c r="AZ666" i="11"/>
  <c r="CN666" i="11"/>
  <c r="CO666" i="11"/>
  <c r="CQ666" i="11" s="1"/>
  <c r="BZ666" i="11"/>
  <c r="X666" i="11"/>
  <c r="AM666" i="11"/>
  <c r="W667" i="11"/>
  <c r="C668" i="11"/>
  <c r="A668" i="11" s="1"/>
  <c r="EB667" i="11" l="1"/>
  <c r="ED667" i="11" s="1"/>
  <c r="Z667" i="11"/>
  <c r="F667" i="11" s="1"/>
  <c r="B668" i="11"/>
  <c r="CL665" i="11"/>
  <c r="CY665" i="11"/>
  <c r="AC666" i="11"/>
  <c r="AF666" i="11" s="1"/>
  <c r="BF665" i="11"/>
  <c r="BJ665" i="11"/>
  <c r="BK665" i="11"/>
  <c r="BY665" i="11"/>
  <c r="DL665" i="11"/>
  <c r="L666" i="11"/>
  <c r="AY664" i="11"/>
  <c r="EL664" i="11"/>
  <c r="CK666" i="11"/>
  <c r="CJ666" i="11"/>
  <c r="CX666" i="11"/>
  <c r="CW666" i="11"/>
  <c r="DJ666" i="11"/>
  <c r="DK666" i="11"/>
  <c r="BX666" i="11"/>
  <c r="BW666" i="11"/>
  <c r="M666" i="11"/>
  <c r="AW665" i="11"/>
  <c r="AX665" i="11"/>
  <c r="EK665" i="11"/>
  <c r="EJ665" i="11"/>
  <c r="EF665" i="11"/>
  <c r="EE666" i="11"/>
  <c r="EG666" i="11" s="1"/>
  <c r="EH667" i="11"/>
  <c r="EA667" i="11"/>
  <c r="EI667" i="11"/>
  <c r="EC667" i="11"/>
  <c r="DZ667" i="11"/>
  <c r="P668" i="11"/>
  <c r="BQ666" i="11"/>
  <c r="CD666" i="11"/>
  <c r="DD666" i="11"/>
  <c r="CS666" i="11"/>
  <c r="BE666" i="11"/>
  <c r="BG666" i="11" s="1"/>
  <c r="DF666" i="11"/>
  <c r="AB667" i="11"/>
  <c r="BS666" i="11"/>
  <c r="AR666" i="11"/>
  <c r="AT666" i="11" s="1"/>
  <c r="AS666" i="11"/>
  <c r="AQ666" i="11"/>
  <c r="CE667" i="11"/>
  <c r="CG667" i="11" s="1"/>
  <c r="DV667" i="11"/>
  <c r="DU667" i="11"/>
  <c r="DH667" i="11"/>
  <c r="DI667" i="11"/>
  <c r="CR667" i="11"/>
  <c r="CT667" i="11" s="1"/>
  <c r="CU667" i="11"/>
  <c r="CV667" i="11"/>
  <c r="CH667" i="11"/>
  <c r="CI667" i="11"/>
  <c r="BV667" i="11"/>
  <c r="BU667" i="11"/>
  <c r="BH667" i="11"/>
  <c r="BI667" i="11"/>
  <c r="AU667" i="11"/>
  <c r="AV667" i="11"/>
  <c r="AH667" i="11"/>
  <c r="AI667" i="11"/>
  <c r="BO667" i="11"/>
  <c r="BR667" i="11" s="1"/>
  <c r="BT667" i="11" s="1"/>
  <c r="BP667" i="11"/>
  <c r="BN667" i="11"/>
  <c r="AN667" i="11"/>
  <c r="AP667" i="11"/>
  <c r="AO667" i="11"/>
  <c r="Y667" i="11"/>
  <c r="AA667" i="11"/>
  <c r="BA667" i="11"/>
  <c r="BB667" i="11"/>
  <c r="BD667" i="11" s="1"/>
  <c r="BC667" i="11"/>
  <c r="DP667" i="11"/>
  <c r="DB667" i="11"/>
  <c r="DE667" i="11" s="1"/>
  <c r="DG667" i="11" s="1"/>
  <c r="DC667" i="11"/>
  <c r="DN667" i="11"/>
  <c r="DM667" i="11"/>
  <c r="X667" i="11"/>
  <c r="CM667" i="11"/>
  <c r="CN667" i="11"/>
  <c r="CZ667" i="11"/>
  <c r="CO667" i="11"/>
  <c r="CS667" i="11" s="1"/>
  <c r="BZ667" i="11"/>
  <c r="DA667" i="11"/>
  <c r="CP667" i="11"/>
  <c r="CA667" i="11"/>
  <c r="CB667" i="11"/>
  <c r="CD667" i="11" s="1"/>
  <c r="BM667" i="11"/>
  <c r="CC667" i="11"/>
  <c r="AZ667" i="11"/>
  <c r="AM667" i="11"/>
  <c r="W668" i="11"/>
  <c r="C669" i="11"/>
  <c r="A669" i="11" s="1"/>
  <c r="Z668" i="11" l="1"/>
  <c r="F668" i="11" s="1"/>
  <c r="EB668" i="11"/>
  <c r="ED668" i="11" s="1"/>
  <c r="BL665" i="11"/>
  <c r="B669" i="11"/>
  <c r="AC667" i="11"/>
  <c r="AF667" i="11" s="1"/>
  <c r="BJ666" i="11"/>
  <c r="BK666" i="11"/>
  <c r="BF666" i="11"/>
  <c r="BY666" i="11"/>
  <c r="DL666" i="11"/>
  <c r="CY666" i="11"/>
  <c r="CL666" i="11"/>
  <c r="AY665" i="11"/>
  <c r="M667" i="11"/>
  <c r="EL665" i="11"/>
  <c r="EJ666" i="11"/>
  <c r="EK666" i="11"/>
  <c r="EF666" i="11"/>
  <c r="BW667" i="11"/>
  <c r="BX667" i="11"/>
  <c r="CK667" i="11"/>
  <c r="CJ667" i="11"/>
  <c r="DJ667" i="11"/>
  <c r="DK667" i="11"/>
  <c r="CX667" i="11"/>
  <c r="CW667" i="11"/>
  <c r="L667" i="11"/>
  <c r="AX666" i="11"/>
  <c r="AW666" i="11"/>
  <c r="EE667" i="11"/>
  <c r="EG667" i="11" s="1"/>
  <c r="EC668" i="11"/>
  <c r="DZ668" i="11"/>
  <c r="EI668" i="11"/>
  <c r="EH668" i="11"/>
  <c r="EA668" i="11"/>
  <c r="P669" i="11"/>
  <c r="CF667" i="11"/>
  <c r="AB668" i="11"/>
  <c r="CQ667" i="11"/>
  <c r="BE667" i="11"/>
  <c r="BG667" i="11" s="1"/>
  <c r="DF667" i="11"/>
  <c r="BQ667" i="11"/>
  <c r="DD667" i="11"/>
  <c r="BS667" i="11"/>
  <c r="AR667" i="11"/>
  <c r="AT667" i="11" s="1"/>
  <c r="AS667" i="11"/>
  <c r="AQ667" i="11"/>
  <c r="CE668" i="11"/>
  <c r="CG668" i="11" s="1"/>
  <c r="DV668" i="11"/>
  <c r="DU668" i="11"/>
  <c r="DH668" i="11"/>
  <c r="DI668" i="11"/>
  <c r="CR668" i="11"/>
  <c r="CT668" i="11" s="1"/>
  <c r="CV668" i="11"/>
  <c r="CU668" i="11"/>
  <c r="CH668" i="11"/>
  <c r="CI668" i="11"/>
  <c r="BU668" i="11"/>
  <c r="BV668" i="11"/>
  <c r="BH668" i="11"/>
  <c r="BI668" i="11"/>
  <c r="AU668" i="11"/>
  <c r="AV668" i="11"/>
  <c r="AH668" i="11"/>
  <c r="AI668" i="11"/>
  <c r="BP668" i="11"/>
  <c r="BN668" i="11"/>
  <c r="BO668" i="11"/>
  <c r="BR668" i="11" s="1"/>
  <c r="BT668" i="11" s="1"/>
  <c r="W669" i="11"/>
  <c r="AO668" i="11"/>
  <c r="AP668" i="11"/>
  <c r="AN668" i="11"/>
  <c r="AA668" i="11"/>
  <c r="Y668" i="11"/>
  <c r="BA668" i="11"/>
  <c r="BB668" i="11"/>
  <c r="BD668" i="11" s="1"/>
  <c r="BC668" i="11"/>
  <c r="DM668" i="11"/>
  <c r="DN668" i="11"/>
  <c r="CZ668" i="11"/>
  <c r="DA668" i="11"/>
  <c r="DP668" i="11"/>
  <c r="DB668" i="11"/>
  <c r="DE668" i="11" s="1"/>
  <c r="DG668" i="11" s="1"/>
  <c r="CP668" i="11"/>
  <c r="CA668" i="11"/>
  <c r="AM668" i="11"/>
  <c r="CB668" i="11"/>
  <c r="CF668" i="11" s="1"/>
  <c r="X668" i="11"/>
  <c r="CC668" i="11"/>
  <c r="DC668" i="11"/>
  <c r="CM668" i="11"/>
  <c r="CN668" i="11"/>
  <c r="BM668" i="11"/>
  <c r="CO668" i="11"/>
  <c r="CS668" i="11" s="1"/>
  <c r="BZ668" i="11"/>
  <c r="AZ668" i="11"/>
  <c r="C670" i="11"/>
  <c r="A670" i="11" s="1"/>
  <c r="EB669" i="11" l="1"/>
  <c r="ED669" i="11" s="1"/>
  <c r="Z669" i="11"/>
  <c r="F669" i="11" s="1"/>
  <c r="B670" i="11"/>
  <c r="AC668" i="11"/>
  <c r="AF668" i="11" s="1"/>
  <c r="CL667" i="11"/>
  <c r="BL666" i="11"/>
  <c r="BF667" i="11"/>
  <c r="BJ667" i="11"/>
  <c r="BK667" i="11"/>
  <c r="CY667" i="11"/>
  <c r="EL666" i="11"/>
  <c r="DL667" i="11"/>
  <c r="L668" i="11"/>
  <c r="BY667" i="11"/>
  <c r="AY666" i="11"/>
  <c r="DK668" i="11"/>
  <c r="DJ668" i="11"/>
  <c r="CK668" i="11"/>
  <c r="CJ668" i="11"/>
  <c r="BW668" i="11"/>
  <c r="BX668" i="11"/>
  <c r="CW668" i="11"/>
  <c r="CX668" i="11"/>
  <c r="M668" i="11"/>
  <c r="AW667" i="11"/>
  <c r="AX667" i="11"/>
  <c r="EK667" i="11"/>
  <c r="EJ667" i="11"/>
  <c r="EF667" i="11"/>
  <c r="EE668" i="11"/>
  <c r="EG668" i="11" s="1"/>
  <c r="EA669" i="11"/>
  <c r="EI669" i="11"/>
  <c r="EH669" i="11"/>
  <c r="DZ669" i="11"/>
  <c r="EC669" i="11"/>
  <c r="BQ668" i="11"/>
  <c r="BS668" i="11"/>
  <c r="AB669" i="11"/>
  <c r="CD668" i="11"/>
  <c r="CQ668" i="11"/>
  <c r="BE668" i="11"/>
  <c r="BG668" i="11" s="1"/>
  <c r="DD668" i="11"/>
  <c r="DF668" i="11"/>
  <c r="AR668" i="11"/>
  <c r="AT668" i="11" s="1"/>
  <c r="AQ668" i="11"/>
  <c r="AS668" i="11"/>
  <c r="CE669" i="11"/>
  <c r="CG669" i="11" s="1"/>
  <c r="DU669" i="11"/>
  <c r="DV669" i="11"/>
  <c r="DI669" i="11"/>
  <c r="DH669" i="11"/>
  <c r="CR669" i="11"/>
  <c r="CT669" i="11" s="1"/>
  <c r="CU669" i="11"/>
  <c r="CV669" i="11"/>
  <c r="CH669" i="11"/>
  <c r="CI669" i="11"/>
  <c r="BU669" i="11"/>
  <c r="BV669" i="11"/>
  <c r="BH669" i="11"/>
  <c r="BI669" i="11"/>
  <c r="AU669" i="11"/>
  <c r="AV669" i="11"/>
  <c r="AH669" i="11"/>
  <c r="AI669" i="11"/>
  <c r="BN669" i="11"/>
  <c r="BO669" i="11"/>
  <c r="BR669" i="11" s="1"/>
  <c r="BT669" i="11" s="1"/>
  <c r="BW669" i="11" s="1"/>
  <c r="BP669" i="11"/>
  <c r="W670" i="11"/>
  <c r="AN669" i="11"/>
  <c r="AO669" i="11"/>
  <c r="AP669" i="11"/>
  <c r="Y669" i="11"/>
  <c r="AA669" i="11"/>
  <c r="BA669" i="11"/>
  <c r="BB669" i="11"/>
  <c r="BD669" i="11" s="1"/>
  <c r="BC669" i="11"/>
  <c r="DP669" i="11"/>
  <c r="DB669" i="11"/>
  <c r="DE669" i="11" s="1"/>
  <c r="DG669" i="11" s="1"/>
  <c r="DC669" i="11"/>
  <c r="DN669" i="11"/>
  <c r="AZ669" i="11"/>
  <c r="DM669" i="11"/>
  <c r="CM669" i="11"/>
  <c r="AM669" i="11"/>
  <c r="CN669" i="11"/>
  <c r="X669" i="11"/>
  <c r="CO669" i="11"/>
  <c r="CS669" i="11" s="1"/>
  <c r="BZ669" i="11"/>
  <c r="CP669" i="11"/>
  <c r="CA669" i="11"/>
  <c r="CB669" i="11"/>
  <c r="CF669" i="11" s="1"/>
  <c r="CZ669" i="11"/>
  <c r="CC669" i="11"/>
  <c r="DA669" i="11"/>
  <c r="BM669" i="11"/>
  <c r="C671" i="11"/>
  <c r="A671" i="11" s="1"/>
  <c r="EB670" i="11" l="1"/>
  <c r="Z670" i="11"/>
  <c r="F670" i="11" s="1"/>
  <c r="P670" i="11"/>
  <c r="BL667" i="11"/>
  <c r="B671" i="11"/>
  <c r="AY667" i="11"/>
  <c r="BJ668" i="11"/>
  <c r="BF668" i="11"/>
  <c r="BK668" i="11"/>
  <c r="DL668" i="11"/>
  <c r="BY668" i="11"/>
  <c r="CY668" i="11"/>
  <c r="AC669" i="11"/>
  <c r="AF669" i="11" s="1"/>
  <c r="CL668" i="11"/>
  <c r="EL667" i="11"/>
  <c r="CK669" i="11"/>
  <c r="CJ669" i="11"/>
  <c r="CW669" i="11"/>
  <c r="CX669" i="11"/>
  <c r="EK668" i="11"/>
  <c r="EJ668" i="11"/>
  <c r="EF668" i="11"/>
  <c r="DK669" i="11"/>
  <c r="DJ669" i="11"/>
  <c r="M669" i="11"/>
  <c r="L669" i="11"/>
  <c r="AX668" i="11"/>
  <c r="AW668" i="11"/>
  <c r="BX669" i="11"/>
  <c r="BY669" i="11" s="1"/>
  <c r="EE669" i="11"/>
  <c r="EC670" i="11"/>
  <c r="EH670" i="11"/>
  <c r="ED670" i="11"/>
  <c r="EA670" i="11"/>
  <c r="DZ670" i="11"/>
  <c r="EI670" i="11"/>
  <c r="P671" i="11"/>
  <c r="AB670" i="11"/>
  <c r="BQ669" i="11"/>
  <c r="CD669" i="11"/>
  <c r="BS669" i="11"/>
  <c r="CQ669" i="11"/>
  <c r="BE669" i="11"/>
  <c r="BG669" i="11" s="1"/>
  <c r="DD669" i="11"/>
  <c r="DF669" i="11"/>
  <c r="AR669" i="11"/>
  <c r="AT669" i="11" s="1"/>
  <c r="AS669" i="11"/>
  <c r="AQ669" i="11"/>
  <c r="CE670" i="11"/>
  <c r="CG670" i="11" s="1"/>
  <c r="DU670" i="11"/>
  <c r="DV670" i="11"/>
  <c r="DH670" i="11"/>
  <c r="DI670" i="11"/>
  <c r="CV670" i="11"/>
  <c r="CR670" i="11"/>
  <c r="CT670" i="11" s="1"/>
  <c r="CU670" i="11"/>
  <c r="CI670" i="11"/>
  <c r="CH670" i="11"/>
  <c r="BU670" i="11"/>
  <c r="BV670" i="11"/>
  <c r="BH670" i="11"/>
  <c r="BI670" i="11"/>
  <c r="AH670" i="11"/>
  <c r="AI670" i="11"/>
  <c r="AU670" i="11"/>
  <c r="AV670" i="11"/>
  <c r="BN670" i="11"/>
  <c r="BO670" i="11"/>
  <c r="BR670" i="11" s="1"/>
  <c r="BT670" i="11" s="1"/>
  <c r="BP670" i="11"/>
  <c r="W671" i="11"/>
  <c r="AO670" i="11"/>
  <c r="AN670" i="11"/>
  <c r="AP670" i="11"/>
  <c r="Y670" i="11"/>
  <c r="AA670" i="11"/>
  <c r="BC670" i="11"/>
  <c r="BB670" i="11"/>
  <c r="BD670" i="11" s="1"/>
  <c r="BA670" i="11"/>
  <c r="DM670" i="11"/>
  <c r="DN670" i="11"/>
  <c r="CZ670" i="11"/>
  <c r="DA670" i="11"/>
  <c r="DP670" i="11"/>
  <c r="DB670" i="11"/>
  <c r="DE670" i="11" s="1"/>
  <c r="DG670" i="11" s="1"/>
  <c r="DC670" i="11"/>
  <c r="CP670" i="11"/>
  <c r="CA670" i="11"/>
  <c r="BM670" i="11"/>
  <c r="CB670" i="11"/>
  <c r="CF670" i="11" s="1"/>
  <c r="AZ670" i="11"/>
  <c r="CC670" i="11"/>
  <c r="AM670" i="11"/>
  <c r="X670" i="11"/>
  <c r="CM670" i="11"/>
  <c r="CN670" i="11"/>
  <c r="CO670" i="11"/>
  <c r="CS670" i="11" s="1"/>
  <c r="BZ670" i="11"/>
  <c r="C672" i="11"/>
  <c r="A672" i="11" s="1"/>
  <c r="EB671" i="11" l="1"/>
  <c r="Z671" i="11"/>
  <c r="F671" i="11" s="1"/>
  <c r="B672" i="11"/>
  <c r="BF669" i="11"/>
  <c r="BK669" i="11"/>
  <c r="BJ669" i="11"/>
  <c r="BL669" i="11" s="1"/>
  <c r="BL668" i="11"/>
  <c r="CL669" i="11"/>
  <c r="AY668" i="11"/>
  <c r="DL669" i="11"/>
  <c r="AC670" i="11"/>
  <c r="AF670" i="11" s="1"/>
  <c r="EG669" i="11"/>
  <c r="EF669" i="11" s="1"/>
  <c r="M670" i="11"/>
  <c r="CY669" i="11"/>
  <c r="EL668" i="11"/>
  <c r="CK670" i="11"/>
  <c r="CJ670" i="11"/>
  <c r="CW670" i="11"/>
  <c r="CX670" i="11"/>
  <c r="DK670" i="11"/>
  <c r="DJ670" i="11"/>
  <c r="BW670" i="11"/>
  <c r="BX670" i="11"/>
  <c r="AW669" i="11"/>
  <c r="AX669" i="11"/>
  <c r="L670" i="11"/>
  <c r="EJ669" i="11"/>
  <c r="EE670" i="11"/>
  <c r="EG670" i="11" s="1"/>
  <c r="EH671" i="11"/>
  <c r="ED671" i="11"/>
  <c r="EA671" i="11"/>
  <c r="EI671" i="11"/>
  <c r="EC671" i="11"/>
  <c r="DZ671" i="11"/>
  <c r="P672" i="11"/>
  <c r="BE670" i="11"/>
  <c r="BG670" i="11" s="1"/>
  <c r="BQ670" i="11"/>
  <c r="CQ670" i="11"/>
  <c r="BS670" i="11"/>
  <c r="CD670" i="11"/>
  <c r="DD670" i="11"/>
  <c r="AB671" i="11"/>
  <c r="DF670" i="11"/>
  <c r="AR670" i="11"/>
  <c r="AT670" i="11" s="1"/>
  <c r="AQ670" i="11"/>
  <c r="AS670" i="11"/>
  <c r="CE671" i="11"/>
  <c r="CG671" i="11" s="1"/>
  <c r="DU671" i="11"/>
  <c r="DV671" i="11"/>
  <c r="DH671" i="11"/>
  <c r="DI671" i="11"/>
  <c r="CU671" i="11"/>
  <c r="CV671" i="11"/>
  <c r="CR671" i="11"/>
  <c r="CT671" i="11" s="1"/>
  <c r="CI671" i="11"/>
  <c r="CH671" i="11"/>
  <c r="BU671" i="11"/>
  <c r="BV671" i="11"/>
  <c r="BH671" i="11"/>
  <c r="BI671" i="11"/>
  <c r="AU671" i="11"/>
  <c r="AV671" i="11"/>
  <c r="AH671" i="11"/>
  <c r="AI671" i="11"/>
  <c r="BO671" i="11"/>
  <c r="BR671" i="11" s="1"/>
  <c r="BT671" i="11" s="1"/>
  <c r="BP671" i="11"/>
  <c r="BN671" i="11"/>
  <c r="AN671" i="11"/>
  <c r="AO671" i="11"/>
  <c r="AP671" i="11"/>
  <c r="AA671" i="11"/>
  <c r="Y671" i="11"/>
  <c r="BA671" i="11"/>
  <c r="BB671" i="11"/>
  <c r="BD671" i="11" s="1"/>
  <c r="BC671" i="11"/>
  <c r="DP671" i="11"/>
  <c r="DB671" i="11"/>
  <c r="DE671" i="11" s="1"/>
  <c r="DG671" i="11" s="1"/>
  <c r="DC671" i="11"/>
  <c r="DN671" i="11"/>
  <c r="CZ671" i="11"/>
  <c r="CM671" i="11"/>
  <c r="BM671" i="11"/>
  <c r="DM671" i="11"/>
  <c r="DA671" i="11"/>
  <c r="CN671" i="11"/>
  <c r="AZ671" i="11"/>
  <c r="CO671" i="11"/>
  <c r="CQ671" i="11" s="1"/>
  <c r="BZ671" i="11"/>
  <c r="AM671" i="11"/>
  <c r="CP671" i="11"/>
  <c r="CA671" i="11"/>
  <c r="X671" i="11"/>
  <c r="CB671" i="11"/>
  <c r="CD671" i="11" s="1"/>
  <c r="CC671" i="11"/>
  <c r="W672" i="11"/>
  <c r="C673" i="11"/>
  <c r="A673" i="11" s="1"/>
  <c r="EB672" i="11" l="1"/>
  <c r="Z672" i="11"/>
  <c r="F672" i="11" s="1"/>
  <c r="BY670" i="11"/>
  <c r="CY670" i="11"/>
  <c r="B673" i="11"/>
  <c r="DL670" i="11"/>
  <c r="BF670" i="11"/>
  <c r="BK670" i="11"/>
  <c r="BJ670" i="11"/>
  <c r="EK669" i="11"/>
  <c r="EL669" i="11" s="1"/>
  <c r="AC671" i="11"/>
  <c r="AF671" i="11" s="1"/>
  <c r="AY669" i="11"/>
  <c r="CL670" i="11"/>
  <c r="CW671" i="11"/>
  <c r="CX671" i="11"/>
  <c r="BW671" i="11"/>
  <c r="BX671" i="11"/>
  <c r="M671" i="11"/>
  <c r="CK671" i="11"/>
  <c r="CJ671" i="11"/>
  <c r="EK670" i="11"/>
  <c r="EJ670" i="11"/>
  <c r="EF670" i="11"/>
  <c r="DJ671" i="11"/>
  <c r="DK671" i="11"/>
  <c r="AX670" i="11"/>
  <c r="AW670" i="11"/>
  <c r="L671" i="11"/>
  <c r="EC672" i="11"/>
  <c r="DZ672" i="11"/>
  <c r="EI672" i="11"/>
  <c r="EH672" i="11"/>
  <c r="ED672" i="11"/>
  <c r="EA672" i="11"/>
  <c r="EE671" i="11"/>
  <c r="EG671" i="11" s="1"/>
  <c r="P673" i="11"/>
  <c r="BS671" i="11"/>
  <c r="CS671" i="11"/>
  <c r="CF671" i="11"/>
  <c r="BE671" i="11"/>
  <c r="BG671" i="11" s="1"/>
  <c r="DD671" i="11"/>
  <c r="AB672" i="11"/>
  <c r="DF671" i="11"/>
  <c r="BQ671" i="11"/>
  <c r="AR671" i="11"/>
  <c r="AT671" i="11" s="1"/>
  <c r="AS671" i="11"/>
  <c r="AQ671" i="11"/>
  <c r="CE672" i="11"/>
  <c r="CG672" i="11" s="1"/>
  <c r="DV672" i="11"/>
  <c r="DU672" i="11"/>
  <c r="DH672" i="11"/>
  <c r="DI672" i="11"/>
  <c r="CU672" i="11"/>
  <c r="CV672" i="11"/>
  <c r="CR672" i="11"/>
  <c r="CT672" i="11" s="1"/>
  <c r="CI672" i="11"/>
  <c r="CH672" i="11"/>
  <c r="BV672" i="11"/>
  <c r="BU672" i="11"/>
  <c r="BI672" i="11"/>
  <c r="AV672" i="11"/>
  <c r="BH672" i="11"/>
  <c r="AU672" i="11"/>
  <c r="AI672" i="11"/>
  <c r="AH672" i="11"/>
  <c r="BN672" i="11"/>
  <c r="BP672" i="11"/>
  <c r="BO672" i="11"/>
  <c r="BR672" i="11" s="1"/>
  <c r="BT672" i="11" s="1"/>
  <c r="W673" i="11"/>
  <c r="AN672" i="11"/>
  <c r="AO672" i="11"/>
  <c r="AP672" i="11"/>
  <c r="Y672" i="11"/>
  <c r="AA672" i="11"/>
  <c r="BB672" i="11"/>
  <c r="BD672" i="11" s="1"/>
  <c r="BC672" i="11"/>
  <c r="BA672" i="11"/>
  <c r="DM672" i="11"/>
  <c r="DN672" i="11"/>
  <c r="CZ672" i="11"/>
  <c r="DA672" i="11"/>
  <c r="DP672" i="11"/>
  <c r="DB672" i="11"/>
  <c r="DE672" i="11" s="1"/>
  <c r="DG672" i="11" s="1"/>
  <c r="CP672" i="11"/>
  <c r="CA672" i="11"/>
  <c r="CB672" i="11"/>
  <c r="CD672" i="11" s="1"/>
  <c r="CC672" i="11"/>
  <c r="BM672" i="11"/>
  <c r="DC672" i="11"/>
  <c r="AZ672" i="11"/>
  <c r="AM672" i="11"/>
  <c r="CM672" i="11"/>
  <c r="CN672" i="11"/>
  <c r="CO672" i="11"/>
  <c r="CS672" i="11" s="1"/>
  <c r="BZ672" i="11"/>
  <c r="X672" i="11"/>
  <c r="C674" i="11"/>
  <c r="A674" i="11" s="1"/>
  <c r="EB673" i="11" l="1"/>
  <c r="ED673" i="11" s="1"/>
  <c r="Z673" i="11"/>
  <c r="F673" i="11" s="1"/>
  <c r="CY671" i="11"/>
  <c r="BL670" i="11"/>
  <c r="AC672" i="11"/>
  <c r="AF672" i="11" s="1"/>
  <c r="EL670" i="11"/>
  <c r="B674" i="11"/>
  <c r="BJ671" i="11"/>
  <c r="BF671" i="11"/>
  <c r="BK671" i="11"/>
  <c r="BY671" i="11"/>
  <c r="AY670" i="11"/>
  <c r="CL671" i="11"/>
  <c r="DL671" i="11"/>
  <c r="CW672" i="11"/>
  <c r="CX672" i="11"/>
  <c r="DK672" i="11"/>
  <c r="DJ672" i="11"/>
  <c r="CJ672" i="11"/>
  <c r="CK672" i="11"/>
  <c r="BW672" i="11"/>
  <c r="BX672" i="11"/>
  <c r="EK671" i="11"/>
  <c r="EJ671" i="11"/>
  <c r="L672" i="11"/>
  <c r="EF671" i="11"/>
  <c r="AW671" i="11"/>
  <c r="AX671" i="11"/>
  <c r="M672" i="11"/>
  <c r="EA673" i="11"/>
  <c r="EI673" i="11"/>
  <c r="EH673" i="11"/>
  <c r="DZ673" i="11"/>
  <c r="EC673" i="11"/>
  <c r="EE672" i="11"/>
  <c r="EG672" i="11" s="1"/>
  <c r="P674" i="11"/>
  <c r="CF672" i="11"/>
  <c r="CQ672" i="11"/>
  <c r="BE672" i="11"/>
  <c r="BG672" i="11" s="1"/>
  <c r="DD672" i="11"/>
  <c r="DF672" i="11"/>
  <c r="AB673" i="11"/>
  <c r="BQ672" i="11"/>
  <c r="BS672" i="11"/>
  <c r="AR672" i="11"/>
  <c r="AT672" i="11" s="1"/>
  <c r="AS672" i="11"/>
  <c r="AQ672" i="11"/>
  <c r="CE673" i="11"/>
  <c r="CG673" i="11" s="1"/>
  <c r="DU673" i="11"/>
  <c r="DV673" i="11"/>
  <c r="DH673" i="11"/>
  <c r="DI673" i="11"/>
  <c r="CU673" i="11"/>
  <c r="CV673" i="11"/>
  <c r="CR673" i="11"/>
  <c r="CT673" i="11" s="1"/>
  <c r="CI673" i="11"/>
  <c r="CH673" i="11"/>
  <c r="BU673" i="11"/>
  <c r="BV673" i="11"/>
  <c r="BI673" i="11"/>
  <c r="AU673" i="11"/>
  <c r="AV673" i="11"/>
  <c r="BH673" i="11"/>
  <c r="AH673" i="11"/>
  <c r="AI673" i="11"/>
  <c r="BN673" i="11"/>
  <c r="BP673" i="11"/>
  <c r="BO673" i="11"/>
  <c r="BR673" i="11" s="1"/>
  <c r="BT673" i="11" s="1"/>
  <c r="AP673" i="11"/>
  <c r="AN673" i="11"/>
  <c r="AO673" i="11"/>
  <c r="Y673" i="11"/>
  <c r="AA673" i="11"/>
  <c r="BB673" i="11"/>
  <c r="BD673" i="11" s="1"/>
  <c r="BC673" i="11"/>
  <c r="BA673" i="11"/>
  <c r="DP673" i="11"/>
  <c r="DB673" i="11"/>
  <c r="DE673" i="11" s="1"/>
  <c r="DG673" i="11" s="1"/>
  <c r="DC673" i="11"/>
  <c r="DN673" i="11"/>
  <c r="CM673" i="11"/>
  <c r="CN673" i="11"/>
  <c r="DM673" i="11"/>
  <c r="CO673" i="11"/>
  <c r="CS673" i="11" s="1"/>
  <c r="BZ673" i="11"/>
  <c r="BM673" i="11"/>
  <c r="CZ673" i="11"/>
  <c r="CP673" i="11"/>
  <c r="CA673" i="11"/>
  <c r="AZ673" i="11"/>
  <c r="DA673" i="11"/>
  <c r="CB673" i="11"/>
  <c r="CD673" i="11" s="1"/>
  <c r="CC673" i="11"/>
  <c r="X673" i="11"/>
  <c r="AM673" i="11"/>
  <c r="W674" i="11"/>
  <c r="C675" i="11"/>
  <c r="A675" i="11" s="1"/>
  <c r="EB674" i="11" l="1"/>
  <c r="ED674" i="11" s="1"/>
  <c r="Z674" i="11"/>
  <c r="F674" i="11" s="1"/>
  <c r="DL672" i="11"/>
  <c r="B675" i="11"/>
  <c r="CY672" i="11"/>
  <c r="BL671" i="11"/>
  <c r="BK672" i="11"/>
  <c r="BF672" i="11"/>
  <c r="BJ672" i="11"/>
  <c r="AC673" i="11"/>
  <c r="AF673" i="11" s="1"/>
  <c r="CL672" i="11"/>
  <c r="M673" i="11"/>
  <c r="BY672" i="11"/>
  <c r="AY671" i="11"/>
  <c r="EL671" i="11"/>
  <c r="DJ673" i="11"/>
  <c r="DK673" i="11"/>
  <c r="CX673" i="11"/>
  <c r="CW673" i="11"/>
  <c r="BW673" i="11"/>
  <c r="BX673" i="11"/>
  <c r="CJ673" i="11"/>
  <c r="CK673" i="11"/>
  <c r="AW672" i="11"/>
  <c r="AX672" i="11"/>
  <c r="EK672" i="11"/>
  <c r="EJ672" i="11"/>
  <c r="L673" i="11"/>
  <c r="EF672" i="11"/>
  <c r="EC674" i="11"/>
  <c r="EA674" i="11"/>
  <c r="DZ674" i="11"/>
  <c r="EI674" i="11"/>
  <c r="EH674" i="11"/>
  <c r="EE673" i="11"/>
  <c r="EG673" i="11" s="1"/>
  <c r="BQ673" i="11"/>
  <c r="CQ673" i="11"/>
  <c r="BE673" i="11"/>
  <c r="BG673" i="11" s="1"/>
  <c r="AB674" i="11"/>
  <c r="CF673" i="11"/>
  <c r="DD673" i="11"/>
  <c r="DF673" i="11"/>
  <c r="BS673" i="11"/>
  <c r="AR673" i="11"/>
  <c r="AT673" i="11" s="1"/>
  <c r="AS673" i="11"/>
  <c r="AQ673" i="11"/>
  <c r="CE674" i="11"/>
  <c r="CG674" i="11" s="1"/>
  <c r="DU674" i="11"/>
  <c r="DV674" i="11"/>
  <c r="DI674" i="11"/>
  <c r="DH674" i="11"/>
  <c r="CR674" i="11"/>
  <c r="CT674" i="11" s="1"/>
  <c r="CU674" i="11"/>
  <c r="CV674" i="11"/>
  <c r="CI674" i="11"/>
  <c r="CH674" i="11"/>
  <c r="BU674" i="11"/>
  <c r="BV674" i="11"/>
  <c r="BI674" i="11"/>
  <c r="BH674" i="11"/>
  <c r="AU674" i="11"/>
  <c r="AV674" i="11"/>
  <c r="AI674" i="11"/>
  <c r="AH674" i="11"/>
  <c r="BN674" i="11"/>
  <c r="BO674" i="11"/>
  <c r="BR674" i="11" s="1"/>
  <c r="BT674" i="11" s="1"/>
  <c r="BP674" i="11"/>
  <c r="W675" i="11"/>
  <c r="AN674" i="11"/>
  <c r="AO674" i="11"/>
  <c r="AP674" i="11"/>
  <c r="Y674" i="11"/>
  <c r="AA674" i="11"/>
  <c r="BB674" i="11"/>
  <c r="BD674" i="11" s="1"/>
  <c r="BC674" i="11"/>
  <c r="BA674" i="11"/>
  <c r="DM674" i="11"/>
  <c r="DN674" i="11"/>
  <c r="CZ674" i="11"/>
  <c r="DA674" i="11"/>
  <c r="DP674" i="11"/>
  <c r="DB674" i="11"/>
  <c r="DE674" i="11" s="1"/>
  <c r="DG674" i="11" s="1"/>
  <c r="DJ674" i="11" s="1"/>
  <c r="CP674" i="11"/>
  <c r="CA674" i="11"/>
  <c r="CB674" i="11"/>
  <c r="CF674" i="11" s="1"/>
  <c r="CC674" i="11"/>
  <c r="BM674" i="11"/>
  <c r="CM674" i="11"/>
  <c r="AZ674" i="11"/>
  <c r="DC674" i="11"/>
  <c r="CN674" i="11"/>
  <c r="CO674" i="11"/>
  <c r="CQ674" i="11" s="1"/>
  <c r="BZ674" i="11"/>
  <c r="AM674" i="11"/>
  <c r="X674" i="11"/>
  <c r="C676" i="11"/>
  <c r="A676" i="11" s="1"/>
  <c r="EB675" i="11" l="1"/>
  <c r="Z675" i="11"/>
  <c r="F675" i="11" s="1"/>
  <c r="P675" i="11"/>
  <c r="CY673" i="11"/>
  <c r="AY672" i="11"/>
  <c r="BL672" i="11"/>
  <c r="B676" i="11"/>
  <c r="BJ673" i="11"/>
  <c r="BK673" i="11"/>
  <c r="BF673" i="11"/>
  <c r="CL673" i="11"/>
  <c r="AC674" i="11"/>
  <c r="AF674" i="11" s="1"/>
  <c r="BY673" i="11"/>
  <c r="DL673" i="11"/>
  <c r="EL672" i="11"/>
  <c r="CW674" i="11"/>
  <c r="CX674" i="11"/>
  <c r="CK674" i="11"/>
  <c r="CJ674" i="11"/>
  <c r="BW674" i="11"/>
  <c r="AW673" i="11"/>
  <c r="AX673" i="11"/>
  <c r="BX674" i="11"/>
  <c r="M674" i="11"/>
  <c r="L674" i="11"/>
  <c r="DK674" i="11"/>
  <c r="DL674" i="11" s="1"/>
  <c r="EK673" i="11"/>
  <c r="EJ673" i="11"/>
  <c r="EF673" i="11"/>
  <c r="EH675" i="11"/>
  <c r="ED675" i="11"/>
  <c r="EA675" i="11"/>
  <c r="EI675" i="11"/>
  <c r="EC675" i="11"/>
  <c r="DZ675" i="11"/>
  <c r="EE674" i="11"/>
  <c r="EG674" i="11" s="1"/>
  <c r="P676" i="11"/>
  <c r="BS674" i="11"/>
  <c r="CD674" i="11"/>
  <c r="CS674" i="11"/>
  <c r="AB675" i="11"/>
  <c r="BE674" i="11"/>
  <c r="BG674" i="11" s="1"/>
  <c r="DF674" i="11"/>
  <c r="BQ674" i="11"/>
  <c r="DD674" i="11"/>
  <c r="AR674" i="11"/>
  <c r="AT674" i="11" s="1"/>
  <c r="AS674" i="11"/>
  <c r="AQ674" i="11"/>
  <c r="CE675" i="11"/>
  <c r="CG675" i="11" s="1"/>
  <c r="DV675" i="11"/>
  <c r="DU675" i="11"/>
  <c r="DH675" i="11"/>
  <c r="DI675" i="11"/>
  <c r="CR675" i="11"/>
  <c r="CT675" i="11" s="1"/>
  <c r="CU675" i="11"/>
  <c r="CV675" i="11"/>
  <c r="CI675" i="11"/>
  <c r="CH675" i="11"/>
  <c r="BV675" i="11"/>
  <c r="BU675" i="11"/>
  <c r="BH675" i="11"/>
  <c r="BI675" i="11"/>
  <c r="AU675" i="11"/>
  <c r="AV675" i="11"/>
  <c r="AH675" i="11"/>
  <c r="AI675" i="11"/>
  <c r="BO675" i="11"/>
  <c r="BR675" i="11" s="1"/>
  <c r="BT675" i="11" s="1"/>
  <c r="BP675" i="11"/>
  <c r="BN675" i="11"/>
  <c r="W676" i="11"/>
  <c r="AP675" i="11"/>
  <c r="AN675" i="11"/>
  <c r="AO675" i="11"/>
  <c r="Y675" i="11"/>
  <c r="AA675" i="11"/>
  <c r="BA675" i="11"/>
  <c r="BC675" i="11"/>
  <c r="BB675" i="11"/>
  <c r="BD675" i="11" s="1"/>
  <c r="DP675" i="11"/>
  <c r="DB675" i="11"/>
  <c r="DE675" i="11" s="1"/>
  <c r="DG675" i="11" s="1"/>
  <c r="DC675" i="11"/>
  <c r="DN675" i="11"/>
  <c r="DA675" i="11"/>
  <c r="X675" i="11"/>
  <c r="CM675" i="11"/>
  <c r="CN675" i="11"/>
  <c r="CO675" i="11"/>
  <c r="CS675" i="11" s="1"/>
  <c r="BZ675" i="11"/>
  <c r="DM675" i="11"/>
  <c r="CP675" i="11"/>
  <c r="CA675" i="11"/>
  <c r="CB675" i="11"/>
  <c r="CD675" i="11" s="1"/>
  <c r="BM675" i="11"/>
  <c r="CC675" i="11"/>
  <c r="AZ675" i="11"/>
  <c r="CZ675" i="11"/>
  <c r="AM675" i="11"/>
  <c r="C677" i="11"/>
  <c r="A677" i="11" s="1"/>
  <c r="Z676" i="11" l="1"/>
  <c r="F676" i="11" s="1"/>
  <c r="EB676" i="11"/>
  <c r="ED676" i="11" s="1"/>
  <c r="AC675" i="11"/>
  <c r="AF675" i="11" s="1"/>
  <c r="B677" i="11"/>
  <c r="BL673" i="11"/>
  <c r="BJ674" i="11"/>
  <c r="BK674" i="11"/>
  <c r="BF674" i="11"/>
  <c r="BY674" i="11"/>
  <c r="CL674" i="11"/>
  <c r="CY674" i="11"/>
  <c r="AY673" i="11"/>
  <c r="EL673" i="11"/>
  <c r="EJ674" i="11"/>
  <c r="EK674" i="11"/>
  <c r="EF674" i="11"/>
  <c r="CW675" i="11"/>
  <c r="CX675" i="11"/>
  <c r="BW675" i="11"/>
  <c r="BX675" i="11"/>
  <c r="CK675" i="11"/>
  <c r="CJ675" i="11"/>
  <c r="CL675" i="11" s="1"/>
  <c r="DK675" i="11"/>
  <c r="DJ675" i="11"/>
  <c r="M675" i="11"/>
  <c r="L675" i="11"/>
  <c r="AW674" i="11"/>
  <c r="AX674" i="11"/>
  <c r="EC676" i="11"/>
  <c r="DZ676" i="11"/>
  <c r="EI676" i="11"/>
  <c r="EH676" i="11"/>
  <c r="EA676" i="11"/>
  <c r="EE675" i="11"/>
  <c r="EG675" i="11" s="1"/>
  <c r="P677" i="11"/>
  <c r="CF675" i="11"/>
  <c r="CQ675" i="11"/>
  <c r="AB676" i="11"/>
  <c r="BS675" i="11"/>
  <c r="DF675" i="11"/>
  <c r="BE675" i="11"/>
  <c r="BG675" i="11" s="1"/>
  <c r="DD675" i="11"/>
  <c r="BQ675" i="11"/>
  <c r="AR675" i="11"/>
  <c r="AT675" i="11" s="1"/>
  <c r="AS675" i="11"/>
  <c r="AQ675" i="11"/>
  <c r="CE676" i="11"/>
  <c r="CG676" i="11" s="1"/>
  <c r="DV676" i="11"/>
  <c r="DU676" i="11"/>
  <c r="DH676" i="11"/>
  <c r="DI676" i="11"/>
  <c r="CR676" i="11"/>
  <c r="CT676" i="11" s="1"/>
  <c r="CU676" i="11"/>
  <c r="CV676" i="11"/>
  <c r="CI676" i="11"/>
  <c r="BU676" i="11"/>
  <c r="BV676" i="11"/>
  <c r="CH676" i="11"/>
  <c r="BH676" i="11"/>
  <c r="BI676" i="11"/>
  <c r="AU676" i="11"/>
  <c r="AV676" i="11"/>
  <c r="AH676" i="11"/>
  <c r="AI676" i="11"/>
  <c r="BP676" i="11"/>
  <c r="BN676" i="11"/>
  <c r="BO676" i="11"/>
  <c r="BR676" i="11" s="1"/>
  <c r="BT676" i="11" s="1"/>
  <c r="AO676" i="11"/>
  <c r="AP676" i="11"/>
  <c r="AA676" i="11"/>
  <c r="AN676" i="11"/>
  <c r="Y676" i="11"/>
  <c r="BA676" i="11"/>
  <c r="BB676" i="11"/>
  <c r="BD676" i="11" s="1"/>
  <c r="BC676" i="11"/>
  <c r="DM676" i="11"/>
  <c r="DN676" i="11"/>
  <c r="CZ676" i="11"/>
  <c r="DA676" i="11"/>
  <c r="DP676" i="11"/>
  <c r="DB676" i="11"/>
  <c r="DE676" i="11" s="1"/>
  <c r="DG676" i="11" s="1"/>
  <c r="CP676" i="11"/>
  <c r="CA676" i="11"/>
  <c r="AM676" i="11"/>
  <c r="DC676" i="11"/>
  <c r="CB676" i="11"/>
  <c r="CD676" i="11" s="1"/>
  <c r="X676" i="11"/>
  <c r="CC676" i="11"/>
  <c r="CM676" i="11"/>
  <c r="CN676" i="11"/>
  <c r="BM676" i="11"/>
  <c r="CO676" i="11"/>
  <c r="CS676" i="11" s="1"/>
  <c r="BZ676" i="11"/>
  <c r="AZ676" i="11"/>
  <c r="W677" i="11"/>
  <c r="C678" i="11"/>
  <c r="A678" i="11" s="1"/>
  <c r="EB677" i="11" l="1"/>
  <c r="ED677" i="11" s="1"/>
  <c r="Z677" i="11"/>
  <c r="F677" i="11" s="1"/>
  <c r="BL674" i="11"/>
  <c r="CY675" i="11"/>
  <c r="B678" i="11"/>
  <c r="BF675" i="11"/>
  <c r="BJ675" i="11"/>
  <c r="BK675" i="11"/>
  <c r="BY675" i="11"/>
  <c r="AY674" i="11"/>
  <c r="M676" i="11"/>
  <c r="DL675" i="11"/>
  <c r="AC676" i="11"/>
  <c r="AF676" i="11" s="1"/>
  <c r="EL674" i="11"/>
  <c r="CW676" i="11"/>
  <c r="CX676" i="11"/>
  <c r="BW676" i="11"/>
  <c r="BX676" i="11"/>
  <c r="CK676" i="11"/>
  <c r="CJ676" i="11"/>
  <c r="DJ676" i="11"/>
  <c r="DK676" i="11"/>
  <c r="AW675" i="11"/>
  <c r="AX675" i="11"/>
  <c r="EK675" i="11"/>
  <c r="EJ675" i="11"/>
  <c r="EF675" i="11"/>
  <c r="L676" i="11"/>
  <c r="EA677" i="11"/>
  <c r="EI677" i="11"/>
  <c r="EH677" i="11"/>
  <c r="EC677" i="11"/>
  <c r="DZ677" i="11"/>
  <c r="EE676" i="11"/>
  <c r="EG676" i="11" s="1"/>
  <c r="P678" i="11"/>
  <c r="BS676" i="11"/>
  <c r="CF676" i="11"/>
  <c r="AB677" i="11"/>
  <c r="CQ676" i="11"/>
  <c r="BE676" i="11"/>
  <c r="BG676" i="11" s="1"/>
  <c r="DD676" i="11"/>
  <c r="DF676" i="11"/>
  <c r="BQ676" i="11"/>
  <c r="AR676" i="11"/>
  <c r="AT676" i="11" s="1"/>
  <c r="AQ676" i="11"/>
  <c r="AS676" i="11"/>
  <c r="CE677" i="11"/>
  <c r="CG677" i="11" s="1"/>
  <c r="DU677" i="11"/>
  <c r="DV677" i="11"/>
  <c r="DI677" i="11"/>
  <c r="DH677" i="11"/>
  <c r="CR677" i="11"/>
  <c r="CT677" i="11" s="1"/>
  <c r="CV677" i="11"/>
  <c r="CU677" i="11"/>
  <c r="CI677" i="11"/>
  <c r="CH677" i="11"/>
  <c r="BU677" i="11"/>
  <c r="BV677" i="11"/>
  <c r="BH677" i="11"/>
  <c r="BI677" i="11"/>
  <c r="AU677" i="11"/>
  <c r="AH677" i="11"/>
  <c r="AI677" i="11"/>
  <c r="AV677" i="11"/>
  <c r="BN677" i="11"/>
  <c r="BO677" i="11"/>
  <c r="BR677" i="11" s="1"/>
  <c r="BT677" i="11" s="1"/>
  <c r="BP677" i="11"/>
  <c r="AN677" i="11"/>
  <c r="AO677" i="11"/>
  <c r="AP677" i="11"/>
  <c r="Y677" i="11"/>
  <c r="AA677" i="11"/>
  <c r="BC677" i="11"/>
  <c r="BA677" i="11"/>
  <c r="BB677" i="11"/>
  <c r="BD677" i="11" s="1"/>
  <c r="DP677" i="11"/>
  <c r="DB677" i="11"/>
  <c r="DE677" i="11" s="1"/>
  <c r="DG677" i="11" s="1"/>
  <c r="DC677" i="11"/>
  <c r="DN677" i="11"/>
  <c r="AZ677" i="11"/>
  <c r="CM677" i="11"/>
  <c r="AM677" i="11"/>
  <c r="CZ677" i="11"/>
  <c r="CN677" i="11"/>
  <c r="X677" i="11"/>
  <c r="DA677" i="11"/>
  <c r="CO677" i="11"/>
  <c r="CS677" i="11" s="1"/>
  <c r="BZ677" i="11"/>
  <c r="CP677" i="11"/>
  <c r="CA677" i="11"/>
  <c r="DM677" i="11"/>
  <c r="CB677" i="11"/>
  <c r="CD677" i="11" s="1"/>
  <c r="CC677" i="11"/>
  <c r="BM677" i="11"/>
  <c r="W678" i="11"/>
  <c r="C679" i="11"/>
  <c r="A679" i="11" s="1"/>
  <c r="EB678" i="11" l="1"/>
  <c r="ED678" i="11" s="1"/>
  <c r="Z678" i="11"/>
  <c r="F678" i="11" s="1"/>
  <c r="AY675" i="11"/>
  <c r="BL675" i="11"/>
  <c r="B679" i="11"/>
  <c r="BF676" i="11"/>
  <c r="BJ676" i="11"/>
  <c r="BK676" i="11"/>
  <c r="EL675" i="11"/>
  <c r="BY676" i="11"/>
  <c r="CL676" i="11"/>
  <c r="CY676" i="11"/>
  <c r="BX677" i="11"/>
  <c r="BW677" i="11"/>
  <c r="L677" i="11"/>
  <c r="DL676" i="11"/>
  <c r="AC677" i="11"/>
  <c r="AF677" i="11" s="1"/>
  <c r="EK676" i="11"/>
  <c r="EJ676" i="11"/>
  <c r="EF676" i="11"/>
  <c r="CJ677" i="11"/>
  <c r="CK677" i="11"/>
  <c r="DJ677" i="11"/>
  <c r="DK677" i="11"/>
  <c r="CX677" i="11"/>
  <c r="CW677" i="11"/>
  <c r="AW676" i="11"/>
  <c r="AX676" i="11"/>
  <c r="M677" i="11"/>
  <c r="EC678" i="11"/>
  <c r="EA678" i="11"/>
  <c r="DZ678" i="11"/>
  <c r="EI678" i="11"/>
  <c r="EH678" i="11"/>
  <c r="EE677" i="11"/>
  <c r="P679" i="11"/>
  <c r="BS677" i="11"/>
  <c r="CF677" i="11"/>
  <c r="CQ677" i="11"/>
  <c r="BE677" i="11"/>
  <c r="BG677" i="11" s="1"/>
  <c r="DD677" i="11"/>
  <c r="DF677" i="11"/>
  <c r="AB678" i="11"/>
  <c r="AC678" i="11" s="1"/>
  <c r="AF678" i="11" s="1"/>
  <c r="BQ677" i="11"/>
  <c r="AR677" i="11"/>
  <c r="AT677" i="11" s="1"/>
  <c r="AS677" i="11"/>
  <c r="AQ677" i="11"/>
  <c r="CE678" i="11"/>
  <c r="CG678" i="11" s="1"/>
  <c r="DV678" i="11"/>
  <c r="DU678" i="11"/>
  <c r="DH678" i="11"/>
  <c r="DI678" i="11"/>
  <c r="CV678" i="11"/>
  <c r="CR678" i="11"/>
  <c r="CT678" i="11" s="1"/>
  <c r="CU678" i="11"/>
  <c r="CI678" i="11"/>
  <c r="CH678" i="11"/>
  <c r="BU678" i="11"/>
  <c r="BV678" i="11"/>
  <c r="BH678" i="11"/>
  <c r="BI678" i="11"/>
  <c r="AU678" i="11"/>
  <c r="AV678" i="11"/>
  <c r="AH678" i="11"/>
  <c r="AI678" i="11"/>
  <c r="BN678" i="11"/>
  <c r="BO678" i="11"/>
  <c r="BR678" i="11" s="1"/>
  <c r="BT678" i="11" s="1"/>
  <c r="BP678" i="11"/>
  <c r="W679" i="11"/>
  <c r="AO678" i="11"/>
  <c r="AP678" i="11"/>
  <c r="AN678" i="11"/>
  <c r="Y678" i="11"/>
  <c r="AA678" i="11"/>
  <c r="BC678" i="11"/>
  <c r="BA678" i="11"/>
  <c r="BB678" i="11"/>
  <c r="BD678" i="11" s="1"/>
  <c r="DM678" i="11"/>
  <c r="DN678" i="11"/>
  <c r="CZ678" i="11"/>
  <c r="DA678" i="11"/>
  <c r="DP678" i="11"/>
  <c r="DB678" i="11"/>
  <c r="DE678" i="11" s="1"/>
  <c r="DG678" i="11" s="1"/>
  <c r="CP678" i="11"/>
  <c r="CA678" i="11"/>
  <c r="BM678" i="11"/>
  <c r="CB678" i="11"/>
  <c r="CF678" i="11" s="1"/>
  <c r="AZ678" i="11"/>
  <c r="CC678" i="11"/>
  <c r="AM678" i="11"/>
  <c r="X678" i="11"/>
  <c r="DC678" i="11"/>
  <c r="CM678" i="11"/>
  <c r="CN678" i="11"/>
  <c r="CO678" i="11"/>
  <c r="CS678" i="11" s="1"/>
  <c r="BZ678" i="11"/>
  <c r="C680" i="11"/>
  <c r="A680" i="11" s="1"/>
  <c r="EB679" i="11" l="1"/>
  <c r="Z679" i="11"/>
  <c r="F679" i="11" s="1"/>
  <c r="AY676" i="11"/>
  <c r="B680" i="11"/>
  <c r="BY677" i="11"/>
  <c r="BL676" i="11"/>
  <c r="BF677" i="11"/>
  <c r="BJ677" i="11"/>
  <c r="BK677" i="11"/>
  <c r="CY677" i="11"/>
  <c r="DL677" i="11"/>
  <c r="BW678" i="11"/>
  <c r="BX678" i="11"/>
  <c r="EG677" i="11"/>
  <c r="EK677" i="11" s="1"/>
  <c r="CL677" i="11"/>
  <c r="EL676" i="11"/>
  <c r="CK678" i="11"/>
  <c r="CJ678" i="11"/>
  <c r="CW678" i="11"/>
  <c r="CX678" i="11"/>
  <c r="DJ678" i="11"/>
  <c r="DK678" i="11"/>
  <c r="M678" i="11"/>
  <c r="L678" i="11"/>
  <c r="AW677" i="11"/>
  <c r="AX677" i="11"/>
  <c r="EH679" i="11"/>
  <c r="ED679" i="11"/>
  <c r="EA679" i="11"/>
  <c r="EC679" i="11"/>
  <c r="DZ679" i="11"/>
  <c r="EI679" i="11"/>
  <c r="EE678" i="11"/>
  <c r="P680" i="11"/>
  <c r="DD678" i="11"/>
  <c r="BE678" i="11"/>
  <c r="BG678" i="11" s="1"/>
  <c r="DF678" i="11"/>
  <c r="BQ678" i="11"/>
  <c r="BS678" i="11"/>
  <c r="CD678" i="11"/>
  <c r="CQ678" i="11"/>
  <c r="AB679" i="11"/>
  <c r="AR678" i="11"/>
  <c r="AT678" i="11" s="1"/>
  <c r="AQ678" i="11"/>
  <c r="AS678" i="11"/>
  <c r="CE679" i="11"/>
  <c r="CG679" i="11" s="1"/>
  <c r="DU679" i="11"/>
  <c r="DV679" i="11"/>
  <c r="DH679" i="11"/>
  <c r="DI679" i="11"/>
  <c r="CU679" i="11"/>
  <c r="CV679" i="11"/>
  <c r="CR679" i="11"/>
  <c r="CT679" i="11" s="1"/>
  <c r="CI679" i="11"/>
  <c r="CH679" i="11"/>
  <c r="BU679" i="11"/>
  <c r="BV679" i="11"/>
  <c r="BH679" i="11"/>
  <c r="BI679" i="11"/>
  <c r="AU679" i="11"/>
  <c r="AV679" i="11"/>
  <c r="AH679" i="11"/>
  <c r="AI679" i="11"/>
  <c r="BO679" i="11"/>
  <c r="BR679" i="11" s="1"/>
  <c r="BT679" i="11" s="1"/>
  <c r="BP679" i="11"/>
  <c r="BN679" i="11"/>
  <c r="W680" i="11"/>
  <c r="AN679" i="11"/>
  <c r="AO679" i="11"/>
  <c r="AP679" i="11"/>
  <c r="AA679" i="11"/>
  <c r="Y679" i="11"/>
  <c r="BA679" i="11"/>
  <c r="BC679" i="11"/>
  <c r="BB679" i="11"/>
  <c r="BD679" i="11" s="1"/>
  <c r="DP679" i="11"/>
  <c r="DB679" i="11"/>
  <c r="DE679" i="11" s="1"/>
  <c r="DG679" i="11" s="1"/>
  <c r="DC679" i="11"/>
  <c r="DN679" i="11"/>
  <c r="CM679" i="11"/>
  <c r="BM679" i="11"/>
  <c r="CN679" i="11"/>
  <c r="AZ679" i="11"/>
  <c r="CO679" i="11"/>
  <c r="CS679" i="11" s="1"/>
  <c r="BZ679" i="11"/>
  <c r="AM679" i="11"/>
  <c r="CP679" i="11"/>
  <c r="CA679" i="11"/>
  <c r="X679" i="11"/>
  <c r="CZ679" i="11"/>
  <c r="CB679" i="11"/>
  <c r="CD679" i="11" s="1"/>
  <c r="DM679" i="11"/>
  <c r="DA679" i="11"/>
  <c r="CC679" i="11"/>
  <c r="C681" i="11"/>
  <c r="A681" i="11" s="1"/>
  <c r="EB680" i="11" l="1"/>
  <c r="ED680" i="11" s="1"/>
  <c r="Z680" i="11"/>
  <c r="F680" i="11" s="1"/>
  <c r="B681" i="11"/>
  <c r="CY678" i="11"/>
  <c r="BL677" i="11"/>
  <c r="BF678" i="11"/>
  <c r="BJ678" i="11"/>
  <c r="BK678" i="11"/>
  <c r="DL678" i="11"/>
  <c r="AC679" i="11"/>
  <c r="AF679" i="11" s="1"/>
  <c r="L679" i="11"/>
  <c r="BY678" i="11"/>
  <c r="M679" i="11"/>
  <c r="CL678" i="11"/>
  <c r="EF677" i="11"/>
  <c r="AY677" i="11"/>
  <c r="EJ677" i="11"/>
  <c r="EL677" i="11" s="1"/>
  <c r="EG678" i="11"/>
  <c r="EK678" i="11" s="1"/>
  <c r="BX679" i="11"/>
  <c r="BW679" i="11"/>
  <c r="CK679" i="11"/>
  <c r="CJ679" i="11"/>
  <c r="DK679" i="11"/>
  <c r="DJ679" i="11"/>
  <c r="CW679" i="11"/>
  <c r="CX679" i="11"/>
  <c r="AW678" i="11"/>
  <c r="AX678" i="11"/>
  <c r="EE679" i="11"/>
  <c r="EC680" i="11"/>
  <c r="DZ680" i="11"/>
  <c r="EI680" i="11"/>
  <c r="EH680" i="11"/>
  <c r="EA680" i="11"/>
  <c r="P681" i="11"/>
  <c r="BE679" i="11"/>
  <c r="BG679" i="11" s="1"/>
  <c r="DD679" i="11"/>
  <c r="AB680" i="11"/>
  <c r="DF679" i="11"/>
  <c r="CF679" i="11"/>
  <c r="BQ679" i="11"/>
  <c r="BS679" i="11"/>
  <c r="CQ679" i="11"/>
  <c r="AR679" i="11"/>
  <c r="AT679" i="11" s="1"/>
  <c r="AS679" i="11"/>
  <c r="AQ679" i="11"/>
  <c r="CE680" i="11"/>
  <c r="CG680" i="11" s="1"/>
  <c r="DV680" i="11"/>
  <c r="DU680" i="11"/>
  <c r="DH680" i="11"/>
  <c r="DI680" i="11"/>
  <c r="CU680" i="11"/>
  <c r="CV680" i="11"/>
  <c r="CR680" i="11"/>
  <c r="CT680" i="11" s="1"/>
  <c r="CI680" i="11"/>
  <c r="CH680" i="11"/>
  <c r="BV680" i="11"/>
  <c r="BU680" i="11"/>
  <c r="AV680" i="11"/>
  <c r="BH680" i="11"/>
  <c r="BI680" i="11"/>
  <c r="AU680" i="11"/>
  <c r="AI680" i="11"/>
  <c r="AH680" i="11"/>
  <c r="BN680" i="11"/>
  <c r="BP680" i="11"/>
  <c r="BO680" i="11"/>
  <c r="BR680" i="11" s="1"/>
  <c r="BT680" i="11" s="1"/>
  <c r="W681" i="11"/>
  <c r="AN680" i="11"/>
  <c r="AP680" i="11"/>
  <c r="Y680" i="11"/>
  <c r="AO680" i="11"/>
  <c r="AA680" i="11"/>
  <c r="BA680" i="11"/>
  <c r="BB680" i="11"/>
  <c r="BC680" i="11"/>
  <c r="DM680" i="11"/>
  <c r="DN680" i="11"/>
  <c r="CZ680" i="11"/>
  <c r="DA680" i="11"/>
  <c r="DP680" i="11"/>
  <c r="DB680" i="11"/>
  <c r="DE680" i="11" s="1"/>
  <c r="DG680" i="11" s="1"/>
  <c r="CP680" i="11"/>
  <c r="CA680" i="11"/>
  <c r="CB680" i="11"/>
  <c r="CF680" i="11" s="1"/>
  <c r="CC680" i="11"/>
  <c r="BM680" i="11"/>
  <c r="AZ680" i="11"/>
  <c r="AM680" i="11"/>
  <c r="CM680" i="11"/>
  <c r="CN680" i="11"/>
  <c r="DC680" i="11"/>
  <c r="CO680" i="11"/>
  <c r="CS680" i="11" s="1"/>
  <c r="BZ680" i="11"/>
  <c r="X680" i="11"/>
  <c r="C682" i="11"/>
  <c r="A682" i="11" s="1"/>
  <c r="EB681" i="11" l="1"/>
  <c r="ED681" i="11" s="1"/>
  <c r="Z681" i="11"/>
  <c r="F681" i="11" s="1"/>
  <c r="AY678" i="11"/>
  <c r="B682" i="11"/>
  <c r="DL679" i="11"/>
  <c r="EG679" i="11"/>
  <c r="BD680" i="11"/>
  <c r="BE680" i="11" s="1"/>
  <c r="BG680" i="11" s="1"/>
  <c r="BL678" i="11"/>
  <c r="BK679" i="11"/>
  <c r="BJ679" i="11"/>
  <c r="BF679" i="11"/>
  <c r="EJ678" i="11"/>
  <c r="BY679" i="11"/>
  <c r="L680" i="11"/>
  <c r="EF678" i="11"/>
  <c r="AC680" i="11"/>
  <c r="AF680" i="11" s="1"/>
  <c r="M680" i="11"/>
  <c r="CY679" i="11"/>
  <c r="CL679" i="11"/>
  <c r="EL678" i="11"/>
  <c r="DJ680" i="11"/>
  <c r="DK680" i="11"/>
  <c r="EK679" i="11"/>
  <c r="EJ679" i="11"/>
  <c r="EF679" i="11"/>
  <c r="CK680" i="11"/>
  <c r="CJ680" i="11"/>
  <c r="BW680" i="11"/>
  <c r="BX680" i="11"/>
  <c r="CX680" i="11"/>
  <c r="AW679" i="11"/>
  <c r="AX679" i="11"/>
  <c r="CW680" i="11"/>
  <c r="EA681" i="11"/>
  <c r="EI681" i="11"/>
  <c r="EH681" i="11"/>
  <c r="EC681" i="11"/>
  <c r="DZ681" i="11"/>
  <c r="EE680" i="11"/>
  <c r="EG680" i="11" s="1"/>
  <c r="P682" i="11"/>
  <c r="BQ680" i="11"/>
  <c r="BS680" i="11"/>
  <c r="CD680" i="11"/>
  <c r="CQ680" i="11"/>
  <c r="AB681" i="11"/>
  <c r="DD680" i="11"/>
  <c r="DF680" i="11"/>
  <c r="AR680" i="11"/>
  <c r="AT680" i="11" s="1"/>
  <c r="AS680" i="11"/>
  <c r="AQ680" i="11"/>
  <c r="CE681" i="11"/>
  <c r="CG681" i="11" s="1"/>
  <c r="DU681" i="11"/>
  <c r="DV681" i="11"/>
  <c r="DH681" i="11"/>
  <c r="DI681" i="11"/>
  <c r="CU681" i="11"/>
  <c r="CV681" i="11"/>
  <c r="CR681" i="11"/>
  <c r="CT681" i="11" s="1"/>
  <c r="CI681" i="11"/>
  <c r="CH681" i="11"/>
  <c r="BU681" i="11"/>
  <c r="BV681" i="11"/>
  <c r="BI681" i="11"/>
  <c r="AU681" i="11"/>
  <c r="AV681" i="11"/>
  <c r="BH681" i="11"/>
  <c r="AH681" i="11"/>
  <c r="AI681" i="11"/>
  <c r="BN681" i="11"/>
  <c r="BO681" i="11"/>
  <c r="BR681" i="11" s="1"/>
  <c r="BT681" i="11" s="1"/>
  <c r="BP681" i="11"/>
  <c r="AP681" i="11"/>
  <c r="AN681" i="11"/>
  <c r="AO681" i="11"/>
  <c r="AA681" i="11"/>
  <c r="Y681" i="11"/>
  <c r="BB681" i="11"/>
  <c r="BC681" i="11"/>
  <c r="BA681" i="11"/>
  <c r="DP681" i="11"/>
  <c r="DB681" i="11"/>
  <c r="DE681" i="11" s="1"/>
  <c r="DG681" i="11" s="1"/>
  <c r="DC681" i="11"/>
  <c r="DN681" i="11"/>
  <c r="CZ681" i="11"/>
  <c r="DA681" i="11"/>
  <c r="CM681" i="11"/>
  <c r="CN681" i="11"/>
  <c r="CO681" i="11"/>
  <c r="CS681" i="11" s="1"/>
  <c r="BZ681" i="11"/>
  <c r="BM681" i="11"/>
  <c r="CP681" i="11"/>
  <c r="CA681" i="11"/>
  <c r="AZ681" i="11"/>
  <c r="CB681" i="11"/>
  <c r="CD681" i="11" s="1"/>
  <c r="CC681" i="11"/>
  <c r="DM681" i="11"/>
  <c r="AM681" i="11"/>
  <c r="X681" i="11"/>
  <c r="W682" i="11"/>
  <c r="C683" i="11"/>
  <c r="A683" i="11" s="1"/>
  <c r="EB682" i="11" l="1"/>
  <c r="Z682" i="11"/>
  <c r="F682" i="11" s="1"/>
  <c r="BL679" i="11"/>
  <c r="B683" i="11"/>
  <c r="BJ680" i="11"/>
  <c r="BK680" i="11"/>
  <c r="BF680" i="11"/>
  <c r="CY680" i="11"/>
  <c r="BD681" i="11"/>
  <c r="BE681" i="11" s="1"/>
  <c r="BG681" i="11" s="1"/>
  <c r="AC681" i="11"/>
  <c r="AF681" i="11" s="1"/>
  <c r="CL680" i="11"/>
  <c r="BY680" i="11"/>
  <c r="DL680" i="11"/>
  <c r="DK681" i="11"/>
  <c r="DJ681" i="11"/>
  <c r="AY679" i="11"/>
  <c r="EL679" i="11"/>
  <c r="CW681" i="11"/>
  <c r="CX681" i="11"/>
  <c r="BW681" i="11"/>
  <c r="BX681" i="11"/>
  <c r="EJ680" i="11"/>
  <c r="EK680" i="11"/>
  <c r="EF680" i="11"/>
  <c r="CK681" i="11"/>
  <c r="CJ681" i="11"/>
  <c r="AW680" i="11"/>
  <c r="AX680" i="11"/>
  <c r="M681" i="11"/>
  <c r="L681" i="11"/>
  <c r="EE681" i="11"/>
  <c r="EC682" i="11"/>
  <c r="DZ682" i="11"/>
  <c r="EI682" i="11"/>
  <c r="EH682" i="11"/>
  <c r="ED682" i="11"/>
  <c r="EA682" i="11"/>
  <c r="P683" i="11"/>
  <c r="BS681" i="11"/>
  <c r="CF681" i="11"/>
  <c r="CQ681" i="11"/>
  <c r="DD681" i="11"/>
  <c r="DF681" i="11"/>
  <c r="AB682" i="11"/>
  <c r="BQ681" i="11"/>
  <c r="AR681" i="11"/>
  <c r="AT681" i="11" s="1"/>
  <c r="AS681" i="11"/>
  <c r="AQ681" i="11"/>
  <c r="CE682" i="11"/>
  <c r="CG682" i="11" s="1"/>
  <c r="DV682" i="11"/>
  <c r="DU682" i="11"/>
  <c r="DI682" i="11"/>
  <c r="DH682" i="11"/>
  <c r="CR682" i="11"/>
  <c r="CT682" i="11" s="1"/>
  <c r="CU682" i="11"/>
  <c r="CV682" i="11"/>
  <c r="CI682" i="11"/>
  <c r="CH682" i="11"/>
  <c r="BU682" i="11"/>
  <c r="BV682" i="11"/>
  <c r="BI682" i="11"/>
  <c r="BH682" i="11"/>
  <c r="AU682" i="11"/>
  <c r="AV682" i="11"/>
  <c r="AI682" i="11"/>
  <c r="AH682" i="11"/>
  <c r="BN682" i="11"/>
  <c r="BO682" i="11"/>
  <c r="BR682" i="11" s="1"/>
  <c r="BT682" i="11" s="1"/>
  <c r="BP682" i="11"/>
  <c r="W683" i="11"/>
  <c r="AN682" i="11"/>
  <c r="AO682" i="11"/>
  <c r="AP682" i="11"/>
  <c r="Y682" i="11"/>
  <c r="AA682" i="11"/>
  <c r="BA682" i="11"/>
  <c r="BB682" i="11"/>
  <c r="BC682" i="11"/>
  <c r="DM682" i="11"/>
  <c r="DN682" i="11"/>
  <c r="CZ682" i="11"/>
  <c r="DA682" i="11"/>
  <c r="DP682" i="11"/>
  <c r="DB682" i="11"/>
  <c r="DE682" i="11" s="1"/>
  <c r="DG682" i="11" s="1"/>
  <c r="CP682" i="11"/>
  <c r="CA682" i="11"/>
  <c r="CB682" i="11"/>
  <c r="CF682" i="11" s="1"/>
  <c r="DC682" i="11"/>
  <c r="CC682" i="11"/>
  <c r="BM682" i="11"/>
  <c r="CM682" i="11"/>
  <c r="AZ682" i="11"/>
  <c r="CN682" i="11"/>
  <c r="CO682" i="11"/>
  <c r="CQ682" i="11" s="1"/>
  <c r="BZ682" i="11"/>
  <c r="X682" i="11"/>
  <c r="AM682" i="11"/>
  <c r="C684" i="11"/>
  <c r="A684" i="11" s="1"/>
  <c r="EB683" i="11" l="1"/>
  <c r="Z683" i="11"/>
  <c r="F683" i="11" s="1"/>
  <c r="BL680" i="11"/>
  <c r="AC682" i="11"/>
  <c r="AF682" i="11" s="1"/>
  <c r="CL681" i="11"/>
  <c r="B684" i="11"/>
  <c r="BK681" i="11"/>
  <c r="BF681" i="11"/>
  <c r="BJ681" i="11"/>
  <c r="BL681" i="11" s="1"/>
  <c r="BD682" i="11"/>
  <c r="BE682" i="11" s="1"/>
  <c r="BG682" i="11" s="1"/>
  <c r="CY681" i="11"/>
  <c r="BY681" i="11"/>
  <c r="EG681" i="11"/>
  <c r="EJ681" i="11" s="1"/>
  <c r="DL681" i="11"/>
  <c r="EL680" i="11"/>
  <c r="BW682" i="11"/>
  <c r="BX682" i="11"/>
  <c r="DJ682" i="11"/>
  <c r="DK682" i="11"/>
  <c r="CK682" i="11"/>
  <c r="CJ682" i="11"/>
  <c r="CX682" i="11"/>
  <c r="CW682" i="11"/>
  <c r="M682" i="11"/>
  <c r="AY680" i="11"/>
  <c r="AW681" i="11"/>
  <c r="AX681" i="11"/>
  <c r="L682" i="11"/>
  <c r="EK681" i="11"/>
  <c r="EE682" i="11"/>
  <c r="EG682" i="11" s="1"/>
  <c r="EH683" i="11"/>
  <c r="ED683" i="11"/>
  <c r="EA683" i="11"/>
  <c r="EC683" i="11"/>
  <c r="DZ683" i="11"/>
  <c r="EI683" i="11"/>
  <c r="P684" i="11"/>
  <c r="DF682" i="11"/>
  <c r="BQ682" i="11"/>
  <c r="DD682" i="11"/>
  <c r="AB683" i="11"/>
  <c r="BS682" i="11"/>
  <c r="CD682" i="11"/>
  <c r="CS682" i="11"/>
  <c r="AR682" i="11"/>
  <c r="AT682" i="11" s="1"/>
  <c r="AS682" i="11"/>
  <c r="AQ682" i="11"/>
  <c r="CE683" i="11"/>
  <c r="CG683" i="11" s="1"/>
  <c r="CK683" i="11" s="1"/>
  <c r="DU683" i="11"/>
  <c r="DV683" i="11"/>
  <c r="DH683" i="11"/>
  <c r="DI683" i="11"/>
  <c r="CR683" i="11"/>
  <c r="CT683" i="11" s="1"/>
  <c r="CU683" i="11"/>
  <c r="CV683" i="11"/>
  <c r="CI683" i="11"/>
  <c r="CH683" i="11"/>
  <c r="BV683" i="11"/>
  <c r="BU683" i="11"/>
  <c r="BH683" i="11"/>
  <c r="BI683" i="11"/>
  <c r="AU683" i="11"/>
  <c r="AV683" i="11"/>
  <c r="AH683" i="11"/>
  <c r="AI683" i="11"/>
  <c r="BO683" i="11"/>
  <c r="BR683" i="11" s="1"/>
  <c r="BT683" i="11" s="1"/>
  <c r="BP683" i="11"/>
  <c r="BN683" i="11"/>
  <c r="AN683" i="11"/>
  <c r="AP683" i="11"/>
  <c r="AO683" i="11"/>
  <c r="Y683" i="11"/>
  <c r="AA683" i="11"/>
  <c r="BA683" i="11"/>
  <c r="BB683" i="11"/>
  <c r="BC683" i="11"/>
  <c r="DP683" i="11"/>
  <c r="DB683" i="11"/>
  <c r="DE683" i="11" s="1"/>
  <c r="DG683" i="11" s="1"/>
  <c r="DC683" i="11"/>
  <c r="DN683" i="11"/>
  <c r="DM683" i="11"/>
  <c r="X683" i="11"/>
  <c r="CM683" i="11"/>
  <c r="CN683" i="11"/>
  <c r="CZ683" i="11"/>
  <c r="CO683" i="11"/>
  <c r="CQ683" i="11" s="1"/>
  <c r="BZ683" i="11"/>
  <c r="DA683" i="11"/>
  <c r="CP683" i="11"/>
  <c r="CA683" i="11"/>
  <c r="CB683" i="11"/>
  <c r="CD683" i="11" s="1"/>
  <c r="BM683" i="11"/>
  <c r="CC683" i="11"/>
  <c r="AZ683" i="11"/>
  <c r="AM683" i="11"/>
  <c r="W684" i="11"/>
  <c r="C685" i="11"/>
  <c r="A685" i="11" s="1"/>
  <c r="EB684" i="11" l="1"/>
  <c r="ED684" i="11" s="1"/>
  <c r="Z684" i="11"/>
  <c r="F684" i="11" s="1"/>
  <c r="CL682" i="11"/>
  <c r="B685" i="11"/>
  <c r="BJ682" i="11"/>
  <c r="BK682" i="11"/>
  <c r="BF682" i="11"/>
  <c r="BD683" i="11"/>
  <c r="BE683" i="11" s="1"/>
  <c r="BG683" i="11" s="1"/>
  <c r="AC683" i="11"/>
  <c r="AF683" i="11" s="1"/>
  <c r="EL681" i="11"/>
  <c r="M683" i="11"/>
  <c r="DL682" i="11"/>
  <c r="CY682" i="11"/>
  <c r="EF681" i="11"/>
  <c r="AY681" i="11"/>
  <c r="BY682" i="11"/>
  <c r="DJ683" i="11"/>
  <c r="DK683" i="11"/>
  <c r="CX683" i="11"/>
  <c r="CW683" i="11"/>
  <c r="EJ682" i="11"/>
  <c r="EK682" i="11"/>
  <c r="EF682" i="11"/>
  <c r="BX683" i="11"/>
  <c r="BW683" i="11"/>
  <c r="L683" i="11"/>
  <c r="AW682" i="11"/>
  <c r="AX682" i="11"/>
  <c r="CJ683" i="11"/>
  <c r="CL683" i="11" s="1"/>
  <c r="EC684" i="11"/>
  <c r="DZ684" i="11"/>
  <c r="EH684" i="11"/>
  <c r="EA684" i="11"/>
  <c r="EI684" i="11"/>
  <c r="EE683" i="11"/>
  <c r="EG683" i="11" s="1"/>
  <c r="P685" i="11"/>
  <c r="CS683" i="11"/>
  <c r="CF683" i="11"/>
  <c r="DF683" i="11"/>
  <c r="BQ683" i="11"/>
  <c r="DD683" i="11"/>
  <c r="BS683" i="11"/>
  <c r="AB684" i="11"/>
  <c r="AR683" i="11"/>
  <c r="AT683" i="11" s="1"/>
  <c r="AS683" i="11"/>
  <c r="AQ683" i="11"/>
  <c r="CE684" i="11"/>
  <c r="CG684" i="11" s="1"/>
  <c r="DV684" i="11"/>
  <c r="DU684" i="11"/>
  <c r="DH684" i="11"/>
  <c r="DI684" i="11"/>
  <c r="CR684" i="11"/>
  <c r="CT684" i="11" s="1"/>
  <c r="CU684" i="11"/>
  <c r="CV684" i="11"/>
  <c r="CI684" i="11"/>
  <c r="BU684" i="11"/>
  <c r="BV684" i="11"/>
  <c r="CH684" i="11"/>
  <c r="BH684" i="11"/>
  <c r="BI684" i="11"/>
  <c r="AU684" i="11"/>
  <c r="AV684" i="11"/>
  <c r="AH684" i="11"/>
  <c r="AI684" i="11"/>
  <c r="BP684" i="11"/>
  <c r="BO684" i="11"/>
  <c r="BR684" i="11" s="1"/>
  <c r="BT684" i="11" s="1"/>
  <c r="BN684" i="11"/>
  <c r="W685" i="11"/>
  <c r="AO684" i="11"/>
  <c r="AP684" i="11"/>
  <c r="AN684" i="11"/>
  <c r="AA684" i="11"/>
  <c r="Y684" i="11"/>
  <c r="BA684" i="11"/>
  <c r="BB684" i="11"/>
  <c r="BE684" i="11" s="1"/>
  <c r="BG684" i="11" s="1"/>
  <c r="BC684" i="11"/>
  <c r="DM684" i="11"/>
  <c r="DN684" i="11"/>
  <c r="CZ684" i="11"/>
  <c r="DA684" i="11"/>
  <c r="DP684" i="11"/>
  <c r="DB684" i="11"/>
  <c r="DE684" i="11" s="1"/>
  <c r="DG684" i="11" s="1"/>
  <c r="CP684" i="11"/>
  <c r="CA684" i="11"/>
  <c r="AM684" i="11"/>
  <c r="CB684" i="11"/>
  <c r="CF684" i="11" s="1"/>
  <c r="X684" i="11"/>
  <c r="CC684" i="11"/>
  <c r="DC684" i="11"/>
  <c r="CM684" i="11"/>
  <c r="CN684" i="11"/>
  <c r="BM684" i="11"/>
  <c r="CO684" i="11"/>
  <c r="CS684" i="11" s="1"/>
  <c r="BZ684" i="11"/>
  <c r="AZ684" i="11"/>
  <c r="C686" i="11"/>
  <c r="A686" i="11" s="1"/>
  <c r="EB685" i="11" l="1"/>
  <c r="Z685" i="11"/>
  <c r="F685" i="11" s="1"/>
  <c r="BY683" i="11"/>
  <c r="BL682" i="11"/>
  <c r="B686" i="11"/>
  <c r="BF683" i="11"/>
  <c r="BK683" i="11"/>
  <c r="BJ683" i="11"/>
  <c r="CY683" i="11"/>
  <c r="BD684" i="11"/>
  <c r="DL683" i="11"/>
  <c r="AC684" i="11"/>
  <c r="AF684" i="11" s="1"/>
  <c r="M684" i="11"/>
  <c r="EL682" i="11"/>
  <c r="BJ684" i="11"/>
  <c r="BK684" i="11"/>
  <c r="DJ684" i="11"/>
  <c r="DK684" i="11"/>
  <c r="CX684" i="11"/>
  <c r="CW684" i="11"/>
  <c r="BX684" i="11"/>
  <c r="BW684" i="11"/>
  <c r="CK684" i="11"/>
  <c r="CJ684" i="11"/>
  <c r="AY682" i="11"/>
  <c r="L684" i="11"/>
  <c r="AW683" i="11"/>
  <c r="AX683" i="11"/>
  <c r="EK683" i="11"/>
  <c r="EJ683" i="11"/>
  <c r="EF683" i="11"/>
  <c r="EE684" i="11"/>
  <c r="EG684" i="11" s="1"/>
  <c r="EA685" i="11"/>
  <c r="EI685" i="11"/>
  <c r="EH685" i="11"/>
  <c r="EC685" i="11"/>
  <c r="ED685" i="11"/>
  <c r="DZ685" i="11"/>
  <c r="P686" i="11"/>
  <c r="BF684" i="11"/>
  <c r="DF684" i="11"/>
  <c r="BQ684" i="11"/>
  <c r="CD684" i="11"/>
  <c r="BS684" i="11"/>
  <c r="AB685" i="11"/>
  <c r="CQ684" i="11"/>
  <c r="DD684" i="11"/>
  <c r="AR684" i="11"/>
  <c r="AT684" i="11" s="1"/>
  <c r="AQ684" i="11"/>
  <c r="AS684" i="11"/>
  <c r="CE685" i="11"/>
  <c r="CG685" i="11" s="1"/>
  <c r="DU685" i="11"/>
  <c r="DV685" i="11"/>
  <c r="DI685" i="11"/>
  <c r="DH685" i="11"/>
  <c r="CR685" i="11"/>
  <c r="CT685" i="11" s="1"/>
  <c r="CU685" i="11"/>
  <c r="CV685" i="11"/>
  <c r="CI685" i="11"/>
  <c r="CH685" i="11"/>
  <c r="BU685" i="11"/>
  <c r="BV685" i="11"/>
  <c r="BH685" i="11"/>
  <c r="BI685" i="11"/>
  <c r="AU685" i="11"/>
  <c r="AV685" i="11"/>
  <c r="AH685" i="11"/>
  <c r="AI685" i="11"/>
  <c r="BN685" i="11"/>
  <c r="BO685" i="11"/>
  <c r="BR685" i="11" s="1"/>
  <c r="BT685" i="11" s="1"/>
  <c r="BP685" i="11"/>
  <c r="W686" i="11"/>
  <c r="AN685" i="11"/>
  <c r="AO685" i="11"/>
  <c r="AP685" i="11"/>
  <c r="Y685" i="11"/>
  <c r="AA685" i="11"/>
  <c r="BA685" i="11"/>
  <c r="BB685" i="11"/>
  <c r="BE685" i="11" s="1"/>
  <c r="BG685" i="11" s="1"/>
  <c r="BC685" i="11"/>
  <c r="DP685" i="11"/>
  <c r="DB685" i="11"/>
  <c r="DE685" i="11" s="1"/>
  <c r="DG685" i="11" s="1"/>
  <c r="DC685" i="11"/>
  <c r="DN685" i="11"/>
  <c r="AZ685" i="11"/>
  <c r="DM685" i="11"/>
  <c r="CM685" i="11"/>
  <c r="AM685" i="11"/>
  <c r="CN685" i="11"/>
  <c r="X685" i="11"/>
  <c r="CO685" i="11"/>
  <c r="CS685" i="11" s="1"/>
  <c r="BZ685" i="11"/>
  <c r="CP685" i="11"/>
  <c r="CA685" i="11"/>
  <c r="CB685" i="11"/>
  <c r="CD685" i="11" s="1"/>
  <c r="CZ685" i="11"/>
  <c r="CC685" i="11"/>
  <c r="DA685" i="11"/>
  <c r="BM685" i="11"/>
  <c r="C687" i="11"/>
  <c r="A687" i="11" s="1"/>
  <c r="Z686" i="11" l="1"/>
  <c r="F686" i="11" s="1"/>
  <c r="EB686" i="11"/>
  <c r="ED686" i="11" s="1"/>
  <c r="BL683" i="11"/>
  <c r="DL684" i="11"/>
  <c r="CY684" i="11"/>
  <c r="CL684" i="11"/>
  <c r="B687" i="11"/>
  <c r="AY683" i="11"/>
  <c r="BD685" i="11"/>
  <c r="AC685" i="11"/>
  <c r="AF685" i="11" s="1"/>
  <c r="BL684" i="11"/>
  <c r="BY684" i="11"/>
  <c r="BX685" i="11"/>
  <c r="BW685" i="11"/>
  <c r="BY685" i="11"/>
  <c r="EL683" i="11"/>
  <c r="CK685" i="11"/>
  <c r="CJ685" i="11"/>
  <c r="DK685" i="11"/>
  <c r="DJ685" i="11"/>
  <c r="EK684" i="11"/>
  <c r="EJ684" i="11"/>
  <c r="EF684" i="11"/>
  <c r="CX685" i="11"/>
  <c r="CW685" i="11"/>
  <c r="BJ685" i="11"/>
  <c r="BK685" i="11"/>
  <c r="AW684" i="11"/>
  <c r="AX684" i="11"/>
  <c r="M685" i="11"/>
  <c r="L685" i="11"/>
  <c r="EE685" i="11"/>
  <c r="EG685" i="11" s="1"/>
  <c r="EC686" i="11"/>
  <c r="EI686" i="11"/>
  <c r="EH686" i="11"/>
  <c r="EA686" i="11"/>
  <c r="DZ686" i="11"/>
  <c r="P687" i="11"/>
  <c r="BS685" i="11"/>
  <c r="CF685" i="11"/>
  <c r="CQ685" i="11"/>
  <c r="AB686" i="11"/>
  <c r="DD685" i="11"/>
  <c r="BF685" i="11"/>
  <c r="DF685" i="11"/>
  <c r="BQ685" i="11"/>
  <c r="AR685" i="11"/>
  <c r="AT685" i="11" s="1"/>
  <c r="AS685" i="11"/>
  <c r="AQ685" i="11"/>
  <c r="CE686" i="11"/>
  <c r="CG686" i="11" s="1"/>
  <c r="DV686" i="11"/>
  <c r="DU686" i="11"/>
  <c r="DH686" i="11"/>
  <c r="DI686" i="11"/>
  <c r="CV686" i="11"/>
  <c r="CR686" i="11"/>
  <c r="CT686" i="11" s="1"/>
  <c r="CU686" i="11"/>
  <c r="CI686" i="11"/>
  <c r="CH686" i="11"/>
  <c r="BU686" i="11"/>
  <c r="BV686" i="11"/>
  <c r="BH686" i="11"/>
  <c r="BI686" i="11"/>
  <c r="AU686" i="11"/>
  <c r="AV686" i="11"/>
  <c r="AH686" i="11"/>
  <c r="AI686" i="11"/>
  <c r="BN686" i="11"/>
  <c r="BO686" i="11"/>
  <c r="BR686" i="11" s="1"/>
  <c r="BT686" i="11" s="1"/>
  <c r="BP686" i="11"/>
  <c r="W687" i="11"/>
  <c r="AO686" i="11"/>
  <c r="AN686" i="11"/>
  <c r="Y686" i="11"/>
  <c r="AA686" i="11"/>
  <c r="AP686" i="11"/>
  <c r="BC686" i="11"/>
  <c r="BB686" i="11"/>
  <c r="BE686" i="11" s="1"/>
  <c r="BG686" i="11" s="1"/>
  <c r="BA686" i="11"/>
  <c r="DM686" i="11"/>
  <c r="DN686" i="11"/>
  <c r="CZ686" i="11"/>
  <c r="DA686" i="11"/>
  <c r="DP686" i="11"/>
  <c r="DB686" i="11"/>
  <c r="DE686" i="11" s="1"/>
  <c r="DG686" i="11" s="1"/>
  <c r="DC686" i="11"/>
  <c r="CP686" i="11"/>
  <c r="CA686" i="11"/>
  <c r="BM686" i="11"/>
  <c r="CB686" i="11"/>
  <c r="CF686" i="11" s="1"/>
  <c r="AZ686" i="11"/>
  <c r="CC686" i="11"/>
  <c r="AM686" i="11"/>
  <c r="X686" i="11"/>
  <c r="CM686" i="11"/>
  <c r="CN686" i="11"/>
  <c r="CO686" i="11"/>
  <c r="CS686" i="11" s="1"/>
  <c r="BZ686" i="11"/>
  <c r="C688" i="11"/>
  <c r="A688" i="11" s="1"/>
  <c r="EB687" i="11" l="1"/>
  <c r="Z687" i="11"/>
  <c r="F687" i="11" s="1"/>
  <c r="CY685" i="11"/>
  <c r="DL685" i="11"/>
  <c r="AC686" i="11"/>
  <c r="AF686" i="11" s="1"/>
  <c r="B688" i="11"/>
  <c r="BD686" i="11"/>
  <c r="CL685" i="11"/>
  <c r="AY684" i="11"/>
  <c r="CX686" i="11"/>
  <c r="CW686" i="11"/>
  <c r="BL685" i="11"/>
  <c r="EL684" i="11"/>
  <c r="DJ686" i="11"/>
  <c r="DK686" i="11"/>
  <c r="BJ686" i="11"/>
  <c r="BK686" i="11"/>
  <c r="BX686" i="11"/>
  <c r="BW686" i="11"/>
  <c r="EK685" i="11"/>
  <c r="EJ685" i="11"/>
  <c r="EF685" i="11"/>
  <c r="CK686" i="11"/>
  <c r="CJ686" i="11"/>
  <c r="L686" i="11"/>
  <c r="AX685" i="11"/>
  <c r="AW685" i="11"/>
  <c r="M686" i="11"/>
  <c r="EE686" i="11"/>
  <c r="EG686" i="11" s="1"/>
  <c r="EH687" i="11"/>
  <c r="ED687" i="11"/>
  <c r="EA687" i="11"/>
  <c r="DZ687" i="11"/>
  <c r="EI687" i="11"/>
  <c r="EC687" i="11"/>
  <c r="BS686" i="11"/>
  <c r="CD686" i="11"/>
  <c r="AB687" i="11"/>
  <c r="AC687" i="11" s="1"/>
  <c r="AF687" i="11" s="1"/>
  <c r="CQ686" i="11"/>
  <c r="DD686" i="11"/>
  <c r="BF686" i="11"/>
  <c r="DF686" i="11"/>
  <c r="BQ686" i="11"/>
  <c r="AR686" i="11"/>
  <c r="AT686" i="11" s="1"/>
  <c r="AQ686" i="11"/>
  <c r="AS686" i="11"/>
  <c r="CE687" i="11"/>
  <c r="CG687" i="11" s="1"/>
  <c r="DU687" i="11"/>
  <c r="DV687" i="11"/>
  <c r="DH687" i="11"/>
  <c r="DI687" i="11"/>
  <c r="CU687" i="11"/>
  <c r="CV687" i="11"/>
  <c r="CR687" i="11"/>
  <c r="CT687" i="11" s="1"/>
  <c r="CI687" i="11"/>
  <c r="CH687" i="11"/>
  <c r="BU687" i="11"/>
  <c r="BV687" i="11"/>
  <c r="BH687" i="11"/>
  <c r="BI687" i="11"/>
  <c r="AU687" i="11"/>
  <c r="AV687" i="11"/>
  <c r="AH687" i="11"/>
  <c r="AI687" i="11"/>
  <c r="BO687" i="11"/>
  <c r="BR687" i="11" s="1"/>
  <c r="BT687" i="11" s="1"/>
  <c r="BP687" i="11"/>
  <c r="BN687" i="11"/>
  <c r="W688" i="11"/>
  <c r="AN687" i="11"/>
  <c r="AO687" i="11"/>
  <c r="AP687" i="11"/>
  <c r="AA687" i="11"/>
  <c r="Y687" i="11"/>
  <c r="BA687" i="11"/>
  <c r="BB687" i="11"/>
  <c r="BE687" i="11" s="1"/>
  <c r="BG687" i="11" s="1"/>
  <c r="BC687" i="11"/>
  <c r="DP687" i="11"/>
  <c r="DB687" i="11"/>
  <c r="DE687" i="11" s="1"/>
  <c r="DG687" i="11" s="1"/>
  <c r="DC687" i="11"/>
  <c r="DN687" i="11"/>
  <c r="CZ687" i="11"/>
  <c r="CM687" i="11"/>
  <c r="BM687" i="11"/>
  <c r="DM687" i="11"/>
  <c r="DA687" i="11"/>
  <c r="CN687" i="11"/>
  <c r="AZ687" i="11"/>
  <c r="CO687" i="11"/>
  <c r="CQ687" i="11" s="1"/>
  <c r="BZ687" i="11"/>
  <c r="AM687" i="11"/>
  <c r="CP687" i="11"/>
  <c r="CA687" i="11"/>
  <c r="X687" i="11"/>
  <c r="CB687" i="11"/>
  <c r="CF687" i="11" s="1"/>
  <c r="CC687" i="11"/>
  <c r="C689" i="11"/>
  <c r="A689" i="11" s="1"/>
  <c r="EB688" i="11" l="1"/>
  <c r="Z688" i="11"/>
  <c r="F688" i="11" s="1"/>
  <c r="P688" i="11"/>
  <c r="AY685" i="11"/>
  <c r="CY686" i="11"/>
  <c r="DL686" i="11"/>
  <c r="B689" i="11"/>
  <c r="BD687" i="11"/>
  <c r="BY686" i="11"/>
  <c r="BL686" i="11"/>
  <c r="CL686" i="11"/>
  <c r="EL685" i="11"/>
  <c r="EJ686" i="11"/>
  <c r="EK686" i="11"/>
  <c r="EF686" i="11"/>
  <c r="CW687" i="11"/>
  <c r="CX687" i="11"/>
  <c r="BJ687" i="11"/>
  <c r="BK687" i="11"/>
  <c r="BW687" i="11"/>
  <c r="BX687" i="11"/>
  <c r="DJ687" i="11"/>
  <c r="DK687" i="11"/>
  <c r="CK687" i="11"/>
  <c r="CJ687" i="11"/>
  <c r="AX686" i="11"/>
  <c r="AW686" i="11"/>
  <c r="M687" i="11"/>
  <c r="L687" i="11"/>
  <c r="EE687" i="11"/>
  <c r="EG687" i="11" s="1"/>
  <c r="EC688" i="11"/>
  <c r="DZ688" i="11"/>
  <c r="ED688" i="11"/>
  <c r="EA688" i="11"/>
  <c r="EI688" i="11"/>
  <c r="EH688" i="11"/>
  <c r="BF687" i="11"/>
  <c r="BS687" i="11"/>
  <c r="CS687" i="11"/>
  <c r="CD687" i="11"/>
  <c r="DD687" i="11"/>
  <c r="DF687" i="11"/>
  <c r="AB688" i="11"/>
  <c r="BQ687" i="11"/>
  <c r="AR687" i="11"/>
  <c r="AT687" i="11" s="1"/>
  <c r="AS687" i="11"/>
  <c r="AQ687" i="11"/>
  <c r="CE688" i="11"/>
  <c r="CG688" i="11" s="1"/>
  <c r="DV688" i="11"/>
  <c r="DU688" i="11"/>
  <c r="DH688" i="11"/>
  <c r="DI688" i="11"/>
  <c r="CU688" i="11"/>
  <c r="CV688" i="11"/>
  <c r="CR688" i="11"/>
  <c r="CT688" i="11" s="1"/>
  <c r="CI688" i="11"/>
  <c r="CH688" i="11"/>
  <c r="BV688" i="11"/>
  <c r="BU688" i="11"/>
  <c r="AV688" i="11"/>
  <c r="BH688" i="11"/>
  <c r="BI688" i="11"/>
  <c r="AU688" i="11"/>
  <c r="AI688" i="11"/>
  <c r="AH688" i="11"/>
  <c r="BN688" i="11"/>
  <c r="BP688" i="11"/>
  <c r="BO688" i="11"/>
  <c r="BR688" i="11" s="1"/>
  <c r="BT688" i="11" s="1"/>
  <c r="W689" i="11"/>
  <c r="AN688" i="11"/>
  <c r="AO688" i="11"/>
  <c r="AP688" i="11"/>
  <c r="Y688" i="11"/>
  <c r="AA688" i="11"/>
  <c r="BB688" i="11"/>
  <c r="BE688" i="11" s="1"/>
  <c r="BG688" i="11" s="1"/>
  <c r="BC688" i="11"/>
  <c r="BA688" i="11"/>
  <c r="DM688" i="11"/>
  <c r="DN688" i="11"/>
  <c r="CZ688" i="11"/>
  <c r="DA688" i="11"/>
  <c r="DP688" i="11"/>
  <c r="DB688" i="11"/>
  <c r="DE688" i="11" s="1"/>
  <c r="DG688" i="11" s="1"/>
  <c r="CP688" i="11"/>
  <c r="CA688" i="11"/>
  <c r="CB688" i="11"/>
  <c r="CF688" i="11" s="1"/>
  <c r="CC688" i="11"/>
  <c r="BM688" i="11"/>
  <c r="DC688" i="11"/>
  <c r="AZ688" i="11"/>
  <c r="AM688" i="11"/>
  <c r="CM688" i="11"/>
  <c r="CN688" i="11"/>
  <c r="CO688" i="11"/>
  <c r="CS688" i="11" s="1"/>
  <c r="BZ688" i="11"/>
  <c r="X688" i="11"/>
  <c r="C690" i="11"/>
  <c r="A690" i="11" s="1"/>
  <c r="EB689" i="11" l="1"/>
  <c r="ED689" i="11" s="1"/>
  <c r="Z689" i="11"/>
  <c r="F689" i="11" s="1"/>
  <c r="P689" i="11"/>
  <c r="AY686" i="11"/>
  <c r="B690" i="11"/>
  <c r="BD688" i="11"/>
  <c r="BL687" i="11"/>
  <c r="CL687" i="11"/>
  <c r="CY687" i="11"/>
  <c r="DL687" i="11"/>
  <c r="BY687" i="11"/>
  <c r="AC688" i="11"/>
  <c r="AF688" i="11" s="1"/>
  <c r="EL686" i="11"/>
  <c r="CK688" i="11"/>
  <c r="CJ688" i="11"/>
  <c r="CW688" i="11"/>
  <c r="CX688" i="11"/>
  <c r="BJ688" i="11"/>
  <c r="BK688" i="11"/>
  <c r="DJ688" i="11"/>
  <c r="DK688" i="11"/>
  <c r="BW688" i="11"/>
  <c r="BX688" i="11"/>
  <c r="EK687" i="11"/>
  <c r="EJ687" i="11"/>
  <c r="EF687" i="11"/>
  <c r="M688" i="11"/>
  <c r="AX687" i="11"/>
  <c r="AW687" i="11"/>
  <c r="L688" i="11"/>
  <c r="EE688" i="11"/>
  <c r="EA689" i="11"/>
  <c r="EI689" i="11"/>
  <c r="EH689" i="11"/>
  <c r="EC689" i="11"/>
  <c r="DZ689" i="11"/>
  <c r="P690" i="11"/>
  <c r="DD688" i="11"/>
  <c r="CQ688" i="11"/>
  <c r="BF688" i="11"/>
  <c r="DF688" i="11"/>
  <c r="BS688" i="11"/>
  <c r="AB689" i="11"/>
  <c r="CD688" i="11"/>
  <c r="BQ688" i="11"/>
  <c r="AR688" i="11"/>
  <c r="AT688" i="11" s="1"/>
  <c r="AS688" i="11"/>
  <c r="AQ688" i="11"/>
  <c r="CE689" i="11"/>
  <c r="CG689" i="11" s="1"/>
  <c r="DU689" i="11"/>
  <c r="DV689" i="11"/>
  <c r="DH689" i="11"/>
  <c r="DI689" i="11"/>
  <c r="CU689" i="11"/>
  <c r="CV689" i="11"/>
  <c r="CR689" i="11"/>
  <c r="CT689" i="11" s="1"/>
  <c r="CI689" i="11"/>
  <c r="CH689" i="11"/>
  <c r="BU689" i="11"/>
  <c r="BV689" i="11"/>
  <c r="BI689" i="11"/>
  <c r="AU689" i="11"/>
  <c r="AV689" i="11"/>
  <c r="BH689" i="11"/>
  <c r="AH689" i="11"/>
  <c r="AI689" i="11"/>
  <c r="BN689" i="11"/>
  <c r="BO689" i="11"/>
  <c r="BR689" i="11" s="1"/>
  <c r="BT689" i="11" s="1"/>
  <c r="BP689" i="11"/>
  <c r="AP689" i="11"/>
  <c r="AN689" i="11"/>
  <c r="AO689" i="11"/>
  <c r="Y689" i="11"/>
  <c r="AA689" i="11"/>
  <c r="BB689" i="11"/>
  <c r="BE689" i="11" s="1"/>
  <c r="BG689" i="11" s="1"/>
  <c r="BC689" i="11"/>
  <c r="BA689" i="11"/>
  <c r="DP689" i="11"/>
  <c r="DB689" i="11"/>
  <c r="DE689" i="11" s="1"/>
  <c r="DG689" i="11" s="1"/>
  <c r="DC689" i="11"/>
  <c r="DN689" i="11"/>
  <c r="CM689" i="11"/>
  <c r="CN689" i="11"/>
  <c r="DM689" i="11"/>
  <c r="CO689" i="11"/>
  <c r="CQ689" i="11" s="1"/>
  <c r="BZ689" i="11"/>
  <c r="BM689" i="11"/>
  <c r="CZ689" i="11"/>
  <c r="CP689" i="11"/>
  <c r="CA689" i="11"/>
  <c r="AZ689" i="11"/>
  <c r="DA689" i="11"/>
  <c r="CB689" i="11"/>
  <c r="CD689" i="11" s="1"/>
  <c r="CC689" i="11"/>
  <c r="AM689" i="11"/>
  <c r="X689" i="11"/>
  <c r="W690" i="11"/>
  <c r="C691" i="11"/>
  <c r="A691" i="11" s="1"/>
  <c r="EB690" i="11" l="1"/>
  <c r="Z690" i="11"/>
  <c r="F690" i="11" s="1"/>
  <c r="CY688" i="11"/>
  <c r="B691" i="11"/>
  <c r="BD689" i="11"/>
  <c r="DL688" i="11"/>
  <c r="BY688" i="11"/>
  <c r="CL688" i="11"/>
  <c r="AY687" i="11"/>
  <c r="BX689" i="11"/>
  <c r="BW689" i="11"/>
  <c r="BL688" i="11"/>
  <c r="EF688" i="11"/>
  <c r="EG688" i="11"/>
  <c r="EJ688" i="11" s="1"/>
  <c r="M689" i="11"/>
  <c r="AC689" i="11"/>
  <c r="AF689" i="11" s="1"/>
  <c r="EL687" i="11"/>
  <c r="CX689" i="11"/>
  <c r="CW689" i="11"/>
  <c r="BJ689" i="11"/>
  <c r="BK689" i="11"/>
  <c r="DJ689" i="11"/>
  <c r="DK689" i="11"/>
  <c r="CJ689" i="11"/>
  <c r="CK689" i="11"/>
  <c r="L689" i="11"/>
  <c r="AX688" i="11"/>
  <c r="AW688" i="11"/>
  <c r="EC690" i="11"/>
  <c r="EI690" i="11"/>
  <c r="EH690" i="11"/>
  <c r="ED690" i="11"/>
  <c r="EA690" i="11"/>
  <c r="DZ690" i="11"/>
  <c r="EE689" i="11"/>
  <c r="P691" i="11"/>
  <c r="BF689" i="11"/>
  <c r="DD689" i="11"/>
  <c r="CF689" i="11"/>
  <c r="CS689" i="11"/>
  <c r="DF689" i="11"/>
  <c r="AB690" i="11"/>
  <c r="BQ689" i="11"/>
  <c r="BS689" i="11"/>
  <c r="AR689" i="11"/>
  <c r="AT689" i="11" s="1"/>
  <c r="AS689" i="11"/>
  <c r="AQ689" i="11"/>
  <c r="CE690" i="11"/>
  <c r="CG690" i="11" s="1"/>
  <c r="DV690" i="11"/>
  <c r="DU690" i="11"/>
  <c r="DI690" i="11"/>
  <c r="DH690" i="11"/>
  <c r="CR690" i="11"/>
  <c r="CT690" i="11" s="1"/>
  <c r="CU690" i="11"/>
  <c r="CV690" i="11"/>
  <c r="CI690" i="11"/>
  <c r="CH690" i="11"/>
  <c r="BU690" i="11"/>
  <c r="BV690" i="11"/>
  <c r="BI690" i="11"/>
  <c r="BH690" i="11"/>
  <c r="AU690" i="11"/>
  <c r="AV690" i="11"/>
  <c r="AI690" i="11"/>
  <c r="AH690" i="11"/>
  <c r="BN690" i="11"/>
  <c r="BO690" i="11"/>
  <c r="BR690" i="11" s="1"/>
  <c r="BT690" i="11" s="1"/>
  <c r="BP690" i="11"/>
  <c r="AN690" i="11"/>
  <c r="AO690" i="11"/>
  <c r="AP690" i="11"/>
  <c r="Y690" i="11"/>
  <c r="AA690" i="11"/>
  <c r="BB690" i="11"/>
  <c r="BE690" i="11" s="1"/>
  <c r="BG690" i="11" s="1"/>
  <c r="BC690" i="11"/>
  <c r="BA690" i="11"/>
  <c r="DM690" i="11"/>
  <c r="DN690" i="11"/>
  <c r="CZ690" i="11"/>
  <c r="DA690" i="11"/>
  <c r="DP690" i="11"/>
  <c r="DB690" i="11"/>
  <c r="DE690" i="11" s="1"/>
  <c r="DG690" i="11" s="1"/>
  <c r="CP690" i="11"/>
  <c r="CA690" i="11"/>
  <c r="CB690" i="11"/>
  <c r="CF690" i="11" s="1"/>
  <c r="CC690" i="11"/>
  <c r="BM690" i="11"/>
  <c r="CM690" i="11"/>
  <c r="AZ690" i="11"/>
  <c r="DC690" i="11"/>
  <c r="CN690" i="11"/>
  <c r="CO690" i="11"/>
  <c r="CQ690" i="11" s="1"/>
  <c r="BZ690" i="11"/>
  <c r="AM690" i="11"/>
  <c r="X690" i="11"/>
  <c r="W691" i="11"/>
  <c r="C692" i="11"/>
  <c r="A692" i="11" s="1"/>
  <c r="EB691" i="11" l="1"/>
  <c r="ED691" i="11" s="1"/>
  <c r="Z691" i="11"/>
  <c r="F691" i="11" s="1"/>
  <c r="DL689" i="11"/>
  <c r="EK688" i="11"/>
  <c r="CY689" i="11"/>
  <c r="AC690" i="11"/>
  <c r="AF690" i="11" s="1"/>
  <c r="B692" i="11"/>
  <c r="BG691" i="11"/>
  <c r="BD690" i="11"/>
  <c r="BL689" i="11"/>
  <c r="BY689" i="11"/>
  <c r="AY688" i="11"/>
  <c r="L690" i="11"/>
  <c r="EG689" i="11"/>
  <c r="EF689" i="11" s="1"/>
  <c r="CL689" i="11"/>
  <c r="EL688" i="11"/>
  <c r="CJ690" i="11"/>
  <c r="CK690" i="11"/>
  <c r="CX690" i="11"/>
  <c r="CW690" i="11"/>
  <c r="DK690" i="11"/>
  <c r="DJ690" i="11"/>
  <c r="DL690" i="11" s="1"/>
  <c r="BJ690" i="11"/>
  <c r="BK690" i="11"/>
  <c r="BW690" i="11"/>
  <c r="BX690" i="11"/>
  <c r="M690" i="11"/>
  <c r="AX689" i="11"/>
  <c r="AW689" i="11"/>
  <c r="EJ689" i="11"/>
  <c r="EE690" i="11"/>
  <c r="EG690" i="11" s="1"/>
  <c r="EH691" i="11"/>
  <c r="EA691" i="11"/>
  <c r="EI691" i="11"/>
  <c r="EC691" i="11"/>
  <c r="DZ691" i="11"/>
  <c r="P692" i="11"/>
  <c r="CD690" i="11"/>
  <c r="CS690" i="11"/>
  <c r="DF690" i="11"/>
  <c r="BQ690" i="11"/>
  <c r="DD690" i="11"/>
  <c r="BF690" i="11"/>
  <c r="BS690" i="11"/>
  <c r="AB691" i="11"/>
  <c r="AR690" i="11"/>
  <c r="AT690" i="11" s="1"/>
  <c r="AS690" i="11"/>
  <c r="AQ690" i="11"/>
  <c r="CE691" i="11"/>
  <c r="CG691" i="11" s="1"/>
  <c r="DU691" i="11"/>
  <c r="DV691" i="11"/>
  <c r="DH691" i="11"/>
  <c r="DI691" i="11"/>
  <c r="CR691" i="11"/>
  <c r="CT691" i="11" s="1"/>
  <c r="CU691" i="11"/>
  <c r="CV691" i="11"/>
  <c r="CI691" i="11"/>
  <c r="CH691" i="11"/>
  <c r="BV691" i="11"/>
  <c r="BU691" i="11"/>
  <c r="BH691" i="11"/>
  <c r="BI691" i="11"/>
  <c r="AU691" i="11"/>
  <c r="AV691" i="11"/>
  <c r="AH691" i="11"/>
  <c r="AI691" i="11"/>
  <c r="BO691" i="11"/>
  <c r="BR691" i="11" s="1"/>
  <c r="BT691" i="11" s="1"/>
  <c r="BP691" i="11"/>
  <c r="BN691" i="11"/>
  <c r="W692" i="11"/>
  <c r="AP691" i="11"/>
  <c r="AO691" i="11"/>
  <c r="Y691" i="11"/>
  <c r="AA691" i="11"/>
  <c r="AN691" i="11"/>
  <c r="BC691" i="11"/>
  <c r="BA691" i="11"/>
  <c r="BB691" i="11"/>
  <c r="BE691" i="11" s="1"/>
  <c r="DP691" i="11"/>
  <c r="DB691" i="11"/>
  <c r="DE691" i="11" s="1"/>
  <c r="DG691" i="11" s="1"/>
  <c r="DC691" i="11"/>
  <c r="DN691" i="11"/>
  <c r="DA691" i="11"/>
  <c r="X691" i="11"/>
  <c r="CM691" i="11"/>
  <c r="CN691" i="11"/>
  <c r="CO691" i="11"/>
  <c r="CQ691" i="11" s="1"/>
  <c r="BZ691" i="11"/>
  <c r="DM691" i="11"/>
  <c r="CP691" i="11"/>
  <c r="CA691" i="11"/>
  <c r="CB691" i="11"/>
  <c r="CF691" i="11" s="1"/>
  <c r="BM691" i="11"/>
  <c r="CC691" i="11"/>
  <c r="AZ691" i="11"/>
  <c r="CZ691" i="11"/>
  <c r="AM691" i="11"/>
  <c r="C693" i="11"/>
  <c r="A693" i="11" s="1"/>
  <c r="Z692" i="11" l="1"/>
  <c r="F692" i="11" s="1"/>
  <c r="EB692" i="11"/>
  <c r="ED692" i="11" s="1"/>
  <c r="AY689" i="11"/>
  <c r="EK689" i="11"/>
  <c r="B693" i="11"/>
  <c r="BD691" i="11"/>
  <c r="BL690" i="11"/>
  <c r="CL690" i="11"/>
  <c r="AC691" i="11"/>
  <c r="AF691" i="11" s="1"/>
  <c r="CY690" i="11"/>
  <c r="BY690" i="11"/>
  <c r="EL689" i="11"/>
  <c r="EK690" i="11"/>
  <c r="EJ690" i="11"/>
  <c r="EF690" i="11"/>
  <c r="CW691" i="11"/>
  <c r="CX691" i="11"/>
  <c r="CY691" i="11" s="1"/>
  <c r="BW691" i="11"/>
  <c r="BX691" i="11"/>
  <c r="BJ691" i="11"/>
  <c r="BK691" i="11"/>
  <c r="DJ691" i="11"/>
  <c r="DK691" i="11"/>
  <c r="CK691" i="11"/>
  <c r="CJ691" i="11"/>
  <c r="CL691" i="11" s="1"/>
  <c r="M691" i="11"/>
  <c r="L691" i="11"/>
  <c r="AX690" i="11"/>
  <c r="AW690" i="11"/>
  <c r="EE691" i="11"/>
  <c r="EG691" i="11" s="1"/>
  <c r="EC692" i="11"/>
  <c r="DZ692" i="11"/>
  <c r="EA692" i="11"/>
  <c r="EI692" i="11"/>
  <c r="EH692" i="11"/>
  <c r="P693" i="11"/>
  <c r="BQ691" i="11"/>
  <c r="DD691" i="11"/>
  <c r="BF691" i="11"/>
  <c r="BS691" i="11"/>
  <c r="AB692" i="11"/>
  <c r="CD691" i="11"/>
  <c r="CS691" i="11"/>
  <c r="DF691" i="11"/>
  <c r="AR691" i="11"/>
  <c r="AT691" i="11" s="1"/>
  <c r="AS691" i="11"/>
  <c r="AQ691" i="11"/>
  <c r="CE692" i="11"/>
  <c r="CG692" i="11" s="1"/>
  <c r="DV692" i="11"/>
  <c r="DU692" i="11"/>
  <c r="DH692" i="11"/>
  <c r="DI692" i="11"/>
  <c r="CR692" i="11"/>
  <c r="CT692" i="11" s="1"/>
  <c r="CU692" i="11"/>
  <c r="CV692" i="11"/>
  <c r="CI692" i="11"/>
  <c r="BU692" i="11"/>
  <c r="BV692" i="11"/>
  <c r="CH692" i="11"/>
  <c r="BH692" i="11"/>
  <c r="BI692" i="11"/>
  <c r="AU692" i="11"/>
  <c r="AV692" i="11"/>
  <c r="AH692" i="11"/>
  <c r="AI692" i="11"/>
  <c r="BP692" i="11"/>
  <c r="BN692" i="11"/>
  <c r="BO692" i="11"/>
  <c r="BR692" i="11" s="1"/>
  <c r="BT692" i="11" s="1"/>
  <c r="AO692" i="11"/>
  <c r="AP692" i="11"/>
  <c r="AN692" i="11"/>
  <c r="AA692" i="11"/>
  <c r="Y692" i="11"/>
  <c r="BA692" i="11"/>
  <c r="BB692" i="11"/>
  <c r="BE692" i="11" s="1"/>
  <c r="BG692" i="11" s="1"/>
  <c r="BC692" i="11"/>
  <c r="DM692" i="11"/>
  <c r="DN692" i="11"/>
  <c r="CZ692" i="11"/>
  <c r="DA692" i="11"/>
  <c r="DP692" i="11"/>
  <c r="DB692" i="11"/>
  <c r="DE692" i="11" s="1"/>
  <c r="DG692" i="11" s="1"/>
  <c r="CP692" i="11"/>
  <c r="CA692" i="11"/>
  <c r="AM692" i="11"/>
  <c r="DC692" i="11"/>
  <c r="CB692" i="11"/>
  <c r="CD692" i="11" s="1"/>
  <c r="X692" i="11"/>
  <c r="CC692" i="11"/>
  <c r="CM692" i="11"/>
  <c r="CN692" i="11"/>
  <c r="BM692" i="11"/>
  <c r="CO692" i="11"/>
  <c r="CS692" i="11" s="1"/>
  <c r="BZ692" i="11"/>
  <c r="AZ692" i="11"/>
  <c r="W693" i="11"/>
  <c r="C694" i="11"/>
  <c r="A694" i="11" s="1"/>
  <c r="EB693" i="11" l="1"/>
  <c r="ED693" i="11" s="1"/>
  <c r="Z693" i="11"/>
  <c r="F693" i="11" s="1"/>
  <c r="B694" i="11"/>
  <c r="BD692" i="11"/>
  <c r="BL691" i="11"/>
  <c r="DL691" i="11"/>
  <c r="BX692" i="11"/>
  <c r="BW692" i="11"/>
  <c r="M692" i="11"/>
  <c r="BY691" i="11"/>
  <c r="AC692" i="11"/>
  <c r="AF692" i="11" s="1"/>
  <c r="AY690" i="11"/>
  <c r="EL690" i="11"/>
  <c r="CW692" i="11"/>
  <c r="CX692" i="11"/>
  <c r="BK692" i="11"/>
  <c r="BJ692" i="11"/>
  <c r="EJ691" i="11"/>
  <c r="EK691" i="11"/>
  <c r="EF691" i="11"/>
  <c r="DJ692" i="11"/>
  <c r="DK692" i="11"/>
  <c r="CJ692" i="11"/>
  <c r="AW691" i="11"/>
  <c r="AX691" i="11"/>
  <c r="BY692" i="11"/>
  <c r="CK692" i="11"/>
  <c r="L692" i="11"/>
  <c r="EA693" i="11"/>
  <c r="EI693" i="11"/>
  <c r="EH693" i="11"/>
  <c r="EC693" i="11"/>
  <c r="DZ693" i="11"/>
  <c r="EE692" i="11"/>
  <c r="EG692" i="11" s="1"/>
  <c r="P694" i="11"/>
  <c r="CF692" i="11"/>
  <c r="CQ692" i="11"/>
  <c r="AB693" i="11"/>
  <c r="DD692" i="11"/>
  <c r="BF692" i="11"/>
  <c r="DF692" i="11"/>
  <c r="BQ692" i="11"/>
  <c r="BS692" i="11"/>
  <c r="AR692" i="11"/>
  <c r="AT692" i="11" s="1"/>
  <c r="AQ692" i="11"/>
  <c r="AS692" i="11"/>
  <c r="CE693" i="11"/>
  <c r="CG693" i="11" s="1"/>
  <c r="DU693" i="11"/>
  <c r="DV693" i="11"/>
  <c r="DI693" i="11"/>
  <c r="DH693" i="11"/>
  <c r="CR693" i="11"/>
  <c r="CT693" i="11" s="1"/>
  <c r="CV693" i="11"/>
  <c r="CU693" i="11"/>
  <c r="CI693" i="11"/>
  <c r="CH693" i="11"/>
  <c r="BU693" i="11"/>
  <c r="BV693" i="11"/>
  <c r="BH693" i="11"/>
  <c r="BI693" i="11"/>
  <c r="AU693" i="11"/>
  <c r="AV693" i="11"/>
  <c r="AH693" i="11"/>
  <c r="AI693" i="11"/>
  <c r="BN693" i="11"/>
  <c r="BO693" i="11"/>
  <c r="BR693" i="11" s="1"/>
  <c r="BT693" i="11" s="1"/>
  <c r="BP693" i="11"/>
  <c r="W694" i="11"/>
  <c r="AN693" i="11"/>
  <c r="AO693" i="11"/>
  <c r="AP693" i="11"/>
  <c r="Y693" i="11"/>
  <c r="AA693" i="11"/>
  <c r="BA693" i="11"/>
  <c r="BC693" i="11"/>
  <c r="BB693" i="11"/>
  <c r="BE693" i="11" s="1"/>
  <c r="BG693" i="11" s="1"/>
  <c r="DP693" i="11"/>
  <c r="DB693" i="11"/>
  <c r="DE693" i="11" s="1"/>
  <c r="DG693" i="11" s="1"/>
  <c r="DC693" i="11"/>
  <c r="DN693" i="11"/>
  <c r="AZ693" i="11"/>
  <c r="CM693" i="11"/>
  <c r="AM693" i="11"/>
  <c r="CZ693" i="11"/>
  <c r="CN693" i="11"/>
  <c r="X693" i="11"/>
  <c r="DA693" i="11"/>
  <c r="CO693" i="11"/>
  <c r="CS693" i="11" s="1"/>
  <c r="BZ693" i="11"/>
  <c r="CP693" i="11"/>
  <c r="CA693" i="11"/>
  <c r="DM693" i="11"/>
  <c r="CB693" i="11"/>
  <c r="CF693" i="11" s="1"/>
  <c r="CC693" i="11"/>
  <c r="BM693" i="11"/>
  <c r="C695" i="11"/>
  <c r="A695" i="11" s="1"/>
  <c r="EB694" i="11" l="1"/>
  <c r="Z694" i="11"/>
  <c r="F694" i="11" s="1"/>
  <c r="CL692" i="11"/>
  <c r="B695" i="11"/>
  <c r="BD693" i="11"/>
  <c r="AC693" i="11"/>
  <c r="AF693" i="11" s="1"/>
  <c r="CY692" i="11"/>
  <c r="DL692" i="11"/>
  <c r="CW693" i="11"/>
  <c r="CX693" i="11"/>
  <c r="AY691" i="11"/>
  <c r="BL692" i="11"/>
  <c r="EL691" i="11"/>
  <c r="BK693" i="11"/>
  <c r="BJ693" i="11"/>
  <c r="DJ693" i="11"/>
  <c r="DK693" i="11"/>
  <c r="EJ692" i="11"/>
  <c r="EK692" i="11"/>
  <c r="EF692" i="11"/>
  <c r="CK693" i="11"/>
  <c r="CJ693" i="11"/>
  <c r="BW693" i="11"/>
  <c r="BX693" i="11"/>
  <c r="L693" i="11"/>
  <c r="AW692" i="11"/>
  <c r="AX692" i="11"/>
  <c r="AY692" i="11" s="1"/>
  <c r="M693" i="11"/>
  <c r="EE693" i="11"/>
  <c r="EG693" i="11" s="1"/>
  <c r="EC694" i="11"/>
  <c r="EI694" i="11"/>
  <c r="EH694" i="11"/>
  <c r="ED694" i="11"/>
  <c r="EA694" i="11"/>
  <c r="DZ694" i="11"/>
  <c r="P695" i="11"/>
  <c r="CD693" i="11"/>
  <c r="DF693" i="11"/>
  <c r="CQ693" i="11"/>
  <c r="DD693" i="11"/>
  <c r="BF693" i="11"/>
  <c r="AB694" i="11"/>
  <c r="AC694" i="11" s="1"/>
  <c r="AF694" i="11" s="1"/>
  <c r="BQ693" i="11"/>
  <c r="BS693" i="11"/>
  <c r="AR693" i="11"/>
  <c r="AT693" i="11" s="1"/>
  <c r="AS693" i="11"/>
  <c r="AQ693" i="11"/>
  <c r="CE694" i="11"/>
  <c r="CG694" i="11" s="1"/>
  <c r="DV694" i="11"/>
  <c r="DU694" i="11"/>
  <c r="DH694" i="11"/>
  <c r="DI694" i="11"/>
  <c r="CV694" i="11"/>
  <c r="CR694" i="11"/>
  <c r="CT694" i="11" s="1"/>
  <c r="CU694" i="11"/>
  <c r="CI694" i="11"/>
  <c r="CH694" i="11"/>
  <c r="BU694" i="11"/>
  <c r="BV694" i="11"/>
  <c r="BH694" i="11"/>
  <c r="BI694" i="11"/>
  <c r="AV694" i="11"/>
  <c r="AU694" i="11"/>
  <c r="AH694" i="11"/>
  <c r="AI694" i="11"/>
  <c r="BN694" i="11"/>
  <c r="BO694" i="11"/>
  <c r="BR694" i="11" s="1"/>
  <c r="BT694" i="11" s="1"/>
  <c r="BP694" i="11"/>
  <c r="AO694" i="11"/>
  <c r="AP694" i="11"/>
  <c r="AN694" i="11"/>
  <c r="Y694" i="11"/>
  <c r="AA694" i="11"/>
  <c r="BC694" i="11"/>
  <c r="BA694" i="11"/>
  <c r="BB694" i="11"/>
  <c r="BE694" i="11" s="1"/>
  <c r="BG694" i="11" s="1"/>
  <c r="DM694" i="11"/>
  <c r="DN694" i="11"/>
  <c r="CZ694" i="11"/>
  <c r="DA694" i="11"/>
  <c r="DP694" i="11"/>
  <c r="DB694" i="11"/>
  <c r="DE694" i="11" s="1"/>
  <c r="DG694" i="11" s="1"/>
  <c r="CP694" i="11"/>
  <c r="CA694" i="11"/>
  <c r="BM694" i="11"/>
  <c r="CB694" i="11"/>
  <c r="CF694" i="11" s="1"/>
  <c r="AZ694" i="11"/>
  <c r="CC694" i="11"/>
  <c r="AM694" i="11"/>
  <c r="X694" i="11"/>
  <c r="DC694" i="11"/>
  <c r="CM694" i="11"/>
  <c r="CN694" i="11"/>
  <c r="CO694" i="11"/>
  <c r="CS694" i="11" s="1"/>
  <c r="BZ694" i="11"/>
  <c r="W695" i="11"/>
  <c r="C696" i="11"/>
  <c r="A696" i="11" s="1"/>
  <c r="EB695" i="11" l="1"/>
  <c r="Z695" i="11"/>
  <c r="F695" i="11" s="1"/>
  <c r="DL693" i="11"/>
  <c r="BL693" i="11"/>
  <c r="B696" i="11"/>
  <c r="BD694" i="11"/>
  <c r="CL693" i="11"/>
  <c r="L694" i="11"/>
  <c r="BY693" i="11"/>
  <c r="CY693" i="11"/>
  <c r="EL692" i="11"/>
  <c r="CW694" i="11"/>
  <c r="CX694" i="11"/>
  <c r="CK694" i="11"/>
  <c r="CJ694" i="11"/>
  <c r="EK693" i="11"/>
  <c r="EJ693" i="11"/>
  <c r="EF693" i="11"/>
  <c r="BK694" i="11"/>
  <c r="BJ694" i="11"/>
  <c r="BL694" i="11" s="1"/>
  <c r="BX694" i="11"/>
  <c r="BW694" i="11"/>
  <c r="BY694" i="11" s="1"/>
  <c r="DJ694" i="11"/>
  <c r="DK694" i="11"/>
  <c r="AX693" i="11"/>
  <c r="AW693" i="11"/>
  <c r="AY693" i="11" s="1"/>
  <c r="M694" i="11"/>
  <c r="EE694" i="11"/>
  <c r="EG694" i="11" s="1"/>
  <c r="EH695" i="11"/>
  <c r="ED695" i="11"/>
  <c r="EA695" i="11"/>
  <c r="EI695" i="11"/>
  <c r="EC695" i="11"/>
  <c r="DZ695" i="11"/>
  <c r="P696" i="11"/>
  <c r="BQ694" i="11"/>
  <c r="CQ694" i="11"/>
  <c r="DD694" i="11"/>
  <c r="AB695" i="11"/>
  <c r="BF694" i="11"/>
  <c r="DF694" i="11"/>
  <c r="CD694" i="11"/>
  <c r="BS694" i="11"/>
  <c r="AR694" i="11"/>
  <c r="AT694" i="11" s="1"/>
  <c r="AQ694" i="11"/>
  <c r="AS694" i="11"/>
  <c r="CE695" i="11"/>
  <c r="CG695" i="11" s="1"/>
  <c r="DU695" i="11"/>
  <c r="DV695" i="11"/>
  <c r="DH695" i="11"/>
  <c r="DI695" i="11"/>
  <c r="CU695" i="11"/>
  <c r="CV695" i="11"/>
  <c r="CR695" i="11"/>
  <c r="CT695" i="11" s="1"/>
  <c r="CI695" i="11"/>
  <c r="CH695" i="11"/>
  <c r="BU695" i="11"/>
  <c r="BV695" i="11"/>
  <c r="BH695" i="11"/>
  <c r="BI695" i="11"/>
  <c r="AU695" i="11"/>
  <c r="AV695" i="11"/>
  <c r="AH695" i="11"/>
  <c r="AI695" i="11"/>
  <c r="BO695" i="11"/>
  <c r="BR695" i="11" s="1"/>
  <c r="BT695" i="11" s="1"/>
  <c r="BP695" i="11"/>
  <c r="BN695" i="11"/>
  <c r="AN695" i="11"/>
  <c r="AO695" i="11"/>
  <c r="AP695" i="11"/>
  <c r="AA695" i="11"/>
  <c r="Y695" i="11"/>
  <c r="BA695" i="11"/>
  <c r="BC695" i="11"/>
  <c r="BB695" i="11"/>
  <c r="BE695" i="11" s="1"/>
  <c r="BG695" i="11" s="1"/>
  <c r="DP695" i="11"/>
  <c r="DB695" i="11"/>
  <c r="DE695" i="11" s="1"/>
  <c r="DG695" i="11" s="1"/>
  <c r="DC695" i="11"/>
  <c r="DN695" i="11"/>
  <c r="CM695" i="11"/>
  <c r="BM695" i="11"/>
  <c r="CN695" i="11"/>
  <c r="AZ695" i="11"/>
  <c r="CO695" i="11"/>
  <c r="CS695" i="11" s="1"/>
  <c r="BZ695" i="11"/>
  <c r="AM695" i="11"/>
  <c r="CP695" i="11"/>
  <c r="CA695" i="11"/>
  <c r="X695" i="11"/>
  <c r="CZ695" i="11"/>
  <c r="CB695" i="11"/>
  <c r="CD695" i="11" s="1"/>
  <c r="DM695" i="11"/>
  <c r="DA695" i="11"/>
  <c r="CC695" i="11"/>
  <c r="W696" i="11"/>
  <c r="C697" i="11"/>
  <c r="A697" i="11" s="1"/>
  <c r="Z696" i="11" l="1"/>
  <c r="F696" i="11" s="1"/>
  <c r="EB696" i="11"/>
  <c r="ED696" i="11" s="1"/>
  <c r="CY694" i="11"/>
  <c r="BJ695" i="11"/>
  <c r="AC695" i="11"/>
  <c r="AF695" i="11" s="1"/>
  <c r="DL694" i="11"/>
  <c r="CL694" i="11"/>
  <c r="B697" i="11"/>
  <c r="BD695" i="11"/>
  <c r="EL693" i="11"/>
  <c r="BW695" i="11"/>
  <c r="BX695" i="11"/>
  <c r="DK695" i="11"/>
  <c r="DJ695" i="11"/>
  <c r="DL695" i="11" s="1"/>
  <c r="CX695" i="11"/>
  <c r="CW695" i="11"/>
  <c r="CY695" i="11" s="1"/>
  <c r="CK695" i="11"/>
  <c r="CJ695" i="11"/>
  <c r="CL695" i="11" s="1"/>
  <c r="EJ694" i="11"/>
  <c r="EK694" i="11"/>
  <c r="M695" i="11"/>
  <c r="BK695" i="11"/>
  <c r="BL695" i="11" s="1"/>
  <c r="AW694" i="11"/>
  <c r="AX694" i="11"/>
  <c r="L695" i="11"/>
  <c r="EF694" i="11"/>
  <c r="EE695" i="11"/>
  <c r="EG695" i="11" s="1"/>
  <c r="EC696" i="11"/>
  <c r="DZ696" i="11"/>
  <c r="EA696" i="11"/>
  <c r="EI696" i="11"/>
  <c r="EH696" i="11"/>
  <c r="CF695" i="11"/>
  <c r="DF695" i="11"/>
  <c r="CQ695" i="11"/>
  <c r="AB696" i="11"/>
  <c r="AC696" i="11" s="1"/>
  <c r="AF696" i="11" s="1"/>
  <c r="DD695" i="11"/>
  <c r="BF695" i="11"/>
  <c r="BQ695" i="11"/>
  <c r="BS695" i="11"/>
  <c r="AR695" i="11"/>
  <c r="AT695" i="11" s="1"/>
  <c r="AS695" i="11"/>
  <c r="AQ695" i="11"/>
  <c r="CE696" i="11"/>
  <c r="CG696" i="11" s="1"/>
  <c r="DV696" i="11"/>
  <c r="DU696" i="11"/>
  <c r="DH696" i="11"/>
  <c r="DI696" i="11"/>
  <c r="CU696" i="11"/>
  <c r="CV696" i="11"/>
  <c r="CR696" i="11"/>
  <c r="CT696" i="11" s="1"/>
  <c r="CI696" i="11"/>
  <c r="BV696" i="11"/>
  <c r="CH696" i="11"/>
  <c r="BU696" i="11"/>
  <c r="AV696" i="11"/>
  <c r="BH696" i="11"/>
  <c r="BI696" i="11"/>
  <c r="AI696" i="11"/>
  <c r="AU696" i="11"/>
  <c r="AH696" i="11"/>
  <c r="BN696" i="11"/>
  <c r="BP696" i="11"/>
  <c r="BO696" i="11"/>
  <c r="BR696" i="11" s="1"/>
  <c r="BT696" i="11" s="1"/>
  <c r="W697" i="11"/>
  <c r="AN696" i="11"/>
  <c r="AO696" i="11"/>
  <c r="Y696" i="11"/>
  <c r="AA696" i="11"/>
  <c r="AP696" i="11"/>
  <c r="BA696" i="11"/>
  <c r="BB696" i="11"/>
  <c r="BE696" i="11" s="1"/>
  <c r="BG696" i="11" s="1"/>
  <c r="BC696" i="11"/>
  <c r="DM696" i="11"/>
  <c r="DN696" i="11"/>
  <c r="CZ696" i="11"/>
  <c r="DA696" i="11"/>
  <c r="DP696" i="11"/>
  <c r="DB696" i="11"/>
  <c r="DE696" i="11" s="1"/>
  <c r="DG696" i="11" s="1"/>
  <c r="CP696" i="11"/>
  <c r="CA696" i="11"/>
  <c r="CB696" i="11"/>
  <c r="CF696" i="11" s="1"/>
  <c r="CC696" i="11"/>
  <c r="BM696" i="11"/>
  <c r="AZ696" i="11"/>
  <c r="AM696" i="11"/>
  <c r="CM696" i="11"/>
  <c r="CN696" i="11"/>
  <c r="DC696" i="11"/>
  <c r="CO696" i="11"/>
  <c r="CS696" i="11" s="1"/>
  <c r="BZ696" i="11"/>
  <c r="X696" i="11"/>
  <c r="C698" i="11"/>
  <c r="A698" i="11" s="1"/>
  <c r="EB697" i="11" l="1"/>
  <c r="ED697" i="11" s="1"/>
  <c r="Z697" i="11"/>
  <c r="F697" i="11" s="1"/>
  <c r="BY695" i="11"/>
  <c r="P697" i="11"/>
  <c r="B698" i="11"/>
  <c r="BD696" i="11"/>
  <c r="AY694" i="11"/>
  <c r="EL694" i="11"/>
  <c r="BJ696" i="11"/>
  <c r="BK696" i="11"/>
  <c r="DK696" i="11"/>
  <c r="DJ696" i="11"/>
  <c r="DL696" i="11" s="1"/>
  <c r="BW696" i="11"/>
  <c r="BX696" i="11"/>
  <c r="CK696" i="11"/>
  <c r="CJ696" i="11"/>
  <c r="CL696" i="11" s="1"/>
  <c r="EK695" i="11"/>
  <c r="EJ695" i="11"/>
  <c r="EL695" i="11" s="1"/>
  <c r="EF695" i="11"/>
  <c r="CW696" i="11"/>
  <c r="CX696" i="11"/>
  <c r="AW695" i="11"/>
  <c r="AX695" i="11"/>
  <c r="L696" i="11"/>
  <c r="M696" i="11"/>
  <c r="EA697" i="11"/>
  <c r="EI697" i="11"/>
  <c r="EH697" i="11"/>
  <c r="EC697" i="11"/>
  <c r="DZ697" i="11"/>
  <c r="EE696" i="11"/>
  <c r="EG696" i="11" s="1"/>
  <c r="P698" i="11"/>
  <c r="BS696" i="11"/>
  <c r="CD696" i="11"/>
  <c r="CQ696" i="11"/>
  <c r="DD696" i="11"/>
  <c r="BF696" i="11"/>
  <c r="DF696" i="11"/>
  <c r="AB697" i="11"/>
  <c r="AC697" i="11" s="1"/>
  <c r="AF697" i="11" s="1"/>
  <c r="BQ696" i="11"/>
  <c r="AR696" i="11"/>
  <c r="AT696" i="11" s="1"/>
  <c r="AS696" i="11"/>
  <c r="AQ696" i="11"/>
  <c r="CE697" i="11"/>
  <c r="CG697" i="11" s="1"/>
  <c r="DU697" i="11"/>
  <c r="DV697" i="11"/>
  <c r="DH697" i="11"/>
  <c r="DI697" i="11"/>
  <c r="CU697" i="11"/>
  <c r="CV697" i="11"/>
  <c r="CR697" i="11"/>
  <c r="CT697" i="11" s="1"/>
  <c r="CI697" i="11"/>
  <c r="CH697" i="11"/>
  <c r="BU697" i="11"/>
  <c r="BV697" i="11"/>
  <c r="BI697" i="11"/>
  <c r="BH697" i="11"/>
  <c r="AU697" i="11"/>
  <c r="AV697" i="11"/>
  <c r="AH697" i="11"/>
  <c r="AI697" i="11"/>
  <c r="BN697" i="11"/>
  <c r="BO697" i="11"/>
  <c r="BR697" i="11" s="1"/>
  <c r="BT697" i="11" s="1"/>
  <c r="BP697" i="11"/>
  <c r="AP697" i="11"/>
  <c r="AN697" i="11"/>
  <c r="AO697" i="11"/>
  <c r="AA697" i="11"/>
  <c r="Y697" i="11"/>
  <c r="BB697" i="11"/>
  <c r="BE697" i="11" s="1"/>
  <c r="BG697" i="11" s="1"/>
  <c r="BC697" i="11"/>
  <c r="BA697" i="11"/>
  <c r="DP697" i="11"/>
  <c r="DB697" i="11"/>
  <c r="DE697" i="11" s="1"/>
  <c r="DG697" i="11" s="1"/>
  <c r="DC697" i="11"/>
  <c r="DN697" i="11"/>
  <c r="CZ697" i="11"/>
  <c r="DA697" i="11"/>
  <c r="CM697" i="11"/>
  <c r="CN697" i="11"/>
  <c r="CO697" i="11"/>
  <c r="CS697" i="11" s="1"/>
  <c r="BZ697" i="11"/>
  <c r="BM697" i="11"/>
  <c r="CP697" i="11"/>
  <c r="CA697" i="11"/>
  <c r="AZ697" i="11"/>
  <c r="CB697" i="11"/>
  <c r="CF697" i="11" s="1"/>
  <c r="CC697" i="11"/>
  <c r="DM697" i="11"/>
  <c r="AM697" i="11"/>
  <c r="X697" i="11"/>
  <c r="W698" i="11"/>
  <c r="C699" i="11"/>
  <c r="A699" i="11" s="1"/>
  <c r="EB698" i="11" l="1"/>
  <c r="Z698" i="11"/>
  <c r="F698" i="11" s="1"/>
  <c r="BL696" i="11"/>
  <c r="BK697" i="11"/>
  <c r="AY695" i="11"/>
  <c r="B699" i="11"/>
  <c r="P699" i="11" s="1"/>
  <c r="BG698" i="11"/>
  <c r="BD697" i="11"/>
  <c r="CY696" i="11"/>
  <c r="BY696" i="11"/>
  <c r="L697" i="11"/>
  <c r="EJ696" i="11"/>
  <c r="EK696" i="11"/>
  <c r="EF696" i="11"/>
  <c r="BX697" i="11"/>
  <c r="BW697" i="11"/>
  <c r="CK697" i="11"/>
  <c r="CJ697" i="11"/>
  <c r="CL697" i="11" s="1"/>
  <c r="DJ697" i="11"/>
  <c r="DK697" i="11"/>
  <c r="DL697" i="11" s="1"/>
  <c r="CW697" i="11"/>
  <c r="CX697" i="11"/>
  <c r="CY697" i="11" s="1"/>
  <c r="BJ697" i="11"/>
  <c r="BL697" i="11" s="1"/>
  <c r="M697" i="11"/>
  <c r="AW696" i="11"/>
  <c r="AX696" i="11"/>
  <c r="EC698" i="11"/>
  <c r="EI698" i="11"/>
  <c r="EH698" i="11"/>
  <c r="ED698" i="11"/>
  <c r="EA698" i="11"/>
  <c r="DZ698" i="11"/>
  <c r="EE697" i="11"/>
  <c r="EG697" i="11" s="1"/>
  <c r="CD697" i="11"/>
  <c r="DD697" i="11"/>
  <c r="BF697" i="11"/>
  <c r="DF697" i="11"/>
  <c r="AB698" i="11"/>
  <c r="BQ697" i="11"/>
  <c r="BS697" i="11"/>
  <c r="CQ697" i="11"/>
  <c r="AR697" i="11"/>
  <c r="AT697" i="11" s="1"/>
  <c r="AS697" i="11"/>
  <c r="AQ697" i="11"/>
  <c r="CE698" i="11"/>
  <c r="CG698" i="11" s="1"/>
  <c r="DV698" i="11"/>
  <c r="DU698" i="11"/>
  <c r="DI698" i="11"/>
  <c r="DH698" i="11"/>
  <c r="CR698" i="11"/>
  <c r="CT698" i="11" s="1"/>
  <c r="CU698" i="11"/>
  <c r="CV698" i="11"/>
  <c r="CI698" i="11"/>
  <c r="CH698" i="11"/>
  <c r="BU698" i="11"/>
  <c r="BV698" i="11"/>
  <c r="BI698" i="11"/>
  <c r="BH698" i="11"/>
  <c r="AU698" i="11"/>
  <c r="AV698" i="11"/>
  <c r="AI698" i="11"/>
  <c r="AH698" i="11"/>
  <c r="BN698" i="11"/>
  <c r="BO698" i="11"/>
  <c r="BR698" i="11" s="1"/>
  <c r="BT698" i="11" s="1"/>
  <c r="BP698" i="11"/>
  <c r="AN698" i="11"/>
  <c r="AO698" i="11"/>
  <c r="AP698" i="11"/>
  <c r="Y698" i="11"/>
  <c r="AA698" i="11"/>
  <c r="BA698" i="11"/>
  <c r="BB698" i="11"/>
  <c r="BE698" i="11" s="1"/>
  <c r="BC698" i="11"/>
  <c r="DM698" i="11"/>
  <c r="DN698" i="11"/>
  <c r="CZ698" i="11"/>
  <c r="DA698" i="11"/>
  <c r="DP698" i="11"/>
  <c r="DB698" i="11"/>
  <c r="DE698" i="11" s="1"/>
  <c r="DG698" i="11" s="1"/>
  <c r="CP698" i="11"/>
  <c r="CA698" i="11"/>
  <c r="CB698" i="11"/>
  <c r="CF698" i="11" s="1"/>
  <c r="DC698" i="11"/>
  <c r="CC698" i="11"/>
  <c r="BM698" i="11"/>
  <c r="CM698" i="11"/>
  <c r="AZ698" i="11"/>
  <c r="CN698" i="11"/>
  <c r="CO698" i="11"/>
  <c r="CQ698" i="11" s="1"/>
  <c r="BZ698" i="11"/>
  <c r="X698" i="11"/>
  <c r="AM698" i="11"/>
  <c r="W699" i="11"/>
  <c r="C700" i="11"/>
  <c r="A700" i="11" s="1"/>
  <c r="EB699" i="11" l="1"/>
  <c r="Z699" i="11"/>
  <c r="F699" i="11" s="1"/>
  <c r="B700" i="11"/>
  <c r="BD698" i="11"/>
  <c r="BJ698" i="11"/>
  <c r="BL698" i="11" s="1"/>
  <c r="BK698" i="11"/>
  <c r="AC698" i="11"/>
  <c r="AF698" i="11" s="1"/>
  <c r="L698" i="11"/>
  <c r="BY697" i="11"/>
  <c r="AY696" i="11"/>
  <c r="EL696" i="11"/>
  <c r="DJ698" i="11"/>
  <c r="DK698" i="11"/>
  <c r="BW698" i="11"/>
  <c r="BX698" i="11"/>
  <c r="BY698" i="11" s="1"/>
  <c r="CW698" i="11"/>
  <c r="CX698" i="11"/>
  <c r="CK698" i="11"/>
  <c r="CJ698" i="11"/>
  <c r="CL698" i="11" s="1"/>
  <c r="EK697" i="11"/>
  <c r="EJ697" i="11"/>
  <c r="EF697" i="11"/>
  <c r="M698" i="11"/>
  <c r="AW697" i="11"/>
  <c r="AX697" i="11"/>
  <c r="EE698" i="11"/>
  <c r="EG698" i="11" s="1"/>
  <c r="EH699" i="11"/>
  <c r="ED699" i="11"/>
  <c r="EA699" i="11"/>
  <c r="EI699" i="11"/>
  <c r="EC699" i="11"/>
  <c r="DZ699" i="11"/>
  <c r="P700" i="11"/>
  <c r="BF698" i="11"/>
  <c r="BS698" i="11"/>
  <c r="CS698" i="11"/>
  <c r="DF698" i="11"/>
  <c r="BQ698" i="11"/>
  <c r="DD698" i="11"/>
  <c r="CD698" i="11"/>
  <c r="AB699" i="11"/>
  <c r="AC699" i="11" s="1"/>
  <c r="AF699" i="11" s="1"/>
  <c r="AR698" i="11"/>
  <c r="AT698" i="11" s="1"/>
  <c r="AS698" i="11"/>
  <c r="AQ698" i="11"/>
  <c r="CE699" i="11"/>
  <c r="CG699" i="11" s="1"/>
  <c r="CK699" i="11" s="1"/>
  <c r="DU699" i="11"/>
  <c r="DV699" i="11"/>
  <c r="DH699" i="11"/>
  <c r="DI699" i="11"/>
  <c r="CR699" i="11"/>
  <c r="CT699" i="11" s="1"/>
  <c r="CU699" i="11"/>
  <c r="CV699" i="11"/>
  <c r="CI699" i="11"/>
  <c r="CH699" i="11"/>
  <c r="BV699" i="11"/>
  <c r="BU699" i="11"/>
  <c r="BH699" i="11"/>
  <c r="BI699" i="11"/>
  <c r="AU699" i="11"/>
  <c r="AV699" i="11"/>
  <c r="AH699" i="11"/>
  <c r="AI699" i="11"/>
  <c r="BO699" i="11"/>
  <c r="BR699" i="11" s="1"/>
  <c r="BT699" i="11" s="1"/>
  <c r="BP699" i="11"/>
  <c r="BN699" i="11"/>
  <c r="AN699" i="11"/>
  <c r="AP699" i="11"/>
  <c r="AO699" i="11"/>
  <c r="Y699" i="11"/>
  <c r="AA699" i="11"/>
  <c r="BA699" i="11"/>
  <c r="BB699" i="11"/>
  <c r="BE699" i="11" s="1"/>
  <c r="BG699" i="11" s="1"/>
  <c r="BC699" i="11"/>
  <c r="DP699" i="11"/>
  <c r="DB699" i="11"/>
  <c r="DE699" i="11" s="1"/>
  <c r="DG699" i="11" s="1"/>
  <c r="DC699" i="11"/>
  <c r="DN699" i="11"/>
  <c r="DM699" i="11"/>
  <c r="X699" i="11"/>
  <c r="CM699" i="11"/>
  <c r="CN699" i="11"/>
  <c r="CZ699" i="11"/>
  <c r="CO699" i="11"/>
  <c r="CQ699" i="11" s="1"/>
  <c r="BZ699" i="11"/>
  <c r="DA699" i="11"/>
  <c r="CP699" i="11"/>
  <c r="CA699" i="11"/>
  <c r="CB699" i="11"/>
  <c r="CF699" i="11" s="1"/>
  <c r="BM699" i="11"/>
  <c r="CC699" i="11"/>
  <c r="AZ699" i="11"/>
  <c r="AM699" i="11"/>
  <c r="W700" i="11"/>
  <c r="C701" i="11"/>
  <c r="A701" i="11" s="1"/>
  <c r="Z700" i="11" l="1"/>
  <c r="F700" i="11" s="1"/>
  <c r="EB700" i="11"/>
  <c r="ED700" i="11" s="1"/>
  <c r="DL698" i="11"/>
  <c r="AY697" i="11"/>
  <c r="B701" i="11"/>
  <c r="BD699" i="11"/>
  <c r="M699" i="11"/>
  <c r="EL697" i="11"/>
  <c r="CY698" i="11"/>
  <c r="BK699" i="11"/>
  <c r="BJ699" i="11"/>
  <c r="BL699" i="11" s="1"/>
  <c r="DJ699" i="11"/>
  <c r="DK699" i="11"/>
  <c r="BW699" i="11"/>
  <c r="BY699" i="11" s="1"/>
  <c r="BX699" i="11"/>
  <c r="CW699" i="11"/>
  <c r="CY699" i="11" s="1"/>
  <c r="CX699" i="11"/>
  <c r="L699" i="11"/>
  <c r="CJ699" i="11"/>
  <c r="CL699" i="11" s="1"/>
  <c r="AX698" i="11"/>
  <c r="AW698" i="11"/>
  <c r="AY698" i="11" s="1"/>
  <c r="EE699" i="11"/>
  <c r="EJ698" i="11"/>
  <c r="EK698" i="11"/>
  <c r="EF698" i="11"/>
  <c r="EC700" i="11"/>
  <c r="DZ700" i="11"/>
  <c r="EI700" i="11"/>
  <c r="EH700" i="11"/>
  <c r="EA700" i="11"/>
  <c r="P701" i="11"/>
  <c r="DF699" i="11"/>
  <c r="DD699" i="11"/>
  <c r="BS699" i="11"/>
  <c r="BF699" i="11"/>
  <c r="CD699" i="11"/>
  <c r="CS699" i="11"/>
  <c r="AB700" i="11"/>
  <c r="BQ699" i="11"/>
  <c r="AR699" i="11"/>
  <c r="AT699" i="11" s="1"/>
  <c r="AS699" i="11"/>
  <c r="AQ699" i="11"/>
  <c r="CE700" i="11"/>
  <c r="CG700" i="11" s="1"/>
  <c r="DV700" i="11"/>
  <c r="DU700" i="11"/>
  <c r="DH700" i="11"/>
  <c r="DI700" i="11"/>
  <c r="CR700" i="11"/>
  <c r="CT700" i="11" s="1"/>
  <c r="CV700" i="11"/>
  <c r="CU700" i="11"/>
  <c r="CI700" i="11"/>
  <c r="BU700" i="11"/>
  <c r="CH700" i="11"/>
  <c r="BV700" i="11"/>
  <c r="BH700" i="11"/>
  <c r="BI700" i="11"/>
  <c r="AU700" i="11"/>
  <c r="AV700" i="11"/>
  <c r="AH700" i="11"/>
  <c r="AI700" i="11"/>
  <c r="BP700" i="11"/>
  <c r="BN700" i="11"/>
  <c r="BO700" i="11"/>
  <c r="BR700" i="11" s="1"/>
  <c r="BT700" i="11" s="1"/>
  <c r="W701" i="11"/>
  <c r="AO700" i="11"/>
  <c r="AP700" i="11"/>
  <c r="AN700" i="11"/>
  <c r="AA700" i="11"/>
  <c r="Y700" i="11"/>
  <c r="BA700" i="11"/>
  <c r="BB700" i="11"/>
  <c r="BE700" i="11" s="1"/>
  <c r="BG700" i="11" s="1"/>
  <c r="BC700" i="11"/>
  <c r="DM700" i="11"/>
  <c r="DN700" i="11"/>
  <c r="CZ700" i="11"/>
  <c r="DA700" i="11"/>
  <c r="DP700" i="11"/>
  <c r="DB700" i="11"/>
  <c r="DE700" i="11" s="1"/>
  <c r="DG700" i="11" s="1"/>
  <c r="CP700" i="11"/>
  <c r="CA700" i="11"/>
  <c r="AM700" i="11"/>
  <c r="CB700" i="11"/>
  <c r="CF700" i="11" s="1"/>
  <c r="X700" i="11"/>
  <c r="CC700" i="11"/>
  <c r="DC700" i="11"/>
  <c r="CM700" i="11"/>
  <c r="CN700" i="11"/>
  <c r="BM700" i="11"/>
  <c r="CO700" i="11"/>
  <c r="CQ700" i="11" s="1"/>
  <c r="BZ700" i="11"/>
  <c r="AZ700" i="11"/>
  <c r="C702" i="11"/>
  <c r="A702" i="11" s="1"/>
  <c r="EB701" i="11" l="1"/>
  <c r="ED701" i="11" s="1"/>
  <c r="Z701" i="11"/>
  <c r="F701" i="11" s="1"/>
  <c r="B702" i="11"/>
  <c r="BD700" i="11"/>
  <c r="BX700" i="11"/>
  <c r="BW700" i="11"/>
  <c r="BY700" i="11" s="1"/>
  <c r="EG699" i="11"/>
  <c r="EF699" i="11" s="1"/>
  <c r="AC700" i="11"/>
  <c r="AF700" i="11" s="1"/>
  <c r="DL699" i="11"/>
  <c r="EL698" i="11"/>
  <c r="DJ700" i="11"/>
  <c r="DL700" i="11" s="1"/>
  <c r="DK700" i="11"/>
  <c r="CK700" i="11"/>
  <c r="CJ700" i="11"/>
  <c r="BK700" i="11"/>
  <c r="BJ700" i="11"/>
  <c r="CW700" i="11"/>
  <c r="CX700" i="11"/>
  <c r="CY700" i="11" s="1"/>
  <c r="EJ699" i="11"/>
  <c r="EK699" i="11"/>
  <c r="AW699" i="11"/>
  <c r="AY699" i="11" s="1"/>
  <c r="AX699" i="11"/>
  <c r="M700" i="11"/>
  <c r="L700" i="11"/>
  <c r="EE700" i="11"/>
  <c r="EG700" i="11" s="1"/>
  <c r="EA701" i="11"/>
  <c r="EI701" i="11"/>
  <c r="EH701" i="11"/>
  <c r="DZ701" i="11"/>
  <c r="EC701" i="11"/>
  <c r="P702" i="11"/>
  <c r="CS700" i="11"/>
  <c r="DD700" i="11"/>
  <c r="BF700" i="11"/>
  <c r="DF700" i="11"/>
  <c r="AB701" i="11"/>
  <c r="BQ700" i="11"/>
  <c r="CD700" i="11"/>
  <c r="BS700" i="11"/>
  <c r="AR700" i="11"/>
  <c r="AT700" i="11" s="1"/>
  <c r="AQ700" i="11"/>
  <c r="AS700" i="11"/>
  <c r="CE701" i="11"/>
  <c r="CG701" i="11" s="1"/>
  <c r="DU701" i="11"/>
  <c r="DV701" i="11"/>
  <c r="DI701" i="11"/>
  <c r="DH701" i="11"/>
  <c r="CR701" i="11"/>
  <c r="CT701" i="11" s="1"/>
  <c r="CW701" i="11" s="1"/>
  <c r="CV701" i="11"/>
  <c r="CU701" i="11"/>
  <c r="CI701" i="11"/>
  <c r="CH701" i="11"/>
  <c r="BU701" i="11"/>
  <c r="BV701" i="11"/>
  <c r="BH701" i="11"/>
  <c r="BI701" i="11"/>
  <c r="AU701" i="11"/>
  <c r="AV701" i="11"/>
  <c r="AH701" i="11"/>
  <c r="AI701" i="11"/>
  <c r="BN701" i="11"/>
  <c r="BO701" i="11"/>
  <c r="BR701" i="11" s="1"/>
  <c r="BT701" i="11" s="1"/>
  <c r="BX701" i="11" s="1"/>
  <c r="BP701" i="11"/>
  <c r="W702" i="11"/>
  <c r="AN701" i="11"/>
  <c r="AO701" i="11"/>
  <c r="AP701" i="11"/>
  <c r="Y701" i="11"/>
  <c r="AA701" i="11"/>
  <c r="BA701" i="11"/>
  <c r="BB701" i="11"/>
  <c r="BE701" i="11" s="1"/>
  <c r="BG701" i="11" s="1"/>
  <c r="BC701" i="11"/>
  <c r="DP701" i="11"/>
  <c r="DB701" i="11"/>
  <c r="DE701" i="11" s="1"/>
  <c r="DG701" i="11" s="1"/>
  <c r="DC701" i="11"/>
  <c r="DN701" i="11"/>
  <c r="AZ701" i="11"/>
  <c r="DM701" i="11"/>
  <c r="CM701" i="11"/>
  <c r="AM701" i="11"/>
  <c r="CN701" i="11"/>
  <c r="X701" i="11"/>
  <c r="CO701" i="11"/>
  <c r="CQ701" i="11" s="1"/>
  <c r="BZ701" i="11"/>
  <c r="CP701" i="11"/>
  <c r="CA701" i="11"/>
  <c r="CB701" i="11"/>
  <c r="CF701" i="11" s="1"/>
  <c r="CZ701" i="11"/>
  <c r="CC701" i="11"/>
  <c r="DA701" i="11"/>
  <c r="BM701" i="11"/>
  <c r="C703" i="11"/>
  <c r="A703" i="11" s="1"/>
  <c r="Z702" i="11" l="1"/>
  <c r="F702" i="11" s="1"/>
  <c r="EB702" i="11"/>
  <c r="BL700" i="11"/>
  <c r="CL700" i="11"/>
  <c r="B703" i="11"/>
  <c r="BD701" i="11"/>
  <c r="AC701" i="11"/>
  <c r="AF701" i="11" s="1"/>
  <c r="M701" i="11"/>
  <c r="BT702" i="11"/>
  <c r="BW702" i="11" s="1"/>
  <c r="EL699" i="11"/>
  <c r="EK700" i="11"/>
  <c r="EJ700" i="11"/>
  <c r="EF700" i="11"/>
  <c r="BJ701" i="11"/>
  <c r="BL701" i="11" s="1"/>
  <c r="BK701" i="11"/>
  <c r="CJ701" i="11"/>
  <c r="CK701" i="11"/>
  <c r="DJ701" i="11"/>
  <c r="DK701" i="11"/>
  <c r="BW701" i="11"/>
  <c r="BY701" i="11" s="1"/>
  <c r="L701" i="11"/>
  <c r="CX701" i="11"/>
  <c r="CY701" i="11" s="1"/>
  <c r="AW700" i="11"/>
  <c r="AX700" i="11"/>
  <c r="EE701" i="11"/>
  <c r="EC702" i="11"/>
  <c r="EH702" i="11"/>
  <c r="ED702" i="11"/>
  <c r="EA702" i="11"/>
  <c r="DZ702" i="11"/>
  <c r="EI702" i="11"/>
  <c r="P703" i="11"/>
  <c r="BQ701" i="11"/>
  <c r="CS701" i="11"/>
  <c r="DD701" i="11"/>
  <c r="CD701" i="11"/>
  <c r="DF701" i="11"/>
  <c r="BF701" i="11"/>
  <c r="BS701" i="11"/>
  <c r="AB702" i="11"/>
  <c r="AR701" i="11"/>
  <c r="AT701" i="11" s="1"/>
  <c r="AS701" i="11"/>
  <c r="AQ701" i="11"/>
  <c r="CE702" i="11"/>
  <c r="CG702" i="11" s="1"/>
  <c r="DV702" i="11"/>
  <c r="DU702" i="11"/>
  <c r="DH702" i="11"/>
  <c r="DI702" i="11"/>
  <c r="CV702" i="11"/>
  <c r="CR702" i="11"/>
  <c r="CT702" i="11" s="1"/>
  <c r="CU702" i="11"/>
  <c r="CI702" i="11"/>
  <c r="CH702" i="11"/>
  <c r="BU702" i="11"/>
  <c r="BV702" i="11"/>
  <c r="BH702" i="11"/>
  <c r="BI702" i="11"/>
  <c r="AU702" i="11"/>
  <c r="AV702" i="11"/>
  <c r="AH702" i="11"/>
  <c r="AI702" i="11"/>
  <c r="BN702" i="11"/>
  <c r="BO702" i="11"/>
  <c r="BR702" i="11" s="1"/>
  <c r="BP702" i="11"/>
  <c r="W703" i="11"/>
  <c r="AO702" i="11"/>
  <c r="AN702" i="11"/>
  <c r="AP702" i="11"/>
  <c r="Y702" i="11"/>
  <c r="AA702" i="11"/>
  <c r="BC702" i="11"/>
  <c r="BB702" i="11"/>
  <c r="BE702" i="11" s="1"/>
  <c r="BG702" i="11" s="1"/>
  <c r="BA702" i="11"/>
  <c r="DM702" i="11"/>
  <c r="DN702" i="11"/>
  <c r="CZ702" i="11"/>
  <c r="DA702" i="11"/>
  <c r="DP702" i="11"/>
  <c r="DB702" i="11"/>
  <c r="DE702" i="11" s="1"/>
  <c r="DG702" i="11" s="1"/>
  <c r="DC702" i="11"/>
  <c r="CP702" i="11"/>
  <c r="CA702" i="11"/>
  <c r="BM702" i="11"/>
  <c r="CB702" i="11"/>
  <c r="CD702" i="11" s="1"/>
  <c r="AZ702" i="11"/>
  <c r="CC702" i="11"/>
  <c r="AM702" i="11"/>
  <c r="X702" i="11"/>
  <c r="CM702" i="11"/>
  <c r="CN702" i="11"/>
  <c r="CO702" i="11"/>
  <c r="CS702" i="11" s="1"/>
  <c r="BZ702" i="11"/>
  <c r="C704" i="11"/>
  <c r="A704" i="11" s="1"/>
  <c r="Z703" i="11" l="1"/>
  <c r="F703" i="11" s="1"/>
  <c r="EB703" i="11"/>
  <c r="ED703" i="11" s="1"/>
  <c r="AC702" i="11"/>
  <c r="DL701" i="11"/>
  <c r="BX702" i="11"/>
  <c r="BY702" i="11" s="1"/>
  <c r="M702" i="11"/>
  <c r="B704" i="11"/>
  <c r="BD702" i="11"/>
  <c r="AY700" i="11"/>
  <c r="CL701" i="11"/>
  <c r="EG701" i="11"/>
  <c r="EF701" i="11" s="1"/>
  <c r="EL700" i="11"/>
  <c r="CG703" i="11"/>
  <c r="CK702" i="11"/>
  <c r="CJ702" i="11"/>
  <c r="CL702" i="11" s="1"/>
  <c r="BK702" i="11"/>
  <c r="BJ702" i="11"/>
  <c r="BL702" i="11" s="1"/>
  <c r="DK702" i="11"/>
  <c r="DL702" i="11" s="1"/>
  <c r="DJ702" i="11"/>
  <c r="CW702" i="11"/>
  <c r="CX702" i="11"/>
  <c r="L702" i="11"/>
  <c r="AW701" i="11"/>
  <c r="AX701" i="11"/>
  <c r="EE702" i="11"/>
  <c r="EG702" i="11" s="1"/>
  <c r="EH703" i="11"/>
  <c r="EA703" i="11"/>
  <c r="EI703" i="11"/>
  <c r="EC703" i="11"/>
  <c r="DZ703" i="11"/>
  <c r="BQ702" i="11"/>
  <c r="CF702" i="11"/>
  <c r="CQ702" i="11"/>
  <c r="BF702" i="11"/>
  <c r="DF702" i="11"/>
  <c r="BS702" i="11"/>
  <c r="AB703" i="11"/>
  <c r="AC703" i="11" s="1"/>
  <c r="AF703" i="11" s="1"/>
  <c r="DD702" i="11"/>
  <c r="AR702" i="11"/>
  <c r="AT702" i="11" s="1"/>
  <c r="AQ702" i="11"/>
  <c r="AS702" i="11"/>
  <c r="CE703" i="11"/>
  <c r="DV703" i="11"/>
  <c r="DU703" i="11"/>
  <c r="DH703" i="11"/>
  <c r="DI703" i="11"/>
  <c r="CU703" i="11"/>
  <c r="CV703" i="11"/>
  <c r="CR703" i="11"/>
  <c r="CT703" i="11" s="1"/>
  <c r="CI703" i="11"/>
  <c r="CH703" i="11"/>
  <c r="BU703" i="11"/>
  <c r="BV703" i="11"/>
  <c r="BH703" i="11"/>
  <c r="BI703" i="11"/>
  <c r="AU703" i="11"/>
  <c r="AV703" i="11"/>
  <c r="AH703" i="11"/>
  <c r="AI703" i="11"/>
  <c r="BO703" i="11"/>
  <c r="BR703" i="11" s="1"/>
  <c r="BT703" i="11" s="1"/>
  <c r="BP703" i="11"/>
  <c r="BN703" i="11"/>
  <c r="W704" i="11"/>
  <c r="AN703" i="11"/>
  <c r="AO703" i="11"/>
  <c r="AP703" i="11"/>
  <c r="AA703" i="11"/>
  <c r="Y703" i="11"/>
  <c r="BA703" i="11"/>
  <c r="BB703" i="11"/>
  <c r="BE703" i="11" s="1"/>
  <c r="BG703" i="11" s="1"/>
  <c r="BC703" i="11"/>
  <c r="DP703" i="11"/>
  <c r="DB703" i="11"/>
  <c r="DE703" i="11" s="1"/>
  <c r="DG703" i="11" s="1"/>
  <c r="DC703" i="11"/>
  <c r="DN703" i="11"/>
  <c r="CZ703" i="11"/>
  <c r="CM703" i="11"/>
  <c r="BM703" i="11"/>
  <c r="DM703" i="11"/>
  <c r="DA703" i="11"/>
  <c r="CN703" i="11"/>
  <c r="AZ703" i="11"/>
  <c r="CO703" i="11"/>
  <c r="CS703" i="11" s="1"/>
  <c r="BZ703" i="11"/>
  <c r="AM703" i="11"/>
  <c r="CP703" i="11"/>
  <c r="CA703" i="11"/>
  <c r="X703" i="11"/>
  <c r="CB703" i="11"/>
  <c r="CD703" i="11" s="1"/>
  <c r="CC703" i="11"/>
  <c r="C705" i="11"/>
  <c r="A705" i="11" s="1"/>
  <c r="EB704" i="11" l="1"/>
  <c r="Z704" i="11"/>
  <c r="F704" i="11" s="1"/>
  <c r="AE703" i="11"/>
  <c r="AG703" i="11" s="1"/>
  <c r="EK701" i="11"/>
  <c r="EJ701" i="11"/>
  <c r="AF702" i="11"/>
  <c r="AE702" i="11"/>
  <c r="P704" i="11"/>
  <c r="CY702" i="11"/>
  <c r="B705" i="11"/>
  <c r="BD703" i="11"/>
  <c r="AY701" i="11"/>
  <c r="EL701" i="11"/>
  <c r="CW703" i="11"/>
  <c r="CX703" i="11"/>
  <c r="BJ703" i="11"/>
  <c r="BK703" i="11"/>
  <c r="BX703" i="11"/>
  <c r="BY703" i="11"/>
  <c r="BW703" i="11"/>
  <c r="EK702" i="11"/>
  <c r="EJ702" i="11"/>
  <c r="EF702" i="11"/>
  <c r="DJ703" i="11"/>
  <c r="DK703" i="11"/>
  <c r="DL703" i="11" s="1"/>
  <c r="CK703" i="11"/>
  <c r="CJ703" i="11"/>
  <c r="CL703" i="11" s="1"/>
  <c r="L703" i="11"/>
  <c r="AW702" i="11"/>
  <c r="AY702" i="11" s="1"/>
  <c r="AX702" i="11"/>
  <c r="EE703" i="11"/>
  <c r="EG703" i="11" s="1"/>
  <c r="M703" i="11"/>
  <c r="EC704" i="11"/>
  <c r="DZ704" i="11"/>
  <c r="EI704" i="11"/>
  <c r="EH704" i="11"/>
  <c r="ED704" i="11"/>
  <c r="EA704" i="11"/>
  <c r="P705" i="11"/>
  <c r="CF703" i="11"/>
  <c r="DD703" i="11"/>
  <c r="AB704" i="11"/>
  <c r="AC704" i="11" s="1"/>
  <c r="AF704" i="11" s="1"/>
  <c r="CQ703" i="11"/>
  <c r="BF703" i="11"/>
  <c r="DF703" i="11"/>
  <c r="BQ703" i="11"/>
  <c r="BS703" i="11"/>
  <c r="AR703" i="11"/>
  <c r="AT703" i="11" s="1"/>
  <c r="AS703" i="11"/>
  <c r="AQ703" i="11"/>
  <c r="CE704" i="11"/>
  <c r="CG704" i="11" s="1"/>
  <c r="DV704" i="11"/>
  <c r="DU704" i="11"/>
  <c r="DH704" i="11"/>
  <c r="DI704" i="11"/>
  <c r="CU704" i="11"/>
  <c r="CV704" i="11"/>
  <c r="CR704" i="11"/>
  <c r="CT704" i="11" s="1"/>
  <c r="CI704" i="11"/>
  <c r="CH704" i="11"/>
  <c r="BV704" i="11"/>
  <c r="BU704" i="11"/>
  <c r="BI704" i="11"/>
  <c r="AV704" i="11"/>
  <c r="AU704" i="11"/>
  <c r="BH704" i="11"/>
  <c r="AI704" i="11"/>
  <c r="AH704" i="11"/>
  <c r="BN704" i="11"/>
  <c r="BP704" i="11"/>
  <c r="BO704" i="11"/>
  <c r="BR704" i="11" s="1"/>
  <c r="BT704" i="11" s="1"/>
  <c r="BW704" i="11" s="1"/>
  <c r="W705" i="11"/>
  <c r="AN704" i="11"/>
  <c r="AO704" i="11"/>
  <c r="AP704" i="11"/>
  <c r="Y704" i="11"/>
  <c r="AA704" i="11"/>
  <c r="BB704" i="11"/>
  <c r="BE704" i="11" s="1"/>
  <c r="BG704" i="11" s="1"/>
  <c r="BC704" i="11"/>
  <c r="BA704" i="11"/>
  <c r="DM704" i="11"/>
  <c r="DN704" i="11"/>
  <c r="CZ704" i="11"/>
  <c r="DA704" i="11"/>
  <c r="DP704" i="11"/>
  <c r="DB704" i="11"/>
  <c r="DE704" i="11" s="1"/>
  <c r="DG704" i="11" s="1"/>
  <c r="CP704" i="11"/>
  <c r="CA704" i="11"/>
  <c r="CB704" i="11"/>
  <c r="CF704" i="11" s="1"/>
  <c r="CC704" i="11"/>
  <c r="BM704" i="11"/>
  <c r="DC704" i="11"/>
  <c r="AZ704" i="11"/>
  <c r="AM704" i="11"/>
  <c r="CM704" i="11"/>
  <c r="CN704" i="11"/>
  <c r="CO704" i="11"/>
  <c r="CS704" i="11" s="1"/>
  <c r="BZ704" i="11"/>
  <c r="X704" i="11"/>
  <c r="C706" i="11"/>
  <c r="A706" i="11" s="1"/>
  <c r="EB705" i="11" l="1"/>
  <c r="Z705" i="11"/>
  <c r="F705" i="11" s="1"/>
  <c r="AG702" i="11"/>
  <c r="AE704" i="11"/>
  <c r="AG704" i="11" s="1"/>
  <c r="BL703" i="11"/>
  <c r="M704" i="11"/>
  <c r="CY703" i="11"/>
  <c r="B706" i="11"/>
  <c r="BD704" i="11"/>
  <c r="DG705" i="11"/>
  <c r="CT705" i="11"/>
  <c r="EL702" i="11"/>
  <c r="EK703" i="11"/>
  <c r="EJ703" i="11"/>
  <c r="EF703" i="11"/>
  <c r="CK704" i="11"/>
  <c r="CJ704" i="11"/>
  <c r="CL704" i="11" s="1"/>
  <c r="CW704" i="11"/>
  <c r="CY704" i="11" s="1"/>
  <c r="CX704" i="11"/>
  <c r="DJ704" i="11"/>
  <c r="DK704" i="11"/>
  <c r="BJ704" i="11"/>
  <c r="BK704" i="11"/>
  <c r="L704" i="11"/>
  <c r="BX704" i="11"/>
  <c r="BY704" i="11" s="1"/>
  <c r="AD703" i="11"/>
  <c r="AJ703" i="11"/>
  <c r="AK703" i="11"/>
  <c r="AW703" i="11"/>
  <c r="AX703" i="11"/>
  <c r="AY703" i="11" s="1"/>
  <c r="EE704" i="11"/>
  <c r="EG704" i="11" s="1"/>
  <c r="EA705" i="11"/>
  <c r="EI705" i="11"/>
  <c r="EH705" i="11"/>
  <c r="DZ705" i="11"/>
  <c r="EC705" i="11"/>
  <c r="ED705" i="11"/>
  <c r="BF704" i="11"/>
  <c r="BQ704" i="11"/>
  <c r="BS704" i="11"/>
  <c r="CD704" i="11"/>
  <c r="CQ704" i="11"/>
  <c r="AB705" i="11"/>
  <c r="DD704" i="11"/>
  <c r="DF704" i="11"/>
  <c r="AR704" i="11"/>
  <c r="AT704" i="11" s="1"/>
  <c r="AS704" i="11"/>
  <c r="AQ704" i="11"/>
  <c r="CE705" i="11"/>
  <c r="CG705" i="11" s="1"/>
  <c r="DU705" i="11"/>
  <c r="DV705" i="11"/>
  <c r="DH705" i="11"/>
  <c r="DI705" i="11"/>
  <c r="CU705" i="11"/>
  <c r="CV705" i="11"/>
  <c r="CR705" i="11"/>
  <c r="CI705" i="11"/>
  <c r="CH705" i="11"/>
  <c r="BU705" i="11"/>
  <c r="BV705" i="11"/>
  <c r="BI705" i="11"/>
  <c r="AU705" i="11"/>
  <c r="AV705" i="11"/>
  <c r="BH705" i="11"/>
  <c r="AH705" i="11"/>
  <c r="AI705" i="11"/>
  <c r="BN705" i="11"/>
  <c r="BP705" i="11"/>
  <c r="BO705" i="11"/>
  <c r="BR705" i="11" s="1"/>
  <c r="BT705" i="11" s="1"/>
  <c r="AP705" i="11"/>
  <c r="AN705" i="11"/>
  <c r="AO705" i="11"/>
  <c r="AC705" i="11"/>
  <c r="AF705" i="11" s="1"/>
  <c r="AA705" i="11"/>
  <c r="Y705" i="11"/>
  <c r="BB705" i="11"/>
  <c r="BE705" i="11" s="1"/>
  <c r="BG705" i="11" s="1"/>
  <c r="BJ705" i="11" s="1"/>
  <c r="BC705" i="11"/>
  <c r="BA705" i="11"/>
  <c r="DP705" i="11"/>
  <c r="DB705" i="11"/>
  <c r="DE705" i="11" s="1"/>
  <c r="DC705" i="11"/>
  <c r="DN705" i="11"/>
  <c r="CM705" i="11"/>
  <c r="CN705" i="11"/>
  <c r="DM705" i="11"/>
  <c r="CO705" i="11"/>
  <c r="CQ705" i="11" s="1"/>
  <c r="BZ705" i="11"/>
  <c r="BM705" i="11"/>
  <c r="CZ705" i="11"/>
  <c r="CP705" i="11"/>
  <c r="CA705" i="11"/>
  <c r="AZ705" i="11"/>
  <c r="DA705" i="11"/>
  <c r="CB705" i="11"/>
  <c r="CD705" i="11" s="1"/>
  <c r="CC705" i="11"/>
  <c r="X705" i="11"/>
  <c r="AM705" i="11"/>
  <c r="W706" i="11"/>
  <c r="C707" i="11"/>
  <c r="A707" i="11" s="1"/>
  <c r="EB706" i="11" l="1"/>
  <c r="ED706" i="11" s="1"/>
  <c r="Z706" i="11"/>
  <c r="F706" i="11" s="1"/>
  <c r="BL704" i="11"/>
  <c r="DL704" i="11"/>
  <c r="AL703" i="11"/>
  <c r="M705" i="11"/>
  <c r="AE705" i="11"/>
  <c r="AG705" i="11" s="1"/>
  <c r="AJ702" i="11"/>
  <c r="AL702" i="11" s="1"/>
  <c r="AD702" i="11"/>
  <c r="AK702" i="11"/>
  <c r="P706" i="11"/>
  <c r="B707" i="11"/>
  <c r="BG706" i="11"/>
  <c r="BD705" i="11"/>
  <c r="EL703" i="11"/>
  <c r="EJ704" i="11"/>
  <c r="EK704" i="11"/>
  <c r="EF704" i="11"/>
  <c r="CX705" i="11"/>
  <c r="CW705" i="11"/>
  <c r="CY705" i="11" s="1"/>
  <c r="BW705" i="11"/>
  <c r="BY705" i="11" s="1"/>
  <c r="BX705" i="11"/>
  <c r="DJ705" i="11"/>
  <c r="DK705" i="11"/>
  <c r="DL705" i="11"/>
  <c r="CK705" i="11"/>
  <c r="CJ705" i="11"/>
  <c r="CL705" i="11" s="1"/>
  <c r="BL705" i="11"/>
  <c r="BK705" i="11"/>
  <c r="AX704" i="11"/>
  <c r="AW704" i="11"/>
  <c r="AY704" i="11" s="1"/>
  <c r="AD704" i="11"/>
  <c r="AK704" i="11"/>
  <c r="AJ704" i="11"/>
  <c r="L705" i="11"/>
  <c r="EC706" i="11"/>
  <c r="EA706" i="11"/>
  <c r="DZ706" i="11"/>
  <c r="EI706" i="11"/>
  <c r="EH706" i="11"/>
  <c r="EE705" i="11"/>
  <c r="EG705" i="11" s="1"/>
  <c r="P707" i="11"/>
  <c r="CF705" i="11"/>
  <c r="CS705" i="11"/>
  <c r="DD705" i="11"/>
  <c r="BF705" i="11"/>
  <c r="DF705" i="11"/>
  <c r="AB706" i="11"/>
  <c r="BS705" i="11"/>
  <c r="BQ705" i="11"/>
  <c r="AR705" i="11"/>
  <c r="AT705" i="11" s="1"/>
  <c r="AS705" i="11"/>
  <c r="AQ705" i="11"/>
  <c r="CE706" i="11"/>
  <c r="CG706" i="11" s="1"/>
  <c r="DV706" i="11"/>
  <c r="DU706" i="11"/>
  <c r="DI706" i="11"/>
  <c r="DH706" i="11"/>
  <c r="CR706" i="11"/>
  <c r="CT706" i="11" s="1"/>
  <c r="CU706" i="11"/>
  <c r="CV706" i="11"/>
  <c r="CI706" i="11"/>
  <c r="CH706" i="11"/>
  <c r="BU706" i="11"/>
  <c r="BV706" i="11"/>
  <c r="BI706" i="11"/>
  <c r="BH706" i="11"/>
  <c r="AU706" i="11"/>
  <c r="AV706" i="11"/>
  <c r="AI706" i="11"/>
  <c r="AH706" i="11"/>
  <c r="BN706" i="11"/>
  <c r="BO706" i="11"/>
  <c r="BR706" i="11" s="1"/>
  <c r="BT706" i="11" s="1"/>
  <c r="BP706" i="11"/>
  <c r="W707" i="11"/>
  <c r="AN706" i="11"/>
  <c r="AO706" i="11"/>
  <c r="AP706" i="11"/>
  <c r="Y706" i="11"/>
  <c r="AA706" i="11"/>
  <c r="BB706" i="11"/>
  <c r="BE706" i="11" s="1"/>
  <c r="BC706" i="11"/>
  <c r="BA706" i="11"/>
  <c r="DM706" i="11"/>
  <c r="DN706" i="11"/>
  <c r="CZ706" i="11"/>
  <c r="DA706" i="11"/>
  <c r="DP706" i="11"/>
  <c r="DB706" i="11"/>
  <c r="DE706" i="11" s="1"/>
  <c r="DG706" i="11" s="1"/>
  <c r="CP706" i="11"/>
  <c r="CA706" i="11"/>
  <c r="CB706" i="11"/>
  <c r="CF706" i="11" s="1"/>
  <c r="CC706" i="11"/>
  <c r="BM706" i="11"/>
  <c r="CM706" i="11"/>
  <c r="AZ706" i="11"/>
  <c r="DC706" i="11"/>
  <c r="CN706" i="11"/>
  <c r="CO706" i="11"/>
  <c r="CQ706" i="11" s="1"/>
  <c r="BZ706" i="11"/>
  <c r="X706" i="11"/>
  <c r="AM706" i="11"/>
  <c r="C708" i="11"/>
  <c r="A708" i="11" s="1"/>
  <c r="EB707" i="11" l="1"/>
  <c r="ED707" i="11" s="1"/>
  <c r="Z707" i="11"/>
  <c r="F707" i="11" s="1"/>
  <c r="AC706" i="11"/>
  <c r="B708" i="11"/>
  <c r="BG707" i="11"/>
  <c r="BD706" i="11"/>
  <c r="EL704" i="11"/>
  <c r="DJ706" i="11"/>
  <c r="DK706" i="11"/>
  <c r="DL706" i="11"/>
  <c r="BJ706" i="11"/>
  <c r="BK706" i="11"/>
  <c r="BL706" i="11" s="1"/>
  <c r="CK706" i="11"/>
  <c r="CJ706" i="11"/>
  <c r="CL706" i="11" s="1"/>
  <c r="BX706" i="11"/>
  <c r="BY706" i="11" s="1"/>
  <c r="BW706" i="11"/>
  <c r="CX706" i="11"/>
  <c r="CY706" i="11" s="1"/>
  <c r="CW706" i="11"/>
  <c r="AD705" i="11"/>
  <c r="AK705" i="11"/>
  <c r="AJ705" i="11"/>
  <c r="M706" i="11"/>
  <c r="AL704" i="11"/>
  <c r="AX705" i="11"/>
  <c r="AW705" i="11"/>
  <c r="AY705" i="11" s="1"/>
  <c r="EK705" i="11"/>
  <c r="EJ705" i="11"/>
  <c r="EL705" i="11" s="1"/>
  <c r="L706" i="11"/>
  <c r="EF705" i="11"/>
  <c r="EE706" i="11"/>
  <c r="EG706" i="11" s="1"/>
  <c r="EH707" i="11"/>
  <c r="EA707" i="11"/>
  <c r="EI707" i="11"/>
  <c r="EC707" i="11"/>
  <c r="DZ707" i="11"/>
  <c r="P708" i="11"/>
  <c r="DF706" i="11"/>
  <c r="BQ706" i="11"/>
  <c r="DD706" i="11"/>
  <c r="AB707" i="11"/>
  <c r="AC707" i="11" s="1"/>
  <c r="AF707" i="11" s="1"/>
  <c r="BF706" i="11"/>
  <c r="BS706" i="11"/>
  <c r="CD706" i="11"/>
  <c r="CS706" i="11"/>
  <c r="AR706" i="11"/>
  <c r="AT706" i="11" s="1"/>
  <c r="AS706" i="11"/>
  <c r="AQ706" i="11"/>
  <c r="CE707" i="11"/>
  <c r="CG707" i="11" s="1"/>
  <c r="CJ707" i="11" s="1"/>
  <c r="DU707" i="11"/>
  <c r="DV707" i="11"/>
  <c r="DH707" i="11"/>
  <c r="DI707" i="11"/>
  <c r="CR707" i="11"/>
  <c r="CT707" i="11" s="1"/>
  <c r="CX707" i="11" s="1"/>
  <c r="CU707" i="11"/>
  <c r="CV707" i="11"/>
  <c r="CI707" i="11"/>
  <c r="CH707" i="11"/>
  <c r="BV707" i="11"/>
  <c r="BU707" i="11"/>
  <c r="BH707" i="11"/>
  <c r="BI707" i="11"/>
  <c r="AU707" i="11"/>
  <c r="AV707" i="11"/>
  <c r="AH707" i="11"/>
  <c r="L707" i="11" s="1"/>
  <c r="AI707" i="11"/>
  <c r="BO707" i="11"/>
  <c r="BR707" i="11" s="1"/>
  <c r="BT707" i="11" s="1"/>
  <c r="BP707" i="11"/>
  <c r="BN707" i="11"/>
  <c r="AP707" i="11"/>
  <c r="AN707" i="11"/>
  <c r="AO707" i="11"/>
  <c r="Y707" i="11"/>
  <c r="AA707" i="11"/>
  <c r="BA707" i="11"/>
  <c r="BC707" i="11"/>
  <c r="BB707" i="11"/>
  <c r="BE707" i="11" s="1"/>
  <c r="DP707" i="11"/>
  <c r="DB707" i="11"/>
  <c r="DE707" i="11" s="1"/>
  <c r="DG707" i="11" s="1"/>
  <c r="DC707" i="11"/>
  <c r="DN707" i="11"/>
  <c r="DA707" i="11"/>
  <c r="X707" i="11"/>
  <c r="CM707" i="11"/>
  <c r="CN707" i="11"/>
  <c r="CO707" i="11"/>
  <c r="CQ707" i="11" s="1"/>
  <c r="BZ707" i="11"/>
  <c r="DM707" i="11"/>
  <c r="CP707" i="11"/>
  <c r="CA707" i="11"/>
  <c r="CB707" i="11"/>
  <c r="CF707" i="11" s="1"/>
  <c r="BM707" i="11"/>
  <c r="CC707" i="11"/>
  <c r="AZ707" i="11"/>
  <c r="CZ707" i="11"/>
  <c r="AM707" i="11"/>
  <c r="W708" i="11"/>
  <c r="C709" i="11"/>
  <c r="A709" i="11" s="1"/>
  <c r="Z708" i="11" l="1"/>
  <c r="F708" i="11" s="1"/>
  <c r="EB708" i="11"/>
  <c r="ED708" i="11" s="1"/>
  <c r="BX707" i="11"/>
  <c r="BW707" i="11"/>
  <c r="BY707" i="11" s="1"/>
  <c r="AL705" i="11"/>
  <c r="AE707" i="11"/>
  <c r="AG707" i="11" s="1"/>
  <c r="AF706" i="11"/>
  <c r="AE706" i="11"/>
  <c r="AG706" i="11" s="1"/>
  <c r="AK706" i="11" s="1"/>
  <c r="AF708" i="11"/>
  <c r="M707" i="11"/>
  <c r="B709" i="11"/>
  <c r="BD707" i="11"/>
  <c r="BJ707" i="11"/>
  <c r="BK707" i="11"/>
  <c r="BL707" i="11" s="1"/>
  <c r="EJ706" i="11"/>
  <c r="EK706" i="11"/>
  <c r="EF706" i="11"/>
  <c r="DK707" i="11"/>
  <c r="DJ707" i="11"/>
  <c r="DL707" i="11" s="1"/>
  <c r="CW707" i="11"/>
  <c r="CY707" i="11" s="1"/>
  <c r="CK707" i="11"/>
  <c r="CL707" i="11" s="1"/>
  <c r="AW706" i="11"/>
  <c r="AX706" i="11"/>
  <c r="AY706" i="11"/>
  <c r="EC708" i="11"/>
  <c r="DZ708" i="11"/>
  <c r="EI708" i="11"/>
  <c r="EH708" i="11"/>
  <c r="EA708" i="11"/>
  <c r="EE707" i="11"/>
  <c r="EG707" i="11" s="1"/>
  <c r="P709" i="11"/>
  <c r="CS707" i="11"/>
  <c r="BQ707" i="11"/>
  <c r="DF707" i="11"/>
  <c r="DD707" i="11"/>
  <c r="BS707" i="11"/>
  <c r="BF707" i="11"/>
  <c r="AB708" i="11"/>
  <c r="AC708" i="11" s="1"/>
  <c r="AE708" i="11" s="1"/>
  <c r="AG708" i="11" s="1"/>
  <c r="CD707" i="11"/>
  <c r="AR707" i="11"/>
  <c r="AT707" i="11" s="1"/>
  <c r="AS707" i="11"/>
  <c r="AQ707" i="11"/>
  <c r="CE708" i="11"/>
  <c r="CG708" i="11" s="1"/>
  <c r="CJ708" i="11" s="1"/>
  <c r="DV708" i="11"/>
  <c r="DU708" i="11"/>
  <c r="DH708" i="11"/>
  <c r="DI708" i="11"/>
  <c r="CR708" i="11"/>
  <c r="CT708" i="11" s="1"/>
  <c r="CU708" i="11"/>
  <c r="CV708" i="11"/>
  <c r="CI708" i="11"/>
  <c r="BU708" i="11"/>
  <c r="BV708" i="11"/>
  <c r="CH708" i="11"/>
  <c r="BH708" i="11"/>
  <c r="BI708" i="11"/>
  <c r="AU708" i="11"/>
  <c r="AV708" i="11"/>
  <c r="AH708" i="11"/>
  <c r="AI708" i="11"/>
  <c r="BP708" i="11"/>
  <c r="BN708" i="11"/>
  <c r="BO708" i="11"/>
  <c r="BR708" i="11" s="1"/>
  <c r="BT708" i="11" s="1"/>
  <c r="W709" i="11"/>
  <c r="AO708" i="11"/>
  <c r="AP708" i="11"/>
  <c r="AA708" i="11"/>
  <c r="AN708" i="11"/>
  <c r="Y708" i="11"/>
  <c r="BA708" i="11"/>
  <c r="BB708" i="11"/>
  <c r="BE708" i="11" s="1"/>
  <c r="BG708" i="11" s="1"/>
  <c r="BC708" i="11"/>
  <c r="DM708" i="11"/>
  <c r="DN708" i="11"/>
  <c r="CZ708" i="11"/>
  <c r="DA708" i="11"/>
  <c r="DP708" i="11"/>
  <c r="DB708" i="11"/>
  <c r="DE708" i="11" s="1"/>
  <c r="DG708" i="11" s="1"/>
  <c r="CP708" i="11"/>
  <c r="CA708" i="11"/>
  <c r="AM708" i="11"/>
  <c r="DC708" i="11"/>
  <c r="CB708" i="11"/>
  <c r="CF708" i="11" s="1"/>
  <c r="X708" i="11"/>
  <c r="CC708" i="11"/>
  <c r="CM708" i="11"/>
  <c r="CN708" i="11"/>
  <c r="BM708" i="11"/>
  <c r="CO708" i="11"/>
  <c r="CS708" i="11" s="1"/>
  <c r="BZ708" i="11"/>
  <c r="AZ708" i="11"/>
  <c r="C710" i="11"/>
  <c r="A710" i="11" s="1"/>
  <c r="EB709" i="11" l="1"/>
  <c r="Z709" i="11"/>
  <c r="F709" i="11" s="1"/>
  <c r="AD706" i="11"/>
  <c r="AJ706" i="11"/>
  <c r="EL706" i="11"/>
  <c r="B710" i="11"/>
  <c r="P710" i="11" s="1"/>
  <c r="BG709" i="11"/>
  <c r="BD708" i="11"/>
  <c r="CG709" i="11"/>
  <c r="CW708" i="11"/>
  <c r="CX708" i="11"/>
  <c r="DJ708" i="11"/>
  <c r="DL708" i="11" s="1"/>
  <c r="DK708" i="11"/>
  <c r="BJ708" i="11"/>
  <c r="BL708" i="11" s="1"/>
  <c r="BK708" i="11"/>
  <c r="BW708" i="11"/>
  <c r="BX708" i="11"/>
  <c r="BY708" i="11"/>
  <c r="EK707" i="11"/>
  <c r="EJ707" i="11"/>
  <c r="EF707" i="11"/>
  <c r="CK708" i="11"/>
  <c r="CL708" i="11" s="1"/>
  <c r="AL706" i="11"/>
  <c r="AX707" i="11"/>
  <c r="AW707" i="11"/>
  <c r="AY707" i="11" s="1"/>
  <c r="M708" i="11"/>
  <c r="L708" i="11"/>
  <c r="AD707" i="11"/>
  <c r="AJ707" i="11"/>
  <c r="AK707" i="11"/>
  <c r="EE708" i="11"/>
  <c r="EG708" i="11" s="1"/>
  <c r="EA709" i="11"/>
  <c r="EI709" i="11"/>
  <c r="EH709" i="11"/>
  <c r="EC709" i="11"/>
  <c r="ED709" i="11"/>
  <c r="DZ709" i="11"/>
  <c r="AB709" i="11"/>
  <c r="BF708" i="11"/>
  <c r="DF708" i="11"/>
  <c r="BQ708" i="11"/>
  <c r="CD708" i="11"/>
  <c r="BS708" i="11"/>
  <c r="CQ708" i="11"/>
  <c r="DD708" i="11"/>
  <c r="AR708" i="11"/>
  <c r="AT708" i="11" s="1"/>
  <c r="AQ708" i="11"/>
  <c r="AS708" i="11"/>
  <c r="CE709" i="11"/>
  <c r="DU709" i="11"/>
  <c r="DV709" i="11"/>
  <c r="DI709" i="11"/>
  <c r="DH709" i="11"/>
  <c r="CR709" i="11"/>
  <c r="CT709" i="11" s="1"/>
  <c r="CV709" i="11"/>
  <c r="CU709" i="11"/>
  <c r="CI709" i="11"/>
  <c r="CH709" i="11"/>
  <c r="BU709" i="11"/>
  <c r="BV709" i="11"/>
  <c r="BH709" i="11"/>
  <c r="BI709" i="11"/>
  <c r="AU709" i="11"/>
  <c r="AV709" i="11"/>
  <c r="AH709" i="11"/>
  <c r="AI709" i="11"/>
  <c r="BN709" i="11"/>
  <c r="BO709" i="11"/>
  <c r="BR709" i="11" s="1"/>
  <c r="BT709" i="11" s="1"/>
  <c r="BP709" i="11"/>
  <c r="W710" i="11"/>
  <c r="AN709" i="11"/>
  <c r="AO709" i="11"/>
  <c r="AP709" i="11"/>
  <c r="Y709" i="11"/>
  <c r="AA709" i="11"/>
  <c r="BC709" i="11"/>
  <c r="BA709" i="11"/>
  <c r="BB709" i="11"/>
  <c r="BE709" i="11" s="1"/>
  <c r="DP709" i="11"/>
  <c r="DB709" i="11"/>
  <c r="DE709" i="11" s="1"/>
  <c r="DG709" i="11" s="1"/>
  <c r="DC709" i="11"/>
  <c r="DN709" i="11"/>
  <c r="AZ709" i="11"/>
  <c r="CM709" i="11"/>
  <c r="AM709" i="11"/>
  <c r="CZ709" i="11"/>
  <c r="CN709" i="11"/>
  <c r="X709" i="11"/>
  <c r="DA709" i="11"/>
  <c r="CO709" i="11"/>
  <c r="CS709" i="11" s="1"/>
  <c r="BZ709" i="11"/>
  <c r="CP709" i="11"/>
  <c r="CA709" i="11"/>
  <c r="DM709" i="11"/>
  <c r="CB709" i="11"/>
  <c r="CD709" i="11" s="1"/>
  <c r="CC709" i="11"/>
  <c r="BM709" i="11"/>
  <c r="C711" i="11"/>
  <c r="A711" i="11" s="1"/>
  <c r="EB710" i="11" l="1"/>
  <c r="ED710" i="11" s="1"/>
  <c r="Z710" i="11"/>
  <c r="F710" i="11" s="1"/>
  <c r="AL707" i="11"/>
  <c r="CY708" i="11"/>
  <c r="AC709" i="11"/>
  <c r="B711" i="11"/>
  <c r="BD709" i="11"/>
  <c r="CT710" i="11"/>
  <c r="BT710" i="11"/>
  <c r="EL707" i="11"/>
  <c r="EJ708" i="11"/>
  <c r="EK708" i="11"/>
  <c r="EF708" i="11"/>
  <c r="CW709" i="11"/>
  <c r="CY709" i="11" s="1"/>
  <c r="CX709" i="11"/>
  <c r="DJ709" i="11"/>
  <c r="DK709" i="11"/>
  <c r="DL709" i="11" s="1"/>
  <c r="CK709" i="11"/>
  <c r="CJ709" i="11"/>
  <c r="CL709" i="11" s="1"/>
  <c r="BW709" i="11"/>
  <c r="BX709" i="11"/>
  <c r="BY709" i="11" s="1"/>
  <c r="BJ709" i="11"/>
  <c r="BK709" i="11"/>
  <c r="BL709" i="11"/>
  <c r="AJ708" i="11"/>
  <c r="AD708" i="11"/>
  <c r="AK708" i="11"/>
  <c r="EE709" i="11"/>
  <c r="M709" i="11"/>
  <c r="L709" i="11"/>
  <c r="AX708" i="11"/>
  <c r="AW708" i="11"/>
  <c r="EC710" i="11"/>
  <c r="EA710" i="11"/>
  <c r="DZ710" i="11"/>
  <c r="EI710" i="11"/>
  <c r="EH710" i="11"/>
  <c r="P711" i="11"/>
  <c r="BF709" i="11"/>
  <c r="BS709" i="11"/>
  <c r="BQ709" i="11"/>
  <c r="CF709" i="11"/>
  <c r="CQ709" i="11"/>
  <c r="AB710" i="11"/>
  <c r="DD709" i="11"/>
  <c r="DF709" i="11"/>
  <c r="AR709" i="11"/>
  <c r="AT709" i="11" s="1"/>
  <c r="AQ709" i="11"/>
  <c r="AS709" i="11"/>
  <c r="CE710" i="11"/>
  <c r="CG710" i="11" s="1"/>
  <c r="DV710" i="11"/>
  <c r="DU710" i="11"/>
  <c r="DH710" i="11"/>
  <c r="DI710" i="11"/>
  <c r="CV710" i="11"/>
  <c r="CR710" i="11"/>
  <c r="CU710" i="11"/>
  <c r="CI710" i="11"/>
  <c r="CH710" i="11"/>
  <c r="BU710" i="11"/>
  <c r="BV710" i="11"/>
  <c r="BH710" i="11"/>
  <c r="BI710" i="11"/>
  <c r="AU710" i="11"/>
  <c r="AV710" i="11"/>
  <c r="AH710" i="11"/>
  <c r="AI710" i="11"/>
  <c r="BN710" i="11"/>
  <c r="BO710" i="11"/>
  <c r="BR710" i="11" s="1"/>
  <c r="BP710" i="11"/>
  <c r="AO710" i="11"/>
  <c r="AP710" i="11"/>
  <c r="AN710" i="11"/>
  <c r="Y710" i="11"/>
  <c r="AA710" i="11"/>
  <c r="AC710" i="11"/>
  <c r="AE710" i="11" s="1"/>
  <c r="BC710" i="11"/>
  <c r="BA710" i="11"/>
  <c r="BB710" i="11"/>
  <c r="BE710" i="11" s="1"/>
  <c r="BG710" i="11" s="1"/>
  <c r="DM710" i="11"/>
  <c r="DN710" i="11"/>
  <c r="CZ710" i="11"/>
  <c r="DA710" i="11"/>
  <c r="DP710" i="11"/>
  <c r="DB710" i="11"/>
  <c r="DE710" i="11" s="1"/>
  <c r="DG710" i="11" s="1"/>
  <c r="DJ710" i="11" s="1"/>
  <c r="CP710" i="11"/>
  <c r="CA710" i="11"/>
  <c r="BM710" i="11"/>
  <c r="CB710" i="11"/>
  <c r="CF710" i="11" s="1"/>
  <c r="AZ710" i="11"/>
  <c r="CC710" i="11"/>
  <c r="AM710" i="11"/>
  <c r="X710" i="11"/>
  <c r="DC710" i="11"/>
  <c r="CM710" i="11"/>
  <c r="CN710" i="11"/>
  <c r="CO710" i="11"/>
  <c r="CQ710" i="11" s="1"/>
  <c r="BZ710" i="11"/>
  <c r="W711" i="11"/>
  <c r="C712" i="11"/>
  <c r="A712" i="11" s="1"/>
  <c r="Z711" i="11" l="1"/>
  <c r="F711" i="11" s="1"/>
  <c r="EB711" i="11"/>
  <c r="EF709" i="11"/>
  <c r="EG709" i="11"/>
  <c r="AE709" i="11"/>
  <c r="AF709" i="11"/>
  <c r="AF710" i="11"/>
  <c r="AG710" i="11" s="1"/>
  <c r="AY708" i="11"/>
  <c r="B712" i="11"/>
  <c r="BD710" i="11"/>
  <c r="DG711" i="11"/>
  <c r="EL708" i="11"/>
  <c r="BW710" i="11"/>
  <c r="BY710" i="11" s="1"/>
  <c r="BX710" i="11"/>
  <c r="CX710" i="11"/>
  <c r="CW710" i="11"/>
  <c r="CY710" i="11" s="1"/>
  <c r="BJ710" i="11"/>
  <c r="BK710" i="11"/>
  <c r="CJ710" i="11"/>
  <c r="CK710" i="11"/>
  <c r="DK710" i="11"/>
  <c r="EK709" i="11"/>
  <c r="EJ709" i="11"/>
  <c r="EL709" i="11" s="1"/>
  <c r="DL710" i="11"/>
  <c r="M710" i="11"/>
  <c r="L710" i="11"/>
  <c r="AL708" i="11"/>
  <c r="AW709" i="11"/>
  <c r="AY709" i="11" s="1"/>
  <c r="AX709" i="11"/>
  <c r="EH711" i="11"/>
  <c r="ED711" i="11"/>
  <c r="EA711" i="11"/>
  <c r="EC711" i="11"/>
  <c r="DZ711" i="11"/>
  <c r="EI711" i="11"/>
  <c r="EE710" i="11"/>
  <c r="EG710" i="11" s="1"/>
  <c r="P712" i="11"/>
  <c r="CS710" i="11"/>
  <c r="DD710" i="11"/>
  <c r="AB711" i="11"/>
  <c r="BF710" i="11"/>
  <c r="DF710" i="11"/>
  <c r="BQ710" i="11"/>
  <c r="BS710" i="11"/>
  <c r="CD710" i="11"/>
  <c r="AR710" i="11"/>
  <c r="AT710" i="11" s="1"/>
  <c r="AQ710" i="11"/>
  <c r="AS710" i="11"/>
  <c r="CE711" i="11"/>
  <c r="CG711" i="11" s="1"/>
  <c r="DU711" i="11"/>
  <c r="DV711" i="11"/>
  <c r="DH711" i="11"/>
  <c r="DI711" i="11"/>
  <c r="CU711" i="11"/>
  <c r="CV711" i="11"/>
  <c r="CR711" i="11"/>
  <c r="CT711" i="11" s="1"/>
  <c r="CI711" i="11"/>
  <c r="CH711" i="11"/>
  <c r="BU711" i="11"/>
  <c r="BV711" i="11"/>
  <c r="BH711" i="11"/>
  <c r="AU711" i="11"/>
  <c r="AV711" i="11"/>
  <c r="BI711" i="11"/>
  <c r="AH711" i="11"/>
  <c r="AI711" i="11"/>
  <c r="BO711" i="11"/>
  <c r="BR711" i="11" s="1"/>
  <c r="BT711" i="11" s="1"/>
  <c r="BP711" i="11"/>
  <c r="BN711" i="11"/>
  <c r="AN711" i="11"/>
  <c r="AO711" i="11"/>
  <c r="AP711" i="11"/>
  <c r="AA711" i="11"/>
  <c r="Y711" i="11"/>
  <c r="BA711" i="11"/>
  <c r="BC711" i="11"/>
  <c r="BB711" i="11"/>
  <c r="BE711" i="11" s="1"/>
  <c r="BG711" i="11" s="1"/>
  <c r="DP711" i="11"/>
  <c r="DB711" i="11"/>
  <c r="DE711" i="11" s="1"/>
  <c r="DC711" i="11"/>
  <c r="DN711" i="11"/>
  <c r="CM711" i="11"/>
  <c r="BM711" i="11"/>
  <c r="CN711" i="11"/>
  <c r="AZ711" i="11"/>
  <c r="CO711" i="11"/>
  <c r="CS711" i="11" s="1"/>
  <c r="BZ711" i="11"/>
  <c r="AM711" i="11"/>
  <c r="CP711" i="11"/>
  <c r="CA711" i="11"/>
  <c r="X711" i="11"/>
  <c r="CZ711" i="11"/>
  <c r="CB711" i="11"/>
  <c r="CD711" i="11" s="1"/>
  <c r="DM711" i="11"/>
  <c r="DA711" i="11"/>
  <c r="CC711" i="11"/>
  <c r="W712" i="11"/>
  <c r="C713" i="11"/>
  <c r="A713" i="11" s="1"/>
  <c r="EB712" i="11" l="1"/>
  <c r="ED712" i="11" s="1"/>
  <c r="Z712" i="11"/>
  <c r="F712" i="11" s="1"/>
  <c r="CJ711" i="11"/>
  <c r="CK711" i="11"/>
  <c r="CL710" i="11"/>
  <c r="BL710" i="11"/>
  <c r="AG709" i="11"/>
  <c r="AC711" i="11"/>
  <c r="B713" i="11"/>
  <c r="BD711" i="11"/>
  <c r="CT712" i="11"/>
  <c r="BW711" i="11"/>
  <c r="BY711" i="11" s="1"/>
  <c r="BX711" i="11"/>
  <c r="DK711" i="11"/>
  <c r="DJ711" i="11"/>
  <c r="CX711" i="11"/>
  <c r="CW711" i="11"/>
  <c r="BJ711" i="11"/>
  <c r="BK711" i="11"/>
  <c r="CL711" i="11"/>
  <c r="AX710" i="11"/>
  <c r="AW710" i="11"/>
  <c r="AY710" i="11" s="1"/>
  <c r="EK710" i="11"/>
  <c r="EJ710" i="11"/>
  <c r="EF710" i="11"/>
  <c r="M711" i="11"/>
  <c r="AK710" i="11"/>
  <c r="AD710" i="11"/>
  <c r="AJ710" i="11"/>
  <c r="L711" i="11"/>
  <c r="EE711" i="11"/>
  <c r="EG711" i="11" s="1"/>
  <c r="EC712" i="11"/>
  <c r="DZ712" i="11"/>
  <c r="EI712" i="11"/>
  <c r="EH712" i="11"/>
  <c r="EA712" i="11"/>
  <c r="P713" i="11"/>
  <c r="CF711" i="11"/>
  <c r="DD711" i="11"/>
  <c r="CQ711" i="11"/>
  <c r="AB712" i="11"/>
  <c r="BF711" i="11"/>
  <c r="DF711" i="11"/>
  <c r="BQ711" i="11"/>
  <c r="BS711" i="11"/>
  <c r="AR711" i="11"/>
  <c r="AT711" i="11" s="1"/>
  <c r="AS711" i="11"/>
  <c r="AQ711" i="11"/>
  <c r="CE712" i="11"/>
  <c r="CG712" i="11" s="1"/>
  <c r="DV712" i="11"/>
  <c r="DU712" i="11"/>
  <c r="DH712" i="11"/>
  <c r="DI712" i="11"/>
  <c r="CU712" i="11"/>
  <c r="CV712" i="11"/>
  <c r="CR712" i="11"/>
  <c r="CI712" i="11"/>
  <c r="CH712" i="11"/>
  <c r="BV712" i="11"/>
  <c r="BU712" i="11"/>
  <c r="AV712" i="11"/>
  <c r="BH712" i="11"/>
  <c r="BI712" i="11"/>
  <c r="AU712" i="11"/>
  <c r="AI712" i="11"/>
  <c r="AH712" i="11"/>
  <c r="BN712" i="11"/>
  <c r="BP712" i="11"/>
  <c r="BO712" i="11"/>
  <c r="BR712" i="11" s="1"/>
  <c r="BT712" i="11" s="1"/>
  <c r="W713" i="11"/>
  <c r="AN712" i="11"/>
  <c r="AP712" i="11"/>
  <c r="Y712" i="11"/>
  <c r="AO712" i="11"/>
  <c r="AA712" i="11"/>
  <c r="BA712" i="11"/>
  <c r="BB712" i="11"/>
  <c r="BE712" i="11" s="1"/>
  <c r="BG712" i="11" s="1"/>
  <c r="BC712" i="11"/>
  <c r="DM712" i="11"/>
  <c r="DN712" i="11"/>
  <c r="CZ712" i="11"/>
  <c r="DA712" i="11"/>
  <c r="DP712" i="11"/>
  <c r="DB712" i="11"/>
  <c r="DE712" i="11" s="1"/>
  <c r="DG712" i="11" s="1"/>
  <c r="CP712" i="11"/>
  <c r="CA712" i="11"/>
  <c r="CB712" i="11"/>
  <c r="CF712" i="11" s="1"/>
  <c r="CC712" i="11"/>
  <c r="BM712" i="11"/>
  <c r="AZ712" i="11"/>
  <c r="AM712" i="11"/>
  <c r="CM712" i="11"/>
  <c r="CN712" i="11"/>
  <c r="DC712" i="11"/>
  <c r="CO712" i="11"/>
  <c r="CS712" i="11" s="1"/>
  <c r="BZ712" i="11"/>
  <c r="X712" i="11"/>
  <c r="C714" i="11"/>
  <c r="A714" i="11" s="1"/>
  <c r="EB713" i="11" l="1"/>
  <c r="ED713" i="11" s="1"/>
  <c r="Z713" i="11"/>
  <c r="F713" i="11" s="1"/>
  <c r="AE711" i="11"/>
  <c r="AF711" i="11"/>
  <c r="AJ709" i="11"/>
  <c r="AK709" i="11"/>
  <c r="AD709" i="11"/>
  <c r="AC712" i="11"/>
  <c r="BL711" i="11"/>
  <c r="EL710" i="11"/>
  <c r="CY711" i="11"/>
  <c r="DL711" i="11"/>
  <c r="B714" i="11"/>
  <c r="BD712" i="11"/>
  <c r="BT713" i="11"/>
  <c r="BX713" i="11" s="1"/>
  <c r="BK712" i="11"/>
  <c r="BJ712" i="11"/>
  <c r="EJ711" i="11"/>
  <c r="EF711" i="11"/>
  <c r="EK711" i="11"/>
  <c r="EL711" i="11" s="1"/>
  <c r="BX712" i="11"/>
  <c r="BW712" i="11"/>
  <c r="BY712" i="11" s="1"/>
  <c r="DK712" i="11"/>
  <c r="DJ712" i="11"/>
  <c r="DL712" i="11" s="1"/>
  <c r="CK712" i="11"/>
  <c r="CJ712" i="11"/>
  <c r="CL712" i="11" s="1"/>
  <c r="CX712" i="11"/>
  <c r="CW712" i="11"/>
  <c r="AL710" i="11"/>
  <c r="AW711" i="11"/>
  <c r="AY711" i="11" s="1"/>
  <c r="AX711" i="11"/>
  <c r="L712" i="11"/>
  <c r="M712" i="11"/>
  <c r="EE712" i="11"/>
  <c r="EC713" i="11"/>
  <c r="EA713" i="11"/>
  <c r="EI713" i="11"/>
  <c r="EH713" i="11"/>
  <c r="DZ713" i="11"/>
  <c r="P714" i="11"/>
  <c r="BQ712" i="11"/>
  <c r="BS712" i="11"/>
  <c r="CD712" i="11"/>
  <c r="CQ712" i="11"/>
  <c r="AB713" i="11"/>
  <c r="DD712" i="11"/>
  <c r="BF712" i="11"/>
  <c r="DF712" i="11"/>
  <c r="AR712" i="11"/>
  <c r="AT712" i="11" s="1"/>
  <c r="AS712" i="11"/>
  <c r="AQ712" i="11"/>
  <c r="CE713" i="11"/>
  <c r="CG713" i="11" s="1"/>
  <c r="DU713" i="11"/>
  <c r="DV713" i="11"/>
  <c r="DH713" i="11"/>
  <c r="DI713" i="11"/>
  <c r="CU713" i="11"/>
  <c r="CV713" i="11"/>
  <c r="CR713" i="11"/>
  <c r="CT713" i="11" s="1"/>
  <c r="CI713" i="11"/>
  <c r="CH713" i="11"/>
  <c r="BU713" i="11"/>
  <c r="BV713" i="11"/>
  <c r="BW713" i="11"/>
  <c r="BI713" i="11"/>
  <c r="AU713" i="11"/>
  <c r="AV713" i="11"/>
  <c r="BH713" i="11"/>
  <c r="AH713" i="11"/>
  <c r="AI713" i="11"/>
  <c r="BN713" i="11"/>
  <c r="BO713" i="11"/>
  <c r="BR713" i="11" s="1"/>
  <c r="BP713" i="11"/>
  <c r="W714" i="11"/>
  <c r="AP713" i="11"/>
  <c r="AN713" i="11"/>
  <c r="AO713" i="11"/>
  <c r="Y713" i="11"/>
  <c r="AC713" i="11"/>
  <c r="AA713" i="11"/>
  <c r="BB713" i="11"/>
  <c r="BE713" i="11" s="1"/>
  <c r="BG713" i="11" s="1"/>
  <c r="BC713" i="11"/>
  <c r="BA713" i="11"/>
  <c r="DP713" i="11"/>
  <c r="DB713" i="11"/>
  <c r="DE713" i="11" s="1"/>
  <c r="DG713" i="11" s="1"/>
  <c r="DC713" i="11"/>
  <c r="DN713" i="11"/>
  <c r="CZ713" i="11"/>
  <c r="DA713" i="11"/>
  <c r="CM713" i="11"/>
  <c r="CN713" i="11"/>
  <c r="CO713" i="11"/>
  <c r="CS713" i="11" s="1"/>
  <c r="BZ713" i="11"/>
  <c r="BM713" i="11"/>
  <c r="CP713" i="11"/>
  <c r="CA713" i="11"/>
  <c r="AZ713" i="11"/>
  <c r="CB713" i="11"/>
  <c r="CD713" i="11" s="1"/>
  <c r="CC713" i="11"/>
  <c r="DM713" i="11"/>
  <c r="AM713" i="11"/>
  <c r="X713" i="11"/>
  <c r="C715" i="11"/>
  <c r="A715" i="11" s="1"/>
  <c r="EB714" i="11" l="1"/>
  <c r="ED714" i="11" s="1"/>
  <c r="Z714" i="11"/>
  <c r="F714" i="11" s="1"/>
  <c r="AF713" i="11"/>
  <c r="AE713" i="11"/>
  <c r="AG713" i="11" s="1"/>
  <c r="EF712" i="11"/>
  <c r="EG712" i="11"/>
  <c r="CY712" i="11"/>
  <c r="AE712" i="11"/>
  <c r="AG712" i="11" s="1"/>
  <c r="AD712" i="11" s="1"/>
  <c r="AF712" i="11"/>
  <c r="L713" i="11"/>
  <c r="BL712" i="11"/>
  <c r="AL709" i="11"/>
  <c r="AG711" i="11"/>
  <c r="B715" i="11"/>
  <c r="BG714" i="11"/>
  <c r="BD713" i="11"/>
  <c r="CG714" i="11"/>
  <c r="DJ713" i="11"/>
  <c r="DL713" i="11" s="1"/>
  <c r="DK713" i="11"/>
  <c r="BK713" i="11"/>
  <c r="BL713" i="11"/>
  <c r="BJ713" i="11"/>
  <c r="AD713" i="11"/>
  <c r="AJ713" i="11"/>
  <c r="AK713" i="11"/>
  <c r="CW713" i="11"/>
  <c r="CX713" i="11"/>
  <c r="CK713" i="11"/>
  <c r="CJ713" i="11"/>
  <c r="AW712" i="11"/>
  <c r="AY712" i="11" s="1"/>
  <c r="AX712" i="11"/>
  <c r="M713" i="11"/>
  <c r="EK712" i="11"/>
  <c r="EJ712" i="11"/>
  <c r="BY713" i="11"/>
  <c r="EA714" i="11"/>
  <c r="DZ714" i="11"/>
  <c r="EI714" i="11"/>
  <c r="EH714" i="11"/>
  <c r="EC714" i="11"/>
  <c r="EE713" i="11"/>
  <c r="EG713" i="11" s="1"/>
  <c r="P715" i="11"/>
  <c r="CF713" i="11"/>
  <c r="CQ713" i="11"/>
  <c r="BF713" i="11"/>
  <c r="DD713" i="11"/>
  <c r="DF713" i="11"/>
  <c r="BQ713" i="11"/>
  <c r="AB714" i="11"/>
  <c r="AC714" i="11" s="1"/>
  <c r="BS713" i="11"/>
  <c r="AR713" i="11"/>
  <c r="AT713" i="11" s="1"/>
  <c r="AS713" i="11"/>
  <c r="AQ713" i="11"/>
  <c r="CE714" i="11"/>
  <c r="DV714" i="11"/>
  <c r="DU714" i="11"/>
  <c r="DI714" i="11"/>
  <c r="DH714" i="11"/>
  <c r="CR714" i="11"/>
  <c r="CT714" i="11" s="1"/>
  <c r="CU714" i="11"/>
  <c r="CV714" i="11"/>
  <c r="CI714" i="11"/>
  <c r="CH714" i="11"/>
  <c r="BU714" i="11"/>
  <c r="BV714" i="11"/>
  <c r="BI714" i="11"/>
  <c r="BH714" i="11"/>
  <c r="AU714" i="11"/>
  <c r="AV714" i="11"/>
  <c r="AI714" i="11"/>
  <c r="AH714" i="11"/>
  <c r="BN714" i="11"/>
  <c r="BO714" i="11"/>
  <c r="BR714" i="11" s="1"/>
  <c r="BT714" i="11" s="1"/>
  <c r="BP714" i="11"/>
  <c r="W715" i="11"/>
  <c r="AN714" i="11"/>
  <c r="AO714" i="11"/>
  <c r="AP714" i="11"/>
  <c r="Y714" i="11"/>
  <c r="AA714" i="11"/>
  <c r="BA714" i="11"/>
  <c r="BB714" i="11"/>
  <c r="BE714" i="11" s="1"/>
  <c r="BC714" i="11"/>
  <c r="DM714" i="11"/>
  <c r="DN714" i="11"/>
  <c r="CZ714" i="11"/>
  <c r="DA714" i="11"/>
  <c r="DP714" i="11"/>
  <c r="DB714" i="11"/>
  <c r="DE714" i="11" s="1"/>
  <c r="DG714" i="11" s="1"/>
  <c r="CP714" i="11"/>
  <c r="CA714" i="11"/>
  <c r="CB714" i="11"/>
  <c r="CF714" i="11" s="1"/>
  <c r="DC714" i="11"/>
  <c r="CC714" i="11"/>
  <c r="BM714" i="11"/>
  <c r="CM714" i="11"/>
  <c r="AZ714" i="11"/>
  <c r="CN714" i="11"/>
  <c r="CO714" i="11"/>
  <c r="CQ714" i="11" s="1"/>
  <c r="BZ714" i="11"/>
  <c r="AM714" i="11"/>
  <c r="X714" i="11"/>
  <c r="C716" i="11"/>
  <c r="A716" i="11" s="1"/>
  <c r="EB715" i="11" l="1"/>
  <c r="ED715" i="11" s="1"/>
  <c r="Z715" i="11"/>
  <c r="F715" i="11" s="1"/>
  <c r="AF714" i="11"/>
  <c r="AE714" i="11"/>
  <c r="AG714" i="11" s="1"/>
  <c r="AK712" i="11"/>
  <c r="AJ712" i="11"/>
  <c r="CL713" i="11"/>
  <c r="AK711" i="11"/>
  <c r="AL711" i="11" s="1"/>
  <c r="AJ711" i="11"/>
  <c r="AD711" i="11"/>
  <c r="CY713" i="11"/>
  <c r="AL713" i="11"/>
  <c r="B716" i="11"/>
  <c r="BD714" i="11"/>
  <c r="BT715" i="11"/>
  <c r="EL712" i="11"/>
  <c r="BW714" i="11"/>
  <c r="BX714" i="11"/>
  <c r="BY714" i="11" s="1"/>
  <c r="AJ714" i="11"/>
  <c r="AD714" i="11"/>
  <c r="AK714" i="11"/>
  <c r="CJ714" i="11"/>
  <c r="CL714" i="11" s="1"/>
  <c r="CK714" i="11"/>
  <c r="BK714" i="11"/>
  <c r="BJ714" i="11"/>
  <c r="BL714" i="11" s="1"/>
  <c r="CX714" i="11"/>
  <c r="CW714" i="11"/>
  <c r="CY714" i="11" s="1"/>
  <c r="L714" i="11"/>
  <c r="DK714" i="11"/>
  <c r="EK713" i="11"/>
  <c r="EJ713" i="11"/>
  <c r="AL712" i="11"/>
  <c r="DJ714" i="11"/>
  <c r="EF713" i="11"/>
  <c r="M714" i="11"/>
  <c r="AW713" i="11"/>
  <c r="AY713" i="11" s="1"/>
  <c r="AX713" i="11"/>
  <c r="EE714" i="11"/>
  <c r="EG714" i="11" s="1"/>
  <c r="DZ715" i="11"/>
  <c r="EH715" i="11"/>
  <c r="EI715" i="11"/>
  <c r="EC715" i="11"/>
  <c r="EA715" i="11"/>
  <c r="P716" i="11"/>
  <c r="BF714" i="11"/>
  <c r="BQ714" i="11"/>
  <c r="DD714" i="11"/>
  <c r="AB715" i="11"/>
  <c r="AC715" i="11" s="1"/>
  <c r="AF715" i="11" s="1"/>
  <c r="BS714" i="11"/>
  <c r="CD714" i="11"/>
  <c r="CS714" i="11"/>
  <c r="DF714" i="11"/>
  <c r="AR714" i="11"/>
  <c r="AT714" i="11" s="1"/>
  <c r="AS714" i="11"/>
  <c r="AQ714" i="11"/>
  <c r="CE715" i="11"/>
  <c r="CG715" i="11" s="1"/>
  <c r="DU715" i="11"/>
  <c r="DV715" i="11"/>
  <c r="DH715" i="11"/>
  <c r="DI715" i="11"/>
  <c r="CR715" i="11"/>
  <c r="CT715" i="11" s="1"/>
  <c r="CU715" i="11"/>
  <c r="CV715" i="11"/>
  <c r="CI715" i="11"/>
  <c r="CH715" i="11"/>
  <c r="BV715" i="11"/>
  <c r="BU715" i="11"/>
  <c r="BH715" i="11"/>
  <c r="BI715" i="11"/>
  <c r="AU715" i="11"/>
  <c r="AV715" i="11"/>
  <c r="AH715" i="11"/>
  <c r="AI715" i="11"/>
  <c r="M715" i="11" s="1"/>
  <c r="BO715" i="11"/>
  <c r="BR715" i="11" s="1"/>
  <c r="BP715" i="11"/>
  <c r="BN715" i="11"/>
  <c r="AN715" i="11"/>
  <c r="AP715" i="11"/>
  <c r="AO715" i="11"/>
  <c r="Y715" i="11"/>
  <c r="AA715" i="11"/>
  <c r="BA715" i="11"/>
  <c r="BB715" i="11"/>
  <c r="BE715" i="11" s="1"/>
  <c r="BG715" i="11" s="1"/>
  <c r="BC715" i="11"/>
  <c r="DP715" i="11"/>
  <c r="DB715" i="11"/>
  <c r="DE715" i="11" s="1"/>
  <c r="DG715" i="11" s="1"/>
  <c r="DC715" i="11"/>
  <c r="DN715" i="11"/>
  <c r="DM715" i="11"/>
  <c r="X715" i="11"/>
  <c r="CM715" i="11"/>
  <c r="CN715" i="11"/>
  <c r="CZ715" i="11"/>
  <c r="CO715" i="11"/>
  <c r="CQ715" i="11" s="1"/>
  <c r="BZ715" i="11"/>
  <c r="DA715" i="11"/>
  <c r="CP715" i="11"/>
  <c r="CA715" i="11"/>
  <c r="CB715" i="11"/>
  <c r="CF715" i="11" s="1"/>
  <c r="BM715" i="11"/>
  <c r="CC715" i="11"/>
  <c r="AZ715" i="11"/>
  <c r="AM715" i="11"/>
  <c r="W716" i="11"/>
  <c r="C717" i="11"/>
  <c r="A717" i="11" s="1"/>
  <c r="Z716" i="11" l="1"/>
  <c r="F716" i="11" s="1"/>
  <c r="EB716" i="11"/>
  <c r="ED716" i="11" s="1"/>
  <c r="BK715" i="11"/>
  <c r="BJ715" i="11"/>
  <c r="AE715" i="11"/>
  <c r="AG715" i="11" s="1"/>
  <c r="DL714" i="11"/>
  <c r="B717" i="11"/>
  <c r="BD715" i="11"/>
  <c r="CG716" i="11"/>
  <c r="BT716" i="11"/>
  <c r="EL713" i="11"/>
  <c r="BW715" i="11"/>
  <c r="BX715" i="11"/>
  <c r="BY715" i="11" s="1"/>
  <c r="DJ715" i="11"/>
  <c r="DL715" i="11" s="1"/>
  <c r="DK715" i="11"/>
  <c r="CX715" i="11"/>
  <c r="CW715" i="11"/>
  <c r="CY715" i="11" s="1"/>
  <c r="EK714" i="11"/>
  <c r="EJ714" i="11"/>
  <c r="EL714" i="11" s="1"/>
  <c r="EF714" i="11"/>
  <c r="CL715" i="11"/>
  <c r="CJ715" i="11"/>
  <c r="CK715" i="11"/>
  <c r="BL715" i="11"/>
  <c r="AW714" i="11"/>
  <c r="AX714" i="11"/>
  <c r="L715" i="11"/>
  <c r="AL714" i="11"/>
  <c r="EE715" i="11"/>
  <c r="EH716" i="11"/>
  <c r="EI716" i="11"/>
  <c r="EC716" i="11"/>
  <c r="EA716" i="11"/>
  <c r="DZ716" i="11"/>
  <c r="P717" i="11"/>
  <c r="CD715" i="11"/>
  <c r="CS715" i="11"/>
  <c r="BQ715" i="11"/>
  <c r="DF715" i="11"/>
  <c r="DD715" i="11"/>
  <c r="AB716" i="11"/>
  <c r="BS715" i="11"/>
  <c r="BF715" i="11"/>
  <c r="AR715" i="11"/>
  <c r="AT715" i="11" s="1"/>
  <c r="AS715" i="11"/>
  <c r="AQ715" i="11"/>
  <c r="CE716" i="11"/>
  <c r="DV716" i="11"/>
  <c r="DU716" i="11"/>
  <c r="DH716" i="11"/>
  <c r="DI716" i="11"/>
  <c r="CR716" i="11"/>
  <c r="CT716" i="11" s="1"/>
  <c r="CU716" i="11"/>
  <c r="CV716" i="11"/>
  <c r="CI716" i="11"/>
  <c r="BU716" i="11"/>
  <c r="BV716" i="11"/>
  <c r="CH716" i="11"/>
  <c r="BH716" i="11"/>
  <c r="BI716" i="11"/>
  <c r="AU716" i="11"/>
  <c r="AV716" i="11"/>
  <c r="AH716" i="11"/>
  <c r="AI716" i="11"/>
  <c r="BP716" i="11"/>
  <c r="BO716" i="11"/>
  <c r="BR716" i="11" s="1"/>
  <c r="BN716" i="11"/>
  <c r="W717" i="11"/>
  <c r="AO716" i="11"/>
  <c r="AP716" i="11"/>
  <c r="AN716" i="11"/>
  <c r="AA716" i="11"/>
  <c r="Y716" i="11"/>
  <c r="BA716" i="11"/>
  <c r="BB716" i="11"/>
  <c r="BE716" i="11" s="1"/>
  <c r="BG716" i="11" s="1"/>
  <c r="BC716" i="11"/>
  <c r="DM716" i="11"/>
  <c r="DN716" i="11"/>
  <c r="CZ716" i="11"/>
  <c r="DA716" i="11"/>
  <c r="DP716" i="11"/>
  <c r="DB716" i="11"/>
  <c r="DE716" i="11" s="1"/>
  <c r="DG716" i="11" s="1"/>
  <c r="CP716" i="11"/>
  <c r="CA716" i="11"/>
  <c r="AM716" i="11"/>
  <c r="CB716" i="11"/>
  <c r="CF716" i="11" s="1"/>
  <c r="X716" i="11"/>
  <c r="CC716" i="11"/>
  <c r="DC716" i="11"/>
  <c r="CM716" i="11"/>
  <c r="CN716" i="11"/>
  <c r="BM716" i="11"/>
  <c r="CO716" i="11"/>
  <c r="CS716" i="11" s="1"/>
  <c r="BZ716" i="11"/>
  <c r="AZ716" i="11"/>
  <c r="C718" i="11"/>
  <c r="A718" i="11" s="1"/>
  <c r="EB717" i="11" l="1"/>
  <c r="ED717" i="11" s="1"/>
  <c r="Z717" i="11"/>
  <c r="F717" i="11" s="1"/>
  <c r="AC716" i="11"/>
  <c r="EF715" i="11"/>
  <c r="EG715" i="11"/>
  <c r="B718" i="11"/>
  <c r="BG717" i="11"/>
  <c r="BD716" i="11"/>
  <c r="CX716" i="11"/>
  <c r="CW716" i="11"/>
  <c r="CY716" i="11" s="1"/>
  <c r="BJ716" i="11"/>
  <c r="BK716" i="11"/>
  <c r="DJ716" i="11"/>
  <c r="DL716" i="11" s="1"/>
  <c r="DK716" i="11"/>
  <c r="CJ716" i="11"/>
  <c r="CL716" i="11" s="1"/>
  <c r="CK716" i="11"/>
  <c r="BW716" i="11"/>
  <c r="BY716" i="11" s="1"/>
  <c r="BX716" i="11"/>
  <c r="EK715" i="11"/>
  <c r="EJ715" i="11"/>
  <c r="M716" i="11"/>
  <c r="AY714" i="11"/>
  <c r="L716" i="11"/>
  <c r="AW715" i="11"/>
  <c r="AX715" i="11"/>
  <c r="AY715" i="11" s="1"/>
  <c r="AD715" i="11"/>
  <c r="AJ715" i="11"/>
  <c r="AL715" i="11"/>
  <c r="AK715" i="11"/>
  <c r="EE716" i="11"/>
  <c r="EG716" i="11" s="1"/>
  <c r="EC717" i="11"/>
  <c r="EI717" i="11"/>
  <c r="EH717" i="11"/>
  <c r="EA717" i="11"/>
  <c r="DZ717" i="11"/>
  <c r="P718" i="11"/>
  <c r="BF716" i="11"/>
  <c r="DD716" i="11"/>
  <c r="DF716" i="11"/>
  <c r="BQ716" i="11"/>
  <c r="CD716" i="11"/>
  <c r="BS716" i="11"/>
  <c r="CQ716" i="11"/>
  <c r="AB717" i="11"/>
  <c r="AC717" i="11" s="1"/>
  <c r="AF717" i="11" s="1"/>
  <c r="AR716" i="11"/>
  <c r="AT716" i="11" s="1"/>
  <c r="AQ716" i="11"/>
  <c r="AS716" i="11"/>
  <c r="CE717" i="11"/>
  <c r="CG717" i="11" s="1"/>
  <c r="DU717" i="11"/>
  <c r="DV717" i="11"/>
  <c r="DI717" i="11"/>
  <c r="DH717" i="11"/>
  <c r="CR717" i="11"/>
  <c r="CT717" i="11" s="1"/>
  <c r="CU717" i="11"/>
  <c r="CV717" i="11"/>
  <c r="CI717" i="11"/>
  <c r="CH717" i="11"/>
  <c r="BU717" i="11"/>
  <c r="BV717" i="11"/>
  <c r="BH717" i="11"/>
  <c r="BI717" i="11"/>
  <c r="AU717" i="11"/>
  <c r="AV717" i="11"/>
  <c r="AH717" i="11"/>
  <c r="AI717" i="11"/>
  <c r="BN717" i="11"/>
  <c r="BO717" i="11"/>
  <c r="BR717" i="11" s="1"/>
  <c r="BT717" i="11" s="1"/>
  <c r="BP717" i="11"/>
  <c r="W718" i="11"/>
  <c r="AN717" i="11"/>
  <c r="AO717" i="11"/>
  <c r="AP717" i="11"/>
  <c r="Y717" i="11"/>
  <c r="AA717" i="11"/>
  <c r="BA717" i="11"/>
  <c r="BB717" i="11"/>
  <c r="BE717" i="11" s="1"/>
  <c r="BC717" i="11"/>
  <c r="DP717" i="11"/>
  <c r="DB717" i="11"/>
  <c r="DE717" i="11" s="1"/>
  <c r="DG717" i="11" s="1"/>
  <c r="DN717" i="11"/>
  <c r="DC717" i="11"/>
  <c r="AZ717" i="11"/>
  <c r="DM717" i="11"/>
  <c r="CM717" i="11"/>
  <c r="AM717" i="11"/>
  <c r="CN717" i="11"/>
  <c r="X717" i="11"/>
  <c r="CO717" i="11"/>
  <c r="CS717" i="11" s="1"/>
  <c r="BZ717" i="11"/>
  <c r="CP717" i="11"/>
  <c r="CA717" i="11"/>
  <c r="CB717" i="11"/>
  <c r="CD717" i="11" s="1"/>
  <c r="CZ717" i="11"/>
  <c r="CC717" i="11"/>
  <c r="DA717" i="11"/>
  <c r="BM717" i="11"/>
  <c r="C719" i="11"/>
  <c r="A719" i="11" s="1"/>
  <c r="Z718" i="11" l="1"/>
  <c r="F718" i="11" s="1"/>
  <c r="EB718" i="11"/>
  <c r="ED718" i="11" s="1"/>
  <c r="BX717" i="11"/>
  <c r="BW717" i="11"/>
  <c r="BL716" i="11"/>
  <c r="AE716" i="11"/>
  <c r="AF716" i="11"/>
  <c r="AE717" i="11"/>
  <c r="AG717" i="11" s="1"/>
  <c r="B719" i="11"/>
  <c r="BD717" i="11"/>
  <c r="EL715" i="11"/>
  <c r="DJ717" i="11"/>
  <c r="DL717" i="11" s="1"/>
  <c r="DK717" i="11"/>
  <c r="CJ717" i="11"/>
  <c r="CL717" i="11" s="1"/>
  <c r="CK717" i="11"/>
  <c r="BJ717" i="11"/>
  <c r="BK717" i="11"/>
  <c r="BL717" i="11" s="1"/>
  <c r="CX717" i="11"/>
  <c r="CY717" i="11"/>
  <c r="CW717" i="11"/>
  <c r="EK716" i="11"/>
  <c r="EJ716" i="11"/>
  <c r="EF716" i="11"/>
  <c r="M717" i="11"/>
  <c r="L717" i="11"/>
  <c r="AX716" i="11"/>
  <c r="AW716" i="11"/>
  <c r="AY716" i="11" s="1"/>
  <c r="EE717" i="11"/>
  <c r="EG717" i="11" s="1"/>
  <c r="EA718" i="11"/>
  <c r="EI718" i="11"/>
  <c r="EH718" i="11"/>
  <c r="EC718" i="11"/>
  <c r="DZ718" i="11"/>
  <c r="P719" i="11"/>
  <c r="BF717" i="11"/>
  <c r="BQ717" i="11"/>
  <c r="BS717" i="11"/>
  <c r="CF717" i="11"/>
  <c r="CQ717" i="11"/>
  <c r="AB718" i="11"/>
  <c r="DD717" i="11"/>
  <c r="DF717" i="11"/>
  <c r="AR717" i="11"/>
  <c r="AT717" i="11" s="1"/>
  <c r="AS717" i="11"/>
  <c r="AQ717" i="11"/>
  <c r="CE718" i="11"/>
  <c r="CG718" i="11" s="1"/>
  <c r="DV718" i="11"/>
  <c r="DU718" i="11"/>
  <c r="DH718" i="11"/>
  <c r="DI718" i="11"/>
  <c r="CV718" i="11"/>
  <c r="CR718" i="11"/>
  <c r="CT718" i="11" s="1"/>
  <c r="CU718" i="11"/>
  <c r="CI718" i="11"/>
  <c r="CH718" i="11"/>
  <c r="BU718" i="11"/>
  <c r="BV718" i="11"/>
  <c r="BH718" i="11"/>
  <c r="BI718" i="11"/>
  <c r="AU718" i="11"/>
  <c r="AV718" i="11"/>
  <c r="AH718" i="11"/>
  <c r="AI718" i="11"/>
  <c r="BN718" i="11"/>
  <c r="BO718" i="11"/>
  <c r="BR718" i="11" s="1"/>
  <c r="BT718" i="11" s="1"/>
  <c r="BP718" i="11"/>
  <c r="AO718" i="11"/>
  <c r="Y718" i="11"/>
  <c r="AP718" i="11"/>
  <c r="AN718" i="11"/>
  <c r="AA718" i="11"/>
  <c r="BC718" i="11"/>
  <c r="BB718" i="11"/>
  <c r="BE718" i="11" s="1"/>
  <c r="BG718" i="11" s="1"/>
  <c r="BA718" i="11"/>
  <c r="DM718" i="11"/>
  <c r="DN718" i="11"/>
  <c r="CZ718" i="11"/>
  <c r="DA718" i="11"/>
  <c r="DP718" i="11"/>
  <c r="DB718" i="11"/>
  <c r="DE718" i="11" s="1"/>
  <c r="DG718" i="11" s="1"/>
  <c r="CP718" i="11"/>
  <c r="CA718" i="11"/>
  <c r="BM718" i="11"/>
  <c r="DC718" i="11"/>
  <c r="CB718" i="11"/>
  <c r="CF718" i="11" s="1"/>
  <c r="AZ718" i="11"/>
  <c r="CC718" i="11"/>
  <c r="AM718" i="11"/>
  <c r="X718" i="11"/>
  <c r="CM718" i="11"/>
  <c r="CN718" i="11"/>
  <c r="CO718" i="11"/>
  <c r="CQ718" i="11" s="1"/>
  <c r="BZ718" i="11"/>
  <c r="W719" i="11"/>
  <c r="C720" i="11"/>
  <c r="A720" i="11" s="1"/>
  <c r="EB719" i="11" l="1"/>
  <c r="ED719" i="11" s="1"/>
  <c r="Z719" i="11"/>
  <c r="F719" i="11" s="1"/>
  <c r="AG716" i="11"/>
  <c r="AC718" i="11"/>
  <c r="BY717" i="11"/>
  <c r="B720" i="11"/>
  <c r="BG719" i="11"/>
  <c r="BD718" i="11"/>
  <c r="EL716" i="11"/>
  <c r="BX718" i="11"/>
  <c r="BW718" i="11"/>
  <c r="BY718" i="11" s="1"/>
  <c r="EK717" i="11"/>
  <c r="EJ717" i="11"/>
  <c r="EF717" i="11"/>
  <c r="CK718" i="11"/>
  <c r="CJ718" i="11"/>
  <c r="CL718" i="11" s="1"/>
  <c r="DJ718" i="11"/>
  <c r="DK718" i="11"/>
  <c r="DL718" i="11"/>
  <c r="CW718" i="11"/>
  <c r="CX718" i="11"/>
  <c r="CY718" i="11" s="1"/>
  <c r="BK718" i="11"/>
  <c r="BJ718" i="11"/>
  <c r="BL718" i="11" s="1"/>
  <c r="AX717" i="11"/>
  <c r="AW717" i="11"/>
  <c r="AY717" i="11" s="1"/>
  <c r="AJ717" i="11"/>
  <c r="AD717" i="11"/>
  <c r="AK717" i="11"/>
  <c r="L718" i="11"/>
  <c r="M718" i="11"/>
  <c r="EE718" i="11"/>
  <c r="EG718" i="11" s="1"/>
  <c r="EH719" i="11"/>
  <c r="EC719" i="11"/>
  <c r="EA719" i="11"/>
  <c r="DZ719" i="11"/>
  <c r="EI719" i="11"/>
  <c r="P720" i="11"/>
  <c r="CD718" i="11"/>
  <c r="CS718" i="11"/>
  <c r="DD718" i="11"/>
  <c r="BF718" i="11"/>
  <c r="DF718" i="11"/>
  <c r="BQ718" i="11"/>
  <c r="AB719" i="11"/>
  <c r="BS718" i="11"/>
  <c r="AR718" i="11"/>
  <c r="AT718" i="11" s="1"/>
  <c r="AQ718" i="11"/>
  <c r="AS718" i="11"/>
  <c r="CE719" i="11"/>
  <c r="CG719" i="11" s="1"/>
  <c r="DU719" i="11"/>
  <c r="DV719" i="11"/>
  <c r="DH719" i="11"/>
  <c r="DI719" i="11"/>
  <c r="CU719" i="11"/>
  <c r="CV719" i="11"/>
  <c r="CR719" i="11"/>
  <c r="CT719" i="11" s="1"/>
  <c r="CI719" i="11"/>
  <c r="CH719" i="11"/>
  <c r="BU719" i="11"/>
  <c r="BV719" i="11"/>
  <c r="BH719" i="11"/>
  <c r="BI719" i="11"/>
  <c r="AU719" i="11"/>
  <c r="AV719" i="11"/>
  <c r="AH719" i="11"/>
  <c r="AI719" i="11"/>
  <c r="BO719" i="11"/>
  <c r="BR719" i="11" s="1"/>
  <c r="BT719" i="11" s="1"/>
  <c r="BP719" i="11"/>
  <c r="BN719" i="11"/>
  <c r="AN719" i="11"/>
  <c r="AO719" i="11"/>
  <c r="AP719" i="11"/>
  <c r="AA719" i="11"/>
  <c r="Y719" i="11"/>
  <c r="BA719" i="11"/>
  <c r="BB719" i="11"/>
  <c r="BE719" i="11" s="1"/>
  <c r="BC719" i="11"/>
  <c r="DP719" i="11"/>
  <c r="DB719" i="11"/>
  <c r="DE719" i="11" s="1"/>
  <c r="DG719" i="11" s="1"/>
  <c r="DN719" i="11"/>
  <c r="CM719" i="11"/>
  <c r="BM719" i="11"/>
  <c r="DM719" i="11"/>
  <c r="CZ719" i="11"/>
  <c r="CN719" i="11"/>
  <c r="AZ719" i="11"/>
  <c r="DA719" i="11"/>
  <c r="CO719" i="11"/>
  <c r="CQ719" i="11" s="1"/>
  <c r="BZ719" i="11"/>
  <c r="AM719" i="11"/>
  <c r="DC719" i="11"/>
  <c r="CP719" i="11"/>
  <c r="CA719" i="11"/>
  <c r="X719" i="11"/>
  <c r="CB719" i="11"/>
  <c r="CD719" i="11" s="1"/>
  <c r="CC719" i="11"/>
  <c r="W720" i="11"/>
  <c r="C721" i="11"/>
  <c r="A721" i="11" s="1"/>
  <c r="EB720" i="11" l="1"/>
  <c r="ED720" i="11" s="1"/>
  <c r="Z720" i="11"/>
  <c r="F720" i="11" s="1"/>
  <c r="AF718" i="11"/>
  <c r="AE718" i="11"/>
  <c r="AC719" i="11"/>
  <c r="AJ716" i="11"/>
  <c r="AD716" i="11"/>
  <c r="AK716" i="11"/>
  <c r="B721" i="11"/>
  <c r="BD719" i="11"/>
  <c r="CT720" i="11"/>
  <c r="EL717" i="11"/>
  <c r="BW719" i="11"/>
  <c r="BX719" i="11"/>
  <c r="CK719" i="11"/>
  <c r="CJ719" i="11"/>
  <c r="CL719" i="11" s="1"/>
  <c r="CW719" i="11"/>
  <c r="CY719" i="11" s="1"/>
  <c r="CX719" i="11"/>
  <c r="BK719" i="11"/>
  <c r="BJ719" i="11"/>
  <c r="EJ718" i="11"/>
  <c r="EK718" i="11"/>
  <c r="EF718" i="11"/>
  <c r="AX718" i="11"/>
  <c r="AY718" i="11" s="1"/>
  <c r="AW718" i="11"/>
  <c r="DK719" i="11"/>
  <c r="M719" i="11"/>
  <c r="DJ719" i="11"/>
  <c r="L719" i="11"/>
  <c r="AL717" i="11"/>
  <c r="EE719" i="11"/>
  <c r="EG719" i="11" s="1"/>
  <c r="EH720" i="11"/>
  <c r="EC720" i="11"/>
  <c r="EA720" i="11"/>
  <c r="DZ720" i="11"/>
  <c r="EI720" i="11"/>
  <c r="P721" i="11"/>
  <c r="CS719" i="11"/>
  <c r="BF719" i="11"/>
  <c r="DD719" i="11"/>
  <c r="DF719" i="11"/>
  <c r="BQ719" i="11"/>
  <c r="CF719" i="11"/>
  <c r="BS719" i="11"/>
  <c r="AB720" i="11"/>
  <c r="AR719" i="11"/>
  <c r="AT719" i="11" s="1"/>
  <c r="AS719" i="11"/>
  <c r="AQ719" i="11"/>
  <c r="CE720" i="11"/>
  <c r="CG720" i="11" s="1"/>
  <c r="DV720" i="11"/>
  <c r="DU720" i="11"/>
  <c r="DH720" i="11"/>
  <c r="DI720" i="11"/>
  <c r="CU720" i="11"/>
  <c r="CV720" i="11"/>
  <c r="CR720" i="11"/>
  <c r="CI720" i="11"/>
  <c r="CH720" i="11"/>
  <c r="BV720" i="11"/>
  <c r="BU720" i="11"/>
  <c r="AV720" i="11"/>
  <c r="BH720" i="11"/>
  <c r="BI720" i="11"/>
  <c r="AU720" i="11"/>
  <c r="AI720" i="11"/>
  <c r="AH720" i="11"/>
  <c r="BN720" i="11"/>
  <c r="BP720" i="11"/>
  <c r="BO720" i="11"/>
  <c r="BR720" i="11" s="1"/>
  <c r="BT720" i="11" s="1"/>
  <c r="AN720" i="11"/>
  <c r="AO720" i="11"/>
  <c r="AP720" i="11"/>
  <c r="Y720" i="11"/>
  <c r="AA720" i="11"/>
  <c r="BB720" i="11"/>
  <c r="BE720" i="11" s="1"/>
  <c r="BG720" i="11" s="1"/>
  <c r="BC720" i="11"/>
  <c r="BA720" i="11"/>
  <c r="DM720" i="11"/>
  <c r="DN720" i="11"/>
  <c r="CZ720" i="11"/>
  <c r="DA720" i="11"/>
  <c r="DP720" i="11"/>
  <c r="DB720" i="11"/>
  <c r="DE720" i="11" s="1"/>
  <c r="DG720" i="11" s="1"/>
  <c r="CP720" i="11"/>
  <c r="CA720" i="11"/>
  <c r="CB720" i="11"/>
  <c r="CD720" i="11" s="1"/>
  <c r="CC720" i="11"/>
  <c r="BM720" i="11"/>
  <c r="AZ720" i="11"/>
  <c r="AM720" i="11"/>
  <c r="DC720" i="11"/>
  <c r="CM720" i="11"/>
  <c r="CN720" i="11"/>
  <c r="CO720" i="11"/>
  <c r="CS720" i="11" s="1"/>
  <c r="BZ720" i="11"/>
  <c r="X720" i="11"/>
  <c r="W721" i="11"/>
  <c r="C722" i="11"/>
  <c r="A722" i="11" s="1"/>
  <c r="EB721" i="11" l="1"/>
  <c r="ED721" i="11" s="1"/>
  <c r="Z721" i="11"/>
  <c r="F721" i="11" s="1"/>
  <c r="BX720" i="11"/>
  <c r="BW720" i="11"/>
  <c r="BY720" i="11" s="1"/>
  <c r="AC720" i="11"/>
  <c r="BL719" i="11"/>
  <c r="BY719" i="11"/>
  <c r="AL716" i="11"/>
  <c r="AE719" i="11"/>
  <c r="AF719" i="11"/>
  <c r="DL719" i="11"/>
  <c r="AG718" i="11"/>
  <c r="B722" i="11"/>
  <c r="BG721" i="11"/>
  <c r="BD720" i="11"/>
  <c r="CT721" i="11"/>
  <c r="CW721" i="11" s="1"/>
  <c r="EL718" i="11"/>
  <c r="CW720" i="11"/>
  <c r="CX720" i="11"/>
  <c r="CJ720" i="11"/>
  <c r="CL720" i="11" s="1"/>
  <c r="CK720" i="11"/>
  <c r="DK720" i="11"/>
  <c r="DJ720" i="11"/>
  <c r="BJ720" i="11"/>
  <c r="BL720" i="11" s="1"/>
  <c r="BK720" i="11"/>
  <c r="EK719" i="11"/>
  <c r="EJ719" i="11"/>
  <c r="EL719" i="11" s="1"/>
  <c r="EF719" i="11"/>
  <c r="L720" i="11"/>
  <c r="M720" i="11"/>
  <c r="AW719" i="11"/>
  <c r="AX719" i="11"/>
  <c r="EE720" i="11"/>
  <c r="EG720" i="11" s="1"/>
  <c r="EC721" i="11"/>
  <c r="EA721" i="11"/>
  <c r="DZ721" i="11"/>
  <c r="EI721" i="11"/>
  <c r="EH721" i="11"/>
  <c r="CF720" i="11"/>
  <c r="DF720" i="11"/>
  <c r="BQ720" i="11"/>
  <c r="BS720" i="11"/>
  <c r="CQ720" i="11"/>
  <c r="AB721" i="11"/>
  <c r="BF720" i="11"/>
  <c r="DD720" i="11"/>
  <c r="AR720" i="11"/>
  <c r="AT720" i="11" s="1"/>
  <c r="AS720" i="11"/>
  <c r="AQ720" i="11"/>
  <c r="CE721" i="11"/>
  <c r="CG721" i="11" s="1"/>
  <c r="DU721" i="11"/>
  <c r="DV721" i="11"/>
  <c r="DH721" i="11"/>
  <c r="DI721" i="11"/>
  <c r="CU721" i="11"/>
  <c r="CV721" i="11"/>
  <c r="CR721" i="11"/>
  <c r="CI721" i="11"/>
  <c r="CH721" i="11"/>
  <c r="BU721" i="11"/>
  <c r="BV721" i="11"/>
  <c r="BI721" i="11"/>
  <c r="AU721" i="11"/>
  <c r="AV721" i="11"/>
  <c r="BH721" i="11"/>
  <c r="AH721" i="11"/>
  <c r="AI721" i="11"/>
  <c r="BN721" i="11"/>
  <c r="BO721" i="11"/>
  <c r="BR721" i="11" s="1"/>
  <c r="BT721" i="11" s="1"/>
  <c r="BP721" i="11"/>
  <c r="W722" i="11"/>
  <c r="AP721" i="11"/>
  <c r="AN721" i="11"/>
  <c r="AO721" i="11"/>
  <c r="Y721" i="11"/>
  <c r="AA721" i="11"/>
  <c r="AC721" i="11"/>
  <c r="BB721" i="11"/>
  <c r="BE721" i="11" s="1"/>
  <c r="BC721" i="11"/>
  <c r="BA721" i="11"/>
  <c r="DP721" i="11"/>
  <c r="DB721" i="11"/>
  <c r="DE721" i="11" s="1"/>
  <c r="DG721" i="11" s="1"/>
  <c r="DN721" i="11"/>
  <c r="DC721" i="11"/>
  <c r="CM721" i="11"/>
  <c r="CN721" i="11"/>
  <c r="DM721" i="11"/>
  <c r="CO721" i="11"/>
  <c r="CS721" i="11" s="1"/>
  <c r="BZ721" i="11"/>
  <c r="BM721" i="11"/>
  <c r="CP721" i="11"/>
  <c r="CA721" i="11"/>
  <c r="AZ721" i="11"/>
  <c r="CB721" i="11"/>
  <c r="CF721" i="11" s="1"/>
  <c r="CZ721" i="11"/>
  <c r="CC721" i="11"/>
  <c r="DA721" i="11"/>
  <c r="AM721" i="11"/>
  <c r="X721" i="11"/>
  <c r="C723" i="11"/>
  <c r="A723" i="11" s="1"/>
  <c r="EB722" i="11" l="1"/>
  <c r="ED722" i="11" s="1"/>
  <c r="Z722" i="11"/>
  <c r="F722" i="11" s="1"/>
  <c r="AE721" i="11"/>
  <c r="AF721" i="11"/>
  <c r="P722" i="11"/>
  <c r="AY719" i="11"/>
  <c r="AD718" i="11"/>
  <c r="AJ718" i="11"/>
  <c r="AL718" i="11" s="1"/>
  <c r="AK718" i="11"/>
  <c r="CX721" i="11"/>
  <c r="CY720" i="11"/>
  <c r="AF720" i="11"/>
  <c r="AE720" i="11"/>
  <c r="AG720" i="11" s="1"/>
  <c r="DL720" i="11"/>
  <c r="AG719" i="11"/>
  <c r="B723" i="11"/>
  <c r="BD721" i="11"/>
  <c r="CT722" i="11"/>
  <c r="BJ721" i="11"/>
  <c r="BK721" i="11"/>
  <c r="BL721" i="11" s="1"/>
  <c r="EK720" i="11"/>
  <c r="EJ720" i="11"/>
  <c r="EL720" i="11" s="1"/>
  <c r="EF720" i="11"/>
  <c r="DJ721" i="11"/>
  <c r="DL721" i="11" s="1"/>
  <c r="DK721" i="11"/>
  <c r="BW721" i="11"/>
  <c r="BY721" i="11" s="1"/>
  <c r="BX721" i="11"/>
  <c r="CK721" i="11"/>
  <c r="CJ721" i="11"/>
  <c r="CL721" i="11" s="1"/>
  <c r="AW720" i="11"/>
  <c r="AX720" i="11"/>
  <c r="AY720" i="11" s="1"/>
  <c r="M721" i="11"/>
  <c r="CY721" i="11"/>
  <c r="AK720" i="11"/>
  <c r="AD720" i="11"/>
  <c r="AJ720" i="11"/>
  <c r="L721" i="11"/>
  <c r="EE721" i="11"/>
  <c r="EG721" i="11" s="1"/>
  <c r="EA722" i="11"/>
  <c r="EC722" i="11"/>
  <c r="DZ722" i="11"/>
  <c r="EI722" i="11"/>
  <c r="EH722" i="11"/>
  <c r="P723" i="11"/>
  <c r="CD721" i="11"/>
  <c r="DD721" i="11"/>
  <c r="CQ721" i="11"/>
  <c r="AB722" i="11"/>
  <c r="AC722" i="11" s="1"/>
  <c r="AE722" i="11" s="1"/>
  <c r="BF721" i="11"/>
  <c r="DF721" i="11"/>
  <c r="BQ721" i="11"/>
  <c r="BS721" i="11"/>
  <c r="AR721" i="11"/>
  <c r="AT721" i="11" s="1"/>
  <c r="AS721" i="11"/>
  <c r="AQ721" i="11"/>
  <c r="CE722" i="11"/>
  <c r="CG722" i="11" s="1"/>
  <c r="DU722" i="11"/>
  <c r="DV722" i="11"/>
  <c r="DI722" i="11"/>
  <c r="DH722" i="11"/>
  <c r="CR722" i="11"/>
  <c r="CU722" i="11"/>
  <c r="CV722" i="11"/>
  <c r="CI722" i="11"/>
  <c r="CH722" i="11"/>
  <c r="BU722" i="11"/>
  <c r="BV722" i="11"/>
  <c r="BI722" i="11"/>
  <c r="BH722" i="11"/>
  <c r="AU722" i="11"/>
  <c r="AV722" i="11"/>
  <c r="AI722" i="11"/>
  <c r="AH722" i="11"/>
  <c r="BN722" i="11"/>
  <c r="BO722" i="11"/>
  <c r="BR722" i="11" s="1"/>
  <c r="BT722" i="11" s="1"/>
  <c r="BP722" i="11"/>
  <c r="W723" i="11"/>
  <c r="AN722" i="11"/>
  <c r="AO722" i="11"/>
  <c r="AP722" i="11"/>
  <c r="Y722" i="11"/>
  <c r="AA722" i="11"/>
  <c r="BB722" i="11"/>
  <c r="BE722" i="11" s="1"/>
  <c r="BG722" i="11" s="1"/>
  <c r="BC722" i="11"/>
  <c r="BA722" i="11"/>
  <c r="DM722" i="11"/>
  <c r="DN722" i="11"/>
  <c r="CZ722" i="11"/>
  <c r="DA722" i="11"/>
  <c r="DP722" i="11"/>
  <c r="DB722" i="11"/>
  <c r="DE722" i="11" s="1"/>
  <c r="DG722" i="11" s="1"/>
  <c r="CP722" i="11"/>
  <c r="CA722" i="11"/>
  <c r="DC722" i="11"/>
  <c r="CB722" i="11"/>
  <c r="CF722" i="11" s="1"/>
  <c r="CC722" i="11"/>
  <c r="BM722" i="11"/>
  <c r="CM722" i="11"/>
  <c r="AZ722" i="11"/>
  <c r="CN722" i="11"/>
  <c r="CO722" i="11"/>
  <c r="CS722" i="11" s="1"/>
  <c r="BZ722" i="11"/>
  <c r="AM722" i="11"/>
  <c r="X722" i="11"/>
  <c r="C724" i="11"/>
  <c r="A724" i="11" s="1"/>
  <c r="EB723" i="11" l="1"/>
  <c r="Z723" i="11"/>
  <c r="F723" i="11" s="1"/>
  <c r="BX722" i="11"/>
  <c r="BW722" i="11"/>
  <c r="AF722" i="11"/>
  <c r="AG722" i="11" s="1"/>
  <c r="AJ719" i="11"/>
  <c r="AD719" i="11"/>
  <c r="AK719" i="11"/>
  <c r="AL719" i="11"/>
  <c r="AG721" i="11"/>
  <c r="B724" i="11"/>
  <c r="BD722" i="11"/>
  <c r="CG723" i="11"/>
  <c r="EK721" i="11"/>
  <c r="EJ721" i="11"/>
  <c r="EL721" i="11" s="1"/>
  <c r="EF721" i="11"/>
  <c r="BJ722" i="11"/>
  <c r="BL722" i="11" s="1"/>
  <c r="BK722" i="11"/>
  <c r="CJ722" i="11"/>
  <c r="CL722" i="11" s="1"/>
  <c r="CK722" i="11"/>
  <c r="DJ722" i="11"/>
  <c r="DK722" i="11"/>
  <c r="CW722" i="11"/>
  <c r="CX722" i="11"/>
  <c r="L722" i="11"/>
  <c r="BY722" i="11"/>
  <c r="AW721" i="11"/>
  <c r="AY721" i="11" s="1"/>
  <c r="AX721" i="11"/>
  <c r="M722" i="11"/>
  <c r="AL720" i="11"/>
  <c r="EE722" i="11"/>
  <c r="EG722" i="11" s="1"/>
  <c r="ED723" i="11"/>
  <c r="EA723" i="11"/>
  <c r="DZ723" i="11"/>
  <c r="EI723" i="11"/>
  <c r="EH723" i="11"/>
  <c r="EC723" i="11"/>
  <c r="P724" i="11"/>
  <c r="CQ722" i="11"/>
  <c r="BQ722" i="11"/>
  <c r="BS722" i="11"/>
  <c r="CD722" i="11"/>
  <c r="AB723" i="11"/>
  <c r="AC723" i="11" s="1"/>
  <c r="AF723" i="11" s="1"/>
  <c r="DF722" i="11"/>
  <c r="BF722" i="11"/>
  <c r="DD722" i="11"/>
  <c r="AR722" i="11"/>
  <c r="AT722" i="11" s="1"/>
  <c r="AS722" i="11"/>
  <c r="AQ722" i="11"/>
  <c r="CE723" i="11"/>
  <c r="DU723" i="11"/>
  <c r="DV723" i="11"/>
  <c r="DH723" i="11"/>
  <c r="DI723" i="11"/>
  <c r="CR723" i="11"/>
  <c r="CT723" i="11" s="1"/>
  <c r="CU723" i="11"/>
  <c r="CV723" i="11"/>
  <c r="CI723" i="11"/>
  <c r="CH723" i="11"/>
  <c r="BV723" i="11"/>
  <c r="BU723" i="11"/>
  <c r="BH723" i="11"/>
  <c r="BI723" i="11"/>
  <c r="AU723" i="11"/>
  <c r="AV723" i="11"/>
  <c r="AH723" i="11"/>
  <c r="AI723" i="11"/>
  <c r="BO723" i="11"/>
  <c r="BR723" i="11" s="1"/>
  <c r="BT723" i="11" s="1"/>
  <c r="BP723" i="11"/>
  <c r="BN723" i="11"/>
  <c r="AP723" i="11"/>
  <c r="AO723" i="11"/>
  <c r="Y723" i="11"/>
  <c r="AN723" i="11"/>
  <c r="AA723" i="11"/>
  <c r="BC723" i="11"/>
  <c r="BA723" i="11"/>
  <c r="BB723" i="11"/>
  <c r="BE723" i="11" s="1"/>
  <c r="BG723" i="11" s="1"/>
  <c r="DP723" i="11"/>
  <c r="DB723" i="11"/>
  <c r="DE723" i="11" s="1"/>
  <c r="DG723" i="11" s="1"/>
  <c r="DN723" i="11"/>
  <c r="X723" i="11"/>
  <c r="CM723" i="11"/>
  <c r="CZ723" i="11"/>
  <c r="CN723" i="11"/>
  <c r="DA723" i="11"/>
  <c r="CO723" i="11"/>
  <c r="CQ723" i="11" s="1"/>
  <c r="BZ723" i="11"/>
  <c r="DM723" i="11"/>
  <c r="DC723" i="11"/>
  <c r="CP723" i="11"/>
  <c r="CA723" i="11"/>
  <c r="CB723" i="11"/>
  <c r="CD723" i="11" s="1"/>
  <c r="BM723" i="11"/>
  <c r="CC723" i="11"/>
  <c r="AZ723" i="11"/>
  <c r="AM723" i="11"/>
  <c r="W724" i="11"/>
  <c r="C725" i="11"/>
  <c r="V725" i="11" l="1"/>
  <c r="A725" i="11"/>
  <c r="Z724" i="11"/>
  <c r="F724" i="11" s="1"/>
  <c r="EB724" i="11"/>
  <c r="ED724" i="11" s="1"/>
  <c r="AE723" i="11"/>
  <c r="AG723" i="11" s="1"/>
  <c r="CY722" i="11"/>
  <c r="AK721" i="11"/>
  <c r="AD721" i="11"/>
  <c r="AJ721" i="11"/>
  <c r="DL722" i="11"/>
  <c r="B725" i="11"/>
  <c r="BD723" i="11"/>
  <c r="CT724" i="11"/>
  <c r="DJ723" i="11"/>
  <c r="DK723" i="11"/>
  <c r="CK723" i="11"/>
  <c r="CJ723" i="11"/>
  <c r="CL723" i="11" s="1"/>
  <c r="CX723" i="11"/>
  <c r="CW723" i="11"/>
  <c r="CY723" i="11"/>
  <c r="BJ723" i="11"/>
  <c r="BK723" i="11"/>
  <c r="BL723" i="11" s="1"/>
  <c r="BX723" i="11"/>
  <c r="BY723" i="11"/>
  <c r="BW723" i="11"/>
  <c r="EK722" i="11"/>
  <c r="EJ722" i="11"/>
  <c r="EL722" i="11" s="1"/>
  <c r="EF722" i="11"/>
  <c r="M723" i="11"/>
  <c r="L723" i="11"/>
  <c r="AX722" i="11"/>
  <c r="AW722" i="11"/>
  <c r="AY722" i="11" s="1"/>
  <c r="AK722" i="11"/>
  <c r="AD722" i="11"/>
  <c r="AJ722" i="11"/>
  <c r="AL722" i="11" s="1"/>
  <c r="EH724" i="11"/>
  <c r="EA724" i="11"/>
  <c r="DZ724" i="11"/>
  <c r="EI724" i="11"/>
  <c r="EC724" i="11"/>
  <c r="EE723" i="11"/>
  <c r="P725" i="11"/>
  <c r="BF723" i="11"/>
  <c r="DD723" i="11"/>
  <c r="CS723" i="11"/>
  <c r="CF723" i="11"/>
  <c r="DF723" i="11"/>
  <c r="BQ723" i="11"/>
  <c r="BS723" i="11"/>
  <c r="AB724" i="11"/>
  <c r="AR723" i="11"/>
  <c r="AT723" i="11" s="1"/>
  <c r="AS723" i="11"/>
  <c r="AQ723" i="11"/>
  <c r="CE724" i="11"/>
  <c r="CG724" i="11" s="1"/>
  <c r="CK724" i="11" s="1"/>
  <c r="DV724" i="11"/>
  <c r="DU724" i="11"/>
  <c r="DH724" i="11"/>
  <c r="DI724" i="11"/>
  <c r="CR724" i="11"/>
  <c r="CV724" i="11"/>
  <c r="CU724" i="11"/>
  <c r="CI724" i="11"/>
  <c r="BU724" i="11"/>
  <c r="BV724" i="11"/>
  <c r="CH724" i="11"/>
  <c r="BH724" i="11"/>
  <c r="BI724" i="11"/>
  <c r="AU724" i="11"/>
  <c r="AV724" i="11"/>
  <c r="AH724" i="11"/>
  <c r="AI724" i="11"/>
  <c r="BP724" i="11"/>
  <c r="BN724" i="11"/>
  <c r="BO724" i="11"/>
  <c r="BR724" i="11" s="1"/>
  <c r="BT724" i="11" s="1"/>
  <c r="W725" i="11"/>
  <c r="AO724" i="11"/>
  <c r="AP724" i="11"/>
  <c r="AN724" i="11"/>
  <c r="AA724" i="11"/>
  <c r="Y724" i="11"/>
  <c r="BA724" i="11"/>
  <c r="BB724" i="11"/>
  <c r="BE724" i="11" s="1"/>
  <c r="BG724" i="11" s="1"/>
  <c r="BC724" i="11"/>
  <c r="DM724" i="11"/>
  <c r="DN724" i="11"/>
  <c r="CZ724" i="11"/>
  <c r="DA724" i="11"/>
  <c r="DP724" i="11"/>
  <c r="DB724" i="11"/>
  <c r="DE724" i="11" s="1"/>
  <c r="DG724" i="11" s="1"/>
  <c r="CP724" i="11"/>
  <c r="CA724" i="11"/>
  <c r="AM724" i="11"/>
  <c r="CB724" i="11"/>
  <c r="CF724" i="11" s="1"/>
  <c r="X724" i="11"/>
  <c r="CC724" i="11"/>
  <c r="DC724" i="11"/>
  <c r="CM724" i="11"/>
  <c r="CN724" i="11"/>
  <c r="BM724" i="11"/>
  <c r="CO724" i="11"/>
  <c r="CS724" i="11" s="1"/>
  <c r="BZ724" i="11"/>
  <c r="AZ724" i="11"/>
  <c r="C726" i="11"/>
  <c r="V726" i="11" l="1"/>
  <c r="A726" i="11"/>
  <c r="EB725" i="11"/>
  <c r="ED725" i="11" s="1"/>
  <c r="Z725" i="11"/>
  <c r="F725" i="11" s="1"/>
  <c r="AF725" i="11"/>
  <c r="DK724" i="11"/>
  <c r="DJ724" i="11"/>
  <c r="DL723" i="11"/>
  <c r="AC724" i="11"/>
  <c r="AL721" i="11"/>
  <c r="EF723" i="11"/>
  <c r="EG723" i="11"/>
  <c r="EJ723" i="11" s="1"/>
  <c r="B726" i="11"/>
  <c r="BD724" i="11"/>
  <c r="BG725" i="11"/>
  <c r="EG725" i="11"/>
  <c r="DG725" i="11"/>
  <c r="DT725" i="11"/>
  <c r="CT725" i="11"/>
  <c r="CG725" i="11"/>
  <c r="BT725" i="11"/>
  <c r="AT725" i="11"/>
  <c r="AE725" i="11"/>
  <c r="AG725" i="11"/>
  <c r="BK724" i="11"/>
  <c r="BJ724" i="11"/>
  <c r="BL724" i="11" s="1"/>
  <c r="CW724" i="11"/>
  <c r="CY724" i="11" s="1"/>
  <c r="CX724" i="11"/>
  <c r="BW724" i="11"/>
  <c r="BY724" i="11" s="1"/>
  <c r="BX724" i="11"/>
  <c r="L724" i="11"/>
  <c r="CJ724" i="11"/>
  <c r="CL724" i="11" s="1"/>
  <c r="AW723" i="11"/>
  <c r="AY723" i="11" s="1"/>
  <c r="AX723" i="11"/>
  <c r="AK723" i="11"/>
  <c r="AJ723" i="11"/>
  <c r="AD723" i="11"/>
  <c r="EK723" i="11"/>
  <c r="M724" i="11"/>
  <c r="DL724" i="11"/>
  <c r="EE724" i="11"/>
  <c r="EC725" i="11"/>
  <c r="DZ725" i="11"/>
  <c r="EI725" i="11"/>
  <c r="EH725" i="11"/>
  <c r="EA725" i="11"/>
  <c r="P726" i="11"/>
  <c r="BS724" i="11"/>
  <c r="DD724" i="11"/>
  <c r="AB725" i="11"/>
  <c r="BF724" i="11"/>
  <c r="DF724" i="11"/>
  <c r="BQ724" i="11"/>
  <c r="CD724" i="11"/>
  <c r="CQ724" i="11"/>
  <c r="AR724" i="11"/>
  <c r="AT724" i="11" s="1"/>
  <c r="AQ724" i="11"/>
  <c r="AS724" i="11"/>
  <c r="CE725" i="11"/>
  <c r="DU725" i="11"/>
  <c r="DV725" i="11"/>
  <c r="DI725" i="11"/>
  <c r="DH725" i="11"/>
  <c r="CR725" i="11"/>
  <c r="CU725" i="11"/>
  <c r="CV725" i="11"/>
  <c r="CI725" i="11"/>
  <c r="CH725" i="11"/>
  <c r="BU725" i="11"/>
  <c r="BV725" i="11"/>
  <c r="BH725" i="11"/>
  <c r="BI725" i="11"/>
  <c r="AU725" i="11"/>
  <c r="AV725" i="11"/>
  <c r="AH725" i="11"/>
  <c r="AI725" i="11"/>
  <c r="M725" i="11" s="1"/>
  <c r="BN725" i="11"/>
  <c r="BO725" i="11"/>
  <c r="BR725" i="11" s="1"/>
  <c r="BP725" i="11"/>
  <c r="W726" i="11"/>
  <c r="AN725" i="11"/>
  <c r="AO725" i="11"/>
  <c r="AP725" i="11"/>
  <c r="Y725" i="11"/>
  <c r="AC725" i="11"/>
  <c r="AA725" i="11"/>
  <c r="BA725" i="11"/>
  <c r="BC725" i="11"/>
  <c r="BB725" i="11"/>
  <c r="BE725" i="11" s="1"/>
  <c r="DP725" i="11"/>
  <c r="DB725" i="11"/>
  <c r="DE725" i="11" s="1"/>
  <c r="DN725" i="11"/>
  <c r="DC725" i="11"/>
  <c r="AZ725" i="11"/>
  <c r="CM725" i="11"/>
  <c r="AM725" i="11"/>
  <c r="CN725" i="11"/>
  <c r="X725" i="11"/>
  <c r="CO725" i="11"/>
  <c r="CS725" i="11" s="1"/>
  <c r="BZ725" i="11"/>
  <c r="CP725" i="11"/>
  <c r="CA725" i="11"/>
  <c r="DM725" i="11"/>
  <c r="CB725" i="11"/>
  <c r="CD725" i="11" s="1"/>
  <c r="CZ725" i="11"/>
  <c r="CC725" i="11"/>
  <c r="DA725" i="11"/>
  <c r="BM725" i="11"/>
  <c r="C727" i="11"/>
  <c r="V727" i="11" l="1"/>
  <c r="A727" i="11"/>
  <c r="EB726" i="11"/>
  <c r="ED726" i="11" s="1"/>
  <c r="Z726" i="11"/>
  <c r="F726" i="11" s="1"/>
  <c r="AF726" i="11"/>
  <c r="EF724" i="11"/>
  <c r="EG724" i="11"/>
  <c r="AF724" i="11"/>
  <c r="AE724" i="11"/>
  <c r="AG724" i="11" s="1"/>
  <c r="B727" i="11"/>
  <c r="BD725" i="11"/>
  <c r="BG726" i="11"/>
  <c r="DT726" i="11"/>
  <c r="EG726" i="11"/>
  <c r="DG726" i="11"/>
  <c r="CT726" i="11"/>
  <c r="CG726" i="11"/>
  <c r="BT726" i="11"/>
  <c r="AT726" i="11"/>
  <c r="AE726" i="11"/>
  <c r="AG726" i="11"/>
  <c r="EL723" i="11"/>
  <c r="CW725" i="11"/>
  <c r="CY725" i="11" s="1"/>
  <c r="CX725" i="11"/>
  <c r="BK725" i="11"/>
  <c r="BJ725" i="11"/>
  <c r="BL725" i="11" s="1"/>
  <c r="BX725" i="11"/>
  <c r="BW725" i="11"/>
  <c r="BY725" i="11" s="1"/>
  <c r="DK725" i="11"/>
  <c r="DL725" i="11" s="1"/>
  <c r="DJ725" i="11"/>
  <c r="L725" i="11"/>
  <c r="AX724" i="11"/>
  <c r="AW724" i="11"/>
  <c r="AY724" i="11" s="1"/>
  <c r="EK724" i="11"/>
  <c r="EJ724" i="11"/>
  <c r="CJ725" i="11"/>
  <c r="AL723" i="11"/>
  <c r="AK724" i="11"/>
  <c r="AD724" i="11"/>
  <c r="AJ724" i="11"/>
  <c r="AL724" i="11" s="1"/>
  <c r="CK725" i="11"/>
  <c r="CL725" i="11" s="1"/>
  <c r="EA726" i="11"/>
  <c r="EI726" i="11"/>
  <c r="EH726" i="11"/>
  <c r="EC726" i="11"/>
  <c r="DZ726" i="11"/>
  <c r="EE725" i="11"/>
  <c r="BX726" i="11"/>
  <c r="P727" i="11"/>
  <c r="BS725" i="11"/>
  <c r="CF725" i="11"/>
  <c r="CQ725" i="11"/>
  <c r="DD725" i="11"/>
  <c r="BF725" i="11"/>
  <c r="DF725" i="11"/>
  <c r="BQ725" i="11"/>
  <c r="AB726" i="11"/>
  <c r="AR725" i="11"/>
  <c r="AQ725" i="11"/>
  <c r="AS725" i="11"/>
  <c r="CE726" i="11"/>
  <c r="DU726" i="11"/>
  <c r="DV726" i="11"/>
  <c r="DH726" i="11"/>
  <c r="DI726" i="11"/>
  <c r="CV726" i="11"/>
  <c r="CR726" i="11"/>
  <c r="CU726" i="11"/>
  <c r="CI726" i="11"/>
  <c r="CH726" i="11"/>
  <c r="BU726" i="11"/>
  <c r="BV726" i="11"/>
  <c r="BH726" i="11"/>
  <c r="BW726" i="11"/>
  <c r="BI726" i="11"/>
  <c r="AU726" i="11"/>
  <c r="AV726" i="11"/>
  <c r="AH726" i="11"/>
  <c r="L726" i="11" s="1"/>
  <c r="AI726" i="11"/>
  <c r="BN726" i="11"/>
  <c r="BO726" i="11"/>
  <c r="BR726" i="11" s="1"/>
  <c r="BP726" i="11"/>
  <c r="W727" i="11"/>
  <c r="AO726" i="11"/>
  <c r="AP726" i="11"/>
  <c r="AN726" i="11"/>
  <c r="Y726" i="11"/>
  <c r="AA726" i="11"/>
  <c r="AC726" i="11"/>
  <c r="BC726" i="11"/>
  <c r="BA726" i="11"/>
  <c r="BB726" i="11"/>
  <c r="BE726" i="11" s="1"/>
  <c r="DM726" i="11"/>
  <c r="DN726" i="11"/>
  <c r="CZ726" i="11"/>
  <c r="DA726" i="11"/>
  <c r="DP726" i="11"/>
  <c r="DB726" i="11"/>
  <c r="DE726" i="11" s="1"/>
  <c r="CP726" i="11"/>
  <c r="CA726" i="11"/>
  <c r="BM726" i="11"/>
  <c r="DC726" i="11"/>
  <c r="CB726" i="11"/>
  <c r="CF726" i="11" s="1"/>
  <c r="AZ726" i="11"/>
  <c r="CC726" i="11"/>
  <c r="AM726" i="11"/>
  <c r="X726" i="11"/>
  <c r="CM726" i="11"/>
  <c r="CN726" i="11"/>
  <c r="CO726" i="11"/>
  <c r="CS726" i="11" s="1"/>
  <c r="BZ726" i="11"/>
  <c r="C728" i="11"/>
  <c r="V728" i="11" l="1"/>
  <c r="A728" i="11"/>
  <c r="EB727" i="11"/>
  <c r="Z727" i="11"/>
  <c r="F727" i="11" s="1"/>
  <c r="AF727" i="11"/>
  <c r="EL724" i="11"/>
  <c r="B728" i="11"/>
  <c r="BG727" i="11"/>
  <c r="BD726" i="11"/>
  <c r="EG727" i="11"/>
  <c r="DT727" i="11"/>
  <c r="DG727" i="11"/>
  <c r="CT727" i="11"/>
  <c r="BT727" i="11"/>
  <c r="CG727" i="11"/>
  <c r="AT727" i="11"/>
  <c r="AE727" i="11"/>
  <c r="AG727" i="11"/>
  <c r="DJ726" i="11"/>
  <c r="DL726" i="11" s="1"/>
  <c r="DK726" i="11"/>
  <c r="BK726" i="11"/>
  <c r="BJ726" i="11"/>
  <c r="BL726" i="11" s="1"/>
  <c r="CK726" i="11"/>
  <c r="CJ726" i="11"/>
  <c r="CL726" i="11" s="1"/>
  <c r="CW726" i="11"/>
  <c r="CX726" i="11"/>
  <c r="CY726" i="11"/>
  <c r="AK725" i="11"/>
  <c r="AD725" i="11"/>
  <c r="AJ725" i="11"/>
  <c r="AL725" i="11"/>
  <c r="EK725" i="11"/>
  <c r="EJ725" i="11"/>
  <c r="EL725" i="11" s="1"/>
  <c r="BY726" i="11"/>
  <c r="EF725" i="11"/>
  <c r="AW725" i="11"/>
  <c r="AX725" i="11"/>
  <c r="AY725" i="11" s="1"/>
  <c r="M726" i="11"/>
  <c r="EE726" i="11"/>
  <c r="EI727" i="11"/>
  <c r="EH727" i="11"/>
  <c r="EC727" i="11"/>
  <c r="ED727" i="11"/>
  <c r="EA727" i="11"/>
  <c r="DZ727" i="11"/>
  <c r="CJ727" i="11"/>
  <c r="BJ727" i="11"/>
  <c r="P728" i="11"/>
  <c r="BQ726" i="11"/>
  <c r="BS726" i="11"/>
  <c r="CD726" i="11"/>
  <c r="CQ726" i="11"/>
  <c r="BF726" i="11"/>
  <c r="AB727" i="11"/>
  <c r="AC727" i="11" s="1"/>
  <c r="DD726" i="11"/>
  <c r="DF726" i="11"/>
  <c r="AR726" i="11"/>
  <c r="AQ726" i="11"/>
  <c r="AS726" i="11"/>
  <c r="CE727" i="11"/>
  <c r="DU727" i="11"/>
  <c r="DV727" i="11"/>
  <c r="DH727" i="11"/>
  <c r="DI727" i="11"/>
  <c r="CU727" i="11"/>
  <c r="CV727" i="11"/>
  <c r="CR727" i="11"/>
  <c r="CK727" i="11"/>
  <c r="CI727" i="11"/>
  <c r="CH727" i="11"/>
  <c r="BU727" i="11"/>
  <c r="BV727" i="11"/>
  <c r="BH727" i="11"/>
  <c r="BI727" i="11"/>
  <c r="AV727" i="11"/>
  <c r="AH727" i="11"/>
  <c r="AI727" i="11"/>
  <c r="AU727" i="11"/>
  <c r="BO727" i="11"/>
  <c r="BR727" i="11" s="1"/>
  <c r="BP727" i="11"/>
  <c r="BN727" i="11"/>
  <c r="W728" i="11"/>
  <c r="AN727" i="11"/>
  <c r="AO727" i="11"/>
  <c r="AP727" i="11"/>
  <c r="AA727" i="11"/>
  <c r="Y727" i="11"/>
  <c r="BA727" i="11"/>
  <c r="BC727" i="11"/>
  <c r="BB727" i="11"/>
  <c r="BE727" i="11" s="1"/>
  <c r="DP727" i="11"/>
  <c r="DB727" i="11"/>
  <c r="DE727" i="11" s="1"/>
  <c r="DN727" i="11"/>
  <c r="CM727" i="11"/>
  <c r="BM727" i="11"/>
  <c r="CZ727" i="11"/>
  <c r="CN727" i="11"/>
  <c r="AZ727" i="11"/>
  <c r="DA727" i="11"/>
  <c r="CO727" i="11"/>
  <c r="CQ727" i="11" s="1"/>
  <c r="BZ727" i="11"/>
  <c r="AM727" i="11"/>
  <c r="DC727" i="11"/>
  <c r="CP727" i="11"/>
  <c r="CA727" i="11"/>
  <c r="X727" i="11"/>
  <c r="CB727" i="11"/>
  <c r="CD727" i="11" s="1"/>
  <c r="DM727" i="11"/>
  <c r="CC727" i="11"/>
  <c r="C729" i="11"/>
  <c r="V729" i="11" l="1"/>
  <c r="A729" i="11"/>
  <c r="EB728" i="11"/>
  <c r="ED728" i="11" s="1"/>
  <c r="Z728" i="11"/>
  <c r="F728" i="11" s="1"/>
  <c r="AF728" i="11"/>
  <c r="B729" i="11"/>
  <c r="BG728" i="11"/>
  <c r="BD727" i="11"/>
  <c r="EG728" i="11"/>
  <c r="DT728" i="11"/>
  <c r="DG728" i="11"/>
  <c r="CT728" i="11"/>
  <c r="CG728" i="11"/>
  <c r="BT728" i="11"/>
  <c r="AT728" i="11"/>
  <c r="AE728" i="11"/>
  <c r="AG728" i="11"/>
  <c r="BW727" i="11"/>
  <c r="BY727" i="11" s="1"/>
  <c r="BX727" i="11"/>
  <c r="EK726" i="11"/>
  <c r="EJ726" i="11"/>
  <c r="EF726" i="11"/>
  <c r="DJ727" i="11"/>
  <c r="DL727" i="11" s="1"/>
  <c r="DK727" i="11"/>
  <c r="CW727" i="11"/>
  <c r="CY727" i="11" s="1"/>
  <c r="CX727" i="11"/>
  <c r="BK727" i="11"/>
  <c r="BL727" i="11" s="1"/>
  <c r="CL727" i="11"/>
  <c r="AW726" i="11"/>
  <c r="AX726" i="11"/>
  <c r="AY726" i="11" s="1"/>
  <c r="AJ726" i="11"/>
  <c r="AL726" i="11" s="1"/>
  <c r="AD726" i="11"/>
  <c r="AK726" i="11"/>
  <c r="M727" i="11"/>
  <c r="L727" i="11"/>
  <c r="EE727" i="11"/>
  <c r="EH728" i="11"/>
  <c r="EI728" i="11"/>
  <c r="EC728" i="11"/>
  <c r="EA728" i="11"/>
  <c r="DZ728" i="11"/>
  <c r="BW728" i="11"/>
  <c r="P729" i="11"/>
  <c r="DD727" i="11"/>
  <c r="CF727" i="11"/>
  <c r="BS727" i="11"/>
  <c r="CS727" i="11"/>
  <c r="BF727" i="11"/>
  <c r="DF727" i="11"/>
  <c r="BQ727" i="11"/>
  <c r="AB728" i="11"/>
  <c r="AR727" i="11"/>
  <c r="AS727" i="11"/>
  <c r="AQ727" i="11"/>
  <c r="CE728" i="11"/>
  <c r="DV728" i="11"/>
  <c r="DU728" i="11"/>
  <c r="DH728" i="11"/>
  <c r="DI728" i="11"/>
  <c r="CU728" i="11"/>
  <c r="CV728" i="11"/>
  <c r="CR728" i="11"/>
  <c r="CI728" i="11"/>
  <c r="BV728" i="11"/>
  <c r="CH728" i="11"/>
  <c r="BU728" i="11"/>
  <c r="AV728" i="11"/>
  <c r="BH728" i="11"/>
  <c r="BI728" i="11"/>
  <c r="AU728" i="11"/>
  <c r="AC728" i="11"/>
  <c r="AH728" i="11"/>
  <c r="AI728" i="11"/>
  <c r="BN728" i="11"/>
  <c r="BP728" i="11"/>
  <c r="BO728" i="11"/>
  <c r="BR728" i="11" s="1"/>
  <c r="W729" i="11"/>
  <c r="AN728" i="11"/>
  <c r="AO728" i="11"/>
  <c r="AP728" i="11"/>
  <c r="Y728" i="11"/>
  <c r="AA728" i="11"/>
  <c r="BA728" i="11"/>
  <c r="BB728" i="11"/>
  <c r="BE728" i="11" s="1"/>
  <c r="BC728" i="11"/>
  <c r="DM728" i="11"/>
  <c r="DN728" i="11"/>
  <c r="CZ728" i="11"/>
  <c r="DA728" i="11"/>
  <c r="DP728" i="11"/>
  <c r="DB728" i="11"/>
  <c r="DE728" i="11" s="1"/>
  <c r="CP728" i="11"/>
  <c r="CA728" i="11"/>
  <c r="CB728" i="11"/>
  <c r="CF728" i="11" s="1"/>
  <c r="CC728" i="11"/>
  <c r="BM728" i="11"/>
  <c r="AZ728" i="11"/>
  <c r="AM728" i="11"/>
  <c r="DC728" i="11"/>
  <c r="CM728" i="11"/>
  <c r="CN728" i="11"/>
  <c r="CO728" i="11"/>
  <c r="CQ728" i="11" s="1"/>
  <c r="BZ728" i="11"/>
  <c r="X728" i="11"/>
  <c r="C730" i="11"/>
  <c r="V730" i="11" l="1"/>
  <c r="A730" i="11"/>
  <c r="EB729" i="11"/>
  <c r="ED729" i="11" s="1"/>
  <c r="Z729" i="11"/>
  <c r="F729" i="11" s="1"/>
  <c r="AF729" i="11"/>
  <c r="B730" i="11"/>
  <c r="BG729" i="11"/>
  <c r="BD728" i="11"/>
  <c r="DT729" i="11"/>
  <c r="EG729" i="11"/>
  <c r="DG729" i="11"/>
  <c r="CG729" i="11"/>
  <c r="CT729" i="11"/>
  <c r="BT729" i="11"/>
  <c r="AT729" i="11"/>
  <c r="AE729" i="11"/>
  <c r="AG729" i="11"/>
  <c r="EL726" i="11"/>
  <c r="CK728" i="11"/>
  <c r="CJ728" i="11"/>
  <c r="CL728" i="11"/>
  <c r="BK728" i="11"/>
  <c r="BJ728" i="11"/>
  <c r="BL728" i="11" s="1"/>
  <c r="DJ728" i="11"/>
  <c r="DL728" i="11" s="1"/>
  <c r="DK728" i="11"/>
  <c r="EJ727" i="11"/>
  <c r="EK727" i="11"/>
  <c r="EF727" i="11"/>
  <c r="CW728" i="11"/>
  <c r="CY728" i="11" s="1"/>
  <c r="CX728" i="11"/>
  <c r="AD728" i="11"/>
  <c r="AJ728" i="11"/>
  <c r="AL728" i="11" s="1"/>
  <c r="AK728" i="11"/>
  <c r="AX727" i="11"/>
  <c r="AW727" i="11"/>
  <c r="AY727" i="11" s="1"/>
  <c r="BY728" i="11"/>
  <c r="AD727" i="11"/>
  <c r="AK727" i="11"/>
  <c r="AL727" i="11" s="1"/>
  <c r="AJ727" i="11"/>
  <c r="M728" i="11"/>
  <c r="BX728" i="11"/>
  <c r="L728" i="11"/>
  <c r="EE728" i="11"/>
  <c r="EC729" i="11"/>
  <c r="EI729" i="11"/>
  <c r="EH729" i="11"/>
  <c r="EA729" i="11"/>
  <c r="DZ729" i="11"/>
  <c r="P730" i="11"/>
  <c r="CS728" i="11"/>
  <c r="BF728" i="11"/>
  <c r="DD728" i="11"/>
  <c r="DF728" i="11"/>
  <c r="BQ728" i="11"/>
  <c r="BS728" i="11"/>
  <c r="CD728" i="11"/>
  <c r="AB729" i="11"/>
  <c r="AR728" i="11"/>
  <c r="AS728" i="11"/>
  <c r="AQ728" i="11"/>
  <c r="CE729" i="11"/>
  <c r="DU729" i="11"/>
  <c r="DV729" i="11"/>
  <c r="DH729" i="11"/>
  <c r="DI729" i="11"/>
  <c r="CU729" i="11"/>
  <c r="CV729" i="11"/>
  <c r="CR729" i="11"/>
  <c r="CI729" i="11"/>
  <c r="CH729" i="11"/>
  <c r="BU729" i="11"/>
  <c r="BV729" i="11"/>
  <c r="BI729" i="11"/>
  <c r="BH729" i="11"/>
  <c r="AU729" i="11"/>
  <c r="AV729" i="11"/>
  <c r="AC729" i="11"/>
  <c r="AH729" i="11"/>
  <c r="AI729" i="11"/>
  <c r="BN729" i="11"/>
  <c r="BP729" i="11"/>
  <c r="BO729" i="11"/>
  <c r="BR729" i="11" s="1"/>
  <c r="W730" i="11"/>
  <c r="AP729" i="11"/>
  <c r="AN729" i="11"/>
  <c r="AO729" i="11"/>
  <c r="Y729" i="11"/>
  <c r="AA729" i="11"/>
  <c r="BB729" i="11"/>
  <c r="BE729" i="11" s="1"/>
  <c r="BC729" i="11"/>
  <c r="BA729" i="11"/>
  <c r="DP729" i="11"/>
  <c r="DB729" i="11"/>
  <c r="DE729" i="11" s="1"/>
  <c r="DN729" i="11"/>
  <c r="DC729" i="11"/>
  <c r="CM729" i="11"/>
  <c r="CN729" i="11"/>
  <c r="CO729" i="11"/>
  <c r="CS729" i="11" s="1"/>
  <c r="BZ729" i="11"/>
  <c r="BM729" i="11"/>
  <c r="CP729" i="11"/>
  <c r="CA729" i="11"/>
  <c r="AZ729" i="11"/>
  <c r="CB729" i="11"/>
  <c r="CF729" i="11" s="1"/>
  <c r="CZ729" i="11"/>
  <c r="CC729" i="11"/>
  <c r="DM729" i="11"/>
  <c r="DA729" i="11"/>
  <c r="X729" i="11"/>
  <c r="AM729" i="11"/>
  <c r="C731" i="11"/>
  <c r="V731" i="11" l="1"/>
  <c r="A731" i="11"/>
  <c r="EB730" i="11"/>
  <c r="ED730" i="11" s="1"/>
  <c r="Z730" i="11"/>
  <c r="F730" i="11" s="1"/>
  <c r="AF730" i="11"/>
  <c r="B731" i="11"/>
  <c r="BG730" i="11"/>
  <c r="BD729" i="11"/>
  <c r="EG730" i="11"/>
  <c r="DT730" i="11"/>
  <c r="DG730" i="11"/>
  <c r="CT730" i="11"/>
  <c r="CG730" i="11"/>
  <c r="BT730" i="11"/>
  <c r="AT730" i="11"/>
  <c r="AE730" i="11"/>
  <c r="AG730" i="11"/>
  <c r="EL727" i="11"/>
  <c r="DJ729" i="11"/>
  <c r="DL729" i="11" s="1"/>
  <c r="DK729" i="11"/>
  <c r="CK729" i="11"/>
  <c r="CJ729" i="11"/>
  <c r="CL729" i="11" s="1"/>
  <c r="EK728" i="11"/>
  <c r="EJ728" i="11"/>
  <c r="EF728" i="11"/>
  <c r="CX729" i="11"/>
  <c r="CW729" i="11"/>
  <c r="CY729" i="11"/>
  <c r="BJ729" i="11"/>
  <c r="BL729" i="11" s="1"/>
  <c r="BK729" i="11"/>
  <c r="BW729" i="11"/>
  <c r="BY729" i="11" s="1"/>
  <c r="BX729" i="11"/>
  <c r="AX728" i="11"/>
  <c r="AW728" i="11"/>
  <c r="AY728" i="11" s="1"/>
  <c r="M729" i="11"/>
  <c r="L729" i="11"/>
  <c r="EA730" i="11"/>
  <c r="EH730" i="11"/>
  <c r="EC730" i="11"/>
  <c r="DZ730" i="11"/>
  <c r="EI730" i="11"/>
  <c r="EE729" i="11"/>
  <c r="P731" i="11"/>
  <c r="BQ729" i="11"/>
  <c r="BS729" i="11"/>
  <c r="CD729" i="11"/>
  <c r="CQ729" i="11"/>
  <c r="DD729" i="11"/>
  <c r="AB730" i="11"/>
  <c r="AC730" i="11" s="1"/>
  <c r="BF729" i="11"/>
  <c r="DF729" i="11"/>
  <c r="AR729" i="11"/>
  <c r="AS729" i="11"/>
  <c r="AQ729" i="11"/>
  <c r="CE730" i="11"/>
  <c r="DU730" i="11"/>
  <c r="DV730" i="11"/>
  <c r="DI730" i="11"/>
  <c r="DH730" i="11"/>
  <c r="DK730" i="11"/>
  <c r="CR730" i="11"/>
  <c r="CU730" i="11"/>
  <c r="CV730" i="11"/>
  <c r="CI730" i="11"/>
  <c r="CH730" i="11"/>
  <c r="BU730" i="11"/>
  <c r="BV730" i="11"/>
  <c r="BI730" i="11"/>
  <c r="BH730" i="11"/>
  <c r="AU730" i="11"/>
  <c r="AV730" i="11"/>
  <c r="AI730" i="11"/>
  <c r="AH730" i="11"/>
  <c r="BN730" i="11"/>
  <c r="BO730" i="11"/>
  <c r="BR730" i="11" s="1"/>
  <c r="BP730" i="11"/>
  <c r="AN730" i="11"/>
  <c r="AO730" i="11"/>
  <c r="AP730" i="11"/>
  <c r="Y730" i="11"/>
  <c r="AA730" i="11"/>
  <c r="BA730" i="11"/>
  <c r="BB730" i="11"/>
  <c r="BE730" i="11" s="1"/>
  <c r="BC730" i="11"/>
  <c r="DM730" i="11"/>
  <c r="DN730" i="11"/>
  <c r="CZ730" i="11"/>
  <c r="DA730" i="11"/>
  <c r="DP730" i="11"/>
  <c r="DB730" i="11"/>
  <c r="DE730" i="11" s="1"/>
  <c r="CP730" i="11"/>
  <c r="CA730" i="11"/>
  <c r="DC730" i="11"/>
  <c r="CB730" i="11"/>
  <c r="CF730" i="11" s="1"/>
  <c r="CC730" i="11"/>
  <c r="BM730" i="11"/>
  <c r="CM730" i="11"/>
  <c r="AZ730" i="11"/>
  <c r="CN730" i="11"/>
  <c r="CO730" i="11"/>
  <c r="CQ730" i="11" s="1"/>
  <c r="BZ730" i="11"/>
  <c r="X730" i="11"/>
  <c r="AM730" i="11"/>
  <c r="W731" i="11"/>
  <c r="C732" i="11"/>
  <c r="V732" i="11" l="1"/>
  <c r="A732" i="11"/>
  <c r="EB731" i="11"/>
  <c r="ED731" i="11" s="1"/>
  <c r="Z731" i="11"/>
  <c r="F731" i="11" s="1"/>
  <c r="AF731" i="11"/>
  <c r="B732" i="11"/>
  <c r="BD730" i="11"/>
  <c r="BG731" i="11"/>
  <c r="DT731" i="11"/>
  <c r="EG731" i="11"/>
  <c r="DG731" i="11"/>
  <c r="CG731" i="11"/>
  <c r="BT731" i="11"/>
  <c r="CT731" i="11"/>
  <c r="AT731" i="11"/>
  <c r="AE731" i="11"/>
  <c r="AG731" i="11"/>
  <c r="EL728" i="11"/>
  <c r="CW730" i="11"/>
  <c r="CY730" i="11" s="1"/>
  <c r="CX730" i="11"/>
  <c r="BK730" i="11"/>
  <c r="BJ730" i="11"/>
  <c r="BL730" i="11" s="1"/>
  <c r="BY730" i="11"/>
  <c r="BW730" i="11"/>
  <c r="BX730" i="11"/>
  <c r="EK729" i="11"/>
  <c r="EJ729" i="11"/>
  <c r="EF729" i="11"/>
  <c r="CK730" i="11"/>
  <c r="CL730" i="11" s="1"/>
  <c r="CJ730" i="11"/>
  <c r="AD729" i="11"/>
  <c r="AJ729" i="11"/>
  <c r="AK729" i="11"/>
  <c r="L730" i="11"/>
  <c r="DJ730" i="11"/>
  <c r="DL730" i="11" s="1"/>
  <c r="M730" i="11"/>
  <c r="AW729" i="11"/>
  <c r="AY729" i="11" s="1"/>
  <c r="AX729" i="11"/>
  <c r="EE730" i="11"/>
  <c r="EC731" i="11"/>
  <c r="EA731" i="11"/>
  <c r="DZ731" i="11"/>
  <c r="EI731" i="11"/>
  <c r="EH731" i="11"/>
  <c r="CK731" i="11"/>
  <c r="P732" i="11"/>
  <c r="DF730" i="11"/>
  <c r="BF730" i="11"/>
  <c r="DD730" i="11"/>
  <c r="BQ730" i="11"/>
  <c r="BS730" i="11"/>
  <c r="CD730" i="11"/>
  <c r="AB731" i="11"/>
  <c r="CS730" i="11"/>
  <c r="AR730" i="11"/>
  <c r="AS730" i="11"/>
  <c r="AQ730" i="11"/>
  <c r="CE731" i="11"/>
  <c r="DU731" i="11"/>
  <c r="DV731" i="11"/>
  <c r="DH731" i="11"/>
  <c r="DI731" i="11"/>
  <c r="CR731" i="11"/>
  <c r="CU731" i="11"/>
  <c r="CV731" i="11"/>
  <c r="CI731" i="11"/>
  <c r="CH731" i="11"/>
  <c r="BV731" i="11"/>
  <c r="BU731" i="11"/>
  <c r="BH731" i="11"/>
  <c r="BI731" i="11"/>
  <c r="AU731" i="11"/>
  <c r="AV731" i="11"/>
  <c r="AH731" i="11"/>
  <c r="AI731" i="11"/>
  <c r="BO731" i="11"/>
  <c r="BR731" i="11" s="1"/>
  <c r="BP731" i="11"/>
  <c r="BN731" i="11"/>
  <c r="W732" i="11"/>
  <c r="AN731" i="11"/>
  <c r="AP731" i="11"/>
  <c r="AO731" i="11"/>
  <c r="Y731" i="11"/>
  <c r="AC731" i="11"/>
  <c r="AA731" i="11"/>
  <c r="BA731" i="11"/>
  <c r="BB731" i="11"/>
  <c r="BE731" i="11" s="1"/>
  <c r="BC731" i="11"/>
  <c r="DP731" i="11"/>
  <c r="DB731" i="11"/>
  <c r="DE731" i="11" s="1"/>
  <c r="DN731" i="11"/>
  <c r="DM731" i="11"/>
  <c r="X731" i="11"/>
  <c r="CM731" i="11"/>
  <c r="CZ731" i="11"/>
  <c r="CN731" i="11"/>
  <c r="DA731" i="11"/>
  <c r="CO731" i="11"/>
  <c r="CQ731" i="11" s="1"/>
  <c r="BZ731" i="11"/>
  <c r="DC731" i="11"/>
  <c r="CP731" i="11"/>
  <c r="CA731" i="11"/>
  <c r="CB731" i="11"/>
  <c r="CF731" i="11" s="1"/>
  <c r="BM731" i="11"/>
  <c r="CC731" i="11"/>
  <c r="AZ731" i="11"/>
  <c r="AM731" i="11"/>
  <c r="C733" i="11"/>
  <c r="V733" i="11" l="1"/>
  <c r="A733" i="11"/>
  <c r="Z732" i="11"/>
  <c r="F732" i="11" s="1"/>
  <c r="EB732" i="11"/>
  <c r="AF732" i="11"/>
  <c r="B733" i="11"/>
  <c r="BG732" i="11"/>
  <c r="BD731" i="11"/>
  <c r="DT732" i="11"/>
  <c r="EG732" i="11"/>
  <c r="DG732" i="11"/>
  <c r="CG732" i="11"/>
  <c r="CT732" i="11"/>
  <c r="BT732" i="11"/>
  <c r="AT732" i="11"/>
  <c r="AE732" i="11"/>
  <c r="AG732" i="11"/>
  <c r="EL729" i="11"/>
  <c r="BL731" i="11"/>
  <c r="BK731" i="11"/>
  <c r="BJ731" i="11"/>
  <c r="BW731" i="11"/>
  <c r="BX731" i="11"/>
  <c r="BY731" i="11" s="1"/>
  <c r="CX731" i="11"/>
  <c r="CY731" i="11"/>
  <c r="CW731" i="11"/>
  <c r="DJ731" i="11"/>
  <c r="DL731" i="11" s="1"/>
  <c r="DK731" i="11"/>
  <c r="M731" i="11"/>
  <c r="CL731" i="11"/>
  <c r="AW730" i="11"/>
  <c r="AX730" i="11"/>
  <c r="AY730" i="11" s="1"/>
  <c r="L731" i="11"/>
  <c r="CJ731" i="11"/>
  <c r="AL730" i="11"/>
  <c r="AJ730" i="11"/>
  <c r="AK730" i="11"/>
  <c r="AD730" i="11"/>
  <c r="EK730" i="11"/>
  <c r="EJ730" i="11"/>
  <c r="EL730" i="11" s="1"/>
  <c r="AL729" i="11"/>
  <c r="EF730" i="11"/>
  <c r="EH732" i="11"/>
  <c r="EC732" i="11"/>
  <c r="ED732" i="11"/>
  <c r="EA732" i="11"/>
  <c r="DZ732" i="11"/>
  <c r="EI732" i="11"/>
  <c r="EE731" i="11"/>
  <c r="CK732" i="11"/>
  <c r="P733" i="11"/>
  <c r="BF731" i="11"/>
  <c r="DD731" i="11"/>
  <c r="BQ731" i="11"/>
  <c r="BS731" i="11"/>
  <c r="CD731" i="11"/>
  <c r="CS731" i="11"/>
  <c r="AB732" i="11"/>
  <c r="DF731" i="11"/>
  <c r="AR731" i="11"/>
  <c r="AS731" i="11"/>
  <c r="AQ731" i="11"/>
  <c r="CE732" i="11"/>
  <c r="DV732" i="11"/>
  <c r="DU732" i="11"/>
  <c r="DH732" i="11"/>
  <c r="DI732" i="11"/>
  <c r="CR732" i="11"/>
  <c r="CV732" i="11"/>
  <c r="CU732" i="11"/>
  <c r="CI732" i="11"/>
  <c r="BU732" i="11"/>
  <c r="CH732" i="11"/>
  <c r="BV732" i="11"/>
  <c r="BH732" i="11"/>
  <c r="BI732" i="11"/>
  <c r="AU732" i="11"/>
  <c r="AV732" i="11"/>
  <c r="AH732" i="11"/>
  <c r="L732" i="11" s="1"/>
  <c r="AI732" i="11"/>
  <c r="BP732" i="11"/>
  <c r="BN732" i="11"/>
  <c r="BO732" i="11"/>
  <c r="BR732" i="11" s="1"/>
  <c r="W733" i="11"/>
  <c r="AO732" i="11"/>
  <c r="AP732" i="11"/>
  <c r="AN732" i="11"/>
  <c r="AA732" i="11"/>
  <c r="Y732" i="11"/>
  <c r="AC732" i="11"/>
  <c r="BA732" i="11"/>
  <c r="BB732" i="11"/>
  <c r="BE732" i="11" s="1"/>
  <c r="BC732" i="11"/>
  <c r="DM732" i="11"/>
  <c r="DN732" i="11"/>
  <c r="CZ732" i="11"/>
  <c r="DA732" i="11"/>
  <c r="DP732" i="11"/>
  <c r="DB732" i="11"/>
  <c r="DE732" i="11" s="1"/>
  <c r="CP732" i="11"/>
  <c r="CA732" i="11"/>
  <c r="AM732" i="11"/>
  <c r="CB732" i="11"/>
  <c r="CD732" i="11" s="1"/>
  <c r="X732" i="11"/>
  <c r="CC732" i="11"/>
  <c r="DC732" i="11"/>
  <c r="CM732" i="11"/>
  <c r="CN732" i="11"/>
  <c r="BM732" i="11"/>
  <c r="CO732" i="11"/>
  <c r="CS732" i="11" s="1"/>
  <c r="BZ732" i="11"/>
  <c r="AZ732" i="11"/>
  <c r="C734" i="11"/>
  <c r="V734" i="11" l="1"/>
  <c r="A734" i="11"/>
  <c r="EB733" i="11"/>
  <c r="ED733" i="11" s="1"/>
  <c r="Z733" i="11"/>
  <c r="F733" i="11" s="1"/>
  <c r="AF733" i="11"/>
  <c r="B734" i="11"/>
  <c r="BG733" i="11"/>
  <c r="BD732" i="11"/>
  <c r="EG733" i="11"/>
  <c r="DG733" i="11"/>
  <c r="DT733" i="11"/>
  <c r="CT733" i="11"/>
  <c r="CG733" i="11"/>
  <c r="BT733" i="11"/>
  <c r="AT733" i="11"/>
  <c r="AE733" i="11"/>
  <c r="AG733" i="11"/>
  <c r="BK732" i="11"/>
  <c r="BL732" i="11"/>
  <c r="BJ732" i="11"/>
  <c r="CW732" i="11"/>
  <c r="CY732" i="11" s="1"/>
  <c r="CX732" i="11"/>
  <c r="DK732" i="11"/>
  <c r="DJ732" i="11"/>
  <c r="DL732" i="11" s="1"/>
  <c r="BW732" i="11"/>
  <c r="BY732" i="11" s="1"/>
  <c r="BX732" i="11"/>
  <c r="AW731" i="11"/>
  <c r="AY731" i="11" s="1"/>
  <c r="AX731" i="11"/>
  <c r="EK731" i="11"/>
  <c r="EJ731" i="11"/>
  <c r="EL731" i="11" s="1"/>
  <c r="CJ732" i="11"/>
  <c r="CL732" i="11" s="1"/>
  <c r="EF731" i="11"/>
  <c r="AJ731" i="11"/>
  <c r="AD731" i="11"/>
  <c r="AK731" i="11"/>
  <c r="AL731" i="11" s="1"/>
  <c r="M732" i="11"/>
  <c r="EE732" i="11"/>
  <c r="EC733" i="11"/>
  <c r="EA733" i="11"/>
  <c r="DZ733" i="11"/>
  <c r="EI733" i="11"/>
  <c r="EH733" i="11"/>
  <c r="P734" i="11"/>
  <c r="BS732" i="11"/>
  <c r="CF732" i="11"/>
  <c r="DD732" i="11"/>
  <c r="BF732" i="11"/>
  <c r="DF732" i="11"/>
  <c r="BQ732" i="11"/>
  <c r="CQ732" i="11"/>
  <c r="AB733" i="11"/>
  <c r="AR732" i="11"/>
  <c r="AQ732" i="11"/>
  <c r="AS732" i="11"/>
  <c r="CE733" i="11"/>
  <c r="DU733" i="11"/>
  <c r="DV733" i="11"/>
  <c r="DH733" i="11"/>
  <c r="DI733" i="11"/>
  <c r="CR733" i="11"/>
  <c r="CU733" i="11"/>
  <c r="CV733" i="11"/>
  <c r="CI733" i="11"/>
  <c r="CH733" i="11"/>
  <c r="BU733" i="11"/>
  <c r="BV733" i="11"/>
  <c r="BH733" i="11"/>
  <c r="BI733" i="11"/>
  <c r="AU733" i="11"/>
  <c r="AV733" i="11"/>
  <c r="AH733" i="11"/>
  <c r="AI733" i="11"/>
  <c r="AC733" i="11"/>
  <c r="BN733" i="11"/>
  <c r="BO733" i="11"/>
  <c r="BR733" i="11" s="1"/>
  <c r="BP733" i="11"/>
  <c r="W734" i="11"/>
  <c r="AN733" i="11"/>
  <c r="AO733" i="11"/>
  <c r="Y733" i="11"/>
  <c r="AP733" i="11"/>
  <c r="AA733" i="11"/>
  <c r="BA733" i="11"/>
  <c r="BB733" i="11"/>
  <c r="BE733" i="11" s="1"/>
  <c r="BC733" i="11"/>
  <c r="DP733" i="11"/>
  <c r="DB733" i="11"/>
  <c r="DE733" i="11" s="1"/>
  <c r="DN733" i="11"/>
  <c r="DC733" i="11"/>
  <c r="AZ733" i="11"/>
  <c r="DM733" i="11"/>
  <c r="CM733" i="11"/>
  <c r="AM733" i="11"/>
  <c r="CN733" i="11"/>
  <c r="X733" i="11"/>
  <c r="CO733" i="11"/>
  <c r="CS733" i="11" s="1"/>
  <c r="BZ733" i="11"/>
  <c r="CP733" i="11"/>
  <c r="CA733" i="11"/>
  <c r="CB733" i="11"/>
  <c r="CF733" i="11" s="1"/>
  <c r="CZ733" i="11"/>
  <c r="CC733" i="11"/>
  <c r="DA733" i="11"/>
  <c r="BM733" i="11"/>
  <c r="C735" i="11"/>
  <c r="V735" i="11" l="1"/>
  <c r="A735" i="11"/>
  <c r="EB734" i="11"/>
  <c r="Z734" i="11"/>
  <c r="F734" i="11" s="1"/>
  <c r="AF734" i="11"/>
  <c r="B735" i="11"/>
  <c r="BG734" i="11"/>
  <c r="BD733" i="11"/>
  <c r="DT734" i="11"/>
  <c r="EG734" i="11"/>
  <c r="DG734" i="11"/>
  <c r="CT734" i="11"/>
  <c r="CG734" i="11"/>
  <c r="BT734" i="11"/>
  <c r="AT734" i="11"/>
  <c r="AE734" i="11"/>
  <c r="AG734" i="11"/>
  <c r="EJ732" i="11"/>
  <c r="EK732" i="11"/>
  <c r="EF732" i="11"/>
  <c r="BX733" i="11"/>
  <c r="BW733" i="11"/>
  <c r="BY733" i="11" s="1"/>
  <c r="AK733" i="11"/>
  <c r="AJ733" i="11"/>
  <c r="AD733" i="11"/>
  <c r="DK733" i="11"/>
  <c r="DJ733" i="11"/>
  <c r="DL733" i="11" s="1"/>
  <c r="BJ733" i="11"/>
  <c r="BL733" i="11" s="1"/>
  <c r="BK733" i="11"/>
  <c r="CX733" i="11"/>
  <c r="CW733" i="11"/>
  <c r="CY733" i="11" s="1"/>
  <c r="CK733" i="11"/>
  <c r="CL733" i="11" s="1"/>
  <c r="CJ733" i="11"/>
  <c r="AD732" i="11"/>
  <c r="AJ732" i="11"/>
  <c r="AK732" i="11"/>
  <c r="AL732" i="11" s="1"/>
  <c r="M733" i="11"/>
  <c r="L733" i="11"/>
  <c r="AW732" i="11"/>
  <c r="AX732" i="11"/>
  <c r="AY732" i="11"/>
  <c r="EE733" i="11"/>
  <c r="EF733" i="11" s="1"/>
  <c r="EA734" i="11"/>
  <c r="ED734" i="11"/>
  <c r="DZ734" i="11"/>
  <c r="EI734" i="11"/>
  <c r="EH734" i="11"/>
  <c r="EC734" i="11"/>
  <c r="CW734" i="11"/>
  <c r="P735" i="11"/>
  <c r="BF733" i="11"/>
  <c r="AB734" i="11"/>
  <c r="AC734" i="11" s="1"/>
  <c r="DD733" i="11"/>
  <c r="BQ733" i="11"/>
  <c r="DF733" i="11"/>
  <c r="CD733" i="11"/>
  <c r="BS733" i="11"/>
  <c r="CQ733" i="11"/>
  <c r="AR733" i="11"/>
  <c r="AS733" i="11"/>
  <c r="AQ733" i="11"/>
  <c r="CE734" i="11"/>
  <c r="DU734" i="11"/>
  <c r="DV734" i="11"/>
  <c r="DK734" i="11"/>
  <c r="DH734" i="11"/>
  <c r="DI734" i="11"/>
  <c r="DJ734" i="11"/>
  <c r="DL734" i="11" s="1"/>
  <c r="CV734" i="11"/>
  <c r="CR734" i="11"/>
  <c r="CU734" i="11"/>
  <c r="CI734" i="11"/>
  <c r="CH734" i="11"/>
  <c r="BU734" i="11"/>
  <c r="BV734" i="11"/>
  <c r="BH734" i="11"/>
  <c r="BI734" i="11"/>
  <c r="AH734" i="11"/>
  <c r="AU734" i="11"/>
  <c r="AI734" i="11"/>
  <c r="AV734" i="11"/>
  <c r="BN734" i="11"/>
  <c r="BO734" i="11"/>
  <c r="BR734" i="11" s="1"/>
  <c r="BP734" i="11"/>
  <c r="W735" i="11"/>
  <c r="AO734" i="11"/>
  <c r="AN734" i="11"/>
  <c r="AP734" i="11"/>
  <c r="Y734" i="11"/>
  <c r="AA734" i="11"/>
  <c r="BC734" i="11"/>
  <c r="BB734" i="11"/>
  <c r="BE734" i="11" s="1"/>
  <c r="BA734" i="11"/>
  <c r="DM734" i="11"/>
  <c r="DN734" i="11"/>
  <c r="CZ734" i="11"/>
  <c r="DA734" i="11"/>
  <c r="DP734" i="11"/>
  <c r="DB734" i="11"/>
  <c r="DE734" i="11" s="1"/>
  <c r="CP734" i="11"/>
  <c r="CA734" i="11"/>
  <c r="BM734" i="11"/>
  <c r="DC734" i="11"/>
  <c r="CB734" i="11"/>
  <c r="CF734" i="11" s="1"/>
  <c r="AZ734" i="11"/>
  <c r="CC734" i="11"/>
  <c r="AM734" i="11"/>
  <c r="X734" i="11"/>
  <c r="CM734" i="11"/>
  <c r="CN734" i="11"/>
  <c r="CO734" i="11"/>
  <c r="CS734" i="11" s="1"/>
  <c r="BZ734" i="11"/>
  <c r="C736" i="11"/>
  <c r="V736" i="11" l="1"/>
  <c r="A736" i="11"/>
  <c r="Z735" i="11"/>
  <c r="F735" i="11" s="1"/>
  <c r="EB735" i="11"/>
  <c r="ED735" i="11" s="1"/>
  <c r="AF735" i="11"/>
  <c r="B736" i="11"/>
  <c r="BG735" i="11"/>
  <c r="BD734" i="11"/>
  <c r="EG735" i="11"/>
  <c r="DT735" i="11"/>
  <c r="DG735" i="11"/>
  <c r="CT735" i="11"/>
  <c r="BT735" i="11"/>
  <c r="CG735" i="11"/>
  <c r="AT735" i="11"/>
  <c r="AE735" i="11"/>
  <c r="AG735" i="11"/>
  <c r="EL732" i="11"/>
  <c r="CK734" i="11"/>
  <c r="CJ734" i="11"/>
  <c r="CL734" i="11" s="1"/>
  <c r="BK734" i="11"/>
  <c r="BJ734" i="11"/>
  <c r="BL734" i="11"/>
  <c r="BW734" i="11"/>
  <c r="BY734" i="11" s="1"/>
  <c r="BX734" i="11"/>
  <c r="CX734" i="11"/>
  <c r="CY734" i="11" s="1"/>
  <c r="AY733" i="11"/>
  <c r="AX733" i="11"/>
  <c r="AW733" i="11"/>
  <c r="M734" i="11"/>
  <c r="L734" i="11"/>
  <c r="EK733" i="11"/>
  <c r="EJ733" i="11"/>
  <c r="AL733" i="11"/>
  <c r="EE734" i="11"/>
  <c r="EA735" i="11"/>
  <c r="DZ735" i="11"/>
  <c r="EI735" i="11"/>
  <c r="EH735" i="11"/>
  <c r="EC735" i="11"/>
  <c r="BK735" i="11"/>
  <c r="P736" i="11"/>
  <c r="BQ734" i="11"/>
  <c r="BS734" i="11"/>
  <c r="CD734" i="11"/>
  <c r="CQ734" i="11"/>
  <c r="BF734" i="11"/>
  <c r="DD734" i="11"/>
  <c r="AB735" i="11"/>
  <c r="AC735" i="11" s="1"/>
  <c r="DF734" i="11"/>
  <c r="AR734" i="11"/>
  <c r="AQ734" i="11"/>
  <c r="AS734" i="11"/>
  <c r="CE735" i="11"/>
  <c r="DU735" i="11"/>
  <c r="DV735" i="11"/>
  <c r="DH735" i="11"/>
  <c r="DI735" i="11"/>
  <c r="CU735" i="11"/>
  <c r="CV735" i="11"/>
  <c r="CR735" i="11"/>
  <c r="CI735" i="11"/>
  <c r="CH735" i="11"/>
  <c r="BU735" i="11"/>
  <c r="BH735" i="11"/>
  <c r="BV735" i="11"/>
  <c r="BI735" i="11"/>
  <c r="AU735" i="11"/>
  <c r="AV735" i="11"/>
  <c r="AH735" i="11"/>
  <c r="AI735" i="11"/>
  <c r="BO735" i="11"/>
  <c r="BR735" i="11" s="1"/>
  <c r="BP735" i="11"/>
  <c r="BN735" i="11"/>
  <c r="AN735" i="11"/>
  <c r="AO735" i="11"/>
  <c r="AP735" i="11"/>
  <c r="AA735" i="11"/>
  <c r="Y735" i="11"/>
  <c r="BA735" i="11"/>
  <c r="BB735" i="11"/>
  <c r="BE735" i="11" s="1"/>
  <c r="BC735" i="11"/>
  <c r="DP735" i="11"/>
  <c r="DB735" i="11"/>
  <c r="DE735" i="11" s="1"/>
  <c r="DN735" i="11"/>
  <c r="CM735" i="11"/>
  <c r="BM735" i="11"/>
  <c r="DM735" i="11"/>
  <c r="CZ735" i="11"/>
  <c r="CN735" i="11"/>
  <c r="AZ735" i="11"/>
  <c r="DA735" i="11"/>
  <c r="CO735" i="11"/>
  <c r="CS735" i="11" s="1"/>
  <c r="BZ735" i="11"/>
  <c r="AM735" i="11"/>
  <c r="DC735" i="11"/>
  <c r="CP735" i="11"/>
  <c r="CA735" i="11"/>
  <c r="X735" i="11"/>
  <c r="CB735" i="11"/>
  <c r="CD735" i="11" s="1"/>
  <c r="CC735" i="11"/>
  <c r="W736" i="11"/>
  <c r="C737" i="11"/>
  <c r="V737" i="11" l="1"/>
  <c r="A737" i="11"/>
  <c r="EB736" i="11"/>
  <c r="Z736" i="11"/>
  <c r="F736" i="11" s="1"/>
  <c r="AF736" i="11"/>
  <c r="B737" i="11"/>
  <c r="BG736" i="11"/>
  <c r="BD735" i="11"/>
  <c r="DG736" i="11"/>
  <c r="EG736" i="11"/>
  <c r="DT736" i="11"/>
  <c r="CT736" i="11"/>
  <c r="CG736" i="11"/>
  <c r="BT736" i="11"/>
  <c r="AT736" i="11"/>
  <c r="AE736" i="11"/>
  <c r="AG736" i="11"/>
  <c r="EL733" i="11"/>
  <c r="CJ735" i="11"/>
  <c r="CL735" i="11"/>
  <c r="CK735" i="11"/>
  <c r="DK735" i="11"/>
  <c r="DJ735" i="11"/>
  <c r="DL735" i="11" s="1"/>
  <c r="CW735" i="11"/>
  <c r="CY735" i="11" s="1"/>
  <c r="CX735" i="11"/>
  <c r="BW735" i="11"/>
  <c r="BY735" i="11" s="1"/>
  <c r="BX735" i="11"/>
  <c r="BJ735" i="11"/>
  <c r="BL735" i="11" s="1"/>
  <c r="M735" i="11"/>
  <c r="EK734" i="11"/>
  <c r="EJ734" i="11"/>
  <c r="EL734" i="11" s="1"/>
  <c r="EF734" i="11"/>
  <c r="L735" i="11"/>
  <c r="AW734" i="11"/>
  <c r="AX734" i="11"/>
  <c r="AY734" i="11" s="1"/>
  <c r="AJ734" i="11"/>
  <c r="AD734" i="11"/>
  <c r="AK734" i="11"/>
  <c r="EE735" i="11"/>
  <c r="EH736" i="11"/>
  <c r="DZ736" i="11"/>
  <c r="EI736" i="11"/>
  <c r="EC736" i="11"/>
  <c r="ED736" i="11"/>
  <c r="EA736" i="11"/>
  <c r="BW736" i="11"/>
  <c r="BK736" i="11"/>
  <c r="P737" i="11"/>
  <c r="BF735" i="11"/>
  <c r="DD735" i="11"/>
  <c r="DF735" i="11"/>
  <c r="BQ735" i="11"/>
  <c r="AB736" i="11"/>
  <c r="AC736" i="11" s="1"/>
  <c r="CF735" i="11"/>
  <c r="BS735" i="11"/>
  <c r="CQ735" i="11"/>
  <c r="AR735" i="11"/>
  <c r="AS735" i="11"/>
  <c r="AQ735" i="11"/>
  <c r="CE736" i="11"/>
  <c r="DV736" i="11"/>
  <c r="DU736" i="11"/>
  <c r="DI736" i="11"/>
  <c r="CU736" i="11"/>
  <c r="CV736" i="11"/>
  <c r="DH736" i="11"/>
  <c r="CR736" i="11"/>
  <c r="CI736" i="11"/>
  <c r="CH736" i="11"/>
  <c r="BV736" i="11"/>
  <c r="BX736" i="11"/>
  <c r="BU736" i="11"/>
  <c r="BI736" i="11"/>
  <c r="AV736" i="11"/>
  <c r="BH736" i="11"/>
  <c r="AI736" i="11"/>
  <c r="M736" i="11" s="1"/>
  <c r="AU736" i="11"/>
  <c r="AH736" i="11"/>
  <c r="L736" i="11" s="1"/>
  <c r="BN736" i="11"/>
  <c r="BP736" i="11"/>
  <c r="BO736" i="11"/>
  <c r="BR736" i="11" s="1"/>
  <c r="AN736" i="11"/>
  <c r="AO736" i="11"/>
  <c r="AP736" i="11"/>
  <c r="Y736" i="11"/>
  <c r="AA736" i="11"/>
  <c r="BB736" i="11"/>
  <c r="BE736" i="11" s="1"/>
  <c r="BC736" i="11"/>
  <c r="BA736" i="11"/>
  <c r="DM736" i="11"/>
  <c r="DN736" i="11"/>
  <c r="CZ736" i="11"/>
  <c r="DP736" i="11"/>
  <c r="DB736" i="11"/>
  <c r="DE736" i="11" s="1"/>
  <c r="CP736" i="11"/>
  <c r="CA736" i="11"/>
  <c r="CB736" i="11"/>
  <c r="CF736" i="11" s="1"/>
  <c r="CC736" i="11"/>
  <c r="BM736" i="11"/>
  <c r="AZ736" i="11"/>
  <c r="AM736" i="11"/>
  <c r="DA736" i="11"/>
  <c r="CM736" i="11"/>
  <c r="DC736" i="11"/>
  <c r="CN736" i="11"/>
  <c r="CO736" i="11"/>
  <c r="CQ736" i="11" s="1"/>
  <c r="BZ736" i="11"/>
  <c r="X736" i="11"/>
  <c r="W737" i="11"/>
  <c r="C738" i="11"/>
  <c r="V738" i="11" l="1"/>
  <c r="A738" i="11"/>
  <c r="EB737" i="11"/>
  <c r="ED737" i="11" s="1"/>
  <c r="Z737" i="11"/>
  <c r="F737" i="11" s="1"/>
  <c r="AF737" i="11"/>
  <c r="B738" i="11"/>
  <c r="BG737" i="11"/>
  <c r="BD736" i="11"/>
  <c r="DT737" i="11"/>
  <c r="DG737" i="11"/>
  <c r="EG737" i="11"/>
  <c r="CG737" i="11"/>
  <c r="CT737" i="11"/>
  <c r="BT737" i="11"/>
  <c r="AT737" i="11"/>
  <c r="AE737" i="11"/>
  <c r="AG737" i="11"/>
  <c r="EK735" i="11"/>
  <c r="EJ735" i="11"/>
  <c r="EF735" i="11"/>
  <c r="DK736" i="11"/>
  <c r="DJ736" i="11"/>
  <c r="DL736" i="11" s="1"/>
  <c r="CK736" i="11"/>
  <c r="CJ736" i="11"/>
  <c r="CL736" i="11"/>
  <c r="CW736" i="11"/>
  <c r="CY736" i="11" s="1"/>
  <c r="CX736" i="11"/>
  <c r="BJ736" i="11"/>
  <c r="BY736" i="11"/>
  <c r="AL734" i="11"/>
  <c r="AJ735" i="11"/>
  <c r="AD735" i="11"/>
  <c r="AK735" i="11"/>
  <c r="BL736" i="11"/>
  <c r="AW735" i="11"/>
  <c r="AX735" i="11"/>
  <c r="AY735" i="11" s="1"/>
  <c r="EE736" i="11"/>
  <c r="EC737" i="11"/>
  <c r="EI737" i="11"/>
  <c r="EH737" i="11"/>
  <c r="EA737" i="11"/>
  <c r="DZ737" i="11"/>
  <c r="P738" i="11"/>
  <c r="CS736" i="11"/>
  <c r="BF736" i="11"/>
  <c r="DD736" i="11"/>
  <c r="DF736" i="11"/>
  <c r="BQ736" i="11"/>
  <c r="BS736" i="11"/>
  <c r="CD736" i="11"/>
  <c r="AB737" i="11"/>
  <c r="AR736" i="11"/>
  <c r="AS736" i="11"/>
  <c r="AQ736" i="11"/>
  <c r="CE737" i="11"/>
  <c r="DU737" i="11"/>
  <c r="DV737" i="11"/>
  <c r="DH737" i="11"/>
  <c r="DI737" i="11"/>
  <c r="CU737" i="11"/>
  <c r="CV737" i="11"/>
  <c r="CR737" i="11"/>
  <c r="CI737" i="11"/>
  <c r="CH737" i="11"/>
  <c r="BU737" i="11"/>
  <c r="BV737" i="11"/>
  <c r="BI737" i="11"/>
  <c r="AU737" i="11"/>
  <c r="AV737" i="11"/>
  <c r="BH737" i="11"/>
  <c r="AH737" i="11"/>
  <c r="AI737" i="11"/>
  <c r="BN737" i="11"/>
  <c r="BP737" i="11"/>
  <c r="BO737" i="11"/>
  <c r="BR737" i="11" s="1"/>
  <c r="W738" i="11"/>
  <c r="AP737" i="11"/>
  <c r="AN737" i="11"/>
  <c r="AO737" i="11"/>
  <c r="Y737" i="11"/>
  <c r="AC737" i="11"/>
  <c r="AA737" i="11"/>
  <c r="BB737" i="11"/>
  <c r="BE737" i="11" s="1"/>
  <c r="BC737" i="11"/>
  <c r="BA737" i="11"/>
  <c r="DP737" i="11"/>
  <c r="DB737" i="11"/>
  <c r="DE737" i="11" s="1"/>
  <c r="DN737" i="11"/>
  <c r="DA737" i="11"/>
  <c r="DC737" i="11"/>
  <c r="CM737" i="11"/>
  <c r="CN737" i="11"/>
  <c r="DM737" i="11"/>
  <c r="CO737" i="11"/>
  <c r="CS737" i="11" s="1"/>
  <c r="BZ737" i="11"/>
  <c r="BM737" i="11"/>
  <c r="CP737" i="11"/>
  <c r="CA737" i="11"/>
  <c r="AZ737" i="11"/>
  <c r="CB737" i="11"/>
  <c r="CF737" i="11" s="1"/>
  <c r="CC737" i="11"/>
  <c r="CZ737" i="11"/>
  <c r="X737" i="11"/>
  <c r="AM737" i="11"/>
  <c r="C739" i="11"/>
  <c r="V739" i="11" l="1"/>
  <c r="A739" i="11"/>
  <c r="EB738" i="11"/>
  <c r="ED738" i="11" s="1"/>
  <c r="Z738" i="11"/>
  <c r="F738" i="11" s="1"/>
  <c r="AF738" i="11"/>
  <c r="B739" i="11"/>
  <c r="BD737" i="11"/>
  <c r="BG738" i="11"/>
  <c r="EG738" i="11"/>
  <c r="DT738" i="11"/>
  <c r="DG738" i="11"/>
  <c r="CT738" i="11"/>
  <c r="CG738" i="11"/>
  <c r="BT738" i="11"/>
  <c r="AT738" i="11"/>
  <c r="AE738" i="11"/>
  <c r="AG738" i="11"/>
  <c r="EL735" i="11"/>
  <c r="CK737" i="11"/>
  <c r="CJ737" i="11"/>
  <c r="CL737" i="11" s="1"/>
  <c r="CW737" i="11"/>
  <c r="CY737" i="11" s="1"/>
  <c r="CX737" i="11"/>
  <c r="DK737" i="11"/>
  <c r="DL737" i="11"/>
  <c r="DJ737" i="11"/>
  <c r="BJ737" i="11"/>
  <c r="BL737" i="11" s="1"/>
  <c r="BK737" i="11"/>
  <c r="BW737" i="11"/>
  <c r="BY737" i="11"/>
  <c r="BX737" i="11"/>
  <c r="L737" i="11"/>
  <c r="EK736" i="11"/>
  <c r="EJ736" i="11"/>
  <c r="AL735" i="11"/>
  <c r="AW736" i="11"/>
  <c r="AY736" i="11"/>
  <c r="AX736" i="11"/>
  <c r="M737" i="11"/>
  <c r="EF736" i="11"/>
  <c r="AJ736" i="11"/>
  <c r="AL736" i="11" s="1"/>
  <c r="AK736" i="11"/>
  <c r="AD736" i="11"/>
  <c r="EA738" i="11"/>
  <c r="EI738" i="11"/>
  <c r="EH738" i="11"/>
  <c r="EC738" i="11"/>
  <c r="DZ738" i="11"/>
  <c r="EE737" i="11"/>
  <c r="BJ738" i="11"/>
  <c r="P739" i="11"/>
  <c r="BQ737" i="11"/>
  <c r="BS737" i="11"/>
  <c r="CD737" i="11"/>
  <c r="CQ737" i="11"/>
  <c r="AB738" i="11"/>
  <c r="DD737" i="11"/>
  <c r="BF737" i="11"/>
  <c r="DF737" i="11"/>
  <c r="AR737" i="11"/>
  <c r="AS737" i="11"/>
  <c r="AQ737" i="11"/>
  <c r="CE738" i="11"/>
  <c r="DU738" i="11"/>
  <c r="DV738" i="11"/>
  <c r="DH738" i="11"/>
  <c r="DI738" i="11"/>
  <c r="CR738" i="11"/>
  <c r="CU738" i="11"/>
  <c r="CV738" i="11"/>
  <c r="CI738" i="11"/>
  <c r="CH738" i="11"/>
  <c r="BU738" i="11"/>
  <c r="BV738" i="11"/>
  <c r="BI738" i="11"/>
  <c r="BH738" i="11"/>
  <c r="AU738" i="11"/>
  <c r="AV738" i="11"/>
  <c r="AI738" i="11"/>
  <c r="AC738" i="11"/>
  <c r="AH738" i="11"/>
  <c r="BN738" i="11"/>
  <c r="BO738" i="11"/>
  <c r="BR738" i="11" s="1"/>
  <c r="BP738" i="11"/>
  <c r="W739" i="11"/>
  <c r="AN738" i="11"/>
  <c r="AO738" i="11"/>
  <c r="AP738" i="11"/>
  <c r="Y738" i="11"/>
  <c r="AA738" i="11"/>
  <c r="BB738" i="11"/>
  <c r="BE738" i="11" s="1"/>
  <c r="BC738" i="11"/>
  <c r="BA738" i="11"/>
  <c r="DM738" i="11"/>
  <c r="DN738" i="11"/>
  <c r="CZ738" i="11"/>
  <c r="DP738" i="11"/>
  <c r="DB738" i="11"/>
  <c r="DE738" i="11" s="1"/>
  <c r="CP738" i="11"/>
  <c r="CA738" i="11"/>
  <c r="CB738" i="11"/>
  <c r="CF738" i="11" s="1"/>
  <c r="DA738" i="11"/>
  <c r="CC738" i="11"/>
  <c r="DC738" i="11"/>
  <c r="BM738" i="11"/>
  <c r="CM738" i="11"/>
  <c r="AZ738" i="11"/>
  <c r="CN738" i="11"/>
  <c r="CO738" i="11"/>
  <c r="CQ738" i="11" s="1"/>
  <c r="BZ738" i="11"/>
  <c r="AM738" i="11"/>
  <c r="X738" i="11"/>
  <c r="C740" i="11"/>
  <c r="V740" i="11" l="1"/>
  <c r="A740" i="11"/>
  <c r="EB739" i="11"/>
  <c r="Z739" i="11"/>
  <c r="F739" i="11" s="1"/>
  <c r="AF739" i="11"/>
  <c r="B740" i="11"/>
  <c r="BG739" i="11"/>
  <c r="BD738" i="11"/>
  <c r="DT739" i="11"/>
  <c r="EG739" i="11"/>
  <c r="DG739" i="11"/>
  <c r="CG739" i="11"/>
  <c r="BT739" i="11"/>
  <c r="CT739" i="11"/>
  <c r="AT739" i="11"/>
  <c r="AE739" i="11"/>
  <c r="AG739" i="11"/>
  <c r="EL736" i="11"/>
  <c r="EK737" i="11"/>
  <c r="EJ737" i="11"/>
  <c r="EF737" i="11"/>
  <c r="CX738" i="11"/>
  <c r="CW738" i="11"/>
  <c r="CY738" i="11" s="1"/>
  <c r="AD738" i="11"/>
  <c r="AJ738" i="11"/>
  <c r="AK738" i="11"/>
  <c r="AL738" i="11"/>
  <c r="CJ738" i="11"/>
  <c r="CL738" i="11"/>
  <c r="CK738" i="11"/>
  <c r="BW738" i="11"/>
  <c r="BY738" i="11" s="1"/>
  <c r="BX738" i="11"/>
  <c r="DK738" i="11"/>
  <c r="DJ738" i="11"/>
  <c r="DL738" i="11"/>
  <c r="L738" i="11"/>
  <c r="AW737" i="11"/>
  <c r="AY737" i="11" s="1"/>
  <c r="AX737" i="11"/>
  <c r="BL738" i="11"/>
  <c r="M738" i="11"/>
  <c r="BK738" i="11"/>
  <c r="AD737" i="11"/>
  <c r="AJ737" i="11"/>
  <c r="AK737" i="11"/>
  <c r="EE738" i="11"/>
  <c r="EI739" i="11"/>
  <c r="EH739" i="11"/>
  <c r="EC739" i="11"/>
  <c r="ED739" i="11"/>
  <c r="EA739" i="11"/>
  <c r="DZ739" i="11"/>
  <c r="P740" i="11"/>
  <c r="BQ738" i="11"/>
  <c r="CS738" i="11"/>
  <c r="AB739" i="11"/>
  <c r="AC739" i="11" s="1"/>
  <c r="DF738" i="11"/>
  <c r="BF738" i="11"/>
  <c r="DD738" i="11"/>
  <c r="BS738" i="11"/>
  <c r="CD738" i="11"/>
  <c r="AR738" i="11"/>
  <c r="AS738" i="11"/>
  <c r="AQ738" i="11"/>
  <c r="CE739" i="11"/>
  <c r="DU739" i="11"/>
  <c r="DV739" i="11"/>
  <c r="DH739" i="11"/>
  <c r="DI739" i="11"/>
  <c r="CR739" i="11"/>
  <c r="CU739" i="11"/>
  <c r="CV739" i="11"/>
  <c r="CI739" i="11"/>
  <c r="CH739" i="11"/>
  <c r="BV739" i="11"/>
  <c r="BX739" i="11"/>
  <c r="BU739" i="11"/>
  <c r="BH739" i="11"/>
  <c r="BI739" i="11"/>
  <c r="AU739" i="11"/>
  <c r="AV739" i="11"/>
  <c r="AH739" i="11"/>
  <c r="AI739" i="11"/>
  <c r="BO739" i="11"/>
  <c r="BR739" i="11" s="1"/>
  <c r="BP739" i="11"/>
  <c r="BN739" i="11"/>
  <c r="AP739" i="11"/>
  <c r="AN739" i="11"/>
  <c r="AO739" i="11"/>
  <c r="Y739" i="11"/>
  <c r="AA739" i="11"/>
  <c r="BA739" i="11"/>
  <c r="BC739" i="11"/>
  <c r="BB739" i="11"/>
  <c r="BE739" i="11" s="1"/>
  <c r="DP739" i="11"/>
  <c r="DB739" i="11"/>
  <c r="DE739" i="11" s="1"/>
  <c r="DN739" i="11"/>
  <c r="X739" i="11"/>
  <c r="CM739" i="11"/>
  <c r="CN739" i="11"/>
  <c r="CO739" i="11"/>
  <c r="CQ739" i="11" s="1"/>
  <c r="BZ739" i="11"/>
  <c r="DM739" i="11"/>
  <c r="CZ739" i="11"/>
  <c r="CP739" i="11"/>
  <c r="CA739" i="11"/>
  <c r="DA739" i="11"/>
  <c r="CB739" i="11"/>
  <c r="CF739" i="11" s="1"/>
  <c r="BM739" i="11"/>
  <c r="DC739" i="11"/>
  <c r="CC739" i="11"/>
  <c r="AZ739" i="11"/>
  <c r="AM739" i="11"/>
  <c r="W740" i="11"/>
  <c r="C741" i="11"/>
  <c r="V741" i="11" l="1"/>
  <c r="A741" i="11"/>
  <c r="Z740" i="11"/>
  <c r="F740" i="11" s="1"/>
  <c r="EB740" i="11"/>
  <c r="ED740" i="11" s="1"/>
  <c r="AF740" i="11"/>
  <c r="B741" i="11"/>
  <c r="BG740" i="11"/>
  <c r="BD739" i="11"/>
  <c r="EG740" i="11"/>
  <c r="DT740" i="11"/>
  <c r="DG740" i="11"/>
  <c r="CG740" i="11"/>
  <c r="CT740" i="11"/>
  <c r="BT740" i="11"/>
  <c r="AT740" i="11"/>
  <c r="AE740" i="11"/>
  <c r="AG740" i="11"/>
  <c r="EL737" i="11"/>
  <c r="BJ739" i="11"/>
  <c r="BK739" i="11"/>
  <c r="BL739" i="11" s="1"/>
  <c r="CY739" i="11"/>
  <c r="CX739" i="11"/>
  <c r="CW739" i="11"/>
  <c r="EK738" i="11"/>
  <c r="EJ738" i="11"/>
  <c r="EF738" i="11"/>
  <c r="DK739" i="11"/>
  <c r="DJ739" i="11"/>
  <c r="DL739" i="11" s="1"/>
  <c r="CK739" i="11"/>
  <c r="CJ739" i="11"/>
  <c r="CL739" i="11"/>
  <c r="M739" i="11"/>
  <c r="AL737" i="11"/>
  <c r="L739" i="11"/>
  <c r="AY738" i="11"/>
  <c r="AX738" i="11"/>
  <c r="AW738" i="11"/>
  <c r="BW739" i="11"/>
  <c r="BY739" i="11" s="1"/>
  <c r="EH740" i="11"/>
  <c r="EI740" i="11"/>
  <c r="EC740" i="11"/>
  <c r="EA740" i="11"/>
  <c r="DZ740" i="11"/>
  <c r="EE739" i="11"/>
  <c r="DJ740" i="11"/>
  <c r="CJ740" i="11"/>
  <c r="BX740" i="11"/>
  <c r="P741" i="11"/>
  <c r="BS739" i="11"/>
  <c r="CD739" i="11"/>
  <c r="CS739" i="11"/>
  <c r="DF739" i="11"/>
  <c r="AB740" i="11"/>
  <c r="AC740" i="11" s="1"/>
  <c r="BF739" i="11"/>
  <c r="DD739" i="11"/>
  <c r="BQ739" i="11"/>
  <c r="AR739" i="11"/>
  <c r="AS739" i="11"/>
  <c r="AQ739" i="11"/>
  <c r="CE740" i="11"/>
  <c r="DV740" i="11"/>
  <c r="DU740" i="11"/>
  <c r="DH740" i="11"/>
  <c r="DI740" i="11"/>
  <c r="CR740" i="11"/>
  <c r="CU740" i="11"/>
  <c r="CV740" i="11"/>
  <c r="CI740" i="11"/>
  <c r="BU740" i="11"/>
  <c r="BV740" i="11"/>
  <c r="CH740" i="11"/>
  <c r="BH740" i="11"/>
  <c r="BI740" i="11"/>
  <c r="AU740" i="11"/>
  <c r="AV740" i="11"/>
  <c r="AH740" i="11"/>
  <c r="AI740" i="11"/>
  <c r="BP740" i="11"/>
  <c r="BN740" i="11"/>
  <c r="BO740" i="11"/>
  <c r="BR740" i="11" s="1"/>
  <c r="W741" i="11"/>
  <c r="AO740" i="11"/>
  <c r="AP740" i="11"/>
  <c r="AA740" i="11"/>
  <c r="AN740" i="11"/>
  <c r="Y740" i="11"/>
  <c r="BA740" i="11"/>
  <c r="BB740" i="11"/>
  <c r="BE740" i="11" s="1"/>
  <c r="BC740" i="11"/>
  <c r="DM740" i="11"/>
  <c r="DN740" i="11"/>
  <c r="CZ740" i="11"/>
  <c r="DP740" i="11"/>
  <c r="DB740" i="11"/>
  <c r="DE740" i="11" s="1"/>
  <c r="DC740" i="11"/>
  <c r="CP740" i="11"/>
  <c r="CA740" i="11"/>
  <c r="AM740" i="11"/>
  <c r="CB740" i="11"/>
  <c r="CF740" i="11" s="1"/>
  <c r="X740" i="11"/>
  <c r="CC740" i="11"/>
  <c r="CM740" i="11"/>
  <c r="CN740" i="11"/>
  <c r="BM740" i="11"/>
  <c r="DA740" i="11"/>
  <c r="CO740" i="11"/>
  <c r="CQ740" i="11" s="1"/>
  <c r="BZ740" i="11"/>
  <c r="AZ740" i="11"/>
  <c r="C742" i="11"/>
  <c r="V742" i="11" l="1"/>
  <c r="A742" i="11"/>
  <c r="EB741" i="11"/>
  <c r="ED741" i="11" s="1"/>
  <c r="Z741" i="11"/>
  <c r="F741" i="11" s="1"/>
  <c r="AF741" i="11"/>
  <c r="B742" i="11"/>
  <c r="BG741" i="11"/>
  <c r="BD740" i="11"/>
  <c r="EG741" i="11"/>
  <c r="DT741" i="11"/>
  <c r="DG741" i="11"/>
  <c r="CT741" i="11"/>
  <c r="CG741" i="11"/>
  <c r="BT741" i="11"/>
  <c r="AT741" i="11"/>
  <c r="AE741" i="11"/>
  <c r="AG741" i="11"/>
  <c r="EL738" i="11"/>
  <c r="EJ739" i="11"/>
  <c r="EK739" i="11"/>
  <c r="EF739" i="11"/>
  <c r="CW740" i="11"/>
  <c r="CX740" i="11"/>
  <c r="CY740" i="11"/>
  <c r="BJ740" i="11"/>
  <c r="BL740" i="11" s="1"/>
  <c r="BK740" i="11"/>
  <c r="M740" i="11"/>
  <c r="BW740" i="11"/>
  <c r="BY740" i="11" s="1"/>
  <c r="L740" i="11"/>
  <c r="AD739" i="11"/>
  <c r="AK739" i="11"/>
  <c r="AJ739" i="11"/>
  <c r="AW739" i="11"/>
  <c r="AY739" i="11"/>
  <c r="AX739" i="11"/>
  <c r="CK740" i="11"/>
  <c r="CL740" i="11" s="1"/>
  <c r="DK740" i="11"/>
  <c r="DL740" i="11" s="1"/>
  <c r="EE740" i="11"/>
  <c r="EC741" i="11"/>
  <c r="EH741" i="11"/>
  <c r="EA741" i="11"/>
  <c r="DZ741" i="11"/>
  <c r="EI741" i="11"/>
  <c r="CJ741" i="11"/>
  <c r="P742" i="11"/>
  <c r="CS740" i="11"/>
  <c r="DD740" i="11"/>
  <c r="BF740" i="11"/>
  <c r="DF740" i="11"/>
  <c r="BQ740" i="11"/>
  <c r="CD740" i="11"/>
  <c r="BS740" i="11"/>
  <c r="AB741" i="11"/>
  <c r="AC741" i="11" s="1"/>
  <c r="AR740" i="11"/>
  <c r="AQ740" i="11"/>
  <c r="AS740" i="11"/>
  <c r="CE741" i="11"/>
  <c r="DU741" i="11"/>
  <c r="DV741" i="11"/>
  <c r="DH741" i="11"/>
  <c r="DI741" i="11"/>
  <c r="CR741" i="11"/>
  <c r="CU741" i="11"/>
  <c r="CV741" i="11"/>
  <c r="CK741" i="11"/>
  <c r="CI741" i="11"/>
  <c r="CH741" i="11"/>
  <c r="BU741" i="11"/>
  <c r="BV741" i="11"/>
  <c r="BH741" i="11"/>
  <c r="BI741" i="11"/>
  <c r="AU741" i="11"/>
  <c r="AV741" i="11"/>
  <c r="AH741" i="11"/>
  <c r="AI741" i="11"/>
  <c r="BN741" i="11"/>
  <c r="BO741" i="11"/>
  <c r="BR741" i="11" s="1"/>
  <c r="BP741" i="11"/>
  <c r="W742" i="11"/>
  <c r="AN741" i="11"/>
  <c r="AO741" i="11"/>
  <c r="AP741" i="11"/>
  <c r="Y741" i="11"/>
  <c r="AA741" i="11"/>
  <c r="BC741" i="11"/>
  <c r="BA741" i="11"/>
  <c r="BB741" i="11"/>
  <c r="BE741" i="11" s="1"/>
  <c r="DP741" i="11"/>
  <c r="DB741" i="11"/>
  <c r="DE741" i="11" s="1"/>
  <c r="DN741" i="11"/>
  <c r="AZ741" i="11"/>
  <c r="CZ741" i="11"/>
  <c r="CM741" i="11"/>
  <c r="AM741" i="11"/>
  <c r="DA741" i="11"/>
  <c r="CN741" i="11"/>
  <c r="X741" i="11"/>
  <c r="DC741" i="11"/>
  <c r="CO741" i="11"/>
  <c r="CS741" i="11" s="1"/>
  <c r="BZ741" i="11"/>
  <c r="CP741" i="11"/>
  <c r="CA741" i="11"/>
  <c r="DM741" i="11"/>
  <c r="CB741" i="11"/>
  <c r="CF741" i="11" s="1"/>
  <c r="CC741" i="11"/>
  <c r="BM741" i="11"/>
  <c r="C743" i="11"/>
  <c r="V743" i="11" l="1"/>
  <c r="A743" i="11"/>
  <c r="Z742" i="11"/>
  <c r="F742" i="11" s="1"/>
  <c r="EB742" i="11"/>
  <c r="ED742" i="11" s="1"/>
  <c r="AF742" i="11"/>
  <c r="B743" i="11"/>
  <c r="BG742" i="11"/>
  <c r="BD741" i="11"/>
  <c r="DT742" i="11"/>
  <c r="EG742" i="11"/>
  <c r="DG742" i="11"/>
  <c r="CT742" i="11"/>
  <c r="CG742" i="11"/>
  <c r="BT742" i="11"/>
  <c r="AT742" i="11"/>
  <c r="AE742" i="11"/>
  <c r="AG742" i="11"/>
  <c r="EL739" i="11"/>
  <c r="CW741" i="11"/>
  <c r="CY741" i="11" s="1"/>
  <c r="CX741" i="11"/>
  <c r="BW741" i="11"/>
  <c r="BY741" i="11" s="1"/>
  <c r="BX741" i="11"/>
  <c r="EJ740" i="11"/>
  <c r="EK740" i="11"/>
  <c r="EF740" i="11"/>
  <c r="DK741" i="11"/>
  <c r="DJ741" i="11"/>
  <c r="DL741" i="11" s="1"/>
  <c r="BK741" i="11"/>
  <c r="BL741" i="11" s="1"/>
  <c r="BJ741" i="11"/>
  <c r="CL741" i="11"/>
  <c r="AW740" i="11"/>
  <c r="AX740" i="11"/>
  <c r="AY740" i="11"/>
  <c r="L741" i="11"/>
  <c r="AL739" i="11"/>
  <c r="M741" i="11"/>
  <c r="AK740" i="11"/>
  <c r="AD740" i="11"/>
  <c r="AJ740" i="11"/>
  <c r="EE741" i="11"/>
  <c r="EA742" i="11"/>
  <c r="EC742" i="11"/>
  <c r="DZ742" i="11"/>
  <c r="EI742" i="11"/>
  <c r="EH742" i="11"/>
  <c r="P743" i="11"/>
  <c r="CD741" i="11"/>
  <c r="BQ741" i="11"/>
  <c r="BS741" i="11"/>
  <c r="CQ741" i="11"/>
  <c r="AB742" i="11"/>
  <c r="DD741" i="11"/>
  <c r="BF741" i="11"/>
  <c r="DF741" i="11"/>
  <c r="AR741" i="11"/>
  <c r="AS741" i="11"/>
  <c r="AQ741" i="11"/>
  <c r="CE742" i="11"/>
  <c r="DU742" i="11"/>
  <c r="DV742" i="11"/>
  <c r="DH742" i="11"/>
  <c r="DI742" i="11"/>
  <c r="CV742" i="11"/>
  <c r="CR742" i="11"/>
  <c r="CI742" i="11"/>
  <c r="CU742" i="11"/>
  <c r="CH742" i="11"/>
  <c r="BU742" i="11"/>
  <c r="BV742" i="11"/>
  <c r="BH742" i="11"/>
  <c r="BI742" i="11"/>
  <c r="BL742" i="11"/>
  <c r="BJ742" i="11"/>
  <c r="BK742" i="11"/>
  <c r="AU742" i="11"/>
  <c r="AV742" i="11"/>
  <c r="AC742" i="11"/>
  <c r="AH742" i="11"/>
  <c r="L742" i="11" s="1"/>
  <c r="AI742" i="11"/>
  <c r="BN742" i="11"/>
  <c r="BO742" i="11"/>
  <c r="BR742" i="11" s="1"/>
  <c r="BP742" i="11"/>
  <c r="W743" i="11"/>
  <c r="AO742" i="11"/>
  <c r="AP742" i="11"/>
  <c r="AN742" i="11"/>
  <c r="Y742" i="11"/>
  <c r="AA742" i="11"/>
  <c r="BC742" i="11"/>
  <c r="BA742" i="11"/>
  <c r="BB742" i="11"/>
  <c r="BE742" i="11" s="1"/>
  <c r="DM742" i="11"/>
  <c r="DN742" i="11"/>
  <c r="CZ742" i="11"/>
  <c r="DP742" i="11"/>
  <c r="DB742" i="11"/>
  <c r="DE742" i="11" s="1"/>
  <c r="CP742" i="11"/>
  <c r="CA742" i="11"/>
  <c r="BM742" i="11"/>
  <c r="CB742" i="11"/>
  <c r="CF742" i="11" s="1"/>
  <c r="AZ742" i="11"/>
  <c r="CC742" i="11"/>
  <c r="AM742" i="11"/>
  <c r="X742" i="11"/>
  <c r="DA742" i="11"/>
  <c r="DC742" i="11"/>
  <c r="CM742" i="11"/>
  <c r="CN742" i="11"/>
  <c r="CO742" i="11"/>
  <c r="CS742" i="11" s="1"/>
  <c r="BZ742" i="11"/>
  <c r="C744" i="11"/>
  <c r="V744" i="11" l="1"/>
  <c r="A744" i="11"/>
  <c r="EB743" i="11"/>
  <c r="Z743" i="11"/>
  <c r="F743" i="11" s="1"/>
  <c r="AF743" i="11"/>
  <c r="B744" i="11"/>
  <c r="BG743" i="11"/>
  <c r="BD742" i="11"/>
  <c r="EG743" i="11"/>
  <c r="DT743" i="11"/>
  <c r="DG743" i="11"/>
  <c r="CT743" i="11"/>
  <c r="BT743" i="11"/>
  <c r="CG743" i="11"/>
  <c r="AT743" i="11"/>
  <c r="AE743" i="11"/>
  <c r="AG743" i="11"/>
  <c r="EL740" i="11"/>
  <c r="CW742" i="11"/>
  <c r="CY742" i="11" s="1"/>
  <c r="CX742" i="11"/>
  <c r="EJ741" i="11"/>
  <c r="EK741" i="11"/>
  <c r="EF741" i="11"/>
  <c r="CJ742" i="11"/>
  <c r="CK742" i="11"/>
  <c r="CL742" i="11"/>
  <c r="DK742" i="11"/>
  <c r="DJ742" i="11"/>
  <c r="DL742" i="11" s="1"/>
  <c r="BX742" i="11"/>
  <c r="BY742" i="11"/>
  <c r="BW742" i="11"/>
  <c r="AJ741" i="11"/>
  <c r="AD741" i="11"/>
  <c r="AK741" i="11"/>
  <c r="AL741" i="11"/>
  <c r="AX741" i="11"/>
  <c r="AY741" i="11" s="1"/>
  <c r="AW741" i="11"/>
  <c r="M742" i="11"/>
  <c r="AL740" i="11"/>
  <c r="EE742" i="11"/>
  <c r="EF742" i="11" s="1"/>
  <c r="EC743" i="11"/>
  <c r="ED743" i="11"/>
  <c r="EA743" i="11"/>
  <c r="DZ743" i="11"/>
  <c r="EI743" i="11"/>
  <c r="EH743" i="11"/>
  <c r="P744" i="11"/>
  <c r="CQ742" i="11"/>
  <c r="BF742" i="11"/>
  <c r="DD742" i="11"/>
  <c r="DF742" i="11"/>
  <c r="BQ742" i="11"/>
  <c r="BS742" i="11"/>
  <c r="AB743" i="11"/>
  <c r="AC743" i="11" s="1"/>
  <c r="CD742" i="11"/>
  <c r="AR742" i="11"/>
  <c r="AQ742" i="11"/>
  <c r="AS742" i="11"/>
  <c r="CE743" i="11"/>
  <c r="DU743" i="11"/>
  <c r="DV743" i="11"/>
  <c r="DH743" i="11"/>
  <c r="DI743" i="11"/>
  <c r="CU743" i="11"/>
  <c r="CV743" i="11"/>
  <c r="CR743" i="11"/>
  <c r="CI743" i="11"/>
  <c r="CH743" i="11"/>
  <c r="BU743" i="11"/>
  <c r="BV743" i="11"/>
  <c r="BH743" i="11"/>
  <c r="AU743" i="11"/>
  <c r="BI743" i="11"/>
  <c r="AV743" i="11"/>
  <c r="AH743" i="11"/>
  <c r="AI743" i="11"/>
  <c r="BO743" i="11"/>
  <c r="BR743" i="11" s="1"/>
  <c r="BP743" i="11"/>
  <c r="BN743" i="11"/>
  <c r="W744" i="11"/>
  <c r="AN743" i="11"/>
  <c r="AO743" i="11"/>
  <c r="AP743" i="11"/>
  <c r="AA743" i="11"/>
  <c r="Y743" i="11"/>
  <c r="BA743" i="11"/>
  <c r="BC743" i="11"/>
  <c r="BB743" i="11"/>
  <c r="BE743" i="11" s="1"/>
  <c r="DP743" i="11"/>
  <c r="DB743" i="11"/>
  <c r="DE743" i="11" s="1"/>
  <c r="DN743" i="11"/>
  <c r="DC743" i="11"/>
  <c r="CM743" i="11"/>
  <c r="BM743" i="11"/>
  <c r="CN743" i="11"/>
  <c r="AZ743" i="11"/>
  <c r="CO743" i="11"/>
  <c r="CS743" i="11" s="1"/>
  <c r="BZ743" i="11"/>
  <c r="AM743" i="11"/>
  <c r="CP743" i="11"/>
  <c r="CA743" i="11"/>
  <c r="X743" i="11"/>
  <c r="CB743" i="11"/>
  <c r="CD743" i="11" s="1"/>
  <c r="DM743" i="11"/>
  <c r="CZ743" i="11"/>
  <c r="CC743" i="11"/>
  <c r="DA743" i="11"/>
  <c r="C745" i="11"/>
  <c r="V745" i="11" l="1"/>
  <c r="A745" i="11"/>
  <c r="EB744" i="11"/>
  <c r="ED744" i="11" s="1"/>
  <c r="Z744" i="11"/>
  <c r="F744" i="11" s="1"/>
  <c r="AF744" i="11"/>
  <c r="B745" i="11"/>
  <c r="BG744" i="11"/>
  <c r="BD743" i="11"/>
  <c r="EG744" i="11"/>
  <c r="DT744" i="11"/>
  <c r="DG744" i="11"/>
  <c r="CT744" i="11"/>
  <c r="CG744" i="11"/>
  <c r="BT744" i="11"/>
  <c r="AT744" i="11"/>
  <c r="AE744" i="11"/>
  <c r="AG744" i="11"/>
  <c r="EL741" i="11"/>
  <c r="BX743" i="11"/>
  <c r="BY743" i="11" s="1"/>
  <c r="BW743" i="11"/>
  <c r="CW743" i="11"/>
  <c r="CY743" i="11" s="1"/>
  <c r="CX743" i="11"/>
  <c r="DL743" i="11"/>
  <c r="DJ743" i="11"/>
  <c r="DK743" i="11"/>
  <c r="CJ743" i="11"/>
  <c r="CL743" i="11" s="1"/>
  <c r="CK743" i="11"/>
  <c r="L743" i="11"/>
  <c r="BJ743" i="11"/>
  <c r="BL743" i="11" s="1"/>
  <c r="BK743" i="11"/>
  <c r="AX742" i="11"/>
  <c r="AW742" i="11"/>
  <c r="AY742" i="11" s="1"/>
  <c r="AD742" i="11"/>
  <c r="AK742" i="11"/>
  <c r="AJ742" i="11"/>
  <c r="AL742" i="11" s="1"/>
  <c r="M743" i="11"/>
  <c r="EK742" i="11"/>
  <c r="EJ742" i="11"/>
  <c r="EL742" i="11" s="1"/>
  <c r="EE743" i="11"/>
  <c r="EH744" i="11"/>
  <c r="EA744" i="11"/>
  <c r="DZ744" i="11"/>
  <c r="EI744" i="11"/>
  <c r="EC744" i="11"/>
  <c r="BJ744" i="11"/>
  <c r="P745" i="11"/>
  <c r="DF743" i="11"/>
  <c r="CF743" i="11"/>
  <c r="BQ743" i="11"/>
  <c r="BS743" i="11"/>
  <c r="CQ743" i="11"/>
  <c r="AB744" i="11"/>
  <c r="BF743" i="11"/>
  <c r="DD743" i="11"/>
  <c r="AR743" i="11"/>
  <c r="AS743" i="11"/>
  <c r="AQ743" i="11"/>
  <c r="CE744" i="11"/>
  <c r="DV744" i="11"/>
  <c r="DU744" i="11"/>
  <c r="DI744" i="11"/>
  <c r="DH744" i="11"/>
  <c r="CU744" i="11"/>
  <c r="CV744" i="11"/>
  <c r="CR744" i="11"/>
  <c r="CI744" i="11"/>
  <c r="CH744" i="11"/>
  <c r="BV744" i="11"/>
  <c r="BW744" i="11"/>
  <c r="BU744" i="11"/>
  <c r="AV744" i="11"/>
  <c r="BH744" i="11"/>
  <c r="BI744" i="11"/>
  <c r="AU744" i="11"/>
  <c r="AI744" i="11"/>
  <c r="AC744" i="11"/>
  <c r="AH744" i="11"/>
  <c r="BN744" i="11"/>
  <c r="BP744" i="11"/>
  <c r="BO744" i="11"/>
  <c r="BR744" i="11" s="1"/>
  <c r="W745" i="11"/>
  <c r="AN744" i="11"/>
  <c r="AP744" i="11"/>
  <c r="Y744" i="11"/>
  <c r="AA744" i="11"/>
  <c r="AO744" i="11"/>
  <c r="BA744" i="11"/>
  <c r="BC744" i="11"/>
  <c r="BB744" i="11"/>
  <c r="BE744" i="11" s="1"/>
  <c r="DM744" i="11"/>
  <c r="DN744" i="11"/>
  <c r="CZ744" i="11"/>
  <c r="DP744" i="11"/>
  <c r="DB744" i="11"/>
  <c r="DE744" i="11" s="1"/>
  <c r="CP744" i="11"/>
  <c r="CA744" i="11"/>
  <c r="DA744" i="11"/>
  <c r="CB744" i="11"/>
  <c r="CF744" i="11" s="1"/>
  <c r="DC744" i="11"/>
  <c r="CC744" i="11"/>
  <c r="BM744" i="11"/>
  <c r="AZ744" i="11"/>
  <c r="AM744" i="11"/>
  <c r="CM744" i="11"/>
  <c r="CN744" i="11"/>
  <c r="CO744" i="11"/>
  <c r="CS744" i="11" s="1"/>
  <c r="BZ744" i="11"/>
  <c r="X744" i="11"/>
  <c r="C746" i="11"/>
  <c r="V746" i="11" l="1"/>
  <c r="A746" i="11"/>
  <c r="Z745" i="11"/>
  <c r="F745" i="11" s="1"/>
  <c r="EB745" i="11"/>
  <c r="ED745" i="11" s="1"/>
  <c r="AF745" i="11"/>
  <c r="B746" i="11"/>
  <c r="BG745" i="11"/>
  <c r="BD744" i="11"/>
  <c r="DT745" i="11"/>
  <c r="EG745" i="11"/>
  <c r="DG745" i="11"/>
  <c r="CG745" i="11"/>
  <c r="CT745" i="11"/>
  <c r="BT745" i="11"/>
  <c r="AT745" i="11"/>
  <c r="AE745" i="11"/>
  <c r="AG745" i="11"/>
  <c r="EK743" i="11"/>
  <c r="EJ743" i="11"/>
  <c r="EF743" i="11"/>
  <c r="CK744" i="11"/>
  <c r="CJ744" i="11"/>
  <c r="CL744" i="11" s="1"/>
  <c r="CW744" i="11"/>
  <c r="CX744" i="11"/>
  <c r="CY744" i="11" s="1"/>
  <c r="DJ744" i="11"/>
  <c r="DL744" i="11" s="1"/>
  <c r="DK744" i="11"/>
  <c r="AK744" i="11"/>
  <c r="AD744" i="11"/>
  <c r="AJ744" i="11"/>
  <c r="AX743" i="11"/>
  <c r="AY743" i="11" s="1"/>
  <c r="AW743" i="11"/>
  <c r="BK744" i="11"/>
  <c r="BL744" i="11" s="1"/>
  <c r="AJ743" i="11"/>
  <c r="AK743" i="11"/>
  <c r="AL743" i="11"/>
  <c r="AD743" i="11"/>
  <c r="L744" i="11"/>
  <c r="BX744" i="11"/>
  <c r="BY744" i="11" s="1"/>
  <c r="M744" i="11"/>
  <c r="EE744" i="11"/>
  <c r="EC745" i="11"/>
  <c r="EA745" i="11"/>
  <c r="DZ745" i="11"/>
  <c r="EI745" i="11"/>
  <c r="EH745" i="11"/>
  <c r="P746" i="11"/>
  <c r="BF744" i="11"/>
  <c r="DD744" i="11"/>
  <c r="DF744" i="11"/>
  <c r="BQ744" i="11"/>
  <c r="AB745" i="11"/>
  <c r="BS744" i="11"/>
  <c r="CD744" i="11"/>
  <c r="CQ744" i="11"/>
  <c r="AR744" i="11"/>
  <c r="AS744" i="11"/>
  <c r="AQ744" i="11"/>
  <c r="CE745" i="11"/>
  <c r="DU745" i="11"/>
  <c r="DV745" i="11"/>
  <c r="DH745" i="11"/>
  <c r="DI745" i="11"/>
  <c r="CU745" i="11"/>
  <c r="CV745" i="11"/>
  <c r="CR745" i="11"/>
  <c r="CI745" i="11"/>
  <c r="CH745" i="11"/>
  <c r="BU745" i="11"/>
  <c r="BV745" i="11"/>
  <c r="BI745" i="11"/>
  <c r="AU745" i="11"/>
  <c r="AV745" i="11"/>
  <c r="BH745" i="11"/>
  <c r="AC745" i="11"/>
  <c r="AH745" i="11"/>
  <c r="L745" i="11" s="1"/>
  <c r="AI745" i="11"/>
  <c r="BN745" i="11"/>
  <c r="BO745" i="11"/>
  <c r="BR745" i="11" s="1"/>
  <c r="BP745" i="11"/>
  <c r="AP745" i="11"/>
  <c r="AN745" i="11"/>
  <c r="AO745" i="11"/>
  <c r="AA745" i="11"/>
  <c r="Y745" i="11"/>
  <c r="BB745" i="11"/>
  <c r="BE745" i="11" s="1"/>
  <c r="BC745" i="11"/>
  <c r="BA745" i="11"/>
  <c r="DP745" i="11"/>
  <c r="DB745" i="11"/>
  <c r="DE745" i="11" s="1"/>
  <c r="DN745" i="11"/>
  <c r="CM745" i="11"/>
  <c r="CN745" i="11"/>
  <c r="CZ745" i="11"/>
  <c r="CO745" i="11"/>
  <c r="CQ745" i="11" s="1"/>
  <c r="BZ745" i="11"/>
  <c r="BM745" i="11"/>
  <c r="DA745" i="11"/>
  <c r="CP745" i="11"/>
  <c r="CA745" i="11"/>
  <c r="AZ745" i="11"/>
  <c r="DC745" i="11"/>
  <c r="CB745" i="11"/>
  <c r="CF745" i="11" s="1"/>
  <c r="CC745" i="11"/>
  <c r="DM745" i="11"/>
  <c r="AM745" i="11"/>
  <c r="X745" i="11"/>
  <c r="W746" i="11"/>
  <c r="C747" i="11"/>
  <c r="V747" i="11" l="1"/>
  <c r="A747" i="11"/>
  <c r="EB746" i="11"/>
  <c r="Z746" i="11"/>
  <c r="F746" i="11" s="1"/>
  <c r="AF746" i="11"/>
  <c r="B747" i="11"/>
  <c r="BD745" i="11"/>
  <c r="BG746" i="11"/>
  <c r="EG746" i="11"/>
  <c r="DT746" i="11"/>
  <c r="DG746" i="11"/>
  <c r="CT746" i="11"/>
  <c r="BT746" i="11"/>
  <c r="AT746" i="11"/>
  <c r="CG746" i="11"/>
  <c r="AE746" i="11"/>
  <c r="AG746" i="11"/>
  <c r="EL743" i="11"/>
  <c r="BW745" i="11"/>
  <c r="BY745" i="11" s="1"/>
  <c r="BX745" i="11"/>
  <c r="EK744" i="11"/>
  <c r="EJ744" i="11"/>
  <c r="EF744" i="11"/>
  <c r="DJ745" i="11"/>
  <c r="DL745" i="11" s="1"/>
  <c r="DK745" i="11"/>
  <c r="CW745" i="11"/>
  <c r="CX745" i="11"/>
  <c r="CY745" i="11" s="1"/>
  <c r="CJ745" i="11"/>
  <c r="CK745" i="11"/>
  <c r="CL745" i="11"/>
  <c r="BK745" i="11"/>
  <c r="AL744" i="11"/>
  <c r="BJ745" i="11"/>
  <c r="BL745" i="11" s="1"/>
  <c r="AX744" i="11"/>
  <c r="AY744" i="11" s="1"/>
  <c r="AW744" i="11"/>
  <c r="M745" i="11"/>
  <c r="EA746" i="11"/>
  <c r="DZ746" i="11"/>
  <c r="EI746" i="11"/>
  <c r="EH746" i="11"/>
  <c r="EC746" i="11"/>
  <c r="ED746" i="11"/>
  <c r="EE745" i="11"/>
  <c r="CY746" i="11"/>
  <c r="CK746" i="11"/>
  <c r="P747" i="11"/>
  <c r="CS745" i="11"/>
  <c r="DD745" i="11"/>
  <c r="BF745" i="11"/>
  <c r="DF745" i="11"/>
  <c r="BQ745" i="11"/>
  <c r="BS745" i="11"/>
  <c r="CD745" i="11"/>
  <c r="AB746" i="11"/>
  <c r="AC746" i="11" s="1"/>
  <c r="AR745" i="11"/>
  <c r="AS745" i="11"/>
  <c r="AQ745" i="11"/>
  <c r="CE746" i="11"/>
  <c r="DU746" i="11"/>
  <c r="DV746" i="11"/>
  <c r="DH746" i="11"/>
  <c r="DI746" i="11"/>
  <c r="CR746" i="11"/>
  <c r="CU746" i="11"/>
  <c r="CV746" i="11"/>
  <c r="CX746" i="11"/>
  <c r="CW746" i="11"/>
  <c r="CI746" i="11"/>
  <c r="CJ746" i="11"/>
  <c r="CH746" i="11"/>
  <c r="BU746" i="11"/>
  <c r="BV746" i="11"/>
  <c r="BI746" i="11"/>
  <c r="BH746" i="11"/>
  <c r="AU746" i="11"/>
  <c r="AV746" i="11"/>
  <c r="AI746" i="11"/>
  <c r="AH746" i="11"/>
  <c r="L746" i="11" s="1"/>
  <c r="BN746" i="11"/>
  <c r="BO746" i="11"/>
  <c r="BR746" i="11" s="1"/>
  <c r="BP746" i="11"/>
  <c r="W747" i="11"/>
  <c r="AN746" i="11"/>
  <c r="AO746" i="11"/>
  <c r="AP746" i="11"/>
  <c r="Y746" i="11"/>
  <c r="AA746" i="11"/>
  <c r="BA746" i="11"/>
  <c r="BB746" i="11"/>
  <c r="BE746" i="11" s="1"/>
  <c r="BC746" i="11"/>
  <c r="DM746" i="11"/>
  <c r="DN746" i="11"/>
  <c r="CZ746" i="11"/>
  <c r="DP746" i="11"/>
  <c r="DB746" i="11"/>
  <c r="DE746" i="11" s="1"/>
  <c r="CP746" i="11"/>
  <c r="CA746" i="11"/>
  <c r="CB746" i="11"/>
  <c r="CF746" i="11" s="1"/>
  <c r="CC746" i="11"/>
  <c r="BM746" i="11"/>
  <c r="CM746" i="11"/>
  <c r="AZ746" i="11"/>
  <c r="DA746" i="11"/>
  <c r="CN746" i="11"/>
  <c r="DC746" i="11"/>
  <c r="CO746" i="11"/>
  <c r="CS746" i="11" s="1"/>
  <c r="BZ746" i="11"/>
  <c r="X746" i="11"/>
  <c r="AM746" i="11"/>
  <c r="C748" i="11"/>
  <c r="V748" i="11" l="1"/>
  <c r="A748" i="11"/>
  <c r="EB747" i="11"/>
  <c r="Z747" i="11"/>
  <c r="F747" i="11" s="1"/>
  <c r="AF747" i="11"/>
  <c r="B748" i="11"/>
  <c r="BG747" i="11"/>
  <c r="BD746" i="11"/>
  <c r="DT747" i="11"/>
  <c r="EG747" i="11"/>
  <c r="DG747" i="11"/>
  <c r="BT747" i="11"/>
  <c r="CT747" i="11"/>
  <c r="CG747" i="11"/>
  <c r="AT747" i="11"/>
  <c r="AE747" i="11"/>
  <c r="AG747" i="11"/>
  <c r="EL744" i="11"/>
  <c r="BK746" i="11"/>
  <c r="BJ746" i="11"/>
  <c r="BL746" i="11" s="1"/>
  <c r="BW746" i="11"/>
  <c r="BX746" i="11"/>
  <c r="BY746" i="11" s="1"/>
  <c r="DK746" i="11"/>
  <c r="DL746" i="11"/>
  <c r="DJ746" i="11"/>
  <c r="AJ745" i="11"/>
  <c r="AL745" i="11" s="1"/>
  <c r="AD745" i="11"/>
  <c r="AK745" i="11"/>
  <c r="M746" i="11"/>
  <c r="CL746" i="11"/>
  <c r="AX745" i="11"/>
  <c r="AW745" i="11"/>
  <c r="AY745" i="11"/>
  <c r="EK745" i="11"/>
  <c r="EJ745" i="11"/>
  <c r="EL745" i="11" s="1"/>
  <c r="EF745" i="11"/>
  <c r="EE746" i="11"/>
  <c r="DZ747" i="11"/>
  <c r="EI747" i="11"/>
  <c r="EH747" i="11"/>
  <c r="EC747" i="11"/>
  <c r="ED747" i="11"/>
  <c r="EA747" i="11"/>
  <c r="BK747" i="11"/>
  <c r="P748" i="11"/>
  <c r="BQ746" i="11"/>
  <c r="BS746" i="11"/>
  <c r="CD746" i="11"/>
  <c r="AB747" i="11"/>
  <c r="AC747" i="11" s="1"/>
  <c r="CQ746" i="11"/>
  <c r="DF746" i="11"/>
  <c r="BF746" i="11"/>
  <c r="DD746" i="11"/>
  <c r="AR746" i="11"/>
  <c r="AS746" i="11"/>
  <c r="AQ746" i="11"/>
  <c r="CE747" i="11"/>
  <c r="DU747" i="11"/>
  <c r="DV747" i="11"/>
  <c r="DH747" i="11"/>
  <c r="DI747" i="11"/>
  <c r="CR747" i="11"/>
  <c r="CU747" i="11"/>
  <c r="CV747" i="11"/>
  <c r="CI747" i="11"/>
  <c r="CH747" i="11"/>
  <c r="BV747" i="11"/>
  <c r="BU747" i="11"/>
  <c r="BH747" i="11"/>
  <c r="BI747" i="11"/>
  <c r="BJ747" i="11"/>
  <c r="AU747" i="11"/>
  <c r="AV747" i="11"/>
  <c r="AH747" i="11"/>
  <c r="L747" i="11" s="1"/>
  <c r="AI747" i="11"/>
  <c r="BO747" i="11"/>
  <c r="BR747" i="11" s="1"/>
  <c r="BP747" i="11"/>
  <c r="BN747" i="11"/>
  <c r="AN747" i="11"/>
  <c r="AP747" i="11"/>
  <c r="AO747" i="11"/>
  <c r="Y747" i="11"/>
  <c r="AA747" i="11"/>
  <c r="BA747" i="11"/>
  <c r="BB747" i="11"/>
  <c r="BE747" i="11" s="1"/>
  <c r="BC747" i="11"/>
  <c r="DP747" i="11"/>
  <c r="DB747" i="11"/>
  <c r="DE747" i="11" s="1"/>
  <c r="DN747" i="11"/>
  <c r="DM747" i="11"/>
  <c r="CZ747" i="11"/>
  <c r="X747" i="11"/>
  <c r="DA747" i="11"/>
  <c r="CM747" i="11"/>
  <c r="DC747" i="11"/>
  <c r="CN747" i="11"/>
  <c r="CO747" i="11"/>
  <c r="CQ747" i="11" s="1"/>
  <c r="BZ747" i="11"/>
  <c r="CP747" i="11"/>
  <c r="CA747" i="11"/>
  <c r="CB747" i="11"/>
  <c r="CD747" i="11" s="1"/>
  <c r="BM747" i="11"/>
  <c r="CC747" i="11"/>
  <c r="AZ747" i="11"/>
  <c r="AM747" i="11"/>
  <c r="W748" i="11"/>
  <c r="C749" i="11"/>
  <c r="V749" i="11" l="1"/>
  <c r="A749" i="11"/>
  <c r="Z748" i="11"/>
  <c r="F748" i="11" s="1"/>
  <c r="EB748" i="11"/>
  <c r="AF748" i="11"/>
  <c r="B749" i="11"/>
  <c r="BG748" i="11"/>
  <c r="BD747" i="11"/>
  <c r="DT748" i="11"/>
  <c r="EG748" i="11"/>
  <c r="DG748" i="11"/>
  <c r="CG748" i="11"/>
  <c r="CT748" i="11"/>
  <c r="BT748" i="11"/>
  <c r="AT748" i="11"/>
  <c r="AE748" i="11"/>
  <c r="AG748" i="11"/>
  <c r="DJ747" i="11"/>
  <c r="DL747" i="11" s="1"/>
  <c r="DK747" i="11"/>
  <c r="CW747" i="11"/>
  <c r="CX747" i="11"/>
  <c r="CY747" i="11" s="1"/>
  <c r="EK746" i="11"/>
  <c r="EJ746" i="11"/>
  <c r="EL746" i="11" s="1"/>
  <c r="EF746" i="11"/>
  <c r="CJ747" i="11"/>
  <c r="CK747" i="11"/>
  <c r="CL747" i="11"/>
  <c r="BW747" i="11"/>
  <c r="BY747" i="11" s="1"/>
  <c r="BX747" i="11"/>
  <c r="AD746" i="11"/>
  <c r="AJ746" i="11"/>
  <c r="AL746" i="11" s="1"/>
  <c r="AK746" i="11"/>
  <c r="BL747" i="11"/>
  <c r="M747" i="11"/>
  <c r="AX746" i="11"/>
  <c r="AW746" i="11"/>
  <c r="AY746" i="11" s="1"/>
  <c r="EH748" i="11"/>
  <c r="EI748" i="11"/>
  <c r="EC748" i="11"/>
  <c r="ED748" i="11"/>
  <c r="EA748" i="11"/>
  <c r="DZ748" i="11"/>
  <c r="EE747" i="11"/>
  <c r="EF747" i="11" s="1"/>
  <c r="P749" i="11"/>
  <c r="CS747" i="11"/>
  <c r="CF747" i="11"/>
  <c r="DF747" i="11"/>
  <c r="BQ747" i="11"/>
  <c r="DD747" i="11"/>
  <c r="BF747" i="11"/>
  <c r="AB748" i="11"/>
  <c r="AC748" i="11" s="1"/>
  <c r="BS747" i="11"/>
  <c r="AR747" i="11"/>
  <c r="AS747" i="11"/>
  <c r="AQ747" i="11"/>
  <c r="CE748" i="11"/>
  <c r="DV748" i="11"/>
  <c r="DU748" i="11"/>
  <c r="DH748" i="11"/>
  <c r="DI748" i="11"/>
  <c r="CR748" i="11"/>
  <c r="CU748" i="11"/>
  <c r="CV748" i="11"/>
  <c r="CI748" i="11"/>
  <c r="CH748" i="11"/>
  <c r="BU748" i="11"/>
  <c r="BV748" i="11"/>
  <c r="BH748" i="11"/>
  <c r="BI748" i="11"/>
  <c r="AU748" i="11"/>
  <c r="AV748" i="11"/>
  <c r="AH748" i="11"/>
  <c r="L748" i="11" s="1"/>
  <c r="AI748" i="11"/>
  <c r="BP748" i="11"/>
  <c r="BO748" i="11"/>
  <c r="BR748" i="11" s="1"/>
  <c r="BN748" i="11"/>
  <c r="W749" i="11"/>
  <c r="AO748" i="11"/>
  <c r="AP748" i="11"/>
  <c r="AN748" i="11"/>
  <c r="AA748" i="11"/>
  <c r="Y748" i="11"/>
  <c r="BA748" i="11"/>
  <c r="BB748" i="11"/>
  <c r="BE748" i="11" s="1"/>
  <c r="BC748" i="11"/>
  <c r="DM748" i="11"/>
  <c r="DN748" i="11"/>
  <c r="CZ748" i="11"/>
  <c r="DP748" i="11"/>
  <c r="DB748" i="11"/>
  <c r="DE748" i="11" s="1"/>
  <c r="CP748" i="11"/>
  <c r="CA748" i="11"/>
  <c r="AM748" i="11"/>
  <c r="CB748" i="11"/>
  <c r="CF748" i="11" s="1"/>
  <c r="X748" i="11"/>
  <c r="CC748" i="11"/>
  <c r="DA748" i="11"/>
  <c r="DC748" i="11"/>
  <c r="CM748" i="11"/>
  <c r="CN748" i="11"/>
  <c r="BM748" i="11"/>
  <c r="CO748" i="11"/>
  <c r="CS748" i="11" s="1"/>
  <c r="BZ748" i="11"/>
  <c r="AZ748" i="11"/>
  <c r="C750" i="11"/>
  <c r="V750" i="11" l="1"/>
  <c r="A750" i="11"/>
  <c r="EB749" i="11"/>
  <c r="ED749" i="11" s="1"/>
  <c r="Z749" i="11"/>
  <c r="F749" i="11" s="1"/>
  <c r="AF749" i="11"/>
  <c r="B750" i="11"/>
  <c r="BD748" i="11"/>
  <c r="BG749" i="11"/>
  <c r="EG749" i="11"/>
  <c r="DG749" i="11"/>
  <c r="DT749" i="11"/>
  <c r="CT749" i="11"/>
  <c r="CG749" i="11"/>
  <c r="BT749" i="11"/>
  <c r="AT749" i="11"/>
  <c r="AE749" i="11"/>
  <c r="AG749" i="11"/>
  <c r="BJ748" i="11"/>
  <c r="BK748" i="11"/>
  <c r="BL748" i="11" s="1"/>
  <c r="BX748" i="11"/>
  <c r="BW748" i="11"/>
  <c r="BY748" i="11" s="1"/>
  <c r="CW748" i="11"/>
  <c r="CX748" i="11"/>
  <c r="CY748" i="11" s="1"/>
  <c r="DJ748" i="11"/>
  <c r="DK748" i="11"/>
  <c r="DL748" i="11"/>
  <c r="CK748" i="11"/>
  <c r="CL748" i="11"/>
  <c r="CJ748" i="11"/>
  <c r="M748" i="11"/>
  <c r="AD747" i="11"/>
  <c r="AJ747" i="11"/>
  <c r="AK747" i="11"/>
  <c r="AW747" i="11"/>
  <c r="AX747" i="11"/>
  <c r="AY747" i="11" s="1"/>
  <c r="EK747" i="11"/>
  <c r="EJ747" i="11"/>
  <c r="EL747" i="11" s="1"/>
  <c r="EE748" i="11"/>
  <c r="EC749" i="11"/>
  <c r="EI749" i="11"/>
  <c r="EH749" i="11"/>
  <c r="EA749" i="11"/>
  <c r="DZ749" i="11"/>
  <c r="P750" i="11"/>
  <c r="DD748" i="11"/>
  <c r="BF748" i="11"/>
  <c r="DF748" i="11"/>
  <c r="BQ748" i="11"/>
  <c r="CD748" i="11"/>
  <c r="BS748" i="11"/>
  <c r="AB749" i="11"/>
  <c r="AC749" i="11" s="1"/>
  <c r="CQ748" i="11"/>
  <c r="AR748" i="11"/>
  <c r="AQ748" i="11"/>
  <c r="AS748" i="11"/>
  <c r="CE749" i="11"/>
  <c r="DU749" i="11"/>
  <c r="DV749" i="11"/>
  <c r="DH749" i="11"/>
  <c r="DI749" i="11"/>
  <c r="CR749" i="11"/>
  <c r="CU749" i="11"/>
  <c r="CV749" i="11"/>
  <c r="CI749" i="11"/>
  <c r="CH749" i="11"/>
  <c r="BU749" i="11"/>
  <c r="BV749" i="11"/>
  <c r="BH749" i="11"/>
  <c r="BI749" i="11"/>
  <c r="AU749" i="11"/>
  <c r="AV749" i="11"/>
  <c r="AH749" i="11"/>
  <c r="AI749" i="11"/>
  <c r="BN749" i="11"/>
  <c r="BO749" i="11"/>
  <c r="BR749" i="11" s="1"/>
  <c r="BP749" i="11"/>
  <c r="W750" i="11"/>
  <c r="AN749" i="11"/>
  <c r="AO749" i="11"/>
  <c r="AP749" i="11"/>
  <c r="Y749" i="11"/>
  <c r="AA749" i="11"/>
  <c r="BA749" i="11"/>
  <c r="BB749" i="11"/>
  <c r="BE749" i="11" s="1"/>
  <c r="BC749" i="11"/>
  <c r="DP749" i="11"/>
  <c r="DB749" i="11"/>
  <c r="DE749" i="11" s="1"/>
  <c r="DN749" i="11"/>
  <c r="AZ749" i="11"/>
  <c r="DM749" i="11"/>
  <c r="CM749" i="11"/>
  <c r="AM749" i="11"/>
  <c r="CN749" i="11"/>
  <c r="X749" i="11"/>
  <c r="CO749" i="11"/>
  <c r="CQ749" i="11" s="1"/>
  <c r="BZ749" i="11"/>
  <c r="CP749" i="11"/>
  <c r="CA749" i="11"/>
  <c r="CZ749" i="11"/>
  <c r="CB749" i="11"/>
  <c r="CF749" i="11" s="1"/>
  <c r="DA749" i="11"/>
  <c r="CC749" i="11"/>
  <c r="DC749" i="11"/>
  <c r="BM749" i="11"/>
  <c r="C751" i="11"/>
  <c r="V751" i="11" l="1"/>
  <c r="A751" i="11"/>
  <c r="EB750" i="11"/>
  <c r="Z750" i="11"/>
  <c r="F750" i="11" s="1"/>
  <c r="AF750" i="11"/>
  <c r="B751" i="11"/>
  <c r="BD749" i="11"/>
  <c r="BG750" i="11"/>
  <c r="DT750" i="11"/>
  <c r="EG750" i="11"/>
  <c r="DG750" i="11"/>
  <c r="CT750" i="11"/>
  <c r="CG750" i="11"/>
  <c r="BT750" i="11"/>
  <c r="AT750" i="11"/>
  <c r="AE750" i="11"/>
  <c r="AG750" i="11"/>
  <c r="CW749" i="11"/>
  <c r="CY749" i="11" s="1"/>
  <c r="CX749" i="11"/>
  <c r="EJ748" i="11"/>
  <c r="EK748" i="11"/>
  <c r="EL748" i="11" s="1"/>
  <c r="EF748" i="11"/>
  <c r="BL749" i="11"/>
  <c r="BK749" i="11"/>
  <c r="BJ749" i="11"/>
  <c r="BW749" i="11"/>
  <c r="BX749" i="11"/>
  <c r="BY749" i="11"/>
  <c r="DJ749" i="11"/>
  <c r="DL749" i="11" s="1"/>
  <c r="DK749" i="11"/>
  <c r="CJ749" i="11"/>
  <c r="CL749" i="11" s="1"/>
  <c r="CK749" i="11"/>
  <c r="L749" i="11"/>
  <c r="AY748" i="11"/>
  <c r="AW748" i="11"/>
  <c r="AX748" i="11"/>
  <c r="M749" i="11"/>
  <c r="AL747" i="11"/>
  <c r="AD748" i="11"/>
  <c r="AJ748" i="11"/>
  <c r="AK748" i="11"/>
  <c r="EE749" i="11"/>
  <c r="EA750" i="11"/>
  <c r="EI750" i="11"/>
  <c r="EH750" i="11"/>
  <c r="EC750" i="11"/>
  <c r="ED750" i="11"/>
  <c r="DZ750" i="11"/>
  <c r="CK750" i="11"/>
  <c r="P751" i="11"/>
  <c r="DD749" i="11"/>
  <c r="BF749" i="11"/>
  <c r="DF749" i="11"/>
  <c r="CD749" i="11"/>
  <c r="AB750" i="11"/>
  <c r="BQ749" i="11"/>
  <c r="CS749" i="11"/>
  <c r="BS749" i="11"/>
  <c r="AR749" i="11"/>
  <c r="AS749" i="11"/>
  <c r="AQ749" i="11"/>
  <c r="CE750" i="11"/>
  <c r="DU750" i="11"/>
  <c r="DV750" i="11"/>
  <c r="DH750" i="11"/>
  <c r="DI750" i="11"/>
  <c r="CV750" i="11"/>
  <c r="CR750" i="11"/>
  <c r="CU750" i="11"/>
  <c r="CI750" i="11"/>
  <c r="CH750" i="11"/>
  <c r="BU750" i="11"/>
  <c r="BV750" i="11"/>
  <c r="BH750" i="11"/>
  <c r="BI750" i="11"/>
  <c r="AU750" i="11"/>
  <c r="AV750" i="11"/>
  <c r="AH750" i="11"/>
  <c r="AI750" i="11"/>
  <c r="BN750" i="11"/>
  <c r="BO750" i="11"/>
  <c r="BR750" i="11" s="1"/>
  <c r="BP750" i="11"/>
  <c r="W751" i="11"/>
  <c r="AO750" i="11"/>
  <c r="AN750" i="11"/>
  <c r="Y750" i="11"/>
  <c r="AP750" i="11"/>
  <c r="AC750" i="11"/>
  <c r="AA750" i="11"/>
  <c r="BC750" i="11"/>
  <c r="BB750" i="11"/>
  <c r="BE750" i="11" s="1"/>
  <c r="BA750" i="11"/>
  <c r="DM750" i="11"/>
  <c r="DN750" i="11"/>
  <c r="CZ750" i="11"/>
  <c r="DP750" i="11"/>
  <c r="DB750" i="11"/>
  <c r="DE750" i="11" s="1"/>
  <c r="DA750" i="11"/>
  <c r="CP750" i="11"/>
  <c r="CA750" i="11"/>
  <c r="BM750" i="11"/>
  <c r="DC750" i="11"/>
  <c r="CB750" i="11"/>
  <c r="CF750" i="11" s="1"/>
  <c r="AZ750" i="11"/>
  <c r="CC750" i="11"/>
  <c r="AM750" i="11"/>
  <c r="X750" i="11"/>
  <c r="CM750" i="11"/>
  <c r="CN750" i="11"/>
  <c r="CO750" i="11"/>
  <c r="CQ750" i="11" s="1"/>
  <c r="BZ750" i="11"/>
  <c r="C752" i="11"/>
  <c r="V752" i="11" l="1"/>
  <c r="A752" i="11"/>
  <c r="EB751" i="11"/>
  <c r="ED751" i="11" s="1"/>
  <c r="Z751" i="11"/>
  <c r="F751" i="11" s="1"/>
  <c r="AF751" i="11"/>
  <c r="B752" i="11"/>
  <c r="BD750" i="11"/>
  <c r="BG751" i="11"/>
  <c r="EG751" i="11"/>
  <c r="DT751" i="11"/>
  <c r="DG751" i="11"/>
  <c r="CT751" i="11"/>
  <c r="CG751" i="11"/>
  <c r="BT751" i="11"/>
  <c r="AT751" i="11"/>
  <c r="AE751" i="11"/>
  <c r="AG751" i="11"/>
  <c r="CW750" i="11"/>
  <c r="CY750" i="11" s="1"/>
  <c r="CX750" i="11"/>
  <c r="BK750" i="11"/>
  <c r="BJ750" i="11"/>
  <c r="BL750" i="11" s="1"/>
  <c r="DK750" i="11"/>
  <c r="DL750" i="11"/>
  <c r="DJ750" i="11"/>
  <c r="BX750" i="11"/>
  <c r="BW750" i="11"/>
  <c r="BY750" i="11" s="1"/>
  <c r="EK749" i="11"/>
  <c r="EJ749" i="11"/>
  <c r="EL749" i="11" s="1"/>
  <c r="EF749" i="11"/>
  <c r="CJ750" i="11"/>
  <c r="CL750" i="11" s="1"/>
  <c r="M750" i="11"/>
  <c r="L750" i="11"/>
  <c r="AL748" i="11"/>
  <c r="AW749" i="11"/>
  <c r="AY749" i="11" s="1"/>
  <c r="AX749" i="11"/>
  <c r="AJ749" i="11"/>
  <c r="AD749" i="11"/>
  <c r="AK749" i="11"/>
  <c r="EH751" i="11"/>
  <c r="EC751" i="11"/>
  <c r="EA751" i="11"/>
  <c r="DZ751" i="11"/>
  <c r="EI751" i="11"/>
  <c r="EE750" i="11"/>
  <c r="BX751" i="11"/>
  <c r="P752" i="11"/>
  <c r="BF750" i="11"/>
  <c r="CS750" i="11"/>
  <c r="DD750" i="11"/>
  <c r="DF750" i="11"/>
  <c r="BQ750" i="11"/>
  <c r="BS750" i="11"/>
  <c r="CD750" i="11"/>
  <c r="AB751" i="11"/>
  <c r="AC751" i="11" s="1"/>
  <c r="AR750" i="11"/>
  <c r="AQ750" i="11"/>
  <c r="AS750" i="11"/>
  <c r="CE751" i="11"/>
  <c r="DU751" i="11"/>
  <c r="DV751" i="11"/>
  <c r="DH751" i="11"/>
  <c r="CU751" i="11"/>
  <c r="CV751" i="11"/>
  <c r="DI751" i="11"/>
  <c r="CR751" i="11"/>
  <c r="CI751" i="11"/>
  <c r="CH751" i="11"/>
  <c r="BU751" i="11"/>
  <c r="BW751" i="11"/>
  <c r="BV751" i="11"/>
  <c r="BH751" i="11"/>
  <c r="BI751" i="11"/>
  <c r="AU751" i="11"/>
  <c r="AV751" i="11"/>
  <c r="AH751" i="11"/>
  <c r="AI751" i="11"/>
  <c r="BO751" i="11"/>
  <c r="BR751" i="11" s="1"/>
  <c r="BP751" i="11"/>
  <c r="BN751" i="11"/>
  <c r="W752" i="11"/>
  <c r="AN751" i="11"/>
  <c r="AO751" i="11"/>
  <c r="AP751" i="11"/>
  <c r="AA751" i="11"/>
  <c r="Y751" i="11"/>
  <c r="BA751" i="11"/>
  <c r="BB751" i="11"/>
  <c r="BE751" i="11" s="1"/>
  <c r="BC751" i="11"/>
  <c r="DP751" i="11"/>
  <c r="DB751" i="11"/>
  <c r="DE751" i="11" s="1"/>
  <c r="DN751" i="11"/>
  <c r="CM751" i="11"/>
  <c r="BM751" i="11"/>
  <c r="DM751" i="11"/>
  <c r="CZ751" i="11"/>
  <c r="CN751" i="11"/>
  <c r="AZ751" i="11"/>
  <c r="DA751" i="11"/>
  <c r="CO751" i="11"/>
  <c r="CS751" i="11" s="1"/>
  <c r="BZ751" i="11"/>
  <c r="AM751" i="11"/>
  <c r="DC751" i="11"/>
  <c r="CP751" i="11"/>
  <c r="CA751" i="11"/>
  <c r="X751" i="11"/>
  <c r="CB751" i="11"/>
  <c r="CF751" i="11" s="1"/>
  <c r="CC751" i="11"/>
  <c r="C753" i="11"/>
  <c r="V753" i="11" l="1"/>
  <c r="A753" i="11"/>
  <c r="EB752" i="11"/>
  <c r="Z752" i="11"/>
  <c r="F752" i="11" s="1"/>
  <c r="AF752" i="11"/>
  <c r="B753" i="11"/>
  <c r="BG752" i="11"/>
  <c r="BD751" i="11"/>
  <c r="DG752" i="11"/>
  <c r="EG752" i="11"/>
  <c r="DT752" i="11"/>
  <c r="CT752" i="11"/>
  <c r="CG752" i="11"/>
  <c r="BT752" i="11"/>
  <c r="AT752" i="11"/>
  <c r="AE752" i="11"/>
  <c r="AG752" i="11"/>
  <c r="BJ751" i="11"/>
  <c r="BK751" i="11"/>
  <c r="BL751" i="11" s="1"/>
  <c r="CJ751" i="11"/>
  <c r="CK751" i="11"/>
  <c r="CL751" i="11" s="1"/>
  <c r="DJ751" i="11"/>
  <c r="DL751" i="11"/>
  <c r="DK751" i="11"/>
  <c r="CW751" i="11"/>
  <c r="CY751" i="11" s="1"/>
  <c r="CX751" i="11"/>
  <c r="AW750" i="11"/>
  <c r="AY750" i="11" s="1"/>
  <c r="AX750" i="11"/>
  <c r="AK750" i="11"/>
  <c r="AD750" i="11"/>
  <c r="AJ750" i="11"/>
  <c r="L751" i="11"/>
  <c r="EK750" i="11"/>
  <c r="EJ750" i="11"/>
  <c r="EL750" i="11" s="1"/>
  <c r="BY751" i="11"/>
  <c r="EF750" i="11"/>
  <c r="M751" i="11"/>
  <c r="AL749" i="11"/>
  <c r="EH752" i="11"/>
  <c r="ED752" i="11"/>
  <c r="EI752" i="11"/>
  <c r="EC752" i="11"/>
  <c r="EA752" i="11"/>
  <c r="DZ752" i="11"/>
  <c r="EE751" i="11"/>
  <c r="CX752" i="11"/>
  <c r="CY752" i="11" s="1"/>
  <c r="P753" i="11"/>
  <c r="BF751" i="11"/>
  <c r="DD751" i="11"/>
  <c r="DF751" i="11"/>
  <c r="BQ751" i="11"/>
  <c r="BS751" i="11"/>
  <c r="AB752" i="11"/>
  <c r="AC752" i="11" s="1"/>
  <c r="CD751" i="11"/>
  <c r="CQ751" i="11"/>
  <c r="AR751" i="11"/>
  <c r="AS751" i="11"/>
  <c r="AQ751" i="11"/>
  <c r="CE752" i="11"/>
  <c r="DV752" i="11"/>
  <c r="DU752" i="11"/>
  <c r="DI752" i="11"/>
  <c r="DH752" i="11"/>
  <c r="CU752" i="11"/>
  <c r="CV752" i="11"/>
  <c r="CW752" i="11"/>
  <c r="CR752" i="11"/>
  <c r="CI752" i="11"/>
  <c r="CH752" i="11"/>
  <c r="BV752" i="11"/>
  <c r="BU752" i="11"/>
  <c r="AV752" i="11"/>
  <c r="BH752" i="11"/>
  <c r="BI752" i="11"/>
  <c r="AU752" i="11"/>
  <c r="AI752" i="11"/>
  <c r="M752" i="11" s="1"/>
  <c r="AH752" i="11"/>
  <c r="BN752" i="11"/>
  <c r="BP752" i="11"/>
  <c r="BO752" i="11"/>
  <c r="BR752" i="11" s="1"/>
  <c r="W753" i="11"/>
  <c r="AN752" i="11"/>
  <c r="AO752" i="11"/>
  <c r="AP752" i="11"/>
  <c r="Y752" i="11"/>
  <c r="AA752" i="11"/>
  <c r="BB752" i="11"/>
  <c r="BE752" i="11" s="1"/>
  <c r="BC752" i="11"/>
  <c r="BA752" i="11"/>
  <c r="DM752" i="11"/>
  <c r="DN752" i="11"/>
  <c r="CZ752" i="11"/>
  <c r="DP752" i="11"/>
  <c r="DB752" i="11"/>
  <c r="DE752" i="11" s="1"/>
  <c r="CP752" i="11"/>
  <c r="CA752" i="11"/>
  <c r="CB752" i="11"/>
  <c r="CD752" i="11" s="1"/>
  <c r="CC752" i="11"/>
  <c r="BM752" i="11"/>
  <c r="AZ752" i="11"/>
  <c r="AM752" i="11"/>
  <c r="DA752" i="11"/>
  <c r="CM752" i="11"/>
  <c r="DC752" i="11"/>
  <c r="CN752" i="11"/>
  <c r="CO752" i="11"/>
  <c r="CQ752" i="11" s="1"/>
  <c r="BZ752" i="11"/>
  <c r="X752" i="11"/>
  <c r="C754" i="11"/>
  <c r="V754" i="11" l="1"/>
  <c r="A754" i="11"/>
  <c r="EB753" i="11"/>
  <c r="ED753" i="11" s="1"/>
  <c r="Z753" i="11"/>
  <c r="F753" i="11" s="1"/>
  <c r="AF753" i="11"/>
  <c r="B754" i="11"/>
  <c r="BG753" i="11"/>
  <c r="BD752" i="11"/>
  <c r="DT753" i="11"/>
  <c r="DG753" i="11"/>
  <c r="EG753" i="11"/>
  <c r="CG753" i="11"/>
  <c r="CT753" i="11"/>
  <c r="BT753" i="11"/>
  <c r="AT753" i="11"/>
  <c r="AE753" i="11"/>
  <c r="AG753" i="11"/>
  <c r="EJ751" i="11"/>
  <c r="EL751" i="11" s="1"/>
  <c r="EK751" i="11"/>
  <c r="EF751" i="11"/>
  <c r="CK752" i="11"/>
  <c r="CJ752" i="11"/>
  <c r="CL752" i="11"/>
  <c r="DJ752" i="11"/>
  <c r="DL752" i="11" s="1"/>
  <c r="DK752" i="11"/>
  <c r="BK752" i="11"/>
  <c r="BJ752" i="11"/>
  <c r="BL752" i="11" s="1"/>
  <c r="BW752" i="11"/>
  <c r="BY752" i="11" s="1"/>
  <c r="BX752" i="11"/>
  <c r="L752" i="11"/>
  <c r="AL750" i="11"/>
  <c r="EE752" i="11"/>
  <c r="EF752" i="11" s="1"/>
  <c r="AW751" i="11"/>
  <c r="AY751" i="11" s="1"/>
  <c r="AX751" i="11"/>
  <c r="AK751" i="11"/>
  <c r="AJ751" i="11"/>
  <c r="AD751" i="11"/>
  <c r="EC753" i="11"/>
  <c r="DZ753" i="11"/>
  <c r="EI753" i="11"/>
  <c r="EH753" i="11"/>
  <c r="EA753" i="11"/>
  <c r="BJ753" i="11"/>
  <c r="P754" i="11"/>
  <c r="CF752" i="11"/>
  <c r="CS752" i="11"/>
  <c r="BF752" i="11"/>
  <c r="DD752" i="11"/>
  <c r="DF752" i="11"/>
  <c r="BQ752" i="11"/>
  <c r="AB753" i="11"/>
  <c r="AC753" i="11" s="1"/>
  <c r="BS752" i="11"/>
  <c r="AR752" i="11"/>
  <c r="AS752" i="11"/>
  <c r="AQ752" i="11"/>
  <c r="CE753" i="11"/>
  <c r="DU753" i="11"/>
  <c r="DV753" i="11"/>
  <c r="DH753" i="11"/>
  <c r="DI753" i="11"/>
  <c r="CU753" i="11"/>
  <c r="CV753" i="11"/>
  <c r="CR753" i="11"/>
  <c r="CI753" i="11"/>
  <c r="CH753" i="11"/>
  <c r="BU753" i="11"/>
  <c r="BV753" i="11"/>
  <c r="BI753" i="11"/>
  <c r="AU753" i="11"/>
  <c r="AV753" i="11"/>
  <c r="BH753" i="11"/>
  <c r="AH753" i="11"/>
  <c r="AI753" i="11"/>
  <c r="BN753" i="11"/>
  <c r="BO753" i="11"/>
  <c r="BR753" i="11" s="1"/>
  <c r="BP753" i="11"/>
  <c r="AP753" i="11"/>
  <c r="AN753" i="11"/>
  <c r="AO753" i="11"/>
  <c r="Y753" i="11"/>
  <c r="AA753" i="11"/>
  <c r="BB753" i="11"/>
  <c r="BE753" i="11" s="1"/>
  <c r="BC753" i="11"/>
  <c r="BA753" i="11"/>
  <c r="DP753" i="11"/>
  <c r="DB753" i="11"/>
  <c r="DE753" i="11" s="1"/>
  <c r="DN753" i="11"/>
  <c r="DA753" i="11"/>
  <c r="DC753" i="11"/>
  <c r="CM753" i="11"/>
  <c r="CN753" i="11"/>
  <c r="DM753" i="11"/>
  <c r="CO753" i="11"/>
  <c r="CS753" i="11" s="1"/>
  <c r="BZ753" i="11"/>
  <c r="BM753" i="11"/>
  <c r="CP753" i="11"/>
  <c r="CA753" i="11"/>
  <c r="AZ753" i="11"/>
  <c r="CB753" i="11"/>
  <c r="CF753" i="11" s="1"/>
  <c r="CC753" i="11"/>
  <c r="CZ753" i="11"/>
  <c r="AM753" i="11"/>
  <c r="X753" i="11"/>
  <c r="W754" i="11"/>
  <c r="C755" i="11"/>
  <c r="V755" i="11" l="1"/>
  <c r="A755" i="11"/>
  <c r="EB754" i="11"/>
  <c r="ED754" i="11" s="1"/>
  <c r="Z754" i="11"/>
  <c r="F754" i="11" s="1"/>
  <c r="AF754" i="11"/>
  <c r="B755" i="11"/>
  <c r="BG754" i="11"/>
  <c r="BD753" i="11"/>
  <c r="EG754" i="11"/>
  <c r="DT754" i="11"/>
  <c r="DG754" i="11"/>
  <c r="CT754" i="11"/>
  <c r="CG754" i="11"/>
  <c r="BT754" i="11"/>
  <c r="AT754" i="11"/>
  <c r="AE754" i="11"/>
  <c r="AG754" i="11"/>
  <c r="BW753" i="11"/>
  <c r="BY753" i="11" s="1"/>
  <c r="BX753" i="11"/>
  <c r="CJ753" i="11"/>
  <c r="CL753" i="11" s="1"/>
  <c r="CK753" i="11"/>
  <c r="DJ753" i="11"/>
  <c r="DL753" i="11" s="1"/>
  <c r="DK753" i="11"/>
  <c r="CX753" i="11"/>
  <c r="CY753" i="11" s="1"/>
  <c r="CW753" i="11"/>
  <c r="L753" i="11"/>
  <c r="EK752" i="11"/>
  <c r="EJ752" i="11"/>
  <c r="BL753" i="11"/>
  <c r="AW752" i="11"/>
  <c r="AY752" i="11" s="1"/>
  <c r="AX752" i="11"/>
  <c r="BK753" i="11"/>
  <c r="M753" i="11"/>
  <c r="AK752" i="11"/>
  <c r="AD752" i="11"/>
  <c r="AJ752" i="11"/>
  <c r="AL752" i="11" s="1"/>
  <c r="AL751" i="11"/>
  <c r="EE753" i="11"/>
  <c r="EA754" i="11"/>
  <c r="EI754" i="11"/>
  <c r="EH754" i="11"/>
  <c r="EC754" i="11"/>
  <c r="DZ754" i="11"/>
  <c r="CY754" i="11"/>
  <c r="P755" i="11"/>
  <c r="DD753" i="11"/>
  <c r="BF753" i="11"/>
  <c r="DF753" i="11"/>
  <c r="BQ753" i="11"/>
  <c r="BS753" i="11"/>
  <c r="AB754" i="11"/>
  <c r="AC754" i="11" s="1"/>
  <c r="CD753" i="11"/>
  <c r="CQ753" i="11"/>
  <c r="AR753" i="11"/>
  <c r="AS753" i="11"/>
  <c r="AQ753" i="11"/>
  <c r="CE754" i="11"/>
  <c r="DU754" i="11"/>
  <c r="DV754" i="11"/>
  <c r="DH754" i="11"/>
  <c r="DI754" i="11"/>
  <c r="CR754" i="11"/>
  <c r="CU754" i="11"/>
  <c r="CV754" i="11"/>
  <c r="CW754" i="11"/>
  <c r="CX754" i="11"/>
  <c r="CI754" i="11"/>
  <c r="CH754" i="11"/>
  <c r="BU754" i="11"/>
  <c r="BV754" i="11"/>
  <c r="BI754" i="11"/>
  <c r="BH754" i="11"/>
  <c r="AU754" i="11"/>
  <c r="AV754" i="11"/>
  <c r="AI754" i="11"/>
  <c r="AH754" i="11"/>
  <c r="BN754" i="11"/>
  <c r="BO754" i="11"/>
  <c r="BR754" i="11" s="1"/>
  <c r="BP754" i="11"/>
  <c r="AN754" i="11"/>
  <c r="AO754" i="11"/>
  <c r="AP754" i="11"/>
  <c r="Y754" i="11"/>
  <c r="AA754" i="11"/>
  <c r="BB754" i="11"/>
  <c r="BE754" i="11" s="1"/>
  <c r="BC754" i="11"/>
  <c r="BA754" i="11"/>
  <c r="DM754" i="11"/>
  <c r="DN754" i="11"/>
  <c r="CZ754" i="11"/>
  <c r="DP754" i="11"/>
  <c r="DB754" i="11"/>
  <c r="DE754" i="11" s="1"/>
  <c r="CP754" i="11"/>
  <c r="CA754" i="11"/>
  <c r="CB754" i="11"/>
  <c r="CF754" i="11" s="1"/>
  <c r="DA754" i="11"/>
  <c r="CC754" i="11"/>
  <c r="DC754" i="11"/>
  <c r="BM754" i="11"/>
  <c r="CM754" i="11"/>
  <c r="AZ754" i="11"/>
  <c r="CN754" i="11"/>
  <c r="CO754" i="11"/>
  <c r="CQ754" i="11" s="1"/>
  <c r="BZ754" i="11"/>
  <c r="AM754" i="11"/>
  <c r="X754" i="11"/>
  <c r="W755" i="11"/>
  <c r="C756" i="11"/>
  <c r="V756" i="11" l="1"/>
  <c r="A756" i="11"/>
  <c r="EB755" i="11"/>
  <c r="Z755" i="11"/>
  <c r="F755" i="11" s="1"/>
  <c r="AF755" i="11"/>
  <c r="B756" i="11"/>
  <c r="BD754" i="11"/>
  <c r="BG755" i="11"/>
  <c r="DT755" i="11"/>
  <c r="EG755" i="11"/>
  <c r="DG755" i="11"/>
  <c r="CT755" i="11"/>
  <c r="CG755" i="11"/>
  <c r="BT755" i="11"/>
  <c r="AT755" i="11"/>
  <c r="AE755" i="11"/>
  <c r="AG755" i="11"/>
  <c r="EL752" i="11"/>
  <c r="DJ754" i="11"/>
  <c r="DL754" i="11" s="1"/>
  <c r="DK754" i="11"/>
  <c r="BW754" i="11"/>
  <c r="BX754" i="11"/>
  <c r="BY754" i="11" s="1"/>
  <c r="BL754" i="11"/>
  <c r="BJ754" i="11"/>
  <c r="BK754" i="11"/>
  <c r="CJ754" i="11"/>
  <c r="CL754" i="11" s="1"/>
  <c r="CK754" i="11"/>
  <c r="M754" i="11"/>
  <c r="AX753" i="11"/>
  <c r="AW753" i="11"/>
  <c r="AY753" i="11" s="1"/>
  <c r="L754" i="11"/>
  <c r="EJ753" i="11"/>
  <c r="EK753" i="11"/>
  <c r="EF753" i="11"/>
  <c r="AD753" i="11"/>
  <c r="AJ753" i="11"/>
  <c r="AK753" i="11"/>
  <c r="EE754" i="11"/>
  <c r="EF754" i="11" s="1"/>
  <c r="EI755" i="11"/>
  <c r="EH755" i="11"/>
  <c r="EC755" i="11"/>
  <c r="ED755" i="11"/>
  <c r="EA755" i="11"/>
  <c r="DZ755" i="11"/>
  <c r="BJ755" i="11"/>
  <c r="P756" i="11"/>
  <c r="CS754" i="11"/>
  <c r="DF754" i="11"/>
  <c r="BF754" i="11"/>
  <c r="DD754" i="11"/>
  <c r="BQ754" i="11"/>
  <c r="BS754" i="11"/>
  <c r="CD754" i="11"/>
  <c r="AB755" i="11"/>
  <c r="AR754" i="11"/>
  <c r="AS754" i="11"/>
  <c r="AQ754" i="11"/>
  <c r="CE755" i="11"/>
  <c r="DU755" i="11"/>
  <c r="DV755" i="11"/>
  <c r="DH755" i="11"/>
  <c r="DI755" i="11"/>
  <c r="CR755" i="11"/>
  <c r="CU755" i="11"/>
  <c r="CV755" i="11"/>
  <c r="CX755" i="11"/>
  <c r="CI755" i="11"/>
  <c r="CW755" i="11"/>
  <c r="CY755" i="11" s="1"/>
  <c r="CH755" i="11"/>
  <c r="BV755" i="11"/>
  <c r="BU755" i="11"/>
  <c r="BH755" i="11"/>
  <c r="BI755" i="11"/>
  <c r="AU755" i="11"/>
  <c r="AV755" i="11"/>
  <c r="AH755" i="11"/>
  <c r="AI755" i="11"/>
  <c r="AC755" i="11"/>
  <c r="BO755" i="11"/>
  <c r="BR755" i="11" s="1"/>
  <c r="BP755" i="11"/>
  <c r="BN755" i="11"/>
  <c r="W756" i="11"/>
  <c r="AP755" i="11"/>
  <c r="AO755" i="11"/>
  <c r="AN755" i="11"/>
  <c r="Y755" i="11"/>
  <c r="AA755" i="11"/>
  <c r="BC755" i="11"/>
  <c r="BA755" i="11"/>
  <c r="BB755" i="11"/>
  <c r="BE755" i="11" s="1"/>
  <c r="DP755" i="11"/>
  <c r="DB755" i="11"/>
  <c r="DE755" i="11" s="1"/>
  <c r="DN755" i="11"/>
  <c r="X755" i="11"/>
  <c r="CM755" i="11"/>
  <c r="CN755" i="11"/>
  <c r="CO755" i="11"/>
  <c r="CS755" i="11" s="1"/>
  <c r="BZ755" i="11"/>
  <c r="DM755" i="11"/>
  <c r="CZ755" i="11"/>
  <c r="CP755" i="11"/>
  <c r="CA755" i="11"/>
  <c r="DA755" i="11"/>
  <c r="CB755" i="11"/>
  <c r="CF755" i="11" s="1"/>
  <c r="BM755" i="11"/>
  <c r="DC755" i="11"/>
  <c r="CC755" i="11"/>
  <c r="AM755" i="11"/>
  <c r="AZ755" i="11"/>
  <c r="C757" i="11"/>
  <c r="V757" i="11" l="1"/>
  <c r="A757" i="11"/>
  <c r="Z756" i="11"/>
  <c r="F756" i="11" s="1"/>
  <c r="EB756" i="11"/>
  <c r="AF756" i="11"/>
  <c r="B757" i="11"/>
  <c r="BD755" i="11"/>
  <c r="BG756" i="11"/>
  <c r="DT756" i="11"/>
  <c r="DG756" i="11"/>
  <c r="EG756" i="11"/>
  <c r="CG756" i="11"/>
  <c r="CT756" i="11"/>
  <c r="BT756" i="11"/>
  <c r="AT756" i="11"/>
  <c r="AE756" i="11"/>
  <c r="AG756" i="11"/>
  <c r="EL753" i="11"/>
  <c r="BY755" i="11"/>
  <c r="BW755" i="11"/>
  <c r="BX755" i="11"/>
  <c r="DK755" i="11"/>
  <c r="DJ755" i="11"/>
  <c r="DL755" i="11" s="1"/>
  <c r="CK755" i="11"/>
  <c r="CJ755" i="11"/>
  <c r="CL755" i="11" s="1"/>
  <c r="BK755" i="11"/>
  <c r="BL755" i="11" s="1"/>
  <c r="AJ754" i="11"/>
  <c r="AD754" i="11"/>
  <c r="AK754" i="11"/>
  <c r="M755" i="11"/>
  <c r="AL753" i="11"/>
  <c r="L755" i="11"/>
  <c r="AW754" i="11"/>
  <c r="AY754" i="11" s="1"/>
  <c r="AX754" i="11"/>
  <c r="EK754" i="11"/>
  <c r="EJ754" i="11"/>
  <c r="EL754" i="11" s="1"/>
  <c r="EE755" i="11"/>
  <c r="EF755" i="11" s="1"/>
  <c r="EH756" i="11"/>
  <c r="ED756" i="11"/>
  <c r="EA756" i="11"/>
  <c r="EI756" i="11"/>
  <c r="EC756" i="11"/>
  <c r="DZ756" i="11"/>
  <c r="BJ756" i="11"/>
  <c r="P757" i="11"/>
  <c r="BF755" i="11"/>
  <c r="BS755" i="11"/>
  <c r="CD755" i="11"/>
  <c r="AB756" i="11"/>
  <c r="CQ755" i="11"/>
  <c r="DF755" i="11"/>
  <c r="BQ755" i="11"/>
  <c r="DD755" i="11"/>
  <c r="AR755" i="11"/>
  <c r="AS755" i="11"/>
  <c r="AQ755" i="11"/>
  <c r="CE756" i="11"/>
  <c r="DV756" i="11"/>
  <c r="DU756" i="11"/>
  <c r="DH756" i="11"/>
  <c r="DI756" i="11"/>
  <c r="CR756" i="11"/>
  <c r="CU756" i="11"/>
  <c r="CV756" i="11"/>
  <c r="CI756" i="11"/>
  <c r="CH756" i="11"/>
  <c r="BU756" i="11"/>
  <c r="BV756" i="11"/>
  <c r="BH756" i="11"/>
  <c r="BI756" i="11"/>
  <c r="AU756" i="11"/>
  <c r="AV756" i="11"/>
  <c r="AH756" i="11"/>
  <c r="L756" i="11" s="1"/>
  <c r="AI756" i="11"/>
  <c r="AC756" i="11"/>
  <c r="BP756" i="11"/>
  <c r="BN756" i="11"/>
  <c r="BO756" i="11"/>
  <c r="BR756" i="11" s="1"/>
  <c r="AO756" i="11"/>
  <c r="AP756" i="11"/>
  <c r="AN756" i="11"/>
  <c r="AA756" i="11"/>
  <c r="Y756" i="11"/>
  <c r="BA756" i="11"/>
  <c r="BB756" i="11"/>
  <c r="BE756" i="11" s="1"/>
  <c r="BC756" i="11"/>
  <c r="DM756" i="11"/>
  <c r="DN756" i="11"/>
  <c r="CZ756" i="11"/>
  <c r="DP756" i="11"/>
  <c r="DB756" i="11"/>
  <c r="DE756" i="11" s="1"/>
  <c r="DC756" i="11"/>
  <c r="CP756" i="11"/>
  <c r="CA756" i="11"/>
  <c r="AM756" i="11"/>
  <c r="CB756" i="11"/>
  <c r="CD756" i="11" s="1"/>
  <c r="X756" i="11"/>
  <c r="CC756" i="11"/>
  <c r="CM756" i="11"/>
  <c r="CN756" i="11"/>
  <c r="BM756" i="11"/>
  <c r="DA756" i="11"/>
  <c r="CO756" i="11"/>
  <c r="CS756" i="11" s="1"/>
  <c r="BZ756" i="11"/>
  <c r="AZ756" i="11"/>
  <c r="W757" i="11"/>
  <c r="C758" i="11"/>
  <c r="V758" i="11" l="1"/>
  <c r="A758" i="11"/>
  <c r="EB757" i="11"/>
  <c r="ED757" i="11" s="1"/>
  <c r="Z757" i="11"/>
  <c r="F757" i="11" s="1"/>
  <c r="AF757" i="11"/>
  <c r="B758" i="11"/>
  <c r="BG757" i="11"/>
  <c r="BD756" i="11"/>
  <c r="EG757" i="11"/>
  <c r="DG757" i="11"/>
  <c r="CT757" i="11"/>
  <c r="DT757" i="11"/>
  <c r="CG757" i="11"/>
  <c r="BT757" i="11"/>
  <c r="AT757" i="11"/>
  <c r="AE757" i="11"/>
  <c r="AG757" i="11"/>
  <c r="BX756" i="11"/>
  <c r="BY756" i="11" s="1"/>
  <c r="BW756" i="11"/>
  <c r="CX756" i="11"/>
  <c r="CY756" i="11"/>
  <c r="CW756" i="11"/>
  <c r="BL756" i="11"/>
  <c r="DK756" i="11"/>
  <c r="DJ756" i="11"/>
  <c r="DL756" i="11" s="1"/>
  <c r="CK756" i="11"/>
  <c r="CJ756" i="11"/>
  <c r="CL756" i="11" s="1"/>
  <c r="EJ755" i="11"/>
  <c r="EK755" i="11"/>
  <c r="EL755" i="11" s="1"/>
  <c r="M756" i="11"/>
  <c r="BK756" i="11"/>
  <c r="AD755" i="11"/>
  <c r="AJ755" i="11"/>
  <c r="AK755" i="11"/>
  <c r="AL755" i="11"/>
  <c r="AX755" i="11"/>
  <c r="AW755" i="11"/>
  <c r="AY755" i="11"/>
  <c r="AL754" i="11"/>
  <c r="EE756" i="11"/>
  <c r="EC757" i="11"/>
  <c r="DZ757" i="11"/>
  <c r="EA757" i="11"/>
  <c r="EI757" i="11"/>
  <c r="EH757" i="11"/>
  <c r="DJ757" i="11"/>
  <c r="DL757" i="11" s="1"/>
  <c r="P758" i="11"/>
  <c r="CQ756" i="11"/>
  <c r="BS756" i="11"/>
  <c r="CF756" i="11"/>
  <c r="AB757" i="11"/>
  <c r="DD756" i="11"/>
  <c r="BF756" i="11"/>
  <c r="DF756" i="11"/>
  <c r="BQ756" i="11"/>
  <c r="AR756" i="11"/>
  <c r="AS756" i="11"/>
  <c r="AQ756" i="11"/>
  <c r="CE757" i="11"/>
  <c r="DU757" i="11"/>
  <c r="DV757" i="11"/>
  <c r="DH757" i="11"/>
  <c r="DI757" i="11"/>
  <c r="DK757" i="11"/>
  <c r="CR757" i="11"/>
  <c r="CV757" i="11"/>
  <c r="CU757" i="11"/>
  <c r="CI757" i="11"/>
  <c r="CH757" i="11"/>
  <c r="CK757" i="11"/>
  <c r="BU757" i="11"/>
  <c r="BV757" i="11"/>
  <c r="BW757" i="11"/>
  <c r="BH757" i="11"/>
  <c r="BI757" i="11"/>
  <c r="AU757" i="11"/>
  <c r="AV757" i="11"/>
  <c r="AH757" i="11"/>
  <c r="AI757" i="11"/>
  <c r="M757" i="11" s="1"/>
  <c r="AC757" i="11"/>
  <c r="BN757" i="11"/>
  <c r="BO757" i="11"/>
  <c r="BR757" i="11" s="1"/>
  <c r="BP757" i="11"/>
  <c r="AN757" i="11"/>
  <c r="AO757" i="11"/>
  <c r="AP757" i="11"/>
  <c r="Y757" i="11"/>
  <c r="AA757" i="11"/>
  <c r="BA757" i="11"/>
  <c r="BC757" i="11"/>
  <c r="BB757" i="11"/>
  <c r="BE757" i="11" s="1"/>
  <c r="DP757" i="11"/>
  <c r="DB757" i="11"/>
  <c r="DE757" i="11" s="1"/>
  <c r="DN757" i="11"/>
  <c r="AZ757" i="11"/>
  <c r="CZ757" i="11"/>
  <c r="CM757" i="11"/>
  <c r="AM757" i="11"/>
  <c r="DA757" i="11"/>
  <c r="CN757" i="11"/>
  <c r="X757" i="11"/>
  <c r="DC757" i="11"/>
  <c r="CO757" i="11"/>
  <c r="CS757" i="11" s="1"/>
  <c r="BZ757" i="11"/>
  <c r="CP757" i="11"/>
  <c r="CA757" i="11"/>
  <c r="DM757" i="11"/>
  <c r="CB757" i="11"/>
  <c r="CD757" i="11" s="1"/>
  <c r="CC757" i="11"/>
  <c r="BM757" i="11"/>
  <c r="W758" i="11"/>
  <c r="C759" i="11"/>
  <c r="V759" i="11" l="1"/>
  <c r="A759" i="11"/>
  <c r="Z758" i="11"/>
  <c r="F758" i="11" s="1"/>
  <c r="EB758" i="11"/>
  <c r="ED758" i="11" s="1"/>
  <c r="AF758" i="11"/>
  <c r="B759" i="11"/>
  <c r="BG758" i="11"/>
  <c r="BD757" i="11"/>
  <c r="DT758" i="11"/>
  <c r="EG758" i="11"/>
  <c r="DG758" i="11"/>
  <c r="CT758" i="11"/>
  <c r="CG758" i="11"/>
  <c r="BT758" i="11"/>
  <c r="AT758" i="11"/>
  <c r="AE758" i="11"/>
  <c r="AG758" i="11"/>
  <c r="EK756" i="11"/>
  <c r="EJ756" i="11"/>
  <c r="EF756" i="11"/>
  <c r="BK757" i="11"/>
  <c r="BL757" i="11" s="1"/>
  <c r="BJ757" i="11"/>
  <c r="CW757" i="11"/>
  <c r="CX757" i="11"/>
  <c r="CY757" i="11"/>
  <c r="L757" i="11"/>
  <c r="CJ757" i="11"/>
  <c r="CL757" i="11" s="1"/>
  <c r="AW756" i="11"/>
  <c r="AY756" i="11" s="1"/>
  <c r="AX756" i="11"/>
  <c r="BX757" i="11"/>
  <c r="BY757" i="11" s="1"/>
  <c r="AL756" i="11"/>
  <c r="AD756" i="11"/>
  <c r="AJ756" i="11"/>
  <c r="AK756" i="11"/>
  <c r="EA758" i="11"/>
  <c r="EI758" i="11"/>
  <c r="EH758" i="11"/>
  <c r="EC758" i="11"/>
  <c r="DZ758" i="11"/>
  <c r="EE757" i="11"/>
  <c r="BX758" i="11"/>
  <c r="P759" i="11"/>
  <c r="CQ757" i="11"/>
  <c r="BS757" i="11"/>
  <c r="CF757" i="11"/>
  <c r="AB758" i="11"/>
  <c r="DD757" i="11"/>
  <c r="BF757" i="11"/>
  <c r="DF757" i="11"/>
  <c r="BQ757" i="11"/>
  <c r="AR757" i="11"/>
  <c r="AQ757" i="11"/>
  <c r="AS757" i="11"/>
  <c r="CE758" i="11"/>
  <c r="DU758" i="11"/>
  <c r="DV758" i="11"/>
  <c r="DH758" i="11"/>
  <c r="DI758" i="11"/>
  <c r="CV758" i="11"/>
  <c r="CR758" i="11"/>
  <c r="CU758" i="11"/>
  <c r="CI758" i="11"/>
  <c r="CH758" i="11"/>
  <c r="BU758" i="11"/>
  <c r="BV758" i="11"/>
  <c r="BH758" i="11"/>
  <c r="BI758" i="11"/>
  <c r="AV758" i="11"/>
  <c r="AU758" i="11"/>
  <c r="AH758" i="11"/>
  <c r="AI758" i="11"/>
  <c r="BN758" i="11"/>
  <c r="BO758" i="11"/>
  <c r="BR758" i="11" s="1"/>
  <c r="BP758" i="11"/>
  <c r="AO758" i="11"/>
  <c r="AP758" i="11"/>
  <c r="AN758" i="11"/>
  <c r="Y758" i="11"/>
  <c r="AA758" i="11"/>
  <c r="AC758" i="11"/>
  <c r="BC758" i="11"/>
  <c r="BA758" i="11"/>
  <c r="BB758" i="11"/>
  <c r="BE758" i="11" s="1"/>
  <c r="DM758" i="11"/>
  <c r="DN758" i="11"/>
  <c r="CZ758" i="11"/>
  <c r="DP758" i="11"/>
  <c r="DB758" i="11"/>
  <c r="DE758" i="11" s="1"/>
  <c r="CP758" i="11"/>
  <c r="CA758" i="11"/>
  <c r="BM758" i="11"/>
  <c r="CB758" i="11"/>
  <c r="CF758" i="11" s="1"/>
  <c r="AZ758" i="11"/>
  <c r="CC758" i="11"/>
  <c r="AM758" i="11"/>
  <c r="X758" i="11"/>
  <c r="DA758" i="11"/>
  <c r="DC758" i="11"/>
  <c r="CM758" i="11"/>
  <c r="CN758" i="11"/>
  <c r="CO758" i="11"/>
  <c r="CS758" i="11" s="1"/>
  <c r="BZ758" i="11"/>
  <c r="W759" i="11"/>
  <c r="C760" i="11"/>
  <c r="V760" i="11" l="1"/>
  <c r="A760" i="11"/>
  <c r="EB759" i="11"/>
  <c r="ED759" i="11" s="1"/>
  <c r="Z759" i="11"/>
  <c r="F759" i="11" s="1"/>
  <c r="AF759" i="11"/>
  <c r="B760" i="11"/>
  <c r="BG759" i="11"/>
  <c r="BD758" i="11"/>
  <c r="EG759" i="11"/>
  <c r="DT759" i="11"/>
  <c r="DG759" i="11"/>
  <c r="CT759" i="11"/>
  <c r="BT759" i="11"/>
  <c r="CG759" i="11"/>
  <c r="AT759" i="11"/>
  <c r="AE759" i="11"/>
  <c r="AG759" i="11"/>
  <c r="EL756" i="11"/>
  <c r="DK758" i="11"/>
  <c r="DL758" i="11"/>
  <c r="DJ758" i="11"/>
  <c r="CW758" i="11"/>
  <c r="CY758" i="11"/>
  <c r="CX758" i="11"/>
  <c r="BJ758" i="11"/>
  <c r="BL758" i="11" s="1"/>
  <c r="BK758" i="11"/>
  <c r="CK758" i="11"/>
  <c r="CL758" i="11"/>
  <c r="CJ758" i="11"/>
  <c r="BW758" i="11"/>
  <c r="BY758" i="11" s="1"/>
  <c r="EK757" i="11"/>
  <c r="EJ757" i="11"/>
  <c r="EF757" i="11"/>
  <c r="M758" i="11"/>
  <c r="AJ757" i="11"/>
  <c r="AK757" i="11"/>
  <c r="AD757" i="11"/>
  <c r="AL757" i="11"/>
  <c r="L758" i="11"/>
  <c r="AW757" i="11"/>
  <c r="AY757" i="11" s="1"/>
  <c r="AX757" i="11"/>
  <c r="EE758" i="11"/>
  <c r="EC759" i="11"/>
  <c r="EI759" i="11"/>
  <c r="EH759" i="11"/>
  <c r="EA759" i="11"/>
  <c r="DZ759" i="11"/>
  <c r="P760" i="11"/>
  <c r="CD758" i="11"/>
  <c r="CQ758" i="11"/>
  <c r="BF758" i="11"/>
  <c r="DD758" i="11"/>
  <c r="DF758" i="11"/>
  <c r="AB759" i="11"/>
  <c r="BQ758" i="11"/>
  <c r="BS758" i="11"/>
  <c r="AR758" i="11"/>
  <c r="AS758" i="11"/>
  <c r="AQ758" i="11"/>
  <c r="CE759" i="11"/>
  <c r="DU759" i="11"/>
  <c r="DV759" i="11"/>
  <c r="DH759" i="11"/>
  <c r="DI759" i="11"/>
  <c r="CU759" i="11"/>
  <c r="CV759" i="11"/>
  <c r="CR759" i="11"/>
  <c r="CI759" i="11"/>
  <c r="CH759" i="11"/>
  <c r="BU759" i="11"/>
  <c r="BV759" i="11"/>
  <c r="BH759" i="11"/>
  <c r="BI759" i="11"/>
  <c r="AU759" i="11"/>
  <c r="AV759" i="11"/>
  <c r="AC759" i="11"/>
  <c r="AH759" i="11"/>
  <c r="L759" i="11" s="1"/>
  <c r="AI759" i="11"/>
  <c r="M759" i="11" s="1"/>
  <c r="BO759" i="11"/>
  <c r="BR759" i="11" s="1"/>
  <c r="BP759" i="11"/>
  <c r="BN759" i="11"/>
  <c r="AN759" i="11"/>
  <c r="AO759" i="11"/>
  <c r="AP759" i="11"/>
  <c r="AA759" i="11"/>
  <c r="Y759" i="11"/>
  <c r="BA759" i="11"/>
  <c r="BC759" i="11"/>
  <c r="BB759" i="11"/>
  <c r="BE759" i="11" s="1"/>
  <c r="DP759" i="11"/>
  <c r="DB759" i="11"/>
  <c r="DE759" i="11" s="1"/>
  <c r="DN759" i="11"/>
  <c r="DC759" i="11"/>
  <c r="CM759" i="11"/>
  <c r="BM759" i="11"/>
  <c r="CN759" i="11"/>
  <c r="AZ759" i="11"/>
  <c r="CO759" i="11"/>
  <c r="CS759" i="11" s="1"/>
  <c r="BZ759" i="11"/>
  <c r="AM759" i="11"/>
  <c r="CP759" i="11"/>
  <c r="CA759" i="11"/>
  <c r="X759" i="11"/>
  <c r="CB759" i="11"/>
  <c r="CF759" i="11" s="1"/>
  <c r="DM759" i="11"/>
  <c r="CZ759" i="11"/>
  <c r="CC759" i="11"/>
  <c r="DA759" i="11"/>
  <c r="W760" i="11"/>
  <c r="C761" i="11"/>
  <c r="V761" i="11" l="1"/>
  <c r="A761" i="11"/>
  <c r="Z760" i="11"/>
  <c r="F760" i="11" s="1"/>
  <c r="EB760" i="11"/>
  <c r="ED760" i="11" s="1"/>
  <c r="AF760" i="11"/>
  <c r="B761" i="11"/>
  <c r="BG760" i="11"/>
  <c r="BD759" i="11"/>
  <c r="DG760" i="11"/>
  <c r="EG760" i="11"/>
  <c r="DT760" i="11"/>
  <c r="CT760" i="11"/>
  <c r="CG760" i="11"/>
  <c r="BT760" i="11"/>
  <c r="AT760" i="11"/>
  <c r="AE760" i="11"/>
  <c r="AG760" i="11"/>
  <c r="EL757" i="11"/>
  <c r="EK758" i="11"/>
  <c r="EJ758" i="11"/>
  <c r="EF758" i="11"/>
  <c r="DJ759" i="11"/>
  <c r="DK759" i="11"/>
  <c r="DL759" i="11" s="1"/>
  <c r="CJ759" i="11"/>
  <c r="CL759" i="11" s="1"/>
  <c r="CK759" i="11"/>
  <c r="BW759" i="11"/>
  <c r="BY759" i="11"/>
  <c r="BX759" i="11"/>
  <c r="CW759" i="11"/>
  <c r="CY759" i="11" s="1"/>
  <c r="CX759" i="11"/>
  <c r="BK759" i="11"/>
  <c r="BJ759" i="11"/>
  <c r="BL759" i="11"/>
  <c r="AX758" i="11"/>
  <c r="AW758" i="11"/>
  <c r="AY758" i="11" s="1"/>
  <c r="AK758" i="11"/>
  <c r="AD758" i="11"/>
  <c r="AJ758" i="11"/>
  <c r="EE759" i="11"/>
  <c r="EH760" i="11"/>
  <c r="EA760" i="11"/>
  <c r="EI760" i="11"/>
  <c r="EC760" i="11"/>
  <c r="DZ760" i="11"/>
  <c r="P761" i="11"/>
  <c r="BF759" i="11"/>
  <c r="DD759" i="11"/>
  <c r="CQ759" i="11"/>
  <c r="AB760" i="11"/>
  <c r="AC760" i="11" s="1"/>
  <c r="DF759" i="11"/>
  <c r="BQ759" i="11"/>
  <c r="BS759" i="11"/>
  <c r="CD759" i="11"/>
  <c r="AR759" i="11"/>
  <c r="AS759" i="11"/>
  <c r="AQ759" i="11"/>
  <c r="CE760" i="11"/>
  <c r="DV760" i="11"/>
  <c r="DU760" i="11"/>
  <c r="DI760" i="11"/>
  <c r="DH760" i="11"/>
  <c r="CU760" i="11"/>
  <c r="CV760" i="11"/>
  <c r="CR760" i="11"/>
  <c r="CI760" i="11"/>
  <c r="CH760" i="11"/>
  <c r="BV760" i="11"/>
  <c r="BU760" i="11"/>
  <c r="AV760" i="11"/>
  <c r="BH760" i="11"/>
  <c r="BI760" i="11"/>
  <c r="AU760" i="11"/>
  <c r="AI760" i="11"/>
  <c r="AH760" i="11"/>
  <c r="L760" i="11" s="1"/>
  <c r="BN760" i="11"/>
  <c r="BP760" i="11"/>
  <c r="BO760" i="11"/>
  <c r="BR760" i="11" s="1"/>
  <c r="W761" i="11"/>
  <c r="AN760" i="11"/>
  <c r="AO760" i="11"/>
  <c r="AP760" i="11"/>
  <c r="Y760" i="11"/>
  <c r="AA760" i="11"/>
  <c r="BA760" i="11"/>
  <c r="BB760" i="11"/>
  <c r="BE760" i="11" s="1"/>
  <c r="BC760" i="11"/>
  <c r="DM760" i="11"/>
  <c r="DN760" i="11"/>
  <c r="CZ760" i="11"/>
  <c r="DP760" i="11"/>
  <c r="DB760" i="11"/>
  <c r="DE760" i="11" s="1"/>
  <c r="CP760" i="11"/>
  <c r="CA760" i="11"/>
  <c r="DA760" i="11"/>
  <c r="CB760" i="11"/>
  <c r="CF760" i="11" s="1"/>
  <c r="DC760" i="11"/>
  <c r="CC760" i="11"/>
  <c r="BM760" i="11"/>
  <c r="AZ760" i="11"/>
  <c r="AM760" i="11"/>
  <c r="CM760" i="11"/>
  <c r="CN760" i="11"/>
  <c r="CO760" i="11"/>
  <c r="CS760" i="11" s="1"/>
  <c r="BZ760" i="11"/>
  <c r="X760" i="11"/>
  <c r="C762" i="11"/>
  <c r="V762" i="11" l="1"/>
  <c r="A762" i="11"/>
  <c r="EB761" i="11"/>
  <c r="Z761" i="11"/>
  <c r="F761" i="11" s="1"/>
  <c r="AF761" i="11"/>
  <c r="B762" i="11"/>
  <c r="BG761" i="11"/>
  <c r="BD760" i="11"/>
  <c r="DT761" i="11"/>
  <c r="EG761" i="11"/>
  <c r="DG761" i="11"/>
  <c r="CG761" i="11"/>
  <c r="CT761" i="11"/>
  <c r="BT761" i="11"/>
  <c r="AT761" i="11"/>
  <c r="AE761" i="11"/>
  <c r="AG761" i="11"/>
  <c r="EL758" i="11"/>
  <c r="CJ760" i="11"/>
  <c r="CL760" i="11" s="1"/>
  <c r="CK760" i="11"/>
  <c r="CX760" i="11"/>
  <c r="CW760" i="11"/>
  <c r="CY760" i="11" s="1"/>
  <c r="EJ759" i="11"/>
  <c r="EK759" i="11"/>
  <c r="EF759" i="11"/>
  <c r="BX760" i="11"/>
  <c r="BW760" i="11"/>
  <c r="BY760" i="11" s="1"/>
  <c r="BK760" i="11"/>
  <c r="BJ760" i="11"/>
  <c r="BL760" i="11"/>
  <c r="DJ760" i="11"/>
  <c r="DK760" i="11"/>
  <c r="DL760" i="11" s="1"/>
  <c r="AW759" i="11"/>
  <c r="AX759" i="11"/>
  <c r="AY759" i="11" s="1"/>
  <c r="AL758" i="11"/>
  <c r="M760" i="11"/>
  <c r="AJ759" i="11"/>
  <c r="AL759" i="11" s="1"/>
  <c r="AD759" i="11"/>
  <c r="AK759" i="11"/>
  <c r="EE760" i="11"/>
  <c r="EF760" i="11" s="1"/>
  <c r="EC761" i="11"/>
  <c r="DZ761" i="11"/>
  <c r="EI761" i="11"/>
  <c r="EH761" i="11"/>
  <c r="ED761" i="11"/>
  <c r="EA761" i="11"/>
  <c r="P762" i="11"/>
  <c r="BS760" i="11"/>
  <c r="CD760" i="11"/>
  <c r="CQ760" i="11"/>
  <c r="AB761" i="11"/>
  <c r="BF760" i="11"/>
  <c r="DD760" i="11"/>
  <c r="DF760" i="11"/>
  <c r="BQ760" i="11"/>
  <c r="AR760" i="11"/>
  <c r="AS760" i="11"/>
  <c r="AQ760" i="11"/>
  <c r="CE761" i="11"/>
  <c r="DU761" i="11"/>
  <c r="DV761" i="11"/>
  <c r="DH761" i="11"/>
  <c r="DI761" i="11"/>
  <c r="CU761" i="11"/>
  <c r="CV761" i="11"/>
  <c r="CR761" i="11"/>
  <c r="CI761" i="11"/>
  <c r="CH761" i="11"/>
  <c r="BU761" i="11"/>
  <c r="BV761" i="11"/>
  <c r="BI761" i="11"/>
  <c r="BH761" i="11"/>
  <c r="AU761" i="11"/>
  <c r="AV761" i="11"/>
  <c r="AC761" i="11"/>
  <c r="AH761" i="11"/>
  <c r="L761" i="11" s="1"/>
  <c r="AI761" i="11"/>
  <c r="BN761" i="11"/>
  <c r="BO761" i="11"/>
  <c r="BR761" i="11" s="1"/>
  <c r="BP761" i="11"/>
  <c r="W762" i="11"/>
  <c r="AP761" i="11"/>
  <c r="AN761" i="11"/>
  <c r="AO761" i="11"/>
  <c r="AA761" i="11"/>
  <c r="Y761" i="11"/>
  <c r="BB761" i="11"/>
  <c r="BE761" i="11" s="1"/>
  <c r="BC761" i="11"/>
  <c r="BA761" i="11"/>
  <c r="DP761" i="11"/>
  <c r="DB761" i="11"/>
  <c r="DE761" i="11" s="1"/>
  <c r="DN761" i="11"/>
  <c r="CM761" i="11"/>
  <c r="CN761" i="11"/>
  <c r="CZ761" i="11"/>
  <c r="CO761" i="11"/>
  <c r="CQ761" i="11" s="1"/>
  <c r="BZ761" i="11"/>
  <c r="BM761" i="11"/>
  <c r="DA761" i="11"/>
  <c r="CP761" i="11"/>
  <c r="CA761" i="11"/>
  <c r="AZ761" i="11"/>
  <c r="DC761" i="11"/>
  <c r="CB761" i="11"/>
  <c r="CF761" i="11" s="1"/>
  <c r="CC761" i="11"/>
  <c r="DM761" i="11"/>
  <c r="AM761" i="11"/>
  <c r="X761" i="11"/>
  <c r="C763" i="11"/>
  <c r="V763" i="11" l="1"/>
  <c r="A763" i="11"/>
  <c r="EB762" i="11"/>
  <c r="ED762" i="11" s="1"/>
  <c r="Z762" i="11"/>
  <c r="F762" i="11" s="1"/>
  <c r="AF762" i="11"/>
  <c r="B763" i="11"/>
  <c r="BG762" i="11"/>
  <c r="BD761" i="11"/>
  <c r="EG762" i="11"/>
  <c r="DT762" i="11"/>
  <c r="DG762" i="11"/>
  <c r="CT762" i="11"/>
  <c r="BT762" i="11"/>
  <c r="CG762" i="11"/>
  <c r="AT762" i="11"/>
  <c r="AE762" i="11"/>
  <c r="AG762" i="11"/>
  <c r="EL759" i="11"/>
  <c r="DJ761" i="11"/>
  <c r="DL761" i="11" s="1"/>
  <c r="DK761" i="11"/>
  <c r="CJ761" i="11"/>
  <c r="CK761" i="11"/>
  <c r="CL761" i="11"/>
  <c r="CX761" i="11"/>
  <c r="CW761" i="11"/>
  <c r="CY761" i="11" s="1"/>
  <c r="BJ761" i="11"/>
  <c r="BL761" i="11" s="1"/>
  <c r="BK761" i="11"/>
  <c r="BX761" i="11"/>
  <c r="BY761" i="11"/>
  <c r="BW761" i="11"/>
  <c r="AK761" i="11"/>
  <c r="AD761" i="11"/>
  <c r="AJ761" i="11"/>
  <c r="AW760" i="11"/>
  <c r="AX760" i="11"/>
  <c r="AY760" i="11" s="1"/>
  <c r="M761" i="11"/>
  <c r="AJ760" i="11"/>
  <c r="AL760" i="11"/>
  <c r="AD760" i="11"/>
  <c r="AK760" i="11"/>
  <c r="EK760" i="11"/>
  <c r="EJ760" i="11"/>
  <c r="EA762" i="11"/>
  <c r="EI762" i="11"/>
  <c r="EH762" i="11"/>
  <c r="DZ762" i="11"/>
  <c r="EC762" i="11"/>
  <c r="EE761" i="11"/>
  <c r="EF761" i="11" s="1"/>
  <c r="BW762" i="11"/>
  <c r="P763" i="11"/>
  <c r="CD761" i="11"/>
  <c r="CS761" i="11"/>
  <c r="DD761" i="11"/>
  <c r="BF761" i="11"/>
  <c r="DF761" i="11"/>
  <c r="BQ761" i="11"/>
  <c r="BS761" i="11"/>
  <c r="AB762" i="11"/>
  <c r="AC762" i="11" s="1"/>
  <c r="AR761" i="11"/>
  <c r="AS761" i="11"/>
  <c r="AQ761" i="11"/>
  <c r="CE762" i="11"/>
  <c r="DU762" i="11"/>
  <c r="DV762" i="11"/>
  <c r="DH762" i="11"/>
  <c r="DI762" i="11"/>
  <c r="CR762" i="11"/>
  <c r="CU762" i="11"/>
  <c r="CV762" i="11"/>
  <c r="CI762" i="11"/>
  <c r="CH762" i="11"/>
  <c r="BU762" i="11"/>
  <c r="BV762" i="11"/>
  <c r="BI762" i="11"/>
  <c r="BH762" i="11"/>
  <c r="AU762" i="11"/>
  <c r="AV762" i="11"/>
  <c r="AI762" i="11"/>
  <c r="AH762" i="11"/>
  <c r="L762" i="11" s="1"/>
  <c r="BN762" i="11"/>
  <c r="BO762" i="11"/>
  <c r="BR762" i="11" s="1"/>
  <c r="BP762" i="11"/>
  <c r="W763" i="11"/>
  <c r="AN762" i="11"/>
  <c r="AO762" i="11"/>
  <c r="AP762" i="11"/>
  <c r="Y762" i="11"/>
  <c r="AA762" i="11"/>
  <c r="BA762" i="11"/>
  <c r="BB762" i="11"/>
  <c r="BE762" i="11" s="1"/>
  <c r="BC762" i="11"/>
  <c r="DM762" i="11"/>
  <c r="DN762" i="11"/>
  <c r="CZ762" i="11"/>
  <c r="DP762" i="11"/>
  <c r="DB762" i="11"/>
  <c r="DE762" i="11" s="1"/>
  <c r="CP762" i="11"/>
  <c r="CA762" i="11"/>
  <c r="CB762" i="11"/>
  <c r="CF762" i="11" s="1"/>
  <c r="CC762" i="11"/>
  <c r="BM762" i="11"/>
  <c r="CM762" i="11"/>
  <c r="AZ762" i="11"/>
  <c r="DA762" i="11"/>
  <c r="CN762" i="11"/>
  <c r="DC762" i="11"/>
  <c r="CO762" i="11"/>
  <c r="CS762" i="11" s="1"/>
  <c r="BZ762" i="11"/>
  <c r="X762" i="11"/>
  <c r="AM762" i="11"/>
  <c r="C764" i="11"/>
  <c r="V764" i="11" l="1"/>
  <c r="A764" i="11"/>
  <c r="EB763" i="11"/>
  <c r="ED763" i="11" s="1"/>
  <c r="Z763" i="11"/>
  <c r="F763" i="11" s="1"/>
  <c r="AF763" i="11"/>
  <c r="B764" i="11"/>
  <c r="BG763" i="11"/>
  <c r="BD762" i="11"/>
  <c r="DT763" i="11"/>
  <c r="EG763" i="11"/>
  <c r="CT763" i="11"/>
  <c r="BT763" i="11"/>
  <c r="CG763" i="11"/>
  <c r="DG763" i="11"/>
  <c r="AT763" i="11"/>
  <c r="AE763" i="11"/>
  <c r="AG763" i="11"/>
  <c r="EL760" i="11"/>
  <c r="CK762" i="11"/>
  <c r="CJ762" i="11"/>
  <c r="CL762" i="11" s="1"/>
  <c r="CW762" i="11"/>
  <c r="CY762" i="11" s="1"/>
  <c r="CX762" i="11"/>
  <c r="DJ762" i="11"/>
  <c r="DK762" i="11"/>
  <c r="DL762" i="11" s="1"/>
  <c r="BJ762" i="11"/>
  <c r="BK762" i="11"/>
  <c r="BL762" i="11" s="1"/>
  <c r="BX762" i="11"/>
  <c r="BY762" i="11" s="1"/>
  <c r="M762" i="11"/>
  <c r="AL761" i="11"/>
  <c r="EK761" i="11"/>
  <c r="EJ761" i="11"/>
  <c r="AW761" i="11"/>
  <c r="AX761" i="11"/>
  <c r="EE762" i="11"/>
  <c r="EC763" i="11"/>
  <c r="EH763" i="11"/>
  <c r="EA763" i="11"/>
  <c r="DZ763" i="11"/>
  <c r="EI763" i="11"/>
  <c r="BK763" i="11"/>
  <c r="P764" i="11"/>
  <c r="BF762" i="11"/>
  <c r="DD762" i="11"/>
  <c r="BQ762" i="11"/>
  <c r="BS762" i="11"/>
  <c r="CD762" i="11"/>
  <c r="AB763" i="11"/>
  <c r="CQ762" i="11"/>
  <c r="DF762" i="11"/>
  <c r="AR762" i="11"/>
  <c r="AS762" i="11"/>
  <c r="AQ762" i="11"/>
  <c r="CE763" i="11"/>
  <c r="DU763" i="11"/>
  <c r="DV763" i="11"/>
  <c r="DH763" i="11"/>
  <c r="DI763" i="11"/>
  <c r="CR763" i="11"/>
  <c r="CU763" i="11"/>
  <c r="CV763" i="11"/>
  <c r="CI763" i="11"/>
  <c r="CH763" i="11"/>
  <c r="BV763" i="11"/>
  <c r="BU763" i="11"/>
  <c r="BH763" i="11"/>
  <c r="BI763" i="11"/>
  <c r="BJ763" i="11"/>
  <c r="AU763" i="11"/>
  <c r="AV763" i="11"/>
  <c r="AH763" i="11"/>
  <c r="L763" i="11" s="1"/>
  <c r="AI763" i="11"/>
  <c r="BO763" i="11"/>
  <c r="BR763" i="11" s="1"/>
  <c r="BP763" i="11"/>
  <c r="BN763" i="11"/>
  <c r="AN763" i="11"/>
  <c r="AO763" i="11"/>
  <c r="AP763" i="11"/>
  <c r="AC763" i="11"/>
  <c r="Y763" i="11"/>
  <c r="AA763" i="11"/>
  <c r="BA763" i="11"/>
  <c r="BB763" i="11"/>
  <c r="BE763" i="11" s="1"/>
  <c r="BC763" i="11"/>
  <c r="DP763" i="11"/>
  <c r="DB763" i="11"/>
  <c r="DE763" i="11" s="1"/>
  <c r="DN763" i="11"/>
  <c r="DM763" i="11"/>
  <c r="CZ763" i="11"/>
  <c r="X763" i="11"/>
  <c r="DA763" i="11"/>
  <c r="CM763" i="11"/>
  <c r="DC763" i="11"/>
  <c r="CN763" i="11"/>
  <c r="CO763" i="11"/>
  <c r="CS763" i="11" s="1"/>
  <c r="BZ763" i="11"/>
  <c r="CP763" i="11"/>
  <c r="CA763" i="11"/>
  <c r="CB763" i="11"/>
  <c r="CF763" i="11" s="1"/>
  <c r="BM763" i="11"/>
  <c r="CC763" i="11"/>
  <c r="AM763" i="11"/>
  <c r="AZ763" i="11"/>
  <c r="W764" i="11"/>
  <c r="C765" i="11"/>
  <c r="V765" i="11" l="1"/>
  <c r="A765" i="11"/>
  <c r="Z764" i="11"/>
  <c r="F764" i="11" s="1"/>
  <c r="EB764" i="11"/>
  <c r="AF764" i="11"/>
  <c r="B765" i="11"/>
  <c r="BG764" i="11"/>
  <c r="BD763" i="11"/>
  <c r="DT764" i="11"/>
  <c r="EG764" i="11"/>
  <c r="DG764" i="11"/>
  <c r="CG764" i="11"/>
  <c r="CT764" i="11"/>
  <c r="BT764" i="11"/>
  <c r="AT764" i="11"/>
  <c r="AE764" i="11"/>
  <c r="AG764" i="11"/>
  <c r="EL761" i="11"/>
  <c r="CK763" i="11"/>
  <c r="CL763" i="11" s="1"/>
  <c r="CJ763" i="11"/>
  <c r="DJ763" i="11"/>
  <c r="DK763" i="11"/>
  <c r="DL763" i="11" s="1"/>
  <c r="BW763" i="11"/>
  <c r="BY763" i="11" s="1"/>
  <c r="BX763" i="11"/>
  <c r="EJ762" i="11"/>
  <c r="EK762" i="11"/>
  <c r="EL762" i="11" s="1"/>
  <c r="EF762" i="11"/>
  <c r="AX762" i="11"/>
  <c r="AW762" i="11"/>
  <c r="AY762" i="11" s="1"/>
  <c r="BL763" i="11"/>
  <c r="CW763" i="11"/>
  <c r="CY763" i="11" s="1"/>
  <c r="AY761" i="11"/>
  <c r="AJ762" i="11"/>
  <c r="AK762" i="11"/>
  <c r="AD762" i="11"/>
  <c r="CX763" i="11"/>
  <c r="M763" i="11"/>
  <c r="EE763" i="11"/>
  <c r="EF763" i="11" s="1"/>
  <c r="EH764" i="11"/>
  <c r="ED764" i="11"/>
  <c r="EA764" i="11"/>
  <c r="EI764" i="11"/>
  <c r="EC764" i="11"/>
  <c r="DZ764" i="11"/>
  <c r="BX764" i="11"/>
  <c r="BY764" i="11" s="1"/>
  <c r="AJ764" i="11"/>
  <c r="P765" i="11"/>
  <c r="CD763" i="11"/>
  <c r="CQ763" i="11"/>
  <c r="AB764" i="11"/>
  <c r="BQ763" i="11"/>
  <c r="DF763" i="11"/>
  <c r="DD763" i="11"/>
  <c r="BF763" i="11"/>
  <c r="BS763" i="11"/>
  <c r="AR763" i="11"/>
  <c r="AS763" i="11"/>
  <c r="AQ763" i="11"/>
  <c r="CE764" i="11"/>
  <c r="DV764" i="11"/>
  <c r="DU764" i="11"/>
  <c r="DH764" i="11"/>
  <c r="DI764" i="11"/>
  <c r="CR764" i="11"/>
  <c r="CV764" i="11"/>
  <c r="CU764" i="11"/>
  <c r="CI764" i="11"/>
  <c r="CH764" i="11"/>
  <c r="BU764" i="11"/>
  <c r="BV764" i="11"/>
  <c r="BW764" i="11"/>
  <c r="BH764" i="11"/>
  <c r="BI764" i="11"/>
  <c r="AU764" i="11"/>
  <c r="AV764" i="11"/>
  <c r="AH764" i="11"/>
  <c r="AI764" i="11"/>
  <c r="AC764" i="11"/>
  <c r="BP764" i="11"/>
  <c r="BN764" i="11"/>
  <c r="BO764" i="11"/>
  <c r="BR764" i="11" s="1"/>
  <c r="W765" i="11"/>
  <c r="AO764" i="11"/>
  <c r="AN764" i="11"/>
  <c r="AP764" i="11"/>
  <c r="AA764" i="11"/>
  <c r="Y764" i="11"/>
  <c r="BA764" i="11"/>
  <c r="BB764" i="11"/>
  <c r="BE764" i="11" s="1"/>
  <c r="BC764" i="11"/>
  <c r="DM764" i="11"/>
  <c r="DN764" i="11"/>
  <c r="CZ764" i="11"/>
  <c r="DP764" i="11"/>
  <c r="DB764" i="11"/>
  <c r="DE764" i="11" s="1"/>
  <c r="CP764" i="11"/>
  <c r="CA764" i="11"/>
  <c r="AM764" i="11"/>
  <c r="CB764" i="11"/>
  <c r="CD764" i="11" s="1"/>
  <c r="X764" i="11"/>
  <c r="CC764" i="11"/>
  <c r="DA764" i="11"/>
  <c r="DC764" i="11"/>
  <c r="CM764" i="11"/>
  <c r="CN764" i="11"/>
  <c r="BM764" i="11"/>
  <c r="CO764" i="11"/>
  <c r="CS764" i="11" s="1"/>
  <c r="BZ764" i="11"/>
  <c r="AZ764" i="11"/>
  <c r="C766" i="11"/>
  <c r="V766" i="11" l="1"/>
  <c r="A766" i="11"/>
  <c r="EB765" i="11"/>
  <c r="ED765" i="11" s="1"/>
  <c r="Z765" i="11"/>
  <c r="F765" i="11" s="1"/>
  <c r="AF765" i="11"/>
  <c r="B766" i="11"/>
  <c r="BG765" i="11"/>
  <c r="BD764" i="11"/>
  <c r="EG765" i="11"/>
  <c r="DG765" i="11"/>
  <c r="DT765" i="11"/>
  <c r="CT765" i="11"/>
  <c r="CG765" i="11"/>
  <c r="BT765" i="11"/>
  <c r="AT765" i="11"/>
  <c r="AE765" i="11"/>
  <c r="AG765" i="11"/>
  <c r="CK764" i="11"/>
  <c r="CJ764" i="11"/>
  <c r="CL764" i="11" s="1"/>
  <c r="BJ764" i="11"/>
  <c r="BL764" i="11" s="1"/>
  <c r="BK764" i="11"/>
  <c r="DJ764" i="11"/>
  <c r="DK764" i="11"/>
  <c r="DL764" i="11"/>
  <c r="CW764" i="11"/>
  <c r="CY764" i="11" s="1"/>
  <c r="CX764" i="11"/>
  <c r="AK764" i="11"/>
  <c r="M764" i="11"/>
  <c r="L764" i="11"/>
  <c r="AW763" i="11"/>
  <c r="AX763" i="11"/>
  <c r="AY763" i="11"/>
  <c r="AD764" i="11"/>
  <c r="EE764" i="11"/>
  <c r="EF764" i="11" s="1"/>
  <c r="EJ763" i="11"/>
  <c r="EK763" i="11"/>
  <c r="AL762" i="11"/>
  <c r="AD763" i="11"/>
  <c r="AJ763" i="11"/>
  <c r="AL763" i="11" s="1"/>
  <c r="AK763" i="11"/>
  <c r="EC765" i="11"/>
  <c r="DZ765" i="11"/>
  <c r="EI765" i="11"/>
  <c r="EH765" i="11"/>
  <c r="EA765" i="11"/>
  <c r="BW765" i="11"/>
  <c r="P766" i="11"/>
  <c r="AB765" i="11"/>
  <c r="AC765" i="11" s="1"/>
  <c r="BS764" i="11"/>
  <c r="CF764" i="11"/>
  <c r="CQ764" i="11"/>
  <c r="DD764" i="11"/>
  <c r="BF764" i="11"/>
  <c r="DF764" i="11"/>
  <c r="BQ764" i="11"/>
  <c r="AR764" i="11"/>
  <c r="AS764" i="11"/>
  <c r="AQ764" i="11"/>
  <c r="CE765" i="11"/>
  <c r="DU765" i="11"/>
  <c r="DV765" i="11"/>
  <c r="DI765" i="11"/>
  <c r="DH765" i="11"/>
  <c r="CR765" i="11"/>
  <c r="CV765" i="11"/>
  <c r="CU765" i="11"/>
  <c r="CI765" i="11"/>
  <c r="CH765" i="11"/>
  <c r="CK765" i="11"/>
  <c r="BU765" i="11"/>
  <c r="BV765" i="11"/>
  <c r="BH765" i="11"/>
  <c r="BI765" i="11"/>
  <c r="AU765" i="11"/>
  <c r="AV765" i="11"/>
  <c r="AH765" i="11"/>
  <c r="AI765" i="11"/>
  <c r="M765" i="11" s="1"/>
  <c r="BN765" i="11"/>
  <c r="BO765" i="11"/>
  <c r="BR765" i="11" s="1"/>
  <c r="BP765" i="11"/>
  <c r="W766" i="11"/>
  <c r="AP765" i="11"/>
  <c r="AN765" i="11"/>
  <c r="AO765" i="11"/>
  <c r="Y765" i="11"/>
  <c r="AA765" i="11"/>
  <c r="BA765" i="11"/>
  <c r="BB765" i="11"/>
  <c r="BE765" i="11" s="1"/>
  <c r="BC765" i="11"/>
  <c r="DP765" i="11"/>
  <c r="DB765" i="11"/>
  <c r="DE765" i="11" s="1"/>
  <c r="DN765" i="11"/>
  <c r="AZ765" i="11"/>
  <c r="DM765" i="11"/>
  <c r="CM765" i="11"/>
  <c r="AM765" i="11"/>
  <c r="CN765" i="11"/>
  <c r="X765" i="11"/>
  <c r="CO765" i="11"/>
  <c r="CS765" i="11" s="1"/>
  <c r="BZ765" i="11"/>
  <c r="CP765" i="11"/>
  <c r="CA765" i="11"/>
  <c r="CZ765" i="11"/>
  <c r="CB765" i="11"/>
  <c r="CF765" i="11" s="1"/>
  <c r="DA765" i="11"/>
  <c r="CC765" i="11"/>
  <c r="DC765" i="11"/>
  <c r="BM765" i="11"/>
  <c r="C767" i="11"/>
  <c r="V767" i="11" l="1"/>
  <c r="A767" i="11"/>
  <c r="EB766" i="11"/>
  <c r="Z766" i="11"/>
  <c r="F766" i="11" s="1"/>
  <c r="AF766" i="11"/>
  <c r="B767" i="11"/>
  <c r="BG766" i="11"/>
  <c r="BD765" i="11"/>
  <c r="DT766" i="11"/>
  <c r="EG766" i="11"/>
  <c r="DG766" i="11"/>
  <c r="CT766" i="11"/>
  <c r="CG766" i="11"/>
  <c r="BT766" i="11"/>
  <c r="AT766" i="11"/>
  <c r="AE766" i="11"/>
  <c r="AG766" i="11"/>
  <c r="EL763" i="11"/>
  <c r="BY765" i="11"/>
  <c r="DJ765" i="11"/>
  <c r="DL765" i="11" s="1"/>
  <c r="DK765" i="11"/>
  <c r="BJ765" i="11"/>
  <c r="BL765" i="11" s="1"/>
  <c r="BK765" i="11"/>
  <c r="CW765" i="11"/>
  <c r="CY765" i="11" s="1"/>
  <c r="CX765" i="11"/>
  <c r="CJ765" i="11"/>
  <c r="CL765" i="11" s="1"/>
  <c r="BX765" i="11"/>
  <c r="AL764" i="11"/>
  <c r="L765" i="11"/>
  <c r="AX764" i="11"/>
  <c r="AY764" i="11"/>
  <c r="AW764" i="11"/>
  <c r="EK764" i="11"/>
  <c r="EJ764" i="11"/>
  <c r="EA766" i="11"/>
  <c r="EI766" i="11"/>
  <c r="EH766" i="11"/>
  <c r="DZ766" i="11"/>
  <c r="EC766" i="11"/>
  <c r="ED766" i="11"/>
  <c r="EE765" i="11"/>
  <c r="AJ766" i="11"/>
  <c r="P767" i="11"/>
  <c r="CD765" i="11"/>
  <c r="BQ765" i="11"/>
  <c r="BS765" i="11"/>
  <c r="CQ765" i="11"/>
  <c r="AB766" i="11"/>
  <c r="DD765" i="11"/>
  <c r="BF765" i="11"/>
  <c r="DF765" i="11"/>
  <c r="AR765" i="11"/>
  <c r="AQ765" i="11"/>
  <c r="AS765" i="11"/>
  <c r="CE766" i="11"/>
  <c r="DU766" i="11"/>
  <c r="DV766" i="11"/>
  <c r="DH766" i="11"/>
  <c r="DI766" i="11"/>
  <c r="CV766" i="11"/>
  <c r="CR766" i="11"/>
  <c r="CU766" i="11"/>
  <c r="CI766" i="11"/>
  <c r="CH766" i="11"/>
  <c r="BU766" i="11"/>
  <c r="BV766" i="11"/>
  <c r="BH766" i="11"/>
  <c r="BI766" i="11"/>
  <c r="AU766" i="11"/>
  <c r="AV766" i="11"/>
  <c r="AC766" i="11"/>
  <c r="AH766" i="11"/>
  <c r="AI766" i="11"/>
  <c r="BN766" i="11"/>
  <c r="BO766" i="11"/>
  <c r="BR766" i="11" s="1"/>
  <c r="BP766" i="11"/>
  <c r="W767" i="11"/>
  <c r="AN766" i="11"/>
  <c r="AO766" i="11"/>
  <c r="Y766" i="11"/>
  <c r="AA766" i="11"/>
  <c r="AP766" i="11"/>
  <c r="BC766" i="11"/>
  <c r="BB766" i="11"/>
  <c r="BE766" i="11" s="1"/>
  <c r="BA766" i="11"/>
  <c r="DM766" i="11"/>
  <c r="DN766" i="11"/>
  <c r="CZ766" i="11"/>
  <c r="DP766" i="11"/>
  <c r="DB766" i="11"/>
  <c r="DE766" i="11" s="1"/>
  <c r="DA766" i="11"/>
  <c r="CP766" i="11"/>
  <c r="CA766" i="11"/>
  <c r="BM766" i="11"/>
  <c r="DC766" i="11"/>
  <c r="CB766" i="11"/>
  <c r="CD766" i="11" s="1"/>
  <c r="AZ766" i="11"/>
  <c r="CC766" i="11"/>
  <c r="AM766" i="11"/>
  <c r="X766" i="11"/>
  <c r="CM766" i="11"/>
  <c r="CN766" i="11"/>
  <c r="CO766" i="11"/>
  <c r="CS766" i="11" s="1"/>
  <c r="BZ766" i="11"/>
  <c r="C768" i="11"/>
  <c r="V768" i="11" l="1"/>
  <c r="A768" i="11"/>
  <c r="Z767" i="11"/>
  <c r="F767" i="11" s="1"/>
  <c r="EB767" i="11"/>
  <c r="ED767" i="11" s="1"/>
  <c r="AF767" i="11"/>
  <c r="B768" i="11"/>
  <c r="BG767" i="11"/>
  <c r="BD766" i="11"/>
  <c r="EG767" i="11"/>
  <c r="DT767" i="11"/>
  <c r="DG767" i="11"/>
  <c r="CT767" i="11"/>
  <c r="BT767" i="11"/>
  <c r="AT767" i="11"/>
  <c r="CG767" i="11"/>
  <c r="AE767" i="11"/>
  <c r="AG767" i="11"/>
  <c r="EL764" i="11"/>
  <c r="CJ766" i="11"/>
  <c r="CL766" i="11" s="1"/>
  <c r="CK766" i="11"/>
  <c r="CW766" i="11"/>
  <c r="CX766" i="11"/>
  <c r="CY766" i="11" s="1"/>
  <c r="BJ766" i="11"/>
  <c r="BL766" i="11" s="1"/>
  <c r="BK766" i="11"/>
  <c r="DJ766" i="11"/>
  <c r="DL766" i="11" s="1"/>
  <c r="DK766" i="11"/>
  <c r="BY766" i="11"/>
  <c r="BX766" i="11"/>
  <c r="BW766" i="11"/>
  <c r="AW765" i="11"/>
  <c r="AX765" i="11"/>
  <c r="AY765" i="11"/>
  <c r="EJ765" i="11"/>
  <c r="EK765" i="11"/>
  <c r="EF765" i="11"/>
  <c r="AJ765" i="11"/>
  <c r="AK765" i="11"/>
  <c r="AD765" i="11"/>
  <c r="AK766" i="11"/>
  <c r="M766" i="11"/>
  <c r="L766" i="11"/>
  <c r="AD766" i="11"/>
  <c r="EC767" i="11"/>
  <c r="EA767" i="11"/>
  <c r="DZ767" i="11"/>
  <c r="EI767" i="11"/>
  <c r="EH767" i="11"/>
  <c r="EE766" i="11"/>
  <c r="EF766" i="11" s="1"/>
  <c r="CX767" i="11"/>
  <c r="AJ767" i="11"/>
  <c r="P768" i="11"/>
  <c r="CF766" i="11"/>
  <c r="CQ766" i="11"/>
  <c r="BF766" i="11"/>
  <c r="DD766" i="11"/>
  <c r="DF766" i="11"/>
  <c r="BQ766" i="11"/>
  <c r="BS766" i="11"/>
  <c r="AB767" i="11"/>
  <c r="AD767" i="11"/>
  <c r="AR766" i="11"/>
  <c r="AS766" i="11"/>
  <c r="AQ766" i="11"/>
  <c r="CE767" i="11"/>
  <c r="DU767" i="11"/>
  <c r="DV767" i="11"/>
  <c r="DH767" i="11"/>
  <c r="DI767" i="11"/>
  <c r="CU767" i="11"/>
  <c r="CV767" i="11"/>
  <c r="CW767" i="11"/>
  <c r="CR767" i="11"/>
  <c r="CI767" i="11"/>
  <c r="CH767" i="11"/>
  <c r="BU767" i="11"/>
  <c r="BV767" i="11"/>
  <c r="BH767" i="11"/>
  <c r="BI767" i="11"/>
  <c r="AU767" i="11"/>
  <c r="AV767" i="11"/>
  <c r="AC767" i="11"/>
  <c r="AH767" i="11"/>
  <c r="AI767" i="11"/>
  <c r="AK767" i="11"/>
  <c r="BO767" i="11"/>
  <c r="BR767" i="11" s="1"/>
  <c r="BN767" i="11"/>
  <c r="BP767" i="11"/>
  <c r="W768" i="11"/>
  <c r="AN767" i="11"/>
  <c r="AO767" i="11"/>
  <c r="AA767" i="11"/>
  <c r="Y767" i="11"/>
  <c r="AP767" i="11"/>
  <c r="BA767" i="11"/>
  <c r="BB767" i="11"/>
  <c r="BE767" i="11" s="1"/>
  <c r="BC767" i="11"/>
  <c r="DP767" i="11"/>
  <c r="DB767" i="11"/>
  <c r="DE767" i="11" s="1"/>
  <c r="DN767" i="11"/>
  <c r="CM767" i="11"/>
  <c r="BM767" i="11"/>
  <c r="DM767" i="11"/>
  <c r="CZ767" i="11"/>
  <c r="CN767" i="11"/>
  <c r="AZ767" i="11"/>
  <c r="DA767" i="11"/>
  <c r="CO767" i="11"/>
  <c r="CS767" i="11" s="1"/>
  <c r="BZ767" i="11"/>
  <c r="AM767" i="11"/>
  <c r="DC767" i="11"/>
  <c r="CP767" i="11"/>
  <c r="CA767" i="11"/>
  <c r="X767" i="11"/>
  <c r="CB767" i="11"/>
  <c r="CD767" i="11" s="1"/>
  <c r="CC767" i="11"/>
  <c r="C769" i="11"/>
  <c r="V769" i="11" l="1"/>
  <c r="A769" i="11"/>
  <c r="EB768" i="11"/>
  <c r="ED768" i="11" s="1"/>
  <c r="Z768" i="11"/>
  <c r="F768" i="11" s="1"/>
  <c r="AF768" i="11"/>
  <c r="B769" i="11"/>
  <c r="BG768" i="11"/>
  <c r="BD767" i="11"/>
  <c r="EG768" i="11"/>
  <c r="DT768" i="11"/>
  <c r="DG768" i="11"/>
  <c r="CT768" i="11"/>
  <c r="CG768" i="11"/>
  <c r="BT768" i="11"/>
  <c r="AT768" i="11"/>
  <c r="AE768" i="11"/>
  <c r="AG768" i="11"/>
  <c r="EL765" i="11"/>
  <c r="BK767" i="11"/>
  <c r="BL767" i="11" s="1"/>
  <c r="BJ767" i="11"/>
  <c r="CJ767" i="11"/>
  <c r="CL767" i="11" s="1"/>
  <c r="CK767" i="11"/>
  <c r="DK767" i="11"/>
  <c r="DJ767" i="11"/>
  <c r="DL767" i="11" s="1"/>
  <c r="BW767" i="11"/>
  <c r="BY767" i="11" s="1"/>
  <c r="BX767" i="11"/>
  <c r="AL767" i="11"/>
  <c r="M767" i="11"/>
  <c r="L767" i="11"/>
  <c r="CY767" i="11"/>
  <c r="AW766" i="11"/>
  <c r="AY766" i="11" s="1"/>
  <c r="AX766" i="11"/>
  <c r="AL765" i="11"/>
  <c r="EK766" i="11"/>
  <c r="EJ766" i="11"/>
  <c r="AL766" i="11"/>
  <c r="EH768" i="11"/>
  <c r="EA768" i="11"/>
  <c r="EI768" i="11"/>
  <c r="EC768" i="11"/>
  <c r="DZ768" i="11"/>
  <c r="EE767" i="11"/>
  <c r="P769" i="11"/>
  <c r="CQ767" i="11"/>
  <c r="DF767" i="11"/>
  <c r="BQ767" i="11"/>
  <c r="BS767" i="11"/>
  <c r="CF767" i="11"/>
  <c r="AB768" i="11"/>
  <c r="AC768" i="11" s="1"/>
  <c r="BF767" i="11"/>
  <c r="DD767" i="11"/>
  <c r="AR767" i="11"/>
  <c r="AS767" i="11"/>
  <c r="AQ767" i="11"/>
  <c r="CE768" i="11"/>
  <c r="DV768" i="11"/>
  <c r="DU768" i="11"/>
  <c r="DH768" i="11"/>
  <c r="DI768" i="11"/>
  <c r="CU768" i="11"/>
  <c r="CV768" i="11"/>
  <c r="CR768" i="11"/>
  <c r="CI768" i="11"/>
  <c r="CH768" i="11"/>
  <c r="BV768" i="11"/>
  <c r="BU768" i="11"/>
  <c r="BI768" i="11"/>
  <c r="AV768" i="11"/>
  <c r="BH768" i="11"/>
  <c r="AI768" i="11"/>
  <c r="AU768" i="11"/>
  <c r="AH768" i="11"/>
  <c r="BN768" i="11"/>
  <c r="BP768" i="11"/>
  <c r="BO768" i="11"/>
  <c r="BR768" i="11" s="1"/>
  <c r="AO768" i="11"/>
  <c r="AP768" i="11"/>
  <c r="AN768" i="11"/>
  <c r="Y768" i="11"/>
  <c r="AA768" i="11"/>
  <c r="BB768" i="11"/>
  <c r="BE768" i="11" s="1"/>
  <c r="BC768" i="11"/>
  <c r="BA768" i="11"/>
  <c r="DM768" i="11"/>
  <c r="DN768" i="11"/>
  <c r="CZ768" i="11"/>
  <c r="DP768" i="11"/>
  <c r="CP768" i="11"/>
  <c r="CA768" i="11"/>
  <c r="CB768" i="11"/>
  <c r="CF768" i="11" s="1"/>
  <c r="CC768" i="11"/>
  <c r="BM768" i="11"/>
  <c r="AZ768" i="11"/>
  <c r="AM768" i="11"/>
  <c r="DA768" i="11"/>
  <c r="CM768" i="11"/>
  <c r="DB768" i="11"/>
  <c r="DE768" i="11" s="1"/>
  <c r="CN768" i="11"/>
  <c r="DC768" i="11"/>
  <c r="CO768" i="11"/>
  <c r="CQ768" i="11" s="1"/>
  <c r="BZ768" i="11"/>
  <c r="X768" i="11"/>
  <c r="W769" i="11"/>
  <c r="C770" i="11"/>
  <c r="V770" i="11" l="1"/>
  <c r="A770" i="11"/>
  <c r="EB769" i="11"/>
  <c r="Z769" i="11"/>
  <c r="F769" i="11" s="1"/>
  <c r="AF769" i="11"/>
  <c r="B770" i="11"/>
  <c r="BG769" i="11"/>
  <c r="BD768" i="11"/>
  <c r="DT769" i="11"/>
  <c r="EG769" i="11"/>
  <c r="DG769" i="11"/>
  <c r="CG769" i="11"/>
  <c r="CT769" i="11"/>
  <c r="BT769" i="11"/>
  <c r="AT769" i="11"/>
  <c r="AE769" i="11"/>
  <c r="AG769" i="11"/>
  <c r="EL766" i="11"/>
  <c r="EK767" i="11"/>
  <c r="EJ767" i="11"/>
  <c r="EL767" i="11" s="1"/>
  <c r="EF767" i="11"/>
  <c r="BJ768" i="11"/>
  <c r="BK768" i="11"/>
  <c r="BL768" i="11" s="1"/>
  <c r="CW768" i="11"/>
  <c r="CX768" i="11"/>
  <c r="CY768" i="11" s="1"/>
  <c r="DK768" i="11"/>
  <c r="DL768" i="11"/>
  <c r="DJ768" i="11"/>
  <c r="CJ768" i="11"/>
  <c r="CL768" i="11" s="1"/>
  <c r="CK768" i="11"/>
  <c r="BW768" i="11"/>
  <c r="BY768" i="11" s="1"/>
  <c r="BX768" i="11"/>
  <c r="AW767" i="11"/>
  <c r="AY767" i="11" s="1"/>
  <c r="AX767" i="11"/>
  <c r="L768" i="11"/>
  <c r="M768" i="11"/>
  <c r="EE768" i="11"/>
  <c r="EC769" i="11"/>
  <c r="DZ769" i="11"/>
  <c r="EI769" i="11"/>
  <c r="EH769" i="11"/>
  <c r="ED769" i="11"/>
  <c r="EA769" i="11"/>
  <c r="CX769" i="11"/>
  <c r="P770" i="11"/>
  <c r="CD768" i="11"/>
  <c r="BF768" i="11"/>
  <c r="CS768" i="11"/>
  <c r="DD768" i="11"/>
  <c r="DF768" i="11"/>
  <c r="BQ768" i="11"/>
  <c r="BS768" i="11"/>
  <c r="AB769" i="11"/>
  <c r="AC769" i="11" s="1"/>
  <c r="AR768" i="11"/>
  <c r="AS768" i="11"/>
  <c r="AQ768" i="11"/>
  <c r="CE769" i="11"/>
  <c r="DU769" i="11"/>
  <c r="DV769" i="11"/>
  <c r="DH769" i="11"/>
  <c r="DI769" i="11"/>
  <c r="CU769" i="11"/>
  <c r="CV769" i="11"/>
  <c r="CW769" i="11"/>
  <c r="CY769" i="11" s="1"/>
  <c r="CR769" i="11"/>
  <c r="CI769" i="11"/>
  <c r="CH769" i="11"/>
  <c r="BU769" i="11"/>
  <c r="BV769" i="11"/>
  <c r="BI769" i="11"/>
  <c r="AV769" i="11"/>
  <c r="BH769" i="11"/>
  <c r="AU769" i="11"/>
  <c r="AH769" i="11"/>
  <c r="AI769" i="11"/>
  <c r="BN769" i="11"/>
  <c r="BO769" i="11"/>
  <c r="BR769" i="11" s="1"/>
  <c r="BP769" i="11"/>
  <c r="W770" i="11"/>
  <c r="AP769" i="11"/>
  <c r="AN769" i="11"/>
  <c r="AO769" i="11"/>
  <c r="AA769" i="11"/>
  <c r="Y769" i="11"/>
  <c r="BB769" i="11"/>
  <c r="BE769" i="11" s="1"/>
  <c r="BC769" i="11"/>
  <c r="BA769" i="11"/>
  <c r="DP769" i="11"/>
  <c r="DB769" i="11"/>
  <c r="DE769" i="11" s="1"/>
  <c r="DN769" i="11"/>
  <c r="CZ769" i="11"/>
  <c r="DA769" i="11"/>
  <c r="CM769" i="11"/>
  <c r="DC769" i="11"/>
  <c r="CN769" i="11"/>
  <c r="DM769" i="11"/>
  <c r="CO769" i="11"/>
  <c r="CQ769" i="11" s="1"/>
  <c r="BZ769" i="11"/>
  <c r="BM769" i="11"/>
  <c r="CP769" i="11"/>
  <c r="CA769" i="11"/>
  <c r="AZ769" i="11"/>
  <c r="CB769" i="11"/>
  <c r="CF769" i="11" s="1"/>
  <c r="CC769" i="11"/>
  <c r="X769" i="11"/>
  <c r="AM769" i="11"/>
  <c r="C771" i="11"/>
  <c r="V771" i="11" l="1"/>
  <c r="A771" i="11"/>
  <c r="EB770" i="11"/>
  <c r="ED770" i="11" s="1"/>
  <c r="Z770" i="11"/>
  <c r="F770" i="11" s="1"/>
  <c r="AF770" i="11"/>
  <c r="B771" i="11"/>
  <c r="BG770" i="11"/>
  <c r="BD769" i="11"/>
  <c r="EG770" i="11"/>
  <c r="DT770" i="11"/>
  <c r="DG770" i="11"/>
  <c r="CT770" i="11"/>
  <c r="BT770" i="11"/>
  <c r="CG770" i="11"/>
  <c r="AT770" i="11"/>
  <c r="AE770" i="11"/>
  <c r="AG770" i="11"/>
  <c r="BK769" i="11"/>
  <c r="BL769" i="11"/>
  <c r="BJ769" i="11"/>
  <c r="BX769" i="11"/>
  <c r="BW769" i="11"/>
  <c r="BY769" i="11" s="1"/>
  <c r="DK769" i="11"/>
  <c r="DJ769" i="11"/>
  <c r="DL769" i="11" s="1"/>
  <c r="CK769" i="11"/>
  <c r="CL769" i="11"/>
  <c r="CJ769" i="11"/>
  <c r="L769" i="11"/>
  <c r="M769" i="11"/>
  <c r="AX768" i="11"/>
  <c r="AW768" i="11"/>
  <c r="AY768" i="11" s="1"/>
  <c r="EK768" i="11"/>
  <c r="EJ768" i="11"/>
  <c r="EF768" i="11"/>
  <c r="AL768" i="11"/>
  <c r="AJ768" i="11"/>
  <c r="AD768" i="11"/>
  <c r="AK768" i="11"/>
  <c r="EA770" i="11"/>
  <c r="EI770" i="11"/>
  <c r="EH770" i="11"/>
  <c r="EC770" i="11"/>
  <c r="DZ770" i="11"/>
  <c r="EE769" i="11"/>
  <c r="EF769" i="11" s="1"/>
  <c r="CW770" i="11"/>
  <c r="BJ770" i="11"/>
  <c r="P771" i="11"/>
  <c r="BQ769" i="11"/>
  <c r="CS769" i="11"/>
  <c r="DD769" i="11"/>
  <c r="BF769" i="11"/>
  <c r="DF769" i="11"/>
  <c r="BS769" i="11"/>
  <c r="AB770" i="11"/>
  <c r="AC770" i="11" s="1"/>
  <c r="CD769" i="11"/>
  <c r="AR769" i="11"/>
  <c r="AS769" i="11"/>
  <c r="AQ769" i="11"/>
  <c r="CE770" i="11"/>
  <c r="DU770" i="11"/>
  <c r="DV770" i="11"/>
  <c r="DI770" i="11"/>
  <c r="DH770" i="11"/>
  <c r="CR770" i="11"/>
  <c r="CU770" i="11"/>
  <c r="CV770" i="11"/>
  <c r="CI770" i="11"/>
  <c r="BW770" i="11"/>
  <c r="BY770" i="11" s="1"/>
  <c r="CH770" i="11"/>
  <c r="BX770" i="11"/>
  <c r="BU770" i="11"/>
  <c r="BV770" i="11"/>
  <c r="BI770" i="11"/>
  <c r="BH770" i="11"/>
  <c r="AU770" i="11"/>
  <c r="AV770" i="11"/>
  <c r="AI770" i="11"/>
  <c r="AH770" i="11"/>
  <c r="BN770" i="11"/>
  <c r="BP770" i="11"/>
  <c r="BO770" i="11"/>
  <c r="BR770" i="11" s="1"/>
  <c r="W771" i="11"/>
  <c r="AN770" i="11"/>
  <c r="AP770" i="11"/>
  <c r="Y770" i="11"/>
  <c r="AA770" i="11"/>
  <c r="AO770" i="11"/>
  <c r="BB770" i="11"/>
  <c r="BE770" i="11" s="1"/>
  <c r="BC770" i="11"/>
  <c r="BA770" i="11"/>
  <c r="DM770" i="11"/>
  <c r="DN770" i="11"/>
  <c r="CZ770" i="11"/>
  <c r="DP770" i="11"/>
  <c r="CP770" i="11"/>
  <c r="CA770" i="11"/>
  <c r="CB770" i="11"/>
  <c r="CD770" i="11" s="1"/>
  <c r="CC770" i="11"/>
  <c r="DA770" i="11"/>
  <c r="DB770" i="11"/>
  <c r="DE770" i="11" s="1"/>
  <c r="BM770" i="11"/>
  <c r="DC770" i="11"/>
  <c r="CM770" i="11"/>
  <c r="AZ770" i="11"/>
  <c r="CN770" i="11"/>
  <c r="CO770" i="11"/>
  <c r="CS770" i="11" s="1"/>
  <c r="BZ770" i="11"/>
  <c r="X770" i="11"/>
  <c r="AM770" i="11"/>
  <c r="C772" i="11"/>
  <c r="V772" i="11" l="1"/>
  <c r="A772" i="11"/>
  <c r="EB771" i="11"/>
  <c r="ED771" i="11" s="1"/>
  <c r="Z771" i="11"/>
  <c r="F771" i="11" s="1"/>
  <c r="AF771" i="11"/>
  <c r="B772" i="11"/>
  <c r="BG771" i="11"/>
  <c r="BD770" i="11"/>
  <c r="DT771" i="11"/>
  <c r="EG771" i="11"/>
  <c r="DG771" i="11"/>
  <c r="CG771" i="11"/>
  <c r="CT771" i="11"/>
  <c r="BT771" i="11"/>
  <c r="AT771" i="11"/>
  <c r="AE771" i="11"/>
  <c r="AG771" i="11"/>
  <c r="EL768" i="11"/>
  <c r="CJ770" i="11"/>
  <c r="CL770" i="11" s="1"/>
  <c r="CK770" i="11"/>
  <c r="DJ770" i="11"/>
  <c r="DK770" i="11"/>
  <c r="DL770" i="11" s="1"/>
  <c r="AD769" i="11"/>
  <c r="AJ769" i="11"/>
  <c r="AL769" i="11" s="1"/>
  <c r="AK769" i="11"/>
  <c r="CY770" i="11"/>
  <c r="CX770" i="11"/>
  <c r="BL770" i="11"/>
  <c r="BK770" i="11"/>
  <c r="M770" i="11"/>
  <c r="AW769" i="11"/>
  <c r="AY769" i="11" s="1"/>
  <c r="AX769" i="11"/>
  <c r="L770" i="11"/>
  <c r="EK769" i="11"/>
  <c r="EJ769" i="11"/>
  <c r="EL769" i="11" s="1"/>
  <c r="EC771" i="11"/>
  <c r="EA771" i="11"/>
  <c r="DZ771" i="11"/>
  <c r="EI771" i="11"/>
  <c r="EH771" i="11"/>
  <c r="EE770" i="11"/>
  <c r="EF770" i="11" s="1"/>
  <c r="CW771" i="11"/>
  <c r="CJ771" i="11"/>
  <c r="P772" i="11"/>
  <c r="CF770" i="11"/>
  <c r="CQ770" i="11"/>
  <c r="DF770" i="11"/>
  <c r="BF770" i="11"/>
  <c r="DD770" i="11"/>
  <c r="BQ770" i="11"/>
  <c r="AB771" i="11"/>
  <c r="AC771" i="11" s="1"/>
  <c r="BS770" i="11"/>
  <c r="AR770" i="11"/>
  <c r="AS770" i="11"/>
  <c r="AQ770" i="11"/>
  <c r="CE771" i="11"/>
  <c r="DU771" i="11"/>
  <c r="DV771" i="11"/>
  <c r="DH771" i="11"/>
  <c r="DI771" i="11"/>
  <c r="CR771" i="11"/>
  <c r="CU771" i="11"/>
  <c r="CX771" i="11"/>
  <c r="CV771" i="11"/>
  <c r="CI771" i="11"/>
  <c r="CH771" i="11"/>
  <c r="BV771" i="11"/>
  <c r="BU771" i="11"/>
  <c r="BH771" i="11"/>
  <c r="BI771" i="11"/>
  <c r="AU771" i="11"/>
  <c r="AV771" i="11"/>
  <c r="AH771" i="11"/>
  <c r="AI771" i="11"/>
  <c r="BO771" i="11"/>
  <c r="BR771" i="11" s="1"/>
  <c r="BP771" i="11"/>
  <c r="BN771" i="11"/>
  <c r="W772" i="11"/>
  <c r="AN771" i="11"/>
  <c r="AO771" i="11"/>
  <c r="AP771" i="11"/>
  <c r="Y771" i="11"/>
  <c r="AA771" i="11"/>
  <c r="BA771" i="11"/>
  <c r="BC771" i="11"/>
  <c r="BB771" i="11"/>
  <c r="BE771" i="11" s="1"/>
  <c r="DP771" i="11"/>
  <c r="DB771" i="11"/>
  <c r="DE771" i="11" s="1"/>
  <c r="DN771" i="11"/>
  <c r="DC771" i="11"/>
  <c r="X771" i="11"/>
  <c r="CM771" i="11"/>
  <c r="CN771" i="11"/>
  <c r="CO771" i="11"/>
  <c r="CQ771" i="11" s="1"/>
  <c r="BZ771" i="11"/>
  <c r="DM771" i="11"/>
  <c r="CP771" i="11"/>
  <c r="CA771" i="11"/>
  <c r="CB771" i="11"/>
  <c r="CF771" i="11" s="1"/>
  <c r="BM771" i="11"/>
  <c r="CZ771" i="11"/>
  <c r="CC771" i="11"/>
  <c r="DA771" i="11"/>
  <c r="AM771" i="11"/>
  <c r="AZ771" i="11"/>
  <c r="C773" i="11"/>
  <c r="V773" i="11" l="1"/>
  <c r="A773" i="11"/>
  <c r="EB772" i="11"/>
  <c r="ED772" i="11" s="1"/>
  <c r="Z772" i="11"/>
  <c r="F772" i="11" s="1"/>
  <c r="AF772" i="11"/>
  <c r="B773" i="11"/>
  <c r="BG772" i="11"/>
  <c r="BD771" i="11"/>
  <c r="DT772" i="11"/>
  <c r="EG772" i="11"/>
  <c r="DG772" i="11"/>
  <c r="CG772" i="11"/>
  <c r="CT772" i="11"/>
  <c r="BT772" i="11"/>
  <c r="AT772" i="11"/>
  <c r="AE772" i="11"/>
  <c r="AG772" i="11"/>
  <c r="BK771" i="11"/>
  <c r="BJ771" i="11"/>
  <c r="BL771" i="11" s="1"/>
  <c r="BW771" i="11"/>
  <c r="BX771" i="11"/>
  <c r="BY771" i="11" s="1"/>
  <c r="DK771" i="11"/>
  <c r="DJ771" i="11"/>
  <c r="DL771" i="11" s="1"/>
  <c r="CY771" i="11"/>
  <c r="CK771" i="11"/>
  <c r="CL771" i="11" s="1"/>
  <c r="EK770" i="11"/>
  <c r="EJ770" i="11"/>
  <c r="AJ770" i="11"/>
  <c r="AK770" i="11"/>
  <c r="AD770" i="11"/>
  <c r="AL770" i="11"/>
  <c r="M771" i="11"/>
  <c r="L771" i="11"/>
  <c r="AW770" i="11"/>
  <c r="AX770" i="11"/>
  <c r="AY770" i="11" s="1"/>
  <c r="EH772" i="11"/>
  <c r="EI772" i="11"/>
  <c r="EA772" i="11"/>
  <c r="EC772" i="11"/>
  <c r="DZ772" i="11"/>
  <c r="EE771" i="11"/>
  <c r="EF771" i="11" s="1"/>
  <c r="DJ772" i="11"/>
  <c r="P773" i="11"/>
  <c r="BQ771" i="11"/>
  <c r="DD771" i="11"/>
  <c r="BF771" i="11"/>
  <c r="AB772" i="11"/>
  <c r="BS771" i="11"/>
  <c r="CD771" i="11"/>
  <c r="DF771" i="11"/>
  <c r="CS771" i="11"/>
  <c r="AR771" i="11"/>
  <c r="AQ771" i="11"/>
  <c r="AS771" i="11"/>
  <c r="CE772" i="11"/>
  <c r="DV772" i="11"/>
  <c r="DU772" i="11"/>
  <c r="DH772" i="11"/>
  <c r="DI772" i="11"/>
  <c r="CR772" i="11"/>
  <c r="CU772" i="11"/>
  <c r="CV772" i="11"/>
  <c r="CI772" i="11"/>
  <c r="CH772" i="11"/>
  <c r="BU772" i="11"/>
  <c r="BV772" i="11"/>
  <c r="BH772" i="11"/>
  <c r="BI772" i="11"/>
  <c r="AU772" i="11"/>
  <c r="AV772" i="11"/>
  <c r="AH772" i="11"/>
  <c r="L772" i="11" s="1"/>
  <c r="AI772" i="11"/>
  <c r="M772" i="11" s="1"/>
  <c r="AC772" i="11"/>
  <c r="BP772" i="11"/>
  <c r="BN772" i="11"/>
  <c r="BO772" i="11"/>
  <c r="BR772" i="11" s="1"/>
  <c r="AO772" i="11"/>
  <c r="AP772" i="11"/>
  <c r="AA772" i="11"/>
  <c r="AN772" i="11"/>
  <c r="Y772" i="11"/>
  <c r="BA772" i="11"/>
  <c r="BB772" i="11"/>
  <c r="BE772" i="11" s="1"/>
  <c r="BC772" i="11"/>
  <c r="DM772" i="11"/>
  <c r="DN772" i="11"/>
  <c r="CZ772" i="11"/>
  <c r="DP772" i="11"/>
  <c r="CP772" i="11"/>
  <c r="CA772" i="11"/>
  <c r="AM772" i="11"/>
  <c r="DA772" i="11"/>
  <c r="CB772" i="11"/>
  <c r="CD772" i="11" s="1"/>
  <c r="X772" i="11"/>
  <c r="DB772" i="11"/>
  <c r="DE772" i="11" s="1"/>
  <c r="CC772" i="11"/>
  <c r="DC772" i="11"/>
  <c r="CM772" i="11"/>
  <c r="CN772" i="11"/>
  <c r="BM772" i="11"/>
  <c r="CO772" i="11"/>
  <c r="CS772" i="11" s="1"/>
  <c r="BZ772" i="11"/>
  <c r="AZ772" i="11"/>
  <c r="W773" i="11"/>
  <c r="C774" i="11"/>
  <c r="V774" i="11" l="1"/>
  <c r="A774" i="11"/>
  <c r="EB773" i="11"/>
  <c r="Z773" i="11"/>
  <c r="F773" i="11" s="1"/>
  <c r="AF773" i="11"/>
  <c r="B774" i="11"/>
  <c r="BG773" i="11"/>
  <c r="BD772" i="11"/>
  <c r="EG773" i="11"/>
  <c r="DG773" i="11"/>
  <c r="DT773" i="11"/>
  <c r="CT773" i="11"/>
  <c r="CG773" i="11"/>
  <c r="BT773" i="11"/>
  <c r="AT773" i="11"/>
  <c r="AE773" i="11"/>
  <c r="AG773" i="11"/>
  <c r="EL770" i="11"/>
  <c r="BJ772" i="11"/>
  <c r="BK772" i="11"/>
  <c r="BL772" i="11"/>
  <c r="DL772" i="11"/>
  <c r="BW772" i="11"/>
  <c r="BY772" i="11" s="1"/>
  <c r="BX772" i="11"/>
  <c r="CX772" i="11"/>
  <c r="CY772" i="11"/>
  <c r="CW772" i="11"/>
  <c r="CJ772" i="11"/>
  <c r="CL772" i="11" s="1"/>
  <c r="CK772" i="11"/>
  <c r="DK772" i="11"/>
  <c r="AW771" i="11"/>
  <c r="AY771" i="11" s="1"/>
  <c r="AX771" i="11"/>
  <c r="EK771" i="11"/>
  <c r="EJ771" i="11"/>
  <c r="AJ771" i="11"/>
  <c r="AK771" i="11"/>
  <c r="AD771" i="11"/>
  <c r="EI773" i="11"/>
  <c r="EC773" i="11"/>
  <c r="ED773" i="11"/>
  <c r="EA773" i="11"/>
  <c r="EH773" i="11"/>
  <c r="DZ773" i="11"/>
  <c r="EE772" i="11"/>
  <c r="P774" i="11"/>
  <c r="BS772" i="11"/>
  <c r="CF772" i="11"/>
  <c r="DD772" i="11"/>
  <c r="CQ772" i="11"/>
  <c r="BF772" i="11"/>
  <c r="DF772" i="11"/>
  <c r="AB773" i="11"/>
  <c r="BQ772" i="11"/>
  <c r="AR772" i="11"/>
  <c r="AS772" i="11"/>
  <c r="AQ772" i="11"/>
  <c r="CE773" i="11"/>
  <c r="DU773" i="11"/>
  <c r="DV773" i="11"/>
  <c r="DI773" i="11"/>
  <c r="CR773" i="11"/>
  <c r="DH773" i="11"/>
  <c r="CU773" i="11"/>
  <c r="CV773" i="11"/>
  <c r="CI773" i="11"/>
  <c r="CH773" i="11"/>
  <c r="BU773" i="11"/>
  <c r="BV773" i="11"/>
  <c r="BH773" i="11"/>
  <c r="BI773" i="11"/>
  <c r="AU773" i="11"/>
  <c r="AV773" i="11"/>
  <c r="AH773" i="11"/>
  <c r="AI773" i="11"/>
  <c r="BP773" i="11"/>
  <c r="BO773" i="11"/>
  <c r="BR773" i="11" s="1"/>
  <c r="BN773" i="11"/>
  <c r="AP773" i="11"/>
  <c r="AN773" i="11"/>
  <c r="AO773" i="11"/>
  <c r="Y773" i="11"/>
  <c r="AC773" i="11"/>
  <c r="AA773" i="11"/>
  <c r="BC773" i="11"/>
  <c r="BB773" i="11"/>
  <c r="BE773" i="11" s="1"/>
  <c r="BA773" i="11"/>
  <c r="DP773" i="11"/>
  <c r="DB773" i="11"/>
  <c r="DE773" i="11" s="1"/>
  <c r="DN773" i="11"/>
  <c r="AZ773" i="11"/>
  <c r="CM773" i="11"/>
  <c r="AM773" i="11"/>
  <c r="CN773" i="11"/>
  <c r="X773" i="11"/>
  <c r="CO773" i="11"/>
  <c r="CQ773" i="11" s="1"/>
  <c r="BZ773" i="11"/>
  <c r="CZ773" i="11"/>
  <c r="CP773" i="11"/>
  <c r="CA773" i="11"/>
  <c r="DM773" i="11"/>
  <c r="DA773" i="11"/>
  <c r="CB773" i="11"/>
  <c r="CF773" i="11" s="1"/>
  <c r="DC773" i="11"/>
  <c r="CC773" i="11"/>
  <c r="BM773" i="11"/>
  <c r="W774" i="11"/>
  <c r="C775" i="11"/>
  <c r="V775" i="11" l="1"/>
  <c r="A775" i="11"/>
  <c r="EB774" i="11"/>
  <c r="ED774" i="11" s="1"/>
  <c r="Z774" i="11"/>
  <c r="F774" i="11" s="1"/>
  <c r="AF774" i="11"/>
  <c r="B775" i="11"/>
  <c r="BG774" i="11"/>
  <c r="BD773" i="11"/>
  <c r="DT774" i="11"/>
  <c r="EG774" i="11"/>
  <c r="DG774" i="11"/>
  <c r="CT774" i="11"/>
  <c r="CG774" i="11"/>
  <c r="BT774" i="11"/>
  <c r="AT774" i="11"/>
  <c r="AE774" i="11"/>
  <c r="AG774" i="11"/>
  <c r="EL771" i="11"/>
  <c r="DK773" i="11"/>
  <c r="DJ773" i="11"/>
  <c r="DL773" i="11" s="1"/>
  <c r="BJ773" i="11"/>
  <c r="BK773" i="11"/>
  <c r="BL773" i="11" s="1"/>
  <c r="BX773" i="11"/>
  <c r="BW773" i="11"/>
  <c r="BY773" i="11" s="1"/>
  <c r="EK772" i="11"/>
  <c r="EJ772" i="11"/>
  <c r="EF772" i="11"/>
  <c r="CW773" i="11"/>
  <c r="CY773" i="11" s="1"/>
  <c r="CX773" i="11"/>
  <c r="CJ773" i="11"/>
  <c r="CK773" i="11"/>
  <c r="CL773" i="11"/>
  <c r="M773" i="11"/>
  <c r="AD772" i="11"/>
  <c r="AJ772" i="11"/>
  <c r="AL772" i="11" s="1"/>
  <c r="AK772" i="11"/>
  <c r="L773" i="11"/>
  <c r="AW772" i="11"/>
  <c r="AY772" i="11" s="1"/>
  <c r="AX772" i="11"/>
  <c r="AL771" i="11"/>
  <c r="EE773" i="11"/>
  <c r="EA774" i="11"/>
  <c r="EC774" i="11"/>
  <c r="DZ774" i="11"/>
  <c r="EI774" i="11"/>
  <c r="EH774" i="11"/>
  <c r="CW774" i="11"/>
  <c r="CY774" i="11" s="1"/>
  <c r="P775" i="11"/>
  <c r="CS773" i="11"/>
  <c r="DD773" i="11"/>
  <c r="BF773" i="11"/>
  <c r="DF773" i="11"/>
  <c r="CD773" i="11"/>
  <c r="AB774" i="11"/>
  <c r="BQ773" i="11"/>
  <c r="BS773" i="11"/>
  <c r="AR773" i="11"/>
  <c r="AS773" i="11"/>
  <c r="AQ773" i="11"/>
  <c r="CE774" i="11"/>
  <c r="DU774" i="11"/>
  <c r="DV774" i="11"/>
  <c r="DH774" i="11"/>
  <c r="DI774" i="11"/>
  <c r="CV774" i="11"/>
  <c r="CX774" i="11"/>
  <c r="CR774" i="11"/>
  <c r="CU774" i="11"/>
  <c r="CI774" i="11"/>
  <c r="CH774" i="11"/>
  <c r="BU774" i="11"/>
  <c r="BV774" i="11"/>
  <c r="BH774" i="11"/>
  <c r="BI774" i="11"/>
  <c r="AU774" i="11"/>
  <c r="AV774" i="11"/>
  <c r="AH774" i="11"/>
  <c r="AI774" i="11"/>
  <c r="M774" i="11" s="1"/>
  <c r="BO774" i="11"/>
  <c r="BR774" i="11" s="1"/>
  <c r="BN774" i="11"/>
  <c r="BP774" i="11"/>
  <c r="W775" i="11"/>
  <c r="AN774" i="11"/>
  <c r="AO774" i="11"/>
  <c r="AP774" i="11"/>
  <c r="AC774" i="11"/>
  <c r="AA774" i="11"/>
  <c r="Y774" i="11"/>
  <c r="BC774" i="11"/>
  <c r="BA774" i="11"/>
  <c r="BB774" i="11"/>
  <c r="BE774" i="11" s="1"/>
  <c r="DM774" i="11"/>
  <c r="DN774" i="11"/>
  <c r="CZ774" i="11"/>
  <c r="DP774" i="11"/>
  <c r="DB774" i="11"/>
  <c r="DE774" i="11" s="1"/>
  <c r="CP774" i="11"/>
  <c r="CA774" i="11"/>
  <c r="BM774" i="11"/>
  <c r="DC774" i="11"/>
  <c r="CB774" i="11"/>
  <c r="CF774" i="11" s="1"/>
  <c r="AZ774" i="11"/>
  <c r="CC774" i="11"/>
  <c r="AM774" i="11"/>
  <c r="X774" i="11"/>
  <c r="CM774" i="11"/>
  <c r="CN774" i="11"/>
  <c r="DA774" i="11"/>
  <c r="CO774" i="11"/>
  <c r="CQ774" i="11" s="1"/>
  <c r="BZ774" i="11"/>
  <c r="C776" i="11"/>
  <c r="V776" i="11" l="1"/>
  <c r="A776" i="11"/>
  <c r="Z775" i="11"/>
  <c r="F775" i="11" s="1"/>
  <c r="EB775" i="11"/>
  <c r="AF775" i="11"/>
  <c r="B776" i="11"/>
  <c r="BG775" i="11"/>
  <c r="BD774" i="11"/>
  <c r="EG775" i="11"/>
  <c r="DT775" i="11"/>
  <c r="DG775" i="11"/>
  <c r="CT775" i="11"/>
  <c r="BT775" i="11"/>
  <c r="CG775" i="11"/>
  <c r="AT775" i="11"/>
  <c r="AE775" i="11"/>
  <c r="AG775" i="11"/>
  <c r="EL772" i="11"/>
  <c r="DK774" i="11"/>
  <c r="DJ774" i="11"/>
  <c r="DL774" i="11" s="1"/>
  <c r="EJ773" i="11"/>
  <c r="EK773" i="11"/>
  <c r="EF773" i="11"/>
  <c r="BL774" i="11"/>
  <c r="BJ774" i="11"/>
  <c r="BK774" i="11"/>
  <c r="BW774" i="11"/>
  <c r="BY774" i="11" s="1"/>
  <c r="BX774" i="11"/>
  <c r="CJ774" i="11"/>
  <c r="CL774" i="11" s="1"/>
  <c r="CK774" i="11"/>
  <c r="AX773" i="11"/>
  <c r="AW773" i="11"/>
  <c r="AY773" i="11" s="1"/>
  <c r="L774" i="11"/>
  <c r="AJ773" i="11"/>
  <c r="AL773" i="11" s="1"/>
  <c r="AD773" i="11"/>
  <c r="AK773" i="11"/>
  <c r="EE774" i="11"/>
  <c r="ED775" i="11"/>
  <c r="EC775" i="11"/>
  <c r="EI775" i="11"/>
  <c r="EH775" i="11"/>
  <c r="EA775" i="11"/>
  <c r="DZ775" i="11"/>
  <c r="CK775" i="11"/>
  <c r="BX775" i="11"/>
  <c r="P776" i="11"/>
  <c r="CS774" i="11"/>
  <c r="BF774" i="11"/>
  <c r="DD774" i="11"/>
  <c r="DF774" i="11"/>
  <c r="BQ774" i="11"/>
  <c r="BS774" i="11"/>
  <c r="CD774" i="11"/>
  <c r="AB775" i="11"/>
  <c r="AR774" i="11"/>
  <c r="AS774" i="11"/>
  <c r="AQ774" i="11"/>
  <c r="CE775" i="11"/>
  <c r="DU775" i="11"/>
  <c r="DV775" i="11"/>
  <c r="DH775" i="11"/>
  <c r="DI775" i="11"/>
  <c r="CU775" i="11"/>
  <c r="CV775" i="11"/>
  <c r="CR775" i="11"/>
  <c r="CI775" i="11"/>
  <c r="CH775" i="11"/>
  <c r="CJ775" i="11"/>
  <c r="BU775" i="11"/>
  <c r="BW775" i="11"/>
  <c r="BV775" i="11"/>
  <c r="BH775" i="11"/>
  <c r="AC775" i="11"/>
  <c r="AU775" i="11"/>
  <c r="BI775" i="11"/>
  <c r="AV775" i="11"/>
  <c r="AH775" i="11"/>
  <c r="AI775" i="11"/>
  <c r="BO775" i="11"/>
  <c r="BR775" i="11" s="1"/>
  <c r="BP775" i="11"/>
  <c r="BN775" i="11"/>
  <c r="W776" i="11"/>
  <c r="AN775" i="11"/>
  <c r="AP775" i="11"/>
  <c r="AA775" i="11"/>
  <c r="AO775" i="11"/>
  <c r="Y775" i="11"/>
  <c r="BA775" i="11"/>
  <c r="BC775" i="11"/>
  <c r="BB775" i="11"/>
  <c r="BE775" i="11" s="1"/>
  <c r="DP775" i="11"/>
  <c r="DB775" i="11"/>
  <c r="DE775" i="11" s="1"/>
  <c r="DN775" i="11"/>
  <c r="CM775" i="11"/>
  <c r="BM775" i="11"/>
  <c r="CZ775" i="11"/>
  <c r="CN775" i="11"/>
  <c r="AZ775" i="11"/>
  <c r="DA775" i="11"/>
  <c r="CO775" i="11"/>
  <c r="CS775" i="11" s="1"/>
  <c r="BZ775" i="11"/>
  <c r="AM775" i="11"/>
  <c r="DC775" i="11"/>
  <c r="CP775" i="11"/>
  <c r="CA775" i="11"/>
  <c r="X775" i="11"/>
  <c r="CB775" i="11"/>
  <c r="CD775" i="11" s="1"/>
  <c r="DM775" i="11"/>
  <c r="CC775" i="11"/>
  <c r="C777" i="11"/>
  <c r="V777" i="11" l="1"/>
  <c r="A777" i="11"/>
  <c r="EB776" i="11"/>
  <c r="ED776" i="11" s="1"/>
  <c r="Z776" i="11"/>
  <c r="F776" i="11" s="1"/>
  <c r="AF776" i="11"/>
  <c r="B777" i="11"/>
  <c r="BG776" i="11"/>
  <c r="BD775" i="11"/>
  <c r="DG776" i="11"/>
  <c r="EG776" i="11"/>
  <c r="DT776" i="11"/>
  <c r="CT776" i="11"/>
  <c r="CG776" i="11"/>
  <c r="BT776" i="11"/>
  <c r="AT776" i="11"/>
  <c r="AE776" i="11"/>
  <c r="AG776" i="11"/>
  <c r="EL773" i="11"/>
  <c r="CY775" i="11"/>
  <c r="CX775" i="11"/>
  <c r="CW775" i="11"/>
  <c r="DJ775" i="11"/>
  <c r="DL775" i="11" s="1"/>
  <c r="DK775" i="11"/>
  <c r="EK774" i="11"/>
  <c r="EJ774" i="11"/>
  <c r="EF774" i="11"/>
  <c r="BK775" i="11"/>
  <c r="BL775" i="11" s="1"/>
  <c r="BJ775" i="11"/>
  <c r="CL775" i="11"/>
  <c r="AW774" i="11"/>
  <c r="AY774" i="11" s="1"/>
  <c r="AX774" i="11"/>
  <c r="AD774" i="11"/>
  <c r="AK774" i="11"/>
  <c r="AL774" i="11" s="1"/>
  <c r="AJ774" i="11"/>
  <c r="M775" i="11"/>
  <c r="BY775" i="11"/>
  <c r="EE775" i="11"/>
  <c r="L775" i="11"/>
  <c r="DZ776" i="11"/>
  <c r="EH776" i="11"/>
  <c r="EC776" i="11"/>
  <c r="EI776" i="11"/>
  <c r="EA776" i="11"/>
  <c r="P777" i="11"/>
  <c r="BF775" i="11"/>
  <c r="BQ775" i="11"/>
  <c r="DD775" i="11"/>
  <c r="DF775" i="11"/>
  <c r="AB776" i="11"/>
  <c r="BS775" i="11"/>
  <c r="CF775" i="11"/>
  <c r="CQ775" i="11"/>
  <c r="AR775" i="11"/>
  <c r="AS775" i="11"/>
  <c r="AQ775" i="11"/>
  <c r="CE776" i="11"/>
  <c r="DV776" i="11"/>
  <c r="DU776" i="11"/>
  <c r="DH776" i="11"/>
  <c r="DI776" i="11"/>
  <c r="CU776" i="11"/>
  <c r="CV776" i="11"/>
  <c r="CR776" i="11"/>
  <c r="CI776" i="11"/>
  <c r="CH776" i="11"/>
  <c r="BV776" i="11"/>
  <c r="BU776" i="11"/>
  <c r="BH776" i="11"/>
  <c r="BI776" i="11"/>
  <c r="AU776" i="11"/>
  <c r="AV776" i="11"/>
  <c r="AI776" i="11"/>
  <c r="AH776" i="11"/>
  <c r="L776" i="11" s="1"/>
  <c r="BN776" i="11"/>
  <c r="BP776" i="11"/>
  <c r="BO776" i="11"/>
  <c r="BR776" i="11" s="1"/>
  <c r="W777" i="11"/>
  <c r="AO776" i="11"/>
  <c r="AP776" i="11"/>
  <c r="Y776" i="11"/>
  <c r="AN776" i="11"/>
  <c r="AC776" i="11"/>
  <c r="AA776" i="11"/>
  <c r="BA776" i="11"/>
  <c r="BB776" i="11"/>
  <c r="BE776" i="11" s="1"/>
  <c r="BC776" i="11"/>
  <c r="DM776" i="11"/>
  <c r="DN776" i="11"/>
  <c r="CZ776" i="11"/>
  <c r="DP776" i="11"/>
  <c r="CP776" i="11"/>
  <c r="CA776" i="11"/>
  <c r="CB776" i="11"/>
  <c r="CF776" i="11" s="1"/>
  <c r="CC776" i="11"/>
  <c r="BM776" i="11"/>
  <c r="AZ776" i="11"/>
  <c r="AM776" i="11"/>
  <c r="DA776" i="11"/>
  <c r="CM776" i="11"/>
  <c r="DB776" i="11"/>
  <c r="DE776" i="11" s="1"/>
  <c r="CN776" i="11"/>
  <c r="DC776" i="11"/>
  <c r="CO776" i="11"/>
  <c r="CS776" i="11" s="1"/>
  <c r="BZ776" i="11"/>
  <c r="X776" i="11"/>
  <c r="C778" i="11"/>
  <c r="V778" i="11" l="1"/>
  <c r="A778" i="11"/>
  <c r="Z777" i="11"/>
  <c r="F777" i="11" s="1"/>
  <c r="EB777" i="11"/>
  <c r="ED777" i="11" s="1"/>
  <c r="AF777" i="11"/>
  <c r="B778" i="11"/>
  <c r="BG777" i="11"/>
  <c r="BD776" i="11"/>
  <c r="DT777" i="11"/>
  <c r="DG777" i="11"/>
  <c r="CG777" i="11"/>
  <c r="EG777" i="11"/>
  <c r="CT777" i="11"/>
  <c r="BT777" i="11"/>
  <c r="AT777" i="11"/>
  <c r="AE777" i="11"/>
  <c r="AG777" i="11"/>
  <c r="EL774" i="11"/>
  <c r="CW776" i="11"/>
  <c r="CY776" i="11" s="1"/>
  <c r="CX776" i="11"/>
  <c r="CJ776" i="11"/>
  <c r="CL776" i="11" s="1"/>
  <c r="CK776" i="11"/>
  <c r="EJ775" i="11"/>
  <c r="EK775" i="11"/>
  <c r="EF775" i="11"/>
  <c r="BJ776" i="11"/>
  <c r="BL776" i="11" s="1"/>
  <c r="BK776" i="11"/>
  <c r="DJ776" i="11"/>
  <c r="DL776" i="11" s="1"/>
  <c r="DK776" i="11"/>
  <c r="BY776" i="11"/>
  <c r="BW776" i="11"/>
  <c r="BX776" i="11"/>
  <c r="M776" i="11"/>
  <c r="AK775" i="11"/>
  <c r="AL775" i="11" s="1"/>
  <c r="AD775" i="11"/>
  <c r="AJ775" i="11"/>
  <c r="AY775" i="11"/>
  <c r="AW775" i="11"/>
  <c r="AX775" i="11"/>
  <c r="EE776" i="11"/>
  <c r="EI777" i="11"/>
  <c r="EC777" i="11"/>
  <c r="EH777" i="11"/>
  <c r="EA777" i="11"/>
  <c r="DZ777" i="11"/>
  <c r="P778" i="11"/>
  <c r="CD776" i="11"/>
  <c r="CQ776" i="11"/>
  <c r="BF776" i="11"/>
  <c r="DD776" i="11"/>
  <c r="DF776" i="11"/>
  <c r="AB777" i="11"/>
  <c r="AC777" i="11" s="1"/>
  <c r="BQ776" i="11"/>
  <c r="BS776" i="11"/>
  <c r="AR776" i="11"/>
  <c r="AS776" i="11"/>
  <c r="AQ776" i="11"/>
  <c r="CE777" i="11"/>
  <c r="DU777" i="11"/>
  <c r="DV777" i="11"/>
  <c r="DH777" i="11"/>
  <c r="DI777" i="11"/>
  <c r="CU777" i="11"/>
  <c r="CV777" i="11"/>
  <c r="CR777" i="11"/>
  <c r="CI777" i="11"/>
  <c r="CH777" i="11"/>
  <c r="BU777" i="11"/>
  <c r="BV777" i="11"/>
  <c r="BI777" i="11"/>
  <c r="AV777" i="11"/>
  <c r="BH777" i="11"/>
  <c r="AU777" i="11"/>
  <c r="AH777" i="11"/>
  <c r="AI777" i="11"/>
  <c r="BN777" i="11"/>
  <c r="BO777" i="11"/>
  <c r="BR777" i="11" s="1"/>
  <c r="BP777" i="11"/>
  <c r="W778" i="11"/>
  <c r="AP777" i="11"/>
  <c r="AN777" i="11"/>
  <c r="AO777" i="11"/>
  <c r="Y777" i="11"/>
  <c r="AA777" i="11"/>
  <c r="BB777" i="11"/>
  <c r="BE777" i="11" s="1"/>
  <c r="BC777" i="11"/>
  <c r="BA777" i="11"/>
  <c r="DP777" i="11"/>
  <c r="DB777" i="11"/>
  <c r="DE777" i="11" s="1"/>
  <c r="DN777" i="11"/>
  <c r="CZ777" i="11"/>
  <c r="DA777" i="11"/>
  <c r="CM777" i="11"/>
  <c r="DC777" i="11"/>
  <c r="CN777" i="11"/>
  <c r="CO777" i="11"/>
  <c r="CQ777" i="11" s="1"/>
  <c r="BZ777" i="11"/>
  <c r="BM777" i="11"/>
  <c r="CP777" i="11"/>
  <c r="CA777" i="11"/>
  <c r="AZ777" i="11"/>
  <c r="CB777" i="11"/>
  <c r="CD777" i="11" s="1"/>
  <c r="CC777" i="11"/>
  <c r="DM777" i="11"/>
  <c r="AM777" i="11"/>
  <c r="X777" i="11"/>
  <c r="C779" i="11"/>
  <c r="V779" i="11" l="1"/>
  <c r="A779" i="11"/>
  <c r="EB778" i="11"/>
  <c r="ED778" i="11" s="1"/>
  <c r="Z778" i="11"/>
  <c r="F778" i="11" s="1"/>
  <c r="AF778" i="11"/>
  <c r="B779" i="11"/>
  <c r="BG778" i="11"/>
  <c r="BD777" i="11"/>
  <c r="EG778" i="11"/>
  <c r="DT778" i="11"/>
  <c r="DG778" i="11"/>
  <c r="CT778" i="11"/>
  <c r="CG778" i="11"/>
  <c r="BT778" i="11"/>
  <c r="AT778" i="11"/>
  <c r="AE778" i="11"/>
  <c r="AG778" i="11"/>
  <c r="EL775" i="11"/>
  <c r="EK776" i="11"/>
  <c r="EJ776" i="11"/>
  <c r="EL776" i="11" s="1"/>
  <c r="EF776" i="11"/>
  <c r="BW777" i="11"/>
  <c r="BY777" i="11" s="1"/>
  <c r="BX777" i="11"/>
  <c r="BJ777" i="11"/>
  <c r="BL777" i="11" s="1"/>
  <c r="BK777" i="11"/>
  <c r="DK777" i="11"/>
  <c r="DJ777" i="11"/>
  <c r="DL777" i="11" s="1"/>
  <c r="CJ777" i="11"/>
  <c r="CK777" i="11"/>
  <c r="CL777" i="11"/>
  <c r="CX777" i="11"/>
  <c r="CW777" i="11"/>
  <c r="CY777" i="11" s="1"/>
  <c r="AX776" i="11"/>
  <c r="AW776" i="11"/>
  <c r="AY776" i="11" s="1"/>
  <c r="AJ776" i="11"/>
  <c r="AL776" i="11" s="1"/>
  <c r="AK776" i="11"/>
  <c r="AD776" i="11"/>
  <c r="M777" i="11"/>
  <c r="L777" i="11"/>
  <c r="EA778" i="11"/>
  <c r="EI778" i="11"/>
  <c r="EH778" i="11"/>
  <c r="EC778" i="11"/>
  <c r="DZ778" i="11"/>
  <c r="EE777" i="11"/>
  <c r="BW778" i="11"/>
  <c r="BY778" i="11" s="1"/>
  <c r="P779" i="11"/>
  <c r="BF777" i="11"/>
  <c r="CF777" i="11"/>
  <c r="CS777" i="11"/>
  <c r="DD777" i="11"/>
  <c r="BQ777" i="11"/>
  <c r="BS777" i="11"/>
  <c r="DF777" i="11"/>
  <c r="AB778" i="11"/>
  <c r="AR777" i="11"/>
  <c r="AS777" i="11"/>
  <c r="AQ777" i="11"/>
  <c r="CE778" i="11"/>
  <c r="DU778" i="11"/>
  <c r="DV778" i="11"/>
  <c r="DI778" i="11"/>
  <c r="DH778" i="11"/>
  <c r="CR778" i="11"/>
  <c r="CU778" i="11"/>
  <c r="CV778" i="11"/>
  <c r="CI778" i="11"/>
  <c r="CH778" i="11"/>
  <c r="BX778" i="11"/>
  <c r="BU778" i="11"/>
  <c r="BV778" i="11"/>
  <c r="BI778" i="11"/>
  <c r="BH778" i="11"/>
  <c r="AU778" i="11"/>
  <c r="AV778" i="11"/>
  <c r="AI778" i="11"/>
  <c r="AC778" i="11"/>
  <c r="AH778" i="11"/>
  <c r="BN778" i="11"/>
  <c r="BP778" i="11"/>
  <c r="BO778" i="11"/>
  <c r="BR778" i="11" s="1"/>
  <c r="W779" i="11"/>
  <c r="AN778" i="11"/>
  <c r="AO778" i="11"/>
  <c r="Y778" i="11"/>
  <c r="AA778" i="11"/>
  <c r="AP778" i="11"/>
  <c r="BA778" i="11"/>
  <c r="BB778" i="11"/>
  <c r="BE778" i="11" s="1"/>
  <c r="BC778" i="11"/>
  <c r="DM778" i="11"/>
  <c r="DN778" i="11"/>
  <c r="CZ778" i="11"/>
  <c r="DP778" i="11"/>
  <c r="CP778" i="11"/>
  <c r="CA778" i="11"/>
  <c r="CB778" i="11"/>
  <c r="CF778" i="11" s="1"/>
  <c r="CC778" i="11"/>
  <c r="DA778" i="11"/>
  <c r="DB778" i="11"/>
  <c r="DE778" i="11" s="1"/>
  <c r="BM778" i="11"/>
  <c r="DC778" i="11"/>
  <c r="CM778" i="11"/>
  <c r="AZ778" i="11"/>
  <c r="CN778" i="11"/>
  <c r="CO778" i="11"/>
  <c r="CQ778" i="11" s="1"/>
  <c r="BZ778" i="11"/>
  <c r="AM778" i="11"/>
  <c r="X778" i="11"/>
  <c r="C780" i="11"/>
  <c r="V780" i="11" l="1"/>
  <c r="A780" i="11"/>
  <c r="EB779" i="11"/>
  <c r="ED779" i="11" s="1"/>
  <c r="Z779" i="11"/>
  <c r="F779" i="11" s="1"/>
  <c r="AF779" i="11"/>
  <c r="B780" i="11"/>
  <c r="BG779" i="11"/>
  <c r="BD778" i="11"/>
  <c r="DT779" i="11"/>
  <c r="EG779" i="11"/>
  <c r="DG779" i="11"/>
  <c r="CT779" i="11"/>
  <c r="CG779" i="11"/>
  <c r="BT779" i="11"/>
  <c r="AT779" i="11"/>
  <c r="AE779" i="11"/>
  <c r="AG779" i="11"/>
  <c r="CW778" i="11"/>
  <c r="CX778" i="11"/>
  <c r="CY778" i="11" s="1"/>
  <c r="AJ778" i="11"/>
  <c r="AK778" i="11"/>
  <c r="AD778" i="11"/>
  <c r="DK778" i="11"/>
  <c r="DJ778" i="11"/>
  <c r="DL778" i="11" s="1"/>
  <c r="CJ778" i="11"/>
  <c r="CL778" i="11" s="1"/>
  <c r="CK778" i="11"/>
  <c r="EJ777" i="11"/>
  <c r="EK777" i="11"/>
  <c r="EF777" i="11"/>
  <c r="BK778" i="11"/>
  <c r="BJ778" i="11"/>
  <c r="BL778" i="11" s="1"/>
  <c r="M778" i="11"/>
  <c r="L778" i="11"/>
  <c r="AD777" i="11"/>
  <c r="AJ777" i="11"/>
  <c r="AK777" i="11"/>
  <c r="AW777" i="11"/>
  <c r="AY777" i="11" s="1"/>
  <c r="AX777" i="11"/>
  <c r="DZ779" i="11"/>
  <c r="EI779" i="11"/>
  <c r="EH779" i="11"/>
  <c r="EC779" i="11"/>
  <c r="EA779" i="11"/>
  <c r="EE778" i="11"/>
  <c r="P780" i="11"/>
  <c r="BS778" i="11"/>
  <c r="CS778" i="11"/>
  <c r="DF778" i="11"/>
  <c r="BF778" i="11"/>
  <c r="DD778" i="11"/>
  <c r="BQ778" i="11"/>
  <c r="CD778" i="11"/>
  <c r="AB779" i="11"/>
  <c r="AR778" i="11"/>
  <c r="AS778" i="11"/>
  <c r="AQ778" i="11"/>
  <c r="CE779" i="11"/>
  <c r="DU779" i="11"/>
  <c r="DV779" i="11"/>
  <c r="DH779" i="11"/>
  <c r="DI779" i="11"/>
  <c r="CR779" i="11"/>
  <c r="CU779" i="11"/>
  <c r="CX779" i="11"/>
  <c r="CY779" i="11" s="1"/>
  <c r="CV779" i="11"/>
  <c r="CW779" i="11"/>
  <c r="CI779" i="11"/>
  <c r="CH779" i="11"/>
  <c r="BV779" i="11"/>
  <c r="BU779" i="11"/>
  <c r="BH779" i="11"/>
  <c r="BI779" i="11"/>
  <c r="AV779" i="11"/>
  <c r="AU779" i="11"/>
  <c r="AH779" i="11"/>
  <c r="AI779" i="11"/>
  <c r="M779" i="11" s="1"/>
  <c r="BP779" i="11"/>
  <c r="BN779" i="11"/>
  <c r="BO779" i="11"/>
  <c r="BR779" i="11" s="1"/>
  <c r="W780" i="11"/>
  <c r="AN779" i="11"/>
  <c r="AO779" i="11"/>
  <c r="Y779" i="11"/>
  <c r="AP779" i="11"/>
  <c r="AC779" i="11"/>
  <c r="AA779" i="11"/>
  <c r="BA779" i="11"/>
  <c r="BB779" i="11"/>
  <c r="BE779" i="11" s="1"/>
  <c r="BC779" i="11"/>
  <c r="DP779" i="11"/>
  <c r="DB779" i="11"/>
  <c r="DE779" i="11" s="1"/>
  <c r="DN779" i="11"/>
  <c r="DM779" i="11"/>
  <c r="DC779" i="11"/>
  <c r="X779" i="11"/>
  <c r="CM779" i="11"/>
  <c r="CN779" i="11"/>
  <c r="CO779" i="11"/>
  <c r="CS779" i="11" s="1"/>
  <c r="BZ779" i="11"/>
  <c r="CP779" i="11"/>
  <c r="CA779" i="11"/>
  <c r="CB779" i="11"/>
  <c r="CF779" i="11" s="1"/>
  <c r="BM779" i="11"/>
  <c r="CZ779" i="11"/>
  <c r="CC779" i="11"/>
  <c r="DA779" i="11"/>
  <c r="AM779" i="11"/>
  <c r="AZ779" i="11"/>
  <c r="C781" i="11"/>
  <c r="V781" i="11" l="1"/>
  <c r="A781" i="11"/>
  <c r="Z780" i="11"/>
  <c r="F780" i="11" s="1"/>
  <c r="EB780" i="11"/>
  <c r="AF780" i="11"/>
  <c r="B781" i="11"/>
  <c r="BG780" i="11"/>
  <c r="BD779" i="11"/>
  <c r="EG780" i="11"/>
  <c r="DG780" i="11"/>
  <c r="DT780" i="11"/>
  <c r="CG780" i="11"/>
  <c r="CT780" i="11"/>
  <c r="BT780" i="11"/>
  <c r="AT780" i="11"/>
  <c r="AE780" i="11"/>
  <c r="AG780" i="11"/>
  <c r="EL777" i="11"/>
  <c r="DJ779" i="11"/>
  <c r="DK779" i="11"/>
  <c r="DL779" i="11" s="1"/>
  <c r="BK779" i="11"/>
  <c r="BJ779" i="11"/>
  <c r="BL779" i="11" s="1"/>
  <c r="EK778" i="11"/>
  <c r="EJ778" i="11"/>
  <c r="EF778" i="11"/>
  <c r="CJ779" i="11"/>
  <c r="CK779" i="11"/>
  <c r="CL779" i="11" s="1"/>
  <c r="BW779" i="11"/>
  <c r="BY779" i="11" s="1"/>
  <c r="BX779" i="11"/>
  <c r="AL777" i="11"/>
  <c r="AL778" i="11"/>
  <c r="L779" i="11"/>
  <c r="AW778" i="11"/>
  <c r="AX778" i="11"/>
  <c r="AY778" i="11" s="1"/>
  <c r="DZ780" i="11"/>
  <c r="EH780" i="11"/>
  <c r="EA780" i="11"/>
  <c r="EI780" i="11"/>
  <c r="EC780" i="11"/>
  <c r="ED780" i="11"/>
  <c r="EE779" i="11"/>
  <c r="EF779" i="11" s="1"/>
  <c r="CJ780" i="11"/>
  <c r="CL780" i="11" s="1"/>
  <c r="BJ780" i="11"/>
  <c r="P781" i="11"/>
  <c r="CQ779" i="11"/>
  <c r="BQ779" i="11"/>
  <c r="DF779" i="11"/>
  <c r="DD779" i="11"/>
  <c r="BF779" i="11"/>
  <c r="BS779" i="11"/>
  <c r="AB780" i="11"/>
  <c r="AC780" i="11" s="1"/>
  <c r="CD779" i="11"/>
  <c r="AR779" i="11"/>
  <c r="AS779" i="11"/>
  <c r="AQ779" i="11"/>
  <c r="CE780" i="11"/>
  <c r="DV780" i="11"/>
  <c r="DU780" i="11"/>
  <c r="DH780" i="11"/>
  <c r="DI780" i="11"/>
  <c r="CR780" i="11"/>
  <c r="CU780" i="11"/>
  <c r="CV780" i="11"/>
  <c r="CI780" i="11"/>
  <c r="CH780" i="11"/>
  <c r="BU780" i="11"/>
  <c r="BV780" i="11"/>
  <c r="CK780" i="11"/>
  <c r="BH780" i="11"/>
  <c r="BI780" i="11"/>
  <c r="AU780" i="11"/>
  <c r="AV780" i="11"/>
  <c r="AH780" i="11"/>
  <c r="AI780" i="11"/>
  <c r="BP780" i="11"/>
  <c r="BN780" i="11"/>
  <c r="BO780" i="11"/>
  <c r="BR780" i="11" s="1"/>
  <c r="AO780" i="11"/>
  <c r="AN780" i="11"/>
  <c r="AA780" i="11"/>
  <c r="Y780" i="11"/>
  <c r="AP780" i="11"/>
  <c r="BA780" i="11"/>
  <c r="BB780" i="11"/>
  <c r="BE780" i="11" s="1"/>
  <c r="BC780" i="11"/>
  <c r="DM780" i="11"/>
  <c r="DN780" i="11"/>
  <c r="CZ780" i="11"/>
  <c r="DP780" i="11"/>
  <c r="CP780" i="11"/>
  <c r="CA780" i="11"/>
  <c r="AM780" i="11"/>
  <c r="DA780" i="11"/>
  <c r="CB780" i="11"/>
  <c r="CF780" i="11" s="1"/>
  <c r="X780" i="11"/>
  <c r="DB780" i="11"/>
  <c r="DE780" i="11" s="1"/>
  <c r="CC780" i="11"/>
  <c r="DC780" i="11"/>
  <c r="CM780" i="11"/>
  <c r="CN780" i="11"/>
  <c r="BM780" i="11"/>
  <c r="CO780" i="11"/>
  <c r="CS780" i="11" s="1"/>
  <c r="BZ780" i="11"/>
  <c r="AZ780" i="11"/>
  <c r="W781" i="11"/>
  <c r="C782" i="11"/>
  <c r="V782" i="11" l="1"/>
  <c r="A782" i="11"/>
  <c r="EB781" i="11"/>
  <c r="ED781" i="11" s="1"/>
  <c r="Z781" i="11"/>
  <c r="F781" i="11" s="1"/>
  <c r="AF781" i="11"/>
  <c r="B782" i="11"/>
  <c r="BG781" i="11"/>
  <c r="BD780" i="11"/>
  <c r="EG781" i="11"/>
  <c r="DG781" i="11"/>
  <c r="DT781" i="11"/>
  <c r="CT781" i="11"/>
  <c r="CG781" i="11"/>
  <c r="BT781" i="11"/>
  <c r="AT781" i="11"/>
  <c r="AE781" i="11"/>
  <c r="AG781" i="11"/>
  <c r="EL778" i="11"/>
  <c r="BW780" i="11"/>
  <c r="BY780" i="11" s="1"/>
  <c r="BX780" i="11"/>
  <c r="CX780" i="11"/>
  <c r="CW780" i="11"/>
  <c r="CY780" i="11" s="1"/>
  <c r="DJ780" i="11"/>
  <c r="DK780" i="11"/>
  <c r="DL780" i="11" s="1"/>
  <c r="BL780" i="11"/>
  <c r="M780" i="11"/>
  <c r="BK780" i="11"/>
  <c r="AJ779" i="11"/>
  <c r="AL779" i="11" s="1"/>
  <c r="AK779" i="11"/>
  <c r="AD779" i="11"/>
  <c r="L780" i="11"/>
  <c r="AX779" i="11"/>
  <c r="AW779" i="11"/>
  <c r="AY779" i="11" s="1"/>
  <c r="EK779" i="11"/>
  <c r="EJ779" i="11"/>
  <c r="EL779" i="11" s="1"/>
  <c r="EE780" i="11"/>
  <c r="EI781" i="11"/>
  <c r="EC781" i="11"/>
  <c r="EA781" i="11"/>
  <c r="DZ781" i="11"/>
  <c r="EH781" i="11"/>
  <c r="P782" i="11"/>
  <c r="DF780" i="11"/>
  <c r="BQ780" i="11"/>
  <c r="AB781" i="11"/>
  <c r="AC781" i="11" s="1"/>
  <c r="CD780" i="11"/>
  <c r="BF780" i="11"/>
  <c r="BS780" i="11"/>
  <c r="CQ780" i="11"/>
  <c r="DD780" i="11"/>
  <c r="AR780" i="11"/>
  <c r="AS780" i="11"/>
  <c r="AQ780" i="11"/>
  <c r="CE781" i="11"/>
  <c r="DU781" i="11"/>
  <c r="DV781" i="11"/>
  <c r="DI781" i="11"/>
  <c r="DH781" i="11"/>
  <c r="CR781" i="11"/>
  <c r="CU781" i="11"/>
  <c r="CV781" i="11"/>
  <c r="CI781" i="11"/>
  <c r="CH781" i="11"/>
  <c r="BU781" i="11"/>
  <c r="BV781" i="11"/>
  <c r="BH781" i="11"/>
  <c r="BI781" i="11"/>
  <c r="AU781" i="11"/>
  <c r="AV781" i="11"/>
  <c r="AH781" i="11"/>
  <c r="L781" i="11" s="1"/>
  <c r="AI781" i="11"/>
  <c r="BN781" i="11"/>
  <c r="BO781" i="11"/>
  <c r="BR781" i="11" s="1"/>
  <c r="BP781" i="11"/>
  <c r="W782" i="11"/>
  <c r="AP781" i="11"/>
  <c r="AN781" i="11"/>
  <c r="AO781" i="11"/>
  <c r="Y781" i="11"/>
  <c r="AA781" i="11"/>
  <c r="BA781" i="11"/>
  <c r="BB781" i="11"/>
  <c r="BE781" i="11" s="1"/>
  <c r="BC781" i="11"/>
  <c r="DP781" i="11"/>
  <c r="DB781" i="11"/>
  <c r="DE781" i="11" s="1"/>
  <c r="DN781" i="11"/>
  <c r="AZ781" i="11"/>
  <c r="DM781" i="11"/>
  <c r="CM781" i="11"/>
  <c r="AM781" i="11"/>
  <c r="CN781" i="11"/>
  <c r="X781" i="11"/>
  <c r="CO781" i="11"/>
  <c r="CQ781" i="11" s="1"/>
  <c r="BZ781" i="11"/>
  <c r="CZ781" i="11"/>
  <c r="CP781" i="11"/>
  <c r="CA781" i="11"/>
  <c r="DA781" i="11"/>
  <c r="CB781" i="11"/>
  <c r="CF781" i="11" s="1"/>
  <c r="DC781" i="11"/>
  <c r="CC781" i="11"/>
  <c r="BM781" i="11"/>
  <c r="C783" i="11"/>
  <c r="V783" i="11" l="1"/>
  <c r="A783" i="11"/>
  <c r="Z782" i="11"/>
  <c r="F782" i="11" s="1"/>
  <c r="EB782" i="11"/>
  <c r="ED782" i="11" s="1"/>
  <c r="AF782" i="11"/>
  <c r="B783" i="11"/>
  <c r="BG782" i="11"/>
  <c r="BD781" i="11"/>
  <c r="DT782" i="11"/>
  <c r="EG782" i="11"/>
  <c r="DG782" i="11"/>
  <c r="CT782" i="11"/>
  <c r="CG782" i="11"/>
  <c r="BT782" i="11"/>
  <c r="AT782" i="11"/>
  <c r="AE782" i="11"/>
  <c r="AG782" i="11"/>
  <c r="BJ781" i="11"/>
  <c r="BL781" i="11" s="1"/>
  <c r="BK781" i="11"/>
  <c r="CK781" i="11"/>
  <c r="CL781" i="11"/>
  <c r="CJ781" i="11"/>
  <c r="DL781" i="11"/>
  <c r="DK781" i="11"/>
  <c r="DJ781" i="11"/>
  <c r="CW781" i="11"/>
  <c r="CY781" i="11"/>
  <c r="CX781" i="11"/>
  <c r="BX781" i="11"/>
  <c r="BW781" i="11"/>
  <c r="BY781" i="11" s="1"/>
  <c r="EJ780" i="11"/>
  <c r="EK780" i="11"/>
  <c r="EF780" i="11"/>
  <c r="M781" i="11"/>
  <c r="AW780" i="11"/>
  <c r="AX780" i="11"/>
  <c r="AY780" i="11"/>
  <c r="AK780" i="11"/>
  <c r="AD780" i="11"/>
  <c r="AJ780" i="11"/>
  <c r="EE781" i="11"/>
  <c r="EA782" i="11"/>
  <c r="EI782" i="11"/>
  <c r="EH782" i="11"/>
  <c r="EC782" i="11"/>
  <c r="DZ782" i="11"/>
  <c r="P783" i="11"/>
  <c r="CD781" i="11"/>
  <c r="BQ781" i="11"/>
  <c r="BS781" i="11"/>
  <c r="AB782" i="11"/>
  <c r="AC782" i="11" s="1"/>
  <c r="CS781" i="11"/>
  <c r="DD781" i="11"/>
  <c r="BF781" i="11"/>
  <c r="DF781" i="11"/>
  <c r="AR781" i="11"/>
  <c r="AS781" i="11"/>
  <c r="AQ781" i="11"/>
  <c r="CE782" i="11"/>
  <c r="DU782" i="11"/>
  <c r="DV782" i="11"/>
  <c r="DH782" i="11"/>
  <c r="DI782" i="11"/>
  <c r="CV782" i="11"/>
  <c r="CR782" i="11"/>
  <c r="CU782" i="11"/>
  <c r="CI782" i="11"/>
  <c r="CH782" i="11"/>
  <c r="BU782" i="11"/>
  <c r="BV782" i="11"/>
  <c r="BX782" i="11"/>
  <c r="BH782" i="11"/>
  <c r="BI782" i="11"/>
  <c r="AU782" i="11"/>
  <c r="AV782" i="11"/>
  <c r="AH782" i="11"/>
  <c r="AI782" i="11"/>
  <c r="BO782" i="11"/>
  <c r="BR782" i="11" s="1"/>
  <c r="BP782" i="11"/>
  <c r="BN782" i="11"/>
  <c r="W783" i="11"/>
  <c r="AN782" i="11"/>
  <c r="AO782" i="11"/>
  <c r="AP782" i="11"/>
  <c r="AA782" i="11"/>
  <c r="Y782" i="11"/>
  <c r="BC782" i="11"/>
  <c r="BB782" i="11"/>
  <c r="BE782" i="11" s="1"/>
  <c r="BA782" i="11"/>
  <c r="DM782" i="11"/>
  <c r="DN782" i="11"/>
  <c r="CZ782" i="11"/>
  <c r="DP782" i="11"/>
  <c r="DB782" i="11"/>
  <c r="DE782" i="11" s="1"/>
  <c r="CP782" i="11"/>
  <c r="CA782" i="11"/>
  <c r="BM782" i="11"/>
  <c r="DC782" i="11"/>
  <c r="CB782" i="11"/>
  <c r="CF782" i="11" s="1"/>
  <c r="AZ782" i="11"/>
  <c r="CC782" i="11"/>
  <c r="AM782" i="11"/>
  <c r="X782" i="11"/>
  <c r="CM782" i="11"/>
  <c r="CN782" i="11"/>
  <c r="DA782" i="11"/>
  <c r="CO782" i="11"/>
  <c r="CS782" i="11" s="1"/>
  <c r="BZ782" i="11"/>
  <c r="C784" i="11"/>
  <c r="V784" i="11" l="1"/>
  <c r="A784" i="11"/>
  <c r="EB783" i="11"/>
  <c r="Z783" i="11"/>
  <c r="F783" i="11" s="1"/>
  <c r="AF783" i="11"/>
  <c r="B784" i="11"/>
  <c r="BG783" i="11"/>
  <c r="BD782" i="11"/>
  <c r="EG783" i="11"/>
  <c r="DT783" i="11"/>
  <c r="DG783" i="11"/>
  <c r="CT783" i="11"/>
  <c r="BT783" i="11"/>
  <c r="CG783" i="11"/>
  <c r="AT783" i="11"/>
  <c r="AE783" i="11"/>
  <c r="AG783" i="11"/>
  <c r="EL780" i="11"/>
  <c r="CK782" i="11"/>
  <c r="CJ782" i="11"/>
  <c r="CL782" i="11" s="1"/>
  <c r="BJ782" i="11"/>
  <c r="BK782" i="11"/>
  <c r="BL782" i="11" s="1"/>
  <c r="CW782" i="11"/>
  <c r="CY782" i="11" s="1"/>
  <c r="CX782" i="11"/>
  <c r="DK782" i="11"/>
  <c r="DJ782" i="11"/>
  <c r="DL782" i="11" s="1"/>
  <c r="AW781" i="11"/>
  <c r="AY781" i="11" s="1"/>
  <c r="AX781" i="11"/>
  <c r="AL780" i="11"/>
  <c r="BW782" i="11"/>
  <c r="BY782" i="11" s="1"/>
  <c r="EK781" i="11"/>
  <c r="EJ781" i="11"/>
  <c r="EF781" i="11"/>
  <c r="AD781" i="11"/>
  <c r="AJ781" i="11"/>
  <c r="AK781" i="11"/>
  <c r="M782" i="11"/>
  <c r="L782" i="11"/>
  <c r="EE782" i="11"/>
  <c r="ED783" i="11"/>
  <c r="EC783" i="11"/>
  <c r="EI783" i="11"/>
  <c r="EH783" i="11"/>
  <c r="EA783" i="11"/>
  <c r="DZ783" i="11"/>
  <c r="P784" i="11"/>
  <c r="DF782" i="11"/>
  <c r="BS782" i="11"/>
  <c r="CD782" i="11"/>
  <c r="CQ782" i="11"/>
  <c r="BF782" i="11"/>
  <c r="DD782" i="11"/>
  <c r="AB783" i="11"/>
  <c r="BQ782" i="11"/>
  <c r="AR782" i="11"/>
  <c r="AQ782" i="11"/>
  <c r="AS782" i="11"/>
  <c r="CE783" i="11"/>
  <c r="DU783" i="11"/>
  <c r="DV783" i="11"/>
  <c r="DH783" i="11"/>
  <c r="DI783" i="11"/>
  <c r="CU783" i="11"/>
  <c r="CV783" i="11"/>
  <c r="CR783" i="11"/>
  <c r="CI783" i="11"/>
  <c r="CH783" i="11"/>
  <c r="BU783" i="11"/>
  <c r="BV783" i="11"/>
  <c r="BH783" i="11"/>
  <c r="BI783" i="11"/>
  <c r="AU783" i="11"/>
  <c r="AV783" i="11"/>
  <c r="AH783" i="11"/>
  <c r="AI783" i="11"/>
  <c r="BO783" i="11"/>
  <c r="BR783" i="11" s="1"/>
  <c r="BN783" i="11"/>
  <c r="BP783" i="11"/>
  <c r="W784" i="11"/>
  <c r="AN783" i="11"/>
  <c r="AO783" i="11"/>
  <c r="AC783" i="11"/>
  <c r="AP783" i="11"/>
  <c r="AA783" i="11"/>
  <c r="Y783" i="11"/>
  <c r="BA783" i="11"/>
  <c r="BB783" i="11"/>
  <c r="BE783" i="11" s="1"/>
  <c r="BC783" i="11"/>
  <c r="DP783" i="11"/>
  <c r="DB783" i="11"/>
  <c r="DE783" i="11" s="1"/>
  <c r="DN783" i="11"/>
  <c r="CM783" i="11"/>
  <c r="BM783" i="11"/>
  <c r="DM783" i="11"/>
  <c r="CZ783" i="11"/>
  <c r="CN783" i="11"/>
  <c r="AZ783" i="11"/>
  <c r="DA783" i="11"/>
  <c r="CO783" i="11"/>
  <c r="CS783" i="11" s="1"/>
  <c r="BZ783" i="11"/>
  <c r="AM783" i="11"/>
  <c r="DC783" i="11"/>
  <c r="CP783" i="11"/>
  <c r="CA783" i="11"/>
  <c r="X783" i="11"/>
  <c r="CB783" i="11"/>
  <c r="CD783" i="11" s="1"/>
  <c r="CC783" i="11"/>
  <c r="C785" i="11"/>
  <c r="V785" i="11" l="1"/>
  <c r="A785" i="11"/>
  <c r="Z784" i="11"/>
  <c r="F784" i="11" s="1"/>
  <c r="EB784" i="11"/>
  <c r="ED784" i="11" s="1"/>
  <c r="AF784" i="11"/>
  <c r="B785" i="11"/>
  <c r="BG784" i="11"/>
  <c r="BD783" i="11"/>
  <c r="EG784" i="11"/>
  <c r="DT784" i="11"/>
  <c r="DG784" i="11"/>
  <c r="CT784" i="11"/>
  <c r="CG784" i="11"/>
  <c r="BT784" i="11"/>
  <c r="AT784" i="11"/>
  <c r="AE784" i="11"/>
  <c r="AG784" i="11"/>
  <c r="EL781" i="11"/>
  <c r="EJ782" i="11"/>
  <c r="EK782" i="11"/>
  <c r="EL782" i="11" s="1"/>
  <c r="EF782" i="11"/>
  <c r="BK783" i="11"/>
  <c r="BJ783" i="11"/>
  <c r="BL783" i="11"/>
  <c r="BX783" i="11"/>
  <c r="BY783" i="11" s="1"/>
  <c r="BW783" i="11"/>
  <c r="DJ783" i="11"/>
  <c r="DL783" i="11" s="1"/>
  <c r="DK783" i="11"/>
  <c r="CL783" i="11"/>
  <c r="CJ783" i="11"/>
  <c r="CK783" i="11"/>
  <c r="CW783" i="11"/>
  <c r="CX783" i="11"/>
  <c r="CY783" i="11" s="1"/>
  <c r="AJ782" i="11"/>
  <c r="AK782" i="11"/>
  <c r="AD782" i="11"/>
  <c r="M783" i="11"/>
  <c r="AL781" i="11"/>
  <c r="L783" i="11"/>
  <c r="AX782" i="11"/>
  <c r="AY782" i="11" s="1"/>
  <c r="AW782" i="11"/>
  <c r="EE783" i="11"/>
  <c r="DZ784" i="11"/>
  <c r="EH784" i="11"/>
  <c r="EC784" i="11"/>
  <c r="EA784" i="11"/>
  <c r="EI784" i="11"/>
  <c r="P785" i="11"/>
  <c r="BF783" i="11"/>
  <c r="DD783" i="11"/>
  <c r="CQ783" i="11"/>
  <c r="DF783" i="11"/>
  <c r="BQ783" i="11"/>
  <c r="CF783" i="11"/>
  <c r="AB784" i="11"/>
  <c r="AC784" i="11" s="1"/>
  <c r="BS783" i="11"/>
  <c r="AR783" i="11"/>
  <c r="AS783" i="11"/>
  <c r="AQ783" i="11"/>
  <c r="CE784" i="11"/>
  <c r="DV784" i="11"/>
  <c r="DU784" i="11"/>
  <c r="DI784" i="11"/>
  <c r="CU784" i="11"/>
  <c r="CV784" i="11"/>
  <c r="DH784" i="11"/>
  <c r="CR784" i="11"/>
  <c r="CI784" i="11"/>
  <c r="CH784" i="11"/>
  <c r="BV784" i="11"/>
  <c r="BW784" i="11"/>
  <c r="BU784" i="11"/>
  <c r="BH784" i="11"/>
  <c r="BI784" i="11"/>
  <c r="AI784" i="11"/>
  <c r="AH784" i="11"/>
  <c r="AU784" i="11"/>
  <c r="AV784" i="11"/>
  <c r="BO784" i="11"/>
  <c r="BR784" i="11" s="1"/>
  <c r="BP784" i="11"/>
  <c r="BN784" i="11"/>
  <c r="W785" i="11"/>
  <c r="AO784" i="11"/>
  <c r="AP784" i="11"/>
  <c r="AN784" i="11"/>
  <c r="Y784" i="11"/>
  <c r="AA784" i="11"/>
  <c r="BB784" i="11"/>
  <c r="BE784" i="11" s="1"/>
  <c r="BC784" i="11"/>
  <c r="BA784" i="11"/>
  <c r="DM784" i="11"/>
  <c r="DN784" i="11"/>
  <c r="CZ784" i="11"/>
  <c r="DP784" i="11"/>
  <c r="CP784" i="11"/>
  <c r="CA784" i="11"/>
  <c r="CB784" i="11"/>
  <c r="CF784" i="11" s="1"/>
  <c r="CC784" i="11"/>
  <c r="BM784" i="11"/>
  <c r="AZ784" i="11"/>
  <c r="AM784" i="11"/>
  <c r="DA784" i="11"/>
  <c r="CM784" i="11"/>
  <c r="DB784" i="11"/>
  <c r="DE784" i="11" s="1"/>
  <c r="CN784" i="11"/>
  <c r="DC784" i="11"/>
  <c r="CO784" i="11"/>
  <c r="CQ784" i="11" s="1"/>
  <c r="BZ784" i="11"/>
  <c r="X784" i="11"/>
  <c r="C786" i="11"/>
  <c r="V786" i="11" l="1"/>
  <c r="A786" i="11"/>
  <c r="EB785" i="11"/>
  <c r="Z785" i="11"/>
  <c r="F785" i="11" s="1"/>
  <c r="AF785" i="11"/>
  <c r="B786" i="11"/>
  <c r="BG785" i="11"/>
  <c r="BD784" i="11"/>
  <c r="DT785" i="11"/>
  <c r="EG785" i="11"/>
  <c r="DG785" i="11"/>
  <c r="CG785" i="11"/>
  <c r="CT785" i="11"/>
  <c r="BT785" i="11"/>
  <c r="AT785" i="11"/>
  <c r="AE785" i="11"/>
  <c r="AG785" i="11"/>
  <c r="CK784" i="11"/>
  <c r="CJ784" i="11"/>
  <c r="CL784" i="11" s="1"/>
  <c r="BJ784" i="11"/>
  <c r="BL784" i="11" s="1"/>
  <c r="BK784" i="11"/>
  <c r="CW784" i="11"/>
  <c r="CY784" i="11" s="1"/>
  <c r="CX784" i="11"/>
  <c r="DK784" i="11"/>
  <c r="DJ784" i="11"/>
  <c r="DL784" i="11" s="1"/>
  <c r="EK783" i="11"/>
  <c r="EJ783" i="11"/>
  <c r="EF783" i="11"/>
  <c r="BX784" i="11"/>
  <c r="BY784" i="11" s="1"/>
  <c r="AL783" i="11"/>
  <c r="AJ783" i="11"/>
  <c r="AD783" i="11"/>
  <c r="AK783" i="11"/>
  <c r="L784" i="11"/>
  <c r="M784" i="11"/>
  <c r="AY783" i="11"/>
  <c r="AX783" i="11"/>
  <c r="AW783" i="11"/>
  <c r="AL782" i="11"/>
  <c r="EE784" i="11"/>
  <c r="EF784" i="11" s="1"/>
  <c r="EI785" i="11"/>
  <c r="EC785" i="11"/>
  <c r="DZ785" i="11"/>
  <c r="EH785" i="11"/>
  <c r="ED785" i="11"/>
  <c r="EA785" i="11"/>
  <c r="P786" i="11"/>
  <c r="CS784" i="11"/>
  <c r="BF784" i="11"/>
  <c r="DD784" i="11"/>
  <c r="DF784" i="11"/>
  <c r="BQ784" i="11"/>
  <c r="BS784" i="11"/>
  <c r="AB785" i="11"/>
  <c r="AC785" i="11" s="1"/>
  <c r="CD784" i="11"/>
  <c r="AR784" i="11"/>
  <c r="AS784" i="11"/>
  <c r="AQ784" i="11"/>
  <c r="CE785" i="11"/>
  <c r="DU785" i="11"/>
  <c r="DV785" i="11"/>
  <c r="DH785" i="11"/>
  <c r="DI785" i="11"/>
  <c r="CU785" i="11"/>
  <c r="CV785" i="11"/>
  <c r="CR785" i="11"/>
  <c r="CI785" i="11"/>
  <c r="CH785" i="11"/>
  <c r="BU785" i="11"/>
  <c r="BV785" i="11"/>
  <c r="BI785" i="11"/>
  <c r="AV785" i="11"/>
  <c r="BH785" i="11"/>
  <c r="AU785" i="11"/>
  <c r="AH785" i="11"/>
  <c r="AI785" i="11"/>
  <c r="BN785" i="11"/>
  <c r="BO785" i="11"/>
  <c r="BR785" i="11" s="1"/>
  <c r="BP785" i="11"/>
  <c r="W786" i="11"/>
  <c r="AP785" i="11"/>
  <c r="AO785" i="11"/>
  <c r="AN785" i="11"/>
  <c r="AA785" i="11"/>
  <c r="Y785" i="11"/>
  <c r="BB785" i="11"/>
  <c r="BE785" i="11" s="1"/>
  <c r="BC785" i="11"/>
  <c r="BA785" i="11"/>
  <c r="DP785" i="11"/>
  <c r="DB785" i="11"/>
  <c r="DE785" i="11" s="1"/>
  <c r="DN785" i="11"/>
  <c r="CZ785" i="11"/>
  <c r="DA785" i="11"/>
  <c r="CM785" i="11"/>
  <c r="DC785" i="11"/>
  <c r="CN785" i="11"/>
  <c r="DM785" i="11"/>
  <c r="CO785" i="11"/>
  <c r="CS785" i="11" s="1"/>
  <c r="BZ785" i="11"/>
  <c r="BM785" i="11"/>
  <c r="CP785" i="11"/>
  <c r="CA785" i="11"/>
  <c r="AZ785" i="11"/>
  <c r="CB785" i="11"/>
  <c r="CF785" i="11" s="1"/>
  <c r="CC785" i="11"/>
  <c r="AM785" i="11"/>
  <c r="X785" i="11"/>
  <c r="C787" i="11"/>
  <c r="V787" i="11" l="1"/>
  <c r="A787" i="11"/>
  <c r="EB786" i="11"/>
  <c r="Z786" i="11"/>
  <c r="F786" i="11" s="1"/>
  <c r="AF786" i="11"/>
  <c r="B787" i="11"/>
  <c r="BG786" i="11"/>
  <c r="BD785" i="11"/>
  <c r="EG786" i="11"/>
  <c r="DT786" i="11"/>
  <c r="DG786" i="11"/>
  <c r="CT786" i="11"/>
  <c r="BT786" i="11"/>
  <c r="CG786" i="11"/>
  <c r="AT786" i="11"/>
  <c r="AE786" i="11"/>
  <c r="AG786" i="11"/>
  <c r="EL783" i="11"/>
  <c r="DJ785" i="11"/>
  <c r="DK785" i="11"/>
  <c r="DL785" i="11" s="1"/>
  <c r="BX785" i="11"/>
  <c r="BW785" i="11"/>
  <c r="BY785" i="11" s="1"/>
  <c r="CW785" i="11"/>
  <c r="CY785" i="11" s="1"/>
  <c r="CX785" i="11"/>
  <c r="CK785" i="11"/>
  <c r="CJ785" i="11"/>
  <c r="CL785" i="11" s="1"/>
  <c r="BK785" i="11"/>
  <c r="BL785" i="11"/>
  <c r="BJ785" i="11"/>
  <c r="M785" i="11"/>
  <c r="AK784" i="11"/>
  <c r="AD784" i="11"/>
  <c r="AJ784" i="11"/>
  <c r="AL784" i="11" s="1"/>
  <c r="EJ784" i="11"/>
  <c r="EK784" i="11"/>
  <c r="L785" i="11"/>
  <c r="AW784" i="11"/>
  <c r="AY784" i="11" s="1"/>
  <c r="AX784" i="11"/>
  <c r="EE785" i="11"/>
  <c r="EA786" i="11"/>
  <c r="DZ786" i="11"/>
  <c r="ED786" i="11"/>
  <c r="EI786" i="11"/>
  <c r="EH786" i="11"/>
  <c r="EC786" i="11"/>
  <c r="DJ786" i="11"/>
  <c r="P787" i="11"/>
  <c r="DD785" i="11"/>
  <c r="AB786" i="11"/>
  <c r="AC786" i="11" s="1"/>
  <c r="BF785" i="11"/>
  <c r="DF785" i="11"/>
  <c r="CQ785" i="11"/>
  <c r="BS785" i="11"/>
  <c r="BQ785" i="11"/>
  <c r="CD785" i="11"/>
  <c r="AR785" i="11"/>
  <c r="AS785" i="11"/>
  <c r="AQ785" i="11"/>
  <c r="CE786" i="11"/>
  <c r="DU786" i="11"/>
  <c r="DV786" i="11"/>
  <c r="DI786" i="11"/>
  <c r="DH786" i="11"/>
  <c r="CR786" i="11"/>
  <c r="CU786" i="11"/>
  <c r="CV786" i="11"/>
  <c r="CI786" i="11"/>
  <c r="BU786" i="11"/>
  <c r="BV786" i="11"/>
  <c r="CH786" i="11"/>
  <c r="BI786" i="11"/>
  <c r="BH786" i="11"/>
  <c r="AU786" i="11"/>
  <c r="AV786" i="11"/>
  <c r="AI786" i="11"/>
  <c r="M786" i="11" s="1"/>
  <c r="AH786" i="11"/>
  <c r="BN786" i="11"/>
  <c r="BO786" i="11"/>
  <c r="BR786" i="11" s="1"/>
  <c r="BP786" i="11"/>
  <c r="W787" i="11"/>
  <c r="AN786" i="11"/>
  <c r="AO786" i="11"/>
  <c r="AP786" i="11"/>
  <c r="Y786" i="11"/>
  <c r="AA786" i="11"/>
  <c r="BB786" i="11"/>
  <c r="BE786" i="11" s="1"/>
  <c r="BC786" i="11"/>
  <c r="BA786" i="11"/>
  <c r="DM786" i="11"/>
  <c r="DN786" i="11"/>
  <c r="CZ786" i="11"/>
  <c r="DP786" i="11"/>
  <c r="CP786" i="11"/>
  <c r="CA786" i="11"/>
  <c r="CB786" i="11"/>
  <c r="CF786" i="11" s="1"/>
  <c r="CC786" i="11"/>
  <c r="DA786" i="11"/>
  <c r="DB786" i="11"/>
  <c r="DE786" i="11" s="1"/>
  <c r="BM786" i="11"/>
  <c r="DC786" i="11"/>
  <c r="CM786" i="11"/>
  <c r="AZ786" i="11"/>
  <c r="CN786" i="11"/>
  <c r="CO786" i="11"/>
  <c r="CS786" i="11" s="1"/>
  <c r="BZ786" i="11"/>
  <c r="AM786" i="11"/>
  <c r="X786" i="11"/>
  <c r="C788" i="11"/>
  <c r="V788" i="11" l="1"/>
  <c r="A788" i="11"/>
  <c r="EB787" i="11"/>
  <c r="Z787" i="11"/>
  <c r="F787" i="11" s="1"/>
  <c r="AF787" i="11"/>
  <c r="B788" i="11"/>
  <c r="BG787" i="11"/>
  <c r="BD786" i="11"/>
  <c r="DT787" i="11"/>
  <c r="EG787" i="11"/>
  <c r="DG787" i="11"/>
  <c r="CT787" i="11"/>
  <c r="BT787" i="11"/>
  <c r="CG787" i="11"/>
  <c r="AT787" i="11"/>
  <c r="AE787" i="11"/>
  <c r="AG787" i="11"/>
  <c r="EL784" i="11"/>
  <c r="EK785" i="11"/>
  <c r="EJ785" i="11"/>
  <c r="EF785" i="11"/>
  <c r="BK786" i="11"/>
  <c r="BL786" i="11"/>
  <c r="BJ786" i="11"/>
  <c r="CL786" i="11"/>
  <c r="CJ786" i="11"/>
  <c r="CK786" i="11"/>
  <c r="CW786" i="11"/>
  <c r="CY786" i="11" s="1"/>
  <c r="CX786" i="11"/>
  <c r="BW786" i="11"/>
  <c r="BX786" i="11"/>
  <c r="BY786" i="11"/>
  <c r="L786" i="11"/>
  <c r="DK786" i="11"/>
  <c r="DL786" i="11"/>
  <c r="AJ785" i="11"/>
  <c r="AK785" i="11"/>
  <c r="AD785" i="11"/>
  <c r="AL785" i="11"/>
  <c r="AW785" i="11"/>
  <c r="AY785" i="11" s="1"/>
  <c r="AX785" i="11"/>
  <c r="EE786" i="11"/>
  <c r="EA787" i="11"/>
  <c r="EI787" i="11"/>
  <c r="DZ787" i="11"/>
  <c r="EH787" i="11"/>
  <c r="EC787" i="11"/>
  <c r="ED787" i="11"/>
  <c r="DK787" i="11"/>
  <c r="CX787" i="11"/>
  <c r="P788" i="11"/>
  <c r="BS786" i="11"/>
  <c r="DF786" i="11"/>
  <c r="CD786" i="11"/>
  <c r="AB787" i="11"/>
  <c r="AC787" i="11" s="1"/>
  <c r="CQ786" i="11"/>
  <c r="DD786" i="11"/>
  <c r="BF786" i="11"/>
  <c r="BQ786" i="11"/>
  <c r="AR786" i="11"/>
  <c r="AS786" i="11"/>
  <c r="AQ786" i="11"/>
  <c r="CE787" i="11"/>
  <c r="DU787" i="11"/>
  <c r="DV787" i="11"/>
  <c r="DH787" i="11"/>
  <c r="DI787" i="11"/>
  <c r="CR787" i="11"/>
  <c r="CU787" i="11"/>
  <c r="CV787" i="11"/>
  <c r="CI787" i="11"/>
  <c r="CH787" i="11"/>
  <c r="BV787" i="11"/>
  <c r="BU787" i="11"/>
  <c r="BH787" i="11"/>
  <c r="BI787" i="11"/>
  <c r="AU787" i="11"/>
  <c r="AV787" i="11"/>
  <c r="AH787" i="11"/>
  <c r="L787" i="11" s="1"/>
  <c r="AI787" i="11"/>
  <c r="BP787" i="11"/>
  <c r="BO787" i="11"/>
  <c r="BR787" i="11" s="1"/>
  <c r="BN787" i="11"/>
  <c r="AN787" i="11"/>
  <c r="AO787" i="11"/>
  <c r="AP787" i="11"/>
  <c r="AA787" i="11"/>
  <c r="Y787" i="11"/>
  <c r="BC787" i="11"/>
  <c r="BA787" i="11"/>
  <c r="BB787" i="11"/>
  <c r="BE787" i="11" s="1"/>
  <c r="DP787" i="11"/>
  <c r="DB787" i="11"/>
  <c r="DE787" i="11" s="1"/>
  <c r="DN787" i="11"/>
  <c r="DC787" i="11"/>
  <c r="X787" i="11"/>
  <c r="CM787" i="11"/>
  <c r="CN787" i="11"/>
  <c r="CO787" i="11"/>
  <c r="CS787" i="11" s="1"/>
  <c r="BZ787" i="11"/>
  <c r="DM787" i="11"/>
  <c r="CP787" i="11"/>
  <c r="CA787" i="11"/>
  <c r="CB787" i="11"/>
  <c r="CF787" i="11" s="1"/>
  <c r="BM787" i="11"/>
  <c r="CZ787" i="11"/>
  <c r="CC787" i="11"/>
  <c r="DA787" i="11"/>
  <c r="AM787" i="11"/>
  <c r="AZ787" i="11"/>
  <c r="W788" i="11"/>
  <c r="C789" i="11"/>
  <c r="V789" i="11" l="1"/>
  <c r="A789" i="11"/>
  <c r="Z788" i="11"/>
  <c r="F788" i="11" s="1"/>
  <c r="EB788" i="11"/>
  <c r="AF788" i="11"/>
  <c r="B789" i="11"/>
  <c r="BG788" i="11"/>
  <c r="BD787" i="11"/>
  <c r="DT788" i="11"/>
  <c r="EG788" i="11"/>
  <c r="DG788" i="11"/>
  <c r="CG788" i="11"/>
  <c r="CT788" i="11"/>
  <c r="BT788" i="11"/>
  <c r="AT788" i="11"/>
  <c r="AE788" i="11"/>
  <c r="AG788" i="11"/>
  <c r="EL785" i="11"/>
  <c r="BK787" i="11"/>
  <c r="BL787" i="11"/>
  <c r="BJ787" i="11"/>
  <c r="CK787" i="11"/>
  <c r="CJ787" i="11"/>
  <c r="CL787" i="11"/>
  <c r="BW787" i="11"/>
  <c r="BX787" i="11"/>
  <c r="BY787" i="11" s="1"/>
  <c r="EJ786" i="11"/>
  <c r="EK786" i="11"/>
  <c r="EF786" i="11"/>
  <c r="M787" i="11"/>
  <c r="DJ787" i="11"/>
  <c r="CW787" i="11"/>
  <c r="CY787" i="11" s="1"/>
  <c r="AW786" i="11"/>
  <c r="AX786" i="11"/>
  <c r="AY786" i="11"/>
  <c r="DL787" i="11"/>
  <c r="AK786" i="11"/>
  <c r="AL786" i="11"/>
  <c r="AJ786" i="11"/>
  <c r="AD786" i="11"/>
  <c r="EH788" i="11"/>
  <c r="EA788" i="11"/>
  <c r="DZ788" i="11"/>
  <c r="EI788" i="11"/>
  <c r="EC788" i="11"/>
  <c r="ED788" i="11"/>
  <c r="EE787" i="11"/>
  <c r="DK788" i="11"/>
  <c r="DL788" i="11" s="1"/>
  <c r="P789" i="11"/>
  <c r="BQ787" i="11"/>
  <c r="BS787" i="11"/>
  <c r="CD787" i="11"/>
  <c r="CQ787" i="11"/>
  <c r="AB788" i="11"/>
  <c r="AC788" i="11" s="1"/>
  <c r="DD787" i="11"/>
  <c r="BF787" i="11"/>
  <c r="DF787" i="11"/>
  <c r="AR787" i="11"/>
  <c r="AS787" i="11"/>
  <c r="AQ787" i="11"/>
  <c r="CE788" i="11"/>
  <c r="DV788" i="11"/>
  <c r="DU788" i="11"/>
  <c r="DJ788" i="11"/>
  <c r="DH788" i="11"/>
  <c r="DI788" i="11"/>
  <c r="CR788" i="11"/>
  <c r="CV788" i="11"/>
  <c r="CU788" i="11"/>
  <c r="CI788" i="11"/>
  <c r="CH788" i="11"/>
  <c r="BU788" i="11"/>
  <c r="BV788" i="11"/>
  <c r="BH788" i="11"/>
  <c r="BI788" i="11"/>
  <c r="AU788" i="11"/>
  <c r="AV788" i="11"/>
  <c r="AH788" i="11"/>
  <c r="L788" i="11" s="1"/>
  <c r="AI788" i="11"/>
  <c r="BP788" i="11"/>
  <c r="BN788" i="11"/>
  <c r="BO788" i="11"/>
  <c r="BR788" i="11" s="1"/>
  <c r="AO788" i="11"/>
  <c r="AP788" i="11"/>
  <c r="AA788" i="11"/>
  <c r="AN788" i="11"/>
  <c r="Y788" i="11"/>
  <c r="BA788" i="11"/>
  <c r="BB788" i="11"/>
  <c r="BE788" i="11" s="1"/>
  <c r="BC788" i="11"/>
  <c r="DM788" i="11"/>
  <c r="DN788" i="11"/>
  <c r="CZ788" i="11"/>
  <c r="DP788" i="11"/>
  <c r="CP788" i="11"/>
  <c r="CA788" i="11"/>
  <c r="AM788" i="11"/>
  <c r="DA788" i="11"/>
  <c r="CB788" i="11"/>
  <c r="CD788" i="11" s="1"/>
  <c r="X788" i="11"/>
  <c r="DB788" i="11"/>
  <c r="DE788" i="11" s="1"/>
  <c r="CC788" i="11"/>
  <c r="DC788" i="11"/>
  <c r="CM788" i="11"/>
  <c r="CN788" i="11"/>
  <c r="BM788" i="11"/>
  <c r="CO788" i="11"/>
  <c r="CS788" i="11" s="1"/>
  <c r="BZ788" i="11"/>
  <c r="AZ788" i="11"/>
  <c r="W789" i="11"/>
  <c r="C790" i="11"/>
  <c r="V790" i="11" l="1"/>
  <c r="A790" i="11"/>
  <c r="EB789" i="11"/>
  <c r="ED789" i="11" s="1"/>
  <c r="Z789" i="11"/>
  <c r="F789" i="11" s="1"/>
  <c r="AF789" i="11"/>
  <c r="B790" i="11"/>
  <c r="BG789" i="11"/>
  <c r="BD788" i="11"/>
  <c r="EG789" i="11"/>
  <c r="DG789" i="11"/>
  <c r="DT789" i="11"/>
  <c r="CT789" i="11"/>
  <c r="CG789" i="11"/>
  <c r="BT789" i="11"/>
  <c r="AT789" i="11"/>
  <c r="AE789" i="11"/>
  <c r="AG789" i="11"/>
  <c r="EL786" i="11"/>
  <c r="CX788" i="11"/>
  <c r="CW788" i="11"/>
  <c r="CY788" i="11" s="1"/>
  <c r="CJ788" i="11"/>
  <c r="CL788" i="11" s="1"/>
  <c r="CK788" i="11"/>
  <c r="BX788" i="11"/>
  <c r="BY788" i="11"/>
  <c r="BW788" i="11"/>
  <c r="BJ788" i="11"/>
  <c r="BK788" i="11"/>
  <c r="BL788" i="11" s="1"/>
  <c r="M788" i="11"/>
  <c r="AW787" i="11"/>
  <c r="AX787" i="11"/>
  <c r="AY787" i="11" s="1"/>
  <c r="EK787" i="11"/>
  <c r="EJ787" i="11"/>
  <c r="EL787" i="11" s="1"/>
  <c r="AK787" i="11"/>
  <c r="AJ787" i="11"/>
  <c r="AD787" i="11"/>
  <c r="EF787" i="11"/>
  <c r="EE788" i="11"/>
  <c r="EH789" i="11"/>
  <c r="EI789" i="11"/>
  <c r="EA789" i="11"/>
  <c r="DZ789" i="11"/>
  <c r="EC789" i="11"/>
  <c r="BW789" i="11"/>
  <c r="P790" i="11"/>
  <c r="BS788" i="11"/>
  <c r="CF788" i="11"/>
  <c r="CQ788" i="11"/>
  <c r="DD788" i="11"/>
  <c r="AB789" i="11"/>
  <c r="AC789" i="11" s="1"/>
  <c r="BF788" i="11"/>
  <c r="DF788" i="11"/>
  <c r="BQ788" i="11"/>
  <c r="AR788" i="11"/>
  <c r="AS788" i="11"/>
  <c r="AQ788" i="11"/>
  <c r="CE789" i="11"/>
  <c r="DU789" i="11"/>
  <c r="DV789" i="11"/>
  <c r="DI789" i="11"/>
  <c r="DH789" i="11"/>
  <c r="CU789" i="11"/>
  <c r="CR789" i="11"/>
  <c r="CV789" i="11"/>
  <c r="CI789" i="11"/>
  <c r="CH789" i="11"/>
  <c r="BU789" i="11"/>
  <c r="BV789" i="11"/>
  <c r="BH789" i="11"/>
  <c r="BI789" i="11"/>
  <c r="AU789" i="11"/>
  <c r="AV789" i="11"/>
  <c r="AH789" i="11"/>
  <c r="AI789" i="11"/>
  <c r="BP789" i="11"/>
  <c r="BN789" i="11"/>
  <c r="BO789" i="11"/>
  <c r="BR789" i="11" s="1"/>
  <c r="AP789" i="11"/>
  <c r="AO789" i="11"/>
  <c r="Y789" i="11"/>
  <c r="AN789" i="11"/>
  <c r="AA789" i="11"/>
  <c r="BA789" i="11"/>
  <c r="BC789" i="11"/>
  <c r="BB789" i="11"/>
  <c r="BE789" i="11" s="1"/>
  <c r="DP789" i="11"/>
  <c r="DB789" i="11"/>
  <c r="DE789" i="11" s="1"/>
  <c r="DN789" i="11"/>
  <c r="AZ789" i="11"/>
  <c r="CM789" i="11"/>
  <c r="AM789" i="11"/>
  <c r="CN789" i="11"/>
  <c r="X789" i="11"/>
  <c r="CO789" i="11"/>
  <c r="CQ789" i="11" s="1"/>
  <c r="BZ789" i="11"/>
  <c r="CZ789" i="11"/>
  <c r="CP789" i="11"/>
  <c r="CA789" i="11"/>
  <c r="DM789" i="11"/>
  <c r="DA789" i="11"/>
  <c r="CB789" i="11"/>
  <c r="CD789" i="11" s="1"/>
  <c r="DC789" i="11"/>
  <c r="CC789" i="11"/>
  <c r="BM789" i="11"/>
  <c r="W790" i="11"/>
  <c r="C791" i="11"/>
  <c r="V791" i="11" l="1"/>
  <c r="A791" i="11"/>
  <c r="EB790" i="11"/>
  <c r="ED790" i="11" s="1"/>
  <c r="Z790" i="11"/>
  <c r="F790" i="11" s="1"/>
  <c r="AF790" i="11"/>
  <c r="B791" i="11"/>
  <c r="BG790" i="11"/>
  <c r="BD789" i="11"/>
  <c r="DT790" i="11"/>
  <c r="EG790" i="11"/>
  <c r="DG790" i="11"/>
  <c r="CT790" i="11"/>
  <c r="CG790" i="11"/>
  <c r="BT790" i="11"/>
  <c r="AT790" i="11"/>
  <c r="AE790" i="11"/>
  <c r="AG790" i="11"/>
  <c r="CW789" i="11"/>
  <c r="CY789" i="11" s="1"/>
  <c r="CX789" i="11"/>
  <c r="BK789" i="11"/>
  <c r="BJ789" i="11"/>
  <c r="BL789" i="11" s="1"/>
  <c r="DJ789" i="11"/>
  <c r="DK789" i="11"/>
  <c r="DL789" i="11" s="1"/>
  <c r="EK788" i="11"/>
  <c r="EJ788" i="11"/>
  <c r="EF788" i="11"/>
  <c r="CJ789" i="11"/>
  <c r="CK789" i="11"/>
  <c r="CL789" i="11"/>
  <c r="M789" i="11"/>
  <c r="AL787" i="11"/>
  <c r="L789" i="11"/>
  <c r="AX788" i="11"/>
  <c r="AY788" i="11" s="1"/>
  <c r="AW788" i="11"/>
  <c r="BX789" i="11"/>
  <c r="BY789" i="11"/>
  <c r="AD788" i="11"/>
  <c r="AK788" i="11"/>
  <c r="AL788" i="11" s="1"/>
  <c r="AJ788" i="11"/>
  <c r="EC790" i="11"/>
  <c r="DZ790" i="11"/>
  <c r="EI790" i="11"/>
  <c r="EA790" i="11"/>
  <c r="EH790" i="11"/>
  <c r="EE789" i="11"/>
  <c r="CJ790" i="11"/>
  <c r="P791" i="11"/>
  <c r="CS789" i="11"/>
  <c r="AB790" i="11"/>
  <c r="AC790" i="11" s="1"/>
  <c r="DD789" i="11"/>
  <c r="CF789" i="11"/>
  <c r="BF789" i="11"/>
  <c r="DF789" i="11"/>
  <c r="BQ789" i="11"/>
  <c r="BS789" i="11"/>
  <c r="AR789" i="11"/>
  <c r="AS789" i="11"/>
  <c r="AQ789" i="11"/>
  <c r="CE790" i="11"/>
  <c r="DU790" i="11"/>
  <c r="DV790" i="11"/>
  <c r="DH790" i="11"/>
  <c r="DI790" i="11"/>
  <c r="CR790" i="11"/>
  <c r="CU790" i="11"/>
  <c r="CV790" i="11"/>
  <c r="CI790" i="11"/>
  <c r="CH790" i="11"/>
  <c r="BU790" i="11"/>
  <c r="BV790" i="11"/>
  <c r="BH790" i="11"/>
  <c r="BI790" i="11"/>
  <c r="AU790" i="11"/>
  <c r="AV790" i="11"/>
  <c r="AH790" i="11"/>
  <c r="AI790" i="11"/>
  <c r="BO790" i="11"/>
  <c r="BR790" i="11" s="1"/>
  <c r="BN790" i="11"/>
  <c r="BP790" i="11"/>
  <c r="W791" i="11"/>
  <c r="AN790" i="11"/>
  <c r="AO790" i="11"/>
  <c r="AP790" i="11"/>
  <c r="Y790" i="11"/>
  <c r="AA790" i="11"/>
  <c r="BC790" i="11"/>
  <c r="BA790" i="11"/>
  <c r="BB790" i="11"/>
  <c r="BE790" i="11" s="1"/>
  <c r="DM790" i="11"/>
  <c r="DN790" i="11"/>
  <c r="CZ790" i="11"/>
  <c r="DP790" i="11"/>
  <c r="DB790" i="11"/>
  <c r="DE790" i="11" s="1"/>
  <c r="CP790" i="11"/>
  <c r="CA790" i="11"/>
  <c r="BM790" i="11"/>
  <c r="DC790" i="11"/>
  <c r="CB790" i="11"/>
  <c r="CF790" i="11" s="1"/>
  <c r="AZ790" i="11"/>
  <c r="CC790" i="11"/>
  <c r="AM790" i="11"/>
  <c r="X790" i="11"/>
  <c r="CM790" i="11"/>
  <c r="CN790" i="11"/>
  <c r="DA790" i="11"/>
  <c r="CO790" i="11"/>
  <c r="CS790" i="11" s="1"/>
  <c r="BZ790" i="11"/>
  <c r="C792" i="11"/>
  <c r="V792" i="11" l="1"/>
  <c r="A792" i="11"/>
  <c r="EB791" i="11"/>
  <c r="ED791" i="11" s="1"/>
  <c r="Z791" i="11"/>
  <c r="F791" i="11" s="1"/>
  <c r="AF791" i="11"/>
  <c r="B792" i="11"/>
  <c r="BG791" i="11"/>
  <c r="BD790" i="11"/>
  <c r="EG791" i="11"/>
  <c r="DT791" i="11"/>
  <c r="DG791" i="11"/>
  <c r="CT791" i="11"/>
  <c r="BT791" i="11"/>
  <c r="CG791" i="11"/>
  <c r="AT791" i="11"/>
  <c r="AE791" i="11"/>
  <c r="AG791" i="11"/>
  <c r="EL788" i="11"/>
  <c r="DJ790" i="11"/>
  <c r="DK790" i="11"/>
  <c r="DL790" i="11" s="1"/>
  <c r="BX790" i="11"/>
  <c r="BW790" i="11"/>
  <c r="BY790" i="11"/>
  <c r="BK790" i="11"/>
  <c r="BL790" i="11" s="1"/>
  <c r="BJ790" i="11"/>
  <c r="CL790" i="11"/>
  <c r="CW790" i="11"/>
  <c r="CX790" i="11"/>
  <c r="CY790" i="11"/>
  <c r="CK790" i="11"/>
  <c r="AW789" i="11"/>
  <c r="AY789" i="11" s="1"/>
  <c r="AX789" i="11"/>
  <c r="EK789" i="11"/>
  <c r="EJ789" i="11"/>
  <c r="EF789" i="11"/>
  <c r="M790" i="11"/>
  <c r="L790" i="11"/>
  <c r="AJ789" i="11"/>
  <c r="AK789" i="11"/>
  <c r="AD789" i="11"/>
  <c r="EA791" i="11"/>
  <c r="EI791" i="11"/>
  <c r="EC791" i="11"/>
  <c r="DZ791" i="11"/>
  <c r="EH791" i="11"/>
  <c r="EE790" i="11"/>
  <c r="P792" i="11"/>
  <c r="BQ790" i="11"/>
  <c r="CQ790" i="11"/>
  <c r="BS790" i="11"/>
  <c r="CD790" i="11"/>
  <c r="BF790" i="11"/>
  <c r="DD790" i="11"/>
  <c r="AB791" i="11"/>
  <c r="DF790" i="11"/>
  <c r="AR790" i="11"/>
  <c r="AS790" i="11"/>
  <c r="AQ790" i="11"/>
  <c r="CE791" i="11"/>
  <c r="DU791" i="11"/>
  <c r="DV791" i="11"/>
  <c r="DH791" i="11"/>
  <c r="DI791" i="11"/>
  <c r="CV791" i="11"/>
  <c r="CR791" i="11"/>
  <c r="CU791" i="11"/>
  <c r="CI791" i="11"/>
  <c r="CH791" i="11"/>
  <c r="BU791" i="11"/>
  <c r="BV791" i="11"/>
  <c r="BH791" i="11"/>
  <c r="BI791" i="11"/>
  <c r="AU791" i="11"/>
  <c r="AV791" i="11"/>
  <c r="AH791" i="11"/>
  <c r="AI791" i="11"/>
  <c r="BO791" i="11"/>
  <c r="BR791" i="11" s="1"/>
  <c r="BP791" i="11"/>
  <c r="BN791" i="11"/>
  <c r="W792" i="11"/>
  <c r="AN791" i="11"/>
  <c r="AO791" i="11"/>
  <c r="AC791" i="11"/>
  <c r="AA791" i="11"/>
  <c r="Y791" i="11"/>
  <c r="AP791" i="11"/>
  <c r="BA791" i="11"/>
  <c r="BC791" i="11"/>
  <c r="BB791" i="11"/>
  <c r="BE791" i="11" s="1"/>
  <c r="DP791" i="11"/>
  <c r="DB791" i="11"/>
  <c r="DE791" i="11" s="1"/>
  <c r="DN791" i="11"/>
  <c r="CM791" i="11"/>
  <c r="BM791" i="11"/>
  <c r="CZ791" i="11"/>
  <c r="CN791" i="11"/>
  <c r="AZ791" i="11"/>
  <c r="DA791" i="11"/>
  <c r="CO791" i="11"/>
  <c r="CS791" i="11" s="1"/>
  <c r="BZ791" i="11"/>
  <c r="AM791" i="11"/>
  <c r="DC791" i="11"/>
  <c r="CP791" i="11"/>
  <c r="CA791" i="11"/>
  <c r="X791" i="11"/>
  <c r="CB791" i="11"/>
  <c r="CD791" i="11" s="1"/>
  <c r="DM791" i="11"/>
  <c r="CC791" i="11"/>
  <c r="C793" i="11"/>
  <c r="V793" i="11" l="1"/>
  <c r="A793" i="11"/>
  <c r="EB792" i="11"/>
  <c r="ED792" i="11" s="1"/>
  <c r="Z792" i="11"/>
  <c r="F792" i="11" s="1"/>
  <c r="AF792" i="11"/>
  <c r="B793" i="11"/>
  <c r="BG792" i="11"/>
  <c r="BD791" i="11"/>
  <c r="EG792" i="11"/>
  <c r="DT792" i="11"/>
  <c r="DG792" i="11"/>
  <c r="CT792" i="11"/>
  <c r="CG792" i="11"/>
  <c r="BT792" i="11"/>
  <c r="AT792" i="11"/>
  <c r="AE792" i="11"/>
  <c r="AG792" i="11"/>
  <c r="EL789" i="11"/>
  <c r="BK791" i="11"/>
  <c r="BJ791" i="11"/>
  <c r="BL791" i="11" s="1"/>
  <c r="CX791" i="11"/>
  <c r="CY791" i="11"/>
  <c r="CW791" i="11"/>
  <c r="BW791" i="11"/>
  <c r="BX791" i="11"/>
  <c r="BY791" i="11" s="1"/>
  <c r="EJ790" i="11"/>
  <c r="EK790" i="11"/>
  <c r="EF790" i="11"/>
  <c r="DL791" i="11"/>
  <c r="DK791" i="11"/>
  <c r="DJ791" i="11"/>
  <c r="CJ791" i="11"/>
  <c r="CL791" i="11" s="1"/>
  <c r="CK791" i="11"/>
  <c r="AJ790" i="11"/>
  <c r="AD790" i="11"/>
  <c r="AK790" i="11"/>
  <c r="AX790" i="11"/>
  <c r="AW790" i="11"/>
  <c r="AY790" i="11" s="1"/>
  <c r="M791" i="11"/>
  <c r="L791" i="11"/>
  <c r="AL789" i="11"/>
  <c r="EC792" i="11"/>
  <c r="EI792" i="11"/>
  <c r="EH792" i="11"/>
  <c r="EA792" i="11"/>
  <c r="DZ792" i="11"/>
  <c r="EE791" i="11"/>
  <c r="DK792" i="11"/>
  <c r="BY792" i="11"/>
  <c r="P793" i="11"/>
  <c r="CQ791" i="11"/>
  <c r="BF791" i="11"/>
  <c r="DD791" i="11"/>
  <c r="AB792" i="11"/>
  <c r="DF791" i="11"/>
  <c r="BQ791" i="11"/>
  <c r="CF791" i="11"/>
  <c r="BS791" i="11"/>
  <c r="AR791" i="11"/>
  <c r="AS791" i="11"/>
  <c r="AQ791" i="11"/>
  <c r="CE792" i="11"/>
  <c r="DV792" i="11"/>
  <c r="DU792" i="11"/>
  <c r="DI792" i="11"/>
  <c r="DH792" i="11"/>
  <c r="CU792" i="11"/>
  <c r="CV792" i="11"/>
  <c r="CR792" i="11"/>
  <c r="CI792" i="11"/>
  <c r="CH792" i="11"/>
  <c r="BV792" i="11"/>
  <c r="BW792" i="11"/>
  <c r="BK792" i="11"/>
  <c r="BU792" i="11"/>
  <c r="BL792" i="11"/>
  <c r="BX792" i="11"/>
  <c r="BJ792" i="11"/>
  <c r="BH792" i="11"/>
  <c r="BI792" i="11"/>
  <c r="AU792" i="11"/>
  <c r="AV792" i="11"/>
  <c r="AH792" i="11"/>
  <c r="AI792" i="11"/>
  <c r="M792" i="11" s="1"/>
  <c r="BP792" i="11"/>
  <c r="BN792" i="11"/>
  <c r="BO792" i="11"/>
  <c r="BR792" i="11" s="1"/>
  <c r="AO792" i="11"/>
  <c r="AP792" i="11"/>
  <c r="Y792" i="11"/>
  <c r="AC792" i="11"/>
  <c r="AA792" i="11"/>
  <c r="AN792" i="11"/>
  <c r="BA792" i="11"/>
  <c r="BB792" i="11"/>
  <c r="BE792" i="11" s="1"/>
  <c r="BC792" i="11"/>
  <c r="DM792" i="11"/>
  <c r="DN792" i="11"/>
  <c r="CZ792" i="11"/>
  <c r="DP792" i="11"/>
  <c r="CP792" i="11"/>
  <c r="CA792" i="11"/>
  <c r="CB792" i="11"/>
  <c r="CD792" i="11" s="1"/>
  <c r="CC792" i="11"/>
  <c r="BM792" i="11"/>
  <c r="AZ792" i="11"/>
  <c r="AM792" i="11"/>
  <c r="DA792" i="11"/>
  <c r="CM792" i="11"/>
  <c r="DB792" i="11"/>
  <c r="DE792" i="11" s="1"/>
  <c r="CN792" i="11"/>
  <c r="DC792" i="11"/>
  <c r="CO792" i="11"/>
  <c r="CS792" i="11" s="1"/>
  <c r="BZ792" i="11"/>
  <c r="X792" i="11"/>
  <c r="W793" i="11"/>
  <c r="C794" i="11"/>
  <c r="V794" i="11" l="1"/>
  <c r="A794" i="11"/>
  <c r="EB793" i="11"/>
  <c r="ED793" i="11" s="1"/>
  <c r="Z793" i="11"/>
  <c r="F793" i="11" s="1"/>
  <c r="AF793" i="11"/>
  <c r="B794" i="11"/>
  <c r="BD792" i="11"/>
  <c r="BG793" i="11"/>
  <c r="DT793" i="11"/>
  <c r="EG793" i="11"/>
  <c r="DG793" i="11"/>
  <c r="CG793" i="11"/>
  <c r="CT793" i="11"/>
  <c r="BT793" i="11"/>
  <c r="AT793" i="11"/>
  <c r="AE793" i="11"/>
  <c r="AG793" i="11"/>
  <c r="EL790" i="11"/>
  <c r="CK792" i="11"/>
  <c r="CL792" i="11"/>
  <c r="CJ792" i="11"/>
  <c r="EK791" i="11"/>
  <c r="EJ791" i="11"/>
  <c r="EL791" i="11" s="1"/>
  <c r="EF791" i="11"/>
  <c r="CW792" i="11"/>
  <c r="CX792" i="11"/>
  <c r="CY792" i="11"/>
  <c r="DJ792" i="11"/>
  <c r="DL792" i="11" s="1"/>
  <c r="L792" i="11"/>
  <c r="AJ791" i="11"/>
  <c r="AL791" i="11" s="1"/>
  <c r="AD791" i="11"/>
  <c r="AK791" i="11"/>
  <c r="AW791" i="11"/>
  <c r="AX791" i="11"/>
  <c r="AY791" i="11"/>
  <c r="AL790" i="11"/>
  <c r="EE792" i="11"/>
  <c r="EC793" i="11"/>
  <c r="EI793" i="11"/>
  <c r="EH793" i="11"/>
  <c r="EA793" i="11"/>
  <c r="DZ793" i="11"/>
  <c r="P794" i="11"/>
  <c r="CQ792" i="11"/>
  <c r="CF792" i="11"/>
  <c r="BF792" i="11"/>
  <c r="DD792" i="11"/>
  <c r="DF792" i="11"/>
  <c r="BQ792" i="11"/>
  <c r="AB793" i="11"/>
  <c r="BS792" i="11"/>
  <c r="AR792" i="11"/>
  <c r="AS792" i="11"/>
  <c r="AQ792" i="11"/>
  <c r="CE793" i="11"/>
  <c r="DU793" i="11"/>
  <c r="DV793" i="11"/>
  <c r="DH793" i="11"/>
  <c r="DI793" i="11"/>
  <c r="CU793" i="11"/>
  <c r="CV793" i="11"/>
  <c r="CR793" i="11"/>
  <c r="CI793" i="11"/>
  <c r="CH793" i="11"/>
  <c r="BU793" i="11"/>
  <c r="BV793" i="11"/>
  <c r="BI793" i="11"/>
  <c r="BH793" i="11"/>
  <c r="AV793" i="11"/>
  <c r="AU793" i="11"/>
  <c r="AH793" i="11"/>
  <c r="AC793" i="11"/>
  <c r="AI793" i="11"/>
  <c r="BN793" i="11"/>
  <c r="BO793" i="11"/>
  <c r="BR793" i="11" s="1"/>
  <c r="BP793" i="11"/>
  <c r="W794" i="11"/>
  <c r="AP793" i="11"/>
  <c r="AN793" i="11"/>
  <c r="AO793" i="11"/>
  <c r="Y793" i="11"/>
  <c r="AA793" i="11"/>
  <c r="BB793" i="11"/>
  <c r="BE793" i="11" s="1"/>
  <c r="BC793" i="11"/>
  <c r="BA793" i="11"/>
  <c r="DP793" i="11"/>
  <c r="DB793" i="11"/>
  <c r="DE793" i="11" s="1"/>
  <c r="DN793" i="11"/>
  <c r="CZ793" i="11"/>
  <c r="DA793" i="11"/>
  <c r="CM793" i="11"/>
  <c r="DC793" i="11"/>
  <c r="CN793" i="11"/>
  <c r="CO793" i="11"/>
  <c r="CS793" i="11" s="1"/>
  <c r="BZ793" i="11"/>
  <c r="BM793" i="11"/>
  <c r="CP793" i="11"/>
  <c r="CA793" i="11"/>
  <c r="AZ793" i="11"/>
  <c r="CB793" i="11"/>
  <c r="CF793" i="11" s="1"/>
  <c r="CC793" i="11"/>
  <c r="DM793" i="11"/>
  <c r="X793" i="11"/>
  <c r="AM793" i="11"/>
  <c r="C795" i="11"/>
  <c r="V795" i="11" l="1"/>
  <c r="A795" i="11"/>
  <c r="EB794" i="11"/>
  <c r="Z794" i="11"/>
  <c r="F794" i="11" s="1"/>
  <c r="AF794" i="11"/>
  <c r="B795" i="11"/>
  <c r="BD793" i="11"/>
  <c r="BG794" i="11"/>
  <c r="EG794" i="11"/>
  <c r="DT794" i="11"/>
  <c r="DG794" i="11"/>
  <c r="CT794" i="11"/>
  <c r="CG794" i="11"/>
  <c r="BT794" i="11"/>
  <c r="AT794" i="11"/>
  <c r="AE794" i="11"/>
  <c r="AG794" i="11"/>
  <c r="CW793" i="11"/>
  <c r="CY793" i="11" s="1"/>
  <c r="CX793" i="11"/>
  <c r="BJ793" i="11"/>
  <c r="BL793" i="11" s="1"/>
  <c r="BK793" i="11"/>
  <c r="EJ792" i="11"/>
  <c r="EK792" i="11"/>
  <c r="EF792" i="11"/>
  <c r="CJ793" i="11"/>
  <c r="CL793" i="11" s="1"/>
  <c r="CK793" i="11"/>
  <c r="BW793" i="11"/>
  <c r="BX793" i="11"/>
  <c r="BY793" i="11"/>
  <c r="DJ793" i="11"/>
  <c r="DL793" i="11" s="1"/>
  <c r="DK793" i="11"/>
  <c r="AD792" i="11"/>
  <c r="AK792" i="11"/>
  <c r="AJ792" i="11"/>
  <c r="AW792" i="11"/>
  <c r="AX792" i="11"/>
  <c r="AY792" i="11"/>
  <c r="L793" i="11"/>
  <c r="M793" i="11"/>
  <c r="ED794" i="11"/>
  <c r="EH794" i="11"/>
  <c r="EC794" i="11"/>
  <c r="EI794" i="11"/>
  <c r="EA794" i="11"/>
  <c r="DZ794" i="11"/>
  <c r="EE793" i="11"/>
  <c r="P795" i="11"/>
  <c r="DD793" i="11"/>
  <c r="BF793" i="11"/>
  <c r="DF793" i="11"/>
  <c r="BS793" i="11"/>
  <c r="CD793" i="11"/>
  <c r="BQ793" i="11"/>
  <c r="CQ793" i="11"/>
  <c r="AB794" i="11"/>
  <c r="AC794" i="11" s="1"/>
  <c r="AR793" i="11"/>
  <c r="AS793" i="11"/>
  <c r="AQ793" i="11"/>
  <c r="CE794" i="11"/>
  <c r="DU794" i="11"/>
  <c r="DV794" i="11"/>
  <c r="DI794" i="11"/>
  <c r="DH794" i="11"/>
  <c r="CR794" i="11"/>
  <c r="CU794" i="11"/>
  <c r="CV794" i="11"/>
  <c r="CI794" i="11"/>
  <c r="CH794" i="11"/>
  <c r="BU794" i="11"/>
  <c r="BV794" i="11"/>
  <c r="BI794" i="11"/>
  <c r="BH794" i="11"/>
  <c r="AU794" i="11"/>
  <c r="AV794" i="11"/>
  <c r="AI794" i="11"/>
  <c r="M794" i="11" s="1"/>
  <c r="AH794" i="11"/>
  <c r="L794" i="11" s="1"/>
  <c r="BN794" i="11"/>
  <c r="BO794" i="11"/>
  <c r="BR794" i="11" s="1"/>
  <c r="BP794" i="11"/>
  <c r="W795" i="11"/>
  <c r="AN794" i="11"/>
  <c r="AO794" i="11"/>
  <c r="AP794" i="11"/>
  <c r="Y794" i="11"/>
  <c r="AA794" i="11"/>
  <c r="BA794" i="11"/>
  <c r="BB794" i="11"/>
  <c r="BE794" i="11" s="1"/>
  <c r="BC794" i="11"/>
  <c r="DM794" i="11"/>
  <c r="DN794" i="11"/>
  <c r="CZ794" i="11"/>
  <c r="DP794" i="11"/>
  <c r="CP794" i="11"/>
  <c r="CA794" i="11"/>
  <c r="CB794" i="11"/>
  <c r="CF794" i="11" s="1"/>
  <c r="CC794" i="11"/>
  <c r="DA794" i="11"/>
  <c r="DB794" i="11"/>
  <c r="DE794" i="11" s="1"/>
  <c r="BM794" i="11"/>
  <c r="DC794" i="11"/>
  <c r="CM794" i="11"/>
  <c r="AZ794" i="11"/>
  <c r="CN794" i="11"/>
  <c r="CO794" i="11"/>
  <c r="CS794" i="11" s="1"/>
  <c r="BZ794" i="11"/>
  <c r="X794" i="11"/>
  <c r="AM794" i="11"/>
  <c r="C796" i="11"/>
  <c r="V796" i="11" l="1"/>
  <c r="A796" i="11"/>
  <c r="EB795" i="11"/>
  <c r="ED795" i="11" s="1"/>
  <c r="Z795" i="11"/>
  <c r="F795" i="11" s="1"/>
  <c r="AF795" i="11"/>
  <c r="B796" i="11"/>
  <c r="BG795" i="11"/>
  <c r="BD794" i="11"/>
  <c r="DT795" i="11"/>
  <c r="EG795" i="11"/>
  <c r="DG795" i="11"/>
  <c r="CG795" i="11"/>
  <c r="BT795" i="11"/>
  <c r="CT795" i="11"/>
  <c r="AT795" i="11"/>
  <c r="AE795" i="11"/>
  <c r="AG795" i="11"/>
  <c r="EL792" i="11"/>
  <c r="CW794" i="11"/>
  <c r="CY794" i="11" s="1"/>
  <c r="CX794" i="11"/>
  <c r="BW794" i="11"/>
  <c r="BY794" i="11" s="1"/>
  <c r="BX794" i="11"/>
  <c r="EJ793" i="11"/>
  <c r="EK793" i="11"/>
  <c r="EF793" i="11"/>
  <c r="CK794" i="11"/>
  <c r="CJ794" i="11"/>
  <c r="CL794" i="11" s="1"/>
  <c r="BJ794" i="11"/>
  <c r="BL794" i="11" s="1"/>
  <c r="BK794" i="11"/>
  <c r="DK794" i="11"/>
  <c r="DL794" i="11"/>
  <c r="DJ794" i="11"/>
  <c r="AJ793" i="11"/>
  <c r="AK793" i="11"/>
  <c r="AL793" i="11" s="1"/>
  <c r="AD793" i="11"/>
  <c r="AL792" i="11"/>
  <c r="AW793" i="11"/>
  <c r="AY793" i="11" s="1"/>
  <c r="AX793" i="11"/>
  <c r="EE794" i="11"/>
  <c r="DZ795" i="11"/>
  <c r="EC795" i="11"/>
  <c r="EI795" i="11"/>
  <c r="EH795" i="11"/>
  <c r="EA795" i="11"/>
  <c r="P796" i="11"/>
  <c r="DF794" i="11"/>
  <c r="BF794" i="11"/>
  <c r="BQ794" i="11"/>
  <c r="BS794" i="11"/>
  <c r="CD794" i="11"/>
  <c r="CQ794" i="11"/>
  <c r="AB795" i="11"/>
  <c r="AC795" i="11" s="1"/>
  <c r="DD794" i="11"/>
  <c r="AR794" i="11"/>
  <c r="AS794" i="11"/>
  <c r="AQ794" i="11"/>
  <c r="CE795" i="11"/>
  <c r="DU795" i="11"/>
  <c r="DV795" i="11"/>
  <c r="DH795" i="11"/>
  <c r="DI795" i="11"/>
  <c r="CR795" i="11"/>
  <c r="CU795" i="11"/>
  <c r="CV795" i="11"/>
  <c r="CI795" i="11"/>
  <c r="CH795" i="11"/>
  <c r="BV795" i="11"/>
  <c r="BU795" i="11"/>
  <c r="BH795" i="11"/>
  <c r="BI795" i="11"/>
  <c r="AU795" i="11"/>
  <c r="AV795" i="11"/>
  <c r="AH795" i="11"/>
  <c r="AI795" i="11"/>
  <c r="M795" i="11" s="1"/>
  <c r="BP795" i="11"/>
  <c r="BN795" i="11"/>
  <c r="BO795" i="11"/>
  <c r="BR795" i="11" s="1"/>
  <c r="W796" i="11"/>
  <c r="AN795" i="11"/>
  <c r="AO795" i="11"/>
  <c r="AP795" i="11"/>
  <c r="AA795" i="11"/>
  <c r="Y795" i="11"/>
  <c r="BA795" i="11"/>
  <c r="BB795" i="11"/>
  <c r="BE795" i="11" s="1"/>
  <c r="BC795" i="11"/>
  <c r="DP795" i="11"/>
  <c r="DB795" i="11"/>
  <c r="DE795" i="11" s="1"/>
  <c r="DN795" i="11"/>
  <c r="DM795" i="11"/>
  <c r="DC795" i="11"/>
  <c r="X795" i="11"/>
  <c r="CM795" i="11"/>
  <c r="CN795" i="11"/>
  <c r="CO795" i="11"/>
  <c r="CS795" i="11" s="1"/>
  <c r="BZ795" i="11"/>
  <c r="CP795" i="11"/>
  <c r="CA795" i="11"/>
  <c r="CB795" i="11"/>
  <c r="CF795" i="11" s="1"/>
  <c r="BM795" i="11"/>
  <c r="CZ795" i="11"/>
  <c r="CC795" i="11"/>
  <c r="DA795" i="11"/>
  <c r="AM795" i="11"/>
  <c r="AZ795" i="11"/>
  <c r="C797" i="11"/>
  <c r="V797" i="11" l="1"/>
  <c r="A797" i="11"/>
  <c r="Z796" i="11"/>
  <c r="F796" i="11" s="1"/>
  <c r="EB796" i="11"/>
  <c r="ED796" i="11" s="1"/>
  <c r="AF796" i="11"/>
  <c r="B797" i="11"/>
  <c r="BG796" i="11"/>
  <c r="BD795" i="11"/>
  <c r="DT796" i="11"/>
  <c r="EG796" i="11"/>
  <c r="DG796" i="11"/>
  <c r="CG796" i="11"/>
  <c r="CT796" i="11"/>
  <c r="BT796" i="11"/>
  <c r="AT796" i="11"/>
  <c r="AE796" i="11"/>
  <c r="AG796" i="11"/>
  <c r="EL793" i="11"/>
  <c r="CW795" i="11"/>
  <c r="CY795" i="11" s="1"/>
  <c r="CX795" i="11"/>
  <c r="BJ795" i="11"/>
  <c r="BK795" i="11"/>
  <c r="BL795" i="11" s="1"/>
  <c r="BW795" i="11"/>
  <c r="BX795" i="11"/>
  <c r="BY795" i="11" s="1"/>
  <c r="DK795" i="11"/>
  <c r="DJ795" i="11"/>
  <c r="DL795" i="11" s="1"/>
  <c r="EJ794" i="11"/>
  <c r="EK794" i="11"/>
  <c r="EF794" i="11"/>
  <c r="CJ795" i="11"/>
  <c r="CK795" i="11"/>
  <c r="CL795" i="11" s="1"/>
  <c r="L795" i="11"/>
  <c r="AJ794" i="11"/>
  <c r="AL794" i="11" s="1"/>
  <c r="AK794" i="11"/>
  <c r="AD794" i="11"/>
  <c r="AX794" i="11"/>
  <c r="AW794" i="11"/>
  <c r="AY794" i="11" s="1"/>
  <c r="DZ796" i="11"/>
  <c r="EI796" i="11"/>
  <c r="EC796" i="11"/>
  <c r="EH796" i="11"/>
  <c r="EA796" i="11"/>
  <c r="EE795" i="11"/>
  <c r="EF795" i="11" s="1"/>
  <c r="CW796" i="11"/>
  <c r="P797" i="11"/>
  <c r="CD795" i="11"/>
  <c r="CQ795" i="11"/>
  <c r="DD795" i="11"/>
  <c r="BF795" i="11"/>
  <c r="DF795" i="11"/>
  <c r="AB796" i="11"/>
  <c r="BQ795" i="11"/>
  <c r="BS795" i="11"/>
  <c r="AR795" i="11"/>
  <c r="AS795" i="11"/>
  <c r="AQ795" i="11"/>
  <c r="CE796" i="11"/>
  <c r="DV796" i="11"/>
  <c r="DU796" i="11"/>
  <c r="DH796" i="11"/>
  <c r="DI796" i="11"/>
  <c r="CR796" i="11"/>
  <c r="CV796" i="11"/>
  <c r="CU796" i="11"/>
  <c r="CI796" i="11"/>
  <c r="CH796" i="11"/>
  <c r="BU796" i="11"/>
  <c r="BV796" i="11"/>
  <c r="BH796" i="11"/>
  <c r="BI796" i="11"/>
  <c r="AU796" i="11"/>
  <c r="AV796" i="11"/>
  <c r="AH796" i="11"/>
  <c r="AI796" i="11"/>
  <c r="AC796" i="11"/>
  <c r="BP796" i="11"/>
  <c r="BN796" i="11"/>
  <c r="BO796" i="11"/>
  <c r="BR796" i="11" s="1"/>
  <c r="W797" i="11"/>
  <c r="AO796" i="11"/>
  <c r="AA796" i="11"/>
  <c r="AN796" i="11"/>
  <c r="AP796" i="11"/>
  <c r="Y796" i="11"/>
  <c r="BA796" i="11"/>
  <c r="BB796" i="11"/>
  <c r="BE796" i="11" s="1"/>
  <c r="BC796" i="11"/>
  <c r="DM796" i="11"/>
  <c r="DN796" i="11"/>
  <c r="CZ796" i="11"/>
  <c r="DP796" i="11"/>
  <c r="CP796" i="11"/>
  <c r="CA796" i="11"/>
  <c r="AM796" i="11"/>
  <c r="DA796" i="11"/>
  <c r="CB796" i="11"/>
  <c r="CF796" i="11" s="1"/>
  <c r="X796" i="11"/>
  <c r="DB796" i="11"/>
  <c r="DE796" i="11" s="1"/>
  <c r="CC796" i="11"/>
  <c r="DC796" i="11"/>
  <c r="CM796" i="11"/>
  <c r="CN796" i="11"/>
  <c r="BM796" i="11"/>
  <c r="CO796" i="11"/>
  <c r="CQ796" i="11" s="1"/>
  <c r="BZ796" i="11"/>
  <c r="AZ796" i="11"/>
  <c r="C798" i="11"/>
  <c r="V798" i="11" l="1"/>
  <c r="A798" i="11"/>
  <c r="EB797" i="11"/>
  <c r="ED797" i="11" s="1"/>
  <c r="Z797" i="11"/>
  <c r="F797" i="11" s="1"/>
  <c r="AF797" i="11"/>
  <c r="B798" i="11"/>
  <c r="BG797" i="11"/>
  <c r="BD796" i="11"/>
  <c r="EG797" i="11"/>
  <c r="DG797" i="11"/>
  <c r="DT797" i="11"/>
  <c r="CT797" i="11"/>
  <c r="CG797" i="11"/>
  <c r="BT797" i="11"/>
  <c r="AT797" i="11"/>
  <c r="AE797" i="11"/>
  <c r="AG797" i="11"/>
  <c r="EL794" i="11"/>
  <c r="BW796" i="11"/>
  <c r="BY796" i="11" s="1"/>
  <c r="BX796" i="11"/>
  <c r="BK796" i="11"/>
  <c r="BL796" i="11" s="1"/>
  <c r="BJ796" i="11"/>
  <c r="DJ796" i="11"/>
  <c r="DK796" i="11"/>
  <c r="DL796" i="11" s="1"/>
  <c r="CK796" i="11"/>
  <c r="CJ796" i="11"/>
  <c r="CL796" i="11" s="1"/>
  <c r="M796" i="11"/>
  <c r="L796" i="11"/>
  <c r="CY796" i="11"/>
  <c r="EJ795" i="11"/>
  <c r="EK795" i="11"/>
  <c r="CX796" i="11"/>
  <c r="AJ795" i="11"/>
  <c r="AK795" i="11"/>
  <c r="AL795" i="11" s="1"/>
  <c r="AD795" i="11"/>
  <c r="AX795" i="11"/>
  <c r="AY795" i="11" s="1"/>
  <c r="AW795" i="11"/>
  <c r="EI797" i="11"/>
  <c r="EC797" i="11"/>
  <c r="DZ797" i="11"/>
  <c r="EA797" i="11"/>
  <c r="EH797" i="11"/>
  <c r="EE796" i="11"/>
  <c r="CJ797" i="11"/>
  <c r="P798" i="11"/>
  <c r="DD796" i="11"/>
  <c r="CS796" i="11"/>
  <c r="BF796" i="11"/>
  <c r="DF796" i="11"/>
  <c r="BQ796" i="11"/>
  <c r="CD796" i="11"/>
  <c r="BS796" i="11"/>
  <c r="AB797" i="11"/>
  <c r="AR796" i="11"/>
  <c r="AS796" i="11"/>
  <c r="AQ796" i="11"/>
  <c r="CE797" i="11"/>
  <c r="DU797" i="11"/>
  <c r="DV797" i="11"/>
  <c r="DI797" i="11"/>
  <c r="DH797" i="11"/>
  <c r="CU797" i="11"/>
  <c r="CR797" i="11"/>
  <c r="CV797" i="11"/>
  <c r="CI797" i="11"/>
  <c r="CH797" i="11"/>
  <c r="BU797" i="11"/>
  <c r="BV797" i="11"/>
  <c r="BH797" i="11"/>
  <c r="BI797" i="11"/>
  <c r="AU797" i="11"/>
  <c r="AV797" i="11"/>
  <c r="AH797" i="11"/>
  <c r="AI797" i="11"/>
  <c r="M797" i="11" s="1"/>
  <c r="AC797" i="11"/>
  <c r="BN797" i="11"/>
  <c r="BO797" i="11"/>
  <c r="BR797" i="11" s="1"/>
  <c r="BP797" i="11"/>
  <c r="W798" i="11"/>
  <c r="AP797" i="11"/>
  <c r="AN797" i="11"/>
  <c r="Y797" i="11"/>
  <c r="AO797" i="11"/>
  <c r="AA797" i="11"/>
  <c r="BA797" i="11"/>
  <c r="BB797" i="11"/>
  <c r="BE797" i="11" s="1"/>
  <c r="BC797" i="11"/>
  <c r="DP797" i="11"/>
  <c r="DB797" i="11"/>
  <c r="DE797" i="11" s="1"/>
  <c r="DN797" i="11"/>
  <c r="AZ797" i="11"/>
  <c r="DM797" i="11"/>
  <c r="CM797" i="11"/>
  <c r="AM797" i="11"/>
  <c r="CN797" i="11"/>
  <c r="X797" i="11"/>
  <c r="CO797" i="11"/>
  <c r="CS797" i="11" s="1"/>
  <c r="BZ797" i="11"/>
  <c r="CZ797" i="11"/>
  <c r="CP797" i="11"/>
  <c r="CA797" i="11"/>
  <c r="DA797" i="11"/>
  <c r="CB797" i="11"/>
  <c r="CF797" i="11" s="1"/>
  <c r="DC797" i="11"/>
  <c r="CC797" i="11"/>
  <c r="BM797" i="11"/>
  <c r="C799" i="11"/>
  <c r="V799" i="11" l="1"/>
  <c r="A799" i="11"/>
  <c r="Z798" i="11"/>
  <c r="F798" i="11" s="1"/>
  <c r="EB798" i="11"/>
  <c r="ED798" i="11" s="1"/>
  <c r="AF798" i="11"/>
  <c r="B799" i="11"/>
  <c r="BG798" i="11"/>
  <c r="BD797" i="11"/>
  <c r="DT798" i="11"/>
  <c r="EG798" i="11"/>
  <c r="DG798" i="11"/>
  <c r="CT798" i="11"/>
  <c r="CG798" i="11"/>
  <c r="BT798" i="11"/>
  <c r="AT798" i="11"/>
  <c r="AE798" i="11"/>
  <c r="AG798" i="11"/>
  <c r="EL795" i="11"/>
  <c r="CX797" i="11"/>
  <c r="CW797" i="11"/>
  <c r="CY797" i="11" s="1"/>
  <c r="BK797" i="11"/>
  <c r="BJ797" i="11"/>
  <c r="BL797" i="11" s="1"/>
  <c r="BW797" i="11"/>
  <c r="BY797" i="11"/>
  <c r="BX797" i="11"/>
  <c r="AJ797" i="11"/>
  <c r="AD797" i="11"/>
  <c r="AK797" i="11"/>
  <c r="DJ797" i="11"/>
  <c r="DK797" i="11"/>
  <c r="DL797" i="11" s="1"/>
  <c r="EK796" i="11"/>
  <c r="EJ796" i="11"/>
  <c r="EL796" i="11" s="1"/>
  <c r="EF796" i="11"/>
  <c r="L797" i="11"/>
  <c r="AW796" i="11"/>
  <c r="AY796" i="11" s="1"/>
  <c r="AX796" i="11"/>
  <c r="CK797" i="11"/>
  <c r="CL797" i="11" s="1"/>
  <c r="AD796" i="11"/>
  <c r="AJ796" i="11"/>
  <c r="AK796" i="11"/>
  <c r="AL796" i="11" s="1"/>
  <c r="DZ798" i="11"/>
  <c r="EI798" i="11"/>
  <c r="EH798" i="11"/>
  <c r="EC798" i="11"/>
  <c r="EA798" i="11"/>
  <c r="EE797" i="11"/>
  <c r="P799" i="11"/>
  <c r="BQ797" i="11"/>
  <c r="BS797" i="11"/>
  <c r="CD797" i="11"/>
  <c r="CQ797" i="11"/>
  <c r="DD797" i="11"/>
  <c r="AB798" i="11"/>
  <c r="AC798" i="11" s="1"/>
  <c r="BF797" i="11"/>
  <c r="DF797" i="11"/>
  <c r="AR797" i="11"/>
  <c r="AS797" i="11"/>
  <c r="AQ797" i="11"/>
  <c r="CE798" i="11"/>
  <c r="DU798" i="11"/>
  <c r="DV798" i="11"/>
  <c r="DH798" i="11"/>
  <c r="DI798" i="11"/>
  <c r="CR798" i="11"/>
  <c r="CU798" i="11"/>
  <c r="CV798" i="11"/>
  <c r="CI798" i="11"/>
  <c r="CH798" i="11"/>
  <c r="BU798" i="11"/>
  <c r="BV798" i="11"/>
  <c r="BH798" i="11"/>
  <c r="BI798" i="11"/>
  <c r="AU798" i="11"/>
  <c r="AV798" i="11"/>
  <c r="AH798" i="11"/>
  <c r="AI798" i="11"/>
  <c r="BO798" i="11"/>
  <c r="BR798" i="11" s="1"/>
  <c r="BP798" i="11"/>
  <c r="BN798" i="11"/>
  <c r="W799" i="11"/>
  <c r="AN798" i="11"/>
  <c r="AO798" i="11"/>
  <c r="AP798" i="11"/>
  <c r="AA798" i="11"/>
  <c r="Y798" i="11"/>
  <c r="BC798" i="11"/>
  <c r="BB798" i="11"/>
  <c r="BE798" i="11" s="1"/>
  <c r="BA798" i="11"/>
  <c r="DM798" i="11"/>
  <c r="DN798" i="11"/>
  <c r="CZ798" i="11"/>
  <c r="DP798" i="11"/>
  <c r="DB798" i="11"/>
  <c r="DE798" i="11" s="1"/>
  <c r="CP798" i="11"/>
  <c r="CA798" i="11"/>
  <c r="BM798" i="11"/>
  <c r="DC798" i="11"/>
  <c r="CB798" i="11"/>
  <c r="CD798" i="11" s="1"/>
  <c r="AZ798" i="11"/>
  <c r="CC798" i="11"/>
  <c r="AM798" i="11"/>
  <c r="X798" i="11"/>
  <c r="CM798" i="11"/>
  <c r="CN798" i="11"/>
  <c r="DA798" i="11"/>
  <c r="CO798" i="11"/>
  <c r="CS798" i="11" s="1"/>
  <c r="BZ798" i="11"/>
  <c r="C800" i="11"/>
  <c r="V800" i="11" l="1"/>
  <c r="A800" i="11"/>
  <c r="EB799" i="11"/>
  <c r="ED799" i="11" s="1"/>
  <c r="Z799" i="11"/>
  <c r="F799" i="11" s="1"/>
  <c r="AF799" i="11"/>
  <c r="B800" i="11"/>
  <c r="BG799" i="11"/>
  <c r="BD798" i="11"/>
  <c r="EG799" i="11"/>
  <c r="DT799" i="11"/>
  <c r="DG799" i="11"/>
  <c r="CT799" i="11"/>
  <c r="BT799" i="11"/>
  <c r="CG799" i="11"/>
  <c r="AT799" i="11"/>
  <c r="AE799" i="11"/>
  <c r="AG799" i="11"/>
  <c r="CW798" i="11"/>
  <c r="CX798" i="11"/>
  <c r="CY798" i="11"/>
  <c r="BJ798" i="11"/>
  <c r="BL798" i="11" s="1"/>
  <c r="BK798" i="11"/>
  <c r="EJ797" i="11"/>
  <c r="EK797" i="11"/>
  <c r="EL797" i="11" s="1"/>
  <c r="EF797" i="11"/>
  <c r="CJ798" i="11"/>
  <c r="CL798" i="11" s="1"/>
  <c r="CK798" i="11"/>
  <c r="DJ798" i="11"/>
  <c r="DL798" i="11" s="1"/>
  <c r="DK798" i="11"/>
  <c r="BW798" i="11"/>
  <c r="BY798" i="11" s="1"/>
  <c r="BX798" i="11"/>
  <c r="M798" i="11"/>
  <c r="L798" i="11"/>
  <c r="AL797" i="11"/>
  <c r="AX797" i="11"/>
  <c r="AW797" i="11"/>
  <c r="AY797" i="11"/>
  <c r="EA799" i="11"/>
  <c r="DZ799" i="11"/>
  <c r="EI799" i="11"/>
  <c r="EH799" i="11"/>
  <c r="EC799" i="11"/>
  <c r="EE798" i="11"/>
  <c r="EF798" i="11" s="1"/>
  <c r="P800" i="11"/>
  <c r="AB799" i="11"/>
  <c r="AC799" i="11" s="1"/>
  <c r="CF798" i="11"/>
  <c r="CQ798" i="11"/>
  <c r="BF798" i="11"/>
  <c r="DD798" i="11"/>
  <c r="DF798" i="11"/>
  <c r="BQ798" i="11"/>
  <c r="BS798" i="11"/>
  <c r="AR798" i="11"/>
  <c r="AS798" i="11"/>
  <c r="AQ798" i="11"/>
  <c r="CE799" i="11"/>
  <c r="DU799" i="11"/>
  <c r="DV799" i="11"/>
  <c r="DH799" i="11"/>
  <c r="DI799" i="11"/>
  <c r="CV799" i="11"/>
  <c r="CR799" i="11"/>
  <c r="CU799" i="11"/>
  <c r="CI799" i="11"/>
  <c r="CH799" i="11"/>
  <c r="BU799" i="11"/>
  <c r="BW799" i="11"/>
  <c r="BX799" i="11"/>
  <c r="BV799" i="11"/>
  <c r="BY799" i="11"/>
  <c r="BH799" i="11"/>
  <c r="BI799" i="11"/>
  <c r="AU799" i="11"/>
  <c r="AV799" i="11"/>
  <c r="AH799" i="11"/>
  <c r="AI799" i="11"/>
  <c r="BO799" i="11"/>
  <c r="BR799" i="11" s="1"/>
  <c r="BP799" i="11"/>
  <c r="BN799" i="11"/>
  <c r="W800" i="11"/>
  <c r="AN799" i="11"/>
  <c r="AO799" i="11"/>
  <c r="AA799" i="11"/>
  <c r="AP799" i="11"/>
  <c r="Y799" i="11"/>
  <c r="BA799" i="11"/>
  <c r="BB799" i="11"/>
  <c r="BE799" i="11" s="1"/>
  <c r="BC799" i="11"/>
  <c r="DP799" i="11"/>
  <c r="DB799" i="11"/>
  <c r="DE799" i="11" s="1"/>
  <c r="DN799" i="11"/>
  <c r="CM799" i="11"/>
  <c r="BM799" i="11"/>
  <c r="DM799" i="11"/>
  <c r="CZ799" i="11"/>
  <c r="CN799" i="11"/>
  <c r="AZ799" i="11"/>
  <c r="DA799" i="11"/>
  <c r="CO799" i="11"/>
  <c r="CS799" i="11" s="1"/>
  <c r="BZ799" i="11"/>
  <c r="AM799" i="11"/>
  <c r="DC799" i="11"/>
  <c r="CP799" i="11"/>
  <c r="CA799" i="11"/>
  <c r="X799" i="11"/>
  <c r="CB799" i="11"/>
  <c r="CD799" i="11" s="1"/>
  <c r="CC799" i="11"/>
  <c r="C801" i="11"/>
  <c r="V801" i="11" l="1"/>
  <c r="A801" i="11"/>
  <c r="Z800" i="11"/>
  <c r="F800" i="11" s="1"/>
  <c r="EB800" i="11"/>
  <c r="ED800" i="11" s="1"/>
  <c r="AF800" i="11"/>
  <c r="B801" i="11"/>
  <c r="BG800" i="11"/>
  <c r="BD799" i="11"/>
  <c r="DG800" i="11"/>
  <c r="CT800" i="11"/>
  <c r="EG800" i="11"/>
  <c r="DT800" i="11"/>
  <c r="CG800" i="11"/>
  <c r="BT800" i="11"/>
  <c r="AT800" i="11"/>
  <c r="AE800" i="11"/>
  <c r="AG800" i="11"/>
  <c r="CJ799" i="11"/>
  <c r="CL799" i="11" s="1"/>
  <c r="CK799" i="11"/>
  <c r="BJ799" i="11"/>
  <c r="BL799" i="11" s="1"/>
  <c r="BK799" i="11"/>
  <c r="CX799" i="11"/>
  <c r="CW799" i="11"/>
  <c r="CY799" i="11" s="1"/>
  <c r="DJ799" i="11"/>
  <c r="DL799" i="11" s="1"/>
  <c r="DK799" i="11"/>
  <c r="AW798" i="11"/>
  <c r="AY798" i="11" s="1"/>
  <c r="AX798" i="11"/>
  <c r="AL798" i="11"/>
  <c r="AK798" i="11"/>
  <c r="AJ798" i="11"/>
  <c r="AD798" i="11"/>
  <c r="EK798" i="11"/>
  <c r="EJ798" i="11"/>
  <c r="M799" i="11"/>
  <c r="L799" i="11"/>
  <c r="EH800" i="11"/>
  <c r="EA800" i="11"/>
  <c r="EI800" i="11"/>
  <c r="DZ800" i="11"/>
  <c r="EC800" i="11"/>
  <c r="EE799" i="11"/>
  <c r="BK800" i="11"/>
  <c r="P801" i="11"/>
  <c r="BQ799" i="11"/>
  <c r="CF799" i="11"/>
  <c r="BS799" i="11"/>
  <c r="CQ799" i="11"/>
  <c r="DD799" i="11"/>
  <c r="AB800" i="11"/>
  <c r="BF799" i="11"/>
  <c r="DF799" i="11"/>
  <c r="AR799" i="11"/>
  <c r="AS799" i="11"/>
  <c r="AQ799" i="11"/>
  <c r="CE800" i="11"/>
  <c r="DV800" i="11"/>
  <c r="DU800" i="11"/>
  <c r="DH800" i="11"/>
  <c r="DI800" i="11"/>
  <c r="CU800" i="11"/>
  <c r="CV800" i="11"/>
  <c r="CR800" i="11"/>
  <c r="CH800" i="11"/>
  <c r="CI800" i="11"/>
  <c r="BV800" i="11"/>
  <c r="BU800" i="11"/>
  <c r="BI800" i="11"/>
  <c r="AU800" i="11"/>
  <c r="AV800" i="11"/>
  <c r="BH800" i="11"/>
  <c r="AH800" i="11"/>
  <c r="AI800" i="11"/>
  <c r="BO800" i="11"/>
  <c r="BR800" i="11" s="1"/>
  <c r="BP800" i="11"/>
  <c r="BN800" i="11"/>
  <c r="W801" i="11"/>
  <c r="AO800" i="11"/>
  <c r="AP800" i="11"/>
  <c r="Y800" i="11"/>
  <c r="AC800" i="11"/>
  <c r="AA800" i="11"/>
  <c r="AN800" i="11"/>
  <c r="BB800" i="11"/>
  <c r="BE800" i="11" s="1"/>
  <c r="BC800" i="11"/>
  <c r="BA800" i="11"/>
  <c r="DM800" i="11"/>
  <c r="DN800" i="11"/>
  <c r="CZ800" i="11"/>
  <c r="DP800" i="11"/>
  <c r="CP800" i="11"/>
  <c r="CA800" i="11"/>
  <c r="CB800" i="11"/>
  <c r="CD800" i="11" s="1"/>
  <c r="CC800" i="11"/>
  <c r="BM800" i="11"/>
  <c r="AZ800" i="11"/>
  <c r="AM800" i="11"/>
  <c r="DA800" i="11"/>
  <c r="CM800" i="11"/>
  <c r="DB800" i="11"/>
  <c r="DE800" i="11" s="1"/>
  <c r="CN800" i="11"/>
  <c r="DC800" i="11"/>
  <c r="CO800" i="11"/>
  <c r="CQ800" i="11" s="1"/>
  <c r="BZ800" i="11"/>
  <c r="X800" i="11"/>
  <c r="C802" i="11"/>
  <c r="V802" i="11" l="1"/>
  <c r="A802" i="11"/>
  <c r="EB801" i="11"/>
  <c r="Z801" i="11"/>
  <c r="F801" i="11" s="1"/>
  <c r="AF801" i="11"/>
  <c r="B802" i="11"/>
  <c r="BG801" i="11"/>
  <c r="BD800" i="11"/>
  <c r="DT801" i="11"/>
  <c r="DG801" i="11"/>
  <c r="EG801" i="11"/>
  <c r="CG801" i="11"/>
  <c r="CT801" i="11"/>
  <c r="BT801" i="11"/>
  <c r="AT801" i="11"/>
  <c r="AE801" i="11"/>
  <c r="AG801" i="11"/>
  <c r="EL798" i="11"/>
  <c r="CK800" i="11"/>
  <c r="CJ800" i="11"/>
  <c r="CL800" i="11"/>
  <c r="CW800" i="11"/>
  <c r="CY800" i="11" s="1"/>
  <c r="CX800" i="11"/>
  <c r="DJ800" i="11"/>
  <c r="DL800" i="11" s="1"/>
  <c r="DK800" i="11"/>
  <c r="EJ799" i="11"/>
  <c r="EK799" i="11"/>
  <c r="EF799" i="11"/>
  <c r="BW800" i="11"/>
  <c r="BX800" i="11"/>
  <c r="BY800" i="11"/>
  <c r="M800" i="11"/>
  <c r="L800" i="11"/>
  <c r="AK799" i="11"/>
  <c r="AD799" i="11"/>
  <c r="AJ799" i="11"/>
  <c r="BJ800" i="11"/>
  <c r="BL800" i="11" s="1"/>
  <c r="AW799" i="11"/>
  <c r="AX799" i="11"/>
  <c r="AY799" i="11"/>
  <c r="EE800" i="11"/>
  <c r="EH801" i="11"/>
  <c r="EC801" i="11"/>
  <c r="EI801" i="11"/>
  <c r="EA801" i="11"/>
  <c r="ED801" i="11"/>
  <c r="DZ801" i="11"/>
  <c r="P802" i="11"/>
  <c r="DD800" i="11"/>
  <c r="CF800" i="11"/>
  <c r="BF800" i="11"/>
  <c r="CS800" i="11"/>
  <c r="DF800" i="11"/>
  <c r="AB801" i="11"/>
  <c r="BQ800" i="11"/>
  <c r="BS800" i="11"/>
  <c r="AR800" i="11"/>
  <c r="AS800" i="11"/>
  <c r="AQ800" i="11"/>
  <c r="CE801" i="11"/>
  <c r="DU801" i="11"/>
  <c r="DV801" i="11"/>
  <c r="DH801" i="11"/>
  <c r="DI801" i="11"/>
  <c r="CU801" i="11"/>
  <c r="CR801" i="11"/>
  <c r="CV801" i="11"/>
  <c r="CH801" i="11"/>
  <c r="CI801" i="11"/>
  <c r="BU801" i="11"/>
  <c r="BV801" i="11"/>
  <c r="BI801" i="11"/>
  <c r="BH801" i="11"/>
  <c r="AU801" i="11"/>
  <c r="AV801" i="11"/>
  <c r="AH801" i="11"/>
  <c r="AC801" i="11"/>
  <c r="AI801" i="11"/>
  <c r="M801" i="11" s="1"/>
  <c r="BN801" i="11"/>
  <c r="BP801" i="11"/>
  <c r="BO801" i="11"/>
  <c r="BR801" i="11" s="1"/>
  <c r="W802" i="11"/>
  <c r="AP801" i="11"/>
  <c r="AN801" i="11"/>
  <c r="Y801" i="11"/>
  <c r="AA801" i="11"/>
  <c r="AO801" i="11"/>
  <c r="BB801" i="11"/>
  <c r="BE801" i="11" s="1"/>
  <c r="BC801" i="11"/>
  <c r="BA801" i="11"/>
  <c r="DP801" i="11"/>
  <c r="DN801" i="11"/>
  <c r="CZ801" i="11"/>
  <c r="DA801" i="11"/>
  <c r="CM801" i="11"/>
  <c r="DB801" i="11"/>
  <c r="DE801" i="11" s="1"/>
  <c r="CN801" i="11"/>
  <c r="DM801" i="11"/>
  <c r="DC801" i="11"/>
  <c r="CO801" i="11"/>
  <c r="CS801" i="11" s="1"/>
  <c r="BZ801" i="11"/>
  <c r="BM801" i="11"/>
  <c r="CP801" i="11"/>
  <c r="CA801" i="11"/>
  <c r="AZ801" i="11"/>
  <c r="CB801" i="11"/>
  <c r="CF801" i="11" s="1"/>
  <c r="CC801" i="11"/>
  <c r="X801" i="11"/>
  <c r="AM801" i="11"/>
  <c r="C803" i="11"/>
  <c r="V803" i="11" l="1"/>
  <c r="A803" i="11"/>
  <c r="EB802" i="11"/>
  <c r="Z802" i="11"/>
  <c r="F802" i="11" s="1"/>
  <c r="AF802" i="11"/>
  <c r="B803" i="11"/>
  <c r="BG802" i="11"/>
  <c r="BD801" i="11"/>
  <c r="EG802" i="11"/>
  <c r="DT802" i="11"/>
  <c r="DG802" i="11"/>
  <c r="CT802" i="11"/>
  <c r="CG802" i="11"/>
  <c r="BT802" i="11"/>
  <c r="AT802" i="11"/>
  <c r="AE802" i="11"/>
  <c r="AG802" i="11"/>
  <c r="EL799" i="11"/>
  <c r="EJ800" i="11"/>
  <c r="EK800" i="11"/>
  <c r="EF800" i="11"/>
  <c r="AD801" i="11"/>
  <c r="AK801" i="11"/>
  <c r="AJ801" i="11"/>
  <c r="CW801" i="11"/>
  <c r="CX801" i="11"/>
  <c r="CY801" i="11" s="1"/>
  <c r="DK801" i="11"/>
  <c r="DL801" i="11" s="1"/>
  <c r="DJ801" i="11"/>
  <c r="BW801" i="11"/>
  <c r="BY801" i="11" s="1"/>
  <c r="BX801" i="11"/>
  <c r="BK801" i="11"/>
  <c r="BL801" i="11" s="1"/>
  <c r="CK801" i="11"/>
  <c r="AX800" i="11"/>
  <c r="AW800" i="11"/>
  <c r="AY800" i="11" s="1"/>
  <c r="BJ801" i="11"/>
  <c r="CJ801" i="11"/>
  <c r="CL801" i="11" s="1"/>
  <c r="L801" i="11"/>
  <c r="AL799" i="11"/>
  <c r="AJ800" i="11"/>
  <c r="AL800" i="11"/>
  <c r="AK800" i="11"/>
  <c r="AD800" i="11"/>
  <c r="EC802" i="11"/>
  <c r="EA802" i="11"/>
  <c r="EI802" i="11"/>
  <c r="ED802" i="11"/>
  <c r="EH802" i="11"/>
  <c r="DZ802" i="11"/>
  <c r="EE801" i="11"/>
  <c r="EF801" i="11" s="1"/>
  <c r="P803" i="11"/>
  <c r="CQ801" i="11"/>
  <c r="DD801" i="11"/>
  <c r="BF801" i="11"/>
  <c r="DF801" i="11"/>
  <c r="AB802" i="11"/>
  <c r="AC802" i="11" s="1"/>
  <c r="BQ801" i="11"/>
  <c r="BS801" i="11"/>
  <c r="CD801" i="11"/>
  <c r="AR801" i="11"/>
  <c r="AS801" i="11"/>
  <c r="AQ801" i="11"/>
  <c r="CE802" i="11"/>
  <c r="DU802" i="11"/>
  <c r="DV802" i="11"/>
  <c r="DI802" i="11"/>
  <c r="DH802" i="11"/>
  <c r="CX802" i="11"/>
  <c r="CR802" i="11"/>
  <c r="CU802" i="11"/>
  <c r="CV802" i="11"/>
  <c r="CW802" i="11"/>
  <c r="CY802" i="11" s="1"/>
  <c r="CH802" i="11"/>
  <c r="CI802" i="11"/>
  <c r="BU802" i="11"/>
  <c r="BV802" i="11"/>
  <c r="BI802" i="11"/>
  <c r="BH802" i="11"/>
  <c r="AI802" i="11"/>
  <c r="M802" i="11" s="1"/>
  <c r="AU802" i="11"/>
  <c r="AV802" i="11"/>
  <c r="AH802" i="11"/>
  <c r="BN802" i="11"/>
  <c r="BO802" i="11"/>
  <c r="BR802" i="11" s="1"/>
  <c r="BP802" i="11"/>
  <c r="W803" i="11"/>
  <c r="AN802" i="11"/>
  <c r="AO802" i="11"/>
  <c r="AP802" i="11"/>
  <c r="AA802" i="11"/>
  <c r="Y802" i="11"/>
  <c r="BB802" i="11"/>
  <c r="BE802" i="11" s="1"/>
  <c r="BC802" i="11"/>
  <c r="BA802" i="11"/>
  <c r="DM802" i="11"/>
  <c r="DN802" i="11"/>
  <c r="CZ802" i="11"/>
  <c r="DP802" i="11"/>
  <c r="CP802" i="11"/>
  <c r="CA802" i="11"/>
  <c r="CB802" i="11"/>
  <c r="CF802" i="11" s="1"/>
  <c r="CC802" i="11"/>
  <c r="DA802" i="11"/>
  <c r="BM802" i="11"/>
  <c r="DB802" i="11"/>
  <c r="DE802" i="11" s="1"/>
  <c r="CM802" i="11"/>
  <c r="AZ802" i="11"/>
  <c r="DC802" i="11"/>
  <c r="CN802" i="11"/>
  <c r="CO802" i="11"/>
  <c r="CS802" i="11" s="1"/>
  <c r="BZ802" i="11"/>
  <c r="AM802" i="11"/>
  <c r="X802" i="11"/>
  <c r="C804" i="11"/>
  <c r="V804" i="11" l="1"/>
  <c r="A804" i="11"/>
  <c r="EB803" i="11"/>
  <c r="Z803" i="11"/>
  <c r="F803" i="11" s="1"/>
  <c r="AF803" i="11"/>
  <c r="B804" i="11"/>
  <c r="BD802" i="11"/>
  <c r="BG803" i="11"/>
  <c r="DT803" i="11"/>
  <c r="EG803" i="11"/>
  <c r="DG803" i="11"/>
  <c r="CG803" i="11"/>
  <c r="BT803" i="11"/>
  <c r="CT803" i="11"/>
  <c r="AT803" i="11"/>
  <c r="AE803" i="11"/>
  <c r="AG803" i="11"/>
  <c r="EL800" i="11"/>
  <c r="CJ802" i="11"/>
  <c r="CL802" i="11" s="1"/>
  <c r="CK802" i="11"/>
  <c r="BJ802" i="11"/>
  <c r="BK802" i="11"/>
  <c r="BL802" i="11" s="1"/>
  <c r="BX802" i="11"/>
  <c r="BW802" i="11"/>
  <c r="BY802" i="11" s="1"/>
  <c r="DJ802" i="11"/>
  <c r="DL802" i="11" s="1"/>
  <c r="DK802" i="11"/>
  <c r="AY801" i="11"/>
  <c r="AX801" i="11"/>
  <c r="AW801" i="11"/>
  <c r="L802" i="11"/>
  <c r="EK801" i="11"/>
  <c r="EJ801" i="11"/>
  <c r="AL801" i="11"/>
  <c r="EA803" i="11"/>
  <c r="EI803" i="11"/>
  <c r="EC803" i="11"/>
  <c r="EH803" i="11"/>
  <c r="ED803" i="11"/>
  <c r="DZ803" i="11"/>
  <c r="EE802" i="11"/>
  <c r="CW803" i="11"/>
  <c r="CY803" i="11" s="1"/>
  <c r="P804" i="11"/>
  <c r="CQ802" i="11"/>
  <c r="DD802" i="11"/>
  <c r="BF802" i="11"/>
  <c r="DF802" i="11"/>
  <c r="BQ802" i="11"/>
  <c r="BS802" i="11"/>
  <c r="AB803" i="11"/>
  <c r="AC803" i="11" s="1"/>
  <c r="CD802" i="11"/>
  <c r="AR802" i="11"/>
  <c r="AS802" i="11"/>
  <c r="AQ802" i="11"/>
  <c r="CE803" i="11"/>
  <c r="DU803" i="11"/>
  <c r="DV803" i="11"/>
  <c r="DH803" i="11"/>
  <c r="DI803" i="11"/>
  <c r="CR803" i="11"/>
  <c r="CU803" i="11"/>
  <c r="CV803" i="11"/>
  <c r="CX803" i="11"/>
  <c r="CH803" i="11"/>
  <c r="CI803" i="11"/>
  <c r="BV803" i="11"/>
  <c r="BU803" i="11"/>
  <c r="BH803" i="11"/>
  <c r="BI803" i="11"/>
  <c r="AV803" i="11"/>
  <c r="AH803" i="11"/>
  <c r="AI803" i="11"/>
  <c r="AU803" i="11"/>
  <c r="BP803" i="11"/>
  <c r="BO803" i="11"/>
  <c r="BR803" i="11" s="1"/>
  <c r="BN803" i="11"/>
  <c r="W804" i="11"/>
  <c r="AN803" i="11"/>
  <c r="AO803" i="11"/>
  <c r="AP803" i="11"/>
  <c r="AA803" i="11"/>
  <c r="Y803" i="11"/>
  <c r="BA803" i="11"/>
  <c r="BC803" i="11"/>
  <c r="BB803" i="11"/>
  <c r="BE803" i="11" s="1"/>
  <c r="DP803" i="11"/>
  <c r="DN803" i="11"/>
  <c r="DA803" i="11"/>
  <c r="X803" i="11"/>
  <c r="DB803" i="11"/>
  <c r="DE803" i="11" s="1"/>
  <c r="CM803" i="11"/>
  <c r="DC803" i="11"/>
  <c r="CN803" i="11"/>
  <c r="CO803" i="11"/>
  <c r="CQ803" i="11" s="1"/>
  <c r="BZ803" i="11"/>
  <c r="DM803" i="11"/>
  <c r="CP803" i="11"/>
  <c r="CA803" i="11"/>
  <c r="CB803" i="11"/>
  <c r="CF803" i="11" s="1"/>
  <c r="BM803" i="11"/>
  <c r="CC803" i="11"/>
  <c r="CZ803" i="11"/>
  <c r="AM803" i="11"/>
  <c r="AZ803" i="11"/>
  <c r="C805" i="11"/>
  <c r="V805" i="11" l="1"/>
  <c r="A805" i="11"/>
  <c r="Z804" i="11"/>
  <c r="F804" i="11" s="1"/>
  <c r="EB804" i="11"/>
  <c r="AF804" i="11"/>
  <c r="B805" i="11"/>
  <c r="BD803" i="11"/>
  <c r="BG804" i="11"/>
  <c r="EG804" i="11"/>
  <c r="DT804" i="11"/>
  <c r="DG804" i="11"/>
  <c r="CG804" i="11"/>
  <c r="CT804" i="11"/>
  <c r="BT804" i="11"/>
  <c r="AT804" i="11"/>
  <c r="AE804" i="11"/>
  <c r="AG804" i="11"/>
  <c r="EL801" i="11"/>
  <c r="CJ803" i="11"/>
  <c r="CK803" i="11"/>
  <c r="CL803" i="11" s="1"/>
  <c r="EK802" i="11"/>
  <c r="EJ802" i="11"/>
  <c r="EL802" i="11" s="1"/>
  <c r="EF802" i="11"/>
  <c r="BJ803" i="11"/>
  <c r="BL803" i="11" s="1"/>
  <c r="BK803" i="11"/>
  <c r="DJ803" i="11"/>
  <c r="DL803" i="11" s="1"/>
  <c r="DK803" i="11"/>
  <c r="BW803" i="11"/>
  <c r="BY803" i="11" s="1"/>
  <c r="BX803" i="11"/>
  <c r="AJ802" i="11"/>
  <c r="AD802" i="11"/>
  <c r="AK802" i="11"/>
  <c r="AL802" i="11" s="1"/>
  <c r="L803" i="11"/>
  <c r="M803" i="11"/>
  <c r="AX802" i="11"/>
  <c r="AY802" i="11" s="1"/>
  <c r="AW802" i="11"/>
  <c r="EE803" i="11"/>
  <c r="EF803" i="11" s="1"/>
  <c r="EH804" i="11"/>
  <c r="EC804" i="11"/>
  <c r="ED804" i="11"/>
  <c r="EA804" i="11"/>
  <c r="EI804" i="11"/>
  <c r="DZ804" i="11"/>
  <c r="P805" i="11"/>
  <c r="DD803" i="11"/>
  <c r="BF803" i="11"/>
  <c r="DF803" i="11"/>
  <c r="BQ803" i="11"/>
  <c r="AB804" i="11"/>
  <c r="BS803" i="11"/>
  <c r="CD803" i="11"/>
  <c r="CS803" i="11"/>
  <c r="AR803" i="11"/>
  <c r="AS803" i="11"/>
  <c r="AQ803" i="11"/>
  <c r="CE804" i="11"/>
  <c r="DV804" i="11"/>
  <c r="DU804" i="11"/>
  <c r="DH804" i="11"/>
  <c r="DI804" i="11"/>
  <c r="CR804" i="11"/>
  <c r="CV804" i="11"/>
  <c r="CU804" i="11"/>
  <c r="CH804" i="11"/>
  <c r="CI804" i="11"/>
  <c r="BU804" i="11"/>
  <c r="BV804" i="11"/>
  <c r="BH804" i="11"/>
  <c r="BI804" i="11"/>
  <c r="AU804" i="11"/>
  <c r="AV804" i="11"/>
  <c r="AH804" i="11"/>
  <c r="AI804" i="11"/>
  <c r="AC804" i="11"/>
  <c r="BP804" i="11"/>
  <c r="BN804" i="11"/>
  <c r="BO804" i="11"/>
  <c r="BR804" i="11" s="1"/>
  <c r="W805" i="11"/>
  <c r="AO804" i="11"/>
  <c r="AN804" i="11"/>
  <c r="AP804" i="11"/>
  <c r="Y804" i="11"/>
  <c r="AA804" i="11"/>
  <c r="BA804" i="11"/>
  <c r="BB804" i="11"/>
  <c r="BE804" i="11" s="1"/>
  <c r="BC804" i="11"/>
  <c r="DM804" i="11"/>
  <c r="DN804" i="11"/>
  <c r="CZ804" i="11"/>
  <c r="DP804" i="11"/>
  <c r="CP804" i="11"/>
  <c r="CA804" i="11"/>
  <c r="AM804" i="11"/>
  <c r="CB804" i="11"/>
  <c r="CD804" i="11" s="1"/>
  <c r="X804" i="11"/>
  <c r="CC804" i="11"/>
  <c r="DA804" i="11"/>
  <c r="DB804" i="11"/>
  <c r="DE804" i="11" s="1"/>
  <c r="DC804" i="11"/>
  <c r="CM804" i="11"/>
  <c r="CN804" i="11"/>
  <c r="BM804" i="11"/>
  <c r="CO804" i="11"/>
  <c r="CS804" i="11" s="1"/>
  <c r="BZ804" i="11"/>
  <c r="AZ804" i="11"/>
  <c r="C806" i="11"/>
  <c r="V806" i="11" l="1"/>
  <c r="A806" i="11"/>
  <c r="EB805" i="11"/>
  <c r="Z805" i="11"/>
  <c r="F805" i="11" s="1"/>
  <c r="AF805" i="11"/>
  <c r="B806" i="11"/>
  <c r="BD804" i="11"/>
  <c r="BG805" i="11"/>
  <c r="EG805" i="11"/>
  <c r="DT805" i="11"/>
  <c r="DG805" i="11"/>
  <c r="CT805" i="11"/>
  <c r="CG805" i="11"/>
  <c r="BT805" i="11"/>
  <c r="AT805" i="11"/>
  <c r="AE805" i="11"/>
  <c r="AG805" i="11"/>
  <c r="CK804" i="11"/>
  <c r="CJ804" i="11"/>
  <c r="CL804" i="11" s="1"/>
  <c r="BJ804" i="11"/>
  <c r="BK804" i="11"/>
  <c r="BL804" i="11" s="1"/>
  <c r="CW804" i="11"/>
  <c r="CY804" i="11" s="1"/>
  <c r="CX804" i="11"/>
  <c r="BX804" i="11"/>
  <c r="BW804" i="11"/>
  <c r="BY804" i="11" s="1"/>
  <c r="DL804" i="11"/>
  <c r="DJ804" i="11"/>
  <c r="DK804" i="11"/>
  <c r="M804" i="11"/>
  <c r="L804" i="11"/>
  <c r="AY803" i="11"/>
  <c r="AX803" i="11"/>
  <c r="AW803" i="11"/>
  <c r="AJ803" i="11"/>
  <c r="AK803" i="11"/>
  <c r="AD803" i="11"/>
  <c r="AL803" i="11"/>
  <c r="EK803" i="11"/>
  <c r="EJ803" i="11"/>
  <c r="EE804" i="11"/>
  <c r="EH805" i="11"/>
  <c r="EC805" i="11"/>
  <c r="EI805" i="11"/>
  <c r="ED805" i="11"/>
  <c r="EA805" i="11"/>
  <c r="DZ805" i="11"/>
  <c r="P806" i="11"/>
  <c r="CF804" i="11"/>
  <c r="AB805" i="11"/>
  <c r="CQ804" i="11"/>
  <c r="DD804" i="11"/>
  <c r="BF804" i="11"/>
  <c r="DF804" i="11"/>
  <c r="BQ804" i="11"/>
  <c r="BS804" i="11"/>
  <c r="AR804" i="11"/>
  <c r="AS804" i="11"/>
  <c r="AQ804" i="11"/>
  <c r="CE805" i="11"/>
  <c r="DU805" i="11"/>
  <c r="DV805" i="11"/>
  <c r="DI805" i="11"/>
  <c r="DH805" i="11"/>
  <c r="CU805" i="11"/>
  <c r="CR805" i="11"/>
  <c r="CV805" i="11"/>
  <c r="CH805" i="11"/>
  <c r="CI805" i="11"/>
  <c r="BU805" i="11"/>
  <c r="BV805" i="11"/>
  <c r="BH805" i="11"/>
  <c r="BI805" i="11"/>
  <c r="AU805" i="11"/>
  <c r="AV805" i="11"/>
  <c r="AH805" i="11"/>
  <c r="AI805" i="11"/>
  <c r="BP805" i="11"/>
  <c r="BO805" i="11"/>
  <c r="BR805" i="11" s="1"/>
  <c r="BN805" i="11"/>
  <c r="W806" i="11"/>
  <c r="AP805" i="11"/>
  <c r="AN805" i="11"/>
  <c r="AO805" i="11"/>
  <c r="Y805" i="11"/>
  <c r="AC805" i="11"/>
  <c r="AA805" i="11"/>
  <c r="BC805" i="11"/>
  <c r="BA805" i="11"/>
  <c r="BB805" i="11"/>
  <c r="BE805" i="11" s="1"/>
  <c r="DP805" i="11"/>
  <c r="DN805" i="11"/>
  <c r="DB805" i="11"/>
  <c r="DE805" i="11" s="1"/>
  <c r="AZ805" i="11"/>
  <c r="DC805" i="11"/>
  <c r="CM805" i="11"/>
  <c r="AM805" i="11"/>
  <c r="CN805" i="11"/>
  <c r="X805" i="11"/>
  <c r="CO805" i="11"/>
  <c r="CS805" i="11" s="1"/>
  <c r="BZ805" i="11"/>
  <c r="CP805" i="11"/>
  <c r="CA805" i="11"/>
  <c r="DM805" i="11"/>
  <c r="CB805" i="11"/>
  <c r="CF805" i="11" s="1"/>
  <c r="CZ805" i="11"/>
  <c r="CC805" i="11"/>
  <c r="DA805" i="11"/>
  <c r="BM805" i="11"/>
  <c r="C807" i="11"/>
  <c r="V807" i="11" l="1"/>
  <c r="A807" i="11"/>
  <c r="EB806" i="11"/>
  <c r="ED806" i="11" s="1"/>
  <c r="Z806" i="11"/>
  <c r="F806" i="11" s="1"/>
  <c r="AF806" i="11"/>
  <c r="B807" i="11"/>
  <c r="BG806" i="11"/>
  <c r="BD805" i="11"/>
  <c r="DT806" i="11"/>
  <c r="EG806" i="11"/>
  <c r="DG806" i="11"/>
  <c r="CT806" i="11"/>
  <c r="CG806" i="11"/>
  <c r="BT806" i="11"/>
  <c r="AT806" i="11"/>
  <c r="AE806" i="11"/>
  <c r="AG806" i="11"/>
  <c r="EL803" i="11"/>
  <c r="EJ804" i="11"/>
  <c r="EK804" i="11"/>
  <c r="EF804" i="11"/>
  <c r="CW805" i="11"/>
  <c r="CX805" i="11"/>
  <c r="CY805" i="11" s="1"/>
  <c r="BJ805" i="11"/>
  <c r="BL805" i="11" s="1"/>
  <c r="BK805" i="11"/>
  <c r="BW805" i="11"/>
  <c r="BX805" i="11"/>
  <c r="BY805" i="11" s="1"/>
  <c r="CL805" i="11"/>
  <c r="CJ805" i="11"/>
  <c r="CK805" i="11"/>
  <c r="DJ805" i="11"/>
  <c r="DL805" i="11" s="1"/>
  <c r="DK805" i="11"/>
  <c r="M805" i="11"/>
  <c r="AK804" i="11"/>
  <c r="AD804" i="11"/>
  <c r="AJ804" i="11"/>
  <c r="L805" i="11"/>
  <c r="AW804" i="11"/>
  <c r="AY804" i="11" s="1"/>
  <c r="AX804" i="11"/>
  <c r="EE805" i="11"/>
  <c r="EC806" i="11"/>
  <c r="EA806" i="11"/>
  <c r="EH806" i="11"/>
  <c r="EI806" i="11"/>
  <c r="DZ806" i="11"/>
  <c r="P807" i="11"/>
  <c r="CD805" i="11"/>
  <c r="CQ805" i="11"/>
  <c r="BQ805" i="11"/>
  <c r="BS805" i="11"/>
  <c r="DD805" i="11"/>
  <c r="AB806" i="11"/>
  <c r="BF805" i="11"/>
  <c r="DF805" i="11"/>
  <c r="AR805" i="11"/>
  <c r="AS805" i="11"/>
  <c r="AQ805" i="11"/>
  <c r="CE806" i="11"/>
  <c r="DU806" i="11"/>
  <c r="DV806" i="11"/>
  <c r="DH806" i="11"/>
  <c r="DI806" i="11"/>
  <c r="CU806" i="11"/>
  <c r="CV806" i="11"/>
  <c r="CR806" i="11"/>
  <c r="CH806" i="11"/>
  <c r="CI806" i="11"/>
  <c r="BU806" i="11"/>
  <c r="BV806" i="11"/>
  <c r="BH806" i="11"/>
  <c r="BI806" i="11"/>
  <c r="AU806" i="11"/>
  <c r="AV806" i="11"/>
  <c r="AC806" i="11"/>
  <c r="AH806" i="11"/>
  <c r="AI806" i="11"/>
  <c r="BO806" i="11"/>
  <c r="BR806" i="11" s="1"/>
  <c r="BN806" i="11"/>
  <c r="BP806" i="11"/>
  <c r="W807" i="11"/>
  <c r="AN806" i="11"/>
  <c r="AO806" i="11"/>
  <c r="AP806" i="11"/>
  <c r="Y806" i="11"/>
  <c r="AA806" i="11"/>
  <c r="BC806" i="11"/>
  <c r="BA806" i="11"/>
  <c r="BB806" i="11"/>
  <c r="BE806" i="11" s="1"/>
  <c r="DM806" i="11"/>
  <c r="DN806" i="11"/>
  <c r="CZ806" i="11"/>
  <c r="DP806" i="11"/>
  <c r="CP806" i="11"/>
  <c r="CA806" i="11"/>
  <c r="BM806" i="11"/>
  <c r="CB806" i="11"/>
  <c r="CF806" i="11" s="1"/>
  <c r="AZ806" i="11"/>
  <c r="DA806" i="11"/>
  <c r="CC806" i="11"/>
  <c r="AM806" i="11"/>
  <c r="DB806" i="11"/>
  <c r="DE806" i="11" s="1"/>
  <c r="X806" i="11"/>
  <c r="DC806" i="11"/>
  <c r="CM806" i="11"/>
  <c r="CN806" i="11"/>
  <c r="CO806" i="11"/>
  <c r="CS806" i="11" s="1"/>
  <c r="BZ806" i="11"/>
  <c r="C808" i="11"/>
  <c r="V808" i="11" l="1"/>
  <c r="A808" i="11"/>
  <c r="Z807" i="11"/>
  <c r="F807" i="11" s="1"/>
  <c r="EB807" i="11"/>
  <c r="AF807" i="11"/>
  <c r="B808" i="11"/>
  <c r="BG807" i="11"/>
  <c r="BD806" i="11"/>
  <c r="EG807" i="11"/>
  <c r="DT807" i="11"/>
  <c r="DG807" i="11"/>
  <c r="CT807" i="11"/>
  <c r="BT807" i="11"/>
  <c r="CG807" i="11"/>
  <c r="AT807" i="11"/>
  <c r="AE807" i="11"/>
  <c r="AG807" i="11"/>
  <c r="EL804" i="11"/>
  <c r="DK806" i="11"/>
  <c r="DL806" i="11" s="1"/>
  <c r="DJ806" i="11"/>
  <c r="EJ805" i="11"/>
  <c r="EK805" i="11"/>
  <c r="EF805" i="11"/>
  <c r="CK806" i="11"/>
  <c r="CL806" i="11" s="1"/>
  <c r="CJ806" i="11"/>
  <c r="AK806" i="11"/>
  <c r="AD806" i="11"/>
  <c r="AJ806" i="11"/>
  <c r="AL806" i="11" s="1"/>
  <c r="CX806" i="11"/>
  <c r="CY806" i="11" s="1"/>
  <c r="CW806" i="11"/>
  <c r="BX806" i="11"/>
  <c r="BW806" i="11"/>
  <c r="BY806" i="11" s="1"/>
  <c r="AJ805" i="11"/>
  <c r="AL805" i="11" s="1"/>
  <c r="AK805" i="11"/>
  <c r="AD805" i="11"/>
  <c r="M806" i="11"/>
  <c r="AL804" i="11"/>
  <c r="BK806" i="11"/>
  <c r="L806" i="11"/>
  <c r="BJ806" i="11"/>
  <c r="BL806" i="11" s="1"/>
  <c r="AW805" i="11"/>
  <c r="AX805" i="11"/>
  <c r="AY805" i="11"/>
  <c r="EA807" i="11"/>
  <c r="EI807" i="11"/>
  <c r="EH807" i="11"/>
  <c r="ED807" i="11"/>
  <c r="DZ807" i="11"/>
  <c r="EC807" i="11"/>
  <c r="EE806" i="11"/>
  <c r="EF806" i="11" s="1"/>
  <c r="BW807" i="11"/>
  <c r="P808" i="11"/>
  <c r="DD806" i="11"/>
  <c r="CQ806" i="11"/>
  <c r="BF806" i="11"/>
  <c r="AB807" i="11"/>
  <c r="AC807" i="11" s="1"/>
  <c r="DF806" i="11"/>
  <c r="BQ806" i="11"/>
  <c r="BS806" i="11"/>
  <c r="CD806" i="11"/>
  <c r="AR806" i="11"/>
  <c r="AS806" i="11"/>
  <c r="AQ806" i="11"/>
  <c r="CE807" i="11"/>
  <c r="DU807" i="11"/>
  <c r="DV807" i="11"/>
  <c r="DH807" i="11"/>
  <c r="DI807" i="11"/>
  <c r="CV807" i="11"/>
  <c r="CR807" i="11"/>
  <c r="CU807" i="11"/>
  <c r="CH807" i="11"/>
  <c r="CI807" i="11"/>
  <c r="BU807" i="11"/>
  <c r="BV807" i="11"/>
  <c r="BH807" i="11"/>
  <c r="BI807" i="11"/>
  <c r="AU807" i="11"/>
  <c r="AV807" i="11"/>
  <c r="AH807" i="11"/>
  <c r="AI807" i="11"/>
  <c r="BO807" i="11"/>
  <c r="BR807" i="11" s="1"/>
  <c r="BP807" i="11"/>
  <c r="BN807" i="11"/>
  <c r="W808" i="11"/>
  <c r="AP807" i="11"/>
  <c r="AA807" i="11"/>
  <c r="AN807" i="11"/>
  <c r="AO807" i="11"/>
  <c r="Y807" i="11"/>
  <c r="BA807" i="11"/>
  <c r="BC807" i="11"/>
  <c r="BB807" i="11"/>
  <c r="BE807" i="11" s="1"/>
  <c r="DP807" i="11"/>
  <c r="DN807" i="11"/>
  <c r="DC807" i="11"/>
  <c r="CM807" i="11"/>
  <c r="BM807" i="11"/>
  <c r="CN807" i="11"/>
  <c r="AZ807" i="11"/>
  <c r="CO807" i="11"/>
  <c r="CS807" i="11" s="1"/>
  <c r="BZ807" i="11"/>
  <c r="AM807" i="11"/>
  <c r="CP807" i="11"/>
  <c r="CA807" i="11"/>
  <c r="X807" i="11"/>
  <c r="CZ807" i="11"/>
  <c r="CB807" i="11"/>
  <c r="CF807" i="11" s="1"/>
  <c r="DM807" i="11"/>
  <c r="DA807" i="11"/>
  <c r="CC807" i="11"/>
  <c r="DB807" i="11"/>
  <c r="DE807" i="11" s="1"/>
  <c r="C809" i="11"/>
  <c r="V809" i="11" l="1"/>
  <c r="A809" i="11"/>
  <c r="EB808" i="11"/>
  <c r="ED808" i="11" s="1"/>
  <c r="Z808" i="11"/>
  <c r="F808" i="11" s="1"/>
  <c r="AF808" i="11"/>
  <c r="B809" i="11"/>
  <c r="BG808" i="11"/>
  <c r="BD807" i="11"/>
  <c r="EG808" i="11"/>
  <c r="DT808" i="11"/>
  <c r="DG808" i="11"/>
  <c r="CT808" i="11"/>
  <c r="CG808" i="11"/>
  <c r="BT808" i="11"/>
  <c r="AT808" i="11"/>
  <c r="AE808" i="11"/>
  <c r="AG808" i="11"/>
  <c r="EL805" i="11"/>
  <c r="CW807" i="11"/>
  <c r="CY807" i="11" s="1"/>
  <c r="CX807" i="11"/>
  <c r="DJ807" i="11"/>
  <c r="DK807" i="11"/>
  <c r="DL807" i="11" s="1"/>
  <c r="CJ807" i="11"/>
  <c r="CL807" i="11" s="1"/>
  <c r="CK807" i="11"/>
  <c r="BX807" i="11"/>
  <c r="BY807" i="11" s="1"/>
  <c r="L807" i="11"/>
  <c r="BJ807" i="11"/>
  <c r="BL807" i="11" s="1"/>
  <c r="AW806" i="11"/>
  <c r="AX806" i="11"/>
  <c r="M807" i="11"/>
  <c r="BK807" i="11"/>
  <c r="EK806" i="11"/>
  <c r="EJ806" i="11"/>
  <c r="EI808" i="11"/>
  <c r="EH808" i="11"/>
  <c r="EC808" i="11"/>
  <c r="DZ808" i="11"/>
  <c r="EA808" i="11"/>
  <c r="EE807" i="11"/>
  <c r="CJ808" i="11"/>
  <c r="P809" i="11"/>
  <c r="BS807" i="11"/>
  <c r="CD807" i="11"/>
  <c r="CQ807" i="11"/>
  <c r="DD807" i="11"/>
  <c r="BF807" i="11"/>
  <c r="DF807" i="11"/>
  <c r="AB808" i="11"/>
  <c r="AC808" i="11" s="1"/>
  <c r="BQ807" i="11"/>
  <c r="AR807" i="11"/>
  <c r="AQ807" i="11"/>
  <c r="AS807" i="11"/>
  <c r="CE808" i="11"/>
  <c r="DV808" i="11"/>
  <c r="DU808" i="11"/>
  <c r="DH808" i="11"/>
  <c r="DI808" i="11"/>
  <c r="CU808" i="11"/>
  <c r="CV808" i="11"/>
  <c r="CR808" i="11"/>
  <c r="CH808" i="11"/>
  <c r="CI808" i="11"/>
  <c r="BV808" i="11"/>
  <c r="BU808" i="11"/>
  <c r="BH808" i="11"/>
  <c r="BI808" i="11"/>
  <c r="AU808" i="11"/>
  <c r="AV808" i="11"/>
  <c r="AI808" i="11"/>
  <c r="AH808" i="11"/>
  <c r="BN808" i="11"/>
  <c r="BO808" i="11"/>
  <c r="BR808" i="11" s="1"/>
  <c r="BP808" i="11"/>
  <c r="W809" i="11"/>
  <c r="AO808" i="11"/>
  <c r="AP808" i="11"/>
  <c r="Y808" i="11"/>
  <c r="AN808" i="11"/>
  <c r="AA808" i="11"/>
  <c r="BA808" i="11"/>
  <c r="BB808" i="11"/>
  <c r="BE808" i="11" s="1"/>
  <c r="BC808" i="11"/>
  <c r="DM808" i="11"/>
  <c r="DN808" i="11"/>
  <c r="CZ808" i="11"/>
  <c r="DP808" i="11"/>
  <c r="CP808" i="11"/>
  <c r="CA808" i="11"/>
  <c r="DA808" i="11"/>
  <c r="CB808" i="11"/>
  <c r="CF808" i="11" s="1"/>
  <c r="DB808" i="11"/>
  <c r="DE808" i="11" s="1"/>
  <c r="CC808" i="11"/>
  <c r="BM808" i="11"/>
  <c r="DC808" i="11"/>
  <c r="AZ808" i="11"/>
  <c r="AM808" i="11"/>
  <c r="CM808" i="11"/>
  <c r="CN808" i="11"/>
  <c r="CO808" i="11"/>
  <c r="CQ808" i="11" s="1"/>
  <c r="BZ808" i="11"/>
  <c r="X808" i="11"/>
  <c r="C810" i="11"/>
  <c r="V810" i="11" l="1"/>
  <c r="A810" i="11"/>
  <c r="Z809" i="11"/>
  <c r="F809" i="11" s="1"/>
  <c r="EB809" i="11"/>
  <c r="ED809" i="11" s="1"/>
  <c r="AF809" i="11"/>
  <c r="B810" i="11"/>
  <c r="BG809" i="11"/>
  <c r="BD808" i="11"/>
  <c r="DT809" i="11"/>
  <c r="EG809" i="11"/>
  <c r="DG809" i="11"/>
  <c r="CG809" i="11"/>
  <c r="CT809" i="11"/>
  <c r="BT809" i="11"/>
  <c r="AT809" i="11"/>
  <c r="AE809" i="11"/>
  <c r="AG809" i="11"/>
  <c r="EL806" i="11"/>
  <c r="EJ807" i="11"/>
  <c r="EK807" i="11"/>
  <c r="EL807" i="11" s="1"/>
  <c r="EF807" i="11"/>
  <c r="BW808" i="11"/>
  <c r="BY808" i="11" s="1"/>
  <c r="BX808" i="11"/>
  <c r="DK808" i="11"/>
  <c r="DL808" i="11" s="1"/>
  <c r="DJ808" i="11"/>
  <c r="CX808" i="11"/>
  <c r="CW808" i="11"/>
  <c r="CY808" i="11" s="1"/>
  <c r="BK808" i="11"/>
  <c r="BL808" i="11" s="1"/>
  <c r="BJ808" i="11"/>
  <c r="AW807" i="11"/>
  <c r="AX807" i="11"/>
  <c r="AY807" i="11"/>
  <c r="M808" i="11"/>
  <c r="CL808" i="11"/>
  <c r="CK808" i="11"/>
  <c r="AY806" i="11"/>
  <c r="L808" i="11"/>
  <c r="AK807" i="11"/>
  <c r="AD807" i="11"/>
  <c r="AJ807" i="11"/>
  <c r="EI809" i="11"/>
  <c r="DZ809" i="11"/>
  <c r="EC809" i="11"/>
  <c r="EH809" i="11"/>
  <c r="EA809" i="11"/>
  <c r="EE808" i="11"/>
  <c r="P810" i="11"/>
  <c r="BF808" i="11"/>
  <c r="CS808" i="11"/>
  <c r="DF808" i="11"/>
  <c r="BQ808" i="11"/>
  <c r="BS808" i="11"/>
  <c r="AB809" i="11"/>
  <c r="AC809" i="11" s="1"/>
  <c r="CD808" i="11"/>
  <c r="DD808" i="11"/>
  <c r="AR808" i="11"/>
  <c r="AS808" i="11"/>
  <c r="AQ808" i="11"/>
  <c r="CE809" i="11"/>
  <c r="DU809" i="11"/>
  <c r="DV809" i="11"/>
  <c r="DH809" i="11"/>
  <c r="DI809" i="11"/>
  <c r="CU809" i="11"/>
  <c r="CR809" i="11"/>
  <c r="CV809" i="11"/>
  <c r="CH809" i="11"/>
  <c r="CI809" i="11"/>
  <c r="BU809" i="11"/>
  <c r="BV809" i="11"/>
  <c r="BI809" i="11"/>
  <c r="BH809" i="11"/>
  <c r="AU809" i="11"/>
  <c r="AV809" i="11"/>
  <c r="AH809" i="11"/>
  <c r="L809" i="11" s="1"/>
  <c r="AI809" i="11"/>
  <c r="BN809" i="11"/>
  <c r="BO809" i="11"/>
  <c r="BR809" i="11" s="1"/>
  <c r="BP809" i="11"/>
  <c r="AN809" i="11"/>
  <c r="AO809" i="11"/>
  <c r="AP809" i="11"/>
  <c r="AA809" i="11"/>
  <c r="Y809" i="11"/>
  <c r="BB809" i="11"/>
  <c r="BE809" i="11" s="1"/>
  <c r="BC809" i="11"/>
  <c r="BA809" i="11"/>
  <c r="DP809" i="11"/>
  <c r="DN809" i="11"/>
  <c r="CM809" i="11"/>
  <c r="CN809" i="11"/>
  <c r="CO809" i="11"/>
  <c r="CQ809" i="11" s="1"/>
  <c r="BZ809" i="11"/>
  <c r="BM809" i="11"/>
  <c r="CZ809" i="11"/>
  <c r="CP809" i="11"/>
  <c r="CA809" i="11"/>
  <c r="AZ809" i="11"/>
  <c r="DA809" i="11"/>
  <c r="CB809" i="11"/>
  <c r="CF809" i="11" s="1"/>
  <c r="DB809" i="11"/>
  <c r="DE809" i="11" s="1"/>
  <c r="CC809" i="11"/>
  <c r="DM809" i="11"/>
  <c r="DC809" i="11"/>
  <c r="AM809" i="11"/>
  <c r="X809" i="11"/>
  <c r="W810" i="11"/>
  <c r="C811" i="11"/>
  <c r="V811" i="11" l="1"/>
  <c r="A811" i="11"/>
  <c r="EB810" i="11"/>
  <c r="Z810" i="11"/>
  <c r="F810" i="11" s="1"/>
  <c r="AF810" i="11"/>
  <c r="B811" i="11"/>
  <c r="BD809" i="11"/>
  <c r="BG810" i="11"/>
  <c r="EG810" i="11"/>
  <c r="DT810" i="11"/>
  <c r="DG810" i="11"/>
  <c r="CT810" i="11"/>
  <c r="BT810" i="11"/>
  <c r="CG810" i="11"/>
  <c r="AT810" i="11"/>
  <c r="AE810" i="11"/>
  <c r="AG810" i="11"/>
  <c r="BJ809" i="11"/>
  <c r="BL809" i="11" s="1"/>
  <c r="BK809" i="11"/>
  <c r="DJ809" i="11"/>
  <c r="DK809" i="11"/>
  <c r="DL809" i="11" s="1"/>
  <c r="BX809" i="11"/>
  <c r="BY809" i="11" s="1"/>
  <c r="BW809" i="11"/>
  <c r="CJ809" i="11"/>
  <c r="CL809" i="11" s="1"/>
  <c r="CK809" i="11"/>
  <c r="EK808" i="11"/>
  <c r="EJ808" i="11"/>
  <c r="EL808" i="11" s="1"/>
  <c r="EF808" i="11"/>
  <c r="CX809" i="11"/>
  <c r="CW809" i="11"/>
  <c r="CY809" i="11"/>
  <c r="AD808" i="11"/>
  <c r="AJ808" i="11"/>
  <c r="AK808" i="11"/>
  <c r="M809" i="11"/>
  <c r="AX808" i="11"/>
  <c r="AW808" i="11"/>
  <c r="AY808" i="11" s="1"/>
  <c r="AL807" i="11"/>
  <c r="EE809" i="11"/>
  <c r="ED810" i="11"/>
  <c r="DZ810" i="11"/>
  <c r="EI810" i="11"/>
  <c r="EH810" i="11"/>
  <c r="EC810" i="11"/>
  <c r="EA810" i="11"/>
  <c r="P811" i="11"/>
  <c r="CS809" i="11"/>
  <c r="DD809" i="11"/>
  <c r="BF809" i="11"/>
  <c r="DF809" i="11"/>
  <c r="BQ809" i="11"/>
  <c r="BS809" i="11"/>
  <c r="AB810" i="11"/>
  <c r="CD809" i="11"/>
  <c r="AR809" i="11"/>
  <c r="AS809" i="11"/>
  <c r="AQ809" i="11"/>
  <c r="CE810" i="11"/>
  <c r="DU810" i="11"/>
  <c r="DV810" i="11"/>
  <c r="DI810" i="11"/>
  <c r="DH810" i="11"/>
  <c r="CV810" i="11"/>
  <c r="CR810" i="11"/>
  <c r="CU810" i="11"/>
  <c r="CH810" i="11"/>
  <c r="CI810" i="11"/>
  <c r="BU810" i="11"/>
  <c r="BI810" i="11"/>
  <c r="BV810" i="11"/>
  <c r="BH810" i="11"/>
  <c r="AI810" i="11"/>
  <c r="AU810" i="11"/>
  <c r="AV810" i="11"/>
  <c r="AH810" i="11"/>
  <c r="L810" i="11" s="1"/>
  <c r="BN810" i="11"/>
  <c r="BP810" i="11"/>
  <c r="BO810" i="11"/>
  <c r="BR810" i="11" s="1"/>
  <c r="W811" i="11"/>
  <c r="AN810" i="11"/>
  <c r="AC810" i="11"/>
  <c r="AA810" i="11"/>
  <c r="AO810" i="11"/>
  <c r="AP810" i="11"/>
  <c r="Y810" i="11"/>
  <c r="BA810" i="11"/>
  <c r="BB810" i="11"/>
  <c r="BE810" i="11" s="1"/>
  <c r="BC810" i="11"/>
  <c r="DM810" i="11"/>
  <c r="DN810" i="11"/>
  <c r="CZ810" i="11"/>
  <c r="DP810" i="11"/>
  <c r="DA810" i="11"/>
  <c r="CP810" i="11"/>
  <c r="CA810" i="11"/>
  <c r="DB810" i="11"/>
  <c r="DE810" i="11" s="1"/>
  <c r="CB810" i="11"/>
  <c r="CF810" i="11" s="1"/>
  <c r="DC810" i="11"/>
  <c r="CC810" i="11"/>
  <c r="BM810" i="11"/>
  <c r="CM810" i="11"/>
  <c r="AZ810" i="11"/>
  <c r="CN810" i="11"/>
  <c r="CO810" i="11"/>
  <c r="CS810" i="11" s="1"/>
  <c r="BZ810" i="11"/>
  <c r="X810" i="11"/>
  <c r="AM810" i="11"/>
  <c r="C812" i="11"/>
  <c r="V812" i="11" l="1"/>
  <c r="A812" i="11"/>
  <c r="EB811" i="11"/>
  <c r="ED811" i="11" s="1"/>
  <c r="Z811" i="11"/>
  <c r="F811" i="11" s="1"/>
  <c r="AF811" i="11"/>
  <c r="B812" i="11"/>
  <c r="BG811" i="11"/>
  <c r="BD810" i="11"/>
  <c r="DT811" i="11"/>
  <c r="EG811" i="11"/>
  <c r="DG811" i="11"/>
  <c r="BT811" i="11"/>
  <c r="CT811" i="11"/>
  <c r="CG811" i="11"/>
  <c r="AT811" i="11"/>
  <c r="AE811" i="11"/>
  <c r="AG811" i="11"/>
  <c r="EJ809" i="11"/>
  <c r="EK809" i="11"/>
  <c r="EF809" i="11"/>
  <c r="CJ810" i="11"/>
  <c r="CK810" i="11"/>
  <c r="CL810" i="11"/>
  <c r="DL810" i="11"/>
  <c r="DJ810" i="11"/>
  <c r="DK810" i="11"/>
  <c r="CX810" i="11"/>
  <c r="CW810" i="11"/>
  <c r="CY810" i="11"/>
  <c r="BW810" i="11"/>
  <c r="BX810" i="11"/>
  <c r="BY810" i="11" s="1"/>
  <c r="BJ810" i="11"/>
  <c r="BK810" i="11"/>
  <c r="BL810" i="11"/>
  <c r="AD809" i="11"/>
  <c r="AJ809" i="11"/>
  <c r="AL809" i="11" s="1"/>
  <c r="AK809" i="11"/>
  <c r="EE810" i="11"/>
  <c r="AW809" i="11"/>
  <c r="AX809" i="11"/>
  <c r="AY809" i="11" s="1"/>
  <c r="AL808" i="11"/>
  <c r="M810" i="11"/>
  <c r="DZ811" i="11"/>
  <c r="EI811" i="11"/>
  <c r="EA811" i="11"/>
  <c r="EC811" i="11"/>
  <c r="EH811" i="11"/>
  <c r="CJ811" i="11"/>
  <c r="P812" i="11"/>
  <c r="DD810" i="11"/>
  <c r="BF810" i="11"/>
  <c r="DF810" i="11"/>
  <c r="BQ810" i="11"/>
  <c r="BS810" i="11"/>
  <c r="CD810" i="11"/>
  <c r="CQ810" i="11"/>
  <c r="AB811" i="11"/>
  <c r="AC811" i="11" s="1"/>
  <c r="AR810" i="11"/>
  <c r="AS810" i="11"/>
  <c r="AQ810" i="11"/>
  <c r="CE811" i="11"/>
  <c r="DU811" i="11"/>
  <c r="DV811" i="11"/>
  <c r="DH811" i="11"/>
  <c r="DI811" i="11"/>
  <c r="CR811" i="11"/>
  <c r="CU811" i="11"/>
  <c r="CV811" i="11"/>
  <c r="CH811" i="11"/>
  <c r="CI811" i="11"/>
  <c r="CK811" i="11"/>
  <c r="BV811" i="11"/>
  <c r="BU811" i="11"/>
  <c r="BH811" i="11"/>
  <c r="BI811" i="11"/>
  <c r="AV811" i="11"/>
  <c r="AH811" i="11"/>
  <c r="L811" i="11" s="1"/>
  <c r="AI811" i="11"/>
  <c r="AU811" i="11"/>
  <c r="BP811" i="11"/>
  <c r="BN811" i="11"/>
  <c r="BO811" i="11"/>
  <c r="BR811" i="11" s="1"/>
  <c r="W812" i="11"/>
  <c r="AN811" i="11"/>
  <c r="AO811" i="11"/>
  <c r="AP811" i="11"/>
  <c r="Y811" i="11"/>
  <c r="AA811" i="11"/>
  <c r="BA811" i="11"/>
  <c r="BB811" i="11"/>
  <c r="BE811" i="11" s="1"/>
  <c r="BC811" i="11"/>
  <c r="DP811" i="11"/>
  <c r="DN811" i="11"/>
  <c r="DM811" i="11"/>
  <c r="X811" i="11"/>
  <c r="CM811" i="11"/>
  <c r="CN811" i="11"/>
  <c r="CZ811" i="11"/>
  <c r="CO811" i="11"/>
  <c r="CS811" i="11" s="1"/>
  <c r="BZ811" i="11"/>
  <c r="DA811" i="11"/>
  <c r="CP811" i="11"/>
  <c r="CA811" i="11"/>
  <c r="DB811" i="11"/>
  <c r="DE811" i="11" s="1"/>
  <c r="CB811" i="11"/>
  <c r="CF811" i="11" s="1"/>
  <c r="BM811" i="11"/>
  <c r="DC811" i="11"/>
  <c r="CC811" i="11"/>
  <c r="AM811" i="11"/>
  <c r="AZ811" i="11"/>
  <c r="C813" i="11"/>
  <c r="V813" i="11" l="1"/>
  <c r="A813" i="11"/>
  <c r="Z812" i="11"/>
  <c r="F812" i="11" s="1"/>
  <c r="EB812" i="11"/>
  <c r="ED812" i="11" s="1"/>
  <c r="AF812" i="11"/>
  <c r="B813" i="11"/>
  <c r="BG812" i="11"/>
  <c r="BD811" i="11"/>
  <c r="DT812" i="11"/>
  <c r="EG812" i="11"/>
  <c r="DG812" i="11"/>
  <c r="CG812" i="11"/>
  <c r="CT812" i="11"/>
  <c r="BT812" i="11"/>
  <c r="AT812" i="11"/>
  <c r="AE812" i="11"/>
  <c r="AG812" i="11"/>
  <c r="EL809" i="11"/>
  <c r="BW811" i="11"/>
  <c r="BY811" i="11" s="1"/>
  <c r="BX811" i="11"/>
  <c r="BK811" i="11"/>
  <c r="BJ811" i="11"/>
  <c r="BL811" i="11" s="1"/>
  <c r="CX811" i="11"/>
  <c r="CW811" i="11"/>
  <c r="CY811" i="11" s="1"/>
  <c r="DK811" i="11"/>
  <c r="DJ811" i="11"/>
  <c r="DL811" i="11" s="1"/>
  <c r="M811" i="11"/>
  <c r="CL811" i="11"/>
  <c r="AW810" i="11"/>
  <c r="AY810" i="11" s="1"/>
  <c r="AX810" i="11"/>
  <c r="AJ810" i="11"/>
  <c r="AK810" i="11"/>
  <c r="AL810" i="11" s="1"/>
  <c r="AD810" i="11"/>
  <c r="EJ810" i="11"/>
  <c r="EK810" i="11"/>
  <c r="EL810" i="11" s="1"/>
  <c r="EF810" i="11"/>
  <c r="EE811" i="11"/>
  <c r="EI812" i="11"/>
  <c r="EA812" i="11"/>
  <c r="EH812" i="11"/>
  <c r="EC812" i="11"/>
  <c r="DZ812" i="11"/>
  <c r="P813" i="11"/>
  <c r="DD811" i="11"/>
  <c r="CQ811" i="11"/>
  <c r="BQ811" i="11"/>
  <c r="DF811" i="11"/>
  <c r="BF811" i="11"/>
  <c r="AB812" i="11"/>
  <c r="CD811" i="11"/>
  <c r="BS811" i="11"/>
  <c r="AR811" i="11"/>
  <c r="AS811" i="11"/>
  <c r="AQ811" i="11"/>
  <c r="CE812" i="11"/>
  <c r="DV812" i="11"/>
  <c r="DU812" i="11"/>
  <c r="DH812" i="11"/>
  <c r="DI812" i="11"/>
  <c r="CR812" i="11"/>
  <c r="CV812" i="11"/>
  <c r="CU812" i="11"/>
  <c r="CH812" i="11"/>
  <c r="CI812" i="11"/>
  <c r="BU812" i="11"/>
  <c r="BV812" i="11"/>
  <c r="BH812" i="11"/>
  <c r="BI812" i="11"/>
  <c r="AU812" i="11"/>
  <c r="AV812" i="11"/>
  <c r="AH812" i="11"/>
  <c r="AI812" i="11"/>
  <c r="AC812" i="11"/>
  <c r="BP812" i="11"/>
  <c r="BN812" i="11"/>
  <c r="BO812" i="11"/>
  <c r="BR812" i="11" s="1"/>
  <c r="AO812" i="11"/>
  <c r="AP812" i="11"/>
  <c r="AN812" i="11"/>
  <c r="Y812" i="11"/>
  <c r="AA812" i="11"/>
  <c r="BA812" i="11"/>
  <c r="BB812" i="11"/>
  <c r="BE812" i="11" s="1"/>
  <c r="BC812" i="11"/>
  <c r="DM812" i="11"/>
  <c r="DN812" i="11"/>
  <c r="CZ812" i="11"/>
  <c r="DP812" i="11"/>
  <c r="DB812" i="11"/>
  <c r="DE812" i="11" s="1"/>
  <c r="CP812" i="11"/>
  <c r="CA812" i="11"/>
  <c r="AM812" i="11"/>
  <c r="DC812" i="11"/>
  <c r="CB812" i="11"/>
  <c r="CF812" i="11" s="1"/>
  <c r="X812" i="11"/>
  <c r="CC812" i="11"/>
  <c r="CM812" i="11"/>
  <c r="CN812" i="11"/>
  <c r="BM812" i="11"/>
  <c r="DA812" i="11"/>
  <c r="CO812" i="11"/>
  <c r="CS812" i="11" s="1"/>
  <c r="BZ812" i="11"/>
  <c r="AZ812" i="11"/>
  <c r="W813" i="11"/>
  <c r="C814" i="11"/>
  <c r="V814" i="11" l="1"/>
  <c r="A814" i="11"/>
  <c r="EB813" i="11"/>
  <c r="ED813" i="11" s="1"/>
  <c r="Z813" i="11"/>
  <c r="F813" i="11" s="1"/>
  <c r="AF813" i="11"/>
  <c r="B814" i="11"/>
  <c r="BG813" i="11"/>
  <c r="BD812" i="11"/>
  <c r="EG813" i="11"/>
  <c r="DG813" i="11"/>
  <c r="DT813" i="11"/>
  <c r="CT813" i="11"/>
  <c r="CG813" i="11"/>
  <c r="BT813" i="11"/>
  <c r="AT813" i="11"/>
  <c r="AE813" i="11"/>
  <c r="AG813" i="11"/>
  <c r="CW812" i="11"/>
  <c r="CX812" i="11"/>
  <c r="CY812" i="11" s="1"/>
  <c r="EK811" i="11"/>
  <c r="EJ811" i="11"/>
  <c r="EL811" i="11" s="1"/>
  <c r="EF811" i="11"/>
  <c r="DJ812" i="11"/>
  <c r="DL812" i="11" s="1"/>
  <c r="DK812" i="11"/>
  <c r="BK812" i="11"/>
  <c r="BJ812" i="11"/>
  <c r="BL812" i="11" s="1"/>
  <c r="CJ812" i="11"/>
  <c r="CL812" i="11" s="1"/>
  <c r="CK812" i="11"/>
  <c r="BW812" i="11"/>
  <c r="BX812" i="11"/>
  <c r="BY812" i="11" s="1"/>
  <c r="AD812" i="11"/>
  <c r="AJ812" i="11"/>
  <c r="AK812" i="11"/>
  <c r="L812" i="11"/>
  <c r="AW811" i="11"/>
  <c r="AX811" i="11"/>
  <c r="AY811" i="11"/>
  <c r="AK811" i="11"/>
  <c r="AD811" i="11"/>
  <c r="AJ811" i="11"/>
  <c r="M812" i="11"/>
  <c r="EE812" i="11"/>
  <c r="EA813" i="11"/>
  <c r="EC813" i="11"/>
  <c r="EI813" i="11"/>
  <c r="EH813" i="11"/>
  <c r="DZ813" i="11"/>
  <c r="P814" i="11"/>
  <c r="DD812" i="11"/>
  <c r="CQ812" i="11"/>
  <c r="BF812" i="11"/>
  <c r="DF812" i="11"/>
  <c r="AB813" i="11"/>
  <c r="BQ812" i="11"/>
  <c r="CD812" i="11"/>
  <c r="BS812" i="11"/>
  <c r="AR812" i="11"/>
  <c r="AS812" i="11"/>
  <c r="AQ812" i="11"/>
  <c r="CE813" i="11"/>
  <c r="DU813" i="11"/>
  <c r="DV813" i="11"/>
  <c r="DI813" i="11"/>
  <c r="DH813" i="11"/>
  <c r="CU813" i="11"/>
  <c r="CV813" i="11"/>
  <c r="CR813" i="11"/>
  <c r="CH813" i="11"/>
  <c r="CI813" i="11"/>
  <c r="BU813" i="11"/>
  <c r="BV813" i="11"/>
  <c r="BH813" i="11"/>
  <c r="BI813" i="11"/>
  <c r="AU813" i="11"/>
  <c r="AV813" i="11"/>
  <c r="AH813" i="11"/>
  <c r="AI813" i="11"/>
  <c r="AC813" i="11"/>
  <c r="BN813" i="11"/>
  <c r="BO813" i="11"/>
  <c r="BR813" i="11" s="1"/>
  <c r="BP813" i="11"/>
  <c r="W814" i="11"/>
  <c r="AP813" i="11"/>
  <c r="AN813" i="11"/>
  <c r="AO813" i="11"/>
  <c r="AA813" i="11"/>
  <c r="Y813" i="11"/>
  <c r="BA813" i="11"/>
  <c r="BB813" i="11"/>
  <c r="BE813" i="11" s="1"/>
  <c r="BC813" i="11"/>
  <c r="DP813" i="11"/>
  <c r="DN813" i="11"/>
  <c r="AZ813" i="11"/>
  <c r="DM813" i="11"/>
  <c r="CM813" i="11"/>
  <c r="AM813" i="11"/>
  <c r="CZ813" i="11"/>
  <c r="CN813" i="11"/>
  <c r="X813" i="11"/>
  <c r="DA813" i="11"/>
  <c r="CO813" i="11"/>
  <c r="CS813" i="11" s="1"/>
  <c r="BZ813" i="11"/>
  <c r="DB813" i="11"/>
  <c r="DE813" i="11" s="1"/>
  <c r="CP813" i="11"/>
  <c r="CA813" i="11"/>
  <c r="DC813" i="11"/>
  <c r="CB813" i="11"/>
  <c r="CF813" i="11" s="1"/>
  <c r="CC813" i="11"/>
  <c r="BM813" i="11"/>
  <c r="C815" i="11"/>
  <c r="V815" i="11" l="1"/>
  <c r="A815" i="11"/>
  <c r="EB814" i="11"/>
  <c r="Z814" i="11"/>
  <c r="F814" i="11" s="1"/>
  <c r="AF814" i="11"/>
  <c r="B815" i="11"/>
  <c r="BG814" i="11"/>
  <c r="BD813" i="11"/>
  <c r="DT814" i="11"/>
  <c r="EG814" i="11"/>
  <c r="DG814" i="11"/>
  <c r="CT814" i="11"/>
  <c r="CG814" i="11"/>
  <c r="BT814" i="11"/>
  <c r="AT814" i="11"/>
  <c r="AE814" i="11"/>
  <c r="AG814" i="11"/>
  <c r="CJ813" i="11"/>
  <c r="CK813" i="11"/>
  <c r="CL813" i="11"/>
  <c r="CX813" i="11"/>
  <c r="CW813" i="11"/>
  <c r="CY813" i="11" s="1"/>
  <c r="BK813" i="11"/>
  <c r="BJ813" i="11"/>
  <c r="BL813" i="11" s="1"/>
  <c r="DJ813" i="11"/>
  <c r="DL813" i="11" s="1"/>
  <c r="DK813" i="11"/>
  <c r="BW813" i="11"/>
  <c r="BY813" i="11"/>
  <c r="BX813" i="11"/>
  <c r="EK812" i="11"/>
  <c r="EJ812" i="11"/>
  <c r="EF812" i="11"/>
  <c r="M813" i="11"/>
  <c r="L813" i="11"/>
  <c r="AW812" i="11"/>
  <c r="AX812" i="11"/>
  <c r="AL811" i="11"/>
  <c r="AL812" i="11"/>
  <c r="EE813" i="11"/>
  <c r="ED814" i="11"/>
  <c r="DZ814" i="11"/>
  <c r="EC814" i="11"/>
  <c r="EI814" i="11"/>
  <c r="EA814" i="11"/>
  <c r="EH814" i="11"/>
  <c r="CJ814" i="11"/>
  <c r="P815" i="11"/>
  <c r="CQ813" i="11"/>
  <c r="AB814" i="11"/>
  <c r="AC814" i="11" s="1"/>
  <c r="DD813" i="11"/>
  <c r="BF813" i="11"/>
  <c r="DF813" i="11"/>
  <c r="BQ813" i="11"/>
  <c r="CD813" i="11"/>
  <c r="BS813" i="11"/>
  <c r="AR813" i="11"/>
  <c r="AS813" i="11"/>
  <c r="AQ813" i="11"/>
  <c r="CE814" i="11"/>
  <c r="DU814" i="11"/>
  <c r="DV814" i="11"/>
  <c r="DH814" i="11"/>
  <c r="DI814" i="11"/>
  <c r="CR814" i="11"/>
  <c r="CU814" i="11"/>
  <c r="CV814" i="11"/>
  <c r="CH814" i="11"/>
  <c r="CI814" i="11"/>
  <c r="BU814" i="11"/>
  <c r="BV814" i="11"/>
  <c r="BH814" i="11"/>
  <c r="BI814" i="11"/>
  <c r="AU814" i="11"/>
  <c r="AV814" i="11"/>
  <c r="AH814" i="11"/>
  <c r="AI814" i="11"/>
  <c r="BO814" i="11"/>
  <c r="BR814" i="11" s="1"/>
  <c r="BP814" i="11"/>
  <c r="BN814" i="11"/>
  <c r="W815" i="11"/>
  <c r="AN814" i="11"/>
  <c r="AO814" i="11"/>
  <c r="AP814" i="11"/>
  <c r="Y814" i="11"/>
  <c r="AA814" i="11"/>
  <c r="BC814" i="11"/>
  <c r="BB814" i="11"/>
  <c r="BE814" i="11" s="1"/>
  <c r="BA814" i="11"/>
  <c r="DM814" i="11"/>
  <c r="DN814" i="11"/>
  <c r="CZ814" i="11"/>
  <c r="DP814" i="11"/>
  <c r="DC814" i="11"/>
  <c r="CP814" i="11"/>
  <c r="CA814" i="11"/>
  <c r="BM814" i="11"/>
  <c r="CB814" i="11"/>
  <c r="CF814" i="11" s="1"/>
  <c r="AZ814" i="11"/>
  <c r="CC814" i="11"/>
  <c r="AM814" i="11"/>
  <c r="X814" i="11"/>
  <c r="CM814" i="11"/>
  <c r="DA814" i="11"/>
  <c r="CN814" i="11"/>
  <c r="DB814" i="11"/>
  <c r="DE814" i="11" s="1"/>
  <c r="CO814" i="11"/>
  <c r="CS814" i="11" s="1"/>
  <c r="BZ814" i="11"/>
  <c r="C816" i="11"/>
  <c r="V816" i="11" l="1"/>
  <c r="A816" i="11"/>
  <c r="EB815" i="11"/>
  <c r="ED815" i="11" s="1"/>
  <c r="Z815" i="11"/>
  <c r="F815" i="11" s="1"/>
  <c r="AF815" i="11"/>
  <c r="B816" i="11"/>
  <c r="BG815" i="11"/>
  <c r="BD814" i="11"/>
  <c r="EG815" i="11"/>
  <c r="DT815" i="11"/>
  <c r="DG815" i="11"/>
  <c r="CT815" i="11"/>
  <c r="CG815" i="11"/>
  <c r="BT815" i="11"/>
  <c r="AT815" i="11"/>
  <c r="AE815" i="11"/>
  <c r="AG815" i="11"/>
  <c r="EL812" i="11"/>
  <c r="BX814" i="11"/>
  <c r="BW814" i="11"/>
  <c r="BY814" i="11" s="1"/>
  <c r="BJ814" i="11"/>
  <c r="BL814" i="11" s="1"/>
  <c r="BK814" i="11"/>
  <c r="CL814" i="11"/>
  <c r="DJ814" i="11"/>
  <c r="DL814" i="11" s="1"/>
  <c r="DK814" i="11"/>
  <c r="CW814" i="11"/>
  <c r="CX814" i="11"/>
  <c r="CY814" i="11" s="1"/>
  <c r="L814" i="11"/>
  <c r="AW813" i="11"/>
  <c r="AX813" i="11"/>
  <c r="AY813" i="11" s="1"/>
  <c r="CK814" i="11"/>
  <c r="AJ813" i="11"/>
  <c r="AK813" i="11"/>
  <c r="AD813" i="11"/>
  <c r="AY812" i="11"/>
  <c r="EJ813" i="11"/>
  <c r="EK813" i="11"/>
  <c r="M814" i="11"/>
  <c r="EF813" i="11"/>
  <c r="DZ815" i="11"/>
  <c r="EI815" i="11"/>
  <c r="EC815" i="11"/>
  <c r="EH815" i="11"/>
  <c r="EA815" i="11"/>
  <c r="EE814" i="11"/>
  <c r="P816" i="11"/>
  <c r="CD814" i="11"/>
  <c r="AB815" i="11"/>
  <c r="AC815" i="11" s="1"/>
  <c r="BQ814" i="11"/>
  <c r="BS814" i="11"/>
  <c r="BF814" i="11"/>
  <c r="CQ814" i="11"/>
  <c r="DD814" i="11"/>
  <c r="DF814" i="11"/>
  <c r="AR814" i="11"/>
  <c r="AS814" i="11"/>
  <c r="AQ814" i="11"/>
  <c r="CE815" i="11"/>
  <c r="DU815" i="11"/>
  <c r="DV815" i="11"/>
  <c r="DH815" i="11"/>
  <c r="DI815" i="11"/>
  <c r="CV815" i="11"/>
  <c r="CR815" i="11"/>
  <c r="CU815" i="11"/>
  <c r="CH815" i="11"/>
  <c r="CI815" i="11"/>
  <c r="BU815" i="11"/>
  <c r="BV815" i="11"/>
  <c r="BH815" i="11"/>
  <c r="BI815" i="11"/>
  <c r="AU815" i="11"/>
  <c r="AV815" i="11"/>
  <c r="AH815" i="11"/>
  <c r="AI815" i="11"/>
  <c r="BO815" i="11"/>
  <c r="BR815" i="11" s="1"/>
  <c r="BN815" i="11"/>
  <c r="BP815" i="11"/>
  <c r="W816" i="11"/>
  <c r="AP815" i="11"/>
  <c r="AN815" i="11"/>
  <c r="AO815" i="11"/>
  <c r="AA815" i="11"/>
  <c r="Y815" i="11"/>
  <c r="BA815" i="11"/>
  <c r="BB815" i="11"/>
  <c r="BE815" i="11" s="1"/>
  <c r="BC815" i="11"/>
  <c r="DP815" i="11"/>
  <c r="DN815" i="11"/>
  <c r="CZ815" i="11"/>
  <c r="CM815" i="11"/>
  <c r="BM815" i="11"/>
  <c r="DM815" i="11"/>
  <c r="DA815" i="11"/>
  <c r="CN815" i="11"/>
  <c r="AZ815" i="11"/>
  <c r="DB815" i="11"/>
  <c r="DE815" i="11" s="1"/>
  <c r="CO815" i="11"/>
  <c r="CS815" i="11" s="1"/>
  <c r="BZ815" i="11"/>
  <c r="AM815" i="11"/>
  <c r="DC815" i="11"/>
  <c r="CP815" i="11"/>
  <c r="CA815" i="11"/>
  <c r="X815" i="11"/>
  <c r="CB815" i="11"/>
  <c r="CF815" i="11" s="1"/>
  <c r="CC815" i="11"/>
  <c r="C817" i="11"/>
  <c r="V817" i="11" l="1"/>
  <c r="A817" i="11"/>
  <c r="EB816" i="11"/>
  <c r="ED816" i="11" s="1"/>
  <c r="Z816" i="11"/>
  <c r="F816" i="11" s="1"/>
  <c r="AF816" i="11"/>
  <c r="B817" i="11"/>
  <c r="BG816" i="11"/>
  <c r="BD815" i="11"/>
  <c r="DG816" i="11"/>
  <c r="EG816" i="11"/>
  <c r="DT816" i="11"/>
  <c r="CT816" i="11"/>
  <c r="CG816" i="11"/>
  <c r="BT816" i="11"/>
  <c r="AT816" i="11"/>
  <c r="AE816" i="11"/>
  <c r="AG816" i="11"/>
  <c r="EL813" i="11"/>
  <c r="BX815" i="11"/>
  <c r="BW815" i="11"/>
  <c r="BY815" i="11"/>
  <c r="DJ815" i="11"/>
  <c r="DL815" i="11" s="1"/>
  <c r="DK815" i="11"/>
  <c r="CX815" i="11"/>
  <c r="CY815" i="11" s="1"/>
  <c r="CW815" i="11"/>
  <c r="CJ815" i="11"/>
  <c r="CL815" i="11" s="1"/>
  <c r="CK815" i="11"/>
  <c r="BJ815" i="11"/>
  <c r="BK815" i="11"/>
  <c r="BL815" i="11" s="1"/>
  <c r="AW814" i="11"/>
  <c r="AY814" i="11" s="1"/>
  <c r="AX814" i="11"/>
  <c r="EJ814" i="11"/>
  <c r="EK814" i="11"/>
  <c r="EF814" i="11"/>
  <c r="AK814" i="11"/>
  <c r="AJ814" i="11"/>
  <c r="AL814" i="11"/>
  <c r="AD814" i="11"/>
  <c r="L815" i="11"/>
  <c r="M815" i="11"/>
  <c r="AL813" i="11"/>
  <c r="EE815" i="11"/>
  <c r="EI816" i="11"/>
  <c r="EC816" i="11"/>
  <c r="DZ816" i="11"/>
  <c r="EA816" i="11"/>
  <c r="EH816" i="11"/>
  <c r="P817" i="11"/>
  <c r="BQ815" i="11"/>
  <c r="CD815" i="11"/>
  <c r="BS815" i="11"/>
  <c r="CQ815" i="11"/>
  <c r="BF815" i="11"/>
  <c r="DD815" i="11"/>
  <c r="AB816" i="11"/>
  <c r="AC816" i="11" s="1"/>
  <c r="DF815" i="11"/>
  <c r="AR815" i="11"/>
  <c r="AQ815" i="11"/>
  <c r="AS815" i="11"/>
  <c r="CE816" i="11"/>
  <c r="DV816" i="11"/>
  <c r="DU816" i="11"/>
  <c r="DI816" i="11"/>
  <c r="DH816" i="11"/>
  <c r="CU816" i="11"/>
  <c r="CV816" i="11"/>
  <c r="CR816" i="11"/>
  <c r="CH816" i="11"/>
  <c r="CI816" i="11"/>
  <c r="BV816" i="11"/>
  <c r="BU816" i="11"/>
  <c r="BH816" i="11"/>
  <c r="BI816" i="11"/>
  <c r="AU816" i="11"/>
  <c r="AV816" i="11"/>
  <c r="AI816" i="11"/>
  <c r="AH816" i="11"/>
  <c r="L816" i="11" s="1"/>
  <c r="BO816" i="11"/>
  <c r="BR816" i="11" s="1"/>
  <c r="BP816" i="11"/>
  <c r="BN816" i="11"/>
  <c r="W817" i="11"/>
  <c r="AO816" i="11"/>
  <c r="AP816" i="11"/>
  <c r="AN816" i="11"/>
  <c r="AA816" i="11"/>
  <c r="Y816" i="11"/>
  <c r="BB816" i="11"/>
  <c r="BE816" i="11" s="1"/>
  <c r="BC816" i="11"/>
  <c r="BA816" i="11"/>
  <c r="DM816" i="11"/>
  <c r="DN816" i="11"/>
  <c r="CZ816" i="11"/>
  <c r="DP816" i="11"/>
  <c r="CP816" i="11"/>
  <c r="CA816" i="11"/>
  <c r="CB816" i="11"/>
  <c r="CD816" i="11" s="1"/>
  <c r="CC816" i="11"/>
  <c r="BM816" i="11"/>
  <c r="AZ816" i="11"/>
  <c r="AM816" i="11"/>
  <c r="DA816" i="11"/>
  <c r="CM816" i="11"/>
  <c r="DB816" i="11"/>
  <c r="DE816" i="11" s="1"/>
  <c r="CN816" i="11"/>
  <c r="DC816" i="11"/>
  <c r="CO816" i="11"/>
  <c r="CQ816" i="11" s="1"/>
  <c r="BZ816" i="11"/>
  <c r="X816" i="11"/>
  <c r="C818" i="11"/>
  <c r="V818" i="11" l="1"/>
  <c r="A818" i="11"/>
  <c r="EB817" i="11"/>
  <c r="ED817" i="11" s="1"/>
  <c r="Z817" i="11"/>
  <c r="F817" i="11" s="1"/>
  <c r="AF817" i="11"/>
  <c r="B818" i="11"/>
  <c r="BG817" i="11"/>
  <c r="BD816" i="11"/>
  <c r="DG817" i="11"/>
  <c r="EG817" i="11"/>
  <c r="DT817" i="11"/>
  <c r="CG817" i="11"/>
  <c r="CT817" i="11"/>
  <c r="BT817" i="11"/>
  <c r="AT817" i="11"/>
  <c r="AE817" i="11"/>
  <c r="AG817" i="11"/>
  <c r="EL814" i="11"/>
  <c r="CJ816" i="11"/>
  <c r="CL816" i="11" s="1"/>
  <c r="CK816" i="11"/>
  <c r="CW816" i="11"/>
  <c r="CY816" i="11" s="1"/>
  <c r="CX816" i="11"/>
  <c r="BW816" i="11"/>
  <c r="BY816" i="11" s="1"/>
  <c r="BX816" i="11"/>
  <c r="DK816" i="11"/>
  <c r="DJ816" i="11"/>
  <c r="DL816" i="11" s="1"/>
  <c r="BK816" i="11"/>
  <c r="BJ816" i="11"/>
  <c r="BL816" i="11" s="1"/>
  <c r="EJ815" i="11"/>
  <c r="EK815" i="11"/>
  <c r="EF815" i="11"/>
  <c r="AY815" i="11"/>
  <c r="AX815" i="11"/>
  <c r="AW815" i="11"/>
  <c r="M816" i="11"/>
  <c r="AK815" i="11"/>
  <c r="AJ815" i="11"/>
  <c r="AD815" i="11"/>
  <c r="AL815" i="11"/>
  <c r="EE816" i="11"/>
  <c r="EH817" i="11"/>
  <c r="DZ817" i="11"/>
  <c r="EI817" i="11"/>
  <c r="EC817" i="11"/>
  <c r="EA817" i="11"/>
  <c r="P818" i="11"/>
  <c r="DD816" i="11"/>
  <c r="BF816" i="11"/>
  <c r="CF816" i="11"/>
  <c r="CS816" i="11"/>
  <c r="DF816" i="11"/>
  <c r="BQ816" i="11"/>
  <c r="AB817" i="11"/>
  <c r="AC817" i="11" s="1"/>
  <c r="BS816" i="11"/>
  <c r="AR816" i="11"/>
  <c r="AS816" i="11"/>
  <c r="AQ816" i="11"/>
  <c r="CE817" i="11"/>
  <c r="DU817" i="11"/>
  <c r="DV817" i="11"/>
  <c r="DH817" i="11"/>
  <c r="DI817" i="11"/>
  <c r="CU817" i="11"/>
  <c r="CR817" i="11"/>
  <c r="CV817" i="11"/>
  <c r="CH817" i="11"/>
  <c r="CI817" i="11"/>
  <c r="BU817" i="11"/>
  <c r="BV817" i="11"/>
  <c r="BI817" i="11"/>
  <c r="BH817" i="11"/>
  <c r="AU817" i="11"/>
  <c r="AV817" i="11"/>
  <c r="AH817" i="11"/>
  <c r="AI817" i="11"/>
  <c r="BN817" i="11"/>
  <c r="BO817" i="11"/>
  <c r="BR817" i="11" s="1"/>
  <c r="BP817" i="11"/>
  <c r="W818" i="11"/>
  <c r="AN817" i="11"/>
  <c r="AO817" i="11"/>
  <c r="AP817" i="11"/>
  <c r="Y817" i="11"/>
  <c r="AA817" i="11"/>
  <c r="BB817" i="11"/>
  <c r="BE817" i="11" s="1"/>
  <c r="BC817" i="11"/>
  <c r="BA817" i="11"/>
  <c r="DP817" i="11"/>
  <c r="DN817" i="11"/>
  <c r="CZ817" i="11"/>
  <c r="DA817" i="11"/>
  <c r="CM817" i="11"/>
  <c r="DB817" i="11"/>
  <c r="DE817" i="11" s="1"/>
  <c r="CN817" i="11"/>
  <c r="DM817" i="11"/>
  <c r="DC817" i="11"/>
  <c r="CO817" i="11"/>
  <c r="CQ817" i="11" s="1"/>
  <c r="BZ817" i="11"/>
  <c r="BM817" i="11"/>
  <c r="CP817" i="11"/>
  <c r="CA817" i="11"/>
  <c r="AZ817" i="11"/>
  <c r="CB817" i="11"/>
  <c r="CD817" i="11" s="1"/>
  <c r="CC817" i="11"/>
  <c r="AM817" i="11"/>
  <c r="X817" i="11"/>
  <c r="C819" i="11"/>
  <c r="V819" i="11" l="1"/>
  <c r="A819" i="11"/>
  <c r="EB818" i="11"/>
  <c r="Z818" i="11"/>
  <c r="F818" i="11" s="1"/>
  <c r="AF818" i="11"/>
  <c r="B819" i="11"/>
  <c r="BG818" i="11"/>
  <c r="BD817" i="11"/>
  <c r="EG818" i="11"/>
  <c r="DT818" i="11"/>
  <c r="DG818" i="11"/>
  <c r="CT818" i="11"/>
  <c r="CG818" i="11"/>
  <c r="BT818" i="11"/>
  <c r="AT818" i="11"/>
  <c r="AE818" i="11"/>
  <c r="AG818" i="11"/>
  <c r="EL815" i="11"/>
  <c r="CW817" i="11"/>
  <c r="CX817" i="11"/>
  <c r="CY817" i="11" s="1"/>
  <c r="BX817" i="11"/>
  <c r="BW817" i="11"/>
  <c r="BY817" i="11" s="1"/>
  <c r="BJ817" i="11"/>
  <c r="BL817" i="11" s="1"/>
  <c r="BK817" i="11"/>
  <c r="DJ817" i="11"/>
  <c r="DK817" i="11"/>
  <c r="DL817" i="11" s="1"/>
  <c r="CJ817" i="11"/>
  <c r="CL817" i="11" s="1"/>
  <c r="CK817" i="11"/>
  <c r="EK816" i="11"/>
  <c r="EJ816" i="11"/>
  <c r="EL816" i="11" s="1"/>
  <c r="EF816" i="11"/>
  <c r="M817" i="11"/>
  <c r="EE817" i="11"/>
  <c r="L817" i="11"/>
  <c r="AX816" i="11"/>
  <c r="AY816" i="11" s="1"/>
  <c r="AW816" i="11"/>
  <c r="AK816" i="11"/>
  <c r="AD816" i="11"/>
  <c r="AJ816" i="11"/>
  <c r="ED818" i="11"/>
  <c r="DZ818" i="11"/>
  <c r="EH818" i="11"/>
  <c r="EA818" i="11"/>
  <c r="EC818" i="11"/>
  <c r="EI818" i="11"/>
  <c r="BW818" i="11"/>
  <c r="P819" i="11"/>
  <c r="DD817" i="11"/>
  <c r="CF817" i="11"/>
  <c r="CS817" i="11"/>
  <c r="AB818" i="11"/>
  <c r="BF817" i="11"/>
  <c r="DF817" i="11"/>
  <c r="BQ817" i="11"/>
  <c r="BS817" i="11"/>
  <c r="AR817" i="11"/>
  <c r="AS817" i="11"/>
  <c r="AQ817" i="11"/>
  <c r="CE818" i="11"/>
  <c r="DU818" i="11"/>
  <c r="DV818" i="11"/>
  <c r="DI818" i="11"/>
  <c r="DH818" i="11"/>
  <c r="CR818" i="11"/>
  <c r="CU818" i="11"/>
  <c r="CV818" i="11"/>
  <c r="CH818" i="11"/>
  <c r="CI818" i="11"/>
  <c r="BX818" i="11"/>
  <c r="BU818" i="11"/>
  <c r="BV818" i="11"/>
  <c r="BI818" i="11"/>
  <c r="BH818" i="11"/>
  <c r="AI818" i="11"/>
  <c r="M818" i="11" s="1"/>
  <c r="AU818" i="11"/>
  <c r="AV818" i="11"/>
  <c r="AH818" i="11"/>
  <c r="L818" i="11" s="1"/>
  <c r="BN818" i="11"/>
  <c r="BO818" i="11"/>
  <c r="BR818" i="11" s="1"/>
  <c r="BP818" i="11"/>
  <c r="W819" i="11"/>
  <c r="AO818" i="11"/>
  <c r="AN818" i="11"/>
  <c r="AC818" i="11"/>
  <c r="AP818" i="11"/>
  <c r="Y818" i="11"/>
  <c r="AA818" i="11"/>
  <c r="BB818" i="11"/>
  <c r="BE818" i="11" s="1"/>
  <c r="BC818" i="11"/>
  <c r="BA818" i="11"/>
  <c r="DM818" i="11"/>
  <c r="DN818" i="11"/>
  <c r="CZ818" i="11"/>
  <c r="DP818" i="11"/>
  <c r="CP818" i="11"/>
  <c r="CA818" i="11"/>
  <c r="CB818" i="11"/>
  <c r="CF818" i="11" s="1"/>
  <c r="CC818" i="11"/>
  <c r="DA818" i="11"/>
  <c r="BM818" i="11"/>
  <c r="DB818" i="11"/>
  <c r="DE818" i="11" s="1"/>
  <c r="CM818" i="11"/>
  <c r="DC818" i="11"/>
  <c r="CN818" i="11"/>
  <c r="CO818" i="11"/>
  <c r="CS818" i="11" s="1"/>
  <c r="BZ818" i="11"/>
  <c r="AZ818" i="11"/>
  <c r="AM818" i="11"/>
  <c r="X818" i="11"/>
  <c r="C820" i="11"/>
  <c r="V820" i="11" l="1"/>
  <c r="A820" i="11"/>
  <c r="EB819" i="11"/>
  <c r="ED819" i="11" s="1"/>
  <c r="Z819" i="11"/>
  <c r="F819" i="11" s="1"/>
  <c r="AF819" i="11"/>
  <c r="B820" i="11"/>
  <c r="BG819" i="11"/>
  <c r="BD818" i="11"/>
  <c r="DT819" i="11"/>
  <c r="EG819" i="11"/>
  <c r="DG819" i="11"/>
  <c r="CT819" i="11"/>
  <c r="CG819" i="11"/>
  <c r="BT819" i="11"/>
  <c r="AT819" i="11"/>
  <c r="AE819" i="11"/>
  <c r="AG819" i="11"/>
  <c r="BK818" i="11"/>
  <c r="BJ818" i="11"/>
  <c r="BL818" i="11" s="1"/>
  <c r="CW818" i="11"/>
  <c r="CY818" i="11" s="1"/>
  <c r="CX818" i="11"/>
  <c r="DJ818" i="11"/>
  <c r="DL818" i="11" s="1"/>
  <c r="DK818" i="11"/>
  <c r="CJ818" i="11"/>
  <c r="CL818" i="11" s="1"/>
  <c r="CK818" i="11"/>
  <c r="EK817" i="11"/>
  <c r="EJ817" i="11"/>
  <c r="EF817" i="11"/>
  <c r="AW817" i="11"/>
  <c r="AY817" i="11" s="1"/>
  <c r="AX817" i="11"/>
  <c r="BY818" i="11"/>
  <c r="AJ817" i="11"/>
  <c r="AK817" i="11"/>
  <c r="AL817" i="11" s="1"/>
  <c r="AD817" i="11"/>
  <c r="AL816" i="11"/>
  <c r="DZ819" i="11"/>
  <c r="EI819" i="11"/>
  <c r="EH819" i="11"/>
  <c r="EC819" i="11"/>
  <c r="EA819" i="11"/>
  <c r="EE818" i="11"/>
  <c r="P820" i="11"/>
  <c r="CQ818" i="11"/>
  <c r="CD818" i="11"/>
  <c r="AB819" i="11"/>
  <c r="AC819" i="11" s="1"/>
  <c r="DD818" i="11"/>
  <c r="BF818" i="11"/>
  <c r="DF818" i="11"/>
  <c r="BQ818" i="11"/>
  <c r="BS818" i="11"/>
  <c r="AR818" i="11"/>
  <c r="AS818" i="11"/>
  <c r="AQ818" i="11"/>
  <c r="CE819" i="11"/>
  <c r="DU819" i="11"/>
  <c r="DV819" i="11"/>
  <c r="DH819" i="11"/>
  <c r="DI819" i="11"/>
  <c r="CR819" i="11"/>
  <c r="CU819" i="11"/>
  <c r="CV819" i="11"/>
  <c r="CH819" i="11"/>
  <c r="CI819" i="11"/>
  <c r="BV819" i="11"/>
  <c r="BU819" i="11"/>
  <c r="BH819" i="11"/>
  <c r="BI819" i="11"/>
  <c r="AV819" i="11"/>
  <c r="AH819" i="11"/>
  <c r="L819" i="11" s="1"/>
  <c r="AI819" i="11"/>
  <c r="AU819" i="11"/>
  <c r="BP819" i="11"/>
  <c r="BN819" i="11"/>
  <c r="BO819" i="11"/>
  <c r="BR819" i="11" s="1"/>
  <c r="AN819" i="11"/>
  <c r="AO819" i="11"/>
  <c r="AP819" i="11"/>
  <c r="Y819" i="11"/>
  <c r="AA819" i="11"/>
  <c r="BC819" i="11"/>
  <c r="BA819" i="11"/>
  <c r="BB819" i="11"/>
  <c r="BE819" i="11" s="1"/>
  <c r="DP819" i="11"/>
  <c r="DN819" i="11"/>
  <c r="DA819" i="11"/>
  <c r="X819" i="11"/>
  <c r="DB819" i="11"/>
  <c r="DE819" i="11" s="1"/>
  <c r="CM819" i="11"/>
  <c r="DC819" i="11"/>
  <c r="CN819" i="11"/>
  <c r="CO819" i="11"/>
  <c r="CS819" i="11" s="1"/>
  <c r="BZ819" i="11"/>
  <c r="DM819" i="11"/>
  <c r="CP819" i="11"/>
  <c r="CA819" i="11"/>
  <c r="CB819" i="11"/>
  <c r="CF819" i="11" s="1"/>
  <c r="BM819" i="11"/>
  <c r="CC819" i="11"/>
  <c r="CZ819" i="11"/>
  <c r="AM819" i="11"/>
  <c r="AZ819" i="11"/>
  <c r="W820" i="11"/>
  <c r="C821" i="11"/>
  <c r="V821" i="11" l="1"/>
  <c r="A821" i="11"/>
  <c r="Z820" i="11"/>
  <c r="F820" i="11" s="1"/>
  <c r="EB820" i="11"/>
  <c r="AF820" i="11"/>
  <c r="B821" i="11"/>
  <c r="BG820" i="11"/>
  <c r="BD819" i="11"/>
  <c r="DG820" i="11"/>
  <c r="CG820" i="11"/>
  <c r="EG820" i="11"/>
  <c r="DT820" i="11"/>
  <c r="CT820" i="11"/>
  <c r="BT820" i="11"/>
  <c r="AT820" i="11"/>
  <c r="AE820" i="11"/>
  <c r="AG820" i="11"/>
  <c r="EL817" i="11"/>
  <c r="CJ819" i="11"/>
  <c r="CL819" i="11" s="1"/>
  <c r="CK819" i="11"/>
  <c r="BX819" i="11"/>
  <c r="BW819" i="11"/>
  <c r="BY819" i="11" s="1"/>
  <c r="BJ819" i="11"/>
  <c r="BK819" i="11"/>
  <c r="BL819" i="11"/>
  <c r="CW819" i="11"/>
  <c r="CX819" i="11"/>
  <c r="CY819" i="11" s="1"/>
  <c r="DJ819" i="11"/>
  <c r="DL819" i="11" s="1"/>
  <c r="DK819" i="11"/>
  <c r="M819" i="11"/>
  <c r="AW818" i="11"/>
  <c r="AY818" i="11" s="1"/>
  <c r="AX818" i="11"/>
  <c r="AD818" i="11"/>
  <c r="AK818" i="11"/>
  <c r="AJ818" i="11"/>
  <c r="EJ818" i="11"/>
  <c r="EK818" i="11"/>
  <c r="EF818" i="11"/>
  <c r="EI820" i="11"/>
  <c r="ED820" i="11"/>
  <c r="EC820" i="11"/>
  <c r="EH820" i="11"/>
  <c r="EA820" i="11"/>
  <c r="DZ820" i="11"/>
  <c r="EE819" i="11"/>
  <c r="P821" i="11"/>
  <c r="BS819" i="11"/>
  <c r="CD819" i="11"/>
  <c r="CQ819" i="11"/>
  <c r="DD819" i="11"/>
  <c r="AB820" i="11"/>
  <c r="BQ819" i="11"/>
  <c r="DF819" i="11"/>
  <c r="BF819" i="11"/>
  <c r="AR819" i="11"/>
  <c r="AS819" i="11"/>
  <c r="AQ819" i="11"/>
  <c r="CE820" i="11"/>
  <c r="DV820" i="11"/>
  <c r="DU820" i="11"/>
  <c r="DH820" i="11"/>
  <c r="DI820" i="11"/>
  <c r="CR820" i="11"/>
  <c r="CV820" i="11"/>
  <c r="CU820" i="11"/>
  <c r="CH820" i="11"/>
  <c r="CI820" i="11"/>
  <c r="BU820" i="11"/>
  <c r="BV820" i="11"/>
  <c r="BH820" i="11"/>
  <c r="BI820" i="11"/>
  <c r="AU820" i="11"/>
  <c r="AV820" i="11"/>
  <c r="AH820" i="11"/>
  <c r="AI820" i="11"/>
  <c r="AC820" i="11"/>
  <c r="BP820" i="11"/>
  <c r="BN820" i="11"/>
  <c r="BO820" i="11"/>
  <c r="BR820" i="11" s="1"/>
  <c r="W821" i="11"/>
  <c r="AN820" i="11"/>
  <c r="AO820" i="11"/>
  <c r="AP820" i="11"/>
  <c r="Y820" i="11"/>
  <c r="AA820" i="11"/>
  <c r="BA820" i="11"/>
  <c r="BB820" i="11"/>
  <c r="BE820" i="11" s="1"/>
  <c r="BC820" i="11"/>
  <c r="DM820" i="11"/>
  <c r="DN820" i="11"/>
  <c r="DP820" i="11"/>
  <c r="CP820" i="11"/>
  <c r="CA820" i="11"/>
  <c r="AM820" i="11"/>
  <c r="CB820" i="11"/>
  <c r="CF820" i="11" s="1"/>
  <c r="X820" i="11"/>
  <c r="CC820" i="11"/>
  <c r="CZ820" i="11"/>
  <c r="DA820" i="11"/>
  <c r="DB820" i="11"/>
  <c r="DE820" i="11" s="1"/>
  <c r="CM820" i="11"/>
  <c r="DC820" i="11"/>
  <c r="CN820" i="11"/>
  <c r="BM820" i="11"/>
  <c r="CO820" i="11"/>
  <c r="CQ820" i="11" s="1"/>
  <c r="BZ820" i="11"/>
  <c r="AZ820" i="11"/>
  <c r="C822" i="11"/>
  <c r="V822" i="11" l="1"/>
  <c r="A822" i="11"/>
  <c r="Z821" i="11"/>
  <c r="F821" i="11" s="1"/>
  <c r="EB821" i="11"/>
  <c r="AF821" i="11"/>
  <c r="B822" i="11"/>
  <c r="BG821" i="11"/>
  <c r="BD820" i="11"/>
  <c r="EG821" i="11"/>
  <c r="DG821" i="11"/>
  <c r="DT821" i="11"/>
  <c r="CT821" i="11"/>
  <c r="CG821" i="11"/>
  <c r="BT821" i="11"/>
  <c r="AT821" i="11"/>
  <c r="AE821" i="11"/>
  <c r="AG821" i="11"/>
  <c r="EL818" i="11"/>
  <c r="BJ820" i="11"/>
  <c r="BL820" i="11" s="1"/>
  <c r="BK820" i="11"/>
  <c r="CW820" i="11"/>
  <c r="CX820" i="11"/>
  <c r="CY820" i="11" s="1"/>
  <c r="DJ820" i="11"/>
  <c r="DK820" i="11"/>
  <c r="DL820" i="11"/>
  <c r="EJ819" i="11"/>
  <c r="EK819" i="11"/>
  <c r="EF819" i="11"/>
  <c r="BW820" i="11"/>
  <c r="BY820" i="11"/>
  <c r="BX820" i="11"/>
  <c r="AD820" i="11"/>
  <c r="AJ820" i="11"/>
  <c r="AK820" i="11"/>
  <c r="AL820" i="11"/>
  <c r="CK820" i="11"/>
  <c r="CL820" i="11"/>
  <c r="CJ820" i="11"/>
  <c r="AD819" i="11"/>
  <c r="AK819" i="11"/>
  <c r="AJ819" i="11"/>
  <c r="AL818" i="11"/>
  <c r="M820" i="11"/>
  <c r="L820" i="11"/>
  <c r="AW819" i="11"/>
  <c r="AY819" i="11" s="1"/>
  <c r="AX819" i="11"/>
  <c r="EE820" i="11"/>
  <c r="EF820" i="11" s="1"/>
  <c r="ED821" i="11"/>
  <c r="EC821" i="11"/>
  <c r="EA821" i="11"/>
  <c r="DZ821" i="11"/>
  <c r="EI821" i="11"/>
  <c r="EH821" i="11"/>
  <c r="BW821" i="11"/>
  <c r="P822" i="11"/>
  <c r="CS820" i="11"/>
  <c r="DF820" i="11"/>
  <c r="DD820" i="11"/>
  <c r="BQ820" i="11"/>
  <c r="CD820" i="11"/>
  <c r="BF820" i="11"/>
  <c r="BS820" i="11"/>
  <c r="AB821" i="11"/>
  <c r="AR820" i="11"/>
  <c r="AS820" i="11"/>
  <c r="AQ820" i="11"/>
  <c r="CE821" i="11"/>
  <c r="DU821" i="11"/>
  <c r="DV821" i="11"/>
  <c r="DI821" i="11"/>
  <c r="DH821" i="11"/>
  <c r="CU821" i="11"/>
  <c r="CR821" i="11"/>
  <c r="CV821" i="11"/>
  <c r="CH821" i="11"/>
  <c r="CI821" i="11"/>
  <c r="BU821" i="11"/>
  <c r="BV821" i="11"/>
  <c r="BH821" i="11"/>
  <c r="BI821" i="11"/>
  <c r="AU821" i="11"/>
  <c r="AV821" i="11"/>
  <c r="AH821" i="11"/>
  <c r="AI821" i="11"/>
  <c r="M821" i="11" s="1"/>
  <c r="BP821" i="11"/>
  <c r="BN821" i="11"/>
  <c r="BO821" i="11"/>
  <c r="BR821" i="11" s="1"/>
  <c r="W822" i="11"/>
  <c r="AP821" i="11"/>
  <c r="AA821" i="11"/>
  <c r="AO821" i="11"/>
  <c r="Y821" i="11"/>
  <c r="AN821" i="11"/>
  <c r="AC821" i="11"/>
  <c r="BA821" i="11"/>
  <c r="BC821" i="11"/>
  <c r="BB821" i="11"/>
  <c r="BE821" i="11" s="1"/>
  <c r="DP821" i="11"/>
  <c r="DN821" i="11"/>
  <c r="DA821" i="11"/>
  <c r="AZ821" i="11"/>
  <c r="DB821" i="11"/>
  <c r="DE821" i="11" s="1"/>
  <c r="CM821" i="11"/>
  <c r="AM821" i="11"/>
  <c r="DC821" i="11"/>
  <c r="CN821" i="11"/>
  <c r="X821" i="11"/>
  <c r="CO821" i="11"/>
  <c r="CQ821" i="11" s="1"/>
  <c r="BZ821" i="11"/>
  <c r="CP821" i="11"/>
  <c r="CA821" i="11"/>
  <c r="DM821" i="11"/>
  <c r="CB821" i="11"/>
  <c r="CF821" i="11" s="1"/>
  <c r="CC821" i="11"/>
  <c r="CZ821" i="11"/>
  <c r="BM821" i="11"/>
  <c r="C823" i="11"/>
  <c r="V823" i="11" l="1"/>
  <c r="A823" i="11"/>
  <c r="Z822" i="11"/>
  <c r="F822" i="11" s="1"/>
  <c r="EB822" i="11"/>
  <c r="ED822" i="11" s="1"/>
  <c r="AF822" i="11"/>
  <c r="B823" i="11"/>
  <c r="BG822" i="11"/>
  <c r="BD821" i="11"/>
  <c r="DT822" i="11"/>
  <c r="EG822" i="11"/>
  <c r="DG822" i="11"/>
  <c r="CT822" i="11"/>
  <c r="CG822" i="11"/>
  <c r="BT822" i="11"/>
  <c r="AT822" i="11"/>
  <c r="AE822" i="11"/>
  <c r="AG822" i="11"/>
  <c r="EL819" i="11"/>
  <c r="DJ821" i="11"/>
  <c r="DK821" i="11"/>
  <c r="DL821" i="11" s="1"/>
  <c r="CJ821" i="11"/>
  <c r="CL821" i="11" s="1"/>
  <c r="CK821" i="11"/>
  <c r="BK821" i="11"/>
  <c r="BL821" i="11" s="1"/>
  <c r="BJ821" i="11"/>
  <c r="CW821" i="11"/>
  <c r="CX821" i="11"/>
  <c r="CY821" i="11"/>
  <c r="L821" i="11"/>
  <c r="AW820" i="11"/>
  <c r="AY820" i="11" s="1"/>
  <c r="AX820" i="11"/>
  <c r="BX821" i="11"/>
  <c r="BY821" i="11" s="1"/>
  <c r="AL819" i="11"/>
  <c r="EK820" i="11"/>
  <c r="EJ820" i="11"/>
  <c r="EE821" i="11"/>
  <c r="EF821" i="11" s="1"/>
  <c r="DZ822" i="11"/>
  <c r="EI822" i="11"/>
  <c r="EH822" i="11"/>
  <c r="EA822" i="11"/>
  <c r="EC822" i="11"/>
  <c r="CW822" i="11"/>
  <c r="P823" i="11"/>
  <c r="DD821" i="11"/>
  <c r="CS821" i="11"/>
  <c r="BF821" i="11"/>
  <c r="DF821" i="11"/>
  <c r="CD821" i="11"/>
  <c r="BQ821" i="11"/>
  <c r="BS821" i="11"/>
  <c r="AB822" i="11"/>
  <c r="AC822" i="11" s="1"/>
  <c r="AR821" i="11"/>
  <c r="AQ821" i="11"/>
  <c r="AS821" i="11"/>
  <c r="CE822" i="11"/>
  <c r="DU822" i="11"/>
  <c r="DV822" i="11"/>
  <c r="DH822" i="11"/>
  <c r="DI822" i="11"/>
  <c r="CR822" i="11"/>
  <c r="CU822" i="11"/>
  <c r="CV822" i="11"/>
  <c r="CH822" i="11"/>
  <c r="CI822" i="11"/>
  <c r="BU822" i="11"/>
  <c r="BV822" i="11"/>
  <c r="BX822" i="11"/>
  <c r="BY822" i="11" s="1"/>
  <c r="BW822" i="11"/>
  <c r="BH822" i="11"/>
  <c r="BI822" i="11"/>
  <c r="AU822" i="11"/>
  <c r="AV822" i="11"/>
  <c r="AH822" i="11"/>
  <c r="AI822" i="11"/>
  <c r="BO822" i="11"/>
  <c r="BR822" i="11" s="1"/>
  <c r="BN822" i="11"/>
  <c r="BP822" i="11"/>
  <c r="W823" i="11"/>
  <c r="AN822" i="11"/>
  <c r="AO822" i="11"/>
  <c r="AP822" i="11"/>
  <c r="Y822" i="11"/>
  <c r="AA822" i="11"/>
  <c r="BC822" i="11"/>
  <c r="BA822" i="11"/>
  <c r="BB822" i="11"/>
  <c r="BE822" i="11" s="1"/>
  <c r="DM822" i="11"/>
  <c r="DN822" i="11"/>
  <c r="DP822" i="11"/>
  <c r="CP822" i="11"/>
  <c r="CA822" i="11"/>
  <c r="BM822" i="11"/>
  <c r="CB822" i="11"/>
  <c r="CD822" i="11" s="1"/>
  <c r="AZ822" i="11"/>
  <c r="CC822" i="11"/>
  <c r="AM822" i="11"/>
  <c r="CZ822" i="11"/>
  <c r="X822" i="11"/>
  <c r="DA822" i="11"/>
  <c r="DB822" i="11"/>
  <c r="DE822" i="11" s="1"/>
  <c r="CM822" i="11"/>
  <c r="DC822" i="11"/>
  <c r="CN822" i="11"/>
  <c r="CO822" i="11"/>
  <c r="CS822" i="11" s="1"/>
  <c r="BZ822" i="11"/>
  <c r="C824" i="11"/>
  <c r="V824" i="11" l="1"/>
  <c r="A824" i="11"/>
  <c r="EB823" i="11"/>
  <c r="ED823" i="11" s="1"/>
  <c r="Z823" i="11"/>
  <c r="F823" i="11" s="1"/>
  <c r="AF823" i="11"/>
  <c r="B824" i="11"/>
  <c r="BG823" i="11"/>
  <c r="BD822" i="11"/>
  <c r="EG823" i="11"/>
  <c r="DT823" i="11"/>
  <c r="DG823" i="11"/>
  <c r="CT823" i="11"/>
  <c r="BT823" i="11"/>
  <c r="CG823" i="11"/>
  <c r="AT823" i="11"/>
  <c r="AE823" i="11"/>
  <c r="AG823" i="11"/>
  <c r="EL820" i="11"/>
  <c r="DK822" i="11"/>
  <c r="DJ822" i="11"/>
  <c r="DL822" i="11" s="1"/>
  <c r="BL822" i="11"/>
  <c r="BJ822" i="11"/>
  <c r="BK822" i="11"/>
  <c r="CJ822" i="11"/>
  <c r="CL822" i="11" s="1"/>
  <c r="CK822" i="11"/>
  <c r="M822" i="11"/>
  <c r="AW821" i="11"/>
  <c r="AX821" i="11"/>
  <c r="AY821" i="11"/>
  <c r="CX822" i="11"/>
  <c r="CY822" i="11" s="1"/>
  <c r="L822" i="11"/>
  <c r="EJ821" i="11"/>
  <c r="EK821" i="11"/>
  <c r="AD821" i="11"/>
  <c r="AJ821" i="11"/>
  <c r="AL821" i="11" s="1"/>
  <c r="AK821" i="11"/>
  <c r="EA823" i="11"/>
  <c r="DZ823" i="11"/>
  <c r="EI823" i="11"/>
  <c r="EH823" i="11"/>
  <c r="EC823" i="11"/>
  <c r="EE822" i="11"/>
  <c r="P824" i="11"/>
  <c r="BF822" i="11"/>
  <c r="CF822" i="11"/>
  <c r="DD822" i="11"/>
  <c r="DF822" i="11"/>
  <c r="BQ822" i="11"/>
  <c r="BS822" i="11"/>
  <c r="CQ822" i="11"/>
  <c r="AB823" i="11"/>
  <c r="AC823" i="11" s="1"/>
  <c r="AR822" i="11"/>
  <c r="AS822" i="11"/>
  <c r="AQ822" i="11"/>
  <c r="CE823" i="11"/>
  <c r="DU823" i="11"/>
  <c r="DV823" i="11"/>
  <c r="DH823" i="11"/>
  <c r="DI823" i="11"/>
  <c r="CV823" i="11"/>
  <c r="CU823" i="11"/>
  <c r="CH823" i="11"/>
  <c r="CI823" i="11"/>
  <c r="CR823" i="11"/>
  <c r="BU823" i="11"/>
  <c r="BW823" i="11"/>
  <c r="BX823" i="11"/>
  <c r="BV823" i="11"/>
  <c r="BY823" i="11"/>
  <c r="BH823" i="11"/>
  <c r="BI823" i="11"/>
  <c r="AU823" i="11"/>
  <c r="AV823" i="11"/>
  <c r="AH823" i="11"/>
  <c r="L823" i="11" s="1"/>
  <c r="AI823" i="11"/>
  <c r="BO823" i="11"/>
  <c r="BR823" i="11" s="1"/>
  <c r="BP823" i="11"/>
  <c r="BN823" i="11"/>
  <c r="W824" i="11"/>
  <c r="AN823" i="11"/>
  <c r="AO823" i="11"/>
  <c r="AP823" i="11"/>
  <c r="AA823" i="11"/>
  <c r="Y823" i="11"/>
  <c r="BA823" i="11"/>
  <c r="BC823" i="11"/>
  <c r="BB823" i="11"/>
  <c r="BE823" i="11" s="1"/>
  <c r="DP823" i="11"/>
  <c r="DN823" i="11"/>
  <c r="DA823" i="11"/>
  <c r="DB823" i="11"/>
  <c r="DE823" i="11" s="1"/>
  <c r="CM823" i="11"/>
  <c r="BM823" i="11"/>
  <c r="DC823" i="11"/>
  <c r="CN823" i="11"/>
  <c r="AZ823" i="11"/>
  <c r="CO823" i="11"/>
  <c r="CS823" i="11" s="1"/>
  <c r="BZ823" i="11"/>
  <c r="AM823" i="11"/>
  <c r="CP823" i="11"/>
  <c r="CA823" i="11"/>
  <c r="X823" i="11"/>
  <c r="CB823" i="11"/>
  <c r="CD823" i="11" s="1"/>
  <c r="DM823" i="11"/>
  <c r="CC823" i="11"/>
  <c r="CZ823" i="11"/>
  <c r="C825" i="11"/>
  <c r="V825" i="11" l="1"/>
  <c r="A825" i="11"/>
  <c r="Z824" i="11"/>
  <c r="F824" i="11" s="1"/>
  <c r="EB824" i="11"/>
  <c r="ED824" i="11" s="1"/>
  <c r="AF824" i="11"/>
  <c r="B825" i="11"/>
  <c r="BG824" i="11"/>
  <c r="BD823" i="11"/>
  <c r="DT824" i="11"/>
  <c r="DG824" i="11"/>
  <c r="EG824" i="11"/>
  <c r="CT824" i="11"/>
  <c r="CG824" i="11"/>
  <c r="BT824" i="11"/>
  <c r="AT824" i="11"/>
  <c r="AE824" i="11"/>
  <c r="AG824" i="11"/>
  <c r="EL821" i="11"/>
  <c r="CK823" i="11"/>
  <c r="CJ823" i="11"/>
  <c r="CL823" i="11" s="1"/>
  <c r="DJ823" i="11"/>
  <c r="DL823" i="11" s="1"/>
  <c r="DK823" i="11"/>
  <c r="BJ823" i="11"/>
  <c r="BL823" i="11" s="1"/>
  <c r="BK823" i="11"/>
  <c r="CW823" i="11"/>
  <c r="CX823" i="11"/>
  <c r="CY823" i="11" s="1"/>
  <c r="AW822" i="11"/>
  <c r="AY822" i="11" s="1"/>
  <c r="AX822" i="11"/>
  <c r="EK822" i="11"/>
  <c r="EJ822" i="11"/>
  <c r="EF822" i="11"/>
  <c r="M823" i="11"/>
  <c r="AJ822" i="11"/>
  <c r="AD822" i="11"/>
  <c r="AK822" i="11"/>
  <c r="EE823" i="11"/>
  <c r="EI824" i="11"/>
  <c r="EA824" i="11"/>
  <c r="EH824" i="11"/>
  <c r="EC824" i="11"/>
  <c r="DZ824" i="11"/>
  <c r="CY824" i="11"/>
  <c r="P825" i="11"/>
  <c r="BQ823" i="11"/>
  <c r="BS823" i="11"/>
  <c r="CF823" i="11"/>
  <c r="CQ823" i="11"/>
  <c r="AB824" i="11"/>
  <c r="AC824" i="11" s="1"/>
  <c r="BF823" i="11"/>
  <c r="DD823" i="11"/>
  <c r="DF823" i="11"/>
  <c r="AR823" i="11"/>
  <c r="AS823" i="11"/>
  <c r="AQ823" i="11"/>
  <c r="CE824" i="11"/>
  <c r="DV824" i="11"/>
  <c r="DU824" i="11"/>
  <c r="DI824" i="11"/>
  <c r="DH824" i="11"/>
  <c r="CU824" i="11"/>
  <c r="CV824" i="11"/>
  <c r="CR824" i="11"/>
  <c r="CX824" i="11"/>
  <c r="CW824" i="11"/>
  <c r="CH824" i="11"/>
  <c r="CI824" i="11"/>
  <c r="BV824" i="11"/>
  <c r="BU824" i="11"/>
  <c r="BH824" i="11"/>
  <c r="BI824" i="11"/>
  <c r="AU824" i="11"/>
  <c r="AV824" i="11"/>
  <c r="AI824" i="11"/>
  <c r="M824" i="11" s="1"/>
  <c r="AH824" i="11"/>
  <c r="L824" i="11" s="1"/>
  <c r="BO824" i="11"/>
  <c r="BR824" i="11" s="1"/>
  <c r="BN824" i="11"/>
  <c r="BP824" i="11"/>
  <c r="W825" i="11"/>
  <c r="AO824" i="11"/>
  <c r="AP824" i="11"/>
  <c r="AN824" i="11"/>
  <c r="AA824" i="11"/>
  <c r="Y824" i="11"/>
  <c r="BA824" i="11"/>
  <c r="BB824" i="11"/>
  <c r="BE824" i="11" s="1"/>
  <c r="BC824" i="11"/>
  <c r="DM824" i="11"/>
  <c r="DN824" i="11"/>
  <c r="DP824" i="11"/>
  <c r="CP824" i="11"/>
  <c r="CA824" i="11"/>
  <c r="CB824" i="11"/>
  <c r="CF824" i="11" s="1"/>
  <c r="CC824" i="11"/>
  <c r="BM824" i="11"/>
  <c r="CZ824" i="11"/>
  <c r="AZ824" i="11"/>
  <c r="DA824" i="11"/>
  <c r="AM824" i="11"/>
  <c r="DB824" i="11"/>
  <c r="DE824" i="11" s="1"/>
  <c r="CM824" i="11"/>
  <c r="DC824" i="11"/>
  <c r="CN824" i="11"/>
  <c r="CO824" i="11"/>
  <c r="CS824" i="11" s="1"/>
  <c r="BZ824" i="11"/>
  <c r="X824" i="11"/>
  <c r="C826" i="11"/>
  <c r="V826" i="11" l="1"/>
  <c r="A826" i="11"/>
  <c r="EB825" i="11"/>
  <c r="ED825" i="11" s="1"/>
  <c r="Z825" i="11"/>
  <c r="F825" i="11" s="1"/>
  <c r="AF825" i="11"/>
  <c r="B826" i="11"/>
  <c r="BG825" i="11"/>
  <c r="BD824" i="11"/>
  <c r="EG825" i="11"/>
  <c r="DT825" i="11"/>
  <c r="DG825" i="11"/>
  <c r="CG825" i="11"/>
  <c r="CT825" i="11"/>
  <c r="BT825" i="11"/>
  <c r="AT825" i="11"/>
  <c r="AE825" i="11"/>
  <c r="AG825" i="11"/>
  <c r="EL822" i="11"/>
  <c r="BK824" i="11"/>
  <c r="BL824" i="11"/>
  <c r="BJ824" i="11"/>
  <c r="DJ824" i="11"/>
  <c r="DK824" i="11"/>
  <c r="DL824" i="11" s="1"/>
  <c r="CJ824" i="11"/>
  <c r="CK824" i="11"/>
  <c r="CL824" i="11"/>
  <c r="EJ823" i="11"/>
  <c r="EK823" i="11"/>
  <c r="EF823" i="11"/>
  <c r="BW824" i="11"/>
  <c r="BY824" i="11" s="1"/>
  <c r="BX824" i="11"/>
  <c r="AX823" i="11"/>
  <c r="AW823" i="11"/>
  <c r="AY823" i="11" s="1"/>
  <c r="AJ823" i="11"/>
  <c r="AK823" i="11"/>
  <c r="AD823" i="11"/>
  <c r="AL823" i="11"/>
  <c r="AL822" i="11"/>
  <c r="EE824" i="11"/>
  <c r="EH825" i="11"/>
  <c r="EC825" i="11"/>
  <c r="DZ825" i="11"/>
  <c r="EI825" i="11"/>
  <c r="EA825" i="11"/>
  <c r="CK825" i="11"/>
  <c r="P826" i="11"/>
  <c r="DD824" i="11"/>
  <c r="BS824" i="11"/>
  <c r="CD824" i="11"/>
  <c r="CQ824" i="11"/>
  <c r="BF824" i="11"/>
  <c r="AB825" i="11"/>
  <c r="AC825" i="11" s="1"/>
  <c r="DF824" i="11"/>
  <c r="BQ824" i="11"/>
  <c r="AR824" i="11"/>
  <c r="AS824" i="11"/>
  <c r="AQ824" i="11"/>
  <c r="CE825" i="11"/>
  <c r="DU825" i="11"/>
  <c r="DV825" i="11"/>
  <c r="DH825" i="11"/>
  <c r="CU825" i="11"/>
  <c r="DI825" i="11"/>
  <c r="CR825" i="11"/>
  <c r="CV825" i="11"/>
  <c r="CH825" i="11"/>
  <c r="CI825" i="11"/>
  <c r="CJ825" i="11"/>
  <c r="CL825" i="11" s="1"/>
  <c r="BU825" i="11"/>
  <c r="BV825" i="11"/>
  <c r="BI825" i="11"/>
  <c r="BH825" i="11"/>
  <c r="AU825" i="11"/>
  <c r="AH825" i="11"/>
  <c r="AV825" i="11"/>
  <c r="AI825" i="11"/>
  <c r="M825" i="11" s="1"/>
  <c r="BN825" i="11"/>
  <c r="BO825" i="11"/>
  <c r="BR825" i="11" s="1"/>
  <c r="BP825" i="11"/>
  <c r="AP825" i="11"/>
  <c r="AN825" i="11"/>
  <c r="AO825" i="11"/>
  <c r="Y825" i="11"/>
  <c r="AA825" i="11"/>
  <c r="BB825" i="11"/>
  <c r="BE825" i="11" s="1"/>
  <c r="BC825" i="11"/>
  <c r="BA825" i="11"/>
  <c r="DP825" i="11"/>
  <c r="DN825" i="11"/>
  <c r="DA825" i="11"/>
  <c r="DB825" i="11"/>
  <c r="DE825" i="11" s="1"/>
  <c r="CM825" i="11"/>
  <c r="DC825" i="11"/>
  <c r="CN825" i="11"/>
  <c r="CO825" i="11"/>
  <c r="CQ825" i="11" s="1"/>
  <c r="BZ825" i="11"/>
  <c r="BM825" i="11"/>
  <c r="CP825" i="11"/>
  <c r="CA825" i="11"/>
  <c r="AZ825" i="11"/>
  <c r="CB825" i="11"/>
  <c r="CF825" i="11" s="1"/>
  <c r="CC825" i="11"/>
  <c r="DM825" i="11"/>
  <c r="CZ825" i="11"/>
  <c r="AM825" i="11"/>
  <c r="X825" i="11"/>
  <c r="W826" i="11"/>
  <c r="C827" i="11"/>
  <c r="V827" i="11" l="1"/>
  <c r="A827" i="11"/>
  <c r="EB826" i="11"/>
  <c r="ED826" i="11" s="1"/>
  <c r="Z826" i="11"/>
  <c r="F826" i="11" s="1"/>
  <c r="AF826" i="11"/>
  <c r="B827" i="11"/>
  <c r="BD825" i="11"/>
  <c r="BG826" i="11"/>
  <c r="EG826" i="11"/>
  <c r="DT826" i="11"/>
  <c r="DG826" i="11"/>
  <c r="CT826" i="11"/>
  <c r="BT826" i="11"/>
  <c r="CG826" i="11"/>
  <c r="AT826" i="11"/>
  <c r="AE826" i="11"/>
  <c r="AG826" i="11"/>
  <c r="EL823" i="11"/>
  <c r="EK824" i="11"/>
  <c r="EJ824" i="11"/>
  <c r="EL824" i="11" s="1"/>
  <c r="EF824" i="11"/>
  <c r="BJ825" i="11"/>
  <c r="BK825" i="11"/>
  <c r="BL825" i="11"/>
  <c r="BW825" i="11"/>
  <c r="BY825" i="11" s="1"/>
  <c r="BX825" i="11"/>
  <c r="DK825" i="11"/>
  <c r="DL825" i="11" s="1"/>
  <c r="DJ825" i="11"/>
  <c r="CX825" i="11"/>
  <c r="CW825" i="11"/>
  <c r="CY825" i="11" s="1"/>
  <c r="L825" i="11"/>
  <c r="AX824" i="11"/>
  <c r="AW824" i="11"/>
  <c r="AY824" i="11" s="1"/>
  <c r="AJ824" i="11"/>
  <c r="AK824" i="11"/>
  <c r="AL824" i="11"/>
  <c r="AD824" i="11"/>
  <c r="EE825" i="11"/>
  <c r="EC826" i="11"/>
  <c r="DZ826" i="11"/>
  <c r="EI826" i="11"/>
  <c r="EA826" i="11"/>
  <c r="EH826" i="11"/>
  <c r="BJ826" i="11"/>
  <c r="P827" i="11"/>
  <c r="BQ825" i="11"/>
  <c r="BS825" i="11"/>
  <c r="DD825" i="11"/>
  <c r="CD825" i="11"/>
  <c r="CS825" i="11"/>
  <c r="AB826" i="11"/>
  <c r="BF825" i="11"/>
  <c r="DF825" i="11"/>
  <c r="AR825" i="11"/>
  <c r="AS825" i="11"/>
  <c r="AQ825" i="11"/>
  <c r="CE826" i="11"/>
  <c r="DU826" i="11"/>
  <c r="DV826" i="11"/>
  <c r="DI826" i="11"/>
  <c r="DH826" i="11"/>
  <c r="CR826" i="11"/>
  <c r="CU826" i="11"/>
  <c r="CV826" i="11"/>
  <c r="CH826" i="11"/>
  <c r="CI826" i="11"/>
  <c r="BU826" i="11"/>
  <c r="BV826" i="11"/>
  <c r="BI826" i="11"/>
  <c r="BH826" i="11"/>
  <c r="AU826" i="11"/>
  <c r="AI826" i="11"/>
  <c r="AV826" i="11"/>
  <c r="AH826" i="11"/>
  <c r="L826" i="11" s="1"/>
  <c r="BN826" i="11"/>
  <c r="BO826" i="11"/>
  <c r="BR826" i="11" s="1"/>
  <c r="BP826" i="11"/>
  <c r="AO826" i="11"/>
  <c r="AP826" i="11"/>
  <c r="AN826" i="11"/>
  <c r="AC826" i="11"/>
  <c r="Y826" i="11"/>
  <c r="AA826" i="11"/>
  <c r="BA826" i="11"/>
  <c r="BB826" i="11"/>
  <c r="BE826" i="11" s="1"/>
  <c r="BC826" i="11"/>
  <c r="DM826" i="11"/>
  <c r="DN826" i="11"/>
  <c r="DP826" i="11"/>
  <c r="CP826" i="11"/>
  <c r="CA826" i="11"/>
  <c r="CB826" i="11"/>
  <c r="CD826" i="11" s="1"/>
  <c r="CC826" i="11"/>
  <c r="CZ826" i="11"/>
  <c r="DA826" i="11"/>
  <c r="BM826" i="11"/>
  <c r="DB826" i="11"/>
  <c r="DE826" i="11" s="1"/>
  <c r="CM826" i="11"/>
  <c r="DC826" i="11"/>
  <c r="CN826" i="11"/>
  <c r="CO826" i="11"/>
  <c r="CS826" i="11" s="1"/>
  <c r="BZ826" i="11"/>
  <c r="AZ826" i="11"/>
  <c r="X826" i="11"/>
  <c r="AM826" i="11"/>
  <c r="W827" i="11"/>
  <c r="C828" i="11"/>
  <c r="V828" i="11" l="1"/>
  <c r="A828" i="11"/>
  <c r="EB827" i="11"/>
  <c r="Z827" i="11"/>
  <c r="F827" i="11" s="1"/>
  <c r="AF827" i="11"/>
  <c r="B828" i="11"/>
  <c r="BG827" i="11"/>
  <c r="BD826" i="11"/>
  <c r="DT827" i="11"/>
  <c r="EG827" i="11"/>
  <c r="DG827" i="11"/>
  <c r="CT827" i="11"/>
  <c r="BT827" i="11"/>
  <c r="CG827" i="11"/>
  <c r="AT827" i="11"/>
  <c r="AE827" i="11"/>
  <c r="AG827" i="11"/>
  <c r="CJ826" i="11"/>
  <c r="CK826" i="11"/>
  <c r="CL826" i="11"/>
  <c r="EF825" i="11"/>
  <c r="EK825" i="11"/>
  <c r="EJ825" i="11"/>
  <c r="DL826" i="11"/>
  <c r="DK826" i="11"/>
  <c r="DJ826" i="11"/>
  <c r="BX826" i="11"/>
  <c r="BW826" i="11"/>
  <c r="BY826" i="11" s="1"/>
  <c r="CW826" i="11"/>
  <c r="CY826" i="11" s="1"/>
  <c r="CX826" i="11"/>
  <c r="BK826" i="11"/>
  <c r="BL826" i="11" s="1"/>
  <c r="AK825" i="11"/>
  <c r="AL825" i="11" s="1"/>
  <c r="AJ825" i="11"/>
  <c r="AD825" i="11"/>
  <c r="M826" i="11"/>
  <c r="AX825" i="11"/>
  <c r="AY825" i="11" s="1"/>
  <c r="AW825" i="11"/>
  <c r="EE826" i="11"/>
  <c r="EA827" i="11"/>
  <c r="DZ827" i="11"/>
  <c r="EI827" i="11"/>
  <c r="EH827" i="11"/>
  <c r="ED827" i="11"/>
  <c r="EC827" i="11"/>
  <c r="P828" i="11"/>
  <c r="BQ826" i="11"/>
  <c r="BS826" i="11"/>
  <c r="CF826" i="11"/>
  <c r="BF826" i="11"/>
  <c r="AB827" i="11"/>
  <c r="CQ826" i="11"/>
  <c r="DD826" i="11"/>
  <c r="DF826" i="11"/>
  <c r="AR826" i="11"/>
  <c r="AS826" i="11"/>
  <c r="AQ826" i="11"/>
  <c r="CE827" i="11"/>
  <c r="DU827" i="11"/>
  <c r="DV827" i="11"/>
  <c r="DH827" i="11"/>
  <c r="DI827" i="11"/>
  <c r="CR827" i="11"/>
  <c r="CV827" i="11"/>
  <c r="CU827" i="11"/>
  <c r="CH827" i="11"/>
  <c r="CI827" i="11"/>
  <c r="BV827" i="11"/>
  <c r="BU827" i="11"/>
  <c r="BH827" i="11"/>
  <c r="BI827" i="11"/>
  <c r="AV827" i="11"/>
  <c r="AH827" i="11"/>
  <c r="AI827" i="11"/>
  <c r="AU827" i="11"/>
  <c r="AC827" i="11"/>
  <c r="BP827" i="11"/>
  <c r="BN827" i="11"/>
  <c r="BO827" i="11"/>
  <c r="BR827" i="11" s="1"/>
  <c r="AN827" i="11"/>
  <c r="AO827" i="11"/>
  <c r="AP827" i="11"/>
  <c r="Y827" i="11"/>
  <c r="AA827" i="11"/>
  <c r="BA827" i="11"/>
  <c r="BB827" i="11"/>
  <c r="BE827" i="11" s="1"/>
  <c r="BC827" i="11"/>
  <c r="DP827" i="11"/>
  <c r="DN827" i="11"/>
  <c r="DM827" i="11"/>
  <c r="DA827" i="11"/>
  <c r="X827" i="11"/>
  <c r="DB827" i="11"/>
  <c r="DE827" i="11" s="1"/>
  <c r="CM827" i="11"/>
  <c r="DC827" i="11"/>
  <c r="CN827" i="11"/>
  <c r="CO827" i="11"/>
  <c r="CQ827" i="11" s="1"/>
  <c r="BZ827" i="11"/>
  <c r="CP827" i="11"/>
  <c r="CA827" i="11"/>
  <c r="CB827" i="11"/>
  <c r="CD827" i="11" s="1"/>
  <c r="BM827" i="11"/>
  <c r="CC827" i="11"/>
  <c r="CZ827" i="11"/>
  <c r="AM827" i="11"/>
  <c r="AZ827" i="11"/>
  <c r="W828" i="11"/>
  <c r="C829" i="11"/>
  <c r="V829" i="11" l="1"/>
  <c r="A829" i="11"/>
  <c r="EB828" i="11"/>
  <c r="Z828" i="11"/>
  <c r="F828" i="11" s="1"/>
  <c r="AF828" i="11"/>
  <c r="B829" i="11"/>
  <c r="BG828" i="11"/>
  <c r="BD827" i="11"/>
  <c r="EG828" i="11"/>
  <c r="DT828" i="11"/>
  <c r="DG828" i="11"/>
  <c r="CG828" i="11"/>
  <c r="CT828" i="11"/>
  <c r="BT828" i="11"/>
  <c r="AT828" i="11"/>
  <c r="AE828" i="11"/>
  <c r="AG828" i="11"/>
  <c r="EL825" i="11"/>
  <c r="CW827" i="11"/>
  <c r="CY827" i="11" s="1"/>
  <c r="CX827" i="11"/>
  <c r="BL827" i="11"/>
  <c r="BJ827" i="11"/>
  <c r="BK827" i="11"/>
  <c r="BW827" i="11"/>
  <c r="BY827" i="11" s="1"/>
  <c r="BX827" i="11"/>
  <c r="DK827" i="11"/>
  <c r="DJ827" i="11"/>
  <c r="DL827" i="11" s="1"/>
  <c r="CJ827" i="11"/>
  <c r="CK827" i="11"/>
  <c r="CL827" i="11"/>
  <c r="M827" i="11"/>
  <c r="AW826" i="11"/>
  <c r="AY826" i="11"/>
  <c r="AX826" i="11"/>
  <c r="L827" i="11"/>
  <c r="AK826" i="11"/>
  <c r="AJ826" i="11"/>
  <c r="AD826" i="11"/>
  <c r="EJ826" i="11"/>
  <c r="EK826" i="11"/>
  <c r="EF826" i="11"/>
  <c r="EI828" i="11"/>
  <c r="DZ828" i="11"/>
  <c r="EC828" i="11"/>
  <c r="EA828" i="11"/>
  <c r="EH828" i="11"/>
  <c r="ED828" i="11"/>
  <c r="EE827" i="11"/>
  <c r="CJ828" i="11"/>
  <c r="P829" i="11"/>
  <c r="CF827" i="11"/>
  <c r="CS827" i="11"/>
  <c r="DD827" i="11"/>
  <c r="DF827" i="11"/>
  <c r="BS827" i="11"/>
  <c r="BF827" i="11"/>
  <c r="AB828" i="11"/>
  <c r="BQ827" i="11"/>
  <c r="AR827" i="11"/>
  <c r="AS827" i="11"/>
  <c r="AQ827" i="11"/>
  <c r="CE828" i="11"/>
  <c r="DV828" i="11"/>
  <c r="DU828" i="11"/>
  <c r="DH828" i="11"/>
  <c r="DI828" i="11"/>
  <c r="CR828" i="11"/>
  <c r="CV828" i="11"/>
  <c r="CU828" i="11"/>
  <c r="CH828" i="11"/>
  <c r="CI828" i="11"/>
  <c r="BU828" i="11"/>
  <c r="BV828" i="11"/>
  <c r="BH828" i="11"/>
  <c r="BI828" i="11"/>
  <c r="AU828" i="11"/>
  <c r="AV828" i="11"/>
  <c r="AH828" i="11"/>
  <c r="AI828" i="11"/>
  <c r="AC828" i="11"/>
  <c r="BP828" i="11"/>
  <c r="BN828" i="11"/>
  <c r="BO828" i="11"/>
  <c r="BR828" i="11" s="1"/>
  <c r="W829" i="11"/>
  <c r="AN828" i="11"/>
  <c r="AO828" i="11"/>
  <c r="Y828" i="11"/>
  <c r="AP828" i="11"/>
  <c r="AA828" i="11"/>
  <c r="BA828" i="11"/>
  <c r="BB828" i="11"/>
  <c r="BE828" i="11" s="1"/>
  <c r="BC828" i="11"/>
  <c r="DM828" i="11"/>
  <c r="DN828" i="11"/>
  <c r="DP828" i="11"/>
  <c r="CP828" i="11"/>
  <c r="CA828" i="11"/>
  <c r="AM828" i="11"/>
  <c r="CB828" i="11"/>
  <c r="CF828" i="11" s="1"/>
  <c r="X828" i="11"/>
  <c r="CC828" i="11"/>
  <c r="CZ828" i="11"/>
  <c r="DA828" i="11"/>
  <c r="DB828" i="11"/>
  <c r="DE828" i="11" s="1"/>
  <c r="CM828" i="11"/>
  <c r="DC828" i="11"/>
  <c r="CN828" i="11"/>
  <c r="BM828" i="11"/>
  <c r="CO828" i="11"/>
  <c r="CQ828" i="11" s="1"/>
  <c r="BZ828" i="11"/>
  <c r="AZ828" i="11"/>
  <c r="C830" i="11"/>
  <c r="V830" i="11" l="1"/>
  <c r="A830" i="11"/>
  <c r="EB829" i="11"/>
  <c r="ED829" i="11" s="1"/>
  <c r="Z829" i="11"/>
  <c r="F829" i="11" s="1"/>
  <c r="AF829" i="11"/>
  <c r="B830" i="11"/>
  <c r="BG829" i="11"/>
  <c r="BD828" i="11"/>
  <c r="EG829" i="11"/>
  <c r="DG829" i="11"/>
  <c r="DT829" i="11"/>
  <c r="CT829" i="11"/>
  <c r="CG829" i="11"/>
  <c r="BT829" i="11"/>
  <c r="AT829" i="11"/>
  <c r="AE829" i="11"/>
  <c r="AG829" i="11"/>
  <c r="EL826" i="11"/>
  <c r="AJ828" i="11"/>
  <c r="AD828" i="11"/>
  <c r="AK828" i="11"/>
  <c r="AL828" i="11" s="1"/>
  <c r="BJ828" i="11"/>
  <c r="BL828" i="11" s="1"/>
  <c r="BK828" i="11"/>
  <c r="CW828" i="11"/>
  <c r="CX828" i="11"/>
  <c r="CY828" i="11"/>
  <c r="BW828" i="11"/>
  <c r="BY828" i="11" s="1"/>
  <c r="BX828" i="11"/>
  <c r="DJ828" i="11"/>
  <c r="DL828" i="11" s="1"/>
  <c r="DK828" i="11"/>
  <c r="L828" i="11"/>
  <c r="CL828" i="11"/>
  <c r="M828" i="11"/>
  <c r="CK828" i="11"/>
  <c r="AX827" i="11"/>
  <c r="AY827" i="11"/>
  <c r="AW827" i="11"/>
  <c r="AK827" i="11"/>
  <c r="AJ827" i="11"/>
  <c r="AL827" i="11" s="1"/>
  <c r="AD827" i="11"/>
  <c r="EJ827" i="11"/>
  <c r="EK827" i="11"/>
  <c r="EF827" i="11"/>
  <c r="AL826" i="11"/>
  <c r="EE828" i="11"/>
  <c r="EH829" i="11"/>
  <c r="EA829" i="11"/>
  <c r="EI829" i="11"/>
  <c r="EC829" i="11"/>
  <c r="DZ829" i="11"/>
  <c r="P830" i="11"/>
  <c r="BS828" i="11"/>
  <c r="CS828" i="11"/>
  <c r="CD828" i="11"/>
  <c r="DD828" i="11"/>
  <c r="AB829" i="11"/>
  <c r="AC829" i="11" s="1"/>
  <c r="BF828" i="11"/>
  <c r="DF828" i="11"/>
  <c r="BQ828" i="11"/>
  <c r="AR828" i="11"/>
  <c r="AS828" i="11"/>
  <c r="AQ828" i="11"/>
  <c r="CE829" i="11"/>
  <c r="DU829" i="11"/>
  <c r="DV829" i="11"/>
  <c r="DI829" i="11"/>
  <c r="DJ829" i="11"/>
  <c r="DH829" i="11"/>
  <c r="CU829" i="11"/>
  <c r="CR829" i="11"/>
  <c r="CV829" i="11"/>
  <c r="CH829" i="11"/>
  <c r="CI829" i="11"/>
  <c r="BU829" i="11"/>
  <c r="BV829" i="11"/>
  <c r="BH829" i="11"/>
  <c r="BI829" i="11"/>
  <c r="AU829" i="11"/>
  <c r="AV829" i="11"/>
  <c r="AH829" i="11"/>
  <c r="AI829" i="11"/>
  <c r="M829" i="11" s="1"/>
  <c r="BN829" i="11"/>
  <c r="BO829" i="11"/>
  <c r="BR829" i="11" s="1"/>
  <c r="BP829" i="11"/>
  <c r="W830" i="11"/>
  <c r="AP829" i="11"/>
  <c r="AN829" i="11"/>
  <c r="AO829" i="11"/>
  <c r="AA829" i="11"/>
  <c r="Y829" i="11"/>
  <c r="BA829" i="11"/>
  <c r="BB829" i="11"/>
  <c r="BE829" i="11" s="1"/>
  <c r="BC829" i="11"/>
  <c r="DP829" i="11"/>
  <c r="DN829" i="11"/>
  <c r="DA829" i="11"/>
  <c r="AZ829" i="11"/>
  <c r="DM829" i="11"/>
  <c r="DB829" i="11"/>
  <c r="DE829" i="11" s="1"/>
  <c r="CM829" i="11"/>
  <c r="AM829" i="11"/>
  <c r="DC829" i="11"/>
  <c r="CN829" i="11"/>
  <c r="X829" i="11"/>
  <c r="CO829" i="11"/>
  <c r="CS829" i="11" s="1"/>
  <c r="BZ829" i="11"/>
  <c r="CP829" i="11"/>
  <c r="CA829" i="11"/>
  <c r="CB829" i="11"/>
  <c r="CD829" i="11" s="1"/>
  <c r="CC829" i="11"/>
  <c r="CZ829" i="11"/>
  <c r="BM829" i="11"/>
  <c r="C831" i="11"/>
  <c r="V831" i="11" l="1"/>
  <c r="A831" i="11"/>
  <c r="Z830" i="11"/>
  <c r="F830" i="11" s="1"/>
  <c r="EB830" i="11"/>
  <c r="ED830" i="11" s="1"/>
  <c r="AF830" i="11"/>
  <c r="B831" i="11"/>
  <c r="BG830" i="11"/>
  <c r="BD829" i="11"/>
  <c r="DT830" i="11"/>
  <c r="EG830" i="11"/>
  <c r="DG830" i="11"/>
  <c r="CT830" i="11"/>
  <c r="CG830" i="11"/>
  <c r="BT830" i="11"/>
  <c r="AT830" i="11"/>
  <c r="AE830" i="11"/>
  <c r="AG830" i="11"/>
  <c r="EL827" i="11"/>
  <c r="CX829" i="11"/>
  <c r="CY829" i="11"/>
  <c r="CW829" i="11"/>
  <c r="BJ829" i="11"/>
  <c r="BK829" i="11"/>
  <c r="BL829" i="11"/>
  <c r="EJ828" i="11"/>
  <c r="EK828" i="11"/>
  <c r="EF828" i="11"/>
  <c r="CJ829" i="11"/>
  <c r="CK829" i="11"/>
  <c r="CL829" i="11" s="1"/>
  <c r="BW829" i="11"/>
  <c r="DK829" i="11"/>
  <c r="DL829" i="11" s="1"/>
  <c r="L829" i="11"/>
  <c r="AW828" i="11"/>
  <c r="AY828" i="11" s="1"/>
  <c r="AX828" i="11"/>
  <c r="BX829" i="11"/>
  <c r="BY829" i="11" s="1"/>
  <c r="EE829" i="11"/>
  <c r="EC830" i="11"/>
  <c r="DZ830" i="11"/>
  <c r="EH830" i="11"/>
  <c r="EA830" i="11"/>
  <c r="EI830" i="11"/>
  <c r="DK830" i="11"/>
  <c r="DL830" i="11" s="1"/>
  <c r="P831" i="11"/>
  <c r="BQ829" i="11"/>
  <c r="DD829" i="11"/>
  <c r="BS829" i="11"/>
  <c r="AB830" i="11"/>
  <c r="AC830" i="11" s="1"/>
  <c r="CF829" i="11"/>
  <c r="CQ829" i="11"/>
  <c r="BF829" i="11"/>
  <c r="DF829" i="11"/>
  <c r="AR829" i="11"/>
  <c r="AQ829" i="11"/>
  <c r="AS829" i="11"/>
  <c r="CE830" i="11"/>
  <c r="DU830" i="11"/>
  <c r="DV830" i="11"/>
  <c r="DH830" i="11"/>
  <c r="DI830" i="11"/>
  <c r="DJ830" i="11"/>
  <c r="CU830" i="11"/>
  <c r="CV830" i="11"/>
  <c r="CR830" i="11"/>
  <c r="CH830" i="11"/>
  <c r="CI830" i="11"/>
  <c r="BU830" i="11"/>
  <c r="BV830" i="11"/>
  <c r="BH830" i="11"/>
  <c r="BI830" i="11"/>
  <c r="AU830" i="11"/>
  <c r="AV830" i="11"/>
  <c r="AH830" i="11"/>
  <c r="AI830" i="11"/>
  <c r="M830" i="11" s="1"/>
  <c r="BO830" i="11"/>
  <c r="BR830" i="11" s="1"/>
  <c r="BP830" i="11"/>
  <c r="BN830" i="11"/>
  <c r="W831" i="11"/>
  <c r="AN830" i="11"/>
  <c r="AO830" i="11"/>
  <c r="AP830" i="11"/>
  <c r="Y830" i="11"/>
  <c r="AA830" i="11"/>
  <c r="BC830" i="11"/>
  <c r="BB830" i="11"/>
  <c r="BE830" i="11" s="1"/>
  <c r="BA830" i="11"/>
  <c r="DM830" i="11"/>
  <c r="DN830" i="11"/>
  <c r="DP830" i="11"/>
  <c r="CP830" i="11"/>
  <c r="CA830" i="11"/>
  <c r="BM830" i="11"/>
  <c r="CB830" i="11"/>
  <c r="CF830" i="11" s="1"/>
  <c r="AZ830" i="11"/>
  <c r="CC830" i="11"/>
  <c r="AM830" i="11"/>
  <c r="CZ830" i="11"/>
  <c r="X830" i="11"/>
  <c r="DA830" i="11"/>
  <c r="DB830" i="11"/>
  <c r="DE830" i="11" s="1"/>
  <c r="CM830" i="11"/>
  <c r="DC830" i="11"/>
  <c r="CN830" i="11"/>
  <c r="CO830" i="11"/>
  <c r="CS830" i="11" s="1"/>
  <c r="BZ830" i="11"/>
  <c r="C832" i="11"/>
  <c r="V832" i="11" l="1"/>
  <c r="A832" i="11"/>
  <c r="Z831" i="11"/>
  <c r="F831" i="11" s="1"/>
  <c r="EB831" i="11"/>
  <c r="ED831" i="11" s="1"/>
  <c r="AF831" i="11"/>
  <c r="B832" i="11"/>
  <c r="BG831" i="11"/>
  <c r="BD830" i="11"/>
  <c r="EG831" i="11"/>
  <c r="DT831" i="11"/>
  <c r="DG831" i="11"/>
  <c r="CT831" i="11"/>
  <c r="BT831" i="11"/>
  <c r="AT831" i="11"/>
  <c r="CG831" i="11"/>
  <c r="AE831" i="11"/>
  <c r="AG831" i="11"/>
  <c r="EL828" i="11"/>
  <c r="BJ830" i="11"/>
  <c r="BK830" i="11"/>
  <c r="BL830" i="11"/>
  <c r="BX830" i="11"/>
  <c r="BW830" i="11"/>
  <c r="BY830" i="11" s="1"/>
  <c r="EF829" i="11"/>
  <c r="EJ829" i="11"/>
  <c r="EK829" i="11"/>
  <c r="CY830" i="11"/>
  <c r="CW830" i="11"/>
  <c r="CX830" i="11"/>
  <c r="CJ830" i="11"/>
  <c r="CL830" i="11" s="1"/>
  <c r="CK830" i="11"/>
  <c r="AW829" i="11"/>
  <c r="AY829" i="11" s="1"/>
  <c r="AX829" i="11"/>
  <c r="AK829" i="11"/>
  <c r="AD829" i="11"/>
  <c r="AJ829" i="11"/>
  <c r="L830" i="11"/>
  <c r="EE830" i="11"/>
  <c r="EA831" i="11"/>
  <c r="DZ831" i="11"/>
  <c r="EI831" i="11"/>
  <c r="EC831" i="11"/>
  <c r="EH831" i="11"/>
  <c r="DK831" i="11"/>
  <c r="P832" i="11"/>
  <c r="CD830" i="11"/>
  <c r="DF830" i="11"/>
  <c r="BS830" i="11"/>
  <c r="BQ830" i="11"/>
  <c r="AB831" i="11"/>
  <c r="CQ830" i="11"/>
  <c r="BF830" i="11"/>
  <c r="DD830" i="11"/>
  <c r="AR830" i="11"/>
  <c r="AS830" i="11"/>
  <c r="AQ830" i="11"/>
  <c r="CE831" i="11"/>
  <c r="DU831" i="11"/>
  <c r="DV831" i="11"/>
  <c r="DH831" i="11"/>
  <c r="DI831" i="11"/>
  <c r="CV831" i="11"/>
  <c r="CR831" i="11"/>
  <c r="CU831" i="11"/>
  <c r="CH831" i="11"/>
  <c r="CI831" i="11"/>
  <c r="BU831" i="11"/>
  <c r="BV831" i="11"/>
  <c r="BH831" i="11"/>
  <c r="BI831" i="11"/>
  <c r="AU831" i="11"/>
  <c r="AV831" i="11"/>
  <c r="AC831" i="11"/>
  <c r="AH831" i="11"/>
  <c r="L831" i="11" s="1"/>
  <c r="AI831" i="11"/>
  <c r="BO831" i="11"/>
  <c r="BR831" i="11" s="1"/>
  <c r="BN831" i="11"/>
  <c r="BP831" i="11"/>
  <c r="W832" i="11"/>
  <c r="AN831" i="11"/>
  <c r="AO831" i="11"/>
  <c r="AP831" i="11"/>
  <c r="AA831" i="11"/>
  <c r="Y831" i="11"/>
  <c r="BA831" i="11"/>
  <c r="BB831" i="11"/>
  <c r="BE831" i="11" s="1"/>
  <c r="BC831" i="11"/>
  <c r="DP831" i="11"/>
  <c r="DN831" i="11"/>
  <c r="DA831" i="11"/>
  <c r="DB831" i="11"/>
  <c r="DE831" i="11" s="1"/>
  <c r="CM831" i="11"/>
  <c r="BM831" i="11"/>
  <c r="DM831" i="11"/>
  <c r="DC831" i="11"/>
  <c r="CN831" i="11"/>
  <c r="AZ831" i="11"/>
  <c r="CO831" i="11"/>
  <c r="CS831" i="11" s="1"/>
  <c r="BZ831" i="11"/>
  <c r="AM831" i="11"/>
  <c r="CP831" i="11"/>
  <c r="CA831" i="11"/>
  <c r="X831" i="11"/>
  <c r="CB831" i="11"/>
  <c r="CD831" i="11" s="1"/>
  <c r="CC831" i="11"/>
  <c r="CZ831" i="11"/>
  <c r="C833" i="11"/>
  <c r="V833" i="11" l="1"/>
  <c r="A833" i="11"/>
  <c r="EB832" i="11"/>
  <c r="Z832" i="11"/>
  <c r="F832" i="11" s="1"/>
  <c r="AF832" i="11"/>
  <c r="B833" i="11"/>
  <c r="BG832" i="11"/>
  <c r="BD831" i="11"/>
  <c r="EG832" i="11"/>
  <c r="DG832" i="11"/>
  <c r="DT832" i="11"/>
  <c r="CT832" i="11"/>
  <c r="CG832" i="11"/>
  <c r="BT832" i="11"/>
  <c r="AT832" i="11"/>
  <c r="AE832" i="11"/>
  <c r="AG832" i="11"/>
  <c r="EL829" i="11"/>
  <c r="BK831" i="11"/>
  <c r="BJ831" i="11"/>
  <c r="BL831" i="11" s="1"/>
  <c r="CW831" i="11"/>
  <c r="CY831" i="11" s="1"/>
  <c r="CX831" i="11"/>
  <c r="BW831" i="11"/>
  <c r="BY831" i="11" s="1"/>
  <c r="BX831" i="11"/>
  <c r="CK831" i="11"/>
  <c r="CJ831" i="11"/>
  <c r="CL831" i="11" s="1"/>
  <c r="DJ831" i="11"/>
  <c r="DL831" i="11" s="1"/>
  <c r="EJ830" i="11"/>
  <c r="EK830" i="11"/>
  <c r="M831" i="11"/>
  <c r="EF830" i="11"/>
  <c r="AW830" i="11"/>
  <c r="AX830" i="11"/>
  <c r="AY830" i="11" s="1"/>
  <c r="AD830" i="11"/>
  <c r="AK830" i="11"/>
  <c r="AJ830" i="11"/>
  <c r="AL830" i="11" s="1"/>
  <c r="EE831" i="11"/>
  <c r="AL829" i="11"/>
  <c r="EI832" i="11"/>
  <c r="EH832" i="11"/>
  <c r="DZ832" i="11"/>
  <c r="ED832" i="11"/>
  <c r="EC832" i="11"/>
  <c r="EA832" i="11"/>
  <c r="BK832" i="11"/>
  <c r="P833" i="11"/>
  <c r="CF831" i="11"/>
  <c r="CQ831" i="11"/>
  <c r="BS831" i="11"/>
  <c r="BF831" i="11"/>
  <c r="DD831" i="11"/>
  <c r="DF831" i="11"/>
  <c r="BQ831" i="11"/>
  <c r="AB832" i="11"/>
  <c r="AC832" i="11" s="1"/>
  <c r="AR831" i="11"/>
  <c r="AS831" i="11"/>
  <c r="AQ831" i="11"/>
  <c r="CE832" i="11"/>
  <c r="DV832" i="11"/>
  <c r="DU832" i="11"/>
  <c r="DH832" i="11"/>
  <c r="DI832" i="11"/>
  <c r="CU832" i="11"/>
  <c r="CV832" i="11"/>
  <c r="CR832" i="11"/>
  <c r="CH832" i="11"/>
  <c r="CI832" i="11"/>
  <c r="BV832" i="11"/>
  <c r="BU832" i="11"/>
  <c r="BI832" i="11"/>
  <c r="AU832" i="11"/>
  <c r="AV832" i="11"/>
  <c r="AI832" i="11"/>
  <c r="BH832" i="11"/>
  <c r="AH832" i="11"/>
  <c r="BO832" i="11"/>
  <c r="BR832" i="11" s="1"/>
  <c r="BP832" i="11"/>
  <c r="BN832" i="11"/>
  <c r="W833" i="11"/>
  <c r="AO832" i="11"/>
  <c r="AP832" i="11"/>
  <c r="AN832" i="11"/>
  <c r="AA832" i="11"/>
  <c r="Y832" i="11"/>
  <c r="BB832" i="11"/>
  <c r="BE832" i="11" s="1"/>
  <c r="BC832" i="11"/>
  <c r="BA832" i="11"/>
  <c r="DM832" i="11"/>
  <c r="DN832" i="11"/>
  <c r="DP832" i="11"/>
  <c r="CP832" i="11"/>
  <c r="CA832" i="11"/>
  <c r="CB832" i="11"/>
  <c r="CF832" i="11" s="1"/>
  <c r="CC832" i="11"/>
  <c r="BM832" i="11"/>
  <c r="CZ832" i="11"/>
  <c r="AZ832" i="11"/>
  <c r="DA832" i="11"/>
  <c r="AM832" i="11"/>
  <c r="DB832" i="11"/>
  <c r="DE832" i="11" s="1"/>
  <c r="CM832" i="11"/>
  <c r="DC832" i="11"/>
  <c r="CN832" i="11"/>
  <c r="CO832" i="11"/>
  <c r="CQ832" i="11" s="1"/>
  <c r="BZ832" i="11"/>
  <c r="X832" i="11"/>
  <c r="C834" i="11"/>
  <c r="V834" i="11" l="1"/>
  <c r="A834" i="11"/>
  <c r="EB833" i="11"/>
  <c r="ED833" i="11" s="1"/>
  <c r="Z833" i="11"/>
  <c r="F833" i="11" s="1"/>
  <c r="AF833" i="11"/>
  <c r="B834" i="11"/>
  <c r="BG833" i="11"/>
  <c r="BD832" i="11"/>
  <c r="EG833" i="11"/>
  <c r="DG833" i="11"/>
  <c r="DT833" i="11"/>
  <c r="CG833" i="11"/>
  <c r="CT833" i="11"/>
  <c r="BT833" i="11"/>
  <c r="AT833" i="11"/>
  <c r="AE833" i="11"/>
  <c r="AG833" i="11"/>
  <c r="EL830" i="11"/>
  <c r="DJ832" i="11"/>
  <c r="DL832" i="11" s="1"/>
  <c r="DK832" i="11"/>
  <c r="EK831" i="11"/>
  <c r="EJ831" i="11"/>
  <c r="EL831" i="11" s="1"/>
  <c r="EF831" i="11"/>
  <c r="CJ832" i="11"/>
  <c r="CK832" i="11"/>
  <c r="CL832" i="11"/>
  <c r="BW832" i="11"/>
  <c r="BX832" i="11"/>
  <c r="BY832" i="11"/>
  <c r="CX832" i="11"/>
  <c r="CW832" i="11"/>
  <c r="CY832" i="11" s="1"/>
  <c r="M832" i="11"/>
  <c r="BJ832" i="11"/>
  <c r="BL832" i="11"/>
  <c r="AW831" i="11"/>
  <c r="AX831" i="11"/>
  <c r="AY831" i="11"/>
  <c r="L832" i="11"/>
  <c r="AK831" i="11"/>
  <c r="AD831" i="11"/>
  <c r="AJ831" i="11"/>
  <c r="EH833" i="11"/>
  <c r="DZ833" i="11"/>
  <c r="EI833" i="11"/>
  <c r="EC833" i="11"/>
  <c r="EA833" i="11"/>
  <c r="EE832" i="11"/>
  <c r="P834" i="11"/>
  <c r="BF832" i="11"/>
  <c r="CS832" i="11"/>
  <c r="DD832" i="11"/>
  <c r="DF832" i="11"/>
  <c r="BQ832" i="11"/>
  <c r="BS832" i="11"/>
  <c r="CD832" i="11"/>
  <c r="AB833" i="11"/>
  <c r="AC833" i="11" s="1"/>
  <c r="AR832" i="11"/>
  <c r="AS832" i="11"/>
  <c r="AQ832" i="11"/>
  <c r="CE833" i="11"/>
  <c r="DU833" i="11"/>
  <c r="DV833" i="11"/>
  <c r="DH833" i="11"/>
  <c r="DI833" i="11"/>
  <c r="CU833" i="11"/>
  <c r="CV833" i="11"/>
  <c r="CR833" i="11"/>
  <c r="CH833" i="11"/>
  <c r="CI833" i="11"/>
  <c r="BU833" i="11"/>
  <c r="BV833" i="11"/>
  <c r="BI833" i="11"/>
  <c r="BH833" i="11"/>
  <c r="AU833" i="11"/>
  <c r="AV833" i="11"/>
  <c r="AH833" i="11"/>
  <c r="AI833" i="11"/>
  <c r="M833" i="11" s="1"/>
  <c r="BN833" i="11"/>
  <c r="BP833" i="11"/>
  <c r="BO833" i="11"/>
  <c r="BR833" i="11" s="1"/>
  <c r="W834" i="11"/>
  <c r="AP833" i="11"/>
  <c r="AN833" i="11"/>
  <c r="AO833" i="11"/>
  <c r="Y833" i="11"/>
  <c r="AA833" i="11"/>
  <c r="BB833" i="11"/>
  <c r="BE833" i="11" s="1"/>
  <c r="BC833" i="11"/>
  <c r="BA833" i="11"/>
  <c r="DP833" i="11"/>
  <c r="DN833" i="11"/>
  <c r="DA833" i="11"/>
  <c r="DB833" i="11"/>
  <c r="DE833" i="11" s="1"/>
  <c r="CM833" i="11"/>
  <c r="DC833" i="11"/>
  <c r="CN833" i="11"/>
  <c r="DM833" i="11"/>
  <c r="CO833" i="11"/>
  <c r="CS833" i="11" s="1"/>
  <c r="BZ833" i="11"/>
  <c r="BM833" i="11"/>
  <c r="CP833" i="11"/>
  <c r="CA833" i="11"/>
  <c r="AZ833" i="11"/>
  <c r="CB833" i="11"/>
  <c r="CF833" i="11" s="1"/>
  <c r="CC833" i="11"/>
  <c r="CZ833" i="11"/>
  <c r="X833" i="11"/>
  <c r="AM833" i="11"/>
  <c r="C835" i="11"/>
  <c r="V835" i="11" l="1"/>
  <c r="A835" i="11"/>
  <c r="EB834" i="11"/>
  <c r="ED834" i="11" s="1"/>
  <c r="Z834" i="11"/>
  <c r="F834" i="11" s="1"/>
  <c r="AF834" i="11"/>
  <c r="B835" i="11"/>
  <c r="BG834" i="11"/>
  <c r="BD833" i="11"/>
  <c r="EG834" i="11"/>
  <c r="DT834" i="11"/>
  <c r="DG834" i="11"/>
  <c r="CT834" i="11"/>
  <c r="BT834" i="11"/>
  <c r="CG834" i="11"/>
  <c r="AT834" i="11"/>
  <c r="AE834" i="11"/>
  <c r="AG834" i="11"/>
  <c r="BX833" i="11"/>
  <c r="BW833" i="11"/>
  <c r="BY833" i="11" s="1"/>
  <c r="BJ833" i="11"/>
  <c r="BL833" i="11" s="1"/>
  <c r="BK833" i="11"/>
  <c r="DJ833" i="11"/>
  <c r="DL833" i="11" s="1"/>
  <c r="DK833" i="11"/>
  <c r="EK832" i="11"/>
  <c r="EJ832" i="11"/>
  <c r="EL832" i="11" s="1"/>
  <c r="EF832" i="11"/>
  <c r="CW833" i="11"/>
  <c r="CY833" i="11" s="1"/>
  <c r="CX833" i="11"/>
  <c r="CJ833" i="11"/>
  <c r="CK833" i="11"/>
  <c r="CL833" i="11"/>
  <c r="L833" i="11"/>
  <c r="AX832" i="11"/>
  <c r="AW832" i="11"/>
  <c r="AY832" i="11" s="1"/>
  <c r="AL831" i="11"/>
  <c r="AD832" i="11"/>
  <c r="AJ832" i="11"/>
  <c r="AK832" i="11"/>
  <c r="EE833" i="11"/>
  <c r="EC834" i="11"/>
  <c r="DZ834" i="11"/>
  <c r="EI834" i="11"/>
  <c r="EH834" i="11"/>
  <c r="EA834" i="11"/>
  <c r="CX834" i="11"/>
  <c r="BW834" i="11"/>
  <c r="BY834" i="11" s="1"/>
  <c r="P835" i="11"/>
  <c r="CQ833" i="11"/>
  <c r="CD833" i="11"/>
  <c r="DD833" i="11"/>
  <c r="DF833" i="11"/>
  <c r="AB834" i="11"/>
  <c r="AC834" i="11" s="1"/>
  <c r="BF833" i="11"/>
  <c r="BQ833" i="11"/>
  <c r="BS833" i="11"/>
  <c r="AR833" i="11"/>
  <c r="AS833" i="11"/>
  <c r="AQ833" i="11"/>
  <c r="CE834" i="11"/>
  <c r="DU834" i="11"/>
  <c r="DV834" i="11"/>
  <c r="DI834" i="11"/>
  <c r="DH834" i="11"/>
  <c r="CR834" i="11"/>
  <c r="CU834" i="11"/>
  <c r="CH834" i="11"/>
  <c r="CI834" i="11"/>
  <c r="CV834" i="11"/>
  <c r="BX834" i="11"/>
  <c r="BU834" i="11"/>
  <c r="BV834" i="11"/>
  <c r="BI834" i="11"/>
  <c r="BH834" i="11"/>
  <c r="AI834" i="11"/>
  <c r="AU834" i="11"/>
  <c r="AV834" i="11"/>
  <c r="AH834" i="11"/>
  <c r="BN834" i="11"/>
  <c r="BO834" i="11"/>
  <c r="BR834" i="11" s="1"/>
  <c r="BP834" i="11"/>
  <c r="W835" i="11"/>
  <c r="AN834" i="11"/>
  <c r="AO834" i="11"/>
  <c r="AP834" i="11"/>
  <c r="Y834" i="11"/>
  <c r="AA834" i="11"/>
  <c r="BB834" i="11"/>
  <c r="BE834" i="11" s="1"/>
  <c r="BC834" i="11"/>
  <c r="BA834" i="11"/>
  <c r="DM834" i="11"/>
  <c r="DN834" i="11"/>
  <c r="DP834" i="11"/>
  <c r="CP834" i="11"/>
  <c r="CA834" i="11"/>
  <c r="CB834" i="11"/>
  <c r="CF834" i="11" s="1"/>
  <c r="CC834" i="11"/>
  <c r="CZ834" i="11"/>
  <c r="DA834" i="11"/>
  <c r="BM834" i="11"/>
  <c r="DB834" i="11"/>
  <c r="DE834" i="11" s="1"/>
  <c r="CM834" i="11"/>
  <c r="DC834" i="11"/>
  <c r="CN834" i="11"/>
  <c r="CO834" i="11"/>
  <c r="CS834" i="11" s="1"/>
  <c r="BZ834" i="11"/>
  <c r="X834" i="11"/>
  <c r="AZ834" i="11"/>
  <c r="AM834" i="11"/>
  <c r="C836" i="11"/>
  <c r="V836" i="11" l="1"/>
  <c r="A836" i="11"/>
  <c r="EB835" i="11"/>
  <c r="Z835" i="11"/>
  <c r="F835" i="11" s="1"/>
  <c r="AF835" i="11"/>
  <c r="B836" i="11"/>
  <c r="BG835" i="11"/>
  <c r="BD834" i="11"/>
  <c r="DT835" i="11"/>
  <c r="EG835" i="11"/>
  <c r="DG835" i="11"/>
  <c r="CG835" i="11"/>
  <c r="CT835" i="11"/>
  <c r="BT835" i="11"/>
  <c r="AT835" i="11"/>
  <c r="AE835" i="11"/>
  <c r="AG835" i="11"/>
  <c r="EK833" i="11"/>
  <c r="EJ833" i="11"/>
  <c r="EL833" i="11" s="1"/>
  <c r="EF833" i="11"/>
  <c r="CJ834" i="11"/>
  <c r="CK834" i="11"/>
  <c r="CL834" i="11"/>
  <c r="DJ834" i="11"/>
  <c r="DK834" i="11"/>
  <c r="DL834" i="11"/>
  <c r="BL834" i="11"/>
  <c r="BJ834" i="11"/>
  <c r="BK834" i="11"/>
  <c r="CW834" i="11"/>
  <c r="CY834" i="11" s="1"/>
  <c r="AW833" i="11"/>
  <c r="AY833" i="11" s="1"/>
  <c r="AX833" i="11"/>
  <c r="M834" i="11"/>
  <c r="L834" i="11"/>
  <c r="EE834" i="11"/>
  <c r="EF834" i="11" s="1"/>
  <c r="AK833" i="11"/>
  <c r="AJ833" i="11"/>
  <c r="AL833" i="11"/>
  <c r="AD833" i="11"/>
  <c r="AL832" i="11"/>
  <c r="EA835" i="11"/>
  <c r="DZ835" i="11"/>
  <c r="EI835" i="11"/>
  <c r="EH835" i="11"/>
  <c r="ED835" i="11"/>
  <c r="EC835" i="11"/>
  <c r="P836" i="11"/>
  <c r="BF834" i="11"/>
  <c r="DD834" i="11"/>
  <c r="DF834" i="11"/>
  <c r="AB835" i="11"/>
  <c r="AC835" i="11" s="1"/>
  <c r="BQ834" i="11"/>
  <c r="BS834" i="11"/>
  <c r="CD834" i="11"/>
  <c r="CQ834" i="11"/>
  <c r="AR834" i="11"/>
  <c r="AS834" i="11"/>
  <c r="AQ834" i="11"/>
  <c r="CE835" i="11"/>
  <c r="DU835" i="11"/>
  <c r="DV835" i="11"/>
  <c r="DH835" i="11"/>
  <c r="DI835" i="11"/>
  <c r="CR835" i="11"/>
  <c r="CU835" i="11"/>
  <c r="CV835" i="11"/>
  <c r="CH835" i="11"/>
  <c r="CI835" i="11"/>
  <c r="BV835" i="11"/>
  <c r="BU835" i="11"/>
  <c r="BH835" i="11"/>
  <c r="BI835" i="11"/>
  <c r="AV835" i="11"/>
  <c r="AH835" i="11"/>
  <c r="AI835" i="11"/>
  <c r="AU835" i="11"/>
  <c r="BP835" i="11"/>
  <c r="BO835" i="11"/>
  <c r="BR835" i="11" s="1"/>
  <c r="BN835" i="11"/>
  <c r="AN835" i="11"/>
  <c r="AO835" i="11"/>
  <c r="AP835" i="11"/>
  <c r="Y835" i="11"/>
  <c r="AA835" i="11"/>
  <c r="BA835" i="11"/>
  <c r="BC835" i="11"/>
  <c r="BB835" i="11"/>
  <c r="BE835" i="11" s="1"/>
  <c r="DP835" i="11"/>
  <c r="DN835" i="11"/>
  <c r="DA835" i="11"/>
  <c r="X835" i="11"/>
  <c r="DB835" i="11"/>
  <c r="DE835" i="11" s="1"/>
  <c r="CM835" i="11"/>
  <c r="DC835" i="11"/>
  <c r="CN835" i="11"/>
  <c r="CO835" i="11"/>
  <c r="CQ835" i="11" s="1"/>
  <c r="BZ835" i="11"/>
  <c r="DM835" i="11"/>
  <c r="CP835" i="11"/>
  <c r="CA835" i="11"/>
  <c r="CB835" i="11"/>
  <c r="CF835" i="11" s="1"/>
  <c r="BM835" i="11"/>
  <c r="CC835" i="11"/>
  <c r="CZ835" i="11"/>
  <c r="AM835" i="11"/>
  <c r="AZ835" i="11"/>
  <c r="W836" i="11"/>
  <c r="C837" i="11"/>
  <c r="V837" i="11" l="1"/>
  <c r="A837" i="11"/>
  <c r="EB836" i="11"/>
  <c r="Z836" i="11"/>
  <c r="F836" i="11" s="1"/>
  <c r="AF836" i="11"/>
  <c r="B837" i="11"/>
  <c r="BG836" i="11"/>
  <c r="BD835" i="11"/>
  <c r="EG836" i="11"/>
  <c r="DG836" i="11"/>
  <c r="CT836" i="11"/>
  <c r="CG836" i="11"/>
  <c r="DT836" i="11"/>
  <c r="BT836" i="11"/>
  <c r="AT836" i="11"/>
  <c r="AE836" i="11"/>
  <c r="AG836" i="11"/>
  <c r="BW835" i="11"/>
  <c r="BY835" i="11" s="1"/>
  <c r="BX835" i="11"/>
  <c r="CJ835" i="11"/>
  <c r="CK835" i="11"/>
  <c r="CL835" i="11"/>
  <c r="DK835" i="11"/>
  <c r="DJ835" i="11"/>
  <c r="DL835" i="11" s="1"/>
  <c r="BJ835" i="11"/>
  <c r="BK835" i="11"/>
  <c r="BL835" i="11"/>
  <c r="CW835" i="11"/>
  <c r="CX835" i="11"/>
  <c r="CY835" i="11"/>
  <c r="EJ834" i="11"/>
  <c r="EK834" i="11"/>
  <c r="AD834" i="11"/>
  <c r="AK834" i="11"/>
  <c r="AL834" i="11"/>
  <c r="AJ834" i="11"/>
  <c r="M835" i="11"/>
  <c r="AW834" i="11"/>
  <c r="AX834" i="11"/>
  <c r="AY834" i="11"/>
  <c r="L835" i="11"/>
  <c r="EE835" i="11"/>
  <c r="EI836" i="11"/>
  <c r="EC836" i="11"/>
  <c r="EH836" i="11"/>
  <c r="ED836" i="11"/>
  <c r="EA836" i="11"/>
  <c r="DZ836" i="11"/>
  <c r="BK836" i="11"/>
  <c r="P837" i="11"/>
  <c r="CD835" i="11"/>
  <c r="DF835" i="11"/>
  <c r="BF835" i="11"/>
  <c r="AB836" i="11"/>
  <c r="BS835" i="11"/>
  <c r="CS835" i="11"/>
  <c r="BQ835" i="11"/>
  <c r="DD835" i="11"/>
  <c r="AR835" i="11"/>
  <c r="AQ835" i="11"/>
  <c r="AS835" i="11"/>
  <c r="CE836" i="11"/>
  <c r="DV836" i="11"/>
  <c r="DU836" i="11"/>
  <c r="DH836" i="11"/>
  <c r="CR836" i="11"/>
  <c r="CV836" i="11"/>
  <c r="DI836" i="11"/>
  <c r="CU836" i="11"/>
  <c r="CH836" i="11"/>
  <c r="CI836" i="11"/>
  <c r="BU836" i="11"/>
  <c r="BV836" i="11"/>
  <c r="BH836" i="11"/>
  <c r="BI836" i="11"/>
  <c r="AU836" i="11"/>
  <c r="AV836" i="11"/>
  <c r="AH836" i="11"/>
  <c r="AI836" i="11"/>
  <c r="BP836" i="11"/>
  <c r="BN836" i="11"/>
  <c r="BO836" i="11"/>
  <c r="BR836" i="11" s="1"/>
  <c r="AO836" i="11"/>
  <c r="AN836" i="11"/>
  <c r="AP836" i="11"/>
  <c r="Y836" i="11"/>
  <c r="AC836" i="11"/>
  <c r="AA836" i="11"/>
  <c r="BA836" i="11"/>
  <c r="BB836" i="11"/>
  <c r="BE836" i="11" s="1"/>
  <c r="BC836" i="11"/>
  <c r="DM836" i="11"/>
  <c r="DN836" i="11"/>
  <c r="DP836" i="11"/>
  <c r="CP836" i="11"/>
  <c r="CA836" i="11"/>
  <c r="AM836" i="11"/>
  <c r="CB836" i="11"/>
  <c r="CF836" i="11" s="1"/>
  <c r="X836" i="11"/>
  <c r="CC836" i="11"/>
  <c r="CZ836" i="11"/>
  <c r="DA836" i="11"/>
  <c r="DB836" i="11"/>
  <c r="DE836" i="11" s="1"/>
  <c r="CM836" i="11"/>
  <c r="DC836" i="11"/>
  <c r="CN836" i="11"/>
  <c r="BM836" i="11"/>
  <c r="CO836" i="11"/>
  <c r="CS836" i="11" s="1"/>
  <c r="BZ836" i="11"/>
  <c r="AZ836" i="11"/>
  <c r="W837" i="11"/>
  <c r="C838" i="11"/>
  <c r="V838" i="11" l="1"/>
  <c r="A838" i="11"/>
  <c r="EB837" i="11"/>
  <c r="ED837" i="11" s="1"/>
  <c r="Z837" i="11"/>
  <c r="F837" i="11" s="1"/>
  <c r="AF837" i="11"/>
  <c r="B838" i="11"/>
  <c r="BG837" i="11"/>
  <c r="BD836" i="11"/>
  <c r="EG837" i="11"/>
  <c r="DT837" i="11"/>
  <c r="DG837" i="11"/>
  <c r="CT837" i="11"/>
  <c r="CG837" i="11"/>
  <c r="BT837" i="11"/>
  <c r="AT837" i="11"/>
  <c r="AE837" i="11"/>
  <c r="AG837" i="11"/>
  <c r="EL834" i="11"/>
  <c r="CJ836" i="11"/>
  <c r="CL836" i="11" s="1"/>
  <c r="CK836" i="11"/>
  <c r="CX836" i="11"/>
  <c r="CW836" i="11"/>
  <c r="CY836" i="11" s="1"/>
  <c r="BW836" i="11"/>
  <c r="BX836" i="11"/>
  <c r="BY836" i="11"/>
  <c r="EJ835" i="11"/>
  <c r="EK835" i="11"/>
  <c r="EF835" i="11"/>
  <c r="DJ836" i="11"/>
  <c r="DL836" i="11" s="1"/>
  <c r="DK836" i="11"/>
  <c r="EE836" i="11"/>
  <c r="M836" i="11"/>
  <c r="L836" i="11"/>
  <c r="BJ836" i="11"/>
  <c r="BL836" i="11" s="1"/>
  <c r="AX835" i="11"/>
  <c r="AW835" i="11"/>
  <c r="AY835" i="11" s="1"/>
  <c r="AJ835" i="11"/>
  <c r="AL835" i="11" s="1"/>
  <c r="AD835" i="11"/>
  <c r="AK835" i="11"/>
  <c r="EH837" i="11"/>
  <c r="DZ837" i="11"/>
  <c r="EI837" i="11"/>
  <c r="EC837" i="11"/>
  <c r="EA837" i="11"/>
  <c r="CJ837" i="11"/>
  <c r="P838" i="11"/>
  <c r="CD836" i="11"/>
  <c r="DD836" i="11"/>
  <c r="BS836" i="11"/>
  <c r="CQ836" i="11"/>
  <c r="AB837" i="11"/>
  <c r="BF836" i="11"/>
  <c r="DF836" i="11"/>
  <c r="BQ836" i="11"/>
  <c r="AR836" i="11"/>
  <c r="AS836" i="11"/>
  <c r="AQ836" i="11"/>
  <c r="CE837" i="11"/>
  <c r="DU837" i="11"/>
  <c r="DV837" i="11"/>
  <c r="DI837" i="11"/>
  <c r="DH837" i="11"/>
  <c r="CU837" i="11"/>
  <c r="CV837" i="11"/>
  <c r="CR837" i="11"/>
  <c r="CH837" i="11"/>
  <c r="CI837" i="11"/>
  <c r="BU837" i="11"/>
  <c r="BV837" i="11"/>
  <c r="BH837" i="11"/>
  <c r="BI837" i="11"/>
  <c r="AU837" i="11"/>
  <c r="AV837" i="11"/>
  <c r="AH837" i="11"/>
  <c r="AI837" i="11"/>
  <c r="AC837" i="11"/>
  <c r="BP837" i="11"/>
  <c r="BN837" i="11"/>
  <c r="BO837" i="11"/>
  <c r="BR837" i="11" s="1"/>
  <c r="AP837" i="11"/>
  <c r="AN837" i="11"/>
  <c r="AO837" i="11"/>
  <c r="AA837" i="11"/>
  <c r="Y837" i="11"/>
  <c r="BC837" i="11"/>
  <c r="BA837" i="11"/>
  <c r="BB837" i="11"/>
  <c r="BE837" i="11" s="1"/>
  <c r="DP837" i="11"/>
  <c r="DA837" i="11"/>
  <c r="AZ837" i="11"/>
  <c r="DB837" i="11"/>
  <c r="DE837" i="11" s="1"/>
  <c r="CM837" i="11"/>
  <c r="AM837" i="11"/>
  <c r="DC837" i="11"/>
  <c r="CN837" i="11"/>
  <c r="X837" i="11"/>
  <c r="CO837" i="11"/>
  <c r="CS837" i="11" s="1"/>
  <c r="BZ837" i="11"/>
  <c r="CP837" i="11"/>
  <c r="CA837" i="11"/>
  <c r="DM837" i="11"/>
  <c r="CB837" i="11"/>
  <c r="CD837" i="11" s="1"/>
  <c r="DN837" i="11"/>
  <c r="CC837" i="11"/>
  <c r="CZ837" i="11"/>
  <c r="BM837" i="11"/>
  <c r="W838" i="11"/>
  <c r="C839" i="11"/>
  <c r="V839" i="11" l="1"/>
  <c r="A839" i="11"/>
  <c r="Z838" i="11"/>
  <c r="F838" i="11" s="1"/>
  <c r="EB838" i="11"/>
  <c r="AF838" i="11"/>
  <c r="B839" i="11"/>
  <c r="BD837" i="11"/>
  <c r="BG838" i="11"/>
  <c r="DT838" i="11"/>
  <c r="EG838" i="11"/>
  <c r="DG838" i="11"/>
  <c r="CT838" i="11"/>
  <c r="CG838" i="11"/>
  <c r="BT838" i="11"/>
  <c r="AT838" i="11"/>
  <c r="AE838" i="11"/>
  <c r="AG838" i="11"/>
  <c r="EL835" i="11"/>
  <c r="DL837" i="11"/>
  <c r="DJ837" i="11"/>
  <c r="DK837" i="11"/>
  <c r="BX837" i="11"/>
  <c r="BW837" i="11"/>
  <c r="BY837" i="11"/>
  <c r="AD837" i="11"/>
  <c r="AJ837" i="11"/>
  <c r="AL837" i="11" s="1"/>
  <c r="AK837" i="11"/>
  <c r="CW837" i="11"/>
  <c r="CX837" i="11"/>
  <c r="CY837" i="11"/>
  <c r="CL837" i="11"/>
  <c r="BK837" i="11"/>
  <c r="BL837" i="11" s="1"/>
  <c r="BJ837" i="11"/>
  <c r="L837" i="11"/>
  <c r="CK837" i="11"/>
  <c r="M837" i="11"/>
  <c r="AY836" i="11"/>
  <c r="AX836" i="11"/>
  <c r="AW836" i="11"/>
  <c r="EK836" i="11"/>
  <c r="EJ836" i="11"/>
  <c r="EL836" i="11" s="1"/>
  <c r="EF836" i="11"/>
  <c r="AJ836" i="11"/>
  <c r="AK836" i="11"/>
  <c r="AD836" i="11"/>
  <c r="AL836" i="11"/>
  <c r="EC838" i="11"/>
  <c r="ED838" i="11"/>
  <c r="DZ838" i="11"/>
  <c r="EA838" i="11"/>
  <c r="EI838" i="11"/>
  <c r="EH838" i="11"/>
  <c r="EE837" i="11"/>
  <c r="EF837" i="11" s="1"/>
  <c r="P839" i="11"/>
  <c r="DF837" i="11"/>
  <c r="BQ837" i="11"/>
  <c r="BS837" i="11"/>
  <c r="CF837" i="11"/>
  <c r="DD837" i="11"/>
  <c r="AB838" i="11"/>
  <c r="AC838" i="11" s="1"/>
  <c r="CQ837" i="11"/>
  <c r="BF837" i="11"/>
  <c r="AR837" i="11"/>
  <c r="AS837" i="11"/>
  <c r="AQ837" i="11"/>
  <c r="CE838" i="11"/>
  <c r="DU838" i="11"/>
  <c r="DV838" i="11"/>
  <c r="DH838" i="11"/>
  <c r="DI838" i="11"/>
  <c r="CR838" i="11"/>
  <c r="CU838" i="11"/>
  <c r="CV838" i="11"/>
  <c r="CH838" i="11"/>
  <c r="CI838" i="11"/>
  <c r="BU838" i="11"/>
  <c r="BV838" i="11"/>
  <c r="BH838" i="11"/>
  <c r="BI838" i="11"/>
  <c r="AU838" i="11"/>
  <c r="AV838" i="11"/>
  <c r="AH838" i="11"/>
  <c r="AI838" i="11"/>
  <c r="BO838" i="11"/>
  <c r="BR838" i="11" s="1"/>
  <c r="BN838" i="11"/>
  <c r="BP838" i="11"/>
  <c r="AN838" i="11"/>
  <c r="AO838" i="11"/>
  <c r="AP838" i="11"/>
  <c r="Y838" i="11"/>
  <c r="AA838" i="11"/>
  <c r="BC838" i="11"/>
  <c r="BA838" i="11"/>
  <c r="BB838" i="11"/>
  <c r="BE838" i="11" s="1"/>
  <c r="DM838" i="11"/>
  <c r="DN838" i="11"/>
  <c r="DP838" i="11"/>
  <c r="CP838" i="11"/>
  <c r="CA838" i="11"/>
  <c r="BM838" i="11"/>
  <c r="CB838" i="11"/>
  <c r="CD838" i="11" s="1"/>
  <c r="AZ838" i="11"/>
  <c r="CC838" i="11"/>
  <c r="AM838" i="11"/>
  <c r="CZ838" i="11"/>
  <c r="X838" i="11"/>
  <c r="DA838" i="11"/>
  <c r="DB838" i="11"/>
  <c r="DE838" i="11" s="1"/>
  <c r="CM838" i="11"/>
  <c r="DC838" i="11"/>
  <c r="CN838" i="11"/>
  <c r="CO838" i="11"/>
  <c r="CS838" i="11" s="1"/>
  <c r="BZ838" i="11"/>
  <c r="W839" i="11"/>
  <c r="C840" i="11"/>
  <c r="V840" i="11" l="1"/>
  <c r="A840" i="11"/>
  <c r="Z839" i="11"/>
  <c r="F839" i="11" s="1"/>
  <c r="EB839" i="11"/>
  <c r="AF839" i="11"/>
  <c r="B840" i="11"/>
  <c r="BG839" i="11"/>
  <c r="BD838" i="11"/>
  <c r="EG839" i="11"/>
  <c r="DT839" i="11"/>
  <c r="DG839" i="11"/>
  <c r="CT839" i="11"/>
  <c r="BT839" i="11"/>
  <c r="CG839" i="11"/>
  <c r="AT839" i="11"/>
  <c r="AE839" i="11"/>
  <c r="AG839" i="11"/>
  <c r="CX838" i="11"/>
  <c r="CW838" i="11"/>
  <c r="CY838" i="11" s="1"/>
  <c r="DJ838" i="11"/>
  <c r="DL838" i="11" s="1"/>
  <c r="DK838" i="11"/>
  <c r="BX838" i="11"/>
  <c r="BW838" i="11"/>
  <c r="BY838" i="11" s="1"/>
  <c r="CK838" i="11"/>
  <c r="CJ838" i="11"/>
  <c r="CL838" i="11" s="1"/>
  <c r="EK837" i="11"/>
  <c r="EJ837" i="11"/>
  <c r="M838" i="11"/>
  <c r="BK838" i="11"/>
  <c r="BJ838" i="11"/>
  <c r="BL838" i="11" s="1"/>
  <c r="L838" i="11"/>
  <c r="AW837" i="11"/>
  <c r="AX837" i="11"/>
  <c r="EA839" i="11"/>
  <c r="DZ839" i="11"/>
  <c r="EI839" i="11"/>
  <c r="EH839" i="11"/>
  <c r="EC839" i="11"/>
  <c r="ED839" i="11"/>
  <c r="EF838" i="11"/>
  <c r="EE838" i="11"/>
  <c r="P840" i="11"/>
  <c r="CF838" i="11"/>
  <c r="DD838" i="11"/>
  <c r="DF838" i="11"/>
  <c r="CQ838" i="11"/>
  <c r="BQ838" i="11"/>
  <c r="BF838" i="11"/>
  <c r="AB839" i="11"/>
  <c r="AC839" i="11" s="1"/>
  <c r="BS838" i="11"/>
  <c r="AR838" i="11"/>
  <c r="AS838" i="11"/>
  <c r="AQ838" i="11"/>
  <c r="CE839" i="11"/>
  <c r="DU839" i="11"/>
  <c r="DV839" i="11"/>
  <c r="DI839" i="11"/>
  <c r="DH839" i="11"/>
  <c r="CV839" i="11"/>
  <c r="CR839" i="11"/>
  <c r="CU839" i="11"/>
  <c r="CH839" i="11"/>
  <c r="CI839" i="11"/>
  <c r="BU839" i="11"/>
  <c r="BW839" i="11"/>
  <c r="BX839" i="11"/>
  <c r="BY839" i="11"/>
  <c r="BV839" i="11"/>
  <c r="BH839" i="11"/>
  <c r="BI839" i="11"/>
  <c r="AU839" i="11"/>
  <c r="AV839" i="11"/>
  <c r="AH839" i="11"/>
  <c r="AI839" i="11"/>
  <c r="BO839" i="11"/>
  <c r="BR839" i="11" s="1"/>
  <c r="BP839" i="11"/>
  <c r="BN839" i="11"/>
  <c r="W840" i="11"/>
  <c r="AP839" i="11"/>
  <c r="AO839" i="11"/>
  <c r="AA839" i="11"/>
  <c r="AN839" i="11"/>
  <c r="Y839" i="11"/>
  <c r="BA839" i="11"/>
  <c r="BC839" i="11"/>
  <c r="BB839" i="11"/>
  <c r="BE839" i="11" s="1"/>
  <c r="DP839" i="11"/>
  <c r="DN839" i="11"/>
  <c r="DA839" i="11"/>
  <c r="DB839" i="11"/>
  <c r="DE839" i="11" s="1"/>
  <c r="CM839" i="11"/>
  <c r="BM839" i="11"/>
  <c r="DC839" i="11"/>
  <c r="CN839" i="11"/>
  <c r="AZ839" i="11"/>
  <c r="CO839" i="11"/>
  <c r="CS839" i="11" s="1"/>
  <c r="BZ839" i="11"/>
  <c r="AM839" i="11"/>
  <c r="CP839" i="11"/>
  <c r="CA839" i="11"/>
  <c r="X839" i="11"/>
  <c r="CB839" i="11"/>
  <c r="CD839" i="11" s="1"/>
  <c r="CC839" i="11"/>
  <c r="DM839" i="11"/>
  <c r="CZ839" i="11"/>
  <c r="C841" i="11"/>
  <c r="V841" i="11" l="1"/>
  <c r="A841" i="11"/>
  <c r="Z840" i="11"/>
  <c r="F840" i="11" s="1"/>
  <c r="EB840" i="11"/>
  <c r="AF840" i="11"/>
  <c r="B841" i="11"/>
  <c r="BG840" i="11"/>
  <c r="BD839" i="11"/>
  <c r="DT840" i="11"/>
  <c r="DG840" i="11"/>
  <c r="EG840" i="11"/>
  <c r="CT840" i="11"/>
  <c r="BT840" i="11"/>
  <c r="CG840" i="11"/>
  <c r="AT840" i="11"/>
  <c r="AE840" i="11"/>
  <c r="AG840" i="11"/>
  <c r="EL837" i="11"/>
  <c r="DJ839" i="11"/>
  <c r="DL839" i="11" s="1"/>
  <c r="DK839" i="11"/>
  <c r="CW839" i="11"/>
  <c r="CY839" i="11" s="1"/>
  <c r="CX839" i="11"/>
  <c r="CJ839" i="11"/>
  <c r="CK839" i="11"/>
  <c r="CL839" i="11" s="1"/>
  <c r="M839" i="11"/>
  <c r="BJ839" i="11"/>
  <c r="BL839" i="11" s="1"/>
  <c r="AY837" i="11"/>
  <c r="L839" i="11"/>
  <c r="BK839" i="11"/>
  <c r="AX838" i="11"/>
  <c r="AW838" i="11"/>
  <c r="AY838" i="11" s="1"/>
  <c r="AK838" i="11"/>
  <c r="AJ838" i="11"/>
  <c r="AD838" i="11"/>
  <c r="AL838" i="11"/>
  <c r="EJ838" i="11"/>
  <c r="EK838" i="11"/>
  <c r="EE839" i="11"/>
  <c r="EI840" i="11"/>
  <c r="ED840" i="11"/>
  <c r="EC840" i="11"/>
  <c r="EA840" i="11"/>
  <c r="DZ840" i="11"/>
  <c r="EH840" i="11"/>
  <c r="P841" i="11"/>
  <c r="CQ839" i="11"/>
  <c r="BQ839" i="11"/>
  <c r="CF839" i="11"/>
  <c r="AB840" i="11"/>
  <c r="BF839" i="11"/>
  <c r="DD839" i="11"/>
  <c r="DF839" i="11"/>
  <c r="BS839" i="11"/>
  <c r="AR839" i="11"/>
  <c r="AS839" i="11"/>
  <c r="AQ839" i="11"/>
  <c r="CE840" i="11"/>
  <c r="DV840" i="11"/>
  <c r="DU840" i="11"/>
  <c r="DH840" i="11"/>
  <c r="DI840" i="11"/>
  <c r="CU840" i="11"/>
  <c r="CV840" i="11"/>
  <c r="CR840" i="11"/>
  <c r="CH840" i="11"/>
  <c r="CI840" i="11"/>
  <c r="BV840" i="11"/>
  <c r="BU840" i="11"/>
  <c r="BH840" i="11"/>
  <c r="BI840" i="11"/>
  <c r="AU840" i="11"/>
  <c r="AV840" i="11"/>
  <c r="AI840" i="11"/>
  <c r="M840" i="11" s="1"/>
  <c r="AC840" i="11"/>
  <c r="AH840" i="11"/>
  <c r="BN840" i="11"/>
  <c r="BO840" i="11"/>
  <c r="BR840" i="11" s="1"/>
  <c r="BP840" i="11"/>
  <c r="W841" i="11"/>
  <c r="AO840" i="11"/>
  <c r="AP840" i="11"/>
  <c r="AA840" i="11"/>
  <c r="Y840" i="11"/>
  <c r="AN840" i="11"/>
  <c r="BA840" i="11"/>
  <c r="BB840" i="11"/>
  <c r="BE840" i="11" s="1"/>
  <c r="BC840" i="11"/>
  <c r="DM840" i="11"/>
  <c r="DN840" i="11"/>
  <c r="DP840" i="11"/>
  <c r="CP840" i="11"/>
  <c r="CA840" i="11"/>
  <c r="CB840" i="11"/>
  <c r="CF840" i="11" s="1"/>
  <c r="CC840" i="11"/>
  <c r="BM840" i="11"/>
  <c r="CZ840" i="11"/>
  <c r="AZ840" i="11"/>
  <c r="DA840" i="11"/>
  <c r="AM840" i="11"/>
  <c r="DB840" i="11"/>
  <c r="DE840" i="11" s="1"/>
  <c r="CM840" i="11"/>
  <c r="DC840" i="11"/>
  <c r="CN840" i="11"/>
  <c r="CO840" i="11"/>
  <c r="CS840" i="11" s="1"/>
  <c r="BZ840" i="11"/>
  <c r="X840" i="11"/>
  <c r="C842" i="11"/>
  <c r="V842" i="11" l="1"/>
  <c r="A842" i="11"/>
  <c r="EB841" i="11"/>
  <c r="ED841" i="11" s="1"/>
  <c r="Z841" i="11"/>
  <c r="F841" i="11" s="1"/>
  <c r="AF841" i="11"/>
  <c r="B842" i="11"/>
  <c r="BG841" i="11"/>
  <c r="BD840" i="11"/>
  <c r="DT841" i="11"/>
  <c r="DG841" i="11"/>
  <c r="CT841" i="11"/>
  <c r="EG841" i="11"/>
  <c r="BT841" i="11"/>
  <c r="AT841" i="11"/>
  <c r="CG841" i="11"/>
  <c r="AE841" i="11"/>
  <c r="AG841" i="11"/>
  <c r="EL838" i="11"/>
  <c r="DJ840" i="11"/>
  <c r="DL840" i="11" s="1"/>
  <c r="DK840" i="11"/>
  <c r="BK840" i="11"/>
  <c r="BJ840" i="11"/>
  <c r="BL840" i="11"/>
  <c r="BX840" i="11"/>
  <c r="BY840" i="11"/>
  <c r="BW840" i="11"/>
  <c r="CJ840" i="11"/>
  <c r="CK840" i="11"/>
  <c r="CL840" i="11"/>
  <c r="AJ840" i="11"/>
  <c r="AD840" i="11"/>
  <c r="AK840" i="11"/>
  <c r="CW840" i="11"/>
  <c r="CY840" i="11" s="1"/>
  <c r="CX840" i="11"/>
  <c r="AJ839" i="11"/>
  <c r="AK839" i="11"/>
  <c r="AD839" i="11"/>
  <c r="EK839" i="11"/>
  <c r="EJ839" i="11"/>
  <c r="EL839" i="11" s="1"/>
  <c r="AW839" i="11"/>
  <c r="AY839" i="11" s="1"/>
  <c r="AX839" i="11"/>
  <c r="EF839" i="11"/>
  <c r="L840" i="11"/>
  <c r="EE840" i="11"/>
  <c r="EH841" i="11"/>
  <c r="EI841" i="11"/>
  <c r="EC841" i="11"/>
  <c r="EA841" i="11"/>
  <c r="DZ841" i="11"/>
  <c r="BW841" i="11"/>
  <c r="P842" i="11"/>
  <c r="BF840" i="11"/>
  <c r="CD840" i="11"/>
  <c r="AB841" i="11"/>
  <c r="AC841" i="11" s="1"/>
  <c r="BQ840" i="11"/>
  <c r="BS840" i="11"/>
  <c r="CQ840" i="11"/>
  <c r="DD840" i="11"/>
  <c r="DF840" i="11"/>
  <c r="AR840" i="11"/>
  <c r="AS840" i="11"/>
  <c r="AQ840" i="11"/>
  <c r="CE841" i="11"/>
  <c r="DU841" i="11"/>
  <c r="DV841" i="11"/>
  <c r="DI841" i="11"/>
  <c r="DH841" i="11"/>
  <c r="CU841" i="11"/>
  <c r="CR841" i="11"/>
  <c r="CV841" i="11"/>
  <c r="CH841" i="11"/>
  <c r="CI841" i="11"/>
  <c r="BU841" i="11"/>
  <c r="BV841" i="11"/>
  <c r="BI841" i="11"/>
  <c r="BH841" i="11"/>
  <c r="AU841" i="11"/>
  <c r="AV841" i="11"/>
  <c r="AH841" i="11"/>
  <c r="AI841" i="11"/>
  <c r="BN841" i="11"/>
  <c r="BO841" i="11"/>
  <c r="BR841" i="11" s="1"/>
  <c r="BP841" i="11"/>
  <c r="AN841" i="11"/>
  <c r="AO841" i="11"/>
  <c r="AP841" i="11"/>
  <c r="Y841" i="11"/>
  <c r="AA841" i="11"/>
  <c r="BB841" i="11"/>
  <c r="BE841" i="11" s="1"/>
  <c r="BC841" i="11"/>
  <c r="BA841" i="11"/>
  <c r="DP841" i="11"/>
  <c r="DA841" i="11"/>
  <c r="DM841" i="11"/>
  <c r="DB841" i="11"/>
  <c r="DE841" i="11" s="1"/>
  <c r="CM841" i="11"/>
  <c r="DN841" i="11"/>
  <c r="DC841" i="11"/>
  <c r="CN841" i="11"/>
  <c r="CO841" i="11"/>
  <c r="CS841" i="11" s="1"/>
  <c r="BZ841" i="11"/>
  <c r="BM841" i="11"/>
  <c r="CP841" i="11"/>
  <c r="CA841" i="11"/>
  <c r="AZ841" i="11"/>
  <c r="CB841" i="11"/>
  <c r="CF841" i="11" s="1"/>
  <c r="CC841" i="11"/>
  <c r="CZ841" i="11"/>
  <c r="AM841" i="11"/>
  <c r="X841" i="11"/>
  <c r="W842" i="11"/>
  <c r="C843" i="11"/>
  <c r="V843" i="11" l="1"/>
  <c r="A843" i="11"/>
  <c r="EB842" i="11"/>
  <c r="Z842" i="11"/>
  <c r="F842" i="11" s="1"/>
  <c r="AF842" i="11"/>
  <c r="B843" i="11"/>
  <c r="BG842" i="11"/>
  <c r="BD841" i="11"/>
  <c r="EG842" i="11"/>
  <c r="DT842" i="11"/>
  <c r="DG842" i="11"/>
  <c r="CT842" i="11"/>
  <c r="BT842" i="11"/>
  <c r="CG842" i="11"/>
  <c r="AT842" i="11"/>
  <c r="AE842" i="11"/>
  <c r="AG842" i="11"/>
  <c r="CJ841" i="11"/>
  <c r="CK841" i="11"/>
  <c r="CL841" i="11" s="1"/>
  <c r="DK841" i="11"/>
  <c r="DJ841" i="11"/>
  <c r="DL841" i="11" s="1"/>
  <c r="CX841" i="11"/>
  <c r="CW841" i="11"/>
  <c r="CY841" i="11" s="1"/>
  <c r="BL841" i="11"/>
  <c r="BJ841" i="11"/>
  <c r="BK841" i="11"/>
  <c r="EJ840" i="11"/>
  <c r="EK840" i="11"/>
  <c r="EF840" i="11"/>
  <c r="BX841" i="11"/>
  <c r="BY841" i="11" s="1"/>
  <c r="AW840" i="11"/>
  <c r="AX840" i="11"/>
  <c r="AY840" i="11" s="1"/>
  <c r="M841" i="11"/>
  <c r="L841" i="11"/>
  <c r="AL839" i="11"/>
  <c r="AL840" i="11"/>
  <c r="ED842" i="11"/>
  <c r="EA842" i="11"/>
  <c r="EI842" i="11"/>
  <c r="DZ842" i="11"/>
  <c r="EH842" i="11"/>
  <c r="EC842" i="11"/>
  <c r="EE841" i="11"/>
  <c r="CW842" i="11"/>
  <c r="P843" i="11"/>
  <c r="BF841" i="11"/>
  <c r="BS841" i="11"/>
  <c r="DD841" i="11"/>
  <c r="DF841" i="11"/>
  <c r="BQ841" i="11"/>
  <c r="CQ841" i="11"/>
  <c r="AB842" i="11"/>
  <c r="AC842" i="11" s="1"/>
  <c r="CD841" i="11"/>
  <c r="AR841" i="11"/>
  <c r="AS841" i="11"/>
  <c r="AQ841" i="11"/>
  <c r="CE842" i="11"/>
  <c r="DV842" i="11"/>
  <c r="DU842" i="11"/>
  <c r="DH842" i="11"/>
  <c r="DI842" i="11"/>
  <c r="CR842" i="11"/>
  <c r="CU842" i="11"/>
  <c r="CV842" i="11"/>
  <c r="CH842" i="11"/>
  <c r="CI842" i="11"/>
  <c r="BU842" i="11"/>
  <c r="BV842" i="11"/>
  <c r="BI842" i="11"/>
  <c r="BK842" i="11"/>
  <c r="BH842" i="11"/>
  <c r="AI842" i="11"/>
  <c r="AU842" i="11"/>
  <c r="AV842" i="11"/>
  <c r="AH842" i="11"/>
  <c r="BN842" i="11"/>
  <c r="BO842" i="11"/>
  <c r="BR842" i="11" s="1"/>
  <c r="BP842" i="11"/>
  <c r="AN842" i="11"/>
  <c r="AO842" i="11"/>
  <c r="AP842" i="11"/>
  <c r="Y842" i="11"/>
  <c r="AA842" i="11"/>
  <c r="BA842" i="11"/>
  <c r="BB842" i="11"/>
  <c r="BE842" i="11" s="1"/>
  <c r="BC842" i="11"/>
  <c r="DM842" i="11"/>
  <c r="DN842" i="11"/>
  <c r="DP842" i="11"/>
  <c r="CP842" i="11"/>
  <c r="CA842" i="11"/>
  <c r="CB842" i="11"/>
  <c r="CF842" i="11" s="1"/>
  <c r="CC842" i="11"/>
  <c r="CZ842" i="11"/>
  <c r="DA842" i="11"/>
  <c r="BM842" i="11"/>
  <c r="DB842" i="11"/>
  <c r="DE842" i="11" s="1"/>
  <c r="CM842" i="11"/>
  <c r="DC842" i="11"/>
  <c r="CN842" i="11"/>
  <c r="CO842" i="11"/>
  <c r="CS842" i="11" s="1"/>
  <c r="BZ842" i="11"/>
  <c r="AM842" i="11"/>
  <c r="X842" i="11"/>
  <c r="AZ842" i="11"/>
  <c r="W843" i="11"/>
  <c r="C844" i="11"/>
  <c r="V844" i="11" l="1"/>
  <c r="A844" i="11"/>
  <c r="EB843" i="11"/>
  <c r="ED843" i="11" s="1"/>
  <c r="Z843" i="11"/>
  <c r="F843" i="11" s="1"/>
  <c r="AF843" i="11"/>
  <c r="B844" i="11"/>
  <c r="BG843" i="11"/>
  <c r="BD842" i="11"/>
  <c r="DT843" i="11"/>
  <c r="EG843" i="11"/>
  <c r="DG843" i="11"/>
  <c r="CG843" i="11"/>
  <c r="CT843" i="11"/>
  <c r="BT843" i="11"/>
  <c r="AT843" i="11"/>
  <c r="AE843" i="11"/>
  <c r="AG843" i="11"/>
  <c r="EL840" i="11"/>
  <c r="BW842" i="11"/>
  <c r="BY842" i="11" s="1"/>
  <c r="BX842" i="11"/>
  <c r="EK841" i="11"/>
  <c r="EJ841" i="11"/>
  <c r="EL841" i="11" s="1"/>
  <c r="EF841" i="11"/>
  <c r="DJ842" i="11"/>
  <c r="DK842" i="11"/>
  <c r="DL842" i="11" s="1"/>
  <c r="CJ842" i="11"/>
  <c r="CK842" i="11"/>
  <c r="CL842" i="11"/>
  <c r="AJ841" i="11"/>
  <c r="AD841" i="11"/>
  <c r="AK841" i="11"/>
  <c r="BJ842" i="11"/>
  <c r="BL842" i="11" s="1"/>
  <c r="M842" i="11"/>
  <c r="CX842" i="11"/>
  <c r="CY842" i="11" s="1"/>
  <c r="AX841" i="11"/>
  <c r="AW841" i="11"/>
  <c r="AY841" i="11" s="1"/>
  <c r="L842" i="11"/>
  <c r="EE842" i="11"/>
  <c r="DZ843" i="11"/>
  <c r="EH843" i="11"/>
  <c r="EI843" i="11"/>
  <c r="EC843" i="11"/>
  <c r="EA843" i="11"/>
  <c r="CX843" i="11"/>
  <c r="P844" i="11"/>
  <c r="BQ842" i="11"/>
  <c r="BS842" i="11"/>
  <c r="CD842" i="11"/>
  <c r="AB843" i="11"/>
  <c r="CQ842" i="11"/>
  <c r="DD842" i="11"/>
  <c r="BF842" i="11"/>
  <c r="DF842" i="11"/>
  <c r="AR842" i="11"/>
  <c r="AS842" i="11"/>
  <c r="AQ842" i="11"/>
  <c r="CE843" i="11"/>
  <c r="DV843" i="11"/>
  <c r="DU843" i="11"/>
  <c r="DH843" i="11"/>
  <c r="DI843" i="11"/>
  <c r="CR843" i="11"/>
  <c r="CU843" i="11"/>
  <c r="CV843" i="11"/>
  <c r="CH843" i="11"/>
  <c r="CI843" i="11"/>
  <c r="BV843" i="11"/>
  <c r="BU843" i="11"/>
  <c r="BH843" i="11"/>
  <c r="BI843" i="11"/>
  <c r="AV843" i="11"/>
  <c r="AH843" i="11"/>
  <c r="AI843" i="11"/>
  <c r="M843" i="11" s="1"/>
  <c r="AC843" i="11"/>
  <c r="AU843" i="11"/>
  <c r="BP843" i="11"/>
  <c r="BN843" i="11"/>
  <c r="BO843" i="11"/>
  <c r="BR843" i="11" s="1"/>
  <c r="AN843" i="11"/>
  <c r="AO843" i="11"/>
  <c r="AP843" i="11"/>
  <c r="Y843" i="11"/>
  <c r="AA843" i="11"/>
  <c r="BA843" i="11"/>
  <c r="BB843" i="11"/>
  <c r="BE843" i="11" s="1"/>
  <c r="BC843" i="11"/>
  <c r="DP843" i="11"/>
  <c r="DA843" i="11"/>
  <c r="X843" i="11"/>
  <c r="DB843" i="11"/>
  <c r="DE843" i="11" s="1"/>
  <c r="CM843" i="11"/>
  <c r="DC843" i="11"/>
  <c r="CN843" i="11"/>
  <c r="DM843" i="11"/>
  <c r="CO843" i="11"/>
  <c r="CQ843" i="11" s="1"/>
  <c r="BZ843" i="11"/>
  <c r="DN843" i="11"/>
  <c r="CP843" i="11"/>
  <c r="CA843" i="11"/>
  <c r="CB843" i="11"/>
  <c r="CD843" i="11" s="1"/>
  <c r="BM843" i="11"/>
  <c r="CC843" i="11"/>
  <c r="CZ843" i="11"/>
  <c r="AM843" i="11"/>
  <c r="AZ843" i="11"/>
  <c r="W844" i="11"/>
  <c r="C845" i="11"/>
  <c r="V845" i="11" l="1"/>
  <c r="A845" i="11"/>
  <c r="EB844" i="11"/>
  <c r="ED844" i="11" s="1"/>
  <c r="Z844" i="11"/>
  <c r="F844" i="11" s="1"/>
  <c r="AF844" i="11"/>
  <c r="B845" i="11"/>
  <c r="BG844" i="11"/>
  <c r="BD843" i="11"/>
  <c r="DT844" i="11"/>
  <c r="EG844" i="11"/>
  <c r="DG844" i="11"/>
  <c r="CT844" i="11"/>
  <c r="CG844" i="11"/>
  <c r="BT844" i="11"/>
  <c r="AT844" i="11"/>
  <c r="AE844" i="11"/>
  <c r="AG844" i="11"/>
  <c r="DK843" i="11"/>
  <c r="DJ843" i="11"/>
  <c r="DL843" i="11" s="1"/>
  <c r="BW843" i="11"/>
  <c r="BY843" i="11" s="1"/>
  <c r="BX843" i="11"/>
  <c r="CJ843" i="11"/>
  <c r="CL843" i="11"/>
  <c r="CK843" i="11"/>
  <c r="BK843" i="11"/>
  <c r="BJ843" i="11"/>
  <c r="BL843" i="11" s="1"/>
  <c r="AJ843" i="11"/>
  <c r="AK843" i="11"/>
  <c r="AL843" i="11"/>
  <c r="AD843" i="11"/>
  <c r="AW842" i="11"/>
  <c r="AX842" i="11"/>
  <c r="AY842" i="11"/>
  <c r="L843" i="11"/>
  <c r="CW843" i="11"/>
  <c r="CY843" i="11" s="1"/>
  <c r="EK842" i="11"/>
  <c r="EJ842" i="11"/>
  <c r="EF842" i="11"/>
  <c r="AL841" i="11"/>
  <c r="AD842" i="11"/>
  <c r="AJ842" i="11"/>
  <c r="AK842" i="11"/>
  <c r="EI844" i="11"/>
  <c r="EH844" i="11"/>
  <c r="EC844" i="11"/>
  <c r="DZ844" i="11"/>
  <c r="EA844" i="11"/>
  <c r="EE843" i="11"/>
  <c r="P845" i="11"/>
  <c r="CF843" i="11"/>
  <c r="CS843" i="11"/>
  <c r="BQ843" i="11"/>
  <c r="DD843" i="11"/>
  <c r="DF843" i="11"/>
  <c r="BF843" i="11"/>
  <c r="AB844" i="11"/>
  <c r="AC844" i="11" s="1"/>
  <c r="BS843" i="11"/>
  <c r="AR843" i="11"/>
  <c r="AS843" i="11"/>
  <c r="AQ843" i="11"/>
  <c r="CE844" i="11"/>
  <c r="DV844" i="11"/>
  <c r="DU844" i="11"/>
  <c r="DH844" i="11"/>
  <c r="DI844" i="11"/>
  <c r="CR844" i="11"/>
  <c r="CV844" i="11"/>
  <c r="CU844" i="11"/>
  <c r="CH844" i="11"/>
  <c r="CI844" i="11"/>
  <c r="BU844" i="11"/>
  <c r="BV844" i="11"/>
  <c r="BH844" i="11"/>
  <c r="BI844" i="11"/>
  <c r="AU844" i="11"/>
  <c r="AV844" i="11"/>
  <c r="AH844" i="11"/>
  <c r="AI844" i="11"/>
  <c r="BP844" i="11"/>
  <c r="BN844" i="11"/>
  <c r="BO844" i="11"/>
  <c r="BR844" i="11" s="1"/>
  <c r="W845" i="11"/>
  <c r="AO844" i="11"/>
  <c r="AP844" i="11"/>
  <c r="AN844" i="11"/>
  <c r="Y844" i="11"/>
  <c r="AA844" i="11"/>
  <c r="BA844" i="11"/>
  <c r="BB844" i="11"/>
  <c r="BE844" i="11" s="1"/>
  <c r="BC844" i="11"/>
  <c r="DM844" i="11"/>
  <c r="DN844" i="11"/>
  <c r="DP844" i="11"/>
  <c r="CP844" i="11"/>
  <c r="CA844" i="11"/>
  <c r="AM844" i="11"/>
  <c r="CB844" i="11"/>
  <c r="CF844" i="11" s="1"/>
  <c r="X844" i="11"/>
  <c r="CC844" i="11"/>
  <c r="CZ844" i="11"/>
  <c r="DA844" i="11"/>
  <c r="DB844" i="11"/>
  <c r="DE844" i="11" s="1"/>
  <c r="CM844" i="11"/>
  <c r="DC844" i="11"/>
  <c r="CN844" i="11"/>
  <c r="BM844" i="11"/>
  <c r="CO844" i="11"/>
  <c r="CQ844" i="11" s="1"/>
  <c r="BZ844" i="11"/>
  <c r="AZ844" i="11"/>
  <c r="C846" i="11"/>
  <c r="V846" i="11" l="1"/>
  <c r="A846" i="11"/>
  <c r="EB845" i="11"/>
  <c r="ED845" i="11" s="1"/>
  <c r="Z845" i="11"/>
  <c r="F845" i="11" s="1"/>
  <c r="AF845" i="11"/>
  <c r="B846" i="11"/>
  <c r="BG845" i="11"/>
  <c r="BD844" i="11"/>
  <c r="EG845" i="11"/>
  <c r="DT845" i="11"/>
  <c r="CT845" i="11"/>
  <c r="DG845" i="11"/>
  <c r="CG845" i="11"/>
  <c r="BT845" i="11"/>
  <c r="AT845" i="11"/>
  <c r="AE845" i="11"/>
  <c r="AG845" i="11"/>
  <c r="EL842" i="11"/>
  <c r="CJ844" i="11"/>
  <c r="CK844" i="11"/>
  <c r="CL844" i="11"/>
  <c r="BJ844" i="11"/>
  <c r="BL844" i="11" s="1"/>
  <c r="BK844" i="11"/>
  <c r="BY844" i="11"/>
  <c r="BX844" i="11"/>
  <c r="BW844" i="11"/>
  <c r="CW844" i="11"/>
  <c r="CX844" i="11"/>
  <c r="CY844" i="11" s="1"/>
  <c r="DK844" i="11"/>
  <c r="DL844" i="11" s="1"/>
  <c r="DJ844" i="11"/>
  <c r="EK843" i="11"/>
  <c r="EJ843" i="11"/>
  <c r="EL843" i="11" s="1"/>
  <c r="EF843" i="11"/>
  <c r="M844" i="11"/>
  <c r="L844" i="11"/>
  <c r="AW843" i="11"/>
  <c r="AX843" i="11"/>
  <c r="AY843" i="11"/>
  <c r="AL842" i="11"/>
  <c r="EE844" i="11"/>
  <c r="EC845" i="11"/>
  <c r="EA845" i="11"/>
  <c r="EH845" i="11"/>
  <c r="DZ845" i="11"/>
  <c r="EI845" i="11"/>
  <c r="DK845" i="11"/>
  <c r="P846" i="11"/>
  <c r="BS844" i="11"/>
  <c r="AB845" i="11"/>
  <c r="AC845" i="11" s="1"/>
  <c r="CS844" i="11"/>
  <c r="BF844" i="11"/>
  <c r="DF844" i="11"/>
  <c r="BQ844" i="11"/>
  <c r="CD844" i="11"/>
  <c r="DD844" i="11"/>
  <c r="AR844" i="11"/>
  <c r="AS844" i="11"/>
  <c r="AQ844" i="11"/>
  <c r="CE845" i="11"/>
  <c r="DU845" i="11"/>
  <c r="DV845" i="11"/>
  <c r="DH845" i="11"/>
  <c r="DI845" i="11"/>
  <c r="CU845" i="11"/>
  <c r="CR845" i="11"/>
  <c r="CV845" i="11"/>
  <c r="CH845" i="11"/>
  <c r="CI845" i="11"/>
  <c r="BU845" i="11"/>
  <c r="BV845" i="11"/>
  <c r="BW845" i="11"/>
  <c r="BH845" i="11"/>
  <c r="BI845" i="11"/>
  <c r="AU845" i="11"/>
  <c r="AV845" i="11"/>
  <c r="AH845" i="11"/>
  <c r="AI845" i="11"/>
  <c r="BN845" i="11"/>
  <c r="BO845" i="11"/>
  <c r="BR845" i="11" s="1"/>
  <c r="BP845" i="11"/>
  <c r="W846" i="11"/>
  <c r="AP845" i="11"/>
  <c r="AN845" i="11"/>
  <c r="AO845" i="11"/>
  <c r="AA845" i="11"/>
  <c r="Y845" i="11"/>
  <c r="BA845" i="11"/>
  <c r="BB845" i="11"/>
  <c r="BE845" i="11" s="1"/>
  <c r="BC845" i="11"/>
  <c r="DP845" i="11"/>
  <c r="DA845" i="11"/>
  <c r="AZ845" i="11"/>
  <c r="DB845" i="11"/>
  <c r="DE845" i="11" s="1"/>
  <c r="CM845" i="11"/>
  <c r="AM845" i="11"/>
  <c r="DC845" i="11"/>
  <c r="CN845" i="11"/>
  <c r="X845" i="11"/>
  <c r="CO845" i="11"/>
  <c r="CS845" i="11" s="1"/>
  <c r="BZ845" i="11"/>
  <c r="CP845" i="11"/>
  <c r="CA845" i="11"/>
  <c r="CB845" i="11"/>
  <c r="CF845" i="11" s="1"/>
  <c r="DM845" i="11"/>
  <c r="CC845" i="11"/>
  <c r="DN845" i="11"/>
  <c r="CZ845" i="11"/>
  <c r="BM845" i="11"/>
  <c r="C847" i="11"/>
  <c r="V847" i="11" l="1"/>
  <c r="A847" i="11"/>
  <c r="Z846" i="11"/>
  <c r="F846" i="11" s="1"/>
  <c r="EB846" i="11"/>
  <c r="ED846" i="11" s="1"/>
  <c r="AF846" i="11"/>
  <c r="B847" i="11"/>
  <c r="BG846" i="11"/>
  <c r="BD845" i="11"/>
  <c r="DT846" i="11"/>
  <c r="EG846" i="11"/>
  <c r="DG846" i="11"/>
  <c r="CT846" i="11"/>
  <c r="CG846" i="11"/>
  <c r="BT846" i="11"/>
  <c r="AT846" i="11"/>
  <c r="AE846" i="11"/>
  <c r="AG846" i="11"/>
  <c r="EK844" i="11"/>
  <c r="EJ844" i="11"/>
  <c r="EF844" i="11"/>
  <c r="CW845" i="11"/>
  <c r="CY845" i="11" s="1"/>
  <c r="CX845" i="11"/>
  <c r="CL845" i="11"/>
  <c r="CJ845" i="11"/>
  <c r="CK845" i="11"/>
  <c r="BJ845" i="11"/>
  <c r="BL845" i="11" s="1"/>
  <c r="BK845" i="11"/>
  <c r="AW844" i="11"/>
  <c r="AX844" i="11"/>
  <c r="AY844" i="11"/>
  <c r="BX845" i="11"/>
  <c r="BY845" i="11" s="1"/>
  <c r="DJ845" i="11"/>
  <c r="DL845" i="11" s="1"/>
  <c r="AK844" i="11"/>
  <c r="AJ844" i="11"/>
  <c r="AD844" i="11"/>
  <c r="M845" i="11"/>
  <c r="L845" i="11"/>
  <c r="EE845" i="11"/>
  <c r="EA846" i="11"/>
  <c r="EH846" i="11"/>
  <c r="EI846" i="11"/>
  <c r="EC846" i="11"/>
  <c r="DZ846" i="11"/>
  <c r="CJ846" i="11"/>
  <c r="P847" i="11"/>
  <c r="DF845" i="11"/>
  <c r="AB846" i="11"/>
  <c r="AC846" i="11" s="1"/>
  <c r="CD845" i="11"/>
  <c r="BQ845" i="11"/>
  <c r="BS845" i="11"/>
  <c r="DD845" i="11"/>
  <c r="CQ845" i="11"/>
  <c r="BF845" i="11"/>
  <c r="AR845" i="11"/>
  <c r="AS845" i="11"/>
  <c r="AQ845" i="11"/>
  <c r="CE846" i="11"/>
  <c r="DU846" i="11"/>
  <c r="DV846" i="11"/>
  <c r="DH846" i="11"/>
  <c r="DI846" i="11"/>
  <c r="CR846" i="11"/>
  <c r="CU846" i="11"/>
  <c r="CV846" i="11"/>
  <c r="CH846" i="11"/>
  <c r="CI846" i="11"/>
  <c r="BU846" i="11"/>
  <c r="BV846" i="11"/>
  <c r="BX846" i="11"/>
  <c r="BY846" i="11"/>
  <c r="BW846" i="11"/>
  <c r="BH846" i="11"/>
  <c r="BI846" i="11"/>
  <c r="AU846" i="11"/>
  <c r="AV846" i="11"/>
  <c r="AH846" i="11"/>
  <c r="AI846" i="11"/>
  <c r="BO846" i="11"/>
  <c r="BR846" i="11" s="1"/>
  <c r="BP846" i="11"/>
  <c r="BN846" i="11"/>
  <c r="W847" i="11"/>
  <c r="AN846" i="11"/>
  <c r="AO846" i="11"/>
  <c r="AP846" i="11"/>
  <c r="Y846" i="11"/>
  <c r="AA846" i="11"/>
  <c r="BC846" i="11"/>
  <c r="BB846" i="11"/>
  <c r="BE846" i="11" s="1"/>
  <c r="BA846" i="11"/>
  <c r="DM846" i="11"/>
  <c r="DN846" i="11"/>
  <c r="DP846" i="11"/>
  <c r="CP846" i="11"/>
  <c r="CA846" i="11"/>
  <c r="BM846" i="11"/>
  <c r="CB846" i="11"/>
  <c r="CF846" i="11" s="1"/>
  <c r="AZ846" i="11"/>
  <c r="CC846" i="11"/>
  <c r="AM846" i="11"/>
  <c r="CZ846" i="11"/>
  <c r="X846" i="11"/>
  <c r="DA846" i="11"/>
  <c r="DB846" i="11"/>
  <c r="DE846" i="11" s="1"/>
  <c r="CM846" i="11"/>
  <c r="DC846" i="11"/>
  <c r="CN846" i="11"/>
  <c r="CO846" i="11"/>
  <c r="CS846" i="11" s="1"/>
  <c r="BZ846" i="11"/>
  <c r="C848" i="11"/>
  <c r="V848" i="11" l="1"/>
  <c r="A848" i="11"/>
  <c r="EB847" i="11"/>
  <c r="ED847" i="11" s="1"/>
  <c r="Z847" i="11"/>
  <c r="F847" i="11" s="1"/>
  <c r="AF847" i="11"/>
  <c r="B848" i="11"/>
  <c r="BG847" i="11"/>
  <c r="BD846" i="11"/>
  <c r="EG847" i="11"/>
  <c r="DT847" i="11"/>
  <c r="DG847" i="11"/>
  <c r="CT847" i="11"/>
  <c r="BT847" i="11"/>
  <c r="CG847" i="11"/>
  <c r="AT847" i="11"/>
  <c r="AE847" i="11"/>
  <c r="AG847" i="11"/>
  <c r="EL844" i="11"/>
  <c r="DK846" i="11"/>
  <c r="DJ846" i="11"/>
  <c r="DL846" i="11" s="1"/>
  <c r="BK846" i="11"/>
  <c r="BJ846" i="11"/>
  <c r="BL846" i="11" s="1"/>
  <c r="CL846" i="11"/>
  <c r="CY846" i="11"/>
  <c r="CW846" i="11"/>
  <c r="CX846" i="11"/>
  <c r="CK846" i="11"/>
  <c r="AW845" i="11"/>
  <c r="AY845" i="11" s="1"/>
  <c r="AX845" i="11"/>
  <c r="AJ845" i="11"/>
  <c r="AK845" i="11"/>
  <c r="AL845" i="11"/>
  <c r="AD845" i="11"/>
  <c r="M846" i="11"/>
  <c r="EJ845" i="11"/>
  <c r="EK845" i="11"/>
  <c r="EL845" i="11" s="1"/>
  <c r="AL844" i="11"/>
  <c r="L846" i="11"/>
  <c r="EF845" i="11"/>
  <c r="DZ847" i="11"/>
  <c r="EH847" i="11"/>
  <c r="EA847" i="11"/>
  <c r="EI847" i="11"/>
  <c r="EC847" i="11"/>
  <c r="EE846" i="11"/>
  <c r="P848" i="11"/>
  <c r="DD846" i="11"/>
  <c r="AB847" i="11"/>
  <c r="DF846" i="11"/>
  <c r="BQ846" i="11"/>
  <c r="BS846" i="11"/>
  <c r="CD846" i="11"/>
  <c r="CQ846" i="11"/>
  <c r="BF846" i="11"/>
  <c r="AR846" i="11"/>
  <c r="AS846" i="11"/>
  <c r="AQ846" i="11"/>
  <c r="CE847" i="11"/>
  <c r="DV847" i="11"/>
  <c r="DU847" i="11"/>
  <c r="DI847" i="11"/>
  <c r="CV847" i="11"/>
  <c r="CU847" i="11"/>
  <c r="DH847" i="11"/>
  <c r="CR847" i="11"/>
  <c r="CH847" i="11"/>
  <c r="CI847" i="11"/>
  <c r="BU847" i="11"/>
  <c r="BV847" i="11"/>
  <c r="BH847" i="11"/>
  <c r="BI847" i="11"/>
  <c r="AU847" i="11"/>
  <c r="AV847" i="11"/>
  <c r="AC847" i="11"/>
  <c r="AH847" i="11"/>
  <c r="AI847" i="11"/>
  <c r="M847" i="11" s="1"/>
  <c r="BO847" i="11"/>
  <c r="BR847" i="11" s="1"/>
  <c r="BN847" i="11"/>
  <c r="BP847" i="11"/>
  <c r="W848" i="11"/>
  <c r="AP847" i="11"/>
  <c r="AN847" i="11"/>
  <c r="AA847" i="11"/>
  <c r="Y847" i="11"/>
  <c r="AO847" i="11"/>
  <c r="BA847" i="11"/>
  <c r="BB847" i="11"/>
  <c r="BE847" i="11" s="1"/>
  <c r="BC847" i="11"/>
  <c r="DP847" i="11"/>
  <c r="DA847" i="11"/>
  <c r="DM847" i="11"/>
  <c r="DB847" i="11"/>
  <c r="DE847" i="11" s="1"/>
  <c r="CM847" i="11"/>
  <c r="BM847" i="11"/>
  <c r="DN847" i="11"/>
  <c r="DC847" i="11"/>
  <c r="CN847" i="11"/>
  <c r="AZ847" i="11"/>
  <c r="CO847" i="11"/>
  <c r="CS847" i="11" s="1"/>
  <c r="BZ847" i="11"/>
  <c r="AM847" i="11"/>
  <c r="CP847" i="11"/>
  <c r="CA847" i="11"/>
  <c r="X847" i="11"/>
  <c r="CB847" i="11"/>
  <c r="CD847" i="11" s="1"/>
  <c r="CC847" i="11"/>
  <c r="CZ847" i="11"/>
  <c r="C849" i="11"/>
  <c r="V849" i="11" l="1"/>
  <c r="A849" i="11"/>
  <c r="EB848" i="11"/>
  <c r="Z848" i="11"/>
  <c r="F848" i="11" s="1"/>
  <c r="AF848" i="11"/>
  <c r="B849" i="11"/>
  <c r="BG848" i="11"/>
  <c r="BD847" i="11"/>
  <c r="EG848" i="11"/>
  <c r="DG848" i="11"/>
  <c r="DT848" i="11"/>
  <c r="CT848" i="11"/>
  <c r="BT848" i="11"/>
  <c r="CG848" i="11"/>
  <c r="AT848" i="11"/>
  <c r="AE848" i="11"/>
  <c r="AG848" i="11"/>
  <c r="BX847" i="11"/>
  <c r="BW847" i="11"/>
  <c r="BY847" i="11" s="1"/>
  <c r="CJ847" i="11"/>
  <c r="CK847" i="11"/>
  <c r="CL847" i="11"/>
  <c r="DJ847" i="11"/>
  <c r="DL847" i="11" s="1"/>
  <c r="DK847" i="11"/>
  <c r="CW847" i="11"/>
  <c r="CY847" i="11" s="1"/>
  <c r="CX847" i="11"/>
  <c r="BK847" i="11"/>
  <c r="BJ847" i="11"/>
  <c r="BL847" i="11" s="1"/>
  <c r="L847" i="11"/>
  <c r="AW846" i="11"/>
  <c r="AX846" i="11"/>
  <c r="AY846" i="11"/>
  <c r="AK846" i="11"/>
  <c r="AJ846" i="11"/>
  <c r="AL846" i="11" s="1"/>
  <c r="AD846" i="11"/>
  <c r="EK846" i="11"/>
  <c r="EJ846" i="11"/>
  <c r="EF846" i="11"/>
  <c r="EI848" i="11"/>
  <c r="EH848" i="11"/>
  <c r="EC848" i="11"/>
  <c r="ED848" i="11"/>
  <c r="EA848" i="11"/>
  <c r="DZ848" i="11"/>
  <c r="EE847" i="11"/>
  <c r="P849" i="11"/>
  <c r="BQ847" i="11"/>
  <c r="BS847" i="11"/>
  <c r="CF847" i="11"/>
  <c r="CQ847" i="11"/>
  <c r="BF847" i="11"/>
  <c r="DD847" i="11"/>
  <c r="AB848" i="11"/>
  <c r="AC848" i="11" s="1"/>
  <c r="DF847" i="11"/>
  <c r="AR847" i="11"/>
  <c r="AS847" i="11"/>
  <c r="AQ847" i="11"/>
  <c r="CE848" i="11"/>
  <c r="DV848" i="11"/>
  <c r="DU848" i="11"/>
  <c r="DH848" i="11"/>
  <c r="DI848" i="11"/>
  <c r="CU848" i="11"/>
  <c r="CV848" i="11"/>
  <c r="CR848" i="11"/>
  <c r="CH848" i="11"/>
  <c r="CI848" i="11"/>
  <c r="BV848" i="11"/>
  <c r="BW848" i="11"/>
  <c r="BY848" i="11" s="1"/>
  <c r="BU848" i="11"/>
  <c r="BX848" i="11"/>
  <c r="BK848" i="11"/>
  <c r="BH848" i="11"/>
  <c r="BI848" i="11"/>
  <c r="AU848" i="11"/>
  <c r="AV848" i="11"/>
  <c r="AI848" i="11"/>
  <c r="AH848" i="11"/>
  <c r="BO848" i="11"/>
  <c r="BR848" i="11" s="1"/>
  <c r="BN848" i="11"/>
  <c r="BP848" i="11"/>
  <c r="W849" i="11"/>
  <c r="AO848" i="11"/>
  <c r="AP848" i="11"/>
  <c r="AN848" i="11"/>
  <c r="AA848" i="11"/>
  <c r="Y848" i="11"/>
  <c r="BB848" i="11"/>
  <c r="BE848" i="11" s="1"/>
  <c r="BC848" i="11"/>
  <c r="BA848" i="11"/>
  <c r="DM848" i="11"/>
  <c r="DN848" i="11"/>
  <c r="DP848" i="11"/>
  <c r="CP848" i="11"/>
  <c r="CA848" i="11"/>
  <c r="CB848" i="11"/>
  <c r="CF848" i="11" s="1"/>
  <c r="CC848" i="11"/>
  <c r="BM848" i="11"/>
  <c r="CZ848" i="11"/>
  <c r="AZ848" i="11"/>
  <c r="DA848" i="11"/>
  <c r="AM848" i="11"/>
  <c r="DB848" i="11"/>
  <c r="DE848" i="11" s="1"/>
  <c r="CM848" i="11"/>
  <c r="DC848" i="11"/>
  <c r="CN848" i="11"/>
  <c r="CO848" i="11"/>
  <c r="CS848" i="11" s="1"/>
  <c r="BZ848" i="11"/>
  <c r="X848" i="11"/>
  <c r="C850" i="11"/>
  <c r="V850" i="11" l="1"/>
  <c r="A850" i="11"/>
  <c r="Z849" i="11"/>
  <c r="F849" i="11" s="1"/>
  <c r="EB849" i="11"/>
  <c r="ED849" i="11" s="1"/>
  <c r="AF849" i="11"/>
  <c r="B850" i="11"/>
  <c r="BG849" i="11"/>
  <c r="BD848" i="11"/>
  <c r="EG849" i="11"/>
  <c r="DG849" i="11"/>
  <c r="DT849" i="11"/>
  <c r="CT849" i="11"/>
  <c r="BT849" i="11"/>
  <c r="AT849" i="11"/>
  <c r="CG849" i="11"/>
  <c r="AE849" i="11"/>
  <c r="AG849" i="11"/>
  <c r="EL846" i="11"/>
  <c r="BL848" i="11"/>
  <c r="CK848" i="11"/>
  <c r="CL848" i="11"/>
  <c r="CJ848" i="11"/>
  <c r="EK847" i="11"/>
  <c r="EJ847" i="11"/>
  <c r="EL847" i="11" s="1"/>
  <c r="EF847" i="11"/>
  <c r="DJ848" i="11"/>
  <c r="DL848" i="11" s="1"/>
  <c r="DK848" i="11"/>
  <c r="CX848" i="11"/>
  <c r="CY848" i="11" s="1"/>
  <c r="CW848" i="11"/>
  <c r="M848" i="11"/>
  <c r="L848" i="11"/>
  <c r="AW847" i="11"/>
  <c r="AY847" i="11" s="1"/>
  <c r="AX847" i="11"/>
  <c r="AJ847" i="11"/>
  <c r="AL847" i="11" s="1"/>
  <c r="AK847" i="11"/>
  <c r="AD847" i="11"/>
  <c r="BJ848" i="11"/>
  <c r="EE848" i="11"/>
  <c r="EC849" i="11"/>
  <c r="EA849" i="11"/>
  <c r="EI849" i="11"/>
  <c r="DZ849" i="11"/>
  <c r="EH849" i="11"/>
  <c r="BX849" i="11"/>
  <c r="P850" i="11"/>
  <c r="BS848" i="11"/>
  <c r="BF848" i="11"/>
  <c r="DD848" i="11"/>
  <c r="DF848" i="11"/>
  <c r="BQ848" i="11"/>
  <c r="AB849" i="11"/>
  <c r="CD848" i="11"/>
  <c r="CQ848" i="11"/>
  <c r="AR848" i="11"/>
  <c r="AS848" i="11"/>
  <c r="AQ848" i="11"/>
  <c r="CE849" i="11"/>
  <c r="DU849" i="11"/>
  <c r="DV849" i="11"/>
  <c r="DI849" i="11"/>
  <c r="DH849" i="11"/>
  <c r="CU849" i="11"/>
  <c r="CR849" i="11"/>
  <c r="CV849" i="11"/>
  <c r="CH849" i="11"/>
  <c r="CI849" i="11"/>
  <c r="BU849" i="11"/>
  <c r="BV849" i="11"/>
  <c r="BI849" i="11"/>
  <c r="BH849" i="11"/>
  <c r="AU849" i="11"/>
  <c r="AH849" i="11"/>
  <c r="AC849" i="11"/>
  <c r="AV849" i="11"/>
  <c r="AI849" i="11"/>
  <c r="BP849" i="11"/>
  <c r="BN849" i="11"/>
  <c r="BO849" i="11"/>
  <c r="BR849" i="11" s="1"/>
  <c r="AN849" i="11"/>
  <c r="AO849" i="11"/>
  <c r="AP849" i="11"/>
  <c r="Y849" i="11"/>
  <c r="AA849" i="11"/>
  <c r="BB849" i="11"/>
  <c r="BE849" i="11" s="1"/>
  <c r="BC849" i="11"/>
  <c r="BA849" i="11"/>
  <c r="DP849" i="11"/>
  <c r="DA849" i="11"/>
  <c r="DB849" i="11"/>
  <c r="DE849" i="11" s="1"/>
  <c r="CM849" i="11"/>
  <c r="DC849" i="11"/>
  <c r="CN849" i="11"/>
  <c r="CO849" i="11"/>
  <c r="CQ849" i="11" s="1"/>
  <c r="BZ849" i="11"/>
  <c r="BM849" i="11"/>
  <c r="DM849" i="11"/>
  <c r="CP849" i="11"/>
  <c r="CA849" i="11"/>
  <c r="AZ849" i="11"/>
  <c r="DN849" i="11"/>
  <c r="CB849" i="11"/>
  <c r="CF849" i="11" s="1"/>
  <c r="CC849" i="11"/>
  <c r="CZ849" i="11"/>
  <c r="AM849" i="11"/>
  <c r="X849" i="11"/>
  <c r="W850" i="11"/>
  <c r="C851" i="11"/>
  <c r="V851" i="11" l="1"/>
  <c r="A851" i="11"/>
  <c r="EB850" i="11"/>
  <c r="ED850" i="11" s="1"/>
  <c r="Z850" i="11"/>
  <c r="F850" i="11" s="1"/>
  <c r="AF850" i="11"/>
  <c r="B851" i="11"/>
  <c r="BG850" i="11"/>
  <c r="BD849" i="11"/>
  <c r="EG850" i="11"/>
  <c r="DT850" i="11"/>
  <c r="DG850" i="11"/>
  <c r="CT850" i="11"/>
  <c r="BT850" i="11"/>
  <c r="CG850" i="11"/>
  <c r="AT850" i="11"/>
  <c r="AE850" i="11"/>
  <c r="AG850" i="11"/>
  <c r="CX849" i="11"/>
  <c r="CW849" i="11"/>
  <c r="CY849" i="11" s="1"/>
  <c r="BJ849" i="11"/>
  <c r="BK849" i="11"/>
  <c r="BL849" i="11"/>
  <c r="EK848" i="11"/>
  <c r="EJ848" i="11"/>
  <c r="EF848" i="11"/>
  <c r="DK849" i="11"/>
  <c r="DJ849" i="11"/>
  <c r="DL849" i="11" s="1"/>
  <c r="CJ849" i="11"/>
  <c r="CL849" i="11" s="1"/>
  <c r="CK849" i="11"/>
  <c r="L849" i="11"/>
  <c r="BW849" i="11"/>
  <c r="BY849" i="11" s="1"/>
  <c r="AY848" i="11"/>
  <c r="AX848" i="11"/>
  <c r="AW848" i="11"/>
  <c r="M849" i="11"/>
  <c r="AL848" i="11"/>
  <c r="AJ848" i="11"/>
  <c r="AK848" i="11"/>
  <c r="AD848" i="11"/>
  <c r="EE849" i="11"/>
  <c r="EA850" i="11"/>
  <c r="EH850" i="11"/>
  <c r="EC850" i="11"/>
  <c r="DZ850" i="11"/>
  <c r="EI850" i="11"/>
  <c r="BW850" i="11"/>
  <c r="BY850" i="11" s="1"/>
  <c r="P851" i="11"/>
  <c r="DF849" i="11"/>
  <c r="CS849" i="11"/>
  <c r="DD849" i="11"/>
  <c r="BF849" i="11"/>
  <c r="AB850" i="11"/>
  <c r="AC850" i="11" s="1"/>
  <c r="BQ849" i="11"/>
  <c r="BS849" i="11"/>
  <c r="CD849" i="11"/>
  <c r="AR849" i="11"/>
  <c r="AS849" i="11"/>
  <c r="AQ849" i="11"/>
  <c r="CE850" i="11"/>
  <c r="DU850" i="11"/>
  <c r="DV850" i="11"/>
  <c r="DH850" i="11"/>
  <c r="DI850" i="11"/>
  <c r="CU850" i="11"/>
  <c r="CV850" i="11"/>
  <c r="CR850" i="11"/>
  <c r="CH850" i="11"/>
  <c r="CI850" i="11"/>
  <c r="BX850" i="11"/>
  <c r="BU850" i="11"/>
  <c r="BV850" i="11"/>
  <c r="BI850" i="11"/>
  <c r="BH850" i="11"/>
  <c r="AI850" i="11"/>
  <c r="AU850" i="11"/>
  <c r="AV850" i="11"/>
  <c r="AH850" i="11"/>
  <c r="L850" i="11" s="1"/>
  <c r="BN850" i="11"/>
  <c r="BO850" i="11"/>
  <c r="BR850" i="11" s="1"/>
  <c r="BP850" i="11"/>
  <c r="AO850" i="11"/>
  <c r="AP850" i="11"/>
  <c r="Y850" i="11"/>
  <c r="AN850" i="11"/>
  <c r="AA850" i="11"/>
  <c r="BB850" i="11"/>
  <c r="BE850" i="11" s="1"/>
  <c r="BC850" i="11"/>
  <c r="BA850" i="11"/>
  <c r="DM850" i="11"/>
  <c r="DN850" i="11"/>
  <c r="DP850" i="11"/>
  <c r="CP850" i="11"/>
  <c r="CA850" i="11"/>
  <c r="CB850" i="11"/>
  <c r="CF850" i="11" s="1"/>
  <c r="CC850" i="11"/>
  <c r="CZ850" i="11"/>
  <c r="DA850" i="11"/>
  <c r="BM850" i="11"/>
  <c r="DB850" i="11"/>
  <c r="DE850" i="11" s="1"/>
  <c r="CM850" i="11"/>
  <c r="DC850" i="11"/>
  <c r="CN850" i="11"/>
  <c r="CO850" i="11"/>
  <c r="CS850" i="11" s="1"/>
  <c r="BZ850" i="11"/>
  <c r="AZ850" i="11"/>
  <c r="AM850" i="11"/>
  <c r="X850" i="11"/>
  <c r="W851" i="11"/>
  <c r="C852" i="11"/>
  <c r="V852" i="11" l="1"/>
  <c r="A852" i="11"/>
  <c r="EB851" i="11"/>
  <c r="Z851" i="11"/>
  <c r="F851" i="11" s="1"/>
  <c r="AF851" i="11"/>
  <c r="B852" i="11"/>
  <c r="BG851" i="11"/>
  <c r="BD850" i="11"/>
  <c r="DT851" i="11"/>
  <c r="EG851" i="11"/>
  <c r="DG851" i="11"/>
  <c r="CG851" i="11"/>
  <c r="CT851" i="11"/>
  <c r="BT851" i="11"/>
  <c r="AT851" i="11"/>
  <c r="AE851" i="11"/>
  <c r="AG851" i="11"/>
  <c r="EL848" i="11"/>
  <c r="CJ850" i="11"/>
  <c r="CL850" i="11" s="1"/>
  <c r="CK850" i="11"/>
  <c r="DJ850" i="11"/>
  <c r="DL850" i="11" s="1"/>
  <c r="DK850" i="11"/>
  <c r="CW850" i="11"/>
  <c r="CY850" i="11"/>
  <c r="CX850" i="11"/>
  <c r="EK849" i="11"/>
  <c r="EJ849" i="11"/>
  <c r="EF849" i="11"/>
  <c r="BK850" i="11"/>
  <c r="BL850" i="11" s="1"/>
  <c r="BJ850" i="11"/>
  <c r="M850" i="11"/>
  <c r="AW849" i="11"/>
  <c r="AY849" i="11" s="1"/>
  <c r="AX849" i="11"/>
  <c r="AJ849" i="11"/>
  <c r="AK849" i="11"/>
  <c r="AL849" i="11"/>
  <c r="AD849" i="11"/>
  <c r="EE850" i="11"/>
  <c r="DZ851" i="11"/>
  <c r="EH851" i="11"/>
  <c r="EI851" i="11"/>
  <c r="EC851" i="11"/>
  <c r="ED851" i="11"/>
  <c r="EA851" i="11"/>
  <c r="BJ851" i="11"/>
  <c r="P852" i="11"/>
  <c r="BF850" i="11"/>
  <c r="BQ850" i="11"/>
  <c r="AB851" i="11"/>
  <c r="CQ850" i="11"/>
  <c r="DD850" i="11"/>
  <c r="DF850" i="11"/>
  <c r="BS850" i="11"/>
  <c r="CD850" i="11"/>
  <c r="AR850" i="11"/>
  <c r="AS850" i="11"/>
  <c r="AQ850" i="11"/>
  <c r="CE851" i="11"/>
  <c r="DV851" i="11"/>
  <c r="DU851" i="11"/>
  <c r="DH851" i="11"/>
  <c r="DI851" i="11"/>
  <c r="CR851" i="11"/>
  <c r="CU851" i="11"/>
  <c r="CV851" i="11"/>
  <c r="CH851" i="11"/>
  <c r="CI851" i="11"/>
  <c r="BV851" i="11"/>
  <c r="BU851" i="11"/>
  <c r="BH851" i="11"/>
  <c r="BI851" i="11"/>
  <c r="AV851" i="11"/>
  <c r="AH851" i="11"/>
  <c r="L851" i="11" s="1"/>
  <c r="AI851" i="11"/>
  <c r="AU851" i="11"/>
  <c r="BN851" i="11"/>
  <c r="BP851" i="11"/>
  <c r="BO851" i="11"/>
  <c r="BR851" i="11" s="1"/>
  <c r="AN851" i="11"/>
  <c r="AO851" i="11"/>
  <c r="AP851" i="11"/>
  <c r="Y851" i="11"/>
  <c r="AC851" i="11"/>
  <c r="AA851" i="11"/>
  <c r="BC851" i="11"/>
  <c r="BA851" i="11"/>
  <c r="BB851" i="11"/>
  <c r="BE851" i="11" s="1"/>
  <c r="DP851" i="11"/>
  <c r="DN851" i="11"/>
  <c r="DA851" i="11"/>
  <c r="X851" i="11"/>
  <c r="DB851" i="11"/>
  <c r="DE851" i="11" s="1"/>
  <c r="CM851" i="11"/>
  <c r="DC851" i="11"/>
  <c r="CN851" i="11"/>
  <c r="CO851" i="11"/>
  <c r="CQ851" i="11" s="1"/>
  <c r="BZ851" i="11"/>
  <c r="CP851" i="11"/>
  <c r="CA851" i="11"/>
  <c r="CB851" i="11"/>
  <c r="CD851" i="11" s="1"/>
  <c r="BM851" i="11"/>
  <c r="CC851" i="11"/>
  <c r="DM851" i="11"/>
  <c r="CZ851" i="11"/>
  <c r="AM851" i="11"/>
  <c r="AZ851" i="11"/>
  <c r="W852" i="11"/>
  <c r="C853" i="11"/>
  <c r="V853" i="11" l="1"/>
  <c r="A853" i="11"/>
  <c r="EB852" i="11"/>
  <c r="Z852" i="11"/>
  <c r="F852" i="11" s="1"/>
  <c r="AF852" i="11"/>
  <c r="B853" i="11"/>
  <c r="BD851" i="11"/>
  <c r="BG852" i="11"/>
  <c r="EG852" i="11"/>
  <c r="DG852" i="11"/>
  <c r="DT852" i="11"/>
  <c r="CT852" i="11"/>
  <c r="CG852" i="11"/>
  <c r="BT852" i="11"/>
  <c r="AT852" i="11"/>
  <c r="AE852" i="11"/>
  <c r="AG852" i="11"/>
  <c r="EL849" i="11"/>
  <c r="EK850" i="11"/>
  <c r="EF850" i="11"/>
  <c r="EJ850" i="11"/>
  <c r="EL850" i="11" s="1"/>
  <c r="CW851" i="11"/>
  <c r="CX851" i="11"/>
  <c r="CY851" i="11" s="1"/>
  <c r="DK851" i="11"/>
  <c r="DJ851" i="11"/>
  <c r="DL851" i="11" s="1"/>
  <c r="CJ851" i="11"/>
  <c r="CK851" i="11"/>
  <c r="CL851" i="11" s="1"/>
  <c r="BY851" i="11"/>
  <c r="BX851" i="11"/>
  <c r="BW851" i="11"/>
  <c r="AJ850" i="11"/>
  <c r="AD850" i="11"/>
  <c r="AK850" i="11"/>
  <c r="BK851" i="11"/>
  <c r="BL851" i="11" s="1"/>
  <c r="M851" i="11"/>
  <c r="AW850" i="11"/>
  <c r="AX850" i="11"/>
  <c r="AY850" i="11"/>
  <c r="EI852" i="11"/>
  <c r="EH852" i="11"/>
  <c r="EC852" i="11"/>
  <c r="EA852" i="11"/>
  <c r="ED852" i="11"/>
  <c r="DZ852" i="11"/>
  <c r="EE851" i="11"/>
  <c r="CJ852" i="11"/>
  <c r="P853" i="11"/>
  <c r="CF851" i="11"/>
  <c r="AB852" i="11"/>
  <c r="AC852" i="11" s="1"/>
  <c r="BQ851" i="11"/>
  <c r="BS851" i="11"/>
  <c r="CS851" i="11"/>
  <c r="DD851" i="11"/>
  <c r="BF851" i="11"/>
  <c r="DF851" i="11"/>
  <c r="AR851" i="11"/>
  <c r="AS851" i="11"/>
  <c r="AQ851" i="11"/>
  <c r="CE852" i="11"/>
  <c r="DV852" i="11"/>
  <c r="DU852" i="11"/>
  <c r="DH852" i="11"/>
  <c r="DI852" i="11"/>
  <c r="CR852" i="11"/>
  <c r="CV852" i="11"/>
  <c r="CU852" i="11"/>
  <c r="CH852" i="11"/>
  <c r="CI852" i="11"/>
  <c r="BU852" i="11"/>
  <c r="BV852" i="11"/>
  <c r="BH852" i="11"/>
  <c r="BI852" i="11"/>
  <c r="AU852" i="11"/>
  <c r="AV852" i="11"/>
  <c r="AI852" i="11"/>
  <c r="AH852" i="11"/>
  <c r="L852" i="11" s="1"/>
  <c r="BO852" i="11"/>
  <c r="BR852" i="11" s="1"/>
  <c r="BP852" i="11"/>
  <c r="BN852" i="11"/>
  <c r="W853" i="11"/>
  <c r="AN852" i="11"/>
  <c r="AO852" i="11"/>
  <c r="AP852" i="11"/>
  <c r="Y852" i="11"/>
  <c r="AA852" i="11"/>
  <c r="BA852" i="11"/>
  <c r="BB852" i="11"/>
  <c r="BE852" i="11" s="1"/>
  <c r="BC852" i="11"/>
  <c r="DM852" i="11"/>
  <c r="DN852" i="11"/>
  <c r="DP852" i="11"/>
  <c r="CP852" i="11"/>
  <c r="CA852" i="11"/>
  <c r="AM852" i="11"/>
  <c r="CB852" i="11"/>
  <c r="CF852" i="11" s="1"/>
  <c r="X852" i="11"/>
  <c r="CC852" i="11"/>
  <c r="CZ852" i="11"/>
  <c r="DA852" i="11"/>
  <c r="DB852" i="11"/>
  <c r="DE852" i="11" s="1"/>
  <c r="CM852" i="11"/>
  <c r="DC852" i="11"/>
  <c r="CN852" i="11"/>
  <c r="BM852" i="11"/>
  <c r="CO852" i="11"/>
  <c r="CS852" i="11" s="1"/>
  <c r="BZ852" i="11"/>
  <c r="AZ852" i="11"/>
  <c r="C854" i="11"/>
  <c r="V854" i="11" l="1"/>
  <c r="A854" i="11"/>
  <c r="EB853" i="11"/>
  <c r="Z853" i="11"/>
  <c r="F853" i="11" s="1"/>
  <c r="AF853" i="11"/>
  <c r="B854" i="11"/>
  <c r="BG853" i="11"/>
  <c r="BD852" i="11"/>
  <c r="EG853" i="11"/>
  <c r="DT853" i="11"/>
  <c r="CT853" i="11"/>
  <c r="DG853" i="11"/>
  <c r="CG853" i="11"/>
  <c r="BT853" i="11"/>
  <c r="AT853" i="11"/>
  <c r="AE853" i="11"/>
  <c r="AG853" i="11"/>
  <c r="CW852" i="11"/>
  <c r="CY852" i="11" s="1"/>
  <c r="CX852" i="11"/>
  <c r="BW852" i="11"/>
  <c r="BX852" i="11"/>
  <c r="BY852" i="11" s="1"/>
  <c r="DJ852" i="11"/>
  <c r="DL852" i="11" s="1"/>
  <c r="DK852" i="11"/>
  <c r="BK852" i="11"/>
  <c r="BJ852" i="11"/>
  <c r="BL852" i="11" s="1"/>
  <c r="M852" i="11"/>
  <c r="AL850" i="11"/>
  <c r="CK852" i="11"/>
  <c r="CL852" i="11" s="1"/>
  <c r="AW851" i="11"/>
  <c r="AY851" i="11" s="1"/>
  <c r="AX851" i="11"/>
  <c r="EK851" i="11"/>
  <c r="EJ851" i="11"/>
  <c r="EL851" i="11" s="1"/>
  <c r="EF851" i="11"/>
  <c r="AD851" i="11"/>
  <c r="AJ851" i="11"/>
  <c r="AK851" i="11"/>
  <c r="AL851" i="11" s="1"/>
  <c r="EC853" i="11"/>
  <c r="EA853" i="11"/>
  <c r="EH853" i="11"/>
  <c r="EI853" i="11"/>
  <c r="ED853" i="11"/>
  <c r="DZ853" i="11"/>
  <c r="EE852" i="11"/>
  <c r="P854" i="11"/>
  <c r="AB853" i="11"/>
  <c r="AC853" i="11" s="1"/>
  <c r="BS852" i="11"/>
  <c r="BQ852" i="11"/>
  <c r="CD852" i="11"/>
  <c r="CQ852" i="11"/>
  <c r="DD852" i="11"/>
  <c r="BF852" i="11"/>
  <c r="DF852" i="11"/>
  <c r="AR852" i="11"/>
  <c r="AS852" i="11"/>
  <c r="AQ852" i="11"/>
  <c r="CE853" i="11"/>
  <c r="DU853" i="11"/>
  <c r="DV853" i="11"/>
  <c r="DH853" i="11"/>
  <c r="DI853" i="11"/>
  <c r="CU853" i="11"/>
  <c r="CV853" i="11"/>
  <c r="CR853" i="11"/>
  <c r="CH853" i="11"/>
  <c r="CI853" i="11"/>
  <c r="BU853" i="11"/>
  <c r="BV853" i="11"/>
  <c r="BH853" i="11"/>
  <c r="BI853" i="11"/>
  <c r="AU853" i="11"/>
  <c r="AV853" i="11"/>
  <c r="AI853" i="11"/>
  <c r="AH853" i="11"/>
  <c r="L853" i="11" s="1"/>
  <c r="BP853" i="11"/>
  <c r="BN853" i="11"/>
  <c r="BO853" i="11"/>
  <c r="BR853" i="11" s="1"/>
  <c r="W854" i="11"/>
  <c r="AP853" i="11"/>
  <c r="AN853" i="11"/>
  <c r="AO853" i="11"/>
  <c r="AA853" i="11"/>
  <c r="Y853" i="11"/>
  <c r="BA853" i="11"/>
  <c r="BC853" i="11"/>
  <c r="BB853" i="11"/>
  <c r="BE853" i="11" s="1"/>
  <c r="DP853" i="11"/>
  <c r="DA853" i="11"/>
  <c r="AZ853" i="11"/>
  <c r="DB853" i="11"/>
  <c r="DE853" i="11" s="1"/>
  <c r="CM853" i="11"/>
  <c r="AM853" i="11"/>
  <c r="DM853" i="11"/>
  <c r="DC853" i="11"/>
  <c r="CN853" i="11"/>
  <c r="X853" i="11"/>
  <c r="DN853" i="11"/>
  <c r="CO853" i="11"/>
  <c r="CQ853" i="11" s="1"/>
  <c r="BZ853" i="11"/>
  <c r="CP853" i="11"/>
  <c r="CA853" i="11"/>
  <c r="CB853" i="11"/>
  <c r="CF853" i="11" s="1"/>
  <c r="CC853" i="11"/>
  <c r="CZ853" i="11"/>
  <c r="BM853" i="11"/>
  <c r="C855" i="11"/>
  <c r="V855" i="11" l="1"/>
  <c r="A855" i="11"/>
  <c r="Z854" i="11"/>
  <c r="F854" i="11" s="1"/>
  <c r="EB854" i="11"/>
  <c r="ED854" i="11" s="1"/>
  <c r="AF854" i="11"/>
  <c r="B855" i="11"/>
  <c r="BD853" i="11"/>
  <c r="BG854" i="11"/>
  <c r="DT854" i="11"/>
  <c r="EG854" i="11"/>
  <c r="DG854" i="11"/>
  <c r="CT854" i="11"/>
  <c r="CG854" i="11"/>
  <c r="BT854" i="11"/>
  <c r="AT854" i="11"/>
  <c r="AE854" i="11"/>
  <c r="AG854" i="11"/>
  <c r="BK853" i="11"/>
  <c r="BJ853" i="11"/>
  <c r="BL853" i="11" s="1"/>
  <c r="CW853" i="11"/>
  <c r="CX853" i="11"/>
  <c r="CY853" i="11" s="1"/>
  <c r="EK852" i="11"/>
  <c r="EJ852" i="11"/>
  <c r="EL852" i="11" s="1"/>
  <c r="EF852" i="11"/>
  <c r="CJ853" i="11"/>
  <c r="CK853" i="11"/>
  <c r="CL853" i="11" s="1"/>
  <c r="BW853" i="11"/>
  <c r="BY853" i="11" s="1"/>
  <c r="BX853" i="11"/>
  <c r="DK853" i="11"/>
  <c r="DL853" i="11"/>
  <c r="DJ853" i="11"/>
  <c r="M853" i="11"/>
  <c r="AW852" i="11"/>
  <c r="AY852" i="11" s="1"/>
  <c r="AX852" i="11"/>
  <c r="AJ852" i="11"/>
  <c r="AL852" i="11" s="1"/>
  <c r="AD852" i="11"/>
  <c r="AK852" i="11"/>
  <c r="EA854" i="11"/>
  <c r="EI854" i="11"/>
  <c r="EC854" i="11"/>
  <c r="EH854" i="11"/>
  <c r="DZ854" i="11"/>
  <c r="EE853" i="11"/>
  <c r="EF853" i="11" s="1"/>
  <c r="CJ854" i="11"/>
  <c r="BJ854" i="11"/>
  <c r="P855" i="11"/>
  <c r="BF853" i="11"/>
  <c r="DD853" i="11"/>
  <c r="CS853" i="11"/>
  <c r="DF853" i="11"/>
  <c r="AB854" i="11"/>
  <c r="BS853" i="11"/>
  <c r="BQ853" i="11"/>
  <c r="CD853" i="11"/>
  <c r="AR853" i="11"/>
  <c r="AS853" i="11"/>
  <c r="AQ853" i="11"/>
  <c r="CE854" i="11"/>
  <c r="DU854" i="11"/>
  <c r="DV854" i="11"/>
  <c r="DH854" i="11"/>
  <c r="DI854" i="11"/>
  <c r="CV854" i="11"/>
  <c r="CR854" i="11"/>
  <c r="CU854" i="11"/>
  <c r="CH854" i="11"/>
  <c r="CI854" i="11"/>
  <c r="BU854" i="11"/>
  <c r="BV854" i="11"/>
  <c r="BH854" i="11"/>
  <c r="BI854" i="11"/>
  <c r="AU854" i="11"/>
  <c r="AV854" i="11"/>
  <c r="AC854" i="11"/>
  <c r="AH854" i="11"/>
  <c r="AI854" i="11"/>
  <c r="BO854" i="11"/>
  <c r="BR854" i="11" s="1"/>
  <c r="BP854" i="11"/>
  <c r="BN854" i="11"/>
  <c r="W855" i="11"/>
  <c r="AN854" i="11"/>
  <c r="AO854" i="11"/>
  <c r="AP854" i="11"/>
  <c r="Y854" i="11"/>
  <c r="AA854" i="11"/>
  <c r="BC854" i="11"/>
  <c r="BA854" i="11"/>
  <c r="BB854" i="11"/>
  <c r="BE854" i="11" s="1"/>
  <c r="DM854" i="11"/>
  <c r="DN854" i="11"/>
  <c r="DP854" i="11"/>
  <c r="CP854" i="11"/>
  <c r="CA854" i="11"/>
  <c r="BM854" i="11"/>
  <c r="CB854" i="11"/>
  <c r="CF854" i="11" s="1"/>
  <c r="AZ854" i="11"/>
  <c r="CC854" i="11"/>
  <c r="AM854" i="11"/>
  <c r="CZ854" i="11"/>
  <c r="X854" i="11"/>
  <c r="DA854" i="11"/>
  <c r="DB854" i="11"/>
  <c r="DE854" i="11" s="1"/>
  <c r="CM854" i="11"/>
  <c r="DC854" i="11"/>
  <c r="CN854" i="11"/>
  <c r="CO854" i="11"/>
  <c r="CS854" i="11" s="1"/>
  <c r="BZ854" i="11"/>
  <c r="C856" i="11"/>
  <c r="V856" i="11" l="1"/>
  <c r="A856" i="11"/>
  <c r="EB855" i="11"/>
  <c r="Z855" i="11"/>
  <c r="F855" i="11" s="1"/>
  <c r="AF855" i="11"/>
  <c r="B856" i="11"/>
  <c r="BG855" i="11"/>
  <c r="BD854" i="11"/>
  <c r="EG855" i="11"/>
  <c r="DT855" i="11"/>
  <c r="DG855" i="11"/>
  <c r="CT855" i="11"/>
  <c r="BT855" i="11"/>
  <c r="CG855" i="11"/>
  <c r="AT855" i="11"/>
  <c r="AE855" i="11"/>
  <c r="AG855" i="11"/>
  <c r="CW854" i="11"/>
  <c r="CY854" i="11" s="1"/>
  <c r="CX854" i="11"/>
  <c r="DJ854" i="11"/>
  <c r="DL854" i="11" s="1"/>
  <c r="DK854" i="11"/>
  <c r="BX854" i="11"/>
  <c r="BW854" i="11"/>
  <c r="BY854" i="11" s="1"/>
  <c r="BL854" i="11"/>
  <c r="CK854" i="11"/>
  <c r="CL854" i="11" s="1"/>
  <c r="AJ853" i="11"/>
  <c r="AK853" i="11"/>
  <c r="AD853" i="11"/>
  <c r="AL853" i="11"/>
  <c r="AW853" i="11"/>
  <c r="AY853" i="11" s="1"/>
  <c r="AX853" i="11"/>
  <c r="EJ853" i="11"/>
  <c r="EL853" i="11" s="1"/>
  <c r="EK853" i="11"/>
  <c r="M854" i="11"/>
  <c r="BK854" i="11"/>
  <c r="L854" i="11"/>
  <c r="DZ855" i="11"/>
  <c r="EH855" i="11"/>
  <c r="EI855" i="11"/>
  <c r="EC855" i="11"/>
  <c r="ED855" i="11"/>
  <c r="EA855" i="11"/>
  <c r="EE854" i="11"/>
  <c r="P856" i="11"/>
  <c r="BQ854" i="11"/>
  <c r="BS854" i="11"/>
  <c r="CD854" i="11"/>
  <c r="AB855" i="11"/>
  <c r="CQ854" i="11"/>
  <c r="BF854" i="11"/>
  <c r="DD854" i="11"/>
  <c r="DF854" i="11"/>
  <c r="AR854" i="11"/>
  <c r="AQ854" i="11"/>
  <c r="AS854" i="11"/>
  <c r="CE855" i="11"/>
  <c r="DU855" i="11"/>
  <c r="DV855" i="11"/>
  <c r="DI855" i="11"/>
  <c r="DH855" i="11"/>
  <c r="CV855" i="11"/>
  <c r="CR855" i="11"/>
  <c r="CU855" i="11"/>
  <c r="CH855" i="11"/>
  <c r="CI855" i="11"/>
  <c r="BU855" i="11"/>
  <c r="BV855" i="11"/>
  <c r="BH855" i="11"/>
  <c r="BI855" i="11"/>
  <c r="AU855" i="11"/>
  <c r="AV855" i="11"/>
  <c r="AC855" i="11"/>
  <c r="AH855" i="11"/>
  <c r="AI855" i="11"/>
  <c r="BO855" i="11"/>
  <c r="BR855" i="11" s="1"/>
  <c r="BP855" i="11"/>
  <c r="BN855" i="11"/>
  <c r="W856" i="11"/>
  <c r="AN855" i="11"/>
  <c r="AO855" i="11"/>
  <c r="AP855" i="11"/>
  <c r="AA855" i="11"/>
  <c r="Y855" i="11"/>
  <c r="BA855" i="11"/>
  <c r="BC855" i="11"/>
  <c r="BB855" i="11"/>
  <c r="BE855" i="11" s="1"/>
  <c r="DP855" i="11"/>
  <c r="DA855" i="11"/>
  <c r="DB855" i="11"/>
  <c r="DE855" i="11" s="1"/>
  <c r="CM855" i="11"/>
  <c r="BM855" i="11"/>
  <c r="DC855" i="11"/>
  <c r="CN855" i="11"/>
  <c r="AZ855" i="11"/>
  <c r="CO855" i="11"/>
  <c r="CS855" i="11" s="1"/>
  <c r="BZ855" i="11"/>
  <c r="AM855" i="11"/>
  <c r="CP855" i="11"/>
  <c r="CA855" i="11"/>
  <c r="X855" i="11"/>
  <c r="DM855" i="11"/>
  <c r="CB855" i="11"/>
  <c r="CF855" i="11" s="1"/>
  <c r="DN855" i="11"/>
  <c r="CC855" i="11"/>
  <c r="CZ855" i="11"/>
  <c r="C857" i="11"/>
  <c r="V857" i="11" l="1"/>
  <c r="A857" i="11"/>
  <c r="EB856" i="11"/>
  <c r="ED856" i="11" s="1"/>
  <c r="Z856" i="11"/>
  <c r="F856" i="11" s="1"/>
  <c r="AF856" i="11"/>
  <c r="B857" i="11"/>
  <c r="BG856" i="11"/>
  <c r="BD855" i="11"/>
  <c r="DT856" i="11"/>
  <c r="EG856" i="11"/>
  <c r="DG856" i="11"/>
  <c r="CT856" i="11"/>
  <c r="BT856" i="11"/>
  <c r="CG856" i="11"/>
  <c r="AT856" i="11"/>
  <c r="AE856" i="11"/>
  <c r="AG856" i="11"/>
  <c r="CY855" i="11"/>
  <c r="CW855" i="11"/>
  <c r="CX855" i="11"/>
  <c r="DJ855" i="11"/>
  <c r="DL855" i="11" s="1"/>
  <c r="DK855" i="11"/>
  <c r="BK855" i="11"/>
  <c r="BJ855" i="11"/>
  <c r="BL855" i="11"/>
  <c r="BX855" i="11"/>
  <c r="BW855" i="11"/>
  <c r="BY855" i="11" s="1"/>
  <c r="CJ855" i="11"/>
  <c r="CK855" i="11"/>
  <c r="CL855" i="11"/>
  <c r="AW854" i="11"/>
  <c r="AY854" i="11" s="1"/>
  <c r="AX854" i="11"/>
  <c r="EK854" i="11"/>
  <c r="EJ854" i="11"/>
  <c r="M855" i="11"/>
  <c r="EF854" i="11"/>
  <c r="L855" i="11"/>
  <c r="AJ854" i="11"/>
  <c r="AD854" i="11"/>
  <c r="AK854" i="11"/>
  <c r="EI856" i="11"/>
  <c r="EH856" i="11"/>
  <c r="EC856" i="11"/>
  <c r="DZ856" i="11"/>
  <c r="EA856" i="11"/>
  <c r="EE855" i="11"/>
  <c r="DJ856" i="11"/>
  <c r="P857" i="11"/>
  <c r="DD855" i="11"/>
  <c r="CD855" i="11"/>
  <c r="CQ855" i="11"/>
  <c r="BF855" i="11"/>
  <c r="DF855" i="11"/>
  <c r="BQ855" i="11"/>
  <c r="AB856" i="11"/>
  <c r="AC856" i="11" s="1"/>
  <c r="BS855" i="11"/>
  <c r="AR855" i="11"/>
  <c r="AS855" i="11"/>
  <c r="AQ855" i="11"/>
  <c r="CE856" i="11"/>
  <c r="DV856" i="11"/>
  <c r="DU856" i="11"/>
  <c r="DH856" i="11"/>
  <c r="DI856" i="11"/>
  <c r="CU856" i="11"/>
  <c r="CV856" i="11"/>
  <c r="CR856" i="11"/>
  <c r="CH856" i="11"/>
  <c r="CI856" i="11"/>
  <c r="BV856" i="11"/>
  <c r="BU856" i="11"/>
  <c r="BH856" i="11"/>
  <c r="BI856" i="11"/>
  <c r="AU856" i="11"/>
  <c r="AV856" i="11"/>
  <c r="AI856" i="11"/>
  <c r="AH856" i="11"/>
  <c r="L856" i="11" s="1"/>
  <c r="BO856" i="11"/>
  <c r="BR856" i="11" s="1"/>
  <c r="BN856" i="11"/>
  <c r="BP856" i="11"/>
  <c r="W857" i="11"/>
  <c r="AO856" i="11"/>
  <c r="AP856" i="11"/>
  <c r="AN856" i="11"/>
  <c r="AA856" i="11"/>
  <c r="Y856" i="11"/>
  <c r="BA856" i="11"/>
  <c r="BB856" i="11"/>
  <c r="BE856" i="11" s="1"/>
  <c r="BC856" i="11"/>
  <c r="DM856" i="11"/>
  <c r="DN856" i="11"/>
  <c r="DP856" i="11"/>
  <c r="CP856" i="11"/>
  <c r="CA856" i="11"/>
  <c r="CB856" i="11"/>
  <c r="CF856" i="11" s="1"/>
  <c r="CC856" i="11"/>
  <c r="BM856" i="11"/>
  <c r="CZ856" i="11"/>
  <c r="AZ856" i="11"/>
  <c r="DA856" i="11"/>
  <c r="AM856" i="11"/>
  <c r="DB856" i="11"/>
  <c r="DE856" i="11" s="1"/>
  <c r="CM856" i="11"/>
  <c r="DC856" i="11"/>
  <c r="CN856" i="11"/>
  <c r="CO856" i="11"/>
  <c r="CQ856" i="11" s="1"/>
  <c r="BZ856" i="11"/>
  <c r="X856" i="11"/>
  <c r="C858" i="11"/>
  <c r="V858" i="11" l="1"/>
  <c r="A858" i="11"/>
  <c r="EB857" i="11"/>
  <c r="ED857" i="11" s="1"/>
  <c r="Z857" i="11"/>
  <c r="F857" i="11" s="1"/>
  <c r="AF857" i="11"/>
  <c r="B858" i="11"/>
  <c r="BG857" i="11"/>
  <c r="BD856" i="11"/>
  <c r="DT857" i="11"/>
  <c r="EG857" i="11"/>
  <c r="DG857" i="11"/>
  <c r="CT857" i="11"/>
  <c r="BT857" i="11"/>
  <c r="AT857" i="11"/>
  <c r="CG857" i="11"/>
  <c r="AE857" i="11"/>
  <c r="AG857" i="11"/>
  <c r="EL854" i="11"/>
  <c r="EK855" i="11"/>
  <c r="EJ855" i="11"/>
  <c r="EF855" i="11"/>
  <c r="CK856" i="11"/>
  <c r="CJ856" i="11"/>
  <c r="CL856" i="11" s="1"/>
  <c r="BW856" i="11"/>
  <c r="BY856" i="11" s="1"/>
  <c r="BX856" i="11"/>
  <c r="BJ856" i="11"/>
  <c r="BK856" i="11"/>
  <c r="BL856" i="11"/>
  <c r="CX856" i="11"/>
  <c r="CW856" i="11"/>
  <c r="CY856" i="11" s="1"/>
  <c r="DK856" i="11"/>
  <c r="DL856" i="11" s="1"/>
  <c r="M856" i="11"/>
  <c r="AL854" i="11"/>
  <c r="AD855" i="11"/>
  <c r="AJ855" i="11"/>
  <c r="AK855" i="11"/>
  <c r="AX855" i="11"/>
  <c r="AY855" i="11" s="1"/>
  <c r="AW855" i="11"/>
  <c r="EC857" i="11"/>
  <c r="EA857" i="11"/>
  <c r="EH857" i="11"/>
  <c r="DZ857" i="11"/>
  <c r="EI857" i="11"/>
  <c r="EE856" i="11"/>
  <c r="DJ857" i="11"/>
  <c r="CK857" i="11"/>
  <c r="P858" i="11"/>
  <c r="DF856" i="11"/>
  <c r="CS856" i="11"/>
  <c r="BF856" i="11"/>
  <c r="DD856" i="11"/>
  <c r="BQ856" i="11"/>
  <c r="BS856" i="11"/>
  <c r="AB857" i="11"/>
  <c r="AC857" i="11" s="1"/>
  <c r="CD856" i="11"/>
  <c r="AR856" i="11"/>
  <c r="AS856" i="11"/>
  <c r="AQ856" i="11"/>
  <c r="CE857" i="11"/>
  <c r="DU857" i="11"/>
  <c r="DV857" i="11"/>
  <c r="DI857" i="11"/>
  <c r="DH857" i="11"/>
  <c r="CU857" i="11"/>
  <c r="CV857" i="11"/>
  <c r="CR857" i="11"/>
  <c r="CH857" i="11"/>
  <c r="CI857" i="11"/>
  <c r="BU857" i="11"/>
  <c r="BV857" i="11"/>
  <c r="BI857" i="11"/>
  <c r="BH857" i="11"/>
  <c r="AU857" i="11"/>
  <c r="AH857" i="11"/>
  <c r="L857" i="11" s="1"/>
  <c r="AV857" i="11"/>
  <c r="AI857" i="11"/>
  <c r="BP857" i="11"/>
  <c r="BN857" i="11"/>
  <c r="BO857" i="11"/>
  <c r="BR857" i="11" s="1"/>
  <c r="W858" i="11"/>
  <c r="AP857" i="11"/>
  <c r="AN857" i="11"/>
  <c r="AO857" i="11"/>
  <c r="Y857" i="11"/>
  <c r="AA857" i="11"/>
  <c r="BB857" i="11"/>
  <c r="BE857" i="11" s="1"/>
  <c r="BC857" i="11"/>
  <c r="BA857" i="11"/>
  <c r="DP857" i="11"/>
  <c r="DM857" i="11"/>
  <c r="DA857" i="11"/>
  <c r="DN857" i="11"/>
  <c r="DB857" i="11"/>
  <c r="DE857" i="11" s="1"/>
  <c r="CM857" i="11"/>
  <c r="DC857" i="11"/>
  <c r="CN857" i="11"/>
  <c r="CO857" i="11"/>
  <c r="CQ857" i="11" s="1"/>
  <c r="BZ857" i="11"/>
  <c r="BM857" i="11"/>
  <c r="CP857" i="11"/>
  <c r="CA857" i="11"/>
  <c r="AZ857" i="11"/>
  <c r="CB857" i="11"/>
  <c r="CD857" i="11" s="1"/>
  <c r="CC857" i="11"/>
  <c r="CZ857" i="11"/>
  <c r="X857" i="11"/>
  <c r="AM857" i="11"/>
  <c r="C859" i="11"/>
  <c r="V859" i="11" l="1"/>
  <c r="A859" i="11"/>
  <c r="EB858" i="11"/>
  <c r="Z858" i="11"/>
  <c r="F858" i="11" s="1"/>
  <c r="AF858" i="11"/>
  <c r="B859" i="11"/>
  <c r="BG858" i="11"/>
  <c r="BD857" i="11"/>
  <c r="EG858" i="11"/>
  <c r="DT858" i="11"/>
  <c r="DG858" i="11"/>
  <c r="CT858" i="11"/>
  <c r="BT858" i="11"/>
  <c r="CG858" i="11"/>
  <c r="AT858" i="11"/>
  <c r="AE858" i="11"/>
  <c r="AG858" i="11"/>
  <c r="EL855" i="11"/>
  <c r="BY857" i="11"/>
  <c r="BW857" i="11"/>
  <c r="BX857" i="11"/>
  <c r="BJ857" i="11"/>
  <c r="BK857" i="11"/>
  <c r="BL857" i="11" s="1"/>
  <c r="CW857" i="11"/>
  <c r="CY857" i="11" s="1"/>
  <c r="CX857" i="11"/>
  <c r="EK856" i="11"/>
  <c r="EJ856" i="11"/>
  <c r="EL856" i="11" s="1"/>
  <c r="EF856" i="11"/>
  <c r="CL857" i="11"/>
  <c r="CJ857" i="11"/>
  <c r="AW856" i="11"/>
  <c r="AY856" i="11"/>
  <c r="AX856" i="11"/>
  <c r="AL856" i="11"/>
  <c r="AD856" i="11"/>
  <c r="AJ856" i="11"/>
  <c r="AK856" i="11"/>
  <c r="M857" i="11"/>
  <c r="AL855" i="11"/>
  <c r="DL857" i="11"/>
  <c r="DK857" i="11"/>
  <c r="EE857" i="11"/>
  <c r="ED858" i="11"/>
  <c r="EA858" i="11"/>
  <c r="EH858" i="11"/>
  <c r="DZ858" i="11"/>
  <c r="EI858" i="11"/>
  <c r="EC858" i="11"/>
  <c r="CJ858" i="11"/>
  <c r="AD858" i="11"/>
  <c r="P859" i="11"/>
  <c r="BF857" i="11"/>
  <c r="CF857" i="11"/>
  <c r="AB858" i="11"/>
  <c r="CS857" i="11"/>
  <c r="DD857" i="11"/>
  <c r="DF857" i="11"/>
  <c r="BQ857" i="11"/>
  <c r="BS857" i="11"/>
  <c r="AR857" i="11"/>
  <c r="AS857" i="11"/>
  <c r="AQ857" i="11"/>
  <c r="CE858" i="11"/>
  <c r="DU858" i="11"/>
  <c r="DV858" i="11"/>
  <c r="DH858" i="11"/>
  <c r="DI858" i="11"/>
  <c r="CR858" i="11"/>
  <c r="CU858" i="11"/>
  <c r="CV858" i="11"/>
  <c r="CH858" i="11"/>
  <c r="CI858" i="11"/>
  <c r="BU858" i="11"/>
  <c r="BV858" i="11"/>
  <c r="BI858" i="11"/>
  <c r="BH858" i="11"/>
  <c r="AU858" i="11"/>
  <c r="AI858" i="11"/>
  <c r="AV858" i="11"/>
  <c r="AC858" i="11"/>
  <c r="AH858" i="11"/>
  <c r="L858" i="11" s="1"/>
  <c r="BN858" i="11"/>
  <c r="BO858" i="11"/>
  <c r="BR858" i="11" s="1"/>
  <c r="BP858" i="11"/>
  <c r="W859" i="11"/>
  <c r="AO858" i="11"/>
  <c r="AP858" i="11"/>
  <c r="AN858" i="11"/>
  <c r="Y858" i="11"/>
  <c r="AA858" i="11"/>
  <c r="BA858" i="11"/>
  <c r="BC858" i="11"/>
  <c r="BB858" i="11"/>
  <c r="BE858" i="11" s="1"/>
  <c r="DM858" i="11"/>
  <c r="DN858" i="11"/>
  <c r="DP858" i="11"/>
  <c r="CP858" i="11"/>
  <c r="CA858" i="11"/>
  <c r="CB858" i="11"/>
  <c r="CF858" i="11" s="1"/>
  <c r="CC858" i="11"/>
  <c r="CZ858" i="11"/>
  <c r="DA858" i="11"/>
  <c r="BM858" i="11"/>
  <c r="DB858" i="11"/>
  <c r="DE858" i="11" s="1"/>
  <c r="CM858" i="11"/>
  <c r="DC858" i="11"/>
  <c r="CN858" i="11"/>
  <c r="CO858" i="11"/>
  <c r="CS858" i="11" s="1"/>
  <c r="BZ858" i="11"/>
  <c r="AZ858" i="11"/>
  <c r="X858" i="11"/>
  <c r="AM858" i="11"/>
  <c r="C860" i="11"/>
  <c r="V860" i="11" l="1"/>
  <c r="A860" i="11"/>
  <c r="EB859" i="11"/>
  <c r="Z859" i="11"/>
  <c r="F859" i="11" s="1"/>
  <c r="AF859" i="11"/>
  <c r="B860" i="11"/>
  <c r="BD858" i="11"/>
  <c r="BG859" i="11"/>
  <c r="EG859" i="11"/>
  <c r="DT859" i="11"/>
  <c r="DG859" i="11"/>
  <c r="CG859" i="11"/>
  <c r="BT859" i="11"/>
  <c r="CT859" i="11"/>
  <c r="AT859" i="11"/>
  <c r="AE859" i="11"/>
  <c r="AG859" i="11"/>
  <c r="BL858" i="11"/>
  <c r="BJ858" i="11"/>
  <c r="BK858" i="11"/>
  <c r="CW858" i="11"/>
  <c r="CX858" i="11"/>
  <c r="CY858" i="11" s="1"/>
  <c r="BX858" i="11"/>
  <c r="BW858" i="11"/>
  <c r="BY858" i="11" s="1"/>
  <c r="DJ858" i="11"/>
  <c r="DK858" i="11"/>
  <c r="DL858" i="11"/>
  <c r="EK857" i="11"/>
  <c r="EJ857" i="11"/>
  <c r="EF857" i="11"/>
  <c r="AJ858" i="11"/>
  <c r="AL858" i="11" s="1"/>
  <c r="AK857" i="11"/>
  <c r="AD857" i="11"/>
  <c r="AJ857" i="11"/>
  <c r="M858" i="11"/>
  <c r="CK858" i="11"/>
  <c r="CL858" i="11" s="1"/>
  <c r="AW857" i="11"/>
  <c r="AX857" i="11"/>
  <c r="AY857" i="11"/>
  <c r="AK858" i="11"/>
  <c r="DZ859" i="11"/>
  <c r="EH859" i="11"/>
  <c r="EC859" i="11"/>
  <c r="EA859" i="11"/>
  <c r="EI859" i="11"/>
  <c r="ED859" i="11"/>
  <c r="EE858" i="11"/>
  <c r="BY859" i="11"/>
  <c r="BJ859" i="11"/>
  <c r="P860" i="11"/>
  <c r="BS858" i="11"/>
  <c r="CD858" i="11"/>
  <c r="CQ858" i="11"/>
  <c r="AB859" i="11"/>
  <c r="DD858" i="11"/>
  <c r="BF858" i="11"/>
  <c r="DF858" i="11"/>
  <c r="BQ858" i="11"/>
  <c r="AR858" i="11"/>
  <c r="AS858" i="11"/>
  <c r="AQ858" i="11"/>
  <c r="CE859" i="11"/>
  <c r="DU859" i="11"/>
  <c r="DV859" i="11"/>
  <c r="DH859" i="11"/>
  <c r="DI859" i="11"/>
  <c r="CR859" i="11"/>
  <c r="CU859" i="11"/>
  <c r="CV859" i="11"/>
  <c r="CH859" i="11"/>
  <c r="CI859" i="11"/>
  <c r="BV859" i="11"/>
  <c r="BW859" i="11"/>
  <c r="BX859" i="11"/>
  <c r="BU859" i="11"/>
  <c r="BH859" i="11"/>
  <c r="BI859" i="11"/>
  <c r="AV859" i="11"/>
  <c r="AH859" i="11"/>
  <c r="AI859" i="11"/>
  <c r="AU859" i="11"/>
  <c r="BN859" i="11"/>
  <c r="BO859" i="11"/>
  <c r="BR859" i="11" s="1"/>
  <c r="BP859" i="11"/>
  <c r="AN859" i="11"/>
  <c r="AO859" i="11"/>
  <c r="AP859" i="11"/>
  <c r="Y859" i="11"/>
  <c r="AC859" i="11"/>
  <c r="AA859" i="11"/>
  <c r="BA859" i="11"/>
  <c r="BB859" i="11"/>
  <c r="BE859" i="11" s="1"/>
  <c r="BC859" i="11"/>
  <c r="DP859" i="11"/>
  <c r="DA859" i="11"/>
  <c r="X859" i="11"/>
  <c r="DB859" i="11"/>
  <c r="DE859" i="11" s="1"/>
  <c r="CM859" i="11"/>
  <c r="DC859" i="11"/>
  <c r="CN859" i="11"/>
  <c r="DM859" i="11"/>
  <c r="CO859" i="11"/>
  <c r="CQ859" i="11" s="1"/>
  <c r="BZ859" i="11"/>
  <c r="DN859" i="11"/>
  <c r="CP859" i="11"/>
  <c r="CA859" i="11"/>
  <c r="CB859" i="11"/>
  <c r="CD859" i="11" s="1"/>
  <c r="BM859" i="11"/>
  <c r="CC859" i="11"/>
  <c r="CZ859" i="11"/>
  <c r="AM859" i="11"/>
  <c r="AZ859" i="11"/>
  <c r="W860" i="11"/>
  <c r="C861" i="11"/>
  <c r="V861" i="11" l="1"/>
  <c r="A861" i="11"/>
  <c r="EB860" i="11"/>
  <c r="ED860" i="11" s="1"/>
  <c r="Z860" i="11"/>
  <c r="F860" i="11" s="1"/>
  <c r="AF860" i="11"/>
  <c r="B861" i="11"/>
  <c r="BG860" i="11"/>
  <c r="BD859" i="11"/>
  <c r="DT860" i="11"/>
  <c r="EG860" i="11"/>
  <c r="DG860" i="11"/>
  <c r="CT860" i="11"/>
  <c r="CG860" i="11"/>
  <c r="BT860" i="11"/>
  <c r="AT860" i="11"/>
  <c r="AE860" i="11"/>
  <c r="AG860" i="11"/>
  <c r="EL857" i="11"/>
  <c r="BL859" i="11"/>
  <c r="DJ859" i="11"/>
  <c r="DK859" i="11"/>
  <c r="DL859" i="11"/>
  <c r="CK859" i="11"/>
  <c r="CJ859" i="11"/>
  <c r="CL859" i="11" s="1"/>
  <c r="CW859" i="11"/>
  <c r="CY859" i="11" s="1"/>
  <c r="CX859" i="11"/>
  <c r="EK858" i="11"/>
  <c r="EJ858" i="11"/>
  <c r="EL858" i="11" s="1"/>
  <c r="EF858" i="11"/>
  <c r="AL857" i="11"/>
  <c r="BK859" i="11"/>
  <c r="M859" i="11"/>
  <c r="AW858" i="11"/>
  <c r="AY858" i="11" s="1"/>
  <c r="AX858" i="11"/>
  <c r="L859" i="11"/>
  <c r="EI860" i="11"/>
  <c r="EH860" i="11"/>
  <c r="EC860" i="11"/>
  <c r="EA860" i="11"/>
  <c r="DZ860" i="11"/>
  <c r="EE859" i="11"/>
  <c r="EF859" i="11" s="1"/>
  <c r="P861" i="11"/>
  <c r="BF859" i="11"/>
  <c r="DF859" i="11"/>
  <c r="CS859" i="11"/>
  <c r="CF859" i="11"/>
  <c r="DD859" i="11"/>
  <c r="BS859" i="11"/>
  <c r="AB860" i="11"/>
  <c r="AC860" i="11" s="1"/>
  <c r="BQ859" i="11"/>
  <c r="AR859" i="11"/>
  <c r="AS859" i="11"/>
  <c r="AQ859" i="11"/>
  <c r="CE860" i="11"/>
  <c r="DV860" i="11"/>
  <c r="DU860" i="11"/>
  <c r="DH860" i="11"/>
  <c r="DI860" i="11"/>
  <c r="CR860" i="11"/>
  <c r="CV860" i="11"/>
  <c r="CU860" i="11"/>
  <c r="CH860" i="11"/>
  <c r="CI860" i="11"/>
  <c r="BU860" i="11"/>
  <c r="BV860" i="11"/>
  <c r="BH860" i="11"/>
  <c r="BI860" i="11"/>
  <c r="AU860" i="11"/>
  <c r="AV860" i="11"/>
  <c r="AH860" i="11"/>
  <c r="AI860" i="11"/>
  <c r="BP860" i="11"/>
  <c r="BO860" i="11"/>
  <c r="BR860" i="11" s="1"/>
  <c r="BN860" i="11"/>
  <c r="W861" i="11"/>
  <c r="AN860" i="11"/>
  <c r="AP860" i="11"/>
  <c r="Y860" i="11"/>
  <c r="AO860" i="11"/>
  <c r="AA860" i="11"/>
  <c r="BA860" i="11"/>
  <c r="BB860" i="11"/>
  <c r="BE860" i="11" s="1"/>
  <c r="BC860" i="11"/>
  <c r="DM860" i="11"/>
  <c r="DN860" i="11"/>
  <c r="DP860" i="11"/>
  <c r="CP860" i="11"/>
  <c r="CA860" i="11"/>
  <c r="AM860" i="11"/>
  <c r="CB860" i="11"/>
  <c r="CF860" i="11" s="1"/>
  <c r="X860" i="11"/>
  <c r="CC860" i="11"/>
  <c r="CZ860" i="11"/>
  <c r="DA860" i="11"/>
  <c r="DB860" i="11"/>
  <c r="DE860" i="11" s="1"/>
  <c r="CM860" i="11"/>
  <c r="DC860" i="11"/>
  <c r="CN860" i="11"/>
  <c r="BM860" i="11"/>
  <c r="CO860" i="11"/>
  <c r="CQ860" i="11" s="1"/>
  <c r="BZ860" i="11"/>
  <c r="AZ860" i="11"/>
  <c r="EB861" i="11" l="1"/>
  <c r="ED861" i="11" s="1"/>
  <c r="Z861" i="11"/>
  <c r="F861" i="11" s="1"/>
  <c r="AF861" i="11"/>
  <c r="BG861" i="11"/>
  <c r="BD860" i="11"/>
  <c r="EG861" i="11"/>
  <c r="DT861" i="11"/>
  <c r="CT861" i="11"/>
  <c r="DG861" i="11"/>
  <c r="CG861" i="11"/>
  <c r="BT861" i="11"/>
  <c r="AT861" i="11"/>
  <c r="AE861" i="11"/>
  <c r="AG861" i="11"/>
  <c r="BJ860" i="11"/>
  <c r="BK860" i="11"/>
  <c r="BL860" i="11"/>
  <c r="BX860" i="11"/>
  <c r="BW860" i="11"/>
  <c r="BY860" i="11" s="1"/>
  <c r="CJ860" i="11"/>
  <c r="CK860" i="11"/>
  <c r="CL860" i="11"/>
  <c r="DJ860" i="11"/>
  <c r="DK860" i="11"/>
  <c r="DL860" i="11" s="1"/>
  <c r="CW860" i="11"/>
  <c r="AD859" i="11"/>
  <c r="AJ859" i="11"/>
  <c r="AK859" i="11"/>
  <c r="AL859" i="11" s="1"/>
  <c r="CX860" i="11"/>
  <c r="CY860" i="11" s="1"/>
  <c r="AW859" i="11"/>
  <c r="AY859" i="11" s="1"/>
  <c r="AX859" i="11"/>
  <c r="M860" i="11"/>
  <c r="L860" i="11"/>
  <c r="EK859" i="11"/>
  <c r="EJ859" i="11"/>
  <c r="EL859" i="11" s="1"/>
  <c r="EE860" i="11"/>
  <c r="EC861" i="11"/>
  <c r="EA861" i="11"/>
  <c r="DZ861" i="11"/>
  <c r="EI861" i="11"/>
  <c r="EH861" i="11"/>
  <c r="DJ861" i="11"/>
  <c r="DL861" i="11" s="1"/>
  <c r="BY861" i="11"/>
  <c r="BQ860" i="11"/>
  <c r="DD860" i="11"/>
  <c r="AB861" i="11"/>
  <c r="CS860" i="11"/>
  <c r="BF860" i="11"/>
  <c r="DF860" i="11"/>
  <c r="BS860" i="11"/>
  <c r="CD860" i="11"/>
  <c r="AR860" i="11"/>
  <c r="AS860" i="11"/>
  <c r="AQ860" i="11"/>
  <c r="CE861" i="11"/>
  <c r="DU861" i="11"/>
  <c r="DV861" i="11"/>
  <c r="DH861" i="11"/>
  <c r="DI861" i="11"/>
  <c r="DK861" i="11"/>
  <c r="CU861" i="11"/>
  <c r="CR861" i="11"/>
  <c r="CV861" i="11"/>
  <c r="CH861" i="11"/>
  <c r="CI861" i="11"/>
  <c r="BU861" i="11"/>
  <c r="BV861" i="11"/>
  <c r="BW861" i="11"/>
  <c r="BX861" i="11"/>
  <c r="BH861" i="11"/>
  <c r="BI861" i="11"/>
  <c r="AU861" i="11"/>
  <c r="AV861" i="11"/>
  <c r="AH861" i="11"/>
  <c r="AI861" i="11"/>
  <c r="AC861" i="11"/>
  <c r="BP861" i="11"/>
  <c r="BO861" i="11"/>
  <c r="BR861" i="11" s="1"/>
  <c r="BN861" i="11"/>
  <c r="AP861" i="11"/>
  <c r="AN861" i="11"/>
  <c r="AO861" i="11"/>
  <c r="AA861" i="11"/>
  <c r="Y861" i="11"/>
  <c r="BA861" i="11"/>
  <c r="BB861" i="11"/>
  <c r="BE861" i="11" s="1"/>
  <c r="BC861" i="11"/>
  <c r="DP861" i="11"/>
  <c r="DA861" i="11"/>
  <c r="AZ861" i="11"/>
  <c r="DB861" i="11"/>
  <c r="DE861" i="11" s="1"/>
  <c r="CM861" i="11"/>
  <c r="AM861" i="11"/>
  <c r="DC861" i="11"/>
  <c r="CN861" i="11"/>
  <c r="X861" i="11"/>
  <c r="CO861" i="11"/>
  <c r="CS861" i="11" s="1"/>
  <c r="BZ861" i="11"/>
  <c r="CP861" i="11"/>
  <c r="CA861" i="11"/>
  <c r="CB861" i="11"/>
  <c r="CF861" i="11" s="1"/>
  <c r="DM861" i="11"/>
  <c r="CC861" i="11"/>
  <c r="DN861" i="11"/>
  <c r="CZ861" i="11"/>
  <c r="BM861" i="11"/>
  <c r="BD861" i="11" l="1"/>
  <c r="AD861" i="11"/>
  <c r="AJ861" i="11"/>
  <c r="AK861" i="11"/>
  <c r="AL861" i="11" s="1"/>
  <c r="CJ861" i="11"/>
  <c r="CK861" i="11"/>
  <c r="CL861" i="11"/>
  <c r="EJ860" i="11"/>
  <c r="EK860" i="11"/>
  <c r="EF860" i="11"/>
  <c r="BJ861" i="11"/>
  <c r="BL861" i="11" s="1"/>
  <c r="BK861" i="11"/>
  <c r="CX861" i="11"/>
  <c r="CW861" i="11"/>
  <c r="CY861" i="11" s="1"/>
  <c r="M861" i="11"/>
  <c r="L861" i="11"/>
  <c r="AX860" i="11"/>
  <c r="AY860" i="11" s="1"/>
  <c r="AW860" i="11"/>
  <c r="AJ860" i="11"/>
  <c r="AD860" i="11"/>
  <c r="AK860" i="11"/>
  <c r="AL860" i="11"/>
  <c r="EE861" i="11"/>
  <c r="EF861" i="11" s="1"/>
  <c r="DD861" i="11"/>
  <c r="BQ861" i="11"/>
  <c r="CD861" i="11"/>
  <c r="CQ861" i="11"/>
  <c r="BF861" i="11"/>
  <c r="DF861" i="11"/>
  <c r="BS861" i="11"/>
  <c r="AR861" i="11"/>
  <c r="AS861" i="11"/>
  <c r="AQ861" i="11"/>
  <c r="EL860" i="11" l="1"/>
  <c r="AW861" i="11"/>
  <c r="AX861" i="11"/>
  <c r="EK861" i="11"/>
  <c r="EJ861" i="11"/>
  <c r="EL861" i="11" s="1"/>
  <c r="DR42" i="11"/>
  <c r="DT42" i="11" s="1"/>
  <c r="DS42" i="11"/>
  <c r="H36" i="11"/>
  <c r="DO43" i="11"/>
  <c r="AY861" i="11" l="1"/>
  <c r="DW42" i="11"/>
  <c r="O42" i="11"/>
  <c r="DS43" i="11"/>
  <c r="DQ43" i="11"/>
  <c r="DR43" i="11"/>
  <c r="DT43" i="11" s="1"/>
  <c r="DO44" i="11"/>
  <c r="F9" i="12" l="1"/>
  <c r="G9" i="12" s="1"/>
  <c r="DX42" i="11"/>
  <c r="DS44" i="11"/>
  <c r="DQ44" i="11"/>
  <c r="DR44" i="11"/>
  <c r="DT44" i="11" s="1"/>
  <c r="O4" i="11"/>
  <c r="DO45" i="11"/>
  <c r="DX44" i="11" l="1"/>
  <c r="DY42" i="11"/>
  <c r="DW43" i="11"/>
  <c r="DX43" i="11"/>
  <c r="EF42" i="11"/>
  <c r="EK42" i="11"/>
  <c r="EJ42" i="11"/>
  <c r="DS45" i="11"/>
  <c r="DQ45" i="11"/>
  <c r="DR45" i="11"/>
  <c r="DT45" i="11" s="1"/>
  <c r="DO46" i="11"/>
  <c r="DW44" i="11" l="1"/>
  <c r="DY44" i="11" s="1"/>
  <c r="DX45" i="11"/>
  <c r="DY43" i="11"/>
  <c r="EL42" i="11"/>
  <c r="DS46" i="11"/>
  <c r="DQ46" i="11"/>
  <c r="DR46" i="11"/>
  <c r="DT46" i="11" s="1"/>
  <c r="DO47" i="11"/>
  <c r="DW45" i="11" l="1"/>
  <c r="DY45" i="11" s="1"/>
  <c r="DX46" i="11"/>
  <c r="DS47" i="11"/>
  <c r="DQ47" i="11"/>
  <c r="DR47" i="11"/>
  <c r="DT47" i="11" s="1"/>
  <c r="DO48" i="11"/>
  <c r="DW46" i="11" l="1"/>
  <c r="DY46" i="11" s="1"/>
  <c r="DX47" i="11"/>
  <c r="DS48" i="11"/>
  <c r="DQ48" i="11"/>
  <c r="DR48" i="11"/>
  <c r="DT48" i="11" s="1"/>
  <c r="DO49" i="11"/>
  <c r="DW47" i="11" l="1"/>
  <c r="DY47" i="11" s="1"/>
  <c r="DX48" i="11"/>
  <c r="DS49" i="11"/>
  <c r="DQ49" i="11"/>
  <c r="DR49" i="11"/>
  <c r="DT49" i="11" s="1"/>
  <c r="DO50" i="11"/>
  <c r="DW48" i="11" l="1"/>
  <c r="DY48" i="11" s="1"/>
  <c r="DX49" i="11"/>
  <c r="DS50" i="11"/>
  <c r="DQ50" i="11"/>
  <c r="DR50" i="11"/>
  <c r="DT50" i="11" s="1"/>
  <c r="DO51" i="11"/>
  <c r="DW49" i="11" l="1"/>
  <c r="DY49" i="11" s="1"/>
  <c r="DX50" i="11"/>
  <c r="DS51" i="11"/>
  <c r="DQ51" i="11"/>
  <c r="DR51" i="11"/>
  <c r="DT51" i="11" s="1"/>
  <c r="DO52" i="11"/>
  <c r="DW50" i="11" l="1"/>
  <c r="DY50" i="11" s="1"/>
  <c r="DX51" i="11"/>
  <c r="DS52" i="11"/>
  <c r="DQ52" i="11"/>
  <c r="DR52" i="11"/>
  <c r="DT52" i="11" s="1"/>
  <c r="DO53" i="11"/>
  <c r="DW51" i="11" l="1"/>
  <c r="DY51" i="11" s="1"/>
  <c r="DX52" i="11"/>
  <c r="DS53" i="11"/>
  <c r="DQ53" i="11"/>
  <c r="DR53" i="11"/>
  <c r="DT53" i="11" s="1"/>
  <c r="DO54" i="11"/>
  <c r="DW52" i="11" l="1"/>
  <c r="DY52" i="11" s="1"/>
  <c r="DX53" i="11"/>
  <c r="K36" i="11"/>
  <c r="DS54" i="11"/>
  <c r="DQ54" i="11"/>
  <c r="DR54" i="11"/>
  <c r="DT54" i="11" s="1"/>
  <c r="J36" i="11"/>
  <c r="DO55" i="11"/>
  <c r="DW53" i="11" l="1"/>
  <c r="DY53" i="11" s="1"/>
  <c r="DX54" i="11"/>
  <c r="DS55" i="11"/>
  <c r="DQ55" i="11"/>
  <c r="DR55" i="11"/>
  <c r="DT55" i="11" s="1"/>
  <c r="DO56" i="11"/>
  <c r="M36" i="11"/>
  <c r="L36" i="11" s="1"/>
  <c r="DW54" i="11" l="1"/>
  <c r="DY54" i="11" s="1"/>
  <c r="DW55" i="11"/>
  <c r="DS56" i="11"/>
  <c r="DQ56" i="11"/>
  <c r="DR56" i="11"/>
  <c r="DT56" i="11" s="1"/>
  <c r="P36" i="11"/>
  <c r="Q36" i="11"/>
  <c r="DO57" i="11"/>
  <c r="DX55" i="11" l="1"/>
  <c r="DY55" i="11" s="1"/>
  <c r="DX56" i="11"/>
  <c r="DS57" i="11"/>
  <c r="DQ57" i="11"/>
  <c r="DR57" i="11"/>
  <c r="DT57" i="11" s="1"/>
  <c r="DO58" i="11"/>
  <c r="R36" i="11"/>
  <c r="DW56" i="11" l="1"/>
  <c r="DY56" i="11" s="1"/>
  <c r="DX57" i="11"/>
  <c r="DS58" i="11"/>
  <c r="DQ58" i="11"/>
  <c r="DR58" i="11"/>
  <c r="DT58" i="11" s="1"/>
  <c r="DO59" i="11"/>
  <c r="DW57" i="11" l="1"/>
  <c r="DY57" i="11" s="1"/>
  <c r="DX58" i="11"/>
  <c r="DS59" i="11"/>
  <c r="DQ59" i="11"/>
  <c r="DR59" i="11"/>
  <c r="DT59" i="11" s="1"/>
  <c r="DO60" i="11"/>
  <c r="N725" i="11" l="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DW58" i="11"/>
  <c r="DY58" i="11" s="1"/>
  <c r="DW59" i="11"/>
  <c r="DS60" i="11"/>
  <c r="DQ60" i="11"/>
  <c r="DR60" i="11"/>
  <c r="DT60" i="11" s="1"/>
  <c r="DO61" i="11"/>
  <c r="DX59" i="11" l="1"/>
  <c r="DY59" i="11" s="1"/>
  <c r="DW60" i="11"/>
  <c r="DS61" i="11"/>
  <c r="DQ61" i="11"/>
  <c r="DR61" i="11"/>
  <c r="DT61" i="11" s="1"/>
  <c r="DO62" i="11"/>
  <c r="DX60" i="11" l="1"/>
  <c r="DY60" i="11" s="1"/>
  <c r="DX61" i="11"/>
  <c r="DS62" i="11"/>
  <c r="DQ62" i="11"/>
  <c r="DR62" i="11"/>
  <c r="DT62" i="11" s="1"/>
  <c r="DO63" i="11"/>
  <c r="DW61" i="11" l="1"/>
  <c r="DY61" i="11" s="1"/>
  <c r="DX62" i="11"/>
  <c r="DS63" i="11"/>
  <c r="DQ63" i="11"/>
  <c r="DR63" i="11"/>
  <c r="DT63" i="11" s="1"/>
  <c r="DO64" i="11"/>
  <c r="DW62" i="11" l="1"/>
  <c r="DY62" i="11" s="1"/>
  <c r="DW63" i="11"/>
  <c r="DS64" i="11"/>
  <c r="DQ64" i="11"/>
  <c r="DR64" i="11"/>
  <c r="DT64" i="11" s="1"/>
  <c r="DO65" i="11"/>
  <c r="DX63" i="11" l="1"/>
  <c r="DY63" i="11" s="1"/>
  <c r="DX64" i="11"/>
  <c r="DS65" i="11"/>
  <c r="DQ65" i="11"/>
  <c r="DR65" i="11"/>
  <c r="DT65" i="11" s="1"/>
  <c r="DO66" i="11"/>
  <c r="DW64" i="11" l="1"/>
  <c r="DY64" i="11" s="1"/>
  <c r="DW65" i="11"/>
  <c r="DS66" i="11"/>
  <c r="DQ66" i="11"/>
  <c r="DR66" i="11"/>
  <c r="DT66" i="11" s="1"/>
  <c r="DO67" i="11"/>
  <c r="DX65" i="11" l="1"/>
  <c r="DY65" i="11" s="1"/>
  <c r="DW66" i="11"/>
  <c r="DS67" i="11"/>
  <c r="DQ67" i="11"/>
  <c r="DR67" i="11"/>
  <c r="DT67" i="11" s="1"/>
  <c r="DO68" i="11"/>
  <c r="DX66" i="11" l="1"/>
  <c r="DY66" i="11" s="1"/>
  <c r="DW67" i="11"/>
  <c r="DS68" i="11"/>
  <c r="DQ68" i="11"/>
  <c r="DR68" i="11"/>
  <c r="DT68" i="11" s="1"/>
  <c r="DO69" i="11"/>
  <c r="DX67" i="11" l="1"/>
  <c r="DY67" i="11" s="1"/>
  <c r="DX68" i="11"/>
  <c r="DS69" i="11"/>
  <c r="DQ69" i="11"/>
  <c r="DR69" i="11"/>
  <c r="DT69" i="11" s="1"/>
  <c r="DO70" i="11"/>
  <c r="DW68" i="11" l="1"/>
  <c r="DY68" i="11" s="1"/>
  <c r="DX69" i="11"/>
  <c r="DS70" i="11"/>
  <c r="DQ70" i="11"/>
  <c r="DR70" i="11"/>
  <c r="DT70" i="11" s="1"/>
  <c r="DO71" i="11"/>
  <c r="DW69" i="11" l="1"/>
  <c r="DY69" i="11" s="1"/>
  <c r="DW70" i="11"/>
  <c r="DS71" i="11"/>
  <c r="DQ71" i="11"/>
  <c r="DR71" i="11"/>
  <c r="DT71" i="11" s="1"/>
  <c r="DO72" i="11"/>
  <c r="DX70" i="11" l="1"/>
  <c r="DY70" i="11" s="1"/>
  <c r="DX71" i="11"/>
  <c r="DS72" i="11"/>
  <c r="DQ72" i="11"/>
  <c r="DR72" i="11"/>
  <c r="DT72" i="11" s="1"/>
  <c r="DO73" i="11"/>
  <c r="DW71" i="11" l="1"/>
  <c r="DY71" i="11" s="1"/>
  <c r="DW72" i="11"/>
  <c r="DS73" i="11"/>
  <c r="DQ73" i="11"/>
  <c r="DR73" i="11"/>
  <c r="DT73" i="11" s="1"/>
  <c r="DO74" i="11"/>
  <c r="DX72" i="11" l="1"/>
  <c r="DY72" i="11" s="1"/>
  <c r="DW73" i="11"/>
  <c r="DS74" i="11"/>
  <c r="DQ74" i="11"/>
  <c r="DR74" i="11"/>
  <c r="DT74" i="11" s="1"/>
  <c r="DO75" i="11"/>
  <c r="DX73" i="11" l="1"/>
  <c r="DY73" i="11" s="1"/>
  <c r="DW74" i="11"/>
  <c r="DS75" i="11"/>
  <c r="DQ75" i="11"/>
  <c r="DR75" i="11"/>
  <c r="DT75" i="11" s="1"/>
  <c r="DO76" i="11"/>
  <c r="DX74" i="11" l="1"/>
  <c r="DY74" i="11" s="1"/>
  <c r="DX75" i="11"/>
  <c r="DS76" i="11"/>
  <c r="DQ76" i="11"/>
  <c r="DR76" i="11"/>
  <c r="DT76" i="11" s="1"/>
  <c r="DO77" i="11"/>
  <c r="DW75" i="11" l="1"/>
  <c r="DY75" i="11" s="1"/>
  <c r="DX76" i="11"/>
  <c r="DS77" i="11"/>
  <c r="DQ77" i="11"/>
  <c r="DR77" i="11"/>
  <c r="DT77" i="11" s="1"/>
  <c r="DO78" i="11"/>
  <c r="DW76" i="11" l="1"/>
  <c r="DY76" i="11" s="1"/>
  <c r="DW77" i="11"/>
  <c r="DS78" i="11"/>
  <c r="DQ78" i="11"/>
  <c r="DR78" i="11"/>
  <c r="DT78" i="11" s="1"/>
  <c r="DO79" i="11"/>
  <c r="DX77" i="11" l="1"/>
  <c r="DY77" i="11" s="1"/>
  <c r="DW78" i="11"/>
  <c r="DS79" i="11"/>
  <c r="DQ79" i="11"/>
  <c r="DR79" i="11"/>
  <c r="DT79" i="11" s="1"/>
  <c r="DO80" i="11"/>
  <c r="DX78" i="11" l="1"/>
  <c r="DY78" i="11" s="1"/>
  <c r="DX79" i="11"/>
  <c r="DS80" i="11"/>
  <c r="DQ80" i="11"/>
  <c r="DR80" i="11"/>
  <c r="DT80" i="11" s="1"/>
  <c r="DO81" i="11"/>
  <c r="DW79" i="11" l="1"/>
  <c r="DY79" i="11" s="1"/>
  <c r="DX80" i="11"/>
  <c r="DS81" i="11"/>
  <c r="DQ81" i="11"/>
  <c r="DR81" i="11"/>
  <c r="DT81" i="11" s="1"/>
  <c r="DO82" i="11"/>
  <c r="DW80" i="11" l="1"/>
  <c r="DY80" i="11" s="1"/>
  <c r="DX81" i="11"/>
  <c r="DS82" i="11"/>
  <c r="DQ82" i="11"/>
  <c r="DR82" i="11"/>
  <c r="DT82" i="11" s="1"/>
  <c r="DO83" i="11"/>
  <c r="DW81" i="11" l="1"/>
  <c r="DY81" i="11" s="1"/>
  <c r="DX82" i="11"/>
  <c r="DS83" i="11"/>
  <c r="DQ83" i="11"/>
  <c r="DR83" i="11"/>
  <c r="DT83" i="11" s="1"/>
  <c r="DO84" i="11"/>
  <c r="DW82" i="11" l="1"/>
  <c r="DY82" i="11" s="1"/>
  <c r="DW83" i="11"/>
  <c r="DS84" i="11"/>
  <c r="DQ84" i="11"/>
  <c r="DR84" i="11"/>
  <c r="DT84" i="11" s="1"/>
  <c r="DO85" i="11"/>
  <c r="DX83" i="11" l="1"/>
  <c r="DY83" i="11" s="1"/>
  <c r="DW84" i="11"/>
  <c r="DS85" i="11"/>
  <c r="DQ85" i="11"/>
  <c r="DR85" i="11"/>
  <c r="DT85" i="11" s="1"/>
  <c r="DO86" i="11"/>
  <c r="DX84" i="11" l="1"/>
  <c r="DY84" i="11" s="1"/>
  <c r="DW85" i="11"/>
  <c r="DS86" i="11"/>
  <c r="DQ86" i="11"/>
  <c r="DR86" i="11"/>
  <c r="DT86" i="11" s="1"/>
  <c r="DO87" i="11"/>
  <c r="DX85" i="11" l="1"/>
  <c r="DY85" i="11" s="1"/>
  <c r="DW86" i="11"/>
  <c r="DS87" i="11"/>
  <c r="DQ87" i="11"/>
  <c r="DR87" i="11"/>
  <c r="DT87" i="11" s="1"/>
  <c r="DO88" i="11"/>
  <c r="DX86" i="11" l="1"/>
  <c r="DY86" i="11" s="1"/>
  <c r="DW87" i="11"/>
  <c r="DS88" i="11"/>
  <c r="DQ88" i="11"/>
  <c r="DR88" i="11"/>
  <c r="DT88" i="11" s="1"/>
  <c r="DO89" i="11"/>
  <c r="DX87" i="11" l="1"/>
  <c r="DY87" i="11" s="1"/>
  <c r="DX88" i="11"/>
  <c r="DS89" i="11"/>
  <c r="DQ89" i="11"/>
  <c r="DR89" i="11"/>
  <c r="DT89" i="11" s="1"/>
  <c r="DO90" i="11"/>
  <c r="DW88" i="11" l="1"/>
  <c r="DY88" i="11" s="1"/>
  <c r="DX89" i="11"/>
  <c r="DS90" i="11"/>
  <c r="DQ90" i="11"/>
  <c r="DR90" i="11"/>
  <c r="DT90" i="11" s="1"/>
  <c r="DO91" i="11"/>
  <c r="DW89" i="11" l="1"/>
  <c r="DY89" i="11" s="1"/>
  <c r="DX90" i="11"/>
  <c r="DS91" i="11"/>
  <c r="DQ91" i="11"/>
  <c r="DR91" i="11"/>
  <c r="DT91" i="11" s="1"/>
  <c r="DO92" i="11"/>
  <c r="DW90" i="11" l="1"/>
  <c r="DY90" i="11" s="1"/>
  <c r="DX91" i="11"/>
  <c r="DS92" i="11"/>
  <c r="DQ92" i="11"/>
  <c r="DR92" i="11"/>
  <c r="DT92" i="11" s="1"/>
  <c r="DO93" i="11"/>
  <c r="DW91" i="11" l="1"/>
  <c r="DY91" i="11" s="1"/>
  <c r="DW92" i="11"/>
  <c r="DS93" i="11"/>
  <c r="DQ93" i="11"/>
  <c r="DR93" i="11"/>
  <c r="DT93" i="11" s="1"/>
  <c r="DO94" i="11"/>
  <c r="DX92" i="11" l="1"/>
  <c r="DY92" i="11" s="1"/>
  <c r="DX93" i="11"/>
  <c r="DS94" i="11"/>
  <c r="DQ94" i="11"/>
  <c r="DR94" i="11"/>
  <c r="DT94" i="11" s="1"/>
  <c r="DO95" i="11"/>
  <c r="DW93" i="11" l="1"/>
  <c r="DY93" i="11" s="1"/>
  <c r="DX94" i="11"/>
  <c r="DS95" i="11"/>
  <c r="DQ95" i="11"/>
  <c r="DR95" i="11"/>
  <c r="DT95" i="11" s="1"/>
  <c r="DO96" i="11"/>
  <c r="DW94" i="11" l="1"/>
  <c r="DY94" i="11" s="1"/>
  <c r="DS96" i="11"/>
  <c r="DQ96" i="11"/>
  <c r="DR96" i="11"/>
  <c r="DT96" i="11" s="1"/>
  <c r="DO97" i="11"/>
  <c r="DW95" i="11" l="1"/>
  <c r="DX95" i="11"/>
  <c r="DS97" i="11"/>
  <c r="DQ97" i="11"/>
  <c r="DR97" i="11"/>
  <c r="DT97" i="11" s="1"/>
  <c r="DO98" i="11"/>
  <c r="DY95" i="11" l="1"/>
  <c r="DX97" i="11"/>
  <c r="DX96" i="11"/>
  <c r="DW96" i="11"/>
  <c r="DS98" i="11"/>
  <c r="DQ98" i="11"/>
  <c r="DR98" i="11"/>
  <c r="DT98" i="11" s="1"/>
  <c r="DO99" i="11"/>
  <c r="DY96" i="11" l="1"/>
  <c r="DW97" i="11"/>
  <c r="DY97" i="11" s="1"/>
  <c r="DS99" i="11"/>
  <c r="DQ99" i="11"/>
  <c r="DR99" i="11"/>
  <c r="DT99" i="11" s="1"/>
  <c r="DO100" i="11"/>
  <c r="DX98" i="11" l="1"/>
  <c r="DX99" i="11"/>
  <c r="DW98" i="11"/>
  <c r="DS100" i="11"/>
  <c r="DQ100" i="11"/>
  <c r="DR100" i="11"/>
  <c r="DT100" i="11" s="1"/>
  <c r="DO101" i="11"/>
  <c r="DW99" i="11" l="1"/>
  <c r="DY99" i="11" s="1"/>
  <c r="DY98" i="11"/>
  <c r="DS101" i="11"/>
  <c r="DQ101" i="11"/>
  <c r="DR101" i="11"/>
  <c r="DT101" i="11" s="1"/>
  <c r="DO102" i="11"/>
  <c r="DW101" i="11" l="1"/>
  <c r="DW100" i="11"/>
  <c r="DX100" i="11"/>
  <c r="DS102" i="11"/>
  <c r="DQ102" i="11"/>
  <c r="DR102" i="11"/>
  <c r="DT102" i="11" s="1"/>
  <c r="DO103" i="11"/>
  <c r="DY100" i="11" l="1"/>
  <c r="DX101" i="11"/>
  <c r="DY101" i="11" s="1"/>
  <c r="DW102" i="11"/>
  <c r="DS103" i="11"/>
  <c r="DQ103" i="11"/>
  <c r="DR103" i="11"/>
  <c r="DT103" i="11" s="1"/>
  <c r="DO104" i="11"/>
  <c r="DX103" i="11" l="1"/>
  <c r="DX102" i="11"/>
  <c r="DS104" i="11"/>
  <c r="DQ104" i="11"/>
  <c r="DR104" i="11"/>
  <c r="DT104" i="11" s="1"/>
  <c r="DO105" i="11"/>
  <c r="DW103" i="11" l="1"/>
  <c r="DY103" i="11" s="1"/>
  <c r="DY102" i="11"/>
  <c r="DX104" i="11"/>
  <c r="DS105" i="11"/>
  <c r="DQ105" i="11"/>
  <c r="DR105" i="11"/>
  <c r="DT105" i="11" s="1"/>
  <c r="DO106" i="11"/>
  <c r="DW104" i="11" l="1"/>
  <c r="DY104" i="11" s="1"/>
  <c r="DW105" i="11"/>
  <c r="DS106" i="11"/>
  <c r="DQ106" i="11"/>
  <c r="DR106" i="11"/>
  <c r="DT106" i="11" s="1"/>
  <c r="DO107" i="11"/>
  <c r="DX105" i="11" l="1"/>
  <c r="DY105" i="11" s="1"/>
  <c r="DW106" i="11"/>
  <c r="DS107" i="11"/>
  <c r="DQ107" i="11"/>
  <c r="DR107" i="11"/>
  <c r="DT107" i="11" s="1"/>
  <c r="DO108" i="11"/>
  <c r="DX106" i="11" l="1"/>
  <c r="DY106" i="11" s="1"/>
  <c r="DW107" i="11"/>
  <c r="DS108" i="11"/>
  <c r="DQ108" i="11"/>
  <c r="DR108" i="11"/>
  <c r="DT108" i="11" s="1"/>
  <c r="DO109" i="11"/>
  <c r="DX107" i="11" l="1"/>
  <c r="DY107" i="11" s="1"/>
  <c r="DW108" i="11"/>
  <c r="DS109" i="11"/>
  <c r="DQ109" i="11"/>
  <c r="DR109" i="11"/>
  <c r="DT109" i="11" s="1"/>
  <c r="DO110" i="11"/>
  <c r="DX108" i="11" l="1"/>
  <c r="DY108" i="11" s="1"/>
  <c r="DX109" i="11"/>
  <c r="DS110" i="11"/>
  <c r="DQ110" i="11"/>
  <c r="DR110" i="11"/>
  <c r="DT110" i="11" s="1"/>
  <c r="DO111" i="11"/>
  <c r="DW109" i="11" l="1"/>
  <c r="DY109" i="11" s="1"/>
  <c r="DW110" i="11"/>
  <c r="DS111" i="11"/>
  <c r="DQ111" i="11"/>
  <c r="DR111" i="11"/>
  <c r="DT111" i="11" s="1"/>
  <c r="DO112" i="11"/>
  <c r="DX110" i="11" l="1"/>
  <c r="DY110" i="11" s="1"/>
  <c r="DX111" i="11"/>
  <c r="DS112" i="11"/>
  <c r="DQ112" i="11"/>
  <c r="DR112" i="11"/>
  <c r="DT112" i="11" s="1"/>
  <c r="DO113" i="11"/>
  <c r="DW111" i="11" l="1"/>
  <c r="DY111" i="11" s="1"/>
  <c r="DW112" i="11"/>
  <c r="DS113" i="11"/>
  <c r="DQ113" i="11"/>
  <c r="DR113" i="11"/>
  <c r="DT113" i="11" s="1"/>
  <c r="DO114" i="11"/>
  <c r="DX112" i="11" l="1"/>
  <c r="DY112" i="11" s="1"/>
  <c r="DX113" i="11"/>
  <c r="DS114" i="11"/>
  <c r="DQ114" i="11"/>
  <c r="DR114" i="11"/>
  <c r="DT114" i="11" s="1"/>
  <c r="DO115" i="11"/>
  <c r="DW113" i="11" l="1"/>
  <c r="DY113" i="11" s="1"/>
  <c r="DX114" i="11"/>
  <c r="DS115" i="11"/>
  <c r="DQ115" i="11"/>
  <c r="DR115" i="11"/>
  <c r="DT115" i="11" s="1"/>
  <c r="DO116" i="11"/>
  <c r="DW114" i="11" l="1"/>
  <c r="DY114" i="11" s="1"/>
  <c r="DX115" i="11"/>
  <c r="DS116" i="11"/>
  <c r="DQ116" i="11"/>
  <c r="DR116" i="11"/>
  <c r="DT116" i="11" s="1"/>
  <c r="DO117" i="11"/>
  <c r="DW115" i="11" l="1"/>
  <c r="DY115" i="11" s="1"/>
  <c r="DX116" i="11"/>
  <c r="DS117" i="11"/>
  <c r="DQ117" i="11"/>
  <c r="DR117" i="11"/>
  <c r="DT117" i="11" s="1"/>
  <c r="DO118" i="11"/>
  <c r="DW116" i="11" l="1"/>
  <c r="DY116" i="11" s="1"/>
  <c r="DW117" i="11"/>
  <c r="DS118" i="11"/>
  <c r="DQ118" i="11"/>
  <c r="DR118" i="11"/>
  <c r="DT118" i="11" s="1"/>
  <c r="DO119" i="11"/>
  <c r="DX117" i="11" l="1"/>
  <c r="DY117" i="11" s="1"/>
  <c r="DX118" i="11"/>
  <c r="DS119" i="11"/>
  <c r="DQ119" i="11"/>
  <c r="DR119" i="11"/>
  <c r="DT119" i="11" s="1"/>
  <c r="DO120" i="11"/>
  <c r="DW118" i="11" l="1"/>
  <c r="DY118" i="11" s="1"/>
  <c r="DW119" i="11"/>
  <c r="DS120" i="11"/>
  <c r="DQ120" i="11"/>
  <c r="DR120" i="11"/>
  <c r="DT120" i="11" s="1"/>
  <c r="DO121" i="11"/>
  <c r="DX119" i="11" l="1"/>
  <c r="DY119" i="11" s="1"/>
  <c r="DW120" i="11"/>
  <c r="DS121" i="11"/>
  <c r="DQ121" i="11"/>
  <c r="DR121" i="11"/>
  <c r="DT121" i="11" s="1"/>
  <c r="DO122" i="11"/>
  <c r="DX120" i="11" l="1"/>
  <c r="DY120" i="11" s="1"/>
  <c r="DS122" i="11"/>
  <c r="DQ122" i="11"/>
  <c r="DR122" i="11"/>
  <c r="DT122" i="11" s="1"/>
  <c r="DO123" i="11"/>
  <c r="DW122" i="11" l="1"/>
  <c r="DX121" i="11"/>
  <c r="DW121" i="11"/>
  <c r="DS123" i="11"/>
  <c r="DQ123" i="11"/>
  <c r="DR123" i="11"/>
  <c r="DT123" i="11" s="1"/>
  <c r="DO124" i="11"/>
  <c r="DX122" i="11" l="1"/>
  <c r="DY122" i="11" s="1"/>
  <c r="DW123" i="11"/>
  <c r="DY121" i="11"/>
  <c r="DS124" i="11"/>
  <c r="DQ124" i="11"/>
  <c r="DR124" i="11"/>
  <c r="DT124" i="11" s="1"/>
  <c r="DO125" i="11"/>
  <c r="DX123" i="11" l="1"/>
  <c r="DY123" i="11" s="1"/>
  <c r="DW124" i="11"/>
  <c r="DS125" i="11"/>
  <c r="DQ125" i="11"/>
  <c r="DR125" i="11"/>
  <c r="DT125" i="11" s="1"/>
  <c r="DO126" i="11"/>
  <c r="DX124" i="11" l="1"/>
  <c r="DY124" i="11" s="1"/>
  <c r="DX125" i="11"/>
  <c r="DS126" i="11"/>
  <c r="DQ126" i="11"/>
  <c r="DR126" i="11"/>
  <c r="DT126" i="11" s="1"/>
  <c r="DO127" i="11"/>
  <c r="DW125" i="11" l="1"/>
  <c r="DY125" i="11" s="1"/>
  <c r="DS127" i="11"/>
  <c r="DQ127" i="11"/>
  <c r="DR127" i="11"/>
  <c r="DT127" i="11" s="1"/>
  <c r="DO128" i="11"/>
  <c r="DW126" i="11" l="1"/>
  <c r="DW127" i="11"/>
  <c r="DX126" i="11"/>
  <c r="DS128" i="11"/>
  <c r="DQ128" i="11"/>
  <c r="DR128" i="11"/>
  <c r="DT128" i="11" s="1"/>
  <c r="DO129" i="11"/>
  <c r="DY126" i="11" l="1"/>
  <c r="DX128" i="11"/>
  <c r="DX127" i="11"/>
  <c r="DS129" i="11"/>
  <c r="DQ129" i="11"/>
  <c r="DR129" i="11"/>
  <c r="DT129" i="11" s="1"/>
  <c r="DO130" i="11"/>
  <c r="DW129" i="11" l="1"/>
  <c r="DW128" i="11"/>
  <c r="DY128" i="11" s="1"/>
  <c r="DY127" i="11"/>
  <c r="DS130" i="11"/>
  <c r="DQ130" i="11"/>
  <c r="DR130" i="11"/>
  <c r="DT130" i="11" s="1"/>
  <c r="DO131" i="11"/>
  <c r="DX129" i="11" l="1"/>
  <c r="DY129" i="11" s="1"/>
  <c r="DS131" i="11"/>
  <c r="DQ131" i="11"/>
  <c r="DR131" i="11"/>
  <c r="DT131" i="11" s="1"/>
  <c r="DO132" i="11"/>
  <c r="DX130" i="11" l="1"/>
  <c r="DW131" i="11"/>
  <c r="DW130" i="11"/>
  <c r="DS132" i="11"/>
  <c r="DQ132" i="11"/>
  <c r="DR132" i="11"/>
  <c r="DT132" i="11" s="1"/>
  <c r="DO133" i="11"/>
  <c r="DY130" i="11" l="1"/>
  <c r="DX131" i="11"/>
  <c r="DY131" i="11" s="1"/>
  <c r="DS133" i="11"/>
  <c r="DQ133" i="11"/>
  <c r="DR133" i="11"/>
  <c r="DT133" i="11" s="1"/>
  <c r="DO134" i="11"/>
  <c r="DW132" i="11" l="1"/>
  <c r="DW133" i="11"/>
  <c r="DX132" i="11"/>
  <c r="DS134" i="11"/>
  <c r="DQ134" i="11"/>
  <c r="DR134" i="11"/>
  <c r="DT134" i="11" s="1"/>
  <c r="DO135" i="11"/>
  <c r="DY132" i="11" l="1"/>
  <c r="DX133" i="11"/>
  <c r="DY133" i="11" s="1"/>
  <c r="DX134" i="11"/>
  <c r="DS135" i="11"/>
  <c r="DQ135" i="11"/>
  <c r="DR135" i="11"/>
  <c r="DT135" i="11" s="1"/>
  <c r="DO136" i="11"/>
  <c r="DX135" i="11" l="1"/>
  <c r="DW134" i="11"/>
  <c r="DS136" i="11"/>
  <c r="DQ136" i="11"/>
  <c r="DR136" i="11"/>
  <c r="DT136" i="11" s="1"/>
  <c r="DO137" i="11"/>
  <c r="DW135" i="11" l="1"/>
  <c r="DY135" i="11" s="1"/>
  <c r="DY134" i="11"/>
  <c r="DW136" i="11"/>
  <c r="DS137" i="11"/>
  <c r="DQ137" i="11"/>
  <c r="DR137" i="11"/>
  <c r="DT137" i="11" s="1"/>
  <c r="DO138" i="11"/>
  <c r="DX136" i="11" l="1"/>
  <c r="DY136" i="11" s="1"/>
  <c r="DW137" i="11"/>
  <c r="DS138" i="11"/>
  <c r="DQ138" i="11"/>
  <c r="DR138" i="11"/>
  <c r="DT138" i="11" s="1"/>
  <c r="DO139" i="11"/>
  <c r="DX137" i="11" l="1"/>
  <c r="DY137" i="11" s="1"/>
  <c r="DX138" i="11"/>
  <c r="DS139" i="11"/>
  <c r="DQ139" i="11"/>
  <c r="DR139" i="11"/>
  <c r="DT139" i="11" s="1"/>
  <c r="DO140" i="11"/>
  <c r="DW138" i="11" l="1"/>
  <c r="DY138" i="11" s="1"/>
  <c r="DW139" i="11"/>
  <c r="DS140" i="11"/>
  <c r="DQ140" i="11"/>
  <c r="DR140" i="11"/>
  <c r="DT140" i="11" s="1"/>
  <c r="DO141" i="11"/>
  <c r="DX139" i="11" l="1"/>
  <c r="DY139" i="11" s="1"/>
  <c r="DS141" i="11"/>
  <c r="DQ141" i="11"/>
  <c r="DR141" i="11"/>
  <c r="DT141" i="11" s="1"/>
  <c r="DO142" i="11"/>
  <c r="DW140" i="11" l="1"/>
  <c r="DX140" i="11"/>
  <c r="DS142" i="11"/>
  <c r="DQ142" i="11"/>
  <c r="DR142" i="11"/>
  <c r="DT142" i="11" s="1"/>
  <c r="DO143" i="11"/>
  <c r="DY140" i="11" l="1"/>
  <c r="DW141" i="11"/>
  <c r="DX141" i="11"/>
  <c r="DW142" i="11"/>
  <c r="DS143" i="11"/>
  <c r="DQ143" i="11"/>
  <c r="DR143" i="11"/>
  <c r="DT143" i="11" s="1"/>
  <c r="DO144" i="11"/>
  <c r="DX142" i="11" l="1"/>
  <c r="DY142" i="11" s="1"/>
  <c r="DY141" i="11"/>
  <c r="DX143" i="11"/>
  <c r="DS144" i="11"/>
  <c r="DQ144" i="11"/>
  <c r="DR144" i="11"/>
  <c r="DT144" i="11" s="1"/>
  <c r="DO145" i="11"/>
  <c r="DW143" i="11" l="1"/>
  <c r="DY143" i="11" s="1"/>
  <c r="DW144" i="11"/>
  <c r="DS145" i="11"/>
  <c r="DQ145" i="11"/>
  <c r="DR145" i="11"/>
  <c r="DT145" i="11" s="1"/>
  <c r="DO146" i="11"/>
  <c r="DX144" i="11" l="1"/>
  <c r="DY144" i="11" s="1"/>
  <c r="DS146" i="11"/>
  <c r="DQ146" i="11"/>
  <c r="DR146" i="11"/>
  <c r="DT146" i="11" s="1"/>
  <c r="DO147" i="11"/>
  <c r="DW145" i="11" l="1"/>
  <c r="DX145" i="11"/>
  <c r="DX146" i="11"/>
  <c r="DS147" i="11"/>
  <c r="DQ147" i="11"/>
  <c r="DR147" i="11"/>
  <c r="DT147" i="11" s="1"/>
  <c r="DO148" i="11"/>
  <c r="DY145" i="11" l="1"/>
  <c r="DW146" i="11"/>
  <c r="DY146" i="11" s="1"/>
  <c r="DW147" i="11"/>
  <c r="DS148" i="11"/>
  <c r="DQ148" i="11"/>
  <c r="DR148" i="11"/>
  <c r="DT148" i="11" s="1"/>
  <c r="DO149" i="11"/>
  <c r="DX147" i="11" l="1"/>
  <c r="DY147" i="11" s="1"/>
  <c r="DX148" i="11"/>
  <c r="DS149" i="11"/>
  <c r="DQ149" i="11"/>
  <c r="DR149" i="11"/>
  <c r="DT149" i="11" s="1"/>
  <c r="DO150" i="11"/>
  <c r="DW148" i="11" l="1"/>
  <c r="DY148" i="11" s="1"/>
  <c r="DW149" i="11"/>
  <c r="DS150" i="11"/>
  <c r="DQ150" i="11"/>
  <c r="DR150" i="11"/>
  <c r="DT150" i="11" s="1"/>
  <c r="DO151" i="11"/>
  <c r="DX149" i="11" l="1"/>
  <c r="DY149" i="11" s="1"/>
  <c r="DS151" i="11"/>
  <c r="DQ151" i="11"/>
  <c r="DR151" i="11"/>
  <c r="DT151" i="11" s="1"/>
  <c r="DO152" i="11"/>
  <c r="DX150" i="11" l="1"/>
  <c r="DX151" i="11"/>
  <c r="DW150" i="11"/>
  <c r="DS152" i="11"/>
  <c r="DQ152" i="11"/>
  <c r="DR152" i="11"/>
  <c r="DT152" i="11" s="1"/>
  <c r="DO153" i="11"/>
  <c r="DY150" i="11" l="1"/>
  <c r="DW151" i="11"/>
  <c r="DY151" i="11" s="1"/>
  <c r="DW152" i="11"/>
  <c r="DS153" i="11"/>
  <c r="DQ153" i="11"/>
  <c r="DR153" i="11"/>
  <c r="DT153" i="11" s="1"/>
  <c r="DO154" i="11"/>
  <c r="DX152" i="11" l="1"/>
  <c r="DY152" i="11" s="1"/>
  <c r="DW153" i="11"/>
  <c r="DS154" i="11"/>
  <c r="DQ154" i="11"/>
  <c r="DR154" i="11"/>
  <c r="DT154" i="11" s="1"/>
  <c r="DO155" i="11"/>
  <c r="DX153" i="11" l="1"/>
  <c r="DY153" i="11" s="1"/>
  <c r="DS155" i="11"/>
  <c r="DQ155" i="11"/>
  <c r="DR155" i="11"/>
  <c r="DT155" i="11" s="1"/>
  <c r="DO156" i="11"/>
  <c r="DW154" i="11" l="1"/>
  <c r="DX154" i="11"/>
  <c r="DX155" i="11"/>
  <c r="DS156" i="11"/>
  <c r="DQ156" i="11"/>
  <c r="DR156" i="11"/>
  <c r="DT156" i="11" s="1"/>
  <c r="DO157" i="11"/>
  <c r="DY154" i="11" l="1"/>
  <c r="DW155" i="11"/>
  <c r="DY155" i="11" s="1"/>
  <c r="DW156" i="11"/>
  <c r="DS157" i="11"/>
  <c r="DQ157" i="11"/>
  <c r="DR157" i="11"/>
  <c r="DT157" i="11" s="1"/>
  <c r="DO158" i="11"/>
  <c r="DX156" i="11" l="1"/>
  <c r="DY156" i="11" s="1"/>
  <c r="DW157" i="11"/>
  <c r="DS158" i="11"/>
  <c r="DQ158" i="11"/>
  <c r="DR158" i="11"/>
  <c r="DT158" i="11" s="1"/>
  <c r="DO159" i="11"/>
  <c r="DX157" i="11" l="1"/>
  <c r="DY157" i="11" s="1"/>
  <c r="DX158" i="11"/>
  <c r="DS159" i="11"/>
  <c r="DQ159" i="11"/>
  <c r="DR159" i="11"/>
  <c r="DT159" i="11" s="1"/>
  <c r="DO160" i="11"/>
  <c r="DX159" i="11" l="1"/>
  <c r="DW158" i="11"/>
  <c r="DY158" i="11" s="1"/>
  <c r="DS160" i="11"/>
  <c r="DQ160" i="11"/>
  <c r="DR160" i="11"/>
  <c r="DT160" i="11" s="1"/>
  <c r="DO161" i="11"/>
  <c r="DW159" i="11" l="1"/>
  <c r="DY159" i="11" s="1"/>
  <c r="DX160" i="11"/>
  <c r="DS161" i="11"/>
  <c r="DQ161" i="11"/>
  <c r="DR161" i="11"/>
  <c r="DT161" i="11" s="1"/>
  <c r="DO162" i="11"/>
  <c r="DW160" i="11" l="1"/>
  <c r="DY160" i="11" s="1"/>
  <c r="DW161" i="11"/>
  <c r="DS162" i="11"/>
  <c r="DQ162" i="11"/>
  <c r="DR162" i="11"/>
  <c r="DT162" i="11" s="1"/>
  <c r="DO163" i="11"/>
  <c r="DX161" i="11" l="1"/>
  <c r="DY161" i="11" s="1"/>
  <c r="DW162" i="11"/>
  <c r="DS163" i="11"/>
  <c r="DQ163" i="11"/>
  <c r="DR163" i="11"/>
  <c r="DT163" i="11" s="1"/>
  <c r="DO164" i="11"/>
  <c r="DX162" i="11" l="1"/>
  <c r="DY162" i="11" s="1"/>
  <c r="DX163" i="11"/>
  <c r="DS164" i="11"/>
  <c r="DQ164" i="11"/>
  <c r="DR164" i="11"/>
  <c r="DT164" i="11" s="1"/>
  <c r="DO165" i="11"/>
  <c r="DW163" i="11" l="1"/>
  <c r="DY163" i="11" s="1"/>
  <c r="DX164" i="11"/>
  <c r="DS165" i="11"/>
  <c r="DQ165" i="11"/>
  <c r="DR165" i="11"/>
  <c r="DT165" i="11" s="1"/>
  <c r="DO166" i="11"/>
  <c r="DW164" i="11" l="1"/>
  <c r="DY164" i="11" s="1"/>
  <c r="DX165" i="11"/>
  <c r="DS166" i="11"/>
  <c r="DQ166" i="11"/>
  <c r="DR166" i="11"/>
  <c r="DT166" i="11" s="1"/>
  <c r="DO167" i="11"/>
  <c r="DW165" i="11" l="1"/>
  <c r="DY165" i="11" s="1"/>
  <c r="DW166" i="11"/>
  <c r="DS167" i="11"/>
  <c r="DQ167" i="11"/>
  <c r="DR167" i="11"/>
  <c r="DT167" i="11" s="1"/>
  <c r="DO168" i="11"/>
  <c r="DX166" i="11" l="1"/>
  <c r="DY166" i="11" s="1"/>
  <c r="DX167" i="11"/>
  <c r="DS168" i="11"/>
  <c r="DQ168" i="11"/>
  <c r="DR168" i="11"/>
  <c r="DT168" i="11" s="1"/>
  <c r="DO169" i="11"/>
  <c r="DW167" i="11" l="1"/>
  <c r="DY167" i="11" s="1"/>
  <c r="DS169" i="11"/>
  <c r="DQ169" i="11"/>
  <c r="DR169" i="11"/>
  <c r="DT169" i="11" s="1"/>
  <c r="DO170" i="11"/>
  <c r="DW168" i="11" l="1"/>
  <c r="DX168" i="11"/>
  <c r="DS170" i="11"/>
  <c r="DQ170" i="11"/>
  <c r="DR170" i="11"/>
  <c r="DT170" i="11" s="1"/>
  <c r="DO171" i="11"/>
  <c r="DY168" i="11" l="1"/>
  <c r="DX169" i="11"/>
  <c r="DW169" i="11"/>
  <c r="DS171" i="11"/>
  <c r="DQ171" i="11"/>
  <c r="DR171" i="11"/>
  <c r="DT171" i="11" s="1"/>
  <c r="DO172" i="11"/>
  <c r="DY169" i="11" l="1"/>
  <c r="DX171" i="11"/>
  <c r="DW170" i="11"/>
  <c r="DX170" i="11"/>
  <c r="DS172" i="11"/>
  <c r="DQ172" i="11"/>
  <c r="DR172" i="11"/>
  <c r="DT172" i="11" s="1"/>
  <c r="DO173" i="11"/>
  <c r="DY170" i="11" l="1"/>
  <c r="DW172" i="11"/>
  <c r="DW171" i="11"/>
  <c r="DY171" i="11" s="1"/>
  <c r="DS173" i="11"/>
  <c r="DQ173" i="11"/>
  <c r="DR173" i="11"/>
  <c r="DT173" i="11" s="1"/>
  <c r="DO174" i="11"/>
  <c r="DX172" i="11" l="1"/>
  <c r="DY172" i="11" s="1"/>
  <c r="DX173" i="11"/>
  <c r="DS174" i="11"/>
  <c r="DQ174" i="11"/>
  <c r="DR174" i="11"/>
  <c r="DT174" i="11" s="1"/>
  <c r="DO175" i="11"/>
  <c r="DW173" i="11" l="1"/>
  <c r="DY173" i="11" s="1"/>
  <c r="DX174" i="11"/>
  <c r="DS175" i="11"/>
  <c r="DQ175" i="11"/>
  <c r="DR175" i="11"/>
  <c r="DT175" i="11" s="1"/>
  <c r="DO176" i="11"/>
  <c r="DW174" i="11" l="1"/>
  <c r="DY174" i="11" s="1"/>
  <c r="DX175" i="11"/>
  <c r="DS176" i="11"/>
  <c r="DQ176" i="11"/>
  <c r="DR176" i="11"/>
  <c r="DT176" i="11" s="1"/>
  <c r="DO177" i="11"/>
  <c r="DW175" i="11" l="1"/>
  <c r="DY175" i="11" s="1"/>
  <c r="DX176" i="11"/>
  <c r="DS177" i="11"/>
  <c r="DQ177" i="11"/>
  <c r="DR177" i="11"/>
  <c r="DT177" i="11" s="1"/>
  <c r="DO178" i="11"/>
  <c r="DW176" i="11" l="1"/>
  <c r="DY176" i="11" s="1"/>
  <c r="DX177" i="11"/>
  <c r="DS178" i="11"/>
  <c r="DQ178" i="11"/>
  <c r="DR178" i="11"/>
  <c r="DT178" i="11" s="1"/>
  <c r="DO179" i="11"/>
  <c r="DW177" i="11" l="1"/>
  <c r="DY177" i="11" s="1"/>
  <c r="DS179" i="11"/>
  <c r="DQ179" i="11"/>
  <c r="DR179" i="11"/>
  <c r="DT179" i="11" s="1"/>
  <c r="DO180" i="11"/>
  <c r="DX178" i="11" l="1"/>
  <c r="DW178" i="11"/>
  <c r="DS180" i="11"/>
  <c r="DQ180" i="11"/>
  <c r="DR180" i="11"/>
  <c r="DT180" i="11" s="1"/>
  <c r="DO181" i="11"/>
  <c r="DY178" i="11" l="1"/>
  <c r="DX180" i="11"/>
  <c r="DW179" i="11"/>
  <c r="DX179" i="11"/>
  <c r="DS181" i="11"/>
  <c r="DQ181" i="11"/>
  <c r="DR181" i="11"/>
  <c r="DT181" i="11" s="1"/>
  <c r="DO182" i="11"/>
  <c r="DY179" i="11" l="1"/>
  <c r="DX181" i="11"/>
  <c r="DW180" i="11"/>
  <c r="DY180" i="11" s="1"/>
  <c r="DS182" i="11"/>
  <c r="DQ182" i="11"/>
  <c r="DR182" i="11"/>
  <c r="DT182" i="11" s="1"/>
  <c r="DO183" i="11"/>
  <c r="DW181" i="11" l="1"/>
  <c r="DY181" i="11" s="1"/>
  <c r="DW182" i="11"/>
  <c r="DS183" i="11"/>
  <c r="DQ183" i="11"/>
  <c r="DR183" i="11"/>
  <c r="DT183" i="11" s="1"/>
  <c r="DO184" i="11"/>
  <c r="DX182" i="11" l="1"/>
  <c r="DY182" i="11" s="1"/>
  <c r="DX183" i="11"/>
  <c r="DS184" i="11"/>
  <c r="DQ184" i="11"/>
  <c r="DR184" i="11"/>
  <c r="DT184" i="11" s="1"/>
  <c r="DO185" i="11"/>
  <c r="DW184" i="11" l="1"/>
  <c r="DW183" i="11"/>
  <c r="DY183" i="11" s="1"/>
  <c r="DS185" i="11"/>
  <c r="DQ185" i="11"/>
  <c r="DR185" i="11"/>
  <c r="DT185" i="11" s="1"/>
  <c r="DO186" i="11"/>
  <c r="DX184" i="11" l="1"/>
  <c r="DY184" i="11" s="1"/>
  <c r="DS186" i="11"/>
  <c r="DQ186" i="11"/>
  <c r="DR186" i="11"/>
  <c r="DT186" i="11" s="1"/>
  <c r="DO187" i="11"/>
  <c r="DX185" i="11" l="1"/>
  <c r="DX186" i="11"/>
  <c r="DW185" i="11"/>
  <c r="DS187" i="11"/>
  <c r="DQ187" i="11"/>
  <c r="DR187" i="11"/>
  <c r="DT187" i="11" s="1"/>
  <c r="DO188" i="11"/>
  <c r="DY185" i="11" l="1"/>
  <c r="DW186" i="11"/>
  <c r="DY186" i="11" s="1"/>
  <c r="DX187" i="11"/>
  <c r="DS188" i="11"/>
  <c r="DQ188" i="11"/>
  <c r="DR188" i="11"/>
  <c r="DT188" i="11" s="1"/>
  <c r="DO189" i="11"/>
  <c r="DW187" i="11" l="1"/>
  <c r="DY187" i="11" s="1"/>
  <c r="DX188" i="11"/>
  <c r="DS189" i="11"/>
  <c r="DQ189" i="11"/>
  <c r="DR189" i="11"/>
  <c r="DT189" i="11" s="1"/>
  <c r="DO190" i="11"/>
  <c r="DW188" i="11" l="1"/>
  <c r="DY188" i="11" s="1"/>
  <c r="DW189" i="11"/>
  <c r="DS190" i="11"/>
  <c r="DQ190" i="11"/>
  <c r="DR190" i="11"/>
  <c r="DT190" i="11" s="1"/>
  <c r="DO191" i="11"/>
  <c r="DX189" i="11" l="1"/>
  <c r="DY189" i="11" s="1"/>
  <c r="DS191" i="11"/>
  <c r="DQ191" i="11"/>
  <c r="DR191" i="11"/>
  <c r="DT191" i="11" s="1"/>
  <c r="DO192" i="11"/>
  <c r="DW191" i="11" l="1"/>
  <c r="DW190" i="11"/>
  <c r="DX190" i="11"/>
  <c r="DS192" i="11"/>
  <c r="DQ192" i="11"/>
  <c r="DR192" i="11"/>
  <c r="DT192" i="11" s="1"/>
  <c r="DO193" i="11"/>
  <c r="DY190" i="11" l="1"/>
  <c r="DX191" i="11"/>
  <c r="DW192" i="11"/>
  <c r="DS193" i="11"/>
  <c r="DQ193" i="11"/>
  <c r="DR193" i="11"/>
  <c r="DT193" i="11" s="1"/>
  <c r="DO194" i="11"/>
  <c r="DX192" i="11" l="1"/>
  <c r="DY192" i="11" s="1"/>
  <c r="DY191" i="11"/>
  <c r="DW193" i="11"/>
  <c r="DS194" i="11"/>
  <c r="DQ194" i="11"/>
  <c r="DR194" i="11"/>
  <c r="DT194" i="11" s="1"/>
  <c r="DO195" i="11"/>
  <c r="DX193" i="11" l="1"/>
  <c r="DY193" i="11" s="1"/>
  <c r="DW194" i="11"/>
  <c r="DS195" i="11"/>
  <c r="DQ195" i="11"/>
  <c r="DR195" i="11"/>
  <c r="DT195" i="11" s="1"/>
  <c r="DO196" i="11"/>
  <c r="DX194" i="11" l="1"/>
  <c r="DY194" i="11" s="1"/>
  <c r="DX195" i="11"/>
  <c r="DS196" i="11"/>
  <c r="DQ196" i="11"/>
  <c r="DR196" i="11"/>
  <c r="DT196" i="11" s="1"/>
  <c r="DO197" i="11"/>
  <c r="DW195" i="11" l="1"/>
  <c r="DY195" i="11" s="1"/>
  <c r="DX196" i="11"/>
  <c r="DS197" i="11"/>
  <c r="DQ197" i="11"/>
  <c r="DR197" i="11"/>
  <c r="DT197" i="11" s="1"/>
  <c r="DO198" i="11"/>
  <c r="DX197" i="11" l="1"/>
  <c r="DW196" i="11"/>
  <c r="DY196" i="11" s="1"/>
  <c r="DS198" i="11"/>
  <c r="DQ198" i="11"/>
  <c r="DR198" i="11"/>
  <c r="DT198" i="11" s="1"/>
  <c r="DO199" i="11"/>
  <c r="DW197" i="11" l="1"/>
  <c r="DY197" i="11" s="1"/>
  <c r="DS199" i="11"/>
  <c r="DQ199" i="11"/>
  <c r="DR199" i="11"/>
  <c r="DT199" i="11" s="1"/>
  <c r="DO200" i="11"/>
  <c r="DX198" i="11" l="1"/>
  <c r="DW198" i="11"/>
  <c r="DX199" i="11"/>
  <c r="DS200" i="11"/>
  <c r="DQ200" i="11"/>
  <c r="DR200" i="11"/>
  <c r="DT200" i="11" s="1"/>
  <c r="DO201" i="11"/>
  <c r="DY198" i="11" l="1"/>
  <c r="DW199" i="11"/>
  <c r="DY199" i="11" s="1"/>
  <c r="DS201" i="11"/>
  <c r="DQ201" i="11"/>
  <c r="DR201" i="11"/>
  <c r="DT201" i="11" s="1"/>
  <c r="DO202" i="11"/>
  <c r="DX200" i="11" l="1"/>
  <c r="DW200" i="11"/>
  <c r="DS202" i="11"/>
  <c r="DQ202" i="11"/>
  <c r="DR202" i="11"/>
  <c r="DT202" i="11" s="1"/>
  <c r="DO203" i="11"/>
  <c r="DY200" i="11" l="1"/>
  <c r="DW202" i="11"/>
  <c r="DW201" i="11"/>
  <c r="DX201" i="11"/>
  <c r="DS203" i="11"/>
  <c r="DQ203" i="11"/>
  <c r="DR203" i="11"/>
  <c r="DT203" i="11" s="1"/>
  <c r="DO204" i="11"/>
  <c r="DX202" i="11" l="1"/>
  <c r="DY202" i="11" s="1"/>
  <c r="DY201" i="11"/>
  <c r="DW203" i="11"/>
  <c r="DS204" i="11"/>
  <c r="DQ204" i="11"/>
  <c r="DR204" i="11"/>
  <c r="DT204" i="11" s="1"/>
  <c r="DO205" i="11"/>
  <c r="DX204" i="11" l="1"/>
  <c r="DX203" i="11"/>
  <c r="DY203" i="11" s="1"/>
  <c r="DS205" i="11"/>
  <c r="DQ205" i="11"/>
  <c r="DR205" i="11"/>
  <c r="DT205" i="11" s="1"/>
  <c r="DO206" i="11"/>
  <c r="DW204" i="11" l="1"/>
  <c r="DY204" i="11" s="1"/>
  <c r="DX205" i="11"/>
  <c r="DS206" i="11"/>
  <c r="DQ206" i="11"/>
  <c r="DR206" i="11"/>
  <c r="DT206" i="11" s="1"/>
  <c r="DO207" i="11"/>
  <c r="DW205" i="11" l="1"/>
  <c r="DY205" i="11" s="1"/>
  <c r="DX206" i="11"/>
  <c r="DS207" i="11"/>
  <c r="DQ207" i="11"/>
  <c r="DR207" i="11"/>
  <c r="DT207" i="11" s="1"/>
  <c r="DO208" i="11"/>
  <c r="DW206" i="11" l="1"/>
  <c r="DY206" i="11" s="1"/>
  <c r="DW207" i="11"/>
  <c r="DS208" i="11"/>
  <c r="DQ208" i="11"/>
  <c r="DR208" i="11"/>
  <c r="DT208" i="11" s="1"/>
  <c r="DO209" i="11"/>
  <c r="DX207" i="11" l="1"/>
  <c r="DY207" i="11" s="1"/>
  <c r="DW208" i="11"/>
  <c r="DS209" i="11"/>
  <c r="DQ209" i="11"/>
  <c r="DR209" i="11"/>
  <c r="DT209" i="11" s="1"/>
  <c r="DO210" i="11"/>
  <c r="DX208" i="11" l="1"/>
  <c r="DY208" i="11" s="1"/>
  <c r="DX209" i="11"/>
  <c r="DS210" i="11"/>
  <c r="DQ210" i="11"/>
  <c r="DR210" i="11"/>
  <c r="DT210" i="11" s="1"/>
  <c r="DO211" i="11"/>
  <c r="DX210" i="11" l="1"/>
  <c r="DW209" i="11"/>
  <c r="DY209" i="11" s="1"/>
  <c r="DS211" i="11"/>
  <c r="DQ211" i="11"/>
  <c r="DR211" i="11"/>
  <c r="DT211" i="11" s="1"/>
  <c r="DO212" i="11"/>
  <c r="DW210" i="11" l="1"/>
  <c r="DY210" i="11" s="1"/>
  <c r="DX211" i="11"/>
  <c r="DS212" i="11"/>
  <c r="DQ212" i="11"/>
  <c r="DR212" i="11"/>
  <c r="DT212" i="11" s="1"/>
  <c r="DO213" i="11"/>
  <c r="DW211" i="11" l="1"/>
  <c r="DY211" i="11" s="1"/>
  <c r="DW212" i="11"/>
  <c r="DS213" i="11"/>
  <c r="DQ213" i="11"/>
  <c r="DR213" i="11"/>
  <c r="DT213" i="11" s="1"/>
  <c r="DO214" i="11"/>
  <c r="DX212" i="11" l="1"/>
  <c r="DY212" i="11" s="1"/>
  <c r="DX213" i="11"/>
  <c r="DS214" i="11"/>
  <c r="DQ214" i="11"/>
  <c r="DR214" i="11"/>
  <c r="DT214" i="11" s="1"/>
  <c r="DO215" i="11"/>
  <c r="DW213" i="11" l="1"/>
  <c r="DY213" i="11" s="1"/>
  <c r="DS215" i="11"/>
  <c r="DQ215" i="11"/>
  <c r="DR215" i="11"/>
  <c r="DT215" i="11" s="1"/>
  <c r="DO216" i="11"/>
  <c r="DW214" i="11" l="1"/>
  <c r="DX214" i="11"/>
  <c r="DX215" i="11"/>
  <c r="DS216" i="11"/>
  <c r="DQ216" i="11"/>
  <c r="DR216" i="11"/>
  <c r="DT216" i="11" s="1"/>
  <c r="DO217" i="11"/>
  <c r="DY214" i="11" l="1"/>
  <c r="DW215" i="11"/>
  <c r="DY215" i="11" s="1"/>
  <c r="DW216" i="11"/>
  <c r="DS217" i="11"/>
  <c r="DQ217" i="11"/>
  <c r="DR217" i="11"/>
  <c r="DT217" i="11" s="1"/>
  <c r="DO218" i="11"/>
  <c r="DX216" i="11" l="1"/>
  <c r="DY216" i="11" s="1"/>
  <c r="DX217" i="11"/>
  <c r="DS218" i="11"/>
  <c r="DQ218" i="11"/>
  <c r="DR218" i="11"/>
  <c r="DT218" i="11" s="1"/>
  <c r="DO219" i="11"/>
  <c r="DX218" i="11" l="1"/>
  <c r="DW217" i="11"/>
  <c r="DY217" i="11" s="1"/>
  <c r="DS219" i="11"/>
  <c r="DQ219" i="11"/>
  <c r="DR219" i="11"/>
  <c r="DT219" i="11" s="1"/>
  <c r="DO220" i="11"/>
  <c r="DW218" i="11" l="1"/>
  <c r="DY218" i="11" s="1"/>
  <c r="DX219" i="11"/>
  <c r="DS220" i="11"/>
  <c r="DQ220" i="11"/>
  <c r="DR220" i="11"/>
  <c r="DT220" i="11" s="1"/>
  <c r="DO221" i="11"/>
  <c r="DW219" i="11" l="1"/>
  <c r="DS221" i="11"/>
  <c r="DQ221" i="11"/>
  <c r="DR221" i="11"/>
  <c r="DT221" i="11" s="1"/>
  <c r="DO222" i="11"/>
  <c r="DX221" i="11" l="1"/>
  <c r="DY219" i="11"/>
  <c r="DW220" i="11"/>
  <c r="DX220" i="11"/>
  <c r="DS222" i="11"/>
  <c r="DQ222" i="11"/>
  <c r="DR222" i="11"/>
  <c r="DT222" i="11" s="1"/>
  <c r="DO223" i="11"/>
  <c r="DW221" i="11" l="1"/>
  <c r="DY221" i="11" s="1"/>
  <c r="DY220" i="11"/>
  <c r="DS223" i="11"/>
  <c r="DQ223" i="11"/>
  <c r="DR223" i="11"/>
  <c r="DT223" i="11" s="1"/>
  <c r="DO224" i="11"/>
  <c r="DX222" i="11" l="1"/>
  <c r="DW222" i="11"/>
  <c r="DS224" i="11"/>
  <c r="DQ224" i="11"/>
  <c r="DR224" i="11"/>
  <c r="DT224" i="11" s="1"/>
  <c r="DO225" i="11"/>
  <c r="DY222" i="11" l="1"/>
  <c r="DW223" i="11"/>
  <c r="DX224" i="11"/>
  <c r="DX223" i="11"/>
  <c r="DS225" i="11"/>
  <c r="DQ225" i="11"/>
  <c r="DR225" i="11"/>
  <c r="DT225" i="11" s="1"/>
  <c r="DO226" i="11"/>
  <c r="DY223" i="11" l="1"/>
  <c r="DW224" i="11"/>
  <c r="DY224" i="11" s="1"/>
  <c r="DW225" i="11"/>
  <c r="DS226" i="11"/>
  <c r="DQ226" i="11"/>
  <c r="DR226" i="11"/>
  <c r="DT226" i="11" s="1"/>
  <c r="DO227" i="11"/>
  <c r="DX226" i="11" l="1"/>
  <c r="DX225" i="11"/>
  <c r="DY225" i="11" s="1"/>
  <c r="DS227" i="11"/>
  <c r="DQ227" i="11"/>
  <c r="DR227" i="11"/>
  <c r="DT227" i="11" s="1"/>
  <c r="DO228" i="11"/>
  <c r="DW226" i="11" l="1"/>
  <c r="DY226" i="11" s="1"/>
  <c r="DS228" i="11"/>
  <c r="DQ228" i="11"/>
  <c r="DR228" i="11"/>
  <c r="DT228" i="11" s="1"/>
  <c r="DO229" i="11"/>
  <c r="DX228" i="11" l="1"/>
  <c r="DW227" i="11"/>
  <c r="DX227" i="11"/>
  <c r="DS229" i="11"/>
  <c r="DQ229" i="11"/>
  <c r="DR229" i="11"/>
  <c r="DT229" i="11" s="1"/>
  <c r="DO230" i="11"/>
  <c r="DY227" i="11" l="1"/>
  <c r="DW229" i="11"/>
  <c r="DW228" i="11"/>
  <c r="DY228" i="11" s="1"/>
  <c r="DS230" i="11"/>
  <c r="DQ230" i="11"/>
  <c r="DR230" i="11"/>
  <c r="DT230" i="11" s="1"/>
  <c r="DO231" i="11"/>
  <c r="DX229" i="11" l="1"/>
  <c r="DY229" i="11" s="1"/>
  <c r="DS231" i="11"/>
  <c r="DQ231" i="11"/>
  <c r="DR231" i="11"/>
  <c r="DT231" i="11" s="1"/>
  <c r="DO232" i="11"/>
  <c r="DX230" i="11" l="1"/>
  <c r="DX231" i="11"/>
  <c r="DW230" i="11"/>
  <c r="DS232" i="11"/>
  <c r="DQ232" i="11"/>
  <c r="DR232" i="11"/>
  <c r="DT232" i="11" s="1"/>
  <c r="DO233" i="11"/>
  <c r="DW231" i="11" l="1"/>
  <c r="DY231" i="11" s="1"/>
  <c r="DY230" i="11"/>
  <c r="DX232" i="11"/>
  <c r="DS233" i="11"/>
  <c r="DQ233" i="11"/>
  <c r="DR233" i="11"/>
  <c r="DT233" i="11" s="1"/>
  <c r="DO234" i="11"/>
  <c r="DW232" i="11" l="1"/>
  <c r="DY232" i="11" s="1"/>
  <c r="DX233" i="11"/>
  <c r="DS234" i="11"/>
  <c r="DQ234" i="11"/>
  <c r="DR234" i="11"/>
  <c r="DT234" i="11" s="1"/>
  <c r="DO235" i="11"/>
  <c r="DW233" i="11" l="1"/>
  <c r="DY233" i="11" s="1"/>
  <c r="DW234" i="11"/>
  <c r="DS235" i="11"/>
  <c r="DQ235" i="11"/>
  <c r="DR235" i="11"/>
  <c r="DT235" i="11" s="1"/>
  <c r="DO236" i="11"/>
  <c r="DX235" i="11" l="1"/>
  <c r="DX234" i="11"/>
  <c r="DS236" i="11"/>
  <c r="DQ236" i="11"/>
  <c r="DR236" i="11"/>
  <c r="DT236" i="11" s="1"/>
  <c r="DO237" i="11"/>
  <c r="DY234" i="11" l="1"/>
  <c r="DW235" i="11"/>
  <c r="DX236" i="11"/>
  <c r="DS237" i="11"/>
  <c r="DQ237" i="11"/>
  <c r="DR237" i="11"/>
  <c r="DT237" i="11" s="1"/>
  <c r="DO238" i="11"/>
  <c r="DW236" i="11" l="1"/>
  <c r="DY236" i="11" s="1"/>
  <c r="DW237" i="11"/>
  <c r="DY235" i="11"/>
  <c r="DS238" i="11"/>
  <c r="DQ238" i="11"/>
  <c r="DR238" i="11"/>
  <c r="DT238" i="11" s="1"/>
  <c r="DO239" i="11"/>
  <c r="DX237" i="11" l="1"/>
  <c r="DY237" i="11" s="1"/>
  <c r="DX238" i="11"/>
  <c r="DS239" i="11"/>
  <c r="DQ239" i="11"/>
  <c r="DR239" i="11"/>
  <c r="DT239" i="11" s="1"/>
  <c r="DO240" i="11"/>
  <c r="DW238" i="11" l="1"/>
  <c r="DY238" i="11" s="1"/>
  <c r="DS240" i="11"/>
  <c r="DQ240" i="11"/>
  <c r="DR240" i="11"/>
  <c r="DT240" i="11" s="1"/>
  <c r="DO241" i="11"/>
  <c r="DX239" i="11" l="1"/>
  <c r="DW239" i="11"/>
  <c r="DS241" i="11"/>
  <c r="DQ241" i="11"/>
  <c r="DR241" i="11"/>
  <c r="DT241" i="11" s="1"/>
  <c r="DO242" i="11"/>
  <c r="DY239" i="11" l="1"/>
  <c r="DX240" i="11"/>
  <c r="DW240" i="11"/>
  <c r="DX241" i="11"/>
  <c r="DS242" i="11"/>
  <c r="DQ242" i="11"/>
  <c r="DR242" i="11"/>
  <c r="DT242" i="11" s="1"/>
  <c r="DO243" i="11"/>
  <c r="DY240" i="11" l="1"/>
  <c r="DW242" i="11"/>
  <c r="DW241" i="11"/>
  <c r="DS243" i="11"/>
  <c r="DQ243" i="11"/>
  <c r="DR243" i="11"/>
  <c r="DT243" i="11" s="1"/>
  <c r="DO244" i="11"/>
  <c r="DY241" i="11" l="1"/>
  <c r="DX242" i="11"/>
  <c r="DY242" i="11" s="1"/>
  <c r="DW243" i="11"/>
  <c r="DS244" i="11"/>
  <c r="DQ244" i="11"/>
  <c r="DR244" i="11"/>
  <c r="DT244" i="11" s="1"/>
  <c r="DO245" i="11"/>
  <c r="DX244" i="11" l="1"/>
  <c r="DX243" i="11"/>
  <c r="DY243" i="11" s="1"/>
  <c r="DS245" i="11"/>
  <c r="DQ245" i="11"/>
  <c r="DR245" i="11"/>
  <c r="DT245" i="11" s="1"/>
  <c r="DO246" i="11"/>
  <c r="DW244" i="11" l="1"/>
  <c r="DY244" i="11" s="1"/>
  <c r="DW245" i="11"/>
  <c r="DS246" i="11"/>
  <c r="DQ246" i="11"/>
  <c r="DR246" i="11"/>
  <c r="DT246" i="11" s="1"/>
  <c r="DO247" i="11"/>
  <c r="DX245" i="11" l="1"/>
  <c r="DY245" i="11" s="1"/>
  <c r="DW246" i="11"/>
  <c r="DS247" i="11"/>
  <c r="DQ247" i="11"/>
  <c r="DR247" i="11"/>
  <c r="DT247" i="11" s="1"/>
  <c r="DO248" i="11"/>
  <c r="DX246" i="11" l="1"/>
  <c r="DY246" i="11" s="1"/>
  <c r="DW247" i="11"/>
  <c r="DS248" i="11"/>
  <c r="DQ248" i="11"/>
  <c r="DR248" i="11"/>
  <c r="DT248" i="11" s="1"/>
  <c r="DO249" i="11"/>
  <c r="DX247" i="11" l="1"/>
  <c r="DY247" i="11" s="1"/>
  <c r="DW248" i="11"/>
  <c r="DS249" i="11"/>
  <c r="DQ249" i="11"/>
  <c r="DR249" i="11"/>
  <c r="DT249" i="11" s="1"/>
  <c r="DO250" i="11"/>
  <c r="DX248" i="11" l="1"/>
  <c r="DY248" i="11" s="1"/>
  <c r="DS250" i="11"/>
  <c r="DQ250" i="11"/>
  <c r="DR250" i="11"/>
  <c r="DT250" i="11" s="1"/>
  <c r="DO251" i="11"/>
  <c r="DX249" i="11" l="1"/>
  <c r="DW249" i="11"/>
  <c r="DW250" i="11"/>
  <c r="DS251" i="11"/>
  <c r="DQ251" i="11"/>
  <c r="DR251" i="11"/>
  <c r="DT251" i="11" s="1"/>
  <c r="DO252" i="11"/>
  <c r="DX250" i="11" l="1"/>
  <c r="DY250" i="11" s="1"/>
  <c r="DY249" i="11"/>
  <c r="DX251" i="11"/>
  <c r="DS252" i="11"/>
  <c r="DQ252" i="11"/>
  <c r="DR252" i="11"/>
  <c r="DT252" i="11" s="1"/>
  <c r="DO253" i="11"/>
  <c r="DW251" i="11" l="1"/>
  <c r="DY251" i="11" s="1"/>
  <c r="DW252" i="11"/>
  <c r="DS253" i="11"/>
  <c r="DQ253" i="11"/>
  <c r="DR253" i="11"/>
  <c r="DT253" i="11" s="1"/>
  <c r="DO254" i="11"/>
  <c r="DX252" i="11" l="1"/>
  <c r="DY252" i="11" s="1"/>
  <c r="DX253" i="11"/>
  <c r="DS254" i="11"/>
  <c r="DQ254" i="11"/>
  <c r="DR254" i="11"/>
  <c r="DT254" i="11" s="1"/>
  <c r="DO255" i="11"/>
  <c r="DX254" i="11" l="1"/>
  <c r="DW253" i="11"/>
  <c r="DY253" i="11" s="1"/>
  <c r="DS255" i="11"/>
  <c r="DQ255" i="11"/>
  <c r="DR255" i="11"/>
  <c r="DT255" i="11" s="1"/>
  <c r="DO256" i="11"/>
  <c r="DW254" i="11" l="1"/>
  <c r="DY254" i="11" s="1"/>
  <c r="DW255" i="11"/>
  <c r="DS256" i="11"/>
  <c r="DQ256" i="11"/>
  <c r="DR256" i="11"/>
  <c r="DT256" i="11" s="1"/>
  <c r="DO257" i="11"/>
  <c r="DX255" i="11" l="1"/>
  <c r="DY255" i="11" s="1"/>
  <c r="DX256" i="11"/>
  <c r="DS257" i="11"/>
  <c r="DQ257" i="11"/>
  <c r="DR257" i="11"/>
  <c r="DT257" i="11" s="1"/>
  <c r="DO258" i="11"/>
  <c r="DW257" i="11" l="1"/>
  <c r="DW256" i="11"/>
  <c r="DY256" i="11" s="1"/>
  <c r="DS258" i="11"/>
  <c r="DQ258" i="11"/>
  <c r="DR258" i="11"/>
  <c r="DT258" i="11" s="1"/>
  <c r="DO259" i="11"/>
  <c r="DX257" i="11" l="1"/>
  <c r="DY257" i="11" s="1"/>
  <c r="DS259" i="11"/>
  <c r="DQ259" i="11"/>
  <c r="DR259" i="11"/>
  <c r="DT259" i="11" s="1"/>
  <c r="DO260" i="11"/>
  <c r="DW259" i="11" l="1"/>
  <c r="DX258" i="11"/>
  <c r="DW258" i="11"/>
  <c r="DS260" i="11"/>
  <c r="DQ260" i="11"/>
  <c r="DR260" i="11"/>
  <c r="DT260" i="11" s="1"/>
  <c r="DO261" i="11"/>
  <c r="DX259" i="11" l="1"/>
  <c r="DY259" i="11" s="1"/>
  <c r="DY258" i="11"/>
  <c r="DS261" i="11"/>
  <c r="DQ261" i="11"/>
  <c r="DR261" i="11"/>
  <c r="DT261" i="11" s="1"/>
  <c r="DO262" i="11"/>
  <c r="DW260" i="11" l="1"/>
  <c r="DX260" i="11"/>
  <c r="DX261" i="11"/>
  <c r="DS262" i="11"/>
  <c r="DQ262" i="11"/>
  <c r="DR262" i="11"/>
  <c r="DT262" i="11" s="1"/>
  <c r="DO263" i="11"/>
  <c r="DY260" i="11" l="1"/>
  <c r="DW261" i="11"/>
  <c r="DY261" i="11" s="1"/>
  <c r="DX262" i="11"/>
  <c r="DS263" i="11"/>
  <c r="DQ263" i="11"/>
  <c r="DR263" i="11"/>
  <c r="DT263" i="11" s="1"/>
  <c r="DO264" i="11"/>
  <c r="DW262" i="11" l="1"/>
  <c r="DY262" i="11" s="1"/>
  <c r="DS264" i="11"/>
  <c r="DQ264" i="11"/>
  <c r="DR264" i="11"/>
  <c r="DT264" i="11" s="1"/>
  <c r="DO265" i="11"/>
  <c r="DW264" i="11" l="1"/>
  <c r="DX263" i="11"/>
  <c r="DW263" i="11"/>
  <c r="DS265" i="11"/>
  <c r="DQ265" i="11"/>
  <c r="DR265" i="11"/>
  <c r="DT265" i="11" s="1"/>
  <c r="DO266" i="11"/>
  <c r="DY263" i="11" l="1"/>
  <c r="DX264" i="11"/>
  <c r="DY264" i="11" s="1"/>
  <c r="DS266" i="11"/>
  <c r="DQ266" i="11"/>
  <c r="DR266" i="11"/>
  <c r="DT266" i="11" s="1"/>
  <c r="DO267" i="11"/>
  <c r="DX265" i="11" l="1"/>
  <c r="DW265" i="11"/>
  <c r="DS267" i="11"/>
  <c r="DQ267" i="11"/>
  <c r="DR267" i="11"/>
  <c r="DT267" i="11" s="1"/>
  <c r="DO268" i="11"/>
  <c r="DY265" i="11" l="1"/>
  <c r="DX266" i="11"/>
  <c r="DW266" i="11"/>
  <c r="DS268" i="11"/>
  <c r="DQ268" i="11"/>
  <c r="DR268" i="11"/>
  <c r="DT268" i="11" s="1"/>
  <c r="DO269" i="11"/>
  <c r="DY266" i="11" l="1"/>
  <c r="DX267" i="11"/>
  <c r="DW268" i="11"/>
  <c r="DW267" i="11"/>
  <c r="DS269" i="11"/>
  <c r="DQ269" i="11"/>
  <c r="DR269" i="11"/>
  <c r="DT269" i="11" s="1"/>
  <c r="DO270" i="11"/>
  <c r="DX268" i="11" l="1"/>
  <c r="DY268" i="11" s="1"/>
  <c r="DY267" i="11"/>
  <c r="DX269" i="11"/>
  <c r="DS270" i="11"/>
  <c r="DQ270" i="11"/>
  <c r="DR270" i="11"/>
  <c r="DT270" i="11" s="1"/>
  <c r="DO271" i="11"/>
  <c r="DW269" i="11" l="1"/>
  <c r="DY269" i="11" s="1"/>
  <c r="DX270" i="11"/>
  <c r="DS271" i="11"/>
  <c r="DQ271" i="11"/>
  <c r="DR271" i="11"/>
  <c r="DT271" i="11" s="1"/>
  <c r="DO272" i="11"/>
  <c r="DW270" i="11" l="1"/>
  <c r="DY270" i="11" s="1"/>
  <c r="DW271" i="11"/>
  <c r="DS272" i="11"/>
  <c r="DQ272" i="11"/>
  <c r="DR272" i="11"/>
  <c r="DT272" i="11" s="1"/>
  <c r="DO273" i="11"/>
  <c r="DX271" i="11" l="1"/>
  <c r="DY271" i="11" s="1"/>
  <c r="DW272" i="11"/>
  <c r="DS273" i="11"/>
  <c r="DQ273" i="11"/>
  <c r="DR273" i="11"/>
  <c r="DT273" i="11" s="1"/>
  <c r="DO274" i="11"/>
  <c r="DX272" i="11" l="1"/>
  <c r="DY272" i="11" s="1"/>
  <c r="DW273" i="11"/>
  <c r="DS274" i="11"/>
  <c r="DQ274" i="11"/>
  <c r="DR274" i="11"/>
  <c r="DT274" i="11" s="1"/>
  <c r="DO275" i="11"/>
  <c r="DX273" i="11" l="1"/>
  <c r="DY273" i="11" s="1"/>
  <c r="DW274" i="11"/>
  <c r="DS275" i="11"/>
  <c r="DQ275" i="11"/>
  <c r="DR275" i="11"/>
  <c r="DT275" i="11" s="1"/>
  <c r="DO276" i="11"/>
  <c r="DX274" i="11" l="1"/>
  <c r="DY274" i="11" s="1"/>
  <c r="DS276" i="11"/>
  <c r="DQ276" i="11"/>
  <c r="DR276" i="11"/>
  <c r="DT276" i="11" s="1"/>
  <c r="DO277" i="11"/>
  <c r="DX276" i="11" l="1"/>
  <c r="DW275" i="11"/>
  <c r="DX275" i="11"/>
  <c r="DS277" i="11"/>
  <c r="DQ277" i="11"/>
  <c r="DR277" i="11"/>
  <c r="DT277" i="11" s="1"/>
  <c r="DO278" i="11"/>
  <c r="DW276" i="11" l="1"/>
  <c r="DY276" i="11" s="1"/>
  <c r="DY275" i="11"/>
  <c r="DW277" i="11"/>
  <c r="DS278" i="11"/>
  <c r="DQ278" i="11"/>
  <c r="DR278" i="11"/>
  <c r="DT278" i="11" s="1"/>
  <c r="DO279" i="11"/>
  <c r="DX277" i="11" l="1"/>
  <c r="DY277" i="11" s="1"/>
  <c r="DS279" i="11"/>
  <c r="DQ279" i="11"/>
  <c r="DR279" i="11"/>
  <c r="DT279" i="11" s="1"/>
  <c r="DO280" i="11"/>
  <c r="DX278" i="11" l="1"/>
  <c r="DW278" i="11"/>
  <c r="DX279" i="11"/>
  <c r="DS280" i="11"/>
  <c r="DQ280" i="11"/>
  <c r="DR280" i="11"/>
  <c r="DT280" i="11" s="1"/>
  <c r="DO281" i="11"/>
  <c r="DY278" i="11" l="1"/>
  <c r="DW279" i="11"/>
  <c r="DY279" i="11" s="1"/>
  <c r="DW280" i="11"/>
  <c r="DS281" i="11"/>
  <c r="DQ281" i="11"/>
  <c r="DR281" i="11"/>
  <c r="DT281" i="11" s="1"/>
  <c r="DO282" i="11"/>
  <c r="DX280" i="11" l="1"/>
  <c r="DY280" i="11" s="1"/>
  <c r="DW281" i="11"/>
  <c r="DS282" i="11"/>
  <c r="DQ282" i="11"/>
  <c r="DR282" i="11"/>
  <c r="DT282" i="11" s="1"/>
  <c r="DO283" i="11"/>
  <c r="DX281" i="11" l="1"/>
  <c r="DY281" i="11" s="1"/>
  <c r="DW282" i="11"/>
  <c r="DS283" i="11"/>
  <c r="DQ283" i="11"/>
  <c r="DR283" i="11"/>
  <c r="DT283" i="11" s="1"/>
  <c r="DO284" i="11"/>
  <c r="DX282" i="11" l="1"/>
  <c r="DY282" i="11" s="1"/>
  <c r="DW283" i="11"/>
  <c r="DS284" i="11"/>
  <c r="DQ284" i="11"/>
  <c r="DR284" i="11"/>
  <c r="DT284" i="11" s="1"/>
  <c r="DO285" i="11"/>
  <c r="DX283" i="11" l="1"/>
  <c r="DY283" i="11" s="1"/>
  <c r="DW284" i="11"/>
  <c r="DS285" i="11"/>
  <c r="DQ285" i="11"/>
  <c r="DR285" i="11"/>
  <c r="DT285" i="11" s="1"/>
  <c r="DO286" i="11"/>
  <c r="DX284" i="11" l="1"/>
  <c r="DY284" i="11" s="1"/>
  <c r="DW285" i="11"/>
  <c r="DS286" i="11"/>
  <c r="DQ286" i="11"/>
  <c r="DR286" i="11"/>
  <c r="DT286" i="11" s="1"/>
  <c r="DO287" i="11"/>
  <c r="DX285" i="11" l="1"/>
  <c r="DY285" i="11" s="1"/>
  <c r="DS287" i="11"/>
  <c r="DQ287" i="11"/>
  <c r="DR287" i="11"/>
  <c r="DT287" i="11" s="1"/>
  <c r="DO288" i="11"/>
  <c r="DW286" i="11" l="1"/>
  <c r="DX286" i="11"/>
  <c r="DX287" i="11"/>
  <c r="DS288" i="11"/>
  <c r="DQ288" i="11"/>
  <c r="DR288" i="11"/>
  <c r="DT288" i="11" s="1"/>
  <c r="DO289" i="11"/>
  <c r="DY286" i="11" l="1"/>
  <c r="DW287" i="11"/>
  <c r="DY287" i="11" s="1"/>
  <c r="DW288" i="11"/>
  <c r="DS289" i="11"/>
  <c r="DQ289" i="11"/>
  <c r="DR289" i="11"/>
  <c r="DT289" i="11" s="1"/>
  <c r="DO290" i="11"/>
  <c r="DW289" i="11" l="1"/>
  <c r="DX288" i="11"/>
  <c r="DS290" i="11"/>
  <c r="DQ290" i="11"/>
  <c r="DR290" i="11"/>
  <c r="DT290" i="11" s="1"/>
  <c r="DO291" i="11"/>
  <c r="DY288" i="11" l="1"/>
  <c r="DX289" i="11"/>
  <c r="DY289" i="11" s="1"/>
  <c r="DW290" i="11"/>
  <c r="DS291" i="11"/>
  <c r="DQ291" i="11"/>
  <c r="DR291" i="11"/>
  <c r="DT291" i="11" s="1"/>
  <c r="DO292" i="11"/>
  <c r="DX290" i="11" l="1"/>
  <c r="DY290" i="11" s="1"/>
  <c r="DX291" i="11"/>
  <c r="DS292" i="11"/>
  <c r="DQ292" i="11"/>
  <c r="DR292" i="11"/>
  <c r="DT292" i="11" s="1"/>
  <c r="DO293" i="11"/>
  <c r="DW291" i="11" l="1"/>
  <c r="DY291" i="11" s="1"/>
  <c r="DS293" i="11"/>
  <c r="DQ293" i="11"/>
  <c r="DR293" i="11"/>
  <c r="DT293" i="11" s="1"/>
  <c r="DO294" i="11"/>
  <c r="DW293" i="11" l="1"/>
  <c r="DW292" i="11"/>
  <c r="DX292" i="11"/>
  <c r="DS294" i="11"/>
  <c r="DQ294" i="11"/>
  <c r="DR294" i="11"/>
  <c r="DT294" i="11" s="1"/>
  <c r="DO295" i="11"/>
  <c r="DX293" i="11" l="1"/>
  <c r="DY293" i="11" s="1"/>
  <c r="DY292" i="11"/>
  <c r="DX294" i="11"/>
  <c r="DS295" i="11"/>
  <c r="DQ295" i="11"/>
  <c r="DR295" i="11"/>
  <c r="DT295" i="11" s="1"/>
  <c r="DO296" i="11"/>
  <c r="DX295" i="11" l="1"/>
  <c r="DW294" i="11"/>
  <c r="DY294" i="11" s="1"/>
  <c r="DS296" i="11"/>
  <c r="DQ296" i="11"/>
  <c r="DR296" i="11"/>
  <c r="DT296" i="11" s="1"/>
  <c r="DO297" i="11"/>
  <c r="DW295" i="11" l="1"/>
  <c r="DY295" i="11" s="1"/>
  <c r="DS297" i="11"/>
  <c r="DQ297" i="11"/>
  <c r="DR297" i="11"/>
  <c r="DT297" i="11" s="1"/>
  <c r="DO298" i="11"/>
  <c r="DW296" i="11" l="1"/>
  <c r="DX296" i="11"/>
  <c r="DX297" i="11"/>
  <c r="DS298" i="11"/>
  <c r="DQ298" i="11"/>
  <c r="DR298" i="11"/>
  <c r="DT298" i="11" s="1"/>
  <c r="DO299" i="11"/>
  <c r="DW297" i="11" l="1"/>
  <c r="DY297" i="11" s="1"/>
  <c r="DY296" i="11"/>
  <c r="DX298" i="11"/>
  <c r="DS299" i="11"/>
  <c r="DQ299" i="11"/>
  <c r="DR299" i="11"/>
  <c r="DT299" i="11" s="1"/>
  <c r="DO300" i="11"/>
  <c r="DW298" i="11" l="1"/>
  <c r="DY298" i="11" s="1"/>
  <c r="DW299" i="11"/>
  <c r="DS300" i="11"/>
  <c r="DQ300" i="11"/>
  <c r="DR300" i="11"/>
  <c r="DT300" i="11" s="1"/>
  <c r="DO301" i="11"/>
  <c r="DX299" i="11" l="1"/>
  <c r="DY299" i="11" s="1"/>
  <c r="DX300" i="11"/>
  <c r="DS301" i="11"/>
  <c r="DQ301" i="11"/>
  <c r="DR301" i="11"/>
  <c r="DT301" i="11" s="1"/>
  <c r="DO302" i="11"/>
  <c r="DW300" i="11" l="1"/>
  <c r="DY300" i="11" s="1"/>
  <c r="DS302" i="11"/>
  <c r="DQ302" i="11"/>
  <c r="DR302" i="11"/>
  <c r="DT302" i="11" s="1"/>
  <c r="DO303" i="11"/>
  <c r="DX302" i="11" l="1"/>
  <c r="DW301" i="11"/>
  <c r="DX301" i="11"/>
  <c r="DS303" i="11"/>
  <c r="DQ303" i="11"/>
  <c r="DR303" i="11"/>
  <c r="DT303" i="11" s="1"/>
  <c r="DO304" i="11"/>
  <c r="DW302" i="11" l="1"/>
  <c r="DY302" i="11" s="1"/>
  <c r="DY301" i="11"/>
  <c r="DS304" i="11"/>
  <c r="DQ304" i="11"/>
  <c r="DR304" i="11"/>
  <c r="DT304" i="11" s="1"/>
  <c r="DO305" i="11"/>
  <c r="DX303" i="11" l="1"/>
  <c r="DW303" i="11"/>
  <c r="DW304" i="11"/>
  <c r="DS305" i="11"/>
  <c r="DQ305" i="11"/>
  <c r="DR305" i="11"/>
  <c r="DT305" i="11" s="1"/>
  <c r="DO306" i="11"/>
  <c r="DY303" i="11" l="1"/>
  <c r="DX304" i="11"/>
  <c r="DY304" i="11" s="1"/>
  <c r="DX305" i="11"/>
  <c r="DS306" i="11"/>
  <c r="DQ306" i="11"/>
  <c r="DR306" i="11"/>
  <c r="DT306" i="11" s="1"/>
  <c r="DO307" i="11"/>
  <c r="DW305" i="11" l="1"/>
  <c r="DY305" i="11" s="1"/>
  <c r="DX306" i="11"/>
  <c r="DS307" i="11"/>
  <c r="DQ307" i="11"/>
  <c r="DR307" i="11"/>
  <c r="DT307" i="11" s="1"/>
  <c r="DO308" i="11"/>
  <c r="DW306" i="11" l="1"/>
  <c r="DY306" i="11" s="1"/>
  <c r="DW307" i="11"/>
  <c r="DS308" i="11"/>
  <c r="DQ308" i="11"/>
  <c r="DR308" i="11"/>
  <c r="DT308" i="11" s="1"/>
  <c r="DO309" i="11"/>
  <c r="DX307" i="11" l="1"/>
  <c r="DY307" i="11" s="1"/>
  <c r="DW308" i="11"/>
  <c r="DS309" i="11"/>
  <c r="DQ309" i="11"/>
  <c r="DR309" i="11"/>
  <c r="DT309" i="11" s="1"/>
  <c r="DO310" i="11"/>
  <c r="DX308" i="11" l="1"/>
  <c r="DY308" i="11" s="1"/>
  <c r="DS310" i="11"/>
  <c r="DQ310" i="11"/>
  <c r="DR310" i="11"/>
  <c r="DT310" i="11" s="1"/>
  <c r="DO311" i="11"/>
  <c r="DX310" i="11" l="1"/>
  <c r="DW309" i="11"/>
  <c r="DX309" i="11"/>
  <c r="DS311" i="11"/>
  <c r="DQ311" i="11"/>
  <c r="DR311" i="11"/>
  <c r="DT311" i="11" s="1"/>
  <c r="DO312" i="11"/>
  <c r="DY309" i="11" l="1"/>
  <c r="DW310" i="11"/>
  <c r="DY310" i="11" s="1"/>
  <c r="DW311" i="11"/>
  <c r="DS312" i="11"/>
  <c r="DQ312" i="11"/>
  <c r="DR312" i="11"/>
  <c r="DT312" i="11" s="1"/>
  <c r="DX311" i="11"/>
  <c r="DO313" i="11"/>
  <c r="DW312" i="11" l="1"/>
  <c r="DS313" i="11"/>
  <c r="DQ313" i="11"/>
  <c r="DY311" i="11"/>
  <c r="DR313" i="11"/>
  <c r="DT313" i="11" s="1"/>
  <c r="DO314" i="11"/>
  <c r="DX312" i="11" l="1"/>
  <c r="DY312" i="11" s="1"/>
  <c r="DX313" i="11"/>
  <c r="DS314" i="11"/>
  <c r="DQ314" i="11"/>
  <c r="DR314" i="11"/>
  <c r="DT314" i="11" s="1"/>
  <c r="DO315" i="11"/>
  <c r="DW313" i="11" l="1"/>
  <c r="DY313" i="11" s="1"/>
  <c r="DW314" i="11"/>
  <c r="DS315" i="11"/>
  <c r="DQ315" i="11"/>
  <c r="DR315" i="11"/>
  <c r="DT315" i="11" s="1"/>
  <c r="DO316" i="11"/>
  <c r="DX314" i="11" l="1"/>
  <c r="DY314" i="11" s="1"/>
  <c r="DW315" i="11"/>
  <c r="DS316" i="11"/>
  <c r="DQ316" i="11"/>
  <c r="DR316" i="11"/>
  <c r="DT316" i="11" s="1"/>
  <c r="DO317" i="11"/>
  <c r="DX315" i="11" l="1"/>
  <c r="DY315" i="11" s="1"/>
  <c r="DW316" i="11"/>
  <c r="DS317" i="11"/>
  <c r="DQ317" i="11"/>
  <c r="DR317" i="11"/>
  <c r="DT317" i="11" s="1"/>
  <c r="DO318" i="11"/>
  <c r="DX316" i="11" l="1"/>
  <c r="DY316" i="11" s="1"/>
  <c r="DW317" i="11"/>
  <c r="DS318" i="11"/>
  <c r="DQ318" i="11"/>
  <c r="DR318" i="11"/>
  <c r="DT318" i="11" s="1"/>
  <c r="DO319" i="11"/>
  <c r="DX317" i="11" l="1"/>
  <c r="DY317" i="11" s="1"/>
  <c r="DS319" i="11"/>
  <c r="DQ319" i="11"/>
  <c r="DR319" i="11"/>
  <c r="DT319" i="11" s="1"/>
  <c r="DO320" i="11"/>
  <c r="DW318" i="11" l="1"/>
  <c r="DX319" i="11"/>
  <c r="DX318" i="11"/>
  <c r="DS320" i="11"/>
  <c r="DQ320" i="11"/>
  <c r="DR320" i="11"/>
  <c r="DT320" i="11" s="1"/>
  <c r="DO321" i="11"/>
  <c r="DY318" i="11" l="1"/>
  <c r="DW319" i="11"/>
  <c r="DY319" i="11" s="1"/>
  <c r="DW320" i="11"/>
  <c r="DS321" i="11"/>
  <c r="DQ321" i="11"/>
  <c r="DR321" i="11"/>
  <c r="DT321" i="11" s="1"/>
  <c r="DO322" i="11"/>
  <c r="DX320" i="11" l="1"/>
  <c r="DY320" i="11" s="1"/>
  <c r="DX321" i="11"/>
  <c r="DS322" i="11"/>
  <c r="DQ322" i="11"/>
  <c r="DR322" i="11"/>
  <c r="DT322" i="11" s="1"/>
  <c r="DO323" i="11"/>
  <c r="DW322" i="11" l="1"/>
  <c r="DW321" i="11"/>
  <c r="DS323" i="11"/>
  <c r="DQ323" i="11"/>
  <c r="DR323" i="11"/>
  <c r="DT323" i="11" s="1"/>
  <c r="DO324" i="11"/>
  <c r="DX322" i="11" l="1"/>
  <c r="DY322" i="11" s="1"/>
  <c r="DY321" i="11"/>
  <c r="DW323" i="11"/>
  <c r="DS324" i="11"/>
  <c r="DQ324" i="11"/>
  <c r="DR324" i="11"/>
  <c r="DT324" i="11" s="1"/>
  <c r="DO325" i="11"/>
  <c r="DX324" i="11" l="1"/>
  <c r="DX323" i="11"/>
  <c r="DY323" i="11" s="1"/>
  <c r="DS325" i="11"/>
  <c r="DQ325" i="11"/>
  <c r="DR325" i="11"/>
  <c r="DT325" i="11" s="1"/>
  <c r="DO326" i="11"/>
  <c r="DW324" i="11" l="1"/>
  <c r="DY324" i="11" s="1"/>
  <c r="DW325" i="11"/>
  <c r="DS326" i="11"/>
  <c r="DQ326" i="11"/>
  <c r="DR326" i="11"/>
  <c r="DT326" i="11" s="1"/>
  <c r="DO327" i="11"/>
  <c r="DX325" i="11" l="1"/>
  <c r="DY325" i="11" s="1"/>
  <c r="DW326" i="11"/>
  <c r="DS327" i="11"/>
  <c r="DQ327" i="11"/>
  <c r="DR327" i="11"/>
  <c r="DT327" i="11" s="1"/>
  <c r="DO328" i="11"/>
  <c r="DX326" i="11" l="1"/>
  <c r="DY326" i="11" s="1"/>
  <c r="DS328" i="11"/>
  <c r="DQ328" i="11"/>
  <c r="DR328" i="11"/>
  <c r="DT328" i="11" s="1"/>
  <c r="DO329" i="11"/>
  <c r="DW327" i="11" l="1"/>
  <c r="DX328" i="11"/>
  <c r="DX327" i="11"/>
  <c r="DS329" i="11"/>
  <c r="DQ329" i="11"/>
  <c r="DR329" i="11"/>
  <c r="DT329" i="11" s="1"/>
  <c r="DO330" i="11"/>
  <c r="DY327" i="11" l="1"/>
  <c r="DW328" i="11"/>
  <c r="DY328" i="11" s="1"/>
  <c r="DW329" i="11"/>
  <c r="DS330" i="11"/>
  <c r="DQ330" i="11"/>
  <c r="DR330" i="11"/>
  <c r="DT330" i="11" s="1"/>
  <c r="DO331" i="11"/>
  <c r="DX329" i="11" l="1"/>
  <c r="DY329" i="11" s="1"/>
  <c r="DX330" i="11"/>
  <c r="DS331" i="11"/>
  <c r="DQ331" i="11"/>
  <c r="DR331" i="11"/>
  <c r="DT331" i="11" s="1"/>
  <c r="DO332" i="11"/>
  <c r="DW330" i="11" l="1"/>
  <c r="DY330" i="11" s="1"/>
  <c r="DX331" i="11"/>
  <c r="DS332" i="11"/>
  <c r="DQ332" i="11"/>
  <c r="DR332" i="11"/>
  <c r="DT332" i="11" s="1"/>
  <c r="DO333" i="11"/>
  <c r="DW331" i="11" l="1"/>
  <c r="DY331" i="11" s="1"/>
  <c r="DW332" i="11"/>
  <c r="DS333" i="11"/>
  <c r="DQ333" i="11"/>
  <c r="DR333" i="11"/>
  <c r="DT333" i="11" s="1"/>
  <c r="DO334" i="11"/>
  <c r="DX332" i="11" l="1"/>
  <c r="DY332" i="11" s="1"/>
  <c r="DW333" i="11"/>
  <c r="DS334" i="11"/>
  <c r="DQ334" i="11"/>
  <c r="DR334" i="11"/>
  <c r="DT334" i="11" s="1"/>
  <c r="DO335" i="11"/>
  <c r="DX333" i="11" l="1"/>
  <c r="DY333" i="11" s="1"/>
  <c r="DW334" i="11"/>
  <c r="DS335" i="11"/>
  <c r="DQ335" i="11"/>
  <c r="DR335" i="11"/>
  <c r="DT335" i="11" s="1"/>
  <c r="DO336" i="11"/>
  <c r="DX334" i="11" l="1"/>
  <c r="DY334" i="11" s="1"/>
  <c r="DX335" i="11"/>
  <c r="DS336" i="11"/>
  <c r="DQ336" i="11"/>
  <c r="DR336" i="11"/>
  <c r="DT336" i="11" s="1"/>
  <c r="DO337" i="11"/>
  <c r="DW335" i="11" l="1"/>
  <c r="DY335" i="11" s="1"/>
  <c r="DW336" i="11"/>
  <c r="DS337" i="11"/>
  <c r="DQ337" i="11"/>
  <c r="DR337" i="11"/>
  <c r="DT337" i="11" s="1"/>
  <c r="DO338" i="11"/>
  <c r="DX336" i="11" l="1"/>
  <c r="DY336" i="11" s="1"/>
  <c r="DW337" i="11"/>
  <c r="DS338" i="11"/>
  <c r="DQ338" i="11"/>
  <c r="DR338" i="11"/>
  <c r="DT338" i="11" s="1"/>
  <c r="DO339" i="11"/>
  <c r="DX337" i="11" l="1"/>
  <c r="DY337" i="11" s="1"/>
  <c r="DW338" i="11"/>
  <c r="DS339" i="11"/>
  <c r="DQ339" i="11"/>
  <c r="DR339" i="11"/>
  <c r="DT339" i="11" s="1"/>
  <c r="DO340" i="11"/>
  <c r="DX338" i="11" l="1"/>
  <c r="DY338" i="11" s="1"/>
  <c r="DX339" i="11"/>
  <c r="DS340" i="11"/>
  <c r="DQ340" i="11"/>
  <c r="DR340" i="11"/>
  <c r="DT340" i="11" s="1"/>
  <c r="DO341" i="11"/>
  <c r="DW340" i="11" l="1"/>
  <c r="DW339" i="11"/>
  <c r="DY339" i="11" s="1"/>
  <c r="DS341" i="11"/>
  <c r="DQ341" i="11"/>
  <c r="DR341" i="11"/>
  <c r="DT341" i="11" s="1"/>
  <c r="DO342" i="11"/>
  <c r="DX340" i="11" l="1"/>
  <c r="DY340" i="11" s="1"/>
  <c r="DS342" i="11"/>
  <c r="DQ342" i="11"/>
  <c r="DR342" i="11"/>
  <c r="DT342" i="11" s="1"/>
  <c r="DO343" i="11"/>
  <c r="DX341" i="11" l="1"/>
  <c r="DW341" i="11"/>
  <c r="DS343" i="11"/>
  <c r="DQ343" i="11"/>
  <c r="DR343" i="11"/>
  <c r="DT343" i="11" s="1"/>
  <c r="DO344" i="11"/>
  <c r="DY341" i="11" l="1"/>
  <c r="DX342" i="11"/>
  <c r="DW342" i="11"/>
  <c r="DW343" i="11"/>
  <c r="DS344" i="11"/>
  <c r="DQ344" i="11"/>
  <c r="DR344" i="11"/>
  <c r="DT344" i="11" s="1"/>
  <c r="DO345" i="11"/>
  <c r="DX343" i="11" l="1"/>
  <c r="DY343" i="11" s="1"/>
  <c r="DY342" i="11"/>
  <c r="DX344" i="11"/>
  <c r="DS345" i="11"/>
  <c r="DQ345" i="11"/>
  <c r="DR345" i="11"/>
  <c r="DT345" i="11" s="1"/>
  <c r="DO346" i="11"/>
  <c r="DW344" i="11" l="1"/>
  <c r="DY344" i="11" s="1"/>
  <c r="DX345" i="11"/>
  <c r="DS346" i="11"/>
  <c r="DQ346" i="11"/>
  <c r="DR346" i="11"/>
  <c r="DT346" i="11" s="1"/>
  <c r="DO347" i="11"/>
  <c r="DW345" i="11" l="1"/>
  <c r="DY345" i="11" s="1"/>
  <c r="DX346" i="11"/>
  <c r="DS347" i="11"/>
  <c r="DQ347" i="11"/>
  <c r="DR347" i="11"/>
  <c r="DT347" i="11" s="1"/>
  <c r="DO348" i="11"/>
  <c r="DW346" i="11" l="1"/>
  <c r="DY346" i="11" s="1"/>
  <c r="DX347" i="11"/>
  <c r="DS348" i="11"/>
  <c r="DQ348" i="11"/>
  <c r="DR348" i="11"/>
  <c r="DT348" i="11" s="1"/>
  <c r="DO349" i="11"/>
  <c r="DW347" i="11" l="1"/>
  <c r="DY347" i="11" s="1"/>
  <c r="DX348" i="11"/>
  <c r="DS349" i="11"/>
  <c r="DQ349" i="11"/>
  <c r="DR349" i="11"/>
  <c r="DT349" i="11" s="1"/>
  <c r="DO350" i="11"/>
  <c r="DW348" i="11" l="1"/>
  <c r="DY348" i="11" s="1"/>
  <c r="DS350" i="11"/>
  <c r="DQ350" i="11"/>
  <c r="DR350" i="11"/>
  <c r="DT350" i="11" s="1"/>
  <c r="DO351" i="11"/>
  <c r="DX349" i="11" l="1"/>
  <c r="DW349" i="11"/>
  <c r="DS351" i="11"/>
  <c r="DQ351" i="11"/>
  <c r="DR351" i="11"/>
  <c r="DT351" i="11" s="1"/>
  <c r="DO352" i="11"/>
  <c r="DW350" i="11" l="1"/>
  <c r="DX350" i="11"/>
  <c r="DY349" i="11"/>
  <c r="DS352" i="11"/>
  <c r="DQ352" i="11"/>
  <c r="DR352" i="11"/>
  <c r="DT352" i="11" s="1"/>
  <c r="DO353" i="11"/>
  <c r="DY350" i="11" l="1"/>
  <c r="DW351" i="11"/>
  <c r="DX351" i="11"/>
  <c r="DS353" i="11"/>
  <c r="DQ353" i="11"/>
  <c r="DR353" i="11"/>
  <c r="DT353" i="11" s="1"/>
  <c r="DO354" i="11"/>
  <c r="DY351" i="11" l="1"/>
  <c r="DW352" i="11"/>
  <c r="DX352" i="11"/>
  <c r="DW353" i="11"/>
  <c r="DS354" i="11"/>
  <c r="DQ354" i="11"/>
  <c r="DR354" i="11"/>
  <c r="DT354" i="11" s="1"/>
  <c r="DO355" i="11"/>
  <c r="DY352" i="11" l="1"/>
  <c r="DX353" i="11"/>
  <c r="DY353" i="11" s="1"/>
  <c r="DW354" i="11"/>
  <c r="DS355" i="11"/>
  <c r="DQ355" i="11"/>
  <c r="DR355" i="11"/>
  <c r="DT355" i="11" s="1"/>
  <c r="DO356" i="11"/>
  <c r="DX354" i="11" l="1"/>
  <c r="DY354" i="11" s="1"/>
  <c r="DW355" i="11"/>
  <c r="DS356" i="11"/>
  <c r="DQ356" i="11"/>
  <c r="DR356" i="11"/>
  <c r="DT356" i="11" s="1"/>
  <c r="DO357" i="11"/>
  <c r="DX355" i="11" l="1"/>
  <c r="DY355" i="11" s="1"/>
  <c r="DW356" i="11"/>
  <c r="DS357" i="11"/>
  <c r="DQ357" i="11"/>
  <c r="DR357" i="11"/>
  <c r="DT357" i="11" s="1"/>
  <c r="DO358" i="11"/>
  <c r="DX356" i="11" l="1"/>
  <c r="DS358" i="11"/>
  <c r="DQ358" i="11"/>
  <c r="DR358" i="11"/>
  <c r="DT358" i="11" s="1"/>
  <c r="DO359" i="11"/>
  <c r="DY356" i="11" l="1"/>
  <c r="DW357" i="11"/>
  <c r="DW358" i="11"/>
  <c r="DX357" i="11"/>
  <c r="DS359" i="11"/>
  <c r="DQ359" i="11"/>
  <c r="DR359" i="11"/>
  <c r="DT359" i="11" s="1"/>
  <c r="DO360" i="11"/>
  <c r="DY357" i="11" l="1"/>
  <c r="DX358" i="11"/>
  <c r="DY358" i="11" s="1"/>
  <c r="DX359" i="11"/>
  <c r="DS360" i="11"/>
  <c r="DQ360" i="11"/>
  <c r="DR360" i="11"/>
  <c r="DT360" i="11" s="1"/>
  <c r="DO361" i="11"/>
  <c r="DW359" i="11" l="1"/>
  <c r="DY359" i="11" s="1"/>
  <c r="DS361" i="11"/>
  <c r="DQ361" i="11"/>
  <c r="DR361" i="11"/>
  <c r="DT361" i="11" s="1"/>
  <c r="DO362" i="11"/>
  <c r="DX360" i="11" l="1"/>
  <c r="DW360" i="11"/>
  <c r="DS362" i="11"/>
  <c r="DQ362" i="11"/>
  <c r="DR362" i="11"/>
  <c r="DT362" i="11" s="1"/>
  <c r="DO363" i="11"/>
  <c r="DY360" i="11" l="1"/>
  <c r="DW362" i="11"/>
  <c r="DX361" i="11"/>
  <c r="DW361" i="11"/>
  <c r="DS363" i="11"/>
  <c r="DQ363" i="11"/>
  <c r="DR363" i="11"/>
  <c r="DT363" i="11" s="1"/>
  <c r="DO364" i="11"/>
  <c r="DY361" i="11" l="1"/>
  <c r="DX362" i="11"/>
  <c r="DY362" i="11" s="1"/>
  <c r="DS364" i="11"/>
  <c r="DQ364" i="11"/>
  <c r="DR364" i="11"/>
  <c r="DT364" i="11" s="1"/>
  <c r="DO365" i="11"/>
  <c r="DW364" i="11" l="1"/>
  <c r="DX363" i="11"/>
  <c r="DW363" i="11"/>
  <c r="DS365" i="11"/>
  <c r="DQ365" i="11"/>
  <c r="DR365" i="11"/>
  <c r="DT365" i="11" s="1"/>
  <c r="DO366" i="11"/>
  <c r="DX364" i="11" l="1"/>
  <c r="DY364" i="11" s="1"/>
  <c r="DW365" i="11"/>
  <c r="DY363" i="11"/>
  <c r="DS366" i="11"/>
  <c r="DQ366" i="11"/>
  <c r="DR366" i="11"/>
  <c r="DT366" i="11" s="1"/>
  <c r="DO367" i="11"/>
  <c r="DX365" i="11" l="1"/>
  <c r="DY365" i="11" s="1"/>
  <c r="DX366" i="11"/>
  <c r="DS367" i="11"/>
  <c r="DQ367" i="11"/>
  <c r="DR367" i="11"/>
  <c r="DT367" i="11" s="1"/>
  <c r="DO368" i="11"/>
  <c r="DW366" i="11" l="1"/>
  <c r="DY366" i="11" s="1"/>
  <c r="DW367" i="11"/>
  <c r="DS368" i="11"/>
  <c r="DQ368" i="11"/>
  <c r="DR368" i="11"/>
  <c r="DT368" i="11" s="1"/>
  <c r="DO369" i="11"/>
  <c r="DX367" i="11" l="1"/>
  <c r="DY367" i="11" s="1"/>
  <c r="DS369" i="11"/>
  <c r="DQ369" i="11"/>
  <c r="DR369" i="11"/>
  <c r="DT369" i="11" s="1"/>
  <c r="DO370" i="11"/>
  <c r="DX369" i="11" l="1"/>
  <c r="DX368" i="11"/>
  <c r="DW368" i="11"/>
  <c r="DS370" i="11"/>
  <c r="DQ370" i="11"/>
  <c r="DR370" i="11"/>
  <c r="DT370" i="11" s="1"/>
  <c r="DO371" i="11"/>
  <c r="DW369" i="11" l="1"/>
  <c r="DY369" i="11" s="1"/>
  <c r="DY368" i="11"/>
  <c r="DX370" i="11"/>
  <c r="DS371" i="11"/>
  <c r="DQ371" i="11"/>
  <c r="DR371" i="11"/>
  <c r="DT371" i="11" s="1"/>
  <c r="DO372" i="11"/>
  <c r="DW370" i="11" l="1"/>
  <c r="DY370" i="11" s="1"/>
  <c r="DW371" i="11"/>
  <c r="DS372" i="11"/>
  <c r="DQ372" i="11"/>
  <c r="DR372" i="11"/>
  <c r="DT372" i="11" s="1"/>
  <c r="DO373" i="11"/>
  <c r="DX371" i="11" l="1"/>
  <c r="DY371" i="11" s="1"/>
  <c r="DX372" i="11"/>
  <c r="DS373" i="11"/>
  <c r="DQ373" i="11"/>
  <c r="DR373" i="11"/>
  <c r="DT373" i="11" s="1"/>
  <c r="DO374" i="11"/>
  <c r="DW372" i="11" l="1"/>
  <c r="DY372" i="11" s="1"/>
  <c r="DW373" i="11"/>
  <c r="DS374" i="11"/>
  <c r="DQ374" i="11"/>
  <c r="DR374" i="11"/>
  <c r="DT374" i="11" s="1"/>
  <c r="DO375" i="11"/>
  <c r="DX373" i="11" l="1"/>
  <c r="DS375" i="11"/>
  <c r="DQ375" i="11"/>
  <c r="DR375" i="11"/>
  <c r="DT375" i="11" s="1"/>
  <c r="DO376" i="11"/>
  <c r="DY373" i="11" l="1"/>
  <c r="DX374" i="11"/>
  <c r="DW374" i="11"/>
  <c r="DS376" i="11"/>
  <c r="DQ376" i="11"/>
  <c r="DR376" i="11"/>
  <c r="DT376" i="11" s="1"/>
  <c r="DO377" i="11"/>
  <c r="DY374" i="11" l="1"/>
  <c r="DX375" i="11"/>
  <c r="DW375" i="11"/>
  <c r="DS377" i="11"/>
  <c r="DQ377" i="11"/>
  <c r="DR377" i="11"/>
  <c r="DT377" i="11" s="1"/>
  <c r="DO378" i="11"/>
  <c r="DY375" i="11" l="1"/>
  <c r="DW376" i="11"/>
  <c r="DX376" i="11"/>
  <c r="DX377" i="11"/>
  <c r="DS378" i="11"/>
  <c r="DQ378" i="11"/>
  <c r="DR378" i="11"/>
  <c r="DT378" i="11" s="1"/>
  <c r="DO379" i="11"/>
  <c r="DY376" i="11" l="1"/>
  <c r="DW377" i="11"/>
  <c r="DS379" i="11"/>
  <c r="DQ379" i="11"/>
  <c r="DR379" i="11"/>
  <c r="DT379" i="11" s="1"/>
  <c r="DO380" i="11"/>
  <c r="DW379" i="11" l="1"/>
  <c r="DY377" i="11"/>
  <c r="DX378" i="11"/>
  <c r="DW378" i="11"/>
  <c r="DS380" i="11"/>
  <c r="DQ380" i="11"/>
  <c r="DR380" i="11"/>
  <c r="DT380" i="11" s="1"/>
  <c r="DO381" i="11"/>
  <c r="DX379" i="11" l="1"/>
  <c r="DY379" i="11" s="1"/>
  <c r="DY378" i="11"/>
  <c r="DX380" i="11"/>
  <c r="DS381" i="11"/>
  <c r="DQ381" i="11"/>
  <c r="DR381" i="11"/>
  <c r="DT381" i="11" s="1"/>
  <c r="DO382" i="11"/>
  <c r="DW380" i="11" l="1"/>
  <c r="DY380" i="11" s="1"/>
  <c r="DW381" i="11"/>
  <c r="DS382" i="11"/>
  <c r="DQ382" i="11"/>
  <c r="DR382" i="11"/>
  <c r="DT382" i="11" s="1"/>
  <c r="DO383" i="11"/>
  <c r="DX381" i="11" l="1"/>
  <c r="DY381" i="11" s="1"/>
  <c r="DS383" i="11"/>
  <c r="DQ383" i="11"/>
  <c r="DR383" i="11"/>
  <c r="DT383" i="11" s="1"/>
  <c r="DO384" i="11"/>
  <c r="DX382" i="11" l="1"/>
  <c r="DW382" i="11"/>
  <c r="DX383" i="11"/>
  <c r="DS384" i="11"/>
  <c r="DQ384" i="11"/>
  <c r="DR384" i="11"/>
  <c r="DT384" i="11" s="1"/>
  <c r="DO385" i="11"/>
  <c r="DY382" i="11" l="1"/>
  <c r="DW383" i="11"/>
  <c r="DY383" i="11" s="1"/>
  <c r="DS385" i="11"/>
  <c r="DQ385" i="11"/>
  <c r="DR385" i="11"/>
  <c r="DT385" i="11" s="1"/>
  <c r="DO386" i="11"/>
  <c r="DX384" i="11" l="1"/>
  <c r="DW384" i="11"/>
  <c r="DX385" i="11"/>
  <c r="DS386" i="11"/>
  <c r="DQ386" i="11"/>
  <c r="DR386" i="11"/>
  <c r="DT386" i="11" s="1"/>
  <c r="DO387" i="11"/>
  <c r="DW385" i="11" l="1"/>
  <c r="DY385" i="11" s="1"/>
  <c r="DY384" i="11"/>
  <c r="DW386" i="11"/>
  <c r="DS387" i="11"/>
  <c r="DQ387" i="11"/>
  <c r="DR387" i="11"/>
  <c r="DT387" i="11" s="1"/>
  <c r="DO388" i="11"/>
  <c r="DX386" i="11" l="1"/>
  <c r="DY386" i="11" s="1"/>
  <c r="DX387" i="11"/>
  <c r="DS388" i="11"/>
  <c r="DQ388" i="11"/>
  <c r="DR388" i="11"/>
  <c r="DT388" i="11" s="1"/>
  <c r="DO389" i="11"/>
  <c r="DW387" i="11" l="1"/>
  <c r="DY387" i="11" s="1"/>
  <c r="DW388" i="11"/>
  <c r="DS389" i="11"/>
  <c r="DQ389" i="11"/>
  <c r="DR389" i="11"/>
  <c r="DT389" i="11" s="1"/>
  <c r="DO390" i="11"/>
  <c r="DX388" i="11" l="1"/>
  <c r="DY388" i="11" s="1"/>
  <c r="DX389" i="11"/>
  <c r="DS390" i="11"/>
  <c r="DQ390" i="11"/>
  <c r="DR390" i="11"/>
  <c r="DT390" i="11" s="1"/>
  <c r="DO391" i="11"/>
  <c r="DX390" i="11" l="1"/>
  <c r="DW389" i="11"/>
  <c r="DY389" i="11" s="1"/>
  <c r="DS391" i="11"/>
  <c r="DQ391" i="11"/>
  <c r="DR391" i="11"/>
  <c r="DT391" i="11" s="1"/>
  <c r="DO392" i="11"/>
  <c r="DW390" i="11" l="1"/>
  <c r="DY390" i="11" s="1"/>
  <c r="DW391" i="11"/>
  <c r="DS392" i="11"/>
  <c r="DQ392" i="11"/>
  <c r="DR392" i="11"/>
  <c r="DT392" i="11" s="1"/>
  <c r="DO393" i="11"/>
  <c r="DX391" i="11" l="1"/>
  <c r="DW392" i="11"/>
  <c r="DS393" i="11"/>
  <c r="DQ393" i="11"/>
  <c r="DR393" i="11"/>
  <c r="DT393" i="11" s="1"/>
  <c r="DO394" i="11"/>
  <c r="DY391" i="11" l="1"/>
  <c r="DX392" i="11"/>
  <c r="DY392" i="11" s="1"/>
  <c r="DX393" i="11"/>
  <c r="DS394" i="11"/>
  <c r="DQ394" i="11"/>
  <c r="DR394" i="11"/>
  <c r="DT394" i="11" s="1"/>
  <c r="DO395" i="11"/>
  <c r="DW393" i="11" l="1"/>
  <c r="DY393" i="11" s="1"/>
  <c r="DX394" i="11"/>
  <c r="DS395" i="11"/>
  <c r="DQ395" i="11"/>
  <c r="DR395" i="11"/>
  <c r="DT395" i="11" s="1"/>
  <c r="DO396" i="11"/>
  <c r="DW394" i="11" l="1"/>
  <c r="DY394" i="11" s="1"/>
  <c r="DX395" i="11"/>
  <c r="DS396" i="11"/>
  <c r="DQ396" i="11"/>
  <c r="DR396" i="11"/>
  <c r="DT396" i="11" s="1"/>
  <c r="DO397" i="11"/>
  <c r="DW396" i="11" l="1"/>
  <c r="DW395" i="11"/>
  <c r="DY395" i="11" s="1"/>
  <c r="DS397" i="11"/>
  <c r="DQ397" i="11"/>
  <c r="DR397" i="11"/>
  <c r="DT397" i="11" s="1"/>
  <c r="DO398" i="11"/>
  <c r="DX396" i="11" l="1"/>
  <c r="DY396" i="11" s="1"/>
  <c r="DW397" i="11"/>
  <c r="DS398" i="11"/>
  <c r="DQ398" i="11"/>
  <c r="DR398" i="11"/>
  <c r="DT398" i="11" s="1"/>
  <c r="DO399" i="11"/>
  <c r="DX397" i="11" l="1"/>
  <c r="DY397" i="11" s="1"/>
  <c r="DW398" i="11"/>
  <c r="DS399" i="11"/>
  <c r="DQ399" i="11"/>
  <c r="DR399" i="11"/>
  <c r="DT399" i="11" s="1"/>
  <c r="DO400" i="11"/>
  <c r="DX398" i="11" l="1"/>
  <c r="DY398" i="11" s="1"/>
  <c r="DX399" i="11"/>
  <c r="DS400" i="11"/>
  <c r="DQ400" i="11"/>
  <c r="DR400" i="11"/>
  <c r="DT400" i="11" s="1"/>
  <c r="DO401" i="11"/>
  <c r="DW399" i="11" l="1"/>
  <c r="DS401" i="11"/>
  <c r="DQ401" i="11"/>
  <c r="DR401" i="11"/>
  <c r="DT401" i="11" s="1"/>
  <c r="DO402" i="11"/>
  <c r="DY399" i="11" l="1"/>
  <c r="DX400" i="11"/>
  <c r="DW400" i="11"/>
  <c r="DX401" i="11"/>
  <c r="DS402" i="11"/>
  <c r="DQ402" i="11"/>
  <c r="DR402" i="11"/>
  <c r="DT402" i="11" s="1"/>
  <c r="DO403" i="11"/>
  <c r="DY400" i="11" l="1"/>
  <c r="DW402" i="11"/>
  <c r="DW401" i="11"/>
  <c r="DY401" i="11" s="1"/>
  <c r="DS403" i="11"/>
  <c r="DQ403" i="11"/>
  <c r="DR403" i="11"/>
  <c r="DT403" i="11" s="1"/>
  <c r="DO404" i="11"/>
  <c r="DX402" i="11" l="1"/>
  <c r="DY402" i="11" s="1"/>
  <c r="DW403" i="11"/>
  <c r="DS404" i="11"/>
  <c r="DQ404" i="11"/>
  <c r="DR404" i="11"/>
  <c r="DT404" i="11" s="1"/>
  <c r="DO405" i="11"/>
  <c r="DX403" i="11" l="1"/>
  <c r="DY403" i="11" s="1"/>
  <c r="DW404" i="11"/>
  <c r="DS405" i="11"/>
  <c r="DQ405" i="11"/>
  <c r="DR405" i="11"/>
  <c r="DT405" i="11" s="1"/>
  <c r="DO406" i="11"/>
  <c r="DX404" i="11" l="1"/>
  <c r="DY404" i="11" s="1"/>
  <c r="DX405" i="11"/>
  <c r="DS406" i="11"/>
  <c r="DQ406" i="11"/>
  <c r="DR406" i="11"/>
  <c r="DT406" i="11" s="1"/>
  <c r="DO407" i="11"/>
  <c r="DW405" i="11" l="1"/>
  <c r="DY405" i="11" s="1"/>
  <c r="DX406" i="11"/>
  <c r="DS407" i="11"/>
  <c r="DQ407" i="11"/>
  <c r="DR407" i="11"/>
  <c r="DT407" i="11" s="1"/>
  <c r="DO408" i="11"/>
  <c r="DW406" i="11" l="1"/>
  <c r="DY406" i="11" s="1"/>
  <c r="DW407" i="11"/>
  <c r="DS408" i="11"/>
  <c r="DQ408" i="11"/>
  <c r="DR408" i="11"/>
  <c r="DT408" i="11" s="1"/>
  <c r="DO409" i="11"/>
  <c r="DX407" i="11" l="1"/>
  <c r="DY407" i="11" s="1"/>
  <c r="DS409" i="11"/>
  <c r="DQ409" i="11"/>
  <c r="DR409" i="11"/>
  <c r="DT409" i="11" s="1"/>
  <c r="DO410" i="11"/>
  <c r="DW409" i="11" l="1"/>
  <c r="DW408" i="11"/>
  <c r="DX408" i="11"/>
  <c r="DS410" i="11"/>
  <c r="DQ410" i="11"/>
  <c r="DR410" i="11"/>
  <c r="DT410" i="11" s="1"/>
  <c r="DO411" i="11"/>
  <c r="DX409" i="11" l="1"/>
  <c r="DY409" i="11" s="1"/>
  <c r="DY408" i="11"/>
  <c r="DX410" i="11"/>
  <c r="DS411" i="11"/>
  <c r="DQ411" i="11"/>
  <c r="DR411" i="11"/>
  <c r="DT411" i="11" s="1"/>
  <c r="DO412" i="11"/>
  <c r="DW410" i="11" l="1"/>
  <c r="DY410" i="11" s="1"/>
  <c r="DS412" i="11"/>
  <c r="DQ412" i="11"/>
  <c r="DR412" i="11"/>
  <c r="DT412" i="11" s="1"/>
  <c r="DO413" i="11"/>
  <c r="DX411" i="11" l="1"/>
  <c r="DX412" i="11"/>
  <c r="DW411" i="11"/>
  <c r="DS413" i="11"/>
  <c r="DQ413" i="11"/>
  <c r="DR413" i="11"/>
  <c r="DT413" i="11" s="1"/>
  <c r="DO414" i="11"/>
  <c r="DY411" i="11" l="1"/>
  <c r="DX413" i="11"/>
  <c r="DW412" i="11"/>
  <c r="DY412" i="11" s="1"/>
  <c r="DS414" i="11"/>
  <c r="DQ414" i="11"/>
  <c r="DR414" i="11"/>
  <c r="DT414" i="11" s="1"/>
  <c r="DO415" i="11"/>
  <c r="DW413" i="11" l="1"/>
  <c r="DY413" i="11" s="1"/>
  <c r="DW414" i="11"/>
  <c r="DS415" i="11"/>
  <c r="DQ415" i="11"/>
  <c r="DR415" i="11"/>
  <c r="DT415" i="11" s="1"/>
  <c r="DO416" i="11"/>
  <c r="DX414" i="11" l="1"/>
  <c r="DY414" i="11" s="1"/>
  <c r="DX415" i="11"/>
  <c r="DS416" i="11"/>
  <c r="DQ416" i="11"/>
  <c r="DR416" i="11"/>
  <c r="DT416" i="11" s="1"/>
  <c r="DO417" i="11"/>
  <c r="DW415" i="11" l="1"/>
  <c r="DY415" i="11" s="1"/>
  <c r="DW416" i="11"/>
  <c r="DS417" i="11"/>
  <c r="DQ417" i="11"/>
  <c r="DR417" i="11"/>
  <c r="DT417" i="11" s="1"/>
  <c r="DO418" i="11"/>
  <c r="DW417" i="11" l="1"/>
  <c r="DX416" i="11"/>
  <c r="DY416" i="11" s="1"/>
  <c r="DS418" i="11"/>
  <c r="DQ418" i="11"/>
  <c r="DR418" i="11"/>
  <c r="DT418" i="11" s="1"/>
  <c r="DO419" i="11"/>
  <c r="DX417" i="11" l="1"/>
  <c r="DY417" i="11" s="1"/>
  <c r="DS419" i="11"/>
  <c r="DQ419" i="11"/>
  <c r="DR419" i="11"/>
  <c r="DT419" i="11" s="1"/>
  <c r="DX418" i="11"/>
  <c r="DO420" i="11"/>
  <c r="DX419" i="11" l="1"/>
  <c r="DW418" i="11"/>
  <c r="DY418" i="11" s="1"/>
  <c r="DS420" i="11"/>
  <c r="DQ420" i="11"/>
  <c r="DR420" i="11"/>
  <c r="DT420" i="11" s="1"/>
  <c r="DO421" i="11"/>
  <c r="DW419" i="11" l="1"/>
  <c r="DY419" i="11" s="1"/>
  <c r="DS421" i="11"/>
  <c r="DQ421" i="11"/>
  <c r="DR421" i="11"/>
  <c r="DT421" i="11" s="1"/>
  <c r="DO422" i="11"/>
  <c r="DW420" i="11" l="1"/>
  <c r="DW421" i="11"/>
  <c r="DX420" i="11"/>
  <c r="DS422" i="11"/>
  <c r="DQ422" i="11"/>
  <c r="DR422" i="11"/>
  <c r="DT422" i="11" s="1"/>
  <c r="DO423" i="11"/>
  <c r="DX421" i="11" l="1"/>
  <c r="DY421" i="11" s="1"/>
  <c r="DY420" i="11"/>
  <c r="DS423" i="11"/>
  <c r="DQ423" i="11"/>
  <c r="DR423" i="11"/>
  <c r="DT423" i="11" s="1"/>
  <c r="DO424" i="11"/>
  <c r="DX423" i="11" l="1"/>
  <c r="DX422" i="11"/>
  <c r="DW422" i="11"/>
  <c r="DS424" i="11"/>
  <c r="DQ424" i="11"/>
  <c r="DR424" i="11"/>
  <c r="DT424" i="11" s="1"/>
  <c r="DO425" i="11"/>
  <c r="DW423" i="11" l="1"/>
  <c r="DY423" i="11" s="1"/>
  <c r="DY422" i="11"/>
  <c r="DW424" i="11"/>
  <c r="DS425" i="11"/>
  <c r="DQ425" i="11"/>
  <c r="DR425" i="11"/>
  <c r="DT425" i="11" s="1"/>
  <c r="DO426" i="11"/>
  <c r="DX424" i="11" l="1"/>
  <c r="DY424" i="11" s="1"/>
  <c r="DS426" i="11"/>
  <c r="DQ426" i="11"/>
  <c r="DR426" i="11"/>
  <c r="DT426" i="11" s="1"/>
  <c r="DO427" i="11"/>
  <c r="DX425" i="11" l="1"/>
  <c r="DW425" i="11"/>
  <c r="DX426" i="11"/>
  <c r="DS427" i="11"/>
  <c r="DQ427" i="11"/>
  <c r="DR427" i="11"/>
  <c r="DT427" i="11" s="1"/>
  <c r="DO428" i="11"/>
  <c r="DY425" i="11" l="1"/>
  <c r="DX427" i="11"/>
  <c r="DW426" i="11"/>
  <c r="DY426" i="11" s="1"/>
  <c r="DS428" i="11"/>
  <c r="DQ428" i="11"/>
  <c r="DR428" i="11"/>
  <c r="DT428" i="11" s="1"/>
  <c r="DO429" i="11"/>
  <c r="DW427" i="11" l="1"/>
  <c r="DY427" i="11" s="1"/>
  <c r="DS429" i="11"/>
  <c r="DQ429" i="11"/>
  <c r="DR429" i="11"/>
  <c r="DT429" i="11" s="1"/>
  <c r="DO430" i="11"/>
  <c r="DX428" i="11" l="1"/>
  <c r="DW428" i="11"/>
  <c r="DW429" i="11"/>
  <c r="DS430" i="11"/>
  <c r="DQ430" i="11"/>
  <c r="DR430" i="11"/>
  <c r="DT430" i="11" s="1"/>
  <c r="DO431" i="11"/>
  <c r="DY428" i="11" l="1"/>
  <c r="DX429" i="11"/>
  <c r="DS431" i="11"/>
  <c r="DQ431" i="11"/>
  <c r="DR431" i="11"/>
  <c r="DT431" i="11" s="1"/>
  <c r="DO432" i="11"/>
  <c r="DX430" i="11" l="1"/>
  <c r="DW430" i="11"/>
  <c r="DY429" i="11"/>
  <c r="DS432" i="11"/>
  <c r="DQ432" i="11"/>
  <c r="DR432" i="11"/>
  <c r="DT432" i="11" s="1"/>
  <c r="DO433" i="11"/>
  <c r="DY430" i="11" l="1"/>
  <c r="DW431" i="11"/>
  <c r="DW432" i="11"/>
  <c r="DX431" i="11"/>
  <c r="DS433" i="11"/>
  <c r="DQ433" i="11"/>
  <c r="DR433" i="11"/>
  <c r="DT433" i="11" s="1"/>
  <c r="DO434" i="11"/>
  <c r="DX432" i="11" l="1"/>
  <c r="DY432" i="11" s="1"/>
  <c r="DY431" i="11"/>
  <c r="DW433" i="11"/>
  <c r="DS434" i="11"/>
  <c r="DQ434" i="11"/>
  <c r="DR434" i="11"/>
  <c r="DT434" i="11" s="1"/>
  <c r="DO435" i="11"/>
  <c r="DX433" i="11" l="1"/>
  <c r="DY433" i="11" s="1"/>
  <c r="DX434" i="11"/>
  <c r="DS435" i="11"/>
  <c r="DQ435" i="11"/>
  <c r="DR435" i="11"/>
  <c r="DT435" i="11" s="1"/>
  <c r="DO436" i="11"/>
  <c r="DW435" i="11" l="1"/>
  <c r="DW434" i="11"/>
  <c r="DY434" i="11" s="1"/>
  <c r="DS436" i="11"/>
  <c r="DQ436" i="11"/>
  <c r="DR436" i="11"/>
  <c r="DT436" i="11" s="1"/>
  <c r="DO437" i="11"/>
  <c r="DX435" i="11" l="1"/>
  <c r="DY435" i="11" s="1"/>
  <c r="DS437" i="11"/>
  <c r="DQ437" i="11"/>
  <c r="DR437" i="11"/>
  <c r="DT437" i="11" s="1"/>
  <c r="DO438" i="11"/>
  <c r="DW437" i="11" l="1"/>
  <c r="DX436" i="11"/>
  <c r="DW436" i="11"/>
  <c r="DS438" i="11"/>
  <c r="DQ438" i="11"/>
  <c r="DR438" i="11"/>
  <c r="DT438" i="11" s="1"/>
  <c r="DO439" i="11"/>
  <c r="DX437" i="11" l="1"/>
  <c r="DY437" i="11" s="1"/>
  <c r="DY436" i="11"/>
  <c r="DX438" i="11"/>
  <c r="DS439" i="11"/>
  <c r="DQ439" i="11"/>
  <c r="DR439" i="11"/>
  <c r="DT439" i="11" s="1"/>
  <c r="DO440" i="11"/>
  <c r="DW438" i="11" l="1"/>
  <c r="DY438" i="11" s="1"/>
  <c r="DX439" i="11"/>
  <c r="DS440" i="11"/>
  <c r="DQ440" i="11"/>
  <c r="DR440" i="11"/>
  <c r="DT440" i="11" s="1"/>
  <c r="DO441" i="11"/>
  <c r="DW439" i="11" l="1"/>
  <c r="DY439" i="11" s="1"/>
  <c r="DX440" i="11"/>
  <c r="DS441" i="11"/>
  <c r="DQ441" i="11"/>
  <c r="DR441" i="11"/>
  <c r="DT441" i="11" s="1"/>
  <c r="DO442" i="11"/>
  <c r="DW440" i="11" l="1"/>
  <c r="DY440" i="11" s="1"/>
  <c r="DW441" i="11"/>
  <c r="DS442" i="11"/>
  <c r="DQ442" i="11"/>
  <c r="DR442" i="11"/>
  <c r="DT442" i="11" s="1"/>
  <c r="DO443" i="11"/>
  <c r="DX441" i="11" l="1"/>
  <c r="DY441" i="11" s="1"/>
  <c r="DW442" i="11"/>
  <c r="DS443" i="11"/>
  <c r="DQ443" i="11"/>
  <c r="DR443" i="11"/>
  <c r="DT443" i="11" s="1"/>
  <c r="DO444" i="11"/>
  <c r="DX442" i="11" l="1"/>
  <c r="DY442" i="11" s="1"/>
  <c r="DW443" i="11"/>
  <c r="DS444" i="11"/>
  <c r="DQ444" i="11"/>
  <c r="DR444" i="11"/>
  <c r="DT444" i="11" s="1"/>
  <c r="DO445" i="11"/>
  <c r="DX443" i="11" l="1"/>
  <c r="DY443" i="11" s="1"/>
  <c r="DS445" i="11"/>
  <c r="DQ445" i="11"/>
  <c r="DR445" i="11"/>
  <c r="DT445" i="11" s="1"/>
  <c r="DO446" i="11"/>
  <c r="DW444" i="11" l="1"/>
  <c r="DX444" i="11"/>
  <c r="DS446" i="11"/>
  <c r="DQ446" i="11"/>
  <c r="DR446" i="11"/>
  <c r="DT446" i="11" s="1"/>
  <c r="DO447" i="11"/>
  <c r="DY444" i="11" l="1"/>
  <c r="DW445" i="11"/>
  <c r="DX446" i="11"/>
  <c r="DX445" i="11"/>
  <c r="DS447" i="11"/>
  <c r="DQ447" i="11"/>
  <c r="DR447" i="11"/>
  <c r="DT447" i="11" s="1"/>
  <c r="DO448" i="11"/>
  <c r="DW446" i="11" l="1"/>
  <c r="DY446" i="11" s="1"/>
  <c r="DX447" i="11"/>
  <c r="DY445" i="11"/>
  <c r="DS448" i="11"/>
  <c r="DQ448" i="11"/>
  <c r="DR448" i="11"/>
  <c r="DT448" i="11" s="1"/>
  <c r="DO449" i="11"/>
  <c r="DW447" i="11" l="1"/>
  <c r="DY447" i="11" s="1"/>
  <c r="DW448" i="11"/>
  <c r="DS449" i="11"/>
  <c r="DQ449" i="11"/>
  <c r="DR449" i="11"/>
  <c r="DT449" i="11" s="1"/>
  <c r="DO450" i="11"/>
  <c r="DX448" i="11" l="1"/>
  <c r="DY448" i="11" s="1"/>
  <c r="DW449" i="11"/>
  <c r="DS450" i="11"/>
  <c r="DQ450" i="11"/>
  <c r="DR450" i="11"/>
  <c r="DT450" i="11" s="1"/>
  <c r="DO451" i="11"/>
  <c r="DX449" i="11" l="1"/>
  <c r="DY449" i="11" s="1"/>
  <c r="DS451" i="11"/>
  <c r="DQ451" i="11"/>
  <c r="DR451" i="11"/>
  <c r="DT451" i="11" s="1"/>
  <c r="DO452" i="11"/>
  <c r="DW450" i="11" l="1"/>
  <c r="DX450" i="11"/>
  <c r="DW451" i="11"/>
  <c r="DS452" i="11"/>
  <c r="DQ452" i="11"/>
  <c r="DR452" i="11"/>
  <c r="DT452" i="11" s="1"/>
  <c r="DO453" i="11"/>
  <c r="DY450" i="11" l="1"/>
  <c r="DX451" i="11"/>
  <c r="DY451" i="11" s="1"/>
  <c r="DX452" i="11"/>
  <c r="DS453" i="11"/>
  <c r="DQ453" i="11"/>
  <c r="DR453" i="11"/>
  <c r="DT453" i="11" s="1"/>
  <c r="DO454" i="11"/>
  <c r="DW452" i="11" l="1"/>
  <c r="DY452" i="11" s="1"/>
  <c r="DW453" i="11"/>
  <c r="DS454" i="11"/>
  <c r="DQ454" i="11"/>
  <c r="DR454" i="11"/>
  <c r="DT454" i="11" s="1"/>
  <c r="DO455" i="11"/>
  <c r="DX453" i="11" l="1"/>
  <c r="DY453" i="11" s="1"/>
  <c r="DW454" i="11"/>
  <c r="DS455" i="11"/>
  <c r="DQ455" i="11"/>
  <c r="DR455" i="11"/>
  <c r="DT455" i="11" s="1"/>
  <c r="DO456" i="11"/>
  <c r="DX454" i="11" l="1"/>
  <c r="DY454" i="11" s="1"/>
  <c r="DX455" i="11"/>
  <c r="DS456" i="11"/>
  <c r="DQ456" i="11"/>
  <c r="DR456" i="11"/>
  <c r="DT456" i="11" s="1"/>
  <c r="DW455" i="11"/>
  <c r="DO457" i="11"/>
  <c r="DX456" i="11" l="1"/>
  <c r="DS457" i="11"/>
  <c r="DQ457" i="11"/>
  <c r="DY455" i="11"/>
  <c r="DR457" i="11"/>
  <c r="DT457" i="11" s="1"/>
  <c r="DO458" i="11"/>
  <c r="DW456" i="11" l="1"/>
  <c r="DY456" i="11" s="1"/>
  <c r="DW457" i="11"/>
  <c r="DS458" i="11"/>
  <c r="DQ458" i="11"/>
  <c r="DR458" i="11"/>
  <c r="DT458" i="11" s="1"/>
  <c r="DO459" i="11"/>
  <c r="DX457" i="11" l="1"/>
  <c r="DY457" i="11" s="1"/>
  <c r="DW458" i="11"/>
  <c r="DS459" i="11"/>
  <c r="DQ459" i="11"/>
  <c r="DR459" i="11"/>
  <c r="DT459" i="11" s="1"/>
  <c r="DO460" i="11"/>
  <c r="DX458" i="11" l="1"/>
  <c r="DY458" i="11" s="1"/>
  <c r="DX459" i="11"/>
  <c r="DS460" i="11"/>
  <c r="DQ460" i="11"/>
  <c r="DR460" i="11"/>
  <c r="DT460" i="11" s="1"/>
  <c r="DO461" i="11"/>
  <c r="DW459" i="11" l="1"/>
  <c r="DS461" i="11"/>
  <c r="DQ461" i="11"/>
  <c r="DR461" i="11"/>
  <c r="DT461" i="11" s="1"/>
  <c r="DO462" i="11"/>
  <c r="DY459" i="11" l="1"/>
  <c r="DX460" i="11"/>
  <c r="DW460" i="11"/>
  <c r="DW461" i="11"/>
  <c r="DS462" i="11"/>
  <c r="DQ462" i="11"/>
  <c r="DR462" i="11"/>
  <c r="DT462" i="11" s="1"/>
  <c r="DO463" i="11"/>
  <c r="DX461" i="11" l="1"/>
  <c r="DY461" i="11" s="1"/>
  <c r="DY460" i="11"/>
  <c r="DS463" i="11"/>
  <c r="DQ463" i="11"/>
  <c r="DR463" i="11"/>
  <c r="DT463" i="11" s="1"/>
  <c r="DO464" i="11"/>
  <c r="DW462" i="11" l="1"/>
  <c r="DX462" i="11"/>
  <c r="DX463" i="11"/>
  <c r="DS464" i="11"/>
  <c r="DQ464" i="11"/>
  <c r="DR464" i="11"/>
  <c r="DT464" i="11" s="1"/>
  <c r="DO465" i="11"/>
  <c r="DY462" i="11" l="1"/>
  <c r="DW463" i="11"/>
  <c r="DS465" i="11"/>
  <c r="DQ465" i="11"/>
  <c r="DR465" i="11"/>
  <c r="DT465" i="11" s="1"/>
  <c r="DO466" i="11"/>
  <c r="DW465" i="11" l="1"/>
  <c r="DW464" i="11"/>
  <c r="DY463" i="11"/>
  <c r="DX464" i="11"/>
  <c r="DS466" i="11"/>
  <c r="DQ466" i="11"/>
  <c r="DR466" i="11"/>
  <c r="DT466" i="11" s="1"/>
  <c r="DO467" i="11"/>
  <c r="DY464" i="11" l="1"/>
  <c r="DX465" i="11"/>
  <c r="DY465" i="11" s="1"/>
  <c r="DX466" i="11"/>
  <c r="DS467" i="11"/>
  <c r="DQ467" i="11"/>
  <c r="DR467" i="11"/>
  <c r="DT467" i="11" s="1"/>
  <c r="DO468" i="11"/>
  <c r="DW466" i="11" l="1"/>
  <c r="DY466" i="11" s="1"/>
  <c r="DS468" i="11"/>
  <c r="DQ468" i="11"/>
  <c r="DR468" i="11"/>
  <c r="DT468" i="11" s="1"/>
  <c r="DO469" i="11"/>
  <c r="DW468" i="11" l="1"/>
  <c r="DW467" i="11"/>
  <c r="DX467" i="11"/>
  <c r="DS469" i="11"/>
  <c r="DQ469" i="11"/>
  <c r="DR469" i="11"/>
  <c r="DT469" i="11" s="1"/>
  <c r="DO470" i="11"/>
  <c r="DX468" i="11" l="1"/>
  <c r="DY468" i="11" s="1"/>
  <c r="DX469" i="11"/>
  <c r="DY467" i="11"/>
  <c r="DS470" i="11"/>
  <c r="DQ470" i="11"/>
  <c r="DR470" i="11"/>
  <c r="DT470" i="11" s="1"/>
  <c r="DW469" i="11"/>
  <c r="DO471" i="11"/>
  <c r="DX470" i="11" l="1"/>
  <c r="DS471" i="11"/>
  <c r="DQ471" i="11"/>
  <c r="DY469" i="11"/>
  <c r="DR471" i="11"/>
  <c r="DT471" i="11" s="1"/>
  <c r="DO472" i="11"/>
  <c r="DW470" i="11" l="1"/>
  <c r="DY470" i="11" s="1"/>
  <c r="DX471" i="11"/>
  <c r="DS472" i="11"/>
  <c r="DQ472" i="11"/>
  <c r="DR472" i="11"/>
  <c r="DT472" i="11" s="1"/>
  <c r="DO473" i="11"/>
  <c r="DW471" i="11" l="1"/>
  <c r="DY471" i="11" s="1"/>
  <c r="DS473" i="11"/>
  <c r="DQ473" i="11"/>
  <c r="DR473" i="11"/>
  <c r="DT473" i="11" s="1"/>
  <c r="DO474" i="11"/>
  <c r="DW473" i="11" l="1"/>
  <c r="DX472" i="11"/>
  <c r="DW472" i="11"/>
  <c r="DS474" i="11"/>
  <c r="DQ474" i="11"/>
  <c r="DR474" i="11"/>
  <c r="DT474" i="11" s="1"/>
  <c r="DX473" i="11"/>
  <c r="DO475" i="11"/>
  <c r="DY472" i="11" l="1"/>
  <c r="DY473" i="11"/>
  <c r="DS475" i="11"/>
  <c r="DQ475" i="11"/>
  <c r="DR475" i="11"/>
  <c r="DT475" i="11" s="1"/>
  <c r="DO476" i="11"/>
  <c r="DW474" i="11" l="1"/>
  <c r="DX474" i="11"/>
  <c r="DW475" i="11"/>
  <c r="DS476" i="11"/>
  <c r="DQ476" i="11"/>
  <c r="DR476" i="11"/>
  <c r="DT476" i="11" s="1"/>
  <c r="DO477" i="11"/>
  <c r="DY474" i="11" l="1"/>
  <c r="DX475" i="11"/>
  <c r="DY475" i="11" s="1"/>
  <c r="DW476" i="11"/>
  <c r="DS477" i="11"/>
  <c r="DQ477" i="11"/>
  <c r="DR477" i="11"/>
  <c r="DT477" i="11" s="1"/>
  <c r="DO478" i="11"/>
  <c r="DX476" i="11" l="1"/>
  <c r="DY476" i="11" s="1"/>
  <c r="DW477" i="11"/>
  <c r="DS478" i="11"/>
  <c r="DQ478" i="11"/>
  <c r="DR478" i="11"/>
  <c r="DT478" i="11" s="1"/>
  <c r="DO479" i="11"/>
  <c r="DX477" i="11" l="1"/>
  <c r="DY477" i="11" s="1"/>
  <c r="DS479" i="11"/>
  <c r="DQ479" i="11"/>
  <c r="DR479" i="11"/>
  <c r="DT479" i="11" s="1"/>
  <c r="DO480" i="11"/>
  <c r="DX478" i="11" l="1"/>
  <c r="DW478" i="11"/>
  <c r="DS480" i="11"/>
  <c r="DQ480" i="11"/>
  <c r="DR480" i="11"/>
  <c r="DT480" i="11" s="1"/>
  <c r="DO481" i="11"/>
  <c r="DX479" i="11" l="1"/>
  <c r="DW479" i="11"/>
  <c r="DY478" i="11"/>
  <c r="DW480" i="11"/>
  <c r="DS481" i="11"/>
  <c r="DQ481" i="11"/>
  <c r="DR481" i="11"/>
  <c r="DT481" i="11" s="1"/>
  <c r="DO482" i="11"/>
  <c r="DY479" i="11" l="1"/>
  <c r="DX481" i="11"/>
  <c r="DX480" i="11"/>
  <c r="DY480" i="11" s="1"/>
  <c r="DS482" i="11"/>
  <c r="DQ482" i="11"/>
  <c r="DR482" i="11"/>
  <c r="DT482" i="11" s="1"/>
  <c r="DO483" i="11"/>
  <c r="DW481" i="11" l="1"/>
  <c r="DY481" i="11" s="1"/>
  <c r="DW482" i="11"/>
  <c r="DS483" i="11"/>
  <c r="DQ483" i="11"/>
  <c r="DR483" i="11"/>
  <c r="DT483" i="11" s="1"/>
  <c r="DO484" i="11"/>
  <c r="DX482" i="11" l="1"/>
  <c r="DS484" i="11"/>
  <c r="DQ484" i="11"/>
  <c r="DR484" i="11"/>
  <c r="DT484" i="11" s="1"/>
  <c r="DO485" i="11"/>
  <c r="DY482" i="11" l="1"/>
  <c r="DW483" i="11"/>
  <c r="DX484" i="11"/>
  <c r="DX483" i="11"/>
  <c r="DS485" i="11"/>
  <c r="DQ485" i="11"/>
  <c r="DR485" i="11"/>
  <c r="DT485" i="11" s="1"/>
  <c r="DO486" i="11"/>
  <c r="DW484" i="11" l="1"/>
  <c r="DY484" i="11" s="1"/>
  <c r="DW485" i="11"/>
  <c r="DY483" i="11"/>
  <c r="DS486" i="11"/>
  <c r="DQ486" i="11"/>
  <c r="DR486" i="11"/>
  <c r="DT486" i="11" s="1"/>
  <c r="DO487" i="11"/>
  <c r="DX485" i="11" l="1"/>
  <c r="DY485" i="11" s="1"/>
  <c r="DW486" i="11"/>
  <c r="DS487" i="11"/>
  <c r="DQ487" i="11"/>
  <c r="DR487" i="11"/>
  <c r="DT487" i="11" s="1"/>
  <c r="DO488" i="11"/>
  <c r="DX486" i="11" l="1"/>
  <c r="DY486" i="11" s="1"/>
  <c r="DS488" i="11"/>
  <c r="DQ488" i="11"/>
  <c r="DR488" i="11"/>
  <c r="DT488" i="11" s="1"/>
  <c r="DW487" i="11"/>
  <c r="DX487" i="11"/>
  <c r="DO489" i="11"/>
  <c r="DX488" i="11" l="1"/>
  <c r="DS489" i="11"/>
  <c r="DQ489" i="11"/>
  <c r="DY487" i="11"/>
  <c r="DR489" i="11"/>
  <c r="DT489" i="11" s="1"/>
  <c r="DO490" i="11"/>
  <c r="DW488" i="11" l="1"/>
  <c r="DY488" i="11" s="1"/>
  <c r="DX489" i="11"/>
  <c r="DS490" i="11"/>
  <c r="DQ490" i="11"/>
  <c r="DR490" i="11"/>
  <c r="DT490" i="11" s="1"/>
  <c r="DO491" i="11"/>
  <c r="DW489" i="11" l="1"/>
  <c r="DY489" i="11" s="1"/>
  <c r="DW490" i="11"/>
  <c r="DS491" i="11"/>
  <c r="DQ491" i="11"/>
  <c r="DR491" i="11"/>
  <c r="DT491" i="11" s="1"/>
  <c r="DO492" i="11"/>
  <c r="DX490" i="11" l="1"/>
  <c r="DY490" i="11" s="1"/>
  <c r="DX491" i="11"/>
  <c r="DS492" i="11"/>
  <c r="DQ492" i="11"/>
  <c r="DR492" i="11"/>
  <c r="DT492" i="11" s="1"/>
  <c r="DO493" i="11"/>
  <c r="DW491" i="11" l="1"/>
  <c r="DY491" i="11" s="1"/>
  <c r="DS493" i="11"/>
  <c r="DQ493" i="11"/>
  <c r="DR493" i="11"/>
  <c r="DT493" i="11" s="1"/>
  <c r="DO494" i="11"/>
  <c r="DX492" i="11" l="1"/>
  <c r="DW492" i="11"/>
  <c r="DW493" i="11"/>
  <c r="DS494" i="11"/>
  <c r="DQ494" i="11"/>
  <c r="DR494" i="11"/>
  <c r="DT494" i="11" s="1"/>
  <c r="DO495" i="11"/>
  <c r="DY492" i="11" l="1"/>
  <c r="DX493" i="11"/>
  <c r="DS495" i="11"/>
  <c r="DQ495" i="11"/>
  <c r="DR495" i="11"/>
  <c r="DT495" i="11" s="1"/>
  <c r="DO496" i="11"/>
  <c r="DY493" i="11" l="1"/>
  <c r="DW494" i="11"/>
  <c r="DX495" i="11"/>
  <c r="DX494" i="11"/>
  <c r="DS496" i="11"/>
  <c r="DQ496" i="11"/>
  <c r="DR496" i="11"/>
  <c r="DT496" i="11" s="1"/>
  <c r="DO497" i="11"/>
  <c r="DY494" i="11" l="1"/>
  <c r="DW495" i="11"/>
  <c r="DY495" i="11" s="1"/>
  <c r="DW496" i="11"/>
  <c r="DS497" i="11"/>
  <c r="DQ497" i="11"/>
  <c r="DR497" i="11"/>
  <c r="DT497" i="11" s="1"/>
  <c r="DO498" i="11"/>
  <c r="DX496" i="11" l="1"/>
  <c r="DY496" i="11" s="1"/>
  <c r="DS498" i="11"/>
  <c r="DQ498" i="11"/>
  <c r="DR498" i="11"/>
  <c r="DT498" i="11" s="1"/>
  <c r="DO499" i="11"/>
  <c r="DX497" i="11" l="1"/>
  <c r="DW497" i="11"/>
  <c r="DS499" i="11"/>
  <c r="DQ499" i="11"/>
  <c r="DR499" i="11"/>
  <c r="DT499" i="11" s="1"/>
  <c r="DO500" i="11"/>
  <c r="DY497" i="11" l="1"/>
  <c r="DX498" i="11"/>
  <c r="DW498" i="11"/>
  <c r="DS500" i="11"/>
  <c r="DQ500" i="11"/>
  <c r="DR500" i="11"/>
  <c r="DT500" i="11" s="1"/>
  <c r="DO501" i="11"/>
  <c r="DO502" i="11" s="1"/>
  <c r="DY498" i="11" l="1"/>
  <c r="DW500" i="11"/>
  <c r="DX499" i="11"/>
  <c r="DW499" i="11"/>
  <c r="DS502" i="11"/>
  <c r="DQ502" i="11"/>
  <c r="DR502" i="11"/>
  <c r="DO503" i="11"/>
  <c r="DS501" i="11"/>
  <c r="DQ501" i="11"/>
  <c r="DR501" i="11"/>
  <c r="DT501" i="11" s="1"/>
  <c r="DT502" i="11" l="1"/>
  <c r="DY499" i="11"/>
  <c r="DX500" i="11"/>
  <c r="DY500" i="11" s="1"/>
  <c r="DX501" i="11"/>
  <c r="DR503" i="11"/>
  <c r="DT503" i="11" s="1"/>
  <c r="DS503" i="11"/>
  <c r="DQ503" i="11"/>
  <c r="DO504" i="11"/>
  <c r="DW501" i="11" l="1"/>
  <c r="DY501" i="11" s="1"/>
  <c r="DW502" i="11"/>
  <c r="DX502" i="11"/>
  <c r="DS504" i="11"/>
  <c r="DQ504" i="11"/>
  <c r="DR504" i="11"/>
  <c r="DT504" i="11" s="1"/>
  <c r="DO505" i="11"/>
  <c r="DW503" i="11" l="1"/>
  <c r="DX503" i="11"/>
  <c r="DY502" i="11"/>
  <c r="DR505" i="11"/>
  <c r="DT505" i="11" s="1"/>
  <c r="DS505" i="11"/>
  <c r="DQ505" i="11"/>
  <c r="DO506" i="11"/>
  <c r="DW504" i="11" l="1"/>
  <c r="DX504" i="11"/>
  <c r="DY503" i="11"/>
  <c r="DS506" i="11"/>
  <c r="DR506" i="11"/>
  <c r="DT506" i="11" s="1"/>
  <c r="DO507" i="11"/>
  <c r="DQ506" i="11"/>
  <c r="DY504" i="11" l="1"/>
  <c r="DW505" i="11"/>
  <c r="DX505" i="11"/>
  <c r="DR507" i="11"/>
  <c r="DT507" i="11" s="1"/>
  <c r="DO508" i="11"/>
  <c r="DS507" i="11"/>
  <c r="DQ507" i="11"/>
  <c r="DY505" i="11" l="1"/>
  <c r="DS508" i="11"/>
  <c r="DQ508" i="11"/>
  <c r="DR508" i="11"/>
  <c r="DT508" i="11" s="1"/>
  <c r="DO509" i="11"/>
  <c r="DX506" i="11"/>
  <c r="DW506" i="11"/>
  <c r="DY506" i="11" l="1"/>
  <c r="DW507" i="11"/>
  <c r="DX507" i="11"/>
  <c r="DQ509" i="11"/>
  <c r="DO510" i="11"/>
  <c r="DR509" i="11"/>
  <c r="DT509" i="11" s="1"/>
  <c r="DS509" i="11"/>
  <c r="DQ510" i="11" l="1"/>
  <c r="DR510" i="11"/>
  <c r="DT510" i="11" s="1"/>
  <c r="DO511" i="11"/>
  <c r="DS510" i="11"/>
  <c r="DY507" i="11"/>
  <c r="DW508" i="11"/>
  <c r="DX508" i="11"/>
  <c r="O510" i="11" l="1"/>
  <c r="DW509" i="11"/>
  <c r="DX509" i="11"/>
  <c r="DS511" i="11"/>
  <c r="DQ511" i="11"/>
  <c r="DR511" i="11"/>
  <c r="DT511" i="11" s="1"/>
  <c r="DO512" i="11"/>
  <c r="DY508" i="11"/>
  <c r="O511" i="11" l="1"/>
  <c r="EK510" i="11"/>
  <c r="EJ510" i="11"/>
  <c r="EF510" i="11"/>
  <c r="F477" i="12"/>
  <c r="DW510" i="11"/>
  <c r="DX510" i="11"/>
  <c r="DO513" i="11"/>
  <c r="DS512" i="11"/>
  <c r="DR512" i="11"/>
  <c r="DT512" i="11" s="1"/>
  <c r="DQ512" i="11"/>
  <c r="DY509" i="11"/>
  <c r="EL510" i="11" l="1"/>
  <c r="O512" i="11"/>
  <c r="EK511" i="11"/>
  <c r="EF511" i="11"/>
  <c r="EJ511" i="11"/>
  <c r="F478" i="12"/>
  <c r="G477" i="12"/>
  <c r="DW511" i="11"/>
  <c r="DX511" i="11"/>
  <c r="DY510" i="11"/>
  <c r="DS513" i="11"/>
  <c r="DQ513" i="11"/>
  <c r="DR513" i="11"/>
  <c r="DT513" i="11" s="1"/>
  <c r="DO514" i="11"/>
  <c r="EL511" i="11" l="1"/>
  <c r="O513" i="11"/>
  <c r="EJ512" i="11"/>
  <c r="EK512" i="11"/>
  <c r="EF512" i="11"/>
  <c r="F479" i="12"/>
  <c r="G478" i="12"/>
  <c r="DW512" i="11"/>
  <c r="DX512" i="11"/>
  <c r="DO515" i="11"/>
  <c r="DS514" i="11"/>
  <c r="DR514" i="11"/>
  <c r="DT514" i="11" s="1"/>
  <c r="DQ514" i="11"/>
  <c r="DY511" i="11"/>
  <c r="EL512" i="11" l="1"/>
  <c r="O514" i="11"/>
  <c r="EK513" i="11"/>
  <c r="EJ513" i="11"/>
  <c r="EF513" i="11"/>
  <c r="F480" i="12"/>
  <c r="G479" i="12"/>
  <c r="DQ515" i="11"/>
  <c r="DS515" i="11"/>
  <c r="DO516" i="11"/>
  <c r="DR515" i="11"/>
  <c r="DT515" i="11" s="1"/>
  <c r="DY512" i="11"/>
  <c r="DX513" i="11"/>
  <c r="DW513" i="11"/>
  <c r="EL513" i="11" l="1"/>
  <c r="O515" i="11"/>
  <c r="EJ514" i="11"/>
  <c r="EK514" i="11"/>
  <c r="EF514" i="11"/>
  <c r="F481" i="12"/>
  <c r="G480" i="12"/>
  <c r="DW514" i="11"/>
  <c r="DX514" i="11"/>
  <c r="DY513" i="11"/>
  <c r="DO517" i="11"/>
  <c r="DS516" i="11"/>
  <c r="DR516" i="11"/>
  <c r="DT516" i="11" s="1"/>
  <c r="DQ516" i="11"/>
  <c r="EL514" i="11" l="1"/>
  <c r="O516" i="11"/>
  <c r="EK515" i="11"/>
  <c r="EJ515" i="11"/>
  <c r="EF515" i="11"/>
  <c r="F482" i="12"/>
  <c r="G481" i="12"/>
  <c r="DY514" i="11"/>
  <c r="DS517" i="11"/>
  <c r="DQ517" i="11"/>
  <c r="DO518" i="11"/>
  <c r="DR517" i="11"/>
  <c r="DT517" i="11" s="1"/>
  <c r="DW515" i="11"/>
  <c r="DX515" i="11"/>
  <c r="EL515" i="11" l="1"/>
  <c r="O517" i="11"/>
  <c r="EK516" i="11"/>
  <c r="EJ516" i="11"/>
  <c r="EF516" i="11"/>
  <c r="F483" i="12"/>
  <c r="G482" i="12"/>
  <c r="DY515" i="11"/>
  <c r="DW516" i="11"/>
  <c r="DX516" i="11"/>
  <c r="DS518" i="11"/>
  <c r="DR518" i="11"/>
  <c r="DT518" i="11" s="1"/>
  <c r="DO519" i="11"/>
  <c r="DQ518" i="11"/>
  <c r="EL516" i="11" l="1"/>
  <c r="O518" i="11"/>
  <c r="EJ517" i="11"/>
  <c r="EK517" i="11"/>
  <c r="EF517" i="11"/>
  <c r="F484" i="12"/>
  <c r="G483" i="12"/>
  <c r="DR519" i="11"/>
  <c r="DT519" i="11" s="1"/>
  <c r="DO520" i="11"/>
  <c r="DS519" i="11"/>
  <c r="DQ519" i="11"/>
  <c r="DY516" i="11"/>
  <c r="DW517" i="11"/>
  <c r="DX517" i="11"/>
  <c r="EL517" i="11" l="1"/>
  <c r="O519" i="11"/>
  <c r="EK518" i="11"/>
  <c r="EJ518" i="11"/>
  <c r="EF518" i="11"/>
  <c r="F485" i="12"/>
  <c r="G484" i="12"/>
  <c r="DW518" i="11"/>
  <c r="DX518" i="11"/>
  <c r="DY517" i="11"/>
  <c r="DS520" i="11"/>
  <c r="DQ520" i="11"/>
  <c r="DR520" i="11"/>
  <c r="DT520" i="11" s="1"/>
  <c r="DO521" i="11"/>
  <c r="EL518" i="11" l="1"/>
  <c r="O520" i="11"/>
  <c r="EJ519" i="11"/>
  <c r="EK519" i="11"/>
  <c r="EF519" i="11"/>
  <c r="F486" i="12"/>
  <c r="G485" i="12"/>
  <c r="DY518" i="11"/>
  <c r="DX519" i="11"/>
  <c r="DW519" i="11"/>
  <c r="DQ521" i="11"/>
  <c r="DS521" i="11"/>
  <c r="DO522" i="11"/>
  <c r="DR521" i="11"/>
  <c r="DT521" i="11" s="1"/>
  <c r="EL519" i="11" l="1"/>
  <c r="EK520" i="11"/>
  <c r="EJ520" i="11"/>
  <c r="EF520" i="11"/>
  <c r="O521" i="11"/>
  <c r="F487" i="12"/>
  <c r="G486" i="12"/>
  <c r="DY519" i="11"/>
  <c r="DX520" i="11"/>
  <c r="DW520" i="11"/>
  <c r="DR522" i="11"/>
  <c r="DT522" i="11" s="1"/>
  <c r="DO523" i="11"/>
  <c r="DS522" i="11"/>
  <c r="DQ522" i="11"/>
  <c r="EL520" i="11" l="1"/>
  <c r="EJ521" i="11"/>
  <c r="EK521" i="11"/>
  <c r="EF521" i="11"/>
  <c r="O522" i="11"/>
  <c r="F488" i="12"/>
  <c r="G487" i="12"/>
  <c r="DW521" i="11"/>
  <c r="DX521" i="11"/>
  <c r="DY520" i="11"/>
  <c r="DR523" i="11"/>
  <c r="DT523" i="11" s="1"/>
  <c r="DS523" i="11"/>
  <c r="DO524" i="11"/>
  <c r="DQ523" i="11"/>
  <c r="EL521" i="11" l="1"/>
  <c r="EK522" i="11"/>
  <c r="EJ522" i="11"/>
  <c r="EF522" i="11"/>
  <c r="O523" i="11"/>
  <c r="F489" i="12"/>
  <c r="G488" i="12"/>
  <c r="DY521" i="11"/>
  <c r="DW522" i="11"/>
  <c r="DX522" i="11"/>
  <c r="DR524" i="11"/>
  <c r="DT524" i="11" s="1"/>
  <c r="DO525" i="11"/>
  <c r="DS524" i="11"/>
  <c r="DQ524" i="11"/>
  <c r="EL522" i="11" l="1"/>
  <c r="EJ523" i="11"/>
  <c r="EK523" i="11"/>
  <c r="EF523" i="11"/>
  <c r="O524" i="11"/>
  <c r="F490" i="12"/>
  <c r="G490" i="12" s="1"/>
  <c r="G489" i="12"/>
  <c r="DW523" i="11"/>
  <c r="DX523" i="11"/>
  <c r="DY522" i="11"/>
  <c r="DS525" i="11"/>
  <c r="DQ525" i="11"/>
  <c r="DO526" i="11"/>
  <c r="DR525" i="11"/>
  <c r="DT525" i="11" s="1"/>
  <c r="EL523" i="11" l="1"/>
  <c r="EK524" i="11"/>
  <c r="EJ524" i="11"/>
  <c r="EF524" i="11"/>
  <c r="O525" i="11"/>
  <c r="F491" i="12"/>
  <c r="DY523" i="11"/>
  <c r="DO527" i="11"/>
  <c r="DS526" i="11"/>
  <c r="DQ526" i="11"/>
  <c r="DR526" i="11"/>
  <c r="DT526" i="11" s="1"/>
  <c r="DX524" i="11"/>
  <c r="DW524" i="11"/>
  <c r="EL524" i="11" l="1"/>
  <c r="O526" i="11"/>
  <c r="EJ525" i="11"/>
  <c r="EK525" i="11"/>
  <c r="EF525" i="11"/>
  <c r="F492" i="12"/>
  <c r="G491" i="12"/>
  <c r="DY524" i="11"/>
  <c r="DO528" i="11"/>
  <c r="DR527" i="11"/>
  <c r="DT527" i="11" s="1"/>
  <c r="DS527" i="11"/>
  <c r="DQ527" i="11"/>
  <c r="DW525" i="11"/>
  <c r="DX525" i="11"/>
  <c r="EL525" i="11" l="1"/>
  <c r="O527" i="11"/>
  <c r="EJ526" i="11"/>
  <c r="EK526" i="11"/>
  <c r="EF526" i="11"/>
  <c r="F493" i="12"/>
  <c r="G492" i="12"/>
  <c r="DY525" i="11"/>
  <c r="DS528" i="11"/>
  <c r="DR528" i="11"/>
  <c r="DT528" i="11" s="1"/>
  <c r="DO529" i="11"/>
  <c r="DQ528" i="11"/>
  <c r="DW526" i="11"/>
  <c r="DX526" i="11"/>
  <c r="EL526" i="11" l="1"/>
  <c r="O528" i="11"/>
  <c r="EK527" i="11"/>
  <c r="EJ527" i="11"/>
  <c r="EF527" i="11"/>
  <c r="F494" i="12"/>
  <c r="G493" i="12"/>
  <c r="DR529" i="11"/>
  <c r="DT529" i="11" s="1"/>
  <c r="DS529" i="11"/>
  <c r="DQ529" i="11"/>
  <c r="DO530" i="11"/>
  <c r="DX527" i="11"/>
  <c r="DW527" i="11"/>
  <c r="DY526" i="11"/>
  <c r="EL527" i="11" l="1"/>
  <c r="O529" i="11"/>
  <c r="EK528" i="11"/>
  <c r="EJ528" i="11"/>
  <c r="EF528" i="11"/>
  <c r="G494" i="12"/>
  <c r="F495" i="12"/>
  <c r="G495" i="12" s="1"/>
  <c r="DY527" i="11"/>
  <c r="DX528" i="11"/>
  <c r="DW528" i="11"/>
  <c r="DO531" i="11"/>
  <c r="DR530" i="11"/>
  <c r="DT530" i="11" s="1"/>
  <c r="DS530" i="11"/>
  <c r="DQ530" i="11"/>
  <c r="EL528" i="11" l="1"/>
  <c r="O530" i="11"/>
  <c r="EK529" i="11"/>
  <c r="EJ529" i="11"/>
  <c r="EF529" i="11"/>
  <c r="F496" i="12"/>
  <c r="DO532" i="11"/>
  <c r="DR531" i="11"/>
  <c r="DT531" i="11" s="1"/>
  <c r="DQ531" i="11"/>
  <c r="DS531" i="11"/>
  <c r="DX529" i="11"/>
  <c r="DW529" i="11"/>
  <c r="DY528" i="11"/>
  <c r="EL529" i="11" l="1"/>
  <c r="O531" i="11"/>
  <c r="EJ530" i="11"/>
  <c r="EK530" i="11"/>
  <c r="EF530" i="11"/>
  <c r="F497" i="12"/>
  <c r="G496" i="12"/>
  <c r="DY529" i="11"/>
  <c r="DQ532" i="11"/>
  <c r="DO533" i="11"/>
  <c r="DS532" i="11"/>
  <c r="DR532" i="11"/>
  <c r="DT532" i="11" s="1"/>
  <c r="DW530" i="11"/>
  <c r="DX530" i="11"/>
  <c r="EL530" i="11" l="1"/>
  <c r="O532" i="11"/>
  <c r="EK531" i="11"/>
  <c r="EJ531" i="11"/>
  <c r="EF531" i="11"/>
  <c r="F498" i="12"/>
  <c r="G497" i="12"/>
  <c r="DS533" i="11"/>
  <c r="DQ533" i="11"/>
  <c r="DO534" i="11"/>
  <c r="DR533" i="11"/>
  <c r="DT533" i="11" s="1"/>
  <c r="DW531" i="11"/>
  <c r="DX531" i="11"/>
  <c r="DY530" i="11"/>
  <c r="EL531" i="11" l="1"/>
  <c r="O533" i="11"/>
  <c r="EJ532" i="11"/>
  <c r="EK532" i="11"/>
  <c r="EF532" i="11"/>
  <c r="F499" i="12"/>
  <c r="G498" i="12"/>
  <c r="DS534" i="11"/>
  <c r="DR534" i="11"/>
  <c r="DT534" i="11" s="1"/>
  <c r="DO535" i="11"/>
  <c r="DQ534" i="11"/>
  <c r="DX532" i="11"/>
  <c r="DW532" i="11"/>
  <c r="DY531" i="11"/>
  <c r="EL532" i="11" l="1"/>
  <c r="O534" i="11"/>
  <c r="EK533" i="11"/>
  <c r="EJ533" i="11"/>
  <c r="EF533" i="11"/>
  <c r="F500" i="12"/>
  <c r="G499" i="12"/>
  <c r="DY532" i="11"/>
  <c r="DX533" i="11"/>
  <c r="DW533" i="11"/>
  <c r="DR535" i="11"/>
  <c r="DT535" i="11" s="1"/>
  <c r="DS535" i="11"/>
  <c r="DQ535" i="11"/>
  <c r="DO536" i="11"/>
  <c r="EL533" i="11" l="1"/>
  <c r="O535" i="11"/>
  <c r="EK534" i="11"/>
  <c r="EJ534" i="11"/>
  <c r="EF534" i="11"/>
  <c r="F501" i="12"/>
  <c r="G500" i="12"/>
  <c r="DY533" i="11"/>
  <c r="DW534" i="11"/>
  <c r="DX534" i="11"/>
  <c r="DS536" i="11"/>
  <c r="DR536" i="11"/>
  <c r="DT536" i="11" s="1"/>
  <c r="DO537" i="11"/>
  <c r="DQ536" i="11"/>
  <c r="EL534" i="11" l="1"/>
  <c r="O536" i="11"/>
  <c r="EJ535" i="11"/>
  <c r="EK535" i="11"/>
  <c r="EF535" i="11"/>
  <c r="G501" i="12"/>
  <c r="F502" i="12"/>
  <c r="G502" i="12" s="1"/>
  <c r="DO538" i="11"/>
  <c r="DR537" i="11"/>
  <c r="DT537" i="11" s="1"/>
  <c r="DS537" i="11"/>
  <c r="DQ537" i="11"/>
  <c r="DY534" i="11"/>
  <c r="DW535" i="11"/>
  <c r="DX535" i="11"/>
  <c r="EL535" i="11" l="1"/>
  <c r="O537" i="11"/>
  <c r="EJ536" i="11"/>
  <c r="EK536" i="11"/>
  <c r="EF536" i="11"/>
  <c r="F503" i="12"/>
  <c r="DY535" i="11"/>
  <c r="DX536" i="11"/>
  <c r="DW536" i="11"/>
  <c r="DS538" i="11"/>
  <c r="DR538" i="11"/>
  <c r="DT538" i="11" s="1"/>
  <c r="DO539" i="11"/>
  <c r="DQ538" i="11"/>
  <c r="EL536" i="11" l="1"/>
  <c r="O538" i="11"/>
  <c r="EK537" i="11"/>
  <c r="EJ537" i="11"/>
  <c r="EF537" i="11"/>
  <c r="G503" i="12"/>
  <c r="F504" i="12"/>
  <c r="G504" i="12" s="1"/>
  <c r="DX537" i="11"/>
  <c r="DW537" i="11"/>
  <c r="DO540" i="11"/>
  <c r="DR539" i="11"/>
  <c r="DT539" i="11" s="1"/>
  <c r="DQ539" i="11"/>
  <c r="DS539" i="11"/>
  <c r="DY536" i="11"/>
  <c r="EL537" i="11" l="1"/>
  <c r="O539" i="11"/>
  <c r="EK538" i="11"/>
  <c r="EJ538" i="11"/>
  <c r="EF538" i="11"/>
  <c r="F505" i="12"/>
  <c r="G505" i="12" s="1"/>
  <c r="DY537" i="11"/>
  <c r="DQ540" i="11"/>
  <c r="DS540" i="11"/>
  <c r="DR540" i="11"/>
  <c r="DT540" i="11" s="1"/>
  <c r="DO541" i="11"/>
  <c r="DX538" i="11"/>
  <c r="DW538" i="11"/>
  <c r="EL538" i="11" l="1"/>
  <c r="O540" i="11"/>
  <c r="EJ539" i="11"/>
  <c r="EK539" i="11"/>
  <c r="EF539" i="11"/>
  <c r="F506" i="12"/>
  <c r="DY538" i="11"/>
  <c r="DS541" i="11"/>
  <c r="DQ541" i="11"/>
  <c r="DO542" i="11"/>
  <c r="DR541" i="11"/>
  <c r="DT541" i="11" s="1"/>
  <c r="DW539" i="11"/>
  <c r="DX539" i="11"/>
  <c r="EL539" i="11" l="1"/>
  <c r="O541" i="11"/>
  <c r="EK540" i="11"/>
  <c r="EJ540" i="11"/>
  <c r="EF540" i="11"/>
  <c r="F507" i="12"/>
  <c r="G507" i="12" s="1"/>
  <c r="G506" i="12"/>
  <c r="DX540" i="11"/>
  <c r="DW540" i="11"/>
  <c r="DR542" i="11"/>
  <c r="DT542" i="11" s="1"/>
  <c r="DO543" i="11"/>
  <c r="DS542" i="11"/>
  <c r="DQ542" i="11"/>
  <c r="DY539" i="11"/>
  <c r="EL540" i="11" l="1"/>
  <c r="O542" i="11"/>
  <c r="EK541" i="11"/>
  <c r="EJ541" i="11"/>
  <c r="EF541" i="11"/>
  <c r="F508" i="12"/>
  <c r="G508" i="12" s="1"/>
  <c r="DY540" i="11"/>
  <c r="DX541" i="11"/>
  <c r="DW541" i="11"/>
  <c r="DS543" i="11"/>
  <c r="DQ543" i="11"/>
  <c r="DR543" i="11"/>
  <c r="DT543" i="11" s="1"/>
  <c r="DO544" i="11"/>
  <c r="EL541" i="11" l="1"/>
  <c r="O543" i="11"/>
  <c r="EK542" i="11"/>
  <c r="EJ542" i="11"/>
  <c r="EF542" i="11"/>
  <c r="F509" i="12"/>
  <c r="DS544" i="11"/>
  <c r="DR544" i="11"/>
  <c r="DT544" i="11" s="1"/>
  <c r="DO545" i="11"/>
  <c r="DQ544" i="11"/>
  <c r="DW542" i="11"/>
  <c r="DX542" i="11"/>
  <c r="DY541" i="11"/>
  <c r="EL542" i="11" l="1"/>
  <c r="EK543" i="11"/>
  <c r="EJ543" i="11"/>
  <c r="EF543" i="11"/>
  <c r="O544" i="11"/>
  <c r="F510" i="12"/>
  <c r="G509" i="12"/>
  <c r="DY542" i="11"/>
  <c r="DW543" i="11"/>
  <c r="DX543" i="11"/>
  <c r="DR545" i="11"/>
  <c r="DT545" i="11" s="1"/>
  <c r="DO546" i="11"/>
  <c r="DS545" i="11"/>
  <c r="DQ545" i="11"/>
  <c r="EL543" i="11" l="1"/>
  <c r="EK544" i="11"/>
  <c r="EJ544" i="11"/>
  <c r="EF544" i="11"/>
  <c r="O545" i="11"/>
  <c r="F511" i="12"/>
  <c r="G510" i="12"/>
  <c r="DW544" i="11"/>
  <c r="DX544" i="11"/>
  <c r="DY543" i="11"/>
  <c r="DS546" i="11"/>
  <c r="DQ546" i="11"/>
  <c r="DR546" i="11"/>
  <c r="DT546" i="11" s="1"/>
  <c r="DO547" i="11"/>
  <c r="EL544" i="11" l="1"/>
  <c r="EJ545" i="11"/>
  <c r="EK545" i="11"/>
  <c r="EF545" i="11"/>
  <c r="O546" i="11"/>
  <c r="F512" i="12"/>
  <c r="G511" i="12"/>
  <c r="DY544" i="11"/>
  <c r="DX545" i="11"/>
  <c r="DW545" i="11"/>
  <c r="DS547" i="11"/>
  <c r="DQ547" i="11"/>
  <c r="DR547" i="11"/>
  <c r="DT547" i="11" s="1"/>
  <c r="DO548" i="11"/>
  <c r="EL545" i="11" l="1"/>
  <c r="EK546" i="11"/>
  <c r="EJ546" i="11"/>
  <c r="EF546" i="11"/>
  <c r="O547" i="11"/>
  <c r="G512" i="12"/>
  <c r="F513" i="12"/>
  <c r="G513" i="12" s="1"/>
  <c r="DY545" i="11"/>
  <c r="DW546" i="11"/>
  <c r="DX546" i="11"/>
  <c r="DQ548" i="11"/>
  <c r="DO549" i="11"/>
  <c r="DS548" i="11"/>
  <c r="DR548" i="11"/>
  <c r="DT548" i="11" s="1"/>
  <c r="EL546" i="11" l="1"/>
  <c r="EJ547" i="11"/>
  <c r="EK547" i="11"/>
  <c r="EF547" i="11"/>
  <c r="O548" i="11"/>
  <c r="F514" i="12"/>
  <c r="DY546" i="11"/>
  <c r="DS549" i="11"/>
  <c r="DQ549" i="11"/>
  <c r="DR549" i="11"/>
  <c r="DT549" i="11" s="1"/>
  <c r="DO550" i="11"/>
  <c r="DW547" i="11"/>
  <c r="DX547" i="11"/>
  <c r="EL547" i="11" l="1"/>
  <c r="EJ548" i="11"/>
  <c r="EK548" i="11"/>
  <c r="EF548" i="11"/>
  <c r="O549" i="11"/>
  <c r="F515" i="12"/>
  <c r="G514" i="12"/>
  <c r="DY547" i="11"/>
  <c r="DR550" i="11"/>
  <c r="DT550" i="11" s="1"/>
  <c r="DO551" i="11"/>
  <c r="DS550" i="11"/>
  <c r="DQ550" i="11"/>
  <c r="DX548" i="11"/>
  <c r="DW548" i="11"/>
  <c r="EL548" i="11" l="1"/>
  <c r="EF549" i="11"/>
  <c r="EK549" i="11"/>
  <c r="EJ549" i="11"/>
  <c r="O550" i="11"/>
  <c r="F516" i="12"/>
  <c r="G516" i="12" s="1"/>
  <c r="G515" i="12"/>
  <c r="DR551" i="11"/>
  <c r="DT551" i="11" s="1"/>
  <c r="DO552" i="11"/>
  <c r="DS551" i="11"/>
  <c r="DQ551" i="11"/>
  <c r="DX549" i="11"/>
  <c r="DW549" i="11"/>
  <c r="DY548" i="11"/>
  <c r="EL549" i="11" l="1"/>
  <c r="EJ550" i="11"/>
  <c r="EF550" i="11"/>
  <c r="EK550" i="11"/>
  <c r="O551" i="11"/>
  <c r="F517" i="12"/>
  <c r="DR552" i="11"/>
  <c r="DT552" i="11" s="1"/>
  <c r="DO553" i="11"/>
  <c r="DS552" i="11"/>
  <c r="DQ552" i="11"/>
  <c r="DY549" i="11"/>
  <c r="DX550" i="11"/>
  <c r="DW550" i="11"/>
  <c r="EL550" i="11" l="1"/>
  <c r="EJ551" i="11"/>
  <c r="EK551" i="11"/>
  <c r="EF551" i="11"/>
  <c r="O552" i="11"/>
  <c r="F518" i="12"/>
  <c r="G517" i="12"/>
  <c r="DY550" i="11"/>
  <c r="DR553" i="11"/>
  <c r="DT553" i="11" s="1"/>
  <c r="DS553" i="11"/>
  <c r="DO554" i="11"/>
  <c r="DQ553" i="11"/>
  <c r="DW551" i="11"/>
  <c r="DX551" i="11"/>
  <c r="EL551" i="11" l="1"/>
  <c r="EJ552" i="11"/>
  <c r="EK552" i="11"/>
  <c r="EF552" i="11"/>
  <c r="O553" i="11"/>
  <c r="F519" i="12"/>
  <c r="G518" i="12"/>
  <c r="DO555" i="11"/>
  <c r="DS554" i="11"/>
  <c r="DR554" i="11"/>
  <c r="DT554" i="11" s="1"/>
  <c r="DQ554" i="11"/>
  <c r="DX552" i="11"/>
  <c r="DW552" i="11"/>
  <c r="DY551" i="11"/>
  <c r="EL552" i="11" l="1"/>
  <c r="O554" i="11"/>
  <c r="EJ553" i="11"/>
  <c r="EK553" i="11"/>
  <c r="EF553" i="11"/>
  <c r="F520" i="12"/>
  <c r="G519" i="12"/>
  <c r="DY552" i="11"/>
  <c r="DS555" i="11"/>
  <c r="DQ555" i="11"/>
  <c r="DO556" i="11"/>
  <c r="DR555" i="11"/>
  <c r="DT555" i="11" s="1"/>
  <c r="DW553" i="11"/>
  <c r="DX553" i="11"/>
  <c r="EL553" i="11" l="1"/>
  <c r="O555" i="11"/>
  <c r="EJ554" i="11"/>
  <c r="EK554" i="11"/>
  <c r="EF554" i="11"/>
  <c r="F521" i="12"/>
  <c r="G520" i="12"/>
  <c r="DS556" i="11"/>
  <c r="DQ556" i="11"/>
  <c r="DR556" i="11"/>
  <c r="DT556" i="11" s="1"/>
  <c r="DO557" i="11"/>
  <c r="DY553" i="11"/>
  <c r="DW554" i="11"/>
  <c r="DX554" i="11"/>
  <c r="EL554" i="11" l="1"/>
  <c r="O556" i="11"/>
  <c r="EJ555" i="11"/>
  <c r="EK555" i="11"/>
  <c r="EF555" i="11"/>
  <c r="F522" i="12"/>
  <c r="G521" i="12"/>
  <c r="DW555" i="11"/>
  <c r="DX555" i="11"/>
  <c r="DQ557" i="11"/>
  <c r="DO558" i="11"/>
  <c r="DR557" i="11"/>
  <c r="DT557" i="11" s="1"/>
  <c r="DS557" i="11"/>
  <c r="DY554" i="11"/>
  <c r="EL555" i="11" l="1"/>
  <c r="O557" i="11"/>
  <c r="EK556" i="11"/>
  <c r="EJ556" i="11"/>
  <c r="EF556" i="11"/>
  <c r="F523" i="12"/>
  <c r="G522" i="12"/>
  <c r="DO559" i="11"/>
  <c r="DS558" i="11"/>
  <c r="DR558" i="11"/>
  <c r="DT558" i="11" s="1"/>
  <c r="DQ558" i="11"/>
  <c r="DY555" i="11"/>
  <c r="DW556" i="11"/>
  <c r="DX556" i="11"/>
  <c r="EL556" i="11" l="1"/>
  <c r="O558" i="11"/>
  <c r="EF557" i="11"/>
  <c r="EJ557" i="11"/>
  <c r="EK557" i="11"/>
  <c r="F524" i="12"/>
  <c r="G523" i="12"/>
  <c r="DY556" i="11"/>
  <c r="DS559" i="11"/>
  <c r="DQ559" i="11"/>
  <c r="DO560" i="11"/>
  <c r="DR559" i="11"/>
  <c r="DT559" i="11" s="1"/>
  <c r="DX557" i="11"/>
  <c r="DW557" i="11"/>
  <c r="EL557" i="11" l="1"/>
  <c r="O559" i="11"/>
  <c r="EK558" i="11"/>
  <c r="EJ558" i="11"/>
  <c r="EF558" i="11"/>
  <c r="G524" i="12"/>
  <c r="F525" i="12"/>
  <c r="DX558" i="11"/>
  <c r="DW558" i="11"/>
  <c r="DR560" i="11"/>
  <c r="DT560" i="11" s="1"/>
  <c r="DO561" i="11"/>
  <c r="DS560" i="11"/>
  <c r="DQ560" i="11"/>
  <c r="DY557" i="11"/>
  <c r="EL558" i="11" l="1"/>
  <c r="O560" i="11"/>
  <c r="EK559" i="11"/>
  <c r="EJ559" i="11"/>
  <c r="EF559" i="11"/>
  <c r="G525" i="12"/>
  <c r="F526" i="12"/>
  <c r="G526" i="12" s="1"/>
  <c r="DX559" i="11"/>
  <c r="DW559" i="11"/>
  <c r="DS561" i="11"/>
  <c r="DQ561" i="11"/>
  <c r="DO562" i="11"/>
  <c r="DR561" i="11"/>
  <c r="DT561" i="11" s="1"/>
  <c r="DY558" i="11"/>
  <c r="EL559" i="11" l="1"/>
  <c r="O561" i="11"/>
  <c r="EJ560" i="11"/>
  <c r="EK560" i="11"/>
  <c r="EF560" i="11"/>
  <c r="F527" i="12"/>
  <c r="DX560" i="11"/>
  <c r="DW560" i="11"/>
  <c r="DS562" i="11"/>
  <c r="DQ562" i="11"/>
  <c r="DR562" i="11"/>
  <c r="DT562" i="11" s="1"/>
  <c r="DO563" i="11"/>
  <c r="DY559" i="11"/>
  <c r="EL560" i="11" l="1"/>
  <c r="EK561" i="11"/>
  <c r="EJ561" i="11"/>
  <c r="EF561" i="11"/>
  <c r="O562" i="11"/>
  <c r="F528" i="12"/>
  <c r="G527" i="12"/>
  <c r="DY560" i="11"/>
  <c r="DW561" i="11"/>
  <c r="DX561" i="11"/>
  <c r="DO564" i="11"/>
  <c r="DR563" i="11"/>
  <c r="DT563" i="11" s="1"/>
  <c r="DQ563" i="11"/>
  <c r="DS563" i="11"/>
  <c r="EL561" i="11" l="1"/>
  <c r="O563" i="11"/>
  <c r="EK562" i="11"/>
  <c r="EJ562" i="11"/>
  <c r="EF562" i="11"/>
  <c r="G528" i="12"/>
  <c r="F529" i="12"/>
  <c r="DW562" i="11"/>
  <c r="DX562" i="11"/>
  <c r="DY561" i="11"/>
  <c r="DO565" i="11"/>
  <c r="DS564" i="11"/>
  <c r="DQ564" i="11"/>
  <c r="DR564" i="11"/>
  <c r="DT564" i="11" s="1"/>
  <c r="EL562" i="11" l="1"/>
  <c r="EJ563" i="11"/>
  <c r="EK563" i="11"/>
  <c r="EF563" i="11"/>
  <c r="O564" i="11"/>
  <c r="F530" i="12"/>
  <c r="G530" i="12" s="1"/>
  <c r="G529" i="12"/>
  <c r="DW563" i="11"/>
  <c r="DX563" i="11"/>
  <c r="DY562" i="11"/>
  <c r="DS565" i="11"/>
  <c r="DQ565" i="11"/>
  <c r="DR565" i="11"/>
  <c r="DT565" i="11" s="1"/>
  <c r="DO566" i="11"/>
  <c r="EL563" i="11" l="1"/>
  <c r="EJ564" i="11"/>
  <c r="EK564" i="11"/>
  <c r="EF564" i="11"/>
  <c r="O565" i="11"/>
  <c r="F531" i="12"/>
  <c r="G531" i="12" s="1"/>
  <c r="DY563" i="11"/>
  <c r="DX564" i="11"/>
  <c r="DW564" i="11"/>
  <c r="DS566" i="11"/>
  <c r="DQ566" i="11"/>
  <c r="DR566" i="11"/>
  <c r="DT566" i="11" s="1"/>
  <c r="DO567" i="11"/>
  <c r="EL564" i="11" l="1"/>
  <c r="EJ565" i="11"/>
  <c r="EK565" i="11"/>
  <c r="EF565" i="11"/>
  <c r="O566" i="11"/>
  <c r="F532" i="12"/>
  <c r="DY564" i="11"/>
  <c r="DX565" i="11"/>
  <c r="DW565" i="11"/>
  <c r="DO568" i="11"/>
  <c r="DR567" i="11"/>
  <c r="DT567" i="11" s="1"/>
  <c r="DQ567" i="11"/>
  <c r="DS567" i="11"/>
  <c r="EL565" i="11" l="1"/>
  <c r="EK566" i="11"/>
  <c r="EJ566" i="11"/>
  <c r="EF566" i="11"/>
  <c r="O567" i="11"/>
  <c r="F533" i="12"/>
  <c r="G532" i="12"/>
  <c r="DY565" i="11"/>
  <c r="DX566" i="11"/>
  <c r="DW566" i="11"/>
  <c r="DS568" i="11"/>
  <c r="DR568" i="11"/>
  <c r="DT568" i="11" s="1"/>
  <c r="DQ568" i="11"/>
  <c r="DO569" i="11"/>
  <c r="EL566" i="11" l="1"/>
  <c r="EJ567" i="11"/>
  <c r="EK567" i="11"/>
  <c r="EF567" i="11"/>
  <c r="O568" i="11"/>
  <c r="F534" i="12"/>
  <c r="G533" i="12"/>
  <c r="DO570" i="11"/>
  <c r="DQ569" i="11"/>
  <c r="DR569" i="11"/>
  <c r="DT569" i="11" s="1"/>
  <c r="DS569" i="11"/>
  <c r="DY566" i="11"/>
  <c r="DW567" i="11"/>
  <c r="DX567" i="11"/>
  <c r="EL567" i="11" l="1"/>
  <c r="EK568" i="11"/>
  <c r="EJ568" i="11"/>
  <c r="EF568" i="11"/>
  <c r="O569" i="11"/>
  <c r="G534" i="12"/>
  <c r="F535" i="12"/>
  <c r="G535" i="12" s="1"/>
  <c r="DX568" i="11"/>
  <c r="DW568" i="11"/>
  <c r="DY567" i="11"/>
  <c r="DR570" i="11"/>
  <c r="DT570" i="11" s="1"/>
  <c r="DS570" i="11"/>
  <c r="DQ570" i="11"/>
  <c r="DO571" i="11"/>
  <c r="EL568" i="11" l="1"/>
  <c r="EJ569" i="11"/>
  <c r="EK569" i="11"/>
  <c r="EF569" i="11"/>
  <c r="O570" i="11"/>
  <c r="F536" i="12"/>
  <c r="DW569" i="11"/>
  <c r="DX569" i="11"/>
  <c r="DQ571" i="11"/>
  <c r="DO572" i="11"/>
  <c r="DR571" i="11"/>
  <c r="DT571" i="11" s="1"/>
  <c r="DS571" i="11"/>
  <c r="DY568" i="11"/>
  <c r="EL569" i="11" l="1"/>
  <c r="EK570" i="11"/>
  <c r="EJ570" i="11"/>
  <c r="EF570" i="11"/>
  <c r="O571" i="11"/>
  <c r="F537" i="12"/>
  <c r="G536" i="12"/>
  <c r="DY569" i="11"/>
  <c r="DS572" i="11"/>
  <c r="DR572" i="11"/>
  <c r="DT572" i="11" s="1"/>
  <c r="DO573" i="11"/>
  <c r="DQ572" i="11"/>
  <c r="DX570" i="11"/>
  <c r="DW570" i="11"/>
  <c r="EL570" i="11" l="1"/>
  <c r="O572" i="11"/>
  <c r="EK571" i="11"/>
  <c r="EJ571" i="11"/>
  <c r="EF571" i="11"/>
  <c r="F538" i="12"/>
  <c r="G537" i="12"/>
  <c r="DY570" i="11"/>
  <c r="DW571" i="11"/>
  <c r="DX571" i="11"/>
  <c r="DS573" i="11"/>
  <c r="DQ573" i="11"/>
  <c r="DO574" i="11"/>
  <c r="DR573" i="11"/>
  <c r="DT573" i="11" s="1"/>
  <c r="EL571" i="11" l="1"/>
  <c r="EK572" i="11"/>
  <c r="EJ572" i="11"/>
  <c r="EF572" i="11"/>
  <c r="O573" i="11"/>
  <c r="G538" i="12"/>
  <c r="F539" i="12"/>
  <c r="G539" i="12" s="1"/>
  <c r="DX572" i="11"/>
  <c r="DW572" i="11"/>
  <c r="DY571" i="11"/>
  <c r="DS574" i="11"/>
  <c r="DR574" i="11"/>
  <c r="DT574" i="11" s="1"/>
  <c r="DO575" i="11"/>
  <c r="DQ574" i="11"/>
  <c r="EL572" i="11" l="1"/>
  <c r="EK573" i="11"/>
  <c r="EJ573" i="11"/>
  <c r="EF573" i="11"/>
  <c r="O574" i="11"/>
  <c r="F540" i="12"/>
  <c r="G540" i="12" s="1"/>
  <c r="DY572" i="11"/>
  <c r="DS575" i="11"/>
  <c r="DQ575" i="11"/>
  <c r="DO576" i="11"/>
  <c r="DR575" i="11"/>
  <c r="DT575" i="11" s="1"/>
  <c r="DW573" i="11"/>
  <c r="DX573" i="11"/>
  <c r="EL573" i="11" l="1"/>
  <c r="EJ574" i="11"/>
  <c r="EK574" i="11"/>
  <c r="EF574" i="11"/>
  <c r="O575" i="11"/>
  <c r="F541" i="12"/>
  <c r="G541" i="12" s="1"/>
  <c r="DY573" i="11"/>
  <c r="DS576" i="11"/>
  <c r="DR576" i="11"/>
  <c r="DT576" i="11" s="1"/>
  <c r="DO577" i="11"/>
  <c r="DQ576" i="11"/>
  <c r="DW574" i="11"/>
  <c r="DX574" i="11"/>
  <c r="EL574" i="11" l="1"/>
  <c r="O576" i="11"/>
  <c r="EK575" i="11"/>
  <c r="EF575" i="11"/>
  <c r="EJ575" i="11"/>
  <c r="F542" i="12"/>
  <c r="DY574" i="11"/>
  <c r="DX575" i="11"/>
  <c r="DW575" i="11"/>
  <c r="DS577" i="11"/>
  <c r="DQ577" i="11"/>
  <c r="DO578" i="11"/>
  <c r="DR577" i="11"/>
  <c r="DT577" i="11" s="1"/>
  <c r="EL575" i="11" l="1"/>
  <c r="O577" i="11"/>
  <c r="EJ576" i="11"/>
  <c r="EK576" i="11"/>
  <c r="EF576" i="11"/>
  <c r="F543" i="12"/>
  <c r="G542" i="12"/>
  <c r="DY575" i="11"/>
  <c r="DW576" i="11"/>
  <c r="DX576" i="11"/>
  <c r="DS578" i="11"/>
  <c r="DR578" i="11"/>
  <c r="DT578" i="11" s="1"/>
  <c r="DO579" i="11"/>
  <c r="DQ578" i="11"/>
  <c r="EL576" i="11" l="1"/>
  <c r="EJ577" i="11"/>
  <c r="EK577" i="11"/>
  <c r="EF577" i="11"/>
  <c r="O578" i="11"/>
  <c r="F544" i="12"/>
  <c r="G544" i="12" s="1"/>
  <c r="G543" i="12"/>
  <c r="DY576" i="11"/>
  <c r="DR579" i="11"/>
  <c r="DT579" i="11" s="1"/>
  <c r="DQ579" i="11"/>
  <c r="DS579" i="11"/>
  <c r="DO580" i="11"/>
  <c r="DW577" i="11"/>
  <c r="DX577" i="11"/>
  <c r="EL577" i="11" l="1"/>
  <c r="EK578" i="11"/>
  <c r="EJ578" i="11"/>
  <c r="EF578" i="11"/>
  <c r="O579" i="11"/>
  <c r="F545" i="12"/>
  <c r="DQ580" i="11"/>
  <c r="DR580" i="11"/>
  <c r="DT580" i="11" s="1"/>
  <c r="DO581" i="11"/>
  <c r="DS580" i="11"/>
  <c r="DY577" i="11"/>
  <c r="DX578" i="11"/>
  <c r="DW578" i="11"/>
  <c r="EL578" i="11" l="1"/>
  <c r="F546" i="12"/>
  <c r="O580" i="11"/>
  <c r="G545" i="12"/>
  <c r="DY578" i="11"/>
  <c r="DR581" i="11"/>
  <c r="DT581" i="11" s="1"/>
  <c r="DS581" i="11"/>
  <c r="DQ581" i="11"/>
  <c r="DO582" i="11"/>
  <c r="DX579" i="11"/>
  <c r="DW579" i="11"/>
  <c r="O581" i="11" l="1"/>
  <c r="F547" i="12"/>
  <c r="EJ579" i="11"/>
  <c r="EK579" i="11"/>
  <c r="EF579" i="11"/>
  <c r="G546" i="12"/>
  <c r="DY579" i="11"/>
  <c r="DQ582" i="11"/>
  <c r="DR582" i="11"/>
  <c r="DT582" i="11" s="1"/>
  <c r="DO583" i="11"/>
  <c r="DO584" i="11" s="1"/>
  <c r="DS582" i="11"/>
  <c r="DX580" i="11"/>
  <c r="DW580" i="11"/>
  <c r="DS584" i="11" l="1"/>
  <c r="DR584" i="11"/>
  <c r="DQ584" i="11"/>
  <c r="DO585" i="11"/>
  <c r="EL579" i="11"/>
  <c r="O582" i="11"/>
  <c r="EJ580" i="11"/>
  <c r="EK580" i="11"/>
  <c r="EF580" i="11"/>
  <c r="G547" i="12"/>
  <c r="F548" i="12"/>
  <c r="DY580" i="11"/>
  <c r="DR583" i="11"/>
  <c r="DT583" i="11" s="1"/>
  <c r="DS583" i="11"/>
  <c r="DQ583" i="11"/>
  <c r="DW581" i="11"/>
  <c r="DX581" i="11"/>
  <c r="DT584" i="11" l="1"/>
  <c r="EL580" i="11"/>
  <c r="EK582" i="11"/>
  <c r="EJ582" i="11"/>
  <c r="EF582" i="11"/>
  <c r="EK581" i="11"/>
  <c r="EJ581" i="11"/>
  <c r="EF581" i="11"/>
  <c r="DO586" i="11"/>
  <c r="DR585" i="11"/>
  <c r="DS585" i="11"/>
  <c r="DQ585" i="11"/>
  <c r="O583" i="11"/>
  <c r="G548" i="12"/>
  <c r="O584" i="11"/>
  <c r="DY581" i="11"/>
  <c r="DX582" i="11"/>
  <c r="DW582" i="11"/>
  <c r="DT585" i="11" l="1"/>
  <c r="EL581" i="11"/>
  <c r="EL582" i="11"/>
  <c r="DY582" i="11"/>
  <c r="O585" i="11"/>
  <c r="DS586" i="11"/>
  <c r="DQ586" i="11"/>
  <c r="DO587" i="11"/>
  <c r="DR586" i="11"/>
  <c r="DT586" i="11" s="1"/>
  <c r="EJ584" i="11"/>
  <c r="EK584" i="11"/>
  <c r="EF584" i="11"/>
  <c r="DX584" i="11"/>
  <c r="DW584" i="11"/>
  <c r="EK583" i="11"/>
  <c r="EJ583" i="11"/>
  <c r="EF583" i="11"/>
  <c r="DW583" i="11"/>
  <c r="DX583" i="11"/>
  <c r="EL584" i="11" l="1"/>
  <c r="EL583" i="11"/>
  <c r="O586" i="11"/>
  <c r="EK585" i="11"/>
  <c r="EJ585" i="11"/>
  <c r="EF585" i="11"/>
  <c r="DW585" i="11"/>
  <c r="DX585" i="11"/>
  <c r="DY584" i="11"/>
  <c r="DQ587" i="11"/>
  <c r="DR587" i="11"/>
  <c r="DT587" i="11" s="1"/>
  <c r="DS587" i="11"/>
  <c r="DO588" i="11"/>
  <c r="DY583" i="11"/>
  <c r="EL585" i="11" l="1"/>
  <c r="DY585" i="11"/>
  <c r="O587" i="11"/>
  <c r="EJ586" i="11"/>
  <c r="EK586" i="11"/>
  <c r="EF586" i="11"/>
  <c r="DX586" i="11"/>
  <c r="DW586" i="11"/>
  <c r="DO589" i="11"/>
  <c r="DS588" i="11"/>
  <c r="DR588" i="11"/>
  <c r="DT588" i="11" s="1"/>
  <c r="DQ588" i="11"/>
  <c r="EL586" i="11" l="1"/>
  <c r="DY586" i="11"/>
  <c r="DQ589" i="11"/>
  <c r="DR589" i="11"/>
  <c r="DT589" i="11" s="1"/>
  <c r="DO590" i="11"/>
  <c r="DS589" i="11"/>
  <c r="EK587" i="11"/>
  <c r="EJ587" i="11"/>
  <c r="EF587" i="11"/>
  <c r="O588" i="11"/>
  <c r="DX587" i="11"/>
  <c r="DW587" i="11"/>
  <c r="EL587" i="11" l="1"/>
  <c r="DY587" i="11"/>
  <c r="DO591" i="11"/>
  <c r="DR590" i="11"/>
  <c r="DT590" i="11" s="1"/>
  <c r="DQ590" i="11"/>
  <c r="DS590" i="11"/>
  <c r="EJ588" i="11"/>
  <c r="EK588" i="11"/>
  <c r="EF588" i="11"/>
  <c r="O589" i="11"/>
  <c r="DX588" i="11"/>
  <c r="DW588" i="11"/>
  <c r="EL588" i="11" l="1"/>
  <c r="DY588" i="11"/>
  <c r="EK589" i="11"/>
  <c r="EJ589" i="11"/>
  <c r="EF589" i="11"/>
  <c r="O590" i="11"/>
  <c r="DW589" i="11"/>
  <c r="DX589" i="11"/>
  <c r="DS591" i="11"/>
  <c r="DR591" i="11"/>
  <c r="DT591" i="11" s="1"/>
  <c r="DO592" i="11"/>
  <c r="DQ591" i="11"/>
  <c r="EL589" i="11" l="1"/>
  <c r="EK590" i="11"/>
  <c r="EJ590" i="11"/>
  <c r="EF590" i="11"/>
  <c r="DS592" i="11"/>
  <c r="DQ592" i="11"/>
  <c r="DO593" i="11"/>
  <c r="DR592" i="11"/>
  <c r="DT592" i="11" s="1"/>
  <c r="DW590" i="11"/>
  <c r="DX590" i="11"/>
  <c r="O591" i="11"/>
  <c r="DY589" i="11"/>
  <c r="EL590" i="11" l="1"/>
  <c r="DR593" i="11"/>
  <c r="DT593" i="11" s="1"/>
  <c r="DS593" i="11"/>
  <c r="DQ593" i="11"/>
  <c r="DO594" i="11"/>
  <c r="EJ591" i="11"/>
  <c r="EK591" i="11"/>
  <c r="EF591" i="11"/>
  <c r="O592" i="11"/>
  <c r="DW591" i="11"/>
  <c r="DX591" i="11"/>
  <c r="DY590" i="11"/>
  <c r="DY591" i="11" l="1"/>
  <c r="EL591" i="11"/>
  <c r="DO595" i="11"/>
  <c r="DS594" i="11"/>
  <c r="DR594" i="11"/>
  <c r="DT594" i="11" s="1"/>
  <c r="DQ594" i="11"/>
  <c r="EJ592" i="11"/>
  <c r="EK592" i="11"/>
  <c r="EF592" i="11"/>
  <c r="DW592" i="11"/>
  <c r="DX592" i="11"/>
  <c r="O593" i="11"/>
  <c r="EL592" i="11" l="1"/>
  <c r="DY592" i="11"/>
  <c r="O594" i="11"/>
  <c r="DS595" i="11"/>
  <c r="DR595" i="11"/>
  <c r="DT595" i="11" s="1"/>
  <c r="DO596" i="11"/>
  <c r="DQ595" i="11"/>
  <c r="EJ593" i="11"/>
  <c r="EK593" i="11"/>
  <c r="EF593" i="11"/>
  <c r="DX593" i="11"/>
  <c r="DW593" i="11"/>
  <c r="EL593" i="11" l="1"/>
  <c r="DO597" i="11"/>
  <c r="DS596" i="11"/>
  <c r="DR596" i="11"/>
  <c r="DT596" i="11" s="1"/>
  <c r="DQ596" i="11"/>
  <c r="DY593" i="11"/>
  <c r="O595" i="11"/>
  <c r="EK594" i="11"/>
  <c r="EJ594" i="11"/>
  <c r="EF594" i="11"/>
  <c r="DX594" i="11"/>
  <c r="DW594" i="11"/>
  <c r="DY594" i="11" l="1"/>
  <c r="EL594" i="11"/>
  <c r="DW595" i="11"/>
  <c r="DX595" i="11"/>
  <c r="EJ595" i="11"/>
  <c r="EK595" i="11"/>
  <c r="EF595" i="11"/>
  <c r="O596" i="11"/>
  <c r="DR597" i="11"/>
  <c r="DT597" i="11" s="1"/>
  <c r="DQ597" i="11"/>
  <c r="DS597" i="11"/>
  <c r="DO598" i="11"/>
  <c r="EL595" i="11" l="1"/>
  <c r="DY595" i="11"/>
  <c r="O597" i="11"/>
  <c r="EK596" i="11"/>
  <c r="EJ596" i="11"/>
  <c r="EF596" i="11"/>
  <c r="DX596" i="11"/>
  <c r="DW596" i="11"/>
  <c r="DO599" i="11"/>
  <c r="DS598" i="11"/>
  <c r="DR598" i="11"/>
  <c r="DT598" i="11" s="1"/>
  <c r="DQ598" i="11"/>
  <c r="EL596" i="11" l="1"/>
  <c r="DY596" i="11"/>
  <c r="DQ599" i="11"/>
  <c r="DR599" i="11"/>
  <c r="DT599" i="11" s="1"/>
  <c r="DS599" i="11"/>
  <c r="DO600" i="11"/>
  <c r="O598" i="11"/>
  <c r="EJ597" i="11"/>
  <c r="EF597" i="11"/>
  <c r="EK597" i="11"/>
  <c r="DW597" i="11"/>
  <c r="DX597" i="11"/>
  <c r="EL597" i="11" l="1"/>
  <c r="DS600" i="11"/>
  <c r="DR600" i="11"/>
  <c r="DT600" i="11" s="1"/>
  <c r="DO601" i="11"/>
  <c r="DQ600" i="11"/>
  <c r="O599" i="11"/>
  <c r="EK598" i="11"/>
  <c r="EJ598" i="11"/>
  <c r="EF598" i="11"/>
  <c r="DY597" i="11"/>
  <c r="DX598" i="11"/>
  <c r="DW598" i="11"/>
  <c r="DY598" i="11" l="1"/>
  <c r="EL598" i="11"/>
  <c r="EJ599" i="11"/>
  <c r="EF599" i="11"/>
  <c r="EK599" i="11"/>
  <c r="DW599" i="11"/>
  <c r="DX599" i="11"/>
  <c r="DS601" i="11"/>
  <c r="DR601" i="11"/>
  <c r="DT601" i="11" s="1"/>
  <c r="DQ601" i="11"/>
  <c r="DO602" i="11"/>
  <c r="O600" i="11"/>
  <c r="EL599" i="11" l="1"/>
  <c r="DX600" i="11"/>
  <c r="DW600" i="11"/>
  <c r="EK600" i="11"/>
  <c r="EJ600" i="11"/>
  <c r="EF600" i="11"/>
  <c r="DY599" i="11"/>
  <c r="DS602" i="11"/>
  <c r="DR602" i="11"/>
  <c r="DT602" i="11" s="1"/>
  <c r="DQ602" i="11"/>
  <c r="DO603" i="11"/>
  <c r="O601" i="11"/>
  <c r="DY600" i="11" l="1"/>
  <c r="EL600" i="11"/>
  <c r="DR603" i="11"/>
  <c r="DT603" i="11" s="1"/>
  <c r="DS603" i="11"/>
  <c r="DO604" i="11"/>
  <c r="DQ603" i="11"/>
  <c r="DX601" i="11"/>
  <c r="DW601" i="11"/>
  <c r="O602" i="11"/>
  <c r="EF601" i="11"/>
  <c r="EJ601" i="11"/>
  <c r="EK601" i="11"/>
  <c r="DY601" i="11" l="1"/>
  <c r="EL601" i="11"/>
  <c r="DS604" i="11"/>
  <c r="DR604" i="11"/>
  <c r="DT604" i="11" s="1"/>
  <c r="DO605" i="11"/>
  <c r="DQ604" i="11"/>
  <c r="EK602" i="11"/>
  <c r="EJ602" i="11"/>
  <c r="EF602" i="11"/>
  <c r="DW602" i="11"/>
  <c r="DX602" i="11"/>
  <c r="O603" i="11"/>
  <c r="EL602" i="11" l="1"/>
  <c r="DY602" i="11"/>
  <c r="DX603" i="11"/>
  <c r="DW603" i="11"/>
  <c r="O604" i="11"/>
  <c r="EF603" i="11"/>
  <c r="EJ603" i="11"/>
  <c r="EK603" i="11"/>
  <c r="DR605" i="11"/>
  <c r="DT605" i="11" s="1"/>
  <c r="DS605" i="11"/>
  <c r="DO606" i="11"/>
  <c r="DQ605" i="11"/>
  <c r="DY603" i="11" l="1"/>
  <c r="EL603" i="11"/>
  <c r="DW604" i="11"/>
  <c r="DX604" i="11"/>
  <c r="O605" i="11"/>
  <c r="EJ604" i="11"/>
  <c r="EK604" i="11"/>
  <c r="EF604" i="11"/>
  <c r="DO607" i="11"/>
  <c r="DS606" i="11"/>
  <c r="DR606" i="11"/>
  <c r="DT606" i="11" s="1"/>
  <c r="DQ606" i="11"/>
  <c r="DY604" i="11" l="1"/>
  <c r="EL604" i="11"/>
  <c r="EJ605" i="11"/>
  <c r="EK605" i="11"/>
  <c r="EF605" i="11"/>
  <c r="DX605" i="11"/>
  <c r="DW605" i="11"/>
  <c r="DQ607" i="11"/>
  <c r="DR607" i="11"/>
  <c r="DT607" i="11" s="1"/>
  <c r="DS607" i="11"/>
  <c r="DO608" i="11"/>
  <c r="O606" i="11"/>
  <c r="EL605" i="11" l="1"/>
  <c r="DY605" i="11"/>
  <c r="O607" i="11"/>
  <c r="EJ606" i="11"/>
  <c r="EK606" i="11"/>
  <c r="EF606" i="11"/>
  <c r="DW606" i="11"/>
  <c r="DX606" i="11"/>
  <c r="DQ608" i="11"/>
  <c r="DO609" i="11"/>
  <c r="DR608" i="11"/>
  <c r="DT608" i="11" s="1"/>
  <c r="DS608" i="11"/>
  <c r="EL606" i="11" l="1"/>
  <c r="DQ609" i="11"/>
  <c r="DO610" i="11"/>
  <c r="DR609" i="11"/>
  <c r="DT609" i="11" s="1"/>
  <c r="DS609" i="11"/>
  <c r="O608" i="11"/>
  <c r="EK607" i="11"/>
  <c r="EJ607" i="11"/>
  <c r="EF607" i="11"/>
  <c r="DY606" i="11"/>
  <c r="DW607" i="11"/>
  <c r="DX607" i="11"/>
  <c r="EL607" i="11" l="1"/>
  <c r="EK608" i="11"/>
  <c r="EJ608" i="11"/>
  <c r="EF608" i="11"/>
  <c r="DX608" i="11"/>
  <c r="DW608" i="11"/>
  <c r="DY607" i="11"/>
  <c r="O609" i="11"/>
  <c r="DR610" i="11"/>
  <c r="DT610" i="11" s="1"/>
  <c r="DO611" i="11"/>
  <c r="DS610" i="11"/>
  <c r="DQ610" i="11"/>
  <c r="EL608" i="11" l="1"/>
  <c r="DY608" i="11"/>
  <c r="O610" i="11"/>
  <c r="EJ609" i="11"/>
  <c r="EK609" i="11"/>
  <c r="EF609" i="11"/>
  <c r="DX609" i="11"/>
  <c r="DW609" i="11"/>
  <c r="DS611" i="11"/>
  <c r="DR611" i="11"/>
  <c r="DT611" i="11" s="1"/>
  <c r="DQ611" i="11"/>
  <c r="DO612" i="11"/>
  <c r="DY609" i="11" l="1"/>
  <c r="EL609" i="11"/>
  <c r="DO613" i="11"/>
  <c r="DS612" i="11"/>
  <c r="DR612" i="11"/>
  <c r="DT612" i="11" s="1"/>
  <c r="DQ612" i="11"/>
  <c r="O611" i="11"/>
  <c r="EJ610" i="11"/>
  <c r="EK610" i="11"/>
  <c r="EF610" i="11"/>
  <c r="DX610" i="11"/>
  <c r="DW610" i="11"/>
  <c r="EL610" i="11" l="1"/>
  <c r="EK611" i="11"/>
  <c r="EJ611" i="11"/>
  <c r="EF611" i="11"/>
  <c r="DW611" i="11"/>
  <c r="DX611" i="11"/>
  <c r="O612" i="11"/>
  <c r="DY610" i="11"/>
  <c r="DR613" i="11"/>
  <c r="DT613" i="11" s="1"/>
  <c r="DQ613" i="11"/>
  <c r="DS613" i="11"/>
  <c r="DO614" i="11"/>
  <c r="EL611" i="11" l="1"/>
  <c r="O613" i="11"/>
  <c r="EJ612" i="11"/>
  <c r="EK612" i="11"/>
  <c r="EF612" i="11"/>
  <c r="DW612" i="11"/>
  <c r="DX612" i="11"/>
  <c r="DS614" i="11"/>
  <c r="DQ614" i="11"/>
  <c r="DO615" i="11"/>
  <c r="DR614" i="11"/>
  <c r="DT614" i="11" s="1"/>
  <c r="DY611" i="11"/>
  <c r="EL612" i="11" l="1"/>
  <c r="EK613" i="11"/>
  <c r="EJ613" i="11"/>
  <c r="EF613" i="11"/>
  <c r="O614" i="11"/>
  <c r="DQ615" i="11"/>
  <c r="DS615" i="11"/>
  <c r="DO616" i="11"/>
  <c r="DR615" i="11"/>
  <c r="DT615" i="11" s="1"/>
  <c r="DY612" i="11"/>
  <c r="DW613" i="11"/>
  <c r="DX613" i="11"/>
  <c r="EL613" i="11" l="1"/>
  <c r="DY613" i="11"/>
  <c r="EJ614" i="11"/>
  <c r="EK614" i="11"/>
  <c r="EF614" i="11"/>
  <c r="DX614" i="11"/>
  <c r="DW614" i="11"/>
  <c r="O615" i="11"/>
  <c r="DR616" i="11"/>
  <c r="DT616" i="11" s="1"/>
  <c r="DS616" i="11"/>
  <c r="DQ616" i="11"/>
  <c r="DO617" i="11"/>
  <c r="EL614" i="11" l="1"/>
  <c r="DY614" i="11"/>
  <c r="EJ615" i="11"/>
  <c r="EK615" i="11"/>
  <c r="EF615" i="11"/>
  <c r="O616" i="11"/>
  <c r="DW615" i="11"/>
  <c r="DX615" i="11"/>
  <c r="DQ617" i="11"/>
  <c r="DO618" i="11"/>
  <c r="DR617" i="11"/>
  <c r="DT617" i="11" s="1"/>
  <c r="DS617" i="11"/>
  <c r="EL615" i="11" l="1"/>
  <c r="EK616" i="11"/>
  <c r="EF616" i="11"/>
  <c r="EJ616" i="11"/>
  <c r="O617" i="11"/>
  <c r="DY615" i="11"/>
  <c r="DX616" i="11"/>
  <c r="DW616" i="11"/>
  <c r="DO619" i="11"/>
  <c r="DS618" i="11"/>
  <c r="DR618" i="11"/>
  <c r="DT618" i="11" s="1"/>
  <c r="DQ618" i="11"/>
  <c r="EL616" i="11" l="1"/>
  <c r="EJ617" i="11"/>
  <c r="EF617" i="11"/>
  <c r="EK617" i="11"/>
  <c r="O618" i="11"/>
  <c r="DY616" i="11"/>
  <c r="DR619" i="11"/>
  <c r="DT619" i="11" s="1"/>
  <c r="DO620" i="11"/>
  <c r="DS619" i="11"/>
  <c r="DQ619" i="11"/>
  <c r="DW617" i="11"/>
  <c r="DX617" i="11"/>
  <c r="DY617" i="11" l="1"/>
  <c r="EL617" i="11"/>
  <c r="DX618" i="11"/>
  <c r="DW618" i="11"/>
  <c r="EJ618" i="11"/>
  <c r="EK618" i="11"/>
  <c r="EF618" i="11"/>
  <c r="DO621" i="11"/>
  <c r="DS620" i="11"/>
  <c r="DR620" i="11"/>
  <c r="DT620" i="11" s="1"/>
  <c r="DQ620" i="11"/>
  <c r="O619" i="11"/>
  <c r="EL618" i="11" l="1"/>
  <c r="EJ619" i="11"/>
  <c r="EK619" i="11"/>
  <c r="EF619" i="11"/>
  <c r="O620" i="11"/>
  <c r="DX619" i="11"/>
  <c r="DW619" i="11"/>
  <c r="DQ621" i="11"/>
  <c r="DR621" i="11"/>
  <c r="DT621" i="11" s="1"/>
  <c r="DO622" i="11"/>
  <c r="DS621" i="11"/>
  <c r="DY618" i="11"/>
  <c r="EL619" i="11" l="1"/>
  <c r="EJ620" i="11"/>
  <c r="EK620" i="11"/>
  <c r="EF620" i="11"/>
  <c r="DS622" i="11"/>
  <c r="DR622" i="11"/>
  <c r="DT622" i="11" s="1"/>
  <c r="DQ622" i="11"/>
  <c r="DO623" i="11"/>
  <c r="O621" i="11"/>
  <c r="DY619" i="11"/>
  <c r="DW620" i="11"/>
  <c r="DX620" i="11"/>
  <c r="DY620" i="11" l="1"/>
  <c r="EL620" i="11"/>
  <c r="O622" i="11"/>
  <c r="EK621" i="11"/>
  <c r="EF621" i="11"/>
  <c r="EJ621" i="11"/>
  <c r="DR623" i="11"/>
  <c r="DT623" i="11" s="1"/>
  <c r="DO624" i="11"/>
  <c r="DS623" i="11"/>
  <c r="DQ623" i="11"/>
  <c r="DX621" i="11"/>
  <c r="DW621" i="11"/>
  <c r="EL621" i="11" l="1"/>
  <c r="EJ622" i="11"/>
  <c r="EK622" i="11"/>
  <c r="EF622" i="11"/>
  <c r="DY621" i="11"/>
  <c r="DQ624" i="11"/>
  <c r="DS624" i="11"/>
  <c r="DR624" i="11"/>
  <c r="DT624" i="11" s="1"/>
  <c r="DO625" i="11"/>
  <c r="O623" i="11"/>
  <c r="DX622" i="11"/>
  <c r="DW622" i="11"/>
  <c r="EL622" i="11" l="1"/>
  <c r="DY622" i="11"/>
  <c r="EF623" i="11"/>
  <c r="EJ623" i="11"/>
  <c r="EK623" i="11"/>
  <c r="O624" i="11"/>
  <c r="DX623" i="11"/>
  <c r="DW623" i="11"/>
  <c r="DS625" i="11"/>
  <c r="DQ625" i="11"/>
  <c r="DR625" i="11"/>
  <c r="DT625" i="11" s="1"/>
  <c r="DO626" i="11"/>
  <c r="EL623" i="11" l="1"/>
  <c r="O625" i="11"/>
  <c r="EJ624" i="11"/>
  <c r="EK624" i="11"/>
  <c r="EF624" i="11"/>
  <c r="DR626" i="11"/>
  <c r="DT626" i="11" s="1"/>
  <c r="DQ626" i="11"/>
  <c r="DO627" i="11"/>
  <c r="DS626" i="11"/>
  <c r="DX624" i="11"/>
  <c r="DW624" i="11"/>
  <c r="DY623" i="11"/>
  <c r="DY624" i="11" l="1"/>
  <c r="EL624" i="11"/>
  <c r="O626" i="11"/>
  <c r="DQ627" i="11"/>
  <c r="DS627" i="11"/>
  <c r="DR627" i="11"/>
  <c r="DT627" i="11" s="1"/>
  <c r="DO628" i="11"/>
  <c r="EJ625" i="11"/>
  <c r="EK625" i="11"/>
  <c r="EF625" i="11"/>
  <c r="DX625" i="11"/>
  <c r="DW625" i="11"/>
  <c r="DY625" i="11" l="1"/>
  <c r="EL625" i="11"/>
  <c r="O627" i="11"/>
  <c r="EK626" i="11"/>
  <c r="EJ626" i="11"/>
  <c r="EF626" i="11"/>
  <c r="DW626" i="11"/>
  <c r="DX626" i="11"/>
  <c r="DO629" i="11"/>
  <c r="DO630" i="11" s="1"/>
  <c r="DQ628" i="11"/>
  <c r="DR628" i="11"/>
  <c r="DT628" i="11" s="1"/>
  <c r="DS628" i="11"/>
  <c r="DQ630" i="11" l="1"/>
  <c r="DO631" i="11"/>
  <c r="DS630" i="11"/>
  <c r="DR630" i="11"/>
  <c r="DY626" i="11"/>
  <c r="EL626" i="11"/>
  <c r="O628" i="11"/>
  <c r="DR629" i="11"/>
  <c r="DT629" i="11" s="1"/>
  <c r="DS629" i="11"/>
  <c r="DQ629" i="11"/>
  <c r="EJ627" i="11"/>
  <c r="EK627" i="11"/>
  <c r="EF627" i="11"/>
  <c r="DW627" i="11"/>
  <c r="DX627" i="11"/>
  <c r="DT630" i="11" l="1"/>
  <c r="O630" i="11"/>
  <c r="DS631" i="11"/>
  <c r="DO632" i="11"/>
  <c r="DQ631" i="11"/>
  <c r="DR631" i="11"/>
  <c r="DT631" i="11" s="1"/>
  <c r="EL627" i="11"/>
  <c r="DY627" i="11"/>
  <c r="O629" i="11"/>
  <c r="EJ628" i="11"/>
  <c r="EK628" i="11"/>
  <c r="EF628" i="11"/>
  <c r="DX628" i="11"/>
  <c r="DW628" i="11"/>
  <c r="O631" i="11" l="1"/>
  <c r="DO633" i="11"/>
  <c r="DR632" i="11"/>
  <c r="DT632" i="11" s="1"/>
  <c r="DS632" i="11"/>
  <c r="DQ632" i="11"/>
  <c r="DX630" i="11"/>
  <c r="DW630" i="11"/>
  <c r="EL628" i="11"/>
  <c r="EJ629" i="11"/>
  <c r="EK629" i="11"/>
  <c r="EF629" i="11"/>
  <c r="DW629" i="11"/>
  <c r="DX629" i="11"/>
  <c r="DY628" i="11"/>
  <c r="DY630" i="11" l="1"/>
  <c r="O632" i="11"/>
  <c r="DQ633" i="11"/>
  <c r="DR633" i="11"/>
  <c r="DT633" i="11" s="1"/>
  <c r="DS633" i="11"/>
  <c r="DO634" i="11"/>
  <c r="DW631" i="11"/>
  <c r="DX631" i="11"/>
  <c r="EL629" i="11"/>
  <c r="DY629" i="11"/>
  <c r="DO635" i="11" l="1"/>
  <c r="DQ634" i="11"/>
  <c r="DS634" i="11"/>
  <c r="DR634" i="11"/>
  <c r="DT634" i="11" s="1"/>
  <c r="O633" i="11"/>
  <c r="DW632" i="11"/>
  <c r="DX632" i="11"/>
  <c r="DY631" i="11"/>
  <c r="DW633" i="11" l="1"/>
  <c r="DX633" i="11"/>
  <c r="O634" i="11"/>
  <c r="DY632" i="11"/>
  <c r="DS635" i="11"/>
  <c r="DQ635" i="11"/>
  <c r="DR635" i="11"/>
  <c r="DT635" i="11" s="1"/>
  <c r="DO636" i="11"/>
  <c r="DY633" i="11" l="1"/>
  <c r="DX634" i="11"/>
  <c r="DW634" i="11"/>
  <c r="DS636" i="11"/>
  <c r="DQ636" i="11"/>
  <c r="DO637" i="11"/>
  <c r="DR636" i="11"/>
  <c r="DT636" i="11" s="1"/>
  <c r="O635" i="11"/>
  <c r="DY634" i="11" l="1"/>
  <c r="DQ637" i="11"/>
  <c r="DR637" i="11"/>
  <c r="DT637" i="11" s="1"/>
  <c r="DS637" i="11"/>
  <c r="DO638" i="11"/>
  <c r="DW635" i="11"/>
  <c r="DX635" i="11"/>
  <c r="O636" i="11"/>
  <c r="DY635" i="11" l="1"/>
  <c r="DS638" i="11"/>
  <c r="DR638" i="11"/>
  <c r="DT638" i="11" s="1"/>
  <c r="DQ638" i="11"/>
  <c r="DO639" i="11"/>
  <c r="DW636" i="11"/>
  <c r="DX636" i="11"/>
  <c r="O637" i="11"/>
  <c r="DX637" i="11" l="1"/>
  <c r="DW637" i="11"/>
  <c r="DS639" i="11"/>
  <c r="DQ639" i="11"/>
  <c r="DR639" i="11"/>
  <c r="DT639" i="11" s="1"/>
  <c r="DO640" i="11"/>
  <c r="O638" i="11"/>
  <c r="DY636" i="11"/>
  <c r="DS640" i="11" l="1"/>
  <c r="DO641" i="11"/>
  <c r="DR640" i="11"/>
  <c r="DT640" i="11" s="1"/>
  <c r="DQ640" i="11"/>
  <c r="O639" i="11"/>
  <c r="DX638" i="11"/>
  <c r="DW638" i="11"/>
  <c r="DY637" i="11"/>
  <c r="DY638" i="11" l="1"/>
  <c r="DW639" i="11"/>
  <c r="DX639" i="11"/>
  <c r="O640" i="11"/>
  <c r="DR641" i="11"/>
  <c r="DT641" i="11" s="1"/>
  <c r="DO642" i="11"/>
  <c r="DS641" i="11"/>
  <c r="DQ641" i="11"/>
  <c r="O641" i="11" l="1"/>
  <c r="DQ642" i="11"/>
  <c r="DS642" i="11"/>
  <c r="DR642" i="11"/>
  <c r="DT642" i="11" s="1"/>
  <c r="DO643" i="11"/>
  <c r="DW640" i="11"/>
  <c r="DX640" i="11"/>
  <c r="DY639" i="11"/>
  <c r="DQ643" i="11" l="1"/>
  <c r="DR643" i="11"/>
  <c r="DT643" i="11" s="1"/>
  <c r="DS643" i="11"/>
  <c r="DO644" i="11"/>
  <c r="O642" i="11"/>
  <c r="DY640" i="11"/>
  <c r="DX641" i="11"/>
  <c r="DW641" i="11"/>
  <c r="DW642" i="11" l="1"/>
  <c r="DX642" i="11"/>
  <c r="DY641" i="11"/>
  <c r="DS644" i="11"/>
  <c r="DR644" i="11"/>
  <c r="DT644" i="11" s="1"/>
  <c r="DQ644" i="11"/>
  <c r="DO645" i="11"/>
  <c r="O643" i="11"/>
  <c r="O644" i="11" l="1"/>
  <c r="DY642" i="11"/>
  <c r="DW643" i="11"/>
  <c r="DX643" i="11"/>
  <c r="DR645" i="11"/>
  <c r="DT645" i="11" s="1"/>
  <c r="DS645" i="11"/>
  <c r="DO646" i="11"/>
  <c r="DQ645" i="11"/>
  <c r="O645" i="11" l="1"/>
  <c r="DY643" i="11"/>
  <c r="DO647" i="11"/>
  <c r="DS646" i="11"/>
  <c r="DR646" i="11"/>
  <c r="DT646" i="11" s="1"/>
  <c r="DQ646" i="11"/>
  <c r="DX644" i="11"/>
  <c r="DW644" i="11"/>
  <c r="O646" i="11" l="1"/>
  <c r="DR647" i="11"/>
  <c r="DT647" i="11" s="1"/>
  <c r="DO648" i="11"/>
  <c r="DS647" i="11"/>
  <c r="DQ647" i="11"/>
  <c r="DY644" i="11"/>
  <c r="DW645" i="11"/>
  <c r="DX645" i="11"/>
  <c r="DY645" i="11" l="1"/>
  <c r="DS648" i="11"/>
  <c r="DR648" i="11"/>
  <c r="DT648" i="11" s="1"/>
  <c r="DQ648" i="11"/>
  <c r="DO649" i="11"/>
  <c r="O647" i="11"/>
  <c r="DW646" i="11"/>
  <c r="DX646" i="11"/>
  <c r="DX647" i="11" l="1"/>
  <c r="DW647" i="11"/>
  <c r="DR649" i="11"/>
  <c r="DT649" i="11" s="1"/>
  <c r="DO650" i="11"/>
  <c r="DS649" i="11"/>
  <c r="DQ649" i="11"/>
  <c r="O648" i="11"/>
  <c r="DY646" i="11"/>
  <c r="O649" i="11" l="1"/>
  <c r="DS650" i="11"/>
  <c r="DQ650" i="11"/>
  <c r="DO651" i="11"/>
  <c r="DR650" i="11"/>
  <c r="DT650" i="11" s="1"/>
  <c r="DY647" i="11"/>
  <c r="DX648" i="11"/>
  <c r="DW648" i="11"/>
  <c r="DY648" i="11" l="1"/>
  <c r="O650" i="11"/>
  <c r="DS651" i="11"/>
  <c r="DQ651" i="11"/>
  <c r="DR651" i="11"/>
  <c r="DT651" i="11" s="1"/>
  <c r="DO652" i="11"/>
  <c r="DW649" i="11"/>
  <c r="DX649" i="11"/>
  <c r="DS652" i="11" l="1"/>
  <c r="DQ652" i="11"/>
  <c r="DR652" i="11"/>
  <c r="DT652" i="11" s="1"/>
  <c r="DO653" i="11"/>
  <c r="O651" i="11"/>
  <c r="DY649" i="11"/>
  <c r="DW650" i="11"/>
  <c r="DX650" i="11"/>
  <c r="DW651" i="11" l="1"/>
  <c r="DX651" i="11"/>
  <c r="DQ653" i="11"/>
  <c r="DR653" i="11"/>
  <c r="DT653" i="11" s="1"/>
  <c r="DS653" i="11"/>
  <c r="DO654" i="11"/>
  <c r="O652" i="11"/>
  <c r="DY650" i="11"/>
  <c r="DS654" i="11" l="1"/>
  <c r="DQ654" i="11"/>
  <c r="DO655" i="11"/>
  <c r="DR654" i="11"/>
  <c r="DT654" i="11" s="1"/>
  <c r="O653" i="11"/>
  <c r="DY651" i="11"/>
  <c r="DW652" i="11"/>
  <c r="DX652" i="11"/>
  <c r="DX653" i="11" l="1"/>
  <c r="DW653" i="11"/>
  <c r="O654" i="11"/>
  <c r="DS655" i="11"/>
  <c r="DO656" i="11"/>
  <c r="DQ655" i="11"/>
  <c r="DR655" i="11"/>
  <c r="DT655" i="11" s="1"/>
  <c r="DY652" i="11"/>
  <c r="DW654" i="11" l="1"/>
  <c r="DX654" i="11"/>
  <c r="DS656" i="11"/>
  <c r="DR656" i="11"/>
  <c r="DT656" i="11" s="1"/>
  <c r="DO657" i="11"/>
  <c r="DQ656" i="11"/>
  <c r="DY653" i="11"/>
  <c r="O655" i="11"/>
  <c r="DO658" i="11" l="1"/>
  <c r="DS657" i="11"/>
  <c r="DQ657" i="11"/>
  <c r="DR657" i="11"/>
  <c r="DT657" i="11" s="1"/>
  <c r="DW655" i="11"/>
  <c r="DX655" i="11"/>
  <c r="O656" i="11"/>
  <c r="DY654" i="11"/>
  <c r="DY655" i="11" l="1"/>
  <c r="O657" i="11"/>
  <c r="DW656" i="11"/>
  <c r="DX656" i="11"/>
  <c r="DS658" i="11"/>
  <c r="DR658" i="11"/>
  <c r="DT658" i="11" s="1"/>
  <c r="DQ658" i="11"/>
  <c r="DO659" i="11"/>
  <c r="DY656" i="11" l="1"/>
  <c r="O658" i="11"/>
  <c r="DW657" i="11"/>
  <c r="DX657" i="11"/>
  <c r="DS659" i="11"/>
  <c r="DO660" i="11"/>
  <c r="DQ659" i="11"/>
  <c r="DR659" i="11"/>
  <c r="DT659" i="11" s="1"/>
  <c r="DY657" i="11" l="1"/>
  <c r="O659" i="11"/>
  <c r="DX658" i="11"/>
  <c r="DW658" i="11"/>
  <c r="DO661" i="11"/>
  <c r="DS660" i="11"/>
  <c r="DR660" i="11"/>
  <c r="DT660" i="11" s="1"/>
  <c r="DQ660" i="11"/>
  <c r="DY658" i="11" l="1"/>
  <c r="O660" i="11"/>
  <c r="DW659" i="11"/>
  <c r="DX659" i="11"/>
  <c r="DS661" i="11"/>
  <c r="DO662" i="11"/>
  <c r="DQ661" i="11"/>
  <c r="DR661" i="11"/>
  <c r="DT661" i="11" s="1"/>
  <c r="DY659" i="11" l="1"/>
  <c r="O661" i="11"/>
  <c r="DW660" i="11"/>
  <c r="DX660" i="11"/>
  <c r="DS662" i="11"/>
  <c r="DR662" i="11"/>
  <c r="DT662" i="11" s="1"/>
  <c r="DO663" i="11"/>
  <c r="DQ662" i="11"/>
  <c r="DQ663" i="11" l="1"/>
  <c r="DR663" i="11"/>
  <c r="DT663" i="11" s="1"/>
  <c r="DS663" i="11"/>
  <c r="DO664" i="11"/>
  <c r="DW661" i="11"/>
  <c r="DX661" i="11"/>
  <c r="DY660" i="11"/>
  <c r="O662" i="11"/>
  <c r="DO665" i="11" l="1"/>
  <c r="DQ664" i="11"/>
  <c r="DS664" i="11"/>
  <c r="DR664" i="11"/>
  <c r="DT664" i="11" s="1"/>
  <c r="DY661" i="11"/>
  <c r="DW662" i="11"/>
  <c r="DX662" i="11"/>
  <c r="O663" i="11"/>
  <c r="DY662" i="11" l="1"/>
  <c r="O664" i="11"/>
  <c r="DW663" i="11"/>
  <c r="DX663" i="11"/>
  <c r="DQ665" i="11"/>
  <c r="DR665" i="11"/>
  <c r="DT665" i="11" s="1"/>
  <c r="DO666" i="11"/>
  <c r="DS665" i="11"/>
  <c r="DY663" i="11" l="1"/>
  <c r="O665" i="11"/>
  <c r="DR666" i="11"/>
  <c r="DT666" i="11" s="1"/>
  <c r="DO667" i="11"/>
  <c r="DS666" i="11"/>
  <c r="DQ666" i="11"/>
  <c r="DW664" i="11"/>
  <c r="DX664" i="11"/>
  <c r="DX665" i="11" l="1"/>
  <c r="DW665" i="11"/>
  <c r="DQ667" i="11"/>
  <c r="DR667" i="11"/>
  <c r="DT667" i="11" s="1"/>
  <c r="DS667" i="11"/>
  <c r="DO668" i="11"/>
  <c r="O666" i="11"/>
  <c r="DY664" i="11"/>
  <c r="O667" i="11" l="1"/>
  <c r="DY665" i="11"/>
  <c r="DW666" i="11"/>
  <c r="DX666" i="11"/>
  <c r="DS668" i="11"/>
  <c r="DR668" i="11"/>
  <c r="DT668" i="11" s="1"/>
  <c r="DQ668" i="11"/>
  <c r="DO669" i="11"/>
  <c r="DY666" i="11" l="1"/>
  <c r="DO670" i="11"/>
  <c r="DS669" i="11"/>
  <c r="DR669" i="11"/>
  <c r="DT669" i="11" s="1"/>
  <c r="DQ669" i="11"/>
  <c r="O668" i="11"/>
  <c r="DX667" i="11"/>
  <c r="DW667" i="11"/>
  <c r="DW668" i="11" l="1"/>
  <c r="DX668" i="11"/>
  <c r="O669" i="11"/>
  <c r="DY667" i="11"/>
  <c r="DS670" i="11"/>
  <c r="DR670" i="11"/>
  <c r="DT670" i="11" s="1"/>
  <c r="DQ670" i="11"/>
  <c r="DO671" i="11"/>
  <c r="DX669" i="11" l="1"/>
  <c r="DW669" i="11"/>
  <c r="DS671" i="11"/>
  <c r="DO672" i="11"/>
  <c r="DQ671" i="11"/>
  <c r="DR671" i="11"/>
  <c r="DT671" i="11" s="1"/>
  <c r="O670" i="11"/>
  <c r="DY668" i="11"/>
  <c r="O671" i="11" l="1"/>
  <c r="DS672" i="11"/>
  <c r="DR672" i="11"/>
  <c r="DT672" i="11" s="1"/>
  <c r="DQ672" i="11"/>
  <c r="DO673" i="11"/>
  <c r="DY669" i="11"/>
  <c r="DW670" i="11"/>
  <c r="DX670" i="11"/>
  <c r="DY670" i="11" l="1"/>
  <c r="DS673" i="11"/>
  <c r="DR673" i="11"/>
  <c r="DT673" i="11" s="1"/>
  <c r="DQ673" i="11"/>
  <c r="DO674" i="11"/>
  <c r="O672" i="11"/>
  <c r="DW671" i="11"/>
  <c r="DX671" i="11"/>
  <c r="DQ674" i="11" l="1"/>
  <c r="DO675" i="11"/>
  <c r="DS674" i="11"/>
  <c r="DR674" i="11"/>
  <c r="DT674" i="11" s="1"/>
  <c r="DW672" i="11"/>
  <c r="DX672" i="11"/>
  <c r="DY671" i="11"/>
  <c r="O673" i="11"/>
  <c r="DY672" i="11" l="1"/>
  <c r="O674" i="11"/>
  <c r="DX673" i="11"/>
  <c r="DW673" i="11"/>
  <c r="DS675" i="11"/>
  <c r="DQ675" i="11"/>
  <c r="DR675" i="11"/>
  <c r="DT675" i="11" s="1"/>
  <c r="DO676" i="11"/>
  <c r="DY673" i="11" l="1"/>
  <c r="DO677" i="11"/>
  <c r="DS676" i="11"/>
  <c r="DQ676" i="11"/>
  <c r="DR676" i="11"/>
  <c r="DT676" i="11" s="1"/>
  <c r="O675" i="11"/>
  <c r="DW674" i="11"/>
  <c r="DX674" i="11"/>
  <c r="DY674" i="11" l="1"/>
  <c r="DW675" i="11"/>
  <c r="DX675" i="11"/>
  <c r="O676" i="11"/>
  <c r="DR677" i="11"/>
  <c r="DT677" i="11" s="1"/>
  <c r="DS677" i="11"/>
  <c r="DO678" i="11"/>
  <c r="DQ677" i="11"/>
  <c r="O677" i="11" l="1"/>
  <c r="DX676" i="11"/>
  <c r="DW676" i="11"/>
  <c r="DS678" i="11"/>
  <c r="DR678" i="11"/>
  <c r="DT678" i="11" s="1"/>
  <c r="DQ678" i="11"/>
  <c r="DO679" i="11"/>
  <c r="DY675" i="11"/>
  <c r="O678" i="11" l="1"/>
  <c r="DY676" i="11"/>
  <c r="DO680" i="11"/>
  <c r="DS679" i="11"/>
  <c r="DR679" i="11"/>
  <c r="DT679" i="11" s="1"/>
  <c r="DQ679" i="11"/>
  <c r="DW677" i="11"/>
  <c r="DX677" i="11"/>
  <c r="O679" i="11" l="1"/>
  <c r="DS680" i="11"/>
  <c r="DR680" i="11"/>
  <c r="DT680" i="11" s="1"/>
  <c r="DO681" i="11"/>
  <c r="DQ680" i="11"/>
  <c r="DY677" i="11"/>
  <c r="DW678" i="11"/>
  <c r="DX678" i="11"/>
  <c r="DR681" i="11" l="1"/>
  <c r="DT681" i="11" s="1"/>
  <c r="DS681" i="11"/>
  <c r="DO682" i="11"/>
  <c r="DQ681" i="11"/>
  <c r="DY678" i="11"/>
  <c r="O680" i="11"/>
  <c r="DX679" i="11"/>
  <c r="DW679" i="11"/>
  <c r="O681" i="11" l="1"/>
  <c r="DW680" i="11"/>
  <c r="DX680" i="11"/>
  <c r="DY679" i="11"/>
  <c r="DS682" i="11"/>
  <c r="DR682" i="11"/>
  <c r="DT682" i="11" s="1"/>
  <c r="DQ682" i="11"/>
  <c r="DO683" i="11"/>
  <c r="DY680" i="11" l="1"/>
  <c r="O682" i="11"/>
  <c r="DX681" i="11"/>
  <c r="DW681" i="11"/>
  <c r="DR683" i="11"/>
  <c r="DT683" i="11" s="1"/>
  <c r="DS683" i="11"/>
  <c r="DO684" i="11"/>
  <c r="DQ683" i="11"/>
  <c r="O683" i="11" l="1"/>
  <c r="DY681" i="11"/>
  <c r="DS684" i="11"/>
  <c r="DQ684" i="11"/>
  <c r="DO685" i="11"/>
  <c r="DR684" i="11"/>
  <c r="DT684" i="11" s="1"/>
  <c r="DW682" i="11"/>
  <c r="DX682" i="11"/>
  <c r="DS685" i="11" l="1"/>
  <c r="DR685" i="11"/>
  <c r="DT685" i="11" s="1"/>
  <c r="DQ685" i="11"/>
  <c r="DO686" i="11"/>
  <c r="DY682" i="11"/>
  <c r="O684" i="11"/>
  <c r="DX683" i="11"/>
  <c r="DW683" i="11"/>
  <c r="DO687" i="11" l="1"/>
  <c r="DS686" i="11"/>
  <c r="DR686" i="11"/>
  <c r="DT686" i="11" s="1"/>
  <c r="DQ686" i="11"/>
  <c r="DW684" i="11"/>
  <c r="DX684" i="11"/>
  <c r="DY683" i="11"/>
  <c r="O685" i="11"/>
  <c r="DY684" i="11" l="1"/>
  <c r="DQ687" i="11"/>
  <c r="DO688" i="11"/>
  <c r="DS687" i="11"/>
  <c r="DR687" i="11"/>
  <c r="DT687" i="11" s="1"/>
  <c r="DW685" i="11"/>
  <c r="DX685" i="11"/>
  <c r="O686" i="11"/>
  <c r="O687" i="11" l="1"/>
  <c r="DW686" i="11"/>
  <c r="DX686" i="11"/>
  <c r="DS688" i="11"/>
  <c r="DR688" i="11"/>
  <c r="DT688" i="11" s="1"/>
  <c r="DQ688" i="11"/>
  <c r="DO689" i="11"/>
  <c r="DY685" i="11"/>
  <c r="DY686" i="11" l="1"/>
  <c r="DR689" i="11"/>
  <c r="DT689" i="11" s="1"/>
  <c r="DO690" i="11"/>
  <c r="DS689" i="11"/>
  <c r="DQ689" i="11"/>
  <c r="O688" i="11"/>
  <c r="DX687" i="11"/>
  <c r="DW687" i="11"/>
  <c r="DQ690" i="11" l="1"/>
  <c r="DO691" i="11"/>
  <c r="DR690" i="11"/>
  <c r="DT690" i="11" s="1"/>
  <c r="DS690" i="11"/>
  <c r="DX688" i="11"/>
  <c r="DW688" i="11"/>
  <c r="O689" i="11"/>
  <c r="DY687" i="11"/>
  <c r="DY688" i="11" l="1"/>
  <c r="O690" i="11"/>
  <c r="DW689" i="11"/>
  <c r="DX689" i="11"/>
  <c r="DS691" i="11"/>
  <c r="DQ691" i="11"/>
  <c r="DR691" i="11"/>
  <c r="DT691" i="11" s="1"/>
  <c r="DO692" i="11"/>
  <c r="DS692" i="11" l="1"/>
  <c r="DQ692" i="11"/>
  <c r="DO693" i="11"/>
  <c r="DR692" i="11"/>
  <c r="DT692" i="11" s="1"/>
  <c r="O691" i="11"/>
  <c r="DX690" i="11"/>
  <c r="DW690" i="11"/>
  <c r="DY689" i="11"/>
  <c r="DY690" i="11" l="1"/>
  <c r="O692" i="11"/>
  <c r="DX691" i="11"/>
  <c r="DW691" i="11"/>
  <c r="DS693" i="11"/>
  <c r="DR693" i="11"/>
  <c r="DT693" i="11" s="1"/>
  <c r="DO694" i="11"/>
  <c r="DQ693" i="11"/>
  <c r="DY691" i="11" l="1"/>
  <c r="DS694" i="11"/>
  <c r="DQ694" i="11"/>
  <c r="DR694" i="11"/>
  <c r="DT694" i="11" s="1"/>
  <c r="DO695" i="11"/>
  <c r="DW692" i="11"/>
  <c r="DX692" i="11"/>
  <c r="O693" i="11"/>
  <c r="DS695" i="11" l="1"/>
  <c r="DO696" i="11"/>
  <c r="DQ695" i="11"/>
  <c r="DR695" i="11"/>
  <c r="DT695" i="11" s="1"/>
  <c r="O694" i="11"/>
  <c r="DX693" i="11"/>
  <c r="DW693" i="11"/>
  <c r="DY692" i="11"/>
  <c r="DW694" i="11" l="1"/>
  <c r="DX694" i="11"/>
  <c r="O695" i="11"/>
  <c r="DO697" i="11"/>
  <c r="DS696" i="11"/>
  <c r="DR696" i="11"/>
  <c r="DT696" i="11" s="1"/>
  <c r="DQ696" i="11"/>
  <c r="DY693" i="11"/>
  <c r="DS697" i="11" l="1"/>
  <c r="DQ697" i="11"/>
  <c r="DR697" i="11"/>
  <c r="DT697" i="11" s="1"/>
  <c r="DO698" i="11"/>
  <c r="O696" i="11"/>
  <c r="DX695" i="11"/>
  <c r="DW695" i="11"/>
  <c r="DY694" i="11"/>
  <c r="DQ698" i="11" l="1"/>
  <c r="DR698" i="11"/>
  <c r="DT698" i="11" s="1"/>
  <c r="DO699" i="11"/>
  <c r="DS698" i="11"/>
  <c r="DX696" i="11"/>
  <c r="DW696" i="11"/>
  <c r="O697" i="11"/>
  <c r="DY695" i="11"/>
  <c r="DY696" i="11" l="1"/>
  <c r="DS699" i="11"/>
  <c r="DO700" i="11"/>
  <c r="DQ699" i="11"/>
  <c r="DR699" i="11"/>
  <c r="DT699" i="11" s="1"/>
  <c r="O698" i="11"/>
  <c r="DW697" i="11"/>
  <c r="DX697" i="11"/>
  <c r="DW698" i="11" l="1"/>
  <c r="DX698" i="11"/>
  <c r="O699" i="11"/>
  <c r="DR700" i="11"/>
  <c r="DT700" i="11" s="1"/>
  <c r="DO701" i="11"/>
  <c r="DS700" i="11"/>
  <c r="DQ700" i="11"/>
  <c r="DY697" i="11"/>
  <c r="DY698" i="11" l="1"/>
  <c r="DX699" i="11"/>
  <c r="DW699" i="11"/>
  <c r="O700" i="11"/>
  <c r="DS701" i="11"/>
  <c r="DR701" i="11"/>
  <c r="DT701" i="11" s="1"/>
  <c r="DQ701" i="11"/>
  <c r="DO702" i="11"/>
  <c r="O701" i="11" l="1"/>
  <c r="DW700" i="11"/>
  <c r="DX700" i="11"/>
  <c r="DR702" i="11"/>
  <c r="DT702" i="11" s="1"/>
  <c r="DS702" i="11"/>
  <c r="DQ702" i="11"/>
  <c r="DO703" i="11"/>
  <c r="DY699" i="11"/>
  <c r="O702" i="11" l="1"/>
  <c r="DQ703" i="11"/>
  <c r="DO704" i="11"/>
  <c r="DS703" i="11"/>
  <c r="DR703" i="11"/>
  <c r="DT703" i="11" s="1"/>
  <c r="DY700" i="11"/>
  <c r="DX701" i="11"/>
  <c r="DW701" i="11"/>
  <c r="O703" i="11" l="1"/>
  <c r="DS704" i="11"/>
  <c r="DQ704" i="11"/>
  <c r="DR704" i="11"/>
  <c r="DT704" i="11" s="1"/>
  <c r="DO705" i="11"/>
  <c r="DY701" i="11"/>
  <c r="DW702" i="11"/>
  <c r="J702" i="11" s="1"/>
  <c r="DX702" i="11"/>
  <c r="K702" i="11" s="1"/>
  <c r="G702" i="11"/>
  <c r="DY702" i="11" l="1"/>
  <c r="H702" i="11" s="1"/>
  <c r="DQ705" i="11"/>
  <c r="DR705" i="11"/>
  <c r="DT705" i="11" s="1"/>
  <c r="DS705" i="11"/>
  <c r="DO706" i="11"/>
  <c r="O704" i="11"/>
  <c r="R702" i="11"/>
  <c r="Q702" i="11"/>
  <c r="DX703" i="11"/>
  <c r="K703" i="11" s="1"/>
  <c r="DW703" i="11"/>
  <c r="J703" i="11" s="1"/>
  <c r="G703" i="11"/>
  <c r="DX704" i="11" l="1"/>
  <c r="K704" i="11" s="1"/>
  <c r="DW704" i="11"/>
  <c r="J704" i="11" s="1"/>
  <c r="G704" i="11"/>
  <c r="DS706" i="11"/>
  <c r="DR706" i="11"/>
  <c r="DT706" i="11" s="1"/>
  <c r="DO707" i="11"/>
  <c r="DQ706" i="11"/>
  <c r="Q703" i="11"/>
  <c r="DY703" i="11"/>
  <c r="H703" i="11" s="1"/>
  <c r="O705" i="11"/>
  <c r="R703" i="11"/>
  <c r="Q704" i="11" l="1"/>
  <c r="R704" i="11"/>
  <c r="DS707" i="11"/>
  <c r="DQ707" i="11"/>
  <c r="DO708" i="11"/>
  <c r="DR707" i="11"/>
  <c r="DT707" i="11" s="1"/>
  <c r="O706" i="11"/>
  <c r="DX705" i="11"/>
  <c r="K705" i="11" s="1"/>
  <c r="DW705" i="11"/>
  <c r="J705" i="11" s="1"/>
  <c r="G705" i="11"/>
  <c r="DY704" i="11"/>
  <c r="H704" i="11" s="1"/>
  <c r="Q705" i="11" l="1"/>
  <c r="R705" i="11"/>
  <c r="DW706" i="11"/>
  <c r="J706" i="11" s="1"/>
  <c r="DX706" i="11"/>
  <c r="K706" i="11" s="1"/>
  <c r="G706" i="11"/>
  <c r="O707" i="11"/>
  <c r="DO709" i="11"/>
  <c r="DS708" i="11"/>
  <c r="DR708" i="11"/>
  <c r="DT708" i="11" s="1"/>
  <c r="DQ708" i="11"/>
  <c r="DY705" i="11"/>
  <c r="H705" i="11" s="1"/>
  <c r="Q706" i="11" l="1"/>
  <c r="O708" i="11"/>
  <c r="DQ709" i="11"/>
  <c r="DS709" i="11"/>
  <c r="DR709" i="11"/>
  <c r="DT709" i="11" s="1"/>
  <c r="DO710" i="11"/>
  <c r="DW707" i="11"/>
  <c r="J707" i="11" s="1"/>
  <c r="Q707" i="11" s="1"/>
  <c r="DX707" i="11"/>
  <c r="K707" i="11" s="1"/>
  <c r="G707" i="11"/>
  <c r="DY706" i="11"/>
  <c r="H706" i="11" s="1"/>
  <c r="R706" i="11"/>
  <c r="R707" i="11" l="1"/>
  <c r="O709" i="11"/>
  <c r="DQ710" i="11"/>
  <c r="DR710" i="11"/>
  <c r="DT710" i="11" s="1"/>
  <c r="DO711" i="11"/>
  <c r="DS710" i="11"/>
  <c r="DY707" i="11"/>
  <c r="H707" i="11" s="1"/>
  <c r="DW708" i="11"/>
  <c r="J708" i="11" s="1"/>
  <c r="DX708" i="11"/>
  <c r="K708" i="11" s="1"/>
  <c r="G708" i="11"/>
  <c r="R708" i="11" l="1"/>
  <c r="Q708" i="11"/>
  <c r="DS711" i="11"/>
  <c r="DO712" i="11"/>
  <c r="DQ711" i="11"/>
  <c r="DR711" i="11"/>
  <c r="DT711" i="11" s="1"/>
  <c r="O710" i="11"/>
  <c r="DY708" i="11"/>
  <c r="H708" i="11" s="1"/>
  <c r="DW709" i="11"/>
  <c r="J709" i="11" s="1"/>
  <c r="DX709" i="11"/>
  <c r="K709" i="11" s="1"/>
  <c r="G709" i="11"/>
  <c r="Q709" i="11" l="1"/>
  <c r="DW710" i="11"/>
  <c r="J710" i="11" s="1"/>
  <c r="DX710" i="11"/>
  <c r="K710" i="11" s="1"/>
  <c r="G710" i="11"/>
  <c r="O711" i="11"/>
  <c r="DY709" i="11"/>
  <c r="H709" i="11" s="1"/>
  <c r="DS712" i="11"/>
  <c r="DQ712" i="11"/>
  <c r="DO713" i="11"/>
  <c r="DR712" i="11"/>
  <c r="DT712" i="11" s="1"/>
  <c r="R709" i="11"/>
  <c r="R710" i="11" l="1"/>
  <c r="DX711" i="11"/>
  <c r="K711" i="11" s="1"/>
  <c r="DW711" i="11"/>
  <c r="J711" i="11" s="1"/>
  <c r="G711" i="11"/>
  <c r="O712" i="11"/>
  <c r="DQ713" i="11"/>
  <c r="DO714" i="11"/>
  <c r="DS713" i="11"/>
  <c r="DR713" i="11"/>
  <c r="DT713" i="11" s="1"/>
  <c r="Q710" i="11"/>
  <c r="DY710" i="11"/>
  <c r="H710" i="11" s="1"/>
  <c r="R711" i="11" l="1"/>
  <c r="DQ714" i="11"/>
  <c r="DS714" i="11"/>
  <c r="DR714" i="11"/>
  <c r="DT714" i="11" s="1"/>
  <c r="DO715" i="11"/>
  <c r="DW712" i="11"/>
  <c r="J712" i="11" s="1"/>
  <c r="DX712" i="11"/>
  <c r="K712" i="11" s="1"/>
  <c r="G712" i="11"/>
  <c r="Q711" i="11"/>
  <c r="O713" i="11"/>
  <c r="DY711" i="11"/>
  <c r="H711" i="11" s="1"/>
  <c r="R712" i="11" l="1"/>
  <c r="DY712" i="11"/>
  <c r="H712" i="11" s="1"/>
  <c r="Q712" i="11"/>
  <c r="O714" i="11"/>
  <c r="DR715" i="11"/>
  <c r="DT715" i="11" s="1"/>
  <c r="DS715" i="11"/>
  <c r="DO716" i="11"/>
  <c r="DQ715" i="11"/>
  <c r="DX713" i="11"/>
  <c r="K713" i="11" s="1"/>
  <c r="DW713" i="11"/>
  <c r="J713" i="11" s="1"/>
  <c r="G713" i="11"/>
  <c r="DY713" i="11" l="1"/>
  <c r="H713" i="11" s="1"/>
  <c r="O715" i="11"/>
  <c r="Q713" i="11"/>
  <c r="DX714" i="11"/>
  <c r="K714" i="11" s="1"/>
  <c r="DW714" i="11"/>
  <c r="J714" i="11" s="1"/>
  <c r="G714" i="11"/>
  <c r="DQ716" i="11"/>
  <c r="DS716" i="11"/>
  <c r="DR716" i="11"/>
  <c r="DT716" i="11" s="1"/>
  <c r="DO717" i="11"/>
  <c r="R713" i="11"/>
  <c r="Q714" i="11" l="1"/>
  <c r="R714" i="11"/>
  <c r="DY714" i="11"/>
  <c r="H714" i="11" s="1"/>
  <c r="DS717" i="11"/>
  <c r="DR717" i="11"/>
  <c r="DT717" i="11" s="1"/>
  <c r="DO718" i="11"/>
  <c r="DQ717" i="11"/>
  <c r="O716" i="11"/>
  <c r="DW715" i="11"/>
  <c r="J715" i="11" s="1"/>
  <c r="DX715" i="11"/>
  <c r="K715" i="11" s="1"/>
  <c r="G715" i="11"/>
  <c r="DY715" i="11" l="1"/>
  <c r="H715" i="11" s="1"/>
  <c r="R715" i="11"/>
  <c r="Q715" i="11"/>
  <c r="DS718" i="11"/>
  <c r="DQ718" i="11"/>
  <c r="DR718" i="11"/>
  <c r="DT718" i="11" s="1"/>
  <c r="DO719" i="11"/>
  <c r="DW716" i="11"/>
  <c r="J716" i="11" s="1"/>
  <c r="DX716" i="11"/>
  <c r="K716" i="11" s="1"/>
  <c r="G716" i="11"/>
  <c r="O717" i="11"/>
  <c r="R716" i="11" l="1"/>
  <c r="DW717" i="11"/>
  <c r="J717" i="11" s="1"/>
  <c r="DX717" i="11"/>
  <c r="K717" i="11" s="1"/>
  <c r="G717" i="11"/>
  <c r="DY716" i="11"/>
  <c r="H716" i="11" s="1"/>
  <c r="DQ719" i="11"/>
  <c r="DS719" i="11"/>
  <c r="DO720" i="11"/>
  <c r="DR719" i="11"/>
  <c r="DT719" i="11" s="1"/>
  <c r="Q716" i="11"/>
  <c r="O718" i="11"/>
  <c r="Q717" i="11" l="1"/>
  <c r="DS720" i="11"/>
  <c r="DO721" i="11"/>
  <c r="DQ720" i="11"/>
  <c r="DR720" i="11"/>
  <c r="DT720" i="11" s="1"/>
  <c r="R717" i="11"/>
  <c r="DW718" i="11"/>
  <c r="J718" i="11" s="1"/>
  <c r="DX718" i="11"/>
  <c r="K718" i="11" s="1"/>
  <c r="G718" i="11"/>
  <c r="DY717" i="11"/>
  <c r="H717" i="11" s="1"/>
  <c r="O719" i="11"/>
  <c r="DY718" i="11" l="1"/>
  <c r="H718" i="11" s="1"/>
  <c r="Q718" i="11"/>
  <c r="O720" i="11"/>
  <c r="DW719" i="11"/>
  <c r="J719" i="11" s="1"/>
  <c r="DX719" i="11"/>
  <c r="K719" i="11" s="1"/>
  <c r="G719" i="11"/>
  <c r="R718" i="11"/>
  <c r="DS721" i="11"/>
  <c r="DQ721" i="11"/>
  <c r="DO722" i="11"/>
  <c r="DR721" i="11"/>
  <c r="DT721" i="11" s="1"/>
  <c r="R719" i="11" l="1"/>
  <c r="DY719" i="11"/>
  <c r="H719" i="11" s="1"/>
  <c r="O721" i="11"/>
  <c r="DX720" i="11"/>
  <c r="K720" i="11" s="1"/>
  <c r="DW720" i="11"/>
  <c r="J720" i="11" s="1"/>
  <c r="G720" i="11"/>
  <c r="Q719" i="11"/>
  <c r="DS722" i="11"/>
  <c r="DR722" i="11"/>
  <c r="DT722" i="11" s="1"/>
  <c r="DO723" i="11"/>
  <c r="DQ722" i="11"/>
  <c r="Q720" i="11" l="1"/>
  <c r="DY720" i="11"/>
  <c r="H720" i="11" s="1"/>
  <c r="DQ723" i="11"/>
  <c r="DS723" i="11"/>
  <c r="DO724" i="11"/>
  <c r="DR723" i="11"/>
  <c r="DT723" i="11" s="1"/>
  <c r="R720" i="11"/>
  <c r="O722" i="11"/>
  <c r="DX721" i="11"/>
  <c r="K721" i="11" s="1"/>
  <c r="DW721" i="11"/>
  <c r="J721" i="11" s="1"/>
  <c r="G721" i="11"/>
  <c r="Q721" i="11" l="1"/>
  <c r="R721" i="11"/>
  <c r="DX722" i="11"/>
  <c r="K722" i="11" s="1"/>
  <c r="DW722" i="11"/>
  <c r="J722" i="11" s="1"/>
  <c r="G722" i="11"/>
  <c r="O723" i="11"/>
  <c r="DS724" i="11"/>
  <c r="DR724" i="11"/>
  <c r="DT724" i="11" s="1"/>
  <c r="DO725" i="11"/>
  <c r="DQ724" i="11"/>
  <c r="DY721" i="11"/>
  <c r="H721" i="11" s="1"/>
  <c r="R722" i="11" l="1"/>
  <c r="O724" i="11"/>
  <c r="DQ725" i="11"/>
  <c r="DR725" i="11"/>
  <c r="DS725" i="11"/>
  <c r="DO726" i="11"/>
  <c r="DW723" i="11"/>
  <c r="J723" i="11" s="1"/>
  <c r="Q723" i="11" s="1"/>
  <c r="DX723" i="11"/>
  <c r="K723" i="11" s="1"/>
  <c r="G723" i="11"/>
  <c r="Q722" i="11"/>
  <c r="DY722" i="11"/>
  <c r="H722" i="11" s="1"/>
  <c r="R723" i="11" l="1"/>
  <c r="DS726" i="11"/>
  <c r="DR726" i="11"/>
  <c r="DQ726" i="11"/>
  <c r="DO727" i="11"/>
  <c r="DY723" i="11"/>
  <c r="H723" i="11" s="1"/>
  <c r="O725" i="11"/>
  <c r="DX724" i="11"/>
  <c r="K724" i="11" s="1"/>
  <c r="DW724" i="11"/>
  <c r="J724" i="11" s="1"/>
  <c r="G724" i="11"/>
  <c r="Q724" i="11" l="1"/>
  <c r="R724" i="11"/>
  <c r="DX725" i="11"/>
  <c r="K725" i="11" s="1"/>
  <c r="DW725" i="11"/>
  <c r="J725" i="11" s="1"/>
  <c r="G725" i="11"/>
  <c r="DS727" i="11"/>
  <c r="DR727" i="11"/>
  <c r="DQ727" i="11"/>
  <c r="DO728" i="11"/>
  <c r="DY724" i="11"/>
  <c r="H724" i="11" s="1"/>
  <c r="O726" i="11"/>
  <c r="Q725" i="11" l="1"/>
  <c r="O727" i="11"/>
  <c r="DQ728" i="11"/>
  <c r="DS728" i="11"/>
  <c r="DO729" i="11"/>
  <c r="DR728" i="11"/>
  <c r="DW726" i="11"/>
  <c r="J726" i="11" s="1"/>
  <c r="Q726" i="11" s="1"/>
  <c r="DX726" i="11"/>
  <c r="K726" i="11" s="1"/>
  <c r="G726" i="11"/>
  <c r="DY725" i="11"/>
  <c r="H725" i="11" s="1"/>
  <c r="I725" i="11" s="1"/>
  <c r="R725" i="11"/>
  <c r="R726" i="11" l="1"/>
  <c r="O728" i="11"/>
  <c r="DW727" i="11"/>
  <c r="J727" i="11" s="1"/>
  <c r="DX727" i="11"/>
  <c r="K727" i="11" s="1"/>
  <c r="G727" i="11"/>
  <c r="DO730" i="11"/>
  <c r="DR729" i="11"/>
  <c r="DS729" i="11"/>
  <c r="DQ729" i="11"/>
  <c r="DY726" i="11"/>
  <c r="H726" i="11" s="1"/>
  <c r="I726" i="11" s="1"/>
  <c r="R727" i="11" l="1"/>
  <c r="O729" i="11"/>
  <c r="DW728" i="11"/>
  <c r="J728" i="11" s="1"/>
  <c r="DX728" i="11"/>
  <c r="K728" i="11" s="1"/>
  <c r="G728" i="11"/>
  <c r="DS730" i="11"/>
  <c r="DR730" i="11"/>
  <c r="DQ730" i="11"/>
  <c r="DO731" i="11"/>
  <c r="Q727" i="11"/>
  <c r="DY727" i="11"/>
  <c r="H727" i="11" s="1"/>
  <c r="I727" i="11" s="1"/>
  <c r="O730" i="11" l="1"/>
  <c r="DY728" i="11"/>
  <c r="H728" i="11" s="1"/>
  <c r="I728" i="11" s="1"/>
  <c r="R728" i="11"/>
  <c r="Q728" i="11"/>
  <c r="DR731" i="11"/>
  <c r="DS731" i="11"/>
  <c r="DO732" i="11"/>
  <c r="DQ731" i="11"/>
  <c r="DX729" i="11"/>
  <c r="K729" i="11" s="1"/>
  <c r="DW729" i="11"/>
  <c r="J729" i="11" s="1"/>
  <c r="G729" i="11"/>
  <c r="DY729" i="11" l="1"/>
  <c r="H729" i="11" s="1"/>
  <c r="I729" i="11" s="1"/>
  <c r="DO733" i="11"/>
  <c r="DQ732" i="11"/>
  <c r="DS732" i="11"/>
  <c r="DR732" i="11"/>
  <c r="DW730" i="11"/>
  <c r="J730" i="11" s="1"/>
  <c r="DX730" i="11"/>
  <c r="K730" i="11" s="1"/>
  <c r="G730" i="11"/>
  <c r="O731" i="11"/>
  <c r="Q729" i="11"/>
  <c r="R729" i="11"/>
  <c r="Q730" i="11" l="1"/>
  <c r="DY730" i="11"/>
  <c r="H730" i="11" s="1"/>
  <c r="I730" i="11" s="1"/>
  <c r="O732" i="11"/>
  <c r="R730" i="11"/>
  <c r="DW731" i="11"/>
  <c r="J731" i="11" s="1"/>
  <c r="DX731" i="11"/>
  <c r="K731" i="11" s="1"/>
  <c r="G731" i="11"/>
  <c r="DS733" i="11"/>
  <c r="DR733" i="11"/>
  <c r="DQ733" i="11"/>
  <c r="DO734" i="11"/>
  <c r="Q731" i="11" l="1"/>
  <c r="R731" i="11"/>
  <c r="DY731" i="11"/>
  <c r="H731" i="11" s="1"/>
  <c r="I731" i="11" s="1"/>
  <c r="DQ734" i="11"/>
  <c r="DS734" i="11"/>
  <c r="DO735" i="11"/>
  <c r="DR734" i="11"/>
  <c r="O733" i="11"/>
  <c r="DW732" i="11"/>
  <c r="J732" i="11" s="1"/>
  <c r="DX732" i="11"/>
  <c r="K732" i="11" s="1"/>
  <c r="G732" i="11"/>
  <c r="R732" i="11" l="1"/>
  <c r="Q732" i="11"/>
  <c r="DY732" i="11"/>
  <c r="H732" i="11" s="1"/>
  <c r="I732" i="11" s="1"/>
  <c r="O734" i="11"/>
  <c r="DX733" i="11"/>
  <c r="K733" i="11" s="1"/>
  <c r="DW733" i="11"/>
  <c r="J733" i="11" s="1"/>
  <c r="Q733" i="11" s="1"/>
  <c r="G733" i="11"/>
  <c r="DR735" i="11"/>
  <c r="DO736" i="11"/>
  <c r="DQ735" i="11"/>
  <c r="DS735" i="11"/>
  <c r="O735" i="11" l="1"/>
  <c r="DR736" i="11"/>
  <c r="DO737" i="11"/>
  <c r="DS736" i="11"/>
  <c r="DQ736" i="11"/>
  <c r="R733" i="11"/>
  <c r="DY733" i="11"/>
  <c r="H733" i="11" s="1"/>
  <c r="I733" i="11" s="1"/>
  <c r="DW734" i="11"/>
  <c r="J734" i="11" s="1"/>
  <c r="Q734" i="11" s="1"/>
  <c r="DX734" i="11"/>
  <c r="K734" i="11" s="1"/>
  <c r="G734" i="11"/>
  <c r="DR737" i="11" l="1"/>
  <c r="DS737" i="11"/>
  <c r="DO738" i="11"/>
  <c r="DQ737" i="11"/>
  <c r="DY734" i="11"/>
  <c r="H734" i="11" s="1"/>
  <c r="I734" i="11" s="1"/>
  <c r="O736" i="11"/>
  <c r="R734" i="11"/>
  <c r="DW735" i="11"/>
  <c r="J735" i="11" s="1"/>
  <c r="DX735" i="11"/>
  <c r="K735" i="11" s="1"/>
  <c r="G735" i="11"/>
  <c r="Q735" i="11" l="1"/>
  <c r="DW736" i="11"/>
  <c r="J736" i="11" s="1"/>
  <c r="DX736" i="11"/>
  <c r="K736" i="11" s="1"/>
  <c r="G736" i="11"/>
  <c r="O737" i="11"/>
  <c r="DY735" i="11"/>
  <c r="H735" i="11" s="1"/>
  <c r="I735" i="11" s="1"/>
  <c r="DQ738" i="11"/>
  <c r="DR738" i="11"/>
  <c r="DO739" i="11"/>
  <c r="DS738" i="11"/>
  <c r="R735" i="11"/>
  <c r="Q736" i="11" l="1"/>
  <c r="DX737" i="11"/>
  <c r="K737" i="11" s="1"/>
  <c r="DW737" i="11"/>
  <c r="J737" i="11" s="1"/>
  <c r="G737" i="11"/>
  <c r="DY736" i="11"/>
  <c r="H736" i="11" s="1"/>
  <c r="I736" i="11" s="1"/>
  <c r="DR739" i="11"/>
  <c r="DQ739" i="11"/>
  <c r="DO740" i="11"/>
  <c r="DS739" i="11"/>
  <c r="R736" i="11"/>
  <c r="O738" i="11"/>
  <c r="R737" i="11" l="1"/>
  <c r="DR740" i="11"/>
  <c r="DS740" i="11"/>
  <c r="DQ740" i="11"/>
  <c r="DO741" i="11"/>
  <c r="O739" i="11"/>
  <c r="DX738" i="11"/>
  <c r="K738" i="11" s="1"/>
  <c r="R738" i="11" s="1"/>
  <c r="DW738" i="11"/>
  <c r="J738" i="11" s="1"/>
  <c r="Q738" i="11" s="1"/>
  <c r="G738" i="11"/>
  <c r="DY737" i="11"/>
  <c r="H737" i="11" s="1"/>
  <c r="I737" i="11" s="1"/>
  <c r="Q737" i="11"/>
  <c r="DY738" i="11" l="1"/>
  <c r="H738" i="11" s="1"/>
  <c r="I738" i="11" s="1"/>
  <c r="O740" i="11"/>
  <c r="DS741" i="11"/>
  <c r="DO742" i="11"/>
  <c r="DQ741" i="11"/>
  <c r="DR741" i="11"/>
  <c r="DW739" i="11"/>
  <c r="J739" i="11" s="1"/>
  <c r="Q739" i="11" s="1"/>
  <c r="DX739" i="11"/>
  <c r="K739" i="11" s="1"/>
  <c r="G739" i="11"/>
  <c r="R739" i="11" l="1"/>
  <c r="DY739" i="11"/>
  <c r="H739" i="11" s="1"/>
  <c r="I739" i="11" s="1"/>
  <c r="O741" i="11"/>
  <c r="DS742" i="11"/>
  <c r="DR742" i="11"/>
  <c r="DQ742" i="11"/>
  <c r="DO743" i="11"/>
  <c r="DW740" i="11"/>
  <c r="J740" i="11" s="1"/>
  <c r="DX740" i="11"/>
  <c r="K740" i="11" s="1"/>
  <c r="G740" i="11"/>
  <c r="R740" i="11" l="1"/>
  <c r="Q740" i="11"/>
  <c r="DQ743" i="11"/>
  <c r="DS743" i="11"/>
  <c r="DO744" i="11"/>
  <c r="DR743" i="11"/>
  <c r="O742" i="11"/>
  <c r="DY740" i="11"/>
  <c r="H740" i="11" s="1"/>
  <c r="I740" i="11" s="1"/>
  <c r="DX741" i="11"/>
  <c r="K741" i="11" s="1"/>
  <c r="DW741" i="11"/>
  <c r="J741" i="11" s="1"/>
  <c r="Q741" i="11" s="1"/>
  <c r="G741" i="11"/>
  <c r="DY741" i="11" l="1"/>
  <c r="H741" i="11" s="1"/>
  <c r="I741" i="11" s="1"/>
  <c r="R741" i="11"/>
  <c r="DW742" i="11"/>
  <c r="J742" i="11" s="1"/>
  <c r="DX742" i="11"/>
  <c r="K742" i="11" s="1"/>
  <c r="G742" i="11"/>
  <c r="O743" i="11"/>
  <c r="DO745" i="11"/>
  <c r="DR744" i="11"/>
  <c r="DS744" i="11"/>
  <c r="DQ744" i="11"/>
  <c r="Q742" i="11" l="1"/>
  <c r="DW743" i="11"/>
  <c r="J743" i="11" s="1"/>
  <c r="DX743" i="11"/>
  <c r="K743" i="11" s="1"/>
  <c r="G743" i="11"/>
  <c r="DY742" i="11"/>
  <c r="H742" i="11" s="1"/>
  <c r="I742" i="11" s="1"/>
  <c r="O744" i="11"/>
  <c r="DR745" i="11"/>
  <c r="DO746" i="11"/>
  <c r="DS745" i="11"/>
  <c r="DQ745" i="11"/>
  <c r="R742" i="11"/>
  <c r="Q743" i="11" l="1"/>
  <c r="R743" i="11"/>
  <c r="O745" i="11"/>
  <c r="DQ746" i="11"/>
  <c r="DS746" i="11"/>
  <c r="DR746" i="11"/>
  <c r="DO747" i="11"/>
  <c r="DW744" i="11"/>
  <c r="J744" i="11" s="1"/>
  <c r="DX744" i="11"/>
  <c r="K744" i="11" s="1"/>
  <c r="G744" i="11"/>
  <c r="DY743" i="11"/>
  <c r="H743" i="11" s="1"/>
  <c r="I743" i="11" s="1"/>
  <c r="Q744" i="11" l="1"/>
  <c r="R744" i="11"/>
  <c r="DY744" i="11"/>
  <c r="H744" i="11" s="1"/>
  <c r="I744" i="11" s="1"/>
  <c r="DR747" i="11"/>
  <c r="DS747" i="11"/>
  <c r="DO748" i="11"/>
  <c r="DQ747" i="11"/>
  <c r="DX745" i="11"/>
  <c r="K745" i="11" s="1"/>
  <c r="DW745" i="11"/>
  <c r="J745" i="11" s="1"/>
  <c r="G745" i="11"/>
  <c r="O746" i="11"/>
  <c r="DY745" i="11" l="1"/>
  <c r="H745" i="11" s="1"/>
  <c r="I745" i="11" s="1"/>
  <c r="Q745" i="11"/>
  <c r="DS748" i="11"/>
  <c r="DR748" i="11"/>
  <c r="DQ748" i="11"/>
  <c r="DO749" i="11"/>
  <c r="R745" i="11"/>
  <c r="DX746" i="11"/>
  <c r="K746" i="11" s="1"/>
  <c r="R746" i="11" s="1"/>
  <c r="DW746" i="11"/>
  <c r="J746" i="11" s="1"/>
  <c r="G746" i="11"/>
  <c r="O747" i="11"/>
  <c r="DY746" i="11" l="1"/>
  <c r="H746" i="11" s="1"/>
  <c r="I746" i="11" s="1"/>
  <c r="DQ749" i="11"/>
  <c r="DO750" i="11"/>
  <c r="DS749" i="11"/>
  <c r="DR749" i="11"/>
  <c r="DW747" i="11"/>
  <c r="J747" i="11" s="1"/>
  <c r="DX747" i="11"/>
  <c r="K747" i="11" s="1"/>
  <c r="G747" i="11"/>
  <c r="O748" i="11"/>
  <c r="Q746" i="11"/>
  <c r="DY747" i="11" l="1"/>
  <c r="H747" i="11" s="1"/>
  <c r="I747" i="11" s="1"/>
  <c r="Q747" i="11"/>
  <c r="R747" i="11"/>
  <c r="O749" i="11"/>
  <c r="DS750" i="11"/>
  <c r="DR750" i="11"/>
  <c r="DQ750" i="11"/>
  <c r="DO751" i="11"/>
  <c r="DX748" i="11"/>
  <c r="K748" i="11" s="1"/>
  <c r="DW748" i="11"/>
  <c r="J748" i="11" s="1"/>
  <c r="G748" i="11"/>
  <c r="O750" i="11" l="1"/>
  <c r="DX749" i="11"/>
  <c r="K749" i="11" s="1"/>
  <c r="DW749" i="11"/>
  <c r="J749" i="11" s="1"/>
  <c r="G749" i="11"/>
  <c r="Q748" i="11"/>
  <c r="R748" i="11"/>
  <c r="DQ751" i="11"/>
  <c r="DO752" i="11"/>
  <c r="DS751" i="11"/>
  <c r="DR751" i="11"/>
  <c r="DY748" i="11"/>
  <c r="H748" i="11" s="1"/>
  <c r="I748" i="11" s="1"/>
  <c r="Q749" i="11" l="1"/>
  <c r="DW750" i="11"/>
  <c r="J750" i="11" s="1"/>
  <c r="DX750" i="11"/>
  <c r="K750" i="11" s="1"/>
  <c r="G750" i="11"/>
  <c r="DY749" i="11"/>
  <c r="H749" i="11" s="1"/>
  <c r="I749" i="11" s="1"/>
  <c r="O751" i="11"/>
  <c r="R749" i="11"/>
  <c r="DS752" i="11"/>
  <c r="DR752" i="11"/>
  <c r="DO753" i="11"/>
  <c r="DQ752" i="11"/>
  <c r="Q750" i="11" l="1"/>
  <c r="DS753" i="11"/>
  <c r="DQ753" i="11"/>
  <c r="DR753" i="11"/>
  <c r="DO754" i="11"/>
  <c r="DY750" i="11"/>
  <c r="H750" i="11" s="1"/>
  <c r="I750" i="11" s="1"/>
  <c r="DW751" i="11"/>
  <c r="J751" i="11" s="1"/>
  <c r="DX751" i="11"/>
  <c r="K751" i="11" s="1"/>
  <c r="G751" i="11"/>
  <c r="O752" i="11"/>
  <c r="R750" i="11"/>
  <c r="R751" i="11" l="1"/>
  <c r="Q751" i="11"/>
  <c r="DY751" i="11"/>
  <c r="H751" i="11" s="1"/>
  <c r="I751" i="11" s="1"/>
  <c r="DR754" i="11"/>
  <c r="DS754" i="11"/>
  <c r="DO755" i="11"/>
  <c r="DQ754" i="11"/>
  <c r="O753" i="11"/>
  <c r="DW752" i="11"/>
  <c r="J752" i="11" s="1"/>
  <c r="DX752" i="11"/>
  <c r="K752" i="11" s="1"/>
  <c r="G752" i="11"/>
  <c r="R752" i="11" l="1"/>
  <c r="Q752" i="11"/>
  <c r="DX753" i="11"/>
  <c r="K753" i="11" s="1"/>
  <c r="DW753" i="11"/>
  <c r="J753" i="11" s="1"/>
  <c r="G753" i="11"/>
  <c r="DS755" i="11"/>
  <c r="DR755" i="11"/>
  <c r="DO756" i="11"/>
  <c r="DQ755" i="11"/>
  <c r="O754" i="11"/>
  <c r="DY752" i="11"/>
  <c r="H752" i="11" s="1"/>
  <c r="I752" i="11" s="1"/>
  <c r="R753" i="11" l="1"/>
  <c r="DS756" i="11"/>
  <c r="DQ756" i="11"/>
  <c r="DR756" i="11"/>
  <c r="DO757" i="11"/>
  <c r="O755" i="11"/>
  <c r="DW754" i="11"/>
  <c r="J754" i="11" s="1"/>
  <c r="Q754" i="11" s="1"/>
  <c r="DX754" i="11"/>
  <c r="K754" i="11" s="1"/>
  <c r="G754" i="11"/>
  <c r="DY753" i="11"/>
  <c r="H753" i="11" s="1"/>
  <c r="I753" i="11" s="1"/>
  <c r="Q753" i="11"/>
  <c r="R754" i="11" l="1"/>
  <c r="DY754" i="11"/>
  <c r="H754" i="11" s="1"/>
  <c r="I754" i="11" s="1"/>
  <c r="DS757" i="11"/>
  <c r="DQ757" i="11"/>
  <c r="DO758" i="11"/>
  <c r="DR757" i="11"/>
  <c r="DW755" i="11"/>
  <c r="J755" i="11" s="1"/>
  <c r="DX755" i="11"/>
  <c r="K755" i="11" s="1"/>
  <c r="G755" i="11"/>
  <c r="O756" i="11"/>
  <c r="R755" i="11" l="1"/>
  <c r="DY755" i="11"/>
  <c r="H755" i="11" s="1"/>
  <c r="I755" i="11" s="1"/>
  <c r="O757" i="11"/>
  <c r="Q755" i="11"/>
  <c r="DS758" i="11"/>
  <c r="DQ758" i="11"/>
  <c r="DO759" i="11"/>
  <c r="DR758" i="11"/>
  <c r="DW756" i="11"/>
  <c r="J756" i="11" s="1"/>
  <c r="DX756" i="11"/>
  <c r="K756" i="11" s="1"/>
  <c r="G756" i="11"/>
  <c r="DY756" i="11" l="1"/>
  <c r="H756" i="11" s="1"/>
  <c r="I756" i="11" s="1"/>
  <c r="Q756" i="11"/>
  <c r="DS759" i="11"/>
  <c r="DO760" i="11"/>
  <c r="DQ759" i="11"/>
  <c r="DR759" i="11"/>
  <c r="R756" i="11"/>
  <c r="DX757" i="11"/>
  <c r="K757" i="11" s="1"/>
  <c r="R757" i="11" s="1"/>
  <c r="DW757" i="11"/>
  <c r="J757" i="11" s="1"/>
  <c r="Q757" i="11" s="1"/>
  <c r="G757" i="11"/>
  <c r="O758" i="11"/>
  <c r="DY757" i="11" l="1"/>
  <c r="H757" i="11" s="1"/>
  <c r="I757" i="11" s="1"/>
  <c r="O759" i="11"/>
  <c r="DX758" i="11"/>
  <c r="K758" i="11" s="1"/>
  <c r="DW758" i="11"/>
  <c r="J758" i="11" s="1"/>
  <c r="G758" i="11"/>
  <c r="DO761" i="11"/>
  <c r="DR760" i="11"/>
  <c r="DS760" i="11"/>
  <c r="DQ760" i="11"/>
  <c r="DR761" i="11" l="1"/>
  <c r="DS761" i="11"/>
  <c r="DO762" i="11"/>
  <c r="DQ761" i="11"/>
  <c r="DY758" i="11"/>
  <c r="H758" i="11" s="1"/>
  <c r="I758" i="11" s="1"/>
  <c r="R758" i="11"/>
  <c r="DW759" i="11"/>
  <c r="J759" i="11" s="1"/>
  <c r="Q759" i="11" s="1"/>
  <c r="DX759" i="11"/>
  <c r="K759" i="11" s="1"/>
  <c r="R759" i="11" s="1"/>
  <c r="G759" i="11"/>
  <c r="Q758" i="11"/>
  <c r="O760" i="11"/>
  <c r="DY759" i="11" l="1"/>
  <c r="H759" i="11" s="1"/>
  <c r="I759" i="11" s="1"/>
  <c r="DW760" i="11"/>
  <c r="J760" i="11" s="1"/>
  <c r="DX760" i="11"/>
  <c r="K760" i="11" s="1"/>
  <c r="G760" i="11"/>
  <c r="DS762" i="11"/>
  <c r="DR762" i="11"/>
  <c r="DO763" i="11"/>
  <c r="DQ762" i="11"/>
  <c r="O761" i="11"/>
  <c r="DY760" i="11" l="1"/>
  <c r="H760" i="11" s="1"/>
  <c r="I760" i="11" s="1"/>
  <c r="DR763" i="11"/>
  <c r="DS763" i="11"/>
  <c r="DO764" i="11"/>
  <c r="DQ763" i="11"/>
  <c r="R760" i="11"/>
  <c r="DX761" i="11"/>
  <c r="K761" i="11" s="1"/>
  <c r="DW761" i="11"/>
  <c r="J761" i="11" s="1"/>
  <c r="G761" i="11"/>
  <c r="Q760" i="11"/>
  <c r="O762" i="11"/>
  <c r="Q761" i="11" l="1"/>
  <c r="R761" i="11"/>
  <c r="DX762" i="11"/>
  <c r="K762" i="11" s="1"/>
  <c r="DW762" i="11"/>
  <c r="J762" i="11" s="1"/>
  <c r="G762" i="11"/>
  <c r="DQ764" i="11"/>
  <c r="DO765" i="11"/>
  <c r="DS764" i="11"/>
  <c r="DR764" i="11"/>
  <c r="DY761" i="11"/>
  <c r="H761" i="11" s="1"/>
  <c r="I761" i="11" s="1"/>
  <c r="O763" i="11"/>
  <c r="Q762" i="11" l="1"/>
  <c r="DS765" i="11"/>
  <c r="DO766" i="11"/>
  <c r="DQ765" i="11"/>
  <c r="DR765" i="11"/>
  <c r="O764" i="11"/>
  <c r="DX763" i="11"/>
  <c r="K763" i="11" s="1"/>
  <c r="R763" i="11" s="1"/>
  <c r="DW763" i="11"/>
  <c r="J763" i="11" s="1"/>
  <c r="G763" i="11"/>
  <c r="DY762" i="11"/>
  <c r="H762" i="11" s="1"/>
  <c r="I762" i="11" s="1"/>
  <c r="R762" i="11"/>
  <c r="Q763" i="11" l="1"/>
  <c r="DW764" i="11"/>
  <c r="J764" i="11" s="1"/>
  <c r="DX764" i="11"/>
  <c r="K764" i="11" s="1"/>
  <c r="G764" i="11"/>
  <c r="O765" i="11"/>
  <c r="DS766" i="11"/>
  <c r="DR766" i="11"/>
  <c r="DQ766" i="11"/>
  <c r="DO767" i="11"/>
  <c r="DY763" i="11"/>
  <c r="H763" i="11" s="1"/>
  <c r="I763" i="11" s="1"/>
  <c r="O766" i="11" l="1"/>
  <c r="DX765" i="11"/>
  <c r="K765" i="11" s="1"/>
  <c r="DW765" i="11"/>
  <c r="J765" i="11" s="1"/>
  <c r="G765" i="11"/>
  <c r="R764" i="11"/>
  <c r="DS767" i="11"/>
  <c r="DQ767" i="11"/>
  <c r="DR767" i="11"/>
  <c r="DO768" i="11"/>
  <c r="DY764" i="11"/>
  <c r="H764" i="11" s="1"/>
  <c r="I764" i="11" s="1"/>
  <c r="Q764" i="11"/>
  <c r="Q765" i="11" l="1"/>
  <c r="R765" i="11"/>
  <c r="DR768" i="11"/>
  <c r="DS768" i="11"/>
  <c r="DO769" i="11"/>
  <c r="DQ768" i="11"/>
  <c r="DY765" i="11"/>
  <c r="H765" i="11" s="1"/>
  <c r="I765" i="11" s="1"/>
  <c r="O767" i="11"/>
  <c r="DW766" i="11"/>
  <c r="J766" i="11" s="1"/>
  <c r="DX766" i="11"/>
  <c r="K766" i="11" s="1"/>
  <c r="G766" i="11"/>
  <c r="DW767" i="11" l="1"/>
  <c r="J767" i="11" s="1"/>
  <c r="DX767" i="11"/>
  <c r="K767" i="11" s="1"/>
  <c r="G767" i="11"/>
  <c r="DR769" i="11"/>
  <c r="DQ769" i="11"/>
  <c r="DS769" i="11"/>
  <c r="DO770" i="11"/>
  <c r="DY766" i="11"/>
  <c r="H766" i="11" s="1"/>
  <c r="I766" i="11" s="1"/>
  <c r="O768" i="11"/>
  <c r="Q766" i="11"/>
  <c r="R766" i="11"/>
  <c r="DS770" i="11" l="1"/>
  <c r="DQ770" i="11"/>
  <c r="DO771" i="11"/>
  <c r="DR770" i="11"/>
  <c r="O769" i="11"/>
  <c r="DY767" i="11"/>
  <c r="H767" i="11" s="1"/>
  <c r="I767" i="11" s="1"/>
  <c r="DW768" i="11"/>
  <c r="J768" i="11" s="1"/>
  <c r="Q768" i="11" s="1"/>
  <c r="DX768" i="11"/>
  <c r="K768" i="11" s="1"/>
  <c r="G768" i="11"/>
  <c r="R767" i="11"/>
  <c r="Q767" i="11"/>
  <c r="R768" i="11" l="1"/>
  <c r="DW769" i="11"/>
  <c r="J769" i="11" s="1"/>
  <c r="DX769" i="11"/>
  <c r="K769" i="11" s="1"/>
  <c r="G769" i="11"/>
  <c r="O770" i="11"/>
  <c r="DS771" i="11"/>
  <c r="DR771" i="11"/>
  <c r="DO772" i="11"/>
  <c r="DQ771" i="11"/>
  <c r="DY768" i="11"/>
  <c r="H768" i="11" s="1"/>
  <c r="I768" i="11" s="1"/>
  <c r="R769" i="11" l="1"/>
  <c r="DX770" i="11"/>
  <c r="K770" i="11" s="1"/>
  <c r="DW770" i="11"/>
  <c r="J770" i="11" s="1"/>
  <c r="G770" i="11"/>
  <c r="O771" i="11"/>
  <c r="DY769" i="11"/>
  <c r="H769" i="11" s="1"/>
  <c r="I769" i="11" s="1"/>
  <c r="DR772" i="11"/>
  <c r="DS772" i="11"/>
  <c r="DO773" i="11"/>
  <c r="DQ772" i="11"/>
  <c r="Q769" i="11"/>
  <c r="DW771" i="11" l="1"/>
  <c r="J771" i="11" s="1"/>
  <c r="DX771" i="11"/>
  <c r="K771" i="11" s="1"/>
  <c r="G771" i="11"/>
  <c r="O772" i="11"/>
  <c r="Q770" i="11"/>
  <c r="DS773" i="11"/>
  <c r="DO774" i="11"/>
  <c r="DQ773" i="11"/>
  <c r="DR773" i="11"/>
  <c r="DY770" i="11"/>
  <c r="H770" i="11" s="1"/>
  <c r="I770" i="11" s="1"/>
  <c r="R770" i="11"/>
  <c r="DW772" i="11" l="1"/>
  <c r="J772" i="11" s="1"/>
  <c r="DX772" i="11"/>
  <c r="K772" i="11" s="1"/>
  <c r="G772" i="11"/>
  <c r="O773" i="11"/>
  <c r="DY771" i="11"/>
  <c r="H771" i="11" s="1"/>
  <c r="I771" i="11" s="1"/>
  <c r="R771" i="11"/>
  <c r="DQ774" i="11"/>
  <c r="DR774" i="11"/>
  <c r="DS774" i="11"/>
  <c r="DO775" i="11"/>
  <c r="Q771" i="11"/>
  <c r="DY772" i="11" l="1"/>
  <c r="H772" i="11" s="1"/>
  <c r="I772" i="11" s="1"/>
  <c r="DX773" i="11"/>
  <c r="K773" i="11" s="1"/>
  <c r="DW773" i="11"/>
  <c r="J773" i="11" s="1"/>
  <c r="G773" i="11"/>
  <c r="DR775" i="11"/>
  <c r="DS775" i="11"/>
  <c r="DO776" i="11"/>
  <c r="DQ775" i="11"/>
  <c r="O774" i="11"/>
  <c r="R772" i="11"/>
  <c r="Q772" i="11"/>
  <c r="O775" i="11" l="1"/>
  <c r="DS776" i="11"/>
  <c r="DR776" i="11"/>
  <c r="DQ776" i="11"/>
  <c r="DO777" i="11"/>
  <c r="DY773" i="11"/>
  <c r="H773" i="11" s="1"/>
  <c r="I773" i="11" s="1"/>
  <c r="Q773" i="11"/>
  <c r="DW774" i="11"/>
  <c r="J774" i="11" s="1"/>
  <c r="DX774" i="11"/>
  <c r="K774" i="11" s="1"/>
  <c r="G774" i="11"/>
  <c r="R773" i="11"/>
  <c r="DO778" i="11" l="1"/>
  <c r="DS777" i="11"/>
  <c r="DR777" i="11"/>
  <c r="DQ777" i="11"/>
  <c r="O776" i="11"/>
  <c r="R774" i="11"/>
  <c r="Q774" i="11"/>
  <c r="DY774" i="11"/>
  <c r="H774" i="11" s="1"/>
  <c r="I774" i="11" s="1"/>
  <c r="DW775" i="11"/>
  <c r="J775" i="11" s="1"/>
  <c r="DX775" i="11"/>
  <c r="K775" i="11" s="1"/>
  <c r="G775" i="11"/>
  <c r="DX776" i="11" l="1"/>
  <c r="K776" i="11" s="1"/>
  <c r="DW776" i="11"/>
  <c r="J776" i="11" s="1"/>
  <c r="G776" i="11"/>
  <c r="R775" i="11"/>
  <c r="Q775" i="11"/>
  <c r="O777" i="11"/>
  <c r="DY775" i="11"/>
  <c r="H775" i="11" s="1"/>
  <c r="I775" i="11" s="1"/>
  <c r="DS778" i="11"/>
  <c r="DR778" i="11"/>
  <c r="DO779" i="11"/>
  <c r="DQ778" i="11"/>
  <c r="DR779" i="11" l="1"/>
  <c r="DO780" i="11"/>
  <c r="DS779" i="11"/>
  <c r="DQ779" i="11"/>
  <c r="O778" i="11"/>
  <c r="Q776" i="11"/>
  <c r="DX777" i="11"/>
  <c r="K777" i="11" s="1"/>
  <c r="R777" i="11" s="1"/>
  <c r="DW777" i="11"/>
  <c r="J777" i="11" s="1"/>
  <c r="G777" i="11"/>
  <c r="DY776" i="11"/>
  <c r="H776" i="11" s="1"/>
  <c r="I776" i="11" s="1"/>
  <c r="R776" i="11"/>
  <c r="DW778" i="11" l="1"/>
  <c r="J778" i="11" s="1"/>
  <c r="DX778" i="11"/>
  <c r="K778" i="11" s="1"/>
  <c r="G778" i="11"/>
  <c r="DY777" i="11"/>
  <c r="H777" i="11" s="1"/>
  <c r="I777" i="11" s="1"/>
  <c r="DO781" i="11"/>
  <c r="DS780" i="11"/>
  <c r="DQ780" i="11"/>
  <c r="DR780" i="11"/>
  <c r="Q777" i="11"/>
  <c r="O779" i="11"/>
  <c r="R778" i="11" l="1"/>
  <c r="DO782" i="11"/>
  <c r="DS781" i="11"/>
  <c r="DR781" i="11"/>
  <c r="DQ781" i="11"/>
  <c r="Q778" i="11"/>
  <c r="DW779" i="11"/>
  <c r="J779" i="11" s="1"/>
  <c r="DX779" i="11"/>
  <c r="K779" i="11" s="1"/>
  <c r="G779" i="11"/>
  <c r="O780" i="11"/>
  <c r="DY778" i="11"/>
  <c r="H778" i="11" s="1"/>
  <c r="I778" i="11" s="1"/>
  <c r="R779" i="11" l="1"/>
  <c r="Q779" i="11"/>
  <c r="DY779" i="11"/>
  <c r="H779" i="11" s="1"/>
  <c r="I779" i="11" s="1"/>
  <c r="O781" i="11"/>
  <c r="DW780" i="11"/>
  <c r="J780" i="11" s="1"/>
  <c r="DX780" i="11"/>
  <c r="K780" i="11" s="1"/>
  <c r="G780" i="11"/>
  <c r="DO783" i="11"/>
  <c r="DQ782" i="11"/>
  <c r="DS782" i="11"/>
  <c r="DR782" i="11"/>
  <c r="R780" i="11" l="1"/>
  <c r="DY780" i="11"/>
  <c r="H780" i="11" s="1"/>
  <c r="I780" i="11" s="1"/>
  <c r="DQ783" i="11"/>
  <c r="DO784" i="11"/>
  <c r="DS783" i="11"/>
  <c r="DR783" i="11"/>
  <c r="Q780" i="11"/>
  <c r="O782" i="11"/>
  <c r="DX781" i="11"/>
  <c r="K781" i="11" s="1"/>
  <c r="DW781" i="11"/>
  <c r="J781" i="11" s="1"/>
  <c r="G781" i="11"/>
  <c r="DY781" i="11" l="1"/>
  <c r="H781" i="11" s="1"/>
  <c r="I781" i="11" s="1"/>
  <c r="O783" i="11"/>
  <c r="Q781" i="11"/>
  <c r="DQ784" i="11"/>
  <c r="DO785" i="11"/>
  <c r="DS784" i="11"/>
  <c r="DR784" i="11"/>
  <c r="DX782" i="11"/>
  <c r="K782" i="11" s="1"/>
  <c r="R782" i="11" s="1"/>
  <c r="DW782" i="11"/>
  <c r="J782" i="11" s="1"/>
  <c r="G782" i="11"/>
  <c r="R781" i="11"/>
  <c r="DO786" i="11" l="1"/>
  <c r="DQ785" i="11"/>
  <c r="DS785" i="11"/>
  <c r="DR785" i="11"/>
  <c r="O784" i="11"/>
  <c r="DY782" i="11"/>
  <c r="H782" i="11" s="1"/>
  <c r="I782" i="11" s="1"/>
  <c r="Q782" i="11"/>
  <c r="DX783" i="11"/>
  <c r="K783" i="11" s="1"/>
  <c r="DW783" i="11"/>
  <c r="J783" i="11" s="1"/>
  <c r="G783" i="11"/>
  <c r="DX784" i="11" l="1"/>
  <c r="K784" i="11" s="1"/>
  <c r="DW784" i="11"/>
  <c r="J784" i="11" s="1"/>
  <c r="G784" i="11"/>
  <c r="O785" i="11"/>
  <c r="Q783" i="11"/>
  <c r="R783" i="11"/>
  <c r="DY783" i="11"/>
  <c r="H783" i="11" s="1"/>
  <c r="I783" i="11" s="1"/>
  <c r="DO787" i="11"/>
  <c r="DS786" i="11"/>
  <c r="DR786" i="11"/>
  <c r="DQ786" i="11"/>
  <c r="Q784" i="11" l="1"/>
  <c r="DW785" i="11"/>
  <c r="J785" i="11" s="1"/>
  <c r="DX785" i="11"/>
  <c r="K785" i="11" s="1"/>
  <c r="G785" i="11"/>
  <c r="O786" i="11"/>
  <c r="DR787" i="11"/>
  <c r="DO788" i="11"/>
  <c r="DS787" i="11"/>
  <c r="DQ787" i="11"/>
  <c r="R784" i="11"/>
  <c r="DY784" i="11"/>
  <c r="H784" i="11" s="1"/>
  <c r="I784" i="11" s="1"/>
  <c r="DY785" i="11" l="1"/>
  <c r="H785" i="11" s="1"/>
  <c r="I785" i="11" s="1"/>
  <c r="DX786" i="11"/>
  <c r="K786" i="11" s="1"/>
  <c r="DW786" i="11"/>
  <c r="J786" i="11" s="1"/>
  <c r="G786" i="11"/>
  <c r="O787" i="11"/>
  <c r="R785" i="11"/>
  <c r="DR788" i="11"/>
  <c r="DO789" i="11"/>
  <c r="DQ788" i="11"/>
  <c r="DS788" i="11"/>
  <c r="Q785" i="11"/>
  <c r="Q786" i="11" l="1"/>
  <c r="DW787" i="11"/>
  <c r="J787" i="11" s="1"/>
  <c r="DX787" i="11"/>
  <c r="K787" i="11" s="1"/>
  <c r="G787" i="11"/>
  <c r="O788" i="11"/>
  <c r="R786" i="11"/>
  <c r="DS789" i="11"/>
  <c r="DQ789" i="11"/>
  <c r="DO790" i="11"/>
  <c r="DR789" i="11"/>
  <c r="DY786" i="11"/>
  <c r="H786" i="11" s="1"/>
  <c r="I786" i="11" s="1"/>
  <c r="DW788" i="11" l="1"/>
  <c r="J788" i="11" s="1"/>
  <c r="DX788" i="11"/>
  <c r="K788" i="11" s="1"/>
  <c r="G788" i="11"/>
  <c r="O789" i="11"/>
  <c r="R787" i="11"/>
  <c r="DS790" i="11"/>
  <c r="DO791" i="11"/>
  <c r="DQ790" i="11"/>
  <c r="DR790" i="11"/>
  <c r="Q787" i="11"/>
  <c r="DY787" i="11"/>
  <c r="H787" i="11" s="1"/>
  <c r="I787" i="11" s="1"/>
  <c r="DY788" i="11" l="1"/>
  <c r="H788" i="11" s="1"/>
  <c r="I788" i="11" s="1"/>
  <c r="DX789" i="11"/>
  <c r="K789" i="11" s="1"/>
  <c r="DW789" i="11"/>
  <c r="J789" i="11" s="1"/>
  <c r="G789" i="11"/>
  <c r="O790" i="11"/>
  <c r="R788" i="11"/>
  <c r="DS791" i="11"/>
  <c r="DQ791" i="11"/>
  <c r="DO792" i="11"/>
  <c r="DR791" i="11"/>
  <c r="Q788" i="11"/>
  <c r="Q789" i="11" l="1"/>
  <c r="DW790" i="11"/>
  <c r="J790" i="11" s="1"/>
  <c r="DX790" i="11"/>
  <c r="K790" i="11" s="1"/>
  <c r="G790" i="11"/>
  <c r="O791" i="11"/>
  <c r="DR792" i="11"/>
  <c r="DS792" i="11"/>
  <c r="DO793" i="11"/>
  <c r="DQ792" i="11"/>
  <c r="DY789" i="11"/>
  <c r="H789" i="11" s="1"/>
  <c r="I789" i="11" s="1"/>
  <c r="R789" i="11"/>
  <c r="DY790" i="11" l="1"/>
  <c r="H790" i="11" s="1"/>
  <c r="I790" i="11" s="1"/>
  <c r="O792" i="11"/>
  <c r="DX791" i="11"/>
  <c r="K791" i="11" s="1"/>
  <c r="DW791" i="11"/>
  <c r="J791" i="11" s="1"/>
  <c r="G791" i="11"/>
  <c r="R790" i="11"/>
  <c r="DR793" i="11"/>
  <c r="DS793" i="11"/>
  <c r="DO794" i="11"/>
  <c r="DQ793" i="11"/>
  <c r="Q790" i="11"/>
  <c r="R791" i="11" l="1"/>
  <c r="O793" i="11"/>
  <c r="Q791" i="11"/>
  <c r="DY791" i="11"/>
  <c r="H791" i="11" s="1"/>
  <c r="I791" i="11" s="1"/>
  <c r="DO795" i="11"/>
  <c r="DQ794" i="11"/>
  <c r="DS794" i="11"/>
  <c r="DR794" i="11"/>
  <c r="DX792" i="11"/>
  <c r="K792" i="11" s="1"/>
  <c r="DW792" i="11"/>
  <c r="J792" i="11" s="1"/>
  <c r="G792" i="11"/>
  <c r="O794" i="11" l="1"/>
  <c r="DO796" i="11"/>
  <c r="DS795" i="11"/>
  <c r="DR795" i="11"/>
  <c r="DQ795" i="11"/>
  <c r="Q792" i="11"/>
  <c r="R792" i="11"/>
  <c r="DY792" i="11"/>
  <c r="H792" i="11" s="1"/>
  <c r="I792" i="11" s="1"/>
  <c r="DW793" i="11"/>
  <c r="J793" i="11" s="1"/>
  <c r="DX793" i="11"/>
  <c r="K793" i="11" s="1"/>
  <c r="G793" i="11"/>
  <c r="R793" i="11" l="1"/>
  <c r="O795" i="11"/>
  <c r="Q793" i="11"/>
  <c r="DO797" i="11"/>
  <c r="DS796" i="11"/>
  <c r="DR796" i="11"/>
  <c r="DQ796" i="11"/>
  <c r="DY793" i="11"/>
  <c r="H793" i="11" s="1"/>
  <c r="I793" i="11" s="1"/>
  <c r="DX794" i="11"/>
  <c r="K794" i="11" s="1"/>
  <c r="DW794" i="11"/>
  <c r="J794" i="11" s="1"/>
  <c r="G794" i="11"/>
  <c r="DR797" i="11" l="1"/>
  <c r="DS797" i="11"/>
  <c r="DO798" i="11"/>
  <c r="DQ797" i="11"/>
  <c r="O796" i="11"/>
  <c r="Q794" i="11"/>
  <c r="DY794" i="11"/>
  <c r="H794" i="11" s="1"/>
  <c r="I794" i="11" s="1"/>
  <c r="R794" i="11"/>
  <c r="DX795" i="11"/>
  <c r="K795" i="11" s="1"/>
  <c r="DW795" i="11"/>
  <c r="J795" i="11" s="1"/>
  <c r="G795" i="11"/>
  <c r="Q795" i="11" l="1"/>
  <c r="DW796" i="11"/>
  <c r="J796" i="11" s="1"/>
  <c r="DX796" i="11"/>
  <c r="K796" i="11" s="1"/>
  <c r="G796" i="11"/>
  <c r="DY795" i="11"/>
  <c r="H795" i="11" s="1"/>
  <c r="I795" i="11" s="1"/>
  <c r="DS798" i="11"/>
  <c r="DR798" i="11"/>
  <c r="DQ798" i="11"/>
  <c r="DO799" i="11"/>
  <c r="R795" i="11"/>
  <c r="O797" i="11"/>
  <c r="O798" i="11" l="1"/>
  <c r="DX797" i="11"/>
  <c r="K797" i="11" s="1"/>
  <c r="DW797" i="11"/>
  <c r="J797" i="11" s="1"/>
  <c r="G797" i="11"/>
  <c r="DY796" i="11"/>
  <c r="H796" i="11" s="1"/>
  <c r="I796" i="11" s="1"/>
  <c r="R796" i="11"/>
  <c r="DR799" i="11"/>
  <c r="DS799" i="11"/>
  <c r="DO800" i="11"/>
  <c r="DQ799" i="11"/>
  <c r="Q796" i="11"/>
  <c r="Q797" i="11" l="1"/>
  <c r="DY797" i="11"/>
  <c r="H797" i="11" s="1"/>
  <c r="I797" i="11" s="1"/>
  <c r="DO801" i="11"/>
  <c r="DS800" i="11"/>
  <c r="DR800" i="11"/>
  <c r="DQ800" i="11"/>
  <c r="R797" i="11"/>
  <c r="O799" i="11"/>
  <c r="DW798" i="11"/>
  <c r="J798" i="11" s="1"/>
  <c r="DX798" i="11"/>
  <c r="K798" i="11" s="1"/>
  <c r="DY798" i="11"/>
  <c r="H798" i="11" s="1"/>
  <c r="I798" i="11" s="1"/>
  <c r="G798" i="11"/>
  <c r="R798" i="11" l="1"/>
  <c r="O800" i="11"/>
  <c r="DS801" i="11"/>
  <c r="DR801" i="11"/>
  <c r="DQ801" i="11"/>
  <c r="DO802" i="11"/>
  <c r="DW799" i="11"/>
  <c r="J799" i="11" s="1"/>
  <c r="Q799" i="11" s="1"/>
  <c r="DX799" i="11"/>
  <c r="K799" i="11" s="1"/>
  <c r="G799" i="11"/>
  <c r="Q798" i="11"/>
  <c r="R799" i="11" l="1"/>
  <c r="DY799" i="11"/>
  <c r="H799" i="11" s="1"/>
  <c r="I799" i="11" s="1"/>
  <c r="DR802" i="11"/>
  <c r="DO803" i="11"/>
  <c r="DS802" i="11"/>
  <c r="DQ802" i="11"/>
  <c r="O801" i="11"/>
  <c r="DW800" i="11"/>
  <c r="J800" i="11" s="1"/>
  <c r="DX800" i="11"/>
  <c r="K800" i="11" s="1"/>
  <c r="G800" i="11"/>
  <c r="Q800" i="11" l="1"/>
  <c r="DW801" i="11"/>
  <c r="J801" i="11" s="1"/>
  <c r="DX801" i="11"/>
  <c r="K801" i="11" s="1"/>
  <c r="G801" i="11"/>
  <c r="DQ803" i="11"/>
  <c r="DS803" i="11"/>
  <c r="DR803" i="11"/>
  <c r="DO804" i="11"/>
  <c r="R800" i="11"/>
  <c r="O802" i="11"/>
  <c r="DY800" i="11"/>
  <c r="H800" i="11" s="1"/>
  <c r="I800" i="11" s="1"/>
  <c r="R801" i="11" l="1"/>
  <c r="DO805" i="11"/>
  <c r="DS804" i="11"/>
  <c r="DR804" i="11"/>
  <c r="DQ804" i="11"/>
  <c r="DW802" i="11"/>
  <c r="J802" i="11" s="1"/>
  <c r="DX802" i="11"/>
  <c r="K802" i="11" s="1"/>
  <c r="G802" i="11"/>
  <c r="DY801" i="11"/>
  <c r="H801" i="11" s="1"/>
  <c r="I801" i="11" s="1"/>
  <c r="O803" i="11"/>
  <c r="Q801" i="11"/>
  <c r="R802" i="11" l="1"/>
  <c r="Q802" i="11"/>
  <c r="DY802" i="11"/>
  <c r="H802" i="11" s="1"/>
  <c r="I802" i="11" s="1"/>
  <c r="O804" i="11"/>
  <c r="DW803" i="11"/>
  <c r="J803" i="11" s="1"/>
  <c r="DX803" i="11"/>
  <c r="K803" i="11" s="1"/>
  <c r="G803" i="11"/>
  <c r="DQ805" i="11"/>
  <c r="DO806" i="11"/>
  <c r="DR805" i="11"/>
  <c r="DS805" i="11"/>
  <c r="R803" i="11" l="1"/>
  <c r="DY803" i="11"/>
  <c r="H803" i="11" s="1"/>
  <c r="I803" i="11" s="1"/>
  <c r="Q803" i="11"/>
  <c r="O805" i="11"/>
  <c r="DW804" i="11"/>
  <c r="J804" i="11" s="1"/>
  <c r="DX804" i="11"/>
  <c r="K804" i="11" s="1"/>
  <c r="G804" i="11"/>
  <c r="DS806" i="11"/>
  <c r="DR806" i="11"/>
  <c r="DQ806" i="11"/>
  <c r="DO807" i="11"/>
  <c r="R804" i="11" l="1"/>
  <c r="Q804" i="11"/>
  <c r="DW805" i="11"/>
  <c r="J805" i="11" s="1"/>
  <c r="DX805" i="11"/>
  <c r="K805" i="11" s="1"/>
  <c r="G805" i="11"/>
  <c r="DY804" i="11"/>
  <c r="H804" i="11" s="1"/>
  <c r="I804" i="11" s="1"/>
  <c r="DS807" i="11"/>
  <c r="DR807" i="11"/>
  <c r="DO808" i="11"/>
  <c r="DQ807" i="11"/>
  <c r="O806" i="11"/>
  <c r="DY805" i="11" l="1"/>
  <c r="H805" i="11" s="1"/>
  <c r="I805" i="11" s="1"/>
  <c r="R805" i="11"/>
  <c r="Q805" i="11"/>
  <c r="O807" i="11"/>
  <c r="DX806" i="11"/>
  <c r="K806" i="11" s="1"/>
  <c r="DW806" i="11"/>
  <c r="J806" i="11" s="1"/>
  <c r="Q806" i="11" s="1"/>
  <c r="G806" i="11"/>
  <c r="DO809" i="11"/>
  <c r="DS808" i="11"/>
  <c r="DR808" i="11"/>
  <c r="DQ808" i="11"/>
  <c r="R806" i="11" l="1"/>
  <c r="DY806" i="11"/>
  <c r="H806" i="11" s="1"/>
  <c r="I806" i="11" s="1"/>
  <c r="O808" i="11"/>
  <c r="DW807" i="11"/>
  <c r="J807" i="11" s="1"/>
  <c r="DX807" i="11"/>
  <c r="K807" i="11" s="1"/>
  <c r="G807" i="11"/>
  <c r="DS809" i="11"/>
  <c r="DR809" i="11"/>
  <c r="DQ809" i="11"/>
  <c r="DO810" i="11"/>
  <c r="R807" i="11" l="1"/>
  <c r="DY807" i="11"/>
  <c r="H807" i="11" s="1"/>
  <c r="I807" i="11" s="1"/>
  <c r="Q807" i="11"/>
  <c r="DS810" i="11"/>
  <c r="DQ810" i="11"/>
  <c r="DR810" i="11"/>
  <c r="DO811" i="11"/>
  <c r="DW808" i="11"/>
  <c r="J808" i="11" s="1"/>
  <c r="Q808" i="11" s="1"/>
  <c r="DX808" i="11"/>
  <c r="K808" i="11" s="1"/>
  <c r="G808" i="11"/>
  <c r="O809" i="11"/>
  <c r="R808" i="11" l="1"/>
  <c r="DS811" i="11"/>
  <c r="DR811" i="11"/>
  <c r="DO812" i="11"/>
  <c r="DQ811" i="11"/>
  <c r="O810" i="11"/>
  <c r="DW809" i="11"/>
  <c r="J809" i="11" s="1"/>
  <c r="DX809" i="11"/>
  <c r="K809" i="11" s="1"/>
  <c r="G809" i="11"/>
  <c r="DY808" i="11"/>
  <c r="H808" i="11" s="1"/>
  <c r="I808" i="11" s="1"/>
  <c r="Q809" i="11" l="1"/>
  <c r="R809" i="11"/>
  <c r="DX810" i="11"/>
  <c r="K810" i="11" s="1"/>
  <c r="DW810" i="11"/>
  <c r="J810" i="11" s="1"/>
  <c r="G810" i="11"/>
  <c r="DR812" i="11"/>
  <c r="DO813" i="11"/>
  <c r="DS812" i="11"/>
  <c r="DQ812" i="11"/>
  <c r="O811" i="11"/>
  <c r="DY809" i="11"/>
  <c r="H809" i="11" s="1"/>
  <c r="I809" i="11" s="1"/>
  <c r="Q810" i="11" l="1"/>
  <c r="DS813" i="11"/>
  <c r="DR813" i="11"/>
  <c r="DQ813" i="11"/>
  <c r="DO814" i="11"/>
  <c r="O812" i="11"/>
  <c r="R810" i="11"/>
  <c r="DW811" i="11"/>
  <c r="J811" i="11" s="1"/>
  <c r="DX811" i="11"/>
  <c r="K811" i="11" s="1"/>
  <c r="G811" i="11"/>
  <c r="DY810" i="11"/>
  <c r="H810" i="11" s="1"/>
  <c r="I810" i="11" s="1"/>
  <c r="Q811" i="11" l="1"/>
  <c r="DW812" i="11"/>
  <c r="J812" i="11" s="1"/>
  <c r="DX812" i="11"/>
  <c r="K812" i="11" s="1"/>
  <c r="G812" i="11"/>
  <c r="DS814" i="11"/>
  <c r="DR814" i="11"/>
  <c r="DO815" i="11"/>
  <c r="DQ814" i="11"/>
  <c r="R811" i="11"/>
  <c r="O813" i="11"/>
  <c r="DY811" i="11"/>
  <c r="H811" i="11" s="1"/>
  <c r="I811" i="11" s="1"/>
  <c r="DY812" i="11" l="1"/>
  <c r="H812" i="11" s="1"/>
  <c r="I812" i="11" s="1"/>
  <c r="O814" i="11"/>
  <c r="DS815" i="11"/>
  <c r="DR815" i="11"/>
  <c r="DQ815" i="11"/>
  <c r="DO816" i="11"/>
  <c r="DX813" i="11"/>
  <c r="K813" i="11" s="1"/>
  <c r="R813" i="11" s="1"/>
  <c r="DW813" i="11"/>
  <c r="J813" i="11" s="1"/>
  <c r="G813" i="11"/>
  <c r="R812" i="11"/>
  <c r="Q812" i="11"/>
  <c r="DY813" i="11" l="1"/>
  <c r="H813" i="11" s="1"/>
  <c r="I813" i="11" s="1"/>
  <c r="DS816" i="11"/>
  <c r="DR816" i="11"/>
  <c r="DQ816" i="11"/>
  <c r="DO817" i="11"/>
  <c r="O815" i="11"/>
  <c r="Q813" i="11"/>
  <c r="DW814" i="11"/>
  <c r="J814" i="11" s="1"/>
  <c r="DX814" i="11"/>
  <c r="K814" i="11" s="1"/>
  <c r="G814" i="11"/>
  <c r="Q814" i="11" l="1"/>
  <c r="DX815" i="11"/>
  <c r="K815" i="11" s="1"/>
  <c r="DW815" i="11"/>
  <c r="J815" i="11" s="1"/>
  <c r="G815" i="11"/>
  <c r="DS817" i="11"/>
  <c r="DO818" i="11"/>
  <c r="DQ817" i="11"/>
  <c r="DR817" i="11"/>
  <c r="DY814" i="11"/>
  <c r="H814" i="11" s="1"/>
  <c r="I814" i="11" s="1"/>
  <c r="O816" i="11"/>
  <c r="R814" i="11"/>
  <c r="Q815" i="11" l="1"/>
  <c r="O817" i="11"/>
  <c r="DR818" i="11"/>
  <c r="DO819" i="11"/>
  <c r="DQ818" i="11"/>
  <c r="DS818" i="11"/>
  <c r="DY815" i="11"/>
  <c r="H815" i="11" s="1"/>
  <c r="I815" i="11" s="1"/>
  <c r="DX816" i="11"/>
  <c r="K816" i="11" s="1"/>
  <c r="DW816" i="11"/>
  <c r="J816" i="11" s="1"/>
  <c r="G816" i="11"/>
  <c r="R815" i="11"/>
  <c r="Q816" i="11" l="1"/>
  <c r="R816" i="11"/>
  <c r="DQ819" i="11"/>
  <c r="DO820" i="11"/>
  <c r="DS819" i="11"/>
  <c r="DR819" i="11"/>
  <c r="O818" i="11"/>
  <c r="DY816" i="11"/>
  <c r="H816" i="11" s="1"/>
  <c r="I816" i="11" s="1"/>
  <c r="DW817" i="11"/>
  <c r="J817" i="11" s="1"/>
  <c r="DX817" i="11"/>
  <c r="K817" i="11" s="1"/>
  <c r="G817" i="11"/>
  <c r="Q817" i="11" l="1"/>
  <c r="DW818" i="11"/>
  <c r="J818" i="11" s="1"/>
  <c r="DX818" i="11"/>
  <c r="K818" i="11" s="1"/>
  <c r="G818" i="11"/>
  <c r="O819" i="11"/>
  <c r="DY817" i="11"/>
  <c r="H817" i="11" s="1"/>
  <c r="I817" i="11" s="1"/>
  <c r="DS820" i="11"/>
  <c r="DR820" i="11"/>
  <c r="DQ820" i="11"/>
  <c r="DO821" i="11"/>
  <c r="R817" i="11"/>
  <c r="DW819" i="11" l="1"/>
  <c r="J819" i="11" s="1"/>
  <c r="DX819" i="11"/>
  <c r="K819" i="11" s="1"/>
  <c r="G819" i="11"/>
  <c r="DS821" i="11"/>
  <c r="DR821" i="11"/>
  <c r="DO822" i="11"/>
  <c r="DQ821" i="11"/>
  <c r="R818" i="11"/>
  <c r="Q818" i="11"/>
  <c r="O820" i="11"/>
  <c r="DY818" i="11"/>
  <c r="H818" i="11" s="1"/>
  <c r="I818" i="11" s="1"/>
  <c r="R819" i="11" l="1"/>
  <c r="O821" i="11"/>
  <c r="Q819" i="11"/>
  <c r="DO823" i="11"/>
  <c r="DS822" i="11"/>
  <c r="DQ822" i="11"/>
  <c r="DR822" i="11"/>
  <c r="DW820" i="11"/>
  <c r="J820" i="11" s="1"/>
  <c r="DX820" i="11"/>
  <c r="K820" i="11" s="1"/>
  <c r="G820" i="11"/>
  <c r="DY819" i="11"/>
  <c r="H819" i="11" s="1"/>
  <c r="I819" i="11" s="1"/>
  <c r="R820" i="11" l="1"/>
  <c r="DY820" i="11"/>
  <c r="H820" i="11" s="1"/>
  <c r="I820" i="11" s="1"/>
  <c r="O822" i="11"/>
  <c r="DS823" i="11"/>
  <c r="DR823" i="11"/>
  <c r="DQ823" i="11"/>
  <c r="DO824" i="11"/>
  <c r="Q820" i="11"/>
  <c r="DX821" i="11"/>
  <c r="K821" i="11" s="1"/>
  <c r="DW821" i="11"/>
  <c r="J821" i="11" s="1"/>
  <c r="G821" i="11"/>
  <c r="O823" i="11" l="1"/>
  <c r="Q821" i="11"/>
  <c r="DY821" i="11"/>
  <c r="H821" i="11" s="1"/>
  <c r="I821" i="11" s="1"/>
  <c r="DW822" i="11"/>
  <c r="J822" i="11" s="1"/>
  <c r="DX822" i="11"/>
  <c r="K822" i="11" s="1"/>
  <c r="G822" i="11"/>
  <c r="DO825" i="11"/>
  <c r="DR824" i="11"/>
  <c r="DQ824" i="11"/>
  <c r="DS824" i="11"/>
  <c r="R821" i="11"/>
  <c r="R822" i="11" l="1"/>
  <c r="Q822" i="11"/>
  <c r="DY822" i="11"/>
  <c r="H822" i="11" s="1"/>
  <c r="I822" i="11" s="1"/>
  <c r="O824" i="11"/>
  <c r="DQ825" i="11"/>
  <c r="DR825" i="11"/>
  <c r="DO826" i="11"/>
  <c r="DS825" i="11"/>
  <c r="DX823" i="11"/>
  <c r="K823" i="11" s="1"/>
  <c r="DW823" i="11"/>
  <c r="J823" i="11" s="1"/>
  <c r="G823" i="11"/>
  <c r="Q823" i="11" l="1"/>
  <c r="R823" i="11"/>
  <c r="O825" i="11"/>
  <c r="DW824" i="11"/>
  <c r="J824" i="11" s="1"/>
  <c r="DX824" i="11"/>
  <c r="K824" i="11" s="1"/>
  <c r="G824" i="11"/>
  <c r="DS826" i="11"/>
  <c r="DR826" i="11"/>
  <c r="DQ826" i="11"/>
  <c r="DO827" i="11"/>
  <c r="DY823" i="11"/>
  <c r="H823" i="11" s="1"/>
  <c r="I823" i="11" s="1"/>
  <c r="DY824" i="11" l="1"/>
  <c r="H824" i="11" s="1"/>
  <c r="I824" i="11" s="1"/>
  <c r="R824" i="11"/>
  <c r="O826" i="11"/>
  <c r="Q824" i="11"/>
  <c r="DQ827" i="11"/>
  <c r="DR827" i="11"/>
  <c r="DO828" i="11"/>
  <c r="DS827" i="11"/>
  <c r="DX825" i="11"/>
  <c r="K825" i="11" s="1"/>
  <c r="DW825" i="11"/>
  <c r="J825" i="11" s="1"/>
  <c r="G825" i="11"/>
  <c r="Q825" i="11" l="1"/>
  <c r="O827" i="11"/>
  <c r="R825" i="11"/>
  <c r="DX826" i="11"/>
  <c r="K826" i="11" s="1"/>
  <c r="DW826" i="11"/>
  <c r="J826" i="11" s="1"/>
  <c r="G826" i="11"/>
  <c r="DY825" i="11"/>
  <c r="H825" i="11" s="1"/>
  <c r="I825" i="11" s="1"/>
  <c r="DR828" i="11"/>
  <c r="DS828" i="11"/>
  <c r="DQ828" i="11"/>
  <c r="DO829" i="11"/>
  <c r="Q826" i="11" l="1"/>
  <c r="DY826" i="11"/>
  <c r="H826" i="11" s="1"/>
  <c r="I826" i="11" s="1"/>
  <c r="R826" i="11"/>
  <c r="DS829" i="11"/>
  <c r="DR829" i="11"/>
  <c r="DQ829" i="11"/>
  <c r="DO830" i="11"/>
  <c r="O828" i="11"/>
  <c r="DW827" i="11"/>
  <c r="J827" i="11" s="1"/>
  <c r="DX827" i="11"/>
  <c r="K827" i="11" s="1"/>
  <c r="G827" i="11"/>
  <c r="R827" i="11" l="1"/>
  <c r="DW828" i="11"/>
  <c r="J828" i="11" s="1"/>
  <c r="DX828" i="11"/>
  <c r="K828" i="11" s="1"/>
  <c r="G828" i="11"/>
  <c r="O829" i="11"/>
  <c r="DS830" i="11"/>
  <c r="DR830" i="11"/>
  <c r="DQ830" i="11"/>
  <c r="DO831" i="11"/>
  <c r="DY827" i="11"/>
  <c r="H827" i="11" s="1"/>
  <c r="I827" i="11" s="1"/>
  <c r="Q827" i="11"/>
  <c r="R828" i="11" l="1"/>
  <c r="DX829" i="11"/>
  <c r="K829" i="11" s="1"/>
  <c r="DW829" i="11"/>
  <c r="J829" i="11" s="1"/>
  <c r="G829" i="11"/>
  <c r="O830" i="11"/>
  <c r="DY828" i="11"/>
  <c r="H828" i="11" s="1"/>
  <c r="I828" i="11" s="1"/>
  <c r="DS831" i="11"/>
  <c r="DR831" i="11"/>
  <c r="DQ831" i="11"/>
  <c r="DO832" i="11"/>
  <c r="Q828" i="11"/>
  <c r="Q829" i="11" l="1"/>
  <c r="DW830" i="11"/>
  <c r="J830" i="11" s="1"/>
  <c r="DX830" i="11"/>
  <c r="K830" i="11" s="1"/>
  <c r="G830" i="11"/>
  <c r="DY829" i="11"/>
  <c r="H829" i="11" s="1"/>
  <c r="I829" i="11" s="1"/>
  <c r="DS832" i="11"/>
  <c r="DR832" i="11"/>
  <c r="DQ832" i="11"/>
  <c r="DO833" i="11"/>
  <c r="O831" i="11"/>
  <c r="R829" i="11"/>
  <c r="O832" i="11" l="1"/>
  <c r="DY830" i="11"/>
  <c r="H830" i="11" s="1"/>
  <c r="I830" i="11" s="1"/>
  <c r="R830" i="11"/>
  <c r="DW831" i="11"/>
  <c r="J831" i="11" s="1"/>
  <c r="DX831" i="11"/>
  <c r="K831" i="11" s="1"/>
  <c r="G831" i="11"/>
  <c r="DO834" i="11"/>
  <c r="DS833" i="11"/>
  <c r="DR833" i="11"/>
  <c r="DQ833" i="11"/>
  <c r="Q830" i="11"/>
  <c r="R831" i="11" l="1"/>
  <c r="Q831" i="11"/>
  <c r="DY831" i="11"/>
  <c r="H831" i="11" s="1"/>
  <c r="I831" i="11" s="1"/>
  <c r="O833" i="11"/>
  <c r="DS834" i="11"/>
  <c r="DR834" i="11"/>
  <c r="DQ834" i="11"/>
  <c r="DO835" i="11"/>
  <c r="DW832" i="11"/>
  <c r="J832" i="11" s="1"/>
  <c r="DX832" i="11"/>
  <c r="K832" i="11" s="1"/>
  <c r="G832" i="11"/>
  <c r="Q832" i="11" l="1"/>
  <c r="DS835" i="11"/>
  <c r="DQ835" i="11"/>
  <c r="DR835" i="11"/>
  <c r="DO836" i="11"/>
  <c r="O834" i="11"/>
  <c r="DY832" i="11"/>
  <c r="H832" i="11" s="1"/>
  <c r="I832" i="11" s="1"/>
  <c r="DW833" i="11"/>
  <c r="J833" i="11" s="1"/>
  <c r="DX833" i="11"/>
  <c r="K833" i="11" s="1"/>
  <c r="G833" i="11"/>
  <c r="R832" i="11"/>
  <c r="R833" i="11" l="1"/>
  <c r="Q833" i="11"/>
  <c r="DW834" i="11"/>
  <c r="J834" i="11" s="1"/>
  <c r="DX834" i="11"/>
  <c r="K834" i="11" s="1"/>
  <c r="G834" i="11"/>
  <c r="DS836" i="11"/>
  <c r="DQ836" i="11"/>
  <c r="DO837" i="11"/>
  <c r="DR836" i="11"/>
  <c r="O835" i="11"/>
  <c r="DY833" i="11"/>
  <c r="H833" i="11" s="1"/>
  <c r="I833" i="11" s="1"/>
  <c r="O836" i="11" l="1"/>
  <c r="DY834" i="11"/>
  <c r="H834" i="11" s="1"/>
  <c r="I834" i="11" s="1"/>
  <c r="R834" i="11"/>
  <c r="DS837" i="11"/>
  <c r="DQ837" i="11"/>
  <c r="DR837" i="11"/>
  <c r="DO838" i="11"/>
  <c r="DW835" i="11"/>
  <c r="J835" i="11" s="1"/>
  <c r="DX835" i="11"/>
  <c r="K835" i="11" s="1"/>
  <c r="G835" i="11"/>
  <c r="Q834" i="11"/>
  <c r="Q835" i="11" l="1"/>
  <c r="R835" i="11"/>
  <c r="O837" i="11"/>
  <c r="DR838" i="11"/>
  <c r="DO839" i="11"/>
  <c r="DS838" i="11"/>
  <c r="DQ838" i="11"/>
  <c r="DY835" i="11"/>
  <c r="H835" i="11" s="1"/>
  <c r="I835" i="11" s="1"/>
  <c r="DX836" i="11"/>
  <c r="K836" i="11" s="1"/>
  <c r="DW836" i="11"/>
  <c r="J836" i="11" s="1"/>
  <c r="G836" i="11"/>
  <c r="DO840" i="11" l="1"/>
  <c r="DS839" i="11"/>
  <c r="DR839" i="11"/>
  <c r="DQ839" i="11"/>
  <c r="Q836" i="11"/>
  <c r="O838" i="11"/>
  <c r="R836" i="11"/>
  <c r="DY836" i="11"/>
  <c r="H836" i="11" s="1"/>
  <c r="I836" i="11" s="1"/>
  <c r="DX837" i="11"/>
  <c r="K837" i="11" s="1"/>
  <c r="DW837" i="11"/>
  <c r="J837" i="11" s="1"/>
  <c r="G837" i="11"/>
  <c r="R837" i="11" l="1"/>
  <c r="Q837" i="11"/>
  <c r="DY837" i="11"/>
  <c r="H837" i="11" s="1"/>
  <c r="I837" i="11" s="1"/>
  <c r="O839" i="11"/>
  <c r="DX838" i="11"/>
  <c r="K838" i="11" s="1"/>
  <c r="DW838" i="11"/>
  <c r="J838" i="11" s="1"/>
  <c r="G838" i="11"/>
  <c r="DO841" i="11"/>
  <c r="DS840" i="11"/>
  <c r="DR840" i="11"/>
  <c r="DQ840" i="11"/>
  <c r="Q838" i="11" l="1"/>
  <c r="R838" i="11"/>
  <c r="O840" i="11"/>
  <c r="DW839" i="11"/>
  <c r="J839" i="11" s="1"/>
  <c r="DX839" i="11"/>
  <c r="K839" i="11" s="1"/>
  <c r="G839" i="11"/>
  <c r="DY838" i="11"/>
  <c r="H838" i="11" s="1"/>
  <c r="I838" i="11" s="1"/>
  <c r="DS841" i="11"/>
  <c r="DQ841" i="11"/>
  <c r="DO842" i="11"/>
  <c r="DR841" i="11"/>
  <c r="R839" i="11" l="1"/>
  <c r="Q839" i="11"/>
  <c r="O841" i="11"/>
  <c r="DY839" i="11"/>
  <c r="H839" i="11" s="1"/>
  <c r="I839" i="11" s="1"/>
  <c r="DO843" i="11"/>
  <c r="DR842" i="11"/>
  <c r="DS842" i="11"/>
  <c r="DQ842" i="11"/>
  <c r="DW840" i="11"/>
  <c r="J840" i="11" s="1"/>
  <c r="DX840" i="11"/>
  <c r="K840" i="11" s="1"/>
  <c r="G840" i="11"/>
  <c r="R840" i="11" l="1"/>
  <c r="O842" i="11"/>
  <c r="DR843" i="11"/>
  <c r="DO844" i="11"/>
  <c r="DS843" i="11"/>
  <c r="DQ843" i="11"/>
  <c r="DY840" i="11"/>
  <c r="H840" i="11" s="1"/>
  <c r="I840" i="11" s="1"/>
  <c r="DX841" i="11"/>
  <c r="K841" i="11" s="1"/>
  <c r="DW841" i="11"/>
  <c r="J841" i="11" s="1"/>
  <c r="G841" i="11"/>
  <c r="Q840" i="11"/>
  <c r="Q841" i="11" l="1"/>
  <c r="R841" i="11"/>
  <c r="DY841" i="11"/>
  <c r="H841" i="11" s="1"/>
  <c r="I841" i="11" s="1"/>
  <c r="DW842" i="11"/>
  <c r="J842" i="11" s="1"/>
  <c r="DX842" i="11"/>
  <c r="K842" i="11" s="1"/>
  <c r="G842" i="11"/>
  <c r="DS844" i="11"/>
  <c r="DQ844" i="11"/>
  <c r="DR844" i="11"/>
  <c r="DO845" i="11"/>
  <c r="O843" i="11"/>
  <c r="Q842" i="11" l="1"/>
  <c r="DX843" i="11"/>
  <c r="K843" i="11" s="1"/>
  <c r="DW843" i="11"/>
  <c r="J843" i="11" s="1"/>
  <c r="G843" i="11"/>
  <c r="DY842" i="11"/>
  <c r="H842" i="11" s="1"/>
  <c r="I842" i="11" s="1"/>
  <c r="DS845" i="11"/>
  <c r="DQ845" i="11"/>
  <c r="DR845" i="11"/>
  <c r="DO846" i="11"/>
  <c r="O844" i="11"/>
  <c r="R842" i="11"/>
  <c r="R843" i="11" l="1"/>
  <c r="DO847" i="11"/>
  <c r="DS846" i="11"/>
  <c r="DR846" i="11"/>
  <c r="DQ846" i="11"/>
  <c r="O845" i="11"/>
  <c r="Q843" i="11"/>
  <c r="DX844" i="11"/>
  <c r="K844" i="11" s="1"/>
  <c r="DW844" i="11"/>
  <c r="J844" i="11" s="1"/>
  <c r="G844" i="11"/>
  <c r="DY843" i="11"/>
  <c r="H843" i="11" s="1"/>
  <c r="I843" i="11" s="1"/>
  <c r="Q844" i="11" l="1"/>
  <c r="R844" i="11"/>
  <c r="DW845" i="11"/>
  <c r="J845" i="11" s="1"/>
  <c r="DX845" i="11"/>
  <c r="K845" i="11" s="1"/>
  <c r="G845" i="11"/>
  <c r="O846" i="11"/>
  <c r="DY844" i="11"/>
  <c r="H844" i="11" s="1"/>
  <c r="I844" i="11" s="1"/>
  <c r="DQ847" i="11"/>
  <c r="DO848" i="11"/>
  <c r="DR847" i="11"/>
  <c r="DS847" i="11"/>
  <c r="R845" i="11" l="1"/>
  <c r="DW846" i="11"/>
  <c r="J846" i="11" s="1"/>
  <c r="DX846" i="11"/>
  <c r="K846" i="11" s="1"/>
  <c r="G846" i="11"/>
  <c r="Q845" i="11"/>
  <c r="O847" i="11"/>
  <c r="DR848" i="11"/>
  <c r="DO849" i="11"/>
  <c r="DS848" i="11"/>
  <c r="DQ848" i="11"/>
  <c r="DY845" i="11"/>
  <c r="H845" i="11" s="1"/>
  <c r="I845" i="11" s="1"/>
  <c r="Q846" i="11" l="1"/>
  <c r="DS849" i="11"/>
  <c r="DO850" i="11"/>
  <c r="DQ849" i="11"/>
  <c r="DR849" i="11"/>
  <c r="O848" i="11"/>
  <c r="DW847" i="11"/>
  <c r="J847" i="11" s="1"/>
  <c r="Q847" i="11" s="1"/>
  <c r="DX847" i="11"/>
  <c r="K847" i="11" s="1"/>
  <c r="G847" i="11"/>
  <c r="DY846" i="11"/>
  <c r="H846" i="11" s="1"/>
  <c r="I846" i="11" s="1"/>
  <c r="R846" i="11"/>
  <c r="R847" i="11" l="1"/>
  <c r="DW848" i="11"/>
  <c r="J848" i="11" s="1"/>
  <c r="DX848" i="11"/>
  <c r="K848" i="11" s="1"/>
  <c r="G848" i="11"/>
  <c r="O849" i="11"/>
  <c r="DY847" i="11"/>
  <c r="H847" i="11" s="1"/>
  <c r="I847" i="11" s="1"/>
  <c r="DO851" i="11"/>
  <c r="DS850" i="11"/>
  <c r="DR850" i="11"/>
  <c r="DQ850" i="11"/>
  <c r="Q848" i="11" l="1"/>
  <c r="DX849" i="11"/>
  <c r="K849" i="11" s="1"/>
  <c r="DW849" i="11"/>
  <c r="J849" i="11" s="1"/>
  <c r="G849" i="11"/>
  <c r="DQ851" i="11"/>
  <c r="DS851" i="11"/>
  <c r="DR851" i="11"/>
  <c r="DO852" i="11"/>
  <c r="O850" i="11"/>
  <c r="R848" i="11"/>
  <c r="DY848" i="11"/>
  <c r="H848" i="11" s="1"/>
  <c r="I848" i="11" s="1"/>
  <c r="R849" i="11" l="1"/>
  <c r="DS852" i="11"/>
  <c r="DR852" i="11"/>
  <c r="DQ852" i="11"/>
  <c r="DO853" i="11"/>
  <c r="DX850" i="11"/>
  <c r="K850" i="11" s="1"/>
  <c r="DW850" i="11"/>
  <c r="J850" i="11" s="1"/>
  <c r="G850" i="11"/>
  <c r="DY849" i="11"/>
  <c r="H849" i="11" s="1"/>
  <c r="I849" i="11" s="1"/>
  <c r="O851" i="11"/>
  <c r="Q849" i="11"/>
  <c r="DY850" i="11" l="1"/>
  <c r="H850" i="11" s="1"/>
  <c r="I850" i="11" s="1"/>
  <c r="R850" i="11"/>
  <c r="DO854" i="11"/>
  <c r="DS853" i="11"/>
  <c r="DQ853" i="11"/>
  <c r="DR853" i="11"/>
  <c r="Q850" i="11"/>
  <c r="DW851" i="11"/>
  <c r="J851" i="11" s="1"/>
  <c r="Q851" i="11" s="1"/>
  <c r="DX851" i="11"/>
  <c r="K851" i="11" s="1"/>
  <c r="G851" i="11"/>
  <c r="O852" i="11"/>
  <c r="R851" i="11" l="1"/>
  <c r="O853" i="11"/>
  <c r="DW852" i="11"/>
  <c r="J852" i="11" s="1"/>
  <c r="DX852" i="11"/>
  <c r="K852" i="11" s="1"/>
  <c r="G852" i="11"/>
  <c r="DY851" i="11"/>
  <c r="H851" i="11" s="1"/>
  <c r="I851" i="11" s="1"/>
  <c r="DO855" i="11"/>
  <c r="DS854" i="11"/>
  <c r="DR854" i="11"/>
  <c r="DQ854" i="11"/>
  <c r="Q852" i="11" l="1"/>
  <c r="DQ855" i="11"/>
  <c r="DO856" i="11"/>
  <c r="DS855" i="11"/>
  <c r="DR855" i="11"/>
  <c r="R852" i="11"/>
  <c r="DY852" i="11"/>
  <c r="H852" i="11" s="1"/>
  <c r="I852" i="11" s="1"/>
  <c r="O854" i="11"/>
  <c r="DX853" i="11"/>
  <c r="K853" i="11" s="1"/>
  <c r="DW853" i="11"/>
  <c r="J853" i="11" s="1"/>
  <c r="G853" i="11"/>
  <c r="R853" i="11" l="1"/>
  <c r="DW854" i="11"/>
  <c r="J854" i="11" s="1"/>
  <c r="DX854" i="11"/>
  <c r="K854" i="11" s="1"/>
  <c r="G854" i="11"/>
  <c r="O855" i="11"/>
  <c r="DY853" i="11"/>
  <c r="H853" i="11" s="1"/>
  <c r="I853" i="11" s="1"/>
  <c r="Q853" i="11"/>
  <c r="DQ856" i="11"/>
  <c r="DO857" i="11"/>
  <c r="DS856" i="11"/>
  <c r="DR856" i="11"/>
  <c r="Q854" i="11" l="1"/>
  <c r="DW855" i="11"/>
  <c r="J855" i="11" s="1"/>
  <c r="DX855" i="11"/>
  <c r="K855" i="11" s="1"/>
  <c r="G855" i="11"/>
  <c r="O856" i="11"/>
  <c r="DY854" i="11"/>
  <c r="H854" i="11" s="1"/>
  <c r="I854" i="11" s="1"/>
  <c r="DS857" i="11"/>
  <c r="DQ857" i="11"/>
  <c r="DR857" i="11"/>
  <c r="DO858" i="11"/>
  <c r="R854" i="11"/>
  <c r="DW856" i="11" l="1"/>
  <c r="J856" i="11" s="1"/>
  <c r="DX856" i="11"/>
  <c r="K856" i="11" s="1"/>
  <c r="G856" i="11"/>
  <c r="DS858" i="11"/>
  <c r="DQ858" i="11"/>
  <c r="DO859" i="11"/>
  <c r="DR858" i="11"/>
  <c r="R855" i="11"/>
  <c r="Q855" i="11"/>
  <c r="O857" i="11"/>
  <c r="DY855" i="11"/>
  <c r="H855" i="11" s="1"/>
  <c r="I855" i="11" s="1"/>
  <c r="Q856" i="11" l="1"/>
  <c r="O858" i="11"/>
  <c r="DS859" i="11"/>
  <c r="DR859" i="11"/>
  <c r="DO860" i="11"/>
  <c r="DQ859" i="11"/>
  <c r="DX857" i="11"/>
  <c r="K857" i="11" s="1"/>
  <c r="DW857" i="11"/>
  <c r="J857" i="11" s="1"/>
  <c r="G857" i="11"/>
  <c r="DY856" i="11"/>
  <c r="H856" i="11" s="1"/>
  <c r="I856" i="11" s="1"/>
  <c r="R856" i="11"/>
  <c r="Q857" i="11" l="1"/>
  <c r="R857" i="11"/>
  <c r="DY857" i="11"/>
  <c r="H857" i="11" s="1"/>
  <c r="I857" i="11" s="1"/>
  <c r="DW858" i="11"/>
  <c r="J858" i="11" s="1"/>
  <c r="DX858" i="11"/>
  <c r="K858" i="11" s="1"/>
  <c r="G858" i="11"/>
  <c r="O859" i="11"/>
  <c r="DR860" i="11"/>
  <c r="DS860" i="11"/>
  <c r="DQ860" i="11"/>
  <c r="DO861" i="11"/>
  <c r="Q858" i="11" l="1"/>
  <c r="O860" i="11"/>
  <c r="DW859" i="11"/>
  <c r="J859" i="11" s="1"/>
  <c r="DX859" i="11"/>
  <c r="K859" i="11" s="1"/>
  <c r="G859" i="11"/>
  <c r="DY858" i="11"/>
  <c r="H858" i="11" s="1"/>
  <c r="I858" i="11" s="1"/>
  <c r="DS861" i="11"/>
  <c r="DQ861" i="11"/>
  <c r="DR861" i="11"/>
  <c r="R858" i="11"/>
  <c r="R859" i="11" l="1"/>
  <c r="DY859" i="11"/>
  <c r="H859" i="11" s="1"/>
  <c r="I859" i="11" s="1"/>
  <c r="Q859" i="11"/>
  <c r="O861" i="11"/>
  <c r="DW860" i="11"/>
  <c r="J860" i="11" s="1"/>
  <c r="DX860" i="11"/>
  <c r="K860" i="11" s="1"/>
  <c r="G860" i="11"/>
  <c r="R860" i="11" l="1"/>
  <c r="Q860" i="11"/>
  <c r="DW861" i="11"/>
  <c r="J861" i="11" s="1"/>
  <c r="DX861" i="11"/>
  <c r="K861" i="11" s="1"/>
  <c r="G861" i="11"/>
  <c r="DY860" i="11"/>
  <c r="H860" i="11" s="1"/>
  <c r="I860" i="11" s="1"/>
  <c r="DY861" i="11" l="1"/>
  <c r="H861" i="11" s="1"/>
  <c r="I861" i="11" s="1"/>
  <c r="R861" i="11"/>
  <c r="Q861" i="11"/>
  <c r="S725" i="11" l="1"/>
  <c r="U725" i="11" l="1"/>
  <c r="T725" i="11"/>
  <c r="S726" i="11"/>
  <c r="T726" i="11" l="1"/>
  <c r="S727" i="11"/>
  <c r="U726" i="11"/>
  <c r="U727" i="11" l="1"/>
  <c r="T727" i="11"/>
  <c r="S728" i="11"/>
  <c r="T728" i="11" l="1"/>
  <c r="S729" i="11"/>
  <c r="U728" i="11"/>
  <c r="U729" i="11" l="1"/>
  <c r="T729" i="11"/>
  <c r="S730" i="11"/>
  <c r="T730" i="11" l="1"/>
  <c r="S731" i="11"/>
  <c r="U730" i="11"/>
  <c r="T731" i="11" l="1"/>
  <c r="S732" i="11"/>
  <c r="U731" i="11"/>
  <c r="U732" i="11" l="1"/>
  <c r="T732" i="11"/>
  <c r="S733" i="11"/>
  <c r="T733" i="11" l="1"/>
  <c r="S734" i="11"/>
  <c r="U733" i="11"/>
  <c r="U734" i="11" l="1"/>
  <c r="T734" i="11"/>
  <c r="S735" i="11"/>
  <c r="T735" i="11" l="1"/>
  <c r="S736" i="11"/>
  <c r="U735" i="11"/>
  <c r="U736" i="11" l="1"/>
  <c r="T736" i="11"/>
  <c r="S737" i="11"/>
  <c r="U737" i="11" l="1"/>
  <c r="T737" i="11"/>
  <c r="S738" i="11"/>
  <c r="T738" i="11" l="1"/>
  <c r="S739" i="11"/>
  <c r="U738" i="11"/>
  <c r="U739" i="11" l="1"/>
  <c r="T739" i="11"/>
  <c r="S740" i="11"/>
  <c r="T740" i="11" l="1"/>
  <c r="S741" i="11"/>
  <c r="U740" i="11"/>
  <c r="U741" i="11" l="1"/>
  <c r="T741" i="11"/>
  <c r="S742" i="11"/>
  <c r="T742" i="11" l="1"/>
  <c r="S743" i="11"/>
  <c r="U742" i="11"/>
  <c r="U743" i="11" l="1"/>
  <c r="T743" i="11"/>
  <c r="S744" i="11"/>
  <c r="U744" i="11" l="1"/>
  <c r="T744" i="11"/>
  <c r="S745" i="11"/>
  <c r="T745" i="11" l="1"/>
  <c r="S746" i="11"/>
  <c r="U745" i="11"/>
  <c r="T746" i="11" l="1"/>
  <c r="S747" i="11"/>
  <c r="U746" i="11"/>
  <c r="U747" i="11" l="1"/>
  <c r="T747" i="11"/>
  <c r="S748" i="11"/>
  <c r="T748" i="11" l="1"/>
  <c r="S749" i="11"/>
  <c r="U748" i="11"/>
  <c r="T749" i="11" l="1"/>
  <c r="S750" i="11"/>
  <c r="U749" i="11"/>
  <c r="U750" i="11" l="1"/>
  <c r="T750" i="11"/>
  <c r="S751" i="11"/>
  <c r="T751" i="11" l="1"/>
  <c r="S752" i="11"/>
  <c r="U751" i="11"/>
  <c r="U752" i="11" l="1"/>
  <c r="T752" i="11"/>
  <c r="S753" i="11"/>
  <c r="U753" i="11" l="1"/>
  <c r="T753" i="11"/>
  <c r="S754" i="11"/>
  <c r="T754" i="11" l="1"/>
  <c r="S755" i="11"/>
  <c r="U754" i="11"/>
  <c r="U755" i="11" l="1"/>
  <c r="T755" i="11"/>
  <c r="S756" i="11"/>
  <c r="T756" i="11" l="1"/>
  <c r="S757" i="11"/>
  <c r="U756" i="11"/>
  <c r="U757" i="11" l="1"/>
  <c r="T757" i="11"/>
  <c r="S758" i="11"/>
  <c r="T758" i="11" l="1"/>
  <c r="S759" i="11"/>
  <c r="U758" i="11"/>
  <c r="U759" i="11" l="1"/>
  <c r="T759" i="11"/>
  <c r="S760" i="11"/>
  <c r="U760" i="11" l="1"/>
  <c r="T760" i="11"/>
  <c r="S761" i="11"/>
  <c r="T761" i="11" l="1"/>
  <c r="S762" i="11"/>
  <c r="U761" i="11"/>
  <c r="U762" i="11" l="1"/>
  <c r="T762" i="11"/>
  <c r="S763" i="11"/>
  <c r="T763" i="11" l="1"/>
  <c r="S764" i="11"/>
  <c r="U763" i="11"/>
  <c r="U764" i="11" l="1"/>
  <c r="T764" i="11"/>
  <c r="S765" i="11"/>
  <c r="T765" i="11" l="1"/>
  <c r="S766" i="11"/>
  <c r="U765" i="11"/>
  <c r="U766" i="11" l="1"/>
  <c r="T766" i="11"/>
  <c r="S767" i="11"/>
  <c r="T767" i="11" l="1"/>
  <c r="S768" i="11"/>
  <c r="U767" i="11"/>
  <c r="U768" i="11" l="1"/>
  <c r="T768" i="11"/>
  <c r="S769" i="11"/>
  <c r="T769" i="11" l="1"/>
  <c r="S770" i="11"/>
  <c r="U769" i="11"/>
  <c r="T770" i="11" l="1"/>
  <c r="S771" i="11"/>
  <c r="U770" i="11"/>
  <c r="U771" i="11" l="1"/>
  <c r="T771" i="11"/>
  <c r="S772" i="11"/>
  <c r="T772" i="11" l="1"/>
  <c r="S773" i="11"/>
  <c r="U772" i="11"/>
  <c r="U773" i="11" l="1"/>
  <c r="T773" i="11"/>
  <c r="S774" i="11"/>
  <c r="T774" i="11" l="1"/>
  <c r="S775" i="11"/>
  <c r="U774" i="11"/>
  <c r="U775" i="11" l="1"/>
  <c r="T775" i="11"/>
  <c r="S776" i="11"/>
  <c r="T776" i="11" l="1"/>
  <c r="S777" i="11"/>
  <c r="U776" i="11"/>
  <c r="U777" i="11" l="1"/>
  <c r="T777" i="11"/>
  <c r="S778" i="11"/>
  <c r="U778" i="11" l="1"/>
  <c r="T778" i="11"/>
  <c r="S779" i="11"/>
  <c r="T779" i="11" l="1"/>
  <c r="S780" i="11"/>
  <c r="U779" i="11"/>
  <c r="U780" i="11" l="1"/>
  <c r="T780" i="11"/>
  <c r="S781" i="11"/>
  <c r="U781" i="11" l="1"/>
  <c r="T781" i="11"/>
  <c r="S782" i="11"/>
  <c r="U782" i="11" l="1"/>
  <c r="T782" i="11"/>
  <c r="S783" i="11"/>
  <c r="T783" i="11" l="1"/>
  <c r="S784" i="11"/>
  <c r="U783" i="11"/>
  <c r="U784" i="11" l="1"/>
  <c r="T784" i="11"/>
  <c r="S785" i="11"/>
  <c r="T785" i="11" l="1"/>
  <c r="S786" i="11"/>
  <c r="U785" i="11"/>
  <c r="U786" i="11" l="1"/>
  <c r="T786" i="11"/>
  <c r="S787" i="11"/>
  <c r="U787" i="11" l="1"/>
  <c r="T787" i="11"/>
  <c r="S788" i="11"/>
  <c r="U788" i="11" l="1"/>
  <c r="T788" i="11"/>
  <c r="S789" i="11"/>
  <c r="T789" i="11" l="1"/>
  <c r="S790" i="11"/>
  <c r="U789" i="11"/>
  <c r="U790" i="11" l="1"/>
  <c r="T790" i="11"/>
  <c r="S791" i="11"/>
  <c r="T791" i="11" l="1"/>
  <c r="S792" i="11"/>
  <c r="U791" i="11"/>
  <c r="U792" i="11" l="1"/>
  <c r="T792" i="11"/>
  <c r="S793" i="11"/>
  <c r="U793" i="11" l="1"/>
  <c r="T793" i="11"/>
  <c r="S794" i="11"/>
  <c r="U794" i="11" l="1"/>
  <c r="T794" i="11"/>
  <c r="S795" i="11"/>
  <c r="U795" i="11" l="1"/>
  <c r="T795" i="11"/>
  <c r="S796" i="11"/>
  <c r="U796" i="11" l="1"/>
  <c r="T796" i="11"/>
  <c r="S797" i="11"/>
  <c r="T797" i="11" l="1"/>
  <c r="S798" i="11"/>
  <c r="U797" i="11"/>
  <c r="T798" i="11" l="1"/>
  <c r="S799" i="11"/>
  <c r="U798" i="11"/>
  <c r="U799" i="11" l="1"/>
  <c r="T799" i="11"/>
  <c r="S800" i="11"/>
  <c r="U800" i="11" l="1"/>
  <c r="T800" i="11"/>
  <c r="S801" i="11"/>
  <c r="U801" i="11" l="1"/>
  <c r="T801" i="11"/>
  <c r="S802" i="11"/>
  <c r="U802" i="11" l="1"/>
  <c r="T802" i="11"/>
  <c r="S803" i="11"/>
  <c r="U803" i="11" l="1"/>
  <c r="T803" i="11"/>
  <c r="S804" i="11"/>
  <c r="T804" i="11" l="1"/>
  <c r="S805" i="11"/>
  <c r="U804" i="11"/>
  <c r="T805" i="11" l="1"/>
  <c r="S806" i="11"/>
  <c r="U805" i="11"/>
  <c r="U806" i="11" l="1"/>
  <c r="T806" i="11"/>
  <c r="S807" i="11"/>
  <c r="U807" i="11" l="1"/>
  <c r="T807" i="11"/>
  <c r="S808" i="11"/>
  <c r="U808" i="11" l="1"/>
  <c r="T808" i="11"/>
  <c r="S809" i="11"/>
  <c r="U809" i="11" l="1"/>
  <c r="T809" i="11"/>
  <c r="S810" i="11"/>
  <c r="U810" i="11" l="1"/>
  <c r="T810" i="11"/>
  <c r="S811" i="11"/>
  <c r="U811" i="11" l="1"/>
  <c r="T811" i="11"/>
  <c r="S812" i="11"/>
  <c r="U812" i="11" l="1"/>
  <c r="T812" i="11"/>
  <c r="S813" i="11"/>
  <c r="T813" i="11" l="1"/>
  <c r="S814" i="11"/>
  <c r="U813" i="11"/>
  <c r="U814" i="11" l="1"/>
  <c r="T814" i="11"/>
  <c r="S815" i="11"/>
  <c r="T815" i="11" l="1"/>
  <c r="S816" i="11"/>
  <c r="U815" i="11"/>
  <c r="T816" i="11" l="1"/>
  <c r="S817" i="11"/>
  <c r="U816" i="11"/>
  <c r="T817" i="11" l="1"/>
  <c r="S818" i="11"/>
  <c r="U817" i="11"/>
  <c r="T818" i="11" l="1"/>
  <c r="S819" i="11"/>
  <c r="U818" i="11"/>
  <c r="T819" i="11" l="1"/>
  <c r="S820" i="11"/>
  <c r="U819" i="11"/>
  <c r="U820" i="11" l="1"/>
  <c r="T820" i="11"/>
  <c r="S821" i="11"/>
  <c r="U821" i="11" l="1"/>
  <c r="T821" i="11"/>
  <c r="S822" i="11"/>
  <c r="T822" i="11" l="1"/>
  <c r="S823" i="11"/>
  <c r="U822" i="11"/>
  <c r="U823" i="11" l="1"/>
  <c r="T823" i="11"/>
  <c r="S824" i="11"/>
  <c r="U824" i="11" l="1"/>
  <c r="T824" i="11"/>
  <c r="S825" i="11"/>
  <c r="U825" i="11" l="1"/>
  <c r="T825" i="11"/>
  <c r="S826" i="11"/>
  <c r="T826" i="11" l="1"/>
  <c r="S827" i="11"/>
  <c r="U826" i="11"/>
  <c r="U827" i="11" l="1"/>
  <c r="T827" i="11"/>
  <c r="S828" i="11"/>
  <c r="T828" i="11" l="1"/>
  <c r="S829" i="11"/>
  <c r="U828" i="11"/>
  <c r="U829" i="11" l="1"/>
  <c r="T829" i="11"/>
  <c r="S830" i="11"/>
  <c r="T830" i="11" l="1"/>
  <c r="S831" i="11"/>
  <c r="U830" i="11"/>
  <c r="U831" i="11" l="1"/>
  <c r="T831" i="11"/>
  <c r="S832" i="11"/>
  <c r="T832" i="11" l="1"/>
  <c r="S833" i="11"/>
  <c r="U832" i="11"/>
  <c r="U833" i="11" l="1"/>
  <c r="T833" i="11"/>
  <c r="S834" i="11"/>
  <c r="U834" i="11" l="1"/>
  <c r="T834" i="11"/>
  <c r="S835" i="11"/>
  <c r="T835" i="11" l="1"/>
  <c r="S836" i="11"/>
  <c r="U835" i="11"/>
  <c r="U836" i="11" l="1"/>
  <c r="T836" i="11"/>
  <c r="S837" i="11"/>
  <c r="T837" i="11" l="1"/>
  <c r="S838" i="11"/>
  <c r="U837" i="11"/>
  <c r="T838" i="11" l="1"/>
  <c r="S839" i="11"/>
  <c r="U838" i="11"/>
  <c r="U839" i="11" l="1"/>
  <c r="T839" i="11"/>
  <c r="S840" i="11"/>
  <c r="T840" i="11" l="1"/>
  <c r="S841" i="11"/>
  <c r="U840" i="11"/>
  <c r="T841" i="11" l="1"/>
  <c r="S842" i="11"/>
  <c r="U841" i="11"/>
  <c r="U842" i="11" l="1"/>
  <c r="T842" i="11"/>
  <c r="S843" i="11"/>
  <c r="U843" i="11" l="1"/>
  <c r="T843" i="11"/>
  <c r="S844" i="11"/>
  <c r="T844" i="11" l="1"/>
  <c r="S845" i="11"/>
  <c r="U844" i="11"/>
  <c r="U845" i="11" l="1"/>
  <c r="T845" i="11"/>
  <c r="S846" i="11"/>
  <c r="T846" i="11" l="1"/>
  <c r="S847" i="11"/>
  <c r="U846" i="11"/>
  <c r="U847" i="11" l="1"/>
  <c r="T847" i="11"/>
  <c r="S848" i="11"/>
  <c r="T848" i="11" l="1"/>
  <c r="S849" i="11"/>
  <c r="U848" i="11"/>
  <c r="U849" i="11" l="1"/>
  <c r="T849" i="11"/>
  <c r="S850" i="11"/>
  <c r="U850" i="11" l="1"/>
  <c r="T850" i="11"/>
  <c r="S851" i="11"/>
  <c r="T851" i="11" l="1"/>
  <c r="S852" i="11"/>
  <c r="U851" i="11"/>
  <c r="U852" i="11" l="1"/>
  <c r="T852" i="11"/>
  <c r="S853" i="11"/>
  <c r="T853" i="11" l="1"/>
  <c r="S854" i="11"/>
  <c r="U853" i="11"/>
  <c r="U854" i="11" l="1"/>
  <c r="T854" i="11"/>
  <c r="S855" i="11"/>
  <c r="T855" i="11" l="1"/>
  <c r="S856" i="11"/>
  <c r="U855" i="11"/>
  <c r="U856" i="11" l="1"/>
  <c r="T856" i="11"/>
  <c r="S857" i="11"/>
  <c r="T857" i="11" l="1"/>
  <c r="S858" i="11"/>
  <c r="U857" i="11"/>
  <c r="U858" i="11" l="1"/>
  <c r="T858" i="11"/>
  <c r="S859" i="11"/>
  <c r="T859" i="11" l="1"/>
  <c r="S860" i="11"/>
  <c r="U859" i="11"/>
  <c r="T860" i="11" l="1"/>
  <c r="S861" i="11"/>
  <c r="T861" i="11" s="1"/>
  <c r="U860" i="11"/>
  <c r="U861" i="11" l="1"/>
  <c r="D104" i="1" l="1"/>
  <c r="AE42" i="11" l="1"/>
  <c r="AG42" i="11" s="1"/>
  <c r="D105" i="1"/>
  <c r="E106" i="1"/>
  <c r="AE39" i="11" l="1"/>
  <c r="G42" i="11"/>
  <c r="AD42" i="11"/>
  <c r="AK42" i="11"/>
  <c r="K42" i="11" s="1"/>
  <c r="AJ42" i="11"/>
  <c r="H9" i="12" l="1"/>
  <c r="I9" i="12" s="1"/>
  <c r="G4" i="11"/>
  <c r="AL42" i="11"/>
  <c r="H42" i="11" s="1"/>
  <c r="K9" i="12" s="1"/>
  <c r="J42" i="11"/>
  <c r="J4" i="11" s="1"/>
  <c r="R42" i="11"/>
  <c r="R4" i="11" s="1"/>
  <c r="K4" i="11"/>
  <c r="J9" i="12" l="1"/>
  <c r="L9" i="12"/>
  <c r="H4" i="11"/>
  <c r="Q42" i="11"/>
  <c r="Q4" i="11" s="1"/>
  <c r="M11" i="12" l="1"/>
  <c r="M13" i="12"/>
  <c r="D93" i="1" l="1"/>
  <c r="D23" i="1" s="1"/>
  <c r="G30" i="17" s="1"/>
  <c r="N702" i="11" l="1"/>
  <c r="I702" i="11" s="1"/>
  <c r="N710" i="11"/>
  <c r="I710" i="11" s="1"/>
  <c r="N718" i="11"/>
  <c r="I718" i="11" s="1"/>
  <c r="N703" i="11"/>
  <c r="I703" i="11" s="1"/>
  <c r="N711" i="11"/>
  <c r="I711" i="11" s="1"/>
  <c r="N719" i="11"/>
  <c r="I719" i="11" s="1"/>
  <c r="N704" i="11"/>
  <c r="I704" i="11" s="1"/>
  <c r="N712" i="11"/>
  <c r="I712" i="11" s="1"/>
  <c r="N720" i="11"/>
  <c r="I720" i="11" s="1"/>
  <c r="N705" i="11"/>
  <c r="I705" i="11" s="1"/>
  <c r="N713" i="11"/>
  <c r="I713" i="11" s="1"/>
  <c r="N721" i="11"/>
  <c r="I721" i="11" s="1"/>
  <c r="N706" i="11"/>
  <c r="I706" i="11" s="1"/>
  <c r="N714" i="11"/>
  <c r="I714" i="11" s="1"/>
  <c r="N722" i="11"/>
  <c r="I722" i="11" s="1"/>
  <c r="N717" i="11"/>
  <c r="I717" i="11" s="1"/>
  <c r="N707" i="11"/>
  <c r="I707" i="11" s="1"/>
  <c r="N715" i="11"/>
  <c r="I715" i="11" s="1"/>
  <c r="N723" i="11"/>
  <c r="I723" i="11" s="1"/>
  <c r="N708" i="11"/>
  <c r="I708" i="11" s="1"/>
  <c r="N716" i="11"/>
  <c r="I716" i="11" s="1"/>
  <c r="N724" i="11"/>
  <c r="I724" i="11" s="1"/>
  <c r="N709" i="11"/>
  <c r="I709" i="11" s="1"/>
  <c r="N698" i="11"/>
  <c r="N695" i="11"/>
  <c r="N683" i="11"/>
  <c r="N699" i="11"/>
  <c r="N685" i="11"/>
  <c r="N689" i="11"/>
  <c r="N691" i="11"/>
  <c r="N696" i="11"/>
  <c r="N684" i="11"/>
  <c r="N697" i="11"/>
  <c r="N688" i="11"/>
  <c r="N692" i="11"/>
  <c r="N686" i="11"/>
  <c r="N700" i="11"/>
  <c r="N687" i="11"/>
  <c r="N693" i="11"/>
  <c r="N701" i="11"/>
  <c r="N682" i="11"/>
  <c r="N690" i="11"/>
  <c r="N694" i="11"/>
  <c r="N681" i="11"/>
  <c r="N678" i="11"/>
  <c r="N677" i="11"/>
  <c r="N679" i="11"/>
  <c r="N680" i="11"/>
  <c r="N666" i="11"/>
  <c r="N672" i="11"/>
  <c r="N674" i="11"/>
  <c r="N669" i="11"/>
  <c r="N670" i="11"/>
  <c r="N667" i="11"/>
  <c r="N676" i="11"/>
  <c r="N665" i="11"/>
  <c r="N675" i="11"/>
  <c r="N673" i="11"/>
  <c r="N671" i="11"/>
  <c r="N668" i="11"/>
  <c r="N633" i="11"/>
  <c r="N634" i="11"/>
  <c r="N643" i="11"/>
  <c r="N652" i="11"/>
  <c r="N661" i="11"/>
  <c r="N640" i="11"/>
  <c r="N641" i="11"/>
  <c r="N642" i="11"/>
  <c r="N651" i="11"/>
  <c r="N660" i="11"/>
  <c r="N639" i="11"/>
  <c r="N648" i="11"/>
  <c r="N649" i="11"/>
  <c r="N650" i="11"/>
  <c r="N659" i="11"/>
  <c r="N644" i="11"/>
  <c r="N638" i="11"/>
  <c r="N647" i="11"/>
  <c r="N656" i="11"/>
  <c r="N657" i="11"/>
  <c r="N658" i="11"/>
  <c r="N653" i="11"/>
  <c r="N646" i="11"/>
  <c r="N655" i="11"/>
  <c r="N664" i="11"/>
  <c r="N654" i="11"/>
  <c r="N663" i="11"/>
  <c r="N637" i="11"/>
  <c r="N635" i="11"/>
  <c r="N662" i="11"/>
  <c r="N636" i="11"/>
  <c r="N645" i="11"/>
  <c r="N38" i="1"/>
  <c r="D87" i="17" s="1"/>
  <c r="N28" i="1"/>
  <c r="D77" i="17" s="1"/>
  <c r="N554" i="11"/>
  <c r="D521" i="12" s="1"/>
  <c r="N631" i="11"/>
  <c r="N607" i="11"/>
  <c r="N546" i="11"/>
  <c r="D513" i="12" s="1"/>
  <c r="N545" i="11"/>
  <c r="D512" i="12" s="1"/>
  <c r="N574" i="11"/>
  <c r="D541" i="12" s="1"/>
  <c r="N605" i="11"/>
  <c r="N571" i="11"/>
  <c r="D538" i="12" s="1"/>
  <c r="N601" i="11"/>
  <c r="N576" i="11"/>
  <c r="D543" i="12" s="1"/>
  <c r="N549" i="11"/>
  <c r="D516" i="12" s="1"/>
  <c r="N580" i="11"/>
  <c r="D547" i="12" s="1"/>
  <c r="N537" i="11"/>
  <c r="D504" i="12" s="1"/>
  <c r="N533" i="11"/>
  <c r="D500" i="12" s="1"/>
  <c r="N459" i="11"/>
  <c r="D426" i="12" s="1"/>
  <c r="N164" i="11"/>
  <c r="D131" i="12" s="1"/>
  <c r="N276" i="11"/>
  <c r="D243" i="12" s="1"/>
  <c r="N354" i="11"/>
  <c r="D321" i="12" s="1"/>
  <c r="N261" i="11"/>
  <c r="D228" i="12" s="1"/>
  <c r="N309" i="11"/>
  <c r="D276" i="12" s="1"/>
  <c r="N259" i="11"/>
  <c r="D226" i="12" s="1"/>
  <c r="N319" i="11"/>
  <c r="D286" i="12" s="1"/>
  <c r="N263" i="11"/>
  <c r="D230" i="12" s="1"/>
  <c r="N255" i="11"/>
  <c r="D222" i="12" s="1"/>
  <c r="N497" i="11"/>
  <c r="D464" i="12" s="1"/>
  <c r="N194" i="11"/>
  <c r="D161" i="12" s="1"/>
  <c r="N245" i="11"/>
  <c r="D212" i="12" s="1"/>
  <c r="N288" i="11"/>
  <c r="D255" i="12" s="1"/>
  <c r="N396" i="11"/>
  <c r="D363" i="12" s="1"/>
  <c r="N229" i="11"/>
  <c r="D196" i="12" s="1"/>
  <c r="N505" i="11"/>
  <c r="D472" i="12" s="1"/>
  <c r="N415" i="11"/>
  <c r="D382" i="12" s="1"/>
  <c r="N320" i="11"/>
  <c r="D287" i="12" s="1"/>
  <c r="N365" i="11"/>
  <c r="D332" i="12" s="1"/>
  <c r="N96" i="11"/>
  <c r="D63" i="12" s="1"/>
  <c r="N63" i="12" s="1"/>
  <c r="N188" i="11"/>
  <c r="D155" i="12" s="1"/>
  <c r="N518" i="11"/>
  <c r="D485" i="12" s="1"/>
  <c r="N118" i="11"/>
  <c r="D85" i="12" s="1"/>
  <c r="N85" i="12" s="1"/>
  <c r="N50" i="11"/>
  <c r="N411" i="11"/>
  <c r="D378" i="12" s="1"/>
  <c r="N475" i="11"/>
  <c r="D442" i="12" s="1"/>
  <c r="N209" i="11"/>
  <c r="D176" i="12" s="1"/>
  <c r="N208" i="11"/>
  <c r="D175" i="12" s="1"/>
  <c r="N490" i="11"/>
  <c r="D457" i="12" s="1"/>
  <c r="N378" i="11"/>
  <c r="D345" i="12" s="1"/>
  <c r="N133" i="11"/>
  <c r="D100" i="12" s="1"/>
  <c r="N100" i="12" s="1"/>
  <c r="N203" i="11"/>
  <c r="D170" i="12" s="1"/>
  <c r="N339" i="11"/>
  <c r="D306" i="12" s="1"/>
  <c r="N196" i="11"/>
  <c r="D163" i="12" s="1"/>
  <c r="N293" i="11"/>
  <c r="D260" i="12" s="1"/>
  <c r="N217" i="11"/>
  <c r="D184" i="12" s="1"/>
  <c r="N513" i="11"/>
  <c r="D480" i="12" s="1"/>
  <c r="N232" i="11"/>
  <c r="D199" i="12" s="1"/>
  <c r="N19" i="1"/>
  <c r="D68" i="17" s="1"/>
  <c r="N298" i="11"/>
  <c r="D265" i="12" s="1"/>
  <c r="N214" i="11"/>
  <c r="D181" i="12" s="1"/>
  <c r="N385" i="11"/>
  <c r="D352" i="12" s="1"/>
  <c r="N122" i="11"/>
  <c r="D89" i="12" s="1"/>
  <c r="N89" i="12" s="1"/>
  <c r="N68" i="11"/>
  <c r="D35" i="12" s="1"/>
  <c r="N35" i="12" s="1"/>
  <c r="N153" i="11"/>
  <c r="D120" i="12" s="1"/>
  <c r="N120" i="12" s="1"/>
  <c r="N249" i="11"/>
  <c r="D216" i="12" s="1"/>
  <c r="N115" i="11"/>
  <c r="D82" i="12" s="1"/>
  <c r="N82" i="12" s="1"/>
  <c r="N60" i="11"/>
  <c r="N45" i="11"/>
  <c r="N151" i="11"/>
  <c r="D118" i="12" s="1"/>
  <c r="N118" i="12" s="1"/>
  <c r="N253" i="11"/>
  <c r="D220" i="12" s="1"/>
  <c r="N88" i="11"/>
  <c r="D55" i="12" s="1"/>
  <c r="N55" i="12" s="1"/>
  <c r="N481" i="11"/>
  <c r="D448" i="12" s="1"/>
  <c r="N375" i="11"/>
  <c r="D342" i="12" s="1"/>
  <c r="N148" i="11"/>
  <c r="D115" i="12" s="1"/>
  <c r="N115" i="12" s="1"/>
  <c r="N284" i="11"/>
  <c r="D251" i="12" s="1"/>
  <c r="N112" i="11"/>
  <c r="D79" i="12" s="1"/>
  <c r="N79" i="12" s="1"/>
  <c r="N315" i="11"/>
  <c r="D282" i="12" s="1"/>
  <c r="N420" i="11"/>
  <c r="D387" i="12" s="1"/>
  <c r="N61" i="11"/>
  <c r="N41" i="1"/>
  <c r="D90" i="17" s="1"/>
  <c r="N33" i="1"/>
  <c r="D82" i="17" s="1"/>
  <c r="N30" i="1"/>
  <c r="D79" i="17" s="1"/>
  <c r="N553" i="11"/>
  <c r="D520" i="12" s="1"/>
  <c r="N618" i="11"/>
  <c r="N583" i="11"/>
  <c r="N606" i="11"/>
  <c r="N573" i="11"/>
  <c r="D540" i="12" s="1"/>
  <c r="N612" i="11"/>
  <c r="N527" i="11"/>
  <c r="D494" i="12" s="1"/>
  <c r="N594" i="11"/>
  <c r="N529" i="11"/>
  <c r="D496" i="12" s="1"/>
  <c r="N588" i="11"/>
  <c r="N555" i="11"/>
  <c r="D522" i="12" s="1"/>
  <c r="N584" i="11"/>
  <c r="N536" i="11"/>
  <c r="D503" i="12" s="1"/>
  <c r="N556" i="11"/>
  <c r="D523" i="12" s="1"/>
  <c r="N539" i="11"/>
  <c r="D506" i="12" s="1"/>
  <c r="N332" i="11"/>
  <c r="D299" i="12" s="1"/>
  <c r="N478" i="11"/>
  <c r="D445" i="12" s="1"/>
  <c r="N322" i="11"/>
  <c r="D289" i="12" s="1"/>
  <c r="N364" i="11"/>
  <c r="D331" i="12" s="1"/>
  <c r="N190" i="11"/>
  <c r="D157" i="12" s="1"/>
  <c r="N499" i="11"/>
  <c r="D466" i="12" s="1"/>
  <c r="N333" i="11"/>
  <c r="D300" i="12" s="1"/>
  <c r="N202" i="11"/>
  <c r="D169" i="12" s="1"/>
  <c r="N262" i="11"/>
  <c r="D229" i="12" s="1"/>
  <c r="N436" i="11"/>
  <c r="D403" i="12" s="1"/>
  <c r="N176" i="11"/>
  <c r="D143" i="12" s="1"/>
  <c r="N141" i="11"/>
  <c r="D108" i="12" s="1"/>
  <c r="N108" i="12" s="1"/>
  <c r="N236" i="11"/>
  <c r="D203" i="12" s="1"/>
  <c r="N178" i="11"/>
  <c r="D145" i="12" s="1"/>
  <c r="N321" i="11"/>
  <c r="D288" i="12" s="1"/>
  <c r="N180" i="11"/>
  <c r="D147" i="12" s="1"/>
  <c r="N356" i="11"/>
  <c r="D323" i="12" s="1"/>
  <c r="N454" i="11"/>
  <c r="D421" i="12" s="1"/>
  <c r="N213" i="11"/>
  <c r="D180" i="12" s="1"/>
  <c r="N254" i="11"/>
  <c r="D221" i="12" s="1"/>
  <c r="N357" i="11"/>
  <c r="D324" i="12" s="1"/>
  <c r="N334" i="11"/>
  <c r="D301" i="12" s="1"/>
  <c r="N56" i="11"/>
  <c r="N501" i="11"/>
  <c r="D468" i="12" s="1"/>
  <c r="N409" i="11"/>
  <c r="D376" i="12" s="1"/>
  <c r="N78" i="11"/>
  <c r="D45" i="12" s="1"/>
  <c r="N45" i="12" s="1"/>
  <c r="N399" i="11"/>
  <c r="D366" i="12" s="1"/>
  <c r="N65" i="11"/>
  <c r="D32" i="12" s="1"/>
  <c r="N32" i="12" s="1"/>
  <c r="N432" i="11"/>
  <c r="D399" i="12" s="1"/>
  <c r="N105" i="11"/>
  <c r="D72" i="12" s="1"/>
  <c r="N72" i="12" s="1"/>
  <c r="N296" i="11"/>
  <c r="D263" i="12" s="1"/>
  <c r="N106" i="11"/>
  <c r="D73" i="12" s="1"/>
  <c r="N73" i="12" s="1"/>
  <c r="N342" i="11"/>
  <c r="D309" i="12" s="1"/>
  <c r="N419" i="11"/>
  <c r="D386" i="12" s="1"/>
  <c r="N452" i="11"/>
  <c r="D419" i="12" s="1"/>
  <c r="N397" i="11"/>
  <c r="D364" i="12" s="1"/>
  <c r="N17" i="1"/>
  <c r="D66" i="17" s="1"/>
  <c r="N446" i="11"/>
  <c r="D413" i="12" s="1"/>
  <c r="N181" i="11"/>
  <c r="D148" i="12" s="1"/>
  <c r="N246" i="11"/>
  <c r="D213" i="12" s="1"/>
  <c r="N165" i="11"/>
  <c r="D132" i="12" s="1"/>
  <c r="N152" i="11"/>
  <c r="D119" i="12" s="1"/>
  <c r="N119" i="12" s="1"/>
  <c r="N463" i="11"/>
  <c r="D430" i="12" s="1"/>
  <c r="N64" i="11"/>
  <c r="N260" i="11"/>
  <c r="D227" i="12" s="1"/>
  <c r="N349" i="11"/>
  <c r="D316" i="12" s="1"/>
  <c r="N257" i="11"/>
  <c r="D224" i="12" s="1"/>
  <c r="N278" i="11"/>
  <c r="D245" i="12" s="1"/>
  <c r="N149" i="11"/>
  <c r="D116" i="12" s="1"/>
  <c r="N116" i="12" s="1"/>
  <c r="N51" i="11"/>
  <c r="N381" i="11"/>
  <c r="D348" i="12" s="1"/>
  <c r="N131" i="11"/>
  <c r="D98" i="12" s="1"/>
  <c r="N98" i="12" s="1"/>
  <c r="N154" i="11"/>
  <c r="D121" i="12" s="1"/>
  <c r="N121" i="12" s="1"/>
  <c r="N43" i="11"/>
  <c r="N81" i="11"/>
  <c r="D48" i="12" s="1"/>
  <c r="N48" i="12" s="1"/>
  <c r="N73" i="11"/>
  <c r="D40" i="12" s="1"/>
  <c r="N40" i="12" s="1"/>
  <c r="N404" i="11"/>
  <c r="D371" i="12" s="1"/>
  <c r="N237" i="11"/>
  <c r="D204" i="12" s="1"/>
  <c r="N89" i="11"/>
  <c r="D56" i="12" s="1"/>
  <c r="N56" i="12" s="1"/>
  <c r="N403" i="11"/>
  <c r="D370" i="12" s="1"/>
  <c r="N85" i="11"/>
  <c r="D52" i="12" s="1"/>
  <c r="N52" i="12" s="1"/>
  <c r="N629" i="11"/>
  <c r="N627" i="11"/>
  <c r="N34" i="1"/>
  <c r="D83" i="17" s="1"/>
  <c r="N630" i="11"/>
  <c r="N615" i="11"/>
  <c r="N548" i="11"/>
  <c r="D515" i="12" s="1"/>
  <c r="N562" i="11"/>
  <c r="D529" i="12" s="1"/>
  <c r="N582" i="11"/>
  <c r="N613" i="11"/>
  <c r="N579" i="11"/>
  <c r="D546" i="12" s="1"/>
  <c r="N611" i="11"/>
  <c r="N616" i="11"/>
  <c r="N559" i="11"/>
  <c r="D526" i="12" s="1"/>
  <c r="N596" i="11"/>
  <c r="N600" i="11"/>
  <c r="N543" i="11"/>
  <c r="D510" i="12" s="1"/>
  <c r="N570" i="11"/>
  <c r="D537" i="12" s="1"/>
  <c r="N271" i="11"/>
  <c r="D238" i="12" s="1"/>
  <c r="N506" i="11"/>
  <c r="D473" i="12" s="1"/>
  <c r="N234" i="11"/>
  <c r="D201" i="12" s="1"/>
  <c r="N222" i="11"/>
  <c r="D189" i="12" s="1"/>
  <c r="N220" i="11"/>
  <c r="D187" i="12" s="1"/>
  <c r="N348" i="11"/>
  <c r="D315" i="12" s="1"/>
  <c r="N405" i="11"/>
  <c r="D372" i="12" s="1"/>
  <c r="N401" i="11"/>
  <c r="D368" i="12" s="1"/>
  <c r="N406" i="11"/>
  <c r="D373" i="12" s="1"/>
  <c r="N377" i="11"/>
  <c r="D344" i="12" s="1"/>
  <c r="N467" i="11"/>
  <c r="D434" i="12" s="1"/>
  <c r="N427" i="11"/>
  <c r="D394" i="12" s="1"/>
  <c r="N258" i="11"/>
  <c r="D225" i="12" s="1"/>
  <c r="N303" i="11"/>
  <c r="D270" i="12" s="1"/>
  <c r="N175" i="11"/>
  <c r="D142" i="12" s="1"/>
  <c r="N168" i="11"/>
  <c r="D135" i="12" s="1"/>
  <c r="N440" i="11"/>
  <c r="D407" i="12" s="1"/>
  <c r="N270" i="11"/>
  <c r="D237" i="12" s="1"/>
  <c r="N139" i="11"/>
  <c r="D106" i="12" s="1"/>
  <c r="N106" i="12" s="1"/>
  <c r="N373" i="11"/>
  <c r="D340" i="12" s="1"/>
  <c r="N516" i="11"/>
  <c r="D483" i="12" s="1"/>
  <c r="N114" i="11"/>
  <c r="D81" i="12" s="1"/>
  <c r="N81" i="12" s="1"/>
  <c r="N283" i="11"/>
  <c r="D250" i="12" s="1"/>
  <c r="N205" i="11"/>
  <c r="D172" i="12" s="1"/>
  <c r="N195" i="11"/>
  <c r="D162" i="12" s="1"/>
  <c r="N344" i="11"/>
  <c r="D311" i="12" s="1"/>
  <c r="N87" i="11"/>
  <c r="D54" i="12" s="1"/>
  <c r="N54" i="12" s="1"/>
  <c r="N441" i="11"/>
  <c r="D408" i="12" s="1"/>
  <c r="N150" i="11"/>
  <c r="D117" i="12" s="1"/>
  <c r="N117" i="12" s="1"/>
  <c r="N240" i="11"/>
  <c r="D207" i="12" s="1"/>
  <c r="N310" i="11"/>
  <c r="D277" i="12" s="1"/>
  <c r="N200" i="11"/>
  <c r="D167" i="12" s="1"/>
  <c r="N483" i="11"/>
  <c r="D450" i="12" s="1"/>
  <c r="N62" i="11"/>
  <c r="N391" i="11"/>
  <c r="D358" i="12" s="1"/>
  <c r="N16" i="1"/>
  <c r="D65" i="17" s="1"/>
  <c r="N230" i="11"/>
  <c r="D197" i="12" s="1"/>
  <c r="N21" i="1"/>
  <c r="D70" i="17" s="1"/>
  <c r="N299" i="11"/>
  <c r="D266" i="12" s="1"/>
  <c r="N465" i="11"/>
  <c r="D432" i="12" s="1"/>
  <c r="N169" i="11"/>
  <c r="D136" i="12" s="1"/>
  <c r="N442" i="11"/>
  <c r="D409" i="12" s="1"/>
  <c r="N325" i="11"/>
  <c r="D292" i="12" s="1"/>
  <c r="N370" i="11"/>
  <c r="D337" i="12" s="1"/>
  <c r="N120" i="11"/>
  <c r="D87" i="12" s="1"/>
  <c r="N87" i="12" s="1"/>
  <c r="N147" i="11"/>
  <c r="D114" i="12" s="1"/>
  <c r="N114" i="12" s="1"/>
  <c r="N104" i="11"/>
  <c r="D71" i="12" s="1"/>
  <c r="N71" i="12" s="1"/>
  <c r="N265" i="11"/>
  <c r="D232" i="12" s="1"/>
  <c r="N221" i="11"/>
  <c r="D188" i="12" s="1"/>
  <c r="N46" i="11"/>
  <c r="N280" i="11"/>
  <c r="D247" i="12" s="1"/>
  <c r="N94" i="11"/>
  <c r="D61" i="12" s="1"/>
  <c r="N61" i="12" s="1"/>
  <c r="N438" i="11"/>
  <c r="D405" i="12" s="1"/>
  <c r="N92" i="11"/>
  <c r="D59" i="12" s="1"/>
  <c r="N59" i="12" s="1"/>
  <c r="N521" i="11"/>
  <c r="D488" i="12" s="1"/>
  <c r="N76" i="11"/>
  <c r="D43" i="12" s="1"/>
  <c r="N43" i="12" s="1"/>
  <c r="N275" i="11"/>
  <c r="D242" i="12" s="1"/>
  <c r="N211" i="11"/>
  <c r="D178" i="12" s="1"/>
  <c r="N498" i="11"/>
  <c r="D465" i="12" s="1"/>
  <c r="N408" i="11"/>
  <c r="D375" i="12" s="1"/>
  <c r="N482" i="11"/>
  <c r="D449" i="12" s="1"/>
  <c r="N42" i="11"/>
  <c r="N25" i="1"/>
  <c r="D74" i="17" s="1"/>
  <c r="N32" i="1"/>
  <c r="D81" i="17" s="1"/>
  <c r="N37" i="1"/>
  <c r="D86" i="17" s="1"/>
  <c r="N35" i="1"/>
  <c r="D84" i="17" s="1"/>
  <c r="N26" i="1"/>
  <c r="D75" i="17" s="1"/>
  <c r="N568" i="11"/>
  <c r="D535" i="12" s="1"/>
  <c r="N591" i="11"/>
  <c r="N614" i="11"/>
  <c r="N581" i="11"/>
  <c r="D548" i="12" s="1"/>
  <c r="N620" i="11"/>
  <c r="N522" i="11"/>
  <c r="D489" i="12" s="1"/>
  <c r="N609" i="11"/>
  <c r="N590" i="11"/>
  <c r="N558" i="11"/>
  <c r="D525" i="12" s="1"/>
  <c r="N595" i="11"/>
  <c r="N561" i="11"/>
  <c r="D528" i="12" s="1"/>
  <c r="N542" i="11"/>
  <c r="D509" i="12" s="1"/>
  <c r="N569" i="11"/>
  <c r="D536" i="12" s="1"/>
  <c r="N471" i="11"/>
  <c r="D438" i="12" s="1"/>
  <c r="N369" i="11"/>
  <c r="D336" i="12" s="1"/>
  <c r="N372" i="11"/>
  <c r="D339" i="12" s="1"/>
  <c r="N382" i="11"/>
  <c r="D349" i="12" s="1"/>
  <c r="N412" i="11"/>
  <c r="D379" i="12" s="1"/>
  <c r="N511" i="11"/>
  <c r="D478" i="12" s="1"/>
  <c r="N418" i="11"/>
  <c r="D385" i="12" s="1"/>
  <c r="N282" i="11"/>
  <c r="D249" i="12" s="1"/>
  <c r="N517" i="11"/>
  <c r="D484" i="12" s="1"/>
  <c r="N480" i="11"/>
  <c r="D447" i="12" s="1"/>
  <c r="N400" i="11"/>
  <c r="D367" i="12" s="1"/>
  <c r="N376" i="11"/>
  <c r="D343" i="12" s="1"/>
  <c r="N294" i="11"/>
  <c r="D261" i="12" s="1"/>
  <c r="N402" i="11"/>
  <c r="D369" i="12" s="1"/>
  <c r="N461" i="11"/>
  <c r="D428" i="12" s="1"/>
  <c r="N297" i="11"/>
  <c r="D264" i="12" s="1"/>
  <c r="N199" i="11"/>
  <c r="D166" i="12" s="1"/>
  <c r="N167" i="11"/>
  <c r="D134" i="12" s="1"/>
  <c r="N110" i="11"/>
  <c r="D77" i="12" s="1"/>
  <c r="N77" i="12" s="1"/>
  <c r="N371" i="11"/>
  <c r="D338" i="12" s="1"/>
  <c r="N500" i="11"/>
  <c r="D467" i="12" s="1"/>
  <c r="N117" i="11"/>
  <c r="D84" i="12" s="1"/>
  <c r="N84" i="12" s="1"/>
  <c r="N314" i="11"/>
  <c r="D281" i="12" s="1"/>
  <c r="N472" i="11"/>
  <c r="D439" i="12" s="1"/>
  <c r="N238" i="11"/>
  <c r="D205" i="12" s="1"/>
  <c r="N485" i="11"/>
  <c r="D452" i="12" s="1"/>
  <c r="N449" i="11"/>
  <c r="D416" i="12" s="1"/>
  <c r="N227" i="11"/>
  <c r="D194" i="12" s="1"/>
  <c r="N95" i="11"/>
  <c r="D62" i="12" s="1"/>
  <c r="N62" i="12" s="1"/>
  <c r="N384" i="11"/>
  <c r="D351" i="12" s="1"/>
  <c r="N210" i="11"/>
  <c r="D177" i="12" s="1"/>
  <c r="N248" i="11"/>
  <c r="D215" i="12" s="1"/>
  <c r="N492" i="11"/>
  <c r="D459" i="12" s="1"/>
  <c r="N192" i="11"/>
  <c r="D159" i="12" s="1"/>
  <c r="N389" i="11"/>
  <c r="D356" i="12" s="1"/>
  <c r="N20" i="1"/>
  <c r="D69" i="17" s="1"/>
  <c r="N355" i="11"/>
  <c r="D322" i="12" s="1"/>
  <c r="N329" i="11"/>
  <c r="D296" i="12" s="1"/>
  <c r="N79" i="11"/>
  <c r="D46" i="12" s="1"/>
  <c r="N46" i="12" s="1"/>
  <c r="N435" i="11"/>
  <c r="D402" i="12" s="1"/>
  <c r="N63" i="11"/>
  <c r="N439" i="11"/>
  <c r="D406" i="12" s="1"/>
  <c r="N23" i="1"/>
  <c r="D72" i="17" s="1"/>
  <c r="N341" i="11"/>
  <c r="D308" i="12" s="1"/>
  <c r="N103" i="11"/>
  <c r="D70" i="12" s="1"/>
  <c r="N70" i="12" s="1"/>
  <c r="N268" i="11"/>
  <c r="D235" i="12" s="1"/>
  <c r="N58" i="11"/>
  <c r="N327" i="11"/>
  <c r="D294" i="12" s="1"/>
  <c r="N462" i="11"/>
  <c r="D429" i="12" s="1"/>
  <c r="N455" i="11"/>
  <c r="D422" i="12" s="1"/>
  <c r="N108" i="11"/>
  <c r="D75" i="12" s="1"/>
  <c r="N75" i="12" s="1"/>
  <c r="N143" i="11"/>
  <c r="D110" i="12" s="1"/>
  <c r="N110" i="12" s="1"/>
  <c r="N450" i="11"/>
  <c r="D417" i="12" s="1"/>
  <c r="N394" i="11"/>
  <c r="D361" i="12" s="1"/>
  <c r="N504" i="11"/>
  <c r="D471" i="12" s="1"/>
  <c r="N134" i="11"/>
  <c r="D101" i="12" s="1"/>
  <c r="N101" i="12" s="1"/>
  <c r="N426" i="11"/>
  <c r="D393" i="12" s="1"/>
  <c r="N157" i="11"/>
  <c r="D124" i="12" s="1"/>
  <c r="N124" i="12" s="1"/>
  <c r="N109" i="11"/>
  <c r="D76" i="12" s="1"/>
  <c r="N76" i="12" s="1"/>
  <c r="N49" i="11"/>
  <c r="N67" i="11"/>
  <c r="D34" i="12" s="1"/>
  <c r="N34" i="12" s="1"/>
  <c r="N40" i="1"/>
  <c r="D89" i="17" s="1"/>
  <c r="N29" i="1"/>
  <c r="D78" i="17" s="1"/>
  <c r="N27" i="1"/>
  <c r="D76" i="17" s="1"/>
  <c r="N578" i="11"/>
  <c r="D545" i="12" s="1"/>
  <c r="N526" i="11"/>
  <c r="D493" i="12" s="1"/>
  <c r="N621" i="11"/>
  <c r="N587" i="11"/>
  <c r="N619" i="11"/>
  <c r="N626" i="11"/>
  <c r="N530" i="11"/>
  <c r="D497" i="12" s="1"/>
  <c r="N589" i="11"/>
  <c r="N557" i="11"/>
  <c r="D524" i="12" s="1"/>
  <c r="N593" i="11"/>
  <c r="N560" i="11"/>
  <c r="D527" i="12" s="1"/>
  <c r="N541" i="11"/>
  <c r="D508" i="12" s="1"/>
  <c r="N564" i="11"/>
  <c r="D531" i="12" s="1"/>
  <c r="N363" i="11"/>
  <c r="D330" i="12" s="1"/>
  <c r="N308" i="11"/>
  <c r="D275" i="12" s="1"/>
  <c r="N264" i="11"/>
  <c r="D231" i="12" s="1"/>
  <c r="N414" i="11"/>
  <c r="D381" i="12" s="1"/>
  <c r="N302" i="11"/>
  <c r="D269" i="12" s="1"/>
  <c r="N395" i="11"/>
  <c r="D362" i="12" s="1"/>
  <c r="N429" i="11"/>
  <c r="D396" i="12" s="1"/>
  <c r="N350" i="11"/>
  <c r="D317" i="12" s="1"/>
  <c r="N247" i="11"/>
  <c r="D214" i="12" s="1"/>
  <c r="N392" i="11"/>
  <c r="D359" i="12" s="1"/>
  <c r="N204" i="11"/>
  <c r="D171" i="12" s="1"/>
  <c r="N519" i="11"/>
  <c r="D486" i="12" s="1"/>
  <c r="N410" i="11"/>
  <c r="D377" i="12" s="1"/>
  <c r="N443" i="11"/>
  <c r="D410" i="12" s="1"/>
  <c r="N468" i="11"/>
  <c r="D435" i="12" s="1"/>
  <c r="N269" i="11"/>
  <c r="D236" i="12" s="1"/>
  <c r="N413" i="11"/>
  <c r="D380" i="12" s="1"/>
  <c r="N306" i="11"/>
  <c r="D273" i="12" s="1"/>
  <c r="N183" i="11"/>
  <c r="D150" i="12" s="1"/>
  <c r="N508" i="11"/>
  <c r="D475" i="12" s="1"/>
  <c r="N323" i="11"/>
  <c r="D290" i="12" s="1"/>
  <c r="N326" i="11"/>
  <c r="D293" i="12" s="1"/>
  <c r="N243" i="11"/>
  <c r="D210" i="12" s="1"/>
  <c r="N421" i="11"/>
  <c r="D388" i="12" s="1"/>
  <c r="N430" i="11"/>
  <c r="D397" i="12" s="1"/>
  <c r="N281" i="11"/>
  <c r="D248" i="12" s="1"/>
  <c r="N174" i="11"/>
  <c r="D141" i="12" s="1"/>
  <c r="N324" i="11"/>
  <c r="D291" i="12" s="1"/>
  <c r="N113" i="11"/>
  <c r="D80" i="12" s="1"/>
  <c r="N80" i="12" s="1"/>
  <c r="N469" i="11"/>
  <c r="D436" i="12" s="1"/>
  <c r="N159" i="11"/>
  <c r="D126" i="12" s="1"/>
  <c r="N126" i="12" s="1"/>
  <c r="N495" i="11"/>
  <c r="D462" i="12" s="1"/>
  <c r="N431" i="11"/>
  <c r="D398" i="12" s="1"/>
  <c r="N98" i="11"/>
  <c r="D65" i="12" s="1"/>
  <c r="N65" i="12" s="1"/>
  <c r="N295" i="11"/>
  <c r="D262" i="12" s="1"/>
  <c r="N393" i="11"/>
  <c r="D360" i="12" s="1"/>
  <c r="N422" i="11"/>
  <c r="D389" i="12" s="1"/>
  <c r="N100" i="11"/>
  <c r="D67" i="12" s="1"/>
  <c r="N67" i="12" s="1"/>
  <c r="N486" i="11"/>
  <c r="D453" i="12" s="1"/>
  <c r="N93" i="11"/>
  <c r="D60" i="12" s="1"/>
  <c r="N60" i="12" s="1"/>
  <c r="N216" i="11"/>
  <c r="D183" i="12" s="1"/>
  <c r="N102" i="11"/>
  <c r="D69" i="12" s="1"/>
  <c r="N69" i="12" s="1"/>
  <c r="N206" i="11"/>
  <c r="D173" i="12" s="1"/>
  <c r="N228" i="11"/>
  <c r="D195" i="12" s="1"/>
  <c r="N129" i="11"/>
  <c r="D96" i="12" s="1"/>
  <c r="N96" i="12" s="1"/>
  <c r="N101" i="11"/>
  <c r="D68" i="12" s="1"/>
  <c r="N68" i="12" s="1"/>
  <c r="N286" i="11"/>
  <c r="D253" i="12" s="1"/>
  <c r="N491" i="11"/>
  <c r="D458" i="12" s="1"/>
  <c r="N201" i="11"/>
  <c r="D168" i="12" s="1"/>
  <c r="N266" i="11"/>
  <c r="D233" i="12" s="1"/>
  <c r="N80" i="11"/>
  <c r="D47" i="12" s="1"/>
  <c r="N47" i="12" s="1"/>
  <c r="N437" i="11"/>
  <c r="D404" i="12" s="1"/>
  <c r="N212" i="11"/>
  <c r="D179" i="12" s="1"/>
  <c r="N128" i="11"/>
  <c r="D95" i="12" s="1"/>
  <c r="N95" i="12" s="1"/>
  <c r="N74" i="11"/>
  <c r="D41" i="12" s="1"/>
  <c r="N41" i="12" s="1"/>
  <c r="N337" i="11"/>
  <c r="D304" i="12" s="1"/>
  <c r="N285" i="11"/>
  <c r="D252" i="12" s="1"/>
  <c r="N71" i="11"/>
  <c r="D38" i="12" s="1"/>
  <c r="N38" i="12" s="1"/>
  <c r="N53" i="11"/>
  <c r="N231" i="11"/>
  <c r="D198" i="12" s="1"/>
  <c r="N57" i="11"/>
  <c r="N524" i="11"/>
  <c r="D491" i="12" s="1"/>
  <c r="N31" i="1"/>
  <c r="D80" i="17" s="1"/>
  <c r="N622" i="11"/>
  <c r="N525" i="11"/>
  <c r="D492" i="12" s="1"/>
  <c r="N628" i="11"/>
  <c r="N523" i="11"/>
  <c r="D490" i="12" s="1"/>
  <c r="N617" i="11"/>
  <c r="N610" i="11"/>
  <c r="N567" i="11"/>
  <c r="D534" i="12" s="1"/>
  <c r="N597" i="11"/>
  <c r="N563" i="11"/>
  <c r="D530" i="12" s="1"/>
  <c r="N624" i="11"/>
  <c r="N544" i="11"/>
  <c r="D511" i="12" s="1"/>
  <c r="N572" i="11"/>
  <c r="D539" i="12" s="1"/>
  <c r="N547" i="11"/>
  <c r="D514" i="12" s="1"/>
  <c r="N623" i="11"/>
  <c r="N528" i="11"/>
  <c r="D495" i="12" s="1"/>
  <c r="N225" i="11"/>
  <c r="D192" i="12" s="1"/>
  <c r="N223" i="11"/>
  <c r="D190" i="12" s="1"/>
  <c r="N390" i="11"/>
  <c r="D357" i="12" s="1"/>
  <c r="N458" i="11"/>
  <c r="D425" i="12" s="1"/>
  <c r="N272" i="11"/>
  <c r="D239" i="12" s="1"/>
  <c r="N171" i="11"/>
  <c r="D138" i="12" s="1"/>
  <c r="N172" i="11"/>
  <c r="D139" i="12" s="1"/>
  <c r="N244" i="11"/>
  <c r="D211" i="12" s="1"/>
  <c r="N512" i="11"/>
  <c r="D479" i="12" s="1"/>
  <c r="N388" i="11"/>
  <c r="D355" i="12" s="1"/>
  <c r="N470" i="11"/>
  <c r="D437" i="12" s="1"/>
  <c r="N338" i="11"/>
  <c r="D305" i="12" s="1"/>
  <c r="N453" i="11"/>
  <c r="D420" i="12" s="1"/>
  <c r="N503" i="11"/>
  <c r="D470" i="12" s="1"/>
  <c r="N347" i="11"/>
  <c r="D314" i="12" s="1"/>
  <c r="N239" i="11"/>
  <c r="D206" i="12" s="1"/>
  <c r="N448" i="11"/>
  <c r="D415" i="12" s="1"/>
  <c r="N135" i="11"/>
  <c r="D102" i="12" s="1"/>
  <c r="N102" i="12" s="1"/>
  <c r="N274" i="11"/>
  <c r="D241" i="12" s="1"/>
  <c r="N198" i="11"/>
  <c r="D165" i="12" s="1"/>
  <c r="N407" i="11"/>
  <c r="D374" i="12" s="1"/>
  <c r="N514" i="11"/>
  <c r="D481" i="12" s="1"/>
  <c r="N219" i="11"/>
  <c r="D186" i="12" s="1"/>
  <c r="N189" i="11"/>
  <c r="D156" i="12" s="1"/>
  <c r="N226" i="11"/>
  <c r="D193" i="12" s="1"/>
  <c r="N251" i="11"/>
  <c r="D218" i="12" s="1"/>
  <c r="N287" i="11"/>
  <c r="D254" i="12" s="1"/>
  <c r="N493" i="11"/>
  <c r="D460" i="12" s="1"/>
  <c r="N138" i="11"/>
  <c r="D105" i="12" s="1"/>
  <c r="N105" i="12" s="1"/>
  <c r="N447" i="11"/>
  <c r="D414" i="12" s="1"/>
  <c r="N24" i="1"/>
  <c r="D73" i="17" s="1"/>
  <c r="N479" i="11"/>
  <c r="D446" i="12" s="1"/>
  <c r="N318" i="11"/>
  <c r="D285" i="12" s="1"/>
  <c r="N116" i="11"/>
  <c r="D83" i="12" s="1"/>
  <c r="N83" i="12" s="1"/>
  <c r="N242" i="11"/>
  <c r="D209" i="12" s="1"/>
  <c r="N346" i="11"/>
  <c r="D313" i="12" s="1"/>
  <c r="N52" i="11"/>
  <c r="N136" i="11"/>
  <c r="D103" i="12" s="1"/>
  <c r="N103" i="12" s="1"/>
  <c r="N77" i="11"/>
  <c r="D44" i="12" s="1"/>
  <c r="N44" i="12" s="1"/>
  <c r="N137" i="11"/>
  <c r="D104" i="12" s="1"/>
  <c r="N104" i="12" s="1"/>
  <c r="N445" i="11"/>
  <c r="D412" i="12" s="1"/>
  <c r="N343" i="11"/>
  <c r="D310" i="12" s="1"/>
  <c r="N383" i="11"/>
  <c r="D350" i="12" s="1"/>
  <c r="N515" i="11"/>
  <c r="D482" i="12" s="1"/>
  <c r="N124" i="11"/>
  <c r="D91" i="12" s="1"/>
  <c r="N91" i="12" s="1"/>
  <c r="N224" i="11"/>
  <c r="D191" i="12" s="1"/>
  <c r="N273" i="11"/>
  <c r="D240" i="12" s="1"/>
  <c r="N473" i="11"/>
  <c r="D440" i="12" s="1"/>
  <c r="N345" i="11"/>
  <c r="D312" i="12" s="1"/>
  <c r="N476" i="11"/>
  <c r="D443" i="12" s="1"/>
  <c r="N360" i="11"/>
  <c r="D327" i="12" s="1"/>
  <c r="N207" i="11"/>
  <c r="D174" i="12" s="1"/>
  <c r="N123" i="11"/>
  <c r="D90" i="12" s="1"/>
  <c r="N90" i="12" s="1"/>
  <c r="N336" i="11"/>
  <c r="D303" i="12" s="1"/>
  <c r="N173" i="11"/>
  <c r="D140" i="12" s="1"/>
  <c r="N125" i="11"/>
  <c r="D92" i="12" s="1"/>
  <c r="N92" i="12" s="1"/>
  <c r="N47" i="11"/>
  <c r="N86" i="11"/>
  <c r="D53" i="12" s="1"/>
  <c r="N53" i="12" s="1"/>
  <c r="N119" i="11"/>
  <c r="D86" i="12" s="1"/>
  <c r="N86" i="12" s="1"/>
  <c r="N97" i="11"/>
  <c r="D64" i="12" s="1"/>
  <c r="N64" i="12" s="1"/>
  <c r="N69" i="11"/>
  <c r="D36" i="12" s="1"/>
  <c r="N36" i="12" s="1"/>
  <c r="N575" i="11"/>
  <c r="D542" i="12" s="1"/>
  <c r="N550" i="11"/>
  <c r="D517" i="12" s="1"/>
  <c r="N586" i="11"/>
  <c r="N179" i="11"/>
  <c r="D146" i="12" s="1"/>
  <c r="N474" i="11"/>
  <c r="D441" i="12" s="1"/>
  <c r="N252" i="11"/>
  <c r="D219" i="12" s="1"/>
  <c r="N328" i="11"/>
  <c r="D295" i="12" s="1"/>
  <c r="N84" i="11"/>
  <c r="D51" i="12" s="1"/>
  <c r="N51" i="12" s="1"/>
  <c r="N187" i="11"/>
  <c r="D154" i="12" s="1"/>
  <c r="N48" i="11"/>
  <c r="N121" i="11"/>
  <c r="D88" i="12" s="1"/>
  <c r="N88" i="12" s="1"/>
  <c r="N352" i="11"/>
  <c r="D319" i="12" s="1"/>
  <c r="N466" i="11"/>
  <c r="D433" i="12" s="1"/>
  <c r="N70" i="11"/>
  <c r="D37" i="12" s="1"/>
  <c r="N37" i="12" s="1"/>
  <c r="N44" i="11"/>
  <c r="N305" i="11"/>
  <c r="D272" i="12" s="1"/>
  <c r="N489" i="11"/>
  <c r="D456" i="12" s="1"/>
  <c r="N126" i="11"/>
  <c r="D93" i="12" s="1"/>
  <c r="N93" i="12" s="1"/>
  <c r="N380" i="11"/>
  <c r="D347" i="12" s="1"/>
  <c r="N72" i="11"/>
  <c r="D39" i="12" s="1"/>
  <c r="N39" i="12" s="1"/>
  <c r="N75" i="11"/>
  <c r="D42" i="12" s="1"/>
  <c r="N42" i="12" s="1"/>
  <c r="N460" i="11"/>
  <c r="D427" i="12" s="1"/>
  <c r="N107" i="11"/>
  <c r="D74" i="12" s="1"/>
  <c r="N74" i="12" s="1"/>
  <c r="N184" i="11"/>
  <c r="D151" i="12" s="1"/>
  <c r="N361" i="11"/>
  <c r="D328" i="12" s="1"/>
  <c r="N91" i="11"/>
  <c r="D58" i="12" s="1"/>
  <c r="N58" i="12" s="1"/>
  <c r="N235" i="11"/>
  <c r="D202" i="12" s="1"/>
  <c r="N160" i="11"/>
  <c r="D127" i="12" s="1"/>
  <c r="N127" i="12" s="1"/>
  <c r="N599" i="11"/>
  <c r="N585" i="11"/>
  <c r="N592" i="11"/>
  <c r="N312" i="11"/>
  <c r="D279" i="12" s="1"/>
  <c r="N256" i="11"/>
  <c r="D223" i="12" s="1"/>
  <c r="N434" i="11"/>
  <c r="D401" i="12" s="1"/>
  <c r="N191" i="11"/>
  <c r="D158" i="12" s="1"/>
  <c r="N130" i="11"/>
  <c r="D97" i="12" s="1"/>
  <c r="N97" i="12" s="1"/>
  <c r="N374" i="11"/>
  <c r="D341" i="12" s="1"/>
  <c r="N358" i="11"/>
  <c r="D325" i="12" s="1"/>
  <c r="N300" i="11"/>
  <c r="D267" i="12" s="1"/>
  <c r="N477" i="11"/>
  <c r="D444" i="12" s="1"/>
  <c r="N359" i="11"/>
  <c r="D326" i="12" s="1"/>
  <c r="N510" i="11"/>
  <c r="D477" i="12" s="1"/>
  <c r="N424" i="11"/>
  <c r="D391" i="12" s="1"/>
  <c r="N233" i="11"/>
  <c r="D200" i="12" s="1"/>
  <c r="N598" i="11"/>
  <c r="N540" i="11"/>
  <c r="D507" i="12" s="1"/>
  <c r="N197" i="11"/>
  <c r="D164" i="12" s="1"/>
  <c r="N289" i="11"/>
  <c r="D256" i="12" s="1"/>
  <c r="N311" i="11"/>
  <c r="D278" i="12" s="1"/>
  <c r="N55" i="11"/>
  <c r="N99" i="11"/>
  <c r="D66" i="12" s="1"/>
  <c r="N66" i="12" s="1"/>
  <c r="N90" i="11"/>
  <c r="D57" i="12" s="1"/>
  <c r="N57" i="12" s="1"/>
  <c r="N241" i="11"/>
  <c r="D208" i="12" s="1"/>
  <c r="N146" i="11"/>
  <c r="D113" i="12" s="1"/>
  <c r="N113" i="12" s="1"/>
  <c r="N456" i="11"/>
  <c r="D423" i="12" s="1"/>
  <c r="N367" i="11"/>
  <c r="D334" i="12" s="1"/>
  <c r="N464" i="11"/>
  <c r="D431" i="12" s="1"/>
  <c r="N82" i="11"/>
  <c r="D49" i="12" s="1"/>
  <c r="N49" i="12" s="1"/>
  <c r="N416" i="11"/>
  <c r="D383" i="12" s="1"/>
  <c r="N502" i="11"/>
  <c r="D469" i="12" s="1"/>
  <c r="N313" i="11"/>
  <c r="D280" i="12" s="1"/>
  <c r="N532" i="11"/>
  <c r="D499" i="12" s="1"/>
  <c r="N566" i="11"/>
  <c r="D533" i="12" s="1"/>
  <c r="N535" i="11"/>
  <c r="D502" i="12" s="1"/>
  <c r="N428" i="11"/>
  <c r="D395" i="12" s="1"/>
  <c r="N509" i="11"/>
  <c r="D476" i="12" s="1"/>
  <c r="N494" i="11"/>
  <c r="D461" i="12" s="1"/>
  <c r="N330" i="11"/>
  <c r="D297" i="12" s="1"/>
  <c r="N162" i="11"/>
  <c r="D129" i="12" s="1"/>
  <c r="N316" i="11"/>
  <c r="D283" i="12" s="1"/>
  <c r="N185" i="11"/>
  <c r="D152" i="12" s="1"/>
  <c r="N451" i="11"/>
  <c r="D418" i="12" s="1"/>
  <c r="N170" i="11"/>
  <c r="D137" i="12" s="1"/>
  <c r="N366" i="11"/>
  <c r="D333" i="12" s="1"/>
  <c r="N496" i="11"/>
  <c r="D463" i="12" s="1"/>
  <c r="N144" i="11"/>
  <c r="D111" i="12" s="1"/>
  <c r="N111" i="12" s="1"/>
  <c r="N156" i="11"/>
  <c r="D123" i="12" s="1"/>
  <c r="N123" i="12" s="1"/>
  <c r="N142" i="11"/>
  <c r="D109" i="12" s="1"/>
  <c r="N109" i="12" s="1"/>
  <c r="N161" i="11"/>
  <c r="D128" i="12" s="1"/>
  <c r="N128" i="12" s="1"/>
  <c r="N301" i="11"/>
  <c r="D268" i="12" s="1"/>
  <c r="N250" i="11"/>
  <c r="D217" i="12" s="1"/>
  <c r="N158" i="11"/>
  <c r="D125" i="12" s="1"/>
  <c r="N125" i="12" s="1"/>
  <c r="N215" i="11"/>
  <c r="D182" i="12" s="1"/>
  <c r="N353" i="11"/>
  <c r="D320" i="12" s="1"/>
  <c r="N304" i="11"/>
  <c r="D271" i="12" s="1"/>
  <c r="N166" i="11"/>
  <c r="D133" i="12" s="1"/>
  <c r="N291" i="11"/>
  <c r="D258" i="12" s="1"/>
  <c r="N18" i="1"/>
  <c r="D67" i="17" s="1"/>
  <c r="N39" i="1"/>
  <c r="D88" i="17" s="1"/>
  <c r="N531" i="11"/>
  <c r="D498" i="12" s="1"/>
  <c r="N625" i="11"/>
  <c r="N565" i="11"/>
  <c r="D532" i="12" s="1"/>
  <c r="N604" i="11"/>
  <c r="N534" i="11"/>
  <c r="D501" i="12" s="1"/>
  <c r="N163" i="11"/>
  <c r="D130" i="12" s="1"/>
  <c r="N507" i="11"/>
  <c r="D474" i="12" s="1"/>
  <c r="N177" i="11"/>
  <c r="D144" i="12" s="1"/>
  <c r="N267" i="11"/>
  <c r="D234" i="12" s="1"/>
  <c r="N387" i="11"/>
  <c r="D354" i="12" s="1"/>
  <c r="N484" i="11"/>
  <c r="D451" i="12" s="1"/>
  <c r="N54" i="11"/>
  <c r="N111" i="11"/>
  <c r="D78" i="12" s="1"/>
  <c r="N78" i="12" s="1"/>
  <c r="N632" i="11"/>
  <c r="N602" i="11"/>
  <c r="N603" i="11"/>
  <c r="N608" i="11"/>
  <c r="N444" i="11"/>
  <c r="D411" i="12" s="1"/>
  <c r="N317" i="11"/>
  <c r="D284" i="12" s="1"/>
  <c r="N292" i="11"/>
  <c r="D259" i="12" s="1"/>
  <c r="N488" i="11"/>
  <c r="D455" i="12" s="1"/>
  <c r="N520" i="11"/>
  <c r="D487" i="12" s="1"/>
  <c r="N417" i="11"/>
  <c r="D384" i="12" s="1"/>
  <c r="N379" i="11"/>
  <c r="D346" i="12" s="1"/>
  <c r="N368" i="11"/>
  <c r="D335" i="12" s="1"/>
  <c r="N22" i="1"/>
  <c r="D71" i="17" s="1"/>
  <c r="N145" i="11"/>
  <c r="D112" i="12" s="1"/>
  <c r="N112" i="12" s="1"/>
  <c r="N307" i="11"/>
  <c r="D274" i="12" s="1"/>
  <c r="N36" i="1"/>
  <c r="D85" i="17" s="1"/>
  <c r="N552" i="11"/>
  <c r="D519" i="12" s="1"/>
  <c r="N577" i="11"/>
  <c r="D544" i="12" s="1"/>
  <c r="N182" i="11"/>
  <c r="D149" i="12" s="1"/>
  <c r="N457" i="11"/>
  <c r="D424" i="12" s="1"/>
  <c r="N351" i="11"/>
  <c r="D318" i="12" s="1"/>
  <c r="N335" i="11"/>
  <c r="D302" i="12" s="1"/>
  <c r="N386" i="11"/>
  <c r="D353" i="12" s="1"/>
  <c r="N398" i="11"/>
  <c r="D365" i="12" s="1"/>
  <c r="N331" i="11"/>
  <c r="D298" i="12" s="1"/>
  <c r="N186" i="11"/>
  <c r="D153" i="12" s="1"/>
  <c r="N59" i="11"/>
  <c r="N538" i="11"/>
  <c r="D505" i="12" s="1"/>
  <c r="N551" i="11"/>
  <c r="D518" i="12" s="1"/>
  <c r="N362" i="11"/>
  <c r="D329" i="12" s="1"/>
  <c r="N487" i="11"/>
  <c r="D454" i="12" s="1"/>
  <c r="N277" i="11"/>
  <c r="D244" i="12" s="1"/>
  <c r="N340" i="11"/>
  <c r="D307" i="12" s="1"/>
  <c r="N423" i="11"/>
  <c r="D390" i="12" s="1"/>
  <c r="N290" i="11"/>
  <c r="D257" i="12" s="1"/>
  <c r="N433" i="11"/>
  <c r="D400" i="12" s="1"/>
  <c r="N66" i="11"/>
  <c r="D33" i="12" s="1"/>
  <c r="N33" i="12" s="1"/>
  <c r="N425" i="11"/>
  <c r="D392" i="12" s="1"/>
  <c r="N279" i="11"/>
  <c r="D246" i="12" s="1"/>
  <c r="N132" i="11"/>
  <c r="D99" i="12" s="1"/>
  <c r="N99" i="12" s="1"/>
  <c r="N193" i="11"/>
  <c r="D160" i="12" s="1"/>
  <c r="N140" i="11"/>
  <c r="D107" i="12" s="1"/>
  <c r="N107" i="12" s="1"/>
  <c r="N155" i="11"/>
  <c r="D122" i="12" s="1"/>
  <c r="N122" i="12" s="1"/>
  <c r="N218" i="11"/>
  <c r="D185" i="12" s="1"/>
  <c r="N127" i="11"/>
  <c r="D94" i="12" s="1"/>
  <c r="N94" i="12" s="1"/>
  <c r="N83" i="11"/>
  <c r="D50" i="12" s="1"/>
  <c r="N50" i="12" s="1"/>
  <c r="D9" i="12" l="1"/>
  <c r="P42" i="11"/>
  <c r="N4" i="11"/>
  <c r="M22" i="11"/>
  <c r="D23" i="12"/>
  <c r="D27" i="12"/>
  <c r="N27" i="12" s="1"/>
  <c r="D17" i="12"/>
  <c r="N17" i="12" s="1"/>
  <c r="N12" i="11"/>
  <c r="D26" i="12"/>
  <c r="N26" i="12" s="1"/>
  <c r="D22" i="12"/>
  <c r="N10" i="11"/>
  <c r="D15" i="12"/>
  <c r="N15" i="12" s="1"/>
  <c r="N11" i="11"/>
  <c r="D16" i="12"/>
  <c r="N16" i="12" s="1"/>
  <c r="N5" i="11"/>
  <c r="D10" i="12"/>
  <c r="D14" i="12"/>
  <c r="N14" i="12" s="1"/>
  <c r="N9" i="11"/>
  <c r="D24" i="12"/>
  <c r="D19" i="12"/>
  <c r="N19" i="12" s="1"/>
  <c r="N14" i="11"/>
  <c r="D31" i="12"/>
  <c r="N31" i="12" s="1"/>
  <c r="D11" i="12"/>
  <c r="N6" i="11"/>
  <c r="D20" i="12"/>
  <c r="N20" i="12" s="1"/>
  <c r="N15" i="11"/>
  <c r="D30" i="12"/>
  <c r="N30" i="12" s="1"/>
  <c r="D13" i="12"/>
  <c r="N8" i="11"/>
  <c r="D29" i="12"/>
  <c r="N29" i="12" s="1"/>
  <c r="D28" i="12"/>
  <c r="N28" i="12" s="1"/>
  <c r="D12" i="12"/>
  <c r="N12" i="12" s="1"/>
  <c r="N7" i="11"/>
  <c r="D18" i="12"/>
  <c r="N18" i="12" s="1"/>
  <c r="N13" i="11"/>
  <c r="D21" i="12"/>
  <c r="N21" i="12" s="1"/>
  <c r="D25" i="12"/>
  <c r="N22" i="12" l="1"/>
  <c r="N23" i="12"/>
  <c r="N24" i="12"/>
  <c r="N13" i="12"/>
  <c r="N10" i="12"/>
  <c r="N25" i="12"/>
  <c r="I42" i="11"/>
  <c r="P4" i="11"/>
  <c r="N11" i="12"/>
  <c r="N9" i="12"/>
  <c r="O9" i="12" s="1"/>
  <c r="I4" i="11" l="1"/>
  <c r="P9" i="12"/>
  <c r="S42" i="11"/>
  <c r="T42" i="11" s="1"/>
  <c r="U42" i="11"/>
  <c r="V42" i="11" s="1"/>
  <c r="Z43" i="11" l="1"/>
  <c r="AC43" i="11" s="1"/>
  <c r="R9" i="12"/>
  <c r="Q9" i="12"/>
  <c r="EB43" i="11" l="1"/>
  <c r="ED43" i="11" s="1"/>
  <c r="EE43" i="11" s="1"/>
  <c r="F43" i="11"/>
  <c r="F5" i="11" s="1"/>
  <c r="AF43" i="11"/>
  <c r="E10" i="12"/>
  <c r="AE43" i="11"/>
  <c r="EG43" i="11" l="1"/>
  <c r="EJ43" i="11" s="1"/>
  <c r="O43" i="11"/>
  <c r="F10" i="12" s="1"/>
  <c r="G10" i="12" s="1"/>
  <c r="AG43" i="11"/>
  <c r="AK43" i="11" s="1"/>
  <c r="O5" i="11" l="1"/>
  <c r="EF43" i="11"/>
  <c r="EK43" i="11"/>
  <c r="K43" i="11" s="1"/>
  <c r="K5" i="11" s="1"/>
  <c r="AD43" i="11"/>
  <c r="G43" i="11"/>
  <c r="G5" i="11" s="1"/>
  <c r="AJ43" i="11"/>
  <c r="J43" i="11" s="1"/>
  <c r="J5" i="11" s="1"/>
  <c r="H10" i="12" l="1"/>
  <c r="EL43" i="11"/>
  <c r="Q43" i="11"/>
  <c r="Q5" i="11" s="1"/>
  <c r="R43" i="11"/>
  <c r="R5" i="11" s="1"/>
  <c r="AL43" i="11"/>
  <c r="P43" i="11"/>
  <c r="P5" i="11" s="1"/>
  <c r="J10" i="12"/>
  <c r="L10" i="12"/>
  <c r="O10" i="12" s="1"/>
  <c r="I10" i="12"/>
  <c r="H43" i="11" l="1"/>
  <c r="H5" i="11" s="1"/>
  <c r="K10" i="12" l="1"/>
  <c r="I43" i="11"/>
  <c r="P10" i="12" l="1"/>
  <c r="I5" i="11"/>
  <c r="S43" i="11"/>
  <c r="T43" i="11" s="1"/>
  <c r="R10" i="12" s="1"/>
  <c r="U43" i="11"/>
  <c r="V43" i="11" s="1"/>
  <c r="Z44" i="11" l="1"/>
  <c r="EB44" i="11" s="1"/>
  <c r="ED44" i="11" s="1"/>
  <c r="EE44" i="11" s="1"/>
  <c r="EG44" i="11" s="1"/>
  <c r="EK44" i="11" s="1"/>
  <c r="Q10" i="12"/>
  <c r="AC44" i="11" l="1"/>
  <c r="AF44" i="11" s="1"/>
  <c r="F44" i="11"/>
  <c r="F6" i="11" s="1"/>
  <c r="EJ44" i="11"/>
  <c r="EL44" i="11" s="1"/>
  <c r="EF44" i="11"/>
  <c r="AE44" i="11" l="1"/>
  <c r="AG44" i="11" s="1"/>
  <c r="E11" i="12"/>
  <c r="O44" i="11"/>
  <c r="F11" i="12" s="1"/>
  <c r="G11" i="12" s="1"/>
  <c r="O6" i="11" l="1"/>
  <c r="AD44" i="11"/>
  <c r="AK44" i="11"/>
  <c r="K44" i="11" s="1"/>
  <c r="AJ44" i="11"/>
  <c r="J44" i="11" s="1"/>
  <c r="G44" i="11"/>
  <c r="AL44" i="11" l="1"/>
  <c r="H44" i="11" s="1"/>
  <c r="K11" i="12" s="1"/>
  <c r="H11" i="12"/>
  <c r="G6" i="11"/>
  <c r="P44" i="11"/>
  <c r="P6" i="11" s="1"/>
  <c r="K6" i="11"/>
  <c r="R44" i="11"/>
  <c r="R6" i="11" s="1"/>
  <c r="H6" i="11"/>
  <c r="Q44" i="11"/>
  <c r="Q6" i="11" s="1"/>
  <c r="J6" i="11"/>
  <c r="I44" i="11" l="1"/>
  <c r="I6" i="11" s="1"/>
  <c r="L11" i="12"/>
  <c r="O11" i="12" s="1"/>
  <c r="J11" i="12"/>
  <c r="I11" i="12"/>
  <c r="U44" i="11" l="1"/>
  <c r="V44" i="11" s="1"/>
  <c r="S44" i="11"/>
  <c r="T44" i="11" s="1"/>
  <c r="P11" i="12"/>
  <c r="S11" i="12" s="1"/>
  <c r="Z45" i="11" l="1"/>
  <c r="EB45" i="11" s="1"/>
  <c r="Q11" i="12"/>
  <c r="R11" i="12"/>
  <c r="ED45" i="11" l="1"/>
  <c r="EE45" i="11" s="1"/>
  <c r="F45" i="11"/>
  <c r="F7" i="11" s="1"/>
  <c r="AC45" i="11"/>
  <c r="EG45" i="11" l="1"/>
  <c r="E12" i="12"/>
  <c r="O45" i="11"/>
  <c r="AE45" i="11"/>
  <c r="AF45" i="11"/>
  <c r="EK45" i="11" l="1"/>
  <c r="EJ45" i="11"/>
  <c r="EF45" i="11"/>
  <c r="AG45" i="11"/>
  <c r="AK45" i="11" s="1"/>
  <c r="F12" i="12"/>
  <c r="G12" i="12" s="1"/>
  <c r="O7" i="11"/>
  <c r="K45" i="11" l="1"/>
  <c r="EL45" i="11"/>
  <c r="G45" i="11"/>
  <c r="H12" i="12" s="1"/>
  <c r="AJ45" i="11"/>
  <c r="J45" i="11" s="1"/>
  <c r="J7" i="11" s="1"/>
  <c r="AD45" i="11"/>
  <c r="K7" i="11"/>
  <c r="G7" i="11" l="1"/>
  <c r="P45" i="11"/>
  <c r="P7" i="11" s="1"/>
  <c r="R45" i="11"/>
  <c r="R7" i="11" s="1"/>
  <c r="Q45" i="11"/>
  <c r="Q7" i="11" s="1"/>
  <c r="AL45" i="11"/>
  <c r="H45" i="11" s="1"/>
  <c r="L12" i="12"/>
  <c r="O12" i="12" s="1"/>
  <c r="J12" i="12"/>
  <c r="I12" i="12"/>
  <c r="K12" i="12" l="1"/>
  <c r="H7" i="11"/>
  <c r="I45" i="11"/>
  <c r="U45" i="11" s="1"/>
  <c r="P12" i="12" l="1"/>
  <c r="S12" i="12" s="1"/>
  <c r="I7" i="11"/>
  <c r="S45" i="11"/>
  <c r="Q12" i="12" s="1"/>
  <c r="V45" i="11"/>
  <c r="T45" i="11" l="1"/>
  <c r="Z46" i="11" s="1"/>
  <c r="EB46" i="11" s="1"/>
  <c r="R12" i="12" l="1"/>
  <c r="AC46" i="11" l="1"/>
  <c r="AF46" i="11" s="1"/>
  <c r="ED46" i="11"/>
  <c r="EE46" i="11" s="1"/>
  <c r="EG46" i="11" s="1"/>
  <c r="F46" i="11"/>
  <c r="F8" i="11" s="1"/>
  <c r="E13" i="12" l="1"/>
  <c r="AE46" i="11"/>
  <c r="AG46" i="11" s="1"/>
  <c r="O46" i="11"/>
  <c r="O8" i="11" s="1"/>
  <c r="EJ46" i="11"/>
  <c r="EK46" i="11"/>
  <c r="EF46" i="11"/>
  <c r="F13" i="12" l="1"/>
  <c r="G13" i="12" s="1"/>
  <c r="EL46" i="11"/>
  <c r="G46" i="11"/>
  <c r="AK46" i="11"/>
  <c r="K46" i="11" s="1"/>
  <c r="AJ46" i="11"/>
  <c r="AD46" i="11"/>
  <c r="K8" i="11" l="1"/>
  <c r="R46" i="11"/>
  <c r="R8" i="11" s="1"/>
  <c r="AL46" i="11"/>
  <c r="H46" i="11" s="1"/>
  <c r="J46" i="11"/>
  <c r="P46" i="11"/>
  <c r="P8" i="11" s="1"/>
  <c r="G8" i="11"/>
  <c r="H13" i="12"/>
  <c r="I13" i="12" l="1"/>
  <c r="J13" i="12"/>
  <c r="L13" i="12"/>
  <c r="O13" i="12" s="1"/>
  <c r="K13" i="12"/>
  <c r="I46" i="11"/>
  <c r="H8" i="11"/>
  <c r="Q46" i="11"/>
  <c r="Q8" i="11" s="1"/>
  <c r="J8" i="11"/>
  <c r="I8" i="11" l="1"/>
  <c r="P13" i="12"/>
  <c r="S13" i="12" s="1"/>
  <c r="U46" i="11"/>
  <c r="S46" i="11"/>
  <c r="T46" i="11" l="1"/>
  <c r="Q13" i="12"/>
  <c r="V46" i="11"/>
  <c r="Z47" i="11" l="1"/>
  <c r="EB47" i="11" s="1"/>
  <c r="R13" i="12"/>
  <c r="ED47" i="11" l="1"/>
  <c r="EE47" i="11" s="1"/>
  <c r="F47" i="11"/>
  <c r="F9" i="11" s="1"/>
  <c r="AC47" i="11"/>
  <c r="EG47" i="11" l="1"/>
  <c r="AF47" i="11"/>
  <c r="O47" i="11"/>
  <c r="AE47" i="11"/>
  <c r="E14" i="12"/>
  <c r="AG47" i="11" l="1"/>
  <c r="G47" i="11" s="1"/>
  <c r="EK47" i="11"/>
  <c r="EJ47" i="11"/>
  <c r="EF47" i="11"/>
  <c r="O9" i="11"/>
  <c r="F14" i="12"/>
  <c r="G14" i="12" s="1"/>
  <c r="AJ47" i="11" l="1"/>
  <c r="J47" i="11" s="1"/>
  <c r="Q47" i="11" s="1"/>
  <c r="Q9" i="11" s="1"/>
  <c r="AK47" i="11"/>
  <c r="K47" i="11" s="1"/>
  <c r="R47" i="11" s="1"/>
  <c r="R9" i="11" s="1"/>
  <c r="AD47" i="11"/>
  <c r="EL47" i="11"/>
  <c r="G9" i="11"/>
  <c r="H14" i="12"/>
  <c r="I14" i="12" s="1"/>
  <c r="P47" i="11"/>
  <c r="P9" i="11" s="1"/>
  <c r="J9" i="11" l="1"/>
  <c r="K9" i="11"/>
  <c r="AL47" i="11"/>
  <c r="H47" i="11" s="1"/>
  <c r="K14" i="12" s="1"/>
  <c r="L14" i="12"/>
  <c r="O14" i="12" s="1"/>
  <c r="J14" i="12"/>
  <c r="I47" i="11" l="1"/>
  <c r="S47" i="11" s="1"/>
  <c r="H9" i="11"/>
  <c r="I9" i="11" l="1"/>
  <c r="P14" i="12"/>
  <c r="S14" i="12" s="1"/>
  <c r="U47" i="11"/>
  <c r="V47" i="11" s="1"/>
  <c r="T47" i="11"/>
  <c r="Q14" i="12"/>
  <c r="Z48" i="11" l="1"/>
  <c r="EB48" i="11" s="1"/>
  <c r="R14" i="12"/>
  <c r="ED48" i="11" l="1"/>
  <c r="EE48" i="11" s="1"/>
  <c r="EG48" i="11" s="1"/>
  <c r="F48" i="11"/>
  <c r="F10" i="11" s="1"/>
  <c r="AC48" i="11"/>
  <c r="EF48" i="11" l="1"/>
  <c r="EJ48" i="11"/>
  <c r="EK48" i="11"/>
  <c r="E15" i="12"/>
  <c r="O48" i="11"/>
  <c r="AF48" i="11"/>
  <c r="AE48" i="11"/>
  <c r="EL48" i="11" l="1"/>
  <c r="AG48" i="11"/>
  <c r="AK48" i="11" s="1"/>
  <c r="K48" i="11" s="1"/>
  <c r="O10" i="11"/>
  <c r="F15" i="12"/>
  <c r="G15" i="12" s="1"/>
  <c r="AD48" i="11" l="1"/>
  <c r="AJ48" i="11"/>
  <c r="AL48" i="11" s="1"/>
  <c r="H48" i="11" s="1"/>
  <c r="G48" i="11"/>
  <c r="P48" i="11" s="1"/>
  <c r="P10" i="11" s="1"/>
  <c r="K10" i="11"/>
  <c r="R48" i="11" l="1"/>
  <c r="R10" i="11" s="1"/>
  <c r="G10" i="11"/>
  <c r="H15" i="12"/>
  <c r="I15" i="12" s="1"/>
  <c r="J48" i="11"/>
  <c r="J10" i="11" s="1"/>
  <c r="K15" i="12"/>
  <c r="H10" i="11"/>
  <c r="I48" i="11"/>
  <c r="L15" i="12" l="1"/>
  <c r="O15" i="12" s="1"/>
  <c r="J15" i="12"/>
  <c r="Q48" i="11"/>
  <c r="Q10" i="11" s="1"/>
  <c r="P15" i="12"/>
  <c r="S15" i="12" s="1"/>
  <c r="I10" i="11"/>
  <c r="U48" i="11"/>
  <c r="S48" i="11"/>
  <c r="Q15" i="12" l="1"/>
  <c r="T48" i="11"/>
  <c r="V48" i="11"/>
  <c r="Z49" i="11" l="1"/>
  <c r="EB49" i="11" s="1"/>
  <c r="R15" i="12"/>
  <c r="ED49" i="11" l="1"/>
  <c r="EE49" i="11" s="1"/>
  <c r="F49" i="11"/>
  <c r="F11" i="11" s="1"/>
  <c r="AC49" i="11"/>
  <c r="EG49" i="11" l="1"/>
  <c r="AF49" i="11"/>
  <c r="E16" i="12"/>
  <c r="AE49" i="11"/>
  <c r="O49" i="11"/>
  <c r="EJ49" i="11" l="1"/>
  <c r="EK49" i="11"/>
  <c r="EF49" i="11"/>
  <c r="AG49" i="11"/>
  <c r="AK49" i="11" s="1"/>
  <c r="F16" i="12"/>
  <c r="G16" i="12" s="1"/>
  <c r="O11" i="11"/>
  <c r="K49" i="11" l="1"/>
  <c r="K11" i="11" s="1"/>
  <c r="EL49" i="11"/>
  <c r="G49" i="11"/>
  <c r="P49" i="11" s="1"/>
  <c r="P11" i="11" s="1"/>
  <c r="AJ49" i="11"/>
  <c r="AL49" i="11" s="1"/>
  <c r="AD49" i="11"/>
  <c r="G11" i="11" l="1"/>
  <c r="R49" i="11"/>
  <c r="R11" i="11" s="1"/>
  <c r="H16" i="12"/>
  <c r="J16" i="12" s="1"/>
  <c r="H49" i="11"/>
  <c r="I49" i="11" s="1"/>
  <c r="J49" i="11"/>
  <c r="Q49" i="11" s="1"/>
  <c r="Q11" i="11" s="1"/>
  <c r="I16" i="12"/>
  <c r="H11" i="11" l="1"/>
  <c r="L16" i="12"/>
  <c r="O16" i="12" s="1"/>
  <c r="J11" i="11"/>
  <c r="K16" i="12"/>
  <c r="P16" i="12"/>
  <c r="I11" i="11"/>
  <c r="S49" i="11"/>
  <c r="U49" i="11"/>
  <c r="S16" i="12" l="1"/>
  <c r="T49" i="11"/>
  <c r="Q16" i="12"/>
  <c r="V49" i="11"/>
  <c r="Z50" i="11" l="1"/>
  <c r="EB50" i="11" s="1"/>
  <c r="R16" i="12"/>
  <c r="ED50" i="11" l="1"/>
  <c r="EE50" i="11" s="1"/>
  <c r="EG50" i="11" s="1"/>
  <c r="EK50" i="11" s="1"/>
  <c r="F50" i="11"/>
  <c r="F12" i="11" s="1"/>
  <c r="AC50" i="11"/>
  <c r="EJ50" i="11" l="1"/>
  <c r="EL50" i="11" s="1"/>
  <c r="EF50" i="11"/>
  <c r="E17" i="12"/>
  <c r="O50" i="11"/>
  <c r="AF50" i="11"/>
  <c r="AE50" i="11"/>
  <c r="AG50" i="11" l="1"/>
  <c r="G50" i="11" s="1"/>
  <c r="O12" i="11"/>
  <c r="F17" i="12"/>
  <c r="G17" i="12" s="1"/>
  <c r="AK50" i="11" l="1"/>
  <c r="K50" i="11" s="1"/>
  <c r="R50" i="11" s="1"/>
  <c r="R12" i="11" s="1"/>
  <c r="AD50" i="11"/>
  <c r="AJ50" i="11"/>
  <c r="J50" i="11" s="1"/>
  <c r="Q50" i="11" s="1"/>
  <c r="Q12" i="11" s="1"/>
  <c r="G12" i="11"/>
  <c r="P50" i="11"/>
  <c r="P12" i="11" s="1"/>
  <c r="H17" i="12"/>
  <c r="K12" i="11" l="1"/>
  <c r="J12" i="11"/>
  <c r="AL50" i="11"/>
  <c r="H50" i="11" s="1"/>
  <c r="H12" i="11" s="1"/>
  <c r="J17" i="12"/>
  <c r="L17" i="12"/>
  <c r="O17" i="12" s="1"/>
  <c r="I17" i="12"/>
  <c r="K17" i="12" l="1"/>
  <c r="I50" i="11"/>
  <c r="P17" i="12" s="1"/>
  <c r="I12" i="11" l="1"/>
  <c r="S50" i="11"/>
  <c r="Q17" i="12" s="1"/>
  <c r="U50" i="11"/>
  <c r="V50" i="11" s="1"/>
  <c r="S17" i="12"/>
  <c r="T50" i="11" l="1"/>
  <c r="Z51" i="11" s="1"/>
  <c r="EB51" i="11" s="1"/>
  <c r="R17" i="12" l="1"/>
  <c r="ED51" i="11"/>
  <c r="EE51" i="11" s="1"/>
  <c r="EG51" i="11" s="1"/>
  <c r="EF51" i="11" s="1"/>
  <c r="F51" i="11"/>
  <c r="F13" i="11" s="1"/>
  <c r="AC51" i="11"/>
  <c r="EJ51" i="11" l="1"/>
  <c r="EK51" i="11"/>
  <c r="O51" i="11"/>
  <c r="E18" i="12"/>
  <c r="AE51" i="11"/>
  <c r="AF51" i="11"/>
  <c r="EL51" i="11" l="1"/>
  <c r="AG51" i="11"/>
  <c r="F18" i="12"/>
  <c r="G18" i="12" s="1"/>
  <c r="O13" i="11"/>
  <c r="AD51" i="11" l="1"/>
  <c r="AJ51" i="11"/>
  <c r="J51" i="11" s="1"/>
  <c r="AK51" i="11"/>
  <c r="K51" i="11" s="1"/>
  <c r="G51" i="11"/>
  <c r="AL51" i="11" l="1"/>
  <c r="H51" i="11" s="1"/>
  <c r="K18" i="12" s="1"/>
  <c r="G13" i="11"/>
  <c r="H18" i="12"/>
  <c r="P51" i="11"/>
  <c r="P13" i="11" s="1"/>
  <c r="Q51" i="11"/>
  <c r="Q13" i="11" s="1"/>
  <c r="J13" i="11"/>
  <c r="R51" i="11"/>
  <c r="R13" i="11" s="1"/>
  <c r="K13" i="11"/>
  <c r="H13" i="11" l="1"/>
  <c r="I51" i="11"/>
  <c r="S51" i="11" s="1"/>
  <c r="L18" i="12"/>
  <c r="O18" i="12" s="1"/>
  <c r="J18" i="12"/>
  <c r="I18" i="12"/>
  <c r="U51" i="11"/>
  <c r="P18" i="12" l="1"/>
  <c r="S18" i="12" s="1"/>
  <c r="I13" i="11"/>
  <c r="Q18" i="12"/>
  <c r="T51" i="11"/>
  <c r="V51" i="11"/>
  <c r="Z52" i="11" l="1"/>
  <c r="EB52" i="11" s="1"/>
  <c r="R18" i="12"/>
  <c r="ED52" i="11" l="1"/>
  <c r="EE52" i="11" s="1"/>
  <c r="EG52" i="11" s="1"/>
  <c r="EF52" i="11" s="1"/>
  <c r="F52" i="11"/>
  <c r="F14" i="11" s="1"/>
  <c r="AC52" i="11"/>
  <c r="EJ52" i="11" l="1"/>
  <c r="EK52" i="11"/>
  <c r="E19" i="12"/>
  <c r="O52" i="11"/>
  <c r="AE52" i="11"/>
  <c r="AF52" i="11"/>
  <c r="EL52" i="11" l="1"/>
  <c r="AG52" i="11"/>
  <c r="O14" i="11"/>
  <c r="F19" i="12"/>
  <c r="G19" i="12" s="1"/>
  <c r="AJ52" i="11" l="1"/>
  <c r="G52" i="11"/>
  <c r="AK52" i="11"/>
  <c r="AD52" i="11"/>
  <c r="AL52" i="11" l="1"/>
  <c r="H52" i="11" s="1"/>
  <c r="H19" i="12"/>
  <c r="P52" i="11"/>
  <c r="G14" i="11"/>
  <c r="K52" i="11"/>
  <c r="J52" i="11"/>
  <c r="P14" i="11" l="1"/>
  <c r="L19" i="12"/>
  <c r="O19" i="12" s="1"/>
  <c r="J19" i="12"/>
  <c r="I19" i="12"/>
  <c r="K14" i="11"/>
  <c r="R52" i="11"/>
  <c r="R14" i="11" s="1"/>
  <c r="J14" i="11"/>
  <c r="Q52" i="11"/>
  <c r="Q14" i="11" s="1"/>
  <c r="I52" i="11"/>
  <c r="K19" i="12"/>
  <c r="H14" i="11"/>
  <c r="P19" i="12" l="1"/>
  <c r="S19" i="12" s="1"/>
  <c r="I14" i="11"/>
  <c r="U52" i="11"/>
  <c r="S52" i="11"/>
  <c r="Q19" i="12" l="1"/>
  <c r="T52" i="11"/>
  <c r="V52" i="11"/>
  <c r="Z53" i="11" l="1"/>
  <c r="EB53" i="11" s="1"/>
  <c r="R19" i="12"/>
  <c r="ED53" i="11" l="1"/>
  <c r="EE53" i="11" s="1"/>
  <c r="F53" i="11"/>
  <c r="F15" i="11" s="1"/>
  <c r="AC53" i="11"/>
  <c r="EG53" i="11" l="1"/>
  <c r="K37" i="11"/>
  <c r="J37" i="11" s="1"/>
  <c r="AF53" i="11"/>
  <c r="AE53" i="11"/>
  <c r="O53" i="11"/>
  <c r="E20" i="12"/>
  <c r="K29" i="11"/>
  <c r="J29" i="11" s="1"/>
  <c r="AG53" i="11" l="1"/>
  <c r="AD53" i="11" s="1"/>
  <c r="EJ53" i="11"/>
  <c r="P37" i="11" s="1"/>
  <c r="EK53" i="11"/>
  <c r="Q37" i="11" s="1"/>
  <c r="M37" i="11"/>
  <c r="L37" i="11" s="1"/>
  <c r="EF53" i="11"/>
  <c r="O15" i="11"/>
  <c r="F20" i="12"/>
  <c r="G20" i="12" s="1"/>
  <c r="N22" i="11"/>
  <c r="AJ53" i="11"/>
  <c r="G53" i="11"/>
  <c r="M29" i="11"/>
  <c r="L29" i="11" s="1"/>
  <c r="AK53" i="11" l="1"/>
  <c r="K53" i="11" s="1"/>
  <c r="EL53" i="11"/>
  <c r="R37" i="11" s="1"/>
  <c r="J53" i="11"/>
  <c r="P29" i="11"/>
  <c r="P53" i="11"/>
  <c r="H20" i="12"/>
  <c r="G15" i="11"/>
  <c r="F22" i="11"/>
  <c r="Q29" i="11" l="1"/>
  <c r="AL53" i="11"/>
  <c r="H53" i="11" s="1"/>
  <c r="L20" i="12"/>
  <c r="O20" i="12" s="1"/>
  <c r="J20" i="12"/>
  <c r="P15" i="11"/>
  <c r="O22" i="11"/>
  <c r="J15" i="11"/>
  <c r="Q53" i="11"/>
  <c r="Q15" i="11" s="1"/>
  <c r="I22" i="11"/>
  <c r="P22" i="11" s="1"/>
  <c r="R29" i="11"/>
  <c r="R38" i="11" s="1"/>
  <c r="I20" i="12"/>
  <c r="K15" i="11"/>
  <c r="R53" i="11"/>
  <c r="R15" i="11" s="1"/>
  <c r="J22" i="11"/>
  <c r="Q22" i="11" s="1"/>
  <c r="I53" i="11" l="1"/>
  <c r="H15" i="11"/>
  <c r="K20" i="12"/>
  <c r="G22" i="11"/>
  <c r="S29" i="11"/>
  <c r="S35" i="11"/>
  <c r="S32" i="11"/>
  <c r="S30" i="11"/>
  <c r="S31" i="11"/>
  <c r="S36" i="11"/>
  <c r="S37" i="11"/>
  <c r="S33" i="11"/>
  <c r="S34" i="11"/>
  <c r="I15" i="11" l="1"/>
  <c r="P20" i="12"/>
  <c r="S20" i="12" s="1"/>
  <c r="H22" i="11"/>
  <c r="S53" i="11"/>
  <c r="U53" i="11"/>
  <c r="T53" i="11" l="1"/>
  <c r="Q20" i="12"/>
  <c r="V53" i="11"/>
  <c r="G65" i="17" l="1"/>
  <c r="O16" i="1"/>
  <c r="Z54" i="11"/>
  <c r="EB54" i="11" s="1"/>
  <c r="R20" i="12"/>
  <c r="F65" i="17" l="1"/>
  <c r="E65" i="17"/>
  <c r="ED54" i="11"/>
  <c r="EE54" i="11" s="1"/>
  <c r="EG54" i="11" s="1"/>
  <c r="EF54" i="11" s="1"/>
  <c r="F54" i="11"/>
  <c r="AC54" i="11"/>
  <c r="EJ54" i="11" l="1"/>
  <c r="EK54" i="11"/>
  <c r="AF54" i="11"/>
  <c r="E21" i="12"/>
  <c r="O54" i="11"/>
  <c r="F21" i="12" s="1"/>
  <c r="AE54" i="11"/>
  <c r="EL54" i="11" l="1"/>
  <c r="AG54" i="11"/>
  <c r="AD54" i="11" s="1"/>
  <c r="G21" i="12"/>
  <c r="G54" i="11" l="1"/>
  <c r="H21" i="12" s="1"/>
  <c r="AJ54" i="11"/>
  <c r="J54" i="11" s="1"/>
  <c r="AK54" i="11"/>
  <c r="K54" i="11" s="1"/>
  <c r="P54" i="11" l="1"/>
  <c r="R54" i="11"/>
  <c r="Q54" i="11"/>
  <c r="AL54" i="11"/>
  <c r="H54" i="11" s="1"/>
  <c r="K21" i="12" s="1"/>
  <c r="J21" i="12"/>
  <c r="L21" i="12"/>
  <c r="O21" i="12" s="1"/>
  <c r="I21" i="12"/>
  <c r="I54" i="11" l="1"/>
  <c r="U54" i="11" l="1"/>
  <c r="V54" i="11" s="1"/>
  <c r="S54" i="11"/>
  <c r="P21" i="12"/>
  <c r="T54" i="11" l="1"/>
  <c r="Q21" i="12"/>
  <c r="Z55" i="11" l="1"/>
  <c r="EB55" i="11" s="1"/>
  <c r="R21" i="12"/>
  <c r="AC55" i="11" l="1"/>
  <c r="F55" i="11"/>
  <c r="ED55" i="11" l="1"/>
  <c r="EE55" i="11" s="1"/>
  <c r="EG55" i="11" s="1"/>
  <c r="EF55" i="11" s="1"/>
  <c r="AE55" i="11"/>
  <c r="E22" i="12"/>
  <c r="AF55" i="11"/>
  <c r="O55" i="11" l="1"/>
  <c r="F22" i="12" s="1"/>
  <c r="G22" i="12" s="1"/>
  <c r="AG55" i="11"/>
  <c r="EJ55" i="11"/>
  <c r="EK55" i="11"/>
  <c r="EL55" i="11" l="1"/>
  <c r="AK55" i="11"/>
  <c r="K55" i="11" s="1"/>
  <c r="AJ55" i="11"/>
  <c r="J55" i="11" s="1"/>
  <c r="AD55" i="11"/>
  <c r="G55" i="11"/>
  <c r="Q55" i="11" l="1"/>
  <c r="AL55" i="11"/>
  <c r="H55" i="11" s="1"/>
  <c r="K22" i="12" s="1"/>
  <c r="P55" i="11"/>
  <c r="H22" i="12"/>
  <c r="R55" i="11"/>
  <c r="I55" i="11" l="1"/>
  <c r="S55" i="11" s="1"/>
  <c r="I22" i="12"/>
  <c r="L22" i="12"/>
  <c r="O22" i="12" s="1"/>
  <c r="J22" i="12"/>
  <c r="P22" i="12" l="1"/>
  <c r="S22" i="12" s="1"/>
  <c r="U55" i="11"/>
  <c r="V55" i="11" s="1"/>
  <c r="T55" i="11"/>
  <c r="Q22" i="12"/>
  <c r="Z56" i="11" l="1"/>
  <c r="EB56" i="11" s="1"/>
  <c r="R22" i="12"/>
  <c r="F56" i="11" l="1"/>
  <c r="AC56" i="11"/>
  <c r="ED56" i="11"/>
  <c r="EE56" i="11" s="1"/>
  <c r="EG56" i="11" s="1"/>
  <c r="EF56" i="11" l="1"/>
  <c r="EJ56" i="11"/>
  <c r="EK56" i="11"/>
  <c r="E23" i="12"/>
  <c r="O56" i="11"/>
  <c r="F23" i="12" s="1"/>
  <c r="G23" i="12" s="1"/>
  <c r="AE56" i="11"/>
  <c r="AF56" i="11"/>
  <c r="AG56" i="11" l="1"/>
  <c r="G56" i="11" s="1"/>
  <c r="EL56" i="11"/>
  <c r="AD56" i="11" l="1"/>
  <c r="AJ56" i="11"/>
  <c r="J56" i="11" s="1"/>
  <c r="Q56" i="11" s="1"/>
  <c r="AK56" i="11"/>
  <c r="K56" i="11" s="1"/>
  <c r="R56" i="11" s="1"/>
  <c r="H23" i="12"/>
  <c r="P56" i="11"/>
  <c r="AL56" i="11" l="1"/>
  <c r="H56" i="11" s="1"/>
  <c r="K23" i="12" s="1"/>
  <c r="J23" i="12"/>
  <c r="L23" i="12"/>
  <c r="O23" i="12" s="1"/>
  <c r="I23" i="12"/>
  <c r="I56" i="11" l="1"/>
  <c r="P23" i="12" s="1"/>
  <c r="S23" i="12" s="1"/>
  <c r="U56" i="11" l="1"/>
  <c r="V56" i="11" s="1"/>
  <c r="S56" i="11"/>
  <c r="Q23" i="12" s="1"/>
  <c r="T56" i="11" l="1"/>
  <c r="Z57" i="11" s="1"/>
  <c r="EB57" i="11" s="1"/>
  <c r="R23" i="12" l="1"/>
  <c r="F57" i="11"/>
  <c r="AC57" i="11"/>
  <c r="ED57" i="11"/>
  <c r="EE57" i="11" s="1"/>
  <c r="EG57" i="11" s="1"/>
  <c r="AF57" i="11" l="1"/>
  <c r="O57" i="11"/>
  <c r="E24" i="12"/>
  <c r="AE57" i="11"/>
  <c r="EF57" i="11"/>
  <c r="EJ57" i="11"/>
  <c r="EK57" i="11"/>
  <c r="AG57" i="11" l="1"/>
  <c r="AD57" i="11" s="1"/>
  <c r="EL57" i="11"/>
  <c r="F24" i="12"/>
  <c r="G24" i="12" s="1"/>
  <c r="AK57" i="11" l="1"/>
  <c r="K57" i="11" s="1"/>
  <c r="AJ57" i="11"/>
  <c r="J57" i="11" s="1"/>
  <c r="G57" i="11"/>
  <c r="H24" i="12" s="1"/>
  <c r="P57" i="11" l="1"/>
  <c r="Q57" i="11"/>
  <c r="R57" i="11"/>
  <c r="AL57" i="11"/>
  <c r="H57" i="11" s="1"/>
  <c r="K24" i="12" s="1"/>
  <c r="L24" i="12"/>
  <c r="O24" i="12" s="1"/>
  <c r="J24" i="12"/>
  <c r="I24" i="12"/>
  <c r="I57" i="11" l="1"/>
  <c r="S57" i="11" s="1"/>
  <c r="T57" i="11" s="1"/>
  <c r="U57" i="11" l="1"/>
  <c r="V57" i="11" s="1"/>
  <c r="Q24" i="12"/>
  <c r="P24" i="12"/>
  <c r="S24" i="12" s="1"/>
  <c r="Z58" i="11"/>
  <c r="EB58" i="11" s="1"/>
  <c r="R24" i="12"/>
  <c r="ED58" i="11" l="1"/>
  <c r="EE58" i="11" s="1"/>
  <c r="EG58" i="11" s="1"/>
  <c r="AC58" i="11"/>
  <c r="F58" i="11"/>
  <c r="O58" i="11" l="1"/>
  <c r="AE58" i="11"/>
  <c r="E25" i="12"/>
  <c r="AF58" i="11"/>
  <c r="EF58" i="11"/>
  <c r="EK58" i="11"/>
  <c r="EJ58" i="11"/>
  <c r="EL58" i="11" l="1"/>
  <c r="F25" i="12"/>
  <c r="G25" i="12" s="1"/>
  <c r="AG58" i="11"/>
  <c r="AK58" i="11" l="1"/>
  <c r="K58" i="11" s="1"/>
  <c r="AJ58" i="11"/>
  <c r="J58" i="11" s="1"/>
  <c r="AD58" i="11"/>
  <c r="G58" i="11"/>
  <c r="AL58" i="11" l="1"/>
  <c r="H58" i="11" s="1"/>
  <c r="K25" i="12" s="1"/>
  <c r="P58" i="11"/>
  <c r="H25" i="12"/>
  <c r="Q58" i="11"/>
  <c r="R58" i="11"/>
  <c r="I58" i="11" l="1"/>
  <c r="P25" i="12" s="1"/>
  <c r="S25" i="12" s="1"/>
  <c r="I25" i="12"/>
  <c r="L25" i="12"/>
  <c r="O25" i="12" s="1"/>
  <c r="J25" i="12"/>
  <c r="U58" i="11" l="1"/>
  <c r="V58" i="11" s="1"/>
  <c r="S58" i="11"/>
  <c r="Q25" i="12" s="1"/>
  <c r="T58" i="11" l="1"/>
  <c r="Z59" i="11" s="1"/>
  <c r="EB59" i="11" s="1"/>
  <c r="R25" i="12" l="1"/>
  <c r="AC59" i="11"/>
  <c r="ED59" i="11"/>
  <c r="EE59" i="11" s="1"/>
  <c r="EG59" i="11" s="1"/>
  <c r="F59" i="11"/>
  <c r="EF59" i="11" l="1"/>
  <c r="EK59" i="11"/>
  <c r="EJ59" i="11"/>
  <c r="AF59" i="11"/>
  <c r="AE59" i="11"/>
  <c r="E26" i="12"/>
  <c r="O59" i="11"/>
  <c r="F26" i="12" s="1"/>
  <c r="G26" i="12" s="1"/>
  <c r="EL59" i="11" l="1"/>
  <c r="AG59" i="11"/>
  <c r="AJ59" i="11" s="1"/>
  <c r="J59" i="11" s="1"/>
  <c r="AD59" i="11" l="1"/>
  <c r="G59" i="11"/>
  <c r="Q59" i="11" s="1"/>
  <c r="AK59" i="11"/>
  <c r="K59" i="11" s="1"/>
  <c r="R59" i="11" l="1"/>
  <c r="P59" i="11"/>
  <c r="H26" i="12"/>
  <c r="J26" i="12" s="1"/>
  <c r="AL59" i="11"/>
  <c r="H59" i="11" s="1"/>
  <c r="I59" i="11" l="1"/>
  <c r="I26" i="12"/>
  <c r="L26" i="12"/>
  <c r="O26" i="12" s="1"/>
  <c r="K26" i="12"/>
  <c r="P26" i="12"/>
  <c r="S59" i="11"/>
  <c r="U59" i="11"/>
  <c r="V59" i="11" s="1"/>
  <c r="S26" i="12" l="1"/>
  <c r="Q26" i="12"/>
  <c r="T59" i="11"/>
  <c r="Z60" i="11" l="1"/>
  <c r="EB60" i="11" s="1"/>
  <c r="R26" i="12"/>
  <c r="F60" i="11" l="1"/>
  <c r="AC60" i="11"/>
  <c r="ED60" i="11" l="1"/>
  <c r="EE60" i="11" s="1"/>
  <c r="EG60" i="11" s="1"/>
  <c r="EF60" i="11" s="1"/>
  <c r="AE60" i="11"/>
  <c r="AF60" i="11"/>
  <c r="E27" i="12"/>
  <c r="AG60" i="11" l="1"/>
  <c r="O60" i="11"/>
  <c r="F27" i="12" s="1"/>
  <c r="G27" i="12" s="1"/>
  <c r="EJ60" i="11"/>
  <c r="EK60" i="11"/>
  <c r="EL60" i="11" l="1"/>
  <c r="AK60" i="11"/>
  <c r="K60" i="11" s="1"/>
  <c r="AJ60" i="11"/>
  <c r="J60" i="11" s="1"/>
  <c r="AD60" i="11"/>
  <c r="G60" i="11"/>
  <c r="AL60" i="11" l="1"/>
  <c r="H60" i="11" s="1"/>
  <c r="K27" i="12" s="1"/>
  <c r="H27" i="12"/>
  <c r="P60" i="11"/>
  <c r="Q60" i="11"/>
  <c r="R60" i="11"/>
  <c r="I60" i="11" l="1"/>
  <c r="U60" i="11" s="1"/>
  <c r="V60" i="11" s="1"/>
  <c r="J27" i="12"/>
  <c r="L27" i="12"/>
  <c r="O27" i="12" s="1"/>
  <c r="I27" i="12"/>
  <c r="P27" i="12" l="1"/>
  <c r="S27" i="12" s="1"/>
  <c r="S60" i="11"/>
  <c r="Q27" i="12" s="1"/>
  <c r="T60" i="11" l="1"/>
  <c r="R27" i="12" s="1"/>
  <c r="Z61" i="11" l="1"/>
  <c r="EB61" i="11" s="1"/>
  <c r="ED61" i="11" s="1"/>
  <c r="EE61" i="11" s="1"/>
  <c r="EG61" i="11" s="1"/>
  <c r="F61" i="11" l="1"/>
  <c r="AC61" i="11"/>
  <c r="AF61" i="11" s="1"/>
  <c r="EF61" i="11"/>
  <c r="EJ61" i="11"/>
  <c r="EK61" i="11"/>
  <c r="AE61" i="11" l="1"/>
  <c r="AG61" i="11" s="1"/>
  <c r="O61" i="11"/>
  <c r="E28" i="12"/>
  <c r="EL61" i="11"/>
  <c r="F28" i="12" l="1"/>
  <c r="G28" i="12" s="1"/>
  <c r="G61" i="11"/>
  <c r="AK61" i="11"/>
  <c r="K61" i="11" s="1"/>
  <c r="AD61" i="11"/>
  <c r="AJ61" i="11"/>
  <c r="J61" i="11" s="1"/>
  <c r="Q61" i="11" s="1"/>
  <c r="R61" i="11" l="1"/>
  <c r="H28" i="12"/>
  <c r="P61" i="11"/>
  <c r="AL61" i="11"/>
  <c r="H61" i="11" s="1"/>
  <c r="K28" i="12" s="1"/>
  <c r="I61" i="11" l="1"/>
  <c r="J28" i="12"/>
  <c r="L28" i="12"/>
  <c r="O28" i="12" s="1"/>
  <c r="I28" i="12"/>
  <c r="S61" i="11" l="1"/>
  <c r="P28" i="12"/>
  <c r="S28" i="12" s="1"/>
  <c r="U61" i="11"/>
  <c r="V61" i="11" s="1"/>
  <c r="T61" i="11" l="1"/>
  <c r="Q28" i="12"/>
  <c r="Z62" i="11" l="1"/>
  <c r="EB62" i="11" s="1"/>
  <c r="R28" i="12"/>
  <c r="ED62" i="11" l="1"/>
  <c r="EE62" i="11" s="1"/>
  <c r="EG62" i="11" s="1"/>
  <c r="F62" i="11"/>
  <c r="AC62" i="11"/>
  <c r="O62" i="11" l="1"/>
  <c r="E29" i="12"/>
  <c r="AF62" i="11"/>
  <c r="AE62" i="11"/>
  <c r="EF62" i="11"/>
  <c r="EJ62" i="11"/>
  <c r="EK62" i="11"/>
  <c r="EL62" i="11" l="1"/>
  <c r="F29" i="12"/>
  <c r="G29" i="12" s="1"/>
  <c r="AG62" i="11"/>
  <c r="G62" i="11" l="1"/>
  <c r="AD62" i="11"/>
  <c r="AJ62" i="11"/>
  <c r="J62" i="11" s="1"/>
  <c r="Q62" i="11" s="1"/>
  <c r="AK62" i="11"/>
  <c r="K62" i="11" s="1"/>
  <c r="R62" i="11" s="1"/>
  <c r="AL62" i="11" l="1"/>
  <c r="H62" i="11" s="1"/>
  <c r="H29" i="12"/>
  <c r="P62" i="11"/>
  <c r="J29" i="12" l="1"/>
  <c r="L29" i="12"/>
  <c r="O29" i="12" s="1"/>
  <c r="I29" i="12"/>
  <c r="K29" i="12"/>
  <c r="I62" i="11"/>
  <c r="S62" i="11" l="1"/>
  <c r="U62" i="11"/>
  <c r="V62" i="11" s="1"/>
  <c r="P29" i="12"/>
  <c r="S29" i="12" s="1"/>
  <c r="T62" i="11" l="1"/>
  <c r="Q29" i="12"/>
  <c r="Z63" i="11" l="1"/>
  <c r="EB63" i="11" s="1"/>
  <c r="R29" i="12"/>
  <c r="F63" i="11" l="1"/>
  <c r="AC63" i="11"/>
  <c r="AF63" i="11" l="1"/>
  <c r="E30" i="12"/>
  <c r="AE63" i="11"/>
  <c r="ED63" i="11"/>
  <c r="EE63" i="11" s="1"/>
  <c r="EG63" i="11" s="1"/>
  <c r="EF63" i="11" s="1"/>
  <c r="AG63" i="11" l="1"/>
  <c r="AD63" i="11" s="1"/>
  <c r="O63" i="11"/>
  <c r="F30" i="12" s="1"/>
  <c r="G30" i="12" s="1"/>
  <c r="EJ63" i="11"/>
  <c r="EK63" i="11"/>
  <c r="AK63" i="11" l="1"/>
  <c r="K63" i="11" s="1"/>
  <c r="AJ63" i="11"/>
  <c r="J63" i="11" s="1"/>
  <c r="G63" i="11"/>
  <c r="H30" i="12" s="1"/>
  <c r="EL63" i="11"/>
  <c r="P63" i="11" l="1"/>
  <c r="R63" i="11"/>
  <c r="AL63" i="11"/>
  <c r="H63" i="11" s="1"/>
  <c r="K30" i="12" s="1"/>
  <c r="Q63" i="11"/>
  <c r="L30" i="12"/>
  <c r="O30" i="12" s="1"/>
  <c r="J30" i="12"/>
  <c r="I30" i="12"/>
  <c r="I63" i="11" l="1"/>
  <c r="U63" i="11" s="1"/>
  <c r="V63" i="11" s="1"/>
  <c r="S63" i="11" l="1"/>
  <c r="Q30" i="12" s="1"/>
  <c r="P30" i="12"/>
  <c r="S30" i="12" s="1"/>
  <c r="T63" i="11" l="1"/>
  <c r="Z64" i="11" s="1"/>
  <c r="EB64" i="11" s="1"/>
  <c r="R30" i="12" l="1"/>
  <c r="F64" i="11"/>
  <c r="AC64" i="11"/>
  <c r="AF64" i="11" l="1"/>
  <c r="AE64" i="11"/>
  <c r="E31" i="12"/>
  <c r="ED64" i="11"/>
  <c r="EE64" i="11" s="1"/>
  <c r="EG64" i="11" s="1"/>
  <c r="EJ64" i="11" l="1"/>
  <c r="EK64" i="11"/>
  <c r="EF64" i="11"/>
  <c r="O64" i="11"/>
  <c r="F31" i="12" s="1"/>
  <c r="G31" i="12" s="1"/>
  <c r="AG64" i="11"/>
  <c r="EL64" i="11" l="1"/>
  <c r="AD64" i="11"/>
  <c r="AK64" i="11"/>
  <c r="K64" i="11" s="1"/>
  <c r="G64" i="11"/>
  <c r="AJ64" i="11"/>
  <c r="J64" i="11" s="1"/>
  <c r="Q64" i="11" s="1"/>
  <c r="R64" i="11" l="1"/>
  <c r="P64" i="11"/>
  <c r="H31" i="12"/>
  <c r="AL64" i="11"/>
  <c r="H64" i="11" s="1"/>
  <c r="K31" i="12" l="1"/>
  <c r="I64" i="11"/>
  <c r="L31" i="12"/>
  <c r="O31" i="12" s="1"/>
  <c r="J31" i="12"/>
  <c r="I31" i="12"/>
  <c r="U64" i="11" l="1"/>
  <c r="V64" i="11" s="1"/>
  <c r="P31" i="12"/>
  <c r="S31" i="12" s="1"/>
  <c r="S64" i="11"/>
  <c r="T64" i="11" l="1"/>
  <c r="Q31" i="12"/>
  <c r="Z65" i="11" l="1"/>
  <c r="EB65" i="11" s="1"/>
  <c r="R31" i="12"/>
  <c r="AC65" i="11" l="1"/>
  <c r="F65" i="11"/>
  <c r="ED65" i="11" l="1"/>
  <c r="EE65" i="11" s="1"/>
  <c r="EG65" i="11" s="1"/>
  <c r="EF65" i="11" s="1"/>
  <c r="E32" i="12"/>
  <c r="AF65" i="11"/>
  <c r="AE65" i="11"/>
  <c r="AG65" i="11" l="1"/>
  <c r="G65" i="11" s="1"/>
  <c r="O65" i="11"/>
  <c r="F32" i="12" s="1"/>
  <c r="G32" i="12" s="1"/>
  <c r="EK65" i="11"/>
  <c r="EJ65" i="11"/>
  <c r="AK65" i="11" l="1"/>
  <c r="K65" i="11" s="1"/>
  <c r="R65" i="11" s="1"/>
  <c r="AD65" i="11"/>
  <c r="AJ65" i="11"/>
  <c r="EL65" i="11"/>
  <c r="P65" i="11"/>
  <c r="H32" i="12"/>
  <c r="AL65" i="11" l="1"/>
  <c r="H65" i="11" s="1"/>
  <c r="K32" i="12" s="1"/>
  <c r="J65" i="11"/>
  <c r="Q65" i="11" s="1"/>
  <c r="L32" i="12"/>
  <c r="O32" i="12" s="1"/>
  <c r="J32" i="12"/>
  <c r="I32" i="12"/>
  <c r="I65" i="11" l="1"/>
  <c r="U65" i="11" s="1"/>
  <c r="V65" i="11" s="1"/>
  <c r="P17" i="1" l="1"/>
  <c r="G66" i="17" s="1"/>
  <c r="S65" i="11"/>
  <c r="T65" i="11" s="1"/>
  <c r="P32" i="12"/>
  <c r="S32" i="12" s="1"/>
  <c r="O17" i="1" l="1"/>
  <c r="Q32" i="12"/>
  <c r="Z66" i="11"/>
  <c r="EB66" i="11" s="1"/>
  <c r="R32" i="12"/>
  <c r="F66" i="17" l="1"/>
  <c r="E66" i="17"/>
  <c r="ED66" i="11"/>
  <c r="EE66" i="11" s="1"/>
  <c r="EG66" i="11" s="1"/>
  <c r="AC66" i="11"/>
  <c r="F66" i="11"/>
  <c r="E33" i="12" l="1"/>
  <c r="AF66" i="11"/>
  <c r="AE66" i="11"/>
  <c r="O66" i="11"/>
  <c r="EF66" i="11"/>
  <c r="EJ66" i="11"/>
  <c r="EK66" i="11"/>
  <c r="F33" i="12" l="1"/>
  <c r="G33" i="12" s="1"/>
  <c r="AG66" i="11"/>
  <c r="EL66" i="11"/>
  <c r="G66" i="11" l="1"/>
  <c r="AJ66" i="11"/>
  <c r="J66" i="11" s="1"/>
  <c r="AK66" i="11"/>
  <c r="K66" i="11" s="1"/>
  <c r="AD66" i="11"/>
  <c r="R66" i="11" l="1"/>
  <c r="Q66" i="11"/>
  <c r="AL66" i="11"/>
  <c r="H66" i="11" s="1"/>
  <c r="H33" i="12"/>
  <c r="P66" i="11"/>
  <c r="L33" i="12" l="1"/>
  <c r="O33" i="12" s="1"/>
  <c r="J33" i="12"/>
  <c r="I33" i="12"/>
  <c r="K33" i="12"/>
  <c r="I66" i="11"/>
  <c r="S66" i="11" l="1"/>
  <c r="P33" i="12"/>
  <c r="S33" i="12" s="1"/>
  <c r="U66" i="11"/>
  <c r="V66" i="11" s="1"/>
  <c r="T66" i="11" l="1"/>
  <c r="Q33" i="12"/>
  <c r="Z67" i="11" l="1"/>
  <c r="EB67" i="11" s="1"/>
  <c r="R33" i="12"/>
  <c r="F67" i="11" l="1"/>
  <c r="AC67" i="11"/>
  <c r="ED67" i="11" l="1"/>
  <c r="EE67" i="11" s="1"/>
  <c r="EG67" i="11" s="1"/>
  <c r="EF67" i="11" s="1"/>
  <c r="E34" i="12"/>
  <c r="AF67" i="11"/>
  <c r="AE67" i="11"/>
  <c r="AG67" i="11" l="1"/>
  <c r="AJ67" i="11" s="1"/>
  <c r="O67" i="11"/>
  <c r="F34" i="12" s="1"/>
  <c r="G34" i="12" s="1"/>
  <c r="EJ67" i="11"/>
  <c r="EK67" i="11"/>
  <c r="AK67" i="11" l="1"/>
  <c r="AL67" i="11" s="1"/>
  <c r="AD67" i="11"/>
  <c r="G67" i="11"/>
  <c r="H34" i="12" s="1"/>
  <c r="EL67" i="11"/>
  <c r="J67" i="11"/>
  <c r="K67" i="11" l="1"/>
  <c r="R67" i="11" s="1"/>
  <c r="P67" i="11"/>
  <c r="Q67" i="11"/>
  <c r="H67" i="11"/>
  <c r="K34" i="12" s="1"/>
  <c r="J34" i="12"/>
  <c r="L34" i="12"/>
  <c r="O34" i="12" s="1"/>
  <c r="I34" i="12"/>
  <c r="I67" i="11" l="1"/>
  <c r="S67" i="11" s="1"/>
  <c r="T67" i="11" s="1"/>
  <c r="P34" i="12" l="1"/>
  <c r="S34" i="12" s="1"/>
  <c r="U67" i="11"/>
  <c r="V67" i="11" s="1"/>
  <c r="Q34" i="12"/>
  <c r="Z68" i="11"/>
  <c r="EB68" i="11" s="1"/>
  <c r="R34" i="12"/>
  <c r="F68" i="11" l="1"/>
  <c r="ED68" i="11"/>
  <c r="EE68" i="11" s="1"/>
  <c r="EG68" i="11" s="1"/>
  <c r="AC68" i="11"/>
  <c r="EF68" i="11" l="1"/>
  <c r="EJ68" i="11"/>
  <c r="EK68" i="11"/>
  <c r="E35" i="12"/>
  <c r="AE68" i="11"/>
  <c r="AF68" i="11"/>
  <c r="O68" i="11"/>
  <c r="F35" i="12" s="1"/>
  <c r="G35" i="12" s="1"/>
  <c r="EL68" i="11" l="1"/>
  <c r="AG68" i="11"/>
  <c r="G68" i="11" l="1"/>
  <c r="AD68" i="11"/>
  <c r="AJ68" i="11"/>
  <c r="AK68" i="11"/>
  <c r="K68" i="11" s="1"/>
  <c r="R68" i="11" l="1"/>
  <c r="AL68" i="11"/>
  <c r="H68" i="11" s="1"/>
  <c r="J68" i="11"/>
  <c r="Q68" i="11" s="1"/>
  <c r="P68" i="11"/>
  <c r="H35" i="12"/>
  <c r="I35" i="12" l="1"/>
  <c r="L35" i="12"/>
  <c r="O35" i="12" s="1"/>
  <c r="J35" i="12"/>
  <c r="K35" i="12"/>
  <c r="I68" i="11"/>
  <c r="S68" i="11" l="1"/>
  <c r="P35" i="12"/>
  <c r="S35" i="12" s="1"/>
  <c r="U68" i="11"/>
  <c r="V68" i="11" l="1"/>
  <c r="T68" i="11"/>
  <c r="Q35" i="12"/>
  <c r="Z69" i="11" l="1"/>
  <c r="EB69" i="11" s="1"/>
  <c r="R35" i="12"/>
  <c r="F69" i="11" l="1"/>
  <c r="AC69" i="11"/>
  <c r="E36" i="12" l="1"/>
  <c r="AF69" i="11"/>
  <c r="AE69" i="11"/>
  <c r="ED69" i="11"/>
  <c r="EE69" i="11" s="1"/>
  <c r="EG69" i="11" s="1"/>
  <c r="AG69" i="11" l="1"/>
  <c r="AK69" i="11" s="1"/>
  <c r="EJ69" i="11"/>
  <c r="EK69" i="11"/>
  <c r="O69" i="11"/>
  <c r="F36" i="12" s="1"/>
  <c r="G36" i="12" s="1"/>
  <c r="EF69" i="11"/>
  <c r="AJ69" i="11" l="1"/>
  <c r="J69" i="11" s="1"/>
  <c r="AD69" i="11"/>
  <c r="G69" i="11"/>
  <c r="H36" i="12" s="1"/>
  <c r="K69" i="11"/>
  <c r="EL69" i="11"/>
  <c r="AL69" i="11" l="1"/>
  <c r="P69" i="11"/>
  <c r="R69" i="11"/>
  <c r="Q69" i="11"/>
  <c r="L36" i="12"/>
  <c r="O36" i="12" s="1"/>
  <c r="J36" i="12"/>
  <c r="I36" i="12"/>
  <c r="H69" i="11"/>
  <c r="K36" i="12" s="1"/>
  <c r="I69" i="11" l="1"/>
  <c r="P36" i="12" l="1"/>
  <c r="S36" i="12" s="1"/>
  <c r="U69" i="11"/>
  <c r="S69" i="11"/>
  <c r="Q36" i="12" l="1"/>
  <c r="T69" i="11"/>
  <c r="V69" i="11"/>
  <c r="Z70" i="11" l="1"/>
  <c r="EB70" i="11" s="1"/>
  <c r="R36" i="12"/>
  <c r="F70" i="11" l="1"/>
  <c r="AC70" i="11"/>
  <c r="ED70" i="11"/>
  <c r="EE70" i="11" s="1"/>
  <c r="EG70" i="11" s="1"/>
  <c r="EF70" i="11" l="1"/>
  <c r="EK70" i="11"/>
  <c r="EJ70" i="11"/>
  <c r="AE70" i="11"/>
  <c r="AF70" i="11"/>
  <c r="E37" i="12"/>
  <c r="O70" i="11"/>
  <c r="F37" i="12" s="1"/>
  <c r="EL70" i="11" l="1"/>
  <c r="G37" i="12"/>
  <c r="AG70" i="11"/>
  <c r="AK70" i="11" l="1"/>
  <c r="K70" i="11" s="1"/>
  <c r="AJ70" i="11"/>
  <c r="J70" i="11" s="1"/>
  <c r="AD70" i="11"/>
  <c r="G70" i="11"/>
  <c r="Q70" i="11" l="1"/>
  <c r="R70" i="11"/>
  <c r="AL70" i="11"/>
  <c r="H70" i="11" s="1"/>
  <c r="H37" i="12"/>
  <c r="P70" i="11"/>
  <c r="J37" i="12" l="1"/>
  <c r="L37" i="12"/>
  <c r="O37" i="12" s="1"/>
  <c r="I37" i="12"/>
  <c r="I70" i="11"/>
  <c r="K37" i="12"/>
  <c r="P37" i="12" l="1"/>
  <c r="S37" i="12" s="1"/>
  <c r="S70" i="11"/>
  <c r="U70" i="11"/>
  <c r="V70" i="11" l="1"/>
  <c r="Q37" i="12"/>
  <c r="T70" i="11"/>
  <c r="Z71" i="11" l="1"/>
  <c r="EB71" i="11" s="1"/>
  <c r="R37" i="12"/>
  <c r="F71" i="11" l="1"/>
  <c r="AC71" i="11"/>
  <c r="ED71" i="11" l="1"/>
  <c r="EE71" i="11" s="1"/>
  <c r="EG71" i="11" s="1"/>
  <c r="EF71" i="11" s="1"/>
  <c r="AF71" i="11"/>
  <c r="AE71" i="11"/>
  <c r="E38" i="12"/>
  <c r="AG71" i="11" l="1"/>
  <c r="AJ71" i="11" s="1"/>
  <c r="O71" i="11"/>
  <c r="F38" i="12" s="1"/>
  <c r="G38" i="12" s="1"/>
  <c r="EK71" i="11"/>
  <c r="EJ71" i="11"/>
  <c r="G71" i="11" l="1"/>
  <c r="H38" i="12" s="1"/>
  <c r="AK71" i="11"/>
  <c r="K71" i="11" s="1"/>
  <c r="AD71" i="11"/>
  <c r="J71" i="11"/>
  <c r="EL71" i="11"/>
  <c r="P71" i="11"/>
  <c r="AL71" i="11" l="1"/>
  <c r="H71" i="11" s="1"/>
  <c r="K38" i="12" s="1"/>
  <c r="Q71" i="11"/>
  <c r="R71" i="11"/>
  <c r="J38" i="12"/>
  <c r="L38" i="12"/>
  <c r="O38" i="12" s="1"/>
  <c r="I38" i="12"/>
  <c r="I71" i="11" l="1"/>
  <c r="P38" i="12" s="1"/>
  <c r="S38" i="12" s="1"/>
  <c r="S71" i="11" l="1"/>
  <c r="Q38" i="12" s="1"/>
  <c r="U71" i="11"/>
  <c r="V71" i="11" s="1"/>
  <c r="T71" i="11"/>
  <c r="Z72" i="11" l="1"/>
  <c r="EB72" i="11" s="1"/>
  <c r="R38" i="12"/>
  <c r="F72" i="11" l="1"/>
  <c r="AC72" i="11"/>
  <c r="ED72" i="11"/>
  <c r="EE72" i="11" s="1"/>
  <c r="EG72" i="11" s="1"/>
  <c r="EF72" i="11" l="1"/>
  <c r="EJ72" i="11"/>
  <c r="EK72" i="11"/>
  <c r="AF72" i="11"/>
  <c r="E39" i="12"/>
  <c r="AE72" i="11"/>
  <c r="O72" i="11"/>
  <c r="F39" i="12" s="1"/>
  <c r="G39" i="12" s="1"/>
  <c r="AG72" i="11" l="1"/>
  <c r="AK72" i="11" s="1"/>
  <c r="K72" i="11" s="1"/>
  <c r="EL72" i="11"/>
  <c r="AJ72" i="11" l="1"/>
  <c r="J72" i="11" s="1"/>
  <c r="G72" i="11"/>
  <c r="AD72" i="11"/>
  <c r="P72" i="11"/>
  <c r="AL72" i="11"/>
  <c r="H72" i="11" s="1"/>
  <c r="K39" i="12" s="1"/>
  <c r="Q72" i="11" l="1"/>
  <c r="H39" i="12"/>
  <c r="R72" i="11"/>
  <c r="I72" i="11"/>
  <c r="L39" i="12"/>
  <c r="O39" i="12" s="1"/>
  <c r="J39" i="12"/>
  <c r="I39" i="12"/>
  <c r="P39" i="12" l="1"/>
  <c r="S39" i="12" s="1"/>
  <c r="S72" i="11"/>
  <c r="U72" i="11"/>
  <c r="Q39" i="12" l="1"/>
  <c r="T72" i="11"/>
  <c r="V72" i="11"/>
  <c r="Z73" i="11" l="1"/>
  <c r="EB73" i="11" s="1"/>
  <c r="R39" i="12"/>
  <c r="F73" i="11" l="1"/>
  <c r="AC73" i="11"/>
  <c r="ED73" i="11" l="1"/>
  <c r="EE73" i="11" s="1"/>
  <c r="EG73" i="11" s="1"/>
  <c r="EF73" i="11" s="1"/>
  <c r="E40" i="12"/>
  <c r="AE73" i="11"/>
  <c r="AF73" i="11"/>
  <c r="AG73" i="11" l="1"/>
  <c r="O73" i="11"/>
  <c r="F40" i="12" s="1"/>
  <c r="G40" i="12" s="1"/>
  <c r="EK73" i="11"/>
  <c r="EJ73" i="11"/>
  <c r="EL73" i="11" l="1"/>
  <c r="AJ73" i="11"/>
  <c r="J73" i="11" s="1"/>
  <c r="AK73" i="11"/>
  <c r="K73" i="11" s="1"/>
  <c r="AD73" i="11"/>
  <c r="G73" i="11"/>
  <c r="AL73" i="11" l="1"/>
  <c r="H73" i="11" s="1"/>
  <c r="K40" i="12" s="1"/>
  <c r="P73" i="11"/>
  <c r="H40" i="12"/>
  <c r="Q73" i="11"/>
  <c r="R73" i="11"/>
  <c r="I73" i="11" l="1"/>
  <c r="P40" i="12" s="1"/>
  <c r="S40" i="12" s="1"/>
  <c r="L40" i="12"/>
  <c r="O40" i="12" s="1"/>
  <c r="J40" i="12"/>
  <c r="I40" i="12"/>
  <c r="S73" i="11" l="1"/>
  <c r="Q40" i="12" s="1"/>
  <c r="U73" i="11"/>
  <c r="V73" i="11" s="1"/>
  <c r="T73" i="11" l="1"/>
  <c r="R40" i="12" s="1"/>
  <c r="Z74" i="11" l="1"/>
  <c r="EB74" i="11" s="1"/>
  <c r="ED74" i="11" s="1"/>
  <c r="EE74" i="11" s="1"/>
  <c r="EG74" i="11" s="1"/>
  <c r="AC74" i="11" l="1"/>
  <c r="AE74" i="11" s="1"/>
  <c r="F74" i="11"/>
  <c r="EF74" i="11"/>
  <c r="EJ74" i="11"/>
  <c r="EK74" i="11"/>
  <c r="O74" i="11" l="1"/>
  <c r="AF74" i="11"/>
  <c r="AG74" i="11" s="1"/>
  <c r="E41" i="12"/>
  <c r="EL74" i="11"/>
  <c r="F41" i="12" l="1"/>
  <c r="G41" i="12" s="1"/>
  <c r="AK74" i="11"/>
  <c r="K74" i="11" s="1"/>
  <c r="G74" i="11"/>
  <c r="AD74" i="11"/>
  <c r="AJ74" i="11"/>
  <c r="J74" i="11" s="1"/>
  <c r="Q74" i="11" l="1"/>
  <c r="R74" i="11"/>
  <c r="AL74" i="11"/>
  <c r="H74" i="11" s="1"/>
  <c r="K41" i="12" s="1"/>
  <c r="P74" i="11"/>
  <c r="H41" i="12"/>
  <c r="I74" i="11" l="1"/>
  <c r="P41" i="12" s="1"/>
  <c r="S41" i="12" s="1"/>
  <c r="J41" i="12"/>
  <c r="L41" i="12"/>
  <c r="O41" i="12" s="1"/>
  <c r="I41" i="12"/>
  <c r="S74" i="11" l="1"/>
  <c r="Q41" i="12" s="1"/>
  <c r="U74" i="11"/>
  <c r="V74" i="11" s="1"/>
  <c r="T74" i="11" l="1"/>
  <c r="R41" i="12" s="1"/>
  <c r="Z75" i="11"/>
  <c r="EB75" i="11" s="1"/>
  <c r="AC75" i="11" l="1"/>
  <c r="F75" i="11"/>
  <c r="ED75" i="11"/>
  <c r="EE75" i="11" s="1"/>
  <c r="EG75" i="11" s="1"/>
  <c r="EF75" i="11" l="1"/>
  <c r="EJ75" i="11"/>
  <c r="EK75" i="11"/>
  <c r="E42" i="12"/>
  <c r="AF75" i="11"/>
  <c r="AE75" i="11"/>
  <c r="O75" i="11"/>
  <c r="F42" i="12" l="1"/>
  <c r="AG75" i="11"/>
  <c r="AD75" i="11" s="1"/>
  <c r="G42" i="12"/>
  <c r="EL75" i="11"/>
  <c r="G75" i="11" l="1"/>
  <c r="H42" i="12" s="1"/>
  <c r="AJ75" i="11"/>
  <c r="J75" i="11" s="1"/>
  <c r="Q75" i="11" s="1"/>
  <c r="AK75" i="11"/>
  <c r="K75" i="11" s="1"/>
  <c r="R75" i="11" s="1"/>
  <c r="P75" i="11"/>
  <c r="AL75" i="11" l="1"/>
  <c r="H75" i="11" s="1"/>
  <c r="K42" i="12" s="1"/>
  <c r="J42" i="12"/>
  <c r="L42" i="12"/>
  <c r="O42" i="12" s="1"/>
  <c r="I42" i="12"/>
  <c r="I75" i="11" l="1"/>
  <c r="P42" i="12" l="1"/>
  <c r="S42" i="12" s="1"/>
  <c r="S75" i="11"/>
  <c r="U75" i="11"/>
  <c r="V75" i="11" s="1"/>
  <c r="T75" i="11" l="1"/>
  <c r="Z76" i="11" s="1"/>
  <c r="EB76" i="11" s="1"/>
  <c r="Q42" i="12"/>
  <c r="R42" i="12" l="1"/>
  <c r="ED76" i="11" l="1"/>
  <c r="EE76" i="11" s="1"/>
  <c r="EG76" i="11" s="1"/>
  <c r="EK76" i="11" s="1"/>
  <c r="F76" i="11"/>
  <c r="AC76" i="11"/>
  <c r="O76" i="11" l="1"/>
  <c r="EF76" i="11"/>
  <c r="EJ76" i="11"/>
  <c r="EL76" i="11" s="1"/>
  <c r="AE76" i="11"/>
  <c r="AF76" i="11"/>
  <c r="E43" i="12"/>
  <c r="AG76" i="11" l="1"/>
  <c r="F43" i="12"/>
  <c r="G43" i="12" s="1"/>
  <c r="G76" i="11" l="1"/>
  <c r="AD76" i="11"/>
  <c r="AJ76" i="11"/>
  <c r="AK76" i="11"/>
  <c r="K76" i="11" s="1"/>
  <c r="R76" i="11" s="1"/>
  <c r="J76" i="11" l="1"/>
  <c r="Q76" i="11" s="1"/>
  <c r="AL76" i="11"/>
  <c r="H76" i="11" s="1"/>
  <c r="K43" i="12" s="1"/>
  <c r="P76" i="11"/>
  <c r="H43" i="12"/>
  <c r="I76" i="11" l="1"/>
  <c r="P43" i="12" s="1"/>
  <c r="S43" i="12" s="1"/>
  <c r="L43" i="12"/>
  <c r="O43" i="12" s="1"/>
  <c r="J43" i="12"/>
  <c r="I43" i="12"/>
  <c r="S76" i="11" l="1"/>
  <c r="T76" i="11" s="1"/>
  <c r="U76" i="11"/>
  <c r="V76" i="11" s="1"/>
  <c r="Q43" i="12" l="1"/>
  <c r="Z77" i="11"/>
  <c r="EB77" i="11" s="1"/>
  <c r="R43" i="12"/>
  <c r="AC77" i="11" l="1"/>
  <c r="F77" i="11"/>
  <c r="E44" i="12" l="1"/>
  <c r="AE77" i="11"/>
  <c r="AF77" i="11"/>
  <c r="ED77" i="11"/>
  <c r="EE77" i="11" s="1"/>
  <c r="EG77" i="11" s="1"/>
  <c r="EF77" i="11" s="1"/>
  <c r="EK77" i="11" l="1"/>
  <c r="EJ77" i="11"/>
  <c r="AG77" i="11"/>
  <c r="O77" i="11"/>
  <c r="F44" i="12" s="1"/>
  <c r="EL77" i="11" l="1"/>
  <c r="G44" i="12"/>
  <c r="G77" i="11"/>
  <c r="AD77" i="11"/>
  <c r="AK77" i="11"/>
  <c r="K77" i="11" s="1"/>
  <c r="R77" i="11" s="1"/>
  <c r="AJ77" i="11"/>
  <c r="J77" i="11" s="1"/>
  <c r="Q77" i="11" s="1"/>
  <c r="AL77" i="11" l="1"/>
  <c r="H77" i="11" s="1"/>
  <c r="K44" i="12" s="1"/>
  <c r="H44" i="12"/>
  <c r="P77" i="11"/>
  <c r="I77" i="11" l="1"/>
  <c r="P44" i="12" s="1"/>
  <c r="S44" i="12" s="1"/>
  <c r="L44" i="12"/>
  <c r="O44" i="12" s="1"/>
  <c r="J44" i="12"/>
  <c r="I44" i="12"/>
  <c r="U77" i="11" l="1"/>
  <c r="V77" i="11" s="1"/>
  <c r="S77" i="11"/>
  <c r="Q44" i="12" s="1"/>
  <c r="P18" i="1" l="1"/>
  <c r="G67" i="17" s="1"/>
  <c r="T77" i="11"/>
  <c r="O18" i="1" l="1"/>
  <c r="Z78" i="11"/>
  <c r="EB78" i="11" s="1"/>
  <c r="R44" i="12"/>
  <c r="F67" i="17" l="1"/>
  <c r="E67" i="17"/>
  <c r="AC78" i="11"/>
  <c r="E45" i="12" s="1"/>
  <c r="F78" i="11"/>
  <c r="ED78" i="11"/>
  <c r="EE78" i="11" s="1"/>
  <c r="EG78" i="11" s="1"/>
  <c r="EF78" i="11" s="1"/>
  <c r="AE78" i="11" l="1"/>
  <c r="AF78" i="11"/>
  <c r="AG78" i="11" s="1"/>
  <c r="EK78" i="11"/>
  <c r="EJ78" i="11"/>
  <c r="O78" i="11"/>
  <c r="F45" i="12" s="1"/>
  <c r="AK78" i="11" l="1"/>
  <c r="K78" i="11" s="1"/>
  <c r="AJ78" i="11"/>
  <c r="J78" i="11" s="1"/>
  <c r="AD78" i="11"/>
  <c r="G78" i="11"/>
  <c r="P78" i="11" s="1"/>
  <c r="EL78" i="11"/>
  <c r="G45" i="12"/>
  <c r="AL78" i="11"/>
  <c r="Q78" i="11" l="1"/>
  <c r="R78" i="11"/>
  <c r="H45" i="12"/>
  <c r="H78" i="11"/>
  <c r="K45" i="12" s="1"/>
  <c r="J45" i="12"/>
  <c r="L45" i="12"/>
  <c r="O45" i="12" s="1"/>
  <c r="I45" i="12"/>
  <c r="I78" i="11" l="1"/>
  <c r="P45" i="12"/>
  <c r="S45" i="12" s="1"/>
  <c r="S78" i="11"/>
  <c r="U78" i="11"/>
  <c r="V78" i="11" s="1"/>
  <c r="T78" i="11" l="1"/>
  <c r="Z79" i="11" s="1"/>
  <c r="EB79" i="11" s="1"/>
  <c r="Q45" i="12"/>
  <c r="R45" i="12" l="1"/>
  <c r="ED79" i="11" l="1"/>
  <c r="EE79" i="11" s="1"/>
  <c r="EG79" i="11" s="1"/>
  <c r="F79" i="11"/>
  <c r="AC79" i="11"/>
  <c r="AF79" i="11" l="1"/>
  <c r="E46" i="12"/>
  <c r="AE79" i="11"/>
  <c r="O79" i="11"/>
  <c r="F46" i="12" s="1"/>
  <c r="G46" i="12" s="1"/>
  <c r="EF79" i="11"/>
  <c r="EJ79" i="11"/>
  <c r="EK79" i="11"/>
  <c r="AG79" i="11" l="1"/>
  <c r="AK79" i="11" s="1"/>
  <c r="K79" i="11" s="1"/>
  <c r="EL79" i="11"/>
  <c r="G79" i="11" l="1"/>
  <c r="AJ79" i="11"/>
  <c r="J79" i="11" s="1"/>
  <c r="Q79" i="11" s="1"/>
  <c r="AD79" i="11"/>
  <c r="R79" i="11"/>
  <c r="P79" i="11"/>
  <c r="H46" i="12"/>
  <c r="AL79" i="11" l="1"/>
  <c r="H79" i="11" s="1"/>
  <c r="K46" i="12" s="1"/>
  <c r="J46" i="12"/>
  <c r="I46" i="12"/>
  <c r="L46" i="12"/>
  <c r="O46" i="12" s="1"/>
  <c r="I79" i="11" l="1"/>
  <c r="P46" i="12" s="1"/>
  <c r="S46" i="12" s="1"/>
  <c r="S79" i="11"/>
  <c r="Q46" i="12" s="1"/>
  <c r="U79" i="11"/>
  <c r="V79" i="11" s="1"/>
  <c r="T79" i="11" l="1"/>
  <c r="Z80" i="11" s="1"/>
  <c r="EB80" i="11" s="1"/>
  <c r="R46" i="12" l="1"/>
  <c r="AC80" i="11"/>
  <c r="F80" i="11"/>
  <c r="E47" i="12" l="1"/>
  <c r="AE80" i="11"/>
  <c r="AF80" i="11"/>
  <c r="ED80" i="11"/>
  <c r="EE80" i="11" s="1"/>
  <c r="EG80" i="11" s="1"/>
  <c r="EF80" i="11" s="1"/>
  <c r="EJ80" i="11" l="1"/>
  <c r="EK80" i="11"/>
  <c r="O80" i="11"/>
  <c r="F47" i="12" s="1"/>
  <c r="G47" i="12" s="1"/>
  <c r="AG80" i="11"/>
  <c r="EL80" i="11" l="1"/>
  <c r="G80" i="11"/>
  <c r="AD80" i="11"/>
  <c r="AJ80" i="11"/>
  <c r="J80" i="11" s="1"/>
  <c r="Q80" i="11" s="1"/>
  <c r="AK80" i="11"/>
  <c r="K80" i="11" s="1"/>
  <c r="R80" i="11" s="1"/>
  <c r="AL80" i="11" l="1"/>
  <c r="H80" i="11" s="1"/>
  <c r="K47" i="12" s="1"/>
  <c r="P80" i="11"/>
  <c r="H47" i="12"/>
  <c r="I80" i="11" l="1"/>
  <c r="J47" i="12"/>
  <c r="L47" i="12"/>
  <c r="O47" i="12" s="1"/>
  <c r="I47" i="12"/>
  <c r="S80" i="11"/>
  <c r="P47" i="12"/>
  <c r="S47" i="12" s="1"/>
  <c r="U80" i="11"/>
  <c r="V80" i="11" s="1"/>
  <c r="Q47" i="12" l="1"/>
  <c r="T80" i="11"/>
  <c r="Z81" i="11" s="1"/>
  <c r="EB81" i="11" s="1"/>
  <c r="R47" i="12" l="1"/>
  <c r="ED81" i="11" l="1"/>
  <c r="EE81" i="11" s="1"/>
  <c r="EG81" i="11" s="1"/>
  <c r="AC81" i="11"/>
  <c r="F81" i="11"/>
  <c r="E48" i="12" l="1"/>
  <c r="AF81" i="11"/>
  <c r="AE81" i="11"/>
  <c r="O81" i="11"/>
  <c r="F48" i="12" s="1"/>
  <c r="G48" i="12" s="1"/>
  <c r="EF81" i="11"/>
  <c r="EK81" i="11"/>
  <c r="EJ81" i="11"/>
  <c r="AG81" i="11" l="1"/>
  <c r="G81" i="11" s="1"/>
  <c r="EL81" i="11"/>
  <c r="AJ81" i="11"/>
  <c r="J81" i="11" s="1"/>
  <c r="AK81" i="11"/>
  <c r="K81" i="11" s="1"/>
  <c r="AD81" i="11" l="1"/>
  <c r="Q81" i="11"/>
  <c r="R81" i="11"/>
  <c r="AL81" i="11"/>
  <c r="H81" i="11" s="1"/>
  <c r="K48" i="12" s="1"/>
  <c r="P81" i="11"/>
  <c r="H48" i="12"/>
  <c r="I81" i="11" l="1"/>
  <c r="P48" i="12" s="1"/>
  <c r="S48" i="12" s="1"/>
  <c r="I48" i="12"/>
  <c r="J48" i="12"/>
  <c r="L48" i="12"/>
  <c r="O48" i="12" s="1"/>
  <c r="S81" i="11" l="1"/>
  <c r="U81" i="11"/>
  <c r="V81" i="11" s="1"/>
  <c r="Q48" i="12" l="1"/>
  <c r="T81" i="11"/>
  <c r="Z82" i="11" l="1"/>
  <c r="R48" i="12"/>
  <c r="EB82" i="11" l="1"/>
  <c r="F82" i="11"/>
  <c r="AC82" i="11"/>
  <c r="AF82" i="11" l="1"/>
  <c r="E49" i="12"/>
  <c r="AE82" i="11"/>
  <c r="ED82" i="11"/>
  <c r="EE82" i="11" s="1"/>
  <c r="EG82" i="11" s="1"/>
  <c r="EF82" i="11" s="1"/>
  <c r="AG82" i="11" l="1"/>
  <c r="EK82" i="11"/>
  <c r="EJ82" i="11"/>
  <c r="O82" i="11"/>
  <c r="F49" i="12" s="1"/>
  <c r="G49" i="12" s="1"/>
  <c r="AJ82" i="11"/>
  <c r="AK82" i="11"/>
  <c r="G82" i="11"/>
  <c r="AD82" i="11"/>
  <c r="K82" i="11" l="1"/>
  <c r="R82" i="11" s="1"/>
  <c r="EL82" i="11"/>
  <c r="H49" i="12"/>
  <c r="P82" i="11"/>
  <c r="J82" i="11"/>
  <c r="Q82" i="11" s="1"/>
  <c r="AL82" i="11"/>
  <c r="H82" i="11" s="1"/>
  <c r="K49" i="12" s="1"/>
  <c r="I82" i="11" l="1"/>
  <c r="P49" i="12" s="1"/>
  <c r="S49" i="12" s="1"/>
  <c r="I49" i="12"/>
  <c r="L49" i="12"/>
  <c r="O49" i="12" s="1"/>
  <c r="J49" i="12"/>
  <c r="S82" i="11" l="1"/>
  <c r="T82" i="11" s="1"/>
  <c r="U82" i="11"/>
  <c r="V82" i="11" s="1"/>
  <c r="Q49" i="12" l="1"/>
  <c r="R49" i="12"/>
  <c r="Z83" i="11"/>
  <c r="EB83" i="11" l="1"/>
  <c r="ED83" i="11" s="1"/>
  <c r="EE83" i="11" s="1"/>
  <c r="EG83" i="11" s="1"/>
  <c r="EF83" i="11" s="1"/>
  <c r="F83" i="11"/>
  <c r="AC83" i="11"/>
  <c r="EJ83" i="11" l="1"/>
  <c r="EK83" i="11"/>
  <c r="O83" i="11"/>
  <c r="AF83" i="11"/>
  <c r="AE83" i="11"/>
  <c r="E50" i="12"/>
  <c r="EL83" i="11" l="1"/>
  <c r="AG83" i="11"/>
  <c r="AD83" i="11" s="1"/>
  <c r="F50" i="12"/>
  <c r="G50" i="12" s="1"/>
  <c r="G83" i="11" l="1"/>
  <c r="P83" i="11" s="1"/>
  <c r="AJ83" i="11"/>
  <c r="AK83" i="11"/>
  <c r="K83" i="11" s="1"/>
  <c r="R83" i="11" s="1"/>
  <c r="H50" i="12" l="1"/>
  <c r="J83" i="11"/>
  <c r="Q83" i="11" s="1"/>
  <c r="AL83" i="11"/>
  <c r="H83" i="11" s="1"/>
  <c r="K50" i="12" s="1"/>
  <c r="I50" i="12"/>
  <c r="L50" i="12"/>
  <c r="O50" i="12" s="1"/>
  <c r="J50" i="12"/>
  <c r="I83" i="11" l="1"/>
  <c r="P50" i="12" l="1"/>
  <c r="S50" i="12" s="1"/>
  <c r="U83" i="11"/>
  <c r="V83" i="11" s="1"/>
  <c r="S83" i="11"/>
  <c r="Q50" i="12" l="1"/>
  <c r="T83" i="11"/>
  <c r="R50" i="12" l="1"/>
  <c r="Z84" i="11"/>
  <c r="EB84" i="11" l="1"/>
  <c r="AC84" i="11"/>
  <c r="F84" i="11"/>
  <c r="AE84" i="11" l="1"/>
  <c r="AF84" i="11"/>
  <c r="E51" i="12"/>
  <c r="ED84" i="11"/>
  <c r="EE84" i="11" s="1"/>
  <c r="EG84" i="11" s="1"/>
  <c r="EJ84" i="11" l="1"/>
  <c r="EK84" i="11"/>
  <c r="EF84" i="11"/>
  <c r="O84" i="11"/>
  <c r="F51" i="12" s="1"/>
  <c r="G51" i="12" s="1"/>
  <c r="AG84" i="11"/>
  <c r="EL84" i="11" l="1"/>
  <c r="AK84" i="11"/>
  <c r="K84" i="11" s="1"/>
  <c r="AD84" i="11"/>
  <c r="G84" i="11"/>
  <c r="AJ84" i="11"/>
  <c r="J84" i="11" s="1"/>
  <c r="Q84" i="11" s="1"/>
  <c r="R84" i="11" l="1"/>
  <c r="AL84" i="11"/>
  <c r="H84" i="11" s="1"/>
  <c r="P84" i="11"/>
  <c r="H51" i="12"/>
  <c r="L51" i="12" l="1"/>
  <c r="O51" i="12" s="1"/>
  <c r="J51" i="12"/>
  <c r="I51" i="12"/>
  <c r="K51" i="12"/>
  <c r="I84" i="11"/>
  <c r="U84" i="11" l="1"/>
  <c r="V84" i="11" s="1"/>
  <c r="S84" i="11"/>
  <c r="P51" i="12"/>
  <c r="S51" i="12" s="1"/>
  <c r="Q51" i="12" l="1"/>
  <c r="T84" i="11"/>
  <c r="R51" i="12" l="1"/>
  <c r="Z85" i="11"/>
  <c r="EB85" i="11" l="1"/>
  <c r="ED85" i="11" s="1"/>
  <c r="EE85" i="11" s="1"/>
  <c r="EG85" i="11" s="1"/>
  <c r="F85" i="11"/>
  <c r="EF85" i="11" l="1"/>
  <c r="EJ85" i="11"/>
  <c r="EK85" i="11"/>
  <c r="EL85" i="11" l="1"/>
  <c r="AE510" i="11"/>
  <c r="AG510" i="11" l="1"/>
  <c r="AF511" i="11" s="1"/>
  <c r="AJ510" i="11" l="1"/>
  <c r="J510" i="11" s="1"/>
  <c r="AE511" i="11"/>
  <c r="AG511" i="11" s="1"/>
  <c r="AF512" i="11" s="1"/>
  <c r="G510" i="11"/>
  <c r="H477" i="12" s="1"/>
  <c r="AK510" i="11"/>
  <c r="K510" i="11" s="1"/>
  <c r="AD510" i="11"/>
  <c r="R510" i="11" l="1"/>
  <c r="J477" i="12"/>
  <c r="L477" i="12"/>
  <c r="O477" i="12" s="1"/>
  <c r="I477" i="12"/>
  <c r="AE512" i="11"/>
  <c r="AJ511" i="11"/>
  <c r="J511" i="11" s="1"/>
  <c r="G511" i="11"/>
  <c r="H478" i="12" s="1"/>
  <c r="AK511" i="11"/>
  <c r="K511" i="11" s="1"/>
  <c r="AD511" i="11"/>
  <c r="Q510" i="11"/>
  <c r="AL510" i="11"/>
  <c r="H510" i="11" s="1"/>
  <c r="R511" i="11" l="1"/>
  <c r="AL511" i="11"/>
  <c r="H511" i="11" s="1"/>
  <c r="K478" i="12" s="1"/>
  <c r="AG512" i="11"/>
  <c r="AF513" i="11" s="1"/>
  <c r="I510" i="11"/>
  <c r="K477" i="12"/>
  <c r="I478" i="12"/>
  <c r="L478" i="12"/>
  <c r="O478" i="12" s="1"/>
  <c r="J478" i="12"/>
  <c r="Q511" i="11"/>
  <c r="I511" i="11" l="1"/>
  <c r="P478" i="12" s="1"/>
  <c r="S478" i="12" s="1"/>
  <c r="P477" i="12"/>
  <c r="S477" i="12" s="1"/>
  <c r="AD512" i="11"/>
  <c r="AE513" i="11"/>
  <c r="G512" i="11"/>
  <c r="H479" i="12" s="1"/>
  <c r="AK512" i="11"/>
  <c r="K512" i="11" s="1"/>
  <c r="AJ512" i="11"/>
  <c r="J512" i="11" s="1"/>
  <c r="Q512" i="11" l="1"/>
  <c r="R512" i="11"/>
  <c r="AG513" i="11"/>
  <c r="AF514" i="11" s="1"/>
  <c r="J479" i="12"/>
  <c r="I479" i="12"/>
  <c r="L479" i="12"/>
  <c r="O479" i="12" s="1"/>
  <c r="AL512" i="11"/>
  <c r="H512" i="11" s="1"/>
  <c r="K479" i="12" l="1"/>
  <c r="I512" i="11"/>
  <c r="P479" i="12" s="1"/>
  <c r="AJ513" i="11"/>
  <c r="J513" i="11" s="1"/>
  <c r="G513" i="11"/>
  <c r="H480" i="12" s="1"/>
  <c r="AD513" i="11"/>
  <c r="AE514" i="11"/>
  <c r="AK513" i="11"/>
  <c r="K513" i="11" s="1"/>
  <c r="S479" i="12" l="1"/>
  <c r="R513" i="11"/>
  <c r="AG514" i="11"/>
  <c r="AF515" i="11" s="1"/>
  <c r="AL513" i="11"/>
  <c r="H513" i="11" s="1"/>
  <c r="J480" i="12"/>
  <c r="L480" i="12"/>
  <c r="O480" i="12" s="1"/>
  <c r="I480" i="12"/>
  <c r="Q513" i="11"/>
  <c r="I513" i="11" l="1"/>
  <c r="P480" i="12" s="1"/>
  <c r="K480" i="12"/>
  <c r="AK514" i="11"/>
  <c r="K514" i="11" s="1"/>
  <c r="AE515" i="11"/>
  <c r="AJ514" i="11"/>
  <c r="J514" i="11" s="1"/>
  <c r="G514" i="11"/>
  <c r="H481" i="12" s="1"/>
  <c r="AD514" i="11"/>
  <c r="R514" i="11" l="1"/>
  <c r="S480" i="12"/>
  <c r="Q514" i="11"/>
  <c r="AG515" i="11"/>
  <c r="AF516" i="11" s="1"/>
  <c r="AL514" i="11"/>
  <c r="H514" i="11" s="1"/>
  <c r="J481" i="12"/>
  <c r="I481" i="12"/>
  <c r="L481" i="12"/>
  <c r="O481" i="12" s="1"/>
  <c r="AD515" i="11" l="1"/>
  <c r="AK515" i="11"/>
  <c r="K515" i="11" s="1"/>
  <c r="AJ515" i="11"/>
  <c r="J515" i="11" s="1"/>
  <c r="G515" i="11"/>
  <c r="H482" i="12" s="1"/>
  <c r="I482" i="12" s="1"/>
  <c r="AE516" i="11"/>
  <c r="AG516" i="11" s="1"/>
  <c r="I514" i="11"/>
  <c r="K481" i="12"/>
  <c r="L482" i="12" l="1"/>
  <c r="O482" i="12" s="1"/>
  <c r="AL515" i="11"/>
  <c r="H515" i="11" s="1"/>
  <c r="I515" i="11" s="1"/>
  <c r="P482" i="12" s="1"/>
  <c r="J482" i="12"/>
  <c r="Q515" i="11"/>
  <c r="R515" i="11"/>
  <c r="AF517" i="11"/>
  <c r="AK516" i="11"/>
  <c r="K516" i="11" s="1"/>
  <c r="AE517" i="11"/>
  <c r="G516" i="11"/>
  <c r="H483" i="12" s="1"/>
  <c r="L483" i="12" s="1"/>
  <c r="O483" i="12" s="1"/>
  <c r="AD516" i="11"/>
  <c r="AJ516" i="11"/>
  <c r="J516" i="11" s="1"/>
  <c r="P481" i="12"/>
  <c r="S481" i="12" s="1"/>
  <c r="K482" i="12" l="1"/>
  <c r="AG517" i="11"/>
  <c r="AF518" i="11" s="1"/>
  <c r="Q516" i="11"/>
  <c r="J483" i="12"/>
  <c r="I483" i="12"/>
  <c r="AL516" i="11"/>
  <c r="H516" i="11" s="1"/>
  <c r="I516" i="11" s="1"/>
  <c r="P483" i="12" s="1"/>
  <c r="R516" i="11"/>
  <c r="S482" i="12"/>
  <c r="AE518" i="11"/>
  <c r="G517" i="11" l="1"/>
  <c r="H484" i="12" s="1"/>
  <c r="J484" i="12" s="1"/>
  <c r="AK517" i="11"/>
  <c r="K517" i="11" s="1"/>
  <c r="AG518" i="11"/>
  <c r="AF519" i="11" s="1"/>
  <c r="AJ517" i="11"/>
  <c r="J517" i="11" s="1"/>
  <c r="AD517" i="11"/>
  <c r="K483" i="12"/>
  <c r="S483" i="12" s="1"/>
  <c r="AE519" i="11"/>
  <c r="AJ518" i="11" l="1"/>
  <c r="J518" i="11" s="1"/>
  <c r="AK518" i="11"/>
  <c r="K518" i="11" s="1"/>
  <c r="G518" i="11"/>
  <c r="H485" i="12" s="1"/>
  <c r="J485" i="12" s="1"/>
  <c r="L484" i="12"/>
  <c r="O484" i="12" s="1"/>
  <c r="I484" i="12"/>
  <c r="Q517" i="11"/>
  <c r="R517" i="11"/>
  <c r="AL517" i="11"/>
  <c r="H517" i="11" s="1"/>
  <c r="K484" i="12" s="1"/>
  <c r="AD518" i="11"/>
  <c r="AG519" i="11"/>
  <c r="AF520" i="11" s="1"/>
  <c r="L485" i="12" l="1"/>
  <c r="O485" i="12" s="1"/>
  <c r="AL518" i="11"/>
  <c r="H518" i="11" s="1"/>
  <c r="K485" i="12" s="1"/>
  <c r="Q518" i="11"/>
  <c r="I485" i="12"/>
  <c r="R518" i="11"/>
  <c r="I517" i="11"/>
  <c r="P484" i="12" s="1"/>
  <c r="S484" i="12" s="1"/>
  <c r="G519" i="11"/>
  <c r="H486" i="12" s="1"/>
  <c r="I486" i="12" s="1"/>
  <c r="AK519" i="11"/>
  <c r="K519" i="11" s="1"/>
  <c r="AD519" i="11"/>
  <c r="AE520" i="11"/>
  <c r="AG520" i="11" s="1"/>
  <c r="AF521" i="11" s="1"/>
  <c r="AJ519" i="11"/>
  <c r="J519" i="11" s="1"/>
  <c r="I518" i="11"/>
  <c r="P485" i="12" s="1"/>
  <c r="J486" i="12" l="1"/>
  <c r="L486" i="12"/>
  <c r="O486" i="12" s="1"/>
  <c r="Q519" i="11"/>
  <c r="R519" i="11"/>
  <c r="AL519" i="11"/>
  <c r="H519" i="11" s="1"/>
  <c r="K486" i="12" s="1"/>
  <c r="S485" i="12"/>
  <c r="G520" i="11"/>
  <c r="H487" i="12" s="1"/>
  <c r="AE521" i="11"/>
  <c r="AK520" i="11"/>
  <c r="K520" i="11" s="1"/>
  <c r="AJ520" i="11"/>
  <c r="J520" i="11" s="1"/>
  <c r="AD520" i="11"/>
  <c r="Q520" i="11" l="1"/>
  <c r="I519" i="11"/>
  <c r="P486" i="12" s="1"/>
  <c r="S486" i="12" s="1"/>
  <c r="R520" i="11"/>
  <c r="AL520" i="11"/>
  <c r="H520" i="11" s="1"/>
  <c r="L487" i="12"/>
  <c r="O487" i="12" s="1"/>
  <c r="J487" i="12"/>
  <c r="I487" i="12"/>
  <c r="AG521" i="11"/>
  <c r="AF522" i="11" s="1"/>
  <c r="AE522" i="11" l="1"/>
  <c r="AG522" i="11" s="1"/>
  <c r="AF523" i="11" s="1"/>
  <c r="AK521" i="11"/>
  <c r="K521" i="11" s="1"/>
  <c r="G521" i="11"/>
  <c r="H488" i="12" s="1"/>
  <c r="AD521" i="11"/>
  <c r="AJ521" i="11"/>
  <c r="J521" i="11" s="1"/>
  <c r="I520" i="11"/>
  <c r="P487" i="12" s="1"/>
  <c r="K487" i="12"/>
  <c r="R521" i="11" l="1"/>
  <c r="Q521" i="11"/>
  <c r="AL521" i="11"/>
  <c r="H521" i="11" s="1"/>
  <c r="S487" i="12"/>
  <c r="AJ522" i="11"/>
  <c r="J522" i="11" s="1"/>
  <c r="G522" i="11"/>
  <c r="H489" i="12" s="1"/>
  <c r="AE523" i="11"/>
  <c r="AD522" i="11"/>
  <c r="AK522" i="11"/>
  <c r="K522" i="11" s="1"/>
  <c r="I488" i="12"/>
  <c r="J488" i="12"/>
  <c r="L488" i="12"/>
  <c r="O488" i="12" s="1"/>
  <c r="AG523" i="11" l="1"/>
  <c r="AF524" i="11" s="1"/>
  <c r="Q522" i="11"/>
  <c r="AL522" i="11"/>
  <c r="H522" i="11" s="1"/>
  <c r="I522" i="11" s="1"/>
  <c r="P489" i="12" s="1"/>
  <c r="L489" i="12"/>
  <c r="O489" i="12" s="1"/>
  <c r="I489" i="12"/>
  <c r="J489" i="12"/>
  <c r="R522" i="11"/>
  <c r="AE524" i="11"/>
  <c r="K488" i="12"/>
  <c r="I521" i="11"/>
  <c r="P488" i="12" s="1"/>
  <c r="AD523" i="11" l="1"/>
  <c r="AG524" i="11"/>
  <c r="AF525" i="11" s="1"/>
  <c r="G523" i="11"/>
  <c r="H490" i="12" s="1"/>
  <c r="J490" i="12" s="1"/>
  <c r="AK523" i="11"/>
  <c r="K523" i="11" s="1"/>
  <c r="AJ523" i="11"/>
  <c r="J523" i="11" s="1"/>
  <c r="S488" i="12"/>
  <c r="K489" i="12"/>
  <c r="S489" i="12" s="1"/>
  <c r="AE525" i="11"/>
  <c r="Q523" i="11" l="1"/>
  <c r="R523" i="11"/>
  <c r="I490" i="12"/>
  <c r="L490" i="12"/>
  <c r="O490" i="12" s="1"/>
  <c r="G524" i="11"/>
  <c r="H491" i="12" s="1"/>
  <c r="L491" i="12" s="1"/>
  <c r="O491" i="12" s="1"/>
  <c r="AJ524" i="11"/>
  <c r="J524" i="11" s="1"/>
  <c r="AK524" i="11"/>
  <c r="K524" i="11" s="1"/>
  <c r="AD524" i="11"/>
  <c r="AG525" i="11"/>
  <c r="AF526" i="11" s="1"/>
  <c r="AL523" i="11"/>
  <c r="H523" i="11" s="1"/>
  <c r="I523" i="11" s="1"/>
  <c r="P490" i="12" s="1"/>
  <c r="AE526" i="11"/>
  <c r="AL524" i="11" l="1"/>
  <c r="H524" i="11" s="1"/>
  <c r="I524" i="11" s="1"/>
  <c r="P491" i="12" s="1"/>
  <c r="G525" i="11"/>
  <c r="H492" i="12" s="1"/>
  <c r="L492" i="12" s="1"/>
  <c r="O492" i="12" s="1"/>
  <c r="AK525" i="11"/>
  <c r="K525" i="11" s="1"/>
  <c r="AG526" i="11"/>
  <c r="AF527" i="11" s="1"/>
  <c r="AD525" i="11"/>
  <c r="AJ525" i="11"/>
  <c r="J525" i="11" s="1"/>
  <c r="Q525" i="11" s="1"/>
  <c r="Q524" i="11"/>
  <c r="R524" i="11"/>
  <c r="J491" i="12"/>
  <c r="I491" i="12"/>
  <c r="K490" i="12"/>
  <c r="S490" i="12" s="1"/>
  <c r="AE527" i="11"/>
  <c r="I492" i="12" l="1"/>
  <c r="J492" i="12"/>
  <c r="AJ526" i="11"/>
  <c r="J526" i="11" s="1"/>
  <c r="AD526" i="11"/>
  <c r="R525" i="11"/>
  <c r="G526" i="11"/>
  <c r="H493" i="12" s="1"/>
  <c r="J493" i="12" s="1"/>
  <c r="AK526" i="11"/>
  <c r="K526" i="11" s="1"/>
  <c r="K491" i="12"/>
  <c r="S491" i="12" s="1"/>
  <c r="AL525" i="11"/>
  <c r="H525" i="11" s="1"/>
  <c r="I525" i="11" s="1"/>
  <c r="P492" i="12" s="1"/>
  <c r="AG527" i="11"/>
  <c r="AF528" i="11" s="1"/>
  <c r="Q526" i="11" l="1"/>
  <c r="R526" i="11"/>
  <c r="I493" i="12"/>
  <c r="L493" i="12"/>
  <c r="O493" i="12" s="1"/>
  <c r="AL526" i="11"/>
  <c r="H526" i="11" s="1"/>
  <c r="I526" i="11" s="1"/>
  <c r="P493" i="12" s="1"/>
  <c r="K492" i="12"/>
  <c r="S492" i="12" s="1"/>
  <c r="AE528" i="11"/>
  <c r="AD527" i="11"/>
  <c r="G527" i="11"/>
  <c r="H494" i="12" s="1"/>
  <c r="AJ527" i="11"/>
  <c r="J527" i="11" s="1"/>
  <c r="AK527" i="11"/>
  <c r="K527" i="11" s="1"/>
  <c r="K493" i="12" l="1"/>
  <c r="S493" i="12" s="1"/>
  <c r="Q527" i="11"/>
  <c r="R527" i="11"/>
  <c r="AL527" i="11"/>
  <c r="H527" i="11" s="1"/>
  <c r="L494" i="12"/>
  <c r="O494" i="12" s="1"/>
  <c r="J494" i="12"/>
  <c r="I494" i="12"/>
  <c r="AG528" i="11"/>
  <c r="AF529" i="11" s="1"/>
  <c r="K494" i="12" l="1"/>
  <c r="I527" i="11"/>
  <c r="P494" i="12" s="1"/>
  <c r="AK528" i="11"/>
  <c r="K528" i="11" s="1"/>
  <c r="AJ528" i="11"/>
  <c r="J528" i="11" s="1"/>
  <c r="AD528" i="11"/>
  <c r="G528" i="11"/>
  <c r="H495" i="12" s="1"/>
  <c r="AE529" i="11"/>
  <c r="AG529" i="11" s="1"/>
  <c r="AF530" i="11" s="1"/>
  <c r="AL528" i="11" l="1"/>
  <c r="H528" i="11" s="1"/>
  <c r="I528" i="11" s="1"/>
  <c r="AD529" i="11"/>
  <c r="AK529" i="11"/>
  <c r="K529" i="11" s="1"/>
  <c r="AJ529" i="11"/>
  <c r="J529" i="11" s="1"/>
  <c r="AE530" i="11"/>
  <c r="AG530" i="11" s="1"/>
  <c r="AF531" i="11" s="1"/>
  <c r="G529" i="11"/>
  <c r="H496" i="12" s="1"/>
  <c r="Q528" i="11"/>
  <c r="R528" i="11"/>
  <c r="I495" i="12"/>
  <c r="L495" i="12"/>
  <c r="O495" i="12" s="1"/>
  <c r="J495" i="12"/>
  <c r="S494" i="12"/>
  <c r="Q529" i="11" l="1"/>
  <c r="P495" i="12"/>
  <c r="K495" i="12"/>
  <c r="J496" i="12"/>
  <c r="I496" i="12"/>
  <c r="L496" i="12"/>
  <c r="O496" i="12" s="1"/>
  <c r="G530" i="11"/>
  <c r="H497" i="12" s="1"/>
  <c r="AK530" i="11"/>
  <c r="K530" i="11" s="1"/>
  <c r="AD530" i="11"/>
  <c r="AE531" i="11"/>
  <c r="AG531" i="11" s="1"/>
  <c r="AF532" i="11" s="1"/>
  <c r="AJ530" i="11"/>
  <c r="J530" i="11" s="1"/>
  <c r="R529" i="11"/>
  <c r="AL529" i="11"/>
  <c r="H529" i="11" s="1"/>
  <c r="Q530" i="11" l="1"/>
  <c r="AL530" i="11"/>
  <c r="H530" i="11" s="1"/>
  <c r="K497" i="12" s="1"/>
  <c r="R530" i="11"/>
  <c r="S495" i="12"/>
  <c r="AE532" i="11"/>
  <c r="AK531" i="11"/>
  <c r="K531" i="11" s="1"/>
  <c r="AJ531" i="11"/>
  <c r="J531" i="11" s="1"/>
  <c r="G531" i="11"/>
  <c r="H498" i="12" s="1"/>
  <c r="AD531" i="11"/>
  <c r="L497" i="12"/>
  <c r="O497" i="12" s="1"/>
  <c r="I497" i="12"/>
  <c r="J497" i="12"/>
  <c r="I529" i="11"/>
  <c r="K496" i="12"/>
  <c r="I530" i="11"/>
  <c r="P497" i="12" s="1"/>
  <c r="AL531" i="11" l="1"/>
  <c r="H531" i="11" s="1"/>
  <c r="I531" i="11" s="1"/>
  <c r="P498" i="12" s="1"/>
  <c r="S497" i="12"/>
  <c r="I498" i="12"/>
  <c r="L498" i="12"/>
  <c r="O498" i="12" s="1"/>
  <c r="J498" i="12"/>
  <c r="Q531" i="11"/>
  <c r="R531" i="11"/>
  <c r="P496" i="12"/>
  <c r="S496" i="12" s="1"/>
  <c r="AG532" i="11"/>
  <c r="AF533" i="11" s="1"/>
  <c r="K498" i="12" l="1"/>
  <c r="S498" i="12" s="1"/>
  <c r="AK532" i="11"/>
  <c r="K532" i="11" s="1"/>
  <c r="AJ532" i="11"/>
  <c r="J532" i="11" s="1"/>
  <c r="AD532" i="11"/>
  <c r="G532" i="11"/>
  <c r="H499" i="12" s="1"/>
  <c r="AE533" i="11"/>
  <c r="AG533" i="11" s="1"/>
  <c r="AF534" i="11" s="1"/>
  <c r="AL532" i="11" l="1"/>
  <c r="H532" i="11" s="1"/>
  <c r="K499" i="12" s="1"/>
  <c r="L499" i="12"/>
  <c r="O499" i="12" s="1"/>
  <c r="I499" i="12"/>
  <c r="J499" i="12"/>
  <c r="G533" i="11"/>
  <c r="H500" i="12" s="1"/>
  <c r="AK533" i="11"/>
  <c r="K533" i="11" s="1"/>
  <c r="AJ533" i="11"/>
  <c r="J533" i="11" s="1"/>
  <c r="AE534" i="11"/>
  <c r="AG534" i="11" s="1"/>
  <c r="AF535" i="11" s="1"/>
  <c r="AD533" i="11"/>
  <c r="Q532" i="11"/>
  <c r="R532" i="11"/>
  <c r="I532" i="11" l="1"/>
  <c r="P499" i="12" s="1"/>
  <c r="S499" i="12" s="1"/>
  <c r="AL533" i="11"/>
  <c r="H533" i="11" s="1"/>
  <c r="I533" i="11" s="1"/>
  <c r="P500" i="12" s="1"/>
  <c r="L500" i="12"/>
  <c r="O500" i="12" s="1"/>
  <c r="J500" i="12"/>
  <c r="I500" i="12"/>
  <c r="AJ534" i="11"/>
  <c r="J534" i="11" s="1"/>
  <c r="AE535" i="11"/>
  <c r="G534" i="11"/>
  <c r="H501" i="12" s="1"/>
  <c r="AK534" i="11"/>
  <c r="K534" i="11" s="1"/>
  <c r="AD534" i="11"/>
  <c r="Q533" i="11"/>
  <c r="R533" i="11"/>
  <c r="K500" i="12" l="1"/>
  <c r="S500" i="12" s="1"/>
  <c r="R534" i="11"/>
  <c r="AG535" i="11"/>
  <c r="AF536" i="11" s="1"/>
  <c r="J501" i="12"/>
  <c r="L501" i="12"/>
  <c r="O501" i="12" s="1"/>
  <c r="I501" i="12"/>
  <c r="Q534" i="11"/>
  <c r="AL534" i="11"/>
  <c r="H534" i="11" s="1"/>
  <c r="AJ535" i="11" l="1"/>
  <c r="J535" i="11" s="1"/>
  <c r="AE536" i="11"/>
  <c r="AD535" i="11"/>
  <c r="G535" i="11"/>
  <c r="H502" i="12" s="1"/>
  <c r="AK535" i="11"/>
  <c r="K535" i="11" s="1"/>
  <c r="K501" i="12"/>
  <c r="I534" i="11"/>
  <c r="P501" i="12" s="1"/>
  <c r="S501" i="12" s="1"/>
  <c r="R535" i="11" l="1"/>
  <c r="J502" i="12"/>
  <c r="I502" i="12"/>
  <c r="L502" i="12"/>
  <c r="O502" i="12" s="1"/>
  <c r="AL535" i="11"/>
  <c r="H535" i="11" s="1"/>
  <c r="AG536" i="11"/>
  <c r="AF537" i="11" s="1"/>
  <c r="Q535" i="11"/>
  <c r="AE633" i="11"/>
  <c r="I535" i="11" l="1"/>
  <c r="P502" i="12" s="1"/>
  <c r="K502" i="12"/>
  <c r="G536" i="11"/>
  <c r="H503" i="12" s="1"/>
  <c r="AJ536" i="11"/>
  <c r="J536" i="11" s="1"/>
  <c r="AE537" i="11"/>
  <c r="AG537" i="11" s="1"/>
  <c r="AF538" i="11" s="1"/>
  <c r="AD536" i="11"/>
  <c r="AK536" i="11"/>
  <c r="K536" i="11" s="1"/>
  <c r="AG633" i="11"/>
  <c r="R536" i="11" l="1"/>
  <c r="Q536" i="11"/>
  <c r="AJ537" i="11"/>
  <c r="J537" i="11" s="1"/>
  <c r="G537" i="11"/>
  <c r="H504" i="12" s="1"/>
  <c r="AD537" i="11"/>
  <c r="AE538" i="11"/>
  <c r="AG538" i="11" s="1"/>
  <c r="AF539" i="11" s="1"/>
  <c r="AK537" i="11"/>
  <c r="K537" i="11" s="1"/>
  <c r="R537" i="11" s="1"/>
  <c r="J503" i="12"/>
  <c r="I503" i="12"/>
  <c r="L503" i="12"/>
  <c r="O503" i="12" s="1"/>
  <c r="AL536" i="11"/>
  <c r="H536" i="11" s="1"/>
  <c r="S502" i="12"/>
  <c r="AE634" i="11"/>
  <c r="AK633" i="11"/>
  <c r="K633" i="11" s="1"/>
  <c r="G633" i="11"/>
  <c r="AD633" i="11"/>
  <c r="AJ633" i="11"/>
  <c r="J633" i="11" s="1"/>
  <c r="Q633" i="11" l="1"/>
  <c r="AL537" i="11"/>
  <c r="H537" i="11" s="1"/>
  <c r="G538" i="11"/>
  <c r="H505" i="12" s="1"/>
  <c r="AK538" i="11"/>
  <c r="K538" i="11" s="1"/>
  <c r="AJ538" i="11"/>
  <c r="J538" i="11" s="1"/>
  <c r="AE539" i="11"/>
  <c r="AG539" i="11" s="1"/>
  <c r="AF540" i="11" s="1"/>
  <c r="AD538" i="11"/>
  <c r="J504" i="12"/>
  <c r="L504" i="12"/>
  <c r="O504" i="12" s="1"/>
  <c r="I504" i="12"/>
  <c r="I536" i="11"/>
  <c r="K503" i="12"/>
  <c r="Q537" i="11"/>
  <c r="AL633" i="11"/>
  <c r="H633" i="11" s="1"/>
  <c r="I633" i="11" s="1"/>
  <c r="R633" i="11"/>
  <c r="AG634" i="11"/>
  <c r="Q538" i="11" l="1"/>
  <c r="R538" i="11"/>
  <c r="AD539" i="11"/>
  <c r="AJ539" i="11"/>
  <c r="J539" i="11" s="1"/>
  <c r="AK539" i="11"/>
  <c r="K539" i="11" s="1"/>
  <c r="G539" i="11"/>
  <c r="H506" i="12" s="1"/>
  <c r="AE540" i="11"/>
  <c r="AG540" i="11" s="1"/>
  <c r="AF541" i="11" s="1"/>
  <c r="I505" i="12"/>
  <c r="L505" i="12"/>
  <c r="O505" i="12" s="1"/>
  <c r="J505" i="12"/>
  <c r="P503" i="12"/>
  <c r="S503" i="12" s="1"/>
  <c r="I537" i="11"/>
  <c r="P504" i="12" s="1"/>
  <c r="K504" i="12"/>
  <c r="AL538" i="11"/>
  <c r="H538" i="11" s="1"/>
  <c r="AD634" i="11"/>
  <c r="AE635" i="11"/>
  <c r="AG635" i="11" s="1"/>
  <c r="G634" i="11"/>
  <c r="AJ634" i="11"/>
  <c r="J634" i="11" s="1"/>
  <c r="Q634" i="11" s="1"/>
  <c r="AK634" i="11"/>
  <c r="K634" i="11" s="1"/>
  <c r="R634" i="11" s="1"/>
  <c r="AL539" i="11" l="1"/>
  <c r="H539" i="11" s="1"/>
  <c r="I539" i="11" s="1"/>
  <c r="P506" i="12" s="1"/>
  <c r="AK540" i="11"/>
  <c r="K540" i="11" s="1"/>
  <c r="G540" i="11"/>
  <c r="H507" i="12" s="1"/>
  <c r="AJ540" i="11"/>
  <c r="J540" i="11" s="1"/>
  <c r="AE541" i="11"/>
  <c r="AG541" i="11" s="1"/>
  <c r="AF542" i="11" s="1"/>
  <c r="AD540" i="11"/>
  <c r="I506" i="12"/>
  <c r="J506" i="12"/>
  <c r="L506" i="12"/>
  <c r="O506" i="12" s="1"/>
  <c r="S504" i="12"/>
  <c r="R539" i="11"/>
  <c r="Q539" i="11"/>
  <c r="I538" i="11"/>
  <c r="P505" i="12" s="1"/>
  <c r="K505" i="12"/>
  <c r="AE636" i="11"/>
  <c r="AD635" i="11"/>
  <c r="AJ635" i="11"/>
  <c r="J635" i="11" s="1"/>
  <c r="AK635" i="11"/>
  <c r="K635" i="11" s="1"/>
  <c r="G635" i="11"/>
  <c r="AL634" i="11"/>
  <c r="H634" i="11" s="1"/>
  <c r="I634" i="11" s="1"/>
  <c r="AL635" i="11" l="1"/>
  <c r="H635" i="11" s="1"/>
  <c r="I635" i="11" s="1"/>
  <c r="K506" i="12"/>
  <c r="S506" i="12" s="1"/>
  <c r="Q540" i="11"/>
  <c r="S505" i="12"/>
  <c r="L507" i="12"/>
  <c r="O507" i="12" s="1"/>
  <c r="J507" i="12"/>
  <c r="I507" i="12"/>
  <c r="R540" i="11"/>
  <c r="AL540" i="11"/>
  <c r="H540" i="11" s="1"/>
  <c r="AE542" i="11"/>
  <c r="AK541" i="11"/>
  <c r="K541" i="11" s="1"/>
  <c r="AD541" i="11"/>
  <c r="G541" i="11"/>
  <c r="H508" i="12" s="1"/>
  <c r="AJ541" i="11"/>
  <c r="J541" i="11" s="1"/>
  <c r="R635" i="11"/>
  <c r="Q635" i="11"/>
  <c r="AG636" i="11"/>
  <c r="Q541" i="11" l="1"/>
  <c r="AG542" i="11"/>
  <c r="AF543" i="11" s="1"/>
  <c r="R541" i="11"/>
  <c r="K507" i="12"/>
  <c r="I540" i="11"/>
  <c r="P507" i="12" s="1"/>
  <c r="AE543" i="11"/>
  <c r="AJ542" i="11"/>
  <c r="J542" i="11" s="1"/>
  <c r="AL541" i="11"/>
  <c r="H541" i="11" s="1"/>
  <c r="I508" i="12"/>
  <c r="J508" i="12"/>
  <c r="L508" i="12"/>
  <c r="O508" i="12" s="1"/>
  <c r="AE637" i="11"/>
  <c r="AK636" i="11"/>
  <c r="K636" i="11" s="1"/>
  <c r="R636" i="11" s="1"/>
  <c r="G636" i="11"/>
  <c r="AD636" i="11"/>
  <c r="AJ636" i="11"/>
  <c r="J636" i="11" s="1"/>
  <c r="Q636" i="11" l="1"/>
  <c r="G542" i="11"/>
  <c r="H509" i="12" s="1"/>
  <c r="S507" i="12"/>
  <c r="AK542" i="11"/>
  <c r="K542" i="11" s="1"/>
  <c r="R542" i="11" s="1"/>
  <c r="AD542" i="11"/>
  <c r="L509" i="12"/>
  <c r="O509" i="12" s="1"/>
  <c r="I509" i="12"/>
  <c r="J509" i="12"/>
  <c r="AG543" i="11"/>
  <c r="AF544" i="11" s="1"/>
  <c r="I541" i="11"/>
  <c r="P508" i="12" s="1"/>
  <c r="K508" i="12"/>
  <c r="Q542" i="11"/>
  <c r="AL636" i="11"/>
  <c r="H636" i="11" s="1"/>
  <c r="I636" i="11" s="1"/>
  <c r="AG637" i="11"/>
  <c r="AL542" i="11" l="1"/>
  <c r="H542" i="11" s="1"/>
  <c r="K509" i="12" s="1"/>
  <c r="S508" i="12"/>
  <c r="AD543" i="11"/>
  <c r="G543" i="11"/>
  <c r="H510" i="12" s="1"/>
  <c r="AE544" i="11"/>
  <c r="AK543" i="11"/>
  <c r="K543" i="11" s="1"/>
  <c r="AJ543" i="11"/>
  <c r="J543" i="11" s="1"/>
  <c r="AK637" i="11"/>
  <c r="K637" i="11" s="1"/>
  <c r="AE638" i="11"/>
  <c r="AG638" i="11" s="1"/>
  <c r="G637" i="11"/>
  <c r="AJ637" i="11"/>
  <c r="J637" i="11" s="1"/>
  <c r="Q637" i="11" s="1"/>
  <c r="AD637" i="11"/>
  <c r="I542" i="11" l="1"/>
  <c r="P509" i="12" s="1"/>
  <c r="S509" i="12" s="1"/>
  <c r="Q543" i="11"/>
  <c r="R543" i="11"/>
  <c r="AL543" i="11"/>
  <c r="H543" i="11" s="1"/>
  <c r="AG544" i="11"/>
  <c r="AF545" i="11" s="1"/>
  <c r="I510" i="12"/>
  <c r="L510" i="12"/>
  <c r="O510" i="12" s="1"/>
  <c r="J510" i="12"/>
  <c r="AL637" i="11"/>
  <c r="H637" i="11" s="1"/>
  <c r="I637" i="11" s="1"/>
  <c r="AK638" i="11"/>
  <c r="K638" i="11" s="1"/>
  <c r="AD638" i="11"/>
  <c r="AJ638" i="11"/>
  <c r="J638" i="11" s="1"/>
  <c r="AE639" i="11"/>
  <c r="AG639" i="11" s="1"/>
  <c r="G638" i="11"/>
  <c r="R637" i="11"/>
  <c r="G544" i="11" l="1"/>
  <c r="H511" i="12" s="1"/>
  <c r="AK544" i="11"/>
  <c r="K544" i="11" s="1"/>
  <c r="AD544" i="11"/>
  <c r="AE545" i="11"/>
  <c r="AJ544" i="11"/>
  <c r="J544" i="11" s="1"/>
  <c r="I543" i="11"/>
  <c r="P510" i="12" s="1"/>
  <c r="K510" i="12"/>
  <c r="Q638" i="11"/>
  <c r="AL638" i="11"/>
  <c r="H638" i="11" s="1"/>
  <c r="I638" i="11" s="1"/>
  <c r="AK639" i="11"/>
  <c r="K639" i="11" s="1"/>
  <c r="AD639" i="11"/>
  <c r="AJ639" i="11"/>
  <c r="J639" i="11" s="1"/>
  <c r="G639" i="11"/>
  <c r="AE640" i="11"/>
  <c r="R638" i="11"/>
  <c r="Q639" i="11" l="1"/>
  <c r="Q544" i="11"/>
  <c r="AG545" i="11"/>
  <c r="AK545" i="11" s="1"/>
  <c r="K545" i="11" s="1"/>
  <c r="R544" i="11"/>
  <c r="AE546" i="11"/>
  <c r="S510" i="12"/>
  <c r="AL544" i="11"/>
  <c r="H544" i="11" s="1"/>
  <c r="L511" i="12"/>
  <c r="O511" i="12" s="1"/>
  <c r="J511" i="12"/>
  <c r="I511" i="12"/>
  <c r="AG640" i="11"/>
  <c r="AK640" i="11" s="1"/>
  <c r="K640" i="11" s="1"/>
  <c r="AL639" i="11"/>
  <c r="H639" i="11" s="1"/>
  <c r="I639" i="11" s="1"/>
  <c r="AE641" i="11"/>
  <c r="AD640" i="11"/>
  <c r="AJ640" i="11"/>
  <c r="J640" i="11" s="1"/>
  <c r="R639" i="11"/>
  <c r="G640" i="11" l="1"/>
  <c r="R640" i="11" s="1"/>
  <c r="G545" i="11"/>
  <c r="H512" i="12" s="1"/>
  <c r="L512" i="12" s="1"/>
  <c r="O512" i="12" s="1"/>
  <c r="AJ545" i="11"/>
  <c r="J545" i="11" s="1"/>
  <c r="AD545" i="11"/>
  <c r="AF546" i="11"/>
  <c r="AG546" i="11" s="1"/>
  <c r="K511" i="12"/>
  <c r="I544" i="11"/>
  <c r="AL640" i="11"/>
  <c r="H640" i="11" s="1"/>
  <c r="I640" i="11" s="1"/>
  <c r="AG641" i="11"/>
  <c r="Q640" i="11" l="1"/>
  <c r="J512" i="12"/>
  <c r="I512" i="12"/>
  <c r="R545" i="11"/>
  <c r="Q545" i="11"/>
  <c r="AL545" i="11"/>
  <c r="H545" i="11" s="1"/>
  <c r="K512" i="12" s="1"/>
  <c r="AF547" i="11"/>
  <c r="AD546" i="11"/>
  <c r="AK546" i="11"/>
  <c r="K546" i="11" s="1"/>
  <c r="AJ546" i="11"/>
  <c r="J546" i="11" s="1"/>
  <c r="AE547" i="11"/>
  <c r="G546" i="11"/>
  <c r="H513" i="12" s="1"/>
  <c r="L513" i="12" s="1"/>
  <c r="O513" i="12" s="1"/>
  <c r="P511" i="12"/>
  <c r="S511" i="12" s="1"/>
  <c r="AD641" i="11"/>
  <c r="AE642" i="11"/>
  <c r="G641" i="11"/>
  <c r="AK641" i="11"/>
  <c r="K641" i="11" s="1"/>
  <c r="AJ641" i="11"/>
  <c r="J641" i="11" s="1"/>
  <c r="R641" i="11" l="1"/>
  <c r="Q641" i="11"/>
  <c r="I545" i="11"/>
  <c r="P512" i="12" s="1"/>
  <c r="S512" i="12" s="1"/>
  <c r="Q546" i="11"/>
  <c r="J513" i="12"/>
  <c r="I513" i="12"/>
  <c r="AL546" i="11"/>
  <c r="H546" i="11" s="1"/>
  <c r="I546" i="11" s="1"/>
  <c r="P513" i="12" s="1"/>
  <c r="AG547" i="11"/>
  <c r="G547" i="11" s="1"/>
  <c r="H514" i="12" s="1"/>
  <c r="J514" i="12" s="1"/>
  <c r="R546" i="11"/>
  <c r="AL641" i="11"/>
  <c r="H641" i="11" s="1"/>
  <c r="I641" i="11" s="1"/>
  <c r="AG642" i="11"/>
  <c r="L514" i="12" l="1"/>
  <c r="O514" i="12" s="1"/>
  <c r="I514" i="12"/>
  <c r="K513" i="12"/>
  <c r="S513" i="12" s="1"/>
  <c r="AF548" i="11"/>
  <c r="AK547" i="11"/>
  <c r="K547" i="11" s="1"/>
  <c r="R547" i="11" s="1"/>
  <c r="AJ547" i="11"/>
  <c r="AE548" i="11"/>
  <c r="AD547" i="11"/>
  <c r="G642" i="11"/>
  <c r="AJ642" i="11"/>
  <c r="J642" i="11" s="1"/>
  <c r="Q642" i="11" s="1"/>
  <c r="AD642" i="11"/>
  <c r="AE643" i="11"/>
  <c r="AG643" i="11" s="1"/>
  <c r="AK642" i="11"/>
  <c r="K642" i="11" s="1"/>
  <c r="R642" i="11" s="1"/>
  <c r="AG548" i="11" l="1"/>
  <c r="AK548" i="11" s="1"/>
  <c r="K548" i="11" s="1"/>
  <c r="J547" i="11"/>
  <c r="Q547" i="11" s="1"/>
  <c r="AL547" i="11"/>
  <c r="H547" i="11" s="1"/>
  <c r="AF549" i="11"/>
  <c r="AE549" i="11"/>
  <c r="AE644" i="11"/>
  <c r="G643" i="11"/>
  <c r="AJ643" i="11"/>
  <c r="J643" i="11" s="1"/>
  <c r="AD643" i="11"/>
  <c r="AK643" i="11"/>
  <c r="K643" i="11" s="1"/>
  <c r="AL642" i="11"/>
  <c r="H642" i="11" s="1"/>
  <c r="I642" i="11" s="1"/>
  <c r="AD548" i="11" l="1"/>
  <c r="R643" i="11"/>
  <c r="Q643" i="11"/>
  <c r="AG549" i="11"/>
  <c r="G549" i="11" s="1"/>
  <c r="H516" i="12" s="1"/>
  <c r="G548" i="11"/>
  <c r="H515" i="12" s="1"/>
  <c r="L515" i="12" s="1"/>
  <c r="O515" i="12" s="1"/>
  <c r="AJ548" i="11"/>
  <c r="J548" i="11" s="1"/>
  <c r="Q548" i="11" s="1"/>
  <c r="AF550" i="11"/>
  <c r="AJ549" i="11"/>
  <c r="J549" i="11" s="1"/>
  <c r="AE550" i="11"/>
  <c r="I547" i="11"/>
  <c r="K514" i="12"/>
  <c r="AL643" i="11"/>
  <c r="H643" i="11" s="1"/>
  <c r="I643" i="11" s="1"/>
  <c r="AG644" i="11"/>
  <c r="J515" i="12" l="1"/>
  <c r="AK549" i="11"/>
  <c r="K549" i="11" s="1"/>
  <c r="R549" i="11" s="1"/>
  <c r="R548" i="11"/>
  <c r="I515" i="12"/>
  <c r="AD549" i="11"/>
  <c r="AL548" i="11"/>
  <c r="H548" i="11" s="1"/>
  <c r="K515" i="12" s="1"/>
  <c r="AG550" i="11"/>
  <c r="AF551" i="11" s="1"/>
  <c r="Q549" i="11"/>
  <c r="AE551" i="11"/>
  <c r="P514" i="12"/>
  <c r="S514" i="12" s="1"/>
  <c r="L516" i="12"/>
  <c r="O516" i="12" s="1"/>
  <c r="I516" i="12"/>
  <c r="J516" i="12"/>
  <c r="AE645" i="11"/>
  <c r="AG645" i="11" s="1"/>
  <c r="G644" i="11"/>
  <c r="AD644" i="11"/>
  <c r="AJ644" i="11"/>
  <c r="J644" i="11" s="1"/>
  <c r="AK644" i="11"/>
  <c r="K644" i="11" s="1"/>
  <c r="R644" i="11" l="1"/>
  <c r="Q644" i="11"/>
  <c r="AL549" i="11"/>
  <c r="H549" i="11" s="1"/>
  <c r="I549" i="11" s="1"/>
  <c r="P516" i="12" s="1"/>
  <c r="AD550" i="11"/>
  <c r="I548" i="11"/>
  <c r="P515" i="12" s="1"/>
  <c r="S515" i="12" s="1"/>
  <c r="AG551" i="11"/>
  <c r="AF552" i="11" s="1"/>
  <c r="AK550" i="11"/>
  <c r="K550" i="11" s="1"/>
  <c r="AJ550" i="11"/>
  <c r="G550" i="11"/>
  <c r="H517" i="12" s="1"/>
  <c r="J517" i="12" s="1"/>
  <c r="AE552" i="11"/>
  <c r="AD645" i="11"/>
  <c r="AJ645" i="11"/>
  <c r="J645" i="11" s="1"/>
  <c r="AK645" i="11"/>
  <c r="K645" i="11" s="1"/>
  <c r="G645" i="11"/>
  <c r="AE646" i="11"/>
  <c r="AG646" i="11" s="1"/>
  <c r="AL644" i="11"/>
  <c r="H644" i="11" s="1"/>
  <c r="I644" i="11" s="1"/>
  <c r="K516" i="12" l="1"/>
  <c r="G551" i="11"/>
  <c r="H518" i="12" s="1"/>
  <c r="J518" i="12" s="1"/>
  <c r="AG552" i="11"/>
  <c r="AF553" i="11" s="1"/>
  <c r="AD551" i="11"/>
  <c r="R645" i="11"/>
  <c r="AJ551" i="11"/>
  <c r="J551" i="11" s="1"/>
  <c r="Q551" i="11" s="1"/>
  <c r="AK551" i="11"/>
  <c r="K551" i="11" s="1"/>
  <c r="R551" i="11" s="1"/>
  <c r="I517" i="12"/>
  <c r="R550" i="11"/>
  <c r="L517" i="12"/>
  <c r="O517" i="12" s="1"/>
  <c r="J550" i="11"/>
  <c r="Q550" i="11" s="1"/>
  <c r="AL550" i="11"/>
  <c r="H550" i="11" s="1"/>
  <c r="I518" i="12"/>
  <c r="S516" i="12"/>
  <c r="G552" i="11"/>
  <c r="H519" i="12" s="1"/>
  <c r="AJ552" i="11"/>
  <c r="J552" i="11" s="1"/>
  <c r="AE553" i="11"/>
  <c r="AG553" i="11" s="1"/>
  <c r="AF554" i="11" s="1"/>
  <c r="AD552" i="11"/>
  <c r="AK552" i="11"/>
  <c r="K552" i="11" s="1"/>
  <c r="Q645" i="11"/>
  <c r="AK646" i="11"/>
  <c r="K646" i="11" s="1"/>
  <c r="AD646" i="11"/>
  <c r="AJ646" i="11"/>
  <c r="J646" i="11" s="1"/>
  <c r="AE647" i="11"/>
  <c r="G646" i="11"/>
  <c r="AL645" i="11"/>
  <c r="H645" i="11" s="1"/>
  <c r="I645" i="11" s="1"/>
  <c r="L518" i="12" l="1"/>
  <c r="O518" i="12" s="1"/>
  <c r="AL646" i="11"/>
  <c r="H646" i="11" s="1"/>
  <c r="I646" i="11" s="1"/>
  <c r="AL551" i="11"/>
  <c r="H551" i="11" s="1"/>
  <c r="I551" i="11" s="1"/>
  <c r="P518" i="12" s="1"/>
  <c r="I550" i="11"/>
  <c r="P517" i="12" s="1"/>
  <c r="K517" i="12"/>
  <c r="Q552" i="11"/>
  <c r="K518" i="12"/>
  <c r="S518" i="12" s="1"/>
  <c r="AL552" i="11"/>
  <c r="H552" i="11" s="1"/>
  <c r="AJ553" i="11"/>
  <c r="J553" i="11" s="1"/>
  <c r="AK553" i="11"/>
  <c r="K553" i="11" s="1"/>
  <c r="AE554" i="11"/>
  <c r="AG554" i="11" s="1"/>
  <c r="AF555" i="11" s="1"/>
  <c r="G553" i="11"/>
  <c r="H520" i="12" s="1"/>
  <c r="AD553" i="11"/>
  <c r="L519" i="12"/>
  <c r="O519" i="12" s="1"/>
  <c r="I519" i="12"/>
  <c r="J519" i="12"/>
  <c r="R552" i="11"/>
  <c r="AG647" i="11"/>
  <c r="Q646" i="11"/>
  <c r="R646" i="11"/>
  <c r="S517" i="12" l="1"/>
  <c r="AE555" i="11"/>
  <c r="AD554" i="11"/>
  <c r="AK554" i="11"/>
  <c r="K554" i="11" s="1"/>
  <c r="AJ554" i="11"/>
  <c r="J554" i="11" s="1"/>
  <c r="G554" i="11"/>
  <c r="H521" i="12" s="1"/>
  <c r="R553" i="11"/>
  <c r="Q553" i="11"/>
  <c r="L520" i="12"/>
  <c r="O520" i="12" s="1"/>
  <c r="J520" i="12"/>
  <c r="I520" i="12"/>
  <c r="I552" i="11"/>
  <c r="P519" i="12" s="1"/>
  <c r="K519" i="12"/>
  <c r="AL553" i="11"/>
  <c r="H553" i="11" s="1"/>
  <c r="G647" i="11"/>
  <c r="AE648" i="11"/>
  <c r="AK647" i="11"/>
  <c r="K647" i="11" s="1"/>
  <c r="AJ647" i="11"/>
  <c r="J647" i="11" s="1"/>
  <c r="AD647" i="11"/>
  <c r="Q647" i="11" l="1"/>
  <c r="R647" i="11"/>
  <c r="Q554" i="11"/>
  <c r="R554" i="11"/>
  <c r="S519" i="12"/>
  <c r="L521" i="12"/>
  <c r="O521" i="12" s="1"/>
  <c r="J521" i="12"/>
  <c r="I521" i="12"/>
  <c r="I553" i="11"/>
  <c r="P520" i="12" s="1"/>
  <c r="K520" i="12"/>
  <c r="AG555" i="11"/>
  <c r="AF556" i="11" s="1"/>
  <c r="AL554" i="11"/>
  <c r="H554" i="11" s="1"/>
  <c r="AG648" i="11"/>
  <c r="AL647" i="11"/>
  <c r="H647" i="11" s="1"/>
  <c r="I647" i="11" s="1"/>
  <c r="S520" i="12" l="1"/>
  <c r="G555" i="11"/>
  <c r="H522" i="12" s="1"/>
  <c r="AK555" i="11"/>
  <c r="K555" i="11" s="1"/>
  <c r="AJ555" i="11"/>
  <c r="J555" i="11" s="1"/>
  <c r="AE556" i="11"/>
  <c r="AD555" i="11"/>
  <c r="I554" i="11"/>
  <c r="P521" i="12" s="1"/>
  <c r="K521" i="12"/>
  <c r="AK648" i="11"/>
  <c r="K648" i="11" s="1"/>
  <c r="G648" i="11"/>
  <c r="AE649" i="11"/>
  <c r="AG649" i="11" s="1"/>
  <c r="AD648" i="11"/>
  <c r="AJ648" i="11"/>
  <c r="J648" i="11" s="1"/>
  <c r="Q648" i="11" s="1"/>
  <c r="Q555" i="11" l="1"/>
  <c r="R555" i="11"/>
  <c r="AL555" i="11"/>
  <c r="H555" i="11" s="1"/>
  <c r="K522" i="12" s="1"/>
  <c r="S521" i="12"/>
  <c r="AG556" i="11"/>
  <c r="AF557" i="11" s="1"/>
  <c r="I522" i="12"/>
  <c r="L522" i="12"/>
  <c r="O522" i="12" s="1"/>
  <c r="J522" i="12"/>
  <c r="AL648" i="11"/>
  <c r="H648" i="11" s="1"/>
  <c r="I648" i="11" s="1"/>
  <c r="AD649" i="11"/>
  <c r="G649" i="11"/>
  <c r="AK649" i="11"/>
  <c r="K649" i="11" s="1"/>
  <c r="R649" i="11" s="1"/>
  <c r="AE650" i="11"/>
  <c r="AG650" i="11" s="1"/>
  <c r="AJ649" i="11"/>
  <c r="J649" i="11" s="1"/>
  <c r="Q649" i="11" s="1"/>
  <c r="R648" i="11"/>
  <c r="I555" i="11" l="1"/>
  <c r="P522" i="12" s="1"/>
  <c r="S522" i="12" s="1"/>
  <c r="G556" i="11"/>
  <c r="H523" i="12" s="1"/>
  <c r="AD556" i="11"/>
  <c r="AJ556" i="11"/>
  <c r="J556" i="11" s="1"/>
  <c r="AK556" i="11"/>
  <c r="K556" i="11" s="1"/>
  <c r="AE557" i="11"/>
  <c r="AL649" i="11"/>
  <c r="H649" i="11" s="1"/>
  <c r="I649" i="11" s="1"/>
  <c r="AD650" i="11"/>
  <c r="AE651" i="11"/>
  <c r="AG651" i="11" s="1"/>
  <c r="AJ650" i="11"/>
  <c r="J650" i="11" s="1"/>
  <c r="G650" i="11"/>
  <c r="AK650" i="11"/>
  <c r="K650" i="11" s="1"/>
  <c r="R650" i="11" s="1"/>
  <c r="AL556" i="11" l="1"/>
  <c r="H556" i="11" s="1"/>
  <c r="K523" i="12" s="1"/>
  <c r="L523" i="12"/>
  <c r="O523" i="12" s="1"/>
  <c r="J523" i="12"/>
  <c r="I523" i="12"/>
  <c r="AG557" i="11"/>
  <c r="AF558" i="11" s="1"/>
  <c r="R556" i="11"/>
  <c r="Q556" i="11"/>
  <c r="AL650" i="11"/>
  <c r="H650" i="11" s="1"/>
  <c r="I650" i="11" s="1"/>
  <c r="Q650" i="11"/>
  <c r="G651" i="11"/>
  <c r="AD651" i="11"/>
  <c r="AE652" i="11"/>
  <c r="AG652" i="11" s="1"/>
  <c r="AJ651" i="11"/>
  <c r="J651" i="11" s="1"/>
  <c r="Q651" i="11" s="1"/>
  <c r="AK651" i="11"/>
  <c r="K651" i="11" s="1"/>
  <c r="R651" i="11" s="1"/>
  <c r="I556" i="11" l="1"/>
  <c r="G557" i="11"/>
  <c r="H524" i="12" s="1"/>
  <c r="AK557" i="11"/>
  <c r="K557" i="11" s="1"/>
  <c r="AJ557" i="11"/>
  <c r="J557" i="11" s="1"/>
  <c r="AE558" i="11"/>
  <c r="AD557" i="11"/>
  <c r="AD652" i="11"/>
  <c r="AK652" i="11"/>
  <c r="K652" i="11" s="1"/>
  <c r="G652" i="11"/>
  <c r="AJ652" i="11"/>
  <c r="J652" i="11" s="1"/>
  <c r="Q652" i="11" s="1"/>
  <c r="AE653" i="11"/>
  <c r="AG653" i="11" s="1"/>
  <c r="AL651" i="11"/>
  <c r="H651" i="11" s="1"/>
  <c r="I651" i="11" s="1"/>
  <c r="R557" i="11" l="1"/>
  <c r="Q557" i="11"/>
  <c r="AL557" i="11"/>
  <c r="H557" i="11" s="1"/>
  <c r="K524" i="12" s="1"/>
  <c r="P523" i="12"/>
  <c r="S523" i="12" s="1"/>
  <c r="AG558" i="11"/>
  <c r="AF559" i="11" s="1"/>
  <c r="I524" i="12"/>
  <c r="L524" i="12"/>
  <c r="O524" i="12" s="1"/>
  <c r="J524" i="12"/>
  <c r="AL652" i="11"/>
  <c r="H652" i="11" s="1"/>
  <c r="I652" i="11" s="1"/>
  <c r="G653" i="11"/>
  <c r="AK653" i="11"/>
  <c r="K653" i="11" s="1"/>
  <c r="R653" i="11" s="1"/>
  <c r="AD653" i="11"/>
  <c r="AJ653" i="11"/>
  <c r="J653" i="11" s="1"/>
  <c r="Q653" i="11" s="1"/>
  <c r="AE654" i="11"/>
  <c r="AG654" i="11" s="1"/>
  <c r="R652" i="11"/>
  <c r="I557" i="11" l="1"/>
  <c r="P524" i="12" s="1"/>
  <c r="S524" i="12" s="1"/>
  <c r="G558" i="11"/>
  <c r="H525" i="12" s="1"/>
  <c r="AD558" i="11"/>
  <c r="AJ558" i="11"/>
  <c r="J558" i="11" s="1"/>
  <c r="AE559" i="11"/>
  <c r="AK558" i="11"/>
  <c r="K558" i="11" s="1"/>
  <c r="AK654" i="11"/>
  <c r="K654" i="11" s="1"/>
  <c r="G654" i="11"/>
  <c r="AD654" i="11"/>
  <c r="AJ654" i="11"/>
  <c r="J654" i="11" s="1"/>
  <c r="AE655" i="11"/>
  <c r="AL653" i="11"/>
  <c r="H653" i="11" s="1"/>
  <c r="I653" i="11" s="1"/>
  <c r="R654" i="11" l="1"/>
  <c r="Q654" i="11"/>
  <c r="AL654" i="11"/>
  <c r="H654" i="11" s="1"/>
  <c r="I654" i="11" s="1"/>
  <c r="Q558" i="11"/>
  <c r="R558" i="11"/>
  <c r="AG559" i="11"/>
  <c r="AF560" i="11" s="1"/>
  <c r="L525" i="12"/>
  <c r="O525" i="12" s="1"/>
  <c r="I525" i="12"/>
  <c r="J525" i="12"/>
  <c r="AL558" i="11"/>
  <c r="H558" i="11" s="1"/>
  <c r="AG655" i="11"/>
  <c r="G655" i="11" s="1"/>
  <c r="AE656" i="11"/>
  <c r="AD655" i="11"/>
  <c r="AJ655" i="11" l="1"/>
  <c r="J655" i="11" s="1"/>
  <c r="Q655" i="11" s="1"/>
  <c r="AK655" i="11"/>
  <c r="K655" i="11" s="1"/>
  <c r="R655" i="11" s="1"/>
  <c r="AD559" i="11"/>
  <c r="G559" i="11"/>
  <c r="H526" i="12" s="1"/>
  <c r="I526" i="12" s="1"/>
  <c r="AE560" i="11"/>
  <c r="AG560" i="11" s="1"/>
  <c r="AF561" i="11" s="1"/>
  <c r="AJ559" i="11"/>
  <c r="J559" i="11" s="1"/>
  <c r="Q559" i="11" s="1"/>
  <c r="AK559" i="11"/>
  <c r="K559" i="11" s="1"/>
  <c r="R559" i="11" s="1"/>
  <c r="AE561" i="11"/>
  <c r="I558" i="11"/>
  <c r="K525" i="12"/>
  <c r="AL655" i="11"/>
  <c r="H655" i="11" s="1"/>
  <c r="I655" i="11" s="1"/>
  <c r="AG656" i="11"/>
  <c r="J526" i="12" l="1"/>
  <c r="L526" i="12"/>
  <c r="O526" i="12" s="1"/>
  <c r="AL559" i="11"/>
  <c r="H559" i="11" s="1"/>
  <c r="K526" i="12" s="1"/>
  <c r="AJ560" i="11"/>
  <c r="J560" i="11" s="1"/>
  <c r="AG561" i="11"/>
  <c r="AF562" i="11" s="1"/>
  <c r="G560" i="11"/>
  <c r="H527" i="12" s="1"/>
  <c r="I527" i="12" s="1"/>
  <c r="AD560" i="11"/>
  <c r="AK560" i="11"/>
  <c r="K560" i="11" s="1"/>
  <c r="P525" i="12"/>
  <c r="S525" i="12" s="1"/>
  <c r="AE562" i="11"/>
  <c r="G656" i="11"/>
  <c r="AE657" i="11"/>
  <c r="AD656" i="11"/>
  <c r="AK656" i="11"/>
  <c r="K656" i="11" s="1"/>
  <c r="R656" i="11" s="1"/>
  <c r="AJ656" i="11"/>
  <c r="J656" i="11" s="1"/>
  <c r="Q656" i="11" s="1"/>
  <c r="AK561" i="11" l="1"/>
  <c r="K561" i="11" s="1"/>
  <c r="G561" i="11"/>
  <c r="H528" i="12" s="1"/>
  <c r="L528" i="12" s="1"/>
  <c r="O528" i="12" s="1"/>
  <c r="AD561" i="11"/>
  <c r="AG562" i="11"/>
  <c r="AF563" i="11" s="1"/>
  <c r="I559" i="11"/>
  <c r="P526" i="12" s="1"/>
  <c r="S526" i="12" s="1"/>
  <c r="AJ561" i="11"/>
  <c r="J561" i="11" s="1"/>
  <c r="R560" i="11"/>
  <c r="L527" i="12"/>
  <c r="O527" i="12" s="1"/>
  <c r="J527" i="12"/>
  <c r="Q560" i="11"/>
  <c r="AL560" i="11"/>
  <c r="H560" i="11" s="1"/>
  <c r="K527" i="12" s="1"/>
  <c r="AE563" i="11"/>
  <c r="AL656" i="11"/>
  <c r="H656" i="11" s="1"/>
  <c r="I656" i="11" s="1"/>
  <c r="AG657" i="11"/>
  <c r="AD562" i="11" l="1"/>
  <c r="G562" i="11"/>
  <c r="H529" i="12" s="1"/>
  <c r="J529" i="12" s="1"/>
  <c r="AK562" i="11"/>
  <c r="K562" i="11" s="1"/>
  <c r="R562" i="11" s="1"/>
  <c r="I528" i="12"/>
  <c r="Q561" i="11"/>
  <c r="J528" i="12"/>
  <c r="R561" i="11"/>
  <c r="AJ562" i="11"/>
  <c r="J562" i="11" s="1"/>
  <c r="Q562" i="11" s="1"/>
  <c r="AL561" i="11"/>
  <c r="H561" i="11" s="1"/>
  <c r="K528" i="12" s="1"/>
  <c r="I560" i="11"/>
  <c r="P527" i="12" s="1"/>
  <c r="S527" i="12" s="1"/>
  <c r="AG563" i="11"/>
  <c r="AF564" i="11" s="1"/>
  <c r="AE658" i="11"/>
  <c r="G657" i="11"/>
  <c r="AJ657" i="11"/>
  <c r="J657" i="11" s="1"/>
  <c r="Q657" i="11" s="1"/>
  <c r="AD657" i="11"/>
  <c r="AK657" i="11"/>
  <c r="K657" i="11" s="1"/>
  <c r="R657" i="11" s="1"/>
  <c r="I529" i="12" l="1"/>
  <c r="L529" i="12"/>
  <c r="O529" i="12" s="1"/>
  <c r="I561" i="11"/>
  <c r="P528" i="12" s="1"/>
  <c r="S528" i="12" s="1"/>
  <c r="AL562" i="11"/>
  <c r="H562" i="11" s="1"/>
  <c r="I562" i="11" s="1"/>
  <c r="P529" i="12" s="1"/>
  <c r="G563" i="11"/>
  <c r="H530" i="12" s="1"/>
  <c r="J530" i="12" s="1"/>
  <c r="AK563" i="11"/>
  <c r="K563" i="11" s="1"/>
  <c r="AJ563" i="11"/>
  <c r="J563" i="11" s="1"/>
  <c r="Q563" i="11" s="1"/>
  <c r="AE564" i="11"/>
  <c r="AG564" i="11" s="1"/>
  <c r="AF565" i="11" s="1"/>
  <c r="AD563" i="11"/>
  <c r="AL657" i="11"/>
  <c r="H657" i="11" s="1"/>
  <c r="I657" i="11" s="1"/>
  <c r="AG658" i="11"/>
  <c r="R563" i="11" l="1"/>
  <c r="K529" i="12"/>
  <c r="S529" i="12" s="1"/>
  <c r="L530" i="12"/>
  <c r="O530" i="12" s="1"/>
  <c r="I530" i="12"/>
  <c r="AL563" i="11"/>
  <c r="H563" i="11" s="1"/>
  <c r="K530" i="12" s="1"/>
  <c r="AK564" i="11"/>
  <c r="K564" i="11" s="1"/>
  <c r="AD564" i="11"/>
  <c r="AJ564" i="11"/>
  <c r="J564" i="11" s="1"/>
  <c r="G564" i="11"/>
  <c r="H531" i="12" s="1"/>
  <c r="L531" i="12" s="1"/>
  <c r="O531" i="12" s="1"/>
  <c r="AE565" i="11"/>
  <c r="AG565" i="11" s="1"/>
  <c r="AJ658" i="11"/>
  <c r="J658" i="11" s="1"/>
  <c r="AD658" i="11"/>
  <c r="G658" i="11"/>
  <c r="AK658" i="11"/>
  <c r="K658" i="11" s="1"/>
  <c r="R658" i="11" s="1"/>
  <c r="AE659" i="11"/>
  <c r="AG659" i="11" s="1"/>
  <c r="I563" i="11" l="1"/>
  <c r="P530" i="12" s="1"/>
  <c r="S530" i="12" s="1"/>
  <c r="AL564" i="11"/>
  <c r="H564" i="11" s="1"/>
  <c r="I564" i="11" s="1"/>
  <c r="P531" i="12" s="1"/>
  <c r="I531" i="12"/>
  <c r="J531" i="12"/>
  <c r="R564" i="11"/>
  <c r="Q564" i="11"/>
  <c r="AF566" i="11"/>
  <c r="AK565" i="11"/>
  <c r="K565" i="11" s="1"/>
  <c r="AJ565" i="11"/>
  <c r="J565" i="11" s="1"/>
  <c r="G565" i="11"/>
  <c r="H532" i="12" s="1"/>
  <c r="L532" i="12" s="1"/>
  <c r="O532" i="12" s="1"/>
  <c r="AE566" i="11"/>
  <c r="AD565" i="11"/>
  <c r="AL658" i="11"/>
  <c r="H658" i="11" s="1"/>
  <c r="I658" i="11" s="1"/>
  <c r="G659" i="11"/>
  <c r="AJ659" i="11"/>
  <c r="J659" i="11" s="1"/>
  <c r="Q659" i="11" s="1"/>
  <c r="AD659" i="11"/>
  <c r="AE660" i="11"/>
  <c r="AG660" i="11" s="1"/>
  <c r="AK659" i="11"/>
  <c r="K659" i="11" s="1"/>
  <c r="R659" i="11" s="1"/>
  <c r="Q658" i="11"/>
  <c r="K531" i="12" l="1"/>
  <c r="AG566" i="11"/>
  <c r="AF567" i="11" s="1"/>
  <c r="J532" i="12"/>
  <c r="I532" i="12"/>
  <c r="Q565" i="11"/>
  <c r="AE567" i="11"/>
  <c r="R565" i="11"/>
  <c r="AL565" i="11"/>
  <c r="H565" i="11" s="1"/>
  <c r="K532" i="12" s="1"/>
  <c r="S531" i="12"/>
  <c r="AL659" i="11"/>
  <c r="H659" i="11" s="1"/>
  <c r="I659" i="11" s="1"/>
  <c r="AK660" i="11"/>
  <c r="K660" i="11" s="1"/>
  <c r="AE661" i="11"/>
  <c r="G660" i="11"/>
  <c r="AJ660" i="11"/>
  <c r="J660" i="11" s="1"/>
  <c r="Q660" i="11" s="1"/>
  <c r="AD660" i="11"/>
  <c r="AD566" i="11" l="1"/>
  <c r="G566" i="11"/>
  <c r="H533" i="12" s="1"/>
  <c r="L533" i="12" s="1"/>
  <c r="O533" i="12" s="1"/>
  <c r="AG567" i="11"/>
  <c r="AF568" i="11" s="1"/>
  <c r="AK566" i="11"/>
  <c r="K566" i="11" s="1"/>
  <c r="AJ566" i="11"/>
  <c r="J566" i="11" s="1"/>
  <c r="I565" i="11"/>
  <c r="P532" i="12" s="1"/>
  <c r="S532" i="12" s="1"/>
  <c r="AD567" i="11"/>
  <c r="AE568" i="11"/>
  <c r="AL660" i="11"/>
  <c r="H660" i="11" s="1"/>
  <c r="I660" i="11" s="1"/>
  <c r="AG661" i="11"/>
  <c r="R660" i="11"/>
  <c r="AJ567" i="11" l="1"/>
  <c r="J567" i="11" s="1"/>
  <c r="AK567" i="11"/>
  <c r="K567" i="11" s="1"/>
  <c r="G567" i="11"/>
  <c r="H534" i="12" s="1"/>
  <c r="J534" i="12" s="1"/>
  <c r="AL566" i="11"/>
  <c r="H566" i="11" s="1"/>
  <c r="K533" i="12" s="1"/>
  <c r="I533" i="12"/>
  <c r="J533" i="12"/>
  <c r="Q566" i="11"/>
  <c r="R566" i="11"/>
  <c r="AG568" i="11"/>
  <c r="AF569" i="11" s="1"/>
  <c r="AE569" i="11"/>
  <c r="AD661" i="11"/>
  <c r="AE662" i="11"/>
  <c r="G661" i="11"/>
  <c r="AJ661" i="11"/>
  <c r="J661" i="11" s="1"/>
  <c r="Q661" i="11" s="1"/>
  <c r="AK661" i="11"/>
  <c r="K661" i="11" s="1"/>
  <c r="AE684" i="11"/>
  <c r="AG684" i="11" s="1"/>
  <c r="R661" i="11" l="1"/>
  <c r="L534" i="12"/>
  <c r="O534" i="12" s="1"/>
  <c r="AL567" i="11"/>
  <c r="H567" i="11" s="1"/>
  <c r="K534" i="12" s="1"/>
  <c r="Q567" i="11"/>
  <c r="R567" i="11"/>
  <c r="I534" i="12"/>
  <c r="I566" i="11"/>
  <c r="P533" i="12" s="1"/>
  <c r="S533" i="12" s="1"/>
  <c r="G568" i="11"/>
  <c r="H535" i="12" s="1"/>
  <c r="L535" i="12" s="1"/>
  <c r="O535" i="12" s="1"/>
  <c r="AD568" i="11"/>
  <c r="AG569" i="11"/>
  <c r="AF570" i="11" s="1"/>
  <c r="AJ568" i="11"/>
  <c r="J568" i="11" s="1"/>
  <c r="AK568" i="11"/>
  <c r="K568" i="11" s="1"/>
  <c r="AE570" i="11"/>
  <c r="AL661" i="11"/>
  <c r="H661" i="11" s="1"/>
  <c r="I661" i="11" s="1"/>
  <c r="AG662" i="11"/>
  <c r="AD684" i="11"/>
  <c r="AK684" i="11"/>
  <c r="K684" i="11" s="1"/>
  <c r="AJ684" i="11"/>
  <c r="J684" i="11" s="1"/>
  <c r="AE685" i="11"/>
  <c r="AG685" i="11" s="1"/>
  <c r="G684" i="11"/>
  <c r="AL684" i="11" l="1"/>
  <c r="H684" i="11" s="1"/>
  <c r="I684" i="11" s="1"/>
  <c r="I567" i="11"/>
  <c r="P534" i="12" s="1"/>
  <c r="Q568" i="11"/>
  <c r="AK569" i="11"/>
  <c r="K569" i="11" s="1"/>
  <c r="AJ569" i="11"/>
  <c r="J569" i="11" s="1"/>
  <c r="AD569" i="11"/>
  <c r="R568" i="11"/>
  <c r="AL568" i="11"/>
  <c r="H568" i="11" s="1"/>
  <c r="K535" i="12" s="1"/>
  <c r="I535" i="12"/>
  <c r="J535" i="12"/>
  <c r="AG570" i="11"/>
  <c r="AF571" i="11" s="1"/>
  <c r="G569" i="11"/>
  <c r="H536" i="12" s="1"/>
  <c r="J536" i="12" s="1"/>
  <c r="AE571" i="11"/>
  <c r="S534" i="12"/>
  <c r="AD662" i="11"/>
  <c r="AK662" i="11"/>
  <c r="K662" i="11" s="1"/>
  <c r="G662" i="11"/>
  <c r="AJ662" i="11"/>
  <c r="J662" i="11" s="1"/>
  <c r="AE663" i="11"/>
  <c r="AD685" i="11"/>
  <c r="AK685" i="11"/>
  <c r="K685" i="11" s="1"/>
  <c r="AE686" i="11"/>
  <c r="AJ685" i="11"/>
  <c r="J685" i="11" s="1"/>
  <c r="G685" i="11"/>
  <c r="Q684" i="11"/>
  <c r="R684" i="11"/>
  <c r="Q662" i="11" l="1"/>
  <c r="R662" i="11"/>
  <c r="AL569" i="11"/>
  <c r="H569" i="11" s="1"/>
  <c r="I569" i="11" s="1"/>
  <c r="P536" i="12" s="1"/>
  <c r="AJ570" i="11"/>
  <c r="J570" i="11" s="1"/>
  <c r="I568" i="11"/>
  <c r="P535" i="12" s="1"/>
  <c r="S535" i="12" s="1"/>
  <c r="Q569" i="11"/>
  <c r="AK570" i="11"/>
  <c r="K570" i="11" s="1"/>
  <c r="L536" i="12"/>
  <c r="O536" i="12" s="1"/>
  <c r="I536" i="12"/>
  <c r="AD570" i="11"/>
  <c r="G570" i="11"/>
  <c r="H537" i="12" s="1"/>
  <c r="I537" i="12" s="1"/>
  <c r="R569" i="11"/>
  <c r="AG571" i="11"/>
  <c r="AF572" i="11" s="1"/>
  <c r="AG663" i="11"/>
  <c r="AL662" i="11"/>
  <c r="H662" i="11" s="1"/>
  <c r="I662" i="11" s="1"/>
  <c r="AL685" i="11"/>
  <c r="H685" i="11" s="1"/>
  <c r="I685" i="11" s="1"/>
  <c r="Q685" i="11"/>
  <c r="AG686" i="11"/>
  <c r="R685" i="11"/>
  <c r="K536" i="12" l="1"/>
  <c r="S536" i="12" s="1"/>
  <c r="R570" i="11"/>
  <c r="AL570" i="11"/>
  <c r="H570" i="11" s="1"/>
  <c r="I570" i="11" s="1"/>
  <c r="P537" i="12" s="1"/>
  <c r="Q570" i="11"/>
  <c r="L537" i="12"/>
  <c r="O537" i="12" s="1"/>
  <c r="J537" i="12"/>
  <c r="AK571" i="11"/>
  <c r="K571" i="11" s="1"/>
  <c r="AJ571" i="11"/>
  <c r="J571" i="11" s="1"/>
  <c r="G571" i="11"/>
  <c r="H538" i="12" s="1"/>
  <c r="AD571" i="11"/>
  <c r="AE572" i="11"/>
  <c r="AD663" i="11"/>
  <c r="AE664" i="11"/>
  <c r="G663" i="11"/>
  <c r="AJ663" i="11"/>
  <c r="J663" i="11" s="1"/>
  <c r="AK663" i="11"/>
  <c r="K663" i="11" s="1"/>
  <c r="AE687" i="11"/>
  <c r="AG687" i="11" s="1"/>
  <c r="AJ686" i="11"/>
  <c r="J686" i="11" s="1"/>
  <c r="AD686" i="11"/>
  <c r="AK686" i="11"/>
  <c r="K686" i="11" s="1"/>
  <c r="G686" i="11"/>
  <c r="Q686" i="11" l="1"/>
  <c r="R686" i="11"/>
  <c r="R663" i="11"/>
  <c r="Q663" i="11"/>
  <c r="K537" i="12"/>
  <c r="S537" i="12" s="1"/>
  <c r="AL571" i="11"/>
  <c r="H571" i="11" s="1"/>
  <c r="I571" i="11" s="1"/>
  <c r="P538" i="12" s="1"/>
  <c r="Q571" i="11"/>
  <c r="R571" i="11"/>
  <c r="AG572" i="11"/>
  <c r="AF573" i="11" s="1"/>
  <c r="J538" i="12"/>
  <c r="L538" i="12"/>
  <c r="O538" i="12" s="1"/>
  <c r="I538" i="12"/>
  <c r="AG664" i="11"/>
  <c r="AL663" i="11"/>
  <c r="H663" i="11" s="1"/>
  <c r="I663" i="11" s="1"/>
  <c r="AJ687" i="11"/>
  <c r="AK687" i="11"/>
  <c r="K687" i="11" s="1"/>
  <c r="AD687" i="11"/>
  <c r="AE688" i="11"/>
  <c r="G687" i="11"/>
  <c r="AL686" i="11"/>
  <c r="H686" i="11" s="1"/>
  <c r="I686" i="11" s="1"/>
  <c r="K538" i="12" l="1"/>
  <c r="S538" i="12" s="1"/>
  <c r="AE573" i="11"/>
  <c r="AG573" i="11" s="1"/>
  <c r="AF574" i="11" s="1"/>
  <c r="AJ572" i="11"/>
  <c r="J572" i="11" s="1"/>
  <c r="AD572" i="11"/>
  <c r="AK572" i="11"/>
  <c r="K572" i="11" s="1"/>
  <c r="G572" i="11"/>
  <c r="H539" i="12" s="1"/>
  <c r="AE665" i="11"/>
  <c r="AJ664" i="11"/>
  <c r="J664" i="11" s="1"/>
  <c r="AD664" i="11"/>
  <c r="G664" i="11"/>
  <c r="AK664" i="11"/>
  <c r="K664" i="11" s="1"/>
  <c r="AG688" i="11"/>
  <c r="G688" i="11" s="1"/>
  <c r="AE689" i="11"/>
  <c r="AG689" i="11" s="1"/>
  <c r="R687" i="11"/>
  <c r="AL687" i="11"/>
  <c r="H687" i="11" s="1"/>
  <c r="I687" i="11" s="1"/>
  <c r="J687" i="11"/>
  <c r="Q687" i="11" s="1"/>
  <c r="AD688" i="11" l="1"/>
  <c r="AJ688" i="11"/>
  <c r="J688" i="11" s="1"/>
  <c r="AK688" i="11"/>
  <c r="K688" i="11" s="1"/>
  <c r="R688" i="11" s="1"/>
  <c r="R664" i="11"/>
  <c r="Q572" i="11"/>
  <c r="R572" i="11"/>
  <c r="AJ573" i="11"/>
  <c r="J573" i="11" s="1"/>
  <c r="G573" i="11"/>
  <c r="H540" i="12" s="1"/>
  <c r="AK573" i="11"/>
  <c r="K573" i="11" s="1"/>
  <c r="AE574" i="11"/>
  <c r="AD573" i="11"/>
  <c r="AL572" i="11"/>
  <c r="H572" i="11" s="1"/>
  <c r="I539" i="12"/>
  <c r="J539" i="12"/>
  <c r="L539" i="12"/>
  <c r="O539" i="12" s="1"/>
  <c r="AL664" i="11"/>
  <c r="H664" i="11" s="1"/>
  <c r="I664" i="11" s="1"/>
  <c r="Q664" i="11"/>
  <c r="AG665" i="11"/>
  <c r="AE690" i="11"/>
  <c r="AG690" i="11" s="1"/>
  <c r="Q688" i="11"/>
  <c r="AD689" i="11"/>
  <c r="AK689" i="11"/>
  <c r="K689" i="11" s="1"/>
  <c r="AJ689" i="11"/>
  <c r="J689" i="11" s="1"/>
  <c r="G689" i="11"/>
  <c r="AL688" i="11" l="1"/>
  <c r="H688" i="11" s="1"/>
  <c r="I688" i="11" s="1"/>
  <c r="R689" i="11"/>
  <c r="Q689" i="11"/>
  <c r="R573" i="11"/>
  <c r="K539" i="12"/>
  <c r="I572" i="11"/>
  <c r="AG574" i="11"/>
  <c r="AF575" i="11" s="1"/>
  <c r="I540" i="12"/>
  <c r="L540" i="12"/>
  <c r="O540" i="12" s="1"/>
  <c r="J540" i="12"/>
  <c r="Q573" i="11"/>
  <c r="AL573" i="11"/>
  <c r="H573" i="11" s="1"/>
  <c r="AE666" i="11"/>
  <c r="AD665" i="11"/>
  <c r="AJ665" i="11"/>
  <c r="J665" i="11" s="1"/>
  <c r="AK665" i="11"/>
  <c r="K665" i="11" s="1"/>
  <c r="G665" i="11"/>
  <c r="AJ690" i="11"/>
  <c r="J690" i="11" s="1"/>
  <c r="AD690" i="11"/>
  <c r="AK690" i="11"/>
  <c r="K690" i="11" s="1"/>
  <c r="AE691" i="11"/>
  <c r="AG691" i="11" s="1"/>
  <c r="G690" i="11"/>
  <c r="AL689" i="11"/>
  <c r="H689" i="11" s="1"/>
  <c r="I689" i="11" s="1"/>
  <c r="R665" i="11" l="1"/>
  <c r="AK574" i="11"/>
  <c r="K574" i="11" s="1"/>
  <c r="G574" i="11"/>
  <c r="H541" i="12" s="1"/>
  <c r="AD574" i="11"/>
  <c r="AE575" i="11"/>
  <c r="AJ574" i="11"/>
  <c r="J574" i="11" s="1"/>
  <c r="P539" i="12"/>
  <c r="S539" i="12" s="1"/>
  <c r="I573" i="11"/>
  <c r="P540" i="12" s="1"/>
  <c r="K540" i="12"/>
  <c r="Q665" i="11"/>
  <c r="AG666" i="11"/>
  <c r="AL665" i="11"/>
  <c r="H665" i="11" s="1"/>
  <c r="I665" i="11" s="1"/>
  <c r="AJ691" i="11"/>
  <c r="J691" i="11" s="1"/>
  <c r="AK691" i="11"/>
  <c r="K691" i="11" s="1"/>
  <c r="AD691" i="11"/>
  <c r="AE692" i="11"/>
  <c r="AG692" i="11" s="1"/>
  <c r="G691" i="11"/>
  <c r="AL690" i="11"/>
  <c r="H690" i="11" s="1"/>
  <c r="I690" i="11" s="1"/>
  <c r="R690" i="11"/>
  <c r="Q690" i="11"/>
  <c r="Q574" i="11" l="1"/>
  <c r="R574" i="11"/>
  <c r="AL574" i="11"/>
  <c r="H574" i="11" s="1"/>
  <c r="AG575" i="11"/>
  <c r="AF576" i="11" s="1"/>
  <c r="S540" i="12"/>
  <c r="L541" i="12"/>
  <c r="O541" i="12" s="1"/>
  <c r="J541" i="12"/>
  <c r="I541" i="12"/>
  <c r="AE667" i="11"/>
  <c r="AJ666" i="11"/>
  <c r="J666" i="11" s="1"/>
  <c r="AD666" i="11"/>
  <c r="AK666" i="11"/>
  <c r="K666" i="11" s="1"/>
  <c r="G666" i="11"/>
  <c r="AD692" i="11"/>
  <c r="AJ692" i="11"/>
  <c r="AK692" i="11"/>
  <c r="K692" i="11" s="1"/>
  <c r="AE693" i="11"/>
  <c r="AG693" i="11" s="1"/>
  <c r="G692" i="11"/>
  <c r="AL691" i="11"/>
  <c r="H691" i="11" s="1"/>
  <c r="I691" i="11" s="1"/>
  <c r="R691" i="11"/>
  <c r="Q691" i="11"/>
  <c r="G575" i="11" l="1"/>
  <c r="H542" i="12" s="1"/>
  <c r="AE576" i="11"/>
  <c r="AG576" i="11" s="1"/>
  <c r="AF577" i="11" s="1"/>
  <c r="AK575" i="11"/>
  <c r="K575" i="11" s="1"/>
  <c r="AD575" i="11"/>
  <c r="AJ575" i="11"/>
  <c r="J575" i="11" s="1"/>
  <c r="K541" i="12"/>
  <c r="I574" i="11"/>
  <c r="P541" i="12" s="1"/>
  <c r="R666" i="11"/>
  <c r="Q666" i="11"/>
  <c r="AG667" i="11"/>
  <c r="AL666" i="11"/>
  <c r="H666" i="11" s="1"/>
  <c r="I666" i="11" s="1"/>
  <c r="R692" i="11"/>
  <c r="AL692" i="11"/>
  <c r="H692" i="11" s="1"/>
  <c r="I692" i="11" s="1"/>
  <c r="J692" i="11"/>
  <c r="Q692" i="11" s="1"/>
  <c r="AE694" i="11"/>
  <c r="AG694" i="11" s="1"/>
  <c r="AJ693" i="11"/>
  <c r="J693" i="11" s="1"/>
  <c r="AK693" i="11"/>
  <c r="K693" i="11" s="1"/>
  <c r="AD693" i="11"/>
  <c r="G693" i="11"/>
  <c r="Q693" i="11" l="1"/>
  <c r="S541" i="12"/>
  <c r="AL575" i="11"/>
  <c r="H575" i="11" s="1"/>
  <c r="I575" i="11" s="1"/>
  <c r="P542" i="12" s="1"/>
  <c r="AK576" i="11"/>
  <c r="K576" i="11" s="1"/>
  <c r="AJ576" i="11"/>
  <c r="J576" i="11" s="1"/>
  <c r="AE577" i="11"/>
  <c r="AG577" i="11" s="1"/>
  <c r="AF578" i="11" s="1"/>
  <c r="G576" i="11"/>
  <c r="H543" i="12" s="1"/>
  <c r="AD576" i="11"/>
  <c r="I542" i="12"/>
  <c r="L542" i="12"/>
  <c r="O542" i="12" s="1"/>
  <c r="J542" i="12"/>
  <c r="Q575" i="11"/>
  <c r="R575" i="11"/>
  <c r="AD667" i="11"/>
  <c r="G667" i="11"/>
  <c r="AK667" i="11"/>
  <c r="K667" i="11" s="1"/>
  <c r="AE668" i="11"/>
  <c r="AG668" i="11" s="1"/>
  <c r="AJ667" i="11"/>
  <c r="J667" i="11" s="1"/>
  <c r="AL693" i="11"/>
  <c r="H693" i="11" s="1"/>
  <c r="I693" i="11" s="1"/>
  <c r="AK694" i="11"/>
  <c r="K694" i="11" s="1"/>
  <c r="R694" i="11" s="1"/>
  <c r="AE695" i="11"/>
  <c r="AG695" i="11" s="1"/>
  <c r="AJ694" i="11"/>
  <c r="J694" i="11" s="1"/>
  <c r="Q694" i="11" s="1"/>
  <c r="AD694" i="11"/>
  <c r="G694" i="11"/>
  <c r="R693" i="11"/>
  <c r="R667" i="11" l="1"/>
  <c r="K542" i="12"/>
  <c r="S542" i="12" s="1"/>
  <c r="AL576" i="11"/>
  <c r="H576" i="11" s="1"/>
  <c r="I576" i="11" s="1"/>
  <c r="P543" i="12" s="1"/>
  <c r="L543" i="12"/>
  <c r="O543" i="12" s="1"/>
  <c r="I543" i="12"/>
  <c r="J543" i="12"/>
  <c r="AD577" i="11"/>
  <c r="G577" i="11"/>
  <c r="H544" i="12" s="1"/>
  <c r="AK577" i="11"/>
  <c r="K577" i="11" s="1"/>
  <c r="AJ577" i="11"/>
  <c r="J577" i="11" s="1"/>
  <c r="AE578" i="11"/>
  <c r="AG578" i="11" s="1"/>
  <c r="AF579" i="11" s="1"/>
  <c r="Q576" i="11"/>
  <c r="R576" i="11"/>
  <c r="G668" i="11"/>
  <c r="AE669" i="11"/>
  <c r="AJ668" i="11"/>
  <c r="J668" i="11" s="1"/>
  <c r="Q668" i="11" s="1"/>
  <c r="AD668" i="11"/>
  <c r="AK668" i="11"/>
  <c r="K668" i="11" s="1"/>
  <c r="AL667" i="11"/>
  <c r="H667" i="11" s="1"/>
  <c r="I667" i="11" s="1"/>
  <c r="Q667" i="11"/>
  <c r="AE696" i="11"/>
  <c r="AG696" i="11" s="1"/>
  <c r="AD695" i="11"/>
  <c r="AK695" i="11"/>
  <c r="K695" i="11" s="1"/>
  <c r="R695" i="11" s="1"/>
  <c r="AJ695" i="11"/>
  <c r="J695" i="11" s="1"/>
  <c r="G695" i="11"/>
  <c r="AL694" i="11"/>
  <c r="H694" i="11" s="1"/>
  <c r="I694" i="11" s="1"/>
  <c r="R668" i="11" l="1"/>
  <c r="Q695" i="11"/>
  <c r="K543" i="12"/>
  <c r="S543" i="12" s="1"/>
  <c r="Q577" i="11"/>
  <c r="R577" i="11"/>
  <c r="AJ578" i="11"/>
  <c r="J578" i="11" s="1"/>
  <c r="AK578" i="11"/>
  <c r="K578" i="11" s="1"/>
  <c r="G578" i="11"/>
  <c r="H545" i="12" s="1"/>
  <c r="AE579" i="11"/>
  <c r="AG579" i="11" s="1"/>
  <c r="AF580" i="11" s="1"/>
  <c r="AD578" i="11"/>
  <c r="AL577" i="11"/>
  <c r="H577" i="11" s="1"/>
  <c r="J544" i="12"/>
  <c r="I544" i="12"/>
  <c r="L544" i="12"/>
  <c r="O544" i="12" s="1"/>
  <c r="AL668" i="11"/>
  <c r="H668" i="11" s="1"/>
  <c r="I668" i="11" s="1"/>
  <c r="AG669" i="11"/>
  <c r="AL695" i="11"/>
  <c r="H695" i="11" s="1"/>
  <c r="I695" i="11" s="1"/>
  <c r="AK696" i="11"/>
  <c r="K696" i="11" s="1"/>
  <c r="AE697" i="11"/>
  <c r="AG697" i="11" s="1"/>
  <c r="AJ696" i="11"/>
  <c r="J696" i="11" s="1"/>
  <c r="AD696" i="11"/>
  <c r="G696" i="11"/>
  <c r="Q696" i="11" l="1"/>
  <c r="R696" i="11"/>
  <c r="R578" i="11"/>
  <c r="I577" i="11"/>
  <c r="P544" i="12" s="1"/>
  <c r="K544" i="12"/>
  <c r="AE580" i="11"/>
  <c r="AJ579" i="11"/>
  <c r="J579" i="11" s="1"/>
  <c r="G579" i="11"/>
  <c r="H546" i="12" s="1"/>
  <c r="AD579" i="11"/>
  <c r="AK579" i="11"/>
  <c r="K579" i="11" s="1"/>
  <c r="J545" i="12"/>
  <c r="L545" i="12"/>
  <c r="O545" i="12" s="1"/>
  <c r="I545" i="12"/>
  <c r="AL578" i="11"/>
  <c r="H578" i="11" s="1"/>
  <c r="Q578" i="11"/>
  <c r="AE670" i="11"/>
  <c r="AD669" i="11"/>
  <c r="AK669" i="11"/>
  <c r="K669" i="11" s="1"/>
  <c r="AJ669" i="11"/>
  <c r="J669" i="11" s="1"/>
  <c r="G669" i="11"/>
  <c r="AJ697" i="11"/>
  <c r="AK697" i="11"/>
  <c r="K697" i="11" s="1"/>
  <c r="AD697" i="11"/>
  <c r="AE698" i="11"/>
  <c r="AG698" i="11" s="1"/>
  <c r="G697" i="11"/>
  <c r="AL696" i="11"/>
  <c r="H696" i="11" s="1"/>
  <c r="I696" i="11" s="1"/>
  <c r="Q669" i="11" l="1"/>
  <c r="AL669" i="11"/>
  <c r="H669" i="11" s="1"/>
  <c r="I669" i="11" s="1"/>
  <c r="AG580" i="11"/>
  <c r="AF581" i="11" s="1"/>
  <c r="S544" i="12"/>
  <c r="R579" i="11"/>
  <c r="I578" i="11"/>
  <c r="P545" i="12" s="1"/>
  <c r="K545" i="12"/>
  <c r="Q579" i="11"/>
  <c r="AE581" i="11"/>
  <c r="L546" i="12"/>
  <c r="O546" i="12" s="1"/>
  <c r="I546" i="12"/>
  <c r="J546" i="12"/>
  <c r="AL579" i="11"/>
  <c r="H579" i="11" s="1"/>
  <c r="R669" i="11"/>
  <c r="AG670" i="11"/>
  <c r="R697" i="11"/>
  <c r="AL697" i="11"/>
  <c r="H697" i="11" s="1"/>
  <c r="I697" i="11" s="1"/>
  <c r="J697" i="11"/>
  <c r="Q697" i="11" s="1"/>
  <c r="AE699" i="11"/>
  <c r="AD698" i="11"/>
  <c r="AK698" i="11"/>
  <c r="K698" i="11" s="1"/>
  <c r="AJ698" i="11"/>
  <c r="J698" i="11" s="1"/>
  <c r="G698" i="11"/>
  <c r="Q698" i="11" l="1"/>
  <c r="AD580" i="11"/>
  <c r="G580" i="11"/>
  <c r="H547" i="12" s="1"/>
  <c r="I547" i="12" s="1"/>
  <c r="AJ580" i="11"/>
  <c r="J580" i="11" s="1"/>
  <c r="Q580" i="11" s="1"/>
  <c r="AK580" i="11"/>
  <c r="K580" i="11" s="1"/>
  <c r="R580" i="11" s="1"/>
  <c r="AG581" i="11"/>
  <c r="AF582" i="11" s="1"/>
  <c r="S545" i="12"/>
  <c r="I579" i="11"/>
  <c r="P546" i="12" s="1"/>
  <c r="K546" i="12"/>
  <c r="AE582" i="11"/>
  <c r="AK670" i="11"/>
  <c r="K670" i="11" s="1"/>
  <c r="AJ670" i="11"/>
  <c r="J670" i="11" s="1"/>
  <c r="AD670" i="11"/>
  <c r="AE671" i="11"/>
  <c r="AG671" i="11" s="1"/>
  <c r="G670" i="11"/>
  <c r="R698" i="11"/>
  <c r="AL698" i="11"/>
  <c r="H698" i="11" s="1"/>
  <c r="I698" i="11" s="1"/>
  <c r="AG699" i="11"/>
  <c r="J547" i="12" l="1"/>
  <c r="L547" i="12"/>
  <c r="O547" i="12" s="1"/>
  <c r="AL670" i="11"/>
  <c r="H670" i="11" s="1"/>
  <c r="I670" i="11" s="1"/>
  <c r="AJ581" i="11"/>
  <c r="J581" i="11" s="1"/>
  <c r="AK581" i="11"/>
  <c r="K581" i="11" s="1"/>
  <c r="AD581" i="11"/>
  <c r="AL580" i="11"/>
  <c r="H580" i="11" s="1"/>
  <c r="K547" i="12" s="1"/>
  <c r="G581" i="11"/>
  <c r="H548" i="12" s="1"/>
  <c r="S546" i="12"/>
  <c r="AG582" i="11"/>
  <c r="AF583" i="11" s="1"/>
  <c r="Z10" i="12"/>
  <c r="Z11" i="12"/>
  <c r="Z48" i="12"/>
  <c r="Z49" i="12"/>
  <c r="Z50" i="12"/>
  <c r="Z51" i="12"/>
  <c r="Z52" i="12"/>
  <c r="I580" i="11"/>
  <c r="P547" i="12" s="1"/>
  <c r="AL581" i="11"/>
  <c r="H581" i="11" s="1"/>
  <c r="AD671" i="11"/>
  <c r="AE672" i="11"/>
  <c r="AK671" i="11"/>
  <c r="K671" i="11" s="1"/>
  <c r="G671" i="11"/>
  <c r="AJ671" i="11"/>
  <c r="J671" i="11" s="1"/>
  <c r="Q670" i="11"/>
  <c r="R670" i="11"/>
  <c r="AJ699" i="11"/>
  <c r="AK699" i="11"/>
  <c r="K699" i="11" s="1"/>
  <c r="R699" i="11" s="1"/>
  <c r="AD699" i="11"/>
  <c r="AE700" i="11"/>
  <c r="G699" i="11"/>
  <c r="I548" i="12" l="1"/>
  <c r="Z9" i="12"/>
  <c r="J548" i="12"/>
  <c r="L548" i="12"/>
  <c r="O548" i="12" s="1"/>
  <c r="Q581" i="11"/>
  <c r="Z53" i="12"/>
  <c r="AB53" i="12" s="1"/>
  <c r="AD53" i="12" s="1"/>
  <c r="AF53" i="12" s="1"/>
  <c r="AH53" i="12" s="1"/>
  <c r="AJ53" i="12" s="1"/>
  <c r="AL53" i="12" s="1"/>
  <c r="Q671" i="11"/>
  <c r="R581" i="11"/>
  <c r="AA48" i="12"/>
  <c r="AC48" i="12" s="1"/>
  <c r="AE48" i="12" s="1"/>
  <c r="AG48" i="12" s="1"/>
  <c r="AI48" i="12" s="1"/>
  <c r="AK48" i="12" s="1"/>
  <c r="AM48" i="12" s="1"/>
  <c r="AB48" i="12"/>
  <c r="AD48" i="12" s="1"/>
  <c r="AF48" i="12" s="1"/>
  <c r="AH48" i="12" s="1"/>
  <c r="AJ48" i="12" s="1"/>
  <c r="AL48" i="12" s="1"/>
  <c r="AB49" i="12"/>
  <c r="AD49" i="12" s="1"/>
  <c r="AF49" i="12" s="1"/>
  <c r="AH49" i="12" s="1"/>
  <c r="AJ49" i="12" s="1"/>
  <c r="AL49" i="12" s="1"/>
  <c r="AA49" i="12"/>
  <c r="AC49" i="12" s="1"/>
  <c r="AE49" i="12" s="1"/>
  <c r="AG49" i="12" s="1"/>
  <c r="AI49" i="12" s="1"/>
  <c r="AK49" i="12" s="1"/>
  <c r="AM49" i="12" s="1"/>
  <c r="K548" i="12"/>
  <c r="I581" i="11"/>
  <c r="P548" i="12" s="1"/>
  <c r="S547" i="12"/>
  <c r="AA11" i="12"/>
  <c r="AC11" i="12" s="1"/>
  <c r="AE11" i="12" s="1"/>
  <c r="AG11" i="12" s="1"/>
  <c r="AI11" i="12" s="1"/>
  <c r="AK11" i="12" s="1"/>
  <c r="AM11" i="12" s="1"/>
  <c r="AB11" i="12"/>
  <c r="AD11" i="12" s="1"/>
  <c r="AF11" i="12" s="1"/>
  <c r="AH11" i="12" s="1"/>
  <c r="AJ11" i="12" s="1"/>
  <c r="AL11" i="12" s="1"/>
  <c r="AA10" i="12"/>
  <c r="AC10" i="12" s="1"/>
  <c r="AE10" i="12" s="1"/>
  <c r="AG10" i="12" s="1"/>
  <c r="AI10" i="12" s="1"/>
  <c r="AK10" i="12" s="1"/>
  <c r="AM10" i="12" s="1"/>
  <c r="AB10" i="12"/>
  <c r="AD10" i="12" s="1"/>
  <c r="AF10" i="12" s="1"/>
  <c r="AH10" i="12" s="1"/>
  <c r="AJ10" i="12" s="1"/>
  <c r="AL10" i="12" s="1"/>
  <c r="AB52" i="12"/>
  <c r="AD52" i="12" s="1"/>
  <c r="AF52" i="12" s="1"/>
  <c r="AH52" i="12" s="1"/>
  <c r="AJ52" i="12" s="1"/>
  <c r="AL52" i="12" s="1"/>
  <c r="AA52" i="12"/>
  <c r="AC52" i="12" s="1"/>
  <c r="AE52" i="12" s="1"/>
  <c r="AG52" i="12" s="1"/>
  <c r="AI52" i="12" s="1"/>
  <c r="AK52" i="12" s="1"/>
  <c r="AM52" i="12" s="1"/>
  <c r="AA51" i="12"/>
  <c r="AC51" i="12" s="1"/>
  <c r="AE51" i="12" s="1"/>
  <c r="AG51" i="12" s="1"/>
  <c r="AI51" i="12" s="1"/>
  <c r="AK51" i="12" s="1"/>
  <c r="AM51" i="12" s="1"/>
  <c r="AB51" i="12"/>
  <c r="AD51" i="12" s="1"/>
  <c r="AF51" i="12" s="1"/>
  <c r="AH51" i="12" s="1"/>
  <c r="AJ51" i="12" s="1"/>
  <c r="AL51" i="12" s="1"/>
  <c r="AD582" i="11"/>
  <c r="AE583" i="11"/>
  <c r="AG583" i="11" s="1"/>
  <c r="AF584" i="11" s="1"/>
  <c r="G582" i="11"/>
  <c r="AJ582" i="11"/>
  <c r="J582" i="11" s="1"/>
  <c r="AK582" i="11"/>
  <c r="K582" i="11" s="1"/>
  <c r="AB50" i="12"/>
  <c r="AD50" i="12" s="1"/>
  <c r="AF50" i="12" s="1"/>
  <c r="AH50" i="12" s="1"/>
  <c r="AJ50" i="12" s="1"/>
  <c r="AL50" i="12" s="1"/>
  <c r="AA50" i="12"/>
  <c r="AC50" i="12" s="1"/>
  <c r="AE50" i="12" s="1"/>
  <c r="AG50" i="12" s="1"/>
  <c r="AI50" i="12" s="1"/>
  <c r="AK50" i="12" s="1"/>
  <c r="AM50" i="12" s="1"/>
  <c r="R671" i="11"/>
  <c r="AL671" i="11"/>
  <c r="H671" i="11" s="1"/>
  <c r="I671" i="11" s="1"/>
  <c r="AG672" i="11"/>
  <c r="AL699" i="11"/>
  <c r="H699" i="11" s="1"/>
  <c r="I699" i="11" s="1"/>
  <c r="J699" i="11"/>
  <c r="Q699" i="11" s="1"/>
  <c r="AG700" i="11"/>
  <c r="AA9" i="12" l="1"/>
  <c r="AC9" i="12" s="1"/>
  <c r="AE9" i="12" s="1"/>
  <c r="AG9" i="12" s="1"/>
  <c r="AI9" i="12" s="1"/>
  <c r="AK9" i="12" s="1"/>
  <c r="AM9" i="12" s="1"/>
  <c r="AB9" i="12"/>
  <c r="AD9" i="12" s="1"/>
  <c r="AF9" i="12" s="1"/>
  <c r="AH9" i="12" s="1"/>
  <c r="AJ9" i="12" s="1"/>
  <c r="AL9" i="12" s="1"/>
  <c r="H4" i="12"/>
  <c r="H3" i="12"/>
  <c r="AA53" i="12"/>
  <c r="AC53" i="12" s="1"/>
  <c r="AE53" i="12" s="1"/>
  <c r="AG53" i="12" s="1"/>
  <c r="AI53" i="12" s="1"/>
  <c r="AK53" i="12" s="1"/>
  <c r="AM53" i="12" s="1"/>
  <c r="S548" i="12"/>
  <c r="G4" i="12"/>
  <c r="G3" i="12"/>
  <c r="AL582" i="11"/>
  <c r="H582" i="11" s="1"/>
  <c r="I582" i="11" s="1"/>
  <c r="G583" i="11"/>
  <c r="AD583" i="11"/>
  <c r="AK583" i="11"/>
  <c r="K583" i="11" s="1"/>
  <c r="AE584" i="11"/>
  <c r="AG584" i="11" s="1"/>
  <c r="AF585" i="11" s="1"/>
  <c r="AJ583" i="11"/>
  <c r="J583" i="11" s="1"/>
  <c r="R582" i="11"/>
  <c r="Q582" i="11"/>
  <c r="AD672" i="11"/>
  <c r="AJ672" i="11"/>
  <c r="J672" i="11" s="1"/>
  <c r="AK672" i="11"/>
  <c r="K672" i="11" s="1"/>
  <c r="G672" i="11"/>
  <c r="AE673" i="11"/>
  <c r="AJ700" i="11"/>
  <c r="J700" i="11" s="1"/>
  <c r="AD700" i="11"/>
  <c r="AK700" i="11"/>
  <c r="K700" i="11" s="1"/>
  <c r="AE701" i="11"/>
  <c r="G700" i="11"/>
  <c r="M9" i="12" l="1"/>
  <c r="I3" i="12" s="1"/>
  <c r="R672" i="11"/>
  <c r="Q672" i="11"/>
  <c r="M21" i="12"/>
  <c r="M10" i="12"/>
  <c r="S10" i="12" s="1"/>
  <c r="Q583" i="11"/>
  <c r="R583" i="11"/>
  <c r="AL583" i="11"/>
  <c r="H583" i="11" s="1"/>
  <c r="I583" i="11" s="1"/>
  <c r="AJ584" i="11"/>
  <c r="J584" i="11" s="1"/>
  <c r="AK584" i="11"/>
  <c r="K584" i="11" s="1"/>
  <c r="AE585" i="11"/>
  <c r="G584" i="11"/>
  <c r="AD584" i="11"/>
  <c r="AG673" i="11"/>
  <c r="G673" i="11" s="1"/>
  <c r="AK673" i="11"/>
  <c r="K673" i="11" s="1"/>
  <c r="AE674" i="11"/>
  <c r="AG674" i="11" s="1"/>
  <c r="AL672" i="11"/>
  <c r="H672" i="11" s="1"/>
  <c r="I672" i="11" s="1"/>
  <c r="AL700" i="11"/>
  <c r="H700" i="11" s="1"/>
  <c r="I700" i="11" s="1"/>
  <c r="R700" i="11"/>
  <c r="AG701" i="11"/>
  <c r="Q700" i="11"/>
  <c r="I4" i="12" l="1"/>
  <c r="W10" i="12" s="1"/>
  <c r="S9" i="12"/>
  <c r="T9" i="12" s="1"/>
  <c r="T10" i="12" s="1"/>
  <c r="AD673" i="11"/>
  <c r="AJ673" i="11"/>
  <c r="J673" i="11" s="1"/>
  <c r="Q673" i="11" s="1"/>
  <c r="S21" i="12"/>
  <c r="U9" i="12"/>
  <c r="W20" i="12"/>
  <c r="W17" i="12"/>
  <c r="W9" i="12"/>
  <c r="W18" i="12"/>
  <c r="W19" i="12"/>
  <c r="W16" i="12"/>
  <c r="W15" i="12"/>
  <c r="W13" i="12"/>
  <c r="W14" i="12"/>
  <c r="W11" i="12"/>
  <c r="W12" i="12"/>
  <c r="AL584" i="11"/>
  <c r="H584" i="11" s="1"/>
  <c r="I584" i="11" s="1"/>
  <c r="AG585" i="11"/>
  <c r="AF586" i="11" s="1"/>
  <c r="R584" i="11"/>
  <c r="Q584" i="11"/>
  <c r="AK674" i="11"/>
  <c r="K674" i="11" s="1"/>
  <c r="AD674" i="11"/>
  <c r="AJ674" i="11"/>
  <c r="J674" i="11" s="1"/>
  <c r="G674" i="11"/>
  <c r="AE675" i="11"/>
  <c r="AL673" i="11"/>
  <c r="H673" i="11" s="1"/>
  <c r="I673" i="11" s="1"/>
  <c r="R673" i="11"/>
  <c r="AK701" i="11"/>
  <c r="K701" i="11" s="1"/>
  <c r="AD701" i="11"/>
  <c r="AJ701" i="11"/>
  <c r="J701" i="11" s="1"/>
  <c r="Q701" i="11" s="1"/>
  <c r="G701" i="11"/>
  <c r="W29" i="12" l="1"/>
  <c r="W23" i="12"/>
  <c r="W22" i="12"/>
  <c r="W21" i="12"/>
  <c r="W27" i="12"/>
  <c r="W32" i="12"/>
  <c r="W31" i="12"/>
  <c r="W30" i="12"/>
  <c r="W25" i="12"/>
  <c r="W24" i="12"/>
  <c r="W26" i="12"/>
  <c r="W28" i="12"/>
  <c r="T11" i="12"/>
  <c r="U10" i="12"/>
  <c r="X10" i="12" s="1"/>
  <c r="X9" i="12"/>
  <c r="AE586" i="11"/>
  <c r="AD585" i="11"/>
  <c r="AK585" i="11"/>
  <c r="K585" i="11" s="1"/>
  <c r="G585" i="11"/>
  <c r="AJ585" i="11"/>
  <c r="J585" i="11" s="1"/>
  <c r="Q674" i="11"/>
  <c r="AG675" i="11"/>
  <c r="AK675" i="11" s="1"/>
  <c r="K675" i="11" s="1"/>
  <c r="R674" i="11"/>
  <c r="AE676" i="11"/>
  <c r="AD675" i="11"/>
  <c r="AJ675" i="11"/>
  <c r="J675" i="11" s="1"/>
  <c r="G675" i="11"/>
  <c r="AL674" i="11"/>
  <c r="H674" i="11" s="1"/>
  <c r="I674" i="11" s="1"/>
  <c r="R701" i="11"/>
  <c r="AL701" i="11"/>
  <c r="H701" i="11" s="1"/>
  <c r="I701" i="11" s="1"/>
  <c r="T12" i="12" l="1"/>
  <c r="U11" i="12"/>
  <c r="X11" i="12" s="1"/>
  <c r="AL585" i="11"/>
  <c r="H585" i="11" s="1"/>
  <c r="I585" i="11" s="1"/>
  <c r="R585" i="11"/>
  <c r="AG586" i="11"/>
  <c r="AF587" i="11" s="1"/>
  <c r="Q585" i="11"/>
  <c r="AL675" i="11"/>
  <c r="H675" i="11" s="1"/>
  <c r="I675" i="11" s="1"/>
  <c r="Q675" i="11"/>
  <c r="AG676" i="11"/>
  <c r="R675" i="11"/>
  <c r="U12" i="12" l="1"/>
  <c r="X12" i="12" s="1"/>
  <c r="T13" i="12"/>
  <c r="AD586" i="11"/>
  <c r="AJ586" i="11"/>
  <c r="J586" i="11" s="1"/>
  <c r="AE587" i="11"/>
  <c r="G586" i="11"/>
  <c r="AK586" i="11"/>
  <c r="K586" i="11" s="1"/>
  <c r="G676" i="11"/>
  <c r="AJ676" i="11"/>
  <c r="J676" i="11" s="1"/>
  <c r="AK676" i="11"/>
  <c r="K676" i="11" s="1"/>
  <c r="AD676" i="11"/>
  <c r="AE677" i="11"/>
  <c r="AL676" i="11" l="1"/>
  <c r="H676" i="11" s="1"/>
  <c r="I676" i="11" s="1"/>
  <c r="R676" i="11"/>
  <c r="Q676" i="11"/>
  <c r="R586" i="11"/>
  <c r="U13" i="12"/>
  <c r="X13" i="12" s="1"/>
  <c r="T14" i="12"/>
  <c r="AL586" i="11"/>
  <c r="H586" i="11" s="1"/>
  <c r="I586" i="11" s="1"/>
  <c r="AG587" i="11"/>
  <c r="AF588" i="11" s="1"/>
  <c r="Q586" i="11"/>
  <c r="AG677" i="11"/>
  <c r="U14" i="12" l="1"/>
  <c r="X14" i="12" s="1"/>
  <c r="T15" i="12"/>
  <c r="G587" i="11"/>
  <c r="AD587" i="11"/>
  <c r="AE588" i="11"/>
  <c r="AJ587" i="11"/>
  <c r="J587" i="11" s="1"/>
  <c r="Q587" i="11" s="1"/>
  <c r="AK587" i="11"/>
  <c r="K587" i="11" s="1"/>
  <c r="AD677" i="11"/>
  <c r="AE678" i="11"/>
  <c r="AK677" i="11"/>
  <c r="K677" i="11" s="1"/>
  <c r="G677" i="11"/>
  <c r="AJ677" i="11"/>
  <c r="J677" i="11" s="1"/>
  <c r="Q677" i="11" s="1"/>
  <c r="R677" i="11" l="1"/>
  <c r="U15" i="12"/>
  <c r="X15" i="12" s="1"/>
  <c r="T16" i="12"/>
  <c r="R587" i="11"/>
  <c r="AG588" i="11"/>
  <c r="AF589" i="11" s="1"/>
  <c r="AL587" i="11"/>
  <c r="H587" i="11" s="1"/>
  <c r="I587" i="11" s="1"/>
  <c r="AG678" i="11"/>
  <c r="AL677" i="11"/>
  <c r="H677" i="11" s="1"/>
  <c r="I677" i="11" s="1"/>
  <c r="T17" i="12" l="1"/>
  <c r="U16" i="12"/>
  <c r="X16" i="12" s="1"/>
  <c r="AE589" i="11"/>
  <c r="AJ588" i="11"/>
  <c r="J588" i="11" s="1"/>
  <c r="AK588" i="11"/>
  <c r="K588" i="11" s="1"/>
  <c r="G588" i="11"/>
  <c r="AD588" i="11"/>
  <c r="AE679" i="11"/>
  <c r="AK678" i="11"/>
  <c r="K678" i="11" s="1"/>
  <c r="AD678" i="11"/>
  <c r="G678" i="11"/>
  <c r="AJ678" i="11"/>
  <c r="J678" i="11" s="1"/>
  <c r="Q588" i="11" l="1"/>
  <c r="U17" i="12"/>
  <c r="X17" i="12" s="1"/>
  <c r="T18" i="12"/>
  <c r="AG589" i="11"/>
  <c r="AF590" i="11" s="1"/>
  <c r="AL588" i="11"/>
  <c r="H588" i="11" s="1"/>
  <c r="I588" i="11" s="1"/>
  <c r="AE590" i="11"/>
  <c r="R588" i="11"/>
  <c r="R678" i="11"/>
  <c r="AG679" i="11"/>
  <c r="AD679" i="11" s="1"/>
  <c r="AL678" i="11"/>
  <c r="H678" i="11" s="1"/>
  <c r="I678" i="11" s="1"/>
  <c r="AJ679" i="11"/>
  <c r="J679" i="11" s="1"/>
  <c r="G679" i="11"/>
  <c r="AK679" i="11"/>
  <c r="K679" i="11" s="1"/>
  <c r="R679" i="11" s="1"/>
  <c r="Q678" i="11"/>
  <c r="AG590" i="11" l="1"/>
  <c r="AF591" i="11" s="1"/>
  <c r="AJ589" i="11"/>
  <c r="J589" i="11" s="1"/>
  <c r="AD589" i="11"/>
  <c r="G589" i="11"/>
  <c r="T19" i="12"/>
  <c r="U18" i="12"/>
  <c r="X18" i="12" s="1"/>
  <c r="AK589" i="11"/>
  <c r="K589" i="11" s="1"/>
  <c r="R589" i="11" s="1"/>
  <c r="AE591" i="11"/>
  <c r="AE680" i="11"/>
  <c r="AL679" i="11"/>
  <c r="H679" i="11" s="1"/>
  <c r="I679" i="11" s="1"/>
  <c r="Q679" i="11"/>
  <c r="Q589" i="11" l="1"/>
  <c r="AD590" i="11"/>
  <c r="AJ590" i="11"/>
  <c r="J590" i="11" s="1"/>
  <c r="AG591" i="11"/>
  <c r="AF592" i="11" s="1"/>
  <c r="AK590" i="11"/>
  <c r="K590" i="11" s="1"/>
  <c r="G590" i="11"/>
  <c r="Q590" i="11" s="1"/>
  <c r="AL589" i="11"/>
  <c r="H589" i="11" s="1"/>
  <c r="I589" i="11" s="1"/>
  <c r="U19" i="12"/>
  <c r="X19" i="12" s="1"/>
  <c r="T20" i="12"/>
  <c r="AE592" i="11"/>
  <c r="AG680" i="11"/>
  <c r="AL590" i="11" l="1"/>
  <c r="H590" i="11" s="1"/>
  <c r="I590" i="11" s="1"/>
  <c r="G591" i="11"/>
  <c r="AJ591" i="11"/>
  <c r="J591" i="11" s="1"/>
  <c r="AK591" i="11"/>
  <c r="K591" i="11" s="1"/>
  <c r="R591" i="11" s="1"/>
  <c r="AD591" i="11"/>
  <c r="AG592" i="11"/>
  <c r="AF593" i="11" s="1"/>
  <c r="R590" i="11"/>
  <c r="U20" i="12"/>
  <c r="X20" i="12" s="1"/>
  <c r="T21" i="12"/>
  <c r="AE593" i="11"/>
  <c r="AE681" i="11"/>
  <c r="AD680" i="11"/>
  <c r="AK680" i="11"/>
  <c r="K680" i="11" s="1"/>
  <c r="AJ680" i="11"/>
  <c r="J680" i="11" s="1"/>
  <c r="G680" i="11"/>
  <c r="R680" i="11" l="1"/>
  <c r="Q680" i="11"/>
  <c r="Q591" i="11"/>
  <c r="AL591" i="11"/>
  <c r="H591" i="11" s="1"/>
  <c r="I591" i="11" s="1"/>
  <c r="G592" i="11"/>
  <c r="AK592" i="11"/>
  <c r="K592" i="11" s="1"/>
  <c r="AJ592" i="11"/>
  <c r="J592" i="11" s="1"/>
  <c r="AD592" i="11"/>
  <c r="U21" i="12"/>
  <c r="X21" i="12" s="1"/>
  <c r="T22" i="12"/>
  <c r="AG593" i="11"/>
  <c r="AF594" i="11" s="1"/>
  <c r="AG681" i="11"/>
  <c r="AL680" i="11"/>
  <c r="H680" i="11" s="1"/>
  <c r="I680" i="11" s="1"/>
  <c r="R592" i="11" l="1"/>
  <c r="Q592" i="11"/>
  <c r="AL592" i="11"/>
  <c r="H592" i="11" s="1"/>
  <c r="I592" i="11" s="1"/>
  <c r="U22" i="12"/>
  <c r="X22" i="12" s="1"/>
  <c r="T23" i="12"/>
  <c r="AJ593" i="11"/>
  <c r="J593" i="11" s="1"/>
  <c r="AK593" i="11"/>
  <c r="K593" i="11" s="1"/>
  <c r="G593" i="11"/>
  <c r="AD593" i="11"/>
  <c r="AE594" i="11"/>
  <c r="G681" i="11"/>
  <c r="AE682" i="11"/>
  <c r="AD681" i="11"/>
  <c r="AK681" i="11"/>
  <c r="K681" i="11" s="1"/>
  <c r="R681" i="11" s="1"/>
  <c r="AJ681" i="11"/>
  <c r="J681" i="11" s="1"/>
  <c r="Q681" i="11" l="1"/>
  <c r="T24" i="12"/>
  <c r="U23" i="12"/>
  <c r="X23" i="12" s="1"/>
  <c r="AG594" i="11"/>
  <c r="AF595" i="11" s="1"/>
  <c r="R593" i="11"/>
  <c r="Q593" i="11"/>
  <c r="AL593" i="11"/>
  <c r="H593" i="11" s="1"/>
  <c r="I593" i="11" s="1"/>
  <c r="AG682" i="11"/>
  <c r="AL681" i="11"/>
  <c r="H681" i="11" s="1"/>
  <c r="I681" i="11" s="1"/>
  <c r="U24" i="12" l="1"/>
  <c r="X24" i="12" s="1"/>
  <c r="T25" i="12"/>
  <c r="AD594" i="11"/>
  <c r="AK594" i="11"/>
  <c r="K594" i="11" s="1"/>
  <c r="G594" i="11"/>
  <c r="AE595" i="11"/>
  <c r="AG595" i="11" s="1"/>
  <c r="AF596" i="11" s="1"/>
  <c r="AJ594" i="11"/>
  <c r="J594" i="11" s="1"/>
  <c r="AE683" i="11"/>
  <c r="AG683" i="11" s="1"/>
  <c r="AD682" i="11"/>
  <c r="G682" i="11"/>
  <c r="AK682" i="11"/>
  <c r="K682" i="11" s="1"/>
  <c r="AJ682" i="11"/>
  <c r="J682" i="11" s="1"/>
  <c r="AL682" i="11" l="1"/>
  <c r="H682" i="11" s="1"/>
  <c r="I682" i="11" s="1"/>
  <c r="Q594" i="11"/>
  <c r="T26" i="12"/>
  <c r="U25" i="12"/>
  <c r="X25" i="12" s="1"/>
  <c r="R594" i="11"/>
  <c r="G595" i="11"/>
  <c r="AD595" i="11"/>
  <c r="AJ595" i="11"/>
  <c r="J595" i="11" s="1"/>
  <c r="AK595" i="11"/>
  <c r="K595" i="11" s="1"/>
  <c r="AE596" i="11"/>
  <c r="AL594" i="11"/>
  <c r="H594" i="11" s="1"/>
  <c r="I594" i="11" s="1"/>
  <c r="AK683" i="11"/>
  <c r="K683" i="11" s="1"/>
  <c r="AD683" i="11"/>
  <c r="G683" i="11"/>
  <c r="AJ683" i="11"/>
  <c r="J683" i="11" s="1"/>
  <c r="Q683" i="11" s="1"/>
  <c r="Q682" i="11"/>
  <c r="R682" i="11"/>
  <c r="R683" i="11" l="1"/>
  <c r="Q595" i="11"/>
  <c r="U26" i="12"/>
  <c r="X26" i="12" s="1"/>
  <c r="T27" i="12"/>
  <c r="R595" i="11"/>
  <c r="AL595" i="11"/>
  <c r="H595" i="11" s="1"/>
  <c r="I595" i="11" s="1"/>
  <c r="AG596" i="11"/>
  <c r="AF597" i="11" s="1"/>
  <c r="AL683" i="11"/>
  <c r="H683" i="11" s="1"/>
  <c r="I683" i="11" s="1"/>
  <c r="U27" i="12" l="1"/>
  <c r="X27" i="12" s="1"/>
  <c r="T28" i="12"/>
  <c r="AE597" i="11"/>
  <c r="AG597" i="11" s="1"/>
  <c r="AF598" i="11" s="1"/>
  <c r="AJ596" i="11"/>
  <c r="J596" i="11" s="1"/>
  <c r="AD596" i="11"/>
  <c r="AK596" i="11"/>
  <c r="K596" i="11" s="1"/>
  <c r="G596" i="11"/>
  <c r="R596" i="11" l="1"/>
  <c r="U28" i="12"/>
  <c r="X28" i="12" s="1"/>
  <c r="T29" i="12"/>
  <c r="Q596" i="11"/>
  <c r="G597" i="11"/>
  <c r="AD597" i="11"/>
  <c r="AJ597" i="11"/>
  <c r="J597" i="11" s="1"/>
  <c r="AK597" i="11"/>
  <c r="K597" i="11" s="1"/>
  <c r="AE598" i="11"/>
  <c r="AL596" i="11"/>
  <c r="H596" i="11" s="1"/>
  <c r="I596" i="11" s="1"/>
  <c r="U29" i="12" l="1"/>
  <c r="X29" i="12" s="1"/>
  <c r="T30" i="12"/>
  <c r="R597" i="11"/>
  <c r="Q597" i="11"/>
  <c r="AG598" i="11"/>
  <c r="AF599" i="11" s="1"/>
  <c r="AL597" i="11"/>
  <c r="H597" i="11" s="1"/>
  <c r="I597" i="11" s="1"/>
  <c r="AJ598" i="11" l="1"/>
  <c r="J598" i="11" s="1"/>
  <c r="AD598" i="11"/>
  <c r="AK598" i="11"/>
  <c r="K598" i="11" s="1"/>
  <c r="AE599" i="11"/>
  <c r="AG599" i="11" s="1"/>
  <c r="AF600" i="11" s="1"/>
  <c r="T31" i="12"/>
  <c r="U30" i="12"/>
  <c r="X30" i="12" s="1"/>
  <c r="G598" i="11"/>
  <c r="Q598" i="11" l="1"/>
  <c r="R598" i="11"/>
  <c r="AJ599" i="11"/>
  <c r="J599" i="11" s="1"/>
  <c r="T32" i="12"/>
  <c r="U31" i="12"/>
  <c r="X31" i="12" s="1"/>
  <c r="AL598" i="11"/>
  <c r="H598" i="11" s="1"/>
  <c r="I598" i="11" s="1"/>
  <c r="AD599" i="11"/>
  <c r="G599" i="11"/>
  <c r="AE600" i="11"/>
  <c r="AG600" i="11" s="1"/>
  <c r="AF601" i="11" s="1"/>
  <c r="AK599" i="11"/>
  <c r="K599" i="11" s="1"/>
  <c r="R599" i="11" l="1"/>
  <c r="T33" i="12"/>
  <c r="U32" i="12"/>
  <c r="X32" i="12" s="1"/>
  <c r="AL599" i="11"/>
  <c r="H599" i="11" s="1"/>
  <c r="I599" i="11" s="1"/>
  <c r="Q599" i="11"/>
  <c r="AE601" i="11"/>
  <c r="AG601" i="11" s="1"/>
  <c r="AF602" i="11" s="1"/>
  <c r="AJ600" i="11"/>
  <c r="J600" i="11" s="1"/>
  <c r="G600" i="11"/>
  <c r="AD600" i="11"/>
  <c r="AK600" i="11"/>
  <c r="K600" i="11" s="1"/>
  <c r="T34" i="12" l="1"/>
  <c r="U33" i="12"/>
  <c r="X33" i="12" s="1"/>
  <c r="Q600" i="11"/>
  <c r="R600" i="11"/>
  <c r="AL600" i="11"/>
  <c r="H600" i="11" s="1"/>
  <c r="I600" i="11" s="1"/>
  <c r="AE602" i="11"/>
  <c r="AD601" i="11"/>
  <c r="AK601" i="11"/>
  <c r="K601" i="11" s="1"/>
  <c r="AJ601" i="11"/>
  <c r="J601" i="11" s="1"/>
  <c r="G601" i="11"/>
  <c r="U34" i="12" l="1"/>
  <c r="X34" i="12" s="1"/>
  <c r="T35" i="12"/>
  <c r="AL601" i="11"/>
  <c r="H601" i="11" s="1"/>
  <c r="I601" i="11" s="1"/>
  <c r="AG602" i="11"/>
  <c r="AF603" i="11" s="1"/>
  <c r="Q601" i="11"/>
  <c r="R601" i="11"/>
  <c r="U35" i="12" l="1"/>
  <c r="X35" i="12" s="1"/>
  <c r="T36" i="12"/>
  <c r="AK602" i="11"/>
  <c r="K602" i="11" s="1"/>
  <c r="G602" i="11"/>
  <c r="AJ602" i="11"/>
  <c r="J602" i="11" s="1"/>
  <c r="AD602" i="11"/>
  <c r="AE603" i="11"/>
  <c r="AG603" i="11" s="1"/>
  <c r="AF604" i="11" s="1"/>
  <c r="R602" i="11" l="1"/>
  <c r="U36" i="12"/>
  <c r="X36" i="12" s="1"/>
  <c r="T37" i="12"/>
  <c r="AL602" i="11"/>
  <c r="H602" i="11" s="1"/>
  <c r="I602" i="11" s="1"/>
  <c r="Q602" i="11"/>
  <c r="AJ603" i="11"/>
  <c r="J603" i="11" s="1"/>
  <c r="G603" i="11"/>
  <c r="AK603" i="11"/>
  <c r="K603" i="11" s="1"/>
  <c r="AD603" i="11"/>
  <c r="AE604" i="11"/>
  <c r="U37" i="12" l="1"/>
  <c r="X37" i="12" s="1"/>
  <c r="T38" i="12"/>
  <c r="R603" i="11"/>
  <c r="AL603" i="11"/>
  <c r="H603" i="11" s="1"/>
  <c r="I603" i="11" s="1"/>
  <c r="Q603" i="11"/>
  <c r="AG604" i="11"/>
  <c r="AF605" i="11" s="1"/>
  <c r="T39" i="12" l="1"/>
  <c r="U38" i="12"/>
  <c r="X38" i="12" s="1"/>
  <c r="AK604" i="11"/>
  <c r="K604" i="11" s="1"/>
  <c r="AE605" i="11"/>
  <c r="G604" i="11"/>
  <c r="AJ604" i="11"/>
  <c r="J604" i="11" s="1"/>
  <c r="AD604" i="11"/>
  <c r="Q604" i="11" l="1"/>
  <c r="T40" i="12"/>
  <c r="U39" i="12"/>
  <c r="X39" i="12" s="1"/>
  <c r="AG605" i="11"/>
  <c r="AF606" i="11" s="1"/>
  <c r="R604" i="11"/>
  <c r="AL604" i="11"/>
  <c r="H604" i="11" s="1"/>
  <c r="I604" i="11" s="1"/>
  <c r="T41" i="12" l="1"/>
  <c r="U40" i="12"/>
  <c r="X40" i="12" s="1"/>
  <c r="AK605" i="11"/>
  <c r="K605" i="11" s="1"/>
  <c r="AE606" i="11"/>
  <c r="AG606" i="11" s="1"/>
  <c r="AF607" i="11" s="1"/>
  <c r="G605" i="11"/>
  <c r="AJ605" i="11"/>
  <c r="J605" i="11" s="1"/>
  <c r="AD605" i="11"/>
  <c r="T42" i="12" l="1"/>
  <c r="U41" i="12"/>
  <c r="X41" i="12" s="1"/>
  <c r="AK606" i="11"/>
  <c r="K606" i="11" s="1"/>
  <c r="AE607" i="11"/>
  <c r="AJ606" i="11"/>
  <c r="J606" i="11" s="1"/>
  <c r="G606" i="11"/>
  <c r="AD606" i="11"/>
  <c r="AL605" i="11"/>
  <c r="H605" i="11" s="1"/>
  <c r="I605" i="11" s="1"/>
  <c r="R605" i="11"/>
  <c r="Q605" i="11"/>
  <c r="T43" i="12" l="1"/>
  <c r="U42" i="12"/>
  <c r="X42" i="12" s="1"/>
  <c r="AL606" i="11"/>
  <c r="H606" i="11" s="1"/>
  <c r="I606" i="11" s="1"/>
  <c r="Q606" i="11"/>
  <c r="AG607" i="11"/>
  <c r="AF608" i="11" s="1"/>
  <c r="R606" i="11"/>
  <c r="T44" i="12" l="1"/>
  <c r="U43" i="12"/>
  <c r="X43" i="12" s="1"/>
  <c r="AD607" i="11"/>
  <c r="AK607" i="11"/>
  <c r="K607" i="11" s="1"/>
  <c r="AE608" i="11"/>
  <c r="AG608" i="11" s="1"/>
  <c r="AF609" i="11" s="1"/>
  <c r="AJ607" i="11"/>
  <c r="J607" i="11" s="1"/>
  <c r="G607" i="11"/>
  <c r="T45" i="12" l="1"/>
  <c r="U44" i="12"/>
  <c r="X44" i="12" s="1"/>
  <c r="AJ608" i="11"/>
  <c r="J608" i="11" s="1"/>
  <c r="AE609" i="11"/>
  <c r="AG609" i="11" s="1"/>
  <c r="AF610" i="11" s="1"/>
  <c r="AK608" i="11"/>
  <c r="K608" i="11" s="1"/>
  <c r="G608" i="11"/>
  <c r="AD608" i="11"/>
  <c r="R607" i="11"/>
  <c r="Q607" i="11"/>
  <c r="AL607" i="11"/>
  <c r="H607" i="11" s="1"/>
  <c r="I607" i="11" s="1"/>
  <c r="U45" i="12" l="1"/>
  <c r="X45" i="12" s="1"/>
  <c r="T46" i="12"/>
  <c r="R608" i="11"/>
  <c r="AL608" i="11"/>
  <c r="H608" i="11" s="1"/>
  <c r="I608" i="11" s="1"/>
  <c r="G609" i="11"/>
  <c r="AE610" i="11"/>
  <c r="AJ609" i="11"/>
  <c r="J609" i="11" s="1"/>
  <c r="AD609" i="11"/>
  <c r="AK609" i="11"/>
  <c r="K609" i="11" s="1"/>
  <c r="Q608" i="11"/>
  <c r="Q609" i="11" l="1"/>
  <c r="U46" i="12"/>
  <c r="X46" i="12" s="1"/>
  <c r="T47" i="12"/>
  <c r="R609" i="11"/>
  <c r="AL609" i="11"/>
  <c r="H609" i="11" s="1"/>
  <c r="I609" i="11" s="1"/>
  <c r="AG610" i="11"/>
  <c r="AF611" i="11" s="1"/>
  <c r="U47" i="12" l="1"/>
  <c r="X47" i="12" s="1"/>
  <c r="T48" i="12"/>
  <c r="AK610" i="11"/>
  <c r="K610" i="11" s="1"/>
  <c r="AJ610" i="11"/>
  <c r="J610" i="11" s="1"/>
  <c r="G610" i="11"/>
  <c r="AE611" i="11"/>
  <c r="AD610" i="11"/>
  <c r="Q610" i="11" l="1"/>
  <c r="T49" i="12"/>
  <c r="U48" i="12"/>
  <c r="X48" i="12" s="1"/>
  <c r="R610" i="11"/>
  <c r="AL610" i="11"/>
  <c r="H610" i="11" s="1"/>
  <c r="I610" i="11" s="1"/>
  <c r="AG611" i="11"/>
  <c r="AF612" i="11" s="1"/>
  <c r="T50" i="12" l="1"/>
  <c r="U49" i="12"/>
  <c r="X49" i="12" s="1"/>
  <c r="AD611" i="11"/>
  <c r="AK611" i="11"/>
  <c r="K611" i="11" s="1"/>
  <c r="AE612" i="11"/>
  <c r="G611" i="11"/>
  <c r="AJ611" i="11"/>
  <c r="J611" i="11" s="1"/>
  <c r="U50" i="12" l="1"/>
  <c r="X50" i="12" s="1"/>
  <c r="T51" i="12"/>
  <c r="Q611" i="11"/>
  <c r="R611" i="11"/>
  <c r="AG612" i="11"/>
  <c r="AJ612" i="11" s="1"/>
  <c r="J612" i="11" s="1"/>
  <c r="AL611" i="11"/>
  <c r="H611" i="11" s="1"/>
  <c r="I611" i="11" s="1"/>
  <c r="U51" i="12" l="1"/>
  <c r="X51" i="12" s="1"/>
  <c r="AE613" i="11"/>
  <c r="AD612" i="11"/>
  <c r="G612" i="11"/>
  <c r="Q612" i="11" s="1"/>
  <c r="AK612" i="11"/>
  <c r="K612" i="11" s="1"/>
  <c r="AF613" i="11"/>
  <c r="AG613" i="11" l="1"/>
  <c r="AJ613" i="11" s="1"/>
  <c r="J613" i="11" s="1"/>
  <c r="R612" i="11"/>
  <c r="AL612" i="11"/>
  <c r="H612" i="11" s="1"/>
  <c r="I612" i="11" s="1"/>
  <c r="AF614" i="11"/>
  <c r="AD613" i="11"/>
  <c r="AK613" i="11"/>
  <c r="K613" i="11" s="1"/>
  <c r="AE614" i="11"/>
  <c r="G613" i="11" l="1"/>
  <c r="R613" i="11" s="1"/>
  <c r="AG614" i="11"/>
  <c r="AD614" i="11" s="1"/>
  <c r="AF615" i="11"/>
  <c r="AE615" i="11"/>
  <c r="AL613" i="11"/>
  <c r="H613" i="11" s="1"/>
  <c r="I613" i="11" s="1"/>
  <c r="Q613" i="11" l="1"/>
  <c r="AK614" i="11"/>
  <c r="K614" i="11" s="1"/>
  <c r="G614" i="11"/>
  <c r="AJ614" i="11"/>
  <c r="J614" i="11" s="1"/>
  <c r="AG615" i="11"/>
  <c r="AF616" i="11" s="1"/>
  <c r="AE616" i="11"/>
  <c r="Q614" i="11" l="1"/>
  <c r="R614" i="11"/>
  <c r="AL614" i="11"/>
  <c r="H614" i="11" s="1"/>
  <c r="I614" i="11" s="1"/>
  <c r="G615" i="11"/>
  <c r="AG616" i="11"/>
  <c r="AF617" i="11" s="1"/>
  <c r="AD615" i="11"/>
  <c r="AK615" i="11"/>
  <c r="K615" i="11" s="1"/>
  <c r="AJ615" i="11"/>
  <c r="J615" i="11" s="1"/>
  <c r="AE617" i="11"/>
  <c r="AK616" i="11" l="1"/>
  <c r="K616" i="11" s="1"/>
  <c r="AD616" i="11"/>
  <c r="AJ616" i="11"/>
  <c r="J616" i="11" s="1"/>
  <c r="Q615" i="11"/>
  <c r="R615" i="11"/>
  <c r="AG617" i="11"/>
  <c r="AF618" i="11" s="1"/>
  <c r="AL615" i="11"/>
  <c r="H615" i="11" s="1"/>
  <c r="I615" i="11" s="1"/>
  <c r="G616" i="11"/>
  <c r="AE618" i="11"/>
  <c r="R616" i="11" l="1"/>
  <c r="AL616" i="11"/>
  <c r="H616" i="11" s="1"/>
  <c r="I616" i="11" s="1"/>
  <c r="AG618" i="11"/>
  <c r="AF619" i="11" s="1"/>
  <c r="AD617" i="11"/>
  <c r="AJ617" i="11"/>
  <c r="J617" i="11" s="1"/>
  <c r="AK617" i="11"/>
  <c r="K617" i="11" s="1"/>
  <c r="Q616" i="11"/>
  <c r="G617" i="11"/>
  <c r="AE619" i="11"/>
  <c r="R617" i="11" l="1"/>
  <c r="G618" i="11"/>
  <c r="AK618" i="11"/>
  <c r="K618" i="11" s="1"/>
  <c r="AJ618" i="11"/>
  <c r="J618" i="11" s="1"/>
  <c r="AD618" i="11"/>
  <c r="Q617" i="11"/>
  <c r="AL617" i="11"/>
  <c r="H617" i="11" s="1"/>
  <c r="I617" i="11" s="1"/>
  <c r="AG619" i="11"/>
  <c r="AF620" i="11" s="1"/>
  <c r="Q618" i="11" l="1"/>
  <c r="R618" i="11"/>
  <c r="AL618" i="11"/>
  <c r="H618" i="11" s="1"/>
  <c r="I618" i="11" s="1"/>
  <c r="AD619" i="11"/>
  <c r="AK619" i="11"/>
  <c r="K619" i="11" s="1"/>
  <c r="AE620" i="11"/>
  <c r="AJ619" i="11"/>
  <c r="J619" i="11" s="1"/>
  <c r="G619" i="11"/>
  <c r="R619" i="11" l="1"/>
  <c r="Q619" i="11"/>
  <c r="AG620" i="11"/>
  <c r="AK620" i="11" s="1"/>
  <c r="K620" i="11" s="1"/>
  <c r="AL619" i="11"/>
  <c r="H619" i="11" s="1"/>
  <c r="I619" i="11" s="1"/>
  <c r="AD620" i="11" l="1"/>
  <c r="AJ620" i="11"/>
  <c r="J620" i="11" s="1"/>
  <c r="AE621" i="11"/>
  <c r="G620" i="11"/>
  <c r="AF621" i="11"/>
  <c r="AL620" i="11" l="1"/>
  <c r="H620" i="11" s="1"/>
  <c r="I620" i="11" s="1"/>
  <c r="AG621" i="11"/>
  <c r="AF622" i="11" s="1"/>
  <c r="Q620" i="11"/>
  <c r="R620" i="11"/>
  <c r="AE622" i="11"/>
  <c r="AG622" i="11" l="1"/>
  <c r="AF623" i="11" s="1"/>
  <c r="AK621" i="11"/>
  <c r="K621" i="11" s="1"/>
  <c r="AD621" i="11"/>
  <c r="G621" i="11"/>
  <c r="AJ621" i="11"/>
  <c r="J621" i="11" s="1"/>
  <c r="AE623" i="11"/>
  <c r="Q621" i="11" l="1"/>
  <c r="R621" i="11"/>
  <c r="AK622" i="11"/>
  <c r="K622" i="11" s="1"/>
  <c r="AG623" i="11"/>
  <c r="AF624" i="11" s="1"/>
  <c r="G622" i="11"/>
  <c r="AD622" i="11"/>
  <c r="AL621" i="11"/>
  <c r="H621" i="11" s="1"/>
  <c r="I621" i="11" s="1"/>
  <c r="AJ622" i="11"/>
  <c r="J622" i="11" s="1"/>
  <c r="AE624" i="11"/>
  <c r="AD623" i="11" l="1"/>
  <c r="R622" i="11"/>
  <c r="AJ623" i="11"/>
  <c r="J623" i="11" s="1"/>
  <c r="AK623" i="11"/>
  <c r="K623" i="11" s="1"/>
  <c r="Q622" i="11"/>
  <c r="G623" i="11"/>
  <c r="AL622" i="11"/>
  <c r="H622" i="11" s="1"/>
  <c r="I622" i="11" s="1"/>
  <c r="AG624" i="11"/>
  <c r="AF625" i="11" s="1"/>
  <c r="AL623" i="11" l="1"/>
  <c r="H623" i="11" s="1"/>
  <c r="I623" i="11" s="1"/>
  <c r="Q623" i="11"/>
  <c r="R623" i="11"/>
  <c r="AJ624" i="11"/>
  <c r="J624" i="11" s="1"/>
  <c r="AD624" i="11"/>
  <c r="G624" i="11"/>
  <c r="AK624" i="11"/>
  <c r="K624" i="11" s="1"/>
  <c r="AE625" i="11"/>
  <c r="AG625" i="11" s="1"/>
  <c r="AF626" i="11" s="1"/>
  <c r="R624" i="11" l="1"/>
  <c r="Q624" i="11"/>
  <c r="AE626" i="11"/>
  <c r="AJ625" i="11"/>
  <c r="J625" i="11" s="1"/>
  <c r="AK625" i="11"/>
  <c r="K625" i="11" s="1"/>
  <c r="AD625" i="11"/>
  <c r="G625" i="11"/>
  <c r="AL624" i="11"/>
  <c r="H624" i="11" s="1"/>
  <c r="I624" i="11" s="1"/>
  <c r="AL625" i="11" l="1"/>
  <c r="H625" i="11" s="1"/>
  <c r="I625" i="11" s="1"/>
  <c r="AG626" i="11"/>
  <c r="AF627" i="11" s="1"/>
  <c r="R625" i="11"/>
  <c r="Q625" i="11"/>
  <c r="AK626" i="11" l="1"/>
  <c r="K626" i="11" s="1"/>
  <c r="AD626" i="11"/>
  <c r="AE627" i="11"/>
  <c r="AG627" i="11" s="1"/>
  <c r="AF628" i="11" s="1"/>
  <c r="G626" i="11"/>
  <c r="AJ626" i="11"/>
  <c r="J626" i="11" s="1"/>
  <c r="R626" i="11" l="1"/>
  <c r="Q626" i="11"/>
  <c r="AL626" i="11"/>
  <c r="H626" i="11" s="1"/>
  <c r="I626" i="11" s="1"/>
  <c r="G627" i="11"/>
  <c r="AE628" i="11"/>
  <c r="AD627" i="11"/>
  <c r="AK627" i="11"/>
  <c r="K627" i="11" s="1"/>
  <c r="AJ627" i="11"/>
  <c r="J627" i="11" s="1"/>
  <c r="Q627" i="11" s="1"/>
  <c r="R627" i="11" l="1"/>
  <c r="AG628" i="11"/>
  <c r="AF629" i="11" s="1"/>
  <c r="AL627" i="11"/>
  <c r="H627" i="11" s="1"/>
  <c r="I627" i="11" s="1"/>
  <c r="AE629" i="11" l="1"/>
  <c r="AG629" i="11" s="1"/>
  <c r="AF630" i="11" s="1"/>
  <c r="AD628" i="11"/>
  <c r="AJ628" i="11"/>
  <c r="J628" i="11" s="1"/>
  <c r="AK628" i="11"/>
  <c r="K628" i="11" s="1"/>
  <c r="G628" i="11"/>
  <c r="R628" i="11" l="1"/>
  <c r="Q628" i="11"/>
  <c r="AE630" i="11"/>
  <c r="AG630" i="11" s="1"/>
  <c r="AF631" i="11" s="1"/>
  <c r="AJ629" i="11"/>
  <c r="J629" i="11" s="1"/>
  <c r="AK629" i="11"/>
  <c r="K629" i="11" s="1"/>
  <c r="G629" i="11"/>
  <c r="AD629" i="11"/>
  <c r="AL628" i="11"/>
  <c r="H628" i="11" s="1"/>
  <c r="I628" i="11" s="1"/>
  <c r="AL629" i="11" l="1"/>
  <c r="H629" i="11" s="1"/>
  <c r="I629" i="11" s="1"/>
  <c r="R629" i="11"/>
  <c r="Q629" i="11"/>
  <c r="G630" i="11"/>
  <c r="AE631" i="11"/>
  <c r="AG631" i="11" s="1"/>
  <c r="AF632" i="11" s="1"/>
  <c r="AJ630" i="11"/>
  <c r="J630" i="11" s="1"/>
  <c r="AK630" i="11"/>
  <c r="K630" i="11" s="1"/>
  <c r="AD630" i="11"/>
  <c r="AL630" i="11" l="1"/>
  <c r="H630" i="11" s="1"/>
  <c r="I630" i="11" s="1"/>
  <c r="R630" i="11"/>
  <c r="AD631" i="11"/>
  <c r="G631" i="11"/>
  <c r="AK631" i="11"/>
  <c r="K631" i="11" s="1"/>
  <c r="AE632" i="11"/>
  <c r="AG632" i="11" s="1"/>
  <c r="AJ631" i="11"/>
  <c r="J631" i="11" s="1"/>
  <c r="Q630" i="11"/>
  <c r="R631" i="11" l="1"/>
  <c r="AK632" i="11"/>
  <c r="K632" i="11" s="1"/>
  <c r="G632" i="11"/>
  <c r="AJ632" i="11"/>
  <c r="J632" i="11" s="1"/>
  <c r="AD632" i="11"/>
  <c r="AL631" i="11"/>
  <c r="H631" i="11" s="1"/>
  <c r="I631" i="11" s="1"/>
  <c r="Q631" i="11"/>
  <c r="Q632" i="11" l="1"/>
  <c r="R632" i="11"/>
  <c r="AL632" i="11"/>
  <c r="H632" i="11" s="1"/>
  <c r="I632" i="11" s="1"/>
  <c r="T477" i="12" l="1"/>
  <c r="T478" i="12" s="1"/>
  <c r="T479" i="12" l="1"/>
  <c r="T480" i="12" s="1"/>
  <c r="T481" i="12" l="1"/>
  <c r="T482" i="12" s="1"/>
  <c r="U510" i="11" l="1"/>
  <c r="T483" i="12"/>
  <c r="S510" i="11"/>
  <c r="T484" i="12" l="1"/>
  <c r="T485" i="12" s="1"/>
  <c r="V510" i="11"/>
  <c r="U511" i="11"/>
  <c r="T510" i="11"/>
  <c r="R477" i="12" s="1"/>
  <c r="S511" i="11"/>
  <c r="Q477" i="12"/>
  <c r="U477" i="12" l="1"/>
  <c r="X477" i="12" s="1"/>
  <c r="V511" i="11"/>
  <c r="U512" i="11"/>
  <c r="S512" i="11"/>
  <c r="T511" i="11"/>
  <c r="R478" i="12" s="1"/>
  <c r="Q478" i="12"/>
  <c r="T486" i="12"/>
  <c r="T487" i="12" l="1"/>
  <c r="U478" i="12"/>
  <c r="X478" i="12" s="1"/>
  <c r="T512" i="11"/>
  <c r="R479" i="12" s="1"/>
  <c r="U479" i="12" s="1"/>
  <c r="X479" i="12" s="1"/>
  <c r="Q479" i="12"/>
  <c r="S513" i="11"/>
  <c r="V512" i="11"/>
  <c r="U513" i="11"/>
  <c r="V513" i="11" l="1"/>
  <c r="U514" i="11"/>
  <c r="Q480" i="12"/>
  <c r="T513" i="11"/>
  <c r="R480" i="12" s="1"/>
  <c r="S514" i="11"/>
  <c r="T488" i="12"/>
  <c r="T489" i="12" l="1"/>
  <c r="T490" i="12" s="1"/>
  <c r="T514" i="11"/>
  <c r="R481" i="12" s="1"/>
  <c r="Q481" i="12"/>
  <c r="S515" i="11"/>
  <c r="U480" i="12"/>
  <c r="X480" i="12" s="1"/>
  <c r="V514" i="11"/>
  <c r="U515" i="11"/>
  <c r="U481" i="12" l="1"/>
  <c r="X481" i="12" s="1"/>
  <c r="T515" i="11"/>
  <c r="R482" i="12" s="1"/>
  <c r="Q482" i="12"/>
  <c r="S516" i="11"/>
  <c r="V515" i="11"/>
  <c r="U516" i="11"/>
  <c r="T491" i="12"/>
  <c r="V516" i="11" l="1"/>
  <c r="U517" i="11"/>
  <c r="Q483" i="12"/>
  <c r="T516" i="11"/>
  <c r="R483" i="12" s="1"/>
  <c r="S517" i="11"/>
  <c r="T492" i="12"/>
  <c r="U482" i="12"/>
  <c r="X482" i="12" s="1"/>
  <c r="T517" i="11" l="1"/>
  <c r="R484" i="12" s="1"/>
  <c r="U484" i="12" s="1"/>
  <c r="X484" i="12" s="1"/>
  <c r="Q484" i="12"/>
  <c r="S518" i="11"/>
  <c r="T493" i="12"/>
  <c r="U483" i="12"/>
  <c r="X483" i="12" s="1"/>
  <c r="V517" i="11"/>
  <c r="U518" i="11"/>
  <c r="V518" i="11" l="1"/>
  <c r="U519" i="11"/>
  <c r="T518" i="11"/>
  <c r="R485" i="12" s="1"/>
  <c r="S519" i="11"/>
  <c r="Q485" i="12"/>
  <c r="T494" i="12"/>
  <c r="T495" i="12" s="1"/>
  <c r="U485" i="12" l="1"/>
  <c r="X485" i="12" s="1"/>
  <c r="Q486" i="12"/>
  <c r="T519" i="11"/>
  <c r="R486" i="12" s="1"/>
  <c r="S520" i="11"/>
  <c r="T496" i="12"/>
  <c r="V519" i="11"/>
  <c r="U520" i="11"/>
  <c r="Q487" i="12" l="1"/>
  <c r="S521" i="11"/>
  <c r="T520" i="11"/>
  <c r="V520" i="11"/>
  <c r="U521" i="11"/>
  <c r="T497" i="12"/>
  <c r="U486" i="12"/>
  <c r="X486" i="12" s="1"/>
  <c r="R487" i="12" l="1"/>
  <c r="V521" i="11"/>
  <c r="U522" i="11"/>
  <c r="Q488" i="12"/>
  <c r="S522" i="11"/>
  <c r="T521" i="11"/>
  <c r="R488" i="12" s="1"/>
  <c r="T498" i="12"/>
  <c r="U487" i="12"/>
  <c r="X487" i="12" s="1"/>
  <c r="T522" i="11" l="1"/>
  <c r="R489" i="12" s="1"/>
  <c r="U489" i="12" s="1"/>
  <c r="X489" i="12" s="1"/>
  <c r="Q489" i="12"/>
  <c r="S523" i="11"/>
  <c r="U488" i="12"/>
  <c r="X488" i="12" s="1"/>
  <c r="V522" i="11"/>
  <c r="U523" i="11"/>
  <c r="T499" i="12"/>
  <c r="V523" i="11" l="1"/>
  <c r="U524" i="11"/>
  <c r="T523" i="11"/>
  <c r="R490" i="12" s="1"/>
  <c r="S524" i="11"/>
  <c r="Q490" i="12"/>
  <c r="T500" i="12"/>
  <c r="Q491" i="12" l="1"/>
  <c r="S525" i="11"/>
  <c r="T524" i="11"/>
  <c r="R491" i="12" s="1"/>
  <c r="T501" i="12"/>
  <c r="T502" i="12" s="1"/>
  <c r="V524" i="11"/>
  <c r="U525" i="11"/>
  <c r="U490" i="12"/>
  <c r="X490" i="12" s="1"/>
  <c r="V525" i="11" l="1"/>
  <c r="U526" i="11"/>
  <c r="T525" i="11"/>
  <c r="R492" i="12" s="1"/>
  <c r="Q492" i="12"/>
  <c r="S526" i="11"/>
  <c r="T503" i="12"/>
  <c r="U491" i="12"/>
  <c r="X491" i="12" s="1"/>
  <c r="T504" i="12" l="1"/>
  <c r="T505" i="12" s="1"/>
  <c r="Q493" i="12"/>
  <c r="T526" i="11"/>
  <c r="R493" i="12" s="1"/>
  <c r="S527" i="11"/>
  <c r="U492" i="12"/>
  <c r="X492" i="12" s="1"/>
  <c r="V526" i="11"/>
  <c r="U527" i="11"/>
  <c r="U493" i="12" l="1"/>
  <c r="X493" i="12" s="1"/>
  <c r="V527" i="11"/>
  <c r="U528" i="11"/>
  <c r="Q494" i="12"/>
  <c r="T527" i="11"/>
  <c r="R494" i="12" s="1"/>
  <c r="U494" i="12" s="1"/>
  <c r="X494" i="12" s="1"/>
  <c r="S528" i="11"/>
  <c r="T506" i="12"/>
  <c r="T528" i="11" l="1"/>
  <c r="R495" i="12" s="1"/>
  <c r="Q495" i="12"/>
  <c r="S529" i="11"/>
  <c r="T507" i="12"/>
  <c r="V528" i="11"/>
  <c r="U529" i="11"/>
  <c r="V529" i="11" l="1"/>
  <c r="U530" i="11"/>
  <c r="T508" i="12"/>
  <c r="T509" i="12" s="1"/>
  <c r="T529" i="11"/>
  <c r="R496" i="12" s="1"/>
  <c r="S530" i="11"/>
  <c r="Q496" i="12"/>
  <c r="U495" i="12"/>
  <c r="X495" i="12" s="1"/>
  <c r="U496" i="12" l="1"/>
  <c r="X496" i="12" s="1"/>
  <c r="T510" i="12"/>
  <c r="T530" i="11"/>
  <c r="R497" i="12" s="1"/>
  <c r="Q497" i="12"/>
  <c r="S531" i="11"/>
  <c r="V530" i="11"/>
  <c r="U531" i="11"/>
  <c r="V531" i="11" l="1"/>
  <c r="U532" i="11"/>
  <c r="U497" i="12"/>
  <c r="X497" i="12" s="1"/>
  <c r="T531" i="11"/>
  <c r="R498" i="12" s="1"/>
  <c r="S532" i="11"/>
  <c r="Q498" i="12"/>
  <c r="T511" i="12"/>
  <c r="T532" i="11" l="1"/>
  <c r="S533" i="11"/>
  <c r="Q499" i="12"/>
  <c r="U498" i="12"/>
  <c r="X498" i="12" s="1"/>
  <c r="V532" i="11"/>
  <c r="U533" i="11"/>
  <c r="T512" i="12"/>
  <c r="R499" i="12" l="1"/>
  <c r="U499" i="12"/>
  <c r="X499" i="12" s="1"/>
  <c r="T513" i="12"/>
  <c r="T514" i="12" s="1"/>
  <c r="S534" i="11"/>
  <c r="T533" i="11"/>
  <c r="R500" i="12" s="1"/>
  <c r="Q500" i="12"/>
  <c r="V533" i="11"/>
  <c r="U534" i="11"/>
  <c r="U500" i="12" l="1"/>
  <c r="X500" i="12" s="1"/>
  <c r="S535" i="11"/>
  <c r="Q501" i="12"/>
  <c r="T534" i="11"/>
  <c r="R501" i="12" s="1"/>
  <c r="U501" i="12" s="1"/>
  <c r="X501" i="12" s="1"/>
  <c r="V534" i="11"/>
  <c r="U535" i="11"/>
  <c r="T515" i="12"/>
  <c r="V535" i="11" l="1"/>
  <c r="U536" i="11"/>
  <c r="T516" i="12"/>
  <c r="Q502" i="12"/>
  <c r="T535" i="11"/>
  <c r="R502" i="12" s="1"/>
  <c r="S536" i="11"/>
  <c r="S537" i="11" l="1"/>
  <c r="T536" i="11"/>
  <c r="R503" i="12" s="1"/>
  <c r="Q503" i="12"/>
  <c r="U502" i="12"/>
  <c r="X502" i="12" s="1"/>
  <c r="T517" i="12"/>
  <c r="V536" i="11"/>
  <c r="U537" i="11"/>
  <c r="T518" i="12" l="1"/>
  <c r="U503" i="12"/>
  <c r="X503" i="12" s="1"/>
  <c r="V537" i="11"/>
  <c r="U538" i="11"/>
  <c r="Q504" i="12"/>
  <c r="T537" i="11"/>
  <c r="R504" i="12" s="1"/>
  <c r="U504" i="12" s="1"/>
  <c r="X504" i="12" s="1"/>
  <c r="S538" i="11"/>
  <c r="V538" i="11" l="1"/>
  <c r="U539" i="11"/>
  <c r="Q505" i="12"/>
  <c r="S539" i="11"/>
  <c r="T538" i="11"/>
  <c r="R505" i="12" s="1"/>
  <c r="T519" i="12"/>
  <c r="T520" i="12" s="1"/>
  <c r="T539" i="11" l="1"/>
  <c r="R506" i="12" s="1"/>
  <c r="S540" i="11"/>
  <c r="Q506" i="12"/>
  <c r="U505" i="12"/>
  <c r="X505" i="12" s="1"/>
  <c r="V539" i="11"/>
  <c r="U540" i="11"/>
  <c r="T521" i="12"/>
  <c r="T522" i="12" s="1"/>
  <c r="U506" i="12" l="1"/>
  <c r="X506" i="12" s="1"/>
  <c r="V540" i="11"/>
  <c r="U541" i="11"/>
  <c r="T540" i="11"/>
  <c r="R507" i="12" s="1"/>
  <c r="S541" i="11"/>
  <c r="Q507" i="12"/>
  <c r="T523" i="12"/>
  <c r="T524" i="12" l="1"/>
  <c r="U507" i="12"/>
  <c r="X507" i="12" s="1"/>
  <c r="Q508" i="12"/>
  <c r="S542" i="11"/>
  <c r="T541" i="11"/>
  <c r="R508" i="12" s="1"/>
  <c r="U508" i="12" s="1"/>
  <c r="X508" i="12" s="1"/>
  <c r="V541" i="11"/>
  <c r="U542" i="11"/>
  <c r="Q509" i="12" l="1"/>
  <c r="S543" i="11"/>
  <c r="T542" i="11"/>
  <c r="R509" i="12" s="1"/>
  <c r="V542" i="11"/>
  <c r="U543" i="11"/>
  <c r="T525" i="12"/>
  <c r="V543" i="11" l="1"/>
  <c r="U544" i="11"/>
  <c r="Q510" i="12"/>
  <c r="T543" i="11"/>
  <c r="R510" i="12" s="1"/>
  <c r="S544" i="11"/>
  <c r="T526" i="12"/>
  <c r="U509" i="12"/>
  <c r="X509" i="12" s="1"/>
  <c r="T527" i="12" l="1"/>
  <c r="T528" i="12" s="1"/>
  <c r="Q511" i="12"/>
  <c r="S545" i="11"/>
  <c r="T544" i="11"/>
  <c r="U510" i="12"/>
  <c r="X510" i="12" s="1"/>
  <c r="V544" i="11"/>
  <c r="U545" i="11"/>
  <c r="R511" i="12" l="1"/>
  <c r="T545" i="11"/>
  <c r="R512" i="12" s="1"/>
  <c r="Q512" i="12"/>
  <c r="S546" i="11"/>
  <c r="V545" i="11"/>
  <c r="U546" i="11"/>
  <c r="U511" i="12"/>
  <c r="X511" i="12" s="1"/>
  <c r="T529" i="12"/>
  <c r="Q513" i="12" l="1"/>
  <c r="T546" i="11"/>
  <c r="R513" i="12" s="1"/>
  <c r="U513" i="12" s="1"/>
  <c r="X513" i="12" s="1"/>
  <c r="S547" i="11"/>
  <c r="V546" i="11"/>
  <c r="U547" i="11"/>
  <c r="U512" i="12"/>
  <c r="X512" i="12" s="1"/>
  <c r="T530" i="12"/>
  <c r="T531" i="12" l="1"/>
  <c r="V547" i="11"/>
  <c r="U548" i="11"/>
  <c r="Q514" i="12"/>
  <c r="S548" i="11"/>
  <c r="T547" i="11"/>
  <c r="R514" i="12" s="1"/>
  <c r="U514" i="12" l="1"/>
  <c r="X514" i="12" s="1"/>
  <c r="Q515" i="12"/>
  <c r="T548" i="11"/>
  <c r="R515" i="12" s="1"/>
  <c r="S549" i="11"/>
  <c r="V548" i="11"/>
  <c r="U549" i="11"/>
  <c r="T532" i="12"/>
  <c r="T533" i="12" l="1"/>
  <c r="V549" i="11"/>
  <c r="U550" i="11"/>
  <c r="U515" i="12"/>
  <c r="X515" i="12" s="1"/>
  <c r="T549" i="11"/>
  <c r="R516" i="12" s="1"/>
  <c r="Q516" i="12"/>
  <c r="S550" i="11"/>
  <c r="T550" i="11" l="1"/>
  <c r="R517" i="12" s="1"/>
  <c r="Q517" i="12"/>
  <c r="S551" i="11"/>
  <c r="V550" i="11"/>
  <c r="U551" i="11"/>
  <c r="U516" i="12"/>
  <c r="X516" i="12" s="1"/>
  <c r="T534" i="12"/>
  <c r="U517" i="12" l="1"/>
  <c r="X517" i="12" s="1"/>
  <c r="V551" i="11"/>
  <c r="U552" i="11"/>
  <c r="T551" i="11"/>
  <c r="R518" i="12" s="1"/>
  <c r="S552" i="11"/>
  <c r="Q518" i="12"/>
  <c r="T535" i="12"/>
  <c r="T536" i="12" s="1"/>
  <c r="T537" i="12" l="1"/>
  <c r="T552" i="11"/>
  <c r="R519" i="12" s="1"/>
  <c r="S553" i="11"/>
  <c r="Q519" i="12"/>
  <c r="V552" i="11"/>
  <c r="U553" i="11"/>
  <c r="U518" i="12"/>
  <c r="X518" i="12" s="1"/>
  <c r="U519" i="12" l="1"/>
  <c r="X519" i="12" s="1"/>
  <c r="V553" i="11"/>
  <c r="U554" i="11"/>
  <c r="Q520" i="12"/>
  <c r="T553" i="11"/>
  <c r="R520" i="12" s="1"/>
  <c r="S554" i="11"/>
  <c r="T538" i="12"/>
  <c r="T554" i="11" l="1"/>
  <c r="R521" i="12" s="1"/>
  <c r="Q521" i="12"/>
  <c r="S555" i="11"/>
  <c r="U520" i="12"/>
  <c r="X520" i="12" s="1"/>
  <c r="T539" i="12"/>
  <c r="T540" i="12" s="1"/>
  <c r="V554" i="11"/>
  <c r="U555" i="11"/>
  <c r="U521" i="12" l="1"/>
  <c r="X521" i="12" s="1"/>
  <c r="V555" i="11"/>
  <c r="U556" i="11"/>
  <c r="T541" i="12"/>
  <c r="Q522" i="12"/>
  <c r="T555" i="11"/>
  <c r="R522" i="12" s="1"/>
  <c r="S556" i="11"/>
  <c r="S557" i="11" l="1"/>
  <c r="T556" i="11"/>
  <c r="Q523" i="12"/>
  <c r="U522" i="12"/>
  <c r="X522" i="12" s="1"/>
  <c r="T542" i="12"/>
  <c r="V556" i="11"/>
  <c r="U557" i="11"/>
  <c r="R523" i="12" l="1"/>
  <c r="V557" i="11"/>
  <c r="U558" i="11"/>
  <c r="U523" i="12"/>
  <c r="X523" i="12" s="1"/>
  <c r="T543" i="12"/>
  <c r="T557" i="11"/>
  <c r="R524" i="12" s="1"/>
  <c r="Q524" i="12"/>
  <c r="S558" i="11"/>
  <c r="T558" i="11" l="1"/>
  <c r="R525" i="12" s="1"/>
  <c r="Q525" i="12"/>
  <c r="S559" i="11"/>
  <c r="T544" i="12"/>
  <c r="T545" i="12" s="1"/>
  <c r="U524" i="12"/>
  <c r="X524" i="12" s="1"/>
  <c r="V558" i="11"/>
  <c r="U559" i="11"/>
  <c r="T546" i="12" l="1"/>
  <c r="T559" i="11"/>
  <c r="R526" i="12" s="1"/>
  <c r="Q526" i="12"/>
  <c r="S560" i="11"/>
  <c r="U525" i="12"/>
  <c r="X525" i="12" s="1"/>
  <c r="V559" i="11"/>
  <c r="U560" i="11"/>
  <c r="T560" i="11" l="1"/>
  <c r="R527" i="12" s="1"/>
  <c r="U527" i="12" s="1"/>
  <c r="X527" i="12" s="1"/>
  <c r="Q527" i="12"/>
  <c r="S561" i="11"/>
  <c r="V560" i="11"/>
  <c r="U561" i="11"/>
  <c r="U526" i="12"/>
  <c r="X526" i="12" s="1"/>
  <c r="T547" i="12"/>
  <c r="T548" i="12" s="1"/>
  <c r="V561" i="11" l="1"/>
  <c r="U562" i="11"/>
  <c r="T561" i="11"/>
  <c r="Q528" i="12"/>
  <c r="S562" i="11"/>
  <c r="R528" i="12" l="1"/>
  <c r="U528" i="12"/>
  <c r="X528" i="12" s="1"/>
  <c r="S563" i="11"/>
  <c r="Q529" i="12"/>
  <c r="T562" i="11"/>
  <c r="R529" i="12" s="1"/>
  <c r="V562" i="11"/>
  <c r="U563" i="11"/>
  <c r="V563" i="11" l="1"/>
  <c r="U564" i="11"/>
  <c r="U529" i="12"/>
  <c r="X529" i="12" s="1"/>
  <c r="T563" i="11"/>
  <c r="R530" i="12" s="1"/>
  <c r="S564" i="11"/>
  <c r="Q530" i="12"/>
  <c r="T564" i="11" l="1"/>
  <c r="R531" i="12" s="1"/>
  <c r="Q531" i="12"/>
  <c r="S565" i="11"/>
  <c r="U530" i="12"/>
  <c r="X530" i="12" s="1"/>
  <c r="V564" i="11"/>
  <c r="U565" i="11"/>
  <c r="V565" i="11" l="1"/>
  <c r="U566" i="11"/>
  <c r="T565" i="11"/>
  <c r="R532" i="12" s="1"/>
  <c r="Q532" i="12"/>
  <c r="S566" i="11"/>
  <c r="U531" i="12"/>
  <c r="X531" i="12" s="1"/>
  <c r="U532" i="12" l="1"/>
  <c r="X532" i="12" s="1"/>
  <c r="Q533" i="12"/>
  <c r="S567" i="11"/>
  <c r="T566" i="11"/>
  <c r="R533" i="12" s="1"/>
  <c r="V566" i="11"/>
  <c r="U567" i="11"/>
  <c r="V567" i="11" l="1"/>
  <c r="U568" i="11"/>
  <c r="Q534" i="12"/>
  <c r="S568" i="11"/>
  <c r="T567" i="11"/>
  <c r="R534" i="12" s="1"/>
  <c r="U533" i="12"/>
  <c r="X533" i="12" s="1"/>
  <c r="Q535" i="12" l="1"/>
  <c r="T568" i="11"/>
  <c r="S569" i="11"/>
  <c r="U534" i="12"/>
  <c r="X534" i="12" s="1"/>
  <c r="V568" i="11"/>
  <c r="U569" i="11"/>
  <c r="R535" i="12" l="1"/>
  <c r="U535" i="12" s="1"/>
  <c r="X535" i="12" s="1"/>
  <c r="T569" i="11"/>
  <c r="Q536" i="12"/>
  <c r="S570" i="11"/>
  <c r="V569" i="11"/>
  <c r="U570" i="11"/>
  <c r="R536" i="12" l="1"/>
  <c r="T570" i="11"/>
  <c r="R537" i="12" s="1"/>
  <c r="S571" i="11"/>
  <c r="Q537" i="12"/>
  <c r="V570" i="11"/>
  <c r="U571" i="11"/>
  <c r="U536" i="12"/>
  <c r="X536" i="12" s="1"/>
  <c r="V571" i="11" l="1"/>
  <c r="U572" i="11"/>
  <c r="U537" i="12"/>
  <c r="X537" i="12" s="1"/>
  <c r="Q538" i="12"/>
  <c r="S572" i="11"/>
  <c r="T571" i="11"/>
  <c r="R538" i="12" s="1"/>
  <c r="U538" i="12" l="1"/>
  <c r="X538" i="12" s="1"/>
  <c r="V572" i="11"/>
  <c r="U573" i="11"/>
  <c r="S573" i="11"/>
  <c r="Q539" i="12"/>
  <c r="T572" i="11"/>
  <c r="R539" i="12" s="1"/>
  <c r="U539" i="12" s="1"/>
  <c r="X539" i="12" s="1"/>
  <c r="V573" i="11" l="1"/>
  <c r="U574" i="11"/>
  <c r="Q540" i="12"/>
  <c r="T573" i="11"/>
  <c r="R540" i="12" s="1"/>
  <c r="S574" i="11"/>
  <c r="U540" i="12" l="1"/>
  <c r="X540" i="12" s="1"/>
  <c r="V574" i="11"/>
  <c r="U575" i="11"/>
  <c r="T574" i="11"/>
  <c r="R541" i="12" s="1"/>
  <c r="S575" i="11"/>
  <c r="Q541" i="12"/>
  <c r="T575" i="11" l="1"/>
  <c r="R542" i="12" s="1"/>
  <c r="Q542" i="12"/>
  <c r="S576" i="11"/>
  <c r="U541" i="12"/>
  <c r="X541" i="12" s="1"/>
  <c r="V575" i="11"/>
  <c r="U576" i="11"/>
  <c r="V576" i="11" l="1"/>
  <c r="U577" i="11"/>
  <c r="T576" i="11"/>
  <c r="R543" i="12" s="1"/>
  <c r="S577" i="11"/>
  <c r="Q543" i="12"/>
  <c r="U542" i="12"/>
  <c r="X542" i="12" s="1"/>
  <c r="U543" i="12" l="1"/>
  <c r="X543" i="12" s="1"/>
  <c r="T577" i="11"/>
  <c r="R544" i="12" s="1"/>
  <c r="U544" i="12" s="1"/>
  <c r="X544" i="12" s="1"/>
  <c r="Q544" i="12"/>
  <c r="S578" i="11"/>
  <c r="V577" i="11"/>
  <c r="U578" i="11"/>
  <c r="Q545" i="12" l="1"/>
  <c r="T578" i="11"/>
  <c r="R545" i="12" s="1"/>
  <c r="S579" i="11"/>
  <c r="V578" i="11"/>
  <c r="U579" i="11"/>
  <c r="V579" i="11" l="1"/>
  <c r="U580" i="11"/>
  <c r="T579" i="11"/>
  <c r="R546" i="12" s="1"/>
  <c r="Q546" i="12"/>
  <c r="S580" i="11"/>
  <c r="U545" i="12"/>
  <c r="X545" i="12" s="1"/>
  <c r="U546" i="12" l="1"/>
  <c r="X546" i="12" s="1"/>
  <c r="V580" i="11"/>
  <c r="U581" i="11"/>
  <c r="S581" i="11"/>
  <c r="Q547" i="12"/>
  <c r="T580" i="11"/>
  <c r="R547" i="12" s="1"/>
  <c r="U547" i="12" s="1"/>
  <c r="X547" i="12" s="1"/>
  <c r="V581" i="11" l="1"/>
  <c r="U582" i="11"/>
  <c r="Q548" i="12"/>
  <c r="S582" i="11"/>
  <c r="T581" i="11"/>
  <c r="R548" i="12" s="1"/>
  <c r="T582" i="11" l="1"/>
  <c r="S583" i="11"/>
  <c r="U548" i="12"/>
  <c r="X548" i="12" s="1"/>
  <c r="V582" i="11"/>
  <c r="U583" i="11"/>
  <c r="T583" i="11" l="1"/>
  <c r="S584" i="11"/>
  <c r="V583" i="11"/>
  <c r="U584" i="11"/>
  <c r="V584" i="11" l="1"/>
  <c r="U585" i="11"/>
  <c r="T584" i="11"/>
  <c r="S585" i="11"/>
  <c r="T585" i="11" l="1"/>
  <c r="S586" i="11"/>
  <c r="V585" i="11"/>
  <c r="U586" i="11"/>
  <c r="V586" i="11" l="1"/>
  <c r="U587" i="11"/>
  <c r="T586" i="11"/>
  <c r="S587" i="11"/>
  <c r="V587" i="11" l="1"/>
  <c r="U588" i="11"/>
  <c r="S588" i="11"/>
  <c r="T587" i="11"/>
  <c r="T588" i="11" l="1"/>
  <c r="S589" i="11"/>
  <c r="V588" i="11"/>
  <c r="U589" i="11"/>
  <c r="V589" i="11" l="1"/>
  <c r="U590" i="11"/>
  <c r="T589" i="11"/>
  <c r="S590" i="11"/>
  <c r="T590" i="11" l="1"/>
  <c r="S591" i="11"/>
  <c r="V590" i="11"/>
  <c r="U591" i="11"/>
  <c r="V591" i="11" l="1"/>
  <c r="U592" i="11"/>
  <c r="S592" i="11"/>
  <c r="T591" i="11"/>
  <c r="S593" i="11" l="1"/>
  <c r="T592" i="11"/>
  <c r="V592" i="11"/>
  <c r="U593" i="11"/>
  <c r="V593" i="11" l="1"/>
  <c r="U594" i="11"/>
  <c r="T593" i="11"/>
  <c r="S594" i="11"/>
  <c r="T594" i="11" l="1"/>
  <c r="S595" i="11"/>
  <c r="V594" i="11"/>
  <c r="U595" i="11"/>
  <c r="T595" i="11" l="1"/>
  <c r="S596" i="11"/>
  <c r="V595" i="11"/>
  <c r="U596" i="11"/>
  <c r="V596" i="11" l="1"/>
  <c r="U597" i="11"/>
  <c r="T596" i="11"/>
  <c r="S597" i="11"/>
  <c r="S598" i="11" l="1"/>
  <c r="T597" i="11"/>
  <c r="V597" i="11"/>
  <c r="U598" i="11"/>
  <c r="V598" i="11" l="1"/>
  <c r="U599" i="11"/>
  <c r="T598" i="11"/>
  <c r="S599" i="11"/>
  <c r="V599" i="11" l="1"/>
  <c r="U600" i="11"/>
  <c r="T599" i="11"/>
  <c r="S600" i="11"/>
  <c r="T600" i="11" l="1"/>
  <c r="S601" i="11"/>
  <c r="V600" i="11"/>
  <c r="U601" i="11"/>
  <c r="V601" i="11" l="1"/>
  <c r="U602" i="11"/>
  <c r="T601" i="11"/>
  <c r="S602" i="11"/>
  <c r="T602" i="11" l="1"/>
  <c r="S603" i="11"/>
  <c r="V602" i="11"/>
  <c r="U603" i="11"/>
  <c r="V603" i="11" l="1"/>
  <c r="U604" i="11"/>
  <c r="T603" i="11"/>
  <c r="S604" i="11"/>
  <c r="S605" i="11" l="1"/>
  <c r="T604" i="11"/>
  <c r="V604" i="11"/>
  <c r="U605" i="11"/>
  <c r="V605" i="11" l="1"/>
  <c r="U606" i="11"/>
  <c r="T605" i="11"/>
  <c r="S606" i="11"/>
  <c r="T606" i="11" l="1"/>
  <c r="S607" i="11"/>
  <c r="V606" i="11"/>
  <c r="U607" i="11"/>
  <c r="T607" i="11" l="1"/>
  <c r="S608" i="11"/>
  <c r="V607" i="11"/>
  <c r="U608" i="11"/>
  <c r="T608" i="11" l="1"/>
  <c r="S609" i="11"/>
  <c r="V608" i="11"/>
  <c r="U609" i="11"/>
  <c r="T609" i="11" l="1"/>
  <c r="S610" i="11"/>
  <c r="V609" i="11"/>
  <c r="U610" i="11"/>
  <c r="V610" i="11" l="1"/>
  <c r="U611" i="11"/>
  <c r="T610" i="11"/>
  <c r="S611" i="11"/>
  <c r="V611" i="11" l="1"/>
  <c r="U612" i="11"/>
  <c r="S612" i="11"/>
  <c r="T611" i="11"/>
  <c r="T612" i="11" l="1"/>
  <c r="S613" i="11"/>
  <c r="V612" i="11"/>
  <c r="U613" i="11"/>
  <c r="V613" i="11" l="1"/>
  <c r="U614" i="11"/>
  <c r="S614" i="11"/>
  <c r="T613" i="11"/>
  <c r="T614" i="11" l="1"/>
  <c r="S615" i="11"/>
  <c r="V614" i="11"/>
  <c r="U615" i="11"/>
  <c r="V615" i="11" l="1"/>
  <c r="U616" i="11"/>
  <c r="T615" i="11"/>
  <c r="S616" i="11"/>
  <c r="T616" i="11" l="1"/>
  <c r="S617" i="11"/>
  <c r="V616" i="11"/>
  <c r="U617" i="11"/>
  <c r="T617" i="11" l="1"/>
  <c r="S618" i="11"/>
  <c r="V617" i="11"/>
  <c r="U618" i="11"/>
  <c r="V618" i="11" l="1"/>
  <c r="U619" i="11"/>
  <c r="T618" i="11"/>
  <c r="S619" i="11"/>
  <c r="T619" i="11" l="1"/>
  <c r="S620" i="11"/>
  <c r="V619" i="11"/>
  <c r="U620" i="11"/>
  <c r="V620" i="11" l="1"/>
  <c r="U621" i="11"/>
  <c r="T620" i="11"/>
  <c r="S621" i="11"/>
  <c r="T621" i="11" l="1"/>
  <c r="S622" i="11"/>
  <c r="V621" i="11"/>
  <c r="U622" i="11"/>
  <c r="V622" i="11" l="1"/>
  <c r="U623" i="11"/>
  <c r="T622" i="11"/>
  <c r="S623" i="11"/>
  <c r="T623" i="11" l="1"/>
  <c r="S624" i="11"/>
  <c r="V623" i="11"/>
  <c r="U624" i="11"/>
  <c r="V624" i="11" l="1"/>
  <c r="U625" i="11"/>
  <c r="S625" i="11"/>
  <c r="T624" i="11"/>
  <c r="S626" i="11" l="1"/>
  <c r="T625" i="11"/>
  <c r="V625" i="11"/>
  <c r="U626" i="11"/>
  <c r="V626" i="11" l="1"/>
  <c r="U627" i="11"/>
  <c r="S627" i="11"/>
  <c r="T626" i="11"/>
  <c r="S628" i="11" l="1"/>
  <c r="T627" i="11"/>
  <c r="V627" i="11"/>
  <c r="U628" i="11"/>
  <c r="V628" i="11" l="1"/>
  <c r="U629" i="11"/>
  <c r="T628" i="11"/>
  <c r="S629" i="11"/>
  <c r="T629" i="11" l="1"/>
  <c r="S630" i="11"/>
  <c r="V629" i="11"/>
  <c r="U630" i="11"/>
  <c r="S631" i="11" l="1"/>
  <c r="T630" i="11"/>
  <c r="V630" i="11"/>
  <c r="U631" i="11"/>
  <c r="V631" i="11" l="1"/>
  <c r="U632" i="11"/>
  <c r="S632" i="11"/>
  <c r="T631" i="11"/>
  <c r="V632" i="11" l="1"/>
  <c r="U633" i="11"/>
  <c r="T632" i="11"/>
  <c r="S633" i="11"/>
  <c r="V633" i="11" l="1"/>
  <c r="U634" i="11"/>
  <c r="T633" i="11"/>
  <c r="S634" i="11"/>
  <c r="T634" i="11" l="1"/>
  <c r="S635" i="11"/>
  <c r="V634" i="11"/>
  <c r="U635" i="11"/>
  <c r="V635" i="11" l="1"/>
  <c r="U636" i="11"/>
  <c r="T635" i="11"/>
  <c r="S636" i="11"/>
  <c r="V636" i="11" l="1"/>
  <c r="U637" i="11"/>
  <c r="T636" i="11"/>
  <c r="S637" i="11"/>
  <c r="V637" i="11" l="1"/>
  <c r="U638" i="11"/>
  <c r="T637" i="11"/>
  <c r="S638" i="11"/>
  <c r="T638" i="11" l="1"/>
  <c r="S639" i="11"/>
  <c r="V638" i="11"/>
  <c r="U639" i="11"/>
  <c r="V639" i="11" l="1"/>
  <c r="U640" i="11"/>
  <c r="T639" i="11"/>
  <c r="S640" i="11"/>
  <c r="T640" i="11" l="1"/>
  <c r="S641" i="11"/>
  <c r="V640" i="11"/>
  <c r="U641" i="11"/>
  <c r="T641" i="11" l="1"/>
  <c r="S642" i="11"/>
  <c r="V641" i="11"/>
  <c r="U642" i="11"/>
  <c r="S643" i="11" l="1"/>
  <c r="T642" i="11"/>
  <c r="V642" i="11"/>
  <c r="U643" i="11"/>
  <c r="V643" i="11" l="1"/>
  <c r="U644" i="11"/>
  <c r="T643" i="11"/>
  <c r="S644" i="11"/>
  <c r="V644" i="11" l="1"/>
  <c r="U645" i="11"/>
  <c r="S645" i="11"/>
  <c r="T644" i="11"/>
  <c r="S646" i="11" l="1"/>
  <c r="T645" i="11"/>
  <c r="V645" i="11"/>
  <c r="U646" i="11"/>
  <c r="V646" i="11" l="1"/>
  <c r="U647" i="11"/>
  <c r="T646" i="11"/>
  <c r="S647" i="11"/>
  <c r="T647" i="11" l="1"/>
  <c r="S648" i="11"/>
  <c r="V647" i="11"/>
  <c r="U648" i="11"/>
  <c r="V648" i="11" l="1"/>
  <c r="U649" i="11"/>
  <c r="T648" i="11"/>
  <c r="S649" i="11"/>
  <c r="V649" i="11" l="1"/>
  <c r="U650" i="11"/>
  <c r="T649" i="11"/>
  <c r="S650" i="11"/>
  <c r="T650" i="11" l="1"/>
  <c r="S651" i="11"/>
  <c r="V650" i="11"/>
  <c r="U651" i="11"/>
  <c r="T651" i="11" l="1"/>
  <c r="S652" i="11"/>
  <c r="V651" i="11"/>
  <c r="U652" i="11"/>
  <c r="S653" i="11" l="1"/>
  <c r="T652" i="11"/>
  <c r="V652" i="11"/>
  <c r="U653" i="11"/>
  <c r="V653" i="11" l="1"/>
  <c r="U654" i="11"/>
  <c r="S654" i="11"/>
  <c r="T653" i="11"/>
  <c r="T654" i="11" l="1"/>
  <c r="S655" i="11"/>
  <c r="V654" i="11"/>
  <c r="U655" i="11"/>
  <c r="T655" i="11" l="1"/>
  <c r="S656" i="11"/>
  <c r="V655" i="11"/>
  <c r="U656" i="11"/>
  <c r="T656" i="11" l="1"/>
  <c r="S657" i="11"/>
  <c r="V656" i="11"/>
  <c r="U657" i="11"/>
  <c r="T657" i="11" l="1"/>
  <c r="S658" i="11"/>
  <c r="V657" i="11"/>
  <c r="U658" i="11"/>
  <c r="S659" i="11" l="1"/>
  <c r="T658" i="11"/>
  <c r="V658" i="11"/>
  <c r="U659" i="11"/>
  <c r="V659" i="11" l="1"/>
  <c r="U660" i="11"/>
  <c r="T659" i="11"/>
  <c r="S660" i="11"/>
  <c r="V660" i="11" l="1"/>
  <c r="U661" i="11"/>
  <c r="S661" i="11"/>
  <c r="T660" i="11"/>
  <c r="T661" i="11" l="1"/>
  <c r="S662" i="11"/>
  <c r="V661" i="11"/>
  <c r="U662" i="11"/>
  <c r="V662" i="11" l="1"/>
  <c r="U663" i="11"/>
  <c r="T662" i="11"/>
  <c r="S663" i="11"/>
  <c r="T663" i="11" l="1"/>
  <c r="S664" i="11"/>
  <c r="V663" i="11"/>
  <c r="U664" i="11"/>
  <c r="T664" i="11" l="1"/>
  <c r="S665" i="11"/>
  <c r="V664" i="11"/>
  <c r="U665" i="11"/>
  <c r="V665" i="11" l="1"/>
  <c r="U666" i="11"/>
  <c r="T665" i="11"/>
  <c r="S666" i="11"/>
  <c r="V666" i="11" l="1"/>
  <c r="U667" i="11"/>
  <c r="T666" i="11"/>
  <c r="S667" i="11"/>
  <c r="V667" i="11" l="1"/>
  <c r="U668" i="11"/>
  <c r="T667" i="11"/>
  <c r="S668" i="11"/>
  <c r="T668" i="11" l="1"/>
  <c r="S669" i="11"/>
  <c r="V668" i="11"/>
  <c r="U669" i="11"/>
  <c r="T669" i="11" l="1"/>
  <c r="S670" i="11"/>
  <c r="V669" i="11"/>
  <c r="U670" i="11"/>
  <c r="T670" i="11" l="1"/>
  <c r="S671" i="11"/>
  <c r="V670" i="11"/>
  <c r="U671" i="11"/>
  <c r="T671" i="11" l="1"/>
  <c r="S672" i="11"/>
  <c r="V671" i="11"/>
  <c r="U672" i="11"/>
  <c r="T672" i="11" l="1"/>
  <c r="S673" i="11"/>
  <c r="V672" i="11"/>
  <c r="U673" i="11"/>
  <c r="S674" i="11" l="1"/>
  <c r="T673" i="11"/>
  <c r="V673" i="11"/>
  <c r="U674" i="11"/>
  <c r="V674" i="11" l="1"/>
  <c r="U675" i="11"/>
  <c r="T674" i="11"/>
  <c r="S675" i="11"/>
  <c r="V675" i="11" l="1"/>
  <c r="U676" i="11"/>
  <c r="T675" i="11"/>
  <c r="S676" i="11"/>
  <c r="T676" i="11" l="1"/>
  <c r="S677" i="11"/>
  <c r="V676" i="11"/>
  <c r="U677" i="11"/>
  <c r="T677" i="11" l="1"/>
  <c r="S678" i="11"/>
  <c r="V677" i="11"/>
  <c r="U678" i="11"/>
  <c r="V678" i="11" l="1"/>
  <c r="U679" i="11"/>
  <c r="T678" i="11"/>
  <c r="S679" i="11"/>
  <c r="T679" i="11" l="1"/>
  <c r="S680" i="11"/>
  <c r="V679" i="11"/>
  <c r="U680" i="11"/>
  <c r="V680" i="11" l="1"/>
  <c r="U681" i="11"/>
  <c r="T680" i="11"/>
  <c r="S681" i="11"/>
  <c r="V681" i="11" l="1"/>
  <c r="U682" i="11"/>
  <c r="T681" i="11"/>
  <c r="S682" i="11"/>
  <c r="V682" i="11" l="1"/>
  <c r="U683" i="11"/>
  <c r="T682" i="11"/>
  <c r="S683" i="11"/>
  <c r="V683" i="11" l="1"/>
  <c r="U684" i="11"/>
  <c r="T683" i="11"/>
  <c r="S684" i="11"/>
  <c r="V684" i="11" l="1"/>
  <c r="U685" i="11"/>
  <c r="T684" i="11"/>
  <c r="S685" i="11"/>
  <c r="T685" i="11" l="1"/>
  <c r="S686" i="11"/>
  <c r="V685" i="11"/>
  <c r="U686" i="11"/>
  <c r="T686" i="11" l="1"/>
  <c r="S687" i="11"/>
  <c r="V686" i="11"/>
  <c r="U687" i="11"/>
  <c r="T687" i="11" l="1"/>
  <c r="S688" i="11"/>
  <c r="V687" i="11"/>
  <c r="U688" i="11"/>
  <c r="T688" i="11" l="1"/>
  <c r="S689" i="11"/>
  <c r="V688" i="11"/>
  <c r="U689" i="11"/>
  <c r="T689" i="11" l="1"/>
  <c r="S690" i="11"/>
  <c r="V689" i="11"/>
  <c r="U690" i="11"/>
  <c r="T690" i="11" l="1"/>
  <c r="S691" i="11"/>
  <c r="V690" i="11"/>
  <c r="U691" i="11"/>
  <c r="T691" i="11" l="1"/>
  <c r="S692" i="11"/>
  <c r="V691" i="11"/>
  <c r="U692" i="11"/>
  <c r="V692" i="11" l="1"/>
  <c r="U693" i="11"/>
  <c r="T692" i="11"/>
  <c r="S693" i="11"/>
  <c r="V693" i="11" l="1"/>
  <c r="U694" i="11"/>
  <c r="T693" i="11"/>
  <c r="S694" i="11"/>
  <c r="T694" i="11" l="1"/>
  <c r="S695" i="11"/>
  <c r="V694" i="11"/>
  <c r="U695" i="11"/>
  <c r="V695" i="11" l="1"/>
  <c r="U696" i="11"/>
  <c r="T695" i="11"/>
  <c r="S696" i="11"/>
  <c r="T696" i="11" l="1"/>
  <c r="S697" i="11"/>
  <c r="V696" i="11"/>
  <c r="U697" i="11"/>
  <c r="T697" i="11" l="1"/>
  <c r="S698" i="11"/>
  <c r="V697" i="11"/>
  <c r="U698" i="11"/>
  <c r="V698" i="11" l="1"/>
  <c r="U699" i="11"/>
  <c r="T698" i="11"/>
  <c r="S699" i="11"/>
  <c r="T699" i="11" l="1"/>
  <c r="S700" i="11"/>
  <c r="V699" i="11"/>
  <c r="U700" i="11"/>
  <c r="T700" i="11" l="1"/>
  <c r="S701" i="11"/>
  <c r="V700" i="11"/>
  <c r="U701" i="11"/>
  <c r="V701" i="11" l="1"/>
  <c r="U702" i="11"/>
  <c r="T701" i="11"/>
  <c r="S702" i="11"/>
  <c r="T702" i="11" l="1"/>
  <c r="S703" i="11"/>
  <c r="V702" i="11"/>
  <c r="U703" i="11"/>
  <c r="V703" i="11" l="1"/>
  <c r="U704" i="11"/>
  <c r="T703" i="11"/>
  <c r="S704" i="11"/>
  <c r="T704" i="11" l="1"/>
  <c r="S705" i="11"/>
  <c r="V704" i="11"/>
  <c r="U705" i="11"/>
  <c r="V705" i="11" l="1"/>
  <c r="U706" i="11"/>
  <c r="S706" i="11"/>
  <c r="T705" i="11"/>
  <c r="T706" i="11" l="1"/>
  <c r="S707" i="11"/>
  <c r="V706" i="11"/>
  <c r="U707" i="11"/>
  <c r="V707" i="11" l="1"/>
  <c r="U708" i="11"/>
  <c r="S708" i="11"/>
  <c r="T707" i="11"/>
  <c r="T708" i="11" l="1"/>
  <c r="S709" i="11"/>
  <c r="V708" i="11"/>
  <c r="U709" i="11"/>
  <c r="S710" i="11" l="1"/>
  <c r="T709" i="11"/>
  <c r="V709" i="11"/>
  <c r="U710" i="11"/>
  <c r="V710" i="11" l="1"/>
  <c r="U711" i="11"/>
  <c r="T710" i="11"/>
  <c r="S711" i="11"/>
  <c r="V711" i="11" l="1"/>
  <c r="U712" i="11"/>
  <c r="T711" i="11"/>
  <c r="S712" i="11"/>
  <c r="V712" i="11" l="1"/>
  <c r="U713" i="11"/>
  <c r="T712" i="11"/>
  <c r="S713" i="11"/>
  <c r="V713" i="11" l="1"/>
  <c r="U714" i="11"/>
  <c r="T713" i="11"/>
  <c r="S714" i="11"/>
  <c r="V714" i="11" l="1"/>
  <c r="U715" i="11"/>
  <c r="T714" i="11"/>
  <c r="S715" i="11"/>
  <c r="V715" i="11" l="1"/>
  <c r="U716" i="11"/>
  <c r="T715" i="11"/>
  <c r="S716" i="11"/>
  <c r="V716" i="11" l="1"/>
  <c r="U717" i="11"/>
  <c r="T716" i="11"/>
  <c r="S717" i="11"/>
  <c r="T717" i="11" l="1"/>
  <c r="S718" i="11"/>
  <c r="V717" i="11"/>
  <c r="U718" i="11"/>
  <c r="T718" i="11" l="1"/>
  <c r="S719" i="11"/>
  <c r="V718" i="11"/>
  <c r="U719" i="11"/>
  <c r="T719" i="11" l="1"/>
  <c r="S720" i="11"/>
  <c r="V719" i="11"/>
  <c r="U720" i="11"/>
  <c r="T720" i="11" l="1"/>
  <c r="S721" i="11"/>
  <c r="V720" i="11"/>
  <c r="U721" i="11"/>
  <c r="S722" i="11" l="1"/>
  <c r="T721" i="11"/>
  <c r="V721" i="11"/>
  <c r="U722" i="11"/>
  <c r="V722" i="11" l="1"/>
  <c r="U723" i="11"/>
  <c r="T722" i="11"/>
  <c r="S723" i="11"/>
  <c r="V723" i="11" l="1"/>
  <c r="U724" i="11"/>
  <c r="V724" i="11" s="1"/>
  <c r="T723" i="11"/>
  <c r="S724" i="11"/>
  <c r="T724" i="11" s="1"/>
  <c r="AC85" i="11" l="1"/>
  <c r="E52" i="12" s="1"/>
  <c r="AE85" i="11" l="1"/>
  <c r="AF85" i="11"/>
  <c r="AG85" i="11" s="1"/>
  <c r="O85" i="11"/>
  <c r="F52" i="12" s="1"/>
  <c r="G52" i="12" s="1"/>
  <c r="AK85" i="11" l="1"/>
  <c r="K85" i="11" s="1"/>
  <c r="AJ85" i="11"/>
  <c r="J85" i="11" s="1"/>
  <c r="AD85" i="11"/>
  <c r="G85" i="11"/>
  <c r="P85" i="11" s="1"/>
  <c r="H52" i="12" l="1"/>
  <c r="J52" i="12" s="1"/>
  <c r="AL85" i="11"/>
  <c r="H85" i="11" s="1"/>
  <c r="K52" i="12" s="1"/>
  <c r="Q85" i="11"/>
  <c r="R85" i="11"/>
  <c r="I52" i="12" l="1"/>
  <c r="L52" i="12"/>
  <c r="O52" i="12" s="1"/>
  <c r="I85" i="11"/>
  <c r="P52" i="12" s="1"/>
  <c r="S52" i="12" s="1"/>
  <c r="T52" i="12" s="1"/>
  <c r="U85" i="11" l="1"/>
  <c r="V85" i="11" s="1"/>
  <c r="S85" i="11"/>
  <c r="Q52" i="12" s="1"/>
  <c r="T85" i="11" l="1"/>
  <c r="Z86" i="11" s="1"/>
  <c r="EB86" i="11" s="1"/>
  <c r="R52" i="12" l="1"/>
  <c r="U52" i="12" s="1"/>
  <c r="X52" i="12" s="1"/>
  <c r="ED86" i="11" l="1"/>
  <c r="EE86" i="11" s="1"/>
  <c r="AC86" i="11"/>
  <c r="AF86" i="11" s="1"/>
  <c r="F86" i="11"/>
  <c r="E53" i="12" l="1"/>
  <c r="EG86" i="11"/>
  <c r="O86" i="11"/>
  <c r="F53" i="12" s="1"/>
  <c r="G53" i="12" s="1"/>
  <c r="AE86" i="11"/>
  <c r="AG86" i="11" s="1"/>
  <c r="AK86" i="11" l="1"/>
  <c r="G86" i="11"/>
  <c r="H53" i="12" s="1"/>
  <c r="AJ86" i="11"/>
  <c r="AD86" i="11"/>
  <c r="EF86" i="11"/>
  <c r="EK86" i="11"/>
  <c r="EJ86" i="11"/>
  <c r="P86" i="11"/>
  <c r="J86" i="11" l="1"/>
  <c r="Q86" i="11" s="1"/>
  <c r="EL86" i="11"/>
  <c r="AL86" i="11"/>
  <c r="K86" i="11"/>
  <c r="R86" i="11" s="1"/>
  <c r="L53" i="12"/>
  <c r="O53" i="12" s="1"/>
  <c r="J53" i="12"/>
  <c r="I53" i="12"/>
  <c r="H86" i="11" l="1"/>
  <c r="I86" i="11" s="1"/>
  <c r="P53" i="12" s="1"/>
  <c r="K53" i="12" l="1"/>
  <c r="S53" i="12" s="1"/>
  <c r="T53" i="12" s="1"/>
  <c r="S86" i="11"/>
  <c r="Q53" i="12" s="1"/>
  <c r="U86" i="11"/>
  <c r="V86" i="11" s="1"/>
  <c r="T86" i="11" l="1"/>
  <c r="Z87" i="11" s="1"/>
  <c r="EB87" i="11" s="1"/>
  <c r="R53" i="12" l="1"/>
  <c r="U53" i="12" s="1"/>
  <c r="X53" i="12" s="1"/>
  <c r="ED87" i="11"/>
  <c r="EE87" i="11" s="1"/>
  <c r="EG87" i="11" s="1"/>
  <c r="EJ87" i="11" s="1"/>
  <c r="F87" i="11"/>
  <c r="AC87" i="11"/>
  <c r="EF87" i="11" l="1"/>
  <c r="EK87" i="11"/>
  <c r="EL87" i="11" s="1"/>
  <c r="O87" i="11"/>
  <c r="AE87" i="11"/>
  <c r="E54" i="12"/>
  <c r="AF87" i="11"/>
  <c r="AG87" i="11" l="1"/>
  <c r="F54" i="12"/>
  <c r="G54" i="12" s="1"/>
  <c r="AK87" i="11" l="1"/>
  <c r="K87" i="11" s="1"/>
  <c r="AD87" i="11"/>
  <c r="G87" i="11"/>
  <c r="AJ87" i="11"/>
  <c r="J87" i="11" s="1"/>
  <c r="Q87" i="11" s="1"/>
  <c r="AL87" i="11" l="1"/>
  <c r="H87" i="11" s="1"/>
  <c r="K54" i="12" s="1"/>
  <c r="H54" i="12"/>
  <c r="P87" i="11"/>
  <c r="R87" i="11"/>
  <c r="I87" i="11" l="1"/>
  <c r="P54" i="12" s="1"/>
  <c r="S54" i="12" s="1"/>
  <c r="T54" i="12" s="1"/>
  <c r="J54" i="12"/>
  <c r="L54" i="12"/>
  <c r="O54" i="12" s="1"/>
  <c r="I54" i="12"/>
  <c r="S87" i="11" l="1"/>
  <c r="Q54" i="12" s="1"/>
  <c r="U87" i="11"/>
  <c r="V87" i="11" s="1"/>
  <c r="T87" i="11" l="1"/>
  <c r="R54" i="12" s="1"/>
  <c r="U54" i="12" s="1"/>
  <c r="X54" i="12" s="1"/>
  <c r="Z88" i="11"/>
  <c r="EB88" i="11" s="1"/>
  <c r="ED88" i="11" l="1"/>
  <c r="EE88" i="11" s="1"/>
  <c r="EG88" i="11" s="1"/>
  <c r="EJ88" i="11" s="1"/>
  <c r="F88" i="11"/>
  <c r="AC88" i="11"/>
  <c r="EK88" i="11" l="1"/>
  <c r="EL88" i="11" s="1"/>
  <c r="EF88" i="11"/>
  <c r="AF88" i="11"/>
  <c r="E55" i="12"/>
  <c r="O88" i="11"/>
  <c r="F55" i="12" s="1"/>
  <c r="AE88" i="11"/>
  <c r="AG88" i="11" l="1"/>
  <c r="G88" i="11" s="1"/>
  <c r="G55" i="12"/>
  <c r="AD88" i="11" l="1"/>
  <c r="AK88" i="11"/>
  <c r="K88" i="11" s="1"/>
  <c r="R88" i="11" s="1"/>
  <c r="AJ88" i="11"/>
  <c r="J88" i="11" s="1"/>
  <c r="Q88" i="11" s="1"/>
  <c r="H55" i="12"/>
  <c r="P88" i="11"/>
  <c r="AL88" i="11" l="1"/>
  <c r="H88" i="11" s="1"/>
  <c r="K55" i="12" s="1"/>
  <c r="L55" i="12"/>
  <c r="O55" i="12" s="1"/>
  <c r="J55" i="12"/>
  <c r="I55" i="12"/>
  <c r="I88" i="11" l="1"/>
  <c r="U88" i="11" l="1"/>
  <c r="V88" i="11" s="1"/>
  <c r="P55" i="12"/>
  <c r="S55" i="12" s="1"/>
  <c r="T55" i="12" s="1"/>
  <c r="S88" i="11"/>
  <c r="T88" i="11" l="1"/>
  <c r="Z89" i="11" s="1"/>
  <c r="EB89" i="11" s="1"/>
  <c r="ED89" i="11" s="1"/>
  <c r="EE89" i="11" s="1"/>
  <c r="EG89" i="11" s="1"/>
  <c r="EK89" i="11" s="1"/>
  <c r="Q55" i="12"/>
  <c r="AC89" i="11" l="1"/>
  <c r="F89" i="11"/>
  <c r="R55" i="12"/>
  <c r="U55" i="12" s="1"/>
  <c r="X55" i="12" s="1"/>
  <c r="EF89" i="11"/>
  <c r="EJ89" i="11"/>
  <c r="EL89" i="11" s="1"/>
  <c r="AE89" i="11"/>
  <c r="E56" i="12"/>
  <c r="O89" i="11"/>
  <c r="F56" i="12" s="1"/>
  <c r="G56" i="12" s="1"/>
  <c r="AF89" i="11"/>
  <c r="AG89" i="11" l="1"/>
  <c r="AD89" i="11" l="1"/>
  <c r="AJ89" i="11"/>
  <c r="J89" i="11" s="1"/>
  <c r="AK89" i="11"/>
  <c r="K89" i="11" s="1"/>
  <c r="G89" i="11"/>
  <c r="R89" i="11" l="1"/>
  <c r="Q89" i="11"/>
  <c r="AL89" i="11"/>
  <c r="H89" i="11" s="1"/>
  <c r="K56" i="12" s="1"/>
  <c r="H56" i="12"/>
  <c r="P89" i="11"/>
  <c r="I89" i="11" l="1"/>
  <c r="P56" i="12" s="1"/>
  <c r="S56" i="12" s="1"/>
  <c r="T56" i="12" s="1"/>
  <c r="L56" i="12"/>
  <c r="O56" i="12" s="1"/>
  <c r="J56" i="12"/>
  <c r="Z12" i="12"/>
  <c r="I56" i="12"/>
  <c r="U89" i="11" l="1"/>
  <c r="S89" i="11"/>
  <c r="AA12" i="12"/>
  <c r="AC12" i="12" s="1"/>
  <c r="AE12" i="12" s="1"/>
  <c r="AG12" i="12" s="1"/>
  <c r="AI12" i="12" s="1"/>
  <c r="AK12" i="12" s="1"/>
  <c r="AM12" i="12" s="1"/>
  <c r="AB12" i="12"/>
  <c r="AD12" i="12" s="1"/>
  <c r="AF12" i="12" s="1"/>
  <c r="AH12" i="12" s="1"/>
  <c r="AJ12" i="12" s="1"/>
  <c r="AL12" i="12" s="1"/>
  <c r="V89" i="11"/>
  <c r="Q56" i="12"/>
  <c r="T89" i="11"/>
  <c r="O19" i="1" l="1"/>
  <c r="P19" i="1"/>
  <c r="G68" i="17" s="1"/>
  <c r="Z90" i="11"/>
  <c r="EB90" i="11" s="1"/>
  <c r="R56" i="12"/>
  <c r="U56" i="12" s="1"/>
  <c r="X56" i="12" s="1"/>
  <c r="F68" i="17" l="1"/>
  <c r="E68" i="17"/>
  <c r="ED90" i="11"/>
  <c r="EE90" i="11" s="1"/>
  <c r="EG90" i="11" s="1"/>
  <c r="EJ90" i="11" s="1"/>
  <c r="F90" i="11"/>
  <c r="AC90" i="11"/>
  <c r="EF90" i="11" l="1"/>
  <c r="EK90" i="11"/>
  <c r="EL90" i="11" s="1"/>
  <c r="AE90" i="11"/>
  <c r="O90" i="11"/>
  <c r="AF90" i="11"/>
  <c r="E57" i="12"/>
  <c r="F57" i="12" l="1"/>
  <c r="G57" i="12" s="1"/>
  <c r="AG90" i="11"/>
  <c r="AK90" i="11" l="1"/>
  <c r="K90" i="11" s="1"/>
  <c r="G90" i="11"/>
  <c r="AD90" i="11"/>
  <c r="AJ90" i="11"/>
  <c r="J90" i="11" s="1"/>
  <c r="Q90" i="11" s="1"/>
  <c r="R90" i="11" l="1"/>
  <c r="AL90" i="11"/>
  <c r="H90" i="11" s="1"/>
  <c r="H57" i="12"/>
  <c r="P90" i="11"/>
  <c r="J57" i="12" l="1"/>
  <c r="L57" i="12"/>
  <c r="O57" i="12" s="1"/>
  <c r="I57" i="12"/>
  <c r="I90" i="11"/>
  <c r="K57" i="12"/>
  <c r="P57" i="12" l="1"/>
  <c r="S57" i="12" s="1"/>
  <c r="T57" i="12" s="1"/>
  <c r="S90" i="11"/>
  <c r="U90" i="11"/>
  <c r="V90" i="11" l="1"/>
  <c r="T90" i="11"/>
  <c r="Q57" i="12"/>
  <c r="Z91" i="11" l="1"/>
  <c r="EB91" i="11" s="1"/>
  <c r="R57" i="12"/>
  <c r="U57" i="12" s="1"/>
  <c r="X57" i="12" s="1"/>
  <c r="ED91" i="11" l="1"/>
  <c r="EE91" i="11" s="1"/>
  <c r="EG91" i="11" s="1"/>
  <c r="EF91" i="11" s="1"/>
  <c r="F91" i="11"/>
  <c r="AC91" i="11"/>
  <c r="EJ91" i="11" l="1"/>
  <c r="EK91" i="11"/>
  <c r="AE91" i="11"/>
  <c r="E58" i="12"/>
  <c r="AF91" i="11"/>
  <c r="O91" i="11"/>
  <c r="F58" i="12" s="1"/>
  <c r="AG91" i="11" l="1"/>
  <c r="AJ91" i="11" s="1"/>
  <c r="J91" i="11" s="1"/>
  <c r="EL91" i="11"/>
  <c r="G58" i="12"/>
  <c r="AD91" i="11" l="1"/>
  <c r="G91" i="11"/>
  <c r="H58" i="12" s="1"/>
  <c r="AK91" i="11"/>
  <c r="K91" i="11" s="1"/>
  <c r="Q91" i="11" l="1"/>
  <c r="P91" i="11"/>
  <c r="R91" i="11"/>
  <c r="AL91" i="11"/>
  <c r="H91" i="11" s="1"/>
  <c r="J58" i="12"/>
  <c r="L58" i="12"/>
  <c r="O58" i="12" s="1"/>
  <c r="I58" i="12"/>
  <c r="I91" i="11" l="1"/>
  <c r="K58" i="12"/>
  <c r="P58" i="12"/>
  <c r="S58" i="12" s="1"/>
  <c r="T58" i="12" s="1"/>
  <c r="U91" i="11"/>
  <c r="S91" i="11"/>
  <c r="Q58" i="12" l="1"/>
  <c r="T91" i="11"/>
  <c r="V91" i="11"/>
  <c r="Z92" i="11" l="1"/>
  <c r="EB92" i="11" s="1"/>
  <c r="R58" i="12"/>
  <c r="U58" i="12" s="1"/>
  <c r="X58" i="12" s="1"/>
  <c r="ED92" i="11" l="1"/>
  <c r="EE92" i="11" s="1"/>
  <c r="EG92" i="11" s="1"/>
  <c r="EF92" i="11" s="1"/>
  <c r="F92" i="11"/>
  <c r="AC92" i="11"/>
  <c r="EK92" i="11" l="1"/>
  <c r="EJ92" i="11"/>
  <c r="O92" i="11"/>
  <c r="E59" i="12"/>
  <c r="AF92" i="11"/>
  <c r="AE92" i="11"/>
  <c r="EL92" i="11" l="1"/>
  <c r="F59" i="12"/>
  <c r="G59" i="12" s="1"/>
  <c r="AG92" i="11"/>
  <c r="AJ92" i="11" l="1"/>
  <c r="J92" i="11" s="1"/>
  <c r="G92" i="11"/>
  <c r="AK92" i="11"/>
  <c r="K92" i="11" s="1"/>
  <c r="AD92" i="11"/>
  <c r="Q92" i="11" l="1"/>
  <c r="R92" i="11"/>
  <c r="AL92" i="11"/>
  <c r="H92" i="11" s="1"/>
  <c r="K59" i="12" s="1"/>
  <c r="H59" i="12"/>
  <c r="P92" i="11"/>
  <c r="I92" i="11" l="1"/>
  <c r="P59" i="12" s="1"/>
  <c r="S59" i="12" s="1"/>
  <c r="T59" i="12" s="1"/>
  <c r="I59" i="12"/>
  <c r="J59" i="12"/>
  <c r="L59" i="12"/>
  <c r="O59" i="12" s="1"/>
  <c r="U92" i="11" l="1"/>
  <c r="V92" i="11" s="1"/>
  <c r="S92" i="11"/>
  <c r="Q59" i="12" s="1"/>
  <c r="T92" i="11" l="1"/>
  <c r="R59" i="12" s="1"/>
  <c r="U59" i="12" s="1"/>
  <c r="X59" i="12" s="1"/>
  <c r="Z93" i="11"/>
  <c r="EB93" i="11" s="1"/>
  <c r="ED93" i="11" l="1"/>
  <c r="EE93" i="11" s="1"/>
  <c r="EG93" i="11" s="1"/>
  <c r="EF93" i="11" s="1"/>
  <c r="F93" i="11"/>
  <c r="AC93" i="11"/>
  <c r="EK93" i="11" l="1"/>
  <c r="EJ93" i="11"/>
  <c r="O93" i="11"/>
  <c r="AE93" i="11"/>
  <c r="E60" i="12"/>
  <c r="AF93" i="11"/>
  <c r="EL93" i="11" l="1"/>
  <c r="AG93" i="11"/>
  <c r="F60" i="12"/>
  <c r="G60" i="12" s="1"/>
  <c r="G93" i="11" l="1"/>
  <c r="AK93" i="11"/>
  <c r="K93" i="11" s="1"/>
  <c r="AJ93" i="11"/>
  <c r="J93" i="11" s="1"/>
  <c r="AD93" i="11"/>
  <c r="R93" i="11" l="1"/>
  <c r="Q93" i="11"/>
  <c r="AL93" i="11"/>
  <c r="H93" i="11" s="1"/>
  <c r="K60" i="12" s="1"/>
  <c r="P93" i="11"/>
  <c r="H60" i="12"/>
  <c r="I93" i="11" l="1"/>
  <c r="U93" i="11" s="1"/>
  <c r="J60" i="12"/>
  <c r="L60" i="12"/>
  <c r="O60" i="12" s="1"/>
  <c r="I60" i="12"/>
  <c r="P60" i="12" l="1"/>
  <c r="S60" i="12" s="1"/>
  <c r="T60" i="12" s="1"/>
  <c r="S93" i="11"/>
  <c r="T93" i="11" s="1"/>
  <c r="V93" i="11"/>
  <c r="Z94" i="11" l="1"/>
  <c r="EB94" i="11" s="1"/>
  <c r="Q60" i="12"/>
  <c r="R60" i="12"/>
  <c r="U60" i="12" l="1"/>
  <c r="X60" i="12" s="1"/>
  <c r="ED94" i="11"/>
  <c r="EE94" i="11" s="1"/>
  <c r="EG94" i="11" s="1"/>
  <c r="EF94" i="11" s="1"/>
  <c r="F94" i="11"/>
  <c r="AC94" i="11"/>
  <c r="EK94" i="11" l="1"/>
  <c r="EJ94" i="11"/>
  <c r="O94" i="11"/>
  <c r="AF94" i="11"/>
  <c r="E61" i="12"/>
  <c r="AE94" i="11"/>
  <c r="EL94" i="11" l="1"/>
  <c r="AG94" i="11"/>
  <c r="AK94" i="11" s="1"/>
  <c r="K94" i="11" s="1"/>
  <c r="F61" i="12"/>
  <c r="G61" i="12" s="1"/>
  <c r="AD94" i="11" l="1"/>
  <c r="AJ94" i="11"/>
  <c r="J94" i="11" s="1"/>
  <c r="G94" i="11"/>
  <c r="R94" i="11" s="1"/>
  <c r="P94" i="11" l="1"/>
  <c r="Q94" i="11"/>
  <c r="AL94" i="11"/>
  <c r="H94" i="11" s="1"/>
  <c r="K61" i="12" s="1"/>
  <c r="H61" i="12"/>
  <c r="I61" i="12" s="1"/>
  <c r="J61" i="12" l="1"/>
  <c r="L61" i="12"/>
  <c r="O61" i="12" s="1"/>
  <c r="I94" i="11"/>
  <c r="P61" i="12" l="1"/>
  <c r="S61" i="12" s="1"/>
  <c r="T61" i="12" s="1"/>
  <c r="U94" i="11"/>
  <c r="V94" i="11" s="1"/>
  <c r="S94" i="11"/>
  <c r="T94" i="11" l="1"/>
  <c r="Q61" i="12"/>
  <c r="Z95" i="11" l="1"/>
  <c r="EB95" i="11" s="1"/>
  <c r="R61" i="12"/>
  <c r="U61" i="12" s="1"/>
  <c r="X61" i="12" s="1"/>
  <c r="AC95" i="11" l="1"/>
  <c r="ED95" i="11"/>
  <c r="EE95" i="11" s="1"/>
  <c r="EG95" i="11" s="1"/>
  <c r="F95" i="11"/>
  <c r="EF95" i="11" l="1"/>
  <c r="EJ95" i="11"/>
  <c r="EK95" i="11"/>
  <c r="AE95" i="11"/>
  <c r="E62" i="12"/>
  <c r="O95" i="11"/>
  <c r="F62" i="12" s="1"/>
  <c r="G62" i="12" s="1"/>
  <c r="AF95" i="11"/>
  <c r="AG95" i="11" l="1"/>
  <c r="G95" i="11" s="1"/>
  <c r="EL95" i="11"/>
  <c r="AD95" i="11" l="1"/>
  <c r="AK95" i="11"/>
  <c r="K95" i="11" s="1"/>
  <c r="R95" i="11" s="1"/>
  <c r="AJ95" i="11"/>
  <c r="J95" i="11" s="1"/>
  <c r="Q95" i="11" s="1"/>
  <c r="H62" i="12"/>
  <c r="P95" i="11"/>
  <c r="AL95" i="11" l="1"/>
  <c r="H95" i="11" s="1"/>
  <c r="I95" i="11" s="1"/>
  <c r="I62" i="12"/>
  <c r="J62" i="12"/>
  <c r="L62" i="12"/>
  <c r="O62" i="12" s="1"/>
  <c r="K62" i="12" l="1"/>
  <c r="P62" i="12"/>
  <c r="S95" i="11"/>
  <c r="U95" i="11"/>
  <c r="V95" i="11" s="1"/>
  <c r="S62" i="12" l="1"/>
  <c r="T62" i="12" s="1"/>
  <c r="T95" i="11"/>
  <c r="Q62" i="12"/>
  <c r="Z96" i="11" l="1"/>
  <c r="EB96" i="11" s="1"/>
  <c r="R62" i="12"/>
  <c r="U62" i="12" s="1"/>
  <c r="X62" i="12" s="1"/>
  <c r="AC96" i="11" l="1"/>
  <c r="ED96" i="11"/>
  <c r="EE96" i="11" s="1"/>
  <c r="EG96" i="11" s="1"/>
  <c r="F96" i="11"/>
  <c r="EF96" i="11" l="1"/>
  <c r="EK96" i="11"/>
  <c r="EJ96" i="11"/>
  <c r="O96" i="11"/>
  <c r="AE96" i="11"/>
  <c r="AF96" i="11"/>
  <c r="E63" i="12"/>
  <c r="EL96" i="11" l="1"/>
  <c r="AG96" i="11"/>
  <c r="AD96" i="11" s="1"/>
  <c r="F63" i="12"/>
  <c r="G63" i="12" s="1"/>
  <c r="G96" i="11" l="1"/>
  <c r="P96" i="11" s="1"/>
  <c r="AJ96" i="11"/>
  <c r="J96" i="11" s="1"/>
  <c r="AK96" i="11"/>
  <c r="K96" i="11" s="1"/>
  <c r="H63" i="12" l="1"/>
  <c r="L63" i="12" s="1"/>
  <c r="O63" i="12" s="1"/>
  <c r="R96" i="11"/>
  <c r="Q96" i="11"/>
  <c r="AL96" i="11"/>
  <c r="H96" i="11" s="1"/>
  <c r="K63" i="12" s="1"/>
  <c r="I63" i="12" l="1"/>
  <c r="J63" i="12"/>
  <c r="I96" i="11"/>
  <c r="U96" i="11" l="1"/>
  <c r="V96" i="11" s="1"/>
  <c r="S96" i="11"/>
  <c r="P63" i="12"/>
  <c r="S63" i="12" s="1"/>
  <c r="T63" i="12" s="1"/>
  <c r="Q63" i="12" l="1"/>
  <c r="T96" i="11"/>
  <c r="Z97" i="11" s="1"/>
  <c r="EB97" i="11" s="1"/>
  <c r="R63" i="12" l="1"/>
  <c r="U63" i="12" s="1"/>
  <c r="X63" i="12" s="1"/>
  <c r="ED97" i="11" l="1"/>
  <c r="EE97" i="11" s="1"/>
  <c r="EG97" i="11" s="1"/>
  <c r="F97" i="11"/>
  <c r="AC97" i="11"/>
  <c r="AF97" i="11" l="1"/>
  <c r="AE97" i="11"/>
  <c r="O97" i="11"/>
  <c r="E64" i="12"/>
  <c r="EF97" i="11"/>
  <c r="EK97" i="11"/>
  <c r="EJ97" i="11"/>
  <c r="AG97" i="11" l="1"/>
  <c r="AK97" i="11" s="1"/>
  <c r="K97" i="11" s="1"/>
  <c r="EL97" i="11"/>
  <c r="F64" i="12"/>
  <c r="G64" i="12" s="1"/>
  <c r="G97" i="11"/>
  <c r="AD97" i="11" l="1"/>
  <c r="AJ97" i="11"/>
  <c r="J97" i="11" s="1"/>
  <c r="Q97" i="11" s="1"/>
  <c r="P97" i="11"/>
  <c r="H64" i="12"/>
  <c r="R97" i="11"/>
  <c r="AL97" i="11" l="1"/>
  <c r="H97" i="11" s="1"/>
  <c r="K64" i="12" s="1"/>
  <c r="L64" i="12"/>
  <c r="O64" i="12" s="1"/>
  <c r="J64" i="12"/>
  <c r="I64" i="12"/>
  <c r="I97" i="11" l="1"/>
  <c r="U97" i="11" s="1"/>
  <c r="V97" i="11" s="1"/>
  <c r="P64" i="12"/>
  <c r="S64" i="12" s="1"/>
  <c r="T64" i="12" s="1"/>
  <c r="S97" i="11"/>
  <c r="T97" i="11" s="1"/>
  <c r="Z98" i="11" s="1"/>
  <c r="EB98" i="11" s="1"/>
  <c r="Q64" i="12" l="1"/>
  <c r="R64" i="12"/>
  <c r="U64" i="12" l="1"/>
  <c r="X64" i="12" s="1"/>
  <c r="ED98" i="11"/>
  <c r="EE98" i="11" s="1"/>
  <c r="EG98" i="11" s="1"/>
  <c r="AC98" i="11"/>
  <c r="F98" i="11"/>
  <c r="E65" i="12" l="1"/>
  <c r="O98" i="11"/>
  <c r="AF98" i="11"/>
  <c r="AE98" i="11"/>
  <c r="EF98" i="11"/>
  <c r="EK98" i="11"/>
  <c r="EJ98" i="11"/>
  <c r="F65" i="12" l="1"/>
  <c r="G65" i="12" s="1"/>
  <c r="AG98" i="11"/>
  <c r="AD98" i="11" s="1"/>
  <c r="EL98" i="11"/>
  <c r="G98" i="11" l="1"/>
  <c r="H65" i="12" s="1"/>
  <c r="AK98" i="11"/>
  <c r="K98" i="11" s="1"/>
  <c r="AJ98" i="11"/>
  <c r="J98" i="11" s="1"/>
  <c r="Q98" i="11" s="1"/>
  <c r="R98" i="11" l="1"/>
  <c r="P98" i="11"/>
  <c r="AL98" i="11"/>
  <c r="H98" i="11" s="1"/>
  <c r="K65" i="12" s="1"/>
  <c r="J65" i="12"/>
  <c r="I65" i="12"/>
  <c r="L65" i="12"/>
  <c r="O65" i="12" s="1"/>
  <c r="I98" i="11" l="1"/>
  <c r="P65" i="12" l="1"/>
  <c r="S65" i="12" s="1"/>
  <c r="T65" i="12" s="1"/>
  <c r="U98" i="11"/>
  <c r="V98" i="11" s="1"/>
  <c r="S98" i="11"/>
  <c r="T98" i="11" l="1"/>
  <c r="Q65" i="12"/>
  <c r="Z99" i="11" l="1"/>
  <c r="R65" i="12"/>
  <c r="U65" i="12" s="1"/>
  <c r="X65" i="12" s="1"/>
  <c r="EB99" i="11" l="1"/>
  <c r="ED99" i="11" s="1"/>
  <c r="EE99" i="11" s="1"/>
  <c r="EG99" i="11" s="1"/>
  <c r="F99" i="11"/>
  <c r="AC99" i="11"/>
  <c r="AE99" i="11" l="1"/>
  <c r="AF99" i="11"/>
  <c r="O99" i="11"/>
  <c r="E66" i="12"/>
  <c r="EF99" i="11"/>
  <c r="EK99" i="11"/>
  <c r="EJ99" i="11"/>
  <c r="F66" i="12" l="1"/>
  <c r="G66" i="12" s="1"/>
  <c r="EL99" i="11"/>
  <c r="AG99" i="11"/>
  <c r="AD99" i="11" l="1"/>
  <c r="G99" i="11"/>
  <c r="AJ99" i="11"/>
  <c r="J99" i="11" s="1"/>
  <c r="Q99" i="11" s="1"/>
  <c r="AK99" i="11"/>
  <c r="K99" i="11" s="1"/>
  <c r="R99" i="11" s="1"/>
  <c r="AL99" i="11" l="1"/>
  <c r="H99" i="11" s="1"/>
  <c r="H66" i="12"/>
  <c r="P99" i="11"/>
  <c r="L66" i="12" l="1"/>
  <c r="O66" i="12" s="1"/>
  <c r="J66" i="12"/>
  <c r="I66" i="12"/>
  <c r="K66" i="12"/>
  <c r="I99" i="11"/>
  <c r="P66" i="12" l="1"/>
  <c r="S66" i="12" s="1"/>
  <c r="T66" i="12" s="1"/>
  <c r="S99" i="11"/>
  <c r="U99" i="11"/>
  <c r="V99" i="11" s="1"/>
  <c r="T99" i="11" l="1"/>
  <c r="Q66" i="12"/>
  <c r="Z100" i="11" l="1"/>
  <c r="R66" i="12"/>
  <c r="U66" i="12" s="1"/>
  <c r="X66" i="12" s="1"/>
  <c r="EB100" i="11" l="1"/>
  <c r="F100" i="11"/>
  <c r="AC100" i="11"/>
  <c r="AE100" i="11" l="1"/>
  <c r="AF100" i="11"/>
  <c r="AG100" i="11" s="1"/>
  <c r="E67" i="12"/>
  <c r="ED100" i="11"/>
  <c r="EE100" i="11" s="1"/>
  <c r="EG100" i="11" s="1"/>
  <c r="EF100" i="11" s="1"/>
  <c r="EK100" i="11" l="1"/>
  <c r="EJ100" i="11"/>
  <c r="O100" i="11"/>
  <c r="F67" i="12" s="1"/>
  <c r="AK100" i="11"/>
  <c r="K100" i="11" s="1"/>
  <c r="G100" i="11"/>
  <c r="AD100" i="11"/>
  <c r="AJ100" i="11"/>
  <c r="J100" i="11" s="1"/>
  <c r="Q100" i="11" s="1"/>
  <c r="EL100" i="11" l="1"/>
  <c r="R100" i="11"/>
  <c r="G67" i="12"/>
  <c r="H67" i="12"/>
  <c r="I67" i="12" s="1"/>
  <c r="P100" i="11"/>
  <c r="AL100" i="11"/>
  <c r="H100" i="11" s="1"/>
  <c r="K67" i="12" l="1"/>
  <c r="I100" i="11"/>
  <c r="J67" i="12"/>
  <c r="L67" i="12"/>
  <c r="O67" i="12" s="1"/>
  <c r="P67" i="12" l="1"/>
  <c r="S67" i="12" s="1"/>
  <c r="T67" i="12" s="1"/>
  <c r="S100" i="11"/>
  <c r="U100" i="11"/>
  <c r="V100" i="11" s="1"/>
  <c r="Q67" i="12" l="1"/>
  <c r="T100" i="11"/>
  <c r="Z101" i="11" l="1"/>
  <c r="R67" i="12"/>
  <c r="U67" i="12" s="1"/>
  <c r="X67" i="12" s="1"/>
  <c r="EB101" i="11" l="1"/>
  <c r="F101" i="11"/>
  <c r="AC101" i="11"/>
  <c r="E68" i="12" l="1"/>
  <c r="AE101" i="11"/>
  <c r="AF101" i="11"/>
  <c r="ED101" i="11"/>
  <c r="EE101" i="11" s="1"/>
  <c r="EG101" i="11" s="1"/>
  <c r="EF101" i="11" s="1"/>
  <c r="AG101" i="11" l="1"/>
  <c r="AK101" i="11" s="1"/>
  <c r="EJ101" i="11"/>
  <c r="EK101" i="11"/>
  <c r="O101" i="11"/>
  <c r="F68" i="12" s="1"/>
  <c r="G68" i="12" s="1"/>
  <c r="K101" i="11" l="1"/>
  <c r="G101" i="11"/>
  <c r="AD101" i="11"/>
  <c r="AJ101" i="11"/>
  <c r="J101" i="11" s="1"/>
  <c r="Q101" i="11" s="1"/>
  <c r="EL101" i="11"/>
  <c r="P101" i="11"/>
  <c r="H68" i="12"/>
  <c r="R101" i="11" l="1"/>
  <c r="AL101" i="11"/>
  <c r="H101" i="11" s="1"/>
  <c r="K68" i="12" s="1"/>
  <c r="J68" i="12"/>
  <c r="L68" i="12"/>
  <c r="O68" i="12" s="1"/>
  <c r="I68" i="12"/>
  <c r="I101" i="11" l="1"/>
  <c r="P68" i="12" s="1"/>
  <c r="S68" i="12" s="1"/>
  <c r="T68" i="12" s="1"/>
  <c r="S101" i="11" l="1"/>
  <c r="T101" i="11" s="1"/>
  <c r="U101" i="11"/>
  <c r="V101" i="11" s="1"/>
  <c r="Q68" i="12" l="1"/>
  <c r="O20" i="1"/>
  <c r="P20" i="1"/>
  <c r="G69" i="17" s="1"/>
  <c r="R68" i="12"/>
  <c r="U68" i="12" s="1"/>
  <c r="X68" i="12" s="1"/>
  <c r="Z102" i="11"/>
  <c r="F69" i="17" l="1"/>
  <c r="E69" i="17"/>
  <c r="EB102" i="11"/>
  <c r="F102" i="11"/>
  <c r="AC102" i="11"/>
  <c r="AE102" i="11" l="1"/>
  <c r="AF102" i="11"/>
  <c r="E69" i="12"/>
  <c r="ED102" i="11"/>
  <c r="EE102" i="11" s="1"/>
  <c r="EG102" i="11" s="1"/>
  <c r="EK102" i="11" l="1"/>
  <c r="EJ102" i="11"/>
  <c r="EF102" i="11"/>
  <c r="O102" i="11"/>
  <c r="F69" i="12" s="1"/>
  <c r="G69" i="12" s="1"/>
  <c r="AG102" i="11"/>
  <c r="EL102" i="11" l="1"/>
  <c r="AD102" i="11"/>
  <c r="AJ102" i="11"/>
  <c r="J102" i="11" s="1"/>
  <c r="AK102" i="11"/>
  <c r="K102" i="11" s="1"/>
  <c r="G102" i="11"/>
  <c r="R102" i="11" l="1"/>
  <c r="Q102" i="11"/>
  <c r="AL102" i="11"/>
  <c r="H102" i="11" s="1"/>
  <c r="P102" i="11"/>
  <c r="H69" i="12"/>
  <c r="L69" i="12" l="1"/>
  <c r="O69" i="12" s="1"/>
  <c r="J69" i="12"/>
  <c r="I69" i="12"/>
  <c r="K69" i="12"/>
  <c r="I102" i="11"/>
  <c r="P69" i="12" l="1"/>
  <c r="S69" i="12" s="1"/>
  <c r="T69" i="12" s="1"/>
  <c r="U102" i="11"/>
  <c r="V102" i="11" s="1"/>
  <c r="S102" i="11"/>
  <c r="T102" i="11" l="1"/>
  <c r="Q69" i="12"/>
  <c r="Z103" i="11" l="1"/>
  <c r="R69" i="12"/>
  <c r="U69" i="12" s="1"/>
  <c r="X69" i="12" s="1"/>
  <c r="EB103" i="11" l="1"/>
  <c r="AC103" i="11"/>
  <c r="F103" i="11"/>
  <c r="E70" i="12" l="1"/>
  <c r="AE103" i="11"/>
  <c r="AF103" i="11"/>
  <c r="ED103" i="11"/>
  <c r="EE103" i="11" s="1"/>
  <c r="EG103" i="11" s="1"/>
  <c r="EF103" i="11" s="1"/>
  <c r="EJ103" i="11" l="1"/>
  <c r="EK103" i="11"/>
  <c r="AG103" i="11"/>
  <c r="O103" i="11"/>
  <c r="F70" i="12" s="1"/>
  <c r="G70" i="12" s="1"/>
  <c r="AD103" i="11" l="1"/>
  <c r="AJ103" i="11"/>
  <c r="J103" i="11" s="1"/>
  <c r="G103" i="11"/>
  <c r="AK103" i="11"/>
  <c r="K103" i="11" s="1"/>
  <c r="R103" i="11" s="1"/>
  <c r="EL103" i="11"/>
  <c r="Q103" i="11" l="1"/>
  <c r="AL103" i="11"/>
  <c r="H103" i="11" s="1"/>
  <c r="P103" i="11"/>
  <c r="H70" i="12"/>
  <c r="J70" i="12" l="1"/>
  <c r="L70" i="12"/>
  <c r="O70" i="12" s="1"/>
  <c r="I70" i="12"/>
  <c r="I103" i="11"/>
  <c r="K70" i="12"/>
  <c r="P70" i="12" l="1"/>
  <c r="S70" i="12" s="1"/>
  <c r="T70" i="12" s="1"/>
  <c r="U103" i="11"/>
  <c r="V103" i="11" s="1"/>
  <c r="S103" i="11"/>
  <c r="Q70" i="12" l="1"/>
  <c r="T103" i="11"/>
  <c r="R70" i="12" l="1"/>
  <c r="U70" i="12" s="1"/>
  <c r="X70" i="12" s="1"/>
  <c r="Z104" i="11"/>
  <c r="EB104" i="11" l="1"/>
  <c r="AC104" i="11"/>
  <c r="F104" i="11"/>
  <c r="AE104" i="11" l="1"/>
  <c r="E71" i="12"/>
  <c r="AF104" i="11"/>
  <c r="ED104" i="11"/>
  <c r="EE104" i="11" s="1"/>
  <c r="EG104" i="11" s="1"/>
  <c r="EJ104" i="11" l="1"/>
  <c r="EK104" i="11"/>
  <c r="O104" i="11"/>
  <c r="F71" i="12" s="1"/>
  <c r="EF104" i="11"/>
  <c r="AG104" i="11"/>
  <c r="EL104" i="11" l="1"/>
  <c r="AD104" i="11"/>
  <c r="AJ104" i="11"/>
  <c r="J104" i="11" s="1"/>
  <c r="AK104" i="11"/>
  <c r="K104" i="11" s="1"/>
  <c r="G104" i="11"/>
  <c r="G71" i="12"/>
  <c r="Q104" i="11" l="1"/>
  <c r="R104" i="11"/>
  <c r="AL104" i="11"/>
  <c r="H104" i="11" s="1"/>
  <c r="H71" i="12"/>
  <c r="P104" i="11"/>
  <c r="J71" i="12" l="1"/>
  <c r="L71" i="12"/>
  <c r="O71" i="12" s="1"/>
  <c r="I71" i="12"/>
  <c r="K71" i="12"/>
  <c r="I104" i="11"/>
  <c r="U104" i="11" l="1"/>
  <c r="V104" i="11" s="1"/>
  <c r="P71" i="12"/>
  <c r="S71" i="12" s="1"/>
  <c r="T71" i="12" s="1"/>
  <c r="S104" i="11"/>
  <c r="T104" i="11" l="1"/>
  <c r="Q71" i="12"/>
  <c r="Z105" i="11" l="1"/>
  <c r="R71" i="12"/>
  <c r="U71" i="12" s="1"/>
  <c r="X71" i="12" s="1"/>
  <c r="EB105" i="11" l="1"/>
  <c r="AC105" i="11"/>
  <c r="F105" i="11"/>
  <c r="E72" i="12" l="1"/>
  <c r="AF105" i="11"/>
  <c r="AE105" i="11"/>
  <c r="ED105" i="11"/>
  <c r="EE105" i="11" s="1"/>
  <c r="EG105" i="11" s="1"/>
  <c r="EK105" i="11" l="1"/>
  <c r="EJ105" i="11"/>
  <c r="O105" i="11"/>
  <c r="F72" i="12" s="1"/>
  <c r="G72" i="12" s="1"/>
  <c r="AG105" i="11"/>
  <c r="EF105" i="11"/>
  <c r="EL105" i="11" l="1"/>
  <c r="G105" i="11"/>
  <c r="AK105" i="11"/>
  <c r="K105" i="11" s="1"/>
  <c r="R105" i="11" s="1"/>
  <c r="AD105" i="11"/>
  <c r="AJ105" i="11"/>
  <c r="J105" i="11" s="1"/>
  <c r="Q105" i="11" s="1"/>
  <c r="AL105" i="11" l="1"/>
  <c r="H105" i="11" s="1"/>
  <c r="H72" i="12"/>
  <c r="P105" i="11"/>
  <c r="J72" i="12" l="1"/>
  <c r="L72" i="12"/>
  <c r="O72" i="12" s="1"/>
  <c r="I72" i="12"/>
  <c r="K72" i="12"/>
  <c r="I105" i="11"/>
  <c r="S105" i="11" l="1"/>
  <c r="P72" i="12"/>
  <c r="S72" i="12" s="1"/>
  <c r="T72" i="12" s="1"/>
  <c r="U105" i="11"/>
  <c r="V105" i="11" s="1"/>
  <c r="T105" i="11" l="1"/>
  <c r="Q72" i="12"/>
  <c r="Z106" i="11" l="1"/>
  <c r="R72" i="12"/>
  <c r="U72" i="12" s="1"/>
  <c r="X72" i="12" s="1"/>
  <c r="EB106" i="11" l="1"/>
  <c r="AC106" i="11"/>
  <c r="F106" i="11"/>
  <c r="E73" i="12" l="1"/>
  <c r="AE106" i="11"/>
  <c r="AF106" i="11"/>
  <c r="ED106" i="11"/>
  <c r="EE106" i="11" s="1"/>
  <c r="EG106" i="11" s="1"/>
  <c r="EJ106" i="11" l="1"/>
  <c r="EK106" i="11"/>
  <c r="EF106" i="11"/>
  <c r="O106" i="11"/>
  <c r="F73" i="12" s="1"/>
  <c r="G73" i="12" s="1"/>
  <c r="AG106" i="11"/>
  <c r="EL106" i="11" l="1"/>
  <c r="AD106" i="11"/>
  <c r="AK106" i="11"/>
  <c r="K106" i="11" s="1"/>
  <c r="G106" i="11"/>
  <c r="AJ106" i="11"/>
  <c r="J106" i="11" s="1"/>
  <c r="Q106" i="11" s="1"/>
  <c r="R106" i="11" l="1"/>
  <c r="P106" i="11"/>
  <c r="H73" i="12"/>
  <c r="AL106" i="11"/>
  <c r="H106" i="11" s="1"/>
  <c r="K73" i="12" l="1"/>
  <c r="I106" i="11"/>
  <c r="J73" i="12"/>
  <c r="L73" i="12"/>
  <c r="O73" i="12" s="1"/>
  <c r="I73" i="12"/>
  <c r="P73" i="12" l="1"/>
  <c r="S73" i="12" s="1"/>
  <c r="T73" i="12" s="1"/>
  <c r="S106" i="11"/>
  <c r="U106" i="11"/>
  <c r="V106" i="11" s="1"/>
  <c r="Q73" i="12" l="1"/>
  <c r="T106" i="11"/>
  <c r="R73" i="12" l="1"/>
  <c r="U73" i="12" s="1"/>
  <c r="X73" i="12" s="1"/>
  <c r="Z107" i="11"/>
  <c r="EB107" i="11" l="1"/>
  <c r="AC107" i="11"/>
  <c r="F107" i="11"/>
  <c r="AE107" i="11" l="1"/>
  <c r="AF107" i="11"/>
  <c r="E74" i="12"/>
  <c r="ED107" i="11"/>
  <c r="EE107" i="11" s="1"/>
  <c r="EG107" i="11" s="1"/>
  <c r="EJ107" i="11" l="1"/>
  <c r="EK107" i="11"/>
  <c r="O107" i="11"/>
  <c r="F74" i="12" s="1"/>
  <c r="G74" i="12" s="1"/>
  <c r="EF107" i="11"/>
  <c r="AG107" i="11"/>
  <c r="EL107" i="11" l="1"/>
  <c r="AK107" i="11"/>
  <c r="K107" i="11" s="1"/>
  <c r="AD107" i="11"/>
  <c r="G107" i="11"/>
  <c r="AJ107" i="11"/>
  <c r="J107" i="11" s="1"/>
  <c r="Q107" i="11" s="1"/>
  <c r="R107" i="11" l="1"/>
  <c r="H74" i="12"/>
  <c r="P107" i="11"/>
  <c r="AL107" i="11"/>
  <c r="H107" i="11" s="1"/>
  <c r="K74" i="12" l="1"/>
  <c r="I107" i="11"/>
  <c r="J74" i="12"/>
  <c r="L74" i="12"/>
  <c r="O74" i="12" s="1"/>
  <c r="I74" i="12"/>
  <c r="P74" i="12" l="1"/>
  <c r="S74" i="12" s="1"/>
  <c r="T74" i="12" s="1"/>
  <c r="S107" i="11"/>
  <c r="U107" i="11"/>
  <c r="V107" i="11" s="1"/>
  <c r="T107" i="11" l="1"/>
  <c r="Q74" i="12"/>
  <c r="Z108" i="11" l="1"/>
  <c r="R74" i="12"/>
  <c r="U74" i="12" s="1"/>
  <c r="X74" i="12" s="1"/>
  <c r="EB108" i="11" l="1"/>
  <c r="F108" i="11"/>
  <c r="AC108" i="11"/>
  <c r="E75" i="12" l="1"/>
  <c r="AF108" i="11"/>
  <c r="AE108" i="11"/>
  <c r="ED108" i="11"/>
  <c r="EE108" i="11" s="1"/>
  <c r="EG108" i="11" s="1"/>
  <c r="EF108" i="11" s="1"/>
  <c r="AG108" i="11" l="1"/>
  <c r="AD108" i="11" s="1"/>
  <c r="EK108" i="11"/>
  <c r="EJ108" i="11"/>
  <c r="O108" i="11"/>
  <c r="F75" i="12" s="1"/>
  <c r="G75" i="12" s="1"/>
  <c r="AK108" i="11" l="1"/>
  <c r="G108" i="11"/>
  <c r="AJ108" i="11"/>
  <c r="J108" i="11" s="1"/>
  <c r="Q108" i="11" s="1"/>
  <c r="EL108" i="11"/>
  <c r="P108" i="11"/>
  <c r="H75" i="12"/>
  <c r="AL108" i="11" l="1"/>
  <c r="K108" i="11"/>
  <c r="R108" i="11" s="1"/>
  <c r="H108" i="11"/>
  <c r="K75" i="12" s="1"/>
  <c r="L75" i="12"/>
  <c r="O75" i="12" s="1"/>
  <c r="J75" i="12"/>
  <c r="I75" i="12"/>
  <c r="I108" i="11" l="1"/>
  <c r="U108" i="11"/>
  <c r="V108" i="11" s="1"/>
  <c r="P75" i="12"/>
  <c r="S75" i="12" s="1"/>
  <c r="T75" i="12" s="1"/>
  <c r="S108" i="11"/>
  <c r="Q75" i="12" l="1"/>
  <c r="T108" i="11"/>
  <c r="Z109" i="11" l="1"/>
  <c r="R75" i="12"/>
  <c r="U75" i="12" s="1"/>
  <c r="X75" i="12" s="1"/>
  <c r="EB109" i="11" l="1"/>
  <c r="AC109" i="11"/>
  <c r="F109" i="11"/>
  <c r="E76" i="12" l="1"/>
  <c r="AF109" i="11"/>
  <c r="AE109" i="11"/>
  <c r="ED109" i="11"/>
  <c r="EE109" i="11" s="1"/>
  <c r="EG109" i="11" s="1"/>
  <c r="EF109" i="11" s="1"/>
  <c r="EK109" i="11" l="1"/>
  <c r="EJ109" i="11"/>
  <c r="AG109" i="11"/>
  <c r="O109" i="11"/>
  <c r="F76" i="12" s="1"/>
  <c r="G76" i="12" s="1"/>
  <c r="EL109" i="11" l="1"/>
  <c r="G109" i="11"/>
  <c r="AK109" i="11"/>
  <c r="K109" i="11" s="1"/>
  <c r="AD109" i="11"/>
  <c r="AJ109" i="11"/>
  <c r="J109" i="11" s="1"/>
  <c r="Q109" i="11" l="1"/>
  <c r="R109" i="11"/>
  <c r="AL109" i="11"/>
  <c r="H109" i="11" s="1"/>
  <c r="K76" i="12" s="1"/>
  <c r="P109" i="11"/>
  <c r="H76" i="12"/>
  <c r="I109" i="11" l="1"/>
  <c r="U109" i="11" s="1"/>
  <c r="V109" i="11" s="1"/>
  <c r="L76" i="12"/>
  <c r="O76" i="12" s="1"/>
  <c r="J76" i="12"/>
  <c r="I76" i="12"/>
  <c r="P76" i="12" l="1"/>
  <c r="S76" i="12" s="1"/>
  <c r="T76" i="12" s="1"/>
  <c r="S109" i="11"/>
  <c r="T109" i="11" s="1"/>
  <c r="Q76" i="12" l="1"/>
  <c r="Z110" i="11"/>
  <c r="R76" i="12"/>
  <c r="U76" i="12" l="1"/>
  <c r="X76" i="12" s="1"/>
  <c r="EB110" i="11"/>
  <c r="AC110" i="11"/>
  <c r="F110" i="11"/>
  <c r="E77" i="12" l="1"/>
  <c r="AF110" i="11"/>
  <c r="AE110" i="11"/>
  <c r="ED110" i="11"/>
  <c r="EE110" i="11" s="1"/>
  <c r="EG110" i="11" s="1"/>
  <c r="EF110" i="11" s="1"/>
  <c r="AG110" i="11" l="1"/>
  <c r="G110" i="11" s="1"/>
  <c r="O110" i="11"/>
  <c r="F77" i="12" s="1"/>
  <c r="G77" i="12" s="1"/>
  <c r="EK110" i="11"/>
  <c r="EJ110" i="11"/>
  <c r="AD110" i="11" l="1"/>
  <c r="AJ110" i="11"/>
  <c r="J110" i="11" s="1"/>
  <c r="Q110" i="11" s="1"/>
  <c r="AK110" i="11"/>
  <c r="EL110" i="11"/>
  <c r="H77" i="12"/>
  <c r="P110" i="11"/>
  <c r="AL110" i="11" l="1"/>
  <c r="H110" i="11" s="1"/>
  <c r="K110" i="11"/>
  <c r="R110" i="11" s="1"/>
  <c r="L77" i="12"/>
  <c r="O77" i="12" s="1"/>
  <c r="J77" i="12"/>
  <c r="I77" i="12"/>
  <c r="I110" i="11" l="1"/>
  <c r="S110" i="11" s="1"/>
  <c r="K77" i="12"/>
  <c r="P77" i="12" l="1"/>
  <c r="S77" i="12" s="1"/>
  <c r="T77" i="12" s="1"/>
  <c r="U110" i="11"/>
  <c r="V110" i="11" s="1"/>
  <c r="T110" i="11"/>
  <c r="Q77" i="12"/>
  <c r="R77" i="12" l="1"/>
  <c r="U77" i="12" s="1"/>
  <c r="X77" i="12" s="1"/>
  <c r="Z111" i="11"/>
  <c r="EB111" i="11" l="1"/>
  <c r="F111" i="11"/>
  <c r="AC111" i="11"/>
  <c r="AE111" i="11" l="1"/>
  <c r="E78" i="12"/>
  <c r="AF111" i="11"/>
  <c r="ED111" i="11"/>
  <c r="EE111" i="11" s="1"/>
  <c r="EG111" i="11" s="1"/>
  <c r="EF111" i="11" s="1"/>
  <c r="AG111" i="11" l="1"/>
  <c r="EK111" i="11"/>
  <c r="EJ111" i="11"/>
  <c r="O111" i="11"/>
  <c r="F78" i="12" s="1"/>
  <c r="G78" i="12" s="1"/>
  <c r="EL111" i="11" l="1"/>
  <c r="G111" i="11"/>
  <c r="AK111" i="11"/>
  <c r="K111" i="11" s="1"/>
  <c r="R111" i="11" s="1"/>
  <c r="AD111" i="11"/>
  <c r="AJ111" i="11"/>
  <c r="J111" i="11" s="1"/>
  <c r="Q111" i="11" s="1"/>
  <c r="AL111" i="11" l="1"/>
  <c r="H111" i="11" s="1"/>
  <c r="K78" i="12" s="1"/>
  <c r="P111" i="11"/>
  <c r="H78" i="12"/>
  <c r="L78" i="12" l="1"/>
  <c r="O78" i="12" s="1"/>
  <c r="J78" i="12"/>
  <c r="I78" i="12"/>
  <c r="I111" i="11"/>
  <c r="U111" i="11" l="1"/>
  <c r="V111" i="11" s="1"/>
  <c r="P78" i="12"/>
  <c r="S78" i="12" s="1"/>
  <c r="T78" i="12" s="1"/>
  <c r="S111" i="11"/>
  <c r="T111" i="11" l="1"/>
  <c r="Q78" i="12"/>
  <c r="Z112" i="11" l="1"/>
  <c r="R78" i="12"/>
  <c r="U78" i="12" s="1"/>
  <c r="X78" i="12" s="1"/>
  <c r="EB112" i="11" l="1"/>
  <c r="AC112" i="11"/>
  <c r="F112" i="11"/>
  <c r="AE112" i="11" l="1"/>
  <c r="AF112" i="11"/>
  <c r="E79" i="12"/>
  <c r="ED112" i="11"/>
  <c r="EE112" i="11" s="1"/>
  <c r="EG112" i="11" s="1"/>
  <c r="EF112" i="11" s="1"/>
  <c r="EJ112" i="11" l="1"/>
  <c r="EK112" i="11"/>
  <c r="O112" i="11"/>
  <c r="F79" i="12" s="1"/>
  <c r="G79" i="12" s="1"/>
  <c r="AG112" i="11"/>
  <c r="EL112" i="11" l="1"/>
  <c r="AD112" i="11"/>
  <c r="AJ112" i="11"/>
  <c r="J112" i="11" s="1"/>
  <c r="G112" i="11"/>
  <c r="AK112" i="11"/>
  <c r="K112" i="11" s="1"/>
  <c r="R112" i="11" s="1"/>
  <c r="Q112" i="11" l="1"/>
  <c r="AL112" i="11"/>
  <c r="H112" i="11" s="1"/>
  <c r="P112" i="11"/>
  <c r="H79" i="12"/>
  <c r="J79" i="12" l="1"/>
  <c r="L79" i="12"/>
  <c r="O79" i="12" s="1"/>
  <c r="I79" i="12"/>
  <c r="K79" i="12"/>
  <c r="I112" i="11"/>
  <c r="P79" i="12" l="1"/>
  <c r="S79" i="12" s="1"/>
  <c r="T79" i="12" s="1"/>
  <c r="S112" i="11"/>
  <c r="U112" i="11"/>
  <c r="V112" i="11" s="1"/>
  <c r="T112" i="11" l="1"/>
  <c r="Q79" i="12"/>
  <c r="R79" i="12" l="1"/>
  <c r="U79" i="12" s="1"/>
  <c r="X79" i="12" s="1"/>
  <c r="Z113" i="11"/>
  <c r="EB113" i="11" l="1"/>
  <c r="AC113" i="11"/>
  <c r="F113" i="11"/>
  <c r="AE113" i="11" l="1"/>
  <c r="AF113" i="11"/>
  <c r="E80" i="12"/>
  <c r="ED113" i="11"/>
  <c r="EE113" i="11" s="1"/>
  <c r="EG113" i="11" s="1"/>
  <c r="EF113" i="11" s="1"/>
  <c r="AG113" i="11" l="1"/>
  <c r="AK113" i="11" s="1"/>
  <c r="O113" i="11"/>
  <c r="F80" i="12" s="1"/>
  <c r="G80" i="12" s="1"/>
  <c r="EJ113" i="11"/>
  <c r="EK113" i="11"/>
  <c r="K113" i="11" l="1"/>
  <c r="AD113" i="11"/>
  <c r="G113" i="11"/>
  <c r="R113" i="11" s="1"/>
  <c r="AJ113" i="11"/>
  <c r="J113" i="11" s="1"/>
  <c r="Q113" i="11" s="1"/>
  <c r="EL113" i="11"/>
  <c r="P113" i="11"/>
  <c r="H80" i="12"/>
  <c r="AL113" i="11" l="1"/>
  <c r="H113" i="11" s="1"/>
  <c r="I113" i="11" s="1"/>
  <c r="I80" i="12"/>
  <c r="J80" i="12"/>
  <c r="L80" i="12"/>
  <c r="O80" i="12" s="1"/>
  <c r="K80" i="12" l="1"/>
  <c r="S113" i="11"/>
  <c r="P80" i="12"/>
  <c r="S80" i="12" s="1"/>
  <c r="T80" i="12" s="1"/>
  <c r="U113" i="11"/>
  <c r="V113" i="11" s="1"/>
  <c r="P21" i="1" l="1"/>
  <c r="G70" i="17" s="1"/>
  <c r="Q80" i="12"/>
  <c r="T113" i="11"/>
  <c r="O21" i="1" l="1"/>
  <c r="R80" i="12"/>
  <c r="U80" i="12" s="1"/>
  <c r="X80" i="12" s="1"/>
  <c r="Z114" i="11"/>
  <c r="F70" i="17" l="1"/>
  <c r="E70" i="17"/>
  <c r="EB114" i="11"/>
  <c r="AC114" i="11"/>
  <c r="F114" i="11"/>
  <c r="E81" i="12" l="1"/>
  <c r="AF114" i="11"/>
  <c r="AE114" i="11"/>
  <c r="ED114" i="11"/>
  <c r="EE114" i="11" s="1"/>
  <c r="EG114" i="11" s="1"/>
  <c r="EF114" i="11" s="1"/>
  <c r="AG114" i="11" l="1"/>
  <c r="AD114" i="11" s="1"/>
  <c r="O114" i="11"/>
  <c r="F81" i="12" s="1"/>
  <c r="G81" i="12" s="1"/>
  <c r="EJ114" i="11"/>
  <c r="EK114" i="11"/>
  <c r="AJ114" i="11" l="1"/>
  <c r="J114" i="11" s="1"/>
  <c r="G114" i="11"/>
  <c r="AK114" i="11"/>
  <c r="K114" i="11" s="1"/>
  <c r="R114" i="11" s="1"/>
  <c r="EL114" i="11"/>
  <c r="H81" i="12"/>
  <c r="P114" i="11"/>
  <c r="Q114" i="11" l="1"/>
  <c r="AL114" i="11"/>
  <c r="H114" i="11" s="1"/>
  <c r="K81" i="12" s="1"/>
  <c r="L81" i="12"/>
  <c r="O81" i="12" s="1"/>
  <c r="J81" i="12"/>
  <c r="I81" i="12"/>
  <c r="I114" i="11" l="1"/>
  <c r="P81" i="12" s="1"/>
  <c r="S81" i="12" s="1"/>
  <c r="T81" i="12" s="1"/>
  <c r="S114" i="11" l="1"/>
  <c r="T114" i="11" s="1"/>
  <c r="R81" i="12" s="1"/>
  <c r="U114" i="11"/>
  <c r="V114" i="11" s="1"/>
  <c r="Z115" i="11"/>
  <c r="Q81" i="12" l="1"/>
  <c r="U81" i="12" s="1"/>
  <c r="X81" i="12" s="1"/>
  <c r="EB115" i="11"/>
  <c r="ED115" i="11" s="1"/>
  <c r="EE115" i="11" s="1"/>
  <c r="EG115" i="11" s="1"/>
  <c r="AC115" i="11"/>
  <c r="F115" i="11"/>
  <c r="AE115" i="11" l="1"/>
  <c r="E82" i="12"/>
  <c r="AF115" i="11"/>
  <c r="O115" i="11"/>
  <c r="F82" i="12" s="1"/>
  <c r="G82" i="12" s="1"/>
  <c r="EF115" i="11"/>
  <c r="EJ115" i="11"/>
  <c r="EK115" i="11"/>
  <c r="EL115" i="11" l="1"/>
  <c r="AG115" i="11"/>
  <c r="AJ115" i="11" l="1"/>
  <c r="J115" i="11" s="1"/>
  <c r="G115" i="11"/>
  <c r="AD115" i="11"/>
  <c r="AK115" i="11"/>
  <c r="AL115" i="11" l="1"/>
  <c r="H115" i="11" s="1"/>
  <c r="K115" i="11"/>
  <c r="R115" i="11" s="1"/>
  <c r="H82" i="12"/>
  <c r="P115" i="11"/>
  <c r="Q115" i="11"/>
  <c r="L82" i="12" l="1"/>
  <c r="O82" i="12" s="1"/>
  <c r="J82" i="12"/>
  <c r="I82" i="12"/>
  <c r="K82" i="12"/>
  <c r="I115" i="11"/>
  <c r="S115" i="11" l="1"/>
  <c r="U115" i="11"/>
  <c r="P82" i="12"/>
  <c r="S82" i="12" s="1"/>
  <c r="T82" i="12" s="1"/>
  <c r="V115" i="11" l="1"/>
  <c r="T115" i="11"/>
  <c r="Q82" i="12"/>
  <c r="Z116" i="11" l="1"/>
  <c r="R82" i="12"/>
  <c r="U82" i="12" s="1"/>
  <c r="X82" i="12" s="1"/>
  <c r="EB116" i="11" l="1"/>
  <c r="F116" i="11"/>
  <c r="AC116" i="11"/>
  <c r="E83" i="12" l="1"/>
  <c r="AF116" i="11"/>
  <c r="AE116" i="11"/>
  <c r="ED116" i="11"/>
  <c r="EE116" i="11" s="1"/>
  <c r="EG116" i="11" s="1"/>
  <c r="EJ116" i="11" l="1"/>
  <c r="EK116" i="11"/>
  <c r="O116" i="11"/>
  <c r="F83" i="12" s="1"/>
  <c r="G83" i="12" s="1"/>
  <c r="AG116" i="11"/>
  <c r="EF116" i="11"/>
  <c r="EL116" i="11" l="1"/>
  <c r="AD116" i="11"/>
  <c r="AJ116" i="11"/>
  <c r="J116" i="11" s="1"/>
  <c r="AK116" i="11"/>
  <c r="K116" i="11" s="1"/>
  <c r="G116" i="11"/>
  <c r="R116" i="11" l="1"/>
  <c r="AL116" i="11"/>
  <c r="H116" i="11" s="1"/>
  <c r="Q116" i="11"/>
  <c r="H83" i="12"/>
  <c r="P116" i="11"/>
  <c r="L83" i="12" l="1"/>
  <c r="O83" i="12" s="1"/>
  <c r="J83" i="12"/>
  <c r="I83" i="12"/>
  <c r="K83" i="12"/>
  <c r="I116" i="11"/>
  <c r="P83" i="12" l="1"/>
  <c r="S83" i="12" s="1"/>
  <c r="T83" i="12" s="1"/>
  <c r="U116" i="11"/>
  <c r="S116" i="11"/>
  <c r="Q83" i="12" l="1"/>
  <c r="T116" i="11"/>
  <c r="V116" i="11"/>
  <c r="Z117" i="11" l="1"/>
  <c r="R83" i="12"/>
  <c r="U83" i="12" s="1"/>
  <c r="X83" i="12" s="1"/>
  <c r="EB117" i="11" l="1"/>
  <c r="ED117" i="11" s="1"/>
  <c r="EE117" i="11" s="1"/>
  <c r="EG117" i="11" s="1"/>
  <c r="F117" i="11"/>
  <c r="AC117" i="11"/>
  <c r="AF117" i="11" l="1"/>
  <c r="AE117" i="11"/>
  <c r="AG117" i="11" s="1"/>
  <c r="E84" i="12"/>
  <c r="O117" i="11"/>
  <c r="F84" i="12" s="1"/>
  <c r="G84" i="12" s="1"/>
  <c r="EF117" i="11"/>
  <c r="EK117" i="11"/>
  <c r="EJ117" i="11"/>
  <c r="EL117" i="11" l="1"/>
  <c r="AD117" i="11"/>
  <c r="AJ117" i="11"/>
  <c r="J117" i="11" s="1"/>
  <c r="AK117" i="11"/>
  <c r="K117" i="11" s="1"/>
  <c r="G117" i="11"/>
  <c r="R117" i="11" l="1"/>
  <c r="Q117" i="11"/>
  <c r="H84" i="12"/>
  <c r="P117" i="11"/>
  <c r="AL117" i="11"/>
  <c r="H117" i="11" s="1"/>
  <c r="I117" i="11" l="1"/>
  <c r="K84" i="12"/>
  <c r="J84" i="12"/>
  <c r="L84" i="12"/>
  <c r="O84" i="12" s="1"/>
  <c r="I84" i="12"/>
  <c r="P84" i="12" l="1"/>
  <c r="S84" i="12" s="1"/>
  <c r="T84" i="12" s="1"/>
  <c r="S117" i="11"/>
  <c r="U117" i="11"/>
  <c r="V117" i="11" l="1"/>
  <c r="Q84" i="12"/>
  <c r="T117" i="11"/>
  <c r="R84" i="12" l="1"/>
  <c r="U84" i="12" s="1"/>
  <c r="X84" i="12" s="1"/>
  <c r="Z118" i="11"/>
  <c r="EB118" i="11" l="1"/>
  <c r="ED118" i="11" s="1"/>
  <c r="EE118" i="11" s="1"/>
  <c r="EG118" i="11" s="1"/>
  <c r="F118" i="11"/>
  <c r="AC118" i="11"/>
  <c r="E85" i="12" l="1"/>
  <c r="AE118" i="11"/>
  <c r="AF118" i="11"/>
  <c r="O118" i="11"/>
  <c r="F85" i="12" s="1"/>
  <c r="G85" i="12" s="1"/>
  <c r="EF118" i="11"/>
  <c r="EK118" i="11"/>
  <c r="EJ118" i="11"/>
  <c r="EL118" i="11" l="1"/>
  <c r="AG118" i="11"/>
  <c r="AJ118" i="11" s="1"/>
  <c r="J118" i="11" s="1"/>
  <c r="G118" i="11" l="1"/>
  <c r="AK118" i="11"/>
  <c r="K118" i="11" s="1"/>
  <c r="R118" i="11" s="1"/>
  <c r="AD118" i="11"/>
  <c r="Q118" i="11"/>
  <c r="P118" i="11"/>
  <c r="H85" i="12"/>
  <c r="AL118" i="11" l="1"/>
  <c r="H118" i="11" s="1"/>
  <c r="K85" i="12" s="1"/>
  <c r="L85" i="12"/>
  <c r="O85" i="12" s="1"/>
  <c r="J85" i="12"/>
  <c r="I85" i="12"/>
  <c r="I118" i="11" l="1"/>
  <c r="S118" i="11" l="1"/>
  <c r="U118" i="11"/>
  <c r="V118" i="11" s="1"/>
  <c r="P85" i="12"/>
  <c r="S85" i="12" s="1"/>
  <c r="T85" i="12" s="1"/>
  <c r="T118" i="11" l="1"/>
  <c r="Q85" i="12"/>
  <c r="R85" i="12" l="1"/>
  <c r="Z119" i="11"/>
  <c r="U85" i="12"/>
  <c r="X85" i="12" s="1"/>
  <c r="AC119" i="11" l="1"/>
  <c r="EB119" i="11"/>
  <c r="ED119" i="11" s="1"/>
  <c r="EE119" i="11" s="1"/>
  <c r="EG119" i="11" s="1"/>
  <c r="EF119" i="11" s="1"/>
  <c r="F119" i="11"/>
  <c r="O119" i="11" l="1"/>
  <c r="EK119" i="11"/>
  <c r="EJ119" i="11"/>
  <c r="AE119" i="11"/>
  <c r="AF119" i="11"/>
  <c r="E86" i="12"/>
  <c r="EL119" i="11"/>
  <c r="AG119" i="11" l="1"/>
  <c r="AD119" i="11" s="1"/>
  <c r="F86" i="12"/>
  <c r="G86" i="12" s="1"/>
  <c r="G119" i="11" l="1"/>
  <c r="P119" i="11" s="1"/>
  <c r="AK119" i="11"/>
  <c r="K119" i="11" s="1"/>
  <c r="R119" i="11" s="1"/>
  <c r="H86" i="12"/>
  <c r="J86" i="12" s="1"/>
  <c r="AJ119" i="11"/>
  <c r="J119" i="11" s="1"/>
  <c r="Q119" i="11" s="1"/>
  <c r="L86" i="12"/>
  <c r="O86" i="12" s="1"/>
  <c r="I86" i="12"/>
  <c r="AL119" i="11" l="1"/>
  <c r="H119" i="11" s="1"/>
  <c r="K86" i="12" s="1"/>
  <c r="Z120" i="11"/>
  <c r="I119" i="11" l="1"/>
  <c r="S119" i="11" s="1"/>
  <c r="Q86" i="12" s="1"/>
  <c r="U119" i="11"/>
  <c r="V119" i="11" s="1"/>
  <c r="P86" i="12"/>
  <c r="S86" i="12" s="1"/>
  <c r="T86" i="12" s="1"/>
  <c r="EB120" i="11"/>
  <c r="F120" i="11"/>
  <c r="AC120" i="11"/>
  <c r="T119" i="11" l="1"/>
  <c r="R86" i="12" s="1"/>
  <c r="U86" i="12" s="1"/>
  <c r="X86" i="12" s="1"/>
  <c r="AE120" i="11"/>
  <c r="AF120" i="11"/>
  <c r="E87" i="12"/>
  <c r="ED120" i="11"/>
  <c r="EE120" i="11" s="1"/>
  <c r="EG120" i="11" s="1"/>
  <c r="EF120" i="11" s="1"/>
  <c r="EJ120" i="11" l="1"/>
  <c r="EK120" i="11"/>
  <c r="O120" i="11"/>
  <c r="F87" i="12" s="1"/>
  <c r="G87" i="12" s="1"/>
  <c r="AG120" i="11"/>
  <c r="EL120" i="11" l="1"/>
  <c r="AJ120" i="11"/>
  <c r="J120" i="11" s="1"/>
  <c r="AK120" i="11"/>
  <c r="K120" i="11" s="1"/>
  <c r="AD120" i="11"/>
  <c r="G120" i="11"/>
  <c r="AL120" i="11" l="1"/>
  <c r="H120" i="11" s="1"/>
  <c r="P120" i="11"/>
  <c r="H87" i="12"/>
  <c r="R120" i="11"/>
  <c r="Q120" i="11"/>
  <c r="I87" i="12" l="1"/>
  <c r="L87" i="12"/>
  <c r="O87" i="12" s="1"/>
  <c r="J87" i="12"/>
  <c r="K87" i="12"/>
  <c r="I120" i="11"/>
  <c r="U120" i="11" l="1"/>
  <c r="S120" i="11"/>
  <c r="P87" i="12"/>
  <c r="S87" i="12" s="1"/>
  <c r="T87" i="12" s="1"/>
  <c r="T120" i="11" l="1"/>
  <c r="Q87" i="12"/>
  <c r="V120" i="11"/>
  <c r="Z121" i="11" l="1"/>
  <c r="R87" i="12"/>
  <c r="U87" i="12" s="1"/>
  <c r="X87" i="12" s="1"/>
  <c r="EB121" i="11" l="1"/>
  <c r="F121" i="11"/>
  <c r="AC121" i="11"/>
  <c r="AE121" i="11" l="1"/>
  <c r="AF121" i="11"/>
  <c r="E88" i="12"/>
  <c r="ED121" i="11"/>
  <c r="EE121" i="11" s="1"/>
  <c r="EG121" i="11" s="1"/>
  <c r="EF121" i="11" s="1"/>
  <c r="AG121" i="11" l="1"/>
  <c r="AK121" i="11" s="1"/>
  <c r="O121" i="11"/>
  <c r="F88" i="12" s="1"/>
  <c r="G88" i="12" s="1"/>
  <c r="EK121" i="11"/>
  <c r="EJ121" i="11"/>
  <c r="K121" i="11" l="1"/>
  <c r="AD121" i="11"/>
  <c r="AJ121" i="11"/>
  <c r="J121" i="11" s="1"/>
  <c r="G121" i="11"/>
  <c r="R121" i="11" s="1"/>
  <c r="EL121" i="11"/>
  <c r="P121" i="11"/>
  <c r="AL121" i="11"/>
  <c r="H121" i="11" s="1"/>
  <c r="H88" i="12" l="1"/>
  <c r="Q121" i="11"/>
  <c r="K88" i="12"/>
  <c r="I121" i="11"/>
  <c r="L88" i="12"/>
  <c r="O88" i="12" s="1"/>
  <c r="J88" i="12"/>
  <c r="I88" i="12"/>
  <c r="P88" i="12" l="1"/>
  <c r="S88" i="12" s="1"/>
  <c r="T88" i="12" s="1"/>
  <c r="S121" i="11"/>
  <c r="U121" i="11"/>
  <c r="V121" i="11" l="1"/>
  <c r="Q88" i="12"/>
  <c r="T121" i="11"/>
  <c r="Z122" i="11" l="1"/>
  <c r="R88" i="12"/>
  <c r="U88" i="12" s="1"/>
  <c r="X88" i="12" s="1"/>
  <c r="EB122" i="11" l="1"/>
  <c r="AC122" i="11"/>
  <c r="F122" i="11"/>
  <c r="AF122" i="11" l="1"/>
  <c r="AE122" i="11"/>
  <c r="E89" i="12"/>
  <c r="ED122" i="11"/>
  <c r="EE122" i="11" s="1"/>
  <c r="EG122" i="11" s="1"/>
  <c r="AG122" i="11" l="1"/>
  <c r="AD122" i="11" s="1"/>
  <c r="EK122" i="11"/>
  <c r="EJ122" i="11"/>
  <c r="EF122" i="11"/>
  <c r="O122" i="11"/>
  <c r="F89" i="12" s="1"/>
  <c r="G89" i="12" s="1"/>
  <c r="AJ122" i="11" l="1"/>
  <c r="J122" i="11" s="1"/>
  <c r="G122" i="11"/>
  <c r="H89" i="12" s="1"/>
  <c r="AK122" i="11"/>
  <c r="K122" i="11" s="1"/>
  <c r="R122" i="11" s="1"/>
  <c r="EL122" i="11"/>
  <c r="P122" i="11" l="1"/>
  <c r="Q122" i="11"/>
  <c r="AL122" i="11"/>
  <c r="H122" i="11" s="1"/>
  <c r="K89" i="12" s="1"/>
  <c r="J89" i="12"/>
  <c r="L89" i="12"/>
  <c r="O89" i="12" s="1"/>
  <c r="I89" i="12"/>
  <c r="I122" i="11" l="1"/>
  <c r="P89" i="12" s="1"/>
  <c r="S89" i="12" s="1"/>
  <c r="T89" i="12" s="1"/>
  <c r="S122" i="11" l="1"/>
  <c r="Q89" i="12" s="1"/>
  <c r="U122" i="11"/>
  <c r="V122" i="11" s="1"/>
  <c r="T122" i="11" l="1"/>
  <c r="R89" i="12" s="1"/>
  <c r="U89" i="12" s="1"/>
  <c r="X89" i="12" s="1"/>
  <c r="Z123" i="11" l="1"/>
  <c r="EB123" i="11" s="1"/>
  <c r="AC123" i="11" l="1"/>
  <c r="F123" i="11"/>
  <c r="AE123" i="11"/>
  <c r="AF123" i="11"/>
  <c r="E90" i="12"/>
  <c r="ED123" i="11"/>
  <c r="EE123" i="11" s="1"/>
  <c r="EG123" i="11" s="1"/>
  <c r="EK123" i="11" l="1"/>
  <c r="EJ123" i="11"/>
  <c r="EF123" i="11"/>
  <c r="O123" i="11"/>
  <c r="F90" i="12" s="1"/>
  <c r="G90" i="12" s="1"/>
  <c r="AG123" i="11"/>
  <c r="EL123" i="11" l="1"/>
  <c r="AJ123" i="11"/>
  <c r="J123" i="11" s="1"/>
  <c r="G123" i="11"/>
  <c r="AD123" i="11"/>
  <c r="AK123" i="11"/>
  <c r="K123" i="11" s="1"/>
  <c r="R123" i="11" s="1"/>
  <c r="Q123" i="11" l="1"/>
  <c r="AL123" i="11"/>
  <c r="H123" i="11" s="1"/>
  <c r="P123" i="11"/>
  <c r="H90" i="12"/>
  <c r="L90" i="12" l="1"/>
  <c r="O90" i="12" s="1"/>
  <c r="J90" i="12"/>
  <c r="I90" i="12"/>
  <c r="K90" i="12"/>
  <c r="I123" i="11"/>
  <c r="P90" i="12" l="1"/>
  <c r="S90" i="12" s="1"/>
  <c r="T90" i="12" s="1"/>
  <c r="S123" i="11"/>
  <c r="U123" i="11"/>
  <c r="V123" i="11" l="1"/>
  <c r="T123" i="11"/>
  <c r="Q90" i="12"/>
  <c r="Z124" i="11" l="1"/>
  <c r="R90" i="12"/>
  <c r="U90" i="12" s="1"/>
  <c r="X90" i="12" s="1"/>
  <c r="EB124" i="11" l="1"/>
  <c r="F124" i="11"/>
  <c r="AC124" i="11"/>
  <c r="E91" i="12" l="1"/>
  <c r="AE124" i="11"/>
  <c r="AF124" i="11"/>
  <c r="ED124" i="11"/>
  <c r="EE124" i="11" s="1"/>
  <c r="EG124" i="11" s="1"/>
  <c r="EK124" i="11" l="1"/>
  <c r="EJ124" i="11"/>
  <c r="AG124" i="11"/>
  <c r="EF124" i="11"/>
  <c r="O124" i="11"/>
  <c r="F91" i="12" s="1"/>
  <c r="G91" i="12" s="1"/>
  <c r="EL124" i="11" l="1"/>
  <c r="AD124" i="11"/>
  <c r="G124" i="11"/>
  <c r="AJ124" i="11"/>
  <c r="J124" i="11" s="1"/>
  <c r="Q124" i="11" s="1"/>
  <c r="AK124" i="11"/>
  <c r="K124" i="11" s="1"/>
  <c r="R124" i="11" s="1"/>
  <c r="AL124" i="11" l="1"/>
  <c r="H124" i="11" s="1"/>
  <c r="H91" i="12"/>
  <c r="P124" i="11"/>
  <c r="J91" i="12" l="1"/>
  <c r="L91" i="12"/>
  <c r="O91" i="12" s="1"/>
  <c r="I91" i="12"/>
  <c r="K91" i="12"/>
  <c r="I124" i="11"/>
  <c r="P91" i="12" l="1"/>
  <c r="S91" i="12" s="1"/>
  <c r="T91" i="12" s="1"/>
  <c r="U124" i="11"/>
  <c r="S124" i="11"/>
  <c r="Q91" i="12" l="1"/>
  <c r="T124" i="11"/>
  <c r="V124" i="11"/>
  <c r="Z125" i="11" l="1"/>
  <c r="R91" i="12"/>
  <c r="U91" i="12" s="1"/>
  <c r="X91" i="12" s="1"/>
  <c r="EB125" i="11" l="1"/>
  <c r="F125" i="11"/>
  <c r="AC125" i="11"/>
  <c r="E92" i="12" l="1"/>
  <c r="AE125" i="11"/>
  <c r="AF125" i="11"/>
  <c r="ED125" i="11"/>
  <c r="EE125" i="11" s="1"/>
  <c r="EG125" i="11" s="1"/>
  <c r="AG125" i="11" l="1"/>
  <c r="AD125" i="11" s="1"/>
  <c r="EK125" i="11"/>
  <c r="EJ125" i="11"/>
  <c r="G125" i="11"/>
  <c r="AJ125" i="11"/>
  <c r="J125" i="11" s="1"/>
  <c r="Q125" i="11" s="1"/>
  <c r="AK125" i="11"/>
  <c r="K125" i="11" s="1"/>
  <c r="O125" i="11"/>
  <c r="F92" i="12" s="1"/>
  <c r="G92" i="12" s="1"/>
  <c r="EF125" i="11"/>
  <c r="EL125" i="11" l="1"/>
  <c r="R125" i="11"/>
  <c r="H92" i="12"/>
  <c r="P125" i="11"/>
  <c r="AL125" i="11"/>
  <c r="H125" i="11" s="1"/>
  <c r="I92" i="12"/>
  <c r="I125" i="11" l="1"/>
  <c r="K92" i="12"/>
  <c r="L92" i="12"/>
  <c r="O92" i="12" s="1"/>
  <c r="J92" i="12"/>
  <c r="P92" i="12" l="1"/>
  <c r="S92" i="12" s="1"/>
  <c r="T92" i="12" s="1"/>
  <c r="S125" i="11"/>
  <c r="U125" i="11"/>
  <c r="V125" i="11" s="1"/>
  <c r="P22" i="1" l="1"/>
  <c r="G71" i="17" s="1"/>
  <c r="T125" i="11"/>
  <c r="Q92" i="12"/>
  <c r="O22" i="1" l="1"/>
  <c r="Z126" i="11"/>
  <c r="R92" i="12"/>
  <c r="U92" i="12" s="1"/>
  <c r="X92" i="12" s="1"/>
  <c r="F71" i="17" l="1"/>
  <c r="E71" i="17"/>
  <c r="EB126" i="11"/>
  <c r="F126" i="11"/>
  <c r="AC126" i="11"/>
  <c r="AE126" i="11" l="1"/>
  <c r="E93" i="12"/>
  <c r="AF126" i="11"/>
  <c r="ED126" i="11"/>
  <c r="EE126" i="11" s="1"/>
  <c r="EG126" i="11" s="1"/>
  <c r="EJ126" i="11" l="1"/>
  <c r="EK126" i="11"/>
  <c r="AG126" i="11"/>
  <c r="EF126" i="11"/>
  <c r="O126" i="11"/>
  <c r="F93" i="12" s="1"/>
  <c r="G93" i="12" s="1"/>
  <c r="EL126" i="11" l="1"/>
  <c r="AJ126" i="11"/>
  <c r="J126" i="11" s="1"/>
  <c r="AK126" i="11"/>
  <c r="K126" i="11" s="1"/>
  <c r="G126" i="11"/>
  <c r="AD126" i="11"/>
  <c r="AL126" i="11" l="1"/>
  <c r="H126" i="11" s="1"/>
  <c r="K93" i="12" s="1"/>
  <c r="Q126" i="11"/>
  <c r="R126" i="11"/>
  <c r="P126" i="11"/>
  <c r="H93" i="12"/>
  <c r="I126" i="11" l="1"/>
  <c r="P93" i="12" s="1"/>
  <c r="S93" i="12" s="1"/>
  <c r="T93" i="12" s="1"/>
  <c r="L93" i="12"/>
  <c r="O93" i="12" s="1"/>
  <c r="J93" i="12"/>
  <c r="I93" i="12"/>
  <c r="U126" i="11" l="1"/>
  <c r="S126" i="11"/>
  <c r="Q93" i="12" s="1"/>
  <c r="V126" i="11"/>
  <c r="T126" i="11" l="1"/>
  <c r="R93" i="12" s="1"/>
  <c r="U93" i="12" s="1"/>
  <c r="X93" i="12" s="1"/>
  <c r="Z127" i="11"/>
  <c r="EB127" i="11" l="1"/>
  <c r="AC127" i="11"/>
  <c r="F127" i="11"/>
  <c r="E94" i="12" l="1"/>
  <c r="AE127" i="11"/>
  <c r="AF127" i="11"/>
  <c r="ED127" i="11"/>
  <c r="EE127" i="11" s="1"/>
  <c r="EG127" i="11" s="1"/>
  <c r="AG127" i="11" l="1"/>
  <c r="EJ127" i="11"/>
  <c r="EK127" i="11"/>
  <c r="EF127" i="11"/>
  <c r="O127" i="11"/>
  <c r="F94" i="12" s="1"/>
  <c r="G94" i="12" s="1"/>
  <c r="G127" i="11"/>
  <c r="AK127" i="11"/>
  <c r="K127" i="11" s="1"/>
  <c r="R127" i="11" s="1"/>
  <c r="AD127" i="11"/>
  <c r="AJ127" i="11"/>
  <c r="J127" i="11" l="1"/>
  <c r="Q127" i="11" s="1"/>
  <c r="EL127" i="11"/>
  <c r="P127" i="11"/>
  <c r="H94" i="12"/>
  <c r="I94" i="12" s="1"/>
  <c r="AL127" i="11"/>
  <c r="H127" i="11" s="1"/>
  <c r="K94" i="12" s="1"/>
  <c r="J94" i="12" l="1"/>
  <c r="L94" i="12"/>
  <c r="O94" i="12" s="1"/>
  <c r="I127" i="11"/>
  <c r="P94" i="12" l="1"/>
  <c r="S94" i="12" s="1"/>
  <c r="T94" i="12" s="1"/>
  <c r="U127" i="11"/>
  <c r="S127" i="11"/>
  <c r="T127" i="11" l="1"/>
  <c r="Q94" i="12"/>
  <c r="V127" i="11"/>
  <c r="R94" i="12" l="1"/>
  <c r="U94" i="12" s="1"/>
  <c r="X94" i="12" s="1"/>
  <c r="Z128" i="11"/>
  <c r="EB128" i="11" l="1"/>
  <c r="F128" i="11"/>
  <c r="AC128" i="11"/>
  <c r="AE128" i="11" l="1"/>
  <c r="AF128" i="11"/>
  <c r="E95" i="12"/>
  <c r="ED128" i="11"/>
  <c r="EE128" i="11" s="1"/>
  <c r="EG128" i="11" s="1"/>
  <c r="AG128" i="11" l="1"/>
  <c r="AK128" i="11" s="1"/>
  <c r="EJ128" i="11"/>
  <c r="EK128" i="11"/>
  <c r="EF128" i="11"/>
  <c r="O128" i="11"/>
  <c r="F95" i="12" s="1"/>
  <c r="G95" i="12" s="1"/>
  <c r="K128" i="11" l="1"/>
  <c r="AJ128" i="11"/>
  <c r="AL128" i="11" s="1"/>
  <c r="AD128" i="11"/>
  <c r="G128" i="11"/>
  <c r="EL128" i="11"/>
  <c r="R128" i="11" l="1"/>
  <c r="H95" i="12"/>
  <c r="J128" i="11"/>
  <c r="Q128" i="11" s="1"/>
  <c r="H128" i="11"/>
  <c r="K95" i="12" s="1"/>
  <c r="P128" i="11"/>
  <c r="J95" i="12"/>
  <c r="L95" i="12"/>
  <c r="O95" i="12" s="1"/>
  <c r="I95" i="12"/>
  <c r="I128" i="11" l="1"/>
  <c r="P95" i="12" l="1"/>
  <c r="S95" i="12" s="1"/>
  <c r="T95" i="12" s="1"/>
  <c r="S128" i="11"/>
  <c r="U128" i="11"/>
  <c r="V128" i="11" s="1"/>
  <c r="T128" i="11" l="1"/>
  <c r="Q95" i="12"/>
  <c r="R95" i="12" l="1"/>
  <c r="Z129" i="11"/>
  <c r="U95" i="12"/>
  <c r="X95" i="12" s="1"/>
  <c r="EB129" i="11" l="1"/>
  <c r="ED129" i="11" s="1"/>
  <c r="EE129" i="11" s="1"/>
  <c r="EG129" i="11" s="1"/>
  <c r="EF129" i="11" s="1"/>
  <c r="F129" i="11"/>
  <c r="AC129" i="11"/>
  <c r="O129" i="11" l="1"/>
  <c r="EK129" i="11"/>
  <c r="EJ129" i="11"/>
  <c r="E96" i="12"/>
  <c r="AE129" i="11"/>
  <c r="AF129" i="11"/>
  <c r="EL129" i="11"/>
  <c r="AG129" i="11" l="1"/>
  <c r="AK129" i="11" s="1"/>
  <c r="K129" i="11" s="1"/>
  <c r="G129" i="11"/>
  <c r="H96" i="12" s="1"/>
  <c r="F96" i="12"/>
  <c r="G96" i="12" s="1"/>
  <c r="P129" i="11"/>
  <c r="R129" i="11" l="1"/>
  <c r="AJ129" i="11"/>
  <c r="AD129" i="11"/>
  <c r="L96" i="12"/>
  <c r="O96" i="12" s="1"/>
  <c r="J96" i="12"/>
  <c r="I96" i="12"/>
  <c r="J129" i="11" l="1"/>
  <c r="Q129" i="11" s="1"/>
  <c r="AL129" i="11"/>
  <c r="H129" i="11" s="1"/>
  <c r="K96" i="12" l="1"/>
  <c r="I129" i="11"/>
  <c r="U129" i="11" l="1"/>
  <c r="V129" i="11" s="1"/>
  <c r="S129" i="11"/>
  <c r="P96" i="12"/>
  <c r="S96" i="12" s="1"/>
  <c r="T96" i="12" s="1"/>
  <c r="Z130" i="11"/>
  <c r="Q96" i="12" l="1"/>
  <c r="T129" i="11"/>
  <c r="R96" i="12" s="1"/>
  <c r="U96" i="12" s="1"/>
  <c r="X96" i="12" s="1"/>
  <c r="EB130" i="11"/>
  <c r="F130" i="11"/>
  <c r="AC130" i="11"/>
  <c r="AE130" i="11" l="1"/>
  <c r="AF130" i="11"/>
  <c r="E97" i="12"/>
  <c r="ED130" i="11"/>
  <c r="EE130" i="11" s="1"/>
  <c r="EG130" i="11" s="1"/>
  <c r="EF130" i="11" s="1"/>
  <c r="EK130" i="11" l="1"/>
  <c r="EJ130" i="11"/>
  <c r="O130" i="11"/>
  <c r="F97" i="12" s="1"/>
  <c r="G97" i="12" s="1"/>
  <c r="AG130" i="11"/>
  <c r="EL130" i="11" l="1"/>
  <c r="AK130" i="11"/>
  <c r="K130" i="11" s="1"/>
  <c r="AJ130" i="11"/>
  <c r="J130" i="11" s="1"/>
  <c r="G130" i="11"/>
  <c r="AD130" i="11"/>
  <c r="Q130" i="11" l="1"/>
  <c r="P130" i="11"/>
  <c r="H97" i="12"/>
  <c r="R130" i="11"/>
  <c r="AL130" i="11"/>
  <c r="H130" i="11" s="1"/>
  <c r="K97" i="12" l="1"/>
  <c r="I130" i="11"/>
  <c r="L97" i="12"/>
  <c r="O97" i="12" s="1"/>
  <c r="J97" i="12"/>
  <c r="I97" i="12"/>
  <c r="P97" i="12" l="1"/>
  <c r="S97" i="12" s="1"/>
  <c r="T97" i="12" s="1"/>
  <c r="S130" i="11"/>
  <c r="U130" i="11"/>
  <c r="V130" i="11" s="1"/>
  <c r="Q97" i="12" l="1"/>
  <c r="T130" i="11"/>
  <c r="Z131" i="11" l="1"/>
  <c r="R97" i="12"/>
  <c r="U97" i="12" s="1"/>
  <c r="X97" i="12" s="1"/>
  <c r="EB131" i="11" l="1"/>
  <c r="F131" i="11"/>
  <c r="AC131" i="11"/>
  <c r="E98" i="12" l="1"/>
  <c r="AE131" i="11"/>
  <c r="AF131" i="11"/>
  <c r="ED131" i="11"/>
  <c r="EE131" i="11" s="1"/>
  <c r="EG131" i="11" s="1"/>
  <c r="EK131" i="11" l="1"/>
  <c r="EJ131" i="11"/>
  <c r="EF131" i="11"/>
  <c r="O131" i="11"/>
  <c r="F98" i="12" s="1"/>
  <c r="G98" i="12" s="1"/>
  <c r="AG131" i="11"/>
  <c r="EL131" i="11" l="1"/>
  <c r="AK131" i="11"/>
  <c r="K131" i="11" s="1"/>
  <c r="AJ131" i="11"/>
  <c r="J131" i="11" s="1"/>
  <c r="G131" i="11"/>
  <c r="AD131" i="11"/>
  <c r="Q131" i="11" l="1"/>
  <c r="AL131" i="11"/>
  <c r="H131" i="11" s="1"/>
  <c r="K98" i="12" s="1"/>
  <c r="R131" i="11"/>
  <c r="P131" i="11"/>
  <c r="H98" i="12"/>
  <c r="I131" i="11" l="1"/>
  <c r="P98" i="12" s="1"/>
  <c r="S98" i="12" s="1"/>
  <c r="T98" i="12" s="1"/>
  <c r="U131" i="11"/>
  <c r="S131" i="11"/>
  <c r="J98" i="12"/>
  <c r="L98" i="12"/>
  <c r="O98" i="12" s="1"/>
  <c r="I98" i="12"/>
  <c r="T131" i="11" l="1"/>
  <c r="Q98" i="12"/>
  <c r="V131" i="11"/>
  <c r="R98" i="12" l="1"/>
  <c r="U98" i="12" s="1"/>
  <c r="X98" i="12" s="1"/>
  <c r="Z132" i="11"/>
  <c r="F132" i="11" l="1"/>
  <c r="AC132" i="11"/>
  <c r="EB132" i="11"/>
  <c r="ED132" i="11" l="1"/>
  <c r="EE132" i="11" s="1"/>
  <c r="EG132" i="11" s="1"/>
  <c r="EF132" i="11" s="1"/>
  <c r="E99" i="12"/>
  <c r="AE132" i="11"/>
  <c r="AF132" i="11"/>
  <c r="O132" i="11" l="1"/>
  <c r="F99" i="12" s="1"/>
  <c r="G99" i="12" s="1"/>
  <c r="AG132" i="11"/>
  <c r="EK132" i="11"/>
  <c r="EJ132" i="11"/>
  <c r="EL132" i="11" l="1"/>
  <c r="G132" i="11"/>
  <c r="AK132" i="11"/>
  <c r="K132" i="11" s="1"/>
  <c r="AJ132" i="11"/>
  <c r="J132" i="11" s="1"/>
  <c r="AD132" i="11"/>
  <c r="Q132" i="11" l="1"/>
  <c r="R132" i="11"/>
  <c r="AL132" i="11"/>
  <c r="H132" i="11" s="1"/>
  <c r="H99" i="12"/>
  <c r="P132" i="11"/>
  <c r="L99" i="12" l="1"/>
  <c r="O99" i="12" s="1"/>
  <c r="J99" i="12"/>
  <c r="I99" i="12"/>
  <c r="I132" i="11"/>
  <c r="K99" i="12"/>
  <c r="P99" i="12" l="1"/>
  <c r="S99" i="12" s="1"/>
  <c r="T99" i="12" s="1"/>
  <c r="S132" i="11"/>
  <c r="U132" i="11"/>
  <c r="V132" i="11" l="1"/>
  <c r="T132" i="11"/>
  <c r="Q99" i="12"/>
  <c r="R99" i="12" l="1"/>
  <c r="U99" i="12" s="1"/>
  <c r="X99" i="12" s="1"/>
  <c r="Z133" i="11"/>
  <c r="EB133" i="11" l="1"/>
  <c r="F133" i="11"/>
  <c r="AC133" i="11"/>
  <c r="E100" i="12" l="1"/>
  <c r="AE133" i="11"/>
  <c r="AF133" i="11"/>
  <c r="ED133" i="11"/>
  <c r="EE133" i="11" s="1"/>
  <c r="EG133" i="11" s="1"/>
  <c r="EF133" i="11" s="1"/>
  <c r="AG133" i="11" l="1"/>
  <c r="AJ133" i="11" s="1"/>
  <c r="EJ133" i="11"/>
  <c r="EK133" i="11"/>
  <c r="O133" i="11"/>
  <c r="F100" i="12" s="1"/>
  <c r="G100" i="12" s="1"/>
  <c r="EL133" i="11" l="1"/>
  <c r="AD133" i="11"/>
  <c r="G133" i="11"/>
  <c r="H100" i="12" s="1"/>
  <c r="AK133" i="11"/>
  <c r="AL133" i="11" s="1"/>
  <c r="H133" i="11" s="1"/>
  <c r="K100" i="12" s="1"/>
  <c r="J133" i="11"/>
  <c r="Q133" i="11" l="1"/>
  <c r="P133" i="11"/>
  <c r="I133" i="11" s="1"/>
  <c r="U133" i="11" s="1"/>
  <c r="K133" i="11"/>
  <c r="R133" i="11" s="1"/>
  <c r="J100" i="12"/>
  <c r="L100" i="12"/>
  <c r="O100" i="12" s="1"/>
  <c r="I100" i="12"/>
  <c r="S133" i="11" l="1"/>
  <c r="Q100" i="12" s="1"/>
  <c r="P100" i="12"/>
  <c r="S100" i="12" s="1"/>
  <c r="T100" i="12" s="1"/>
  <c r="V133" i="11"/>
  <c r="T133" i="11" l="1"/>
  <c r="R100" i="12" s="1"/>
  <c r="U100" i="12" s="1"/>
  <c r="X100" i="12" s="1"/>
  <c r="Z134" i="11"/>
  <c r="EB134" i="11" l="1"/>
  <c r="AC134" i="11"/>
  <c r="F134" i="11"/>
  <c r="AE134" i="11" l="1"/>
  <c r="E101" i="12"/>
  <c r="AF134" i="11"/>
  <c r="ED134" i="11"/>
  <c r="EE134" i="11" s="1"/>
  <c r="EG134" i="11" s="1"/>
  <c r="EK134" i="11" l="1"/>
  <c r="EJ134" i="11"/>
  <c r="EF134" i="11"/>
  <c r="O134" i="11"/>
  <c r="F101" i="12" s="1"/>
  <c r="G101" i="12" s="1"/>
  <c r="AG134" i="11"/>
  <c r="EL134" i="11" l="1"/>
  <c r="AD134" i="11"/>
  <c r="AJ134" i="11"/>
  <c r="J134" i="11" s="1"/>
  <c r="G134" i="11"/>
  <c r="AK134" i="11"/>
  <c r="K134" i="11" s="1"/>
  <c r="R134" i="11" s="1"/>
  <c r="Q134" i="11" l="1"/>
  <c r="AL134" i="11"/>
  <c r="H134" i="11" s="1"/>
  <c r="P134" i="11"/>
  <c r="H101" i="12"/>
  <c r="J101" i="12" l="1"/>
  <c r="L101" i="12"/>
  <c r="O101" i="12" s="1"/>
  <c r="I101" i="12"/>
  <c r="K101" i="12"/>
  <c r="I134" i="11"/>
  <c r="P101" i="12" l="1"/>
  <c r="S101" i="12" s="1"/>
  <c r="T101" i="12" s="1"/>
  <c r="S134" i="11"/>
  <c r="U134" i="11"/>
  <c r="V134" i="11" l="1"/>
  <c r="T134" i="11"/>
  <c r="Q101" i="12"/>
  <c r="Z135" i="11" l="1"/>
  <c r="R101" i="12"/>
  <c r="U101" i="12" s="1"/>
  <c r="X101" i="12" s="1"/>
  <c r="EB135" i="11" l="1"/>
  <c r="AC135" i="11"/>
  <c r="F135" i="11"/>
  <c r="E102" i="12" l="1"/>
  <c r="AE135" i="11"/>
  <c r="AF135" i="11"/>
  <c r="ED135" i="11"/>
  <c r="EE135" i="11" s="1"/>
  <c r="EG135" i="11" s="1"/>
  <c r="AG135" i="11" l="1"/>
  <c r="EJ135" i="11"/>
  <c r="EK135" i="11"/>
  <c r="O135" i="11"/>
  <c r="F102" i="12" s="1"/>
  <c r="G102" i="12" s="1"/>
  <c r="EF135" i="11"/>
  <c r="EL135" i="11" l="1"/>
  <c r="AJ135" i="11"/>
  <c r="J135" i="11" s="1"/>
  <c r="AK135" i="11"/>
  <c r="K135" i="11" s="1"/>
  <c r="AD135" i="11"/>
  <c r="G135" i="11"/>
  <c r="AL135" i="11" l="1"/>
  <c r="H135" i="11" s="1"/>
  <c r="K102" i="12" s="1"/>
  <c r="R135" i="11"/>
  <c r="Q135" i="11"/>
  <c r="H102" i="12"/>
  <c r="P135" i="11"/>
  <c r="I135" i="11" l="1"/>
  <c r="P102" i="12" s="1"/>
  <c r="S102" i="12" s="1"/>
  <c r="T102" i="12" s="1"/>
  <c r="L102" i="12"/>
  <c r="O102" i="12" s="1"/>
  <c r="J102" i="12"/>
  <c r="I102" i="12"/>
  <c r="S135" i="11" l="1"/>
  <c r="U135" i="11"/>
  <c r="Q102" i="12"/>
  <c r="T135" i="11"/>
  <c r="V135" i="11"/>
  <c r="R102" i="12" l="1"/>
  <c r="U102" i="12" s="1"/>
  <c r="X102" i="12" s="1"/>
  <c r="Z136" i="11"/>
  <c r="EB136" i="11" l="1"/>
  <c r="AC136" i="11"/>
  <c r="F136" i="11"/>
  <c r="AF136" i="11" l="1"/>
  <c r="AE136" i="11"/>
  <c r="E103" i="12"/>
  <c r="ED136" i="11"/>
  <c r="EE136" i="11" s="1"/>
  <c r="EG136" i="11" s="1"/>
  <c r="AG136" i="11" l="1"/>
  <c r="AK136" i="11" s="1"/>
  <c r="EK136" i="11"/>
  <c r="EJ136" i="11"/>
  <c r="EF136" i="11"/>
  <c r="O136" i="11"/>
  <c r="F103" i="12" s="1"/>
  <c r="G103" i="12" s="1"/>
  <c r="K136" i="11" l="1"/>
  <c r="AJ136" i="11"/>
  <c r="J136" i="11" s="1"/>
  <c r="AD136" i="11"/>
  <c r="G136" i="11"/>
  <c r="R136" i="11" s="1"/>
  <c r="EL136" i="11"/>
  <c r="AL136" i="11" l="1"/>
  <c r="P136" i="11"/>
  <c r="Q136" i="11"/>
  <c r="H103" i="12"/>
  <c r="I103" i="12" s="1"/>
  <c r="H136" i="11"/>
  <c r="K103" i="12" s="1"/>
  <c r="J103" i="12"/>
  <c r="L103" i="12"/>
  <c r="O103" i="12" s="1"/>
  <c r="I136" i="11" l="1"/>
  <c r="P103" i="12" s="1"/>
  <c r="S103" i="12" s="1"/>
  <c r="T103" i="12" s="1"/>
  <c r="S136" i="11" l="1"/>
  <c r="T136" i="11" s="1"/>
  <c r="U136" i="11"/>
  <c r="V136" i="11" s="1"/>
  <c r="Q103" i="12" l="1"/>
  <c r="R103" i="12"/>
  <c r="U103" i="12" s="1"/>
  <c r="X103" i="12" s="1"/>
  <c r="Z137" i="11"/>
  <c r="EB137" i="11" l="1"/>
  <c r="F137" i="11"/>
  <c r="AC137" i="11"/>
  <c r="AF137" i="11" l="1"/>
  <c r="E104" i="12"/>
  <c r="AE137" i="11"/>
  <c r="ED137" i="11"/>
  <c r="EE137" i="11" s="1"/>
  <c r="EG137" i="11" s="1"/>
  <c r="EF137" i="11" s="1"/>
  <c r="AG137" i="11" l="1"/>
  <c r="AK137" i="11" s="1"/>
  <c r="EK137" i="11"/>
  <c r="EJ137" i="11"/>
  <c r="O137" i="11"/>
  <c r="F104" i="12" s="1"/>
  <c r="G104" i="12" s="1"/>
  <c r="AD137" i="11" l="1"/>
  <c r="AJ137" i="11"/>
  <c r="AL137" i="11" s="1"/>
  <c r="H137" i="11" s="1"/>
  <c r="K104" i="12" s="1"/>
  <c r="EL137" i="11"/>
  <c r="G137" i="11"/>
  <c r="H104" i="12" s="1"/>
  <c r="I104" i="12" s="1"/>
  <c r="K137" i="11"/>
  <c r="P137" i="11" l="1"/>
  <c r="I137" i="11" s="1"/>
  <c r="P104" i="12" s="1"/>
  <c r="S104" i="12" s="1"/>
  <c r="T104" i="12" s="1"/>
  <c r="J137" i="11"/>
  <c r="Q137" i="11" s="1"/>
  <c r="R137" i="11"/>
  <c r="J104" i="12"/>
  <c r="L104" i="12"/>
  <c r="O104" i="12" s="1"/>
  <c r="S137" i="11" l="1"/>
  <c r="Q104" i="12" s="1"/>
  <c r="U137" i="11"/>
  <c r="V137" i="11" s="1"/>
  <c r="T137" i="11" l="1"/>
  <c r="O23" i="1" s="1"/>
  <c r="P23" i="1"/>
  <c r="G72" i="17" s="1"/>
  <c r="Z138" i="11"/>
  <c r="R104" i="12" l="1"/>
  <c r="U104" i="12" s="1"/>
  <c r="X104" i="12" s="1"/>
  <c r="F72" i="17"/>
  <c r="E72" i="17"/>
  <c r="EB138" i="11"/>
  <c r="F138" i="11"/>
  <c r="AC138" i="11"/>
  <c r="AF138" i="11" l="1"/>
  <c r="AE138" i="11"/>
  <c r="E105" i="12"/>
  <c r="ED138" i="11"/>
  <c r="EE138" i="11" s="1"/>
  <c r="EG138" i="11" s="1"/>
  <c r="AG138" i="11" l="1"/>
  <c r="G138" i="11" s="1"/>
  <c r="EK138" i="11"/>
  <c r="EJ138" i="11"/>
  <c r="O138" i="11"/>
  <c r="F105" i="12" s="1"/>
  <c r="G105" i="12" s="1"/>
  <c r="EF138" i="11"/>
  <c r="AJ138" i="11" l="1"/>
  <c r="J138" i="11" s="1"/>
  <c r="Q138" i="11" s="1"/>
  <c r="AK138" i="11"/>
  <c r="K138" i="11" s="1"/>
  <c r="R138" i="11" s="1"/>
  <c r="AD138" i="11"/>
  <c r="EL138" i="11"/>
  <c r="H105" i="12"/>
  <c r="P138" i="11"/>
  <c r="AL138" i="11" l="1"/>
  <c r="H138" i="11" s="1"/>
  <c r="I138" i="11" s="1"/>
  <c r="L105" i="12"/>
  <c r="O105" i="12" s="1"/>
  <c r="J105" i="12"/>
  <c r="I105" i="12"/>
  <c r="K105" i="12" l="1"/>
  <c r="P105" i="12"/>
  <c r="S105" i="12" s="1"/>
  <c r="T105" i="12" s="1"/>
  <c r="U138" i="11"/>
  <c r="S138" i="11"/>
  <c r="Q105" i="12" l="1"/>
  <c r="T138" i="11"/>
  <c r="V138" i="11"/>
  <c r="R105" i="12" l="1"/>
  <c r="U105" i="12" s="1"/>
  <c r="X105" i="12" s="1"/>
  <c r="Z139" i="11"/>
  <c r="EB139" i="11" l="1"/>
  <c r="F139" i="11"/>
  <c r="AC139" i="11"/>
  <c r="AF139" i="11" l="1"/>
  <c r="AE139" i="11"/>
  <c r="E106" i="12"/>
  <c r="ED139" i="11"/>
  <c r="EE139" i="11" s="1"/>
  <c r="EG139" i="11" s="1"/>
  <c r="AG139" i="11" l="1"/>
  <c r="EJ139" i="11"/>
  <c r="EK139" i="11"/>
  <c r="EF139" i="11"/>
  <c r="O139" i="11"/>
  <c r="F106" i="12" s="1"/>
  <c r="G106" i="12" s="1"/>
  <c r="AK139" i="11"/>
  <c r="K139" i="11" s="1"/>
  <c r="AD139" i="11"/>
  <c r="G139" i="11"/>
  <c r="AJ139" i="11"/>
  <c r="J139" i="11" l="1"/>
  <c r="EL139" i="11"/>
  <c r="Q139" i="11"/>
  <c r="R139" i="11"/>
  <c r="H106" i="12"/>
  <c r="I106" i="12" s="1"/>
  <c r="P139" i="11"/>
  <c r="AL139" i="11"/>
  <c r="H139" i="11" s="1"/>
  <c r="K106" i="12" l="1"/>
  <c r="I139" i="11"/>
  <c r="J106" i="12"/>
  <c r="L106" i="12"/>
  <c r="O106" i="12" s="1"/>
  <c r="P106" i="12" l="1"/>
  <c r="S106" i="12" s="1"/>
  <c r="T106" i="12" s="1"/>
  <c r="S139" i="11"/>
  <c r="U139" i="11"/>
  <c r="V139" i="11" l="1"/>
  <c r="T139" i="11"/>
  <c r="Q106" i="12"/>
  <c r="R106" i="12" l="1"/>
  <c r="U106" i="12" s="1"/>
  <c r="X106" i="12" s="1"/>
  <c r="Z140" i="11"/>
  <c r="EB140" i="11" l="1"/>
  <c r="F140" i="11"/>
  <c r="AC140" i="11"/>
  <c r="AE140" i="11" l="1"/>
  <c r="AF140" i="11"/>
  <c r="E107" i="12"/>
  <c r="ED140" i="11"/>
  <c r="EE140" i="11" s="1"/>
  <c r="EG140" i="11" s="1"/>
  <c r="EF140" i="11" s="1"/>
  <c r="EK140" i="11" l="1"/>
  <c r="EJ140" i="11"/>
  <c r="O140" i="11"/>
  <c r="F107" i="12" s="1"/>
  <c r="G107" i="12" s="1"/>
  <c r="AG140" i="11"/>
  <c r="EL140" i="11" l="1"/>
  <c r="AK140" i="11"/>
  <c r="K140" i="11" s="1"/>
  <c r="AD140" i="11"/>
  <c r="G140" i="11"/>
  <c r="AJ140" i="11"/>
  <c r="J140" i="11" s="1"/>
  <c r="Q140" i="11" s="1"/>
  <c r="AL140" i="11" l="1"/>
  <c r="H140" i="11" s="1"/>
  <c r="K107" i="12" s="1"/>
  <c r="H107" i="12"/>
  <c r="P140" i="11"/>
  <c r="R140" i="11"/>
  <c r="I140" i="11" l="1"/>
  <c r="P107" i="12" s="1"/>
  <c r="S107" i="12" s="1"/>
  <c r="T107" i="12" s="1"/>
  <c r="L107" i="12"/>
  <c r="O107" i="12" s="1"/>
  <c r="J107" i="12"/>
  <c r="I107" i="12"/>
  <c r="S140" i="11" l="1"/>
  <c r="U140" i="11"/>
  <c r="V140" i="11" s="1"/>
  <c r="Q107" i="12"/>
  <c r="T140" i="11"/>
  <c r="R107" i="12" l="1"/>
  <c r="U107" i="12" s="1"/>
  <c r="X107" i="12" s="1"/>
  <c r="Z141" i="11"/>
  <c r="EB141" i="11" l="1"/>
  <c r="F141" i="11"/>
  <c r="AC141" i="11"/>
  <c r="AE141" i="11" l="1"/>
  <c r="E108" i="12"/>
  <c r="AF141" i="11"/>
  <c r="ED141" i="11"/>
  <c r="EE141" i="11" s="1"/>
  <c r="EG141" i="11" s="1"/>
  <c r="EJ141" i="11" l="1"/>
  <c r="EK141" i="11"/>
  <c r="EF141" i="11"/>
  <c r="O141" i="11"/>
  <c r="F108" i="12" s="1"/>
  <c r="G108" i="12" s="1"/>
  <c r="AG141" i="11"/>
  <c r="EL141" i="11" l="1"/>
  <c r="AD141" i="11"/>
  <c r="AK141" i="11"/>
  <c r="K141" i="11" s="1"/>
  <c r="G141" i="11"/>
  <c r="AJ141" i="11"/>
  <c r="J141" i="11" s="1"/>
  <c r="Q141" i="11" s="1"/>
  <c r="R141" i="11" l="1"/>
  <c r="AL141" i="11"/>
  <c r="H141" i="11" s="1"/>
  <c r="K108" i="12" s="1"/>
  <c r="P141" i="11"/>
  <c r="H108" i="12"/>
  <c r="I141" i="11" l="1"/>
  <c r="P108" i="12" s="1"/>
  <c r="S108" i="12" s="1"/>
  <c r="T108" i="12" s="1"/>
  <c r="J108" i="12"/>
  <c r="L108" i="12"/>
  <c r="O108" i="12" s="1"/>
  <c r="I108" i="12"/>
  <c r="U141" i="11" l="1"/>
  <c r="V141" i="11" s="1"/>
  <c r="S141" i="11"/>
  <c r="T141" i="11" s="1"/>
  <c r="Q108" i="12" l="1"/>
  <c r="R108" i="12"/>
  <c r="Z142" i="11"/>
  <c r="U108" i="12" l="1"/>
  <c r="X108" i="12" s="1"/>
  <c r="EB142" i="11"/>
  <c r="AC142" i="11"/>
  <c r="F142" i="11"/>
  <c r="AF142" i="11" l="1"/>
  <c r="AE142" i="11"/>
  <c r="E109" i="12"/>
  <c r="ED142" i="11"/>
  <c r="EE142" i="11" s="1"/>
  <c r="EG142" i="11" s="1"/>
  <c r="EF142" i="11" s="1"/>
  <c r="AG142" i="11" l="1"/>
  <c r="AK142" i="11" s="1"/>
  <c r="EJ142" i="11"/>
  <c r="EK142" i="11"/>
  <c r="O142" i="11"/>
  <c r="F109" i="12" s="1"/>
  <c r="G109" i="12" s="1"/>
  <c r="K142" i="11" l="1"/>
  <c r="AJ142" i="11"/>
  <c r="J142" i="11" s="1"/>
  <c r="G142" i="11"/>
  <c r="R142" i="11" s="1"/>
  <c r="AD142" i="11"/>
  <c r="EL142" i="11"/>
  <c r="P142" i="11"/>
  <c r="H109" i="12"/>
  <c r="I109" i="12" s="1"/>
  <c r="AL142" i="11" l="1"/>
  <c r="H142" i="11" s="1"/>
  <c r="Q142" i="11"/>
  <c r="L109" i="12"/>
  <c r="O109" i="12" s="1"/>
  <c r="J109" i="12"/>
  <c r="I142" i="11" l="1"/>
  <c r="P109" i="12" s="1"/>
  <c r="K109" i="12"/>
  <c r="S142" i="11"/>
  <c r="S109" i="12" l="1"/>
  <c r="T109" i="12" s="1"/>
  <c r="U142" i="11"/>
  <c r="V142" i="11" s="1"/>
  <c r="T142" i="11"/>
  <c r="Q109" i="12"/>
  <c r="Z143" i="11" l="1"/>
  <c r="R109" i="12"/>
  <c r="U109" i="12" s="1"/>
  <c r="X109" i="12" s="1"/>
  <c r="EB143" i="11" l="1"/>
  <c r="F143" i="11"/>
  <c r="AC143" i="11"/>
  <c r="E110" i="12" l="1"/>
  <c r="AE143" i="11"/>
  <c r="AF143" i="11"/>
  <c r="ED143" i="11"/>
  <c r="EE143" i="11" s="1"/>
  <c r="EG143" i="11" s="1"/>
  <c r="EF143" i="11" s="1"/>
  <c r="AG143" i="11" l="1"/>
  <c r="AJ143" i="11" s="1"/>
  <c r="EK143" i="11"/>
  <c r="EJ143" i="11"/>
  <c r="O143" i="11"/>
  <c r="F110" i="12" s="1"/>
  <c r="G110" i="12" s="1"/>
  <c r="J143" i="11" l="1"/>
  <c r="G143" i="11"/>
  <c r="AK143" i="11"/>
  <c r="K143" i="11" s="1"/>
  <c r="AD143" i="11"/>
  <c r="EL143" i="11"/>
  <c r="H110" i="12"/>
  <c r="I110" i="12" s="1"/>
  <c r="P143" i="11"/>
  <c r="R143" i="11" l="1"/>
  <c r="Q143" i="11"/>
  <c r="AL143" i="11"/>
  <c r="H143" i="11" s="1"/>
  <c r="I143" i="11" s="1"/>
  <c r="J110" i="12"/>
  <c r="L110" i="12"/>
  <c r="O110" i="12" s="1"/>
  <c r="K110" i="12" l="1"/>
  <c r="P110" i="12"/>
  <c r="S110" i="12" s="1"/>
  <c r="T110" i="12" s="1"/>
  <c r="S143" i="11"/>
  <c r="U143" i="11"/>
  <c r="V143" i="11" s="1"/>
  <c r="T143" i="11" l="1"/>
  <c r="Q110" i="12"/>
  <c r="R110" i="12" l="1"/>
  <c r="U110" i="12" s="1"/>
  <c r="X110" i="12" s="1"/>
  <c r="Z144" i="11"/>
  <c r="EB144" i="11" l="1"/>
  <c r="AC144" i="11"/>
  <c r="F144" i="11"/>
  <c r="AF144" i="11" l="1"/>
  <c r="AE144" i="11"/>
  <c r="E111" i="12"/>
  <c r="ED144" i="11"/>
  <c r="EE144" i="11" s="1"/>
  <c r="EG144" i="11" s="1"/>
  <c r="EF144" i="11" s="1"/>
  <c r="AG144" i="11" l="1"/>
  <c r="EK144" i="11"/>
  <c r="EJ144" i="11"/>
  <c r="O144" i="11"/>
  <c r="F111" i="12" s="1"/>
  <c r="G111" i="12" s="1"/>
  <c r="EL144" i="11" l="1"/>
  <c r="AJ144" i="11"/>
  <c r="J144" i="11" s="1"/>
  <c r="AK144" i="11"/>
  <c r="K144" i="11" s="1"/>
  <c r="AD144" i="11"/>
  <c r="G144" i="11"/>
  <c r="R144" i="11" l="1"/>
  <c r="Q144" i="11"/>
  <c r="AL144" i="11"/>
  <c r="H144" i="11" s="1"/>
  <c r="P144" i="11"/>
  <c r="H111" i="12"/>
  <c r="J111" i="12" l="1"/>
  <c r="L111" i="12"/>
  <c r="O111" i="12" s="1"/>
  <c r="I111" i="12"/>
  <c r="K111" i="12"/>
  <c r="I144" i="11"/>
  <c r="S144" i="11" l="1"/>
  <c r="P111" i="12"/>
  <c r="S111" i="12" s="1"/>
  <c r="T111" i="12" s="1"/>
  <c r="U144" i="11"/>
  <c r="V144" i="11" s="1"/>
  <c r="T144" i="11" l="1"/>
  <c r="Q111" i="12"/>
  <c r="R111" i="12" l="1"/>
  <c r="U111" i="12" s="1"/>
  <c r="X111" i="12" s="1"/>
  <c r="Z145" i="11"/>
  <c r="EB145" i="11" l="1"/>
  <c r="F145" i="11"/>
  <c r="AC145" i="11"/>
  <c r="E112" i="12" l="1"/>
  <c r="AF145" i="11"/>
  <c r="AE145" i="11"/>
  <c r="ED145" i="11"/>
  <c r="EE145" i="11" s="1"/>
  <c r="EG145" i="11" s="1"/>
  <c r="EF145" i="11" s="1"/>
  <c r="AG145" i="11" l="1"/>
  <c r="AJ145" i="11" s="1"/>
  <c r="O145" i="11"/>
  <c r="F112" i="12" s="1"/>
  <c r="G112" i="12" s="1"/>
  <c r="EK145" i="11"/>
  <c r="EJ145" i="11"/>
  <c r="AK145" i="11" l="1"/>
  <c r="AL145" i="11" s="1"/>
  <c r="G145" i="11"/>
  <c r="H112" i="12" s="1"/>
  <c r="I112" i="12" s="1"/>
  <c r="AD145" i="11"/>
  <c r="EL145" i="11"/>
  <c r="K145" i="11"/>
  <c r="R145" i="11" s="1"/>
  <c r="J145" i="11"/>
  <c r="Q145" i="11" s="1"/>
  <c r="P145" i="11" l="1"/>
  <c r="H145" i="11"/>
  <c r="K112" i="12" s="1"/>
  <c r="L112" i="12"/>
  <c r="O112" i="12" s="1"/>
  <c r="J112" i="12"/>
  <c r="I145" i="11" l="1"/>
  <c r="P112" i="12" l="1"/>
  <c r="S112" i="12" s="1"/>
  <c r="T112" i="12" s="1"/>
  <c r="S145" i="11"/>
  <c r="U145" i="11"/>
  <c r="V145" i="11" s="1"/>
  <c r="Q112" i="12" l="1"/>
  <c r="T145" i="11"/>
  <c r="R112" i="12" l="1"/>
  <c r="Z146" i="11"/>
  <c r="U112" i="12"/>
  <c r="X112" i="12" s="1"/>
  <c r="EB146" i="11" l="1"/>
  <c r="ED146" i="11" s="1"/>
  <c r="EE146" i="11" s="1"/>
  <c r="EG146" i="11" s="1"/>
  <c r="EJ146" i="11" s="1"/>
  <c r="AC146" i="11"/>
  <c r="F146" i="11"/>
  <c r="EF146" i="11" l="1"/>
  <c r="O146" i="11"/>
  <c r="EK146" i="11"/>
  <c r="AE146" i="11"/>
  <c r="E113" i="12"/>
  <c r="AF146" i="11"/>
  <c r="EL146" i="11"/>
  <c r="AG146" i="11" l="1"/>
  <c r="AJ146" i="11" s="1"/>
  <c r="J146" i="11" s="1"/>
  <c r="Q146" i="11" s="1"/>
  <c r="G146" i="11"/>
  <c r="H113" i="12" s="1"/>
  <c r="F113" i="12"/>
  <c r="G113" i="12" s="1"/>
  <c r="AK146" i="11"/>
  <c r="K146" i="11" s="1"/>
  <c r="R146" i="11" s="1"/>
  <c r="P146" i="11"/>
  <c r="AD146" i="11" l="1"/>
  <c r="AL146" i="11"/>
  <c r="H146" i="11" s="1"/>
  <c r="K113" i="12" s="1"/>
  <c r="L113" i="12"/>
  <c r="O113" i="12" s="1"/>
  <c r="J113" i="12"/>
  <c r="I113" i="12"/>
  <c r="I146" i="11" l="1"/>
  <c r="P113" i="12" s="1"/>
  <c r="S113" i="12" s="1"/>
  <c r="T113" i="12" s="1"/>
  <c r="S146" i="11"/>
  <c r="Q113" i="12" s="1"/>
  <c r="U146" i="11"/>
  <c r="V146" i="11" s="1"/>
  <c r="T146" i="11" l="1"/>
  <c r="R113" i="12" s="1"/>
  <c r="U113" i="12" s="1"/>
  <c r="X113" i="12" s="1"/>
  <c r="Z147" i="11" l="1"/>
  <c r="EB147" i="11" s="1"/>
  <c r="AC147" i="11" l="1"/>
  <c r="E114" i="12" s="1"/>
  <c r="F147" i="11"/>
  <c r="AE147" i="11"/>
  <c r="AF147" i="11"/>
  <c r="ED147" i="11"/>
  <c r="EE147" i="11" s="1"/>
  <c r="EG147" i="11" s="1"/>
  <c r="AG147" i="11" l="1"/>
  <c r="EK147" i="11"/>
  <c r="EJ147" i="11"/>
  <c r="O147" i="11"/>
  <c r="F114" i="12" s="1"/>
  <c r="G114" i="12" s="1"/>
  <c r="AD147" i="11"/>
  <c r="AJ147" i="11"/>
  <c r="J147" i="11" s="1"/>
  <c r="AK147" i="11"/>
  <c r="G147" i="11"/>
  <c r="EF147" i="11"/>
  <c r="K147" i="11" l="1"/>
  <c r="EL147" i="11"/>
  <c r="R147" i="11"/>
  <c r="Q147" i="11"/>
  <c r="H114" i="12"/>
  <c r="P147" i="11"/>
  <c r="AL147" i="11"/>
  <c r="H147" i="11" s="1"/>
  <c r="K114" i="12" s="1"/>
  <c r="I147" i="11" l="1"/>
  <c r="L114" i="12"/>
  <c r="O114" i="12" s="1"/>
  <c r="J114" i="12"/>
  <c r="I114" i="12"/>
  <c r="S147" i="11" l="1"/>
  <c r="P114" i="12"/>
  <c r="S114" i="12" s="1"/>
  <c r="T114" i="12" s="1"/>
  <c r="U147" i="11"/>
  <c r="V147" i="11" s="1"/>
  <c r="Q114" i="12" l="1"/>
  <c r="T147" i="11"/>
  <c r="Z148" i="11" l="1"/>
  <c r="R114" i="12"/>
  <c r="U114" i="12" s="1"/>
  <c r="X114" i="12" s="1"/>
  <c r="EB148" i="11" l="1"/>
  <c r="AC148" i="11"/>
  <c r="F148" i="11"/>
  <c r="AF148" i="11" l="1"/>
  <c r="E115" i="12"/>
  <c r="AE148" i="11"/>
  <c r="AG148" i="11" s="1"/>
  <c r="ED148" i="11"/>
  <c r="EE148" i="11" s="1"/>
  <c r="EG148" i="11" s="1"/>
  <c r="EF148" i="11" s="1"/>
  <c r="EJ148" i="11" l="1"/>
  <c r="EK148" i="11"/>
  <c r="O148" i="11"/>
  <c r="F115" i="12" s="1"/>
  <c r="G115" i="12" s="1"/>
  <c r="G148" i="11"/>
  <c r="AK148" i="11"/>
  <c r="K148" i="11" s="1"/>
  <c r="R148" i="11" s="1"/>
  <c r="AJ148" i="11"/>
  <c r="AD148" i="11"/>
  <c r="J148" i="11" l="1"/>
  <c r="Q148" i="11" s="1"/>
  <c r="EL148" i="11"/>
  <c r="H115" i="12"/>
  <c r="I115" i="12" s="1"/>
  <c r="P148" i="11"/>
  <c r="AL148" i="11"/>
  <c r="H148" i="11" s="1"/>
  <c r="K115" i="12" s="1"/>
  <c r="I148" i="11" l="1"/>
  <c r="L115" i="12"/>
  <c r="O115" i="12" s="1"/>
  <c r="J115" i="12"/>
  <c r="P115" i="12" l="1"/>
  <c r="S115" i="12" s="1"/>
  <c r="T115" i="12" s="1"/>
  <c r="S148" i="11"/>
  <c r="U148" i="11"/>
  <c r="V148" i="11" s="1"/>
  <c r="Q115" i="12" l="1"/>
  <c r="T148" i="11"/>
  <c r="Z149" i="11" l="1"/>
  <c r="R115" i="12"/>
  <c r="U115" i="12" s="1"/>
  <c r="X115" i="12" s="1"/>
  <c r="EB149" i="11" l="1"/>
  <c r="AC149" i="11"/>
  <c r="F149" i="11"/>
  <c r="AF149" i="11" l="1"/>
  <c r="E116" i="12"/>
  <c r="AE149" i="11"/>
  <c r="ED149" i="11"/>
  <c r="EE149" i="11" s="1"/>
  <c r="EG149" i="11" s="1"/>
  <c r="EF149" i="11" s="1"/>
  <c r="AG149" i="11" l="1"/>
  <c r="EK149" i="11"/>
  <c r="EJ149" i="11"/>
  <c r="AK149" i="11"/>
  <c r="K149" i="11" s="1"/>
  <c r="G149" i="11"/>
  <c r="AD149" i="11"/>
  <c r="AJ149" i="11"/>
  <c r="J149" i="11" s="1"/>
  <c r="O149" i="11"/>
  <c r="F116" i="12" s="1"/>
  <c r="G116" i="12" s="1"/>
  <c r="EL149" i="11" l="1"/>
  <c r="Q149" i="11"/>
  <c r="AL149" i="11"/>
  <c r="H116" i="12"/>
  <c r="P149" i="11"/>
  <c r="R149" i="11"/>
  <c r="I116" i="12"/>
  <c r="H149" i="11" l="1"/>
  <c r="L116" i="12"/>
  <c r="O116" i="12" s="1"/>
  <c r="J116" i="12"/>
  <c r="K116" i="12"/>
  <c r="I149" i="11"/>
  <c r="P116" i="12" l="1"/>
  <c r="S116" i="12" s="1"/>
  <c r="T116" i="12" s="1"/>
  <c r="S149" i="11"/>
  <c r="U149" i="11"/>
  <c r="V149" i="11" s="1"/>
  <c r="P24" i="1" l="1"/>
  <c r="G73" i="17" s="1"/>
  <c r="Q116" i="12"/>
  <c r="T149" i="11"/>
  <c r="O24" i="1" l="1"/>
  <c r="Z150" i="11"/>
  <c r="R116" i="12"/>
  <c r="U116" i="12" s="1"/>
  <c r="X116" i="12" s="1"/>
  <c r="F73" i="17" l="1"/>
  <c r="E73" i="17"/>
  <c r="EB150" i="11"/>
  <c r="AC150" i="11"/>
  <c r="F150" i="11"/>
  <c r="E117" i="12" l="1"/>
  <c r="AF150" i="11"/>
  <c r="AE150" i="11"/>
  <c r="ED150" i="11"/>
  <c r="EE150" i="11" s="1"/>
  <c r="EG150" i="11" s="1"/>
  <c r="EF150" i="11" s="1"/>
  <c r="AG150" i="11" l="1"/>
  <c r="AD150" i="11" s="1"/>
  <c r="EK150" i="11"/>
  <c r="EJ150" i="11"/>
  <c r="O150" i="11"/>
  <c r="F117" i="12" s="1"/>
  <c r="G117" i="12" s="1"/>
  <c r="G150" i="11" l="1"/>
  <c r="AK150" i="11"/>
  <c r="AJ150" i="11"/>
  <c r="J150" i="11" s="1"/>
  <c r="Q150" i="11" s="1"/>
  <c r="EL150" i="11"/>
  <c r="P150" i="11"/>
  <c r="H117" i="12"/>
  <c r="I117" i="12" s="1"/>
  <c r="K150" i="11"/>
  <c r="R150" i="11" s="1"/>
  <c r="AL150" i="11" l="1"/>
  <c r="H150" i="11" s="1"/>
  <c r="J117" i="12"/>
  <c r="L117" i="12"/>
  <c r="O117" i="12" s="1"/>
  <c r="K117" i="12" l="1"/>
  <c r="I150" i="11"/>
  <c r="P117" i="12" s="1"/>
  <c r="S117" i="12" s="1"/>
  <c r="T117" i="12" s="1"/>
  <c r="U150" i="11" l="1"/>
  <c r="V150" i="11" s="1"/>
  <c r="S150" i="11"/>
  <c r="Q117" i="12" s="1"/>
  <c r="T150" i="11" l="1"/>
  <c r="R117" i="12" s="1"/>
  <c r="U117" i="12" s="1"/>
  <c r="X117" i="12" s="1"/>
  <c r="Z151" i="11"/>
  <c r="EB151" i="11" l="1"/>
  <c r="AC151" i="11"/>
  <c r="F151" i="11"/>
  <c r="AF151" i="11" l="1"/>
  <c r="E118" i="12"/>
  <c r="AE151" i="11"/>
  <c r="AG151" i="11" s="1"/>
  <c r="ED151" i="11"/>
  <c r="EE151" i="11" s="1"/>
  <c r="EG151" i="11" s="1"/>
  <c r="EJ151" i="11" l="1"/>
  <c r="EK151" i="11"/>
  <c r="EF151" i="11"/>
  <c r="AJ151" i="11"/>
  <c r="J151" i="11" s="1"/>
  <c r="AK151" i="11"/>
  <c r="K151" i="11" s="1"/>
  <c r="G151" i="11"/>
  <c r="AD151" i="11"/>
  <c r="O151" i="11"/>
  <c r="F118" i="12" s="1"/>
  <c r="G118" i="12" s="1"/>
  <c r="R151" i="11" l="1"/>
  <c r="EL151" i="11"/>
  <c r="Q151" i="11"/>
  <c r="H118" i="12"/>
  <c r="P151" i="11"/>
  <c r="AL151" i="11"/>
  <c r="H151" i="11" l="1"/>
  <c r="K118" i="12" s="1"/>
  <c r="J118" i="12"/>
  <c r="L118" i="12"/>
  <c r="O118" i="12" s="1"/>
  <c r="I118" i="12"/>
  <c r="I151" i="11" l="1"/>
  <c r="P118" i="12"/>
  <c r="S118" i="12" s="1"/>
  <c r="T118" i="12" s="1"/>
  <c r="S151" i="11"/>
  <c r="U151" i="11"/>
  <c r="V151" i="11" s="1"/>
  <c r="Q118" i="12" l="1"/>
  <c r="T151" i="11"/>
  <c r="R118" i="12" l="1"/>
  <c r="U118" i="12" s="1"/>
  <c r="X118" i="12" s="1"/>
  <c r="Z152" i="11"/>
  <c r="EB152" i="11" l="1"/>
  <c r="F152" i="11"/>
  <c r="AC152" i="11"/>
  <c r="AF152" i="11" l="1"/>
  <c r="AE152" i="11"/>
  <c r="E119" i="12"/>
  <c r="ED152" i="11"/>
  <c r="EE152" i="11" s="1"/>
  <c r="EG152" i="11" s="1"/>
  <c r="EF152" i="11" s="1"/>
  <c r="AG152" i="11" l="1"/>
  <c r="G152" i="11" s="1"/>
  <c r="O152" i="11"/>
  <c r="F119" i="12" s="1"/>
  <c r="G119" i="12" s="1"/>
  <c r="EJ152" i="11"/>
  <c r="EK152" i="11"/>
  <c r="AD152" i="11" l="1"/>
  <c r="AJ152" i="11"/>
  <c r="J152" i="11" s="1"/>
  <c r="Q152" i="11" s="1"/>
  <c r="AK152" i="11"/>
  <c r="K152" i="11" s="1"/>
  <c r="R152" i="11" s="1"/>
  <c r="EL152" i="11"/>
  <c r="H119" i="12"/>
  <c r="P152" i="11"/>
  <c r="AL152" i="11" l="1"/>
  <c r="H152" i="11" s="1"/>
  <c r="K119" i="12" s="1"/>
  <c r="L119" i="12"/>
  <c r="O119" i="12" s="1"/>
  <c r="J119" i="12"/>
  <c r="I119" i="12"/>
  <c r="I152" i="11" l="1"/>
  <c r="P119" i="12" s="1"/>
  <c r="S119" i="12" s="1"/>
  <c r="T119" i="12" s="1"/>
  <c r="U152" i="11"/>
  <c r="V152" i="11" s="1"/>
  <c r="S152" i="11" l="1"/>
  <c r="T152" i="11" s="1"/>
  <c r="Q119" i="12" l="1"/>
  <c r="Z153" i="11"/>
  <c r="R119" i="12"/>
  <c r="U119" i="12" s="1"/>
  <c r="X119" i="12" s="1"/>
  <c r="EB153" i="11" l="1"/>
  <c r="F153" i="11"/>
  <c r="AC153" i="11"/>
  <c r="AF153" i="11" l="1"/>
  <c r="AE153" i="11"/>
  <c r="E120" i="12"/>
  <c r="ED153" i="11"/>
  <c r="EE153" i="11" s="1"/>
  <c r="EG153" i="11" s="1"/>
  <c r="AG153" i="11" l="1"/>
  <c r="AD153" i="11" s="1"/>
  <c r="EJ153" i="11"/>
  <c r="EK153" i="11"/>
  <c r="O153" i="11"/>
  <c r="F120" i="12" s="1"/>
  <c r="G120" i="12" s="1"/>
  <c r="EF153" i="11"/>
  <c r="AJ153" i="11" l="1"/>
  <c r="G153" i="11"/>
  <c r="AK153" i="11"/>
  <c r="K153" i="11" s="1"/>
  <c r="J153" i="11"/>
  <c r="EL153" i="11"/>
  <c r="H120" i="12"/>
  <c r="P153" i="11"/>
  <c r="R153" i="11" l="1"/>
  <c r="Q153" i="11"/>
  <c r="AL153" i="11"/>
  <c r="H153" i="11" s="1"/>
  <c r="L120" i="12"/>
  <c r="O120" i="12" s="1"/>
  <c r="J120" i="12"/>
  <c r="I120" i="12"/>
  <c r="K120" i="12" l="1"/>
  <c r="I153" i="11"/>
  <c r="S153" i="11" s="1"/>
  <c r="U153" i="11" l="1"/>
  <c r="V153" i="11" s="1"/>
  <c r="P120" i="12"/>
  <c r="S120" i="12" s="1"/>
  <c r="T120" i="12" s="1"/>
  <c r="T153" i="11"/>
  <c r="Q120" i="12"/>
  <c r="R120" i="12" l="1"/>
  <c r="U120" i="12" s="1"/>
  <c r="X120" i="12" s="1"/>
  <c r="Z154" i="11"/>
  <c r="EB154" i="11" l="1"/>
  <c r="ED154" i="11" s="1"/>
  <c r="EE154" i="11" s="1"/>
  <c r="EG154" i="11" s="1"/>
  <c r="F154" i="11"/>
  <c r="AC154" i="11"/>
  <c r="AE154" i="11" l="1"/>
  <c r="AF154" i="11"/>
  <c r="E121" i="12"/>
  <c r="O154" i="11"/>
  <c r="F121" i="12" s="1"/>
  <c r="G121" i="12" s="1"/>
  <c r="EF154" i="11"/>
  <c r="EK154" i="11"/>
  <c r="EJ154" i="11"/>
  <c r="EL154" i="11" l="1"/>
  <c r="AG154" i="11"/>
  <c r="AD154" i="11" l="1"/>
  <c r="G154" i="11"/>
  <c r="AK154" i="11"/>
  <c r="AJ154" i="11"/>
  <c r="J154" i="11" s="1"/>
  <c r="Q154" i="11" s="1"/>
  <c r="AL154" i="11" l="1"/>
  <c r="H154" i="11" s="1"/>
  <c r="K154" i="11"/>
  <c r="R154" i="11" s="1"/>
  <c r="H121" i="12"/>
  <c r="P154" i="11"/>
  <c r="J121" i="12" l="1"/>
  <c r="L121" i="12"/>
  <c r="O121" i="12" s="1"/>
  <c r="I121" i="12"/>
  <c r="K121" i="12"/>
  <c r="I154" i="11"/>
  <c r="P121" i="12" l="1"/>
  <c r="S121" i="12" s="1"/>
  <c r="T121" i="12" s="1"/>
  <c r="U154" i="11"/>
  <c r="V154" i="11" s="1"/>
  <c r="S154" i="11"/>
  <c r="T154" i="11" l="1"/>
  <c r="Q121" i="12"/>
  <c r="Z155" i="11" l="1"/>
  <c r="R121" i="12"/>
  <c r="U121" i="12" s="1"/>
  <c r="X121" i="12" s="1"/>
  <c r="EB155" i="11" l="1"/>
  <c r="F155" i="11"/>
  <c r="AC155" i="11"/>
  <c r="AE155" i="11" l="1"/>
  <c r="E122" i="12"/>
  <c r="AF155" i="11"/>
  <c r="ED155" i="11"/>
  <c r="EE155" i="11" s="1"/>
  <c r="EG155" i="11" s="1"/>
  <c r="EF155" i="11" s="1"/>
  <c r="EJ155" i="11" l="1"/>
  <c r="EK155" i="11"/>
  <c r="O155" i="11"/>
  <c r="F122" i="12" s="1"/>
  <c r="G122" i="12" s="1"/>
  <c r="AG155" i="11"/>
  <c r="EL155" i="11" l="1"/>
  <c r="AD155" i="11"/>
  <c r="AJ155" i="11"/>
  <c r="J155" i="11" s="1"/>
  <c r="AK155" i="11"/>
  <c r="K155" i="11" s="1"/>
  <c r="G155" i="11"/>
  <c r="Q155" i="11" l="1"/>
  <c r="R155" i="11"/>
  <c r="AL155" i="11"/>
  <c r="H155" i="11" s="1"/>
  <c r="P155" i="11"/>
  <c r="H122" i="12"/>
  <c r="L122" i="12" l="1"/>
  <c r="O122" i="12" s="1"/>
  <c r="J122" i="12"/>
  <c r="I122" i="12"/>
  <c r="K122" i="12"/>
  <c r="I155" i="11"/>
  <c r="U155" i="11" l="1"/>
  <c r="V155" i="11" s="1"/>
  <c r="S155" i="11"/>
  <c r="P122" i="12"/>
  <c r="S122" i="12" s="1"/>
  <c r="T122" i="12" s="1"/>
  <c r="Q122" i="12" l="1"/>
  <c r="T155" i="11"/>
  <c r="Z156" i="11" l="1"/>
  <c r="R122" i="12"/>
  <c r="U122" i="12" s="1"/>
  <c r="X122" i="12" s="1"/>
  <c r="EB156" i="11" l="1"/>
  <c r="AC156" i="11"/>
  <c r="F156" i="11"/>
  <c r="AF156" i="11" l="1"/>
  <c r="AE156" i="11"/>
  <c r="E123" i="12"/>
  <c r="ED156" i="11"/>
  <c r="EE156" i="11" s="1"/>
  <c r="EG156" i="11" s="1"/>
  <c r="EJ156" i="11" l="1"/>
  <c r="EK156" i="11"/>
  <c r="O156" i="11"/>
  <c r="F123" i="12" s="1"/>
  <c r="G123" i="12" s="1"/>
  <c r="EF156" i="11"/>
  <c r="AG156" i="11"/>
  <c r="EL156" i="11" l="1"/>
  <c r="AD156" i="11"/>
  <c r="G156" i="11"/>
  <c r="AJ156" i="11"/>
  <c r="J156" i="11" s="1"/>
  <c r="Q156" i="11" s="1"/>
  <c r="AK156" i="11"/>
  <c r="K156" i="11" s="1"/>
  <c r="R156" i="11" s="1"/>
  <c r="AL156" i="11" l="1"/>
  <c r="H156" i="11" s="1"/>
  <c r="H123" i="12"/>
  <c r="P156" i="11"/>
  <c r="L123" i="12" l="1"/>
  <c r="O123" i="12" s="1"/>
  <c r="J123" i="12"/>
  <c r="I123" i="12"/>
  <c r="K123" i="12"/>
  <c r="I156" i="11"/>
  <c r="P123" i="12" l="1"/>
  <c r="S123" i="12" s="1"/>
  <c r="T123" i="12" s="1"/>
  <c r="U156" i="11"/>
  <c r="S156" i="11"/>
  <c r="T156" i="11" l="1"/>
  <c r="Q123" i="12"/>
  <c r="V156" i="11"/>
  <c r="Z157" i="11" l="1"/>
  <c r="R123" i="12"/>
  <c r="U123" i="12" s="1"/>
  <c r="X123" i="12" s="1"/>
  <c r="EB157" i="11" l="1"/>
  <c r="F157" i="11"/>
  <c r="AC157" i="11"/>
  <c r="E124" i="12" l="1"/>
  <c r="AF157" i="11"/>
  <c r="AE157" i="11"/>
  <c r="ED157" i="11"/>
  <c r="EE157" i="11" s="1"/>
  <c r="EG157" i="11" s="1"/>
  <c r="AG157" i="11" l="1"/>
  <c r="AJ157" i="11" s="1"/>
  <c r="EJ157" i="11"/>
  <c r="EK157" i="11"/>
  <c r="EF157" i="11"/>
  <c r="O157" i="11"/>
  <c r="F124" i="12" s="1"/>
  <c r="G124" i="12" s="1"/>
  <c r="J157" i="11" l="1"/>
  <c r="G157" i="11"/>
  <c r="AD157" i="11"/>
  <c r="AK157" i="11"/>
  <c r="K157" i="11" s="1"/>
  <c r="R157" i="11" s="1"/>
  <c r="EL157" i="11"/>
  <c r="P157" i="11"/>
  <c r="H124" i="12"/>
  <c r="I124" i="12" s="1"/>
  <c r="Q157" i="11" l="1"/>
  <c r="AL157" i="11"/>
  <c r="H157" i="11" s="1"/>
  <c r="K124" i="12" s="1"/>
  <c r="J124" i="12"/>
  <c r="L124" i="12"/>
  <c r="O124" i="12" s="1"/>
  <c r="I157" i="11" l="1"/>
  <c r="P124" i="12" s="1"/>
  <c r="S124" i="12" s="1"/>
  <c r="T124" i="12" s="1"/>
  <c r="S157" i="11" l="1"/>
  <c r="Q124" i="12" s="1"/>
  <c r="U157" i="11"/>
  <c r="V157" i="11" s="1"/>
  <c r="T157" i="11" l="1"/>
  <c r="Z158" i="11"/>
  <c r="R124" i="12"/>
  <c r="U124" i="12" s="1"/>
  <c r="X124" i="12" s="1"/>
  <c r="EB158" i="11" l="1"/>
  <c r="ED158" i="11" s="1"/>
  <c r="EE158" i="11" s="1"/>
  <c r="EG158" i="11" s="1"/>
  <c r="F158" i="11"/>
  <c r="AC158" i="11"/>
  <c r="AE158" i="11" l="1"/>
  <c r="AF158" i="11"/>
  <c r="O158" i="11"/>
  <c r="E125" i="12"/>
  <c r="EF158" i="11"/>
  <c r="EJ158" i="11"/>
  <c r="EK158" i="11"/>
  <c r="EL158" i="11" l="1"/>
  <c r="F125" i="12"/>
  <c r="G125" i="12" s="1"/>
  <c r="AG158" i="11"/>
  <c r="AK158" i="11" l="1"/>
  <c r="K158" i="11" s="1"/>
  <c r="AD158" i="11"/>
  <c r="AJ158" i="11"/>
  <c r="J158" i="11" s="1"/>
  <c r="G158" i="11"/>
  <c r="R158" i="11" l="1"/>
  <c r="AL158" i="11"/>
  <c r="H158" i="11" s="1"/>
  <c r="K125" i="12" s="1"/>
  <c r="Q158" i="11"/>
  <c r="H125" i="12"/>
  <c r="P158" i="11"/>
  <c r="I158" i="11" l="1"/>
  <c r="J125" i="12"/>
  <c r="L125" i="12"/>
  <c r="O125" i="12" s="1"/>
  <c r="I125" i="12"/>
  <c r="P125" i="12"/>
  <c r="S125" i="12" s="1"/>
  <c r="T125" i="12" s="1"/>
  <c r="U158" i="11"/>
  <c r="S158" i="11"/>
  <c r="V158" i="11" l="1"/>
  <c r="Q125" i="12"/>
  <c r="T158" i="11"/>
  <c r="R125" i="12" l="1"/>
  <c r="U125" i="12" s="1"/>
  <c r="X125" i="12" s="1"/>
  <c r="Z159" i="11"/>
  <c r="EB159" i="11" l="1"/>
  <c r="AC159" i="11"/>
  <c r="F159" i="11"/>
  <c r="AF159" i="11" l="1"/>
  <c r="AE159" i="11"/>
  <c r="E126" i="12"/>
  <c r="ED159" i="11"/>
  <c r="EE159" i="11" s="1"/>
  <c r="EG159" i="11" s="1"/>
  <c r="AG159" i="11" l="1"/>
  <c r="AK159" i="11" s="1"/>
  <c r="EJ159" i="11"/>
  <c r="EK159" i="11"/>
  <c r="O159" i="11"/>
  <c r="F126" i="12" s="1"/>
  <c r="G126" i="12" s="1"/>
  <c r="EF159" i="11"/>
  <c r="K159" i="11" l="1"/>
  <c r="AD159" i="11"/>
  <c r="G159" i="11"/>
  <c r="R159" i="11" s="1"/>
  <c r="AJ159" i="11"/>
  <c r="J159" i="11" s="1"/>
  <c r="Q159" i="11" s="1"/>
  <c r="EL159" i="11"/>
  <c r="H126" i="12"/>
  <c r="I126" i="12" s="1"/>
  <c r="P159" i="11"/>
  <c r="AL159" i="11" l="1"/>
  <c r="H159" i="11" s="1"/>
  <c r="K126" i="12" s="1"/>
  <c r="J126" i="12"/>
  <c r="L126" i="12"/>
  <c r="O126" i="12" s="1"/>
  <c r="I159" i="11" l="1"/>
  <c r="P126" i="12" s="1"/>
  <c r="S126" i="12" s="1"/>
  <c r="T126" i="12" s="1"/>
  <c r="S159" i="11"/>
  <c r="U159" i="11" l="1"/>
  <c r="Q126" i="12"/>
  <c r="T159" i="11"/>
  <c r="V159" i="11"/>
  <c r="Z160" i="11" l="1"/>
  <c r="R126" i="12"/>
  <c r="U126" i="12" s="1"/>
  <c r="X126" i="12" s="1"/>
  <c r="EB160" i="11" l="1"/>
  <c r="AC160" i="11"/>
  <c r="F160" i="11"/>
  <c r="AF160" i="11" l="1"/>
  <c r="AE160" i="11"/>
  <c r="E127" i="12"/>
  <c r="ED160" i="11"/>
  <c r="EE160" i="11" s="1"/>
  <c r="EG160" i="11" s="1"/>
  <c r="AG160" i="11" l="1"/>
  <c r="EK160" i="11"/>
  <c r="EJ160" i="11"/>
  <c r="EL160" i="11" s="1"/>
  <c r="O160" i="11"/>
  <c r="F127" i="12" s="1"/>
  <c r="G127" i="12" s="1"/>
  <c r="AJ160" i="11"/>
  <c r="AD160" i="11"/>
  <c r="AK160" i="11"/>
  <c r="K160" i="11" s="1"/>
  <c r="G160" i="11"/>
  <c r="EF160" i="11"/>
  <c r="R160" i="11" l="1"/>
  <c r="J160" i="11"/>
  <c r="Q160" i="11" s="1"/>
  <c r="AL160" i="11"/>
  <c r="H160" i="11" s="1"/>
  <c r="P160" i="11"/>
  <c r="H127" i="12"/>
  <c r="I127" i="12" s="1"/>
  <c r="J127" i="12" l="1"/>
  <c r="L127" i="12"/>
  <c r="O127" i="12" s="1"/>
  <c r="K127" i="12"/>
  <c r="I160" i="11"/>
  <c r="P127" i="12" l="1"/>
  <c r="S127" i="12" s="1"/>
  <c r="T127" i="12" s="1"/>
  <c r="S160" i="11"/>
  <c r="U160" i="11"/>
  <c r="V160" i="11" s="1"/>
  <c r="Q127" i="12" l="1"/>
  <c r="T160" i="11"/>
  <c r="Z161" i="11" l="1"/>
  <c r="R127" i="12"/>
  <c r="U127" i="12" s="1"/>
  <c r="X127" i="12" s="1"/>
  <c r="EB161" i="11" l="1"/>
  <c r="F161" i="11"/>
  <c r="AC161" i="11"/>
  <c r="E128" i="12" l="1"/>
  <c r="AF161" i="11"/>
  <c r="AE161" i="11"/>
  <c r="ED161" i="11"/>
  <c r="EE161" i="11" s="1"/>
  <c r="EG161" i="11" s="1"/>
  <c r="EF161" i="11" s="1"/>
  <c r="AG161" i="11" l="1"/>
  <c r="AJ161" i="11" s="1"/>
  <c r="EJ161" i="11"/>
  <c r="EK161" i="11"/>
  <c r="O161" i="11"/>
  <c r="F128" i="12" s="1"/>
  <c r="G128" i="12" s="1"/>
  <c r="AK161" i="11" l="1"/>
  <c r="K161" i="11" s="1"/>
  <c r="J161" i="11"/>
  <c r="AD161" i="11"/>
  <c r="G161" i="11"/>
  <c r="Q161" i="11" s="1"/>
  <c r="AL161" i="11"/>
  <c r="EL161" i="11"/>
  <c r="H128" i="12" l="1"/>
  <c r="I128" i="12" s="1"/>
  <c r="H161" i="11"/>
  <c r="R161" i="11"/>
  <c r="P161" i="11"/>
  <c r="I161" i="11" s="1"/>
  <c r="L128" i="12"/>
  <c r="O128" i="12" s="1"/>
  <c r="J128" i="12"/>
  <c r="K128" i="12"/>
  <c r="P128" i="12" l="1"/>
  <c r="S128" i="12" s="1"/>
  <c r="T128" i="12" s="1"/>
  <c r="U161" i="11"/>
  <c r="V161" i="11" s="1"/>
  <c r="S161" i="11"/>
  <c r="P25" i="1" l="1"/>
  <c r="G74" i="17" s="1"/>
  <c r="T161" i="11"/>
  <c r="Q128" i="12"/>
  <c r="O25" i="1" l="1"/>
  <c r="R128" i="12"/>
  <c r="U128" i="12" s="1"/>
  <c r="X128" i="12" s="1"/>
  <c r="Z162" i="11"/>
  <c r="F74" i="17" l="1"/>
  <c r="E74" i="17"/>
  <c r="EB162" i="11"/>
  <c r="F162" i="11"/>
  <c r="AC162" i="11"/>
  <c r="E129" i="12" l="1"/>
  <c r="AE162" i="11"/>
  <c r="AF162" i="11"/>
  <c r="ED162" i="11"/>
  <c r="EE162" i="11" s="1"/>
  <c r="EG162" i="11" s="1"/>
  <c r="EK162" i="11" l="1"/>
  <c r="EJ162" i="11"/>
  <c r="AG162" i="11"/>
  <c r="EF162" i="11"/>
  <c r="O162" i="11"/>
  <c r="F129" i="12" s="1"/>
  <c r="G129" i="12" s="1"/>
  <c r="EL162" i="11" l="1"/>
  <c r="G162" i="11"/>
  <c r="H129" i="12" s="1"/>
  <c r="I129" i="12" s="1"/>
  <c r="AD162" i="11"/>
  <c r="AJ162" i="11"/>
  <c r="J162" i="11" s="1"/>
  <c r="Q162" i="11" s="1"/>
  <c r="AK162" i="11"/>
  <c r="K162" i="11" s="1"/>
  <c r="R162" i="11" s="1"/>
  <c r="AL162" i="11" l="1"/>
  <c r="H162" i="11" s="1"/>
  <c r="J129" i="12"/>
  <c r="L129" i="12"/>
  <c r="O129" i="12" s="1"/>
  <c r="K129" i="12" l="1"/>
  <c r="I162" i="11"/>
  <c r="P129" i="12" l="1"/>
  <c r="S129" i="12" s="1"/>
  <c r="T129" i="12" s="1"/>
  <c r="S162" i="11"/>
  <c r="U162" i="11"/>
  <c r="V162" i="11" s="1"/>
  <c r="T162" i="11" l="1"/>
  <c r="Q129" i="12"/>
  <c r="Z163" i="11" l="1"/>
  <c r="R129" i="12"/>
  <c r="U129" i="12" s="1"/>
  <c r="X129" i="12" s="1"/>
  <c r="EB163" i="11" l="1"/>
  <c r="AC163" i="11"/>
  <c r="F163" i="11"/>
  <c r="AE163" i="11" l="1"/>
  <c r="E130" i="12"/>
  <c r="AF163" i="11"/>
  <c r="ED163" i="11"/>
  <c r="EE163" i="11" s="1"/>
  <c r="EG163" i="11" s="1"/>
  <c r="EJ163" i="11" l="1"/>
  <c r="EK163" i="11"/>
  <c r="EF163" i="11"/>
  <c r="O163" i="11"/>
  <c r="F130" i="12" s="1"/>
  <c r="G130" i="12" s="1"/>
  <c r="AG163" i="11"/>
  <c r="EL163" i="11" l="1"/>
  <c r="G163" i="11"/>
  <c r="H130" i="12" s="1"/>
  <c r="AJ163" i="11"/>
  <c r="J163" i="11" s="1"/>
  <c r="Q163" i="11" s="1"/>
  <c r="AD163" i="11"/>
  <c r="AK163" i="11"/>
  <c r="K163" i="11" s="1"/>
  <c r="R163" i="11" s="1"/>
  <c r="AL163" i="11" l="1"/>
  <c r="H163" i="11" s="1"/>
  <c r="I130" i="12"/>
  <c r="L130" i="12"/>
  <c r="O130" i="12" s="1"/>
  <c r="J130" i="12"/>
  <c r="K130" i="12" l="1"/>
  <c r="I163" i="11"/>
  <c r="P130" i="12" l="1"/>
  <c r="S130" i="12" s="1"/>
  <c r="T130" i="12" s="1"/>
  <c r="S163" i="11"/>
  <c r="U163" i="11"/>
  <c r="V163" i="11" l="1"/>
  <c r="Q130" i="12"/>
  <c r="T163" i="11"/>
  <c r="Z164" i="11" l="1"/>
  <c r="R130" i="12"/>
  <c r="U130" i="12" s="1"/>
  <c r="X130" i="12" s="1"/>
  <c r="EB164" i="11" l="1"/>
  <c r="ED164" i="11" s="1"/>
  <c r="EE164" i="11" s="1"/>
  <c r="EG164" i="11" s="1"/>
  <c r="F164" i="11"/>
  <c r="AC164" i="11"/>
  <c r="AF164" i="11" l="1"/>
  <c r="AE164" i="11"/>
  <c r="AG164" i="11" s="1"/>
  <c r="E131" i="12"/>
  <c r="O164" i="11"/>
  <c r="F131" i="12" s="1"/>
  <c r="G131" i="12" s="1"/>
  <c r="EF164" i="11"/>
  <c r="EJ164" i="11"/>
  <c r="EK164" i="11"/>
  <c r="EL164" i="11" l="1"/>
  <c r="AD164" i="11"/>
  <c r="AJ164" i="11"/>
  <c r="J164" i="11" s="1"/>
  <c r="G164" i="11"/>
  <c r="H131" i="12" s="1"/>
  <c r="AK164" i="11"/>
  <c r="K164" i="11" s="1"/>
  <c r="R164" i="11" s="1"/>
  <c r="Q164" i="11" l="1"/>
  <c r="AL164" i="11"/>
  <c r="H164" i="11" s="1"/>
  <c r="K131" i="12" s="1"/>
  <c r="J131" i="12"/>
  <c r="L131" i="12"/>
  <c r="O131" i="12" s="1"/>
  <c r="I131" i="12"/>
  <c r="I164" i="11" l="1"/>
  <c r="P131" i="12" s="1"/>
  <c r="S131" i="12" s="1"/>
  <c r="T131" i="12" s="1"/>
  <c r="U164" i="11" l="1"/>
  <c r="V164" i="11" s="1"/>
  <c r="S164" i="11"/>
  <c r="Q131" i="12" s="1"/>
  <c r="T164" i="11" l="1"/>
  <c r="R131" i="12" s="1"/>
  <c r="U131" i="12" s="1"/>
  <c r="X131" i="12" s="1"/>
  <c r="Z165" i="11"/>
  <c r="EB165" i="11" l="1"/>
  <c r="ED165" i="11" s="1"/>
  <c r="EE165" i="11" s="1"/>
  <c r="EG165" i="11" s="1"/>
  <c r="F165" i="11"/>
  <c r="AC165" i="11"/>
  <c r="AF165" i="11" l="1"/>
  <c r="AE165" i="11"/>
  <c r="E132" i="12"/>
  <c r="O165" i="11"/>
  <c r="F132" i="12" s="1"/>
  <c r="G132" i="12" s="1"/>
  <c r="EF165" i="11"/>
  <c r="EK165" i="11"/>
  <c r="EJ165" i="11"/>
  <c r="AG165" i="11" l="1"/>
  <c r="G165" i="11" s="1"/>
  <c r="H132" i="12" s="1"/>
  <c r="EL165" i="11"/>
  <c r="AJ165" i="11" l="1"/>
  <c r="J165" i="11" s="1"/>
  <c r="Q165" i="11" s="1"/>
  <c r="AK165" i="11"/>
  <c r="K165" i="11" s="1"/>
  <c r="R165" i="11" s="1"/>
  <c r="AD165" i="11"/>
  <c r="L132" i="12"/>
  <c r="O132" i="12" s="1"/>
  <c r="J132" i="12"/>
  <c r="I132" i="12"/>
  <c r="AL165" i="11" l="1"/>
  <c r="H165" i="11" s="1"/>
  <c r="I165" i="11" s="1"/>
  <c r="K132" i="12" l="1"/>
  <c r="S165" i="11"/>
  <c r="P132" i="12"/>
  <c r="S132" i="12" s="1"/>
  <c r="T132" i="12" s="1"/>
  <c r="U165" i="11"/>
  <c r="V165" i="11" s="1"/>
  <c r="Q132" i="12" l="1"/>
  <c r="T165" i="11"/>
  <c r="Z166" i="11" l="1"/>
  <c r="R132" i="12"/>
  <c r="U132" i="12" s="1"/>
  <c r="X132" i="12" s="1"/>
  <c r="EB166" i="11" l="1"/>
  <c r="ED166" i="11" s="1"/>
  <c r="EE166" i="11" s="1"/>
  <c r="EG166" i="11" s="1"/>
  <c r="F166" i="11"/>
  <c r="AC166" i="11"/>
  <c r="AF166" i="11" l="1"/>
  <c r="AE166" i="11"/>
  <c r="E133" i="12"/>
  <c r="O166" i="11"/>
  <c r="F133" i="12" s="1"/>
  <c r="G133" i="12" s="1"/>
  <c r="EF166" i="11"/>
  <c r="EK166" i="11"/>
  <c r="EJ166" i="11"/>
  <c r="AG166" i="11" l="1"/>
  <c r="AK166" i="11" s="1"/>
  <c r="K166" i="11" s="1"/>
  <c r="EL166" i="11"/>
  <c r="AJ166" i="11"/>
  <c r="J166" i="11" s="1"/>
  <c r="G166" i="11"/>
  <c r="H133" i="12" s="1"/>
  <c r="AD166" i="11" l="1"/>
  <c r="Q166" i="11"/>
  <c r="I133" i="12"/>
  <c r="L133" i="12"/>
  <c r="O133" i="12" s="1"/>
  <c r="J133" i="12"/>
  <c r="AL166" i="11"/>
  <c r="H166" i="11" s="1"/>
  <c r="R166" i="11"/>
  <c r="K133" i="12" l="1"/>
  <c r="I166" i="11"/>
  <c r="P133" i="12" l="1"/>
  <c r="S133" i="12" s="1"/>
  <c r="T133" i="12" s="1"/>
  <c r="S166" i="11"/>
  <c r="U166" i="11"/>
  <c r="V166" i="11" s="1"/>
  <c r="T166" i="11" l="1"/>
  <c r="Q133" i="12"/>
  <c r="Z167" i="11" l="1"/>
  <c r="R133" i="12"/>
  <c r="U133" i="12" s="1"/>
  <c r="X133" i="12" s="1"/>
  <c r="EB167" i="11" l="1"/>
  <c r="ED167" i="11" s="1"/>
  <c r="EE167" i="11" s="1"/>
  <c r="EG167" i="11" s="1"/>
  <c r="F167" i="11"/>
  <c r="AC167" i="11"/>
  <c r="AE167" i="11" l="1"/>
  <c r="E134" i="12"/>
  <c r="AF167" i="11"/>
  <c r="O167" i="11"/>
  <c r="F134" i="12" s="1"/>
  <c r="G134" i="12" s="1"/>
  <c r="EF167" i="11"/>
  <c r="EK167" i="11"/>
  <c r="EJ167" i="11"/>
  <c r="EL167" i="11" l="1"/>
  <c r="AG167" i="11"/>
  <c r="AJ167" i="11" l="1"/>
  <c r="J167" i="11" s="1"/>
  <c r="G167" i="11"/>
  <c r="H134" i="12" s="1"/>
  <c r="AD167" i="11"/>
  <c r="AK167" i="11"/>
  <c r="K167" i="11" s="1"/>
  <c r="R167" i="11" s="1"/>
  <c r="Q167" i="11" l="1"/>
  <c r="AL167" i="11"/>
  <c r="H167" i="11" s="1"/>
  <c r="L134" i="12"/>
  <c r="O134" i="12" s="1"/>
  <c r="J134" i="12"/>
  <c r="I134" i="12"/>
  <c r="K134" i="12" l="1"/>
  <c r="I167" i="11"/>
  <c r="P134" i="12" l="1"/>
  <c r="S134" i="12" s="1"/>
  <c r="T134" i="12" s="1"/>
  <c r="S167" i="11"/>
  <c r="U167" i="11"/>
  <c r="V167" i="11" s="1"/>
  <c r="Q134" i="12" l="1"/>
  <c r="T167" i="11"/>
  <c r="R134" i="12" l="1"/>
  <c r="U134" i="12" s="1"/>
  <c r="X134" i="12" s="1"/>
  <c r="Z168" i="11"/>
  <c r="EB168" i="11" l="1"/>
  <c r="F168" i="11"/>
  <c r="AC168" i="11"/>
  <c r="AF168" i="11" l="1"/>
  <c r="AE168" i="11"/>
  <c r="E135" i="12"/>
  <c r="ED168" i="11"/>
  <c r="EE168" i="11" s="1"/>
  <c r="EG168" i="11" s="1"/>
  <c r="AG168" i="11" l="1"/>
  <c r="G168" i="11" s="1"/>
  <c r="H135" i="12" s="1"/>
  <c r="EK168" i="11"/>
  <c r="EJ168" i="11"/>
  <c r="O168" i="11"/>
  <c r="F135" i="12" s="1"/>
  <c r="G135" i="12" s="1"/>
  <c r="EF168" i="11"/>
  <c r="AD168" i="11"/>
  <c r="AJ168" i="11" l="1"/>
  <c r="J168" i="11" s="1"/>
  <c r="Q168" i="11" s="1"/>
  <c r="AK168" i="11"/>
  <c r="K168" i="11" s="1"/>
  <c r="R168" i="11" s="1"/>
  <c r="EL168" i="11"/>
  <c r="I135" i="12"/>
  <c r="J135" i="12"/>
  <c r="L135" i="12"/>
  <c r="O135" i="12" s="1"/>
  <c r="AL168" i="11" l="1"/>
  <c r="H168" i="11" s="1"/>
  <c r="K135" i="12" s="1"/>
  <c r="I168" i="11" l="1"/>
  <c r="P135" i="12" s="1"/>
  <c r="S135" i="12" s="1"/>
  <c r="T135" i="12" s="1"/>
  <c r="U168" i="11" l="1"/>
  <c r="V168" i="11" s="1"/>
  <c r="S168" i="11"/>
  <c r="T168" i="11" s="1"/>
  <c r="Q135" i="12" l="1"/>
  <c r="Z169" i="11"/>
  <c r="R135" i="12"/>
  <c r="U135" i="12" l="1"/>
  <c r="X135" i="12" s="1"/>
  <c r="EB169" i="11"/>
  <c r="AC169" i="11"/>
  <c r="F169" i="11"/>
  <c r="E136" i="12" l="1"/>
  <c r="AF169" i="11"/>
  <c r="AE169" i="11"/>
  <c r="ED169" i="11"/>
  <c r="EE169" i="11" s="1"/>
  <c r="EG169" i="11" s="1"/>
  <c r="EF169" i="11" s="1"/>
  <c r="AG169" i="11" l="1"/>
  <c r="G169" i="11" s="1"/>
  <c r="H136" i="12" s="1"/>
  <c r="O169" i="11"/>
  <c r="F136" i="12" s="1"/>
  <c r="G136" i="12" s="1"/>
  <c r="EK169" i="11"/>
  <c r="EJ169" i="11"/>
  <c r="AK169" i="11" l="1"/>
  <c r="AD169" i="11"/>
  <c r="AJ169" i="11"/>
  <c r="AL169" i="11" s="1"/>
  <c r="EL169" i="11"/>
  <c r="K169" i="11"/>
  <c r="R169" i="11" s="1"/>
  <c r="I136" i="12"/>
  <c r="J136" i="12"/>
  <c r="L136" i="12"/>
  <c r="O136" i="12" s="1"/>
  <c r="H169" i="11" l="1"/>
  <c r="I169" i="11" s="1"/>
  <c r="J169" i="11"/>
  <c r="Q169" i="11" s="1"/>
  <c r="K136" i="12" l="1"/>
  <c r="P136" i="12"/>
  <c r="S136" i="12" s="1"/>
  <c r="T136" i="12" s="1"/>
  <c r="S169" i="11"/>
  <c r="U169" i="11"/>
  <c r="V169" i="11" s="1"/>
  <c r="T169" i="11" l="1"/>
  <c r="Q136" i="12"/>
  <c r="Z170" i="11" l="1"/>
  <c r="R136" i="12"/>
  <c r="U136" i="12" s="1"/>
  <c r="X136" i="12" s="1"/>
  <c r="EB170" i="11" l="1"/>
  <c r="F170" i="11"/>
  <c r="AC170" i="11"/>
  <c r="ED170" i="11" l="1"/>
  <c r="EE170" i="11" s="1"/>
  <c r="EG170" i="11" s="1"/>
  <c r="EF170" i="11" s="1"/>
  <c r="AE170" i="11"/>
  <c r="E137" i="12"/>
  <c r="AF170" i="11"/>
  <c r="O170" i="11" l="1"/>
  <c r="F137" i="12" s="1"/>
  <c r="G137" i="12" s="1"/>
  <c r="AG170" i="11"/>
  <c r="EJ170" i="11"/>
  <c r="EK170" i="11"/>
  <c r="EL170" i="11" l="1"/>
  <c r="AJ170" i="11"/>
  <c r="J170" i="11" s="1"/>
  <c r="G170" i="11"/>
  <c r="H137" i="12" s="1"/>
  <c r="AD170" i="11"/>
  <c r="AK170" i="11"/>
  <c r="K170" i="11" s="1"/>
  <c r="R170" i="11" s="1"/>
  <c r="Q170" i="11" l="1"/>
  <c r="AL170" i="11"/>
  <c r="H170" i="11" s="1"/>
  <c r="L137" i="12"/>
  <c r="O137" i="12" s="1"/>
  <c r="J137" i="12"/>
  <c r="I137" i="12"/>
  <c r="I170" i="11" l="1"/>
  <c r="K137" i="12"/>
  <c r="S170" i="11" l="1"/>
  <c r="U170" i="11"/>
  <c r="V170" i="11" s="1"/>
  <c r="P137" i="12"/>
  <c r="S137" i="12" s="1"/>
  <c r="T137" i="12" s="1"/>
  <c r="Q137" i="12" l="1"/>
  <c r="T170" i="11"/>
  <c r="Z171" i="11" l="1"/>
  <c r="R137" i="12"/>
  <c r="U137" i="12" s="1"/>
  <c r="X137" i="12" s="1"/>
  <c r="EB171" i="11" l="1"/>
  <c r="AC171" i="11"/>
  <c r="F171" i="11"/>
  <c r="AE171" i="11" l="1"/>
  <c r="AF171" i="11"/>
  <c r="E138" i="12"/>
  <c r="ED171" i="11"/>
  <c r="EE171" i="11" s="1"/>
  <c r="EG171" i="11" s="1"/>
  <c r="EK171" i="11" l="1"/>
  <c r="EJ171" i="11"/>
  <c r="O171" i="11"/>
  <c r="F138" i="12" s="1"/>
  <c r="G138" i="12" s="1"/>
  <c r="EF171" i="11"/>
  <c r="AG171" i="11"/>
  <c r="EL171" i="11" l="1"/>
  <c r="AJ171" i="11"/>
  <c r="J171" i="11" s="1"/>
  <c r="AK171" i="11"/>
  <c r="K171" i="11" s="1"/>
  <c r="AD171" i="11"/>
  <c r="G171" i="11"/>
  <c r="H138" i="12" s="1"/>
  <c r="R171" i="11" l="1"/>
  <c r="Q171" i="11"/>
  <c r="AL171" i="11"/>
  <c r="H171" i="11" s="1"/>
  <c r="L138" i="12"/>
  <c r="O138" i="12" s="1"/>
  <c r="J138" i="12"/>
  <c r="I138" i="12"/>
  <c r="I171" i="11" l="1"/>
  <c r="K138" i="12"/>
  <c r="P138" i="12" l="1"/>
  <c r="S138" i="12" s="1"/>
  <c r="T138" i="12" s="1"/>
  <c r="U171" i="11"/>
  <c r="V171" i="11" s="1"/>
  <c r="S171" i="11"/>
  <c r="T171" i="11" l="1"/>
  <c r="Q138" i="12"/>
  <c r="R138" i="12" l="1"/>
  <c r="U138" i="12" s="1"/>
  <c r="X138" i="12" s="1"/>
  <c r="Z172" i="11"/>
  <c r="EB172" i="11" l="1"/>
  <c r="ED172" i="11" s="1"/>
  <c r="EE172" i="11" s="1"/>
  <c r="EG172" i="11" s="1"/>
  <c r="AC172" i="11"/>
  <c r="F172" i="11"/>
  <c r="AF172" i="11" l="1"/>
  <c r="E139" i="12"/>
  <c r="AE172" i="11"/>
  <c r="AG172" i="11" s="1"/>
  <c r="O172" i="11"/>
  <c r="EF172" i="11"/>
  <c r="EJ172" i="11"/>
  <c r="EK172" i="11"/>
  <c r="F139" i="12" l="1"/>
  <c r="G139" i="12" s="1"/>
  <c r="EL172" i="11"/>
  <c r="AD172" i="11"/>
  <c r="AJ172" i="11"/>
  <c r="J172" i="11" s="1"/>
  <c r="AK172" i="11"/>
  <c r="K172" i="11" s="1"/>
  <c r="G172" i="11"/>
  <c r="H139" i="12" s="1"/>
  <c r="R172" i="11" l="1"/>
  <c r="AL172" i="11"/>
  <c r="H172" i="11" s="1"/>
  <c r="L139" i="12"/>
  <c r="O139" i="12" s="1"/>
  <c r="J139" i="12"/>
  <c r="Q172" i="11"/>
  <c r="I139" i="12"/>
  <c r="K139" i="12" l="1"/>
  <c r="I172" i="11"/>
  <c r="P139" i="12" l="1"/>
  <c r="S139" i="12" s="1"/>
  <c r="T139" i="12" s="1"/>
  <c r="S172" i="11"/>
  <c r="U172" i="11"/>
  <c r="V172" i="11" s="1"/>
  <c r="Q139" i="12" l="1"/>
  <c r="T172" i="11"/>
  <c r="Z173" i="11" l="1"/>
  <c r="R139" i="12"/>
  <c r="U139" i="12" s="1"/>
  <c r="X139" i="12" s="1"/>
  <c r="EB173" i="11" l="1"/>
  <c r="F173" i="11"/>
  <c r="AC173" i="11"/>
  <c r="AE173" i="11" l="1"/>
  <c r="E140" i="12"/>
  <c r="AF173" i="11"/>
  <c r="AG173" i="11" s="1"/>
  <c r="ED173" i="11"/>
  <c r="EE173" i="11" s="1"/>
  <c r="EG173" i="11" s="1"/>
  <c r="EF173" i="11" s="1"/>
  <c r="EK173" i="11" l="1"/>
  <c r="EJ173" i="11"/>
  <c r="AK173" i="11"/>
  <c r="K173" i="11" s="1"/>
  <c r="G173" i="11"/>
  <c r="H140" i="12" s="1"/>
  <c r="AD173" i="11"/>
  <c r="AJ173" i="11"/>
  <c r="J173" i="11" s="1"/>
  <c r="Q173" i="11" s="1"/>
  <c r="O173" i="11"/>
  <c r="F140" i="12" s="1"/>
  <c r="G140" i="12" s="1"/>
  <c r="EL173" i="11" l="1"/>
  <c r="I140" i="12"/>
  <c r="R173" i="11"/>
  <c r="AL173" i="11"/>
  <c r="H173" i="11" s="1"/>
  <c r="L140" i="12"/>
  <c r="O140" i="12" s="1"/>
  <c r="J140" i="12"/>
  <c r="I173" i="11" l="1"/>
  <c r="K140" i="12"/>
  <c r="P140" i="12" l="1"/>
  <c r="S140" i="12" s="1"/>
  <c r="T140" i="12" s="1"/>
  <c r="S173" i="11"/>
  <c r="U173" i="11"/>
  <c r="V173" i="11" s="1"/>
  <c r="P26" i="1" l="1"/>
  <c r="G75" i="17" s="1"/>
  <c r="Q140" i="12"/>
  <c r="T173" i="11"/>
  <c r="O26" i="1" l="1"/>
  <c r="Z174" i="11"/>
  <c r="R140" i="12"/>
  <c r="U140" i="12" s="1"/>
  <c r="X140" i="12" s="1"/>
  <c r="F75" i="17" l="1"/>
  <c r="E75" i="17"/>
  <c r="EB174" i="11"/>
  <c r="AC174" i="11"/>
  <c r="F174" i="11"/>
  <c r="E141" i="12" l="1"/>
  <c r="AF174" i="11"/>
  <c r="AE174" i="11"/>
  <c r="ED174" i="11"/>
  <c r="EE174" i="11" s="1"/>
  <c r="EG174" i="11" s="1"/>
  <c r="AG174" i="11" l="1"/>
  <c r="AJ174" i="11" s="1"/>
  <c r="EK174" i="11"/>
  <c r="EJ174" i="11"/>
  <c r="G174" i="11"/>
  <c r="H141" i="12" s="1"/>
  <c r="EF174" i="11"/>
  <c r="O174" i="11"/>
  <c r="F141" i="12" s="1"/>
  <c r="G141" i="12" s="1"/>
  <c r="J174" i="11" l="1"/>
  <c r="AK174" i="11"/>
  <c r="K174" i="11" s="1"/>
  <c r="R174" i="11" s="1"/>
  <c r="AD174" i="11"/>
  <c r="Q174" i="11"/>
  <c r="EL174" i="11"/>
  <c r="J141" i="12"/>
  <c r="L141" i="12"/>
  <c r="O141" i="12" s="1"/>
  <c r="I141" i="12"/>
  <c r="AL174" i="11" l="1"/>
  <c r="H174" i="11" s="1"/>
  <c r="K141" i="12" s="1"/>
  <c r="I174" i="11" l="1"/>
  <c r="P141" i="12" s="1"/>
  <c r="S141" i="12" s="1"/>
  <c r="T141" i="12" s="1"/>
  <c r="U174" i="11" l="1"/>
  <c r="V174" i="11" s="1"/>
  <c r="S174" i="11"/>
  <c r="T174" i="11" s="1"/>
  <c r="Q141" i="12" l="1"/>
  <c r="Z175" i="11"/>
  <c r="R141" i="12"/>
  <c r="U141" i="12" s="1"/>
  <c r="X141" i="12" s="1"/>
  <c r="EB175" i="11" l="1"/>
  <c r="AC175" i="11"/>
  <c r="F175" i="11"/>
  <c r="E142" i="12" l="1"/>
  <c r="AE175" i="11"/>
  <c r="AF175" i="11"/>
  <c r="ED175" i="11"/>
  <c r="EE175" i="11" s="1"/>
  <c r="EG175" i="11" s="1"/>
  <c r="EF175" i="11" s="1"/>
  <c r="EK175" i="11" l="1"/>
  <c r="EJ175" i="11"/>
  <c r="O175" i="11"/>
  <c r="F142" i="12" s="1"/>
  <c r="G142" i="12" s="1"/>
  <c r="AG175" i="11"/>
  <c r="EL175" i="11" l="1"/>
  <c r="AK175" i="11"/>
  <c r="K175" i="11" s="1"/>
  <c r="G175" i="11"/>
  <c r="H142" i="12" s="1"/>
  <c r="AD175" i="11"/>
  <c r="AJ175" i="11"/>
  <c r="J175" i="11" s="1"/>
  <c r="Q175" i="11" s="1"/>
  <c r="R175" i="11" l="1"/>
  <c r="AL175" i="11"/>
  <c r="H175" i="11" s="1"/>
  <c r="I142" i="12"/>
  <c r="L142" i="12"/>
  <c r="O142" i="12" s="1"/>
  <c r="J142" i="12"/>
  <c r="K142" i="12" l="1"/>
  <c r="I175" i="11"/>
  <c r="P142" i="12" l="1"/>
  <c r="S142" i="12" s="1"/>
  <c r="T142" i="12" s="1"/>
  <c r="U175" i="11"/>
  <c r="V175" i="11" s="1"/>
  <c r="S175" i="11"/>
  <c r="T175" i="11" l="1"/>
  <c r="Q142" i="12"/>
  <c r="Z176" i="11" l="1"/>
  <c r="R142" i="12"/>
  <c r="U142" i="12" s="1"/>
  <c r="X142" i="12" s="1"/>
  <c r="EB176" i="11" l="1"/>
  <c r="AC176" i="11"/>
  <c r="F176" i="11"/>
  <c r="AF176" i="11" l="1"/>
  <c r="E143" i="12"/>
  <c r="AE176" i="11"/>
  <c r="ED176" i="11"/>
  <c r="EE176" i="11" s="1"/>
  <c r="EG176" i="11" s="1"/>
  <c r="EF176" i="11" s="1"/>
  <c r="AG176" i="11" l="1"/>
  <c r="G176" i="11" s="1"/>
  <c r="H143" i="12" s="1"/>
  <c r="EJ176" i="11"/>
  <c r="EK176" i="11"/>
  <c r="O176" i="11"/>
  <c r="F143" i="12" s="1"/>
  <c r="G143" i="12" s="1"/>
  <c r="AJ176" i="11" l="1"/>
  <c r="J176" i="11" s="1"/>
  <c r="Q176" i="11" s="1"/>
  <c r="AD176" i="11"/>
  <c r="AK176" i="11"/>
  <c r="EL176" i="11"/>
  <c r="I143" i="12"/>
  <c r="L143" i="12"/>
  <c r="O143" i="12" s="1"/>
  <c r="J143" i="12"/>
  <c r="AL176" i="11" l="1"/>
  <c r="H176" i="11" s="1"/>
  <c r="K176" i="11"/>
  <c r="R176" i="11" s="1"/>
  <c r="I176" i="11" l="1"/>
  <c r="K143" i="12"/>
  <c r="P143" i="12"/>
  <c r="S143" i="12" s="1"/>
  <c r="T143" i="12" s="1"/>
  <c r="U176" i="11"/>
  <c r="V176" i="11" s="1"/>
  <c r="S176" i="11"/>
  <c r="T176" i="11" l="1"/>
  <c r="Q143" i="12"/>
  <c r="Z177" i="11" l="1"/>
  <c r="R143" i="12"/>
  <c r="U143" i="12" s="1"/>
  <c r="X143" i="12" s="1"/>
  <c r="EB177" i="11" l="1"/>
  <c r="AC177" i="11"/>
  <c r="F177" i="11"/>
  <c r="AF177" i="11" l="1"/>
  <c r="E144" i="12"/>
  <c r="AE177" i="11"/>
  <c r="ED177" i="11"/>
  <c r="EE177" i="11" s="1"/>
  <c r="EG177" i="11" s="1"/>
  <c r="AG177" i="11" l="1"/>
  <c r="EJ177" i="11"/>
  <c r="EK177" i="11"/>
  <c r="EF177" i="11"/>
  <c r="O177" i="11"/>
  <c r="F144" i="12" s="1"/>
  <c r="G144" i="12" s="1"/>
  <c r="AK177" i="11"/>
  <c r="K177" i="11" s="1"/>
  <c r="AJ177" i="11"/>
  <c r="J177" i="11" s="1"/>
  <c r="Q177" i="11" s="1"/>
  <c r="AD177" i="11"/>
  <c r="G177" i="11"/>
  <c r="H144" i="12" s="1"/>
  <c r="EL177" i="11" l="1"/>
  <c r="R177" i="11"/>
  <c r="I144" i="12"/>
  <c r="AL177" i="11"/>
  <c r="H177" i="11" s="1"/>
  <c r="J144" i="12"/>
  <c r="L144" i="12"/>
  <c r="O144" i="12" s="1"/>
  <c r="K144" i="12" l="1"/>
  <c r="I177" i="11"/>
  <c r="P144" i="12" l="1"/>
  <c r="S144" i="12" s="1"/>
  <c r="T144" i="12" s="1"/>
  <c r="U177" i="11"/>
  <c r="V177" i="11" s="1"/>
  <c r="S177" i="11"/>
  <c r="Q144" i="12" l="1"/>
  <c r="T177" i="11"/>
  <c r="Z178" i="11" l="1"/>
  <c r="R144" i="12"/>
  <c r="U144" i="12" s="1"/>
  <c r="X144" i="12" s="1"/>
  <c r="EB178" i="11" l="1"/>
  <c r="AC178" i="11"/>
  <c r="F178" i="11"/>
  <c r="AE178" i="11" l="1"/>
  <c r="E145" i="12"/>
  <c r="AF178" i="11"/>
  <c r="ED178" i="11"/>
  <c r="EE178" i="11" s="1"/>
  <c r="EG178" i="11" s="1"/>
  <c r="AG178" i="11" l="1"/>
  <c r="AD178" i="11" s="1"/>
  <c r="EK178" i="11"/>
  <c r="EJ178" i="11"/>
  <c r="G178" i="11"/>
  <c r="H145" i="12" s="1"/>
  <c r="EF178" i="11"/>
  <c r="O178" i="11"/>
  <c r="F145" i="12" s="1"/>
  <c r="G145" i="12" s="1"/>
  <c r="AK178" i="11" l="1"/>
  <c r="K178" i="11" s="1"/>
  <c r="R178" i="11" s="1"/>
  <c r="AJ178" i="11"/>
  <c r="J178" i="11" s="1"/>
  <c r="Q178" i="11" s="1"/>
  <c r="EL178" i="11"/>
  <c r="I145" i="12"/>
  <c r="L145" i="12"/>
  <c r="O145" i="12" s="1"/>
  <c r="J145" i="12"/>
  <c r="AL178" i="11" l="1"/>
  <c r="H178" i="11" s="1"/>
  <c r="K145" i="12" s="1"/>
  <c r="I178" i="11" l="1"/>
  <c r="P145" i="12" s="1"/>
  <c r="S145" i="12" s="1"/>
  <c r="T145" i="12" s="1"/>
  <c r="U178" i="11" l="1"/>
  <c r="V178" i="11" s="1"/>
  <c r="S178" i="11"/>
  <c r="Q145" i="12" s="1"/>
  <c r="T178" i="11" l="1"/>
  <c r="R145" i="12" s="1"/>
  <c r="U145" i="12" s="1"/>
  <c r="X145" i="12" s="1"/>
  <c r="Z179" i="11"/>
  <c r="EB179" i="11" l="1"/>
  <c r="ED179" i="11" s="1"/>
  <c r="EE179" i="11" s="1"/>
  <c r="EG179" i="11" s="1"/>
  <c r="AC179" i="11"/>
  <c r="F179" i="11"/>
  <c r="AF179" i="11" l="1"/>
  <c r="AE179" i="11"/>
  <c r="E146" i="12"/>
  <c r="O179" i="11"/>
  <c r="F146" i="12" s="1"/>
  <c r="G146" i="12" s="1"/>
  <c r="EF179" i="11"/>
  <c r="EK179" i="11"/>
  <c r="EJ179" i="11"/>
  <c r="EL179" i="11" l="1"/>
  <c r="AG179" i="11"/>
  <c r="G179" i="11" l="1"/>
  <c r="H146" i="12" s="1"/>
  <c r="AD179" i="11"/>
  <c r="AJ179" i="11"/>
  <c r="J179" i="11" s="1"/>
  <c r="AK179" i="11"/>
  <c r="AL179" i="11" l="1"/>
  <c r="H179" i="11" s="1"/>
  <c r="K179" i="11"/>
  <c r="R179" i="11" s="1"/>
  <c r="Q179" i="11"/>
  <c r="L146" i="12"/>
  <c r="O146" i="12" s="1"/>
  <c r="J146" i="12"/>
  <c r="I146" i="12"/>
  <c r="I179" i="11" l="1"/>
  <c r="K146" i="12"/>
  <c r="P146" i="12" l="1"/>
  <c r="S146" i="12" s="1"/>
  <c r="T146" i="12" s="1"/>
  <c r="S179" i="11"/>
  <c r="U179" i="11"/>
  <c r="V179" i="11" l="1"/>
  <c r="Q146" i="12"/>
  <c r="T179" i="11"/>
  <c r="R146" i="12" l="1"/>
  <c r="U146" i="12" s="1"/>
  <c r="X146" i="12" s="1"/>
  <c r="Z180" i="11"/>
  <c r="EB180" i="11" l="1"/>
  <c r="F180" i="11"/>
  <c r="AC180" i="11"/>
  <c r="AE180" i="11" l="1"/>
  <c r="AF180" i="11"/>
  <c r="E147" i="12"/>
  <c r="ED180" i="11"/>
  <c r="EE180" i="11" s="1"/>
  <c r="EG180" i="11" s="1"/>
  <c r="EF180" i="11" s="1"/>
  <c r="AG180" i="11" l="1"/>
  <c r="AK180" i="11" s="1"/>
  <c r="EK180" i="11"/>
  <c r="EJ180" i="11"/>
  <c r="O180" i="11"/>
  <c r="F147" i="12" s="1"/>
  <c r="G180" i="11"/>
  <c r="H147" i="12" s="1"/>
  <c r="AD180" i="11"/>
  <c r="AJ180" i="11" l="1"/>
  <c r="J180" i="11" s="1"/>
  <c r="Q180" i="11" s="1"/>
  <c r="EL180" i="11"/>
  <c r="K180" i="11"/>
  <c r="R180" i="11" s="1"/>
  <c r="I147" i="12"/>
  <c r="G147" i="12"/>
  <c r="AL180" i="11"/>
  <c r="H180" i="11" s="1"/>
  <c r="J147" i="12"/>
  <c r="L147" i="12"/>
  <c r="O147" i="12" s="1"/>
  <c r="I180" i="11" l="1"/>
  <c r="K147" i="12"/>
  <c r="P147" i="12" l="1"/>
  <c r="S147" i="12" s="1"/>
  <c r="T147" i="12" s="1"/>
  <c r="U180" i="11"/>
  <c r="S180" i="11"/>
  <c r="T180" i="11" l="1"/>
  <c r="Q147" i="12"/>
  <c r="V180" i="11"/>
  <c r="Z181" i="11" l="1"/>
  <c r="R147" i="12"/>
  <c r="U147" i="12" s="1"/>
  <c r="X147" i="12" s="1"/>
  <c r="EB181" i="11" l="1"/>
  <c r="ED181" i="11" s="1"/>
  <c r="EE181" i="11" s="1"/>
  <c r="EG181" i="11" s="1"/>
  <c r="F181" i="11"/>
  <c r="AC181" i="11"/>
  <c r="E148" i="12" l="1"/>
  <c r="AF181" i="11"/>
  <c r="AE181" i="11"/>
  <c r="O181" i="11"/>
  <c r="EF181" i="11"/>
  <c r="EK181" i="11"/>
  <c r="EJ181" i="11"/>
  <c r="F148" i="12" l="1"/>
  <c r="G148" i="12" s="1"/>
  <c r="EL181" i="11"/>
  <c r="AG181" i="11"/>
  <c r="G181" i="11" s="1"/>
  <c r="H148" i="12" s="1"/>
  <c r="I148" i="12" s="1"/>
  <c r="AK181" i="11" l="1"/>
  <c r="K181" i="11" s="1"/>
  <c r="R181" i="11" s="1"/>
  <c r="AD181" i="11"/>
  <c r="AJ181" i="11"/>
  <c r="J181" i="11" s="1"/>
  <c r="Q181" i="11" s="1"/>
  <c r="L148" i="12"/>
  <c r="O148" i="12" s="1"/>
  <c r="J148" i="12"/>
  <c r="AL181" i="11" l="1"/>
  <c r="H181" i="11" s="1"/>
  <c r="I181" i="11" s="1"/>
  <c r="K148" i="12" l="1"/>
  <c r="P148" i="12"/>
  <c r="S148" i="12" s="1"/>
  <c r="T148" i="12" s="1"/>
  <c r="S181" i="11"/>
  <c r="U181" i="11"/>
  <c r="V181" i="11" l="1"/>
  <c r="T181" i="11"/>
  <c r="Q148" i="12"/>
  <c r="Z182" i="11" l="1"/>
  <c r="R148" i="12"/>
  <c r="U148" i="12" s="1"/>
  <c r="X148" i="12" s="1"/>
  <c r="EB182" i="11" l="1"/>
  <c r="F182" i="11"/>
  <c r="AC182" i="11"/>
  <c r="AE182" i="11" l="1"/>
  <c r="E149" i="12"/>
  <c r="AF182" i="11"/>
  <c r="ED182" i="11"/>
  <c r="EE182" i="11" s="1"/>
  <c r="EG182" i="11" s="1"/>
  <c r="EK182" i="11" l="1"/>
  <c r="EJ182" i="11"/>
  <c r="EF182" i="11"/>
  <c r="O182" i="11"/>
  <c r="F149" i="12" s="1"/>
  <c r="G149" i="12" s="1"/>
  <c r="AG182" i="11"/>
  <c r="EL182" i="11" l="1"/>
  <c r="AK182" i="11"/>
  <c r="K182" i="11" s="1"/>
  <c r="G182" i="11"/>
  <c r="H149" i="12" s="1"/>
  <c r="I149" i="12" s="1"/>
  <c r="AD182" i="11"/>
  <c r="AJ182" i="11"/>
  <c r="J182" i="11" s="1"/>
  <c r="Q182" i="11" s="1"/>
  <c r="R182" i="11" l="1"/>
  <c r="AL182" i="11"/>
  <c r="H182" i="11" s="1"/>
  <c r="I182" i="11" s="1"/>
  <c r="J149" i="12"/>
  <c r="L149" i="12"/>
  <c r="O149" i="12" s="1"/>
  <c r="K149" i="12" l="1"/>
  <c r="P149" i="12"/>
  <c r="S149" i="12" s="1"/>
  <c r="T149" i="12" s="1"/>
  <c r="U182" i="11"/>
  <c r="V182" i="11" s="1"/>
  <c r="S182" i="11"/>
  <c r="T182" i="11" l="1"/>
  <c r="Q149" i="12"/>
  <c r="Z183" i="11" l="1"/>
  <c r="R149" i="12"/>
  <c r="U149" i="12" s="1"/>
  <c r="X149" i="12" s="1"/>
  <c r="EB183" i="11" l="1"/>
  <c r="AC183" i="11"/>
  <c r="F183" i="11"/>
  <c r="AF183" i="11" l="1"/>
  <c r="E150" i="12"/>
  <c r="AE183" i="11"/>
  <c r="ED183" i="11"/>
  <c r="EE183" i="11" s="1"/>
  <c r="EG183" i="11" s="1"/>
  <c r="AG183" i="11" l="1"/>
  <c r="AJ183" i="11" s="1"/>
  <c r="EJ183" i="11"/>
  <c r="EK183" i="11"/>
  <c r="AK183" i="11"/>
  <c r="G183" i="11"/>
  <c r="H150" i="12" s="1"/>
  <c r="AD183" i="11"/>
  <c r="EF183" i="11"/>
  <c r="O183" i="11"/>
  <c r="F150" i="12" s="1"/>
  <c r="G150" i="12" s="1"/>
  <c r="J183" i="11" l="1"/>
  <c r="AL183" i="11"/>
  <c r="K183" i="11"/>
  <c r="R183" i="11" s="1"/>
  <c r="EL183" i="11"/>
  <c r="Q183" i="11"/>
  <c r="L150" i="12"/>
  <c r="O150" i="12" s="1"/>
  <c r="J150" i="12"/>
  <c r="I150" i="12"/>
  <c r="H183" i="11" l="1"/>
  <c r="K150" i="12" s="1"/>
  <c r="I183" i="11" l="1"/>
  <c r="P150" i="12" s="1"/>
  <c r="S150" i="12" s="1"/>
  <c r="T150" i="12" s="1"/>
  <c r="U183" i="11" l="1"/>
  <c r="V183" i="11" s="1"/>
  <c r="S183" i="11"/>
  <c r="T183" i="11" s="1"/>
  <c r="Q150" i="12" l="1"/>
  <c r="R150" i="12"/>
  <c r="U150" i="12" s="1"/>
  <c r="X150" i="12" s="1"/>
  <c r="Z184" i="11"/>
  <c r="EB184" i="11" l="1"/>
  <c r="ED184" i="11" s="1"/>
  <c r="EE184" i="11" s="1"/>
  <c r="EG184" i="11" s="1"/>
  <c r="F184" i="11"/>
  <c r="AC184" i="11"/>
  <c r="E151" i="12" l="1"/>
  <c r="AF184" i="11"/>
  <c r="AE184" i="11"/>
  <c r="O184" i="11"/>
  <c r="EF184" i="11"/>
  <c r="EK184" i="11"/>
  <c r="EJ184" i="11"/>
  <c r="F151" i="12" l="1"/>
  <c r="EL184" i="11"/>
  <c r="AG184" i="11"/>
  <c r="G151" i="12"/>
  <c r="AK184" i="11" l="1"/>
  <c r="K184" i="11" s="1"/>
  <c r="AJ184" i="11"/>
  <c r="J184" i="11" s="1"/>
  <c r="AD184" i="11"/>
  <c r="G184" i="11"/>
  <c r="H151" i="12" s="1"/>
  <c r="AL184" i="11" l="1"/>
  <c r="H184" i="11" s="1"/>
  <c r="I184" i="11" s="1"/>
  <c r="L151" i="12"/>
  <c r="O151" i="12" s="1"/>
  <c r="J151" i="12"/>
  <c r="I151" i="12"/>
  <c r="Q184" i="11"/>
  <c r="R184" i="11"/>
  <c r="K151" i="12" l="1"/>
  <c r="P151" i="12"/>
  <c r="U184" i="11"/>
  <c r="S184" i="11"/>
  <c r="S151" i="12" l="1"/>
  <c r="T151" i="12" s="1"/>
  <c r="T184" i="11"/>
  <c r="Q151" i="12"/>
  <c r="V184" i="11"/>
  <c r="Z185" i="11" l="1"/>
  <c r="R151" i="12"/>
  <c r="U151" i="12" s="1"/>
  <c r="X151" i="12" s="1"/>
  <c r="EB185" i="11" l="1"/>
  <c r="F185" i="11"/>
  <c r="AC185" i="11"/>
  <c r="AF185" i="11" l="1"/>
  <c r="AE185" i="11"/>
  <c r="E152" i="12"/>
  <c r="ED185" i="11"/>
  <c r="EE185" i="11" s="1"/>
  <c r="EG185" i="11" s="1"/>
  <c r="EF185" i="11" s="1"/>
  <c r="AG185" i="11" l="1"/>
  <c r="AK185" i="11" s="1"/>
  <c r="O185" i="11"/>
  <c r="F152" i="12" s="1"/>
  <c r="G152" i="12" s="1"/>
  <c r="EK185" i="11"/>
  <c r="EJ185" i="11"/>
  <c r="EL185" i="11" l="1"/>
  <c r="K185" i="11"/>
  <c r="AJ185" i="11"/>
  <c r="J185" i="11" s="1"/>
  <c r="G185" i="11"/>
  <c r="H152" i="12" s="1"/>
  <c r="J152" i="12" s="1"/>
  <c r="AD185" i="11"/>
  <c r="L152" i="12" l="1"/>
  <c r="O152" i="12" s="1"/>
  <c r="I152" i="12"/>
  <c r="AL185" i="11"/>
  <c r="H185" i="11" s="1"/>
  <c r="I185" i="11" s="1"/>
  <c r="Q185" i="11"/>
  <c r="R185" i="11"/>
  <c r="K152" i="12" l="1"/>
  <c r="P152" i="12"/>
  <c r="S152" i="12" s="1"/>
  <c r="T152" i="12" s="1"/>
  <c r="U185" i="11"/>
  <c r="S185" i="11"/>
  <c r="T185" i="11" l="1"/>
  <c r="Q152" i="12"/>
  <c r="V185" i="11"/>
  <c r="P27" i="1" l="1"/>
  <c r="G76" i="17" s="1"/>
  <c r="O27" i="1"/>
  <c r="R152" i="12"/>
  <c r="U152" i="12" s="1"/>
  <c r="X152" i="12" s="1"/>
  <c r="Z186" i="11"/>
  <c r="F76" i="17" l="1"/>
  <c r="E76" i="17"/>
  <c r="EB186" i="11"/>
  <c r="F186" i="11"/>
  <c r="AC186" i="11"/>
  <c r="AE186" i="11" l="1"/>
  <c r="E153" i="12"/>
  <c r="AF186" i="11"/>
  <c r="ED186" i="11"/>
  <c r="EE186" i="11" s="1"/>
  <c r="EG186" i="11" s="1"/>
  <c r="EF186" i="11" s="1"/>
  <c r="AG186" i="11" l="1"/>
  <c r="EK186" i="11"/>
  <c r="EJ186" i="11"/>
  <c r="O186" i="11"/>
  <c r="F153" i="12" s="1"/>
  <c r="G153" i="12" s="1"/>
  <c r="AD186" i="11"/>
  <c r="AK186" i="11"/>
  <c r="K186" i="11" s="1"/>
  <c r="AJ186" i="11"/>
  <c r="J186" i="11" s="1"/>
  <c r="G186" i="11"/>
  <c r="H153" i="12" s="1"/>
  <c r="Q186" i="11" l="1"/>
  <c r="EL186" i="11"/>
  <c r="R186" i="11"/>
  <c r="I153" i="12"/>
  <c r="J153" i="12"/>
  <c r="L153" i="12"/>
  <c r="O153" i="12" s="1"/>
  <c r="AL186" i="11"/>
  <c r="H186" i="11" s="1"/>
  <c r="I186" i="11" l="1"/>
  <c r="K153" i="12"/>
  <c r="P153" i="12" l="1"/>
  <c r="S153" i="12" s="1"/>
  <c r="T153" i="12" s="1"/>
  <c r="U186" i="11"/>
  <c r="V186" i="11" s="1"/>
  <c r="S186" i="11"/>
  <c r="Q153" i="12" l="1"/>
  <c r="T186" i="11"/>
  <c r="Z187" i="11" l="1"/>
  <c r="R153" i="12"/>
  <c r="U153" i="12" s="1"/>
  <c r="X153" i="12" s="1"/>
  <c r="EB187" i="11" l="1"/>
  <c r="F187" i="11"/>
  <c r="AC187" i="11"/>
  <c r="E154" i="12" l="1"/>
  <c r="AE187" i="11"/>
  <c r="AF187" i="11"/>
  <c r="ED187" i="11"/>
  <c r="EE187" i="11" s="1"/>
  <c r="EG187" i="11" s="1"/>
  <c r="EF187" i="11" s="1"/>
  <c r="AG187" i="11" l="1"/>
  <c r="AD187" i="11" s="1"/>
  <c r="EJ187" i="11"/>
  <c r="EK187" i="11"/>
  <c r="O187" i="11"/>
  <c r="F154" i="12" s="1"/>
  <c r="G154" i="12" s="1"/>
  <c r="AK187" i="11" l="1"/>
  <c r="K187" i="11" s="1"/>
  <c r="G187" i="11"/>
  <c r="H154" i="12" s="1"/>
  <c r="J154" i="12" s="1"/>
  <c r="AJ187" i="11"/>
  <c r="J187" i="11" s="1"/>
  <c r="Q187" i="11" s="1"/>
  <c r="EL187" i="11"/>
  <c r="I154" i="12" l="1"/>
  <c r="L154" i="12"/>
  <c r="O154" i="12" s="1"/>
  <c r="R187" i="11"/>
  <c r="AL187" i="11"/>
  <c r="H187" i="11" s="1"/>
  <c r="K154" i="12" s="1"/>
  <c r="I187" i="11" l="1"/>
  <c r="P154" i="12" s="1"/>
  <c r="S154" i="12" s="1"/>
  <c r="T154" i="12" s="1"/>
  <c r="U187" i="11" l="1"/>
  <c r="V187" i="11" s="1"/>
  <c r="S187" i="11"/>
  <c r="T187" i="11" s="1"/>
  <c r="Q154" i="12" l="1"/>
  <c r="Z188" i="11"/>
  <c r="R154" i="12"/>
  <c r="U154" i="12" s="1"/>
  <c r="X154" i="12" s="1"/>
  <c r="EB188" i="11" l="1"/>
  <c r="ED188" i="11" s="1"/>
  <c r="EE188" i="11" s="1"/>
  <c r="EG188" i="11" s="1"/>
  <c r="F188" i="11"/>
  <c r="AC188" i="11"/>
  <c r="AF188" i="11" l="1"/>
  <c r="AE188" i="11"/>
  <c r="E155" i="12"/>
  <c r="O188" i="11"/>
  <c r="F155" i="12" s="1"/>
  <c r="G155" i="12" s="1"/>
  <c r="EF188" i="11"/>
  <c r="EJ188" i="11"/>
  <c r="EK188" i="11"/>
  <c r="AG188" i="11" l="1"/>
  <c r="AJ188" i="11" s="1"/>
  <c r="J188" i="11" s="1"/>
  <c r="EL188" i="11"/>
  <c r="AD188" i="11" l="1"/>
  <c r="G188" i="11"/>
  <c r="H155" i="12" s="1"/>
  <c r="L155" i="12" s="1"/>
  <c r="O155" i="12" s="1"/>
  <c r="AK188" i="11"/>
  <c r="K188" i="11" s="1"/>
  <c r="R188" i="11" s="1"/>
  <c r="J155" i="12"/>
  <c r="I155" i="12"/>
  <c r="Q188" i="11" l="1"/>
  <c r="AL188" i="11"/>
  <c r="H188" i="11" s="1"/>
  <c r="I188" i="11" s="1"/>
  <c r="P155" i="12" s="1"/>
  <c r="U188" i="11" l="1"/>
  <c r="V188" i="11" s="1"/>
  <c r="S188" i="11"/>
  <c r="K155" i="12"/>
  <c r="S155" i="12"/>
  <c r="T155" i="12" s="1"/>
  <c r="T188" i="11"/>
  <c r="Q155" i="12"/>
  <c r="Z189" i="11" l="1"/>
  <c r="R155" i="12"/>
  <c r="U155" i="12" s="1"/>
  <c r="X155" i="12" s="1"/>
  <c r="EB189" i="11" l="1"/>
  <c r="AC189" i="11"/>
  <c r="F189" i="11"/>
  <c r="AF189" i="11" l="1"/>
  <c r="AE189" i="11"/>
  <c r="E156" i="12"/>
  <c r="ED189" i="11"/>
  <c r="EE189" i="11" s="1"/>
  <c r="EG189" i="11" s="1"/>
  <c r="AG189" i="11" l="1"/>
  <c r="EK189" i="11"/>
  <c r="EJ189" i="11"/>
  <c r="EF189" i="11"/>
  <c r="O189" i="11"/>
  <c r="F156" i="12" s="1"/>
  <c r="G156" i="12" s="1"/>
  <c r="AD189" i="11"/>
  <c r="AK189" i="11"/>
  <c r="K189" i="11" s="1"/>
  <c r="G189" i="11"/>
  <c r="H156" i="12" s="1"/>
  <c r="AJ189" i="11"/>
  <c r="EL189" i="11" l="1"/>
  <c r="R189" i="11"/>
  <c r="J189" i="11"/>
  <c r="I156" i="12"/>
  <c r="L156" i="12"/>
  <c r="O156" i="12" s="1"/>
  <c r="J156" i="12"/>
  <c r="AL189" i="11"/>
  <c r="H189" i="11" s="1"/>
  <c r="Q189" i="11"/>
  <c r="I189" i="11" l="1"/>
  <c r="K156" i="12"/>
  <c r="U189" i="11" l="1"/>
  <c r="V189" i="11" s="1"/>
  <c r="P156" i="12"/>
  <c r="S156" i="12" s="1"/>
  <c r="T156" i="12" s="1"/>
  <c r="S189" i="11"/>
  <c r="Q156" i="12" l="1"/>
  <c r="T189" i="11"/>
  <c r="R156" i="12" l="1"/>
  <c r="U156" i="12" s="1"/>
  <c r="X156" i="12" s="1"/>
  <c r="Z190" i="11"/>
  <c r="EB190" i="11" l="1"/>
  <c r="F190" i="11"/>
  <c r="AC190" i="11"/>
  <c r="E157" i="12" l="1"/>
  <c r="AE190" i="11"/>
  <c r="AF190" i="11"/>
  <c r="ED190" i="11"/>
  <c r="EE190" i="11" s="1"/>
  <c r="EG190" i="11" s="1"/>
  <c r="EF190" i="11" s="1"/>
  <c r="AG190" i="11" l="1"/>
  <c r="G190" i="11" s="1"/>
  <c r="H157" i="12" s="1"/>
  <c r="EK190" i="11"/>
  <c r="EJ190" i="11"/>
  <c r="O190" i="11"/>
  <c r="F157" i="12" s="1"/>
  <c r="G157" i="12" s="1"/>
  <c r="EL190" i="11" l="1"/>
  <c r="AJ190" i="11"/>
  <c r="J190" i="11" s="1"/>
  <c r="Q190" i="11" s="1"/>
  <c r="AK190" i="11"/>
  <c r="K190" i="11" s="1"/>
  <c r="R190" i="11" s="1"/>
  <c r="AD190" i="11"/>
  <c r="I157" i="12"/>
  <c r="J157" i="12"/>
  <c r="L157" i="12"/>
  <c r="O157" i="12" s="1"/>
  <c r="AL190" i="11" l="1"/>
  <c r="H190" i="11" s="1"/>
  <c r="I190" i="11" s="1"/>
  <c r="K157" i="12" l="1"/>
  <c r="P157" i="12"/>
  <c r="S157" i="12" s="1"/>
  <c r="T157" i="12" s="1"/>
  <c r="U190" i="11"/>
  <c r="V190" i="11" s="1"/>
  <c r="S190" i="11"/>
  <c r="Q157" i="12" l="1"/>
  <c r="T190" i="11"/>
  <c r="Z191" i="11" l="1"/>
  <c r="R157" i="12"/>
  <c r="U157" i="12" s="1"/>
  <c r="X157" i="12" s="1"/>
  <c r="EB191" i="11" l="1"/>
  <c r="F191" i="11"/>
  <c r="AC191" i="11"/>
  <c r="AF191" i="11" l="1"/>
  <c r="E158" i="12"/>
  <c r="AE191" i="11"/>
  <c r="ED191" i="11"/>
  <c r="EE191" i="11" s="1"/>
  <c r="EG191" i="11" s="1"/>
  <c r="AG191" i="11" l="1"/>
  <c r="EJ191" i="11"/>
  <c r="EK191" i="11"/>
  <c r="AK191" i="11"/>
  <c r="K191" i="11" s="1"/>
  <c r="G191" i="11"/>
  <c r="H158" i="12" s="1"/>
  <c r="AJ191" i="11"/>
  <c r="J191" i="11" s="1"/>
  <c r="Q191" i="11" s="1"/>
  <c r="AD191" i="11"/>
  <c r="O191" i="11"/>
  <c r="F158" i="12" s="1"/>
  <c r="G158" i="12" s="1"/>
  <c r="EF191" i="11"/>
  <c r="EL191" i="11" l="1"/>
  <c r="L158" i="12"/>
  <c r="O158" i="12" s="1"/>
  <c r="J158" i="12"/>
  <c r="AL191" i="11"/>
  <c r="H191" i="11" s="1"/>
  <c r="R191" i="11"/>
  <c r="I158" i="12"/>
  <c r="I191" i="11" l="1"/>
  <c r="K158" i="12"/>
  <c r="P158" i="12" l="1"/>
  <c r="S158" i="12" s="1"/>
  <c r="T158" i="12" s="1"/>
  <c r="S191" i="11"/>
  <c r="U191" i="11"/>
  <c r="V191" i="11" s="1"/>
  <c r="Q158" i="12" l="1"/>
  <c r="T191" i="11"/>
  <c r="Z192" i="11" l="1"/>
  <c r="R158" i="12"/>
  <c r="U158" i="12" s="1"/>
  <c r="X158" i="12" s="1"/>
  <c r="EB192" i="11" l="1"/>
  <c r="F192" i="11"/>
  <c r="AC192" i="11"/>
  <c r="E159" i="12" l="1"/>
  <c r="AE192" i="11"/>
  <c r="AF192" i="11"/>
  <c r="ED192" i="11"/>
  <c r="EE192" i="11" s="1"/>
  <c r="EG192" i="11" s="1"/>
  <c r="EK192" i="11" l="1"/>
  <c r="EJ192" i="11"/>
  <c r="EF192" i="11"/>
  <c r="AG192" i="11"/>
  <c r="O192" i="11"/>
  <c r="F159" i="12" s="1"/>
  <c r="EL192" i="11" l="1"/>
  <c r="G159" i="12"/>
  <c r="G192" i="11"/>
  <c r="H159" i="12" s="1"/>
  <c r="AJ192" i="11"/>
  <c r="J192" i="11" s="1"/>
  <c r="Q192" i="11" s="1"/>
  <c r="AD192" i="11"/>
  <c r="AK192" i="11"/>
  <c r="K192" i="11" s="1"/>
  <c r="R192" i="11" s="1"/>
  <c r="AL192" i="11" l="1"/>
  <c r="H192" i="11" s="1"/>
  <c r="J159" i="12"/>
  <c r="L159" i="12"/>
  <c r="O159" i="12" s="1"/>
  <c r="I159" i="12"/>
  <c r="K159" i="12" l="1"/>
  <c r="I192" i="11"/>
  <c r="P159" i="12" l="1"/>
  <c r="S159" i="12" s="1"/>
  <c r="T159" i="12" s="1"/>
  <c r="S192" i="11"/>
  <c r="U192" i="11"/>
  <c r="V192" i="11" s="1"/>
  <c r="Q159" i="12" l="1"/>
  <c r="T192" i="11"/>
  <c r="Z193" i="11" l="1"/>
  <c r="R159" i="12"/>
  <c r="U159" i="12" s="1"/>
  <c r="X159" i="12" s="1"/>
  <c r="EB193" i="11" l="1"/>
  <c r="F193" i="11"/>
  <c r="AC193" i="11"/>
  <c r="AF193" i="11" l="1"/>
  <c r="AE193" i="11"/>
  <c r="E160" i="12"/>
  <c r="ED193" i="11"/>
  <c r="EE193" i="11" s="1"/>
  <c r="EG193" i="11" s="1"/>
  <c r="AG193" i="11" l="1"/>
  <c r="AK193" i="11" s="1"/>
  <c r="EJ193" i="11"/>
  <c r="EK193" i="11"/>
  <c r="EF193" i="11"/>
  <c r="O193" i="11"/>
  <c r="F160" i="12" s="1"/>
  <c r="G160" i="12" s="1"/>
  <c r="AD193" i="11"/>
  <c r="AJ193" i="11" l="1"/>
  <c r="J193" i="11" s="1"/>
  <c r="G193" i="11"/>
  <c r="H160" i="12" s="1"/>
  <c r="J160" i="12" s="1"/>
  <c r="K193" i="11"/>
  <c r="EL193" i="11"/>
  <c r="AL193" i="11"/>
  <c r="I160" i="12" l="1"/>
  <c r="L160" i="12"/>
  <c r="O160" i="12" s="1"/>
  <c r="Q193" i="11"/>
  <c r="R193" i="11"/>
  <c r="H193" i="11"/>
  <c r="I193" i="11" s="1"/>
  <c r="K160" i="12" l="1"/>
  <c r="P160" i="12"/>
  <c r="S160" i="12" s="1"/>
  <c r="T160" i="12" s="1"/>
  <c r="S193" i="11"/>
  <c r="U193" i="11"/>
  <c r="V193" i="11" s="1"/>
  <c r="T193" i="11" l="1"/>
  <c r="Q160" i="12"/>
  <c r="Z194" i="11" l="1"/>
  <c r="R160" i="12"/>
  <c r="U160" i="12" s="1"/>
  <c r="X160" i="12" s="1"/>
  <c r="EB194" i="11" l="1"/>
  <c r="ED194" i="11" s="1"/>
  <c r="EE194" i="11" s="1"/>
  <c r="EG194" i="11" s="1"/>
  <c r="F194" i="11"/>
  <c r="AC194" i="11"/>
  <c r="AF194" i="11" l="1"/>
  <c r="AE194" i="11"/>
  <c r="E161" i="12"/>
  <c r="O194" i="11"/>
  <c r="F161" i="12" s="1"/>
  <c r="G161" i="12" s="1"/>
  <c r="EF194" i="11"/>
  <c r="EJ194" i="11"/>
  <c r="EK194" i="11"/>
  <c r="EL194" i="11" l="1"/>
  <c r="AG194" i="11"/>
  <c r="AK194" i="11" s="1"/>
  <c r="K194" i="11" s="1"/>
  <c r="AD194" i="11" l="1"/>
  <c r="G194" i="11"/>
  <c r="H161" i="12" s="1"/>
  <c r="I161" i="12" s="1"/>
  <c r="AJ194" i="11"/>
  <c r="AL194" i="11" s="1"/>
  <c r="H194" i="11" s="1"/>
  <c r="L161" i="12" l="1"/>
  <c r="O161" i="12" s="1"/>
  <c r="J194" i="11"/>
  <c r="Q194" i="11" s="1"/>
  <c r="J161" i="12"/>
  <c r="R194" i="11"/>
  <c r="K161" i="12"/>
  <c r="I194" i="11"/>
  <c r="P161" i="12" l="1"/>
  <c r="S161" i="12" s="1"/>
  <c r="T161" i="12" s="1"/>
  <c r="U194" i="11"/>
  <c r="V194" i="11" s="1"/>
  <c r="S194" i="11"/>
  <c r="T194" i="11" l="1"/>
  <c r="Q161" i="12"/>
  <c r="Z195" i="11" l="1"/>
  <c r="R161" i="12"/>
  <c r="U161" i="12" s="1"/>
  <c r="X161" i="12" s="1"/>
  <c r="EB195" i="11" l="1"/>
  <c r="AC195" i="11"/>
  <c r="F195" i="11"/>
  <c r="AF195" i="11" l="1"/>
  <c r="E162" i="12"/>
  <c r="AE195" i="11"/>
  <c r="ED195" i="11"/>
  <c r="EE195" i="11" s="1"/>
  <c r="EG195" i="11" s="1"/>
  <c r="AG195" i="11" l="1"/>
  <c r="AD195" i="11" s="1"/>
  <c r="EK195" i="11"/>
  <c r="EJ195" i="11"/>
  <c r="O195" i="11"/>
  <c r="F162" i="12" s="1"/>
  <c r="G162" i="12" s="1"/>
  <c r="AJ195" i="11"/>
  <c r="J195" i="11" s="1"/>
  <c r="EF195" i="11"/>
  <c r="AK195" i="11" l="1"/>
  <c r="K195" i="11" s="1"/>
  <c r="G195" i="11"/>
  <c r="H162" i="12" s="1"/>
  <c r="L162" i="12" s="1"/>
  <c r="O162" i="12" s="1"/>
  <c r="EL195" i="11"/>
  <c r="AL195" i="11" l="1"/>
  <c r="H195" i="11" s="1"/>
  <c r="R195" i="11"/>
  <c r="I162" i="12"/>
  <c r="J162" i="12"/>
  <c r="Q195" i="11"/>
  <c r="K162" i="12" l="1"/>
  <c r="I195" i="11"/>
  <c r="U195" i="11" s="1"/>
  <c r="V195" i="11" s="1"/>
  <c r="S195" i="11" l="1"/>
  <c r="T195" i="11" s="1"/>
  <c r="P162" i="12"/>
  <c r="S162" i="12" s="1"/>
  <c r="T162" i="12" s="1"/>
  <c r="Q162" i="12"/>
  <c r="Z196" i="11" l="1"/>
  <c r="R162" i="12"/>
  <c r="U162" i="12" s="1"/>
  <c r="X162" i="12" s="1"/>
  <c r="EB196" i="11" l="1"/>
  <c r="F196" i="11"/>
  <c r="AC196" i="11"/>
  <c r="AF196" i="11" l="1"/>
  <c r="E163" i="12"/>
  <c r="AE196" i="11"/>
  <c r="AG196" i="11" s="1"/>
  <c r="ED196" i="11"/>
  <c r="EE196" i="11" s="1"/>
  <c r="EG196" i="11" s="1"/>
  <c r="EJ196" i="11" l="1"/>
  <c r="EK196" i="11"/>
  <c r="G196" i="11"/>
  <c r="H163" i="12" s="1"/>
  <c r="AJ196" i="11"/>
  <c r="J196" i="11" s="1"/>
  <c r="Q196" i="11" s="1"/>
  <c r="AD196" i="11"/>
  <c r="AK196" i="11"/>
  <c r="K196" i="11" s="1"/>
  <c r="R196" i="11" s="1"/>
  <c r="EF196" i="11"/>
  <c r="O196" i="11"/>
  <c r="F163" i="12" s="1"/>
  <c r="G163" i="12" s="1"/>
  <c r="EL196" i="11" l="1"/>
  <c r="AL196" i="11"/>
  <c r="H196" i="11" s="1"/>
  <c r="L163" i="12"/>
  <c r="O163" i="12" s="1"/>
  <c r="J163" i="12"/>
  <c r="I163" i="12"/>
  <c r="K163" i="12" l="1"/>
  <c r="I196" i="11"/>
  <c r="P163" i="12" l="1"/>
  <c r="S163" i="12" s="1"/>
  <c r="T163" i="12" s="1"/>
  <c r="U196" i="11"/>
  <c r="V196" i="11" s="1"/>
  <c r="S196" i="11"/>
  <c r="Q163" i="12" l="1"/>
  <c r="T196" i="11"/>
  <c r="Z197" i="11" l="1"/>
  <c r="R163" i="12"/>
  <c r="U163" i="12" s="1"/>
  <c r="X163" i="12" s="1"/>
  <c r="EB197" i="11" l="1"/>
  <c r="ED197" i="11" s="1"/>
  <c r="EE197" i="11" s="1"/>
  <c r="EG197" i="11" s="1"/>
  <c r="AC197" i="11"/>
  <c r="F197" i="11"/>
  <c r="AE197" i="11" l="1"/>
  <c r="E164" i="12"/>
  <c r="AF197" i="11"/>
  <c r="O197" i="11"/>
  <c r="F164" i="12" s="1"/>
  <c r="G164" i="12" s="1"/>
  <c r="EF197" i="11"/>
  <c r="EK197" i="11"/>
  <c r="EJ197" i="11"/>
  <c r="EL197" i="11" l="1"/>
  <c r="AG197" i="11"/>
  <c r="AJ197" i="11" l="1"/>
  <c r="J197" i="11" s="1"/>
  <c r="AD197" i="11"/>
  <c r="G197" i="11"/>
  <c r="H164" i="12" s="1"/>
  <c r="AK197" i="11"/>
  <c r="K197" i="11" s="1"/>
  <c r="R197" i="11" s="1"/>
  <c r="Q197" i="11" l="1"/>
  <c r="AL197" i="11"/>
  <c r="H197" i="11" s="1"/>
  <c r="K164" i="12" s="1"/>
  <c r="J164" i="12"/>
  <c r="L164" i="12"/>
  <c r="O164" i="12" s="1"/>
  <c r="I164" i="12"/>
  <c r="I197" i="11" l="1"/>
  <c r="P164" i="12" s="1"/>
  <c r="S164" i="12" s="1"/>
  <c r="T164" i="12" s="1"/>
  <c r="U197" i="11" l="1"/>
  <c r="V197" i="11" s="1"/>
  <c r="S197" i="11"/>
  <c r="T197" i="11" s="1"/>
  <c r="O28" i="1" l="1"/>
  <c r="P28" i="1"/>
  <c r="G77" i="17" s="1"/>
  <c r="Q164" i="12"/>
  <c r="R164" i="12"/>
  <c r="Z198" i="11"/>
  <c r="F77" i="17" l="1"/>
  <c r="E77" i="17"/>
  <c r="U164" i="12"/>
  <c r="X164" i="12" s="1"/>
  <c r="EB198" i="11"/>
  <c r="F198" i="11"/>
  <c r="AC198" i="11"/>
  <c r="AE198" i="11" l="1"/>
  <c r="AF198" i="11"/>
  <c r="E165" i="12"/>
  <c r="ED198" i="11"/>
  <c r="EE198" i="11" s="1"/>
  <c r="EG198" i="11" s="1"/>
  <c r="AG198" i="11" l="1"/>
  <c r="EJ198" i="11"/>
  <c r="EK198" i="11"/>
  <c r="EF198" i="11"/>
  <c r="O198" i="11"/>
  <c r="F165" i="12" s="1"/>
  <c r="G165" i="12" s="1"/>
  <c r="AD198" i="11"/>
  <c r="AJ198" i="11"/>
  <c r="J198" i="11" s="1"/>
  <c r="Q198" i="11" s="1"/>
  <c r="AK198" i="11"/>
  <c r="K198" i="11" s="1"/>
  <c r="R198" i="11" s="1"/>
  <c r="G198" i="11"/>
  <c r="H165" i="12" s="1"/>
  <c r="EL198" i="11" l="1"/>
  <c r="AL198" i="11"/>
  <c r="I165" i="12"/>
  <c r="J165" i="12"/>
  <c r="L165" i="12"/>
  <c r="O165" i="12" s="1"/>
  <c r="H198" i="11" l="1"/>
  <c r="K165" i="12" s="1"/>
  <c r="I198" i="11" l="1"/>
  <c r="P165" i="12" s="1"/>
  <c r="S165" i="12" s="1"/>
  <c r="T165" i="12" s="1"/>
  <c r="U198" i="11" l="1"/>
  <c r="V198" i="11" s="1"/>
  <c r="S198" i="11"/>
  <c r="T198" i="11" s="1"/>
  <c r="Q165" i="12" l="1"/>
  <c r="Z199" i="11"/>
  <c r="R165" i="12"/>
  <c r="U165" i="12" s="1"/>
  <c r="X165" i="12" s="1"/>
  <c r="EB199" i="11" l="1"/>
  <c r="F199" i="11"/>
  <c r="AC199" i="11"/>
  <c r="E166" i="12" l="1"/>
  <c r="AE199" i="11"/>
  <c r="AF199" i="11"/>
  <c r="ED199" i="11"/>
  <c r="EE199" i="11" s="1"/>
  <c r="EG199" i="11" s="1"/>
  <c r="EF199" i="11" s="1"/>
  <c r="AG199" i="11" l="1"/>
  <c r="G199" i="11" s="1"/>
  <c r="H166" i="12" s="1"/>
  <c r="EJ199" i="11"/>
  <c r="EK199" i="11"/>
  <c r="O199" i="11"/>
  <c r="F166" i="12" s="1"/>
  <c r="G166" i="12" s="1"/>
  <c r="AJ199" i="11" l="1"/>
  <c r="J199" i="11" s="1"/>
  <c r="Q199" i="11" s="1"/>
  <c r="AD199" i="11"/>
  <c r="I166" i="12"/>
  <c r="EL199" i="11"/>
  <c r="AK199" i="11"/>
  <c r="AL199" i="11" s="1"/>
  <c r="H199" i="11" s="1"/>
  <c r="L166" i="12"/>
  <c r="O166" i="12" s="1"/>
  <c r="J166" i="12"/>
  <c r="K199" i="11" l="1"/>
  <c r="R199" i="11" s="1"/>
  <c r="K166" i="12"/>
  <c r="I199" i="11"/>
  <c r="P166" i="12" l="1"/>
  <c r="S166" i="12" s="1"/>
  <c r="T166" i="12" s="1"/>
  <c r="S199" i="11"/>
  <c r="U199" i="11"/>
  <c r="V199" i="11" s="1"/>
  <c r="Q166" i="12" l="1"/>
  <c r="T199" i="11"/>
  <c r="Z200" i="11" l="1"/>
  <c r="R166" i="12"/>
  <c r="U166" i="12" s="1"/>
  <c r="X166" i="12" s="1"/>
  <c r="EB200" i="11" l="1"/>
  <c r="AC200" i="11"/>
  <c r="F200" i="11"/>
  <c r="E167" i="12" l="1"/>
  <c r="AF200" i="11"/>
  <c r="AE200" i="11"/>
  <c r="ED200" i="11"/>
  <c r="EE200" i="11" s="1"/>
  <c r="EG200" i="11" s="1"/>
  <c r="EF200" i="11" s="1"/>
  <c r="AG200" i="11" l="1"/>
  <c r="AK200" i="11" s="1"/>
  <c r="O200" i="11"/>
  <c r="F167" i="12" s="1"/>
  <c r="G167" i="12" s="1"/>
  <c r="EJ200" i="11"/>
  <c r="EK200" i="11"/>
  <c r="AD200" i="11" l="1"/>
  <c r="G200" i="11"/>
  <c r="H167" i="12" s="1"/>
  <c r="L167" i="12" s="1"/>
  <c r="O167" i="12" s="1"/>
  <c r="AJ200" i="11"/>
  <c r="AL200" i="11" s="1"/>
  <c r="EL200" i="11"/>
  <c r="K200" i="11"/>
  <c r="R200" i="11" s="1"/>
  <c r="I167" i="12" l="1"/>
  <c r="J167" i="12"/>
  <c r="J200" i="11"/>
  <c r="Q200" i="11" s="1"/>
  <c r="H200" i="11"/>
  <c r="K167" i="12" s="1"/>
  <c r="I200" i="11" l="1"/>
  <c r="P167" i="12" s="1"/>
  <c r="S167" i="12" s="1"/>
  <c r="T167" i="12" s="1"/>
  <c r="U200" i="11" l="1"/>
  <c r="V200" i="11" s="1"/>
  <c r="S200" i="11"/>
  <c r="T200" i="11" s="1"/>
  <c r="Q167" i="12" l="1"/>
  <c r="Z201" i="11"/>
  <c r="R167" i="12"/>
  <c r="U167" i="12" s="1"/>
  <c r="X167" i="12" s="1"/>
  <c r="EB201" i="11" l="1"/>
  <c r="F201" i="11"/>
  <c r="AC201" i="11"/>
  <c r="AE201" i="11" l="1"/>
  <c r="AF201" i="11"/>
  <c r="E168" i="12"/>
  <c r="ED201" i="11"/>
  <c r="EE201" i="11" s="1"/>
  <c r="EG201" i="11" s="1"/>
  <c r="EK201" i="11" l="1"/>
  <c r="EJ201" i="11"/>
  <c r="EF201" i="11"/>
  <c r="O201" i="11"/>
  <c r="F168" i="12" s="1"/>
  <c r="G168" i="12" s="1"/>
  <c r="AG201" i="11"/>
  <c r="EL201" i="11" l="1"/>
  <c r="G201" i="11"/>
  <c r="H168" i="12" s="1"/>
  <c r="AJ201" i="11"/>
  <c r="J201" i="11" s="1"/>
  <c r="Q201" i="11" s="1"/>
  <c r="AD201" i="11"/>
  <c r="AK201" i="11"/>
  <c r="K201" i="11" s="1"/>
  <c r="R201" i="11" s="1"/>
  <c r="AL201" i="11" l="1"/>
  <c r="H201" i="11" s="1"/>
  <c r="L168" i="12"/>
  <c r="O168" i="12" s="1"/>
  <c r="J168" i="12"/>
  <c r="I168" i="12"/>
  <c r="K168" i="12" l="1"/>
  <c r="I201" i="11"/>
  <c r="P168" i="12" l="1"/>
  <c r="S168" i="12" s="1"/>
  <c r="T168" i="12" s="1"/>
  <c r="U201" i="11"/>
  <c r="V201" i="11" s="1"/>
  <c r="S201" i="11"/>
  <c r="T201" i="11" l="1"/>
  <c r="Q168" i="12"/>
  <c r="R168" i="12" l="1"/>
  <c r="U168" i="12" s="1"/>
  <c r="X168" i="12" s="1"/>
  <c r="Z202" i="11"/>
  <c r="EB202" i="11" l="1"/>
  <c r="ED202" i="11" s="1"/>
  <c r="EE202" i="11" s="1"/>
  <c r="EG202" i="11" s="1"/>
  <c r="F202" i="11"/>
  <c r="AC202" i="11"/>
  <c r="AE202" i="11" l="1"/>
  <c r="AF202" i="11"/>
  <c r="E169" i="12"/>
  <c r="O202" i="11"/>
  <c r="F169" i="12" s="1"/>
  <c r="G169" i="12" s="1"/>
  <c r="EF202" i="11"/>
  <c r="EK202" i="11"/>
  <c r="EJ202" i="11"/>
  <c r="EL202" i="11" l="1"/>
  <c r="AG202" i="11"/>
  <c r="AK202" i="11" l="1"/>
  <c r="K202" i="11" s="1"/>
  <c r="AJ202" i="11"/>
  <c r="J202" i="11" s="1"/>
  <c r="G202" i="11"/>
  <c r="H169" i="12" s="1"/>
  <c r="AD202" i="11"/>
  <c r="Q202" i="11" l="1"/>
  <c r="AL202" i="11"/>
  <c r="H202" i="11" s="1"/>
  <c r="I202" i="11" s="1"/>
  <c r="R202" i="11"/>
  <c r="L169" i="12"/>
  <c r="O169" i="12" s="1"/>
  <c r="J169" i="12"/>
  <c r="I169" i="12"/>
  <c r="K169" i="12" l="1"/>
  <c r="U202" i="11"/>
  <c r="V202" i="11" s="1"/>
  <c r="P169" i="12"/>
  <c r="S169" i="12" s="1"/>
  <c r="T169" i="12" s="1"/>
  <c r="S202" i="11"/>
  <c r="T202" i="11" l="1"/>
  <c r="Q169" i="12"/>
  <c r="Z203" i="11" l="1"/>
  <c r="R169" i="12"/>
  <c r="U169" i="12" s="1"/>
  <c r="X169" i="12" s="1"/>
  <c r="EB203" i="11" l="1"/>
  <c r="ED203" i="11" s="1"/>
  <c r="EE203" i="11" s="1"/>
  <c r="EG203" i="11" s="1"/>
  <c r="AC203" i="11"/>
  <c r="F203" i="11"/>
  <c r="E170" i="12" l="1"/>
  <c r="AF203" i="11"/>
  <c r="AE203" i="11"/>
  <c r="O203" i="11"/>
  <c r="F170" i="12" s="1"/>
  <c r="G170" i="12" s="1"/>
  <c r="EF203" i="11"/>
  <c r="EK203" i="11"/>
  <c r="EJ203" i="11"/>
  <c r="AG203" i="11" l="1"/>
  <c r="EL203" i="11"/>
  <c r="G203" i="11"/>
  <c r="H170" i="12" s="1"/>
  <c r="I170" i="12" s="1"/>
  <c r="AD203" i="11"/>
  <c r="AJ203" i="11"/>
  <c r="J203" i="11" s="1"/>
  <c r="Q203" i="11" s="1"/>
  <c r="AK203" i="11"/>
  <c r="K203" i="11" s="1"/>
  <c r="R203" i="11" s="1"/>
  <c r="AL203" i="11" l="1"/>
  <c r="H203" i="11" s="1"/>
  <c r="L170" i="12"/>
  <c r="O170" i="12" s="1"/>
  <c r="J170" i="12"/>
  <c r="K170" i="12" l="1"/>
  <c r="I203" i="11"/>
  <c r="S203" i="11" l="1"/>
  <c r="U203" i="11"/>
  <c r="V203" i="11" s="1"/>
  <c r="P170" i="12"/>
  <c r="S170" i="12" s="1"/>
  <c r="T170" i="12" s="1"/>
  <c r="Q170" i="12" l="1"/>
  <c r="T203" i="11"/>
  <c r="Z204" i="11" l="1"/>
  <c r="R170" i="12"/>
  <c r="U170" i="12" s="1"/>
  <c r="X170" i="12" s="1"/>
  <c r="EB204" i="11" l="1"/>
  <c r="AC204" i="11"/>
  <c r="F204" i="11"/>
  <c r="AF204" i="11" l="1"/>
  <c r="AE204" i="11"/>
  <c r="E171" i="12"/>
  <c r="ED204" i="11"/>
  <c r="EE204" i="11" s="1"/>
  <c r="EG204" i="11" s="1"/>
  <c r="AG204" i="11" l="1"/>
  <c r="AK204" i="11" s="1"/>
  <c r="EJ204" i="11"/>
  <c r="EK204" i="11"/>
  <c r="O204" i="11"/>
  <c r="F171" i="12" s="1"/>
  <c r="EF204" i="11"/>
  <c r="AJ204" i="11" l="1"/>
  <c r="AL204" i="11" s="1"/>
  <c r="AD204" i="11"/>
  <c r="G204" i="11"/>
  <c r="H171" i="12" s="1"/>
  <c r="I171" i="12" s="1"/>
  <c r="EL204" i="11"/>
  <c r="K204" i="11"/>
  <c r="G171" i="12"/>
  <c r="H204" i="11" l="1"/>
  <c r="J204" i="11"/>
  <c r="Q204" i="11" s="1"/>
  <c r="J171" i="12"/>
  <c r="R204" i="11"/>
  <c r="L171" i="12"/>
  <c r="O171" i="12" s="1"/>
  <c r="I204" i="11"/>
  <c r="K171" i="12"/>
  <c r="U204" i="11" l="1"/>
  <c r="V204" i="11" s="1"/>
  <c r="P171" i="12"/>
  <c r="S171" i="12" s="1"/>
  <c r="T171" i="12" s="1"/>
  <c r="S204" i="11"/>
  <c r="T204" i="11" l="1"/>
  <c r="Q171" i="12"/>
  <c r="R171" i="12" l="1"/>
  <c r="U171" i="12" s="1"/>
  <c r="X171" i="12" s="1"/>
  <c r="Z205" i="11"/>
  <c r="EB205" i="11" l="1"/>
  <c r="ED205" i="11" s="1"/>
  <c r="EE205" i="11" s="1"/>
  <c r="EG205" i="11" s="1"/>
  <c r="F205" i="11"/>
  <c r="AC205" i="11"/>
  <c r="AF205" i="11" l="1"/>
  <c r="AE205" i="11"/>
  <c r="E172" i="12"/>
  <c r="O205" i="11"/>
  <c r="F172" i="12" s="1"/>
  <c r="G172" i="12" s="1"/>
  <c r="EF205" i="11"/>
  <c r="EK205" i="11"/>
  <c r="EJ205" i="11"/>
  <c r="AG205" i="11" l="1"/>
  <c r="AJ205" i="11" s="1"/>
  <c r="J205" i="11" s="1"/>
  <c r="EL205" i="11"/>
  <c r="AD205" i="11"/>
  <c r="G205" i="11"/>
  <c r="H172" i="12" s="1"/>
  <c r="AK205" i="11"/>
  <c r="K205" i="11" s="1"/>
  <c r="R205" i="11" s="1"/>
  <c r="Q205" i="11" l="1"/>
  <c r="AL205" i="11"/>
  <c r="H205" i="11" s="1"/>
  <c r="J172" i="12"/>
  <c r="L172" i="12"/>
  <c r="O172" i="12" s="1"/>
  <c r="I172" i="12"/>
  <c r="K172" i="12" l="1"/>
  <c r="I205" i="11"/>
  <c r="P172" i="12" l="1"/>
  <c r="S172" i="12" s="1"/>
  <c r="T172" i="12" s="1"/>
  <c r="U205" i="11"/>
  <c r="V205" i="11" s="1"/>
  <c r="S205" i="11"/>
  <c r="T205" i="11" l="1"/>
  <c r="Q172" i="12"/>
  <c r="Z206" i="11" l="1"/>
  <c r="R172" i="12"/>
  <c r="U172" i="12" s="1"/>
  <c r="X172" i="12" s="1"/>
  <c r="EB206" i="11" l="1"/>
  <c r="AC206" i="11"/>
  <c r="F206" i="11"/>
  <c r="AF206" i="11" l="1"/>
  <c r="AE206" i="11"/>
  <c r="E173" i="12"/>
  <c r="ED206" i="11"/>
  <c r="EE206" i="11" s="1"/>
  <c r="EG206" i="11" s="1"/>
  <c r="AG206" i="11" l="1"/>
  <c r="AJ206" i="11" s="1"/>
  <c r="EJ206" i="11"/>
  <c r="EK206" i="11"/>
  <c r="EF206" i="11"/>
  <c r="O206" i="11"/>
  <c r="F173" i="12" s="1"/>
  <c r="G173" i="12" s="1"/>
  <c r="J206" i="11" l="1"/>
  <c r="AK206" i="11"/>
  <c r="K206" i="11" s="1"/>
  <c r="AD206" i="11"/>
  <c r="G206" i="11"/>
  <c r="H173" i="12" s="1"/>
  <c r="J173" i="12" s="1"/>
  <c r="EL206" i="11"/>
  <c r="AL206" i="11" l="1"/>
  <c r="H206" i="11" s="1"/>
  <c r="L173" i="12"/>
  <c r="O173" i="12" s="1"/>
  <c r="R206" i="11"/>
  <c r="I173" i="12"/>
  <c r="Q206" i="11"/>
  <c r="I206" i="11" l="1"/>
  <c r="P173" i="12" s="1"/>
  <c r="K173" i="12"/>
  <c r="S206" i="11"/>
  <c r="U206" i="11"/>
  <c r="V206" i="11" s="1"/>
  <c r="S173" i="12" l="1"/>
  <c r="T173" i="12" s="1"/>
  <c r="T206" i="11"/>
  <c r="Q173" i="12"/>
  <c r="Z207" i="11" l="1"/>
  <c r="R173" i="12"/>
  <c r="U173" i="12" s="1"/>
  <c r="X173" i="12" s="1"/>
  <c r="EB207" i="11" l="1"/>
  <c r="F207" i="11"/>
  <c r="AC207" i="11"/>
  <c r="AF207" i="11" l="1"/>
  <c r="AE207" i="11"/>
  <c r="E174" i="12"/>
  <c r="ED207" i="11"/>
  <c r="EE207" i="11" s="1"/>
  <c r="EG207" i="11" s="1"/>
  <c r="EF207" i="11" s="1"/>
  <c r="AG207" i="11" l="1"/>
  <c r="AK207" i="11" s="1"/>
  <c r="EJ207" i="11"/>
  <c r="EK207" i="11"/>
  <c r="O207" i="11"/>
  <c r="F174" i="12" s="1"/>
  <c r="G174" i="12" s="1"/>
  <c r="AJ207" i="11"/>
  <c r="AD207" i="11"/>
  <c r="K207" i="11" l="1"/>
  <c r="G207" i="11"/>
  <c r="H174" i="12" s="1"/>
  <c r="I174" i="12" s="1"/>
  <c r="J207" i="11"/>
  <c r="EL207" i="11"/>
  <c r="AL207" i="11"/>
  <c r="H207" i="11" s="1"/>
  <c r="Q207" i="11" l="1"/>
  <c r="J174" i="12"/>
  <c r="L174" i="12"/>
  <c r="O174" i="12" s="1"/>
  <c r="R207" i="11"/>
  <c r="K174" i="12"/>
  <c r="I207" i="11"/>
  <c r="U207" i="11" l="1"/>
  <c r="V207" i="11" s="1"/>
  <c r="P174" i="12"/>
  <c r="S174" i="12" s="1"/>
  <c r="T174" i="12" s="1"/>
  <c r="S207" i="11"/>
  <c r="Q174" i="12" l="1"/>
  <c r="T207" i="11"/>
  <c r="Z208" i="11" l="1"/>
  <c r="R174" i="12"/>
  <c r="U174" i="12" s="1"/>
  <c r="X174" i="12" s="1"/>
  <c r="EB208" i="11" l="1"/>
  <c r="ED208" i="11" s="1"/>
  <c r="EE208" i="11" s="1"/>
  <c r="EG208" i="11" s="1"/>
  <c r="F208" i="11"/>
  <c r="AC208" i="11"/>
  <c r="AF208" i="11" l="1"/>
  <c r="AE208" i="11"/>
  <c r="E175" i="12"/>
  <c r="O208" i="11"/>
  <c r="F175" i="12" s="1"/>
  <c r="G175" i="12" s="1"/>
  <c r="EF208" i="11"/>
  <c r="EJ208" i="11"/>
  <c r="EK208" i="11"/>
  <c r="AG208" i="11" l="1"/>
  <c r="AD208" i="11" s="1"/>
  <c r="EL208" i="11"/>
  <c r="AK208" i="11"/>
  <c r="K208" i="11" s="1"/>
  <c r="G208" i="11" l="1"/>
  <c r="H175" i="12" s="1"/>
  <c r="L175" i="12" s="1"/>
  <c r="O175" i="12" s="1"/>
  <c r="AJ208" i="11"/>
  <c r="J208" i="11" s="1"/>
  <c r="Q208" i="11" s="1"/>
  <c r="J175" i="12"/>
  <c r="I175" i="12"/>
  <c r="R208" i="11" l="1"/>
  <c r="AL208" i="11"/>
  <c r="H208" i="11" s="1"/>
  <c r="K175" i="12" s="1"/>
  <c r="I208" i="11" l="1"/>
  <c r="U208" i="11"/>
  <c r="V208" i="11" s="1"/>
  <c r="P175" i="12"/>
  <c r="S175" i="12" s="1"/>
  <c r="T175" i="12" s="1"/>
  <c r="S208" i="11"/>
  <c r="T208" i="11" l="1"/>
  <c r="Q175" i="12"/>
  <c r="Z209" i="11" l="1"/>
  <c r="R175" i="12"/>
  <c r="U175" i="12" s="1"/>
  <c r="X175" i="12" s="1"/>
  <c r="EB209" i="11" l="1"/>
  <c r="ED209" i="11" s="1"/>
  <c r="EE209" i="11" s="1"/>
  <c r="EG209" i="11" s="1"/>
  <c r="EF209" i="11" s="1"/>
  <c r="F209" i="11"/>
  <c r="AC209" i="11"/>
  <c r="AE209" i="11" l="1"/>
  <c r="AF209" i="11"/>
  <c r="E176" i="12"/>
  <c r="O209" i="11"/>
  <c r="F176" i="12" s="1"/>
  <c r="G176" i="12" s="1"/>
  <c r="EJ209" i="11"/>
  <c r="EK209" i="11"/>
  <c r="AG209" i="11" l="1"/>
  <c r="G209" i="11" s="1"/>
  <c r="H176" i="12" s="1"/>
  <c r="EL209" i="11"/>
  <c r="AD209" i="11" l="1"/>
  <c r="AK209" i="11"/>
  <c r="K209" i="11" s="1"/>
  <c r="R209" i="11" s="1"/>
  <c r="AJ209" i="11"/>
  <c r="J209" i="11" s="1"/>
  <c r="Q209" i="11" s="1"/>
  <c r="J176" i="12"/>
  <c r="L176" i="12"/>
  <c r="O176" i="12" s="1"/>
  <c r="Z22" i="12"/>
  <c r="I176" i="12"/>
  <c r="AL209" i="11"/>
  <c r="H209" i="11" s="1"/>
  <c r="I209" i="11" l="1"/>
  <c r="K176" i="12"/>
  <c r="AA22" i="12"/>
  <c r="AC22" i="12" s="1"/>
  <c r="AE22" i="12" s="1"/>
  <c r="AG22" i="12" s="1"/>
  <c r="AI22" i="12" s="1"/>
  <c r="AK22" i="12" s="1"/>
  <c r="AM22" i="12" s="1"/>
  <c r="AB22" i="12"/>
  <c r="AD22" i="12" s="1"/>
  <c r="AF22" i="12" s="1"/>
  <c r="AH22" i="12" s="1"/>
  <c r="AJ22" i="12" s="1"/>
  <c r="AL22" i="12" s="1"/>
  <c r="P176" i="12" l="1"/>
  <c r="S176" i="12" s="1"/>
  <c r="T176" i="12" s="1"/>
  <c r="S209" i="11"/>
  <c r="U209" i="11"/>
  <c r="V209" i="11" s="1"/>
  <c r="P29" i="1" l="1"/>
  <c r="G78" i="17" s="1"/>
  <c r="T209" i="11"/>
  <c r="Q176" i="12"/>
  <c r="O29" i="1" l="1"/>
  <c r="Z210" i="11"/>
  <c r="R176" i="12"/>
  <c r="U176" i="12" s="1"/>
  <c r="X176" i="12" s="1"/>
  <c r="F78" i="17" l="1"/>
  <c r="E78" i="17"/>
  <c r="EB210" i="11"/>
  <c r="F210" i="11"/>
  <c r="AC210" i="11"/>
  <c r="AE210" i="11" l="1"/>
  <c r="AF210" i="11"/>
  <c r="E177" i="12"/>
  <c r="ED210" i="11"/>
  <c r="EE210" i="11" s="1"/>
  <c r="EG210" i="11" s="1"/>
  <c r="EF210" i="11" s="1"/>
  <c r="AG210" i="11" l="1"/>
  <c r="G210" i="11" s="1"/>
  <c r="H177" i="12" s="1"/>
  <c r="L177" i="12" s="1"/>
  <c r="O177" i="12" s="1"/>
  <c r="EK210" i="11"/>
  <c r="EJ210" i="11"/>
  <c r="O210" i="11"/>
  <c r="F177" i="12" s="1"/>
  <c r="AJ210" i="11" l="1"/>
  <c r="AD210" i="11"/>
  <c r="J177" i="12"/>
  <c r="AK210" i="11"/>
  <c r="K210" i="11" s="1"/>
  <c r="R210" i="11" s="1"/>
  <c r="G177" i="12"/>
  <c r="EL210" i="11"/>
  <c r="J210" i="11"/>
  <c r="Q210" i="11" s="1"/>
  <c r="I177" i="12"/>
  <c r="AL210" i="11" l="1"/>
  <c r="H210" i="11" s="1"/>
  <c r="K177" i="12" s="1"/>
  <c r="I210" i="11" l="1"/>
  <c r="S210" i="11" s="1"/>
  <c r="T210" i="11" s="1"/>
  <c r="P177" i="12" l="1"/>
  <c r="S177" i="12" s="1"/>
  <c r="T177" i="12" s="1"/>
  <c r="U210" i="11"/>
  <c r="V210" i="11" s="1"/>
  <c r="Q177" i="12"/>
  <c r="Z211" i="11"/>
  <c r="EB211" i="11" s="1"/>
  <c r="R177" i="12"/>
  <c r="U177" i="12" l="1"/>
  <c r="X177" i="12" s="1"/>
  <c r="F211" i="11"/>
  <c r="ED211" i="11"/>
  <c r="EE211" i="11" s="1"/>
  <c r="EG211" i="11" s="1"/>
  <c r="AC211" i="11"/>
  <c r="AF211" i="11" l="1"/>
  <c r="AE211" i="11"/>
  <c r="E178" i="12"/>
  <c r="O211" i="11"/>
  <c r="F178" i="12" s="1"/>
  <c r="G178" i="12" s="1"/>
  <c r="EF211" i="11"/>
  <c r="EJ211" i="11"/>
  <c r="EK211" i="11"/>
  <c r="AG211" i="11" l="1"/>
  <c r="AJ211" i="11" s="1"/>
  <c r="J211" i="11" s="1"/>
  <c r="EL211" i="11"/>
  <c r="AK211" i="11" l="1"/>
  <c r="K211" i="11" s="1"/>
  <c r="G211" i="11"/>
  <c r="H178" i="12" s="1"/>
  <c r="J178" i="12" s="1"/>
  <c r="AD211" i="11"/>
  <c r="AL211" i="11"/>
  <c r="H211" i="11" s="1"/>
  <c r="I178" i="12" l="1"/>
  <c r="Q211" i="11"/>
  <c r="L178" i="12"/>
  <c r="O178" i="12" s="1"/>
  <c r="R211" i="11"/>
  <c r="K178" i="12"/>
  <c r="I211" i="11"/>
  <c r="P178" i="12" l="1"/>
  <c r="S178" i="12" s="1"/>
  <c r="T178" i="12" s="1"/>
  <c r="S211" i="11"/>
  <c r="U211" i="11"/>
  <c r="V211" i="11" l="1"/>
  <c r="T211" i="11"/>
  <c r="Q178" i="12"/>
  <c r="Z212" i="11" l="1"/>
  <c r="EB212" i="11" s="1"/>
  <c r="R178" i="12"/>
  <c r="U178" i="12" s="1"/>
  <c r="X178" i="12" s="1"/>
  <c r="F212" i="11" l="1"/>
  <c r="AC212" i="11"/>
  <c r="ED212" i="11" l="1"/>
  <c r="EE212" i="11" s="1"/>
  <c r="EG212" i="11" s="1"/>
  <c r="EF212" i="11" s="1"/>
  <c r="AF212" i="11"/>
  <c r="E179" i="12"/>
  <c r="AE212" i="11"/>
  <c r="AG212" i="11" l="1"/>
  <c r="G212" i="11" s="1"/>
  <c r="H179" i="12" s="1"/>
  <c r="O212" i="11"/>
  <c r="F179" i="12" s="1"/>
  <c r="G179" i="12" s="1"/>
  <c r="EJ212" i="11"/>
  <c r="EK212" i="11"/>
  <c r="AK212" i="11" l="1"/>
  <c r="K212" i="11" s="1"/>
  <c r="R212" i="11" s="1"/>
  <c r="AJ212" i="11"/>
  <c r="J212" i="11" s="1"/>
  <c r="Q212" i="11" s="1"/>
  <c r="AD212" i="11"/>
  <c r="EL212" i="11"/>
  <c r="I179" i="12"/>
  <c r="L179" i="12"/>
  <c r="O179" i="12" s="1"/>
  <c r="J179" i="12"/>
  <c r="AL212" i="11" l="1"/>
  <c r="H212" i="11" s="1"/>
  <c r="I212" i="11" s="1"/>
  <c r="K179" i="12" l="1"/>
  <c r="P179" i="12"/>
  <c r="S212" i="11"/>
  <c r="U212" i="11"/>
  <c r="S179" i="12" l="1"/>
  <c r="T179" i="12" s="1"/>
  <c r="T212" i="11"/>
  <c r="Q179" i="12"/>
  <c r="V212" i="11"/>
  <c r="Z213" i="11" l="1"/>
  <c r="EB213" i="11" s="1"/>
  <c r="R179" i="12"/>
  <c r="U179" i="12" s="1"/>
  <c r="X179" i="12" s="1"/>
  <c r="F213" i="11" l="1"/>
  <c r="AC213" i="11"/>
  <c r="E180" i="12" l="1"/>
  <c r="AF213" i="11"/>
  <c r="AE213" i="11"/>
  <c r="ED213" i="11"/>
  <c r="EE213" i="11" s="1"/>
  <c r="EG213" i="11" s="1"/>
  <c r="EK213" i="11" l="1"/>
  <c r="EJ213" i="11"/>
  <c r="EF213" i="11"/>
  <c r="O213" i="11"/>
  <c r="F180" i="12" s="1"/>
  <c r="G180" i="12" s="1"/>
  <c r="AG213" i="11"/>
  <c r="EL213" i="11" l="1"/>
  <c r="AK213" i="11"/>
  <c r="K213" i="11" s="1"/>
  <c r="AD213" i="11"/>
  <c r="AJ213" i="11"/>
  <c r="J213" i="11" s="1"/>
  <c r="G213" i="11"/>
  <c r="H180" i="12" s="1"/>
  <c r="Q213" i="11" l="1"/>
  <c r="AL213" i="11"/>
  <c r="H213" i="11" s="1"/>
  <c r="K180" i="12" s="1"/>
  <c r="J180" i="12"/>
  <c r="L180" i="12"/>
  <c r="O180" i="12" s="1"/>
  <c r="I180" i="12"/>
  <c r="R213" i="11"/>
  <c r="I213" i="11" l="1"/>
  <c r="P180" i="12" s="1"/>
  <c r="S180" i="12" s="1"/>
  <c r="T180" i="12" s="1"/>
  <c r="S213" i="11" l="1"/>
  <c r="Q180" i="12" s="1"/>
  <c r="U213" i="11"/>
  <c r="V213" i="11" s="1"/>
  <c r="T213" i="11" l="1"/>
  <c r="Z214" i="11" l="1"/>
  <c r="F214" i="11" s="1"/>
  <c r="R180" i="12"/>
  <c r="U180" i="12" s="1"/>
  <c r="X180" i="12" s="1"/>
  <c r="AC214" i="11" l="1"/>
  <c r="E181" i="12" s="1"/>
  <c r="EB214" i="11"/>
  <c r="ED214" i="11" s="1"/>
  <c r="EE214" i="11" s="1"/>
  <c r="AF214" i="11" l="1"/>
  <c r="AE214" i="11"/>
  <c r="EG214" i="11"/>
  <c r="EF214" i="11" s="1"/>
  <c r="O214" i="11"/>
  <c r="F181" i="12" s="1"/>
  <c r="G181" i="12" s="1"/>
  <c r="AG214" i="11" l="1"/>
  <c r="G214" i="11" s="1"/>
  <c r="H181" i="12" s="1"/>
  <c r="I181" i="12" s="1"/>
  <c r="EK214" i="11"/>
  <c r="EJ214" i="11"/>
  <c r="AK214" i="11"/>
  <c r="K214" i="11" s="1"/>
  <c r="R214" i="11" s="1"/>
  <c r="AJ214" i="11"/>
  <c r="AD214" i="11"/>
  <c r="J181" i="12"/>
  <c r="L181" i="12"/>
  <c r="O181" i="12" s="1"/>
  <c r="J214" i="11" l="1"/>
  <c r="Q214" i="11" s="1"/>
  <c r="EL214" i="11"/>
  <c r="AL214" i="11"/>
  <c r="H214" i="11" s="1"/>
  <c r="K181" i="12" s="1"/>
  <c r="I214" i="11" l="1"/>
  <c r="P181" i="12" s="1"/>
  <c r="S181" i="12" s="1"/>
  <c r="T181" i="12" s="1"/>
  <c r="S214" i="11" l="1"/>
  <c r="T214" i="11" s="1"/>
  <c r="U214" i="11"/>
  <c r="V214" i="11" s="1"/>
  <c r="Z215" i="11" l="1"/>
  <c r="EB215" i="11" s="1"/>
  <c r="Q181" i="12"/>
  <c r="R181" i="12"/>
  <c r="U181" i="12" l="1"/>
  <c r="X181" i="12" s="1"/>
  <c r="F215" i="11"/>
  <c r="ED215" i="11"/>
  <c r="EE215" i="11" s="1"/>
  <c r="EG215" i="11" s="1"/>
  <c r="AC215" i="11"/>
  <c r="EF215" i="11" l="1"/>
  <c r="EJ215" i="11"/>
  <c r="EK215" i="11"/>
  <c r="E182" i="12"/>
  <c r="AE215" i="11"/>
  <c r="AF215" i="11"/>
  <c r="O215" i="11"/>
  <c r="F182" i="12" s="1"/>
  <c r="G182" i="12" s="1"/>
  <c r="AG215" i="11" l="1"/>
  <c r="EL215" i="11"/>
  <c r="AK215" i="11" l="1"/>
  <c r="K215" i="11" s="1"/>
  <c r="AD215" i="11"/>
  <c r="AJ215" i="11"/>
  <c r="J215" i="11" s="1"/>
  <c r="G215" i="11"/>
  <c r="H182" i="12" s="1"/>
  <c r="Q215" i="11" l="1"/>
  <c r="AL215" i="11"/>
  <c r="H215" i="11" s="1"/>
  <c r="J182" i="12"/>
  <c r="L182" i="12"/>
  <c r="O182" i="12" s="1"/>
  <c r="I182" i="12"/>
  <c r="R215" i="11"/>
  <c r="K182" i="12" l="1"/>
  <c r="I215" i="11"/>
  <c r="P182" i="12" l="1"/>
  <c r="S182" i="12" s="1"/>
  <c r="T182" i="12" s="1"/>
  <c r="S215" i="11"/>
  <c r="U215" i="11"/>
  <c r="Q182" i="12" l="1"/>
  <c r="T215" i="11"/>
  <c r="V215" i="11"/>
  <c r="Z216" i="11" l="1"/>
  <c r="EB216" i="11" s="1"/>
  <c r="R182" i="12"/>
  <c r="U182" i="12" s="1"/>
  <c r="X182" i="12" s="1"/>
  <c r="F216" i="11" l="1"/>
  <c r="ED216" i="11"/>
  <c r="EE216" i="11" s="1"/>
  <c r="EG216" i="11" s="1"/>
  <c r="AC216" i="11"/>
  <c r="AE216" i="11" l="1"/>
  <c r="AF216" i="11"/>
  <c r="E183" i="12"/>
  <c r="O216" i="11"/>
  <c r="F183" i="12" s="1"/>
  <c r="G183" i="12" s="1"/>
  <c r="EF216" i="11"/>
  <c r="EJ216" i="11"/>
  <c r="EK216" i="11"/>
  <c r="EL216" i="11" l="1"/>
  <c r="AG216" i="11"/>
  <c r="G216" i="11" l="1"/>
  <c r="H183" i="12" s="1"/>
  <c r="AJ216" i="11"/>
  <c r="J216" i="11" s="1"/>
  <c r="Q216" i="11" s="1"/>
  <c r="AD216" i="11"/>
  <c r="AK216" i="11"/>
  <c r="K216" i="11" s="1"/>
  <c r="R216" i="11" s="1"/>
  <c r="AL216" i="11" l="1"/>
  <c r="H216" i="11" s="1"/>
  <c r="J183" i="12"/>
  <c r="L183" i="12"/>
  <c r="O183" i="12" s="1"/>
  <c r="I183" i="12"/>
  <c r="I216" i="11" l="1"/>
  <c r="K183" i="12"/>
  <c r="P183" i="12" l="1"/>
  <c r="S183" i="12" s="1"/>
  <c r="T183" i="12" s="1"/>
  <c r="S216" i="11"/>
  <c r="U216" i="11"/>
  <c r="Q183" i="12" l="1"/>
  <c r="T216" i="11"/>
  <c r="V216" i="11"/>
  <c r="Z217" i="11" l="1"/>
  <c r="EB217" i="11" s="1"/>
  <c r="R183" i="12"/>
  <c r="U183" i="12" s="1"/>
  <c r="X183" i="12" s="1"/>
  <c r="F217" i="11" l="1"/>
  <c r="ED217" i="11"/>
  <c r="EE217" i="11" s="1"/>
  <c r="EG217" i="11" s="1"/>
  <c r="AC217" i="11"/>
  <c r="AF217" i="11" l="1"/>
  <c r="E184" i="12"/>
  <c r="AE217" i="11"/>
  <c r="O217" i="11"/>
  <c r="EF217" i="11"/>
  <c r="EK217" i="11"/>
  <c r="EJ217" i="11"/>
  <c r="AG217" i="11" l="1"/>
  <c r="G217" i="11" s="1"/>
  <c r="H184" i="12" s="1"/>
  <c r="F184" i="12"/>
  <c r="G184" i="12" s="1"/>
  <c r="EL217" i="11"/>
  <c r="AK217" i="11" l="1"/>
  <c r="K217" i="11" s="1"/>
  <c r="R217" i="11" s="1"/>
  <c r="AJ217" i="11"/>
  <c r="J217" i="11" s="1"/>
  <c r="Q217" i="11" s="1"/>
  <c r="AD217" i="11"/>
  <c r="I184" i="12"/>
  <c r="L184" i="12"/>
  <c r="O184" i="12" s="1"/>
  <c r="J184" i="12"/>
  <c r="AL217" i="11" l="1"/>
  <c r="H217" i="11" s="1"/>
  <c r="K184" i="12" s="1"/>
  <c r="I217" i="11" l="1"/>
  <c r="P184" i="12" s="1"/>
  <c r="S184" i="12" s="1"/>
  <c r="T184" i="12" s="1"/>
  <c r="U217" i="11" l="1"/>
  <c r="S217" i="11"/>
  <c r="Q184" i="12" s="1"/>
  <c r="V217" i="11"/>
  <c r="T217" i="11" l="1"/>
  <c r="Z218" i="11"/>
  <c r="EB218" i="11" s="1"/>
  <c r="R184" i="12"/>
  <c r="U184" i="12" s="1"/>
  <c r="X184" i="12" s="1"/>
  <c r="F218" i="11" l="1"/>
  <c r="AC218" i="11"/>
  <c r="E185" i="12" l="1"/>
  <c r="AE218" i="11"/>
  <c r="AF218" i="11"/>
  <c r="ED218" i="11"/>
  <c r="EE218" i="11" s="1"/>
  <c r="EG218" i="11" s="1"/>
  <c r="EJ218" i="11" l="1"/>
  <c r="EK218" i="11"/>
  <c r="O218" i="11"/>
  <c r="F185" i="12" s="1"/>
  <c r="G185" i="12" s="1"/>
  <c r="AG218" i="11"/>
  <c r="EF218" i="11"/>
  <c r="AD218" i="11" l="1"/>
  <c r="AJ218" i="11"/>
  <c r="J218" i="11" s="1"/>
  <c r="AK218" i="11"/>
  <c r="K218" i="11" s="1"/>
  <c r="G218" i="11"/>
  <c r="H185" i="12" s="1"/>
  <c r="EL218" i="11"/>
  <c r="AL218" i="11" l="1"/>
  <c r="H218" i="11" s="1"/>
  <c r="K185" i="12" s="1"/>
  <c r="J185" i="12"/>
  <c r="L185" i="12"/>
  <c r="O185" i="12" s="1"/>
  <c r="I185" i="12"/>
  <c r="Q218" i="11"/>
  <c r="R218" i="11"/>
  <c r="I218" i="11" l="1"/>
  <c r="P185" i="12" s="1"/>
  <c r="S185" i="12" s="1"/>
  <c r="T185" i="12" s="1"/>
  <c r="U218" i="11" l="1"/>
  <c r="V218" i="11" s="1"/>
  <c r="S218" i="11"/>
  <c r="Q185" i="12" s="1"/>
  <c r="T218" i="11" l="1"/>
  <c r="R185" i="12" s="1"/>
  <c r="U185" i="12" s="1"/>
  <c r="X185" i="12" s="1"/>
  <c r="Z219" i="11"/>
  <c r="EB219" i="11" s="1"/>
  <c r="F219" i="11" l="1"/>
  <c r="AC219" i="11"/>
  <c r="AF219" i="11" l="1"/>
  <c r="AE219" i="11"/>
  <c r="E186" i="12"/>
  <c r="ED219" i="11"/>
  <c r="EE219" i="11" s="1"/>
  <c r="EG219" i="11" s="1"/>
  <c r="AG219" i="11" l="1"/>
  <c r="AJ219" i="11" s="1"/>
  <c r="EJ219" i="11"/>
  <c r="EK219" i="11"/>
  <c r="EF219" i="11"/>
  <c r="O219" i="11"/>
  <c r="F186" i="12" s="1"/>
  <c r="G186" i="12" s="1"/>
  <c r="AK219" i="11" l="1"/>
  <c r="K219" i="11" s="1"/>
  <c r="AD219" i="11"/>
  <c r="G219" i="11"/>
  <c r="H186" i="12" s="1"/>
  <c r="I186" i="12" s="1"/>
  <c r="J219" i="11"/>
  <c r="EL219" i="11"/>
  <c r="AL219" i="11"/>
  <c r="Q219" i="11" l="1"/>
  <c r="L186" i="12"/>
  <c r="O186" i="12" s="1"/>
  <c r="J186" i="12"/>
  <c r="R219" i="11"/>
  <c r="H219" i="11"/>
  <c r="I219" i="11" s="1"/>
  <c r="K186" i="12" l="1"/>
  <c r="P186" i="12"/>
  <c r="S219" i="11"/>
  <c r="U219" i="11"/>
  <c r="S186" i="12" l="1"/>
  <c r="T186" i="12" s="1"/>
  <c r="T219" i="11"/>
  <c r="Q186" i="12"/>
  <c r="V219" i="11"/>
  <c r="Z220" i="11" l="1"/>
  <c r="EB220" i="11" s="1"/>
  <c r="R186" i="12"/>
  <c r="U186" i="12" s="1"/>
  <c r="X186" i="12" s="1"/>
  <c r="F220" i="11" l="1"/>
  <c r="AC220" i="11"/>
  <c r="ED220" i="11" l="1"/>
  <c r="EE220" i="11" s="1"/>
  <c r="EG220" i="11" s="1"/>
  <c r="EF220" i="11" s="1"/>
  <c r="AF220" i="11"/>
  <c r="E187" i="12"/>
  <c r="AE220" i="11"/>
  <c r="AG220" i="11" l="1"/>
  <c r="AJ220" i="11" s="1"/>
  <c r="O220" i="11"/>
  <c r="F187" i="12" s="1"/>
  <c r="G187" i="12" s="1"/>
  <c r="EK220" i="11"/>
  <c r="EJ220" i="11"/>
  <c r="AK220" i="11" l="1"/>
  <c r="G220" i="11"/>
  <c r="H187" i="12" s="1"/>
  <c r="L187" i="12" s="1"/>
  <c r="O187" i="12" s="1"/>
  <c r="AD220" i="11"/>
  <c r="EL220" i="11"/>
  <c r="AL220" i="11"/>
  <c r="I187" i="12"/>
  <c r="K220" i="11"/>
  <c r="R220" i="11" s="1"/>
  <c r="J187" i="12"/>
  <c r="J220" i="11"/>
  <c r="Q220" i="11" l="1"/>
  <c r="H220" i="11"/>
  <c r="I220" i="11" s="1"/>
  <c r="P187" i="12" s="1"/>
  <c r="S220" i="11" l="1"/>
  <c r="T220" i="11" s="1"/>
  <c r="U220" i="11"/>
  <c r="K187" i="12"/>
  <c r="S187" i="12" s="1"/>
  <c r="T187" i="12" s="1"/>
  <c r="Q187" i="12"/>
  <c r="V220" i="11"/>
  <c r="Z221" i="11" l="1"/>
  <c r="EB221" i="11" s="1"/>
  <c r="R187" i="12"/>
  <c r="U187" i="12" s="1"/>
  <c r="X187" i="12" s="1"/>
  <c r="F221" i="11" l="1"/>
  <c r="AC221" i="11"/>
  <c r="ED221" i="11"/>
  <c r="EE221" i="11" s="1"/>
  <c r="EG221" i="11" s="1"/>
  <c r="EF221" i="11" l="1"/>
  <c r="EK221" i="11"/>
  <c r="EJ221" i="11"/>
  <c r="AF221" i="11"/>
  <c r="E188" i="12"/>
  <c r="AE221" i="11"/>
  <c r="O221" i="11"/>
  <c r="F188" i="12" s="1"/>
  <c r="G188" i="12" s="1"/>
  <c r="AG221" i="11" l="1"/>
  <c r="AK221" i="11" s="1"/>
  <c r="K221" i="11" s="1"/>
  <c r="EL221" i="11"/>
  <c r="AJ221" i="11" l="1"/>
  <c r="J221" i="11" s="1"/>
  <c r="AD221" i="11"/>
  <c r="G221" i="11"/>
  <c r="H188" i="12" s="1"/>
  <c r="I188" i="12" s="1"/>
  <c r="AL221" i="11" l="1"/>
  <c r="H221" i="11" s="1"/>
  <c r="L188" i="12"/>
  <c r="O188" i="12" s="1"/>
  <c r="J188" i="12"/>
  <c r="Q221" i="11"/>
  <c r="R221" i="11"/>
  <c r="K188" i="12"/>
  <c r="I221" i="11"/>
  <c r="P188" i="12" l="1"/>
  <c r="S188" i="12" s="1"/>
  <c r="T188" i="12" s="1"/>
  <c r="S221" i="11"/>
  <c r="U221" i="11"/>
  <c r="V221" i="11" l="1"/>
  <c r="Q188" i="12"/>
  <c r="T221" i="11"/>
  <c r="O30" i="1" l="1"/>
  <c r="P30" i="1"/>
  <c r="G79" i="17" s="1"/>
  <c r="Z222" i="11"/>
  <c r="EB222" i="11" s="1"/>
  <c r="R188" i="12"/>
  <c r="U188" i="12" s="1"/>
  <c r="X188" i="12" s="1"/>
  <c r="F79" i="17" l="1"/>
  <c r="E79" i="17"/>
  <c r="F222" i="11"/>
  <c r="ED222" i="11"/>
  <c r="EE222" i="11" s="1"/>
  <c r="EG222" i="11" s="1"/>
  <c r="AC222" i="11"/>
  <c r="AF222" i="11" l="1"/>
  <c r="E189" i="12"/>
  <c r="AE222" i="11"/>
  <c r="O222" i="11"/>
  <c r="F189" i="12" s="1"/>
  <c r="G189" i="12" s="1"/>
  <c r="EF222" i="11"/>
  <c r="EJ222" i="11"/>
  <c r="EK222" i="11"/>
  <c r="EL222" i="11" l="1"/>
  <c r="AG222" i="11"/>
  <c r="AD222" i="11" l="1"/>
  <c r="AK222" i="11"/>
  <c r="K222" i="11" s="1"/>
  <c r="AJ222" i="11"/>
  <c r="J222" i="11" s="1"/>
  <c r="G222" i="11"/>
  <c r="H189" i="12" s="1"/>
  <c r="R222" i="11" l="1"/>
  <c r="Q222" i="11"/>
  <c r="AL222" i="11"/>
  <c r="H222" i="11" s="1"/>
  <c r="I222" i="11" s="1"/>
  <c r="L189" i="12"/>
  <c r="O189" i="12" s="1"/>
  <c r="J189" i="12"/>
  <c r="I189" i="12"/>
  <c r="K189" i="12" l="1"/>
  <c r="P189" i="12"/>
  <c r="U222" i="11"/>
  <c r="S222" i="11"/>
  <c r="S189" i="12" l="1"/>
  <c r="T189" i="12" s="1"/>
  <c r="Q189" i="12"/>
  <c r="T222" i="11"/>
  <c r="V222" i="11"/>
  <c r="Z223" i="11" l="1"/>
  <c r="EB223" i="11" s="1"/>
  <c r="R189" i="12"/>
  <c r="U189" i="12" s="1"/>
  <c r="X189" i="12" s="1"/>
  <c r="F223" i="11" l="1"/>
  <c r="ED223" i="11"/>
  <c r="EE223" i="11" s="1"/>
  <c r="EG223" i="11" s="1"/>
  <c r="AC223" i="11"/>
  <c r="EF223" i="11" l="1"/>
  <c r="EK223" i="11"/>
  <c r="EJ223" i="11"/>
  <c r="E190" i="12"/>
  <c r="AE223" i="11"/>
  <c r="AF223" i="11"/>
  <c r="O223" i="11"/>
  <c r="F190" i="12" s="1"/>
  <c r="EL223" i="11" l="1"/>
  <c r="AG223" i="11"/>
  <c r="AD223" i="11" s="1"/>
  <c r="G190" i="12"/>
  <c r="AK223" i="11" l="1"/>
  <c r="K223" i="11" s="1"/>
  <c r="G223" i="11"/>
  <c r="H190" i="12" s="1"/>
  <c r="I190" i="12" s="1"/>
  <c r="AJ223" i="11"/>
  <c r="J223" i="11" s="1"/>
  <c r="Q223" i="11" s="1"/>
  <c r="R223" i="11" l="1"/>
  <c r="AL223" i="11"/>
  <c r="H223" i="11" s="1"/>
  <c r="K190" i="12" s="1"/>
  <c r="J190" i="12"/>
  <c r="L190" i="12"/>
  <c r="O190" i="12" s="1"/>
  <c r="I223" i="11" l="1"/>
  <c r="P190" i="12" s="1"/>
  <c r="S190" i="12" s="1"/>
  <c r="T190" i="12" s="1"/>
  <c r="S223" i="11" l="1"/>
  <c r="T223" i="11" s="1"/>
  <c r="U223" i="11"/>
  <c r="V223" i="11" s="1"/>
  <c r="Q190" i="12" l="1"/>
  <c r="Z224" i="11"/>
  <c r="EB224" i="11" s="1"/>
  <c r="R190" i="12"/>
  <c r="U190" i="12" s="1"/>
  <c r="X190" i="12" s="1"/>
  <c r="F224" i="11" l="1"/>
  <c r="AC224" i="11"/>
  <c r="E191" i="12" l="1"/>
  <c r="AE224" i="11"/>
  <c r="AF224" i="11"/>
  <c r="ED224" i="11"/>
  <c r="EE224" i="11" s="1"/>
  <c r="EG224" i="11" s="1"/>
  <c r="EF224" i="11" s="1"/>
  <c r="O224" i="11" l="1"/>
  <c r="F191" i="12" s="1"/>
  <c r="G191" i="12" s="1"/>
  <c r="EJ224" i="11"/>
  <c r="EK224" i="11"/>
  <c r="AG224" i="11"/>
  <c r="EL224" i="11" l="1"/>
  <c r="AK224" i="11"/>
  <c r="K224" i="11" s="1"/>
  <c r="AD224" i="11"/>
  <c r="G224" i="11"/>
  <c r="H191" i="12" s="1"/>
  <c r="AJ224" i="11"/>
  <c r="J224" i="11" s="1"/>
  <c r="Q224" i="11" s="1"/>
  <c r="AL224" i="11" l="1"/>
  <c r="H224" i="11" s="1"/>
  <c r="K191" i="12" s="1"/>
  <c r="J191" i="12"/>
  <c r="L191" i="12"/>
  <c r="O191" i="12" s="1"/>
  <c r="I191" i="12"/>
  <c r="R224" i="11"/>
  <c r="I224" i="11" l="1"/>
  <c r="P191" i="12" s="1"/>
  <c r="S191" i="12" s="1"/>
  <c r="T191" i="12" s="1"/>
  <c r="S224" i="11" l="1"/>
  <c r="Q191" i="12" s="1"/>
  <c r="U224" i="11"/>
  <c r="V224" i="11" s="1"/>
  <c r="T224" i="11" l="1"/>
  <c r="R191" i="12" s="1"/>
  <c r="U191" i="12" s="1"/>
  <c r="X191" i="12" s="1"/>
  <c r="Z225" i="11" l="1"/>
  <c r="EB225" i="11" s="1"/>
  <c r="ED225" i="11" s="1"/>
  <c r="EE225" i="11" s="1"/>
  <c r="EG225" i="11" s="1"/>
  <c r="AC225" i="11" l="1"/>
  <c r="F225" i="11"/>
  <c r="EF225" i="11"/>
  <c r="EK225" i="11"/>
  <c r="EJ225" i="11"/>
  <c r="E192" i="12"/>
  <c r="AF225" i="11"/>
  <c r="AE225" i="11"/>
  <c r="O225" i="11"/>
  <c r="F192" i="12" l="1"/>
  <c r="G192" i="12" s="1"/>
  <c r="EL225" i="11"/>
  <c r="AG225" i="11"/>
  <c r="AJ225" i="11" s="1"/>
  <c r="J225" i="11" s="1"/>
  <c r="G225" i="11" l="1"/>
  <c r="H192" i="12" s="1"/>
  <c r="J192" i="12" s="1"/>
  <c r="AK225" i="11"/>
  <c r="K225" i="11" s="1"/>
  <c r="AD225" i="11"/>
  <c r="I192" i="12" l="1"/>
  <c r="R225" i="11"/>
  <c r="Q225" i="11"/>
  <c r="L192" i="12"/>
  <c r="O192" i="12" s="1"/>
  <c r="AL225" i="11"/>
  <c r="H225" i="11" s="1"/>
  <c r="K192" i="12" l="1"/>
  <c r="I225" i="11"/>
  <c r="P192" i="12" l="1"/>
  <c r="S192" i="12" s="1"/>
  <c r="T192" i="12" s="1"/>
  <c r="S225" i="11"/>
  <c r="U225" i="11"/>
  <c r="V225" i="11" s="1"/>
  <c r="Q192" i="12" l="1"/>
  <c r="T225" i="11"/>
  <c r="Z226" i="11" l="1"/>
  <c r="EB226" i="11" s="1"/>
  <c r="R192" i="12"/>
  <c r="U192" i="12" s="1"/>
  <c r="X192" i="12" s="1"/>
  <c r="ED226" i="11" l="1"/>
  <c r="EE226" i="11" s="1"/>
  <c r="EG226" i="11" s="1"/>
  <c r="EF226" i="11" s="1"/>
  <c r="AC226" i="11"/>
  <c r="F226" i="11"/>
  <c r="O226" i="11" l="1"/>
  <c r="EK226" i="11"/>
  <c r="EJ226" i="11"/>
  <c r="AE226" i="11"/>
  <c r="E193" i="12"/>
  <c r="F193" i="12" s="1"/>
  <c r="G193" i="12" s="1"/>
  <c r="AF226" i="11"/>
  <c r="EL226" i="11" l="1"/>
  <c r="AG226" i="11"/>
  <c r="AK226" i="11" s="1"/>
  <c r="K226" i="11" s="1"/>
  <c r="AJ226" i="11" l="1"/>
  <c r="J226" i="11" s="1"/>
  <c r="AD226" i="11"/>
  <c r="G226" i="11"/>
  <c r="H193" i="12" s="1"/>
  <c r="AL226" i="11" l="1"/>
  <c r="H226" i="11" s="1"/>
  <c r="K193" i="12" s="1"/>
  <c r="R226" i="11"/>
  <c r="J193" i="12"/>
  <c r="L193" i="12"/>
  <c r="O193" i="12" s="1"/>
  <c r="I193" i="12"/>
  <c r="Q226" i="11"/>
  <c r="I226" i="11" l="1"/>
  <c r="P193" i="12" s="1"/>
  <c r="S193" i="12" s="1"/>
  <c r="T193" i="12" s="1"/>
  <c r="S226" i="11"/>
  <c r="Q193" i="12" s="1"/>
  <c r="U226" i="11" l="1"/>
  <c r="V226" i="11" s="1"/>
  <c r="T226" i="11"/>
  <c r="R193" i="12" s="1"/>
  <c r="U193" i="12" s="1"/>
  <c r="X193" i="12" s="1"/>
  <c r="Z227" i="11"/>
  <c r="EB227" i="11" s="1"/>
  <c r="F227" i="11" l="1"/>
  <c r="ED227" i="11"/>
  <c r="EE227" i="11" s="1"/>
  <c r="EG227" i="11" s="1"/>
  <c r="AC227" i="11"/>
  <c r="EF227" i="11" l="1"/>
  <c r="EK227" i="11"/>
  <c r="EJ227" i="11"/>
  <c r="AE227" i="11"/>
  <c r="E194" i="12"/>
  <c r="AF227" i="11"/>
  <c r="O227" i="11"/>
  <c r="F194" i="12" s="1"/>
  <c r="G194" i="12" s="1"/>
  <c r="EL227" i="11" l="1"/>
  <c r="AG227" i="11"/>
  <c r="AJ227" i="11" l="1"/>
  <c r="J227" i="11" s="1"/>
  <c r="AD227" i="11"/>
  <c r="AK227" i="11"/>
  <c r="K227" i="11" s="1"/>
  <c r="G227" i="11"/>
  <c r="H194" i="12" s="1"/>
  <c r="R227" i="11" l="1"/>
  <c r="AL227" i="11"/>
  <c r="H227" i="11" s="1"/>
  <c r="I227" i="11" s="1"/>
  <c r="J194" i="12"/>
  <c r="L194" i="12"/>
  <c r="O194" i="12" s="1"/>
  <c r="I194" i="12"/>
  <c r="Q227" i="11"/>
  <c r="K194" i="12" l="1"/>
  <c r="P194" i="12"/>
  <c r="S227" i="11"/>
  <c r="U227" i="11"/>
  <c r="S194" i="12" l="1"/>
  <c r="T194" i="12" s="1"/>
  <c r="Q194" i="12"/>
  <c r="T227" i="11"/>
  <c r="V227" i="11"/>
  <c r="Z228" i="11" l="1"/>
  <c r="EB228" i="11" s="1"/>
  <c r="R194" i="12"/>
  <c r="U194" i="12" s="1"/>
  <c r="X194" i="12" s="1"/>
  <c r="F228" i="11" l="1"/>
  <c r="AC228" i="11"/>
  <c r="E195" i="12" l="1"/>
  <c r="AE228" i="11"/>
  <c r="AF228" i="11"/>
  <c r="ED228" i="11"/>
  <c r="EE228" i="11" s="1"/>
  <c r="EG228" i="11" s="1"/>
  <c r="EJ228" i="11" l="1"/>
  <c r="EK228" i="11"/>
  <c r="EF228" i="11"/>
  <c r="AG228" i="11"/>
  <c r="O228" i="11"/>
  <c r="F195" i="12" s="1"/>
  <c r="G195" i="12" s="1"/>
  <c r="EL228" i="11" l="1"/>
  <c r="AD228" i="11"/>
  <c r="AJ228" i="11"/>
  <c r="J228" i="11" s="1"/>
  <c r="AK228" i="11"/>
  <c r="K228" i="11" s="1"/>
  <c r="G228" i="11"/>
  <c r="H195" i="12" s="1"/>
  <c r="AL228" i="11" l="1"/>
  <c r="H228" i="11" s="1"/>
  <c r="I228" i="11" s="1"/>
  <c r="R228" i="11"/>
  <c r="L195" i="12"/>
  <c r="O195" i="12" s="1"/>
  <c r="J195" i="12"/>
  <c r="I195" i="12"/>
  <c r="Q228" i="11"/>
  <c r="K195" i="12" l="1"/>
  <c r="P195" i="12"/>
  <c r="S228" i="11"/>
  <c r="U228" i="11"/>
  <c r="V228" i="11" s="1"/>
  <c r="S195" i="12" l="1"/>
  <c r="T195" i="12" s="1"/>
  <c r="Q195" i="12"/>
  <c r="T228" i="11"/>
  <c r="Z229" i="11" l="1"/>
  <c r="EB229" i="11" s="1"/>
  <c r="R195" i="12"/>
  <c r="U195" i="12" s="1"/>
  <c r="X195" i="12" s="1"/>
  <c r="F229" i="11" l="1"/>
  <c r="ED229" i="11"/>
  <c r="EE229" i="11" s="1"/>
  <c r="EG229" i="11" s="1"/>
  <c r="AC229" i="11"/>
  <c r="AE229" i="11" l="1"/>
  <c r="E196" i="12"/>
  <c r="AF229" i="11"/>
  <c r="O229" i="11"/>
  <c r="F196" i="12" s="1"/>
  <c r="G196" i="12" s="1"/>
  <c r="EF229" i="11"/>
  <c r="EJ229" i="11"/>
  <c r="EK229" i="11"/>
  <c r="AG229" i="11" l="1"/>
  <c r="AD229" i="11" s="1"/>
  <c r="EL229" i="11"/>
  <c r="AJ229" i="11" l="1"/>
  <c r="J229" i="11" s="1"/>
  <c r="AK229" i="11"/>
  <c r="K229" i="11" s="1"/>
  <c r="G229" i="11"/>
  <c r="H196" i="12" s="1"/>
  <c r="L196" i="12" s="1"/>
  <c r="O196" i="12" s="1"/>
  <c r="I196" i="12" l="1"/>
  <c r="AL229" i="11"/>
  <c r="H229" i="11" s="1"/>
  <c r="I229" i="11" s="1"/>
  <c r="J196" i="12"/>
  <c r="R229" i="11"/>
  <c r="Q229" i="11"/>
  <c r="K196" i="12" l="1"/>
  <c r="P196" i="12"/>
  <c r="S229" i="11"/>
  <c r="U229" i="11"/>
  <c r="V229" i="11" s="1"/>
  <c r="S196" i="12" l="1"/>
  <c r="T196" i="12" s="1"/>
  <c r="T229" i="11"/>
  <c r="Q196" i="12"/>
  <c r="Z230" i="11" l="1"/>
  <c r="EB230" i="11" s="1"/>
  <c r="R196" i="12"/>
  <c r="U196" i="12" s="1"/>
  <c r="X196" i="12" s="1"/>
  <c r="F230" i="11" l="1"/>
  <c r="AC230" i="11"/>
  <c r="E197" i="12" l="1"/>
  <c r="AF230" i="11"/>
  <c r="AE230" i="11"/>
  <c r="ED230" i="11"/>
  <c r="EE230" i="11" s="1"/>
  <c r="EG230" i="11" s="1"/>
  <c r="AG230" i="11" l="1"/>
  <c r="EK230" i="11"/>
  <c r="EJ230" i="11"/>
  <c r="AD230" i="11"/>
  <c r="AK230" i="11"/>
  <c r="K230" i="11" s="1"/>
  <c r="AJ230" i="11"/>
  <c r="J230" i="11" s="1"/>
  <c r="G230" i="11"/>
  <c r="H197" i="12" s="1"/>
  <c r="EF230" i="11"/>
  <c r="O230" i="11"/>
  <c r="F197" i="12" s="1"/>
  <c r="G197" i="12" s="1"/>
  <c r="Q230" i="11" l="1"/>
  <c r="EL230" i="11"/>
  <c r="AL230" i="11"/>
  <c r="R230" i="11"/>
  <c r="J197" i="12"/>
  <c r="L197" i="12"/>
  <c r="O197" i="12" s="1"/>
  <c r="I197" i="12"/>
  <c r="H230" i="11" l="1"/>
  <c r="I230" i="11" s="1"/>
  <c r="K197" i="12" l="1"/>
  <c r="P197" i="12"/>
  <c r="U230" i="11"/>
  <c r="V230" i="11" s="1"/>
  <c r="S230" i="11"/>
  <c r="S197" i="12" l="1"/>
  <c r="T197" i="12" s="1"/>
  <c r="Q197" i="12"/>
  <c r="T230" i="11"/>
  <c r="Z231" i="11" l="1"/>
  <c r="EB231" i="11" s="1"/>
  <c r="R197" i="12"/>
  <c r="U197" i="12" s="1"/>
  <c r="X197" i="12" s="1"/>
  <c r="F231" i="11" l="1"/>
  <c r="AC231" i="11"/>
  <c r="AF231" i="11" l="1"/>
  <c r="AE231" i="11"/>
  <c r="E198" i="12"/>
  <c r="ED231" i="11"/>
  <c r="EE231" i="11" s="1"/>
  <c r="EG231" i="11" s="1"/>
  <c r="AG231" i="11" l="1"/>
  <c r="O231" i="11"/>
  <c r="F198" i="12" s="1"/>
  <c r="G198" i="12" s="1"/>
  <c r="EK231" i="11"/>
  <c r="EJ231" i="11"/>
  <c r="AJ231" i="11"/>
  <c r="AK231" i="11"/>
  <c r="K231" i="11" s="1"/>
  <c r="AD231" i="11"/>
  <c r="G231" i="11"/>
  <c r="H198" i="12" s="1"/>
  <c r="I198" i="12" s="1"/>
  <c r="EF231" i="11"/>
  <c r="EL231" i="11" l="1"/>
  <c r="J231" i="11"/>
  <c r="Q231" i="11" s="1"/>
  <c r="R231" i="11"/>
  <c r="L198" i="12"/>
  <c r="O198" i="12" s="1"/>
  <c r="J198" i="12"/>
  <c r="AL231" i="11"/>
  <c r="H231" i="11" s="1"/>
  <c r="I231" i="11" l="1"/>
  <c r="K198" i="12"/>
  <c r="P198" i="12" l="1"/>
  <c r="S198" i="12" s="1"/>
  <c r="T198" i="12" s="1"/>
  <c r="U231" i="11"/>
  <c r="V231" i="11" s="1"/>
  <c r="S231" i="11"/>
  <c r="T231" i="11" l="1"/>
  <c r="Q198" i="12"/>
  <c r="Z232" i="11" l="1"/>
  <c r="EB232" i="11" s="1"/>
  <c r="R198" i="12"/>
  <c r="U198" i="12" s="1"/>
  <c r="X198" i="12" s="1"/>
  <c r="F232" i="11" l="1"/>
  <c r="AC232" i="11"/>
  <c r="ED232" i="11" l="1"/>
  <c r="EE232" i="11" s="1"/>
  <c r="EG232" i="11" s="1"/>
  <c r="EF232" i="11" s="1"/>
  <c r="AE232" i="11"/>
  <c r="E199" i="12"/>
  <c r="AF232" i="11"/>
  <c r="O232" i="11" l="1"/>
  <c r="F199" i="12" s="1"/>
  <c r="G199" i="12" s="1"/>
  <c r="AG232" i="11"/>
  <c r="EJ232" i="11"/>
  <c r="EK232" i="11"/>
  <c r="EL232" i="11" l="1"/>
  <c r="AJ232" i="11"/>
  <c r="J232" i="11" s="1"/>
  <c r="G232" i="11"/>
  <c r="H199" i="12" s="1"/>
  <c r="AK232" i="11"/>
  <c r="K232" i="11" s="1"/>
  <c r="R232" i="11" s="1"/>
  <c r="AD232" i="11"/>
  <c r="Q232" i="11" l="1"/>
  <c r="L199" i="12"/>
  <c r="O199" i="12" s="1"/>
  <c r="J199" i="12"/>
  <c r="I199" i="12"/>
  <c r="AL232" i="11"/>
  <c r="H232" i="11" s="1"/>
  <c r="K199" i="12" l="1"/>
  <c r="I232" i="11"/>
  <c r="P199" i="12" l="1"/>
  <c r="S199" i="12" s="1"/>
  <c r="T199" i="12" s="1"/>
  <c r="S232" i="11"/>
  <c r="U232" i="11"/>
  <c r="V232" i="11" s="1"/>
  <c r="Q199" i="12" l="1"/>
  <c r="T232" i="11"/>
  <c r="Z233" i="11" l="1"/>
  <c r="EB233" i="11" s="1"/>
  <c r="R199" i="12"/>
  <c r="U199" i="12" s="1"/>
  <c r="X199" i="12" s="1"/>
  <c r="F233" i="11" l="1"/>
  <c r="AC233" i="11"/>
  <c r="AF233" i="11" l="1"/>
  <c r="E200" i="12"/>
  <c r="AE233" i="11"/>
  <c r="ED233" i="11"/>
  <c r="EE233" i="11" s="1"/>
  <c r="EG233" i="11" s="1"/>
  <c r="EF233" i="11" s="1"/>
  <c r="O233" i="11" l="1"/>
  <c r="F200" i="12" s="1"/>
  <c r="G200" i="12" s="1"/>
  <c r="EJ233" i="11"/>
  <c r="EK233" i="11"/>
  <c r="AG233" i="11"/>
  <c r="AK233" i="11" l="1"/>
  <c r="K233" i="11" s="1"/>
  <c r="G233" i="11"/>
  <c r="H200" i="12" s="1"/>
  <c r="AD233" i="11"/>
  <c r="AJ233" i="11"/>
  <c r="J233" i="11" s="1"/>
  <c r="EL233" i="11"/>
  <c r="Q233" i="11" l="1"/>
  <c r="R233" i="11"/>
  <c r="J200" i="12"/>
  <c r="L200" i="12"/>
  <c r="O200" i="12" s="1"/>
  <c r="I200" i="12"/>
  <c r="AL233" i="11"/>
  <c r="H233" i="11" s="1"/>
  <c r="K200" i="12" l="1"/>
  <c r="I233" i="11"/>
  <c r="P200" i="12" l="1"/>
  <c r="S200" i="12" s="1"/>
  <c r="T200" i="12" s="1"/>
  <c r="S233" i="11"/>
  <c r="U233" i="11"/>
  <c r="V233" i="11" l="1"/>
  <c r="Q200" i="12"/>
  <c r="T233" i="11"/>
  <c r="O31" i="1" l="1"/>
  <c r="P31" i="1"/>
  <c r="G80" i="17" s="1"/>
  <c r="Z234" i="11"/>
  <c r="EB234" i="11" s="1"/>
  <c r="R200" i="12"/>
  <c r="U200" i="12" s="1"/>
  <c r="X200" i="12" s="1"/>
  <c r="F80" i="17" l="1"/>
  <c r="E80" i="17"/>
  <c r="F234" i="11"/>
  <c r="AC234" i="11"/>
  <c r="ED234" i="11"/>
  <c r="EE234" i="11" s="1"/>
  <c r="EG234" i="11" s="1"/>
  <c r="EF234" i="11" l="1"/>
  <c r="EK234" i="11"/>
  <c r="EJ234" i="11"/>
  <c r="AF234" i="11"/>
  <c r="E201" i="12"/>
  <c r="AE234" i="11"/>
  <c r="O234" i="11"/>
  <c r="F201" i="12" s="1"/>
  <c r="G201" i="12" s="1"/>
  <c r="EL234" i="11" l="1"/>
  <c r="AG234" i="11"/>
  <c r="G234" i="11" s="1"/>
  <c r="H201" i="12" s="1"/>
  <c r="I201" i="12" s="1"/>
  <c r="AD234" i="11" l="1"/>
  <c r="AJ234" i="11"/>
  <c r="J234" i="11" s="1"/>
  <c r="Q234" i="11" s="1"/>
  <c r="AK234" i="11"/>
  <c r="K234" i="11" s="1"/>
  <c r="R234" i="11" s="1"/>
  <c r="L201" i="12"/>
  <c r="O201" i="12" s="1"/>
  <c r="J201" i="12"/>
  <c r="AL234" i="11" l="1"/>
  <c r="H234" i="11" s="1"/>
  <c r="K201" i="12" s="1"/>
  <c r="I234" i="11" l="1"/>
  <c r="P201" i="12" s="1"/>
  <c r="S201" i="12" s="1"/>
  <c r="T201" i="12" s="1"/>
  <c r="U234" i="11" l="1"/>
  <c r="V234" i="11" s="1"/>
  <c r="S234" i="11"/>
  <c r="Q201" i="12" s="1"/>
  <c r="T234" i="11" l="1"/>
  <c r="Z235" i="11" s="1"/>
  <c r="EB235" i="11" s="1"/>
  <c r="R201" i="12" l="1"/>
  <c r="U201" i="12" s="1"/>
  <c r="X201" i="12" s="1"/>
  <c r="F235" i="11"/>
  <c r="ED235" i="11"/>
  <c r="EE235" i="11" s="1"/>
  <c r="EG235" i="11" s="1"/>
  <c r="AC235" i="11"/>
  <c r="E202" i="12" l="1"/>
  <c r="AF235" i="11"/>
  <c r="AE235" i="11"/>
  <c r="O235" i="11"/>
  <c r="EF235" i="11"/>
  <c r="EJ235" i="11"/>
  <c r="EK235" i="11"/>
  <c r="EL235" i="11" l="1"/>
  <c r="AG235" i="11"/>
  <c r="AK235" i="11" s="1"/>
  <c r="K235" i="11" s="1"/>
  <c r="F202" i="12"/>
  <c r="G202" i="12" s="1"/>
  <c r="G235" i="11" l="1"/>
  <c r="H202" i="12" s="1"/>
  <c r="I202" i="12" s="1"/>
  <c r="AJ235" i="11"/>
  <c r="J235" i="11" s="1"/>
  <c r="Q235" i="11" s="1"/>
  <c r="AD235" i="11"/>
  <c r="L202" i="12" l="1"/>
  <c r="O202" i="12" s="1"/>
  <c r="J202" i="12"/>
  <c r="R235" i="11"/>
  <c r="AL235" i="11"/>
  <c r="H235" i="11" s="1"/>
  <c r="K202" i="12" s="1"/>
  <c r="I235" i="11" l="1"/>
  <c r="P202" i="12" s="1"/>
  <c r="S202" i="12" s="1"/>
  <c r="T202" i="12" s="1"/>
  <c r="U235" i="11" l="1"/>
  <c r="V235" i="11" s="1"/>
  <c r="S235" i="11"/>
  <c r="T235" i="11" s="1"/>
  <c r="Q202" i="12" l="1"/>
  <c r="Z236" i="11"/>
  <c r="EB236" i="11" s="1"/>
  <c r="R202" i="12"/>
  <c r="U202" i="12" s="1"/>
  <c r="X202" i="12" s="1"/>
  <c r="F236" i="11" l="1"/>
  <c r="ED236" i="11"/>
  <c r="EE236" i="11" s="1"/>
  <c r="EG236" i="11" s="1"/>
  <c r="AC236" i="11"/>
  <c r="AE236" i="11" l="1"/>
  <c r="E203" i="12"/>
  <c r="AF236" i="11"/>
  <c r="O236" i="11"/>
  <c r="F203" i="12" s="1"/>
  <c r="EF236" i="11"/>
  <c r="EJ236" i="11"/>
  <c r="EK236" i="11"/>
  <c r="EL236" i="11" l="1"/>
  <c r="AG236" i="11"/>
  <c r="G236" i="11" s="1"/>
  <c r="H203" i="12" s="1"/>
  <c r="I203" i="12" s="1"/>
  <c r="G203" i="12"/>
  <c r="AD236" i="11" l="1"/>
  <c r="AJ236" i="11"/>
  <c r="J236" i="11" s="1"/>
  <c r="Q236" i="11" s="1"/>
  <c r="AK236" i="11"/>
  <c r="L203" i="12"/>
  <c r="O203" i="12" s="1"/>
  <c r="J203" i="12"/>
  <c r="K236" i="11"/>
  <c r="R236" i="11" s="1"/>
  <c r="AL236" i="11" l="1"/>
  <c r="H236" i="11" s="1"/>
  <c r="I236" i="11" s="1"/>
  <c r="K203" i="12" l="1"/>
  <c r="P203" i="12"/>
  <c r="U236" i="11"/>
  <c r="V236" i="11" s="1"/>
  <c r="S236" i="11"/>
  <c r="S203" i="12" l="1"/>
  <c r="T203" i="12" s="1"/>
  <c r="T236" i="11"/>
  <c r="Q203" i="12"/>
  <c r="Z237" i="11" l="1"/>
  <c r="EB237" i="11" s="1"/>
  <c r="R203" i="12"/>
  <c r="U203" i="12" s="1"/>
  <c r="X203" i="12" s="1"/>
  <c r="F237" i="11" l="1"/>
  <c r="ED237" i="11"/>
  <c r="EE237" i="11" s="1"/>
  <c r="EG237" i="11" s="1"/>
  <c r="AC237" i="11"/>
  <c r="AE237" i="11" l="1"/>
  <c r="E204" i="12"/>
  <c r="AF237" i="11"/>
  <c r="O237" i="11"/>
  <c r="F204" i="12" s="1"/>
  <c r="EF237" i="11"/>
  <c r="EK237" i="11"/>
  <c r="EJ237" i="11"/>
  <c r="EL237" i="11" l="1"/>
  <c r="G204" i="12"/>
  <c r="AG237" i="11"/>
  <c r="G237" i="11" l="1"/>
  <c r="H204" i="12" s="1"/>
  <c r="AD237" i="11"/>
  <c r="AK237" i="11"/>
  <c r="K237" i="11" s="1"/>
  <c r="AJ237" i="11"/>
  <c r="J237" i="11" s="1"/>
  <c r="R237" i="11" l="1"/>
  <c r="Q237" i="11"/>
  <c r="AL237" i="11"/>
  <c r="H237" i="11" s="1"/>
  <c r="L204" i="12"/>
  <c r="O204" i="12" s="1"/>
  <c r="J204" i="12"/>
  <c r="I204" i="12"/>
  <c r="K204" i="12" l="1"/>
  <c r="I237" i="11"/>
  <c r="U237" i="11" l="1"/>
  <c r="P204" i="12"/>
  <c r="S204" i="12" s="1"/>
  <c r="T204" i="12" s="1"/>
  <c r="S237" i="11"/>
  <c r="Q204" i="12" l="1"/>
  <c r="T237" i="11"/>
  <c r="V237" i="11"/>
  <c r="Z238" i="11" l="1"/>
  <c r="EB238" i="11" s="1"/>
  <c r="R204" i="12"/>
  <c r="U204" i="12" s="1"/>
  <c r="X204" i="12" s="1"/>
  <c r="F238" i="11" l="1"/>
  <c r="AC238" i="11"/>
  <c r="ED238" i="11" l="1"/>
  <c r="EE238" i="11" s="1"/>
  <c r="EG238" i="11" s="1"/>
  <c r="EF238" i="11" s="1"/>
  <c r="AF238" i="11"/>
  <c r="AE238" i="11"/>
  <c r="E205" i="12"/>
  <c r="AG238" i="11" l="1"/>
  <c r="AD238" i="11" s="1"/>
  <c r="O238" i="11"/>
  <c r="F205" i="12" s="1"/>
  <c r="G205" i="12" s="1"/>
  <c r="EJ238" i="11"/>
  <c r="EK238" i="11"/>
  <c r="G238" i="11" l="1"/>
  <c r="H205" i="12" s="1"/>
  <c r="I205" i="12" s="1"/>
  <c r="AK238" i="11"/>
  <c r="K238" i="11" s="1"/>
  <c r="R238" i="11" s="1"/>
  <c r="AJ238" i="11"/>
  <c r="EL238" i="11"/>
  <c r="AL238" i="11" l="1"/>
  <c r="J205" i="12"/>
  <c r="L205" i="12"/>
  <c r="O205" i="12" s="1"/>
  <c r="J238" i="11"/>
  <c r="Q238" i="11" s="1"/>
  <c r="H238" i="11"/>
  <c r="K205" i="12" s="1"/>
  <c r="I238" i="11" l="1"/>
  <c r="P205" i="12" s="1"/>
  <c r="S205" i="12" s="1"/>
  <c r="T205" i="12" s="1"/>
  <c r="S238" i="11" l="1"/>
  <c r="Q205" i="12" s="1"/>
  <c r="U238" i="11"/>
  <c r="V238" i="11" s="1"/>
  <c r="T238" i="11"/>
  <c r="Z239" i="11" l="1"/>
  <c r="EB239" i="11" s="1"/>
  <c r="R205" i="12"/>
  <c r="U205" i="12" s="1"/>
  <c r="X205" i="12" s="1"/>
  <c r="F239" i="11" l="1"/>
  <c r="ED239" i="11"/>
  <c r="EE239" i="11" s="1"/>
  <c r="EG239" i="11" s="1"/>
  <c r="AC239" i="11"/>
  <c r="E206" i="12" l="1"/>
  <c r="AF239" i="11"/>
  <c r="AE239" i="11"/>
  <c r="O239" i="11"/>
  <c r="EF239" i="11"/>
  <c r="EK239" i="11"/>
  <c r="EJ239" i="11"/>
  <c r="AG239" i="11" l="1"/>
  <c r="AJ239" i="11" s="1"/>
  <c r="J239" i="11" s="1"/>
  <c r="EL239" i="11"/>
  <c r="F206" i="12"/>
  <c r="G206" i="12" s="1"/>
  <c r="G239" i="11" l="1"/>
  <c r="H206" i="12" s="1"/>
  <c r="I206" i="12" s="1"/>
  <c r="AD239" i="11"/>
  <c r="AK239" i="11"/>
  <c r="K239" i="11" s="1"/>
  <c r="J206" i="12" l="1"/>
  <c r="R239" i="11"/>
  <c r="L206" i="12"/>
  <c r="O206" i="12" s="1"/>
  <c r="Q239" i="11"/>
  <c r="AL239" i="11"/>
  <c r="H239" i="11" s="1"/>
  <c r="I239" i="11" s="1"/>
  <c r="S239" i="11" s="1"/>
  <c r="U239" i="11" l="1"/>
  <c r="V239" i="11" s="1"/>
  <c r="P206" i="12"/>
  <c r="K206" i="12"/>
  <c r="Q206" i="12"/>
  <c r="T239" i="11"/>
  <c r="S206" i="12" l="1"/>
  <c r="T206" i="12" s="1"/>
  <c r="Z240" i="11"/>
  <c r="EB240" i="11" s="1"/>
  <c r="R206" i="12"/>
  <c r="U206" i="12" l="1"/>
  <c r="X206" i="12" s="1"/>
  <c r="F240" i="11"/>
  <c r="AC240" i="11"/>
  <c r="ED240" i="11"/>
  <c r="EE240" i="11" s="1"/>
  <c r="EG240" i="11" s="1"/>
  <c r="EF240" i="11" l="1"/>
  <c r="EK240" i="11"/>
  <c r="EJ240" i="11"/>
  <c r="AE240" i="11"/>
  <c r="AF240" i="11"/>
  <c r="E207" i="12"/>
  <c r="O240" i="11"/>
  <c r="F207" i="12" s="1"/>
  <c r="G207" i="12" s="1"/>
  <c r="AG240" i="11" l="1"/>
  <c r="AD240" i="11" s="1"/>
  <c r="EL240" i="11"/>
  <c r="AK240" i="11" l="1"/>
  <c r="K240" i="11" s="1"/>
  <c r="G240" i="11"/>
  <c r="H207" i="12" s="1"/>
  <c r="I207" i="12" s="1"/>
  <c r="AJ240" i="11"/>
  <c r="J240" i="11" s="1"/>
  <c r="Q240" i="11" s="1"/>
  <c r="J207" i="12" l="1"/>
  <c r="R240" i="11"/>
  <c r="L207" i="12"/>
  <c r="O207" i="12" s="1"/>
  <c r="AL240" i="11"/>
  <c r="H240" i="11" s="1"/>
  <c r="I240" i="11" s="1"/>
  <c r="P207" i="12" s="1"/>
  <c r="S240" i="11" l="1"/>
  <c r="T240" i="11" s="1"/>
  <c r="K207" i="12"/>
  <c r="U240" i="11"/>
  <c r="V240" i="11" s="1"/>
  <c r="S207" i="12"/>
  <c r="T207" i="12" s="1"/>
  <c r="Q207" i="12" l="1"/>
  <c r="Z241" i="11"/>
  <c r="EB241" i="11" s="1"/>
  <c r="R207" i="12"/>
  <c r="U207" i="12" s="1"/>
  <c r="X207" i="12" s="1"/>
  <c r="F241" i="11" l="1"/>
  <c r="AC241" i="11"/>
  <c r="ED241" i="11" l="1"/>
  <c r="EE241" i="11" s="1"/>
  <c r="EG241" i="11" s="1"/>
  <c r="EF241" i="11" s="1"/>
  <c r="AF241" i="11"/>
  <c r="AE241" i="11"/>
  <c r="E208" i="12"/>
  <c r="AG241" i="11" l="1"/>
  <c r="G241" i="11" s="1"/>
  <c r="H208" i="12" s="1"/>
  <c r="O241" i="11"/>
  <c r="F208" i="12" s="1"/>
  <c r="G208" i="12" s="1"/>
  <c r="EK241" i="11"/>
  <c r="EJ241" i="11"/>
  <c r="AK241" i="11" l="1"/>
  <c r="K241" i="11" s="1"/>
  <c r="R241" i="11" s="1"/>
  <c r="AD241" i="11"/>
  <c r="AJ241" i="11"/>
  <c r="J241" i="11" s="1"/>
  <c r="Q241" i="11" s="1"/>
  <c r="EL241" i="11"/>
  <c r="I208" i="12"/>
  <c r="J208" i="12"/>
  <c r="L208" i="12"/>
  <c r="O208" i="12" s="1"/>
  <c r="AL241" i="11" l="1"/>
  <c r="H241" i="11" s="1"/>
  <c r="I241" i="11" s="1"/>
  <c r="K208" i="12" l="1"/>
  <c r="P208" i="12"/>
  <c r="S241" i="11"/>
  <c r="U241" i="11"/>
  <c r="V241" i="11" s="1"/>
  <c r="S208" i="12" l="1"/>
  <c r="T208" i="12" s="1"/>
  <c r="Q208" i="12"/>
  <c r="T241" i="11"/>
  <c r="Z242" i="11" l="1"/>
  <c r="EB242" i="11" s="1"/>
  <c r="R208" i="12"/>
  <c r="U208" i="12" s="1"/>
  <c r="X208" i="12" s="1"/>
  <c r="F242" i="11" l="1"/>
  <c r="AC242" i="11"/>
  <c r="ED242" i="11" l="1"/>
  <c r="EE242" i="11" s="1"/>
  <c r="EG242" i="11" s="1"/>
  <c r="EF242" i="11" s="1"/>
  <c r="AF242" i="11"/>
  <c r="AE242" i="11"/>
  <c r="E209" i="12"/>
  <c r="AG242" i="11" l="1"/>
  <c r="G242" i="11" s="1"/>
  <c r="H209" i="12" s="1"/>
  <c r="O242" i="11"/>
  <c r="F209" i="12" s="1"/>
  <c r="G209" i="12" s="1"/>
  <c r="EK242" i="11"/>
  <c r="EJ242" i="11"/>
  <c r="AK242" i="11" l="1"/>
  <c r="K242" i="11" s="1"/>
  <c r="R242" i="11" s="1"/>
  <c r="AJ242" i="11"/>
  <c r="AD242" i="11"/>
  <c r="EL242" i="11"/>
  <c r="J209" i="12"/>
  <c r="L209" i="12"/>
  <c r="O209" i="12" s="1"/>
  <c r="I209" i="12"/>
  <c r="AL242" i="11" l="1"/>
  <c r="H242" i="11" s="1"/>
  <c r="I242" i="11" s="1"/>
  <c r="J242" i="11"/>
  <c r="Q242" i="11" s="1"/>
  <c r="K209" i="12" l="1"/>
  <c r="P209" i="12"/>
  <c r="S209" i="12" s="1"/>
  <c r="T209" i="12" s="1"/>
  <c r="S242" i="11"/>
  <c r="U242" i="11"/>
  <c r="V242" i="11" s="1"/>
  <c r="Q209" i="12" l="1"/>
  <c r="T242" i="11"/>
  <c r="Z243" i="11" l="1"/>
  <c r="EB243" i="11" s="1"/>
  <c r="R209" i="12"/>
  <c r="U209" i="12" s="1"/>
  <c r="X209" i="12" s="1"/>
  <c r="F243" i="11" l="1"/>
  <c r="AC243" i="11"/>
  <c r="AF243" i="11" l="1"/>
  <c r="AE243" i="11"/>
  <c r="E210" i="12"/>
  <c r="ED243" i="11"/>
  <c r="EE243" i="11" s="1"/>
  <c r="EG243" i="11" s="1"/>
  <c r="AG243" i="11" l="1"/>
  <c r="G243" i="11" s="1"/>
  <c r="H210" i="12" s="1"/>
  <c r="O243" i="11"/>
  <c r="F210" i="12" s="1"/>
  <c r="G210" i="12" s="1"/>
  <c r="EK243" i="11"/>
  <c r="EJ243" i="11"/>
  <c r="EF243" i="11"/>
  <c r="I210" i="12" l="1"/>
  <c r="AK243" i="11"/>
  <c r="K243" i="11" s="1"/>
  <c r="R243" i="11" s="1"/>
  <c r="AJ243" i="11"/>
  <c r="J243" i="11" s="1"/>
  <c r="Q243" i="11" s="1"/>
  <c r="AD243" i="11"/>
  <c r="EL243" i="11"/>
  <c r="J210" i="12"/>
  <c r="L210" i="12"/>
  <c r="O210" i="12" s="1"/>
  <c r="AL243" i="11" l="1"/>
  <c r="H243" i="11" s="1"/>
  <c r="K210" i="12" s="1"/>
  <c r="I243" i="11" l="1"/>
  <c r="S243" i="11" s="1"/>
  <c r="P210" i="12" l="1"/>
  <c r="S210" i="12" s="1"/>
  <c r="T210" i="12" s="1"/>
  <c r="U243" i="11"/>
  <c r="V243" i="11" s="1"/>
  <c r="Q210" i="12"/>
  <c r="T243" i="11"/>
  <c r="Z244" i="11" l="1"/>
  <c r="EB244" i="11" s="1"/>
  <c r="R210" i="12"/>
  <c r="U210" i="12" s="1"/>
  <c r="X210" i="12" s="1"/>
  <c r="F244" i="11" l="1"/>
  <c r="AC244" i="11"/>
  <c r="ED244" i="11"/>
  <c r="EE244" i="11" s="1"/>
  <c r="EG244" i="11" s="1"/>
  <c r="EF244" i="11" l="1"/>
  <c r="EJ244" i="11"/>
  <c r="EK244" i="11"/>
  <c r="AE244" i="11"/>
  <c r="E211" i="12"/>
  <c r="AF244" i="11"/>
  <c r="O244" i="11"/>
  <c r="F211" i="12" s="1"/>
  <c r="G211" i="12" s="1"/>
  <c r="EL244" i="11" l="1"/>
  <c r="AG244" i="11"/>
  <c r="AK244" i="11" l="1"/>
  <c r="K244" i="11" s="1"/>
  <c r="AJ244" i="11"/>
  <c r="J244" i="11" s="1"/>
  <c r="AD244" i="11"/>
  <c r="G244" i="11"/>
  <c r="H211" i="12" s="1"/>
  <c r="AL244" i="11" l="1"/>
  <c r="H244" i="11" s="1"/>
  <c r="K211" i="12" s="1"/>
  <c r="J211" i="12"/>
  <c r="L211" i="12"/>
  <c r="O211" i="12" s="1"/>
  <c r="I211" i="12"/>
  <c r="Q244" i="11"/>
  <c r="R244" i="11"/>
  <c r="I244" i="11" l="1"/>
  <c r="U244" i="11" s="1"/>
  <c r="V244" i="11" s="1"/>
  <c r="P211" i="12" l="1"/>
  <c r="S211" i="12" s="1"/>
  <c r="T211" i="12" s="1"/>
  <c r="S244" i="11"/>
  <c r="T244" i="11" s="1"/>
  <c r="Q211" i="12" l="1"/>
  <c r="Z245" i="11"/>
  <c r="EB245" i="11" s="1"/>
  <c r="R211" i="12"/>
  <c r="U211" i="12" s="1"/>
  <c r="X211" i="12" s="1"/>
  <c r="F245" i="11" l="1"/>
  <c r="AC245" i="11"/>
  <c r="ED245" i="11"/>
  <c r="EE245" i="11" s="1"/>
  <c r="EG245" i="11" s="1"/>
  <c r="EF245" i="11" l="1"/>
  <c r="EJ245" i="11"/>
  <c r="EK245" i="11"/>
  <c r="AF245" i="11"/>
  <c r="E212" i="12"/>
  <c r="AE245" i="11"/>
  <c r="O245" i="11"/>
  <c r="F212" i="12" s="1"/>
  <c r="G212" i="12" s="1"/>
  <c r="AG245" i="11" l="1"/>
  <c r="AK245" i="11" s="1"/>
  <c r="K245" i="11" s="1"/>
  <c r="EL245" i="11"/>
  <c r="AD245" i="11" l="1"/>
  <c r="G245" i="11"/>
  <c r="H212" i="12" s="1"/>
  <c r="J212" i="12" s="1"/>
  <c r="AJ245" i="11"/>
  <c r="J245" i="11" s="1"/>
  <c r="Q245" i="11" s="1"/>
  <c r="R245" i="11" l="1"/>
  <c r="I212" i="12"/>
  <c r="L212" i="12"/>
  <c r="O212" i="12" s="1"/>
  <c r="AL245" i="11"/>
  <c r="H245" i="11" s="1"/>
  <c r="I245" i="11" s="1"/>
  <c r="K212" i="12" l="1"/>
  <c r="S245" i="11"/>
  <c r="U245" i="11"/>
  <c r="V245" i="11" s="1"/>
  <c r="P212" i="12"/>
  <c r="S212" i="12" s="1"/>
  <c r="T212" i="12" s="1"/>
  <c r="P32" i="1" l="1"/>
  <c r="G81" i="17" s="1"/>
  <c r="Q212" i="12"/>
  <c r="T245" i="11"/>
  <c r="O32" i="1" l="1"/>
  <c r="Z246" i="11"/>
  <c r="EB246" i="11" s="1"/>
  <c r="R212" i="12"/>
  <c r="U212" i="12" s="1"/>
  <c r="X212" i="12" s="1"/>
  <c r="F81" i="17" l="1"/>
  <c r="E81" i="17"/>
  <c r="F246" i="11"/>
  <c r="ED246" i="11"/>
  <c r="EE246" i="11" s="1"/>
  <c r="EG246" i="11" s="1"/>
  <c r="AC246" i="11"/>
  <c r="AF246" i="11" l="1"/>
  <c r="E213" i="12"/>
  <c r="AE246" i="11"/>
  <c r="O246" i="11"/>
  <c r="F213" i="12" s="1"/>
  <c r="EF246" i="11"/>
  <c r="EK246" i="11"/>
  <c r="EJ246" i="11"/>
  <c r="AG246" i="11" l="1"/>
  <c r="AD246" i="11" s="1"/>
  <c r="EL246" i="11"/>
  <c r="G213" i="12"/>
  <c r="AJ246" i="11" l="1"/>
  <c r="J246" i="11" s="1"/>
  <c r="G246" i="11"/>
  <c r="H213" i="12" s="1"/>
  <c r="I213" i="12" s="1"/>
  <c r="AK246" i="11"/>
  <c r="K246" i="11" s="1"/>
  <c r="Q246" i="11" l="1"/>
  <c r="L213" i="12"/>
  <c r="O213" i="12" s="1"/>
  <c r="J213" i="12"/>
  <c r="R246" i="11"/>
  <c r="AL246" i="11"/>
  <c r="H246" i="11" s="1"/>
  <c r="I246" i="11" s="1"/>
  <c r="K213" i="12" l="1"/>
  <c r="P213" i="12"/>
  <c r="S246" i="11"/>
  <c r="U246" i="11"/>
  <c r="V246" i="11" s="1"/>
  <c r="S213" i="12" l="1"/>
  <c r="T213" i="12" s="1"/>
  <c r="T246" i="11"/>
  <c r="Q213" i="12"/>
  <c r="Z247" i="11" l="1"/>
  <c r="EB247" i="11" s="1"/>
  <c r="R213" i="12"/>
  <c r="U213" i="12" s="1"/>
  <c r="X213" i="12" s="1"/>
  <c r="F247" i="11" l="1"/>
  <c r="AC247" i="11"/>
  <c r="ED247" i="11"/>
  <c r="EE247" i="11" s="1"/>
  <c r="EG247" i="11" s="1"/>
  <c r="EF247" i="11" s="1"/>
  <c r="EJ247" i="11" l="1"/>
  <c r="O247" i="11"/>
  <c r="E214" i="12"/>
  <c r="AF247" i="11"/>
  <c r="AE247" i="11"/>
  <c r="EK247" i="11"/>
  <c r="AG247" i="11" l="1"/>
  <c r="AJ247" i="11" s="1"/>
  <c r="F214" i="12"/>
  <c r="G214" i="12" s="1"/>
  <c r="EL247" i="11"/>
  <c r="J247" i="11" l="1"/>
  <c r="AD247" i="11"/>
  <c r="G247" i="11"/>
  <c r="H214" i="12" s="1"/>
  <c r="I214" i="12" s="1"/>
  <c r="AK247" i="11"/>
  <c r="K247" i="11" s="1"/>
  <c r="R247" i="11" l="1"/>
  <c r="J214" i="12"/>
  <c r="L214" i="12"/>
  <c r="O214" i="12" s="1"/>
  <c r="Q247" i="11"/>
  <c r="AL247" i="11"/>
  <c r="H247" i="11" s="1"/>
  <c r="K214" i="12" s="1"/>
  <c r="I247" i="11" l="1"/>
  <c r="P214" i="12" s="1"/>
  <c r="S214" i="12" s="1"/>
  <c r="T214" i="12" s="1"/>
  <c r="S247" i="11" l="1"/>
  <c r="T247" i="11" s="1"/>
  <c r="U247" i="11"/>
  <c r="V247" i="11" s="1"/>
  <c r="Q214" i="12" l="1"/>
  <c r="Z248" i="11"/>
  <c r="EB248" i="11" s="1"/>
  <c r="R214" i="12"/>
  <c r="U214" i="12" s="1"/>
  <c r="X214" i="12" s="1"/>
  <c r="F248" i="11" l="1"/>
  <c r="AC248" i="11"/>
  <c r="ED248" i="11"/>
  <c r="EE248" i="11" s="1"/>
  <c r="EG248" i="11" s="1"/>
  <c r="EF248" i="11" l="1"/>
  <c r="EK248" i="11"/>
  <c r="EJ248" i="11"/>
  <c r="E215" i="12"/>
  <c r="AF248" i="11"/>
  <c r="AE248" i="11"/>
  <c r="O248" i="11"/>
  <c r="F215" i="12" s="1"/>
  <c r="G215" i="12" s="1"/>
  <c r="AG248" i="11" l="1"/>
  <c r="AD248" i="11" s="1"/>
  <c r="EL248" i="11"/>
  <c r="G248" i="11" l="1"/>
  <c r="H215" i="12" s="1"/>
  <c r="AK248" i="11"/>
  <c r="K248" i="11" s="1"/>
  <c r="R248" i="11" s="1"/>
  <c r="AJ248" i="11"/>
  <c r="J248" i="11" s="1"/>
  <c r="Q248" i="11" s="1"/>
  <c r="L215" i="12"/>
  <c r="O215" i="12" s="1"/>
  <c r="J215" i="12"/>
  <c r="I215" i="12"/>
  <c r="AL248" i="11" l="1"/>
  <c r="H248" i="11" s="1"/>
  <c r="K215" i="12" s="1"/>
  <c r="I248" i="11" l="1"/>
  <c r="U248" i="11" s="1"/>
  <c r="V248" i="11" s="1"/>
  <c r="P215" i="12"/>
  <c r="S215" i="12" s="1"/>
  <c r="T215" i="12" s="1"/>
  <c r="S248" i="11" l="1"/>
  <c r="Q215" i="12" s="1"/>
  <c r="T248" i="11" l="1"/>
  <c r="R215" i="12" s="1"/>
  <c r="U215" i="12" s="1"/>
  <c r="X215" i="12" s="1"/>
  <c r="Z249" i="11" l="1"/>
  <c r="EB249" i="11" s="1"/>
  <c r="ED249" i="11" s="1"/>
  <c r="EE249" i="11" s="1"/>
  <c r="EG249" i="11" s="1"/>
  <c r="EF249" i="11" s="1"/>
  <c r="AC249" i="11" l="1"/>
  <c r="F249" i="11"/>
  <c r="O249" i="11"/>
  <c r="EJ249" i="11"/>
  <c r="EK249" i="11"/>
  <c r="AF249" i="11"/>
  <c r="AE249" i="11"/>
  <c r="E216" i="12"/>
  <c r="F216" i="12" l="1"/>
  <c r="G216" i="12" s="1"/>
  <c r="AG249" i="11"/>
  <c r="EL249" i="11"/>
  <c r="G249" i="11" l="1"/>
  <c r="H216" i="12" s="1"/>
  <c r="AD249" i="11"/>
  <c r="AK249" i="11"/>
  <c r="K249" i="11" s="1"/>
  <c r="AJ249" i="11"/>
  <c r="J249" i="11" s="1"/>
  <c r="Q249" i="11" s="1"/>
  <c r="L216" i="12" l="1"/>
  <c r="O216" i="12" s="1"/>
  <c r="J216" i="12"/>
  <c r="I216" i="12"/>
  <c r="AL249" i="11"/>
  <c r="H249" i="11" s="1"/>
  <c r="R249" i="11"/>
  <c r="K216" i="12" l="1"/>
  <c r="I249" i="11"/>
  <c r="S249" i="11" l="1"/>
  <c r="U249" i="11"/>
  <c r="V249" i="11" s="1"/>
  <c r="P216" i="12"/>
  <c r="S216" i="12" s="1"/>
  <c r="T216" i="12" s="1"/>
  <c r="T249" i="11" l="1"/>
  <c r="Q216" i="12"/>
  <c r="Z250" i="11" l="1"/>
  <c r="EB250" i="11" s="1"/>
  <c r="R216" i="12"/>
  <c r="U216" i="12" s="1"/>
  <c r="X216" i="12" s="1"/>
  <c r="F250" i="11" l="1"/>
  <c r="AC250" i="11"/>
  <c r="ED250" i="11"/>
  <c r="EE250" i="11" s="1"/>
  <c r="EG250" i="11" s="1"/>
  <c r="EF250" i="11" l="1"/>
  <c r="EK250" i="11"/>
  <c r="EJ250" i="11"/>
  <c r="AF250" i="11"/>
  <c r="E217" i="12"/>
  <c r="AE250" i="11"/>
  <c r="O250" i="11"/>
  <c r="F217" i="12" s="1"/>
  <c r="G217" i="12" s="1"/>
  <c r="AG250" i="11" l="1"/>
  <c r="AJ250" i="11" s="1"/>
  <c r="J250" i="11" s="1"/>
  <c r="EL250" i="11"/>
  <c r="G250" i="11" l="1"/>
  <c r="H217" i="12" s="1"/>
  <c r="J217" i="12" s="1"/>
  <c r="AK250" i="11"/>
  <c r="K250" i="11" s="1"/>
  <c r="R250" i="11" s="1"/>
  <c r="AD250" i="11"/>
  <c r="I217" i="12" l="1"/>
  <c r="L217" i="12"/>
  <c r="O217" i="12" s="1"/>
  <c r="Q250" i="11"/>
  <c r="AL250" i="11"/>
  <c r="H250" i="11" s="1"/>
  <c r="K217" i="12" s="1"/>
  <c r="I250" i="11" l="1"/>
  <c r="U250" i="11" s="1"/>
  <c r="V250" i="11" s="1"/>
  <c r="P217" i="12" l="1"/>
  <c r="S217" i="12" s="1"/>
  <c r="T217" i="12" s="1"/>
  <c r="S250" i="11"/>
  <c r="T250" i="11" s="1"/>
  <c r="Z251" i="11" l="1"/>
  <c r="EB251" i="11" s="1"/>
  <c r="Q217" i="12"/>
  <c r="R217" i="12"/>
  <c r="U217" i="12" s="1"/>
  <c r="X217" i="12" s="1"/>
  <c r="F251" i="11" l="1"/>
  <c r="AC251" i="11"/>
  <c r="AE251" i="11" l="1"/>
  <c r="E218" i="12"/>
  <c r="AF251" i="11"/>
  <c r="ED251" i="11"/>
  <c r="EE251" i="11" s="1"/>
  <c r="EG251" i="11" s="1"/>
  <c r="EF251" i="11" s="1"/>
  <c r="EJ251" i="11" l="1"/>
  <c r="EK251" i="11"/>
  <c r="O251" i="11"/>
  <c r="F218" i="12" s="1"/>
  <c r="G218" i="12" s="1"/>
  <c r="AG251" i="11"/>
  <c r="EL251" i="11" l="1"/>
  <c r="AK251" i="11"/>
  <c r="K251" i="11" s="1"/>
  <c r="AD251" i="11"/>
  <c r="G251" i="11"/>
  <c r="H218" i="12" s="1"/>
  <c r="I218" i="12" s="1"/>
  <c r="AJ251" i="11"/>
  <c r="J251" i="11" s="1"/>
  <c r="Q251" i="11" l="1"/>
  <c r="R251" i="11"/>
  <c r="AL251" i="11"/>
  <c r="H251" i="11" s="1"/>
  <c r="L218" i="12"/>
  <c r="O218" i="12" s="1"/>
  <c r="J218" i="12"/>
  <c r="K218" i="12" l="1"/>
  <c r="I251" i="11"/>
  <c r="U251" i="11" l="1"/>
  <c r="V251" i="11" s="1"/>
  <c r="P218" i="12"/>
  <c r="S218" i="12" s="1"/>
  <c r="T218" i="12" s="1"/>
  <c r="S251" i="11"/>
  <c r="T251" i="11" l="1"/>
  <c r="Q218" i="12"/>
  <c r="Z252" i="11" l="1"/>
  <c r="EB252" i="11" s="1"/>
  <c r="R218" i="12"/>
  <c r="U218" i="12" s="1"/>
  <c r="X218" i="12" s="1"/>
  <c r="F252" i="11" l="1"/>
  <c r="AC252" i="11"/>
  <c r="ED252" i="11" l="1"/>
  <c r="EE252" i="11" s="1"/>
  <c r="EG252" i="11" s="1"/>
  <c r="EF252" i="11" s="1"/>
  <c r="AF252" i="11"/>
  <c r="E219" i="12"/>
  <c r="AE252" i="11"/>
  <c r="AG252" i="11" l="1"/>
  <c r="AD252" i="11" s="1"/>
  <c r="O252" i="11"/>
  <c r="F219" i="12" s="1"/>
  <c r="G219" i="12" s="1"/>
  <c r="EJ252" i="11"/>
  <c r="EK252" i="11"/>
  <c r="AJ252" i="11" l="1"/>
  <c r="J252" i="11" s="1"/>
  <c r="AK252" i="11"/>
  <c r="K252" i="11" s="1"/>
  <c r="G252" i="11"/>
  <c r="H219" i="12" s="1"/>
  <c r="J219" i="12" s="1"/>
  <c r="EL252" i="11"/>
  <c r="R252" i="11" l="1"/>
  <c r="Q252" i="11"/>
  <c r="AL252" i="11"/>
  <c r="H252" i="11" s="1"/>
  <c r="K219" i="12" s="1"/>
  <c r="L219" i="12"/>
  <c r="O219" i="12" s="1"/>
  <c r="I219" i="12"/>
  <c r="I252" i="11" l="1"/>
  <c r="S252" i="11" s="1"/>
  <c r="U252" i="11"/>
  <c r="V252" i="11" s="1"/>
  <c r="P219" i="12" l="1"/>
  <c r="S219" i="12" s="1"/>
  <c r="T219" i="12" s="1"/>
  <c r="Q219" i="12"/>
  <c r="T252" i="11"/>
  <c r="Z253" i="11" l="1"/>
  <c r="EB253" i="11" s="1"/>
  <c r="R219" i="12"/>
  <c r="U219" i="12" s="1"/>
  <c r="X219" i="12" s="1"/>
  <c r="F253" i="11" l="1"/>
  <c r="AC253" i="11"/>
  <c r="ED253" i="11"/>
  <c r="EE253" i="11" s="1"/>
  <c r="EG253" i="11" s="1"/>
  <c r="EF253" i="11" l="1"/>
  <c r="EK253" i="11"/>
  <c r="EJ253" i="11"/>
  <c r="AE253" i="11"/>
  <c r="AF253" i="11"/>
  <c r="E220" i="12"/>
  <c r="O253" i="11"/>
  <c r="F220" i="12" s="1"/>
  <c r="G220" i="12" s="1"/>
  <c r="EL253" i="11" l="1"/>
  <c r="AG253" i="11"/>
  <c r="AK253" i="11" l="1"/>
  <c r="K253" i="11" s="1"/>
  <c r="AD253" i="11"/>
  <c r="G253" i="11"/>
  <c r="H220" i="12" s="1"/>
  <c r="AJ253" i="11"/>
  <c r="J253" i="11" s="1"/>
  <c r="Q253" i="11" s="1"/>
  <c r="AL253" i="11" l="1"/>
  <c r="H253" i="11" s="1"/>
  <c r="I220" i="12"/>
  <c r="L220" i="12"/>
  <c r="O220" i="12" s="1"/>
  <c r="J220" i="12"/>
  <c r="R253" i="11"/>
  <c r="I253" i="11" l="1"/>
  <c r="K220" i="12"/>
  <c r="S253" i="11" l="1"/>
  <c r="U253" i="11"/>
  <c r="V253" i="11" s="1"/>
  <c r="P220" i="12"/>
  <c r="S220" i="12" s="1"/>
  <c r="T220" i="12" s="1"/>
  <c r="T253" i="11" l="1"/>
  <c r="Q220" i="12"/>
  <c r="Z254" i="11" l="1"/>
  <c r="EB254" i="11" s="1"/>
  <c r="R220" i="12"/>
  <c r="U220" i="12" s="1"/>
  <c r="X220" i="12" s="1"/>
  <c r="F254" i="11" l="1"/>
  <c r="AC254" i="11"/>
  <c r="ED254" i="11" l="1"/>
  <c r="EE254" i="11" s="1"/>
  <c r="EG254" i="11" s="1"/>
  <c r="EF254" i="11" s="1"/>
  <c r="E221" i="12"/>
  <c r="AF254" i="11"/>
  <c r="AE254" i="11"/>
  <c r="AG254" i="11" l="1"/>
  <c r="AK254" i="11" s="1"/>
  <c r="O254" i="11"/>
  <c r="F221" i="12" s="1"/>
  <c r="G221" i="12" s="1"/>
  <c r="EK254" i="11"/>
  <c r="EJ254" i="11"/>
  <c r="AD254" i="11" l="1"/>
  <c r="G254" i="11"/>
  <c r="H221" i="12" s="1"/>
  <c r="I221" i="12" s="1"/>
  <c r="AJ254" i="11"/>
  <c r="K254" i="11"/>
  <c r="EL254" i="11"/>
  <c r="R254" i="11" l="1"/>
  <c r="J221" i="12"/>
  <c r="L221" i="12"/>
  <c r="O221" i="12" s="1"/>
  <c r="J254" i="11"/>
  <c r="Q254" i="11" s="1"/>
  <c r="AL254" i="11"/>
  <c r="H254" i="11" s="1"/>
  <c r="K221" i="12" l="1"/>
  <c r="I254" i="11"/>
  <c r="P221" i="12" s="1"/>
  <c r="S221" i="12" l="1"/>
  <c r="T221" i="12" s="1"/>
  <c r="S254" i="11"/>
  <c r="Q221" i="12" s="1"/>
  <c r="U254" i="11"/>
  <c r="V254" i="11" s="1"/>
  <c r="T254" i="11" l="1"/>
  <c r="Z255" i="11" l="1"/>
  <c r="R221" i="12"/>
  <c r="U221" i="12" s="1"/>
  <c r="X221" i="12" s="1"/>
  <c r="Z13" i="12"/>
  <c r="Z14" i="12"/>
  <c r="Z15" i="12"/>
  <c r="Z16" i="12"/>
  <c r="Z17" i="12"/>
  <c r="Z18" i="12"/>
  <c r="Z19" i="12"/>
  <c r="Z20" i="12"/>
  <c r="Z21" i="12"/>
  <c r="Z23" i="12"/>
  <c r="Z24" i="12"/>
  <c r="Z25" i="12"/>
  <c r="EB255" i="11" l="1"/>
  <c r="ED255" i="11" s="1"/>
  <c r="EE255" i="11" s="1"/>
  <c r="AC255" i="11"/>
  <c r="AF255" i="11" s="1"/>
  <c r="F255" i="11"/>
  <c r="AB17" i="12"/>
  <c r="AD17" i="12" s="1"/>
  <c r="AF17" i="12" s="1"/>
  <c r="AH17" i="12" s="1"/>
  <c r="AJ17" i="12" s="1"/>
  <c r="AL17" i="12" s="1"/>
  <c r="AA17" i="12"/>
  <c r="AC17" i="12" s="1"/>
  <c r="AE17" i="12" s="1"/>
  <c r="AG17" i="12" s="1"/>
  <c r="AI17" i="12" s="1"/>
  <c r="AK17" i="12" s="1"/>
  <c r="AM17" i="12" s="1"/>
  <c r="AA16" i="12"/>
  <c r="AC16" i="12" s="1"/>
  <c r="AE16" i="12" s="1"/>
  <c r="AG16" i="12" s="1"/>
  <c r="AI16" i="12" s="1"/>
  <c r="AK16" i="12" s="1"/>
  <c r="AM16" i="12" s="1"/>
  <c r="AB16" i="12"/>
  <c r="AD16" i="12" s="1"/>
  <c r="AF16" i="12" s="1"/>
  <c r="AH16" i="12" s="1"/>
  <c r="AJ16" i="12" s="1"/>
  <c r="AL16" i="12" s="1"/>
  <c r="AA15" i="12"/>
  <c r="AC15" i="12" s="1"/>
  <c r="AE15" i="12" s="1"/>
  <c r="AG15" i="12" s="1"/>
  <c r="AI15" i="12" s="1"/>
  <c r="AK15" i="12" s="1"/>
  <c r="AM15" i="12" s="1"/>
  <c r="AB15" i="12"/>
  <c r="AD15" i="12" s="1"/>
  <c r="AF15" i="12" s="1"/>
  <c r="AH15" i="12" s="1"/>
  <c r="AJ15" i="12" s="1"/>
  <c r="AL15" i="12" s="1"/>
  <c r="AB24" i="12"/>
  <c r="AD24" i="12" s="1"/>
  <c r="AF24" i="12" s="1"/>
  <c r="AH24" i="12" s="1"/>
  <c r="AJ24" i="12" s="1"/>
  <c r="AL24" i="12" s="1"/>
  <c r="AA24" i="12"/>
  <c r="AC24" i="12" s="1"/>
  <c r="AE24" i="12" s="1"/>
  <c r="AG24" i="12" s="1"/>
  <c r="AI24" i="12" s="1"/>
  <c r="AK24" i="12" s="1"/>
  <c r="AM24" i="12" s="1"/>
  <c r="AB14" i="12"/>
  <c r="AD14" i="12" s="1"/>
  <c r="AF14" i="12" s="1"/>
  <c r="AH14" i="12" s="1"/>
  <c r="AJ14" i="12" s="1"/>
  <c r="AL14" i="12" s="1"/>
  <c r="AA14" i="12"/>
  <c r="AC14" i="12" s="1"/>
  <c r="AE14" i="12" s="1"/>
  <c r="AG14" i="12" s="1"/>
  <c r="AI14" i="12" s="1"/>
  <c r="AK14" i="12" s="1"/>
  <c r="AM14" i="12" s="1"/>
  <c r="AA25" i="12"/>
  <c r="AC25" i="12" s="1"/>
  <c r="AE25" i="12" s="1"/>
  <c r="AG25" i="12" s="1"/>
  <c r="AI25" i="12" s="1"/>
  <c r="AK25" i="12" s="1"/>
  <c r="AM25" i="12" s="1"/>
  <c r="AB25" i="12"/>
  <c r="AD25" i="12" s="1"/>
  <c r="AF25" i="12" s="1"/>
  <c r="AH25" i="12" s="1"/>
  <c r="AJ25" i="12" s="1"/>
  <c r="AL25" i="12" s="1"/>
  <c r="AA13" i="12"/>
  <c r="AC13" i="12" s="1"/>
  <c r="AE13" i="12" s="1"/>
  <c r="AG13" i="12" s="1"/>
  <c r="AI13" i="12" s="1"/>
  <c r="AK13" i="12" s="1"/>
  <c r="AM13" i="12" s="1"/>
  <c r="AB13" i="12"/>
  <c r="AD13" i="12" s="1"/>
  <c r="AF13" i="12" s="1"/>
  <c r="AH13" i="12" s="1"/>
  <c r="AJ13" i="12" s="1"/>
  <c r="AL13" i="12" s="1"/>
  <c r="AA23" i="12"/>
  <c r="AC23" i="12" s="1"/>
  <c r="AE23" i="12" s="1"/>
  <c r="AG23" i="12" s="1"/>
  <c r="AI23" i="12" s="1"/>
  <c r="AK23" i="12" s="1"/>
  <c r="AM23" i="12" s="1"/>
  <c r="AB23" i="12"/>
  <c r="AD23" i="12" s="1"/>
  <c r="AF23" i="12" s="1"/>
  <c r="AH23" i="12" s="1"/>
  <c r="AJ23" i="12" s="1"/>
  <c r="AL23" i="12" s="1"/>
  <c r="AA20" i="12"/>
  <c r="AC20" i="12" s="1"/>
  <c r="AE20" i="12" s="1"/>
  <c r="AG20" i="12" s="1"/>
  <c r="AI20" i="12" s="1"/>
  <c r="AK20" i="12" s="1"/>
  <c r="AM20" i="12" s="1"/>
  <c r="AB20" i="12"/>
  <c r="AD20" i="12" s="1"/>
  <c r="AF20" i="12" s="1"/>
  <c r="AH20" i="12" s="1"/>
  <c r="AJ20" i="12" s="1"/>
  <c r="AL20" i="12" s="1"/>
  <c r="AB21" i="12"/>
  <c r="AD21" i="12" s="1"/>
  <c r="AF21" i="12" s="1"/>
  <c r="AH21" i="12" s="1"/>
  <c r="AJ21" i="12" s="1"/>
  <c r="AL21" i="12" s="1"/>
  <c r="AA21" i="12"/>
  <c r="AC21" i="12" s="1"/>
  <c r="AE21" i="12" s="1"/>
  <c r="AG21" i="12" s="1"/>
  <c r="AI21" i="12" s="1"/>
  <c r="AK21" i="12" s="1"/>
  <c r="AM21" i="12" s="1"/>
  <c r="AB19" i="12"/>
  <c r="AD19" i="12" s="1"/>
  <c r="AF19" i="12" s="1"/>
  <c r="AH19" i="12" s="1"/>
  <c r="AJ19" i="12" s="1"/>
  <c r="AL19" i="12" s="1"/>
  <c r="AA19" i="12"/>
  <c r="AC19" i="12" s="1"/>
  <c r="AE19" i="12" s="1"/>
  <c r="AG19" i="12" s="1"/>
  <c r="AI19" i="12" s="1"/>
  <c r="AK19" i="12" s="1"/>
  <c r="AM19" i="12" s="1"/>
  <c r="AA18" i="12"/>
  <c r="AC18" i="12" s="1"/>
  <c r="AE18" i="12" s="1"/>
  <c r="AG18" i="12" s="1"/>
  <c r="AI18" i="12" s="1"/>
  <c r="AK18" i="12" s="1"/>
  <c r="AM18" i="12" s="1"/>
  <c r="AB18" i="12"/>
  <c r="AD18" i="12" s="1"/>
  <c r="AF18" i="12" s="1"/>
  <c r="AH18" i="12" s="1"/>
  <c r="AJ18" i="12" s="1"/>
  <c r="AL18" i="12" s="1"/>
  <c r="AE255" i="11" l="1"/>
  <c r="E222" i="12"/>
  <c r="EG255" i="11"/>
  <c r="EF255" i="11" s="1"/>
  <c r="O255" i="11"/>
  <c r="F222" i="12" s="1"/>
  <c r="G222" i="12" s="1"/>
  <c r="AG255" i="11"/>
  <c r="EJ255" i="11" l="1"/>
  <c r="EK255" i="11"/>
  <c r="AK255" i="11"/>
  <c r="AD255" i="11"/>
  <c r="G255" i="11"/>
  <c r="H222" i="12" s="1"/>
  <c r="AJ255" i="11"/>
  <c r="J255" i="11" s="1"/>
  <c r="Q255" i="11" s="1"/>
  <c r="K255" i="11" l="1"/>
  <c r="R255" i="11" s="1"/>
  <c r="EL255" i="11"/>
  <c r="J222" i="12"/>
  <c r="L222" i="12"/>
  <c r="O222" i="12" s="1"/>
  <c r="I222" i="12"/>
  <c r="AL255" i="11"/>
  <c r="H255" i="11" s="1"/>
  <c r="K222" i="12" l="1"/>
  <c r="I255" i="11"/>
  <c r="P222" i="12" l="1"/>
  <c r="S222" i="12" s="1"/>
  <c r="T222" i="12" s="1"/>
  <c r="S255" i="11"/>
  <c r="U255" i="11"/>
  <c r="V255" i="11" s="1"/>
  <c r="Q222" i="12" l="1"/>
  <c r="T255" i="11"/>
  <c r="Z256" i="11" l="1"/>
  <c r="EB256" i="11" s="1"/>
  <c r="R222" i="12"/>
  <c r="U222" i="12" s="1"/>
  <c r="X222" i="12" s="1"/>
  <c r="F256" i="11" l="1"/>
  <c r="ED256" i="11"/>
  <c r="EE256" i="11" s="1"/>
  <c r="EG256" i="11" s="1"/>
  <c r="AC256" i="11"/>
  <c r="E223" i="12" l="1"/>
  <c r="AF256" i="11"/>
  <c r="AE256" i="11"/>
  <c r="O256" i="11"/>
  <c r="F223" i="12" s="1"/>
  <c r="G223" i="12" s="1"/>
  <c r="EF256" i="11"/>
  <c r="EK256" i="11"/>
  <c r="EJ256" i="11"/>
  <c r="AG256" i="11" l="1"/>
  <c r="AK256" i="11" s="1"/>
  <c r="K256" i="11" s="1"/>
  <c r="EL256" i="11"/>
  <c r="AD256" i="11" l="1"/>
  <c r="G256" i="11"/>
  <c r="H223" i="12" s="1"/>
  <c r="I223" i="12" s="1"/>
  <c r="AJ256" i="11"/>
  <c r="J256" i="11" s="1"/>
  <c r="Q256" i="11" s="1"/>
  <c r="L223" i="12" l="1"/>
  <c r="O223" i="12" s="1"/>
  <c r="AL256" i="11"/>
  <c r="H256" i="11" s="1"/>
  <c r="K223" i="12" s="1"/>
  <c r="J223" i="12"/>
  <c r="R256" i="11"/>
  <c r="I256" i="11" l="1"/>
  <c r="U256" i="11" s="1"/>
  <c r="V256" i="11" s="1"/>
  <c r="P223" i="12" l="1"/>
  <c r="S223" i="12" s="1"/>
  <c r="T223" i="12" s="1"/>
  <c r="S256" i="11"/>
  <c r="Q223" i="12" l="1"/>
  <c r="T256" i="11"/>
  <c r="Z257" i="11" s="1"/>
  <c r="EB257" i="11" s="1"/>
  <c r="AC257" i="11" l="1"/>
  <c r="F257" i="11"/>
  <c r="R223" i="12"/>
  <c r="U223" i="12" s="1"/>
  <c r="X223" i="12" s="1"/>
  <c r="AF257" i="11"/>
  <c r="AE257" i="11"/>
  <c r="E224" i="12"/>
  <c r="ED257" i="11"/>
  <c r="EE257" i="11" s="1"/>
  <c r="EG257" i="11" s="1"/>
  <c r="AG257" i="11" l="1"/>
  <c r="G257" i="11" s="1"/>
  <c r="H224" i="12" s="1"/>
  <c r="O257" i="11"/>
  <c r="F224" i="12" s="1"/>
  <c r="G224" i="12" s="1"/>
  <c r="EJ257" i="11"/>
  <c r="EK257" i="11"/>
  <c r="AK257" i="11"/>
  <c r="AD257" i="11"/>
  <c r="AJ257" i="11"/>
  <c r="J257" i="11" s="1"/>
  <c r="EF257" i="11"/>
  <c r="K257" i="11" l="1"/>
  <c r="R257" i="11" s="1"/>
  <c r="Q257" i="11"/>
  <c r="EL257" i="11"/>
  <c r="I224" i="12"/>
  <c r="J224" i="12"/>
  <c r="Z26" i="12"/>
  <c r="L224" i="12"/>
  <c r="O224" i="12" s="1"/>
  <c r="AL257" i="11"/>
  <c r="H257" i="11" l="1"/>
  <c r="AA26" i="12"/>
  <c r="AC26" i="12" s="1"/>
  <c r="AE26" i="12" s="1"/>
  <c r="AG26" i="12" s="1"/>
  <c r="AI26" i="12" s="1"/>
  <c r="AK26" i="12" s="1"/>
  <c r="AM26" i="12" s="1"/>
  <c r="AB26" i="12"/>
  <c r="AD26" i="12" s="1"/>
  <c r="AF26" i="12" s="1"/>
  <c r="AH26" i="12" s="1"/>
  <c r="AJ26" i="12" s="1"/>
  <c r="AL26" i="12" s="1"/>
  <c r="I257" i="11"/>
  <c r="K224" i="12"/>
  <c r="U257" i="11" l="1"/>
  <c r="V257" i="11" s="1"/>
  <c r="S257" i="11"/>
  <c r="P224" i="12"/>
  <c r="S224" i="12" s="1"/>
  <c r="T224" i="12" s="1"/>
  <c r="P33" i="1" l="1"/>
  <c r="G82" i="17" s="1"/>
  <c r="Q224" i="12"/>
  <c r="T257" i="11"/>
  <c r="O33" i="1" l="1"/>
  <c r="Z258" i="11"/>
  <c r="EB258" i="11" s="1"/>
  <c r="R224" i="12"/>
  <c r="U224" i="12" s="1"/>
  <c r="X224" i="12" s="1"/>
  <c r="F82" i="17" l="1"/>
  <c r="E82" i="17"/>
  <c r="F258" i="11"/>
  <c r="AC258" i="11"/>
  <c r="ED258" i="11"/>
  <c r="EE258" i="11" s="1"/>
  <c r="EG258" i="11" s="1"/>
  <c r="EF258" i="11" l="1"/>
  <c r="EJ258" i="11"/>
  <c r="EK258" i="11"/>
  <c r="AE258" i="11"/>
  <c r="E225" i="12"/>
  <c r="AF258" i="11"/>
  <c r="O258" i="11"/>
  <c r="F225" i="12" s="1"/>
  <c r="G225" i="12" s="1"/>
  <c r="EL258" i="11" l="1"/>
  <c r="AG258" i="11"/>
  <c r="AD258" i="11" l="1"/>
  <c r="G258" i="11"/>
  <c r="H225" i="12" s="1"/>
  <c r="AJ258" i="11"/>
  <c r="J258" i="11" s="1"/>
  <c r="Q258" i="11" s="1"/>
  <c r="AK258" i="11"/>
  <c r="K258" i="11" s="1"/>
  <c r="R258" i="11" s="1"/>
  <c r="AL258" i="11" l="1"/>
  <c r="H258" i="11" s="1"/>
  <c r="K225" i="12" s="1"/>
  <c r="J225" i="12"/>
  <c r="L225" i="12"/>
  <c r="O225" i="12" s="1"/>
  <c r="I225" i="12"/>
  <c r="I258" i="11" l="1"/>
  <c r="U258" i="11" s="1"/>
  <c r="V258" i="11" s="1"/>
  <c r="P225" i="12" l="1"/>
  <c r="S225" i="12" s="1"/>
  <c r="T225" i="12" s="1"/>
  <c r="S258" i="11"/>
  <c r="Q225" i="12" s="1"/>
  <c r="T258" i="11" l="1"/>
  <c r="Z259" i="11" l="1"/>
  <c r="EB259" i="11" s="1"/>
  <c r="R225" i="12"/>
  <c r="U225" i="12" s="1"/>
  <c r="X225" i="12" s="1"/>
  <c r="AC259" i="11" l="1"/>
  <c r="E226" i="12" s="1"/>
  <c r="F259" i="11"/>
  <c r="ED259" i="11"/>
  <c r="EE259" i="11" s="1"/>
  <c r="EG259" i="11" s="1"/>
  <c r="AE259" i="11" l="1"/>
  <c r="AF259" i="11"/>
  <c r="EK259" i="11"/>
  <c r="EJ259" i="11"/>
  <c r="EF259" i="11"/>
  <c r="O259" i="11"/>
  <c r="F226" i="12" s="1"/>
  <c r="G226" i="12" s="1"/>
  <c r="AG259" i="11" l="1"/>
  <c r="AK259" i="11" s="1"/>
  <c r="K259" i="11" s="1"/>
  <c r="EL259" i="11"/>
  <c r="AJ259" i="11" l="1"/>
  <c r="J259" i="11" s="1"/>
  <c r="G259" i="11"/>
  <c r="H226" i="12" s="1"/>
  <c r="I226" i="12" s="1"/>
  <c r="AD259" i="11"/>
  <c r="AL259" i="11" l="1"/>
  <c r="H259" i="11" s="1"/>
  <c r="I259" i="11" s="1"/>
  <c r="U259" i="11" s="1"/>
  <c r="V259" i="11" s="1"/>
  <c r="R259" i="11"/>
  <c r="J226" i="12"/>
  <c r="L226" i="12"/>
  <c r="O226" i="12" s="1"/>
  <c r="Q259" i="11"/>
  <c r="P226" i="12" l="1"/>
  <c r="S259" i="11"/>
  <c r="T259" i="11" s="1"/>
  <c r="K226" i="12"/>
  <c r="S226" i="12" s="1"/>
  <c r="T226" i="12" s="1"/>
  <c r="Q226" i="12" l="1"/>
  <c r="Z260" i="11"/>
  <c r="EB260" i="11" s="1"/>
  <c r="R226" i="12"/>
  <c r="U226" i="12" l="1"/>
  <c r="X226" i="12" s="1"/>
  <c r="F260" i="11"/>
  <c r="AC260" i="11"/>
  <c r="AE260" i="11" l="1"/>
  <c r="E227" i="12"/>
  <c r="AF260" i="11"/>
  <c r="ED260" i="11"/>
  <c r="EE260" i="11" s="1"/>
  <c r="EG260" i="11" s="1"/>
  <c r="EF260" i="11" s="1"/>
  <c r="O260" i="11" l="1"/>
  <c r="F227" i="12" s="1"/>
  <c r="G227" i="12" s="1"/>
  <c r="EK260" i="11"/>
  <c r="EJ260" i="11"/>
  <c r="AG260" i="11"/>
  <c r="EL260" i="11" l="1"/>
  <c r="AJ260" i="11"/>
  <c r="J260" i="11" s="1"/>
  <c r="AK260" i="11"/>
  <c r="K260" i="11" s="1"/>
  <c r="AD260" i="11"/>
  <c r="G260" i="11"/>
  <c r="H227" i="12" s="1"/>
  <c r="AL260" i="11" l="1"/>
  <c r="H260" i="11" s="1"/>
  <c r="K227" i="12" s="1"/>
  <c r="L227" i="12"/>
  <c r="O227" i="12" s="1"/>
  <c r="J227" i="12"/>
  <c r="I227" i="12"/>
  <c r="R260" i="11"/>
  <c r="Q260" i="11"/>
  <c r="I260" i="11" l="1"/>
  <c r="U260" i="11" s="1"/>
  <c r="V260" i="11" s="1"/>
  <c r="P227" i="12" l="1"/>
  <c r="S227" i="12" s="1"/>
  <c r="T227" i="12" s="1"/>
  <c r="S260" i="11"/>
  <c r="Q227" i="12" s="1"/>
  <c r="T260" i="11" l="1"/>
  <c r="Z261" i="11" l="1"/>
  <c r="R227" i="12"/>
  <c r="U227" i="12" s="1"/>
  <c r="X227" i="12" s="1"/>
  <c r="EB261" i="11" l="1"/>
  <c r="ED261" i="11" s="1"/>
  <c r="EE261" i="11" s="1"/>
  <c r="AC261" i="11"/>
  <c r="E228" i="12" s="1"/>
  <c r="F261" i="11"/>
  <c r="AE261" i="11" l="1"/>
  <c r="AF261" i="11"/>
  <c r="AG261" i="11" s="1"/>
  <c r="EG261" i="11"/>
  <c r="EF261" i="11" s="1"/>
  <c r="O261" i="11"/>
  <c r="F228" i="12" s="1"/>
  <c r="G228" i="12" s="1"/>
  <c r="EJ261" i="11" l="1"/>
  <c r="EK261" i="11"/>
  <c r="AK261" i="11"/>
  <c r="AJ261" i="11"/>
  <c r="J261" i="11" s="1"/>
  <c r="G261" i="11"/>
  <c r="H228" i="12" s="1"/>
  <c r="AD261" i="11"/>
  <c r="K261" i="11" l="1"/>
  <c r="Q261" i="11"/>
  <c r="EL261" i="11"/>
  <c r="AL261" i="11"/>
  <c r="L228" i="12"/>
  <c r="O228" i="12" s="1"/>
  <c r="J228" i="12"/>
  <c r="I228" i="12"/>
  <c r="R261" i="11"/>
  <c r="H261" i="11" l="1"/>
  <c r="I261" i="11" s="1"/>
  <c r="P228" i="12" s="1"/>
  <c r="S261" i="11" l="1"/>
  <c r="U261" i="11"/>
  <c r="V261" i="11" s="1"/>
  <c r="K228" i="12"/>
  <c r="S228" i="12" s="1"/>
  <c r="T228" i="12" s="1"/>
  <c r="T261" i="11"/>
  <c r="Q228" i="12"/>
  <c r="Z262" i="11" l="1"/>
  <c r="EB262" i="11" s="1"/>
  <c r="R228" i="12"/>
  <c r="U228" i="12" s="1"/>
  <c r="X228" i="12" s="1"/>
  <c r="F262" i="11" l="1"/>
  <c r="ED262" i="11"/>
  <c r="EE262" i="11" s="1"/>
  <c r="EG262" i="11" s="1"/>
  <c r="EJ262" i="11" s="1"/>
  <c r="AC262" i="11"/>
  <c r="EF262" i="11" l="1"/>
  <c r="AF262" i="11"/>
  <c r="AE262" i="11"/>
  <c r="E229" i="12"/>
  <c r="O262" i="11"/>
  <c r="F229" i="12" s="1"/>
  <c r="EK262" i="11"/>
  <c r="EL262" i="11" s="1"/>
  <c r="AG262" i="11" l="1"/>
  <c r="AJ262" i="11" s="1"/>
  <c r="J262" i="11" s="1"/>
  <c r="G229" i="12"/>
  <c r="G262" i="11" l="1"/>
  <c r="H229" i="12" s="1"/>
  <c r="L229" i="12" s="1"/>
  <c r="O229" i="12" s="1"/>
  <c r="AD262" i="11"/>
  <c r="AK262" i="11"/>
  <c r="K262" i="11" s="1"/>
  <c r="R262" i="11" s="1"/>
  <c r="I229" i="12" l="1"/>
  <c r="J229" i="12"/>
  <c r="Q262" i="11"/>
  <c r="AL262" i="11"/>
  <c r="H262" i="11" s="1"/>
  <c r="K229" i="12" s="1"/>
  <c r="I262" i="11" l="1"/>
  <c r="P229" i="12" s="1"/>
  <c r="S229" i="12" s="1"/>
  <c r="T229" i="12" s="1"/>
  <c r="S262" i="11" l="1"/>
  <c r="U262" i="11"/>
  <c r="V262" i="11" s="1"/>
  <c r="T262" i="11" l="1"/>
  <c r="Q229" i="12"/>
  <c r="R229" i="12" l="1"/>
  <c r="U229" i="12" s="1"/>
  <c r="X229" i="12" s="1"/>
  <c r="Z263" i="11"/>
  <c r="EB263" i="11" l="1"/>
  <c r="ED263" i="11" s="1"/>
  <c r="EE263" i="11" s="1"/>
  <c r="EG263" i="11" s="1"/>
  <c r="EK263" i="11" s="1"/>
  <c r="F263" i="11"/>
  <c r="AC263" i="11"/>
  <c r="EJ263" i="11" l="1"/>
  <c r="E230" i="12"/>
  <c r="AE263" i="11"/>
  <c r="AF263" i="11"/>
  <c r="O263" i="11"/>
  <c r="F230" i="12" s="1"/>
  <c r="G230" i="12" s="1"/>
  <c r="EF263" i="11"/>
  <c r="EL263" i="11"/>
  <c r="AG263" i="11" l="1"/>
  <c r="G263" i="11" l="1"/>
  <c r="H230" i="12" s="1"/>
  <c r="AJ263" i="11"/>
  <c r="J263" i="11" s="1"/>
  <c r="Q263" i="11" s="1"/>
  <c r="AK263" i="11"/>
  <c r="K263" i="11" s="1"/>
  <c r="R263" i="11" s="1"/>
  <c r="AD263" i="11"/>
  <c r="AL263" i="11" l="1"/>
  <c r="H263" i="11" s="1"/>
  <c r="K230" i="12" s="1"/>
  <c r="L230" i="12"/>
  <c r="O230" i="12" s="1"/>
  <c r="J230" i="12"/>
  <c r="I230" i="12"/>
  <c r="I263" i="11" l="1"/>
  <c r="S263" i="11"/>
  <c r="P230" i="12"/>
  <c r="S230" i="12" s="1"/>
  <c r="T230" i="12" s="1"/>
  <c r="U263" i="11"/>
  <c r="V263" i="11" s="1"/>
  <c r="T263" i="11" l="1"/>
  <c r="Q230" i="12"/>
  <c r="Z264" i="11" l="1"/>
  <c r="R230" i="12"/>
  <c r="U230" i="12" s="1"/>
  <c r="X230" i="12" s="1"/>
  <c r="EB264" i="11" l="1"/>
  <c r="ED264" i="11" s="1"/>
  <c r="EE264" i="11" s="1"/>
  <c r="O264" i="11" s="1"/>
  <c r="AC264" i="11"/>
  <c r="F264" i="11"/>
  <c r="EG264" i="11" l="1"/>
  <c r="EJ264" i="11" s="1"/>
  <c r="AE264" i="11"/>
  <c r="AF264" i="11"/>
  <c r="E231" i="12"/>
  <c r="F231" i="12" s="1"/>
  <c r="G231" i="12" s="1"/>
  <c r="EK264" i="11"/>
  <c r="EF264" i="11"/>
  <c r="AG264" i="11" l="1"/>
  <c r="EL264" i="11"/>
  <c r="AK264" i="11" l="1"/>
  <c r="K264" i="11" s="1"/>
  <c r="AJ264" i="11"/>
  <c r="G264" i="11"/>
  <c r="H231" i="12" s="1"/>
  <c r="AD264" i="11"/>
  <c r="I231" i="12" l="1"/>
  <c r="L231" i="12"/>
  <c r="O231" i="12" s="1"/>
  <c r="J231" i="12"/>
  <c r="AL264" i="11"/>
  <c r="H264" i="11" s="1"/>
  <c r="J264" i="11"/>
  <c r="Q264" i="11" s="1"/>
  <c r="R264" i="11"/>
  <c r="I264" i="11" l="1"/>
  <c r="K231" i="12"/>
  <c r="S264" i="11" l="1"/>
  <c r="P231" i="12"/>
  <c r="S231" i="12" s="1"/>
  <c r="T231" i="12" s="1"/>
  <c r="U264" i="11"/>
  <c r="V264" i="11" s="1"/>
  <c r="T264" i="11" l="1"/>
  <c r="Q231" i="12"/>
  <c r="Z265" i="11" l="1"/>
  <c r="R231" i="12"/>
  <c r="U231" i="12" s="1"/>
  <c r="X231" i="12" s="1"/>
  <c r="EB265" i="11" l="1"/>
  <c r="ED265" i="11" s="1"/>
  <c r="EE265" i="11" s="1"/>
  <c r="EG265" i="11" s="1"/>
  <c r="AC265" i="11"/>
  <c r="F265" i="11"/>
  <c r="O265" i="11" l="1"/>
  <c r="AE265" i="11"/>
  <c r="E232" i="12"/>
  <c r="AF265" i="11"/>
  <c r="EK265" i="11"/>
  <c r="EJ265" i="11"/>
  <c r="EF265" i="11"/>
  <c r="AG265" i="11" l="1"/>
  <c r="F232" i="12"/>
  <c r="G232" i="12" s="1"/>
  <c r="EL265" i="11"/>
  <c r="G265" i="11" l="1"/>
  <c r="H232" i="12" s="1"/>
  <c r="AJ265" i="11"/>
  <c r="AK265" i="11"/>
  <c r="K265" i="11" s="1"/>
  <c r="R265" i="11" s="1"/>
  <c r="AD265" i="11"/>
  <c r="AL265" i="11" l="1"/>
  <c r="H265" i="11" s="1"/>
  <c r="I265" i="11" s="1"/>
  <c r="J265" i="11"/>
  <c r="Q265" i="11" s="1"/>
  <c r="I232" i="12"/>
  <c r="L232" i="12"/>
  <c r="O232" i="12" s="1"/>
  <c r="J232" i="12"/>
  <c r="K232" i="12"/>
  <c r="P232" i="12"/>
  <c r="S232" i="12" s="1"/>
  <c r="T232" i="12" s="1"/>
  <c r="S265" i="11"/>
  <c r="U265" i="11"/>
  <c r="V265" i="11" l="1"/>
  <c r="T265" i="11"/>
  <c r="Q232" i="12"/>
  <c r="Z266" i="11" l="1"/>
  <c r="EB266" i="11" s="1"/>
  <c r="R232" i="12"/>
  <c r="U232" i="12" s="1"/>
  <c r="X232" i="12" s="1"/>
  <c r="F266" i="11" l="1"/>
  <c r="AC266" i="11"/>
  <c r="E233" i="12" l="1"/>
  <c r="AE266" i="11"/>
  <c r="AF266" i="11"/>
  <c r="ED266" i="11"/>
  <c r="EE266" i="11" s="1"/>
  <c r="AG266" i="11" l="1"/>
  <c r="EG266" i="11"/>
  <c r="O266" i="11"/>
  <c r="F233" i="12" s="1"/>
  <c r="G233" i="12" s="1"/>
  <c r="G266" i="11" l="1"/>
  <c r="H233" i="12" s="1"/>
  <c r="J233" i="12" s="1"/>
  <c r="AK266" i="11"/>
  <c r="AJ266" i="11"/>
  <c r="AD266" i="11"/>
  <c r="EK266" i="11"/>
  <c r="EJ266" i="11"/>
  <c r="EF266" i="11"/>
  <c r="I233" i="12" l="1"/>
  <c r="L233" i="12"/>
  <c r="O233" i="12" s="1"/>
  <c r="AL266" i="11"/>
  <c r="K266" i="11"/>
  <c r="R266" i="11" s="1"/>
  <c r="EL266" i="11"/>
  <c r="J266" i="11"/>
  <c r="Q266" i="11" s="1"/>
  <c r="H266" i="11" l="1"/>
  <c r="K233" i="12" s="1"/>
  <c r="I266" i="11" l="1"/>
  <c r="P233" i="12" s="1"/>
  <c r="S233" i="12" s="1"/>
  <c r="T233" i="12" s="1"/>
  <c r="S266" i="11" l="1"/>
  <c r="T266" i="11" s="1"/>
  <c r="U266" i="11"/>
  <c r="V266" i="11" s="1"/>
  <c r="Q233" i="12" l="1"/>
  <c r="Z267" i="11"/>
  <c r="EB267" i="11" s="1"/>
  <c r="R233" i="12"/>
  <c r="U233" i="12" s="1"/>
  <c r="X233" i="12" s="1"/>
  <c r="F267" i="11" l="1"/>
  <c r="AC267" i="11"/>
  <c r="E234" i="12" l="1"/>
  <c r="AE267" i="11"/>
  <c r="AF267" i="11"/>
  <c r="ED267" i="11"/>
  <c r="EE267" i="11" s="1"/>
  <c r="AG267" i="11" l="1"/>
  <c r="AD267" i="11" s="1"/>
  <c r="EG267" i="11"/>
  <c r="O267" i="11"/>
  <c r="F234" i="12" s="1"/>
  <c r="G234" i="12" s="1"/>
  <c r="G267" i="11" l="1"/>
  <c r="H234" i="12" s="1"/>
  <c r="J234" i="12" s="1"/>
  <c r="AK267" i="11"/>
  <c r="AJ267" i="11"/>
  <c r="EJ267" i="11"/>
  <c r="EK267" i="11"/>
  <c r="EF267" i="11"/>
  <c r="J267" i="11" l="1"/>
  <c r="Q267" i="11" s="1"/>
  <c r="K267" i="11"/>
  <c r="R267" i="11" s="1"/>
  <c r="L234" i="12"/>
  <c r="O234" i="12" s="1"/>
  <c r="I234" i="12"/>
  <c r="AL267" i="11"/>
  <c r="EL267" i="11"/>
  <c r="H267" i="11" l="1"/>
  <c r="I267" i="11" s="1"/>
  <c r="K234" i="12" l="1"/>
  <c r="P234" i="12"/>
  <c r="S234" i="12" s="1"/>
  <c r="T234" i="12" s="1"/>
  <c r="S267" i="11"/>
  <c r="U267" i="11"/>
  <c r="V267" i="11" l="1"/>
  <c r="Q234" i="12"/>
  <c r="T267" i="11"/>
  <c r="Z268" i="11" l="1"/>
  <c r="EB268" i="11" s="1"/>
  <c r="R234" i="12"/>
  <c r="U234" i="12" s="1"/>
  <c r="X234" i="12" s="1"/>
  <c r="F268" i="11" l="1"/>
  <c r="AC268" i="11"/>
  <c r="E235" i="12" l="1"/>
  <c r="AE268" i="11"/>
  <c r="AF268" i="11"/>
  <c r="ED268" i="11"/>
  <c r="EE268" i="11" s="1"/>
  <c r="AG268" i="11" l="1"/>
  <c r="AD268" i="11" s="1"/>
  <c r="EG268" i="11"/>
  <c r="O268" i="11"/>
  <c r="F235" i="12" s="1"/>
  <c r="G235" i="12" s="1"/>
  <c r="AK268" i="11"/>
  <c r="AJ268" i="11"/>
  <c r="G268" i="11" l="1"/>
  <c r="H235" i="12" s="1"/>
  <c r="L235" i="12" s="1"/>
  <c r="O235" i="12" s="1"/>
  <c r="AL268" i="11"/>
  <c r="EK268" i="11"/>
  <c r="EJ268" i="11"/>
  <c r="J268" i="11" s="1"/>
  <c r="Q268" i="11" s="1"/>
  <c r="EF268" i="11"/>
  <c r="I235" i="12" l="1"/>
  <c r="J235" i="12"/>
  <c r="EL268" i="11"/>
  <c r="H268" i="11" s="1"/>
  <c r="I268" i="11" s="1"/>
  <c r="K268" i="11"/>
  <c r="R268" i="11" s="1"/>
  <c r="K235" i="12" l="1"/>
  <c r="P235" i="12"/>
  <c r="S268" i="11"/>
  <c r="U268" i="11"/>
  <c r="S235" i="12" l="1"/>
  <c r="T235" i="12" s="1"/>
  <c r="V268" i="11"/>
  <c r="Q235" i="12"/>
  <c r="T268" i="11"/>
  <c r="Z269" i="11" l="1"/>
  <c r="EB269" i="11" s="1"/>
  <c r="R235" i="12"/>
  <c r="U235" i="12" s="1"/>
  <c r="X235" i="12" s="1"/>
  <c r="F269" i="11" l="1"/>
  <c r="AC269" i="11"/>
  <c r="E236" i="12" l="1"/>
  <c r="AE269" i="11"/>
  <c r="AF269" i="11"/>
  <c r="ED269" i="11"/>
  <c r="EE269" i="11" s="1"/>
  <c r="AG269" i="11" l="1"/>
  <c r="AJ269" i="11" s="1"/>
  <c r="EG269" i="11"/>
  <c r="O269" i="11"/>
  <c r="F236" i="12" s="1"/>
  <c r="G236" i="12" s="1"/>
  <c r="G269" i="11" l="1"/>
  <c r="H236" i="12" s="1"/>
  <c r="L236" i="12" s="1"/>
  <c r="O236" i="12" s="1"/>
  <c r="AK269" i="11"/>
  <c r="AL269" i="11" s="1"/>
  <c r="AD269" i="11"/>
  <c r="Z27" i="12"/>
  <c r="EK269" i="11"/>
  <c r="EJ269" i="11"/>
  <c r="J269" i="11" s="1"/>
  <c r="Q269" i="11" s="1"/>
  <c r="EF269" i="11"/>
  <c r="J236" i="12" l="1"/>
  <c r="I236" i="12"/>
  <c r="K269" i="11"/>
  <c r="R269" i="11" s="1"/>
  <c r="AB27" i="12"/>
  <c r="AD27" i="12" s="1"/>
  <c r="AF27" i="12" s="1"/>
  <c r="AH27" i="12" s="1"/>
  <c r="AJ27" i="12" s="1"/>
  <c r="AL27" i="12" s="1"/>
  <c r="AA27" i="12"/>
  <c r="AC27" i="12" s="1"/>
  <c r="AE27" i="12" s="1"/>
  <c r="AG27" i="12" s="1"/>
  <c r="AI27" i="12" s="1"/>
  <c r="AK27" i="12" s="1"/>
  <c r="AM27" i="12" s="1"/>
  <c r="EL269" i="11"/>
  <c r="H269" i="11" s="1"/>
  <c r="I269" i="11" l="1"/>
  <c r="K236" i="12"/>
  <c r="P236" i="12" l="1"/>
  <c r="S236" i="12" s="1"/>
  <c r="T236" i="12" s="1"/>
  <c r="U269" i="11"/>
  <c r="S269" i="11"/>
  <c r="T269" i="11" l="1"/>
  <c r="Q236" i="12"/>
  <c r="V269" i="11"/>
  <c r="P34" i="1" l="1"/>
  <c r="G83" i="17" s="1"/>
  <c r="O34" i="1"/>
  <c r="Z270" i="11"/>
  <c r="EB270" i="11" s="1"/>
  <c r="R236" i="12"/>
  <c r="U236" i="12" s="1"/>
  <c r="X236" i="12" s="1"/>
  <c r="F83" i="17" l="1"/>
  <c r="E83" i="17"/>
  <c r="F270" i="11"/>
  <c r="AC270" i="11"/>
  <c r="ED270" i="11" l="1"/>
  <c r="EE270" i="11" s="1"/>
  <c r="E237" i="12"/>
  <c r="AE270" i="11"/>
  <c r="AF270" i="11"/>
  <c r="AG270" i="11" l="1"/>
  <c r="AJ270" i="11" s="1"/>
  <c r="EG270" i="11"/>
  <c r="O270" i="11"/>
  <c r="F237" i="12" s="1"/>
  <c r="G237" i="12" s="1"/>
  <c r="AD270" i="11" l="1"/>
  <c r="AK270" i="11"/>
  <c r="AL270" i="11" s="1"/>
  <c r="G270" i="11"/>
  <c r="H237" i="12" s="1"/>
  <c r="L237" i="12" s="1"/>
  <c r="O237" i="12" s="1"/>
  <c r="EK270" i="11"/>
  <c r="EJ270" i="11"/>
  <c r="J270" i="11" s="1"/>
  <c r="EF270" i="11"/>
  <c r="K270" i="11" l="1"/>
  <c r="R270" i="11" s="1"/>
  <c r="J237" i="12"/>
  <c r="I237" i="12"/>
  <c r="Q270" i="11"/>
  <c r="EL270" i="11"/>
  <c r="H270" i="11" s="1"/>
  <c r="I270" i="11" l="1"/>
  <c r="K237" i="12"/>
  <c r="P237" i="12" l="1"/>
  <c r="S237" i="12" s="1"/>
  <c r="T237" i="12" s="1"/>
  <c r="S270" i="11"/>
  <c r="U270" i="11"/>
  <c r="T270" i="11" l="1"/>
  <c r="Q237" i="12"/>
  <c r="V270" i="11"/>
  <c r="Z271" i="11" l="1"/>
  <c r="EB271" i="11" s="1"/>
  <c r="R237" i="12"/>
  <c r="U237" i="12" s="1"/>
  <c r="X237" i="12" s="1"/>
  <c r="F271" i="11" l="1"/>
  <c r="AC271" i="11"/>
  <c r="ED271" i="11" l="1"/>
  <c r="EE271" i="11" s="1"/>
  <c r="E238" i="12"/>
  <c r="AE271" i="11"/>
  <c r="AF271" i="11"/>
  <c r="AG271" i="11" l="1"/>
  <c r="AD271" i="11" s="1"/>
  <c r="EG271" i="11"/>
  <c r="O271" i="11"/>
  <c r="F238" i="12" s="1"/>
  <c r="G238" i="12" s="1"/>
  <c r="G271" i="11" l="1"/>
  <c r="H238" i="12" s="1"/>
  <c r="AK271" i="11"/>
  <c r="AJ271" i="11"/>
  <c r="L238" i="12"/>
  <c r="O238" i="12" s="1"/>
  <c r="J238" i="12"/>
  <c r="I238" i="12"/>
  <c r="EJ271" i="11"/>
  <c r="EK271" i="11"/>
  <c r="K271" i="11" s="1"/>
  <c r="R271" i="11" s="1"/>
  <c r="EF271" i="11"/>
  <c r="AL271" i="11" l="1"/>
  <c r="EL271" i="11"/>
  <c r="J271" i="11"/>
  <c r="Q271" i="11" s="1"/>
  <c r="H271" i="11" l="1"/>
  <c r="K238" i="12" s="1"/>
  <c r="I271" i="11" l="1"/>
  <c r="P238" i="12" s="1"/>
  <c r="S238" i="12" s="1"/>
  <c r="T238" i="12" s="1"/>
  <c r="U271" i="11"/>
  <c r="V271" i="11" s="1"/>
  <c r="S271" i="11" l="1"/>
  <c r="Q238" i="12" s="1"/>
  <c r="T271" i="11" l="1"/>
  <c r="R238" i="12" s="1"/>
  <c r="U238" i="12" s="1"/>
  <c r="X238" i="12" s="1"/>
  <c r="Z272" i="11"/>
  <c r="EB272" i="11" s="1"/>
  <c r="AC272" i="11" l="1"/>
  <c r="E239" i="12" s="1"/>
  <c r="F272" i="11"/>
  <c r="ED272" i="11"/>
  <c r="EE272" i="11" s="1"/>
  <c r="AF272" i="11" l="1"/>
  <c r="AE272" i="11"/>
  <c r="EG272" i="11"/>
  <c r="O272" i="11"/>
  <c r="F239" i="12" s="1"/>
  <c r="G239" i="12" s="1"/>
  <c r="AG272" i="11" l="1"/>
  <c r="AK272" i="11" s="1"/>
  <c r="G272" i="11"/>
  <c r="H239" i="12" s="1"/>
  <c r="L239" i="12" s="1"/>
  <c r="O239" i="12" s="1"/>
  <c r="AJ272" i="11"/>
  <c r="AL272" i="11" s="1"/>
  <c r="EJ272" i="11"/>
  <c r="EK272" i="11"/>
  <c r="K272" i="11" s="1"/>
  <c r="R272" i="11" s="1"/>
  <c r="EF272" i="11"/>
  <c r="AD272" i="11" l="1"/>
  <c r="J272" i="11"/>
  <c r="Q272" i="11" s="1"/>
  <c r="I239" i="12"/>
  <c r="J239" i="12"/>
  <c r="EL272" i="11"/>
  <c r="H272" i="11" s="1"/>
  <c r="I272" i="11" l="1"/>
  <c r="K239" i="12"/>
  <c r="P239" i="12" l="1"/>
  <c r="S239" i="12" s="1"/>
  <c r="T239" i="12" s="1"/>
  <c r="U272" i="11"/>
  <c r="S272" i="11"/>
  <c r="Q239" i="12" l="1"/>
  <c r="T272" i="11"/>
  <c r="V272" i="11"/>
  <c r="Z273" i="11" l="1"/>
  <c r="EB273" i="11" s="1"/>
  <c r="R239" i="12"/>
  <c r="U239" i="12" s="1"/>
  <c r="X239" i="12" s="1"/>
  <c r="F273" i="11" l="1"/>
  <c r="AC273" i="11"/>
  <c r="E240" i="12" l="1"/>
  <c r="AE273" i="11"/>
  <c r="AF273" i="11"/>
  <c r="ED273" i="11"/>
  <c r="EE273" i="11" s="1"/>
  <c r="AG273" i="11" l="1"/>
  <c r="AK273" i="11" s="1"/>
  <c r="EG273" i="11"/>
  <c r="O273" i="11"/>
  <c r="F240" i="12" s="1"/>
  <c r="G240" i="12" s="1"/>
  <c r="AD273" i="11" l="1"/>
  <c r="AJ273" i="11"/>
  <c r="AL273" i="11" s="1"/>
  <c r="G273" i="11"/>
  <c r="H240" i="12" s="1"/>
  <c r="J240" i="12" s="1"/>
  <c r="EJ273" i="11"/>
  <c r="EK273" i="11"/>
  <c r="K273" i="11" s="1"/>
  <c r="R273" i="11" s="1"/>
  <c r="EF273" i="11"/>
  <c r="J273" i="11" l="1"/>
  <c r="Q273" i="11" s="1"/>
  <c r="I240" i="12"/>
  <c r="L240" i="12"/>
  <c r="O240" i="12" s="1"/>
  <c r="EL273" i="11"/>
  <c r="H273" i="11" s="1"/>
  <c r="K240" i="12" l="1"/>
  <c r="I273" i="11"/>
  <c r="P240" i="12" l="1"/>
  <c r="S240" i="12" s="1"/>
  <c r="T240" i="12" s="1"/>
  <c r="S273" i="11"/>
  <c r="U273" i="11"/>
  <c r="V273" i="11" l="1"/>
  <c r="T273" i="11"/>
  <c r="Q240" i="12"/>
  <c r="Z274" i="11" l="1"/>
  <c r="EB274" i="11" s="1"/>
  <c r="R240" i="12"/>
  <c r="U240" i="12" s="1"/>
  <c r="X240" i="12" s="1"/>
  <c r="F274" i="11" l="1"/>
  <c r="AC274" i="11"/>
  <c r="ED274" i="11" l="1"/>
  <c r="EE274" i="11" s="1"/>
  <c r="E241" i="12"/>
  <c r="AE274" i="11"/>
  <c r="AF274" i="11"/>
  <c r="AG274" i="11" l="1"/>
  <c r="AD274" i="11" s="1"/>
  <c r="EG274" i="11"/>
  <c r="O274" i="11"/>
  <c r="F241" i="12" s="1"/>
  <c r="G241" i="12" s="1"/>
  <c r="AJ274" i="11" l="1"/>
  <c r="AK274" i="11"/>
  <c r="G274" i="11"/>
  <c r="H241" i="12" s="1"/>
  <c r="L241" i="12" s="1"/>
  <c r="O241" i="12" s="1"/>
  <c r="EK274" i="11"/>
  <c r="EJ274" i="11"/>
  <c r="J274" i="11" s="1"/>
  <c r="Q274" i="11" s="1"/>
  <c r="EF274" i="11"/>
  <c r="AL274" i="11" l="1"/>
  <c r="K274" i="11"/>
  <c r="R274" i="11" s="1"/>
  <c r="J241" i="12"/>
  <c r="I241" i="12"/>
  <c r="EL274" i="11"/>
  <c r="H274" i="11" s="1"/>
  <c r="I274" i="11" l="1"/>
  <c r="K241" i="12"/>
  <c r="P241" i="12" l="1"/>
  <c r="S241" i="12" s="1"/>
  <c r="T241" i="12" s="1"/>
  <c r="U274" i="11"/>
  <c r="S274" i="11"/>
  <c r="Q241" i="12" l="1"/>
  <c r="T274" i="11"/>
  <c r="V274" i="11"/>
  <c r="Z275" i="11" l="1"/>
  <c r="EB275" i="11" s="1"/>
  <c r="R241" i="12"/>
  <c r="U241" i="12" s="1"/>
  <c r="X241" i="12" s="1"/>
  <c r="F275" i="11" l="1"/>
  <c r="AC275" i="11"/>
  <c r="E242" i="12" l="1"/>
  <c r="AE275" i="11"/>
  <c r="AF275" i="11"/>
  <c r="ED275" i="11"/>
  <c r="EE275" i="11" s="1"/>
  <c r="EG275" i="11" l="1"/>
  <c r="O275" i="11"/>
  <c r="F242" i="12" s="1"/>
  <c r="G242" i="12" s="1"/>
  <c r="AG275" i="11"/>
  <c r="G275" i="11" l="1"/>
  <c r="H242" i="12" s="1"/>
  <c r="AD275" i="11"/>
  <c r="AJ275" i="11"/>
  <c r="AK275" i="11"/>
  <c r="EJ275" i="11"/>
  <c r="EK275" i="11"/>
  <c r="EF275" i="11"/>
  <c r="EL275" i="11" l="1"/>
  <c r="J275" i="11"/>
  <c r="Q275" i="11" s="1"/>
  <c r="K275" i="11"/>
  <c r="R275" i="11" s="1"/>
  <c r="L242" i="12"/>
  <c r="O242" i="12" s="1"/>
  <c r="J242" i="12"/>
  <c r="I242" i="12"/>
  <c r="AL275" i="11"/>
  <c r="H275" i="11" l="1"/>
  <c r="I275" i="11" s="1"/>
  <c r="K242" i="12" l="1"/>
  <c r="P242" i="12"/>
  <c r="S242" i="12" s="1"/>
  <c r="T242" i="12" s="1"/>
  <c r="S275" i="11"/>
  <c r="U275" i="11"/>
  <c r="Q242" i="12" l="1"/>
  <c r="T275" i="11"/>
  <c r="V275" i="11"/>
  <c r="Z276" i="11" l="1"/>
  <c r="EB276" i="11" s="1"/>
  <c r="R242" i="12"/>
  <c r="U242" i="12" s="1"/>
  <c r="X242" i="12" s="1"/>
  <c r="F276" i="11" l="1"/>
  <c r="AC276" i="11"/>
  <c r="ED276" i="11" l="1"/>
  <c r="EE276" i="11" s="1"/>
  <c r="E243" i="12"/>
  <c r="AE276" i="11"/>
  <c r="AF276" i="11"/>
  <c r="EG276" i="11" l="1"/>
  <c r="O276" i="11"/>
  <c r="F243" i="12" s="1"/>
  <c r="AG276" i="11"/>
  <c r="AJ276" i="11" l="1"/>
  <c r="AK276" i="11"/>
  <c r="AD276" i="11"/>
  <c r="G276" i="11"/>
  <c r="H243" i="12" s="1"/>
  <c r="G243" i="12"/>
  <c r="EK276" i="11"/>
  <c r="EJ276" i="11"/>
  <c r="EF276" i="11"/>
  <c r="AL276" i="11" l="1"/>
  <c r="EL276" i="11"/>
  <c r="K276" i="11"/>
  <c r="R276" i="11" s="1"/>
  <c r="J276" i="11"/>
  <c r="Q276" i="11" s="1"/>
  <c r="L243" i="12"/>
  <c r="O243" i="12" s="1"/>
  <c r="J243" i="12"/>
  <c r="I243" i="12"/>
  <c r="H276" i="11" l="1"/>
  <c r="I276" i="11" s="1"/>
  <c r="K243" i="12" l="1"/>
  <c r="P243" i="12"/>
  <c r="S243" i="12" s="1"/>
  <c r="T243" i="12" s="1"/>
  <c r="S276" i="11"/>
  <c r="U276" i="11"/>
  <c r="T276" i="11" l="1"/>
  <c r="Q243" i="12"/>
  <c r="V276" i="11"/>
  <c r="Z277" i="11" l="1"/>
  <c r="EB277" i="11" s="1"/>
  <c r="R243" i="12"/>
  <c r="U243" i="12" s="1"/>
  <c r="X243" i="12" s="1"/>
  <c r="F277" i="11" l="1"/>
  <c r="AC277" i="11"/>
  <c r="E244" i="12" l="1"/>
  <c r="AE277" i="11"/>
  <c r="AF277" i="11"/>
  <c r="ED277" i="11"/>
  <c r="EE277" i="11" s="1"/>
  <c r="EG277" i="11" l="1"/>
  <c r="O277" i="11"/>
  <c r="F244" i="12" s="1"/>
  <c r="G244" i="12" s="1"/>
  <c r="AG277" i="11"/>
  <c r="AD277" i="11" l="1"/>
  <c r="AK277" i="11"/>
  <c r="G277" i="11"/>
  <c r="H244" i="12" s="1"/>
  <c r="AJ277" i="11"/>
  <c r="EJ277" i="11"/>
  <c r="EK277" i="11"/>
  <c r="EF277" i="11"/>
  <c r="AL277" i="11" l="1"/>
  <c r="EL277" i="11"/>
  <c r="H277" i="11" s="1"/>
  <c r="K277" i="11"/>
  <c r="R277" i="11" s="1"/>
  <c r="J244" i="12"/>
  <c r="L244" i="12"/>
  <c r="O244" i="12" s="1"/>
  <c r="J277" i="11"/>
  <c r="Q277" i="11" s="1"/>
  <c r="I244" i="12"/>
  <c r="I277" i="11" l="1"/>
  <c r="K244" i="12"/>
  <c r="P244" i="12" l="1"/>
  <c r="S244" i="12" s="1"/>
  <c r="T244" i="12" s="1"/>
  <c r="S277" i="11"/>
  <c r="U277" i="11"/>
  <c r="V277" i="11" l="1"/>
  <c r="T277" i="11"/>
  <c r="Q244" i="12"/>
  <c r="Z278" i="11" l="1"/>
  <c r="EB278" i="11" s="1"/>
  <c r="R244" i="12"/>
  <c r="U244" i="12" s="1"/>
  <c r="X244" i="12" s="1"/>
  <c r="F278" i="11" l="1"/>
  <c r="AC278" i="11"/>
  <c r="E245" i="12" l="1"/>
  <c r="AE278" i="11"/>
  <c r="AF278" i="11"/>
  <c r="ED278" i="11"/>
  <c r="EE278" i="11" s="1"/>
  <c r="AG278" i="11" l="1"/>
  <c r="AD278" i="11" s="1"/>
  <c r="EG278" i="11"/>
  <c r="O278" i="11"/>
  <c r="F245" i="12" s="1"/>
  <c r="G245" i="12" s="1"/>
  <c r="AK278" i="11" l="1"/>
  <c r="AJ278" i="11"/>
  <c r="G278" i="11"/>
  <c r="H245" i="12" s="1"/>
  <c r="I245" i="12" s="1"/>
  <c r="EJ278" i="11"/>
  <c r="EK278" i="11"/>
  <c r="K278" i="11" s="1"/>
  <c r="R278" i="11" s="1"/>
  <c r="EF278" i="11"/>
  <c r="AL278" i="11" l="1"/>
  <c r="J278" i="11"/>
  <c r="Q278" i="11" s="1"/>
  <c r="J245" i="12"/>
  <c r="L245" i="12"/>
  <c r="O245" i="12" s="1"/>
  <c r="EL278" i="11"/>
  <c r="H278" i="11" s="1"/>
  <c r="I278" i="11" l="1"/>
  <c r="K245" i="12"/>
  <c r="P245" i="12" l="1"/>
  <c r="S245" i="12" s="1"/>
  <c r="T245" i="12" s="1"/>
  <c r="U278" i="11"/>
  <c r="S278" i="11"/>
  <c r="T278" i="11" l="1"/>
  <c r="Q245" i="12"/>
  <c r="V278" i="11"/>
  <c r="Z279" i="11" l="1"/>
  <c r="EB279" i="11" s="1"/>
  <c r="R245" i="12"/>
  <c r="U245" i="12" s="1"/>
  <c r="X245" i="12" s="1"/>
  <c r="F279" i="11" l="1"/>
  <c r="AC279" i="11"/>
  <c r="E246" i="12" l="1"/>
  <c r="AE279" i="11"/>
  <c r="AF279" i="11"/>
  <c r="ED279" i="11"/>
  <c r="EE279" i="11" s="1"/>
  <c r="EG279" i="11" l="1"/>
  <c r="O279" i="11"/>
  <c r="F246" i="12" s="1"/>
  <c r="G246" i="12" s="1"/>
  <c r="AG279" i="11"/>
  <c r="AD279" i="11" l="1"/>
  <c r="AJ279" i="11"/>
  <c r="AK279" i="11"/>
  <c r="G279" i="11"/>
  <c r="H246" i="12" s="1"/>
  <c r="EK279" i="11"/>
  <c r="EJ279" i="11"/>
  <c r="EF279" i="11"/>
  <c r="AL279" i="11" l="1"/>
  <c r="EL279" i="11"/>
  <c r="J279" i="11"/>
  <c r="Q279" i="11" s="1"/>
  <c r="K279" i="11"/>
  <c r="R279" i="11" s="1"/>
  <c r="J246" i="12"/>
  <c r="L246" i="12"/>
  <c r="O246" i="12" s="1"/>
  <c r="I246" i="12"/>
  <c r="H279" i="11" l="1"/>
  <c r="K246" i="12" s="1"/>
  <c r="I279" i="11" l="1"/>
  <c r="P246" i="12" s="1"/>
  <c r="S246" i="12" s="1"/>
  <c r="T246" i="12" s="1"/>
  <c r="S279" i="11"/>
  <c r="U279" i="11" l="1"/>
  <c r="V279" i="11" s="1"/>
  <c r="Q246" i="12"/>
  <c r="T279" i="11"/>
  <c r="Z280" i="11" l="1"/>
  <c r="EB280" i="11" s="1"/>
  <c r="R246" i="12"/>
  <c r="U246" i="12" s="1"/>
  <c r="X246" i="12" s="1"/>
  <c r="F280" i="11" l="1"/>
  <c r="AC280" i="11"/>
  <c r="E247" i="12" l="1"/>
  <c r="AE280" i="11"/>
  <c r="AF280" i="11"/>
  <c r="ED280" i="11"/>
  <c r="EE280" i="11" s="1"/>
  <c r="EG280" i="11" l="1"/>
  <c r="O280" i="11"/>
  <c r="F247" i="12" s="1"/>
  <c r="G247" i="12" s="1"/>
  <c r="AG280" i="11"/>
  <c r="AK280" i="11" l="1"/>
  <c r="AJ280" i="11"/>
  <c r="AD280" i="11"/>
  <c r="G280" i="11"/>
  <c r="H247" i="12" s="1"/>
  <c r="EJ280" i="11"/>
  <c r="EK280" i="11"/>
  <c r="EF280" i="11"/>
  <c r="AL280" i="11" l="1"/>
  <c r="EL280" i="11"/>
  <c r="L247" i="12"/>
  <c r="O247" i="12" s="1"/>
  <c r="J247" i="12"/>
  <c r="I247" i="12"/>
  <c r="H280" i="11"/>
  <c r="J280" i="11"/>
  <c r="Q280" i="11" s="1"/>
  <c r="K280" i="11"/>
  <c r="R280" i="11" s="1"/>
  <c r="I280" i="11" l="1"/>
  <c r="K247" i="12"/>
  <c r="P247" i="12" l="1"/>
  <c r="S247" i="12" s="1"/>
  <c r="T247" i="12" s="1"/>
  <c r="U280" i="11"/>
  <c r="S280" i="11"/>
  <c r="Q247" i="12" l="1"/>
  <c r="T280" i="11"/>
  <c r="V280" i="11"/>
  <c r="Z281" i="11" l="1"/>
  <c r="EB281" i="11" s="1"/>
  <c r="R247" i="12"/>
  <c r="U247" i="12" s="1"/>
  <c r="X247" i="12" s="1"/>
  <c r="F281" i="11" l="1"/>
  <c r="AC281" i="11"/>
  <c r="E248" i="12" l="1"/>
  <c r="AE281" i="11"/>
  <c r="AF281" i="11"/>
  <c r="ED281" i="11"/>
  <c r="EE281" i="11" s="1"/>
  <c r="EG281" i="11" l="1"/>
  <c r="O281" i="11"/>
  <c r="F248" i="12" s="1"/>
  <c r="G248" i="12" s="1"/>
  <c r="AG281" i="11"/>
  <c r="AJ281" i="11" l="1"/>
  <c r="AD281" i="11"/>
  <c r="G281" i="11"/>
  <c r="H248" i="12" s="1"/>
  <c r="AK281" i="11"/>
  <c r="EK281" i="11"/>
  <c r="EJ281" i="11"/>
  <c r="EF281" i="11"/>
  <c r="EL281" i="11" l="1"/>
  <c r="K281" i="11"/>
  <c r="R281" i="11" s="1"/>
  <c r="J281" i="11"/>
  <c r="Q281" i="11" s="1"/>
  <c r="AL281" i="11"/>
  <c r="J248" i="12"/>
  <c r="L248" i="12"/>
  <c r="O248" i="12" s="1"/>
  <c r="I248" i="12"/>
  <c r="H281" i="11" l="1"/>
  <c r="I281" i="11" s="1"/>
  <c r="K248" i="12" l="1"/>
  <c r="P248" i="12"/>
  <c r="S248" i="12" s="1"/>
  <c r="T248" i="12" s="1"/>
  <c r="S281" i="11"/>
  <c r="U281" i="11"/>
  <c r="V281" i="11" l="1"/>
  <c r="Q248" i="12"/>
  <c r="T281" i="11"/>
  <c r="O35" i="1" l="1"/>
  <c r="P35" i="1"/>
  <c r="G84" i="17" s="1"/>
  <c r="Z282" i="11"/>
  <c r="EB282" i="11" s="1"/>
  <c r="R248" i="12"/>
  <c r="U248" i="12" s="1"/>
  <c r="X248" i="12" s="1"/>
  <c r="F84" i="17" l="1"/>
  <c r="C36" i="17"/>
  <c r="E84" i="17"/>
  <c r="F282" i="11"/>
  <c r="AC282" i="11"/>
  <c r="ED282" i="11" l="1"/>
  <c r="EE282" i="11" s="1"/>
  <c r="E249" i="12"/>
  <c r="AE282" i="11"/>
  <c r="AF282" i="11"/>
  <c r="AG282" i="11" l="1"/>
  <c r="AK282" i="11" s="1"/>
  <c r="EG282" i="11"/>
  <c r="O282" i="11"/>
  <c r="F249" i="12" s="1"/>
  <c r="G249" i="12" s="1"/>
  <c r="AD282" i="11" l="1"/>
  <c r="AJ282" i="11"/>
  <c r="AL282" i="11" s="1"/>
  <c r="G282" i="11"/>
  <c r="H249" i="12" s="1"/>
  <c r="I249" i="12" s="1"/>
  <c r="EK282" i="11"/>
  <c r="K282" i="11" s="1"/>
  <c r="R282" i="11" s="1"/>
  <c r="EJ282" i="11"/>
  <c r="EF282" i="11"/>
  <c r="L249" i="12" l="1"/>
  <c r="O249" i="12" s="1"/>
  <c r="J249" i="12"/>
  <c r="EL282" i="11"/>
  <c r="H282" i="11" s="1"/>
  <c r="K249" i="12" s="1"/>
  <c r="J282" i="11"/>
  <c r="Q282" i="11" s="1"/>
  <c r="I282" i="11" l="1"/>
  <c r="P249" i="12" s="1"/>
  <c r="S249" i="12" s="1"/>
  <c r="T249" i="12" s="1"/>
  <c r="S282" i="11" l="1"/>
  <c r="T282" i="11" s="1"/>
  <c r="U282" i="11"/>
  <c r="V282" i="11" s="1"/>
  <c r="Q249" i="12" l="1"/>
  <c r="Z283" i="11"/>
  <c r="EB283" i="11" s="1"/>
  <c r="R249" i="12"/>
  <c r="U249" i="12" s="1"/>
  <c r="X249" i="12" s="1"/>
  <c r="F283" i="11" l="1"/>
  <c r="AC283" i="11"/>
  <c r="ED283" i="11" l="1"/>
  <c r="EE283" i="11" s="1"/>
  <c r="E250" i="12"/>
  <c r="AE283" i="11"/>
  <c r="AF283" i="11"/>
  <c r="AG283" i="11" l="1"/>
  <c r="AD283" i="11" s="1"/>
  <c r="EG283" i="11"/>
  <c r="O283" i="11"/>
  <c r="F250" i="12" s="1"/>
  <c r="G250" i="12" s="1"/>
  <c r="AK283" i="11"/>
  <c r="AJ283" i="11" l="1"/>
  <c r="AL283" i="11" s="1"/>
  <c r="G283" i="11"/>
  <c r="H250" i="12" s="1"/>
  <c r="I250" i="12" s="1"/>
  <c r="EJ283" i="11"/>
  <c r="J283" i="11" s="1"/>
  <c r="Q283" i="11" s="1"/>
  <c r="EK283" i="11"/>
  <c r="K283" i="11" s="1"/>
  <c r="R283" i="11" s="1"/>
  <c r="EF283" i="11"/>
  <c r="L250" i="12" l="1"/>
  <c r="O250" i="12" s="1"/>
  <c r="J250" i="12"/>
  <c r="EL283" i="11"/>
  <c r="H283" i="11" s="1"/>
  <c r="K250" i="12" l="1"/>
  <c r="I283" i="11"/>
  <c r="P250" i="12" l="1"/>
  <c r="S250" i="12" s="1"/>
  <c r="T250" i="12" s="1"/>
  <c r="U283" i="11"/>
  <c r="S283" i="11"/>
  <c r="Q250" i="12" l="1"/>
  <c r="T283" i="11"/>
  <c r="V283" i="11"/>
  <c r="Z284" i="11" l="1"/>
  <c r="EB284" i="11" s="1"/>
  <c r="R250" i="12"/>
  <c r="U250" i="12" s="1"/>
  <c r="X250" i="12" s="1"/>
  <c r="F284" i="11" l="1"/>
  <c r="AC284" i="11"/>
  <c r="ED284" i="11" l="1"/>
  <c r="EE284" i="11" s="1"/>
  <c r="E251" i="12"/>
  <c r="AE284" i="11"/>
  <c r="AF284" i="11"/>
  <c r="AG284" i="11" l="1"/>
  <c r="EG284" i="11"/>
  <c r="O284" i="11"/>
  <c r="F251" i="12" s="1"/>
  <c r="G251" i="12" s="1"/>
  <c r="AJ284" i="11"/>
  <c r="AK284" i="11"/>
  <c r="AD284" i="11"/>
  <c r="G284" i="11" l="1"/>
  <c r="H251" i="12" s="1"/>
  <c r="I251" i="12" s="1"/>
  <c r="AL284" i="11"/>
  <c r="EK284" i="11"/>
  <c r="K284" i="11" s="1"/>
  <c r="R284" i="11" s="1"/>
  <c r="EJ284" i="11"/>
  <c r="EF284" i="11"/>
  <c r="L251" i="12" l="1"/>
  <c r="O251" i="12" s="1"/>
  <c r="J251" i="12"/>
  <c r="EL284" i="11"/>
  <c r="H284" i="11" s="1"/>
  <c r="J284" i="11"/>
  <c r="Q284" i="11" s="1"/>
  <c r="K251" i="12" l="1"/>
  <c r="I284" i="11"/>
  <c r="P251" i="12" l="1"/>
  <c r="S251" i="12" s="1"/>
  <c r="T251" i="12" s="1"/>
  <c r="S284" i="11"/>
  <c r="U284" i="11"/>
  <c r="V284" i="11" l="1"/>
  <c r="T284" i="11"/>
  <c r="Q251" i="12"/>
  <c r="Z285" i="11" l="1"/>
  <c r="EB285" i="11" s="1"/>
  <c r="R251" i="12"/>
  <c r="U251" i="12" s="1"/>
  <c r="X251" i="12" s="1"/>
  <c r="F285" i="11" l="1"/>
  <c r="AC285" i="11"/>
  <c r="ED285" i="11" l="1"/>
  <c r="EE285" i="11" s="1"/>
  <c r="E252" i="12"/>
  <c r="AE285" i="11"/>
  <c r="AF285" i="11"/>
  <c r="EG285" i="11" l="1"/>
  <c r="O285" i="11"/>
  <c r="F252" i="12" s="1"/>
  <c r="G252" i="12" s="1"/>
  <c r="AG285" i="11"/>
  <c r="AD285" i="11" l="1"/>
  <c r="AJ285" i="11"/>
  <c r="G285" i="11"/>
  <c r="H252" i="12" s="1"/>
  <c r="I252" i="12" s="1"/>
  <c r="AK285" i="11"/>
  <c r="EK285" i="11"/>
  <c r="EJ285" i="11"/>
  <c r="EF285" i="11"/>
  <c r="AL285" i="11" l="1"/>
  <c r="EL285" i="11"/>
  <c r="J285" i="11"/>
  <c r="Q285" i="11" s="1"/>
  <c r="L252" i="12"/>
  <c r="O252" i="12" s="1"/>
  <c r="J252" i="12"/>
  <c r="K285" i="11"/>
  <c r="R285" i="11" s="1"/>
  <c r="H285" i="11" l="1"/>
  <c r="I285" i="11" s="1"/>
  <c r="K252" i="12" l="1"/>
  <c r="P252" i="12"/>
  <c r="S252" i="12" s="1"/>
  <c r="T252" i="12" s="1"/>
  <c r="U285" i="11"/>
  <c r="S285" i="11"/>
  <c r="T285" i="11" l="1"/>
  <c r="Z286" i="11" s="1"/>
  <c r="EB286" i="11" s="1"/>
  <c r="Q252" i="12"/>
  <c r="V285" i="11"/>
  <c r="R252" i="12" l="1"/>
  <c r="U252" i="12" s="1"/>
  <c r="X252" i="12" s="1"/>
  <c r="F286" i="11" l="1"/>
  <c r="AC286" i="11"/>
  <c r="ED286" i="11" l="1"/>
  <c r="EE286" i="11" s="1"/>
  <c r="E253" i="12"/>
  <c r="AE286" i="11"/>
  <c r="AF286" i="11"/>
  <c r="AG286" i="11" l="1"/>
  <c r="EG286" i="11"/>
  <c r="O286" i="11"/>
  <c r="F253" i="12" s="1"/>
  <c r="G253" i="12" s="1"/>
  <c r="G286" i="11" l="1"/>
  <c r="H253" i="12" s="1"/>
  <c r="J253" i="12" s="1"/>
  <c r="AJ286" i="11"/>
  <c r="AD286" i="11"/>
  <c r="AK286" i="11"/>
  <c r="AL286" i="11" s="1"/>
  <c r="L253" i="12"/>
  <c r="O253" i="12" s="1"/>
  <c r="I253" i="12"/>
  <c r="EK286" i="11"/>
  <c r="EJ286" i="11"/>
  <c r="EF286" i="11"/>
  <c r="K286" i="11" l="1"/>
  <c r="R286" i="11" s="1"/>
  <c r="EL286" i="11"/>
  <c r="H286" i="11" s="1"/>
  <c r="I286" i="11" s="1"/>
  <c r="J286" i="11"/>
  <c r="Q286" i="11" s="1"/>
  <c r="K253" i="12" l="1"/>
  <c r="P253" i="12"/>
  <c r="S286" i="11"/>
  <c r="U286" i="11"/>
  <c r="S253" i="12" l="1"/>
  <c r="T253" i="12" s="1"/>
  <c r="V286" i="11"/>
  <c r="T286" i="11"/>
  <c r="Z287" i="11" s="1"/>
  <c r="EB287" i="11" s="1"/>
  <c r="Q253" i="12"/>
  <c r="R253" i="12" l="1"/>
  <c r="U253" i="12" s="1"/>
  <c r="X253" i="12" s="1"/>
  <c r="F287" i="11" l="1"/>
  <c r="AC287" i="11"/>
  <c r="ED287" i="11" l="1"/>
  <c r="EE287" i="11" s="1"/>
  <c r="E254" i="12"/>
  <c r="AE287" i="11"/>
  <c r="AF287" i="11"/>
  <c r="EG287" i="11" l="1"/>
  <c r="O287" i="11"/>
  <c r="F254" i="12" s="1"/>
  <c r="G254" i="12" s="1"/>
  <c r="AG287" i="11"/>
  <c r="AK287" i="11" l="1"/>
  <c r="G287" i="11"/>
  <c r="H254" i="12" s="1"/>
  <c r="AJ287" i="11"/>
  <c r="AD287" i="11"/>
  <c r="EJ287" i="11"/>
  <c r="EK287" i="11"/>
  <c r="EF287" i="11"/>
  <c r="AL287" i="11" l="1"/>
  <c r="EL287" i="11"/>
  <c r="H287" i="11" s="1"/>
  <c r="J287" i="11"/>
  <c r="Q287" i="11" s="1"/>
  <c r="L254" i="12"/>
  <c r="O254" i="12" s="1"/>
  <c r="J254" i="12"/>
  <c r="I254" i="12"/>
  <c r="K287" i="11"/>
  <c r="R287" i="11" s="1"/>
  <c r="I287" i="11" l="1"/>
  <c r="K254" i="12"/>
  <c r="P254" i="12" l="1"/>
  <c r="S254" i="12" s="1"/>
  <c r="T254" i="12" s="1"/>
  <c r="U287" i="11"/>
  <c r="S287" i="11"/>
  <c r="T287" i="11" l="1"/>
  <c r="Z288" i="11" s="1"/>
  <c r="EB288" i="11" s="1"/>
  <c r="Q254" i="12"/>
  <c r="V287" i="11"/>
  <c r="R254" i="12" l="1"/>
  <c r="U254" i="12" s="1"/>
  <c r="X254" i="12" s="1"/>
  <c r="F288" i="11" l="1"/>
  <c r="AC288" i="11"/>
  <c r="ED288" i="11" l="1"/>
  <c r="EE288" i="11" s="1"/>
  <c r="E255" i="12"/>
  <c r="AE288" i="11"/>
  <c r="AF288" i="11"/>
  <c r="EG288" i="11" l="1"/>
  <c r="O288" i="11"/>
  <c r="F255" i="12" s="1"/>
  <c r="G255" i="12" s="1"/>
  <c r="AG288" i="11"/>
  <c r="G288" i="11" l="1"/>
  <c r="H255" i="12" s="1"/>
  <c r="AJ288" i="11"/>
  <c r="AK288" i="11"/>
  <c r="AD288" i="11"/>
  <c r="EK288" i="11"/>
  <c r="EJ288" i="11"/>
  <c r="EF288" i="11"/>
  <c r="EL288" i="11" l="1"/>
  <c r="K288" i="11"/>
  <c r="R288" i="11" s="1"/>
  <c r="J288" i="11"/>
  <c r="Q288" i="11" s="1"/>
  <c r="J255" i="12"/>
  <c r="L255" i="12"/>
  <c r="O255" i="12" s="1"/>
  <c r="I255" i="12"/>
  <c r="AL288" i="11"/>
  <c r="H288" i="11" s="1"/>
  <c r="K255" i="12" l="1"/>
  <c r="I288" i="11"/>
  <c r="P255" i="12" l="1"/>
  <c r="S255" i="12" s="1"/>
  <c r="T255" i="12" s="1"/>
  <c r="S288" i="11"/>
  <c r="U288" i="11"/>
  <c r="V288" i="11" l="1"/>
  <c r="Q255" i="12"/>
  <c r="T288" i="11"/>
  <c r="Z289" i="11" s="1"/>
  <c r="EB289" i="11" s="1"/>
  <c r="R255" i="12" l="1"/>
  <c r="U255" i="12" s="1"/>
  <c r="X255" i="12" s="1"/>
  <c r="F289" i="11" l="1"/>
  <c r="AC289" i="11"/>
  <c r="ED289" i="11" l="1"/>
  <c r="EE289" i="11" s="1"/>
  <c r="E256" i="12"/>
  <c r="AE289" i="11"/>
  <c r="AF289" i="11"/>
  <c r="EG289" i="11" l="1"/>
  <c r="O289" i="11"/>
  <c r="F256" i="12" s="1"/>
  <c r="G256" i="12" s="1"/>
  <c r="AG289" i="11"/>
  <c r="AD289" i="11" l="1"/>
  <c r="G289" i="11"/>
  <c r="H256" i="12" s="1"/>
  <c r="AK289" i="11"/>
  <c r="AJ289" i="11"/>
  <c r="EJ289" i="11"/>
  <c r="EK289" i="11"/>
  <c r="EF289" i="11"/>
  <c r="EL289" i="11" l="1"/>
  <c r="J289" i="11"/>
  <c r="Q289" i="11" s="1"/>
  <c r="K289" i="11"/>
  <c r="R289" i="11" s="1"/>
  <c r="L256" i="12"/>
  <c r="O256" i="12" s="1"/>
  <c r="J256" i="12"/>
  <c r="I256" i="12"/>
  <c r="AL289" i="11"/>
  <c r="H289" i="11" s="1"/>
  <c r="K256" i="12" l="1"/>
  <c r="I289" i="11"/>
  <c r="P256" i="12" l="1"/>
  <c r="S256" i="12" s="1"/>
  <c r="T256" i="12" s="1"/>
  <c r="U289" i="11"/>
  <c r="S289" i="11"/>
  <c r="V289" i="11" l="1"/>
  <c r="Q256" i="12"/>
  <c r="T289" i="11"/>
  <c r="Z290" i="11" s="1"/>
  <c r="EB290" i="11" s="1"/>
  <c r="R256" i="12" l="1"/>
  <c r="U256" i="12" s="1"/>
  <c r="X256" i="12" s="1"/>
  <c r="F290" i="11" l="1"/>
  <c r="AC290" i="11"/>
  <c r="ED290" i="11" l="1"/>
  <c r="EE290" i="11" s="1"/>
  <c r="E257" i="12"/>
  <c r="AE290" i="11"/>
  <c r="AF290" i="11"/>
  <c r="AG290" i="11" l="1"/>
  <c r="AJ290" i="11" s="1"/>
  <c r="EG290" i="11"/>
  <c r="G290" i="11" s="1"/>
  <c r="H257" i="12" s="1"/>
  <c r="O290" i="11"/>
  <c r="F257" i="12" s="1"/>
  <c r="G257" i="12" s="1"/>
  <c r="AK290" i="11"/>
  <c r="AD290" i="11"/>
  <c r="AL290" i="11" l="1"/>
  <c r="I257" i="12"/>
  <c r="J257" i="12"/>
  <c r="L257" i="12"/>
  <c r="O257" i="12" s="1"/>
  <c r="EK290" i="11"/>
  <c r="K290" i="11" s="1"/>
  <c r="R290" i="11" s="1"/>
  <c r="EJ290" i="11"/>
  <c r="EF290" i="11"/>
  <c r="EL290" i="11" l="1"/>
  <c r="H290" i="11" s="1"/>
  <c r="K257" i="12" s="1"/>
  <c r="J290" i="11"/>
  <c r="Q290" i="11" s="1"/>
  <c r="I290" i="11" l="1"/>
  <c r="P257" i="12" s="1"/>
  <c r="S257" i="12" s="1"/>
  <c r="T257" i="12" s="1"/>
  <c r="S290" i="11" l="1"/>
  <c r="T290" i="11" s="1"/>
  <c r="Z291" i="11" s="1"/>
  <c r="EB291" i="11" s="1"/>
  <c r="U290" i="11"/>
  <c r="V290" i="11" s="1"/>
  <c r="Q257" i="12" l="1"/>
  <c r="R257" i="12"/>
  <c r="U257" i="12" l="1"/>
  <c r="X257" i="12" s="1"/>
  <c r="F291" i="11"/>
  <c r="AC291" i="11"/>
  <c r="ED291" i="11" l="1"/>
  <c r="EE291" i="11" s="1"/>
  <c r="E258" i="12"/>
  <c r="AE291" i="11"/>
  <c r="AF291" i="11"/>
  <c r="AG291" i="11" l="1"/>
  <c r="EG291" i="11"/>
  <c r="G291" i="11" s="1"/>
  <c r="H258" i="12" s="1"/>
  <c r="O291" i="11"/>
  <c r="F258" i="12" s="1"/>
  <c r="G258" i="12" s="1"/>
  <c r="AJ291" i="11"/>
  <c r="AD291" i="11"/>
  <c r="AK291" i="11"/>
  <c r="I258" i="12" l="1"/>
  <c r="AL291" i="11"/>
  <c r="J258" i="12"/>
  <c r="L258" i="12"/>
  <c r="O258" i="12" s="1"/>
  <c r="Z28" i="12"/>
  <c r="EK291" i="11"/>
  <c r="K291" i="11" s="1"/>
  <c r="R291" i="11" s="1"/>
  <c r="EJ291" i="11"/>
  <c r="J291" i="11" s="1"/>
  <c r="Q291" i="11" s="1"/>
  <c r="EF291" i="11"/>
  <c r="AA28" i="12" l="1"/>
  <c r="AC28" i="12" s="1"/>
  <c r="AE28" i="12" s="1"/>
  <c r="AG28" i="12" s="1"/>
  <c r="AI28" i="12" s="1"/>
  <c r="AK28" i="12" s="1"/>
  <c r="AM28" i="12" s="1"/>
  <c r="AB28" i="12"/>
  <c r="AD28" i="12" s="1"/>
  <c r="AF28" i="12" s="1"/>
  <c r="AH28" i="12" s="1"/>
  <c r="AJ28" i="12" s="1"/>
  <c r="AL28" i="12" s="1"/>
  <c r="EL291" i="11"/>
  <c r="H291" i="11" s="1"/>
  <c r="K258" i="12" l="1"/>
  <c r="I291" i="11"/>
  <c r="P258" i="12" l="1"/>
  <c r="S258" i="12" s="1"/>
  <c r="T258" i="12" s="1"/>
  <c r="S291" i="11"/>
  <c r="U291" i="11"/>
  <c r="V291" i="11" l="1"/>
  <c r="T291" i="11"/>
  <c r="Q258" i="12"/>
  <c r="R258" i="12" l="1"/>
  <c r="U258" i="12" s="1"/>
  <c r="X258" i="12" s="1"/>
  <c r="Z292" i="11"/>
  <c r="F292" i="11" l="1"/>
  <c r="EB292" i="11"/>
  <c r="AC292" i="11"/>
  <c r="E259" i="12" l="1"/>
  <c r="AE292" i="11"/>
  <c r="AF292" i="11"/>
  <c r="ED292" i="11"/>
  <c r="EE292" i="11" s="1"/>
  <c r="EG292" i="11" l="1"/>
  <c r="O292" i="11"/>
  <c r="F259" i="12" s="1"/>
  <c r="G259" i="12" s="1"/>
  <c r="AG292" i="11"/>
  <c r="AJ292" i="11" l="1"/>
  <c r="AK292" i="11"/>
  <c r="AD292" i="11"/>
  <c r="G292" i="11"/>
  <c r="H259" i="12" s="1"/>
  <c r="EJ292" i="11"/>
  <c r="EK292" i="11"/>
  <c r="EF292" i="11"/>
  <c r="AL292" i="11" l="1"/>
  <c r="K292" i="11"/>
  <c r="R292" i="11" s="1"/>
  <c r="EL292" i="11"/>
  <c r="J292" i="11"/>
  <c r="Q292" i="11" s="1"/>
  <c r="L259" i="12"/>
  <c r="O259" i="12" s="1"/>
  <c r="J259" i="12"/>
  <c r="I259" i="12"/>
  <c r="H292" i="11" l="1"/>
  <c r="K259" i="12"/>
  <c r="I292" i="11"/>
  <c r="P259" i="12" l="1"/>
  <c r="S259" i="12" s="1"/>
  <c r="T259" i="12" s="1"/>
  <c r="U292" i="11"/>
  <c r="S292" i="11"/>
  <c r="V292" i="11" l="1"/>
  <c r="T292" i="11"/>
  <c r="Q259" i="12"/>
  <c r="Z293" i="11" l="1"/>
  <c r="R259" i="12"/>
  <c r="U259" i="12" s="1"/>
  <c r="X259" i="12" s="1"/>
  <c r="F293" i="11" l="1"/>
  <c r="EB293" i="11"/>
  <c r="AC293" i="11"/>
  <c r="E260" i="12" l="1"/>
  <c r="AE293" i="11"/>
  <c r="AF293" i="11"/>
  <c r="ED293" i="11"/>
  <c r="EE293" i="11" s="1"/>
  <c r="AG293" i="11" l="1"/>
  <c r="AD293" i="11" s="1"/>
  <c r="EG293" i="11"/>
  <c r="G293" i="11" s="1"/>
  <c r="H260" i="12" s="1"/>
  <c r="O293" i="11"/>
  <c r="F260" i="12" s="1"/>
  <c r="G260" i="12" s="1"/>
  <c r="AK293" i="11" l="1"/>
  <c r="AJ293" i="11"/>
  <c r="I260" i="12"/>
  <c r="L260" i="12"/>
  <c r="O260" i="12" s="1"/>
  <c r="J260" i="12"/>
  <c r="Z29" i="12"/>
  <c r="EJ293" i="11"/>
  <c r="EK293" i="11"/>
  <c r="K293" i="11" s="1"/>
  <c r="R293" i="11" s="1"/>
  <c r="EF293" i="11"/>
  <c r="AL293" i="11" l="1"/>
  <c r="EL293" i="11"/>
  <c r="AB29" i="12"/>
  <c r="AD29" i="12" s="1"/>
  <c r="AF29" i="12" s="1"/>
  <c r="AH29" i="12" s="1"/>
  <c r="AJ29" i="12" s="1"/>
  <c r="AL29" i="12" s="1"/>
  <c r="AA29" i="12"/>
  <c r="AC29" i="12" s="1"/>
  <c r="AE29" i="12" s="1"/>
  <c r="AG29" i="12" s="1"/>
  <c r="AI29" i="12" s="1"/>
  <c r="AK29" i="12" s="1"/>
  <c r="AM29" i="12" s="1"/>
  <c r="J293" i="11"/>
  <c r="Q293" i="11" s="1"/>
  <c r="H293" i="11" l="1"/>
  <c r="I293" i="11" s="1"/>
  <c r="P260" i="12" s="1"/>
  <c r="S293" i="11" l="1"/>
  <c r="T293" i="11" s="1"/>
  <c r="U293" i="11"/>
  <c r="V293" i="11" s="1"/>
  <c r="K260" i="12"/>
  <c r="S260" i="12" s="1"/>
  <c r="T260" i="12" s="1"/>
  <c r="P36" i="1" l="1"/>
  <c r="G85" i="17" s="1"/>
  <c r="O36" i="1"/>
  <c r="Q260" i="12"/>
  <c r="R260" i="12"/>
  <c r="Z294" i="11"/>
  <c r="F85" i="17" l="1"/>
  <c r="E85" i="17"/>
  <c r="U260" i="12"/>
  <c r="X260" i="12" s="1"/>
  <c r="F294" i="11"/>
  <c r="EB294" i="11"/>
  <c r="AC294" i="11"/>
  <c r="ED294" i="11" l="1"/>
  <c r="EE294" i="11" s="1"/>
  <c r="E261" i="12"/>
  <c r="AE294" i="11"/>
  <c r="AF294" i="11"/>
  <c r="AG294" i="11" l="1"/>
  <c r="AJ294" i="11" s="1"/>
  <c r="EG294" i="11"/>
  <c r="O294" i="11"/>
  <c r="F261" i="12" s="1"/>
  <c r="G261" i="12" s="1"/>
  <c r="G294" i="11" l="1"/>
  <c r="H261" i="12" s="1"/>
  <c r="AK294" i="11"/>
  <c r="AD294" i="11"/>
  <c r="L261" i="12"/>
  <c r="O261" i="12" s="1"/>
  <c r="J261" i="12"/>
  <c r="I261" i="12"/>
  <c r="AL294" i="11"/>
  <c r="EK294" i="11"/>
  <c r="K294" i="11" s="1"/>
  <c r="R294" i="11" s="1"/>
  <c r="EJ294" i="11"/>
  <c r="EF294" i="11"/>
  <c r="EL294" i="11" l="1"/>
  <c r="H294" i="11" s="1"/>
  <c r="J294" i="11"/>
  <c r="Q294" i="11" s="1"/>
  <c r="K261" i="12" l="1"/>
  <c r="I294" i="11"/>
  <c r="P261" i="12" l="1"/>
  <c r="S261" i="12" s="1"/>
  <c r="T261" i="12" s="1"/>
  <c r="S294" i="11"/>
  <c r="U294" i="11"/>
  <c r="V294" i="11" l="1"/>
  <c r="Q261" i="12"/>
  <c r="T294" i="11"/>
  <c r="R261" i="12" l="1"/>
  <c r="U261" i="12" s="1"/>
  <c r="X261" i="12" s="1"/>
  <c r="Z295" i="11"/>
  <c r="F295" i="11" l="1"/>
  <c r="EB295" i="11"/>
  <c r="AC295" i="11"/>
  <c r="E262" i="12" l="1"/>
  <c r="AE295" i="11"/>
  <c r="AF295" i="11"/>
  <c r="ED295" i="11"/>
  <c r="EE295" i="11" s="1"/>
  <c r="EG295" i="11" l="1"/>
  <c r="O295" i="11"/>
  <c r="F262" i="12" s="1"/>
  <c r="G262" i="12" s="1"/>
  <c r="AG295" i="11"/>
  <c r="AJ295" i="11" l="1"/>
  <c r="AD295" i="11"/>
  <c r="G295" i="11"/>
  <c r="H262" i="12" s="1"/>
  <c r="AK295" i="11"/>
  <c r="EJ295" i="11"/>
  <c r="EK295" i="11"/>
  <c r="EF295" i="11"/>
  <c r="K295" i="11" l="1"/>
  <c r="R295" i="11" s="1"/>
  <c r="EL295" i="11"/>
  <c r="J295" i="11"/>
  <c r="Q295" i="11" s="1"/>
  <c r="AL295" i="11"/>
  <c r="H295" i="11" s="1"/>
  <c r="L262" i="12"/>
  <c r="O262" i="12" s="1"/>
  <c r="J262" i="12"/>
  <c r="I262" i="12"/>
  <c r="I295" i="11" l="1"/>
  <c r="K262" i="12"/>
  <c r="P262" i="12" l="1"/>
  <c r="S262" i="12" s="1"/>
  <c r="T262" i="12" s="1"/>
  <c r="U295" i="11"/>
  <c r="S295" i="11"/>
  <c r="T295" i="11" l="1"/>
  <c r="Q262" i="12"/>
  <c r="V295" i="11"/>
  <c r="R262" i="12" l="1"/>
  <c r="U262" i="12" s="1"/>
  <c r="X262" i="12" s="1"/>
  <c r="Z296" i="11"/>
  <c r="F296" i="11" l="1"/>
  <c r="EB296" i="11"/>
  <c r="AC296" i="11"/>
  <c r="E263" i="12" l="1"/>
  <c r="AE296" i="11"/>
  <c r="AF296" i="11"/>
  <c r="ED296" i="11"/>
  <c r="EE296" i="11" s="1"/>
  <c r="EG296" i="11" s="1"/>
  <c r="EF296" i="11" s="1"/>
  <c r="AG296" i="11" l="1"/>
  <c r="AK296" i="11" s="1"/>
  <c r="O296" i="11"/>
  <c r="F263" i="12" s="1"/>
  <c r="G263" i="12" s="1"/>
  <c r="EJ296" i="11"/>
  <c r="EK296" i="11"/>
  <c r="AD296" i="11" l="1"/>
  <c r="AJ296" i="11"/>
  <c r="AL296" i="11" s="1"/>
  <c r="G296" i="11"/>
  <c r="H263" i="12" s="1"/>
  <c r="J263" i="12" s="1"/>
  <c r="EL296" i="11"/>
  <c r="K296" i="11"/>
  <c r="R296" i="11" s="1"/>
  <c r="J296" i="11" l="1"/>
  <c r="Q296" i="11" s="1"/>
  <c r="H296" i="11"/>
  <c r="I296" i="11" s="1"/>
  <c r="I263" i="12"/>
  <c r="L263" i="12"/>
  <c r="O263" i="12" s="1"/>
  <c r="K263" i="12" l="1"/>
  <c r="P263" i="12"/>
  <c r="S296" i="11"/>
  <c r="U296" i="11"/>
  <c r="S263" i="12" l="1"/>
  <c r="T263" i="12" s="1"/>
  <c r="V296" i="11"/>
  <c r="T296" i="11"/>
  <c r="Q263" i="12"/>
  <c r="R263" i="12" l="1"/>
  <c r="U263" i="12" s="1"/>
  <c r="X263" i="12" s="1"/>
  <c r="Z297" i="11"/>
  <c r="F297" i="11" l="1"/>
  <c r="EB297" i="11"/>
  <c r="AC297" i="11"/>
  <c r="ED297" i="11" l="1"/>
  <c r="EE297" i="11" s="1"/>
  <c r="E264" i="12"/>
  <c r="AE297" i="11"/>
  <c r="AF297" i="11"/>
  <c r="EG297" i="11" l="1"/>
  <c r="EF297" i="11" s="1"/>
  <c r="O297" i="11"/>
  <c r="F264" i="12" s="1"/>
  <c r="G264" i="12" s="1"/>
  <c r="AG297" i="11"/>
  <c r="AJ297" i="11" s="1"/>
  <c r="EJ297" i="11"/>
  <c r="EK297" i="11" l="1"/>
  <c r="AD297" i="11"/>
  <c r="G297" i="11"/>
  <c r="H264" i="12" s="1"/>
  <c r="I264" i="12" s="1"/>
  <c r="AK297" i="11"/>
  <c r="AL297" i="11" s="1"/>
  <c r="EL297" i="11"/>
  <c r="J297" i="11"/>
  <c r="Q297" i="11" l="1"/>
  <c r="J264" i="12"/>
  <c r="L264" i="12"/>
  <c r="O264" i="12" s="1"/>
  <c r="H297" i="11"/>
  <c r="K264" i="12" s="1"/>
  <c r="K297" i="11"/>
  <c r="R297" i="11" s="1"/>
  <c r="I297" i="11" l="1"/>
  <c r="P264" i="12" s="1"/>
  <c r="S264" i="12" s="1"/>
  <c r="T264" i="12" s="1"/>
  <c r="S297" i="11" l="1"/>
  <c r="Q264" i="12" s="1"/>
  <c r="U297" i="11"/>
  <c r="V297" i="11" s="1"/>
  <c r="T297" i="11" l="1"/>
  <c r="R264" i="12" l="1"/>
  <c r="U264" i="12" s="1"/>
  <c r="X264" i="12" s="1"/>
  <c r="Z298" i="11"/>
  <c r="AC298" i="11" l="1"/>
  <c r="F298" i="11"/>
  <c r="EB298" i="11"/>
  <c r="ED298" i="11" s="1"/>
  <c r="EE298" i="11" s="1"/>
  <c r="EG298" i="11" s="1"/>
  <c r="EF298" i="11" s="1"/>
  <c r="O298" i="11" l="1"/>
  <c r="EJ298" i="11"/>
  <c r="EK298" i="11"/>
  <c r="EL298" i="11" s="1"/>
  <c r="E265" i="12"/>
  <c r="AE298" i="11"/>
  <c r="AF298" i="11"/>
  <c r="AG298" i="11" l="1"/>
  <c r="AJ298" i="11" s="1"/>
  <c r="J298" i="11" s="1"/>
  <c r="AD298" i="11"/>
  <c r="AK298" i="11"/>
  <c r="K298" i="11" s="1"/>
  <c r="G298" i="11"/>
  <c r="H265" i="12" s="1"/>
  <c r="L265" i="12" s="1"/>
  <c r="O265" i="12" s="1"/>
  <c r="F265" i="12"/>
  <c r="G265" i="12" s="1"/>
  <c r="I265" i="12" l="1"/>
  <c r="AL298" i="11"/>
  <c r="H298" i="11" s="1"/>
  <c r="K265" i="12" s="1"/>
  <c r="R298" i="11"/>
  <c r="Q298" i="11"/>
  <c r="J265" i="12"/>
  <c r="I298" i="11" l="1"/>
  <c r="P265" i="12" s="1"/>
  <c r="S265" i="12" s="1"/>
  <c r="T265" i="12" s="1"/>
  <c r="U298" i="11"/>
  <c r="V298" i="11" s="1"/>
  <c r="S298" i="11"/>
  <c r="Q265" i="12" s="1"/>
  <c r="T298" i="11" l="1"/>
  <c r="R265" i="12" s="1"/>
  <c r="U265" i="12" s="1"/>
  <c r="X265" i="12" s="1"/>
  <c r="Z299" i="11"/>
  <c r="F299" i="11" l="1"/>
  <c r="EB299" i="11"/>
  <c r="AC299" i="11"/>
  <c r="ED299" i="11" l="1"/>
  <c r="EE299" i="11" s="1"/>
  <c r="E266" i="12"/>
  <c r="AE299" i="11"/>
  <c r="AF299" i="11"/>
  <c r="EG299" i="11" l="1"/>
  <c r="EF299" i="11" s="1"/>
  <c r="O299" i="11"/>
  <c r="F266" i="12" s="1"/>
  <c r="G266" i="12" s="1"/>
  <c r="AG299" i="11"/>
  <c r="AK299" i="11" s="1"/>
  <c r="EK299" i="11" l="1"/>
  <c r="K299" i="11" s="1"/>
  <c r="EJ299" i="11"/>
  <c r="AJ299" i="11"/>
  <c r="AD299" i="11"/>
  <c r="G299" i="11"/>
  <c r="H266" i="12" s="1"/>
  <c r="L266" i="12" s="1"/>
  <c r="O266" i="12" s="1"/>
  <c r="R299" i="11" l="1"/>
  <c r="EL299" i="11"/>
  <c r="J299" i="11"/>
  <c r="Q299" i="11" s="1"/>
  <c r="AL299" i="11"/>
  <c r="H299" i="11" s="1"/>
  <c r="I266" i="12"/>
  <c r="J266" i="12"/>
  <c r="K266" i="12" l="1"/>
  <c r="I299" i="11"/>
  <c r="P266" i="12" s="1"/>
  <c r="S266" i="12" s="1"/>
  <c r="T266" i="12" s="1"/>
  <c r="S299" i="11" l="1"/>
  <c r="Q266" i="12" s="1"/>
  <c r="U299" i="11"/>
  <c r="V299" i="11" s="1"/>
  <c r="T299" i="11"/>
  <c r="R266" i="12" l="1"/>
  <c r="U266" i="12" s="1"/>
  <c r="X266" i="12" s="1"/>
  <c r="Z300" i="11"/>
  <c r="F300" i="11" l="1"/>
  <c r="EB300" i="11"/>
  <c r="AC300" i="11"/>
  <c r="E267" i="12" l="1"/>
  <c r="AE300" i="11"/>
  <c r="AF300" i="11"/>
  <c r="ED300" i="11"/>
  <c r="EE300" i="11" s="1"/>
  <c r="EG300" i="11" s="1"/>
  <c r="EF300" i="11" s="1"/>
  <c r="AG300" i="11" l="1"/>
  <c r="G300" i="11" s="1"/>
  <c r="H267" i="12" s="1"/>
  <c r="O300" i="11"/>
  <c r="F267" i="12" s="1"/>
  <c r="G267" i="12" s="1"/>
  <c r="EK300" i="11"/>
  <c r="EJ300" i="11"/>
  <c r="EL300" i="11" l="1"/>
  <c r="AJ300" i="11"/>
  <c r="J300" i="11" s="1"/>
  <c r="Q300" i="11" s="1"/>
  <c r="AD300" i="11"/>
  <c r="AK300" i="11"/>
  <c r="K300" i="11" s="1"/>
  <c r="R300" i="11" s="1"/>
  <c r="L267" i="12"/>
  <c r="O267" i="12" s="1"/>
  <c r="J267" i="12"/>
  <c r="I267" i="12"/>
  <c r="AL300" i="11" l="1"/>
  <c r="H300" i="11" s="1"/>
  <c r="K267" i="12" s="1"/>
  <c r="I300" i="11" l="1"/>
  <c r="P267" i="12" s="1"/>
  <c r="S267" i="12" s="1"/>
  <c r="T267" i="12" s="1"/>
  <c r="U300" i="11" l="1"/>
  <c r="V300" i="11" s="1"/>
  <c r="S300" i="11"/>
  <c r="Q267" i="12" s="1"/>
  <c r="T300" i="11" l="1"/>
  <c r="R267" i="12" s="1"/>
  <c r="U267" i="12" s="1"/>
  <c r="X267" i="12" s="1"/>
  <c r="Z301" i="11"/>
  <c r="F301" i="11" l="1"/>
  <c r="EB301" i="11"/>
  <c r="AC301" i="11"/>
  <c r="E268" i="12" l="1"/>
  <c r="AE301" i="11"/>
  <c r="AF301" i="11"/>
  <c r="ED301" i="11"/>
  <c r="EE301" i="11" s="1"/>
  <c r="EG301" i="11" s="1"/>
  <c r="EF301" i="11" s="1"/>
  <c r="AG301" i="11" l="1"/>
  <c r="G301" i="11" s="1"/>
  <c r="H268" i="12" s="1"/>
  <c r="O301" i="11"/>
  <c r="F268" i="12" s="1"/>
  <c r="G268" i="12" s="1"/>
  <c r="EJ301" i="11"/>
  <c r="EK301" i="11"/>
  <c r="AK301" i="11"/>
  <c r="AD301" i="11"/>
  <c r="K301" i="11" l="1"/>
  <c r="R301" i="11" s="1"/>
  <c r="I268" i="12"/>
  <c r="AJ301" i="11"/>
  <c r="J301" i="11" s="1"/>
  <c r="Q301" i="11" s="1"/>
  <c r="EL301" i="11"/>
  <c r="J268" i="12"/>
  <c r="L268" i="12"/>
  <c r="O268" i="12" s="1"/>
  <c r="AL301" i="11" l="1"/>
  <c r="H301" i="11" s="1"/>
  <c r="K268" i="12" s="1"/>
  <c r="I301" i="11" l="1"/>
  <c r="P268" i="12" s="1"/>
  <c r="S268" i="12" s="1"/>
  <c r="T268" i="12" s="1"/>
  <c r="S301" i="11" l="1"/>
  <c r="Q268" i="12" s="1"/>
  <c r="U301" i="11"/>
  <c r="V301" i="11" s="1"/>
  <c r="T301" i="11" l="1"/>
  <c r="R268" i="12" s="1"/>
  <c r="U268" i="12" s="1"/>
  <c r="X268" i="12" s="1"/>
  <c r="Z302" i="11"/>
  <c r="F302" i="11" l="1"/>
  <c r="EB302" i="11"/>
  <c r="AC302" i="11"/>
  <c r="E269" i="12" l="1"/>
  <c r="AE302" i="11"/>
  <c r="AF302" i="11"/>
  <c r="ED302" i="11"/>
  <c r="EE302" i="11" s="1"/>
  <c r="EG302" i="11" s="1"/>
  <c r="EF302" i="11" s="1"/>
  <c r="AG302" i="11" l="1"/>
  <c r="AD302" i="11" s="1"/>
  <c r="EJ302" i="11"/>
  <c r="EK302" i="11"/>
  <c r="O302" i="11"/>
  <c r="F269" i="12" s="1"/>
  <c r="G269" i="12" s="1"/>
  <c r="AK302" i="11" l="1"/>
  <c r="K302" i="11" s="1"/>
  <c r="G302" i="11"/>
  <c r="H269" i="12" s="1"/>
  <c r="AJ302" i="11"/>
  <c r="J302" i="11" s="1"/>
  <c r="Q302" i="11" s="1"/>
  <c r="EL302" i="11"/>
  <c r="J269" i="12"/>
  <c r="L269" i="12"/>
  <c r="O269" i="12" s="1"/>
  <c r="I269" i="12"/>
  <c r="AL302" i="11"/>
  <c r="H302" i="11" s="1"/>
  <c r="R302" i="11" l="1"/>
  <c r="I302" i="11"/>
  <c r="K269" i="12"/>
  <c r="P269" i="12" l="1"/>
  <c r="S269" i="12" s="1"/>
  <c r="T269" i="12" s="1"/>
  <c r="S302" i="11"/>
  <c r="U302" i="11"/>
  <c r="V302" i="11" l="1"/>
  <c r="T302" i="11"/>
  <c r="Q269" i="12"/>
  <c r="R269" i="12" l="1"/>
  <c r="U269" i="12" s="1"/>
  <c r="X269" i="12" s="1"/>
  <c r="Z303" i="11"/>
  <c r="F303" i="11" l="1"/>
  <c r="EB303" i="11"/>
  <c r="AC303" i="11"/>
  <c r="ED303" i="11" l="1"/>
  <c r="EE303" i="11" s="1"/>
  <c r="E270" i="12"/>
  <c r="AE303" i="11"/>
  <c r="AF303" i="11"/>
  <c r="AG303" i="11" l="1"/>
  <c r="AK303" i="11" s="1"/>
  <c r="EG303" i="11"/>
  <c r="EF303" i="11" s="1"/>
  <c r="O303" i="11"/>
  <c r="F270" i="12" s="1"/>
  <c r="G270" i="12" s="1"/>
  <c r="AJ303" i="11"/>
  <c r="AD303" i="11"/>
  <c r="EJ303" i="11"/>
  <c r="G303" i="11" l="1"/>
  <c r="H270" i="12" s="1"/>
  <c r="I270" i="12" s="1"/>
  <c r="AL303" i="11"/>
  <c r="EK303" i="11"/>
  <c r="EL303" i="11" s="1"/>
  <c r="H303" i="11" s="1"/>
  <c r="J303" i="11"/>
  <c r="Q303" i="11" l="1"/>
  <c r="J270" i="12"/>
  <c r="L270" i="12"/>
  <c r="O270" i="12" s="1"/>
  <c r="K303" i="11"/>
  <c r="R303" i="11" s="1"/>
  <c r="K270" i="12"/>
  <c r="I303" i="11"/>
  <c r="P270" i="12" l="1"/>
  <c r="S270" i="12" s="1"/>
  <c r="T270" i="12" s="1"/>
  <c r="U303" i="11"/>
  <c r="S303" i="11"/>
  <c r="T303" i="11" l="1"/>
  <c r="Q270" i="12"/>
  <c r="V303" i="11"/>
  <c r="R270" i="12" l="1"/>
  <c r="U270" i="12" s="1"/>
  <c r="X270" i="12" s="1"/>
  <c r="Z304" i="11"/>
  <c r="F304" i="11" l="1"/>
  <c r="EB304" i="11"/>
  <c r="AC304" i="11"/>
  <c r="E271" i="12" l="1"/>
  <c r="AE304" i="11"/>
  <c r="AF304" i="11"/>
  <c r="ED304" i="11"/>
  <c r="EE304" i="11" s="1"/>
  <c r="EG304" i="11" s="1"/>
  <c r="EF304" i="11" s="1"/>
  <c r="AG304" i="11" l="1"/>
  <c r="AJ304" i="11" s="1"/>
  <c r="EK304" i="11"/>
  <c r="EJ304" i="11"/>
  <c r="O304" i="11"/>
  <c r="F271" i="12" s="1"/>
  <c r="G271" i="12" s="1"/>
  <c r="J304" i="11" l="1"/>
  <c r="AK304" i="11"/>
  <c r="K304" i="11" s="1"/>
  <c r="AD304" i="11"/>
  <c r="G304" i="11"/>
  <c r="H271" i="12" s="1"/>
  <c r="L271" i="12" s="1"/>
  <c r="O271" i="12" s="1"/>
  <c r="EL304" i="11"/>
  <c r="AL304" i="11"/>
  <c r="R304" i="11" l="1"/>
  <c r="Q304" i="11"/>
  <c r="H304" i="11"/>
  <c r="J271" i="12"/>
  <c r="I271" i="12"/>
  <c r="I304" i="11"/>
  <c r="K271" i="12"/>
  <c r="P271" i="12" l="1"/>
  <c r="S271" i="12" s="1"/>
  <c r="T271" i="12" s="1"/>
  <c r="S304" i="11"/>
  <c r="U304" i="11"/>
  <c r="V304" i="11" l="1"/>
  <c r="Q271" i="12"/>
  <c r="T304" i="11"/>
  <c r="Z305" i="11" l="1"/>
  <c r="R271" i="12"/>
  <c r="U271" i="12" s="1"/>
  <c r="X271" i="12" s="1"/>
  <c r="F305" i="11" l="1"/>
  <c r="EB305" i="11"/>
  <c r="AC305" i="11"/>
  <c r="E272" i="12" l="1"/>
  <c r="AE305" i="11"/>
  <c r="AF305" i="11"/>
  <c r="ED305" i="11"/>
  <c r="EE305" i="11" s="1"/>
  <c r="EG305" i="11" s="1"/>
  <c r="EF305" i="11" s="1"/>
  <c r="AG305" i="11" l="1"/>
  <c r="AJ305" i="11" s="1"/>
  <c r="O305" i="11"/>
  <c r="F272" i="12" s="1"/>
  <c r="G272" i="12" s="1"/>
  <c r="AD305" i="11"/>
  <c r="EK305" i="11"/>
  <c r="EJ305" i="11"/>
  <c r="G305" i="11" l="1"/>
  <c r="H272" i="12" s="1"/>
  <c r="L272" i="12" s="1"/>
  <c r="O272" i="12" s="1"/>
  <c r="AK305" i="11"/>
  <c r="AL305" i="11" s="1"/>
  <c r="EL305" i="11"/>
  <c r="J305" i="11"/>
  <c r="Q305" i="11" s="1"/>
  <c r="I272" i="12"/>
  <c r="J272" i="12" l="1"/>
  <c r="K305" i="11"/>
  <c r="R305" i="11" s="1"/>
  <c r="H305" i="11"/>
  <c r="I305" i="11" s="1"/>
  <c r="K272" i="12" l="1"/>
  <c r="P272" i="12"/>
  <c r="S272" i="12" s="1"/>
  <c r="T272" i="12" s="1"/>
  <c r="U305" i="11"/>
  <c r="S305" i="11"/>
  <c r="Q272" i="12" l="1"/>
  <c r="T305" i="11"/>
  <c r="V305" i="11"/>
  <c r="P37" i="1" l="1"/>
  <c r="G86" i="17" s="1"/>
  <c r="O37" i="1"/>
  <c r="R272" i="12"/>
  <c r="U272" i="12" s="1"/>
  <c r="X272" i="12" s="1"/>
  <c r="Z306" i="11"/>
  <c r="F86" i="17" l="1"/>
  <c r="E86" i="17"/>
  <c r="F306" i="11"/>
  <c r="EB306" i="11"/>
  <c r="AC306" i="11"/>
  <c r="ED306" i="11" l="1"/>
  <c r="EE306" i="11" s="1"/>
  <c r="E273" i="12"/>
  <c r="AE306" i="11"/>
  <c r="AF306" i="11"/>
  <c r="EG306" i="11" l="1"/>
  <c r="EF306" i="11" s="1"/>
  <c r="O306" i="11"/>
  <c r="F273" i="12" s="1"/>
  <c r="G273" i="12" s="1"/>
  <c r="AG306" i="11"/>
  <c r="AJ306" i="11" s="1"/>
  <c r="EJ306" i="11" l="1"/>
  <c r="EK306" i="11"/>
  <c r="AD306" i="11"/>
  <c r="AK306" i="11"/>
  <c r="K306" i="11" s="1"/>
  <c r="G306" i="11"/>
  <c r="H273" i="12" s="1"/>
  <c r="I273" i="12" s="1"/>
  <c r="EL306" i="11"/>
  <c r="J306" i="11"/>
  <c r="Q306" i="11" s="1"/>
  <c r="R306" i="11" l="1"/>
  <c r="AL306" i="11"/>
  <c r="H306" i="11" s="1"/>
  <c r="I306" i="11" s="1"/>
  <c r="L273" i="12"/>
  <c r="O273" i="12" s="1"/>
  <c r="J273" i="12"/>
  <c r="K273" i="12" l="1"/>
  <c r="P273" i="12"/>
  <c r="S273" i="12" s="1"/>
  <c r="T273" i="12" s="1"/>
  <c r="U306" i="11"/>
  <c r="S306" i="11"/>
  <c r="Q273" i="12" l="1"/>
  <c r="T306" i="11"/>
  <c r="V306" i="11"/>
  <c r="R273" i="12" l="1"/>
  <c r="U273" i="12" s="1"/>
  <c r="X273" i="12" s="1"/>
  <c r="Z307" i="11"/>
  <c r="F307" i="11" l="1"/>
  <c r="EB307" i="11"/>
  <c r="AC307" i="11"/>
  <c r="E274" i="12" l="1"/>
  <c r="AE307" i="11"/>
  <c r="AF307" i="11"/>
  <c r="ED307" i="11"/>
  <c r="EE307" i="11" s="1"/>
  <c r="EG307" i="11" s="1"/>
  <c r="EF307" i="11" s="1"/>
  <c r="AG307" i="11" l="1"/>
  <c r="AK307" i="11" s="1"/>
  <c r="EK307" i="11"/>
  <c r="EJ307" i="11"/>
  <c r="O307" i="11"/>
  <c r="F274" i="12" s="1"/>
  <c r="G274" i="12" s="1"/>
  <c r="K307" i="11" l="1"/>
  <c r="AD307" i="11"/>
  <c r="G307" i="11"/>
  <c r="H274" i="12" s="1"/>
  <c r="I274" i="12" s="1"/>
  <c r="AJ307" i="11"/>
  <c r="J307" i="11" s="1"/>
  <c r="Q307" i="11" s="1"/>
  <c r="EL307" i="11"/>
  <c r="J274" i="12" l="1"/>
  <c r="L274" i="12"/>
  <c r="O274" i="12" s="1"/>
  <c r="R307" i="11"/>
  <c r="AL307" i="11"/>
  <c r="H307" i="11" s="1"/>
  <c r="K274" i="12" s="1"/>
  <c r="I307" i="11" l="1"/>
  <c r="S307" i="11" s="1"/>
  <c r="P274" i="12" l="1"/>
  <c r="S274" i="12" s="1"/>
  <c r="T274" i="12" s="1"/>
  <c r="U307" i="11"/>
  <c r="V307" i="11" s="1"/>
  <c r="T307" i="11"/>
  <c r="Q274" i="12"/>
  <c r="R274" i="12" l="1"/>
  <c r="U274" i="12" s="1"/>
  <c r="X274" i="12" s="1"/>
  <c r="Z308" i="11"/>
  <c r="F308" i="11" l="1"/>
  <c r="EB308" i="11"/>
  <c r="AC308" i="11"/>
  <c r="E275" i="12" l="1"/>
  <c r="AE308" i="11"/>
  <c r="AF308" i="11"/>
  <c r="ED308" i="11"/>
  <c r="EE308" i="11" s="1"/>
  <c r="EG308" i="11" s="1"/>
  <c r="EF308" i="11" s="1"/>
  <c r="AG308" i="11" l="1"/>
  <c r="AJ308" i="11" s="1"/>
  <c r="O308" i="11"/>
  <c r="F275" i="12" s="1"/>
  <c r="EJ308" i="11"/>
  <c r="EK308" i="11"/>
  <c r="G308" i="11" l="1"/>
  <c r="H275" i="12" s="1"/>
  <c r="I275" i="12" s="1"/>
  <c r="AK308" i="11"/>
  <c r="AL308" i="11" s="1"/>
  <c r="AD308" i="11"/>
  <c r="EL308" i="11"/>
  <c r="J275" i="12"/>
  <c r="L275" i="12"/>
  <c r="O275" i="12" s="1"/>
  <c r="G275" i="12"/>
  <c r="J308" i="11"/>
  <c r="Q308" i="11" s="1"/>
  <c r="H308" i="11" l="1"/>
  <c r="I308" i="11" s="1"/>
  <c r="K308" i="11"/>
  <c r="R308" i="11" s="1"/>
  <c r="K275" i="12"/>
  <c r="P275" i="12" l="1"/>
  <c r="S275" i="12" s="1"/>
  <c r="T275" i="12" s="1"/>
  <c r="U308" i="11"/>
  <c r="S308" i="11"/>
  <c r="V308" i="11" l="1"/>
  <c r="Q275" i="12"/>
  <c r="T308" i="11"/>
  <c r="R275" i="12" l="1"/>
  <c r="U275" i="12" s="1"/>
  <c r="X275" i="12" s="1"/>
  <c r="Z309" i="11"/>
  <c r="F309" i="11" l="1"/>
  <c r="EB309" i="11"/>
  <c r="AC309" i="11"/>
  <c r="ED309" i="11" l="1"/>
  <c r="EE309" i="11" s="1"/>
  <c r="E276" i="12"/>
  <c r="AE309" i="11"/>
  <c r="AF309" i="11"/>
  <c r="AG309" i="11" l="1"/>
  <c r="EG309" i="11"/>
  <c r="EF309" i="11" s="1"/>
  <c r="O309" i="11"/>
  <c r="F276" i="12" s="1"/>
  <c r="G276" i="12" s="1"/>
  <c r="AK309" i="11"/>
  <c r="AJ309" i="11"/>
  <c r="AD309" i="11"/>
  <c r="G309" i="11"/>
  <c r="H276" i="12" s="1"/>
  <c r="EK309" i="11" l="1"/>
  <c r="K309" i="11" s="1"/>
  <c r="R309" i="11" s="1"/>
  <c r="EJ309" i="11"/>
  <c r="AL309" i="11"/>
  <c r="J276" i="12"/>
  <c r="L276" i="12"/>
  <c r="O276" i="12" s="1"/>
  <c r="I276" i="12"/>
  <c r="EL309" i="11" l="1"/>
  <c r="H309" i="11" s="1"/>
  <c r="J309" i="11"/>
  <c r="Q309" i="11" s="1"/>
  <c r="K276" i="12" l="1"/>
  <c r="I309" i="11"/>
  <c r="P276" i="12" s="1"/>
  <c r="S276" i="12" s="1"/>
  <c r="T276" i="12" s="1"/>
  <c r="S309" i="11" l="1"/>
  <c r="T309" i="11" s="1"/>
  <c r="U309" i="11"/>
  <c r="V309" i="11" s="1"/>
  <c r="Q276" i="12" l="1"/>
  <c r="R276" i="12"/>
  <c r="U276" i="12" s="1"/>
  <c r="X276" i="12" s="1"/>
  <c r="Z310" i="11"/>
  <c r="F310" i="11" l="1"/>
  <c r="EB310" i="11"/>
  <c r="AC310" i="11"/>
  <c r="ED310" i="11" l="1"/>
  <c r="EE310" i="11" s="1"/>
  <c r="E277" i="12"/>
  <c r="AE310" i="11"/>
  <c r="AF310" i="11"/>
  <c r="EG310" i="11" l="1"/>
  <c r="EF310" i="11" s="1"/>
  <c r="O310" i="11"/>
  <c r="F277" i="12" s="1"/>
  <c r="G277" i="12" s="1"/>
  <c r="AG310" i="11"/>
  <c r="EK310" i="11" l="1"/>
  <c r="EJ310" i="11"/>
  <c r="G310" i="11"/>
  <c r="H277" i="12" s="1"/>
  <c r="J277" i="12" s="1"/>
  <c r="AK310" i="11"/>
  <c r="AD310" i="11"/>
  <c r="AJ310" i="11"/>
  <c r="J310" i="11" s="1"/>
  <c r="Q310" i="11" s="1"/>
  <c r="EL310" i="11"/>
  <c r="L277" i="12"/>
  <c r="O277" i="12" s="1"/>
  <c r="I277" i="12" l="1"/>
  <c r="K310" i="11"/>
  <c r="R310" i="11" s="1"/>
  <c r="AL310" i="11"/>
  <c r="H310" i="11" s="1"/>
  <c r="I310" i="11" s="1"/>
  <c r="K277" i="12" l="1"/>
  <c r="P277" i="12"/>
  <c r="U310" i="11"/>
  <c r="S310" i="11"/>
  <c r="S277" i="12" l="1"/>
  <c r="T277" i="12" s="1"/>
  <c r="Q277" i="12"/>
  <c r="T310" i="11"/>
  <c r="V310" i="11"/>
  <c r="R277" i="12" l="1"/>
  <c r="U277" i="12" s="1"/>
  <c r="X277" i="12" s="1"/>
  <c r="Z311" i="11"/>
  <c r="F311" i="11" l="1"/>
  <c r="EB311" i="11"/>
  <c r="AC311" i="11"/>
  <c r="E278" i="12" l="1"/>
  <c r="AE311" i="11"/>
  <c r="AF311" i="11"/>
  <c r="ED311" i="11"/>
  <c r="EE311" i="11" s="1"/>
  <c r="EG311" i="11" s="1"/>
  <c r="EF311" i="11" s="1"/>
  <c r="AG311" i="11" l="1"/>
  <c r="AK311" i="11" s="1"/>
  <c r="O311" i="11"/>
  <c r="F278" i="12" s="1"/>
  <c r="G278" i="12" s="1"/>
  <c r="EK311" i="11"/>
  <c r="EJ311" i="11"/>
  <c r="EL311" i="11" l="1"/>
  <c r="K311" i="11"/>
  <c r="G311" i="11"/>
  <c r="H278" i="12" s="1"/>
  <c r="I278" i="12" s="1"/>
  <c r="AD311" i="11"/>
  <c r="AJ311" i="11"/>
  <c r="J311" i="11" s="1"/>
  <c r="Q311" i="11" s="1"/>
  <c r="J278" i="12" l="1"/>
  <c r="R311" i="11"/>
  <c r="L278" i="12"/>
  <c r="O278" i="12" s="1"/>
  <c r="AL311" i="11"/>
  <c r="H311" i="11" s="1"/>
  <c r="I311" i="11" s="1"/>
  <c r="K278" i="12" l="1"/>
  <c r="P278" i="12"/>
  <c r="S278" i="12" s="1"/>
  <c r="T278" i="12" s="1"/>
  <c r="S311" i="11"/>
  <c r="U311" i="11"/>
  <c r="V311" i="11" l="1"/>
  <c r="Q278" i="12"/>
  <c r="T311" i="11"/>
  <c r="R278" i="12" l="1"/>
  <c r="U278" i="12" s="1"/>
  <c r="X278" i="12" s="1"/>
  <c r="Z312" i="11"/>
  <c r="F312" i="11" l="1"/>
  <c r="EB312" i="11"/>
  <c r="AC312" i="11"/>
  <c r="ED312" i="11" l="1"/>
  <c r="EE312" i="11" s="1"/>
  <c r="E279" i="12"/>
  <c r="AE312" i="11"/>
  <c r="AF312" i="11"/>
  <c r="EG312" i="11" l="1"/>
  <c r="EF312" i="11" s="1"/>
  <c r="O312" i="11"/>
  <c r="F279" i="12" s="1"/>
  <c r="G279" i="12" s="1"/>
  <c r="AG312" i="11"/>
  <c r="AK312" i="11" s="1"/>
  <c r="AD312" i="11" l="1"/>
  <c r="AJ312" i="11"/>
  <c r="AL312" i="11" s="1"/>
  <c r="G312" i="11"/>
  <c r="H279" i="12" s="1"/>
  <c r="I279" i="12" s="1"/>
  <c r="EJ312" i="11"/>
  <c r="EK312" i="11"/>
  <c r="K312" i="11" s="1"/>
  <c r="R312" i="11" s="1"/>
  <c r="J312" i="11" l="1"/>
  <c r="Q312" i="11" s="1"/>
  <c r="L279" i="12"/>
  <c r="O279" i="12" s="1"/>
  <c r="EL312" i="11"/>
  <c r="H312" i="11" s="1"/>
  <c r="I312" i="11" s="1"/>
  <c r="J279" i="12"/>
  <c r="K279" i="12" l="1"/>
  <c r="P279" i="12"/>
  <c r="U312" i="11"/>
  <c r="S312" i="11"/>
  <c r="S279" i="12" l="1"/>
  <c r="T279" i="12" s="1"/>
  <c r="V312" i="11"/>
  <c r="Q279" i="12"/>
  <c r="T312" i="11"/>
  <c r="R279" i="12" l="1"/>
  <c r="U279" i="12" s="1"/>
  <c r="X279" i="12" s="1"/>
  <c r="Z313" i="11"/>
  <c r="F313" i="11" l="1"/>
  <c r="EB313" i="11"/>
  <c r="AC313" i="11"/>
  <c r="ED313" i="11" l="1"/>
  <c r="EE313" i="11" s="1"/>
  <c r="E280" i="12"/>
  <c r="AE313" i="11"/>
  <c r="AF313" i="11"/>
  <c r="EG313" i="11" l="1"/>
  <c r="EF313" i="11" s="1"/>
  <c r="O313" i="11"/>
  <c r="F280" i="12" s="1"/>
  <c r="G280" i="12" s="1"/>
  <c r="AG313" i="11"/>
  <c r="G313" i="11" s="1"/>
  <c r="H280" i="12" s="1"/>
  <c r="I280" i="12" s="1"/>
  <c r="EJ313" i="11" l="1"/>
  <c r="AD313" i="11"/>
  <c r="AJ313" i="11"/>
  <c r="J313" i="11" s="1"/>
  <c r="Q313" i="11" s="1"/>
  <c r="AK313" i="11"/>
  <c r="EK313" i="11"/>
  <c r="EL313" i="11" s="1"/>
  <c r="J280" i="12"/>
  <c r="L280" i="12"/>
  <c r="O280" i="12" s="1"/>
  <c r="AL313" i="11" l="1"/>
  <c r="H313" i="11" s="1"/>
  <c r="I313" i="11" s="1"/>
  <c r="K313" i="11"/>
  <c r="R313" i="11" s="1"/>
  <c r="K280" i="12" l="1"/>
  <c r="P280" i="12"/>
  <c r="U313" i="11"/>
  <c r="S313" i="11"/>
  <c r="S280" i="12" l="1"/>
  <c r="T280" i="12" s="1"/>
  <c r="T313" i="11"/>
  <c r="Q280" i="12"/>
  <c r="V313" i="11"/>
  <c r="R280" i="12" l="1"/>
  <c r="U280" i="12" s="1"/>
  <c r="X280" i="12" s="1"/>
  <c r="Z314" i="11"/>
  <c r="F314" i="11" l="1"/>
  <c r="EB314" i="11"/>
  <c r="AC314" i="11"/>
  <c r="E281" i="12" l="1"/>
  <c r="AE314" i="11"/>
  <c r="AF314" i="11"/>
  <c r="ED314" i="11"/>
  <c r="EE314" i="11" s="1"/>
  <c r="EG314" i="11" s="1"/>
  <c r="EF314" i="11" s="1"/>
  <c r="AG314" i="11" l="1"/>
  <c r="AK314" i="11" s="1"/>
  <c r="EK314" i="11"/>
  <c r="EJ314" i="11"/>
  <c r="O314" i="11"/>
  <c r="F281" i="12" s="1"/>
  <c r="G281" i="12" s="1"/>
  <c r="AD314" i="11" l="1"/>
  <c r="G314" i="11"/>
  <c r="H281" i="12" s="1"/>
  <c r="I281" i="12" s="1"/>
  <c r="EL314" i="11"/>
  <c r="AJ314" i="11"/>
  <c r="AL314" i="11" s="1"/>
  <c r="H314" i="11" s="1"/>
  <c r="I314" i="11" s="1"/>
  <c r="K314" i="11"/>
  <c r="R314" i="11" s="1"/>
  <c r="J281" i="12"/>
  <c r="L281" i="12" l="1"/>
  <c r="O281" i="12" s="1"/>
  <c r="J314" i="11"/>
  <c r="Q314" i="11" s="1"/>
  <c r="K281" i="12"/>
  <c r="P281" i="12"/>
  <c r="S281" i="12" s="1"/>
  <c r="T281" i="12" s="1"/>
  <c r="S314" i="11"/>
  <c r="U314" i="11"/>
  <c r="V314" i="11" l="1"/>
  <c r="Q281" i="12"/>
  <c r="T314" i="11"/>
  <c r="R281" i="12" l="1"/>
  <c r="U281" i="12" s="1"/>
  <c r="X281" i="12" s="1"/>
  <c r="Z315" i="11"/>
  <c r="F315" i="11" l="1"/>
  <c r="EB315" i="11"/>
  <c r="AC315" i="11"/>
  <c r="ED315" i="11" l="1"/>
  <c r="EE315" i="11" s="1"/>
  <c r="E282" i="12"/>
  <c r="AE315" i="11"/>
  <c r="AF315" i="11"/>
  <c r="AG315" i="11" l="1"/>
  <c r="AJ315" i="11" s="1"/>
  <c r="EG315" i="11"/>
  <c r="EF315" i="11" s="1"/>
  <c r="O315" i="11"/>
  <c r="F282" i="12" s="1"/>
  <c r="G282" i="12" s="1"/>
  <c r="AD315" i="11" l="1"/>
  <c r="AK315" i="11"/>
  <c r="AL315" i="11" s="1"/>
  <c r="G315" i="11"/>
  <c r="H282" i="12" s="1"/>
  <c r="J282" i="12" s="1"/>
  <c r="EJ315" i="11"/>
  <c r="J315" i="11" s="1"/>
  <c r="Q315" i="11" s="1"/>
  <c r="EK315" i="11"/>
  <c r="K315" i="11" s="1"/>
  <c r="R315" i="11" s="1"/>
  <c r="I282" i="12" l="1"/>
  <c r="L282" i="12"/>
  <c r="O282" i="12" s="1"/>
  <c r="EL315" i="11"/>
  <c r="H315" i="11" s="1"/>
  <c r="K282" i="12" s="1"/>
  <c r="I315" i="11" l="1"/>
  <c r="P282" i="12" s="1"/>
  <c r="S282" i="12" s="1"/>
  <c r="T282" i="12" s="1"/>
  <c r="S315" i="11" l="1"/>
  <c r="Q282" i="12" s="1"/>
  <c r="U315" i="11"/>
  <c r="V315" i="11" s="1"/>
  <c r="T315" i="11" l="1"/>
  <c r="R282" i="12" s="1"/>
  <c r="U282" i="12" s="1"/>
  <c r="X282" i="12" s="1"/>
  <c r="Z316" i="11" l="1"/>
  <c r="F316" i="11" s="1"/>
  <c r="AC316" i="11" l="1"/>
  <c r="EB316" i="11"/>
  <c r="ED316" i="11" s="1"/>
  <c r="EE316" i="11" s="1"/>
  <c r="EG316" i="11" s="1"/>
  <c r="EF316" i="11" s="1"/>
  <c r="E283" i="12"/>
  <c r="AE316" i="11"/>
  <c r="AF316" i="11"/>
  <c r="AG316" i="11" l="1"/>
  <c r="AK316" i="11" s="1"/>
  <c r="EK316" i="11"/>
  <c r="EJ316" i="11"/>
  <c r="O316" i="11"/>
  <c r="F283" i="12" s="1"/>
  <c r="G283" i="12" s="1"/>
  <c r="K316" i="11" l="1"/>
  <c r="AD316" i="11"/>
  <c r="G316" i="11"/>
  <c r="H283" i="12" s="1"/>
  <c r="L283" i="12" s="1"/>
  <c r="O283" i="12" s="1"/>
  <c r="AJ316" i="11"/>
  <c r="J316" i="11" s="1"/>
  <c r="Q316" i="11" s="1"/>
  <c r="EL316" i="11"/>
  <c r="AL316" i="11" l="1"/>
  <c r="H316" i="11" s="1"/>
  <c r="K283" i="12" s="1"/>
  <c r="I283" i="12"/>
  <c r="J283" i="12"/>
  <c r="R316" i="11"/>
  <c r="I316" i="11" l="1"/>
  <c r="P283" i="12" s="1"/>
  <c r="S283" i="12" s="1"/>
  <c r="T283" i="12" s="1"/>
  <c r="U316" i="11" l="1"/>
  <c r="V316" i="11" s="1"/>
  <c r="S316" i="11"/>
  <c r="T316" i="11" s="1"/>
  <c r="Q283" i="12" l="1"/>
  <c r="Z317" i="11"/>
  <c r="R283" i="12"/>
  <c r="U283" i="12" s="1"/>
  <c r="X283" i="12" s="1"/>
  <c r="F317" i="11" l="1"/>
  <c r="EB317" i="11"/>
  <c r="AC317" i="11"/>
  <c r="E284" i="12" l="1"/>
  <c r="AE317" i="11"/>
  <c r="AF317" i="11"/>
  <c r="ED317" i="11"/>
  <c r="EE317" i="11" s="1"/>
  <c r="EG317" i="11" s="1"/>
  <c r="EF317" i="11" s="1"/>
  <c r="AG317" i="11" l="1"/>
  <c r="AD317" i="11" s="1"/>
  <c r="EJ317" i="11"/>
  <c r="EK317" i="11"/>
  <c r="O317" i="11"/>
  <c r="F284" i="12" s="1"/>
  <c r="G284" i="12" s="1"/>
  <c r="AK317" i="11" l="1"/>
  <c r="K317" i="11" s="1"/>
  <c r="G317" i="11"/>
  <c r="H284" i="12" s="1"/>
  <c r="L284" i="12" s="1"/>
  <c r="O284" i="12" s="1"/>
  <c r="AJ317" i="11"/>
  <c r="J317" i="11" s="1"/>
  <c r="Q317" i="11" s="1"/>
  <c r="EL317" i="11"/>
  <c r="J284" i="12"/>
  <c r="I284" i="12"/>
  <c r="AL317" i="11" l="1"/>
  <c r="H317" i="11" s="1"/>
  <c r="K284" i="12" s="1"/>
  <c r="R317" i="11"/>
  <c r="I317" i="11" l="1"/>
  <c r="P284" i="12" s="1"/>
  <c r="S284" i="12" s="1"/>
  <c r="T284" i="12" s="1"/>
  <c r="S317" i="11" l="1"/>
  <c r="U317" i="11"/>
  <c r="V317" i="11" s="1"/>
  <c r="T317" i="11"/>
  <c r="Q284" i="12"/>
  <c r="O38" i="1" l="1"/>
  <c r="P38" i="1"/>
  <c r="G87" i="17" s="1"/>
  <c r="R284" i="12"/>
  <c r="U284" i="12" s="1"/>
  <c r="X284" i="12" s="1"/>
  <c r="Z318" i="11"/>
  <c r="F87" i="17" l="1"/>
  <c r="E87" i="17"/>
  <c r="F318" i="11"/>
  <c r="EB318" i="11"/>
  <c r="AC318" i="11"/>
  <c r="E285" i="12" l="1"/>
  <c r="AE318" i="11"/>
  <c r="AF318" i="11"/>
  <c r="ED318" i="11"/>
  <c r="EE318" i="11" s="1"/>
  <c r="EG318" i="11" s="1"/>
  <c r="EF318" i="11" s="1"/>
  <c r="AG318" i="11" l="1"/>
  <c r="AD318" i="11" s="1"/>
  <c r="O318" i="11"/>
  <c r="F285" i="12" s="1"/>
  <c r="G285" i="12" s="1"/>
  <c r="EK318" i="11"/>
  <c r="EJ318" i="11"/>
  <c r="AK318" i="11" l="1"/>
  <c r="G318" i="11"/>
  <c r="H285" i="12" s="1"/>
  <c r="L285" i="12" s="1"/>
  <c r="O285" i="12" s="1"/>
  <c r="AJ318" i="11"/>
  <c r="J318" i="11" s="1"/>
  <c r="Q318" i="11" s="1"/>
  <c r="EL318" i="11"/>
  <c r="K318" i="11"/>
  <c r="R318" i="11" s="1"/>
  <c r="I285" i="12" l="1"/>
  <c r="AL318" i="11"/>
  <c r="H318" i="11" s="1"/>
  <c r="I318" i="11" s="1"/>
  <c r="J285" i="12"/>
  <c r="K285" i="12" l="1"/>
  <c r="P285" i="12"/>
  <c r="S318" i="11"/>
  <c r="U318" i="11"/>
  <c r="S285" i="12" l="1"/>
  <c r="T285" i="12" s="1"/>
  <c r="V318" i="11"/>
  <c r="Q285" i="12"/>
  <c r="T318" i="11"/>
  <c r="R285" i="12" l="1"/>
  <c r="U285" i="12" s="1"/>
  <c r="X285" i="12" s="1"/>
  <c r="Z319" i="11"/>
  <c r="F319" i="11" l="1"/>
  <c r="EB319" i="11"/>
  <c r="AC319" i="11"/>
  <c r="ED319" i="11" l="1"/>
  <c r="EE319" i="11" s="1"/>
  <c r="E286" i="12"/>
  <c r="AE319" i="11"/>
  <c r="AF319" i="11"/>
  <c r="AG319" i="11" l="1"/>
  <c r="EG319" i="11"/>
  <c r="EF319" i="11" s="1"/>
  <c r="O319" i="11"/>
  <c r="F286" i="12" s="1"/>
  <c r="G286" i="12" s="1"/>
  <c r="AK319" i="11"/>
  <c r="AJ319" i="11"/>
  <c r="AD319" i="11"/>
  <c r="EK319" i="11" l="1"/>
  <c r="K319" i="11" s="1"/>
  <c r="G319" i="11"/>
  <c r="H286" i="12" s="1"/>
  <c r="J286" i="12" s="1"/>
  <c r="EJ319" i="11"/>
  <c r="EL319" i="11" s="1"/>
  <c r="AL319" i="11"/>
  <c r="I286" i="12" l="1"/>
  <c r="R319" i="11"/>
  <c r="H319" i="11"/>
  <c r="K286" i="12" s="1"/>
  <c r="L286" i="12"/>
  <c r="O286" i="12" s="1"/>
  <c r="J319" i="11"/>
  <c r="Q319" i="11" s="1"/>
  <c r="I319" i="11" l="1"/>
  <c r="P286" i="12" s="1"/>
  <c r="S286" i="12" s="1"/>
  <c r="T286" i="12" s="1"/>
  <c r="S319" i="11" l="1"/>
  <c r="Q286" i="12" s="1"/>
  <c r="U319" i="11"/>
  <c r="V319" i="11" s="1"/>
  <c r="T319" i="11"/>
  <c r="R286" i="12" l="1"/>
  <c r="U286" i="12" s="1"/>
  <c r="X286" i="12" s="1"/>
  <c r="Z320" i="11"/>
  <c r="F320" i="11" l="1"/>
  <c r="EB320" i="11"/>
  <c r="AC320" i="11"/>
  <c r="ED320" i="11" l="1"/>
  <c r="EE320" i="11" s="1"/>
  <c r="E287" i="12"/>
  <c r="AE320" i="11"/>
  <c r="AF320" i="11"/>
  <c r="EG320" i="11" l="1"/>
  <c r="EF320" i="11" s="1"/>
  <c r="O320" i="11"/>
  <c r="F287" i="12" s="1"/>
  <c r="G287" i="12" s="1"/>
  <c r="AG320" i="11"/>
  <c r="AJ320" i="11" s="1"/>
  <c r="EJ320" i="11" l="1"/>
  <c r="AK320" i="11"/>
  <c r="AL320" i="11" s="1"/>
  <c r="EK320" i="11"/>
  <c r="AD320" i="11"/>
  <c r="G320" i="11"/>
  <c r="H287" i="12" s="1"/>
  <c r="I287" i="12" s="1"/>
  <c r="J320" i="11"/>
  <c r="Q320" i="11" l="1"/>
  <c r="K320" i="11"/>
  <c r="EL320" i="11"/>
  <c r="H320" i="11" s="1"/>
  <c r="R320" i="11"/>
  <c r="J287" i="12"/>
  <c r="L287" i="12"/>
  <c r="O287" i="12" s="1"/>
  <c r="I320" i="11" l="1"/>
  <c r="P287" i="12" s="1"/>
  <c r="K287" i="12"/>
  <c r="S320" i="11" l="1"/>
  <c r="U320" i="11"/>
  <c r="V320" i="11" s="1"/>
  <c r="S287" i="12"/>
  <c r="T287" i="12" s="1"/>
  <c r="Q287" i="12"/>
  <c r="T320" i="11"/>
  <c r="R287" i="12" l="1"/>
  <c r="U287" i="12" s="1"/>
  <c r="X287" i="12" s="1"/>
  <c r="Z321" i="11"/>
  <c r="F321" i="11" l="1"/>
  <c r="EB321" i="11"/>
  <c r="AC321" i="11"/>
  <c r="E288" i="12" l="1"/>
  <c r="AE321" i="11"/>
  <c r="AF321" i="11"/>
  <c r="ED321" i="11"/>
  <c r="EE321" i="11" s="1"/>
  <c r="EG321" i="11" s="1"/>
  <c r="EF321" i="11" s="1"/>
  <c r="AG321" i="11" l="1"/>
  <c r="AJ321" i="11" s="1"/>
  <c r="EK321" i="11"/>
  <c r="EJ321" i="11"/>
  <c r="O321" i="11"/>
  <c r="F288" i="12" s="1"/>
  <c r="AK321" i="11" l="1"/>
  <c r="AL321" i="11" s="1"/>
  <c r="G321" i="11"/>
  <c r="H288" i="12" s="1"/>
  <c r="I288" i="12" s="1"/>
  <c r="AD321" i="11"/>
  <c r="EL321" i="11"/>
  <c r="G288" i="12"/>
  <c r="J321" i="11"/>
  <c r="K321" i="11" l="1"/>
  <c r="R321" i="11" s="1"/>
  <c r="H321" i="11"/>
  <c r="J288" i="12"/>
  <c r="L288" i="12"/>
  <c r="O288" i="12" s="1"/>
  <c r="Q321" i="11"/>
  <c r="K288" i="12"/>
  <c r="I321" i="11"/>
  <c r="P288" i="12" l="1"/>
  <c r="S288" i="12" s="1"/>
  <c r="T288" i="12" s="1"/>
  <c r="U321" i="11"/>
  <c r="S321" i="11"/>
  <c r="T321" i="11" l="1"/>
  <c r="Q288" i="12"/>
  <c r="V321" i="11"/>
  <c r="R288" i="12" l="1"/>
  <c r="U288" i="12" s="1"/>
  <c r="X288" i="12" s="1"/>
  <c r="Z322" i="11"/>
  <c r="F322" i="11" l="1"/>
  <c r="EB322" i="11"/>
  <c r="AC322" i="11"/>
  <c r="E289" i="12" l="1"/>
  <c r="AE322" i="11"/>
  <c r="AF322" i="11"/>
  <c r="ED322" i="11"/>
  <c r="EE322" i="11" s="1"/>
  <c r="EG322" i="11" s="1"/>
  <c r="EF322" i="11" s="1"/>
  <c r="AG322" i="11" l="1"/>
  <c r="G322" i="11" s="1"/>
  <c r="H289" i="12" s="1"/>
  <c r="EK322" i="11"/>
  <c r="EJ322" i="11"/>
  <c r="O322" i="11"/>
  <c r="F289" i="12" s="1"/>
  <c r="G289" i="12" s="1"/>
  <c r="AJ322" i="11" l="1"/>
  <c r="J322" i="11" s="1"/>
  <c r="Q322" i="11" s="1"/>
  <c r="AK322" i="11"/>
  <c r="K322" i="11" s="1"/>
  <c r="R322" i="11" s="1"/>
  <c r="AD322" i="11"/>
  <c r="EL322" i="11"/>
  <c r="J289" i="12"/>
  <c r="L289" i="12"/>
  <c r="O289" i="12" s="1"/>
  <c r="I289" i="12"/>
  <c r="AL322" i="11"/>
  <c r="H322" i="11" s="1"/>
  <c r="K289" i="12" l="1"/>
  <c r="I322" i="11"/>
  <c r="P289" i="12" l="1"/>
  <c r="S289" i="12" s="1"/>
  <c r="T289" i="12" s="1"/>
  <c r="S322" i="11"/>
  <c r="U322" i="11"/>
  <c r="V322" i="11" l="1"/>
  <c r="Q289" i="12"/>
  <c r="T322" i="11"/>
  <c r="R289" i="12" l="1"/>
  <c r="U289" i="12" s="1"/>
  <c r="X289" i="12" s="1"/>
  <c r="Z323" i="11"/>
  <c r="F323" i="11" l="1"/>
  <c r="EB323" i="11"/>
  <c r="AC323" i="11"/>
  <c r="E290" i="12" l="1"/>
  <c r="AE323" i="11"/>
  <c r="AF323" i="11"/>
  <c r="ED323" i="11"/>
  <c r="EE323" i="11" s="1"/>
  <c r="EG323" i="11" s="1"/>
  <c r="EF323" i="11" s="1"/>
  <c r="AG323" i="11" l="1"/>
  <c r="AD323" i="11" s="1"/>
  <c r="EJ323" i="11"/>
  <c r="EK323" i="11"/>
  <c r="O323" i="11"/>
  <c r="F290" i="12" s="1"/>
  <c r="G290" i="12" s="1"/>
  <c r="AK323" i="11" l="1"/>
  <c r="K323" i="11" s="1"/>
  <c r="AJ323" i="11"/>
  <c r="J323" i="11" s="1"/>
  <c r="G323" i="11"/>
  <c r="H290" i="12" s="1"/>
  <c r="L290" i="12" s="1"/>
  <c r="O290" i="12" s="1"/>
  <c r="EL323" i="11"/>
  <c r="Q323" i="11" l="1"/>
  <c r="R323" i="11"/>
  <c r="AL323" i="11"/>
  <c r="H323" i="11" s="1"/>
  <c r="K290" i="12" s="1"/>
  <c r="I290" i="12"/>
  <c r="J290" i="12"/>
  <c r="I323" i="11" l="1"/>
  <c r="P290" i="12" s="1"/>
  <c r="S290" i="12" s="1"/>
  <c r="T290" i="12" s="1"/>
  <c r="S323" i="11" l="1"/>
  <c r="T323" i="11" s="1"/>
  <c r="U323" i="11"/>
  <c r="V323" i="11" s="1"/>
  <c r="Q290" i="12" l="1"/>
  <c r="R290" i="12"/>
  <c r="Z324" i="11"/>
  <c r="U290" i="12" l="1"/>
  <c r="X290" i="12" s="1"/>
  <c r="F324" i="11"/>
  <c r="EB324" i="11"/>
  <c r="AC324" i="11"/>
  <c r="E291" i="12" l="1"/>
  <c r="AE324" i="11"/>
  <c r="AF324" i="11"/>
  <c r="ED324" i="11"/>
  <c r="EE324" i="11" s="1"/>
  <c r="EG324" i="11" s="1"/>
  <c r="EF324" i="11" s="1"/>
  <c r="AG324" i="11" l="1"/>
  <c r="AD324" i="11" s="1"/>
  <c r="EJ324" i="11"/>
  <c r="EK324" i="11"/>
  <c r="O324" i="11"/>
  <c r="F291" i="12" s="1"/>
  <c r="G324" i="11" l="1"/>
  <c r="H291" i="12" s="1"/>
  <c r="I291" i="12" s="1"/>
  <c r="AK324" i="11"/>
  <c r="K324" i="11" s="1"/>
  <c r="R324" i="11" s="1"/>
  <c r="AJ324" i="11"/>
  <c r="J324" i="11" s="1"/>
  <c r="Q324" i="11" s="1"/>
  <c r="EL324" i="11"/>
  <c r="G291" i="12"/>
  <c r="L291" i="12" l="1"/>
  <c r="O291" i="12" s="1"/>
  <c r="J291" i="12"/>
  <c r="AL324" i="11"/>
  <c r="H324" i="11" s="1"/>
  <c r="K291" i="12" s="1"/>
  <c r="I324" i="11" l="1"/>
  <c r="P291" i="12" s="1"/>
  <c r="S291" i="12" s="1"/>
  <c r="T291" i="12" s="1"/>
  <c r="U324" i="11"/>
  <c r="S324" i="11" l="1"/>
  <c r="V324" i="11"/>
  <c r="Q291" i="12"/>
  <c r="T324" i="11"/>
  <c r="R291" i="12" l="1"/>
  <c r="U291" i="12" s="1"/>
  <c r="X291" i="12" s="1"/>
  <c r="Z325" i="11"/>
  <c r="F325" i="11" l="1"/>
  <c r="EB325" i="11"/>
  <c r="AC325" i="11"/>
  <c r="E292" i="12" l="1"/>
  <c r="AE325" i="11"/>
  <c r="AF325" i="11"/>
  <c r="ED325" i="11"/>
  <c r="EE325" i="11" s="1"/>
  <c r="EG325" i="11" s="1"/>
  <c r="EF325" i="11" s="1"/>
  <c r="AG325" i="11" l="1"/>
  <c r="G325" i="11" s="1"/>
  <c r="H292" i="12" s="1"/>
  <c r="EJ325" i="11"/>
  <c r="EK325" i="11"/>
  <c r="O325" i="11"/>
  <c r="F292" i="12" s="1"/>
  <c r="AK325" i="11" l="1"/>
  <c r="K325" i="11" s="1"/>
  <c r="R325" i="11" s="1"/>
  <c r="AD325" i="11"/>
  <c r="AJ325" i="11"/>
  <c r="J325" i="11" s="1"/>
  <c r="Q325" i="11" s="1"/>
  <c r="I292" i="12"/>
  <c r="EL325" i="11"/>
  <c r="J292" i="12"/>
  <c r="L292" i="12"/>
  <c r="O292" i="12" s="1"/>
  <c r="G292" i="12"/>
  <c r="AL325" i="11" l="1"/>
  <c r="H325" i="11" s="1"/>
  <c r="K292" i="12" s="1"/>
  <c r="I325" i="11" l="1"/>
  <c r="P292" i="12" s="1"/>
  <c r="S292" i="12" s="1"/>
  <c r="T292" i="12" s="1"/>
  <c r="S325" i="11" l="1"/>
  <c r="U325" i="11"/>
  <c r="V325" i="11" s="1"/>
  <c r="T325" i="11"/>
  <c r="Q292" i="12"/>
  <c r="R292" i="12" l="1"/>
  <c r="U292" i="12" s="1"/>
  <c r="X292" i="12" s="1"/>
  <c r="Z326" i="11"/>
  <c r="F326" i="11" l="1"/>
  <c r="EB326" i="11"/>
  <c r="AC326" i="11"/>
  <c r="E293" i="12" l="1"/>
  <c r="AE326" i="11"/>
  <c r="AF326" i="11"/>
  <c r="ED326" i="11"/>
  <c r="EE326" i="11" s="1"/>
  <c r="EG326" i="11" s="1"/>
  <c r="EF326" i="11" s="1"/>
  <c r="AG326" i="11" l="1"/>
  <c r="AK326" i="11" s="1"/>
  <c r="EJ326" i="11"/>
  <c r="EK326" i="11"/>
  <c r="O326" i="11"/>
  <c r="F293" i="12" s="1"/>
  <c r="G293" i="12" s="1"/>
  <c r="AJ326" i="11" l="1"/>
  <c r="J326" i="11" s="1"/>
  <c r="AD326" i="11"/>
  <c r="G326" i="11"/>
  <c r="H293" i="12" s="1"/>
  <c r="I293" i="12" s="1"/>
  <c r="EL326" i="11"/>
  <c r="K326" i="11"/>
  <c r="AL326" i="11" l="1"/>
  <c r="J293" i="12"/>
  <c r="Q326" i="11"/>
  <c r="R326" i="11"/>
  <c r="L293" i="12"/>
  <c r="O293" i="12" s="1"/>
  <c r="H326" i="11"/>
  <c r="K293" i="12" s="1"/>
  <c r="I326" i="11" l="1"/>
  <c r="P293" i="12" s="1"/>
  <c r="S293" i="12" s="1"/>
  <c r="T293" i="12" s="1"/>
  <c r="U326" i="11" l="1"/>
  <c r="V326" i="11" s="1"/>
  <c r="S326" i="11"/>
  <c r="T326" i="11" s="1"/>
  <c r="Q293" i="12" l="1"/>
  <c r="R293" i="12"/>
  <c r="Z327" i="11"/>
  <c r="U293" i="12" l="1"/>
  <c r="X293" i="12" s="1"/>
  <c r="F327" i="11"/>
  <c r="EB327" i="11"/>
  <c r="AC327" i="11"/>
  <c r="ED327" i="11" l="1"/>
  <c r="EE327" i="11" s="1"/>
  <c r="E294" i="12"/>
  <c r="AE327" i="11"/>
  <c r="AF327" i="11"/>
  <c r="AG327" i="11" l="1"/>
  <c r="AJ327" i="11" s="1"/>
  <c r="EG327" i="11"/>
  <c r="EF327" i="11" s="1"/>
  <c r="O327" i="11"/>
  <c r="F294" i="12" s="1"/>
  <c r="G294" i="12" s="1"/>
  <c r="EJ327" i="11" l="1"/>
  <c r="AK327" i="11"/>
  <c r="AL327" i="11" s="1"/>
  <c r="G327" i="11"/>
  <c r="H294" i="12" s="1"/>
  <c r="J294" i="12" s="1"/>
  <c r="AD327" i="11"/>
  <c r="EK327" i="11"/>
  <c r="EL327" i="11" s="1"/>
  <c r="J327" i="11"/>
  <c r="L294" i="12" l="1"/>
  <c r="O294" i="12" s="1"/>
  <c r="K327" i="11"/>
  <c r="R327" i="11" s="1"/>
  <c r="I294" i="12"/>
  <c r="Q327" i="11"/>
  <c r="H327" i="11"/>
  <c r="K294" i="12" s="1"/>
  <c r="I327" i="11" l="1"/>
  <c r="P294" i="12" s="1"/>
  <c r="S294" i="12" s="1"/>
  <c r="T294" i="12" s="1"/>
  <c r="S327" i="11" l="1"/>
  <c r="T327" i="11" s="1"/>
  <c r="U327" i="11"/>
  <c r="V327" i="11" s="1"/>
  <c r="Q294" i="12" l="1"/>
  <c r="R294" i="12"/>
  <c r="U294" i="12" s="1"/>
  <c r="X294" i="12" s="1"/>
  <c r="Z328" i="11"/>
  <c r="F328" i="11" l="1"/>
  <c r="EB328" i="11"/>
  <c r="AC328" i="11"/>
  <c r="ED328" i="11" l="1"/>
  <c r="EE328" i="11" s="1"/>
  <c r="E295" i="12"/>
  <c r="AE328" i="11"/>
  <c r="AF328" i="11"/>
  <c r="AG328" i="11" l="1"/>
  <c r="AK328" i="11" s="1"/>
  <c r="EG328" i="11"/>
  <c r="EF328" i="11" s="1"/>
  <c r="O328" i="11"/>
  <c r="F295" i="12" s="1"/>
  <c r="G295" i="12" s="1"/>
  <c r="EK328" i="11" l="1"/>
  <c r="EJ328" i="11"/>
  <c r="AJ328" i="11"/>
  <c r="AL328" i="11" s="1"/>
  <c r="AD328" i="11"/>
  <c r="G328" i="11"/>
  <c r="H295" i="12" s="1"/>
  <c r="L295" i="12" s="1"/>
  <c r="O295" i="12" s="1"/>
  <c r="EL328" i="11"/>
  <c r="K328" i="11"/>
  <c r="R328" i="11" s="1"/>
  <c r="H328" i="11" l="1"/>
  <c r="K295" i="12" s="1"/>
  <c r="J295" i="12"/>
  <c r="J328" i="11"/>
  <c r="Q328" i="11" s="1"/>
  <c r="I295" i="12"/>
  <c r="I328" i="11" l="1"/>
  <c r="P295" i="12" s="1"/>
  <c r="S295" i="12" s="1"/>
  <c r="T295" i="12" s="1"/>
  <c r="U328" i="11" l="1"/>
  <c r="V328" i="11" s="1"/>
  <c r="S328" i="11"/>
  <c r="Q295" i="12" s="1"/>
  <c r="T328" i="11" l="1"/>
  <c r="R295" i="12" s="1"/>
  <c r="U295" i="12" s="1"/>
  <c r="X295" i="12" s="1"/>
  <c r="Z329" i="11"/>
  <c r="F329" i="11" l="1"/>
  <c r="EB329" i="11"/>
  <c r="AC329" i="11"/>
  <c r="ED329" i="11" l="1"/>
  <c r="EE329" i="11" s="1"/>
  <c r="E296" i="12"/>
  <c r="AE329" i="11"/>
  <c r="AF329" i="11"/>
  <c r="AG329" i="11" l="1"/>
  <c r="AD329" i="11" s="1"/>
  <c r="EG329" i="11"/>
  <c r="EF329" i="11" s="1"/>
  <c r="O329" i="11"/>
  <c r="F296" i="12" s="1"/>
  <c r="AK329" i="11"/>
  <c r="AJ329" i="11"/>
  <c r="G296" i="12"/>
  <c r="G329" i="11" l="1"/>
  <c r="H296" i="12" s="1"/>
  <c r="I296" i="12" s="1"/>
  <c r="EK329" i="11"/>
  <c r="K329" i="11" s="1"/>
  <c r="R329" i="11" s="1"/>
  <c r="EJ329" i="11"/>
  <c r="J329" i="11" s="1"/>
  <c r="Q329" i="11" s="1"/>
  <c r="AL329" i="11"/>
  <c r="J296" i="12" l="1"/>
  <c r="L296" i="12"/>
  <c r="O296" i="12" s="1"/>
  <c r="EL329" i="11"/>
  <c r="H329" i="11" s="1"/>
  <c r="I329" i="11" l="1"/>
  <c r="S329" i="11" s="1"/>
  <c r="K296" i="12"/>
  <c r="U329" i="11" l="1"/>
  <c r="V329" i="11" s="1"/>
  <c r="P296" i="12"/>
  <c r="S296" i="12" s="1"/>
  <c r="T296" i="12" s="1"/>
  <c r="Q296" i="12"/>
  <c r="T329" i="11"/>
  <c r="O39" i="1" l="1"/>
  <c r="P39" i="1"/>
  <c r="G88" i="17" s="1"/>
  <c r="R296" i="12"/>
  <c r="U296" i="12" s="1"/>
  <c r="X296" i="12" s="1"/>
  <c r="Z330" i="11"/>
  <c r="F88" i="17" l="1"/>
  <c r="E88" i="17"/>
  <c r="F330" i="11"/>
  <c r="EB330" i="11"/>
  <c r="AC330" i="11"/>
  <c r="E297" i="12" l="1"/>
  <c r="AE330" i="11"/>
  <c r="AF330" i="11"/>
  <c r="ED330" i="11"/>
  <c r="EE330" i="11" s="1"/>
  <c r="EG330" i="11" s="1"/>
  <c r="EF330" i="11" s="1"/>
  <c r="AG330" i="11" l="1"/>
  <c r="EK330" i="11"/>
  <c r="EJ330" i="11"/>
  <c r="AK330" i="11"/>
  <c r="K330" i="11" s="1"/>
  <c r="G330" i="11"/>
  <c r="H297" i="12" s="1"/>
  <c r="AJ330" i="11"/>
  <c r="J330" i="11" s="1"/>
  <c r="Q330" i="11" s="1"/>
  <c r="AD330" i="11"/>
  <c r="O330" i="11"/>
  <c r="F297" i="12" s="1"/>
  <c r="I297" i="12" s="1"/>
  <c r="EL330" i="11" l="1"/>
  <c r="R330" i="11"/>
  <c r="L297" i="12"/>
  <c r="O297" i="12" s="1"/>
  <c r="J297" i="12"/>
  <c r="G297" i="12"/>
  <c r="AL330" i="11"/>
  <c r="H330" i="11" s="1"/>
  <c r="I330" i="11" l="1"/>
  <c r="K297" i="12"/>
  <c r="P297" i="12" l="1"/>
  <c r="S297" i="12" s="1"/>
  <c r="T297" i="12" s="1"/>
  <c r="S330" i="11"/>
  <c r="U330" i="11"/>
  <c r="V330" i="11" l="1"/>
  <c r="Q297" i="12"/>
  <c r="T330" i="11"/>
  <c r="R297" i="12" l="1"/>
  <c r="U297" i="12" s="1"/>
  <c r="X297" i="12" s="1"/>
  <c r="Z331" i="11"/>
  <c r="F331" i="11" l="1"/>
  <c r="EB331" i="11"/>
  <c r="AC331" i="11"/>
  <c r="E298" i="12" l="1"/>
  <c r="AE331" i="11"/>
  <c r="AF331" i="11"/>
  <c r="ED331" i="11"/>
  <c r="EE331" i="11" s="1"/>
  <c r="EG331" i="11" s="1"/>
  <c r="EF331" i="11" s="1"/>
  <c r="AG331" i="11" l="1"/>
  <c r="AJ331" i="11" s="1"/>
  <c r="EK331" i="11"/>
  <c r="EJ331" i="11"/>
  <c r="O331" i="11"/>
  <c r="F298" i="12" s="1"/>
  <c r="G298" i="12" s="1"/>
  <c r="G331" i="11" l="1"/>
  <c r="H298" i="12" s="1"/>
  <c r="EL331" i="11"/>
  <c r="AD331" i="11"/>
  <c r="AK331" i="11"/>
  <c r="AL331" i="11" s="1"/>
  <c r="H331" i="11" s="1"/>
  <c r="J298" i="12"/>
  <c r="L298" i="12"/>
  <c r="O298" i="12" s="1"/>
  <c r="I298" i="12"/>
  <c r="J331" i="11"/>
  <c r="Q331" i="11" s="1"/>
  <c r="K331" i="11" l="1"/>
  <c r="R331" i="11" s="1"/>
  <c r="K298" i="12"/>
  <c r="I331" i="11"/>
  <c r="P298" i="12" l="1"/>
  <c r="S298" i="12" s="1"/>
  <c r="T298" i="12" s="1"/>
  <c r="S331" i="11"/>
  <c r="U331" i="11"/>
  <c r="V331" i="11" l="1"/>
  <c r="Q298" i="12"/>
  <c r="T331" i="11"/>
  <c r="R298" i="12" l="1"/>
  <c r="U298" i="12" s="1"/>
  <c r="X298" i="12" s="1"/>
  <c r="Z332" i="11"/>
  <c r="F332" i="11" l="1"/>
  <c r="EB332" i="11"/>
  <c r="AC332" i="11"/>
  <c r="E299" i="12" l="1"/>
  <c r="AE332" i="11"/>
  <c r="AF332" i="11"/>
  <c r="ED332" i="11"/>
  <c r="EE332" i="11" s="1"/>
  <c r="EG332" i="11" s="1"/>
  <c r="EF332" i="11" s="1"/>
  <c r="AG332" i="11" l="1"/>
  <c r="G332" i="11" s="1"/>
  <c r="H299" i="12" s="1"/>
  <c r="O332" i="11"/>
  <c r="F299" i="12" s="1"/>
  <c r="G299" i="12" s="1"/>
  <c r="EJ332" i="11"/>
  <c r="EK332" i="11"/>
  <c r="AD332" i="11" l="1"/>
  <c r="AJ332" i="11"/>
  <c r="J332" i="11" s="1"/>
  <c r="Q332" i="11" s="1"/>
  <c r="AK332" i="11"/>
  <c r="K332" i="11" s="1"/>
  <c r="R332" i="11" s="1"/>
  <c r="I299" i="12"/>
  <c r="EL332" i="11"/>
  <c r="L299" i="12"/>
  <c r="O299" i="12" s="1"/>
  <c r="J299" i="12"/>
  <c r="AL332" i="11" l="1"/>
  <c r="H332" i="11" s="1"/>
  <c r="K299" i="12" s="1"/>
  <c r="I332" i="11" l="1"/>
  <c r="P299" i="12" s="1"/>
  <c r="S299" i="12" s="1"/>
  <c r="T299" i="12" s="1"/>
  <c r="U332" i="11"/>
  <c r="S332" i="11"/>
  <c r="Q299" i="12" l="1"/>
  <c r="T332" i="11"/>
  <c r="V332" i="11"/>
  <c r="R299" i="12" l="1"/>
  <c r="U299" i="12" s="1"/>
  <c r="X299" i="12" s="1"/>
  <c r="Z333" i="11"/>
  <c r="F333" i="11" l="1"/>
  <c r="EB333" i="11"/>
  <c r="AC333" i="11"/>
  <c r="ED333" i="11" l="1"/>
  <c r="EE333" i="11" s="1"/>
  <c r="E300" i="12"/>
  <c r="AE333" i="11"/>
  <c r="AF333" i="11"/>
  <c r="AG333" i="11" l="1"/>
  <c r="AD333" i="11" s="1"/>
  <c r="EG333" i="11"/>
  <c r="EF333" i="11" s="1"/>
  <c r="O333" i="11"/>
  <c r="F300" i="12" s="1"/>
  <c r="G300" i="12" s="1"/>
  <c r="AK333" i="11"/>
  <c r="AJ333" i="11"/>
  <c r="G333" i="11"/>
  <c r="H300" i="12" s="1"/>
  <c r="EK333" i="11"/>
  <c r="AL333" i="11" l="1"/>
  <c r="EJ333" i="11"/>
  <c r="EL333" i="11" s="1"/>
  <c r="K333" i="11"/>
  <c r="R333" i="11" s="1"/>
  <c r="J300" i="12"/>
  <c r="L300" i="12"/>
  <c r="O300" i="12" s="1"/>
  <c r="I300" i="12"/>
  <c r="H333" i="11" l="1"/>
  <c r="J333" i="11"/>
  <c r="Q333" i="11" s="1"/>
  <c r="K300" i="12"/>
  <c r="I333" i="11"/>
  <c r="P300" i="12" s="1"/>
  <c r="S300" i="12" l="1"/>
  <c r="T300" i="12" s="1"/>
  <c r="U333" i="11"/>
  <c r="V333" i="11" s="1"/>
  <c r="S333" i="11"/>
  <c r="T333" i="11" s="1"/>
  <c r="Q300" i="12" l="1"/>
  <c r="R300" i="12"/>
  <c r="Z334" i="11"/>
  <c r="U300" i="12" l="1"/>
  <c r="X300" i="12" s="1"/>
  <c r="F334" i="11"/>
  <c r="EB334" i="11"/>
  <c r="AC334" i="11"/>
  <c r="ED334" i="11" l="1"/>
  <c r="EE334" i="11" s="1"/>
  <c r="E301" i="12"/>
  <c r="AE334" i="11"/>
  <c r="AF334" i="11"/>
  <c r="EG334" i="11" l="1"/>
  <c r="EF334" i="11" s="1"/>
  <c r="O334" i="11"/>
  <c r="F301" i="12" s="1"/>
  <c r="G301" i="12" s="1"/>
  <c r="AG334" i="11"/>
  <c r="AK334" i="11" s="1"/>
  <c r="EJ334" i="11"/>
  <c r="EK334" i="11"/>
  <c r="AD334" i="11" l="1"/>
  <c r="AJ334" i="11"/>
  <c r="AL334" i="11" s="1"/>
  <c r="G334" i="11"/>
  <c r="H301" i="12" s="1"/>
  <c r="L301" i="12" s="1"/>
  <c r="O301" i="12" s="1"/>
  <c r="EL334" i="11"/>
  <c r="K334" i="11"/>
  <c r="J334" i="11" l="1"/>
  <c r="Q334" i="11" s="1"/>
  <c r="H334" i="11"/>
  <c r="J301" i="12"/>
  <c r="I301" i="12"/>
  <c r="R334" i="11"/>
  <c r="K301" i="12"/>
  <c r="I334" i="11"/>
  <c r="P301" i="12" l="1"/>
  <c r="S301" i="12" s="1"/>
  <c r="T301" i="12" s="1"/>
  <c r="U334" i="11"/>
  <c r="S334" i="11"/>
  <c r="Q301" i="12" l="1"/>
  <c r="T334" i="11"/>
  <c r="V334" i="11"/>
  <c r="R301" i="12" l="1"/>
  <c r="U301" i="12" s="1"/>
  <c r="X301" i="12" s="1"/>
  <c r="Z335" i="11"/>
  <c r="F335" i="11" l="1"/>
  <c r="EB335" i="11"/>
  <c r="AC335" i="11"/>
  <c r="ED335" i="11" l="1"/>
  <c r="EE335" i="11" s="1"/>
  <c r="E302" i="12"/>
  <c r="AE335" i="11"/>
  <c r="AF335" i="11"/>
  <c r="AG335" i="11" l="1"/>
  <c r="AJ335" i="11" s="1"/>
  <c r="EG335" i="11"/>
  <c r="EF335" i="11" s="1"/>
  <c r="O335" i="11"/>
  <c r="F302" i="12" s="1"/>
  <c r="G302" i="12" s="1"/>
  <c r="AK335" i="11"/>
  <c r="AD335" i="11"/>
  <c r="G335" i="11"/>
  <c r="H302" i="12" s="1"/>
  <c r="EJ335" i="11" l="1"/>
  <c r="AL335" i="11"/>
  <c r="EK335" i="11"/>
  <c r="EL335" i="11" s="1"/>
  <c r="H335" i="11" s="1"/>
  <c r="L302" i="12"/>
  <c r="O302" i="12" s="1"/>
  <c r="J302" i="12"/>
  <c r="I302" i="12"/>
  <c r="J335" i="11"/>
  <c r="Q335" i="11" s="1"/>
  <c r="K335" i="11" l="1"/>
  <c r="R335" i="11" s="1"/>
  <c r="I335" i="11"/>
  <c r="K302" i="12"/>
  <c r="P302" i="12" l="1"/>
  <c r="S302" i="12" s="1"/>
  <c r="T302" i="12" s="1"/>
  <c r="S335" i="11"/>
  <c r="U335" i="11"/>
  <c r="Q302" i="12" l="1"/>
  <c r="T335" i="11"/>
  <c r="V335" i="11"/>
  <c r="R302" i="12" l="1"/>
  <c r="U302" i="12" s="1"/>
  <c r="X302" i="12" s="1"/>
  <c r="Z336" i="11"/>
  <c r="F336" i="11" l="1"/>
  <c r="EB336" i="11"/>
  <c r="AC336" i="11"/>
  <c r="E303" i="12" l="1"/>
  <c r="AE336" i="11"/>
  <c r="AF336" i="11"/>
  <c r="ED336" i="11"/>
  <c r="EE336" i="11" s="1"/>
  <c r="EG336" i="11" s="1"/>
  <c r="EF336" i="11" s="1"/>
  <c r="AG336" i="11" l="1"/>
  <c r="AK336" i="11" s="1"/>
  <c r="EJ336" i="11"/>
  <c r="EK336" i="11"/>
  <c r="O336" i="11"/>
  <c r="F303" i="12" s="1"/>
  <c r="AD336" i="11" l="1"/>
  <c r="AJ336" i="11"/>
  <c r="AL336" i="11" s="1"/>
  <c r="EL336" i="11"/>
  <c r="G336" i="11"/>
  <c r="H303" i="12" s="1"/>
  <c r="I303" i="12" s="1"/>
  <c r="G303" i="12"/>
  <c r="K336" i="11"/>
  <c r="H336" i="11" l="1"/>
  <c r="J336" i="11"/>
  <c r="Q336" i="11" s="1"/>
  <c r="L303" i="12"/>
  <c r="O303" i="12" s="1"/>
  <c r="J303" i="12"/>
  <c r="R336" i="11"/>
  <c r="K303" i="12"/>
  <c r="I336" i="11"/>
  <c r="P303" i="12" l="1"/>
  <c r="S303" i="12" s="1"/>
  <c r="T303" i="12" s="1"/>
  <c r="S336" i="11"/>
  <c r="U336" i="11"/>
  <c r="V336" i="11" l="1"/>
  <c r="Q303" i="12"/>
  <c r="T336" i="11"/>
  <c r="R303" i="12" l="1"/>
  <c r="U303" i="12" s="1"/>
  <c r="X303" i="12" s="1"/>
  <c r="Z337" i="11"/>
  <c r="F337" i="11" l="1"/>
  <c r="EB337" i="11"/>
  <c r="AC337" i="11"/>
  <c r="E304" i="12" l="1"/>
  <c r="AE337" i="11"/>
  <c r="AF337" i="11"/>
  <c r="ED337" i="11"/>
  <c r="EE337" i="11" s="1"/>
  <c r="EG337" i="11" s="1"/>
  <c r="EF337" i="11" s="1"/>
  <c r="AG337" i="11" l="1"/>
  <c r="EK337" i="11"/>
  <c r="EJ337" i="11"/>
  <c r="AK337" i="11"/>
  <c r="K337" i="11" s="1"/>
  <c r="G337" i="11"/>
  <c r="H304" i="12" s="1"/>
  <c r="AJ337" i="11"/>
  <c r="J337" i="11" s="1"/>
  <c r="AD337" i="11"/>
  <c r="O337" i="11"/>
  <c r="F304" i="12" s="1"/>
  <c r="G304" i="12" s="1"/>
  <c r="EL337" i="11" l="1"/>
  <c r="R337" i="11"/>
  <c r="L304" i="12"/>
  <c r="O304" i="12" s="1"/>
  <c r="J304" i="12"/>
  <c r="AL337" i="11"/>
  <c r="H337" i="11" s="1"/>
  <c r="I304" i="12"/>
  <c r="Q337" i="11"/>
  <c r="K304" i="12" l="1"/>
  <c r="I337" i="11"/>
  <c r="P304" i="12" l="1"/>
  <c r="S304" i="12" s="1"/>
  <c r="T304" i="12" s="1"/>
  <c r="U337" i="11"/>
  <c r="S337" i="11"/>
  <c r="T337" i="11" l="1"/>
  <c r="Q304" i="12"/>
  <c r="V337" i="11"/>
  <c r="R304" i="12" l="1"/>
  <c r="U304" i="12" s="1"/>
  <c r="X304" i="12" s="1"/>
  <c r="Z338" i="11"/>
  <c r="F338" i="11" l="1"/>
  <c r="EB338" i="11"/>
  <c r="AC338" i="11"/>
  <c r="ED338" i="11" l="1"/>
  <c r="EE338" i="11" s="1"/>
  <c r="E305" i="12"/>
  <c r="AF338" i="11"/>
  <c r="AE338" i="11"/>
  <c r="AG338" i="11" l="1"/>
  <c r="EG338" i="11"/>
  <c r="EF338" i="11" s="1"/>
  <c r="O338" i="11"/>
  <c r="F305" i="12" s="1"/>
  <c r="G305" i="12" s="1"/>
  <c r="AK338" i="11"/>
  <c r="AD338" i="11"/>
  <c r="AJ338" i="11"/>
  <c r="AL338" i="11" s="1"/>
  <c r="EK338" i="11"/>
  <c r="G338" i="11" l="1"/>
  <c r="H305" i="12" s="1"/>
  <c r="I305" i="12" s="1"/>
  <c r="EJ338" i="11"/>
  <c r="EL338" i="11" s="1"/>
  <c r="H338" i="11" s="1"/>
  <c r="J305" i="12"/>
  <c r="L305" i="12"/>
  <c r="O305" i="12" s="1"/>
  <c r="K338" i="11"/>
  <c r="R338" i="11" s="1"/>
  <c r="J338" i="11" l="1"/>
  <c r="Q338" i="11" s="1"/>
  <c r="I338" i="11"/>
  <c r="K305" i="12"/>
  <c r="P305" i="12" l="1"/>
  <c r="S305" i="12" s="1"/>
  <c r="T305" i="12" s="1"/>
  <c r="S338" i="11"/>
  <c r="U338" i="11"/>
  <c r="V338" i="11" l="1"/>
  <c r="T338" i="11"/>
  <c r="Q305" i="12"/>
  <c r="R305" i="12" l="1"/>
  <c r="U305" i="12" s="1"/>
  <c r="X305" i="12" s="1"/>
  <c r="Z339" i="11"/>
  <c r="F339" i="11" l="1"/>
  <c r="EB339" i="11"/>
  <c r="AC339" i="11"/>
  <c r="ED339" i="11" l="1"/>
  <c r="EE339" i="11" s="1"/>
  <c r="E306" i="12"/>
  <c r="AE339" i="11"/>
  <c r="AF339" i="11"/>
  <c r="AG339" i="11" l="1"/>
  <c r="AK339" i="11" s="1"/>
  <c r="EG339" i="11"/>
  <c r="EF339" i="11" s="1"/>
  <c r="O339" i="11"/>
  <c r="F306" i="12" s="1"/>
  <c r="G306" i="12" s="1"/>
  <c r="AD339" i="11" l="1"/>
  <c r="G339" i="11"/>
  <c r="H306" i="12" s="1"/>
  <c r="L306" i="12" s="1"/>
  <c r="O306" i="12" s="1"/>
  <c r="AJ339" i="11"/>
  <c r="AL339" i="11" s="1"/>
  <c r="EJ339" i="11"/>
  <c r="EK339" i="11"/>
  <c r="K339" i="11" s="1"/>
  <c r="R339" i="11" s="1"/>
  <c r="I306" i="12" l="1"/>
  <c r="J306" i="12"/>
  <c r="EL339" i="11"/>
  <c r="H339" i="11" s="1"/>
  <c r="K306" i="12" s="1"/>
  <c r="J339" i="11"/>
  <c r="Q339" i="11" s="1"/>
  <c r="I339" i="11" l="1"/>
  <c r="P306" i="12" s="1"/>
  <c r="S306" i="12" s="1"/>
  <c r="T306" i="12" s="1"/>
  <c r="S339" i="11" l="1"/>
  <c r="T339" i="11" s="1"/>
  <c r="U339" i="11"/>
  <c r="V339" i="11" s="1"/>
  <c r="Q306" i="12" l="1"/>
  <c r="R306" i="12"/>
  <c r="U306" i="12" s="1"/>
  <c r="X306" i="12" s="1"/>
  <c r="Z340" i="11"/>
  <c r="F340" i="11" l="1"/>
  <c r="EB340" i="11"/>
  <c r="AC340" i="11"/>
  <c r="ED340" i="11" l="1"/>
  <c r="EE340" i="11" s="1"/>
  <c r="E307" i="12"/>
  <c r="AE340" i="11"/>
  <c r="AF340" i="11"/>
  <c r="EG340" i="11" l="1"/>
  <c r="EF340" i="11" s="1"/>
  <c r="O340" i="11"/>
  <c r="F307" i="12" s="1"/>
  <c r="G307" i="12" s="1"/>
  <c r="AG340" i="11"/>
  <c r="G340" i="11" s="1"/>
  <c r="H307" i="12" s="1"/>
  <c r="EK340" i="11"/>
  <c r="EJ340" i="11"/>
  <c r="AJ340" i="11" l="1"/>
  <c r="J340" i="11" s="1"/>
  <c r="Q340" i="11" s="1"/>
  <c r="AK340" i="11"/>
  <c r="K340" i="11" s="1"/>
  <c r="R340" i="11" s="1"/>
  <c r="AD340" i="11"/>
  <c r="EL340" i="11"/>
  <c r="J307" i="12"/>
  <c r="L307" i="12"/>
  <c r="O307" i="12" s="1"/>
  <c r="I307" i="12"/>
  <c r="AL340" i="11" l="1"/>
  <c r="H340" i="11" s="1"/>
  <c r="K307" i="12" s="1"/>
  <c r="I340" i="11" l="1"/>
  <c r="P307" i="12" s="1"/>
  <c r="S307" i="12" s="1"/>
  <c r="T307" i="12" s="1"/>
  <c r="U340" i="11" l="1"/>
  <c r="V340" i="11" s="1"/>
  <c r="S340" i="11"/>
  <c r="Q307" i="12" s="1"/>
  <c r="T340" i="11" l="1"/>
  <c r="R307" i="12" s="1"/>
  <c r="U307" i="12" s="1"/>
  <c r="X307" i="12" s="1"/>
  <c r="Z341" i="11" l="1"/>
  <c r="F341" i="11" s="1"/>
  <c r="EB341" i="11"/>
  <c r="AC341" i="11" l="1"/>
  <c r="ED341" i="11"/>
  <c r="EE341" i="11" s="1"/>
  <c r="E308" i="12"/>
  <c r="AE341" i="11"/>
  <c r="AF341" i="11"/>
  <c r="EG341" i="11" l="1"/>
  <c r="EF341" i="11" s="1"/>
  <c r="O341" i="11"/>
  <c r="F308" i="12" s="1"/>
  <c r="G308" i="12" s="1"/>
  <c r="AG341" i="11"/>
  <c r="AJ341" i="11" s="1"/>
  <c r="EJ341" i="11" l="1"/>
  <c r="EK341" i="11"/>
  <c r="AD341" i="11"/>
  <c r="AK341" i="11"/>
  <c r="AL341" i="11" s="1"/>
  <c r="G341" i="11"/>
  <c r="H308" i="12" s="1"/>
  <c r="I308" i="12" s="1"/>
  <c r="EL341" i="11" l="1"/>
  <c r="J341" i="11"/>
  <c r="L308" i="12"/>
  <c r="O308" i="12" s="1"/>
  <c r="J308" i="12"/>
  <c r="Q341" i="11"/>
  <c r="H341" i="11"/>
  <c r="K308" i="12" s="1"/>
  <c r="K341" i="11"/>
  <c r="R341" i="11" s="1"/>
  <c r="I341" i="11" l="1"/>
  <c r="P308" i="12" s="1"/>
  <c r="S308" i="12" s="1"/>
  <c r="T308" i="12" s="1"/>
  <c r="S341" i="11" l="1"/>
  <c r="Q308" i="12" s="1"/>
  <c r="U341" i="11"/>
  <c r="V341" i="11" s="1"/>
  <c r="T341" i="11"/>
  <c r="O40" i="1" l="1"/>
  <c r="P40" i="1"/>
  <c r="G89" i="17" s="1"/>
  <c r="R308" i="12"/>
  <c r="U308" i="12" s="1"/>
  <c r="X308" i="12" s="1"/>
  <c r="Z342" i="11"/>
  <c r="F89" i="17" l="1"/>
  <c r="E89" i="17"/>
  <c r="F36" i="17"/>
  <c r="F342" i="11"/>
  <c r="EB342" i="11"/>
  <c r="AC342" i="11"/>
  <c r="ED342" i="11" l="1"/>
  <c r="EE342" i="11" s="1"/>
  <c r="E309" i="12"/>
  <c r="AE342" i="11"/>
  <c r="AF342" i="11"/>
  <c r="AG342" i="11" l="1"/>
  <c r="EG342" i="11"/>
  <c r="EF342" i="11" s="1"/>
  <c r="O342" i="11"/>
  <c r="F309" i="12" s="1"/>
  <c r="G309" i="12" s="1"/>
  <c r="EJ342" i="11" l="1"/>
  <c r="G342" i="11"/>
  <c r="H309" i="12" s="1"/>
  <c r="I309" i="12" s="1"/>
  <c r="AD342" i="11"/>
  <c r="AK342" i="11"/>
  <c r="AJ342" i="11"/>
  <c r="EK342" i="11"/>
  <c r="EL342" i="11" s="1"/>
  <c r="L309" i="12"/>
  <c r="O309" i="12" s="1"/>
  <c r="J309" i="12"/>
  <c r="AL342" i="11" l="1"/>
  <c r="H342" i="11" s="1"/>
  <c r="I342" i="11" s="1"/>
  <c r="J342" i="11"/>
  <c r="Q342" i="11" s="1"/>
  <c r="K342" i="11"/>
  <c r="R342" i="11" s="1"/>
  <c r="K309" i="12" l="1"/>
  <c r="P309" i="12"/>
  <c r="S309" i="12" s="1"/>
  <c r="T309" i="12" s="1"/>
  <c r="S342" i="11"/>
  <c r="U342" i="11"/>
  <c r="V342" i="11" l="1"/>
  <c r="Q309" i="12"/>
  <c r="T342" i="11"/>
  <c r="R309" i="12" l="1"/>
  <c r="U309" i="12" s="1"/>
  <c r="X309" i="12" s="1"/>
  <c r="Z343" i="11"/>
  <c r="F343" i="11" l="1"/>
  <c r="EB343" i="11"/>
  <c r="AC343" i="11"/>
  <c r="ED343" i="11" l="1"/>
  <c r="EE343" i="11" s="1"/>
  <c r="E310" i="12"/>
  <c r="AE343" i="11"/>
  <c r="AF343" i="11"/>
  <c r="EG343" i="11" l="1"/>
  <c r="EF343" i="11" s="1"/>
  <c r="O343" i="11"/>
  <c r="F310" i="12" s="1"/>
  <c r="G310" i="12" s="1"/>
  <c r="AG343" i="11"/>
  <c r="AK343" i="11" s="1"/>
  <c r="EJ343" i="11"/>
  <c r="EK343" i="11" l="1"/>
  <c r="EL343" i="11" s="1"/>
  <c r="AD343" i="11"/>
  <c r="AJ343" i="11"/>
  <c r="J343" i="11" s="1"/>
  <c r="G343" i="11"/>
  <c r="H310" i="12" s="1"/>
  <c r="I310" i="12" s="1"/>
  <c r="K343" i="11"/>
  <c r="R343" i="11" s="1"/>
  <c r="AL343" i="11" l="1"/>
  <c r="H343" i="11" s="1"/>
  <c r="K310" i="12" s="1"/>
  <c r="L310" i="12"/>
  <c r="O310" i="12" s="1"/>
  <c r="J310" i="12"/>
  <c r="Q343" i="11"/>
  <c r="I343" i="11" l="1"/>
  <c r="U343" i="11" s="1"/>
  <c r="P310" i="12" l="1"/>
  <c r="S310" i="12" s="1"/>
  <c r="T310" i="12" s="1"/>
  <c r="S343" i="11"/>
  <c r="Q310" i="12" s="1"/>
  <c r="V343" i="11"/>
  <c r="T343" i="11" l="1"/>
  <c r="R310" i="12" s="1"/>
  <c r="U310" i="12" s="1"/>
  <c r="X310" i="12" s="1"/>
  <c r="Z344" i="11"/>
  <c r="F344" i="11" l="1"/>
  <c r="EB344" i="11"/>
  <c r="AC344" i="11"/>
  <c r="ED344" i="11" l="1"/>
  <c r="EE344" i="11" s="1"/>
  <c r="E311" i="12"/>
  <c r="AE344" i="11"/>
  <c r="AF344" i="11"/>
  <c r="AG344" i="11" l="1"/>
  <c r="AD344" i="11" s="1"/>
  <c r="EG344" i="11"/>
  <c r="EF344" i="11" s="1"/>
  <c r="O344" i="11"/>
  <c r="F311" i="12" s="1"/>
  <c r="G311" i="12" s="1"/>
  <c r="AK344" i="11" l="1"/>
  <c r="AJ344" i="11"/>
  <c r="G344" i="11"/>
  <c r="H311" i="12" s="1"/>
  <c r="J311" i="12" s="1"/>
  <c r="EK344" i="11"/>
  <c r="EJ344" i="11"/>
  <c r="J344" i="11" s="1"/>
  <c r="AL344" i="11" l="1"/>
  <c r="K344" i="11"/>
  <c r="I311" i="12"/>
  <c r="L311" i="12"/>
  <c r="O311" i="12" s="1"/>
  <c r="Q344" i="11"/>
  <c r="R344" i="11"/>
  <c r="EL344" i="11"/>
  <c r="H344" i="11" s="1"/>
  <c r="K311" i="12" l="1"/>
  <c r="I344" i="11"/>
  <c r="P311" i="12" s="1"/>
  <c r="S311" i="12" s="1"/>
  <c r="T311" i="12" s="1"/>
  <c r="S344" i="11" l="1"/>
  <c r="T344" i="11" s="1"/>
  <c r="U344" i="11"/>
  <c r="V344" i="11" s="1"/>
  <c r="Q311" i="12" l="1"/>
  <c r="R311" i="12"/>
  <c r="U311" i="12" s="1"/>
  <c r="X311" i="12" s="1"/>
  <c r="Z345" i="11"/>
  <c r="F345" i="11" l="1"/>
  <c r="EB345" i="11"/>
  <c r="AC345" i="11"/>
  <c r="E312" i="12" l="1"/>
  <c r="AE345" i="11"/>
  <c r="AF345" i="11"/>
  <c r="ED345" i="11"/>
  <c r="EE345" i="11" s="1"/>
  <c r="EG345" i="11" s="1"/>
  <c r="EF345" i="11" s="1"/>
  <c r="AG345" i="11" l="1"/>
  <c r="G345" i="11" s="1"/>
  <c r="H312" i="12" s="1"/>
  <c r="EK345" i="11"/>
  <c r="EJ345" i="11"/>
  <c r="O345" i="11"/>
  <c r="F312" i="12" s="1"/>
  <c r="AD345" i="11" l="1"/>
  <c r="AK345" i="11"/>
  <c r="K345" i="11" s="1"/>
  <c r="R345" i="11" s="1"/>
  <c r="AJ345" i="11"/>
  <c r="I312" i="12"/>
  <c r="EL345" i="11"/>
  <c r="L312" i="12"/>
  <c r="O312" i="12" s="1"/>
  <c r="J312" i="12"/>
  <c r="G312" i="12"/>
  <c r="AL345" i="11" l="1"/>
  <c r="H345" i="11" s="1"/>
  <c r="K312" i="12" s="1"/>
  <c r="J345" i="11"/>
  <c r="Q345" i="11" s="1"/>
  <c r="I345" i="11" l="1"/>
  <c r="P312" i="12" s="1"/>
  <c r="S312" i="12" s="1"/>
  <c r="T312" i="12" s="1"/>
  <c r="U345" i="11" l="1"/>
  <c r="V345" i="11" s="1"/>
  <c r="S345" i="11"/>
  <c r="Q312" i="12" s="1"/>
  <c r="T345" i="11" l="1"/>
  <c r="R312" i="12" s="1"/>
  <c r="U312" i="12" s="1"/>
  <c r="X312" i="12" s="1"/>
  <c r="Z346" i="11"/>
  <c r="F346" i="11" l="1"/>
  <c r="EB346" i="11"/>
  <c r="AC346" i="11"/>
  <c r="ED346" i="11" l="1"/>
  <c r="EE346" i="11" s="1"/>
  <c r="E313" i="12"/>
  <c r="AE346" i="11"/>
  <c r="AF346" i="11"/>
  <c r="AG346" i="11" l="1"/>
  <c r="AJ346" i="11" s="1"/>
  <c r="EG346" i="11"/>
  <c r="EF346" i="11" s="1"/>
  <c r="O346" i="11"/>
  <c r="F313" i="12" s="1"/>
  <c r="G313" i="12" s="1"/>
  <c r="AK346" i="11" l="1"/>
  <c r="AD346" i="11"/>
  <c r="G346" i="11"/>
  <c r="H313" i="12" s="1"/>
  <c r="L313" i="12" s="1"/>
  <c r="O313" i="12" s="1"/>
  <c r="EJ346" i="11"/>
  <c r="J346" i="11" s="1"/>
  <c r="Q346" i="11" s="1"/>
  <c r="EK346" i="11"/>
  <c r="K346" i="11" s="1"/>
  <c r="R346" i="11" s="1"/>
  <c r="J313" i="12"/>
  <c r="I313" i="12"/>
  <c r="AL346" i="11"/>
  <c r="EL346" i="11" l="1"/>
  <c r="H346" i="11" s="1"/>
  <c r="I346" i="11" l="1"/>
  <c r="P313" i="12" s="1"/>
  <c r="K313" i="12"/>
  <c r="S313" i="12" l="1"/>
  <c r="T313" i="12" s="1"/>
  <c r="U346" i="11"/>
  <c r="V346" i="11" s="1"/>
  <c r="S346" i="11"/>
  <c r="Q313" i="12" s="1"/>
  <c r="T346" i="11" l="1"/>
  <c r="R313" i="12" s="1"/>
  <c r="U313" i="12" s="1"/>
  <c r="X313" i="12" s="1"/>
  <c r="Z347" i="11" l="1"/>
  <c r="F347" i="11" s="1"/>
  <c r="EB347" i="11"/>
  <c r="AC347" i="11"/>
  <c r="E314" i="12" l="1"/>
  <c r="AE347" i="11"/>
  <c r="AF347" i="11"/>
  <c r="ED347" i="11"/>
  <c r="EE347" i="11" s="1"/>
  <c r="EG347" i="11" s="1"/>
  <c r="EF347" i="11" s="1"/>
  <c r="AG347" i="11" l="1"/>
  <c r="AD347" i="11" s="1"/>
  <c r="EJ347" i="11"/>
  <c r="EK347" i="11"/>
  <c r="O347" i="11"/>
  <c r="F314" i="12" s="1"/>
  <c r="G314" i="12" s="1"/>
  <c r="G347" i="11" l="1"/>
  <c r="H314" i="12" s="1"/>
  <c r="AK347" i="11"/>
  <c r="AJ347" i="11"/>
  <c r="EL347" i="11"/>
  <c r="L314" i="12"/>
  <c r="O314" i="12" s="1"/>
  <c r="J314" i="12"/>
  <c r="K347" i="11"/>
  <c r="R347" i="11" s="1"/>
  <c r="I314" i="12"/>
  <c r="AL347" i="11" l="1"/>
  <c r="H347" i="11" s="1"/>
  <c r="I347" i="11" s="1"/>
  <c r="J347" i="11"/>
  <c r="Q347" i="11" s="1"/>
  <c r="K314" i="12" l="1"/>
  <c r="P314" i="12"/>
  <c r="S314" i="12" s="1"/>
  <c r="T314" i="12" s="1"/>
  <c r="U347" i="11"/>
  <c r="S347" i="11"/>
  <c r="T347" i="11" l="1"/>
  <c r="Q314" i="12"/>
  <c r="V347" i="11"/>
  <c r="R314" i="12" l="1"/>
  <c r="U314" i="12" s="1"/>
  <c r="X314" i="12" s="1"/>
  <c r="Z348" i="11"/>
  <c r="F348" i="11" l="1"/>
  <c r="EB348" i="11"/>
  <c r="AC348" i="11"/>
  <c r="ED348" i="11" l="1"/>
  <c r="EE348" i="11" s="1"/>
  <c r="E315" i="12"/>
  <c r="AE348" i="11"/>
  <c r="AF348" i="11"/>
  <c r="AG348" i="11" l="1"/>
  <c r="AK348" i="11" s="1"/>
  <c r="EG348" i="11"/>
  <c r="EF348" i="11" s="1"/>
  <c r="O348" i="11"/>
  <c r="F315" i="12" s="1"/>
  <c r="G315" i="12" s="1"/>
  <c r="G348" i="11" l="1"/>
  <c r="H315" i="12" s="1"/>
  <c r="AD348" i="11"/>
  <c r="AJ348" i="11"/>
  <c r="EJ348" i="11"/>
  <c r="EK348" i="11"/>
  <c r="K348" i="11" s="1"/>
  <c r="R348" i="11" s="1"/>
  <c r="L315" i="12"/>
  <c r="O315" i="12" s="1"/>
  <c r="J315" i="12"/>
  <c r="AL348" i="11"/>
  <c r="I315" i="12"/>
  <c r="J348" i="11" l="1"/>
  <c r="Q348" i="11" s="1"/>
  <c r="EL348" i="11"/>
  <c r="H348" i="11" s="1"/>
  <c r="I348" i="11" l="1"/>
  <c r="P315" i="12" s="1"/>
  <c r="K315" i="12"/>
  <c r="S315" i="12" l="1"/>
  <c r="T315" i="12" s="1"/>
  <c r="U348" i="11"/>
  <c r="V348" i="11" s="1"/>
  <c r="S348" i="11"/>
  <c r="Q315" i="12" s="1"/>
  <c r="T348" i="11" l="1"/>
  <c r="R315" i="12" s="1"/>
  <c r="U315" i="12" s="1"/>
  <c r="X315" i="12" s="1"/>
  <c r="Z349" i="11" l="1"/>
  <c r="F349" i="11" s="1"/>
  <c r="AC349" i="11" l="1"/>
  <c r="EB349" i="11"/>
  <c r="ED349" i="11" s="1"/>
  <c r="EE349" i="11" s="1"/>
  <c r="E316" i="12"/>
  <c r="AE349" i="11"/>
  <c r="AF349" i="11"/>
  <c r="AG349" i="11" l="1"/>
  <c r="AK349" i="11" s="1"/>
  <c r="EG349" i="11"/>
  <c r="EF349" i="11" s="1"/>
  <c r="O349" i="11"/>
  <c r="F316" i="12" s="1"/>
  <c r="G316" i="12" s="1"/>
  <c r="AD349" i="11" l="1"/>
  <c r="AJ349" i="11"/>
  <c r="AL349" i="11" s="1"/>
  <c r="G349" i="11"/>
  <c r="H316" i="12" s="1"/>
  <c r="I316" i="12" s="1"/>
  <c r="EJ349" i="11"/>
  <c r="J349" i="11" s="1"/>
  <c r="Q349" i="11" s="1"/>
  <c r="EK349" i="11"/>
  <c r="K349" i="11" s="1"/>
  <c r="R349" i="11" s="1"/>
  <c r="J316" i="12" l="1"/>
  <c r="L316" i="12"/>
  <c r="O316" i="12" s="1"/>
  <c r="EL349" i="11"/>
  <c r="H349" i="11" s="1"/>
  <c r="I349" i="11" s="1"/>
  <c r="U349" i="11" l="1"/>
  <c r="S349" i="11"/>
  <c r="T349" i="11" s="1"/>
  <c r="P316" i="12"/>
  <c r="K316" i="12"/>
  <c r="V349" i="11"/>
  <c r="Q316" i="12" l="1"/>
  <c r="S316" i="12"/>
  <c r="T316" i="12" s="1"/>
  <c r="R316" i="12"/>
  <c r="Z350" i="11"/>
  <c r="U316" i="12" l="1"/>
  <c r="X316" i="12" s="1"/>
  <c r="F350" i="11"/>
  <c r="EB350" i="11"/>
  <c r="AC350" i="11"/>
  <c r="ED350" i="11" l="1"/>
  <c r="EE350" i="11" s="1"/>
  <c r="E317" i="12"/>
  <c r="AE350" i="11"/>
  <c r="AF350" i="11"/>
  <c r="AG350" i="11" l="1"/>
  <c r="EG350" i="11"/>
  <c r="EF350" i="11" s="1"/>
  <c r="O350" i="11"/>
  <c r="F317" i="12" s="1"/>
  <c r="AK350" i="11"/>
  <c r="AJ350" i="11"/>
  <c r="AD350" i="11"/>
  <c r="G350" i="11"/>
  <c r="H317" i="12" s="1"/>
  <c r="G317" i="12"/>
  <c r="EJ350" i="11" l="1"/>
  <c r="EK350" i="11"/>
  <c r="K350" i="11" s="1"/>
  <c r="R350" i="11" s="1"/>
  <c r="J317" i="12"/>
  <c r="L317" i="12"/>
  <c r="O317" i="12" s="1"/>
  <c r="I317" i="12"/>
  <c r="AL350" i="11"/>
  <c r="EL350" i="11" l="1"/>
  <c r="H350" i="11" s="1"/>
  <c r="K317" i="12" s="1"/>
  <c r="J350" i="11"/>
  <c r="Q350" i="11" s="1"/>
  <c r="I350" i="11" l="1"/>
  <c r="P317" i="12" s="1"/>
  <c r="S317" i="12" s="1"/>
  <c r="T317" i="12" s="1"/>
  <c r="U350" i="11" l="1"/>
  <c r="V350" i="11" s="1"/>
  <c r="S350" i="11"/>
  <c r="Q317" i="12" s="1"/>
  <c r="T350" i="11" l="1"/>
  <c r="R317" i="12" s="1"/>
  <c r="U317" i="12" s="1"/>
  <c r="X317" i="12" s="1"/>
  <c r="Z351" i="11"/>
  <c r="F351" i="11" l="1"/>
  <c r="EB351" i="11"/>
  <c r="AC351" i="11"/>
  <c r="E318" i="12" l="1"/>
  <c r="AE351" i="11"/>
  <c r="AF351" i="11"/>
  <c r="ED351" i="11"/>
  <c r="EE351" i="11" s="1"/>
  <c r="EG351" i="11" s="1"/>
  <c r="EF351" i="11" s="1"/>
  <c r="AG351" i="11" l="1"/>
  <c r="G351" i="11" s="1"/>
  <c r="H318" i="12" s="1"/>
  <c r="EK351" i="11"/>
  <c r="EJ351" i="11"/>
  <c r="O351" i="11"/>
  <c r="F318" i="12" s="1"/>
  <c r="G318" i="12" s="1"/>
  <c r="EL351" i="11" l="1"/>
  <c r="AK351" i="11"/>
  <c r="K351" i="11" s="1"/>
  <c r="R351" i="11" s="1"/>
  <c r="AJ351" i="11"/>
  <c r="J351" i="11" s="1"/>
  <c r="Q351" i="11" s="1"/>
  <c r="AD351" i="11"/>
  <c r="L318" i="12"/>
  <c r="O318" i="12" s="1"/>
  <c r="J318" i="12"/>
  <c r="I318" i="12"/>
  <c r="AL351" i="11" l="1"/>
  <c r="H351" i="11" s="1"/>
  <c r="K318" i="12" s="1"/>
  <c r="I351" i="11" l="1"/>
  <c r="P318" i="12" s="1"/>
  <c r="S318" i="12" s="1"/>
  <c r="T318" i="12" s="1"/>
  <c r="U351" i="11" l="1"/>
  <c r="V351" i="11" s="1"/>
  <c r="S351" i="11"/>
  <c r="T351" i="11" s="1"/>
  <c r="Q318" i="12" l="1"/>
  <c r="R318" i="12"/>
  <c r="Z352" i="11"/>
  <c r="U318" i="12" l="1"/>
  <c r="X318" i="12" s="1"/>
  <c r="F352" i="11"/>
  <c r="EB352" i="11"/>
  <c r="AC352" i="11"/>
  <c r="ED352" i="11" l="1"/>
  <c r="EE352" i="11" s="1"/>
  <c r="E319" i="12"/>
  <c r="AE352" i="11"/>
  <c r="AF352" i="11"/>
  <c r="AG352" i="11" l="1"/>
  <c r="AK352" i="11" s="1"/>
  <c r="EG352" i="11"/>
  <c r="EF352" i="11" s="1"/>
  <c r="O352" i="11"/>
  <c r="F319" i="12" s="1"/>
  <c r="G319" i="12" s="1"/>
  <c r="AD352" i="11"/>
  <c r="AJ352" i="11"/>
  <c r="EJ352" i="11" l="1"/>
  <c r="G352" i="11"/>
  <c r="H319" i="12" s="1"/>
  <c r="I319" i="12" s="1"/>
  <c r="EK352" i="11"/>
  <c r="EL352" i="11" s="1"/>
  <c r="J352" i="11"/>
  <c r="Q352" i="11" s="1"/>
  <c r="AL352" i="11"/>
  <c r="L319" i="12" l="1"/>
  <c r="O319" i="12" s="1"/>
  <c r="K352" i="11"/>
  <c r="R352" i="11" s="1"/>
  <c r="H352" i="11"/>
  <c r="K319" i="12" s="1"/>
  <c r="J319" i="12"/>
  <c r="I352" i="11" l="1"/>
  <c r="P319" i="12" s="1"/>
  <c r="S319" i="12" s="1"/>
  <c r="T319" i="12" s="1"/>
  <c r="S352" i="11"/>
  <c r="U352" i="11" l="1"/>
  <c r="V352" i="11" s="1"/>
  <c r="T352" i="11"/>
  <c r="Q319" i="12"/>
  <c r="Z353" i="11" l="1"/>
  <c r="R319" i="12"/>
  <c r="U319" i="12" s="1"/>
  <c r="X319" i="12" s="1"/>
  <c r="F353" i="11" l="1"/>
  <c r="EB353" i="11"/>
  <c r="AC353" i="11"/>
  <c r="ED353" i="11" l="1"/>
  <c r="EE353" i="11" s="1"/>
  <c r="E320" i="12"/>
  <c r="AE353" i="11"/>
  <c r="AF353" i="11"/>
  <c r="AG353" i="11" l="1"/>
  <c r="EG353" i="11"/>
  <c r="EF353" i="11" s="1"/>
  <c r="O353" i="11"/>
  <c r="F320" i="12" s="1"/>
  <c r="G320" i="12" s="1"/>
  <c r="AK353" i="11"/>
  <c r="AJ353" i="11"/>
  <c r="AD353" i="11"/>
  <c r="G353" i="11" l="1"/>
  <c r="H320" i="12" s="1"/>
  <c r="J320" i="12" s="1"/>
  <c r="EK353" i="11"/>
  <c r="EJ353" i="11"/>
  <c r="J353" i="11" s="1"/>
  <c r="Q353" i="11" s="1"/>
  <c r="L320" i="12"/>
  <c r="O320" i="12" s="1"/>
  <c r="I320" i="12"/>
  <c r="AL353" i="11"/>
  <c r="EL353" i="11" l="1"/>
  <c r="H353" i="11" s="1"/>
  <c r="K353" i="11"/>
  <c r="R353" i="11" s="1"/>
  <c r="K320" i="12" l="1"/>
  <c r="I353" i="11"/>
  <c r="P320" i="12" s="1"/>
  <c r="S320" i="12" s="1"/>
  <c r="T320" i="12" s="1"/>
  <c r="U353" i="11" l="1"/>
  <c r="V353" i="11" s="1"/>
  <c r="S353" i="11"/>
  <c r="T353" i="11" s="1"/>
  <c r="Q320" i="12" l="1"/>
  <c r="R320" i="12"/>
  <c r="U320" i="12" s="1"/>
  <c r="X320" i="12" s="1"/>
  <c r="Z354" i="11"/>
  <c r="F354" i="11" l="1"/>
  <c r="EB354" i="11"/>
  <c r="AC354" i="11"/>
  <c r="E321" i="12" l="1"/>
  <c r="AF354" i="11"/>
  <c r="AE354" i="11"/>
  <c r="ED354" i="11"/>
  <c r="EE354" i="11" s="1"/>
  <c r="EG354" i="11" s="1"/>
  <c r="EF354" i="11" s="1"/>
  <c r="AG354" i="11" l="1"/>
  <c r="EJ354" i="11"/>
  <c r="EK354" i="11"/>
  <c r="AK354" i="11"/>
  <c r="K354" i="11" s="1"/>
  <c r="AD354" i="11"/>
  <c r="G354" i="11"/>
  <c r="H321" i="12" s="1"/>
  <c r="AJ354" i="11"/>
  <c r="J354" i="11" s="1"/>
  <c r="Q354" i="11" s="1"/>
  <c r="O354" i="11"/>
  <c r="F321" i="12" s="1"/>
  <c r="G321" i="12" s="1"/>
  <c r="EL354" i="11" l="1"/>
  <c r="J321" i="12"/>
  <c r="L321" i="12"/>
  <c r="O321" i="12" s="1"/>
  <c r="R354" i="11"/>
  <c r="I321" i="12"/>
  <c r="AL354" i="11"/>
  <c r="H354" i="11" s="1"/>
  <c r="K321" i="12" l="1"/>
  <c r="I354" i="11"/>
  <c r="P321" i="12" l="1"/>
  <c r="S321" i="12" s="1"/>
  <c r="T321" i="12" s="1"/>
  <c r="U354" i="11"/>
  <c r="S354" i="11"/>
  <c r="Q321" i="12" l="1"/>
  <c r="T354" i="11"/>
  <c r="V354" i="11"/>
  <c r="R321" i="12" l="1"/>
  <c r="U321" i="12" s="1"/>
  <c r="X321" i="12" s="1"/>
  <c r="Z355" i="11"/>
  <c r="F355" i="11" l="1"/>
  <c r="EB355" i="11"/>
  <c r="AC355" i="11"/>
  <c r="ED355" i="11" l="1"/>
  <c r="EE355" i="11" s="1"/>
  <c r="E322" i="12"/>
  <c r="AF355" i="11"/>
  <c r="AE355" i="11"/>
  <c r="AG355" i="11" l="1"/>
  <c r="EG355" i="11"/>
  <c r="EF355" i="11" s="1"/>
  <c r="O355" i="11"/>
  <c r="F322" i="12" s="1"/>
  <c r="G322" i="12" s="1"/>
  <c r="AD355" i="11"/>
  <c r="AK355" i="11"/>
  <c r="AJ355" i="11"/>
  <c r="EJ355" i="11"/>
  <c r="EK355" i="11"/>
  <c r="G355" i="11" l="1"/>
  <c r="H322" i="12" s="1"/>
  <c r="J355" i="11"/>
  <c r="Q355" i="11" s="1"/>
  <c r="EL355" i="11"/>
  <c r="K355" i="11"/>
  <c r="R355" i="11" s="1"/>
  <c r="AL355" i="11"/>
  <c r="I322" i="12"/>
  <c r="L322" i="12"/>
  <c r="O322" i="12" s="1"/>
  <c r="J322" i="12"/>
  <c r="H355" i="11" l="1"/>
  <c r="I355" i="11" s="1"/>
  <c r="K322" i="12" l="1"/>
  <c r="P322" i="12"/>
  <c r="S355" i="11"/>
  <c r="U355" i="11"/>
  <c r="S322" i="12" l="1"/>
  <c r="T322" i="12" s="1"/>
  <c r="V355" i="11"/>
  <c r="Q322" i="12"/>
  <c r="T355" i="11"/>
  <c r="R322" i="12" l="1"/>
  <c r="U322" i="12" s="1"/>
  <c r="X322" i="12" s="1"/>
  <c r="Z356" i="11"/>
  <c r="F356" i="11" l="1"/>
  <c r="EB356" i="11"/>
  <c r="AC356" i="11"/>
  <c r="ED356" i="11" l="1"/>
  <c r="EE356" i="11" s="1"/>
  <c r="E323" i="12"/>
  <c r="AE356" i="11"/>
  <c r="AF356" i="11"/>
  <c r="AG356" i="11" l="1"/>
  <c r="EG356" i="11"/>
  <c r="EF356" i="11" s="1"/>
  <c r="O356" i="11"/>
  <c r="F323" i="12" s="1"/>
  <c r="G323" i="12" s="1"/>
  <c r="AK356" i="11"/>
  <c r="AD356" i="11"/>
  <c r="AJ356" i="11"/>
  <c r="G356" i="11" l="1"/>
  <c r="H323" i="12" s="1"/>
  <c r="I323" i="12" s="1"/>
  <c r="EJ356" i="11"/>
  <c r="EK356" i="11"/>
  <c r="K356" i="11" s="1"/>
  <c r="AL356" i="11"/>
  <c r="R356" i="11" l="1"/>
  <c r="L323" i="12"/>
  <c r="O323" i="12" s="1"/>
  <c r="J323" i="12"/>
  <c r="EL356" i="11"/>
  <c r="H356" i="11" s="1"/>
  <c r="J356" i="11"/>
  <c r="Q356" i="11" s="1"/>
  <c r="I356" i="11" l="1"/>
  <c r="U356" i="11" s="1"/>
  <c r="K323" i="12"/>
  <c r="S356" i="11" l="1"/>
  <c r="Q323" i="12" s="1"/>
  <c r="P323" i="12"/>
  <c r="S323" i="12" s="1"/>
  <c r="T323" i="12" s="1"/>
  <c r="V356" i="11"/>
  <c r="T356" i="11" l="1"/>
  <c r="R323" i="12" s="1"/>
  <c r="U323" i="12" s="1"/>
  <c r="X323" i="12" s="1"/>
  <c r="Z357" i="11" l="1"/>
  <c r="F357" i="11" s="1"/>
  <c r="EB357" i="11"/>
  <c r="AC357" i="11" l="1"/>
  <c r="E324" i="12" s="1"/>
  <c r="ED357" i="11"/>
  <c r="EE357" i="11" s="1"/>
  <c r="EG357" i="11" s="1"/>
  <c r="EF357" i="11" s="1"/>
  <c r="AF357" i="11" l="1"/>
  <c r="AE357" i="11"/>
  <c r="AG357" i="11" s="1"/>
  <c r="AK357" i="11" s="1"/>
  <c r="EJ357" i="11"/>
  <c r="EK357" i="11"/>
  <c r="O357" i="11"/>
  <c r="F324" i="12" s="1"/>
  <c r="G324" i="12" s="1"/>
  <c r="G357" i="11" l="1"/>
  <c r="H324" i="12" s="1"/>
  <c r="AJ357" i="11"/>
  <c r="AL357" i="11" s="1"/>
  <c r="AD357" i="11"/>
  <c r="K357" i="11"/>
  <c r="R357" i="11" s="1"/>
  <c r="EL357" i="11"/>
  <c r="J357" i="11"/>
  <c r="Q357" i="11" s="1"/>
  <c r="I324" i="12"/>
  <c r="J324" i="12"/>
  <c r="L324" i="12"/>
  <c r="O324" i="12" s="1"/>
  <c r="H357" i="11" l="1"/>
  <c r="K324" i="12" s="1"/>
  <c r="I357" i="11" l="1"/>
  <c r="P324" i="12"/>
  <c r="S324" i="12" s="1"/>
  <c r="T324" i="12" s="1"/>
  <c r="S357" i="11"/>
  <c r="U357" i="11"/>
  <c r="V357" i="11" l="1"/>
  <c r="Q324" i="12"/>
  <c r="T357" i="11"/>
  <c r="R324" i="12" l="1"/>
  <c r="U324" i="12" s="1"/>
  <c r="X324" i="12" s="1"/>
  <c r="Z358" i="11"/>
  <c r="F358" i="11" l="1"/>
  <c r="EB358" i="11"/>
  <c r="AC358" i="11"/>
  <c r="ED358" i="11" l="1"/>
  <c r="EE358" i="11" s="1"/>
  <c r="E325" i="12"/>
  <c r="AE358" i="11"/>
  <c r="AF358" i="11"/>
  <c r="AG358" i="11" l="1"/>
  <c r="EG358" i="11"/>
  <c r="EF358" i="11" s="1"/>
  <c r="O358" i="11"/>
  <c r="F325" i="12" s="1"/>
  <c r="G325" i="12" s="1"/>
  <c r="AK358" i="11"/>
  <c r="AD358" i="11"/>
  <c r="G358" i="11"/>
  <c r="H325" i="12" s="1"/>
  <c r="AJ358" i="11"/>
  <c r="I325" i="12" l="1"/>
  <c r="EJ358" i="11"/>
  <c r="J358" i="11" s="1"/>
  <c r="Q358" i="11" s="1"/>
  <c r="EK358" i="11"/>
  <c r="K358" i="11" s="1"/>
  <c r="R358" i="11" s="1"/>
  <c r="AL358" i="11"/>
  <c r="J325" i="12"/>
  <c r="L325" i="12"/>
  <c r="O325" i="12" s="1"/>
  <c r="EL358" i="11" l="1"/>
  <c r="H358" i="11" s="1"/>
  <c r="K325" i="12" l="1"/>
  <c r="I358" i="11"/>
  <c r="P325" i="12" s="1"/>
  <c r="S325" i="12" s="1"/>
  <c r="T325" i="12" s="1"/>
  <c r="S358" i="11" l="1"/>
  <c r="T358" i="11" s="1"/>
  <c r="U358" i="11"/>
  <c r="V358" i="11" s="1"/>
  <c r="Q325" i="12" l="1"/>
  <c r="R325" i="12"/>
  <c r="U325" i="12" s="1"/>
  <c r="X325" i="12" s="1"/>
  <c r="Z359" i="11"/>
  <c r="F359" i="11" l="1"/>
  <c r="EB359" i="11"/>
  <c r="AC359" i="11"/>
  <c r="E326" i="12" l="1"/>
  <c r="AE359" i="11"/>
  <c r="AF359" i="11"/>
  <c r="ED359" i="11"/>
  <c r="EE359" i="11" s="1"/>
  <c r="EG359" i="11" s="1"/>
  <c r="EF359" i="11" s="1"/>
  <c r="AG359" i="11" l="1"/>
  <c r="AJ359" i="11" s="1"/>
  <c r="EJ359" i="11"/>
  <c r="EK359" i="11"/>
  <c r="O359" i="11"/>
  <c r="F326" i="12" s="1"/>
  <c r="G326" i="12" s="1"/>
  <c r="J359" i="11" l="1"/>
  <c r="AD359" i="11"/>
  <c r="G359" i="11"/>
  <c r="H326" i="12" s="1"/>
  <c r="J326" i="12" s="1"/>
  <c r="AK359" i="11"/>
  <c r="K359" i="11" s="1"/>
  <c r="R359" i="11" s="1"/>
  <c r="EL359" i="11"/>
  <c r="L326" i="12" l="1"/>
  <c r="O326" i="12" s="1"/>
  <c r="I326" i="12"/>
  <c r="Q359" i="11"/>
  <c r="AL359" i="11"/>
  <c r="H359" i="11" s="1"/>
  <c r="K326" i="12" s="1"/>
  <c r="I359" i="11" l="1"/>
  <c r="P326" i="12" s="1"/>
  <c r="S326" i="12" s="1"/>
  <c r="T326" i="12" s="1"/>
  <c r="U359" i="11" l="1"/>
  <c r="V359" i="11" s="1"/>
  <c r="S359" i="11"/>
  <c r="Q326" i="12" s="1"/>
  <c r="T359" i="11" l="1"/>
  <c r="R326" i="12" s="1"/>
  <c r="U326" i="12" s="1"/>
  <c r="X326" i="12" s="1"/>
  <c r="Z360" i="11" l="1"/>
  <c r="F360" i="11" s="1"/>
  <c r="AC360" i="11" l="1"/>
  <c r="EB360" i="11"/>
  <c r="ED360" i="11" s="1"/>
  <c r="EE360" i="11" s="1"/>
  <c r="E327" i="12"/>
  <c r="AE360" i="11"/>
  <c r="AF360" i="11"/>
  <c r="AG360" i="11" l="1"/>
  <c r="AJ360" i="11" s="1"/>
  <c r="EG360" i="11"/>
  <c r="EF360" i="11" s="1"/>
  <c r="O360" i="11"/>
  <c r="F327" i="12" s="1"/>
  <c r="G327" i="12" s="1"/>
  <c r="AK360" i="11"/>
  <c r="EK360" i="11" l="1"/>
  <c r="K360" i="11" s="1"/>
  <c r="G360" i="11"/>
  <c r="H327" i="12" s="1"/>
  <c r="L327" i="12" s="1"/>
  <c r="O327" i="12" s="1"/>
  <c r="AD360" i="11"/>
  <c r="EJ360" i="11"/>
  <c r="AL360" i="11"/>
  <c r="R360" i="11" l="1"/>
  <c r="EL360" i="11"/>
  <c r="J360" i="11"/>
  <c r="Q360" i="11" s="1"/>
  <c r="J327" i="12"/>
  <c r="I327" i="12"/>
  <c r="H360" i="11"/>
  <c r="I360" i="11" s="1"/>
  <c r="K327" i="12" l="1"/>
  <c r="P327" i="12"/>
  <c r="S327" i="12" s="1"/>
  <c r="T327" i="12" s="1"/>
  <c r="U360" i="11"/>
  <c r="S360" i="11"/>
  <c r="Q327" i="12" l="1"/>
  <c r="T360" i="11"/>
  <c r="V360" i="11"/>
  <c r="R327" i="12" l="1"/>
  <c r="U327" i="12" s="1"/>
  <c r="X327" i="12" s="1"/>
  <c r="Z361" i="11"/>
  <c r="F361" i="11" l="1"/>
  <c r="EB361" i="11"/>
  <c r="AC361" i="11"/>
  <c r="ED361" i="11" l="1"/>
  <c r="EE361" i="11" s="1"/>
  <c r="E328" i="12"/>
  <c r="AE361" i="11"/>
  <c r="AF361" i="11"/>
  <c r="EG361" i="11" l="1"/>
  <c r="EF361" i="11" s="1"/>
  <c r="O361" i="11"/>
  <c r="F328" i="12" s="1"/>
  <c r="G328" i="12" s="1"/>
  <c r="AG361" i="11"/>
  <c r="AD361" i="11" s="1"/>
  <c r="EK361" i="11" l="1"/>
  <c r="EJ361" i="11"/>
  <c r="AK361" i="11"/>
  <c r="G361" i="11"/>
  <c r="H328" i="12" s="1"/>
  <c r="I328" i="12" s="1"/>
  <c r="AJ361" i="11"/>
  <c r="J361" i="11" s="1"/>
  <c r="Q361" i="11" s="1"/>
  <c r="L328" i="12" l="1"/>
  <c r="O328" i="12" s="1"/>
  <c r="EL361" i="11"/>
  <c r="AL361" i="11"/>
  <c r="H361" i="11" s="1"/>
  <c r="K328" i="12" s="1"/>
  <c r="K361" i="11"/>
  <c r="R361" i="11" s="1"/>
  <c r="J328" i="12"/>
  <c r="I361" i="11" l="1"/>
  <c r="P328" i="12" s="1"/>
  <c r="S328" i="12" s="1"/>
  <c r="T328" i="12" s="1"/>
  <c r="S361" i="11" l="1"/>
  <c r="Q328" i="12" s="1"/>
  <c r="U361" i="11"/>
  <c r="V361" i="11" s="1"/>
  <c r="T361" i="11" l="1"/>
  <c r="R328" i="12" s="1"/>
  <c r="U328" i="12" s="1"/>
  <c r="X328" i="12" s="1"/>
  <c r="Z362" i="11"/>
  <c r="F362" i="11" l="1"/>
  <c r="EB362" i="11"/>
  <c r="AC362" i="11"/>
  <c r="E329" i="12" l="1"/>
  <c r="AE362" i="11"/>
  <c r="AF362" i="11"/>
  <c r="ED362" i="11"/>
  <c r="EE362" i="11" s="1"/>
  <c r="EG362" i="11" s="1"/>
  <c r="EF362" i="11" s="1"/>
  <c r="AG362" i="11" l="1"/>
  <c r="AK362" i="11" s="1"/>
  <c r="EJ362" i="11"/>
  <c r="EK362" i="11"/>
  <c r="O362" i="11"/>
  <c r="F329" i="12" s="1"/>
  <c r="K362" i="11" l="1"/>
  <c r="G362" i="11"/>
  <c r="H329" i="12" s="1"/>
  <c r="J329" i="12" s="1"/>
  <c r="AD362" i="11"/>
  <c r="AJ362" i="11"/>
  <c r="J362" i="11" s="1"/>
  <c r="Q362" i="11" s="1"/>
  <c r="EL362" i="11"/>
  <c r="G329" i="12"/>
  <c r="AL362" i="11" l="1"/>
  <c r="H362" i="11" s="1"/>
  <c r="K329" i="12" s="1"/>
  <c r="I329" i="12"/>
  <c r="R362" i="11"/>
  <c r="L329" i="12"/>
  <c r="O329" i="12" s="1"/>
  <c r="I362" i="11" l="1"/>
  <c r="S362" i="11" s="1"/>
  <c r="U362" i="11" l="1"/>
  <c r="V362" i="11" s="1"/>
  <c r="P329" i="12"/>
  <c r="S329" i="12" s="1"/>
  <c r="T329" i="12" s="1"/>
  <c r="Q329" i="12"/>
  <c r="T362" i="11"/>
  <c r="R329" i="12" l="1"/>
  <c r="U329" i="12" s="1"/>
  <c r="X329" i="12" s="1"/>
  <c r="Z363" i="11"/>
  <c r="F363" i="11" l="1"/>
  <c r="EB363" i="11"/>
  <c r="AC363" i="11"/>
  <c r="ED363" i="11" l="1"/>
  <c r="EE363" i="11" s="1"/>
  <c r="E330" i="12"/>
  <c r="AE363" i="11"/>
  <c r="AF363" i="11"/>
  <c r="AG363" i="11" l="1"/>
  <c r="EG363" i="11"/>
  <c r="EF363" i="11" s="1"/>
  <c r="O363" i="11"/>
  <c r="F330" i="12" s="1"/>
  <c r="G330" i="12" s="1"/>
  <c r="AJ363" i="11"/>
  <c r="AK363" i="11"/>
  <c r="G363" i="11"/>
  <c r="H330" i="12" s="1"/>
  <c r="I330" i="12" s="1"/>
  <c r="AD363" i="11"/>
  <c r="EJ363" i="11"/>
  <c r="AL363" i="11" l="1"/>
  <c r="EK363" i="11"/>
  <c r="EL363" i="11" s="1"/>
  <c r="H363" i="11" s="1"/>
  <c r="J330" i="12"/>
  <c r="L330" i="12"/>
  <c r="O330" i="12" s="1"/>
  <c r="J363" i="11"/>
  <c r="Q363" i="11" s="1"/>
  <c r="K363" i="11" l="1"/>
  <c r="R363" i="11" s="1"/>
  <c r="I363" i="11"/>
  <c r="K330" i="12"/>
  <c r="P330" i="12" l="1"/>
  <c r="S330" i="12" s="1"/>
  <c r="T330" i="12" s="1"/>
  <c r="U363" i="11"/>
  <c r="S363" i="11"/>
  <c r="Q330" i="12" l="1"/>
  <c r="T363" i="11"/>
  <c r="V363" i="11"/>
  <c r="R330" i="12" l="1"/>
  <c r="U330" i="12" s="1"/>
  <c r="X330" i="12" s="1"/>
  <c r="Z364" i="11"/>
  <c r="F364" i="11" l="1"/>
  <c r="EB364" i="11"/>
  <c r="AC364" i="11"/>
  <c r="ED364" i="11" l="1"/>
  <c r="EE364" i="11" s="1"/>
  <c r="E331" i="12"/>
  <c r="AE364" i="11"/>
  <c r="AF364" i="11"/>
  <c r="AG364" i="11" l="1"/>
  <c r="AD364" i="11" s="1"/>
  <c r="EG364" i="11"/>
  <c r="EF364" i="11" s="1"/>
  <c r="O364" i="11"/>
  <c r="F331" i="12" s="1"/>
  <c r="G331" i="12" s="1"/>
  <c r="AK364" i="11" l="1"/>
  <c r="G364" i="11"/>
  <c r="H331" i="12" s="1"/>
  <c r="I331" i="12" s="1"/>
  <c r="AJ364" i="11"/>
  <c r="AL364" i="11" s="1"/>
  <c r="EK364" i="11"/>
  <c r="K364" i="11" s="1"/>
  <c r="R364" i="11" s="1"/>
  <c r="EJ364" i="11"/>
  <c r="L331" i="12"/>
  <c r="O331" i="12" s="1"/>
  <c r="J331" i="12"/>
  <c r="EL364" i="11" l="1"/>
  <c r="J364" i="11"/>
  <c r="Q364" i="11" s="1"/>
  <c r="H364" i="11"/>
  <c r="K331" i="12" s="1"/>
  <c r="I364" i="11" l="1"/>
  <c r="S364" i="11" l="1"/>
  <c r="U364" i="11"/>
  <c r="V364" i="11" s="1"/>
  <c r="P331" i="12"/>
  <c r="S331" i="12" s="1"/>
  <c r="T331" i="12" s="1"/>
  <c r="Q331" i="12" l="1"/>
  <c r="T364" i="11"/>
  <c r="Z365" i="11" s="1"/>
  <c r="F365" i="11" s="1"/>
  <c r="EB365" i="11" l="1"/>
  <c r="AC365" i="11"/>
  <c r="R331" i="12"/>
  <c r="U331" i="12" s="1"/>
  <c r="X331" i="12" s="1"/>
  <c r="ED365" i="11"/>
  <c r="EE365" i="11" s="1"/>
  <c r="E332" i="12"/>
  <c r="AE365" i="11"/>
  <c r="AF365" i="11"/>
  <c r="EG365" i="11" l="1"/>
  <c r="EF365" i="11" s="1"/>
  <c r="O365" i="11"/>
  <c r="F332" i="12" s="1"/>
  <c r="G332" i="12" s="1"/>
  <c r="AG365" i="11"/>
  <c r="AK365" i="11" s="1"/>
  <c r="AD365" i="11" l="1"/>
  <c r="G365" i="11"/>
  <c r="H332" i="12" s="1"/>
  <c r="AJ365" i="11"/>
  <c r="AL365" i="11" s="1"/>
  <c r="EK365" i="11"/>
  <c r="K365" i="11" s="1"/>
  <c r="R365" i="11" s="1"/>
  <c r="EJ365" i="11"/>
  <c r="J365" i="11" s="1"/>
  <c r="Q365" i="11" s="1"/>
  <c r="J332" i="12"/>
  <c r="L332" i="12"/>
  <c r="O332" i="12" s="1"/>
  <c r="I332" i="12"/>
  <c r="EL365" i="11" l="1"/>
  <c r="H365" i="11" s="1"/>
  <c r="K332" i="12" l="1"/>
  <c r="I365" i="11"/>
  <c r="P332" i="12" s="1"/>
  <c r="S332" i="12" s="1"/>
  <c r="T332" i="12" s="1"/>
  <c r="S365" i="11" l="1"/>
  <c r="Q332" i="12" s="1"/>
  <c r="U365" i="11"/>
  <c r="V365" i="11" s="1"/>
  <c r="T365" i="11" l="1"/>
  <c r="R332" i="12" s="1"/>
  <c r="U332" i="12" s="1"/>
  <c r="X332" i="12" s="1"/>
  <c r="Z366" i="11"/>
  <c r="F366" i="11" l="1"/>
  <c r="EB366" i="11"/>
  <c r="AC366" i="11"/>
  <c r="E333" i="12" l="1"/>
  <c r="AE366" i="11"/>
  <c r="AF366" i="11"/>
  <c r="ED366" i="11"/>
  <c r="EE366" i="11" s="1"/>
  <c r="EG366" i="11" s="1"/>
  <c r="EF366" i="11" s="1"/>
  <c r="AG366" i="11" l="1"/>
  <c r="AK366" i="11" s="1"/>
  <c r="EJ366" i="11"/>
  <c r="EK366" i="11"/>
  <c r="O366" i="11"/>
  <c r="F333" i="12" s="1"/>
  <c r="G333" i="12" s="1"/>
  <c r="AJ366" i="11" l="1"/>
  <c r="J366" i="11" s="1"/>
  <c r="AD366" i="11"/>
  <c r="G366" i="11"/>
  <c r="H333" i="12" s="1"/>
  <c r="J333" i="12" s="1"/>
  <c r="EL366" i="11"/>
  <c r="K366" i="11"/>
  <c r="L333" i="12" l="1"/>
  <c r="O333" i="12" s="1"/>
  <c r="Q366" i="11"/>
  <c r="AL366" i="11"/>
  <c r="H366" i="11" s="1"/>
  <c r="K333" i="12" s="1"/>
  <c r="I333" i="12"/>
  <c r="R366" i="11"/>
  <c r="I366" i="11" l="1"/>
  <c r="P333" i="12"/>
  <c r="S333" i="12" s="1"/>
  <c r="T333" i="12" s="1"/>
  <c r="S366" i="11"/>
  <c r="U366" i="11"/>
  <c r="V366" i="11" l="1"/>
  <c r="T366" i="11"/>
  <c r="Q333" i="12"/>
  <c r="R333" i="12" l="1"/>
  <c r="U333" i="12" s="1"/>
  <c r="X333" i="12" s="1"/>
  <c r="Z367" i="11"/>
  <c r="F367" i="11" l="1"/>
  <c r="EB367" i="11"/>
  <c r="AC367" i="11"/>
  <c r="ED367" i="11" l="1"/>
  <c r="EE367" i="11" s="1"/>
  <c r="E334" i="12"/>
  <c r="AE367" i="11"/>
  <c r="AF367" i="11"/>
  <c r="EG367" i="11" l="1"/>
  <c r="EF367" i="11" s="1"/>
  <c r="O367" i="11"/>
  <c r="F334" i="12" s="1"/>
  <c r="G334" i="12" s="1"/>
  <c r="AG367" i="11"/>
  <c r="G367" i="11" s="1"/>
  <c r="H334" i="12" s="1"/>
  <c r="EK367" i="11"/>
  <c r="EJ367" i="11"/>
  <c r="AJ367" i="11" l="1"/>
  <c r="J367" i="11" s="1"/>
  <c r="Q367" i="11" s="1"/>
  <c r="AK367" i="11"/>
  <c r="K367" i="11" s="1"/>
  <c r="R367" i="11" s="1"/>
  <c r="AD367" i="11"/>
  <c r="EL367" i="11"/>
  <c r="I334" i="12"/>
  <c r="L334" i="12"/>
  <c r="O334" i="12" s="1"/>
  <c r="J334" i="12"/>
  <c r="AL367" i="11" l="1"/>
  <c r="H367" i="11" s="1"/>
  <c r="I367" i="11" s="1"/>
  <c r="K334" i="12" l="1"/>
  <c r="P334" i="12"/>
  <c r="U367" i="11"/>
  <c r="S367" i="11"/>
  <c r="S334" i="12" l="1"/>
  <c r="T334" i="12" s="1"/>
  <c r="V367" i="11"/>
  <c r="Q334" i="12"/>
  <c r="T367" i="11"/>
  <c r="R334" i="12" l="1"/>
  <c r="U334" i="12" s="1"/>
  <c r="X334" i="12" s="1"/>
  <c r="Z368" i="11"/>
  <c r="F368" i="11" l="1"/>
  <c r="EB368" i="11"/>
  <c r="AC368" i="11"/>
  <c r="ED368" i="11" l="1"/>
  <c r="EE368" i="11" s="1"/>
  <c r="E335" i="12"/>
  <c r="AE368" i="11"/>
  <c r="AF368" i="11"/>
  <c r="AG368" i="11" l="1"/>
  <c r="EG368" i="11"/>
  <c r="EF368" i="11" s="1"/>
  <c r="O368" i="11"/>
  <c r="F335" i="12" s="1"/>
  <c r="G335" i="12" s="1"/>
  <c r="AD368" i="11"/>
  <c r="AK368" i="11"/>
  <c r="AJ368" i="11"/>
  <c r="EJ368" i="11" l="1"/>
  <c r="J368" i="11" s="1"/>
  <c r="G368" i="11"/>
  <c r="H335" i="12" s="1"/>
  <c r="I335" i="12" s="1"/>
  <c r="EK368" i="11"/>
  <c r="EL368" i="11" s="1"/>
  <c r="AL368" i="11"/>
  <c r="L335" i="12" l="1"/>
  <c r="O335" i="12" s="1"/>
  <c r="J335" i="12"/>
  <c r="Q368" i="11"/>
  <c r="K368" i="11"/>
  <c r="R368" i="11" s="1"/>
  <c r="H368" i="11"/>
  <c r="K335" i="12" s="1"/>
  <c r="I368" i="11" l="1"/>
  <c r="P335" i="12" s="1"/>
  <c r="S335" i="12" s="1"/>
  <c r="T335" i="12" s="1"/>
  <c r="S368" i="11" l="1"/>
  <c r="T368" i="11" s="1"/>
  <c r="U368" i="11"/>
  <c r="V368" i="11" s="1"/>
  <c r="Q335" i="12" l="1"/>
  <c r="R335" i="12"/>
  <c r="U335" i="12" s="1"/>
  <c r="X335" i="12" s="1"/>
  <c r="Z369" i="11"/>
  <c r="F369" i="11" l="1"/>
  <c r="EB369" i="11"/>
  <c r="AC369" i="11"/>
  <c r="ED369" i="11" l="1"/>
  <c r="EE369" i="11" s="1"/>
  <c r="E336" i="12"/>
  <c r="AE369" i="11"/>
  <c r="AF369" i="11"/>
  <c r="AG369" i="11" l="1"/>
  <c r="EG369" i="11"/>
  <c r="EF369" i="11" s="1"/>
  <c r="O369" i="11"/>
  <c r="F336" i="12" s="1"/>
  <c r="G336" i="12" s="1"/>
  <c r="AD369" i="11"/>
  <c r="G369" i="11"/>
  <c r="H336" i="12" s="1"/>
  <c r="AK369" i="11"/>
  <c r="AJ369" i="11"/>
  <c r="EJ369" i="11" l="1"/>
  <c r="J369" i="11" s="1"/>
  <c r="Q369" i="11" s="1"/>
  <c r="EK369" i="11"/>
  <c r="AL369" i="11"/>
  <c r="L336" i="12"/>
  <c r="O336" i="12" s="1"/>
  <c r="J336" i="12"/>
  <c r="I336" i="12"/>
  <c r="EL369" i="11" l="1"/>
  <c r="H369" i="11" s="1"/>
  <c r="K336" i="12" s="1"/>
  <c r="K369" i="11"/>
  <c r="R369" i="11" s="1"/>
  <c r="I369" i="11" l="1"/>
  <c r="P336" i="12" s="1"/>
  <c r="S336" i="12" s="1"/>
  <c r="T336" i="12" s="1"/>
  <c r="U369" i="11" l="1"/>
  <c r="V369" i="11" s="1"/>
  <c r="S369" i="11"/>
  <c r="T369" i="11" s="1"/>
  <c r="Q336" i="12" l="1"/>
  <c r="R336" i="12"/>
  <c r="Z370" i="11"/>
  <c r="U336" i="12" l="1"/>
  <c r="X336" i="12" s="1"/>
  <c r="F370" i="11"/>
  <c r="EB370" i="11"/>
  <c r="AC370" i="11"/>
  <c r="E337" i="12" l="1"/>
  <c r="AE370" i="11"/>
  <c r="AF370" i="11"/>
  <c r="ED370" i="11"/>
  <c r="EE370" i="11" s="1"/>
  <c r="EG370" i="11" s="1"/>
  <c r="EF370" i="11" s="1"/>
  <c r="AG370" i="11" l="1"/>
  <c r="AK370" i="11" s="1"/>
  <c r="EK370" i="11"/>
  <c r="EJ370" i="11"/>
  <c r="O370" i="11"/>
  <c r="F337" i="12" s="1"/>
  <c r="AJ370" i="11"/>
  <c r="J370" i="11" s="1"/>
  <c r="G370" i="11"/>
  <c r="H337" i="12" s="1"/>
  <c r="AD370" i="11"/>
  <c r="EL370" i="11" l="1"/>
  <c r="K370" i="11"/>
  <c r="R370" i="11" s="1"/>
  <c r="I337" i="12"/>
  <c r="J337" i="12"/>
  <c r="L337" i="12"/>
  <c r="O337" i="12" s="1"/>
  <c r="G337" i="12"/>
  <c r="Q370" i="11"/>
  <c r="AL370" i="11"/>
  <c r="H370" i="11" s="1"/>
  <c r="K337" i="12" l="1"/>
  <c r="I370" i="11"/>
  <c r="P337" i="12" l="1"/>
  <c r="S337" i="12" s="1"/>
  <c r="T337" i="12" s="1"/>
  <c r="U370" i="11"/>
  <c r="S370" i="11"/>
  <c r="T370" i="11" l="1"/>
  <c r="Q337" i="12"/>
  <c r="V370" i="11"/>
  <c r="R337" i="12" l="1"/>
  <c r="U337" i="12" s="1"/>
  <c r="X337" i="12" s="1"/>
  <c r="Z371" i="11"/>
  <c r="F371" i="11" l="1"/>
  <c r="EB371" i="11"/>
  <c r="AC371" i="11"/>
  <c r="E338" i="12" l="1"/>
  <c r="AE371" i="11"/>
  <c r="AF371" i="11"/>
  <c r="ED371" i="11"/>
  <c r="EE371" i="11" s="1"/>
  <c r="EG371" i="11" s="1"/>
  <c r="EF371" i="11" s="1"/>
  <c r="AG371" i="11" l="1"/>
  <c r="G371" i="11" s="1"/>
  <c r="H338" i="12" s="1"/>
  <c r="EK371" i="11"/>
  <c r="EJ371" i="11"/>
  <c r="O371" i="11"/>
  <c r="F338" i="12" s="1"/>
  <c r="G338" i="12" s="1"/>
  <c r="AD371" i="11" l="1"/>
  <c r="AK371" i="11"/>
  <c r="K371" i="11" s="1"/>
  <c r="R371" i="11" s="1"/>
  <c r="AJ371" i="11"/>
  <c r="J371" i="11" s="1"/>
  <c r="Q371" i="11" s="1"/>
  <c r="EL371" i="11"/>
  <c r="L338" i="12"/>
  <c r="O338" i="12" s="1"/>
  <c r="J338" i="12"/>
  <c r="I338" i="12"/>
  <c r="AL371" i="11" l="1"/>
  <c r="H371" i="11" s="1"/>
  <c r="K338" i="12" s="1"/>
  <c r="I371" i="11" l="1"/>
  <c r="P338" i="12"/>
  <c r="S338" i="12" s="1"/>
  <c r="T338" i="12" s="1"/>
  <c r="S371" i="11"/>
  <c r="U371" i="11"/>
  <c r="V371" i="11" l="1"/>
  <c r="Q338" i="12"/>
  <c r="T371" i="11"/>
  <c r="R338" i="12" l="1"/>
  <c r="U338" i="12" s="1"/>
  <c r="X338" i="12" s="1"/>
  <c r="Z372" i="11"/>
  <c r="F372" i="11" l="1"/>
  <c r="EB372" i="11"/>
  <c r="AC372" i="11"/>
  <c r="ED372" i="11" l="1"/>
  <c r="EE372" i="11" s="1"/>
  <c r="E339" i="12"/>
  <c r="AE372" i="11"/>
  <c r="AF372" i="11"/>
  <c r="EG372" i="11" l="1"/>
  <c r="EF372" i="11" s="1"/>
  <c r="O372" i="11"/>
  <c r="F339" i="12" s="1"/>
  <c r="G339" i="12" s="1"/>
  <c r="AG372" i="11"/>
  <c r="AK372" i="11" s="1"/>
  <c r="EJ372" i="11"/>
  <c r="EK372" i="11"/>
  <c r="G372" i="11" l="1"/>
  <c r="H339" i="12" s="1"/>
  <c r="I339" i="12" s="1"/>
  <c r="AJ372" i="11"/>
  <c r="J372" i="11" s="1"/>
  <c r="Q372" i="11" s="1"/>
  <c r="AD372" i="11"/>
  <c r="EL372" i="11"/>
  <c r="K372" i="11"/>
  <c r="R372" i="11" s="1"/>
  <c r="AL372" i="11" l="1"/>
  <c r="H372" i="11" s="1"/>
  <c r="K339" i="12" s="1"/>
  <c r="J339" i="12"/>
  <c r="L339" i="12"/>
  <c r="O339" i="12" s="1"/>
  <c r="I372" i="11" l="1"/>
  <c r="P339" i="12" s="1"/>
  <c r="S339" i="12" s="1"/>
  <c r="T339" i="12" s="1"/>
  <c r="U372" i="11" l="1"/>
  <c r="V372" i="11" s="1"/>
  <c r="S372" i="11"/>
  <c r="T372" i="11" s="1"/>
  <c r="R339" i="12" s="1"/>
  <c r="Z373" i="11"/>
  <c r="Q339" i="12" l="1"/>
  <c r="U339" i="12" s="1"/>
  <c r="X339" i="12" s="1"/>
  <c r="F373" i="11"/>
  <c r="EB373" i="11"/>
  <c r="AC373" i="11"/>
  <c r="E340" i="12" l="1"/>
  <c r="AE373" i="11"/>
  <c r="AF373" i="11"/>
  <c r="ED373" i="11"/>
  <c r="EE373" i="11" s="1"/>
  <c r="EG373" i="11" s="1"/>
  <c r="EF373" i="11" s="1"/>
  <c r="AG373" i="11" l="1"/>
  <c r="AD373" i="11" s="1"/>
  <c r="EK373" i="11"/>
  <c r="EJ373" i="11"/>
  <c r="O373" i="11"/>
  <c r="F340" i="12" s="1"/>
  <c r="EL373" i="11" l="1"/>
  <c r="AK373" i="11"/>
  <c r="K373" i="11" s="1"/>
  <c r="AJ373" i="11"/>
  <c r="G373" i="11"/>
  <c r="H340" i="12" s="1"/>
  <c r="J340" i="12" s="1"/>
  <c r="G340" i="12"/>
  <c r="J373" i="11"/>
  <c r="Q373" i="11" s="1"/>
  <c r="AL373" i="11"/>
  <c r="H373" i="11" l="1"/>
  <c r="R373" i="11"/>
  <c r="L340" i="12"/>
  <c r="O340" i="12" s="1"/>
  <c r="I340" i="12"/>
  <c r="I373" i="11"/>
  <c r="K340" i="12"/>
  <c r="P340" i="12" l="1"/>
  <c r="S340" i="12" s="1"/>
  <c r="T340" i="12" s="1"/>
  <c r="U373" i="11"/>
  <c r="S373" i="11"/>
  <c r="T373" i="11" l="1"/>
  <c r="Q340" i="12"/>
  <c r="V373" i="11"/>
  <c r="R340" i="12" l="1"/>
  <c r="U340" i="12" s="1"/>
  <c r="X340" i="12" s="1"/>
  <c r="Z374" i="11"/>
  <c r="F374" i="11" l="1"/>
  <c r="EB374" i="11"/>
  <c r="AC374" i="11"/>
  <c r="E341" i="12" l="1"/>
  <c r="AE374" i="11"/>
  <c r="AF374" i="11"/>
  <c r="ED374" i="11"/>
  <c r="EE374" i="11" s="1"/>
  <c r="EG374" i="11" s="1"/>
  <c r="EF374" i="11" s="1"/>
  <c r="AG374" i="11" l="1"/>
  <c r="G374" i="11" s="1"/>
  <c r="H341" i="12" s="1"/>
  <c r="O374" i="11"/>
  <c r="F341" i="12" s="1"/>
  <c r="G341" i="12" s="1"/>
  <c r="EK374" i="11"/>
  <c r="EJ374" i="11"/>
  <c r="AK374" i="11" l="1"/>
  <c r="K374" i="11" s="1"/>
  <c r="R374" i="11" s="1"/>
  <c r="AJ374" i="11"/>
  <c r="J374" i="11" s="1"/>
  <c r="Q374" i="11" s="1"/>
  <c r="AD374" i="11"/>
  <c r="I341" i="12"/>
  <c r="EL374" i="11"/>
  <c r="J341" i="12"/>
  <c r="L341" i="12"/>
  <c r="O341" i="12" s="1"/>
  <c r="AL374" i="11" l="1"/>
  <c r="H374" i="11" s="1"/>
  <c r="I374" i="11" s="1"/>
  <c r="K341" i="12" l="1"/>
  <c r="P341" i="12"/>
  <c r="S374" i="11"/>
  <c r="U374" i="11"/>
  <c r="S341" i="12" l="1"/>
  <c r="T341" i="12" s="1"/>
  <c r="V374" i="11"/>
  <c r="Q341" i="12"/>
  <c r="T374" i="11"/>
  <c r="R341" i="12" l="1"/>
  <c r="U341" i="12" s="1"/>
  <c r="X341" i="12" s="1"/>
  <c r="Z375" i="11"/>
  <c r="F375" i="11" l="1"/>
  <c r="EB375" i="11"/>
  <c r="AC375" i="11"/>
  <c r="ED375" i="11" l="1"/>
  <c r="EE375" i="11" s="1"/>
  <c r="E342" i="12"/>
  <c r="AE375" i="11"/>
  <c r="AF375" i="11"/>
  <c r="AG375" i="11" l="1"/>
  <c r="AK375" i="11" s="1"/>
  <c r="EG375" i="11"/>
  <c r="EF375" i="11" s="1"/>
  <c r="O375" i="11"/>
  <c r="F342" i="12" s="1"/>
  <c r="G342" i="12" s="1"/>
  <c r="G375" i="11" l="1"/>
  <c r="H342" i="12" s="1"/>
  <c r="J342" i="12" s="1"/>
  <c r="AD375" i="11"/>
  <c r="AJ375" i="11"/>
  <c r="AL375" i="11" s="1"/>
  <c r="EK375" i="11"/>
  <c r="K375" i="11" s="1"/>
  <c r="EJ375" i="11"/>
  <c r="L342" i="12" l="1"/>
  <c r="O342" i="12" s="1"/>
  <c r="R375" i="11"/>
  <c r="I342" i="12"/>
  <c r="J375" i="11"/>
  <c r="Q375" i="11" s="1"/>
  <c r="EL375" i="11"/>
  <c r="H375" i="11" s="1"/>
  <c r="K342" i="12" s="1"/>
  <c r="I375" i="11" l="1"/>
  <c r="P342" i="12" s="1"/>
  <c r="S342" i="12" s="1"/>
  <c r="T342" i="12" s="1"/>
  <c r="S375" i="11" l="1"/>
  <c r="T375" i="11" s="1"/>
  <c r="U375" i="11"/>
  <c r="V375" i="11" s="1"/>
  <c r="Q342" i="12" l="1"/>
  <c r="R342" i="12"/>
  <c r="U342" i="12" s="1"/>
  <c r="X342" i="12" s="1"/>
  <c r="Z376" i="11"/>
  <c r="F376" i="11" l="1"/>
  <c r="EB376" i="11"/>
  <c r="AC376" i="11"/>
  <c r="ED376" i="11" l="1"/>
  <c r="EE376" i="11" s="1"/>
  <c r="E343" i="12"/>
  <c r="AE376" i="11"/>
  <c r="AF376" i="11"/>
  <c r="EG376" i="11" l="1"/>
  <c r="EF376" i="11" s="1"/>
  <c r="O376" i="11"/>
  <c r="F343" i="12" s="1"/>
  <c r="G343" i="12" s="1"/>
  <c r="AG376" i="11"/>
  <c r="AK376" i="11" s="1"/>
  <c r="EJ376" i="11"/>
  <c r="EK376" i="11" l="1"/>
  <c r="AD376" i="11"/>
  <c r="G376" i="11"/>
  <c r="H343" i="12" s="1"/>
  <c r="I343" i="12" s="1"/>
  <c r="AJ376" i="11"/>
  <c r="J376" i="11" s="1"/>
  <c r="Q376" i="11" s="1"/>
  <c r="K376" i="11"/>
  <c r="R376" i="11" s="1"/>
  <c r="EL376" i="11"/>
  <c r="L343" i="12" l="1"/>
  <c r="O343" i="12" s="1"/>
  <c r="J343" i="12"/>
  <c r="AL376" i="11"/>
  <c r="H376" i="11" s="1"/>
  <c r="I376" i="11" s="1"/>
  <c r="K343" i="12" l="1"/>
  <c r="P343" i="12"/>
  <c r="S343" i="12" s="1"/>
  <c r="T343" i="12" s="1"/>
  <c r="S376" i="11"/>
  <c r="U376" i="11"/>
  <c r="V376" i="11" l="1"/>
  <c r="T376" i="11"/>
  <c r="Q343" i="12"/>
  <c r="Z377" i="11" l="1"/>
  <c r="R343" i="12"/>
  <c r="U343" i="12" s="1"/>
  <c r="X343" i="12" s="1"/>
  <c r="F377" i="11" l="1"/>
  <c r="EB377" i="11"/>
  <c r="AC377" i="11"/>
  <c r="ED377" i="11" l="1"/>
  <c r="EE377" i="11" s="1"/>
  <c r="E344" i="12"/>
  <c r="AE377" i="11"/>
  <c r="AF377" i="11"/>
  <c r="EG377" i="11" l="1"/>
  <c r="EF377" i="11" s="1"/>
  <c r="O377" i="11"/>
  <c r="F344" i="12" s="1"/>
  <c r="G344" i="12" s="1"/>
  <c r="AG377" i="11"/>
  <c r="AK377" i="11" s="1"/>
  <c r="EJ377" i="11" l="1"/>
  <c r="AD377" i="11"/>
  <c r="AJ377" i="11"/>
  <c r="J377" i="11" s="1"/>
  <c r="G377" i="11"/>
  <c r="H344" i="12" s="1"/>
  <c r="I344" i="12" s="1"/>
  <c r="EK377" i="11"/>
  <c r="K377" i="11" s="1"/>
  <c r="R377" i="11" s="1"/>
  <c r="Q377" i="11" l="1"/>
  <c r="AL377" i="11"/>
  <c r="EL377" i="11"/>
  <c r="J344" i="12"/>
  <c r="L344" i="12"/>
  <c r="O344" i="12" s="1"/>
  <c r="H377" i="11" l="1"/>
  <c r="K344" i="12" s="1"/>
  <c r="I377" i="11" l="1"/>
  <c r="P344" i="12" s="1"/>
  <c r="S344" i="12" s="1"/>
  <c r="T344" i="12" s="1"/>
  <c r="U377" i="11" l="1"/>
  <c r="V377" i="11" s="1"/>
  <c r="S377" i="11"/>
  <c r="Q344" i="12" s="1"/>
  <c r="T377" i="11" l="1"/>
  <c r="R344" i="12" l="1"/>
  <c r="U344" i="12" s="1"/>
  <c r="X344" i="12" s="1"/>
  <c r="Z378" i="11"/>
  <c r="AC378" i="11" l="1"/>
  <c r="F378" i="11"/>
  <c r="EB378" i="11"/>
  <c r="ED378" i="11" s="1"/>
  <c r="EE378" i="11" s="1"/>
  <c r="EG378" i="11" s="1"/>
  <c r="EF378" i="11" s="1"/>
  <c r="O378" i="11" l="1"/>
  <c r="EJ378" i="11"/>
  <c r="EK378" i="11"/>
  <c r="E345" i="12"/>
  <c r="AF378" i="11"/>
  <c r="AE378" i="11"/>
  <c r="AG378" i="11" s="1"/>
  <c r="G378" i="11" s="1"/>
  <c r="H345" i="12" s="1"/>
  <c r="L345" i="12" s="1"/>
  <c r="O345" i="12" s="1"/>
  <c r="EL378" i="11" l="1"/>
  <c r="AD378" i="11"/>
  <c r="AK378" i="11"/>
  <c r="K378" i="11" s="1"/>
  <c r="R378" i="11" s="1"/>
  <c r="AJ378" i="11"/>
  <c r="J378" i="11" s="1"/>
  <c r="Q378" i="11" s="1"/>
  <c r="F345" i="12"/>
  <c r="G345" i="12" s="1"/>
  <c r="AL378" i="11" l="1"/>
  <c r="H378" i="11" s="1"/>
  <c r="I378" i="11" s="1"/>
  <c r="J345" i="12"/>
  <c r="I345" i="12"/>
  <c r="K345" i="12"/>
  <c r="P345" i="12"/>
  <c r="S378" i="11"/>
  <c r="U378" i="11"/>
  <c r="S345" i="12" l="1"/>
  <c r="T345" i="12" s="1"/>
  <c r="V378" i="11"/>
  <c r="Q345" i="12"/>
  <c r="T378" i="11"/>
  <c r="R345" i="12" l="1"/>
  <c r="U345" i="12" s="1"/>
  <c r="X345" i="12" s="1"/>
  <c r="Z379" i="11"/>
  <c r="F379" i="11" l="1"/>
  <c r="EB379" i="11"/>
  <c r="AC379" i="11"/>
  <c r="E346" i="12" l="1"/>
  <c r="AE379" i="11"/>
  <c r="AF379" i="11"/>
  <c r="ED379" i="11"/>
  <c r="EE379" i="11" s="1"/>
  <c r="EG379" i="11" s="1"/>
  <c r="EF379" i="11" s="1"/>
  <c r="AG379" i="11" l="1"/>
  <c r="G379" i="11" s="1"/>
  <c r="H346" i="12" s="1"/>
  <c r="EK379" i="11"/>
  <c r="EJ379" i="11"/>
  <c r="O379" i="11"/>
  <c r="F346" i="12" s="1"/>
  <c r="G346" i="12" s="1"/>
  <c r="AD379" i="11" l="1"/>
  <c r="AK379" i="11"/>
  <c r="K379" i="11" s="1"/>
  <c r="R379" i="11" s="1"/>
  <c r="AJ379" i="11"/>
  <c r="J379" i="11" s="1"/>
  <c r="Q379" i="11" s="1"/>
  <c r="I346" i="12"/>
  <c r="EL379" i="11"/>
  <c r="L346" i="12"/>
  <c r="O346" i="12" s="1"/>
  <c r="J346" i="12"/>
  <c r="AL379" i="11" l="1"/>
  <c r="H379" i="11" s="1"/>
  <c r="K346" i="12" s="1"/>
  <c r="I379" i="11" l="1"/>
  <c r="P346" i="12" s="1"/>
  <c r="S346" i="12" s="1"/>
  <c r="T346" i="12" s="1"/>
  <c r="S379" i="11" l="1"/>
  <c r="T379" i="11" s="1"/>
  <c r="U379" i="11"/>
  <c r="V379" i="11" s="1"/>
  <c r="Q346" i="12" l="1"/>
  <c r="R346" i="12"/>
  <c r="Z380" i="11"/>
  <c r="U346" i="12" l="1"/>
  <c r="X346" i="12" s="1"/>
  <c r="F380" i="11"/>
  <c r="EB380" i="11"/>
  <c r="AC380" i="11"/>
  <c r="E347" i="12" l="1"/>
  <c r="AE380" i="11"/>
  <c r="AF380" i="11"/>
  <c r="ED380" i="11"/>
  <c r="EE380" i="11" s="1"/>
  <c r="EG380" i="11" s="1"/>
  <c r="EF380" i="11" s="1"/>
  <c r="AG380" i="11" l="1"/>
  <c r="AJ380" i="11" s="1"/>
  <c r="EK380" i="11"/>
  <c r="EJ380" i="11"/>
  <c r="G380" i="11"/>
  <c r="H347" i="12" s="1"/>
  <c r="AD380" i="11"/>
  <c r="O380" i="11"/>
  <c r="F347" i="12" s="1"/>
  <c r="I347" i="12" s="1"/>
  <c r="J380" i="11" l="1"/>
  <c r="Q380" i="11" s="1"/>
  <c r="EL380" i="11"/>
  <c r="AK380" i="11"/>
  <c r="K380" i="11" s="1"/>
  <c r="R380" i="11" s="1"/>
  <c r="L347" i="12"/>
  <c r="O347" i="12" s="1"/>
  <c r="J347" i="12"/>
  <c r="G347" i="12"/>
  <c r="AL380" i="11" l="1"/>
  <c r="H380" i="11" s="1"/>
  <c r="I380" i="11" s="1"/>
  <c r="K347" i="12" l="1"/>
  <c r="P347" i="12"/>
  <c r="S380" i="11"/>
  <c r="U380" i="11"/>
  <c r="S347" i="12" l="1"/>
  <c r="T347" i="12" s="1"/>
  <c r="V380" i="11"/>
  <c r="T380" i="11"/>
  <c r="Q347" i="12"/>
  <c r="R347" i="12" l="1"/>
  <c r="U347" i="12" s="1"/>
  <c r="X347" i="12" s="1"/>
  <c r="Z381" i="11"/>
  <c r="F381" i="11" l="1"/>
  <c r="EB381" i="11"/>
  <c r="AC381" i="11"/>
  <c r="ED381" i="11" l="1"/>
  <c r="EE381" i="11" s="1"/>
  <c r="E348" i="12"/>
  <c r="AE381" i="11"/>
  <c r="AF381" i="11"/>
  <c r="AG381" i="11" l="1"/>
  <c r="AJ381" i="11" s="1"/>
  <c r="EG381" i="11"/>
  <c r="EF381" i="11" s="1"/>
  <c r="O381" i="11"/>
  <c r="F348" i="12" s="1"/>
  <c r="G348" i="12" s="1"/>
  <c r="AD381" i="11"/>
  <c r="AK381" i="11"/>
  <c r="EJ381" i="11" l="1"/>
  <c r="G381" i="11"/>
  <c r="H348" i="12" s="1"/>
  <c r="I348" i="12" s="1"/>
  <c r="EK381" i="11"/>
  <c r="K381" i="11" s="1"/>
  <c r="R381" i="11" s="1"/>
  <c r="AL381" i="11"/>
  <c r="J381" i="11"/>
  <c r="Q381" i="11" s="1"/>
  <c r="L348" i="12" l="1"/>
  <c r="O348" i="12" s="1"/>
  <c r="J348" i="12"/>
  <c r="EL381" i="11"/>
  <c r="H381" i="11" s="1"/>
  <c r="I381" i="11" l="1"/>
  <c r="U381" i="11" s="1"/>
  <c r="K348" i="12"/>
  <c r="P348" i="12" l="1"/>
  <c r="S348" i="12" s="1"/>
  <c r="T348" i="12" s="1"/>
  <c r="S381" i="11"/>
  <c r="Q348" i="12" s="1"/>
  <c r="V381" i="11"/>
  <c r="T381" i="11" l="1"/>
  <c r="R348" i="12" s="1"/>
  <c r="U348" i="12" s="1"/>
  <c r="X348" i="12" s="1"/>
  <c r="Z382" i="11" l="1"/>
  <c r="F382" i="11" s="1"/>
  <c r="AC382" i="11" l="1"/>
  <c r="EB382" i="11"/>
  <c r="E349" i="12"/>
  <c r="AE382" i="11"/>
  <c r="AF382" i="11"/>
  <c r="ED382" i="11"/>
  <c r="EE382" i="11" s="1"/>
  <c r="EG382" i="11" s="1"/>
  <c r="EF382" i="11" s="1"/>
  <c r="AG382" i="11" l="1"/>
  <c r="AJ382" i="11" s="1"/>
  <c r="EJ382" i="11"/>
  <c r="EK382" i="11"/>
  <c r="O382" i="11"/>
  <c r="F349" i="12" s="1"/>
  <c r="AK382" i="11" l="1"/>
  <c r="AL382" i="11" s="1"/>
  <c r="G382" i="11"/>
  <c r="H349" i="12" s="1"/>
  <c r="L349" i="12" s="1"/>
  <c r="O349" i="12" s="1"/>
  <c r="AD382" i="11"/>
  <c r="EL382" i="11"/>
  <c r="G349" i="12"/>
  <c r="J382" i="11"/>
  <c r="Q382" i="11" s="1"/>
  <c r="K382" i="11" l="1"/>
  <c r="R382" i="11" s="1"/>
  <c r="H382" i="11"/>
  <c r="K349" i="12" s="1"/>
  <c r="J349" i="12"/>
  <c r="I349" i="12"/>
  <c r="I382" i="11" l="1"/>
  <c r="P349" i="12" s="1"/>
  <c r="S349" i="12" s="1"/>
  <c r="T349" i="12" s="1"/>
  <c r="U382" i="11" l="1"/>
  <c r="V382" i="11" s="1"/>
  <c r="S382" i="11"/>
  <c r="Q349" i="12" s="1"/>
  <c r="T382" i="11" l="1"/>
  <c r="R349" i="12" s="1"/>
  <c r="U349" i="12" s="1"/>
  <c r="X349" i="12" s="1"/>
  <c r="Z383" i="11" l="1"/>
  <c r="F383" i="11" s="1"/>
  <c r="AC383" i="11" l="1"/>
  <c r="EB383" i="11"/>
  <c r="ED383" i="11" s="1"/>
  <c r="EE383" i="11" s="1"/>
  <c r="E350" i="12"/>
  <c r="AE383" i="11"/>
  <c r="AF383" i="11"/>
  <c r="EG383" i="11" l="1"/>
  <c r="EF383" i="11" s="1"/>
  <c r="O383" i="11"/>
  <c r="F350" i="12" s="1"/>
  <c r="G350" i="12" s="1"/>
  <c r="AG383" i="11"/>
  <c r="AK383" i="11" s="1"/>
  <c r="EK383" i="11" l="1"/>
  <c r="EJ383" i="11"/>
  <c r="AD383" i="11"/>
  <c r="AJ383" i="11"/>
  <c r="J383" i="11" s="1"/>
  <c r="G383" i="11"/>
  <c r="H350" i="12" s="1"/>
  <c r="I350" i="12" s="1"/>
  <c r="K383" i="11"/>
  <c r="EL383" i="11" l="1"/>
  <c r="AL383" i="11"/>
  <c r="Q383" i="11"/>
  <c r="R383" i="11"/>
  <c r="L350" i="12"/>
  <c r="O350" i="12" s="1"/>
  <c r="J350" i="12"/>
  <c r="H383" i="11" l="1"/>
  <c r="I383" i="11" s="1"/>
  <c r="P350" i="12" s="1"/>
  <c r="S383" i="11" l="1"/>
  <c r="U383" i="11"/>
  <c r="K350" i="12"/>
  <c r="S350" i="12" s="1"/>
  <c r="T350" i="12" s="1"/>
  <c r="Q350" i="12"/>
  <c r="T383" i="11"/>
  <c r="V383" i="11"/>
  <c r="R350" i="12" l="1"/>
  <c r="U350" i="12" s="1"/>
  <c r="X350" i="12" s="1"/>
  <c r="Z384" i="11"/>
  <c r="F384" i="11" l="1"/>
  <c r="EB384" i="11"/>
  <c r="AC384" i="11"/>
  <c r="ED384" i="11" l="1"/>
  <c r="EE384" i="11" s="1"/>
  <c r="E351" i="12"/>
  <c r="AE384" i="11"/>
  <c r="AF384" i="11"/>
  <c r="AG384" i="11" l="1"/>
  <c r="AJ384" i="11" s="1"/>
  <c r="EG384" i="11"/>
  <c r="EF384" i="11" s="1"/>
  <c r="O384" i="11"/>
  <c r="F351" i="12" s="1"/>
  <c r="G351" i="12" s="1"/>
  <c r="AK384" i="11" l="1"/>
  <c r="AD384" i="11"/>
  <c r="G384" i="11"/>
  <c r="H351" i="12" s="1"/>
  <c r="I351" i="12" s="1"/>
  <c r="EJ384" i="11"/>
  <c r="EK384" i="11"/>
  <c r="K384" i="11" s="1"/>
  <c r="R384" i="11" s="1"/>
  <c r="AL384" i="11"/>
  <c r="EL384" i="11" l="1"/>
  <c r="H384" i="11" s="1"/>
  <c r="L351" i="12"/>
  <c r="O351" i="12" s="1"/>
  <c r="J351" i="12"/>
  <c r="J384" i="11"/>
  <c r="Q384" i="11" s="1"/>
  <c r="I384" i="11" l="1"/>
  <c r="P351" i="12" s="1"/>
  <c r="K351" i="12"/>
  <c r="U384" i="11" l="1"/>
  <c r="V384" i="11" s="1"/>
  <c r="S384" i="11"/>
  <c r="Q351" i="12" s="1"/>
  <c r="S351" i="12"/>
  <c r="T351" i="12" s="1"/>
  <c r="T384" i="11" l="1"/>
  <c r="R351" i="12" s="1"/>
  <c r="U351" i="12" s="1"/>
  <c r="X351" i="12" s="1"/>
  <c r="Z385" i="11"/>
  <c r="F385" i="11" l="1"/>
  <c r="EB385" i="11"/>
  <c r="AC385" i="11"/>
  <c r="E352" i="12" l="1"/>
  <c r="AE385" i="11"/>
  <c r="AF385" i="11"/>
  <c r="ED385" i="11"/>
  <c r="EE385" i="11" s="1"/>
  <c r="EG385" i="11" s="1"/>
  <c r="EF385" i="11" s="1"/>
  <c r="AG385" i="11" l="1"/>
  <c r="G385" i="11" s="1"/>
  <c r="H352" i="12" s="1"/>
  <c r="EJ385" i="11"/>
  <c r="EK385" i="11"/>
  <c r="O385" i="11"/>
  <c r="F352" i="12" s="1"/>
  <c r="AK385" i="11"/>
  <c r="K385" i="11" s="1"/>
  <c r="AJ385" i="11"/>
  <c r="J385" i="11" s="1"/>
  <c r="AD385" i="11"/>
  <c r="R385" i="11" l="1"/>
  <c r="Q385" i="11"/>
  <c r="I352" i="12"/>
  <c r="EL385" i="11"/>
  <c r="G352" i="12"/>
  <c r="J352" i="12"/>
  <c r="L352" i="12"/>
  <c r="O352" i="12" s="1"/>
  <c r="AL385" i="11"/>
  <c r="H385" i="11" s="1"/>
  <c r="K352" i="12" l="1"/>
  <c r="I385" i="11"/>
  <c r="P352" i="12" l="1"/>
  <c r="S352" i="12" s="1"/>
  <c r="T352" i="12" s="1"/>
  <c r="S385" i="11"/>
  <c r="U385" i="11"/>
  <c r="V385" i="11" l="1"/>
  <c r="T385" i="11"/>
  <c r="Q352" i="12"/>
  <c r="R352" i="12" l="1"/>
  <c r="U352" i="12" s="1"/>
  <c r="X352" i="12" s="1"/>
  <c r="Z386" i="11"/>
  <c r="F386" i="11" l="1"/>
  <c r="EB386" i="11"/>
  <c r="AC386" i="11"/>
  <c r="ED386" i="11" l="1"/>
  <c r="EE386" i="11" s="1"/>
  <c r="E353" i="12"/>
  <c r="AE386" i="11"/>
  <c r="AF386" i="11"/>
  <c r="AG386" i="11" l="1"/>
  <c r="AK386" i="11" s="1"/>
  <c r="EG386" i="11"/>
  <c r="EF386" i="11" s="1"/>
  <c r="O386" i="11"/>
  <c r="F353" i="12" s="1"/>
  <c r="G353" i="12" s="1"/>
  <c r="AJ386" i="11" l="1"/>
  <c r="AL386" i="11" s="1"/>
  <c r="EK386" i="11"/>
  <c r="EJ386" i="11"/>
  <c r="AD386" i="11"/>
  <c r="G386" i="11"/>
  <c r="H353" i="12" s="1"/>
  <c r="I353" i="12" s="1"/>
  <c r="K386" i="11"/>
  <c r="J386" i="11" l="1"/>
  <c r="Q386" i="11" s="1"/>
  <c r="EL386" i="11"/>
  <c r="H386" i="11" s="1"/>
  <c r="J353" i="12"/>
  <c r="R386" i="11"/>
  <c r="L353" i="12"/>
  <c r="O353" i="12" s="1"/>
  <c r="K353" i="12" l="1"/>
  <c r="I386" i="11"/>
  <c r="P353" i="12" s="1"/>
  <c r="S353" i="12" l="1"/>
  <c r="T353" i="12" s="1"/>
  <c r="S386" i="11"/>
  <c r="T386" i="11" s="1"/>
  <c r="U386" i="11"/>
  <c r="V386" i="11" s="1"/>
  <c r="Q353" i="12" l="1"/>
  <c r="R353" i="12"/>
  <c r="Z387" i="11"/>
  <c r="U353" i="12" l="1"/>
  <c r="X353" i="12" s="1"/>
  <c r="F387" i="11"/>
  <c r="EB387" i="11"/>
  <c r="AC387" i="11"/>
  <c r="E354" i="12" l="1"/>
  <c r="AE387" i="11"/>
  <c r="AF387" i="11"/>
  <c r="ED387" i="11"/>
  <c r="EE387" i="11" s="1"/>
  <c r="EG387" i="11" s="1"/>
  <c r="EF387" i="11" s="1"/>
  <c r="AG387" i="11" l="1"/>
  <c r="AK387" i="11" s="1"/>
  <c r="EJ387" i="11"/>
  <c r="EK387" i="11"/>
  <c r="O387" i="11"/>
  <c r="F354" i="12" s="1"/>
  <c r="G354" i="12" s="1"/>
  <c r="EL387" i="11" l="1"/>
  <c r="AD387" i="11"/>
  <c r="AJ387" i="11"/>
  <c r="J387" i="11" s="1"/>
  <c r="K387" i="11"/>
  <c r="G387" i="11"/>
  <c r="H354" i="12" s="1"/>
  <c r="L354" i="12" s="1"/>
  <c r="O354" i="12" s="1"/>
  <c r="AL387" i="11" l="1"/>
  <c r="H387" i="11" s="1"/>
  <c r="I387" i="11" s="1"/>
  <c r="R387" i="11"/>
  <c r="I354" i="12"/>
  <c r="Q387" i="11"/>
  <c r="J354" i="12"/>
  <c r="K354" i="12" l="1"/>
  <c r="P354" i="12"/>
  <c r="S387" i="11"/>
  <c r="U387" i="11"/>
  <c r="S354" i="12" l="1"/>
  <c r="T354" i="12" s="1"/>
  <c r="V387" i="11"/>
  <c r="Q354" i="12"/>
  <c r="T387" i="11"/>
  <c r="R354" i="12" l="1"/>
  <c r="U354" i="12" s="1"/>
  <c r="X354" i="12" s="1"/>
  <c r="Z388" i="11"/>
  <c r="F388" i="11" l="1"/>
  <c r="EB388" i="11"/>
  <c r="AC388" i="11"/>
  <c r="ED388" i="11" l="1"/>
  <c r="EE388" i="11" s="1"/>
  <c r="E355" i="12"/>
  <c r="AE388" i="11"/>
  <c r="AF388" i="11"/>
  <c r="EG388" i="11" l="1"/>
  <c r="EF388" i="11" s="1"/>
  <c r="O388" i="11"/>
  <c r="F355" i="12" s="1"/>
  <c r="G355" i="12" s="1"/>
  <c r="AG388" i="11"/>
  <c r="AD388" i="11" s="1"/>
  <c r="EJ388" i="11" l="1"/>
  <c r="EK388" i="11"/>
  <c r="AJ388" i="11"/>
  <c r="J388" i="11" s="1"/>
  <c r="G388" i="11"/>
  <c r="H355" i="12" s="1"/>
  <c r="L355" i="12" s="1"/>
  <c r="O355" i="12" s="1"/>
  <c r="AK388" i="11"/>
  <c r="K388" i="11" s="1"/>
  <c r="R388" i="11" s="1"/>
  <c r="Q388" i="11" l="1"/>
  <c r="EL388" i="11"/>
  <c r="J355" i="12"/>
  <c r="I355" i="12"/>
  <c r="AL388" i="11"/>
  <c r="H388" i="11" s="1"/>
  <c r="K355" i="12" s="1"/>
  <c r="I388" i="11" l="1"/>
  <c r="P355" i="12" s="1"/>
  <c r="S355" i="12" s="1"/>
  <c r="T355" i="12" s="1"/>
  <c r="S388" i="11" l="1"/>
  <c r="Q355" i="12" s="1"/>
  <c r="U388" i="11"/>
  <c r="V388" i="11" s="1"/>
  <c r="T388" i="11" l="1"/>
  <c r="R355" i="12" s="1"/>
  <c r="U355" i="12" s="1"/>
  <c r="X355" i="12" s="1"/>
  <c r="Z389" i="11"/>
  <c r="F389" i="11" l="1"/>
  <c r="EB389" i="11"/>
  <c r="AC389" i="11"/>
  <c r="E356" i="12" l="1"/>
  <c r="AE389" i="11"/>
  <c r="AF389" i="11"/>
  <c r="ED389" i="11"/>
  <c r="EE389" i="11" s="1"/>
  <c r="EG389" i="11" s="1"/>
  <c r="EF389" i="11" s="1"/>
  <c r="AG389" i="11" l="1"/>
  <c r="EJ389" i="11"/>
  <c r="EK389" i="11"/>
  <c r="O389" i="11"/>
  <c r="F356" i="12" s="1"/>
  <c r="AK389" i="11"/>
  <c r="G389" i="11"/>
  <c r="H356" i="12" s="1"/>
  <c r="AD389" i="11"/>
  <c r="AJ389" i="11"/>
  <c r="J389" i="11" s="1"/>
  <c r="K389" i="11" l="1"/>
  <c r="R389" i="11" s="1"/>
  <c r="I356" i="12"/>
  <c r="EL389" i="11"/>
  <c r="G356" i="12"/>
  <c r="L356" i="12"/>
  <c r="O356" i="12" s="1"/>
  <c r="J356" i="12"/>
  <c r="AL389" i="11"/>
  <c r="H389" i="11" s="1"/>
  <c r="Q389" i="11"/>
  <c r="I389" i="11" l="1"/>
  <c r="K356" i="12"/>
  <c r="P356" i="12" l="1"/>
  <c r="S356" i="12" s="1"/>
  <c r="T356" i="12" s="1"/>
  <c r="S389" i="11"/>
  <c r="U389" i="11"/>
  <c r="V389" i="11" l="1"/>
  <c r="T389" i="11"/>
  <c r="Q356" i="12"/>
  <c r="R356" i="12" l="1"/>
  <c r="U356" i="12" s="1"/>
  <c r="X356" i="12" s="1"/>
  <c r="Z390" i="11"/>
  <c r="F390" i="11" l="1"/>
  <c r="EB390" i="11"/>
  <c r="AC390" i="11"/>
  <c r="E357" i="12" l="1"/>
  <c r="AE390" i="11"/>
  <c r="AF390" i="11"/>
  <c r="ED390" i="11"/>
  <c r="EE390" i="11" s="1"/>
  <c r="EG390" i="11" s="1"/>
  <c r="EF390" i="11" s="1"/>
  <c r="AG390" i="11" l="1"/>
  <c r="AJ390" i="11" s="1"/>
  <c r="EK390" i="11"/>
  <c r="EJ390" i="11"/>
  <c r="O390" i="11"/>
  <c r="F357" i="12" s="1"/>
  <c r="G390" i="11" l="1"/>
  <c r="H357" i="12" s="1"/>
  <c r="I357" i="12" s="1"/>
  <c r="AK390" i="11"/>
  <c r="K390" i="11" s="1"/>
  <c r="J390" i="11"/>
  <c r="AD390" i="11"/>
  <c r="EL390" i="11"/>
  <c r="G357" i="12"/>
  <c r="L357" i="12" l="1"/>
  <c r="O357" i="12" s="1"/>
  <c r="J357" i="12"/>
  <c r="Q390" i="11"/>
  <c r="R390" i="11"/>
  <c r="AL390" i="11"/>
  <c r="H390" i="11" s="1"/>
  <c r="I390" i="11" s="1"/>
  <c r="K357" i="12" l="1"/>
  <c r="P357" i="12"/>
  <c r="S357" i="12" s="1"/>
  <c r="T357" i="12" s="1"/>
  <c r="U390" i="11"/>
  <c r="S390" i="11"/>
  <c r="Q357" i="12" l="1"/>
  <c r="T390" i="11"/>
  <c r="V390" i="11"/>
  <c r="R357" i="12" l="1"/>
  <c r="U357" i="12" s="1"/>
  <c r="X357" i="12" s="1"/>
  <c r="Z391" i="11"/>
  <c r="F391" i="11" l="1"/>
  <c r="EB391" i="11"/>
  <c r="AC391" i="11"/>
  <c r="ED391" i="11" l="1"/>
  <c r="EE391" i="11" s="1"/>
  <c r="E358" i="12"/>
  <c r="AF391" i="11"/>
  <c r="AE391" i="11"/>
  <c r="EG391" i="11" l="1"/>
  <c r="EF391" i="11" s="1"/>
  <c r="O391" i="11"/>
  <c r="F358" i="12" s="1"/>
  <c r="G358" i="12" s="1"/>
  <c r="AG391" i="11"/>
  <c r="AD391" i="11" s="1"/>
  <c r="EJ391" i="11" l="1"/>
  <c r="EK391" i="11"/>
  <c r="G391" i="11"/>
  <c r="H358" i="12" s="1"/>
  <c r="J358" i="12" s="1"/>
  <c r="AK391" i="11"/>
  <c r="K391" i="11" s="1"/>
  <c r="R391" i="11" s="1"/>
  <c r="AJ391" i="11"/>
  <c r="J391" i="11" s="1"/>
  <c r="Q391" i="11" s="1"/>
  <c r="I358" i="12" l="1"/>
  <c r="L358" i="12"/>
  <c r="O358" i="12" s="1"/>
  <c r="EL391" i="11"/>
  <c r="AL391" i="11"/>
  <c r="H391" i="11" s="1"/>
  <c r="I391" i="11" s="1"/>
  <c r="K358" i="12" l="1"/>
  <c r="P358" i="12"/>
  <c r="S358" i="12" s="1"/>
  <c r="T358" i="12" s="1"/>
  <c r="S391" i="11"/>
  <c r="U391" i="11"/>
  <c r="V391" i="11" l="1"/>
  <c r="T391" i="11"/>
  <c r="Q358" i="12"/>
  <c r="R358" i="12" l="1"/>
  <c r="U358" i="12" s="1"/>
  <c r="X358" i="12" s="1"/>
  <c r="Z392" i="11"/>
  <c r="F392" i="11" l="1"/>
  <c r="EB392" i="11"/>
  <c r="AC392" i="11"/>
  <c r="ED392" i="11" l="1"/>
  <c r="EE392" i="11" s="1"/>
  <c r="E359" i="12"/>
  <c r="AE392" i="11"/>
  <c r="AF392" i="11"/>
  <c r="EG392" i="11" l="1"/>
  <c r="EF392" i="11" s="1"/>
  <c r="O392" i="11"/>
  <c r="F359" i="12" s="1"/>
  <c r="G359" i="12" s="1"/>
  <c r="AG392" i="11"/>
  <c r="AD392" i="11" s="1"/>
  <c r="EJ392" i="11" l="1"/>
  <c r="EK392" i="11"/>
  <c r="AK392" i="11"/>
  <c r="G392" i="11"/>
  <c r="H359" i="12" s="1"/>
  <c r="I359" i="12" s="1"/>
  <c r="AJ392" i="11"/>
  <c r="J392" i="11" s="1"/>
  <c r="Q392" i="11" s="1"/>
  <c r="K392" i="11" l="1"/>
  <c r="R392" i="11" s="1"/>
  <c r="EL392" i="11"/>
  <c r="J359" i="12"/>
  <c r="L359" i="12"/>
  <c r="O359" i="12" s="1"/>
  <c r="AL392" i="11"/>
  <c r="H392" i="11" s="1"/>
  <c r="K359" i="12" s="1"/>
  <c r="I392" i="11" l="1"/>
  <c r="P359" i="12" s="1"/>
  <c r="S359" i="12" s="1"/>
  <c r="T359" i="12" s="1"/>
  <c r="S392" i="11" l="1"/>
  <c r="Q359" i="12" s="1"/>
  <c r="U392" i="11"/>
  <c r="V392" i="11" s="1"/>
  <c r="T392" i="11" l="1"/>
  <c r="R359" i="12" s="1"/>
  <c r="U359" i="12" s="1"/>
  <c r="X359" i="12" s="1"/>
  <c r="Z393" i="11" l="1"/>
  <c r="F393" i="11" s="1"/>
  <c r="AC393" i="11" l="1"/>
  <c r="EB393" i="11"/>
  <c r="E360" i="12"/>
  <c r="AE393" i="11"/>
  <c r="AF393" i="11"/>
  <c r="ED393" i="11"/>
  <c r="EE393" i="11" s="1"/>
  <c r="EG393" i="11" s="1"/>
  <c r="EF393" i="11" s="1"/>
  <c r="AG393" i="11" l="1"/>
  <c r="AK393" i="11" s="1"/>
  <c r="O393" i="11"/>
  <c r="F360" i="12" s="1"/>
  <c r="G360" i="12" s="1"/>
  <c r="EK393" i="11"/>
  <c r="EJ393" i="11"/>
  <c r="AJ393" i="11" l="1"/>
  <c r="AL393" i="11" s="1"/>
  <c r="AD393" i="11"/>
  <c r="EL393" i="11"/>
  <c r="G393" i="11"/>
  <c r="H360" i="12" s="1"/>
  <c r="J360" i="12" s="1"/>
  <c r="K393" i="11"/>
  <c r="H393" i="11" l="1"/>
  <c r="J393" i="11"/>
  <c r="Q393" i="11" s="1"/>
  <c r="I360" i="12"/>
  <c r="R393" i="11"/>
  <c r="L360" i="12"/>
  <c r="O360" i="12" s="1"/>
  <c r="K360" i="12"/>
  <c r="I393" i="11"/>
  <c r="P360" i="12" l="1"/>
  <c r="S360" i="12" s="1"/>
  <c r="T360" i="12" s="1"/>
  <c r="U393" i="11"/>
  <c r="S393" i="11"/>
  <c r="T393" i="11" l="1"/>
  <c r="Q360" i="12"/>
  <c r="V393" i="11"/>
  <c r="R360" i="12" l="1"/>
  <c r="U360" i="12" s="1"/>
  <c r="X360" i="12" s="1"/>
  <c r="Z394" i="11"/>
  <c r="F394" i="11" l="1"/>
  <c r="EB394" i="11"/>
  <c r="AC394" i="11"/>
  <c r="ED394" i="11" l="1"/>
  <c r="EE394" i="11" s="1"/>
  <c r="E361" i="12"/>
  <c r="AE394" i="11"/>
  <c r="AF394" i="11"/>
  <c r="EG394" i="11" l="1"/>
  <c r="EF394" i="11" s="1"/>
  <c r="O394" i="11"/>
  <c r="F361" i="12" s="1"/>
  <c r="G361" i="12" s="1"/>
  <c r="AG394" i="11"/>
  <c r="AK394" i="11" s="1"/>
  <c r="G394" i="11" l="1"/>
  <c r="H361" i="12" s="1"/>
  <c r="L361" i="12" s="1"/>
  <c r="O361" i="12" s="1"/>
  <c r="EK394" i="11"/>
  <c r="AD394" i="11"/>
  <c r="EJ394" i="11"/>
  <c r="EL394" i="11" s="1"/>
  <c r="AJ394" i="11"/>
  <c r="AL394" i="11" s="1"/>
  <c r="K394" i="11"/>
  <c r="R394" i="11" s="1"/>
  <c r="J361" i="12" l="1"/>
  <c r="I361" i="12"/>
  <c r="H394" i="11"/>
  <c r="K361" i="12" s="1"/>
  <c r="J394" i="11"/>
  <c r="Q394" i="11" s="1"/>
  <c r="I394" i="11" l="1"/>
  <c r="P361" i="12" s="1"/>
  <c r="S361" i="12" s="1"/>
  <c r="T361" i="12" s="1"/>
  <c r="U394" i="11" l="1"/>
  <c r="S394" i="11"/>
  <c r="T394" i="11" s="1"/>
  <c r="V394" i="11"/>
  <c r="Q361" i="12" l="1"/>
  <c r="R361" i="12"/>
  <c r="Z395" i="11"/>
  <c r="U361" i="12" l="1"/>
  <c r="X361" i="12" s="1"/>
  <c r="F395" i="11"/>
  <c r="EB395" i="11"/>
  <c r="AC395" i="11"/>
  <c r="E362" i="12" l="1"/>
  <c r="AE395" i="11"/>
  <c r="AF395" i="11"/>
  <c r="ED395" i="11"/>
  <c r="EE395" i="11" s="1"/>
  <c r="EG395" i="11" s="1"/>
  <c r="EF395" i="11" s="1"/>
  <c r="AG395" i="11" l="1"/>
  <c r="AJ395" i="11" s="1"/>
  <c r="EK395" i="11"/>
  <c r="EJ395" i="11"/>
  <c r="O395" i="11"/>
  <c r="F362" i="12" s="1"/>
  <c r="G362" i="12" s="1"/>
  <c r="AK395" i="11" l="1"/>
  <c r="K395" i="11" s="1"/>
  <c r="G395" i="11"/>
  <c r="H362" i="12" s="1"/>
  <c r="L362" i="12" s="1"/>
  <c r="O362" i="12" s="1"/>
  <c r="J395" i="11"/>
  <c r="EL395" i="11"/>
  <c r="AD395" i="11"/>
  <c r="AL395" i="11"/>
  <c r="Q395" i="11" l="1"/>
  <c r="R395" i="11"/>
  <c r="J362" i="12"/>
  <c r="I362" i="12"/>
  <c r="H395" i="11"/>
  <c r="I395" i="11" s="1"/>
  <c r="K362" i="12" l="1"/>
  <c r="P362" i="12"/>
  <c r="U395" i="11"/>
  <c r="S395" i="11"/>
  <c r="S362" i="12" l="1"/>
  <c r="T362" i="12" s="1"/>
  <c r="Q362" i="12"/>
  <c r="T395" i="11"/>
  <c r="V395" i="11"/>
  <c r="R362" i="12" l="1"/>
  <c r="U362" i="12" s="1"/>
  <c r="X362" i="12" s="1"/>
  <c r="Z396" i="11"/>
  <c r="F396" i="11" l="1"/>
  <c r="EB396" i="11"/>
  <c r="AC396" i="11"/>
  <c r="E363" i="12" l="1"/>
  <c r="AE396" i="11"/>
  <c r="AF396" i="11"/>
  <c r="ED396" i="11"/>
  <c r="EE396" i="11" s="1"/>
  <c r="EG396" i="11" s="1"/>
  <c r="EF396" i="11" s="1"/>
  <c r="AG396" i="11" l="1"/>
  <c r="AJ396" i="11" s="1"/>
  <c r="EK396" i="11"/>
  <c r="EJ396" i="11"/>
  <c r="O396" i="11"/>
  <c r="F363" i="12" s="1"/>
  <c r="G396" i="11" l="1"/>
  <c r="H363" i="12" s="1"/>
  <c r="I363" i="12" s="1"/>
  <c r="AD396" i="11"/>
  <c r="J396" i="11"/>
  <c r="AK396" i="11"/>
  <c r="K396" i="11" s="1"/>
  <c r="EL396" i="11"/>
  <c r="G363" i="12"/>
  <c r="Q396" i="11" l="1"/>
  <c r="J363" i="12"/>
  <c r="R396" i="11"/>
  <c r="L363" i="12"/>
  <c r="O363" i="12" s="1"/>
  <c r="AL396" i="11"/>
  <c r="H396" i="11" s="1"/>
  <c r="K363" i="12" s="1"/>
  <c r="I396" i="11" l="1"/>
  <c r="P363" i="12" s="1"/>
  <c r="S363" i="12" s="1"/>
  <c r="T363" i="12" s="1"/>
  <c r="U396" i="11" l="1"/>
  <c r="S396" i="11"/>
  <c r="Q363" i="12" s="1"/>
  <c r="V396" i="11"/>
  <c r="T396" i="11"/>
  <c r="R363" i="12" l="1"/>
  <c r="U363" i="12" s="1"/>
  <c r="X363" i="12" s="1"/>
  <c r="Z397" i="11"/>
  <c r="F397" i="11" l="1"/>
  <c r="EB397" i="11"/>
  <c r="AC397" i="11"/>
  <c r="E364" i="12" l="1"/>
  <c r="AE397" i="11"/>
  <c r="AF397" i="11"/>
  <c r="ED397" i="11"/>
  <c r="EE397" i="11" s="1"/>
  <c r="EG397" i="11" s="1"/>
  <c r="EF397" i="11" s="1"/>
  <c r="AG397" i="11" l="1"/>
  <c r="AD397" i="11" s="1"/>
  <c r="EK397" i="11"/>
  <c r="EJ397" i="11"/>
  <c r="O397" i="11"/>
  <c r="F364" i="12" s="1"/>
  <c r="G364" i="12" s="1"/>
  <c r="AJ397" i="11" l="1"/>
  <c r="J397" i="11" s="1"/>
  <c r="AK397" i="11"/>
  <c r="K397" i="11" s="1"/>
  <c r="G397" i="11"/>
  <c r="H364" i="12" s="1"/>
  <c r="I364" i="12" s="1"/>
  <c r="EL397" i="11"/>
  <c r="AL397" i="11"/>
  <c r="L364" i="12" l="1"/>
  <c r="O364" i="12" s="1"/>
  <c r="J364" i="12"/>
  <c r="Q397" i="11"/>
  <c r="R397" i="11"/>
  <c r="H397" i="11"/>
  <c r="K364" i="12" s="1"/>
  <c r="I397" i="11" l="1"/>
  <c r="P364" i="12"/>
  <c r="S364" i="12" s="1"/>
  <c r="T364" i="12" s="1"/>
  <c r="U397" i="11"/>
  <c r="S397" i="11"/>
  <c r="Q364" i="12" l="1"/>
  <c r="T397" i="11"/>
  <c r="V397" i="11"/>
  <c r="R364" i="12" l="1"/>
  <c r="U364" i="12" s="1"/>
  <c r="X364" i="12" s="1"/>
  <c r="Z398" i="11"/>
  <c r="F398" i="11" l="1"/>
  <c r="EB398" i="11"/>
  <c r="AC398" i="11"/>
  <c r="E365" i="12" l="1"/>
  <c r="AE398" i="11"/>
  <c r="AF398" i="11"/>
  <c r="ED398" i="11"/>
  <c r="EE398" i="11" s="1"/>
  <c r="EG398" i="11" s="1"/>
  <c r="EF398" i="11" s="1"/>
  <c r="AG398" i="11" l="1"/>
  <c r="AJ398" i="11" s="1"/>
  <c r="EK398" i="11"/>
  <c r="EJ398" i="11"/>
  <c r="O398" i="11"/>
  <c r="F365" i="12" s="1"/>
  <c r="G365" i="12" s="1"/>
  <c r="AK398" i="11" l="1"/>
  <c r="K398" i="11" s="1"/>
  <c r="G398" i="11"/>
  <c r="H365" i="12" s="1"/>
  <c r="I365" i="12" s="1"/>
  <c r="AD398" i="11"/>
  <c r="EL398" i="11"/>
  <c r="AL398" i="11"/>
  <c r="J398" i="11"/>
  <c r="Q398" i="11" s="1"/>
  <c r="J365" i="12" l="1"/>
  <c r="L365" i="12"/>
  <c r="O365" i="12" s="1"/>
  <c r="R398" i="11"/>
  <c r="H398" i="11"/>
  <c r="K365" i="12" s="1"/>
  <c r="I398" i="11" l="1"/>
  <c r="P365" i="12" s="1"/>
  <c r="S365" i="12" s="1"/>
  <c r="T365" i="12" s="1"/>
  <c r="S398" i="11" l="1"/>
  <c r="T398" i="11" s="1"/>
  <c r="U398" i="11"/>
  <c r="V398" i="11" s="1"/>
  <c r="Q365" i="12" l="1"/>
  <c r="R365" i="12"/>
  <c r="U365" i="12" s="1"/>
  <c r="X365" i="12" s="1"/>
  <c r="Z399" i="11"/>
  <c r="F399" i="11" l="1"/>
  <c r="EB399" i="11"/>
  <c r="AC399" i="11"/>
  <c r="E366" i="12" l="1"/>
  <c r="AF399" i="11"/>
  <c r="AE399" i="11"/>
  <c r="ED399" i="11"/>
  <c r="EE399" i="11" s="1"/>
  <c r="EG399" i="11" s="1"/>
  <c r="EF399" i="11" s="1"/>
  <c r="AG399" i="11" l="1"/>
  <c r="AD399" i="11" s="1"/>
  <c r="O399" i="11"/>
  <c r="F366" i="12" s="1"/>
  <c r="G366" i="12" s="1"/>
  <c r="EK399" i="11"/>
  <c r="EJ399" i="11"/>
  <c r="AK399" i="11" l="1"/>
  <c r="K399" i="11" s="1"/>
  <c r="G399" i="11"/>
  <c r="H366" i="12" s="1"/>
  <c r="I366" i="12" s="1"/>
  <c r="AJ399" i="11"/>
  <c r="J399" i="11" s="1"/>
  <c r="Q399" i="11" s="1"/>
  <c r="EL399" i="11"/>
  <c r="J366" i="12"/>
  <c r="L366" i="12"/>
  <c r="O366" i="12" s="1"/>
  <c r="R399" i="11" l="1"/>
  <c r="AL399" i="11"/>
  <c r="H399" i="11" s="1"/>
  <c r="K366" i="12" l="1"/>
  <c r="I399" i="11"/>
  <c r="P366" i="12" s="1"/>
  <c r="S366" i="12" l="1"/>
  <c r="T366" i="12" s="1"/>
  <c r="S399" i="11"/>
  <c r="Q366" i="12" s="1"/>
  <c r="U399" i="11"/>
  <c r="V399" i="11" s="1"/>
  <c r="T399" i="11" l="1"/>
  <c r="R366" i="12" s="1"/>
  <c r="U366" i="12" s="1"/>
  <c r="X366" i="12" s="1"/>
  <c r="Z400" i="11"/>
  <c r="F400" i="11" l="1"/>
  <c r="EB400" i="11"/>
  <c r="AC400" i="11"/>
  <c r="E367" i="12" l="1"/>
  <c r="AE400" i="11"/>
  <c r="AF400" i="11"/>
  <c r="ED400" i="11"/>
  <c r="EE400" i="11" s="1"/>
  <c r="EG400" i="11" s="1"/>
  <c r="EF400" i="11" s="1"/>
  <c r="AG400" i="11" l="1"/>
  <c r="AK400" i="11" s="1"/>
  <c r="EK400" i="11"/>
  <c r="EJ400" i="11"/>
  <c r="O400" i="11"/>
  <c r="F367" i="12" s="1"/>
  <c r="G367" i="12" s="1"/>
  <c r="AD400" i="11" l="1"/>
  <c r="G400" i="11"/>
  <c r="H367" i="12" s="1"/>
  <c r="J367" i="12" s="1"/>
  <c r="EL400" i="11"/>
  <c r="AJ400" i="11"/>
  <c r="J400" i="11" s="1"/>
  <c r="Q400" i="11" s="1"/>
  <c r="K400" i="11"/>
  <c r="R400" i="11" s="1"/>
  <c r="I367" i="12" l="1"/>
  <c r="L367" i="12"/>
  <c r="O367" i="12" s="1"/>
  <c r="AL400" i="11"/>
  <c r="H400" i="11" s="1"/>
  <c r="K367" i="12" s="1"/>
  <c r="I400" i="11" l="1"/>
  <c r="P367" i="12" s="1"/>
  <c r="S367" i="12" s="1"/>
  <c r="T367" i="12" s="1"/>
  <c r="U400" i="11" l="1"/>
  <c r="V400" i="11" s="1"/>
  <c r="S400" i="11"/>
  <c r="T400" i="11" s="1"/>
  <c r="Q367" i="12" l="1"/>
  <c r="Z401" i="11"/>
  <c r="R367" i="12"/>
  <c r="U367" i="12" s="1"/>
  <c r="X367" i="12" s="1"/>
  <c r="F401" i="11" l="1"/>
  <c r="EB401" i="11"/>
  <c r="AC401" i="11"/>
  <c r="E368" i="12" l="1"/>
  <c r="AE401" i="11"/>
  <c r="AF401" i="11"/>
  <c r="ED401" i="11"/>
  <c r="EE401" i="11" s="1"/>
  <c r="EG401" i="11" s="1"/>
  <c r="EF401" i="11" s="1"/>
  <c r="AG401" i="11" l="1"/>
  <c r="AK401" i="11" s="1"/>
  <c r="EJ401" i="11"/>
  <c r="EK401" i="11"/>
  <c r="O401" i="11"/>
  <c r="F368" i="12" s="1"/>
  <c r="G368" i="12" s="1"/>
  <c r="EL401" i="11" l="1"/>
  <c r="K401" i="11"/>
  <c r="G401" i="11"/>
  <c r="H368" i="12" s="1"/>
  <c r="L368" i="12" s="1"/>
  <c r="O368" i="12" s="1"/>
  <c r="AD401" i="11"/>
  <c r="AJ401" i="11"/>
  <c r="J401" i="11" s="1"/>
  <c r="Q401" i="11" s="1"/>
  <c r="R401" i="11" l="1"/>
  <c r="I368" i="12"/>
  <c r="J368" i="12"/>
  <c r="AL401" i="11"/>
  <c r="H401" i="11" s="1"/>
  <c r="I401" i="11" s="1"/>
  <c r="K368" i="12" l="1"/>
  <c r="P368" i="12"/>
  <c r="S368" i="12" s="1"/>
  <c r="T368" i="12" s="1"/>
  <c r="U401" i="11"/>
  <c r="S401" i="11"/>
  <c r="Q368" i="12" l="1"/>
  <c r="T401" i="11"/>
  <c r="V401" i="11"/>
  <c r="R368" i="12" l="1"/>
  <c r="U368" i="12" s="1"/>
  <c r="X368" i="12" s="1"/>
  <c r="Z402" i="11"/>
  <c r="F402" i="11" l="1"/>
  <c r="EB402" i="11"/>
  <c r="AC402" i="11"/>
  <c r="ED402" i="11" l="1"/>
  <c r="EE402" i="11" s="1"/>
  <c r="E369" i="12"/>
  <c r="AE402" i="11"/>
  <c r="AF402" i="11"/>
  <c r="EG402" i="11" l="1"/>
  <c r="EF402" i="11" s="1"/>
  <c r="O402" i="11"/>
  <c r="F369" i="12" s="1"/>
  <c r="G369" i="12" s="1"/>
  <c r="AG402" i="11"/>
  <c r="AD402" i="11" s="1"/>
  <c r="EK402" i="11" l="1"/>
  <c r="EJ402" i="11"/>
  <c r="G402" i="11"/>
  <c r="H369" i="12" s="1"/>
  <c r="I369" i="12" s="1"/>
  <c r="AK402" i="11"/>
  <c r="K402" i="11" s="1"/>
  <c r="R402" i="11" s="1"/>
  <c r="AJ402" i="11"/>
  <c r="J402" i="11" s="1"/>
  <c r="Q402" i="11" s="1"/>
  <c r="J369" i="12" l="1"/>
  <c r="EL402" i="11"/>
  <c r="L369" i="12"/>
  <c r="O369" i="12" s="1"/>
  <c r="AL402" i="11"/>
  <c r="H402" i="11" s="1"/>
  <c r="I402" i="11" s="1"/>
  <c r="K369" i="12" l="1"/>
  <c r="P369" i="12"/>
  <c r="S402" i="11"/>
  <c r="U402" i="11"/>
  <c r="S369" i="12" l="1"/>
  <c r="T369" i="12" s="1"/>
  <c r="T402" i="11"/>
  <c r="Q369" i="12"/>
  <c r="V402" i="11"/>
  <c r="R369" i="12" l="1"/>
  <c r="U369" i="12" s="1"/>
  <c r="X369" i="12" s="1"/>
  <c r="Z403" i="11"/>
  <c r="F403" i="11" l="1"/>
  <c r="EB403" i="11"/>
  <c r="AC403" i="11"/>
  <c r="E370" i="12" l="1"/>
  <c r="AE403" i="11"/>
  <c r="AF403" i="11"/>
  <c r="ED403" i="11"/>
  <c r="EE403" i="11" s="1"/>
  <c r="EG403" i="11" s="1"/>
  <c r="EF403" i="11" s="1"/>
  <c r="AG403" i="11" l="1"/>
  <c r="EJ403" i="11"/>
  <c r="EK403" i="11"/>
  <c r="O403" i="11"/>
  <c r="F370" i="12" s="1"/>
  <c r="G370" i="12" s="1"/>
  <c r="AK403" i="11"/>
  <c r="K403" i="11" s="1"/>
  <c r="AD403" i="11"/>
  <c r="G403" i="11"/>
  <c r="H370" i="12" s="1"/>
  <c r="AJ403" i="11"/>
  <c r="J403" i="11" s="1"/>
  <c r="EL403" i="11" l="1"/>
  <c r="J370" i="12"/>
  <c r="L370" i="12"/>
  <c r="O370" i="12" s="1"/>
  <c r="R403" i="11"/>
  <c r="I370" i="12"/>
  <c r="AL403" i="11"/>
  <c r="H403" i="11" s="1"/>
  <c r="Q403" i="11"/>
  <c r="K370" i="12" l="1"/>
  <c r="I403" i="11"/>
  <c r="P370" i="12" l="1"/>
  <c r="S370" i="12" s="1"/>
  <c r="T370" i="12" s="1"/>
  <c r="S403" i="11"/>
  <c r="U403" i="11"/>
  <c r="V403" i="11" l="1"/>
  <c r="Q370" i="12"/>
  <c r="T403" i="11"/>
  <c r="R370" i="12" l="1"/>
  <c r="U370" i="12" s="1"/>
  <c r="X370" i="12" s="1"/>
  <c r="Z404" i="11"/>
  <c r="F404" i="11" l="1"/>
  <c r="EB404" i="11"/>
  <c r="AC404" i="11"/>
  <c r="ED404" i="11" l="1"/>
  <c r="EE404" i="11" s="1"/>
  <c r="E371" i="12"/>
  <c r="AE404" i="11"/>
  <c r="AF404" i="11"/>
  <c r="AG404" i="11" l="1"/>
  <c r="EG404" i="11"/>
  <c r="EF404" i="11" s="1"/>
  <c r="O404" i="11"/>
  <c r="F371" i="12" s="1"/>
  <c r="G371" i="12" s="1"/>
  <c r="AJ404" i="11"/>
  <c r="AD404" i="11"/>
  <c r="AK404" i="11"/>
  <c r="G404" i="11" l="1"/>
  <c r="H371" i="12" s="1"/>
  <c r="I371" i="12" s="1"/>
  <c r="EJ404" i="11"/>
  <c r="EK404" i="11"/>
  <c r="K404" i="11" s="1"/>
  <c r="R404" i="11" s="1"/>
  <c r="AL404" i="11"/>
  <c r="J371" i="12" l="1"/>
  <c r="L371" i="12"/>
  <c r="O371" i="12" s="1"/>
  <c r="EL404" i="11"/>
  <c r="H404" i="11" s="1"/>
  <c r="J404" i="11"/>
  <c r="Q404" i="11" s="1"/>
  <c r="K371" i="12" l="1"/>
  <c r="I404" i="11"/>
  <c r="P371" i="12" s="1"/>
  <c r="S371" i="12" s="1"/>
  <c r="T371" i="12" s="1"/>
  <c r="S404" i="11" l="1"/>
  <c r="Q371" i="12" s="1"/>
  <c r="U404" i="11"/>
  <c r="V404" i="11" s="1"/>
  <c r="T404" i="11" l="1"/>
  <c r="R371" i="12" s="1"/>
  <c r="U371" i="12" s="1"/>
  <c r="X371" i="12" s="1"/>
  <c r="Z405" i="11"/>
  <c r="F405" i="11" l="1"/>
  <c r="EB405" i="11"/>
  <c r="AC405" i="11"/>
  <c r="ED405" i="11" l="1"/>
  <c r="EE405" i="11" s="1"/>
  <c r="E372" i="12"/>
  <c r="AE405" i="11"/>
  <c r="AF405" i="11"/>
  <c r="EG405" i="11" l="1"/>
  <c r="EF405" i="11" s="1"/>
  <c r="O405" i="11"/>
  <c r="F372" i="12" s="1"/>
  <c r="G372" i="12" s="1"/>
  <c r="AG405" i="11"/>
  <c r="AD405" i="11" s="1"/>
  <c r="EK405" i="11"/>
  <c r="EJ405" i="11"/>
  <c r="EL405" i="11" l="1"/>
  <c r="G405" i="11"/>
  <c r="H372" i="12" s="1"/>
  <c r="I372" i="12" s="1"/>
  <c r="AJ405" i="11"/>
  <c r="J405" i="11" s="1"/>
  <c r="Q405" i="11" s="1"/>
  <c r="AK405" i="11"/>
  <c r="K405" i="11" s="1"/>
  <c r="R405" i="11" s="1"/>
  <c r="AL405" i="11" l="1"/>
  <c r="H405" i="11" s="1"/>
  <c r="K372" i="12" s="1"/>
  <c r="J372" i="12"/>
  <c r="L372" i="12"/>
  <c r="O372" i="12" s="1"/>
  <c r="I405" i="11" l="1"/>
  <c r="P372" i="12" s="1"/>
  <c r="S372" i="12" s="1"/>
  <c r="T372" i="12" s="1"/>
  <c r="U405" i="11" l="1"/>
  <c r="V405" i="11" s="1"/>
  <c r="S405" i="11"/>
  <c r="Q372" i="12" s="1"/>
  <c r="T405" i="11" l="1"/>
  <c r="R372" i="12" s="1"/>
  <c r="U372" i="12" s="1"/>
  <c r="X372" i="12" s="1"/>
  <c r="Z406" i="11"/>
  <c r="F406" i="11" l="1"/>
  <c r="EB406" i="11"/>
  <c r="AC406" i="11"/>
  <c r="ED406" i="11" l="1"/>
  <c r="EE406" i="11" s="1"/>
  <c r="E373" i="12"/>
  <c r="AE406" i="11"/>
  <c r="AF406" i="11"/>
  <c r="AG406" i="11" l="1"/>
  <c r="AK406" i="11" s="1"/>
  <c r="EG406" i="11"/>
  <c r="EF406" i="11" s="1"/>
  <c r="O406" i="11"/>
  <c r="F373" i="12" s="1"/>
  <c r="G373" i="12" s="1"/>
  <c r="G406" i="11" l="1"/>
  <c r="H373" i="12" s="1"/>
  <c r="AD406" i="11"/>
  <c r="AJ406" i="11"/>
  <c r="AL406" i="11" s="1"/>
  <c r="EK406" i="11"/>
  <c r="K406" i="11" s="1"/>
  <c r="R406" i="11" s="1"/>
  <c r="EJ406" i="11"/>
  <c r="L373" i="12"/>
  <c r="O373" i="12" s="1"/>
  <c r="J373" i="12"/>
  <c r="I373" i="12"/>
  <c r="J406" i="11" l="1"/>
  <c r="Q406" i="11" s="1"/>
  <c r="EL406" i="11"/>
  <c r="H406" i="11" s="1"/>
  <c r="I406" i="11" s="1"/>
  <c r="K373" i="12" l="1"/>
  <c r="P373" i="12"/>
  <c r="U406" i="11"/>
  <c r="S406" i="11"/>
  <c r="S373" i="12" l="1"/>
  <c r="T373" i="12" s="1"/>
  <c r="T406" i="11"/>
  <c r="Q373" i="12"/>
  <c r="V406" i="11"/>
  <c r="R373" i="12" l="1"/>
  <c r="U373" i="12" s="1"/>
  <c r="X373" i="12" s="1"/>
  <c r="Z407" i="11"/>
  <c r="F407" i="11" l="1"/>
  <c r="EB407" i="11"/>
  <c r="AC407" i="11"/>
  <c r="E374" i="12" l="1"/>
  <c r="AE407" i="11"/>
  <c r="AF407" i="11"/>
  <c r="ED407" i="11"/>
  <c r="EE407" i="11" s="1"/>
  <c r="EG407" i="11" s="1"/>
  <c r="EF407" i="11" s="1"/>
  <c r="AG407" i="11" l="1"/>
  <c r="EK407" i="11"/>
  <c r="EJ407" i="11"/>
  <c r="O407" i="11"/>
  <c r="F374" i="12" s="1"/>
  <c r="G374" i="12" s="1"/>
  <c r="AJ407" i="11"/>
  <c r="J407" i="11" s="1"/>
  <c r="G407" i="11"/>
  <c r="H374" i="12" s="1"/>
  <c r="AK407" i="11"/>
  <c r="K407" i="11" s="1"/>
  <c r="R407" i="11" s="1"/>
  <c r="AD407" i="11"/>
  <c r="EL407" i="11" l="1"/>
  <c r="Q407" i="11"/>
  <c r="I374" i="12"/>
  <c r="J374" i="12"/>
  <c r="L374" i="12"/>
  <c r="O374" i="12" s="1"/>
  <c r="AL407" i="11"/>
  <c r="H407" i="11" s="1"/>
  <c r="K374" i="12" l="1"/>
  <c r="I407" i="11"/>
  <c r="P374" i="12" l="1"/>
  <c r="S374" i="12" s="1"/>
  <c r="T374" i="12" s="1"/>
  <c r="S407" i="11"/>
  <c r="U407" i="11"/>
  <c r="T407" i="11" l="1"/>
  <c r="Q374" i="12"/>
  <c r="V407" i="11"/>
  <c r="R374" i="12" l="1"/>
  <c r="U374" i="12" s="1"/>
  <c r="X374" i="12" s="1"/>
  <c r="Z408" i="11"/>
  <c r="F408" i="11" l="1"/>
  <c r="EB408" i="11"/>
  <c r="AC408" i="11"/>
  <c r="E375" i="12" l="1"/>
  <c r="AE408" i="11"/>
  <c r="AF408" i="11"/>
  <c r="ED408" i="11"/>
  <c r="EE408" i="11" s="1"/>
  <c r="EG408" i="11" s="1"/>
  <c r="EF408" i="11" s="1"/>
  <c r="AG408" i="11" l="1"/>
  <c r="AD408" i="11" s="1"/>
  <c r="EJ408" i="11"/>
  <c r="EK408" i="11"/>
  <c r="O408" i="11"/>
  <c r="F375" i="12" s="1"/>
  <c r="G375" i="12" s="1"/>
  <c r="AJ408" i="11"/>
  <c r="J408" i="11" s="1"/>
  <c r="G408" i="11"/>
  <c r="H375" i="12" s="1"/>
  <c r="EL408" i="11" l="1"/>
  <c r="AK408" i="11"/>
  <c r="K408" i="11" s="1"/>
  <c r="R408" i="11" s="1"/>
  <c r="Q408" i="11"/>
  <c r="I375" i="12"/>
  <c r="J375" i="12"/>
  <c r="L375" i="12"/>
  <c r="O375" i="12" s="1"/>
  <c r="AL408" i="11" l="1"/>
  <c r="H408" i="11" s="1"/>
  <c r="K375" i="12" s="1"/>
  <c r="I408" i="11" l="1"/>
  <c r="P375" i="12" s="1"/>
  <c r="S375" i="12" s="1"/>
  <c r="T375" i="12" s="1"/>
  <c r="U408" i="11" l="1"/>
  <c r="V408" i="11" s="1"/>
  <c r="S408" i="11"/>
  <c r="Q375" i="12" s="1"/>
  <c r="T408" i="11" l="1"/>
  <c r="R375" i="12" s="1"/>
  <c r="U375" i="12" s="1"/>
  <c r="X375" i="12" s="1"/>
  <c r="Z409" i="11" l="1"/>
  <c r="F409" i="11" s="1"/>
  <c r="AC409" i="11" l="1"/>
  <c r="EB409" i="11"/>
  <c r="ED409" i="11" s="1"/>
  <c r="EE409" i="11" s="1"/>
  <c r="EG409" i="11" s="1"/>
  <c r="EF409" i="11" s="1"/>
  <c r="E376" i="12"/>
  <c r="AE409" i="11"/>
  <c r="AF409" i="11"/>
  <c r="AG409" i="11" l="1"/>
  <c r="AD409" i="11" s="1"/>
  <c r="EJ409" i="11"/>
  <c r="EK409" i="11"/>
  <c r="O409" i="11"/>
  <c r="F376" i="12" s="1"/>
  <c r="G376" i="12" s="1"/>
  <c r="AJ409" i="11" l="1"/>
  <c r="J409" i="11" s="1"/>
  <c r="AK409" i="11"/>
  <c r="G409" i="11"/>
  <c r="H376" i="12" s="1"/>
  <c r="L376" i="12" s="1"/>
  <c r="O376" i="12" s="1"/>
  <c r="EL409" i="11"/>
  <c r="AL409" i="11"/>
  <c r="K409" i="11"/>
  <c r="R409" i="11" s="1"/>
  <c r="I376" i="12" l="1"/>
  <c r="H409" i="11"/>
  <c r="I409" i="11" s="1"/>
  <c r="J376" i="12"/>
  <c r="Q409" i="11"/>
  <c r="K376" i="12"/>
  <c r="P376" i="12" l="1"/>
  <c r="S376" i="12" s="1"/>
  <c r="T376" i="12" s="1"/>
  <c r="S409" i="11"/>
  <c r="U409" i="11"/>
  <c r="V409" i="11" l="1"/>
  <c r="T409" i="11"/>
  <c r="Q376" i="12"/>
  <c r="R376" i="12" l="1"/>
  <c r="U376" i="12" s="1"/>
  <c r="X376" i="12" s="1"/>
  <c r="Z410" i="11"/>
  <c r="F410" i="11" l="1"/>
  <c r="EB410" i="11"/>
  <c r="AC410" i="11"/>
  <c r="E377" i="12" l="1"/>
  <c r="AE410" i="11"/>
  <c r="AF410" i="11"/>
  <c r="ED410" i="11"/>
  <c r="EE410" i="11" s="1"/>
  <c r="EG410" i="11" s="1"/>
  <c r="EF410" i="11" s="1"/>
  <c r="AG410" i="11" l="1"/>
  <c r="AK410" i="11" s="1"/>
  <c r="EK410" i="11"/>
  <c r="EJ410" i="11"/>
  <c r="O410" i="11"/>
  <c r="F377" i="12" s="1"/>
  <c r="G377" i="12" s="1"/>
  <c r="K410" i="11" l="1"/>
  <c r="EL410" i="11"/>
  <c r="G410" i="11"/>
  <c r="H377" i="12" s="1"/>
  <c r="L377" i="12" s="1"/>
  <c r="O377" i="12" s="1"/>
  <c r="AJ410" i="11"/>
  <c r="J410" i="11" s="1"/>
  <c r="Q410" i="11" s="1"/>
  <c r="AD410" i="11"/>
  <c r="R410" i="11"/>
  <c r="I377" i="12"/>
  <c r="J377" i="12"/>
  <c r="AL410" i="11" l="1"/>
  <c r="H410" i="11" s="1"/>
  <c r="K377" i="12" s="1"/>
  <c r="I410" i="11" l="1"/>
  <c r="P377" i="12" s="1"/>
  <c r="S377" i="12" s="1"/>
  <c r="T377" i="12" s="1"/>
  <c r="S410" i="11" l="1"/>
  <c r="Q377" i="12" s="1"/>
  <c r="U410" i="11"/>
  <c r="V410" i="11" s="1"/>
  <c r="T410" i="11" l="1"/>
  <c r="R377" i="12" s="1"/>
  <c r="U377" i="12" s="1"/>
  <c r="X377" i="12" s="1"/>
  <c r="Z411" i="11" l="1"/>
  <c r="F411" i="11" s="1"/>
  <c r="AC411" i="11" l="1"/>
  <c r="E378" i="12" s="1"/>
  <c r="EB411" i="11"/>
  <c r="AE411" i="11"/>
  <c r="AF411" i="11"/>
  <c r="ED411" i="11"/>
  <c r="EE411" i="11" s="1"/>
  <c r="EG411" i="11" s="1"/>
  <c r="EF411" i="11" s="1"/>
  <c r="AG411" i="11" l="1"/>
  <c r="AD411" i="11" s="1"/>
  <c r="EJ411" i="11"/>
  <c r="EK411" i="11"/>
  <c r="O411" i="11"/>
  <c r="F378" i="12" s="1"/>
  <c r="G378" i="12" s="1"/>
  <c r="AK411" i="11" l="1"/>
  <c r="K411" i="11" s="1"/>
  <c r="G411" i="11"/>
  <c r="H378" i="12" s="1"/>
  <c r="I378" i="12" s="1"/>
  <c r="AJ411" i="11"/>
  <c r="J411" i="11" s="1"/>
  <c r="Q411" i="11" s="1"/>
  <c r="EL411" i="11"/>
  <c r="J378" i="12" l="1"/>
  <c r="L378" i="12"/>
  <c r="O378" i="12" s="1"/>
  <c r="R411" i="11"/>
  <c r="AL411" i="11"/>
  <c r="H411" i="11" s="1"/>
  <c r="I411" i="11" s="1"/>
  <c r="K378" i="12" l="1"/>
  <c r="P378" i="12"/>
  <c r="S378" i="12" s="1"/>
  <c r="T378" i="12" s="1"/>
  <c r="S411" i="11"/>
  <c r="U411" i="11"/>
  <c r="T411" i="11" l="1"/>
  <c r="Q378" i="12"/>
  <c r="V411" i="11"/>
  <c r="R378" i="12" l="1"/>
  <c r="U378" i="12" s="1"/>
  <c r="X378" i="12" s="1"/>
  <c r="Z412" i="11"/>
  <c r="F412" i="11" l="1"/>
  <c r="EB412" i="11"/>
  <c r="AC412" i="11"/>
  <c r="ED412" i="11" l="1"/>
  <c r="EE412" i="11" s="1"/>
  <c r="E379" i="12"/>
  <c r="AE412" i="11"/>
  <c r="AF412" i="11"/>
  <c r="EG412" i="11" l="1"/>
  <c r="EF412" i="11" s="1"/>
  <c r="O412" i="11"/>
  <c r="F379" i="12" s="1"/>
  <c r="G379" i="12" s="1"/>
  <c r="AG412" i="11"/>
  <c r="AD412" i="11" s="1"/>
  <c r="EJ412" i="11" l="1"/>
  <c r="EK412" i="11"/>
  <c r="EL412" i="11" s="1"/>
  <c r="G412" i="11"/>
  <c r="H379" i="12" s="1"/>
  <c r="I379" i="12" s="1"/>
  <c r="AK412" i="11"/>
  <c r="AJ412" i="11"/>
  <c r="J412" i="11" s="1"/>
  <c r="Q412" i="11" s="1"/>
  <c r="K412" i="11" l="1"/>
  <c r="R412" i="11" s="1"/>
  <c r="L379" i="12"/>
  <c r="O379" i="12" s="1"/>
  <c r="J379" i="12"/>
  <c r="AL412" i="11"/>
  <c r="H412" i="11" s="1"/>
  <c r="K379" i="12" s="1"/>
  <c r="I412" i="11" l="1"/>
  <c r="P379" i="12" s="1"/>
  <c r="S379" i="12" s="1"/>
  <c r="T379" i="12" s="1"/>
  <c r="U412" i="11" l="1"/>
  <c r="V412" i="11" s="1"/>
  <c r="S412" i="11"/>
  <c r="Q379" i="12" s="1"/>
  <c r="T412" i="11" l="1"/>
  <c r="R379" i="12" s="1"/>
  <c r="U379" i="12" s="1"/>
  <c r="X379" i="12" s="1"/>
  <c r="Z413" i="11"/>
  <c r="F413" i="11" l="1"/>
  <c r="EB413" i="11"/>
  <c r="AC413" i="11"/>
  <c r="ED413" i="11" l="1"/>
  <c r="EE413" i="11" s="1"/>
  <c r="E380" i="12"/>
  <c r="AE413" i="11"/>
  <c r="AF413" i="11"/>
  <c r="AG413" i="11" l="1"/>
  <c r="AJ413" i="11" s="1"/>
  <c r="EG413" i="11"/>
  <c r="EF413" i="11" s="1"/>
  <c r="O413" i="11"/>
  <c r="F380" i="12" s="1"/>
  <c r="G380" i="12" s="1"/>
  <c r="AD413" i="11"/>
  <c r="AK413" i="11"/>
  <c r="EJ413" i="11"/>
  <c r="G413" i="11" l="1"/>
  <c r="H380" i="12" s="1"/>
  <c r="J380" i="12" s="1"/>
  <c r="EK413" i="11"/>
  <c r="K413" i="11" s="1"/>
  <c r="R413" i="11" s="1"/>
  <c r="AL413" i="11"/>
  <c r="J413" i="11"/>
  <c r="Q413" i="11" s="1"/>
  <c r="I380" i="12"/>
  <c r="L380" i="12" l="1"/>
  <c r="O380" i="12" s="1"/>
  <c r="EL413" i="11"/>
  <c r="H413" i="11" s="1"/>
  <c r="K380" i="12" s="1"/>
  <c r="I413" i="11" l="1"/>
  <c r="P380" i="12" s="1"/>
  <c r="S380" i="12" s="1"/>
  <c r="T380" i="12" s="1"/>
  <c r="S413" i="11" l="1"/>
  <c r="T413" i="11" s="1"/>
  <c r="U413" i="11"/>
  <c r="V413" i="11" s="1"/>
  <c r="Q380" i="12" l="1"/>
  <c r="R380" i="12"/>
  <c r="Z414" i="11"/>
  <c r="U380" i="12" l="1"/>
  <c r="X380" i="12" s="1"/>
  <c r="F414" i="11"/>
  <c r="EB414" i="11"/>
  <c r="AC414" i="11"/>
  <c r="E381" i="12" l="1"/>
  <c r="AE414" i="11"/>
  <c r="AF414" i="11"/>
  <c r="ED414" i="11"/>
  <c r="EE414" i="11" s="1"/>
  <c r="EG414" i="11" s="1"/>
  <c r="EF414" i="11" s="1"/>
  <c r="AG414" i="11" l="1"/>
  <c r="EK414" i="11"/>
  <c r="EJ414" i="11"/>
  <c r="O414" i="11"/>
  <c r="F381" i="12" s="1"/>
  <c r="G381" i="12" s="1"/>
  <c r="G414" i="11"/>
  <c r="H381" i="12" s="1"/>
  <c r="AJ414" i="11"/>
  <c r="J414" i="11" s="1"/>
  <c r="Q414" i="11" s="1"/>
  <c r="AK414" i="11"/>
  <c r="K414" i="11" s="1"/>
  <c r="AD414" i="11"/>
  <c r="R414" i="11" l="1"/>
  <c r="EL414" i="11"/>
  <c r="I381" i="12"/>
  <c r="L381" i="12"/>
  <c r="O381" i="12" s="1"/>
  <c r="J381" i="12"/>
  <c r="AL414" i="11"/>
  <c r="H414" i="11" s="1"/>
  <c r="I414" i="11" l="1"/>
  <c r="K381" i="12"/>
  <c r="P381" i="12" l="1"/>
  <c r="S381" i="12" s="1"/>
  <c r="T381" i="12" s="1"/>
  <c r="S414" i="11"/>
  <c r="U414" i="11"/>
  <c r="V414" i="11" l="1"/>
  <c r="Q381" i="12"/>
  <c r="T414" i="11"/>
  <c r="R381" i="12" l="1"/>
  <c r="U381" i="12" s="1"/>
  <c r="X381" i="12" s="1"/>
  <c r="Z415" i="11"/>
  <c r="F415" i="11" l="1"/>
  <c r="EB415" i="11"/>
  <c r="AC415" i="11"/>
  <c r="ED415" i="11" l="1"/>
  <c r="EE415" i="11" s="1"/>
  <c r="E382" i="12"/>
  <c r="AE415" i="11"/>
  <c r="AF415" i="11"/>
  <c r="EG415" i="11" l="1"/>
  <c r="EF415" i="11" s="1"/>
  <c r="O415" i="11"/>
  <c r="F382" i="12" s="1"/>
  <c r="G382" i="12" s="1"/>
  <c r="AG415" i="11"/>
  <c r="AD415" i="11" s="1"/>
  <c r="EK415" i="11" l="1"/>
  <c r="EJ415" i="11"/>
  <c r="AJ415" i="11"/>
  <c r="G415" i="11"/>
  <c r="H382" i="12" s="1"/>
  <c r="I382" i="12" s="1"/>
  <c r="AK415" i="11"/>
  <c r="J415" i="11" l="1"/>
  <c r="L382" i="12"/>
  <c r="O382" i="12" s="1"/>
  <c r="EL415" i="11"/>
  <c r="Q415" i="11"/>
  <c r="AL415" i="11"/>
  <c r="H415" i="11" s="1"/>
  <c r="K415" i="11"/>
  <c r="R415" i="11" s="1"/>
  <c r="J382" i="12"/>
  <c r="K382" i="12" l="1"/>
  <c r="I415" i="11"/>
  <c r="P382" i="12" s="1"/>
  <c r="S415" i="11" l="1"/>
  <c r="Q382" i="12" s="1"/>
  <c r="S382" i="12"/>
  <c r="T382" i="12" s="1"/>
  <c r="U415" i="11"/>
  <c r="V415" i="11" s="1"/>
  <c r="T415" i="11"/>
  <c r="R382" i="12" l="1"/>
  <c r="U382" i="12" s="1"/>
  <c r="X382" i="12" s="1"/>
  <c r="Z416" i="11"/>
  <c r="F416" i="11" l="1"/>
  <c r="EB416" i="11"/>
  <c r="AC416" i="11"/>
  <c r="ED416" i="11" l="1"/>
  <c r="EE416" i="11" s="1"/>
  <c r="E383" i="12"/>
  <c r="AE416" i="11"/>
  <c r="AF416" i="11"/>
  <c r="AG416" i="11" l="1"/>
  <c r="AK416" i="11" s="1"/>
  <c r="EG416" i="11"/>
  <c r="EF416" i="11" s="1"/>
  <c r="O416" i="11"/>
  <c r="F383" i="12" s="1"/>
  <c r="G383" i="12" s="1"/>
  <c r="G416" i="11" l="1"/>
  <c r="H383" i="12" s="1"/>
  <c r="I383" i="12" s="1"/>
  <c r="AJ416" i="11"/>
  <c r="AL416" i="11" s="1"/>
  <c r="AD416" i="11"/>
  <c r="EJ416" i="11"/>
  <c r="J416" i="11" s="1"/>
  <c r="Q416" i="11" s="1"/>
  <c r="EK416" i="11"/>
  <c r="J383" i="12" l="1"/>
  <c r="L383" i="12"/>
  <c r="O383" i="12" s="1"/>
  <c r="EL416" i="11"/>
  <c r="H416" i="11" s="1"/>
  <c r="K383" i="12" s="1"/>
  <c r="K416" i="11"/>
  <c r="R416" i="11" s="1"/>
  <c r="I416" i="11" l="1"/>
  <c r="P383" i="12" s="1"/>
  <c r="S383" i="12" s="1"/>
  <c r="T383" i="12" s="1"/>
  <c r="S416" i="11"/>
  <c r="U416" i="11" l="1"/>
  <c r="Q383" i="12"/>
  <c r="T416" i="11"/>
  <c r="V416" i="11"/>
  <c r="R383" i="12" l="1"/>
  <c r="U383" i="12" s="1"/>
  <c r="X383" i="12" s="1"/>
  <c r="Z417" i="11"/>
  <c r="F417" i="11" l="1"/>
  <c r="EB417" i="11"/>
  <c r="AC417" i="11"/>
  <c r="E384" i="12" l="1"/>
  <c r="AE417" i="11"/>
  <c r="AF417" i="11"/>
  <c r="ED417" i="11"/>
  <c r="EE417" i="11" s="1"/>
  <c r="EG417" i="11" s="1"/>
  <c r="EF417" i="11" s="1"/>
  <c r="AG417" i="11" l="1"/>
  <c r="AJ417" i="11" s="1"/>
  <c r="EK417" i="11"/>
  <c r="EJ417" i="11"/>
  <c r="O417" i="11"/>
  <c r="F384" i="12" s="1"/>
  <c r="J417" i="11" l="1"/>
  <c r="AD417" i="11"/>
  <c r="G417" i="11"/>
  <c r="H384" i="12" s="1"/>
  <c r="I384" i="12" s="1"/>
  <c r="AK417" i="11"/>
  <c r="K417" i="11" s="1"/>
  <c r="R417" i="11" s="1"/>
  <c r="EL417" i="11"/>
  <c r="G384" i="12"/>
  <c r="L384" i="12" l="1"/>
  <c r="O384" i="12" s="1"/>
  <c r="J384" i="12"/>
  <c r="AL417" i="11"/>
  <c r="H417" i="11" s="1"/>
  <c r="K384" i="12" s="1"/>
  <c r="Q417" i="11"/>
  <c r="I417" i="11" l="1"/>
  <c r="P384" i="12" s="1"/>
  <c r="S384" i="12" s="1"/>
  <c r="T384" i="12" s="1"/>
  <c r="U417" i="11" l="1"/>
  <c r="V417" i="11" s="1"/>
  <c r="S417" i="11"/>
  <c r="Q384" i="12" s="1"/>
  <c r="T417" i="11" l="1"/>
  <c r="R384" i="12" s="1"/>
  <c r="U384" i="12" s="1"/>
  <c r="X384" i="12" s="1"/>
  <c r="Z418" i="11"/>
  <c r="F418" i="11" l="1"/>
  <c r="EB418" i="11"/>
  <c r="AC418" i="11"/>
  <c r="ED418" i="11" l="1"/>
  <c r="EE418" i="11" s="1"/>
  <c r="E385" i="12"/>
  <c r="AE418" i="11"/>
  <c r="AF418" i="11"/>
  <c r="AG418" i="11" l="1"/>
  <c r="EG418" i="11"/>
  <c r="EF418" i="11" s="1"/>
  <c r="O418" i="11"/>
  <c r="F385" i="12" s="1"/>
  <c r="G385" i="12" s="1"/>
  <c r="AK418" i="11"/>
  <c r="AJ418" i="11"/>
  <c r="AD418" i="11"/>
  <c r="EK418" i="11"/>
  <c r="EJ418" i="11"/>
  <c r="EL418" i="11" l="1"/>
  <c r="G418" i="11"/>
  <c r="H385" i="12" s="1"/>
  <c r="L385" i="12" s="1"/>
  <c r="O385" i="12" s="1"/>
  <c r="J418" i="11"/>
  <c r="K418" i="11"/>
  <c r="AL418" i="11"/>
  <c r="H418" i="11" l="1"/>
  <c r="R418" i="11"/>
  <c r="Q418" i="11"/>
  <c r="I385" i="12"/>
  <c r="J385" i="12"/>
  <c r="K385" i="12"/>
  <c r="I418" i="11"/>
  <c r="P385" i="12" l="1"/>
  <c r="S385" i="12" s="1"/>
  <c r="T385" i="12" s="1"/>
  <c r="U418" i="11"/>
  <c r="S418" i="11"/>
  <c r="T418" i="11" l="1"/>
  <c r="Q385" i="12"/>
  <c r="V418" i="11"/>
  <c r="R385" i="12" l="1"/>
  <c r="U385" i="12" s="1"/>
  <c r="X385" i="12" s="1"/>
  <c r="Z419" i="11"/>
  <c r="F419" i="11" l="1"/>
  <c r="EB419" i="11"/>
  <c r="AC419" i="11"/>
  <c r="ED419" i="11" l="1"/>
  <c r="EE419" i="11" s="1"/>
  <c r="E386" i="12"/>
  <c r="AE419" i="11"/>
  <c r="AF419" i="11"/>
  <c r="EG419" i="11" l="1"/>
  <c r="EF419" i="11" s="1"/>
  <c r="O419" i="11"/>
  <c r="F386" i="12" s="1"/>
  <c r="G386" i="12" s="1"/>
  <c r="AG419" i="11"/>
  <c r="AD419" i="11" s="1"/>
  <c r="EK419" i="11" l="1"/>
  <c r="EJ419" i="11"/>
  <c r="AJ419" i="11"/>
  <c r="G419" i="11"/>
  <c r="H386" i="12" s="1"/>
  <c r="I386" i="12" s="1"/>
  <c r="AK419" i="11"/>
  <c r="EL419" i="11"/>
  <c r="J419" i="11" l="1"/>
  <c r="J386" i="12"/>
  <c r="L386" i="12"/>
  <c r="O386" i="12" s="1"/>
  <c r="Q419" i="11"/>
  <c r="AL419" i="11"/>
  <c r="H419" i="11" s="1"/>
  <c r="K386" i="12" s="1"/>
  <c r="K419" i="11"/>
  <c r="R419" i="11" s="1"/>
  <c r="I419" i="11" l="1"/>
  <c r="P386" i="12" s="1"/>
  <c r="S386" i="12" s="1"/>
  <c r="T386" i="12" s="1"/>
  <c r="U419" i="11"/>
  <c r="S419" i="11" l="1"/>
  <c r="T419" i="11" s="1"/>
  <c r="V419" i="11"/>
  <c r="Q386" i="12" l="1"/>
  <c r="R386" i="12"/>
  <c r="U386" i="12" s="1"/>
  <c r="X386" i="12" s="1"/>
  <c r="Z420" i="11"/>
  <c r="F420" i="11" l="1"/>
  <c r="EB420" i="11"/>
  <c r="AC420" i="11"/>
  <c r="ED420" i="11" l="1"/>
  <c r="EE420" i="11" s="1"/>
  <c r="E387" i="12"/>
  <c r="AE420" i="11"/>
  <c r="AF420" i="11"/>
  <c r="EG420" i="11" l="1"/>
  <c r="EF420" i="11" s="1"/>
  <c r="O420" i="11"/>
  <c r="F387" i="12" s="1"/>
  <c r="AG420" i="11"/>
  <c r="G420" i="11" l="1"/>
  <c r="H387" i="12" s="1"/>
  <c r="J387" i="12" s="1"/>
  <c r="AK420" i="11"/>
  <c r="AJ420" i="11"/>
  <c r="EK420" i="11"/>
  <c r="AD420" i="11"/>
  <c r="G387" i="12"/>
  <c r="EJ420" i="11"/>
  <c r="EL420" i="11" s="1"/>
  <c r="L387" i="12"/>
  <c r="O387" i="12" s="1"/>
  <c r="AL420" i="11" l="1"/>
  <c r="K420" i="11"/>
  <c r="R420" i="11" s="1"/>
  <c r="I387" i="12"/>
  <c r="H420" i="11"/>
  <c r="K387" i="12" s="1"/>
  <c r="J420" i="11"/>
  <c r="Q420" i="11" s="1"/>
  <c r="I420" i="11" l="1"/>
  <c r="P387" i="12" s="1"/>
  <c r="S387" i="12" s="1"/>
  <c r="T387" i="12" s="1"/>
  <c r="S420" i="11" l="1"/>
  <c r="T420" i="11" s="1"/>
  <c r="U420" i="11"/>
  <c r="V420" i="11" s="1"/>
  <c r="Q387" i="12" l="1"/>
  <c r="R387" i="12"/>
  <c r="Z421" i="11"/>
  <c r="U387" i="12" l="1"/>
  <c r="X387" i="12" s="1"/>
  <c r="F421" i="11"/>
  <c r="EB421" i="11"/>
  <c r="AC421" i="11"/>
  <c r="ED421" i="11" l="1"/>
  <c r="EE421" i="11" s="1"/>
  <c r="E388" i="12"/>
  <c r="AE421" i="11"/>
  <c r="AF421" i="11"/>
  <c r="AG421" i="11" l="1"/>
  <c r="AD421" i="11" s="1"/>
  <c r="EG421" i="11"/>
  <c r="EF421" i="11" s="1"/>
  <c r="O421" i="11"/>
  <c r="F388" i="12" s="1"/>
  <c r="G388" i="12" s="1"/>
  <c r="AJ421" i="11" l="1"/>
  <c r="AK421" i="11"/>
  <c r="G421" i="11"/>
  <c r="H388" i="12" s="1"/>
  <c r="I388" i="12" s="1"/>
  <c r="EJ421" i="11"/>
  <c r="J421" i="11" s="1"/>
  <c r="Q421" i="11" s="1"/>
  <c r="EK421" i="11"/>
  <c r="K421" i="11" s="1"/>
  <c r="R421" i="11" s="1"/>
  <c r="AL421" i="11"/>
  <c r="J388" i="12"/>
  <c r="L388" i="12" l="1"/>
  <c r="O388" i="12" s="1"/>
  <c r="EL421" i="11"/>
  <c r="H421" i="11" s="1"/>
  <c r="I421" i="11" l="1"/>
  <c r="P388" i="12" s="1"/>
  <c r="K388" i="12"/>
  <c r="U421" i="11" l="1"/>
  <c r="V421" i="11" s="1"/>
  <c r="S421" i="11"/>
  <c r="T421" i="11" s="1"/>
  <c r="S388" i="12"/>
  <c r="T388" i="12" s="1"/>
  <c r="Q388" i="12" l="1"/>
  <c r="R388" i="12"/>
  <c r="U388" i="12" s="1"/>
  <c r="X388" i="12" s="1"/>
  <c r="Z422" i="11"/>
  <c r="F422" i="11" l="1"/>
  <c r="EB422" i="11"/>
  <c r="AC422" i="11"/>
  <c r="ED422" i="11" l="1"/>
  <c r="EE422" i="11" s="1"/>
  <c r="E389" i="12"/>
  <c r="AE422" i="11"/>
  <c r="AF422" i="11"/>
  <c r="AG422" i="11" l="1"/>
  <c r="AJ422" i="11" s="1"/>
  <c r="EG422" i="11"/>
  <c r="EF422" i="11" s="1"/>
  <c r="O422" i="11"/>
  <c r="F389" i="12" s="1"/>
  <c r="G389" i="12" s="1"/>
  <c r="AD422" i="11"/>
  <c r="AK422" i="11"/>
  <c r="G422" i="11" l="1"/>
  <c r="H389" i="12" s="1"/>
  <c r="I389" i="12" s="1"/>
  <c r="EJ422" i="11"/>
  <c r="J422" i="11" s="1"/>
  <c r="EK422" i="11"/>
  <c r="K422" i="11" s="1"/>
  <c r="R422" i="11" s="1"/>
  <c r="AL422" i="11"/>
  <c r="Q422" i="11" l="1"/>
  <c r="J389" i="12"/>
  <c r="L389" i="12"/>
  <c r="O389" i="12" s="1"/>
  <c r="EL422" i="11"/>
  <c r="H422" i="11" s="1"/>
  <c r="I422" i="11" l="1"/>
  <c r="P389" i="12" s="1"/>
  <c r="K389" i="12"/>
  <c r="S422" i="11" l="1"/>
  <c r="U422" i="11"/>
  <c r="V422" i="11" s="1"/>
  <c r="S389" i="12"/>
  <c r="T389" i="12" s="1"/>
  <c r="Q389" i="12"/>
  <c r="T422" i="11"/>
  <c r="R389" i="12" l="1"/>
  <c r="U389" i="12" s="1"/>
  <c r="X389" i="12" s="1"/>
  <c r="Z423" i="11"/>
  <c r="F423" i="11" l="1"/>
  <c r="EB423" i="11"/>
  <c r="AC423" i="11"/>
  <c r="E390" i="12" l="1"/>
  <c r="AE423" i="11"/>
  <c r="AF423" i="11"/>
  <c r="ED423" i="11"/>
  <c r="EE423" i="11" s="1"/>
  <c r="EG423" i="11" s="1"/>
  <c r="EF423" i="11" s="1"/>
  <c r="AG423" i="11" l="1"/>
  <c r="AJ423" i="11" s="1"/>
  <c r="EK423" i="11"/>
  <c r="EJ423" i="11"/>
  <c r="EL423" i="11" s="1"/>
  <c r="AK423" i="11"/>
  <c r="K423" i="11" s="1"/>
  <c r="AD423" i="11"/>
  <c r="G423" i="11"/>
  <c r="H390" i="12" s="1"/>
  <c r="O423" i="11"/>
  <c r="F390" i="12" s="1"/>
  <c r="I390" i="12" l="1"/>
  <c r="J423" i="11"/>
  <c r="Q423" i="11" s="1"/>
  <c r="R423" i="11"/>
  <c r="G390" i="12"/>
  <c r="J390" i="12"/>
  <c r="L390" i="12"/>
  <c r="O390" i="12" s="1"/>
  <c r="AL423" i="11"/>
  <c r="H423" i="11" s="1"/>
  <c r="I423" i="11" l="1"/>
  <c r="K390" i="12"/>
  <c r="P390" i="12" l="1"/>
  <c r="S390" i="12" s="1"/>
  <c r="T390" i="12" s="1"/>
  <c r="S423" i="11"/>
  <c r="U423" i="11"/>
  <c r="V423" i="11" l="1"/>
  <c r="Q390" i="12"/>
  <c r="T423" i="11"/>
  <c r="R390" i="12" l="1"/>
  <c r="U390" i="12" s="1"/>
  <c r="X390" i="12" s="1"/>
  <c r="Z424" i="11"/>
  <c r="F424" i="11" l="1"/>
  <c r="EB424" i="11"/>
  <c r="AC424" i="11"/>
  <c r="ED424" i="11" l="1"/>
  <c r="EE424" i="11" s="1"/>
  <c r="E391" i="12"/>
  <c r="AE424" i="11"/>
  <c r="AF424" i="11"/>
  <c r="EG424" i="11" l="1"/>
  <c r="EF424" i="11" s="1"/>
  <c r="O424" i="11"/>
  <c r="F391" i="12" s="1"/>
  <c r="G391" i="12" s="1"/>
  <c r="AG424" i="11"/>
  <c r="AJ424" i="11" s="1"/>
  <c r="EJ424" i="11" l="1"/>
  <c r="J424" i="11" s="1"/>
  <c r="AD424" i="11"/>
  <c r="G424" i="11"/>
  <c r="H391" i="12" s="1"/>
  <c r="J391" i="12" s="1"/>
  <c r="AK424" i="11"/>
  <c r="AL424" i="11" s="1"/>
  <c r="EK424" i="11"/>
  <c r="EL424" i="11" s="1"/>
  <c r="I391" i="12" l="1"/>
  <c r="L391" i="12"/>
  <c r="O391" i="12" s="1"/>
  <c r="Q424" i="11"/>
  <c r="K424" i="11"/>
  <c r="R424" i="11" s="1"/>
  <c r="H424" i="11"/>
  <c r="I424" i="11" s="1"/>
  <c r="K391" i="12" l="1"/>
  <c r="P391" i="12"/>
  <c r="S391" i="12" s="1"/>
  <c r="T391" i="12" s="1"/>
  <c r="U424" i="11"/>
  <c r="S424" i="11"/>
  <c r="T424" i="11" l="1"/>
  <c r="Q391" i="12"/>
  <c r="V424" i="11"/>
  <c r="Z425" i="11" l="1"/>
  <c r="R391" i="12"/>
  <c r="U391" i="12" s="1"/>
  <c r="X391" i="12" s="1"/>
  <c r="F425" i="11" l="1"/>
  <c r="EB425" i="11"/>
  <c r="AC425" i="11"/>
  <c r="E392" i="12" l="1"/>
  <c r="AE425" i="11"/>
  <c r="AF425" i="11"/>
  <c r="ED425" i="11"/>
  <c r="EE425" i="11" s="1"/>
  <c r="EG425" i="11" s="1"/>
  <c r="EF425" i="11" s="1"/>
  <c r="AG425" i="11" l="1"/>
  <c r="AD425" i="11" s="1"/>
  <c r="EK425" i="11"/>
  <c r="EJ425" i="11"/>
  <c r="O425" i="11"/>
  <c r="F392" i="12" s="1"/>
  <c r="G392" i="12" s="1"/>
  <c r="AJ425" i="11"/>
  <c r="J425" i="11" s="1"/>
  <c r="G425" i="11"/>
  <c r="H392" i="12" s="1"/>
  <c r="AK425" i="11" l="1"/>
  <c r="K425" i="11" s="1"/>
  <c r="R425" i="11" s="1"/>
  <c r="EL425" i="11"/>
  <c r="Q425" i="11"/>
  <c r="I392" i="12"/>
  <c r="AL425" i="11"/>
  <c r="H425" i="11" s="1"/>
  <c r="L392" i="12"/>
  <c r="O392" i="12" s="1"/>
  <c r="J392" i="12"/>
  <c r="I425" i="11" l="1"/>
  <c r="K392" i="12"/>
  <c r="P392" i="12" l="1"/>
  <c r="S392" i="12" s="1"/>
  <c r="T392" i="12" s="1"/>
  <c r="S425" i="11"/>
  <c r="U425" i="11"/>
  <c r="V425" i="11" l="1"/>
  <c r="T425" i="11"/>
  <c r="Q392" i="12"/>
  <c r="R392" i="12" l="1"/>
  <c r="U392" i="12" s="1"/>
  <c r="X392" i="12" s="1"/>
  <c r="Z426" i="11"/>
  <c r="F426" i="11" l="1"/>
  <c r="EB426" i="11"/>
  <c r="AC426" i="11"/>
  <c r="E393" i="12" l="1"/>
  <c r="AE426" i="11"/>
  <c r="AF426" i="11"/>
  <c r="ED426" i="11"/>
  <c r="EE426" i="11" s="1"/>
  <c r="EG426" i="11" s="1"/>
  <c r="EF426" i="11" s="1"/>
  <c r="AG426" i="11" l="1"/>
  <c r="AD426" i="11" s="1"/>
  <c r="EK426" i="11"/>
  <c r="EJ426" i="11"/>
  <c r="O426" i="11"/>
  <c r="F393" i="12" s="1"/>
  <c r="G393" i="12" s="1"/>
  <c r="AJ426" i="11" l="1"/>
  <c r="J426" i="11" s="1"/>
  <c r="AK426" i="11"/>
  <c r="K426" i="11" s="1"/>
  <c r="G426" i="11"/>
  <c r="H393" i="12" s="1"/>
  <c r="I393" i="12" s="1"/>
  <c r="EL426" i="11"/>
  <c r="AL426" i="11"/>
  <c r="H426" i="11" l="1"/>
  <c r="L393" i="12"/>
  <c r="O393" i="12" s="1"/>
  <c r="J393" i="12"/>
  <c r="R426" i="11"/>
  <c r="Q426" i="11"/>
  <c r="K393" i="12"/>
  <c r="I426" i="11"/>
  <c r="P393" i="12" l="1"/>
  <c r="S393" i="12" s="1"/>
  <c r="T393" i="12" s="1"/>
  <c r="U426" i="11"/>
  <c r="S426" i="11"/>
  <c r="T426" i="11" l="1"/>
  <c r="Q393" i="12"/>
  <c r="V426" i="11"/>
  <c r="R393" i="12" l="1"/>
  <c r="U393" i="12" s="1"/>
  <c r="X393" i="12" s="1"/>
  <c r="Z427" i="11"/>
  <c r="F427" i="11" l="1"/>
  <c r="EB427" i="11"/>
  <c r="AC427" i="11"/>
  <c r="ED427" i="11" l="1"/>
  <c r="EE427" i="11" s="1"/>
  <c r="E394" i="12"/>
  <c r="AE427" i="11"/>
  <c r="AF427" i="11"/>
  <c r="EG427" i="11" l="1"/>
  <c r="EF427" i="11" s="1"/>
  <c r="O427" i="11"/>
  <c r="F394" i="12" s="1"/>
  <c r="G394" i="12" s="1"/>
  <c r="AG427" i="11"/>
  <c r="AJ427" i="11" s="1"/>
  <c r="EK427" i="11" l="1"/>
  <c r="EJ427" i="11"/>
  <c r="EL427" i="11" s="1"/>
  <c r="AD427" i="11"/>
  <c r="AK427" i="11"/>
  <c r="K427" i="11" s="1"/>
  <c r="G427" i="11"/>
  <c r="H394" i="12" s="1"/>
  <c r="I394" i="12" s="1"/>
  <c r="J427" i="11" l="1"/>
  <c r="AL427" i="11"/>
  <c r="H427" i="11" s="1"/>
  <c r="I427" i="11" s="1"/>
  <c r="Q427" i="11"/>
  <c r="J394" i="12"/>
  <c r="L394" i="12"/>
  <c r="O394" i="12" s="1"/>
  <c r="R427" i="11"/>
  <c r="K394" i="12" l="1"/>
  <c r="P394" i="12"/>
  <c r="U427" i="11"/>
  <c r="S427" i="11"/>
  <c r="S394" i="12" l="1"/>
  <c r="T394" i="12" s="1"/>
  <c r="T427" i="11"/>
  <c r="Q394" i="12"/>
  <c r="V427" i="11"/>
  <c r="R394" i="12" l="1"/>
  <c r="U394" i="12" s="1"/>
  <c r="X394" i="12" s="1"/>
  <c r="Z428" i="11"/>
  <c r="F428" i="11" l="1"/>
  <c r="EB428" i="11"/>
  <c r="AC428" i="11"/>
  <c r="ED428" i="11" l="1"/>
  <c r="EE428" i="11" s="1"/>
  <c r="E395" i="12"/>
  <c r="AE428" i="11"/>
  <c r="AF428" i="11"/>
  <c r="AG428" i="11" l="1"/>
  <c r="EG428" i="11"/>
  <c r="EF428" i="11" s="1"/>
  <c r="O428" i="11"/>
  <c r="F395" i="12" s="1"/>
  <c r="G395" i="12" s="1"/>
  <c r="AD428" i="11"/>
  <c r="G428" i="11"/>
  <c r="H395" i="12" s="1"/>
  <c r="AK428" i="11"/>
  <c r="AJ428" i="11"/>
  <c r="EJ428" i="11"/>
  <c r="AL428" i="11" l="1"/>
  <c r="EK428" i="11"/>
  <c r="EL428" i="11" s="1"/>
  <c r="I395" i="12"/>
  <c r="J395" i="12"/>
  <c r="L395" i="12"/>
  <c r="O395" i="12" s="1"/>
  <c r="J428" i="11"/>
  <c r="Q428" i="11" s="1"/>
  <c r="K428" i="11" l="1"/>
  <c r="R428" i="11" s="1"/>
  <c r="H428" i="11"/>
  <c r="K395" i="12" s="1"/>
  <c r="I428" i="11" l="1"/>
  <c r="P395" i="12" s="1"/>
  <c r="S395" i="12" s="1"/>
  <c r="T395" i="12" s="1"/>
  <c r="U428" i="11"/>
  <c r="V428" i="11" s="1"/>
  <c r="S428" i="11" l="1"/>
  <c r="Q395" i="12" s="1"/>
  <c r="T428" i="11" l="1"/>
  <c r="R395" i="12" l="1"/>
  <c r="U395" i="12" s="1"/>
  <c r="X395" i="12" s="1"/>
  <c r="Z429" i="11"/>
  <c r="AC429" i="11" l="1"/>
  <c r="F429" i="11"/>
  <c r="EB429" i="11"/>
  <c r="ED429" i="11" s="1"/>
  <c r="EE429" i="11" s="1"/>
  <c r="O429" i="11" s="1"/>
  <c r="EG429" i="11" l="1"/>
  <c r="EF429" i="11" s="1"/>
  <c r="E396" i="12"/>
  <c r="F396" i="12" s="1"/>
  <c r="G396" i="12" s="1"/>
  <c r="AF429" i="11"/>
  <c r="AE429" i="11"/>
  <c r="EJ429" i="11"/>
  <c r="EK429" i="11"/>
  <c r="AG429" i="11" l="1"/>
  <c r="G429" i="11" s="1"/>
  <c r="H396" i="12" s="1"/>
  <c r="I396" i="12" s="1"/>
  <c r="EL429" i="11"/>
  <c r="AK429" i="11" l="1"/>
  <c r="K429" i="11" s="1"/>
  <c r="R429" i="11" s="1"/>
  <c r="L396" i="12"/>
  <c r="O396" i="12" s="1"/>
  <c r="J396" i="12"/>
  <c r="AD429" i="11"/>
  <c r="AJ429" i="11"/>
  <c r="J429" i="11" s="1"/>
  <c r="Q429" i="11" s="1"/>
  <c r="AL429" i="11" l="1"/>
  <c r="H429" i="11" s="1"/>
  <c r="I429" i="11" s="1"/>
  <c r="P396" i="12" s="1"/>
  <c r="K396" i="12" l="1"/>
  <c r="S396" i="12" s="1"/>
  <c r="T396" i="12" s="1"/>
  <c r="S429" i="11"/>
  <c r="T429" i="11" s="1"/>
  <c r="R396" i="12" s="1"/>
  <c r="U429" i="11"/>
  <c r="V429" i="11" s="1"/>
  <c r="Z430" i="11"/>
  <c r="Q396" i="12" l="1"/>
  <c r="U396" i="12"/>
  <c r="X396" i="12" s="1"/>
  <c r="F430" i="11"/>
  <c r="EB430" i="11"/>
  <c r="AC430" i="11"/>
  <c r="E397" i="12" l="1"/>
  <c r="AE430" i="11"/>
  <c r="AF430" i="11"/>
  <c r="ED430" i="11"/>
  <c r="EE430" i="11" s="1"/>
  <c r="EG430" i="11" s="1"/>
  <c r="EF430" i="11" s="1"/>
  <c r="AG430" i="11" l="1"/>
  <c r="AK430" i="11" s="1"/>
  <c r="EK430" i="11"/>
  <c r="EJ430" i="11"/>
  <c r="AJ430" i="11"/>
  <c r="AD430" i="11"/>
  <c r="G430" i="11"/>
  <c r="H397" i="12" s="1"/>
  <c r="O430" i="11"/>
  <c r="F397" i="12" s="1"/>
  <c r="I397" i="12" l="1"/>
  <c r="J430" i="11"/>
  <c r="Q430" i="11" s="1"/>
  <c r="K430" i="11"/>
  <c r="R430" i="11" s="1"/>
  <c r="EL430" i="11"/>
  <c r="L397" i="12"/>
  <c r="O397" i="12" s="1"/>
  <c r="J397" i="12"/>
  <c r="G397" i="12"/>
  <c r="AL430" i="11"/>
  <c r="H430" i="11" s="1"/>
  <c r="I430" i="11" l="1"/>
  <c r="K397" i="12"/>
  <c r="P397" i="12" l="1"/>
  <c r="S397" i="12" s="1"/>
  <c r="T397" i="12" s="1"/>
  <c r="U430" i="11"/>
  <c r="S430" i="11"/>
  <c r="T430" i="11" l="1"/>
  <c r="Q397" i="12"/>
  <c r="V430" i="11"/>
  <c r="R397" i="12" l="1"/>
  <c r="U397" i="12" s="1"/>
  <c r="X397" i="12" s="1"/>
  <c r="Z431" i="11"/>
  <c r="F431" i="11" l="1"/>
  <c r="EB431" i="11"/>
  <c r="AC431" i="11"/>
  <c r="ED431" i="11" l="1"/>
  <c r="EE431" i="11" s="1"/>
  <c r="E398" i="12"/>
  <c r="AE431" i="11"/>
  <c r="AF431" i="11"/>
  <c r="EG431" i="11" l="1"/>
  <c r="EF431" i="11" s="1"/>
  <c r="O431" i="11"/>
  <c r="F398" i="12" s="1"/>
  <c r="G398" i="12" s="1"/>
  <c r="AG431" i="11"/>
  <c r="AJ431" i="11" s="1"/>
  <c r="G431" i="11" l="1"/>
  <c r="H398" i="12" s="1"/>
  <c r="I398" i="12" s="1"/>
  <c r="AD431" i="11"/>
  <c r="AK431" i="11"/>
  <c r="EJ431" i="11"/>
  <c r="J431" i="11" s="1"/>
  <c r="Q431" i="11" s="1"/>
  <c r="EK431" i="11"/>
  <c r="L398" i="12" l="1"/>
  <c r="O398" i="12" s="1"/>
  <c r="J398" i="12"/>
  <c r="EL431" i="11"/>
  <c r="K431" i="11"/>
  <c r="R431" i="11" s="1"/>
  <c r="AL431" i="11"/>
  <c r="H431" i="11" s="1"/>
  <c r="I431" i="11" s="1"/>
  <c r="K398" i="12" l="1"/>
  <c r="P398" i="12"/>
  <c r="S431" i="11"/>
  <c r="U431" i="11"/>
  <c r="S398" i="12" l="1"/>
  <c r="T398" i="12" s="1"/>
  <c r="V431" i="11"/>
  <c r="T431" i="11"/>
  <c r="Q398" i="12"/>
  <c r="R398" i="12" l="1"/>
  <c r="U398" i="12" s="1"/>
  <c r="X398" i="12" s="1"/>
  <c r="Z432" i="11"/>
  <c r="F432" i="11" l="1"/>
  <c r="EB432" i="11"/>
  <c r="AC432" i="11"/>
  <c r="E399" i="12" l="1"/>
  <c r="AE432" i="11"/>
  <c r="AF432" i="11"/>
  <c r="ED432" i="11"/>
  <c r="EE432" i="11" s="1"/>
  <c r="EG432" i="11" s="1"/>
  <c r="EF432" i="11" s="1"/>
  <c r="AG432" i="11" l="1"/>
  <c r="EJ432" i="11"/>
  <c r="EK432" i="11"/>
  <c r="O432" i="11"/>
  <c r="F399" i="12" s="1"/>
  <c r="G399" i="12" s="1"/>
  <c r="AD432" i="11"/>
  <c r="G432" i="11"/>
  <c r="H399" i="12" s="1"/>
  <c r="AK432" i="11"/>
  <c r="K432" i="11" s="1"/>
  <c r="AJ432" i="11"/>
  <c r="J432" i="11" s="1"/>
  <c r="EL432" i="11" l="1"/>
  <c r="R432" i="11"/>
  <c r="I399" i="12"/>
  <c r="J399" i="12"/>
  <c r="L399" i="12"/>
  <c r="O399" i="12" s="1"/>
  <c r="AL432" i="11"/>
  <c r="H432" i="11" s="1"/>
  <c r="Q432" i="11"/>
  <c r="K399" i="12" l="1"/>
  <c r="I432" i="11"/>
  <c r="P399" i="12" l="1"/>
  <c r="S399" i="12" s="1"/>
  <c r="T399" i="12" s="1"/>
  <c r="U432" i="11"/>
  <c r="S432" i="11"/>
  <c r="Q399" i="12" l="1"/>
  <c r="T432" i="11"/>
  <c r="V432" i="11"/>
  <c r="R399" i="12" l="1"/>
  <c r="U399" i="12" s="1"/>
  <c r="X399" i="12" s="1"/>
  <c r="Z433" i="11"/>
  <c r="F433" i="11" l="1"/>
  <c r="EB433" i="11"/>
  <c r="AC433" i="11"/>
  <c r="ED433" i="11" l="1"/>
  <c r="EE433" i="11" s="1"/>
  <c r="E400" i="12"/>
  <c r="AE433" i="11"/>
  <c r="AF433" i="11"/>
  <c r="AG433" i="11" l="1"/>
  <c r="EG433" i="11"/>
  <c r="EF433" i="11" s="1"/>
  <c r="O433" i="11"/>
  <c r="F400" i="12" s="1"/>
  <c r="G400" i="12" s="1"/>
  <c r="AK433" i="11"/>
  <c r="AJ433" i="11"/>
  <c r="AD433" i="11"/>
  <c r="G433" i="11" l="1"/>
  <c r="H400" i="12" s="1"/>
  <c r="AL433" i="11"/>
  <c r="EJ433" i="11"/>
  <c r="EK433" i="11"/>
  <c r="K433" i="11" s="1"/>
  <c r="R433" i="11" s="1"/>
  <c r="J400" i="12"/>
  <c r="L400" i="12"/>
  <c r="O400" i="12" s="1"/>
  <c r="J433" i="11"/>
  <c r="Q433" i="11" s="1"/>
  <c r="I400" i="12"/>
  <c r="EL433" i="11" l="1"/>
  <c r="H433" i="11" s="1"/>
  <c r="I433" i="11" s="1"/>
  <c r="K400" i="12" l="1"/>
  <c r="P400" i="12"/>
  <c r="S400" i="12" s="1"/>
  <c r="T400" i="12" s="1"/>
  <c r="S433" i="11"/>
  <c r="U433" i="11"/>
  <c r="V433" i="11" l="1"/>
  <c r="T433" i="11"/>
  <c r="Q400" i="12"/>
  <c r="R400" i="12" l="1"/>
  <c r="U400" i="12" s="1"/>
  <c r="X400" i="12" s="1"/>
  <c r="Z434" i="11"/>
  <c r="F434" i="11" l="1"/>
  <c r="EB434" i="11"/>
  <c r="AC434" i="11"/>
  <c r="E401" i="12" l="1"/>
  <c r="AE434" i="11"/>
  <c r="AF434" i="11"/>
  <c r="ED434" i="11"/>
  <c r="EE434" i="11" s="1"/>
  <c r="EG434" i="11" s="1"/>
  <c r="EF434" i="11" s="1"/>
  <c r="AG434" i="11" l="1"/>
  <c r="AD434" i="11" s="1"/>
  <c r="EJ434" i="11"/>
  <c r="EK434" i="11"/>
  <c r="O434" i="11"/>
  <c r="F401" i="12" s="1"/>
  <c r="G401" i="12" s="1"/>
  <c r="AJ434" i="11" l="1"/>
  <c r="J434" i="11" s="1"/>
  <c r="AK434" i="11"/>
  <c r="K434" i="11" s="1"/>
  <c r="G434" i="11"/>
  <c r="H401" i="12" s="1"/>
  <c r="I401" i="12" s="1"/>
  <c r="EL434" i="11"/>
  <c r="AL434" i="11" l="1"/>
  <c r="H434" i="11" s="1"/>
  <c r="K401" i="12" s="1"/>
  <c r="L401" i="12"/>
  <c r="O401" i="12" s="1"/>
  <c r="R434" i="11"/>
  <c r="J401" i="12"/>
  <c r="Q434" i="11"/>
  <c r="I434" i="11" l="1"/>
  <c r="P401" i="12" s="1"/>
  <c r="S401" i="12" s="1"/>
  <c r="T401" i="12" s="1"/>
  <c r="S434" i="11" l="1"/>
  <c r="Q401" i="12" s="1"/>
  <c r="U434" i="11"/>
  <c r="V434" i="11" s="1"/>
  <c r="T434" i="11" l="1"/>
  <c r="R401" i="12" s="1"/>
  <c r="U401" i="12" s="1"/>
  <c r="X401" i="12" s="1"/>
  <c r="Z435" i="11" l="1"/>
  <c r="F435" i="11" s="1"/>
  <c r="EB435" i="11"/>
  <c r="AC435" i="11" l="1"/>
  <c r="E402" i="12" s="1"/>
  <c r="AF435" i="11"/>
  <c r="ED435" i="11"/>
  <c r="EE435" i="11" s="1"/>
  <c r="EG435" i="11" s="1"/>
  <c r="EF435" i="11" s="1"/>
  <c r="AE435" i="11" l="1"/>
  <c r="AG435" i="11" s="1"/>
  <c r="AJ435" i="11" s="1"/>
  <c r="EJ435" i="11"/>
  <c r="EK435" i="11"/>
  <c r="O435" i="11"/>
  <c r="F402" i="12" s="1"/>
  <c r="AK435" i="11" l="1"/>
  <c r="K435" i="11" s="1"/>
  <c r="AD435" i="11"/>
  <c r="G435" i="11"/>
  <c r="H402" i="12" s="1"/>
  <c r="I402" i="12" s="1"/>
  <c r="G402" i="12"/>
  <c r="EL435" i="11"/>
  <c r="J435" i="11"/>
  <c r="AL435" i="11" l="1"/>
  <c r="R435" i="11"/>
  <c r="H435" i="11"/>
  <c r="K402" i="12" s="1"/>
  <c r="J402" i="12"/>
  <c r="Q435" i="11"/>
  <c r="L402" i="12"/>
  <c r="O402" i="12" s="1"/>
  <c r="I435" i="11"/>
  <c r="P402" i="12" l="1"/>
  <c r="S402" i="12" s="1"/>
  <c r="T402" i="12" s="1"/>
  <c r="S435" i="11"/>
  <c r="U435" i="11"/>
  <c r="V435" i="11" l="1"/>
  <c r="T435" i="11"/>
  <c r="Q402" i="12"/>
  <c r="R402" i="12" l="1"/>
  <c r="U402" i="12" s="1"/>
  <c r="X402" i="12" s="1"/>
  <c r="Z436" i="11"/>
  <c r="F436" i="11" l="1"/>
  <c r="EB436" i="11"/>
  <c r="AC436" i="11"/>
  <c r="E403" i="12" l="1"/>
  <c r="AE436" i="11"/>
  <c r="AF436" i="11"/>
  <c r="ED436" i="11"/>
  <c r="EE436" i="11" s="1"/>
  <c r="EG436" i="11" s="1"/>
  <c r="EF436" i="11" s="1"/>
  <c r="AG436" i="11" l="1"/>
  <c r="G436" i="11" s="1"/>
  <c r="H403" i="12" s="1"/>
  <c r="EK436" i="11"/>
  <c r="EJ436" i="11"/>
  <c r="EL436" i="11" s="1"/>
  <c r="O436" i="11"/>
  <c r="F403" i="12" s="1"/>
  <c r="AK436" i="11"/>
  <c r="K436" i="11" s="1"/>
  <c r="AJ436" i="11"/>
  <c r="AD436" i="11" l="1"/>
  <c r="R436" i="11"/>
  <c r="J436" i="11"/>
  <c r="Q436" i="11" s="1"/>
  <c r="I403" i="12"/>
  <c r="J403" i="12"/>
  <c r="L403" i="12"/>
  <c r="O403" i="12" s="1"/>
  <c r="G403" i="12"/>
  <c r="AL436" i="11"/>
  <c r="H436" i="11" s="1"/>
  <c r="I436" i="11" l="1"/>
  <c r="K403" i="12"/>
  <c r="P403" i="12" l="1"/>
  <c r="S403" i="12" s="1"/>
  <c r="T403" i="12" s="1"/>
  <c r="U436" i="11"/>
  <c r="S436" i="11"/>
  <c r="V436" i="11" l="1"/>
  <c r="T436" i="11"/>
  <c r="Q403" i="12"/>
  <c r="Z437" i="11" l="1"/>
  <c r="R403" i="12"/>
  <c r="U403" i="12" s="1"/>
  <c r="X403" i="12" s="1"/>
  <c r="F437" i="11" l="1"/>
  <c r="EB437" i="11"/>
  <c r="AC437" i="11"/>
  <c r="E404" i="12" l="1"/>
  <c r="AE437" i="11"/>
  <c r="AF437" i="11"/>
  <c r="ED437" i="11"/>
  <c r="EE437" i="11" s="1"/>
  <c r="EG437" i="11" s="1"/>
  <c r="EF437" i="11" s="1"/>
  <c r="AG437" i="11" l="1"/>
  <c r="G437" i="11" s="1"/>
  <c r="H404" i="12" s="1"/>
  <c r="EK437" i="11"/>
  <c r="EJ437" i="11"/>
  <c r="O437" i="11"/>
  <c r="F404" i="12" s="1"/>
  <c r="G404" i="12" s="1"/>
  <c r="AK437" i="11" l="1"/>
  <c r="K437" i="11" s="1"/>
  <c r="R437" i="11" s="1"/>
  <c r="AD437" i="11"/>
  <c r="AJ437" i="11"/>
  <c r="J437" i="11" s="1"/>
  <c r="Q437" i="11" s="1"/>
  <c r="EL437" i="11"/>
  <c r="J404" i="12"/>
  <c r="L404" i="12"/>
  <c r="O404" i="12" s="1"/>
  <c r="I404" i="12"/>
  <c r="AL437" i="11" l="1"/>
  <c r="H437" i="11" s="1"/>
  <c r="K404" i="12" s="1"/>
  <c r="I437" i="11" l="1"/>
  <c r="P404" i="12" s="1"/>
  <c r="S404" i="12" s="1"/>
  <c r="T404" i="12" s="1"/>
  <c r="S437" i="11" l="1"/>
  <c r="Q404" i="12" s="1"/>
  <c r="U437" i="11"/>
  <c r="V437" i="11" s="1"/>
  <c r="T437" i="11" l="1"/>
  <c r="R404" i="12" s="1"/>
  <c r="U404" i="12" s="1"/>
  <c r="X404" i="12" s="1"/>
  <c r="Z438" i="11"/>
  <c r="F438" i="11" l="1"/>
  <c r="EB438" i="11"/>
  <c r="AC438" i="11"/>
  <c r="ED438" i="11" l="1"/>
  <c r="EE438" i="11" s="1"/>
  <c r="E405" i="12"/>
  <c r="AE438" i="11"/>
  <c r="AF438" i="11"/>
  <c r="EG438" i="11" l="1"/>
  <c r="EF438" i="11" s="1"/>
  <c r="O438" i="11"/>
  <c r="F405" i="12" s="1"/>
  <c r="G405" i="12" s="1"/>
  <c r="AG438" i="11"/>
  <c r="EJ438" i="11" l="1"/>
  <c r="G438" i="11"/>
  <c r="H405" i="12" s="1"/>
  <c r="I405" i="12" s="1"/>
  <c r="AK438" i="11"/>
  <c r="AJ438" i="11"/>
  <c r="AD438" i="11"/>
  <c r="EK438" i="11"/>
  <c r="K438" i="11" s="1"/>
  <c r="R438" i="11" s="1"/>
  <c r="L405" i="12"/>
  <c r="O405" i="12" s="1"/>
  <c r="J405" i="12"/>
  <c r="J438" i="11" l="1"/>
  <c r="Q438" i="11" s="1"/>
  <c r="AL438" i="11"/>
  <c r="EL438" i="11"/>
  <c r="H438" i="11" s="1"/>
  <c r="I438" i="11" s="1"/>
  <c r="K405" i="12" l="1"/>
  <c r="P405" i="12"/>
  <c r="S405" i="12" s="1"/>
  <c r="T405" i="12" s="1"/>
  <c r="S438" i="11"/>
  <c r="U438" i="11"/>
  <c r="V438" i="11" l="1"/>
  <c r="T438" i="11"/>
  <c r="Q405" i="12"/>
  <c r="R405" i="12" l="1"/>
  <c r="U405" i="12" s="1"/>
  <c r="X405" i="12" s="1"/>
  <c r="Z439" i="11"/>
  <c r="F439" i="11" l="1"/>
  <c r="EB439" i="11"/>
  <c r="AC439" i="11"/>
  <c r="E406" i="12" l="1"/>
  <c r="AE439" i="11"/>
  <c r="AF439" i="11"/>
  <c r="ED439" i="11"/>
  <c r="EE439" i="11" s="1"/>
  <c r="EG439" i="11" s="1"/>
  <c r="EF439" i="11" s="1"/>
  <c r="AG439" i="11" l="1"/>
  <c r="AD439" i="11" s="1"/>
  <c r="O439" i="11"/>
  <c r="F406" i="12" s="1"/>
  <c r="G406" i="12" s="1"/>
  <c r="EK439" i="11"/>
  <c r="EJ439" i="11"/>
  <c r="G439" i="11" l="1"/>
  <c r="H406" i="12" s="1"/>
  <c r="J406" i="12" s="1"/>
  <c r="AJ439" i="11"/>
  <c r="J439" i="11" s="1"/>
  <c r="AK439" i="11"/>
  <c r="K439" i="11" s="1"/>
  <c r="EL439" i="11"/>
  <c r="I406" i="12" l="1"/>
  <c r="L406" i="12"/>
  <c r="O406" i="12" s="1"/>
  <c r="R439" i="11"/>
  <c r="Q439" i="11"/>
  <c r="AL439" i="11"/>
  <c r="H439" i="11" s="1"/>
  <c r="K406" i="12" l="1"/>
  <c r="I439" i="11"/>
  <c r="P406" i="12" s="1"/>
  <c r="S406" i="12" s="1"/>
  <c r="T406" i="12" s="1"/>
  <c r="S439" i="11" l="1"/>
  <c r="Q406" i="12" s="1"/>
  <c r="U439" i="11"/>
  <c r="V439" i="11" s="1"/>
  <c r="T439" i="11" l="1"/>
  <c r="R406" i="12" s="1"/>
  <c r="U406" i="12" s="1"/>
  <c r="X406" i="12" s="1"/>
  <c r="Z440" i="11" l="1"/>
  <c r="F440" i="11" s="1"/>
  <c r="EB440" i="11"/>
  <c r="AC440" i="11" l="1"/>
  <c r="E407" i="12" s="1"/>
  <c r="ED440" i="11"/>
  <c r="EE440" i="11" s="1"/>
  <c r="EG440" i="11" s="1"/>
  <c r="EF440" i="11" s="1"/>
  <c r="AF440" i="11" l="1"/>
  <c r="AE440" i="11"/>
  <c r="AG440" i="11" s="1"/>
  <c r="EK440" i="11"/>
  <c r="EJ440" i="11"/>
  <c r="O440" i="11"/>
  <c r="F407" i="12" s="1"/>
  <c r="AK440" i="11" l="1"/>
  <c r="G440" i="11"/>
  <c r="H407" i="12" s="1"/>
  <c r="K440" i="11"/>
  <c r="AD440" i="11"/>
  <c r="AJ440" i="11"/>
  <c r="J440" i="11" s="1"/>
  <c r="Q440" i="11" s="1"/>
  <c r="EL440" i="11"/>
  <c r="R440" i="11"/>
  <c r="I407" i="12"/>
  <c r="G407" i="12"/>
  <c r="L407" i="12"/>
  <c r="O407" i="12" s="1"/>
  <c r="J407" i="12"/>
  <c r="AL440" i="11" l="1"/>
  <c r="H440" i="11" s="1"/>
  <c r="I440" i="11" s="1"/>
  <c r="K407" i="12" l="1"/>
  <c r="P407" i="12"/>
  <c r="S407" i="12" s="1"/>
  <c r="T407" i="12" s="1"/>
  <c r="S440" i="11"/>
  <c r="U440" i="11"/>
  <c r="V440" i="11" l="1"/>
  <c r="T440" i="11"/>
  <c r="Q407" i="12"/>
  <c r="R407" i="12" l="1"/>
  <c r="U407" i="12" s="1"/>
  <c r="X407" i="12" s="1"/>
  <c r="Z441" i="11"/>
  <c r="F441" i="11" l="1"/>
  <c r="EB441" i="11"/>
  <c r="AC441" i="11"/>
  <c r="ED441" i="11" l="1"/>
  <c r="EE441" i="11" s="1"/>
  <c r="E408" i="12"/>
  <c r="AE441" i="11"/>
  <c r="AF441" i="11"/>
  <c r="EG441" i="11" l="1"/>
  <c r="EF441" i="11" s="1"/>
  <c r="O441" i="11"/>
  <c r="F408" i="12" s="1"/>
  <c r="G408" i="12" s="1"/>
  <c r="AG441" i="11"/>
  <c r="AJ441" i="11" s="1"/>
  <c r="EJ441" i="11" l="1"/>
  <c r="AD441" i="11"/>
  <c r="G441" i="11"/>
  <c r="H408" i="12" s="1"/>
  <c r="I408" i="12" s="1"/>
  <c r="AK441" i="11"/>
  <c r="AL441" i="11" s="1"/>
  <c r="EK441" i="11"/>
  <c r="EL441" i="11" s="1"/>
  <c r="J441" i="11"/>
  <c r="L408" i="12" l="1"/>
  <c r="O408" i="12" s="1"/>
  <c r="J408" i="12"/>
  <c r="Q441" i="11"/>
  <c r="K441" i="11"/>
  <c r="R441" i="11" s="1"/>
  <c r="H441" i="11"/>
  <c r="I441" i="11" s="1"/>
  <c r="K408" i="12" l="1"/>
  <c r="P408" i="12"/>
  <c r="U441" i="11"/>
  <c r="S441" i="11"/>
  <c r="S408" i="12" l="1"/>
  <c r="T408" i="12" s="1"/>
  <c r="Q408" i="12"/>
  <c r="T441" i="11"/>
  <c r="V441" i="11"/>
  <c r="R408" i="12" l="1"/>
  <c r="U408" i="12" s="1"/>
  <c r="X408" i="12" s="1"/>
  <c r="Z442" i="11"/>
  <c r="F442" i="11" l="1"/>
  <c r="EB442" i="11"/>
  <c r="AC442" i="11"/>
  <c r="ED442" i="11" l="1"/>
  <c r="EE442" i="11" s="1"/>
  <c r="E409" i="12"/>
  <c r="AE442" i="11"/>
  <c r="AF442" i="11"/>
  <c r="AG442" i="11" l="1"/>
  <c r="AJ442" i="11" s="1"/>
  <c r="EG442" i="11"/>
  <c r="EF442" i="11" s="1"/>
  <c r="O442" i="11"/>
  <c r="F409" i="12" s="1"/>
  <c r="G409" i="12" s="1"/>
  <c r="AD442" i="11" l="1"/>
  <c r="AK442" i="11"/>
  <c r="AL442" i="11" s="1"/>
  <c r="G442" i="11"/>
  <c r="H409" i="12" s="1"/>
  <c r="I409" i="12" s="1"/>
  <c r="EJ442" i="11"/>
  <c r="J442" i="11" s="1"/>
  <c r="Q442" i="11" s="1"/>
  <c r="EK442" i="11"/>
  <c r="K442" i="11" s="1"/>
  <c r="R442" i="11" s="1"/>
  <c r="EL442" i="11" l="1"/>
  <c r="H442" i="11" s="1"/>
  <c r="I442" i="11" s="1"/>
  <c r="L409" i="12"/>
  <c r="O409" i="12" s="1"/>
  <c r="J409" i="12"/>
  <c r="K409" i="12" l="1"/>
  <c r="P409" i="12"/>
  <c r="U442" i="11"/>
  <c r="S442" i="11"/>
  <c r="S409" i="12" l="1"/>
  <c r="T409" i="12" s="1"/>
  <c r="Q409" i="12"/>
  <c r="T442" i="11"/>
  <c r="V442" i="11"/>
  <c r="R409" i="12" l="1"/>
  <c r="U409" i="12" s="1"/>
  <c r="X409" i="12" s="1"/>
  <c r="Z443" i="11"/>
  <c r="F443" i="11" l="1"/>
  <c r="EB443" i="11"/>
  <c r="AC443" i="11"/>
  <c r="E410" i="12" l="1"/>
  <c r="AE443" i="11"/>
  <c r="AF443" i="11"/>
  <c r="ED443" i="11"/>
  <c r="EE443" i="11" s="1"/>
  <c r="EG443" i="11" s="1"/>
  <c r="EF443" i="11" s="1"/>
  <c r="AG443" i="11" l="1"/>
  <c r="G443" i="11" s="1"/>
  <c r="H410" i="12" s="1"/>
  <c r="O443" i="11"/>
  <c r="F410" i="12" s="1"/>
  <c r="G410" i="12" s="1"/>
  <c r="EK443" i="11"/>
  <c r="EJ443" i="11"/>
  <c r="AD443" i="11" l="1"/>
  <c r="AJ443" i="11"/>
  <c r="J443" i="11" s="1"/>
  <c r="Q443" i="11" s="1"/>
  <c r="AK443" i="11"/>
  <c r="K443" i="11" s="1"/>
  <c r="R443" i="11" s="1"/>
  <c r="EL443" i="11"/>
  <c r="I410" i="12"/>
  <c r="J410" i="12"/>
  <c r="L410" i="12"/>
  <c r="O410" i="12" s="1"/>
  <c r="AL443" i="11" l="1"/>
  <c r="H443" i="11" s="1"/>
  <c r="I443" i="11" l="1"/>
  <c r="P410" i="12" s="1"/>
  <c r="K410" i="12"/>
  <c r="S443" i="11"/>
  <c r="U443" i="11"/>
  <c r="S410" i="12" l="1"/>
  <c r="T410" i="12" s="1"/>
  <c r="V443" i="11"/>
  <c r="T443" i="11"/>
  <c r="Q410" i="12"/>
  <c r="R410" i="12" l="1"/>
  <c r="U410" i="12" s="1"/>
  <c r="X410" i="12" s="1"/>
  <c r="Z444" i="11"/>
  <c r="F444" i="11" l="1"/>
  <c r="EB444" i="11"/>
  <c r="AC444" i="11"/>
  <c r="ED444" i="11" l="1"/>
  <c r="EE444" i="11" s="1"/>
  <c r="E411" i="12"/>
  <c r="AE444" i="11"/>
  <c r="AF444" i="11"/>
  <c r="EG444" i="11" l="1"/>
  <c r="EF444" i="11" s="1"/>
  <c r="O444" i="11"/>
  <c r="F411" i="12" s="1"/>
  <c r="AG444" i="11"/>
  <c r="AD444" i="11" s="1"/>
  <c r="EJ444" i="11"/>
  <c r="G411" i="12"/>
  <c r="EK444" i="11" l="1"/>
  <c r="EL444" i="11" s="1"/>
  <c r="AK444" i="11"/>
  <c r="K444" i="11" s="1"/>
  <c r="AJ444" i="11"/>
  <c r="J444" i="11" s="1"/>
  <c r="G444" i="11"/>
  <c r="H411" i="12" s="1"/>
  <c r="J411" i="12" s="1"/>
  <c r="Q444" i="11" l="1"/>
  <c r="AL444" i="11"/>
  <c r="H444" i="11" s="1"/>
  <c r="K411" i="12" s="1"/>
  <c r="I411" i="12"/>
  <c r="L411" i="12"/>
  <c r="O411" i="12" s="1"/>
  <c r="R444" i="11"/>
  <c r="I444" i="11" l="1"/>
  <c r="P411" i="12" s="1"/>
  <c r="S411" i="12" s="1"/>
  <c r="T411" i="12" s="1"/>
  <c r="S444" i="11"/>
  <c r="U444" i="11" l="1"/>
  <c r="V444" i="11" s="1"/>
  <c r="Q411" i="12"/>
  <c r="T444" i="11"/>
  <c r="R411" i="12" l="1"/>
  <c r="U411" i="12" s="1"/>
  <c r="X411" i="12" s="1"/>
  <c r="Z445" i="11"/>
  <c r="F445" i="11" l="1"/>
  <c r="EB445" i="11"/>
  <c r="AC445" i="11"/>
  <c r="E412" i="12" l="1"/>
  <c r="AE445" i="11"/>
  <c r="AF445" i="11"/>
  <c r="ED445" i="11"/>
  <c r="EE445" i="11" s="1"/>
  <c r="EG445" i="11" s="1"/>
  <c r="EF445" i="11" s="1"/>
  <c r="AG445" i="11" l="1"/>
  <c r="AK445" i="11" s="1"/>
  <c r="EJ445" i="11"/>
  <c r="EK445" i="11"/>
  <c r="O445" i="11"/>
  <c r="F412" i="12" s="1"/>
  <c r="G412" i="12" s="1"/>
  <c r="K445" i="11" l="1"/>
  <c r="G445" i="11"/>
  <c r="H412" i="12" s="1"/>
  <c r="J412" i="12" s="1"/>
  <c r="AD445" i="11"/>
  <c r="AJ445" i="11"/>
  <c r="J445" i="11" s="1"/>
  <c r="EL445" i="11"/>
  <c r="R445" i="11" l="1"/>
  <c r="I412" i="12"/>
  <c r="L412" i="12"/>
  <c r="O412" i="12" s="1"/>
  <c r="Q445" i="11"/>
  <c r="AL445" i="11"/>
  <c r="H445" i="11" s="1"/>
  <c r="K412" i="12" s="1"/>
  <c r="I445" i="11" l="1"/>
  <c r="P412" i="12" s="1"/>
  <c r="S412" i="12" s="1"/>
  <c r="T412" i="12" s="1"/>
  <c r="S445" i="11" l="1"/>
  <c r="Q412" i="12" s="1"/>
  <c r="U445" i="11"/>
  <c r="V445" i="11" s="1"/>
  <c r="T445" i="11" l="1"/>
  <c r="R412" i="12" s="1"/>
  <c r="U412" i="12" s="1"/>
  <c r="X412" i="12" s="1"/>
  <c r="Z446" i="11" l="1"/>
  <c r="F446" i="11" s="1"/>
  <c r="AC446" i="11" l="1"/>
  <c r="EB446" i="11"/>
  <c r="ED446" i="11" s="1"/>
  <c r="EE446" i="11" s="1"/>
  <c r="EG446" i="11" s="1"/>
  <c r="EF446" i="11" s="1"/>
  <c r="E413" i="12"/>
  <c r="AE446" i="11"/>
  <c r="AF446" i="11"/>
  <c r="AG446" i="11" l="1"/>
  <c r="AD446" i="11" s="1"/>
  <c r="EJ446" i="11"/>
  <c r="EK446" i="11"/>
  <c r="O446" i="11"/>
  <c r="F413" i="12" s="1"/>
  <c r="AK446" i="11"/>
  <c r="K446" i="11" s="1"/>
  <c r="AJ446" i="11"/>
  <c r="J446" i="11" s="1"/>
  <c r="G446" i="11"/>
  <c r="H413" i="12" s="1"/>
  <c r="Q446" i="11" l="1"/>
  <c r="EL446" i="11"/>
  <c r="I413" i="12"/>
  <c r="R446" i="11"/>
  <c r="G413" i="12"/>
  <c r="AL446" i="11"/>
  <c r="H446" i="11" s="1"/>
  <c r="L413" i="12"/>
  <c r="O413" i="12" s="1"/>
  <c r="J413" i="12"/>
  <c r="I446" i="11" l="1"/>
  <c r="K413" i="12"/>
  <c r="P413" i="12" l="1"/>
  <c r="S413" i="12" s="1"/>
  <c r="T413" i="12" s="1"/>
  <c r="S446" i="11"/>
  <c r="U446" i="11"/>
  <c r="V446" i="11" l="1"/>
  <c r="Q413" i="12"/>
  <c r="T446" i="11"/>
  <c r="R413" i="12" l="1"/>
  <c r="U413" i="12" s="1"/>
  <c r="X413" i="12" s="1"/>
  <c r="Z447" i="11"/>
  <c r="F447" i="11" l="1"/>
  <c r="EB447" i="11"/>
  <c r="AC447" i="11"/>
  <c r="E414" i="12" l="1"/>
  <c r="AE447" i="11"/>
  <c r="AF447" i="11"/>
  <c r="ED447" i="11"/>
  <c r="EE447" i="11" s="1"/>
  <c r="EG447" i="11" s="1"/>
  <c r="EF447" i="11" s="1"/>
  <c r="AG447" i="11" l="1"/>
  <c r="AK447" i="11" s="1"/>
  <c r="EJ447" i="11"/>
  <c r="EK447" i="11"/>
  <c r="O447" i="11"/>
  <c r="F414" i="12" s="1"/>
  <c r="G414" i="12" s="1"/>
  <c r="G447" i="11" l="1"/>
  <c r="H414" i="12" s="1"/>
  <c r="J414" i="12" s="1"/>
  <c r="AJ447" i="11"/>
  <c r="AL447" i="11" s="1"/>
  <c r="AD447" i="11"/>
  <c r="EL447" i="11"/>
  <c r="K447" i="11"/>
  <c r="R447" i="11" s="1"/>
  <c r="J447" i="11" l="1"/>
  <c r="Q447" i="11" s="1"/>
  <c r="L414" i="12"/>
  <c r="O414" i="12" s="1"/>
  <c r="H447" i="11"/>
  <c r="I447" i="11" s="1"/>
  <c r="I414" i="12"/>
  <c r="K414" i="12" l="1"/>
  <c r="P414" i="12"/>
  <c r="U447" i="11"/>
  <c r="S447" i="11"/>
  <c r="S414" i="12" l="1"/>
  <c r="T414" i="12" s="1"/>
  <c r="Q414" i="12"/>
  <c r="T447" i="11"/>
  <c r="V447" i="11"/>
  <c r="R414" i="12" l="1"/>
  <c r="U414" i="12" s="1"/>
  <c r="X414" i="12" s="1"/>
  <c r="Z448" i="11"/>
  <c r="F448" i="11" l="1"/>
  <c r="EB448" i="11"/>
  <c r="AC448" i="11"/>
  <c r="E415" i="12" l="1"/>
  <c r="AE448" i="11"/>
  <c r="AF448" i="11"/>
  <c r="ED448" i="11"/>
  <c r="EE448" i="11" s="1"/>
  <c r="EG448" i="11" s="1"/>
  <c r="EF448" i="11" s="1"/>
  <c r="AG448" i="11" l="1"/>
  <c r="EK448" i="11"/>
  <c r="EJ448" i="11"/>
  <c r="O448" i="11"/>
  <c r="F415" i="12" s="1"/>
  <c r="AD448" i="11"/>
  <c r="G448" i="11"/>
  <c r="H415" i="12" s="1"/>
  <c r="AK448" i="11"/>
  <c r="K448" i="11" s="1"/>
  <c r="AJ448" i="11"/>
  <c r="J448" i="11" s="1"/>
  <c r="R448" i="11" l="1"/>
  <c r="I415" i="12"/>
  <c r="EL448" i="11"/>
  <c r="L415" i="12"/>
  <c r="O415" i="12" s="1"/>
  <c r="J415" i="12"/>
  <c r="G415" i="12"/>
  <c r="AL448" i="11"/>
  <c r="Q448" i="11"/>
  <c r="H448" i="11" l="1"/>
  <c r="K415" i="12" s="1"/>
  <c r="I448" i="11" l="1"/>
  <c r="P415" i="12" s="1"/>
  <c r="S415" i="12" s="1"/>
  <c r="T415" i="12" s="1"/>
  <c r="U448" i="11" l="1"/>
  <c r="V448" i="11" s="1"/>
  <c r="S448" i="11"/>
  <c r="Q415" i="12" s="1"/>
  <c r="T448" i="11" l="1"/>
  <c r="R415" i="12" s="1"/>
  <c r="U415" i="12" s="1"/>
  <c r="X415" i="12" s="1"/>
  <c r="Z449" i="11"/>
  <c r="F449" i="11" l="1"/>
  <c r="EB449" i="11"/>
  <c r="AC449" i="11"/>
  <c r="E416" i="12" l="1"/>
  <c r="AE449" i="11"/>
  <c r="AF449" i="11"/>
  <c r="ED449" i="11"/>
  <c r="EE449" i="11" s="1"/>
  <c r="EG449" i="11" s="1"/>
  <c r="EF449" i="11" s="1"/>
  <c r="AG449" i="11" l="1"/>
  <c r="AD449" i="11" s="1"/>
  <c r="O449" i="11"/>
  <c r="F416" i="12" s="1"/>
  <c r="G416" i="12" s="1"/>
  <c r="EK449" i="11"/>
  <c r="EJ449" i="11"/>
  <c r="AJ449" i="11" l="1"/>
  <c r="J449" i="11" s="1"/>
  <c r="AK449" i="11"/>
  <c r="K449" i="11" s="1"/>
  <c r="G449" i="11"/>
  <c r="H416" i="12" s="1"/>
  <c r="J416" i="12" s="1"/>
  <c r="EL449" i="11"/>
  <c r="R449" i="11" l="1"/>
  <c r="AL449" i="11"/>
  <c r="H449" i="11" s="1"/>
  <c r="I449" i="11" s="1"/>
  <c r="Q449" i="11"/>
  <c r="I416" i="12"/>
  <c r="L416" i="12"/>
  <c r="O416" i="12" s="1"/>
  <c r="K416" i="12"/>
  <c r="P416" i="12" l="1"/>
  <c r="S416" i="12" s="1"/>
  <c r="T416" i="12" s="1"/>
  <c r="U449" i="11"/>
  <c r="S449" i="11"/>
  <c r="Q416" i="12" l="1"/>
  <c r="T449" i="11"/>
  <c r="V449" i="11"/>
  <c r="R416" i="12" l="1"/>
  <c r="U416" i="12" s="1"/>
  <c r="X416" i="12" s="1"/>
  <c r="Z450" i="11"/>
  <c r="F450" i="11" l="1"/>
  <c r="EB450" i="11"/>
  <c r="AC450" i="11"/>
  <c r="ED450" i="11" l="1"/>
  <c r="EE450" i="11" s="1"/>
  <c r="E417" i="12"/>
  <c r="AE450" i="11"/>
  <c r="AF450" i="11"/>
  <c r="AG450" i="11" l="1"/>
  <c r="AK450" i="11" s="1"/>
  <c r="EG450" i="11"/>
  <c r="EF450" i="11" s="1"/>
  <c r="O450" i="11"/>
  <c r="F417" i="12" s="1"/>
  <c r="G417" i="12" s="1"/>
  <c r="AD450" i="11"/>
  <c r="AJ450" i="11"/>
  <c r="EJ450" i="11" l="1"/>
  <c r="J450" i="11" s="1"/>
  <c r="EK450" i="11"/>
  <c r="AL450" i="11"/>
  <c r="G450" i="11"/>
  <c r="H417" i="12" s="1"/>
  <c r="I417" i="12" s="1"/>
  <c r="EL450" i="11" l="1"/>
  <c r="K450" i="11"/>
  <c r="R450" i="11" s="1"/>
  <c r="Q450" i="11"/>
  <c r="H450" i="11"/>
  <c r="K417" i="12" s="1"/>
  <c r="J417" i="12"/>
  <c r="L417" i="12"/>
  <c r="O417" i="12" s="1"/>
  <c r="I450" i="11" l="1"/>
  <c r="P417" i="12" s="1"/>
  <c r="S417" i="12" s="1"/>
  <c r="T417" i="12" s="1"/>
  <c r="S450" i="11"/>
  <c r="U450" i="11"/>
  <c r="V450" i="11" l="1"/>
  <c r="T450" i="11"/>
  <c r="Q417" i="12"/>
  <c r="R417" i="12" l="1"/>
  <c r="U417" i="12" s="1"/>
  <c r="X417" i="12" s="1"/>
  <c r="Z451" i="11"/>
  <c r="F451" i="11" l="1"/>
  <c r="EB451" i="11"/>
  <c r="AC451" i="11"/>
  <c r="E418" i="12" l="1"/>
  <c r="AE451" i="11"/>
  <c r="AF451" i="11"/>
  <c r="ED451" i="11"/>
  <c r="EE451" i="11" s="1"/>
  <c r="EG451" i="11" s="1"/>
  <c r="EF451" i="11" s="1"/>
  <c r="AG451" i="11" l="1"/>
  <c r="G451" i="11" s="1"/>
  <c r="H418" i="12" s="1"/>
  <c r="EJ451" i="11"/>
  <c r="EK451" i="11"/>
  <c r="O451" i="11"/>
  <c r="F418" i="12" s="1"/>
  <c r="AJ451" i="11" l="1"/>
  <c r="J451" i="11" s="1"/>
  <c r="AK451" i="11"/>
  <c r="K451" i="11" s="1"/>
  <c r="R451" i="11" s="1"/>
  <c r="AD451" i="11"/>
  <c r="EL451" i="11"/>
  <c r="I418" i="12"/>
  <c r="J418" i="12"/>
  <c r="L418" i="12"/>
  <c r="O418" i="12" s="1"/>
  <c r="G418" i="12"/>
  <c r="Q451" i="11"/>
  <c r="AL451" i="11" l="1"/>
  <c r="H451" i="11" s="1"/>
  <c r="K418" i="12" s="1"/>
  <c r="I451" i="11" l="1"/>
  <c r="P418" i="12" s="1"/>
  <c r="S418" i="12" s="1"/>
  <c r="T418" i="12" s="1"/>
  <c r="S451" i="11" l="1"/>
  <c r="T451" i="11" s="1"/>
  <c r="U451" i="11"/>
  <c r="V451" i="11" s="1"/>
  <c r="Q418" i="12" l="1"/>
  <c r="R418" i="12"/>
  <c r="U418" i="12" s="1"/>
  <c r="X418" i="12" s="1"/>
  <c r="Z452" i="11"/>
  <c r="F452" i="11" l="1"/>
  <c r="EB452" i="11"/>
  <c r="AC452" i="11"/>
  <c r="E419" i="12" l="1"/>
  <c r="AE452" i="11"/>
  <c r="AF452" i="11"/>
  <c r="ED452" i="11"/>
  <c r="EE452" i="11" s="1"/>
  <c r="EG452" i="11" s="1"/>
  <c r="EF452" i="11" s="1"/>
  <c r="AG452" i="11" l="1"/>
  <c r="AK452" i="11" s="1"/>
  <c r="EK452" i="11"/>
  <c r="EJ452" i="11"/>
  <c r="O452" i="11"/>
  <c r="F419" i="12" s="1"/>
  <c r="G419" i="12" s="1"/>
  <c r="G452" i="11" l="1"/>
  <c r="H419" i="12" s="1"/>
  <c r="I419" i="12" s="1"/>
  <c r="AJ452" i="11"/>
  <c r="AL452" i="11" s="1"/>
  <c r="AD452" i="11"/>
  <c r="EL452" i="11"/>
  <c r="K452" i="11"/>
  <c r="R452" i="11" s="1"/>
  <c r="J419" i="12" l="1"/>
  <c r="L419" i="12"/>
  <c r="O419" i="12" s="1"/>
  <c r="J452" i="11"/>
  <c r="Q452" i="11" s="1"/>
  <c r="H452" i="11"/>
  <c r="I452" i="11" s="1"/>
  <c r="K419" i="12" l="1"/>
  <c r="P419" i="12"/>
  <c r="S419" i="12" s="1"/>
  <c r="T419" i="12" s="1"/>
  <c r="S452" i="11"/>
  <c r="U452" i="11"/>
  <c r="Q419" i="12" l="1"/>
  <c r="T452" i="11"/>
  <c r="V452" i="11"/>
  <c r="R419" i="12" l="1"/>
  <c r="U419" i="12" s="1"/>
  <c r="X419" i="12" s="1"/>
  <c r="Z453" i="11"/>
  <c r="F453" i="11" l="1"/>
  <c r="EB453" i="11"/>
  <c r="AC453" i="11"/>
  <c r="E420" i="12" l="1"/>
  <c r="AE453" i="11"/>
  <c r="AF453" i="11"/>
  <c r="ED453" i="11"/>
  <c r="EE453" i="11" s="1"/>
  <c r="EG453" i="11" s="1"/>
  <c r="EF453" i="11" s="1"/>
  <c r="AG453" i="11" l="1"/>
  <c r="EJ453" i="11"/>
  <c r="EK453" i="11"/>
  <c r="O453" i="11"/>
  <c r="F420" i="12" s="1"/>
  <c r="G420" i="12" s="1"/>
  <c r="AD453" i="11"/>
  <c r="AJ453" i="11"/>
  <c r="J453" i="11" s="1"/>
  <c r="AK453" i="11"/>
  <c r="K453" i="11" s="1"/>
  <c r="G453" i="11"/>
  <c r="H420" i="12" s="1"/>
  <c r="Q453" i="11" l="1"/>
  <c r="R453" i="11"/>
  <c r="EL453" i="11"/>
  <c r="I420" i="12"/>
  <c r="AL453" i="11"/>
  <c r="H453" i="11" s="1"/>
  <c r="J420" i="12"/>
  <c r="L420" i="12"/>
  <c r="O420" i="12" s="1"/>
  <c r="K420" i="12" l="1"/>
  <c r="I453" i="11"/>
  <c r="P420" i="12" l="1"/>
  <c r="S420" i="12" s="1"/>
  <c r="T420" i="12" s="1"/>
  <c r="S453" i="11"/>
  <c r="U453" i="11"/>
  <c r="V453" i="11" l="1"/>
  <c r="Q420" i="12"/>
  <c r="T453" i="11"/>
  <c r="R420" i="12" l="1"/>
  <c r="U420" i="12" s="1"/>
  <c r="X420" i="12" s="1"/>
  <c r="Z454" i="11"/>
  <c r="F454" i="11" l="1"/>
  <c r="EB454" i="11"/>
  <c r="AC454" i="11"/>
  <c r="E421" i="12" l="1"/>
  <c r="AE454" i="11"/>
  <c r="AF454" i="11"/>
  <c r="ED454" i="11"/>
  <c r="EE454" i="11" s="1"/>
  <c r="EG454" i="11" s="1"/>
  <c r="EF454" i="11" s="1"/>
  <c r="AG454" i="11" l="1"/>
  <c r="AK454" i="11" s="1"/>
  <c r="EK454" i="11"/>
  <c r="EJ454" i="11"/>
  <c r="O454" i="11"/>
  <c r="F421" i="12" s="1"/>
  <c r="G421" i="12" s="1"/>
  <c r="G454" i="11" l="1"/>
  <c r="H421" i="12" s="1"/>
  <c r="J421" i="12" s="1"/>
  <c r="AJ454" i="11"/>
  <c r="J454" i="11" s="1"/>
  <c r="AD454" i="11"/>
  <c r="K454" i="11"/>
  <c r="R454" i="11" s="1"/>
  <c r="EL454" i="11"/>
  <c r="I421" i="12"/>
  <c r="L421" i="12"/>
  <c r="O421" i="12" s="1"/>
  <c r="Q454" i="11" l="1"/>
  <c r="AL454" i="11"/>
  <c r="H454" i="11" s="1"/>
  <c r="K421" i="12" s="1"/>
  <c r="I454" i="11" l="1"/>
  <c r="P421" i="12" s="1"/>
  <c r="S421" i="12" s="1"/>
  <c r="T421" i="12" s="1"/>
  <c r="S454" i="11" l="1"/>
  <c r="T454" i="11" s="1"/>
  <c r="U454" i="11"/>
  <c r="V454" i="11" s="1"/>
  <c r="Q421" i="12" l="1"/>
  <c r="R421" i="12"/>
  <c r="Z455" i="11"/>
  <c r="U421" i="12" l="1"/>
  <c r="X421" i="12" s="1"/>
  <c r="F455" i="11"/>
  <c r="EB455" i="11"/>
  <c r="AC455" i="11"/>
  <c r="E422" i="12" l="1"/>
  <c r="AE455" i="11"/>
  <c r="AF455" i="11"/>
  <c r="ED455" i="11"/>
  <c r="EE455" i="11" s="1"/>
  <c r="EG455" i="11" s="1"/>
  <c r="EF455" i="11" s="1"/>
  <c r="AG455" i="11" l="1"/>
  <c r="G455" i="11" s="1"/>
  <c r="H422" i="12" s="1"/>
  <c r="O455" i="11"/>
  <c r="F422" i="12" s="1"/>
  <c r="G422" i="12" s="1"/>
  <c r="EJ455" i="11"/>
  <c r="EK455" i="11"/>
  <c r="AK455" i="11" l="1"/>
  <c r="K455" i="11" s="1"/>
  <c r="R455" i="11" s="1"/>
  <c r="AD455" i="11"/>
  <c r="AJ455" i="11"/>
  <c r="AL455" i="11" s="1"/>
  <c r="EL455" i="11"/>
  <c r="I422" i="12"/>
  <c r="J422" i="12"/>
  <c r="L422" i="12"/>
  <c r="O422" i="12" s="1"/>
  <c r="H455" i="11" l="1"/>
  <c r="K422" i="12" s="1"/>
  <c r="J455" i="11"/>
  <c r="Q455" i="11" s="1"/>
  <c r="I455" i="11"/>
  <c r="P422" i="12" l="1"/>
  <c r="S422" i="12" s="1"/>
  <c r="T422" i="12" s="1"/>
  <c r="S455" i="11"/>
  <c r="U455" i="11"/>
  <c r="V455" i="11" l="1"/>
  <c r="Q422" i="12"/>
  <c r="T455" i="11"/>
  <c r="R422" i="12" l="1"/>
  <c r="U422" i="12" s="1"/>
  <c r="X422" i="12" s="1"/>
  <c r="Z456" i="11"/>
  <c r="F456" i="11" l="1"/>
  <c r="EB456" i="11"/>
  <c r="AC456" i="11"/>
  <c r="E423" i="12" l="1"/>
  <c r="AE456" i="11"/>
  <c r="AF456" i="11"/>
  <c r="ED456" i="11"/>
  <c r="EE456" i="11" s="1"/>
  <c r="EG456" i="11" s="1"/>
  <c r="EF456" i="11" s="1"/>
  <c r="AG456" i="11" l="1"/>
  <c r="AK456" i="11" s="1"/>
  <c r="EK456" i="11"/>
  <c r="EJ456" i="11"/>
  <c r="O456" i="11"/>
  <c r="F423" i="12" s="1"/>
  <c r="AJ456" i="11" l="1"/>
  <c r="AL456" i="11" s="1"/>
  <c r="AD456" i="11"/>
  <c r="G456" i="11"/>
  <c r="H423" i="12" s="1"/>
  <c r="I423" i="12" s="1"/>
  <c r="EL456" i="11"/>
  <c r="J456" i="11"/>
  <c r="G423" i="12"/>
  <c r="K456" i="11"/>
  <c r="H456" i="11" l="1"/>
  <c r="Q456" i="11"/>
  <c r="J423" i="12"/>
  <c r="L423" i="12"/>
  <c r="O423" i="12" s="1"/>
  <c r="R456" i="11"/>
  <c r="K423" i="12"/>
  <c r="I456" i="11"/>
  <c r="P423" i="12" l="1"/>
  <c r="S423" i="12" s="1"/>
  <c r="T423" i="12" s="1"/>
  <c r="U456" i="11"/>
  <c r="S456" i="11"/>
  <c r="Q423" i="12" l="1"/>
  <c r="T456" i="11"/>
  <c r="V456" i="11"/>
  <c r="R423" i="12" l="1"/>
  <c r="U423" i="12" s="1"/>
  <c r="X423" i="12" s="1"/>
  <c r="Z457" i="11"/>
  <c r="F457" i="11" l="1"/>
  <c r="EB457" i="11"/>
  <c r="AC457" i="11"/>
  <c r="E424" i="12" l="1"/>
  <c r="AE457" i="11"/>
  <c r="AF457" i="11"/>
  <c r="ED457" i="11"/>
  <c r="EE457" i="11" s="1"/>
  <c r="EG457" i="11" s="1"/>
  <c r="EF457" i="11" s="1"/>
  <c r="AG457" i="11" l="1"/>
  <c r="AD457" i="11" s="1"/>
  <c r="EK457" i="11"/>
  <c r="EJ457" i="11"/>
  <c r="O457" i="11"/>
  <c r="F424" i="12" s="1"/>
  <c r="G424" i="12" s="1"/>
  <c r="G457" i="11" l="1"/>
  <c r="H424" i="12" s="1"/>
  <c r="AK457" i="11"/>
  <c r="K457" i="11" s="1"/>
  <c r="R457" i="11" s="1"/>
  <c r="AJ457" i="11"/>
  <c r="J457" i="11" s="1"/>
  <c r="Q457" i="11" s="1"/>
  <c r="EL457" i="11"/>
  <c r="J424" i="12"/>
  <c r="L424" i="12"/>
  <c r="O424" i="12" s="1"/>
  <c r="I424" i="12"/>
  <c r="AL457" i="11" l="1"/>
  <c r="H457" i="11" s="1"/>
  <c r="I457" i="11" s="1"/>
  <c r="K424" i="12" l="1"/>
  <c r="P424" i="12"/>
  <c r="S457" i="11"/>
  <c r="U457" i="11"/>
  <c r="S424" i="12" l="1"/>
  <c r="T424" i="12" s="1"/>
  <c r="T457" i="11"/>
  <c r="Q424" i="12"/>
  <c r="V457" i="11"/>
  <c r="R424" i="12" l="1"/>
  <c r="U424" i="12" s="1"/>
  <c r="X424" i="12" s="1"/>
  <c r="Z458" i="11"/>
  <c r="F458" i="11" l="1"/>
  <c r="EB458" i="11"/>
  <c r="AC458" i="11"/>
  <c r="E425" i="12" l="1"/>
  <c r="AE458" i="11"/>
  <c r="AF458" i="11"/>
  <c r="ED458" i="11"/>
  <c r="EE458" i="11" s="1"/>
  <c r="EG458" i="11" s="1"/>
  <c r="EF458" i="11" s="1"/>
  <c r="AG458" i="11" l="1"/>
  <c r="AK458" i="11" s="1"/>
  <c r="EK458" i="11"/>
  <c r="EJ458" i="11"/>
  <c r="AD458" i="11"/>
  <c r="O458" i="11"/>
  <c r="F425" i="12" s="1"/>
  <c r="G425" i="12" s="1"/>
  <c r="G458" i="11" l="1"/>
  <c r="H425" i="12" s="1"/>
  <c r="L425" i="12" s="1"/>
  <c r="O425" i="12" s="1"/>
  <c r="AJ458" i="11"/>
  <c r="J458" i="11" s="1"/>
  <c r="Q458" i="11" s="1"/>
  <c r="K458" i="11"/>
  <c r="R458" i="11" s="1"/>
  <c r="EL458" i="11"/>
  <c r="J425" i="12"/>
  <c r="I425" i="12"/>
  <c r="AL458" i="11"/>
  <c r="H458" i="11" s="1"/>
  <c r="I458" i="11" l="1"/>
  <c r="K425" i="12"/>
  <c r="P425" i="12" l="1"/>
  <c r="S425" i="12" s="1"/>
  <c r="T425" i="12" s="1"/>
  <c r="S458" i="11"/>
  <c r="U458" i="11"/>
  <c r="V458" i="11" l="1"/>
  <c r="Q425" i="12"/>
  <c r="T458" i="11"/>
  <c r="R425" i="12" l="1"/>
  <c r="U425" i="12" s="1"/>
  <c r="X425" i="12" s="1"/>
  <c r="Z459" i="11"/>
  <c r="F459" i="11" l="1"/>
  <c r="EB459" i="11"/>
  <c r="AC459" i="11"/>
  <c r="ED459" i="11" l="1"/>
  <c r="EE459" i="11" s="1"/>
  <c r="E426" i="12"/>
  <c r="AE459" i="11"/>
  <c r="AF459" i="11"/>
  <c r="EG459" i="11" l="1"/>
  <c r="EF459" i="11" s="1"/>
  <c r="O459" i="11"/>
  <c r="F426" i="12" s="1"/>
  <c r="G426" i="12" s="1"/>
  <c r="AG459" i="11"/>
  <c r="AK459" i="11" s="1"/>
  <c r="EK459" i="11" l="1"/>
  <c r="EJ459" i="11"/>
  <c r="G459" i="11"/>
  <c r="H426" i="12" s="1"/>
  <c r="I426" i="12" s="1"/>
  <c r="AJ459" i="11"/>
  <c r="AD459" i="11"/>
  <c r="K459" i="11"/>
  <c r="R459" i="11" s="1"/>
  <c r="J459" i="11" l="1"/>
  <c r="Q459" i="11" s="1"/>
  <c r="EL459" i="11"/>
  <c r="L426" i="12"/>
  <c r="O426" i="12" s="1"/>
  <c r="AL459" i="11"/>
  <c r="H459" i="11" s="1"/>
  <c r="K426" i="12" s="1"/>
  <c r="J426" i="12"/>
  <c r="I459" i="11" l="1"/>
  <c r="P426" i="12" s="1"/>
  <c r="S426" i="12" s="1"/>
  <c r="T426" i="12" s="1"/>
  <c r="S459" i="11" l="1"/>
  <c r="T459" i="11" s="1"/>
  <c r="U459" i="11"/>
  <c r="V459" i="11" s="1"/>
  <c r="Q426" i="12" l="1"/>
  <c r="R426" i="12"/>
  <c r="U426" i="12" s="1"/>
  <c r="X426" i="12" s="1"/>
  <c r="Z460" i="11"/>
  <c r="F460" i="11" l="1"/>
  <c r="EB460" i="11"/>
  <c r="AC460" i="11"/>
  <c r="ED460" i="11" l="1"/>
  <c r="EE460" i="11" s="1"/>
  <c r="E427" i="12"/>
  <c r="AE460" i="11"/>
  <c r="AF460" i="11"/>
  <c r="EG460" i="11" l="1"/>
  <c r="EF460" i="11" s="1"/>
  <c r="O460" i="11"/>
  <c r="F427" i="12" s="1"/>
  <c r="G427" i="12" s="1"/>
  <c r="AG460" i="11"/>
  <c r="AJ460" i="11" s="1"/>
  <c r="EJ460" i="11" l="1"/>
  <c r="EK460" i="11"/>
  <c r="EL460" i="11" s="1"/>
  <c r="AK460" i="11"/>
  <c r="AL460" i="11" s="1"/>
  <c r="G460" i="11"/>
  <c r="H427" i="12" s="1"/>
  <c r="I427" i="12" s="1"/>
  <c r="AD460" i="11"/>
  <c r="J460" i="11"/>
  <c r="Q460" i="11" s="1"/>
  <c r="K460" i="11"/>
  <c r="R460" i="11" s="1"/>
  <c r="H460" i="11" l="1"/>
  <c r="I460" i="11" s="1"/>
  <c r="L427" i="12"/>
  <c r="O427" i="12" s="1"/>
  <c r="J427" i="12"/>
  <c r="K427" i="12" l="1"/>
  <c r="P427" i="12"/>
  <c r="S427" i="12" s="1"/>
  <c r="T427" i="12" s="1"/>
  <c r="S460" i="11"/>
  <c r="U460" i="11"/>
  <c r="V460" i="11" l="1"/>
  <c r="T460" i="11"/>
  <c r="Q427" i="12"/>
  <c r="Z461" i="11" l="1"/>
  <c r="R427" i="12"/>
  <c r="U427" i="12" s="1"/>
  <c r="X427" i="12" s="1"/>
  <c r="F461" i="11" l="1"/>
  <c r="EB461" i="11"/>
  <c r="AC461" i="11"/>
  <c r="E428" i="12" l="1"/>
  <c r="AE461" i="11"/>
  <c r="AF461" i="11"/>
  <c r="ED461" i="11"/>
  <c r="EE461" i="11" s="1"/>
  <c r="EG461" i="11" s="1"/>
  <c r="EF461" i="11" s="1"/>
  <c r="AG461" i="11" l="1"/>
  <c r="AD461" i="11" s="1"/>
  <c r="EJ461" i="11"/>
  <c r="EK461" i="11"/>
  <c r="AK461" i="11"/>
  <c r="K461" i="11" s="1"/>
  <c r="AJ461" i="11"/>
  <c r="J461" i="11" s="1"/>
  <c r="G461" i="11"/>
  <c r="H428" i="12" s="1"/>
  <c r="O461" i="11"/>
  <c r="F428" i="12" s="1"/>
  <c r="G428" i="12" s="1"/>
  <c r="R461" i="11" l="1"/>
  <c r="Q461" i="11"/>
  <c r="EL461" i="11"/>
  <c r="I428" i="12"/>
  <c r="L428" i="12"/>
  <c r="O428" i="12" s="1"/>
  <c r="J428" i="12"/>
  <c r="AL461" i="11"/>
  <c r="H461" i="11" s="1"/>
  <c r="K428" i="12" l="1"/>
  <c r="I461" i="11"/>
  <c r="P428" i="12" l="1"/>
  <c r="S428" i="12" s="1"/>
  <c r="T428" i="12" s="1"/>
  <c r="U461" i="11"/>
  <c r="S461" i="11"/>
  <c r="T461" i="11" l="1"/>
  <c r="Q428" i="12"/>
  <c r="V461" i="11"/>
  <c r="R428" i="12" l="1"/>
  <c r="U428" i="12" s="1"/>
  <c r="X428" i="12" s="1"/>
  <c r="Z462" i="11"/>
  <c r="F462" i="11" l="1"/>
  <c r="EB462" i="11"/>
  <c r="AC462" i="11"/>
  <c r="ED462" i="11" l="1"/>
  <c r="EE462" i="11" s="1"/>
  <c r="E429" i="12"/>
  <c r="AE462" i="11"/>
  <c r="AF462" i="11"/>
  <c r="AG462" i="11" l="1"/>
  <c r="EG462" i="11"/>
  <c r="EF462" i="11" s="1"/>
  <c r="O462" i="11"/>
  <c r="F429" i="12" s="1"/>
  <c r="G429" i="12" s="1"/>
  <c r="EK462" i="11" l="1"/>
  <c r="G462" i="11"/>
  <c r="H429" i="12" s="1"/>
  <c r="I429" i="12" s="1"/>
  <c r="AJ462" i="11"/>
  <c r="AD462" i="11"/>
  <c r="AK462" i="11"/>
  <c r="AL462" i="11" s="1"/>
  <c r="EJ462" i="11"/>
  <c r="EL462" i="11" s="1"/>
  <c r="L429" i="12"/>
  <c r="O429" i="12" s="1"/>
  <c r="J429" i="12"/>
  <c r="K462" i="11" l="1"/>
  <c r="R462" i="11" s="1"/>
  <c r="H462" i="11"/>
  <c r="K429" i="12" s="1"/>
  <c r="J462" i="11"/>
  <c r="Q462" i="11" s="1"/>
  <c r="I462" i="11"/>
  <c r="P429" i="12" l="1"/>
  <c r="S429" i="12" s="1"/>
  <c r="T429" i="12" s="1"/>
  <c r="U462" i="11"/>
  <c r="S462" i="11"/>
  <c r="Q429" i="12" l="1"/>
  <c r="T462" i="11"/>
  <c r="V462" i="11"/>
  <c r="R429" i="12" l="1"/>
  <c r="U429" i="12" s="1"/>
  <c r="X429" i="12" s="1"/>
  <c r="Z463" i="11"/>
  <c r="F463" i="11" l="1"/>
  <c r="EB463" i="11"/>
  <c r="AC463" i="11"/>
  <c r="E430" i="12" l="1"/>
  <c r="AE463" i="11"/>
  <c r="AF463" i="11"/>
  <c r="ED463" i="11"/>
  <c r="EE463" i="11" s="1"/>
  <c r="EG463" i="11" s="1"/>
  <c r="EF463" i="11" s="1"/>
  <c r="AG463" i="11" l="1"/>
  <c r="AJ463" i="11" s="1"/>
  <c r="O463" i="11"/>
  <c r="F430" i="12" s="1"/>
  <c r="G430" i="12" s="1"/>
  <c r="EK463" i="11"/>
  <c r="EJ463" i="11"/>
  <c r="AK463" i="11" l="1"/>
  <c r="G463" i="11"/>
  <c r="H430" i="12" s="1"/>
  <c r="L430" i="12" s="1"/>
  <c r="O430" i="12" s="1"/>
  <c r="AD463" i="11"/>
  <c r="EL463" i="11"/>
  <c r="J463" i="11"/>
  <c r="Q463" i="11" s="1"/>
  <c r="AL463" i="11"/>
  <c r="H463" i="11" s="1"/>
  <c r="K463" i="11"/>
  <c r="R463" i="11" s="1"/>
  <c r="J430" i="12" l="1"/>
  <c r="I430" i="12"/>
  <c r="K430" i="12"/>
  <c r="I463" i="11"/>
  <c r="P430" i="12" l="1"/>
  <c r="S430" i="12" s="1"/>
  <c r="T430" i="12" s="1"/>
  <c r="S463" i="11"/>
  <c r="U463" i="11"/>
  <c r="V463" i="11" l="1"/>
  <c r="Q430" i="12"/>
  <c r="T463" i="11"/>
  <c r="R430" i="12" l="1"/>
  <c r="U430" i="12" s="1"/>
  <c r="X430" i="12" s="1"/>
  <c r="Z464" i="11"/>
  <c r="F464" i="11" l="1"/>
  <c r="EB464" i="11"/>
  <c r="AC464" i="11"/>
  <c r="E431" i="12" l="1"/>
  <c r="AE464" i="11"/>
  <c r="AF464" i="11"/>
  <c r="ED464" i="11"/>
  <c r="EE464" i="11" s="1"/>
  <c r="EG464" i="11" s="1"/>
  <c r="EF464" i="11" s="1"/>
  <c r="AG464" i="11" l="1"/>
  <c r="AJ464" i="11" s="1"/>
  <c r="EK464" i="11"/>
  <c r="EJ464" i="11"/>
  <c r="O464" i="11"/>
  <c r="F431" i="12" s="1"/>
  <c r="G431" i="12" s="1"/>
  <c r="AK464" i="11"/>
  <c r="K464" i="11" s="1"/>
  <c r="J464" i="11" l="1"/>
  <c r="AD464" i="11"/>
  <c r="G464" i="11"/>
  <c r="H431" i="12" s="1"/>
  <c r="L431" i="12" s="1"/>
  <c r="O431" i="12" s="1"/>
  <c r="EL464" i="11"/>
  <c r="AL464" i="11"/>
  <c r="Q464" i="11" l="1"/>
  <c r="I431" i="12"/>
  <c r="J431" i="12"/>
  <c r="H464" i="11"/>
  <c r="K431" i="12" s="1"/>
  <c r="R464" i="11"/>
  <c r="I464" i="11" l="1"/>
  <c r="P431" i="12" s="1"/>
  <c r="S431" i="12" s="1"/>
  <c r="T431" i="12" s="1"/>
  <c r="U464" i="11"/>
  <c r="S464" i="11"/>
  <c r="Q431" i="12" l="1"/>
  <c r="T464" i="11"/>
  <c r="V464" i="11"/>
  <c r="R431" i="12" l="1"/>
  <c r="U431" i="12" s="1"/>
  <c r="X431" i="12" s="1"/>
  <c r="Z465" i="11"/>
  <c r="F465" i="11" l="1"/>
  <c r="EB465" i="11"/>
  <c r="AC465" i="11"/>
  <c r="ED465" i="11" l="1"/>
  <c r="EE465" i="11" s="1"/>
  <c r="E432" i="12"/>
  <c r="AF465" i="11"/>
  <c r="AE465" i="11"/>
  <c r="AG465" i="11" l="1"/>
  <c r="EG465" i="11"/>
  <c r="EF465" i="11" s="1"/>
  <c r="O465" i="11"/>
  <c r="F432" i="12" s="1"/>
  <c r="G432" i="12" s="1"/>
  <c r="AD465" i="11"/>
  <c r="AK465" i="11"/>
  <c r="AJ465" i="11"/>
  <c r="G465" i="11"/>
  <c r="H432" i="12" s="1"/>
  <c r="EK465" i="11"/>
  <c r="EJ465" i="11" l="1"/>
  <c r="J465" i="11" s="1"/>
  <c r="Q465" i="11" s="1"/>
  <c r="K465" i="11"/>
  <c r="R465" i="11" s="1"/>
  <c r="J432" i="12"/>
  <c r="L432" i="12"/>
  <c r="O432" i="12" s="1"/>
  <c r="I432" i="12"/>
  <c r="AL465" i="11"/>
  <c r="EL465" i="11" l="1"/>
  <c r="H465" i="11" s="1"/>
  <c r="I465" i="11" l="1"/>
  <c r="P432" i="12" s="1"/>
  <c r="K432" i="12"/>
  <c r="S465" i="11"/>
  <c r="U465" i="11"/>
  <c r="S432" i="12" l="1"/>
  <c r="T432" i="12" s="1"/>
  <c r="V465" i="11"/>
  <c r="T465" i="11"/>
  <c r="Q432" i="12"/>
  <c r="R432" i="12" l="1"/>
  <c r="U432" i="12" s="1"/>
  <c r="X432" i="12" s="1"/>
  <c r="Z466" i="11"/>
  <c r="F466" i="11" l="1"/>
  <c r="EB466" i="11"/>
  <c r="AC466" i="11"/>
  <c r="E433" i="12" l="1"/>
  <c r="AF466" i="11"/>
  <c r="AE466" i="11"/>
  <c r="ED466" i="11"/>
  <c r="EE466" i="11" s="1"/>
  <c r="EG466" i="11" s="1"/>
  <c r="EF466" i="11" s="1"/>
  <c r="AG466" i="11" l="1"/>
  <c r="EJ466" i="11"/>
  <c r="EK466" i="11"/>
  <c r="AJ466" i="11"/>
  <c r="J466" i="11" s="1"/>
  <c r="AD466" i="11"/>
  <c r="AK466" i="11"/>
  <c r="K466" i="11" s="1"/>
  <c r="G466" i="11"/>
  <c r="H433" i="12" s="1"/>
  <c r="O466" i="11"/>
  <c r="F433" i="12" s="1"/>
  <c r="I433" i="12" s="1"/>
  <c r="R466" i="11" l="1"/>
  <c r="Q466" i="11"/>
  <c r="EL466" i="11"/>
  <c r="G433" i="12"/>
  <c r="L433" i="12"/>
  <c r="O433" i="12" s="1"/>
  <c r="J433" i="12"/>
  <c r="AL466" i="11"/>
  <c r="H466" i="11" s="1"/>
  <c r="K433" i="12" l="1"/>
  <c r="I466" i="11"/>
  <c r="P433" i="12" l="1"/>
  <c r="S433" i="12" s="1"/>
  <c r="T433" i="12" s="1"/>
  <c r="U466" i="11"/>
  <c r="S466" i="11"/>
  <c r="Q433" i="12" l="1"/>
  <c r="T466" i="11"/>
  <c r="V466" i="11"/>
  <c r="R433" i="12" l="1"/>
  <c r="U433" i="12" s="1"/>
  <c r="X433" i="12" s="1"/>
  <c r="Z467" i="11"/>
  <c r="F467" i="11" l="1"/>
  <c r="EB467" i="11"/>
  <c r="AC467" i="11"/>
  <c r="E434" i="12" l="1"/>
  <c r="AE467" i="11"/>
  <c r="AF467" i="11"/>
  <c r="ED467" i="11"/>
  <c r="EE467" i="11" s="1"/>
  <c r="EG467" i="11" s="1"/>
  <c r="EF467" i="11" s="1"/>
  <c r="AG467" i="11" l="1"/>
  <c r="AD467" i="11" s="1"/>
  <c r="O467" i="11"/>
  <c r="F434" i="12" s="1"/>
  <c r="G434" i="12" s="1"/>
  <c r="EK467" i="11"/>
  <c r="EJ467" i="11"/>
  <c r="AJ467" i="11" l="1"/>
  <c r="J467" i="11" s="1"/>
  <c r="AK467" i="11"/>
  <c r="K467" i="11" s="1"/>
  <c r="G467" i="11"/>
  <c r="H434" i="12" s="1"/>
  <c r="J434" i="12" s="1"/>
  <c r="EL467" i="11"/>
  <c r="AL467" i="11"/>
  <c r="H467" i="11" l="1"/>
  <c r="K434" i="12" s="1"/>
  <c r="R467" i="11"/>
  <c r="L434" i="12"/>
  <c r="O434" i="12" s="1"/>
  <c r="I434" i="12"/>
  <c r="Q467" i="11"/>
  <c r="I467" i="11" l="1"/>
  <c r="P434" i="12" s="1"/>
  <c r="S434" i="12" s="1"/>
  <c r="T434" i="12" s="1"/>
  <c r="S467" i="11"/>
  <c r="U467" i="11"/>
  <c r="V467" i="11" l="1"/>
  <c r="T467" i="11"/>
  <c r="Q434" i="12"/>
  <c r="R434" i="12" l="1"/>
  <c r="U434" i="12" s="1"/>
  <c r="X434" i="12" s="1"/>
  <c r="Z468" i="11"/>
  <c r="F468" i="11" l="1"/>
  <c r="EB468" i="11"/>
  <c r="AC468" i="11"/>
  <c r="E435" i="12" l="1"/>
  <c r="AE468" i="11"/>
  <c r="AF468" i="11"/>
  <c r="ED468" i="11"/>
  <c r="EE468" i="11" s="1"/>
  <c r="EG468" i="11" s="1"/>
  <c r="EF468" i="11" s="1"/>
  <c r="AG468" i="11" l="1"/>
  <c r="G468" i="11" s="1"/>
  <c r="H435" i="12" s="1"/>
  <c r="EJ468" i="11"/>
  <c r="EK468" i="11"/>
  <c r="O468" i="11"/>
  <c r="F435" i="12" s="1"/>
  <c r="G435" i="12" s="1"/>
  <c r="AD468" i="11" l="1"/>
  <c r="AJ468" i="11"/>
  <c r="J468" i="11" s="1"/>
  <c r="Q468" i="11" s="1"/>
  <c r="AK468" i="11"/>
  <c r="K468" i="11" s="1"/>
  <c r="R468" i="11" s="1"/>
  <c r="EL468" i="11"/>
  <c r="I435" i="12"/>
  <c r="L435" i="12"/>
  <c r="O435" i="12" s="1"/>
  <c r="J435" i="12"/>
  <c r="AL468" i="11" l="1"/>
  <c r="H468" i="11" s="1"/>
  <c r="I468" i="11" s="1"/>
  <c r="K435" i="12" l="1"/>
  <c r="P435" i="12"/>
  <c r="S435" i="12" s="1"/>
  <c r="T435" i="12" s="1"/>
  <c r="U468" i="11"/>
  <c r="S468" i="11"/>
  <c r="Q435" i="12" l="1"/>
  <c r="T468" i="11"/>
  <c r="V468" i="11"/>
  <c r="R435" i="12" l="1"/>
  <c r="U435" i="12" s="1"/>
  <c r="X435" i="12" s="1"/>
  <c r="Z469" i="11"/>
  <c r="F469" i="11" l="1"/>
  <c r="EB469" i="11"/>
  <c r="AC469" i="11"/>
  <c r="E436" i="12" l="1"/>
  <c r="AE469" i="11"/>
  <c r="AF469" i="11"/>
  <c r="ED469" i="11"/>
  <c r="EE469" i="11" s="1"/>
  <c r="EG469" i="11" s="1"/>
  <c r="EF469" i="11" s="1"/>
  <c r="AG469" i="11" l="1"/>
  <c r="AK469" i="11" s="1"/>
  <c r="EJ469" i="11"/>
  <c r="EK469" i="11"/>
  <c r="O469" i="11"/>
  <c r="F436" i="12" s="1"/>
  <c r="G436" i="12" s="1"/>
  <c r="EL469" i="11" l="1"/>
  <c r="K469" i="11"/>
  <c r="AD469" i="11"/>
  <c r="AJ469" i="11"/>
  <c r="J469" i="11" s="1"/>
  <c r="G469" i="11"/>
  <c r="H436" i="12" s="1"/>
  <c r="J436" i="12" s="1"/>
  <c r="AL469" i="11" l="1"/>
  <c r="H469" i="11" s="1"/>
  <c r="I469" i="11" s="1"/>
  <c r="R469" i="11"/>
  <c r="I436" i="12"/>
  <c r="L436" i="12"/>
  <c r="O436" i="12" s="1"/>
  <c r="Q469" i="11"/>
  <c r="K436" i="12" l="1"/>
  <c r="P436" i="12"/>
  <c r="S436" i="12" s="1"/>
  <c r="T436" i="12" s="1"/>
  <c r="S469" i="11"/>
  <c r="U469" i="11"/>
  <c r="Q436" i="12" l="1"/>
  <c r="T469" i="11"/>
  <c r="V469" i="11"/>
  <c r="R436" i="12" l="1"/>
  <c r="U436" i="12" s="1"/>
  <c r="X436" i="12" s="1"/>
  <c r="Z470" i="11"/>
  <c r="F470" i="11" l="1"/>
  <c r="EB470" i="11"/>
  <c r="AC470" i="11"/>
  <c r="E437" i="12" l="1"/>
  <c r="AE470" i="11"/>
  <c r="AF470" i="11"/>
  <c r="ED470" i="11"/>
  <c r="EE470" i="11" s="1"/>
  <c r="EG470" i="11" s="1"/>
  <c r="EF470" i="11" s="1"/>
  <c r="AG470" i="11" l="1"/>
  <c r="G470" i="11" s="1"/>
  <c r="H437" i="12" s="1"/>
  <c r="EK470" i="11"/>
  <c r="EJ470" i="11"/>
  <c r="EL470" i="11" s="1"/>
  <c r="O470" i="11"/>
  <c r="F437" i="12" s="1"/>
  <c r="G437" i="12" s="1"/>
  <c r="AJ470" i="11" l="1"/>
  <c r="AK470" i="11"/>
  <c r="K470" i="11" s="1"/>
  <c r="R470" i="11" s="1"/>
  <c r="AD470" i="11"/>
  <c r="I437" i="12"/>
  <c r="J470" i="11"/>
  <c r="Q470" i="11" s="1"/>
  <c r="J437" i="12"/>
  <c r="L437" i="12"/>
  <c r="O437" i="12" s="1"/>
  <c r="AL470" i="11" l="1"/>
  <c r="H470" i="11" s="1"/>
  <c r="I470" i="11" s="1"/>
  <c r="K437" i="12" l="1"/>
  <c r="P437" i="12"/>
  <c r="S437" i="12" s="1"/>
  <c r="T437" i="12" s="1"/>
  <c r="S470" i="11"/>
  <c r="U470" i="11"/>
  <c r="T470" i="11" l="1"/>
  <c r="Q437" i="12"/>
  <c r="V470" i="11"/>
  <c r="R437" i="12" l="1"/>
  <c r="U437" i="12" s="1"/>
  <c r="X437" i="12" s="1"/>
  <c r="Z471" i="11"/>
  <c r="F471" i="11" l="1"/>
  <c r="EB471" i="11"/>
  <c r="AC471" i="11"/>
  <c r="E438" i="12" l="1"/>
  <c r="AE471" i="11"/>
  <c r="AF471" i="11"/>
  <c r="ED471" i="11"/>
  <c r="EE471" i="11" s="1"/>
  <c r="EG471" i="11" s="1"/>
  <c r="EF471" i="11" s="1"/>
  <c r="AG471" i="11" l="1"/>
  <c r="EK471" i="11"/>
  <c r="EJ471" i="11"/>
  <c r="EL471" i="11" s="1"/>
  <c r="O471" i="11"/>
  <c r="F438" i="12" s="1"/>
  <c r="AK471" i="11"/>
  <c r="K471" i="11" s="1"/>
  <c r="AD471" i="11"/>
  <c r="G471" i="11"/>
  <c r="H438" i="12" s="1"/>
  <c r="AJ471" i="11"/>
  <c r="J471" i="11" s="1"/>
  <c r="R471" i="11" l="1"/>
  <c r="I438" i="12"/>
  <c r="G438" i="12"/>
  <c r="J438" i="12"/>
  <c r="L438" i="12"/>
  <c r="O438" i="12" s="1"/>
  <c r="AL471" i="11"/>
  <c r="H471" i="11" s="1"/>
  <c r="Q471" i="11"/>
  <c r="I471" i="11" l="1"/>
  <c r="K438" i="12"/>
  <c r="P438" i="12" l="1"/>
  <c r="S438" i="12" s="1"/>
  <c r="T438" i="12" s="1"/>
  <c r="S471" i="11"/>
  <c r="U471" i="11"/>
  <c r="V471" i="11" l="1"/>
  <c r="T471" i="11"/>
  <c r="Q438" i="12"/>
  <c r="R438" i="12" l="1"/>
  <c r="U438" i="12" s="1"/>
  <c r="X438" i="12" s="1"/>
  <c r="Z472" i="11"/>
  <c r="F472" i="11" l="1"/>
  <c r="EB472" i="11"/>
  <c r="AC472" i="11"/>
  <c r="E439" i="12" l="1"/>
  <c r="AE472" i="11"/>
  <c r="AF472" i="11"/>
  <c r="ED472" i="11"/>
  <c r="EE472" i="11" s="1"/>
  <c r="EG472" i="11" s="1"/>
  <c r="EF472" i="11" s="1"/>
  <c r="AG472" i="11" l="1"/>
  <c r="EK472" i="11"/>
  <c r="EJ472" i="11"/>
  <c r="AK472" i="11"/>
  <c r="K472" i="11" s="1"/>
  <c r="G472" i="11"/>
  <c r="H439" i="12" s="1"/>
  <c r="AD472" i="11"/>
  <c r="AJ472" i="11"/>
  <c r="J472" i="11" s="1"/>
  <c r="Q472" i="11" s="1"/>
  <c r="O472" i="11"/>
  <c r="F439" i="12" s="1"/>
  <c r="G439" i="12" s="1"/>
  <c r="R472" i="11" l="1"/>
  <c r="EL472" i="11"/>
  <c r="J439" i="12"/>
  <c r="L439" i="12"/>
  <c r="O439" i="12" s="1"/>
  <c r="I439" i="12"/>
  <c r="AL472" i="11"/>
  <c r="H472" i="11" s="1"/>
  <c r="I472" i="11" l="1"/>
  <c r="K439" i="12"/>
  <c r="P439" i="12" l="1"/>
  <c r="S439" i="12" s="1"/>
  <c r="T439" i="12" s="1"/>
  <c r="U472" i="11"/>
  <c r="S472" i="11"/>
  <c r="T472" i="11" l="1"/>
  <c r="Q439" i="12"/>
  <c r="V472" i="11"/>
  <c r="Z473" i="11" l="1"/>
  <c r="R439" i="12"/>
  <c r="U439" i="12" s="1"/>
  <c r="X439" i="12" s="1"/>
  <c r="F473" i="11" l="1"/>
  <c r="EB473" i="11"/>
  <c r="AC473" i="11"/>
  <c r="E440" i="12" l="1"/>
  <c r="AE473" i="11"/>
  <c r="AF473" i="11"/>
  <c r="ED473" i="11"/>
  <c r="EE473" i="11" s="1"/>
  <c r="EG473" i="11" s="1"/>
  <c r="EF473" i="11" s="1"/>
  <c r="AG473" i="11" l="1"/>
  <c r="G473" i="11" s="1"/>
  <c r="H440" i="12" s="1"/>
  <c r="EJ473" i="11"/>
  <c r="EK473" i="11"/>
  <c r="O473" i="11"/>
  <c r="F440" i="12" s="1"/>
  <c r="G440" i="12" s="1"/>
  <c r="AK473" i="11" l="1"/>
  <c r="K473" i="11" s="1"/>
  <c r="R473" i="11" s="1"/>
  <c r="AD473" i="11"/>
  <c r="AJ473" i="11"/>
  <c r="EL473" i="11"/>
  <c r="L440" i="12"/>
  <c r="O440" i="12" s="1"/>
  <c r="J440" i="12"/>
  <c r="I440" i="12"/>
  <c r="AL473" i="11" l="1"/>
  <c r="H473" i="11" s="1"/>
  <c r="J473" i="11"/>
  <c r="Q473" i="11" s="1"/>
  <c r="K440" i="12" l="1"/>
  <c r="I473" i="11"/>
  <c r="P440" i="12" s="1"/>
  <c r="S440" i="12" s="1"/>
  <c r="T440" i="12" s="1"/>
  <c r="S473" i="11"/>
  <c r="U473" i="11"/>
  <c r="V473" i="11" l="1"/>
  <c r="Q440" i="12"/>
  <c r="T473" i="11"/>
  <c r="R440" i="12" l="1"/>
  <c r="U440" i="12" s="1"/>
  <c r="X440" i="12" s="1"/>
  <c r="Z474" i="11"/>
  <c r="F474" i="11" l="1"/>
  <c r="EB474" i="11"/>
  <c r="AC474" i="11"/>
  <c r="E441" i="12" l="1"/>
  <c r="AE474" i="11"/>
  <c r="AF474" i="11"/>
  <c r="ED474" i="11"/>
  <c r="EE474" i="11" s="1"/>
  <c r="EG474" i="11" s="1"/>
  <c r="EF474" i="11" s="1"/>
  <c r="AG474" i="11" l="1"/>
  <c r="AK474" i="11" s="1"/>
  <c r="EK474" i="11"/>
  <c r="EJ474" i="11"/>
  <c r="EL474" i="11" s="1"/>
  <c r="O474" i="11"/>
  <c r="F441" i="12" s="1"/>
  <c r="G441" i="12" s="1"/>
  <c r="K474" i="11" l="1"/>
  <c r="G474" i="11"/>
  <c r="H441" i="12" s="1"/>
  <c r="L441" i="12" s="1"/>
  <c r="O441" i="12" s="1"/>
  <c r="AD474" i="11"/>
  <c r="AJ474" i="11"/>
  <c r="J474" i="11" s="1"/>
  <c r="Q474" i="11" s="1"/>
  <c r="AL474" i="11" l="1"/>
  <c r="H474" i="11" s="1"/>
  <c r="K441" i="12" s="1"/>
  <c r="I441" i="12"/>
  <c r="J441" i="12"/>
  <c r="R474" i="11"/>
  <c r="I474" i="11" l="1"/>
  <c r="P441" i="12" s="1"/>
  <c r="S441" i="12" s="1"/>
  <c r="T441" i="12" s="1"/>
  <c r="U474" i="11"/>
  <c r="S474" i="11"/>
  <c r="T474" i="11" l="1"/>
  <c r="Q441" i="12"/>
  <c r="V474" i="11"/>
  <c r="R441" i="12" l="1"/>
  <c r="U441" i="12" s="1"/>
  <c r="X441" i="12" s="1"/>
  <c r="Z475" i="11"/>
  <c r="F475" i="11" l="1"/>
  <c r="EB475" i="11"/>
  <c r="AC475" i="11"/>
  <c r="E442" i="12" l="1"/>
  <c r="AE475" i="11"/>
  <c r="AF475" i="11"/>
  <c r="ED475" i="11"/>
  <c r="EE475" i="11" s="1"/>
  <c r="EG475" i="11" s="1"/>
  <c r="EF475" i="11" s="1"/>
  <c r="AG475" i="11" l="1"/>
  <c r="AK475" i="11" s="1"/>
  <c r="EK475" i="11"/>
  <c r="EJ475" i="11"/>
  <c r="AJ475" i="11"/>
  <c r="G475" i="11"/>
  <c r="H442" i="12" s="1"/>
  <c r="O475" i="11"/>
  <c r="F442" i="12" s="1"/>
  <c r="G442" i="12" s="1"/>
  <c r="J475" i="11" l="1"/>
  <c r="K475" i="11"/>
  <c r="AD475" i="11"/>
  <c r="EL475" i="11"/>
  <c r="R475" i="11"/>
  <c r="Q475" i="11"/>
  <c r="I442" i="12"/>
  <c r="J442" i="12"/>
  <c r="L442" i="12"/>
  <c r="O442" i="12" s="1"/>
  <c r="AL475" i="11"/>
  <c r="H475" i="11" l="1"/>
  <c r="K442" i="12" s="1"/>
  <c r="I475" i="11" l="1"/>
  <c r="P442" i="12" s="1"/>
  <c r="S442" i="12" s="1"/>
  <c r="T442" i="12" s="1"/>
  <c r="S475" i="11"/>
  <c r="U475" i="11"/>
  <c r="V475" i="11" l="1"/>
  <c r="Q442" i="12"/>
  <c r="T475" i="11"/>
  <c r="R442" i="12" l="1"/>
  <c r="U442" i="12" s="1"/>
  <c r="X442" i="12" s="1"/>
  <c r="Z476" i="11"/>
  <c r="F476" i="11" l="1"/>
  <c r="EB476" i="11"/>
  <c r="AC476" i="11"/>
  <c r="ED476" i="11" l="1"/>
  <c r="EE476" i="11" s="1"/>
  <c r="E443" i="12"/>
  <c r="AE476" i="11"/>
  <c r="AF476" i="11"/>
  <c r="EG476" i="11" l="1"/>
  <c r="EF476" i="11" s="1"/>
  <c r="O476" i="11"/>
  <c r="F443" i="12" s="1"/>
  <c r="G443" i="12" s="1"/>
  <c r="AG476" i="11"/>
  <c r="AK476" i="11" s="1"/>
  <c r="EJ476" i="11" l="1"/>
  <c r="EK476" i="11"/>
  <c r="AD476" i="11"/>
  <c r="G476" i="11"/>
  <c r="H443" i="12" s="1"/>
  <c r="I443" i="12" s="1"/>
  <c r="AJ476" i="11"/>
  <c r="AL476" i="11" s="1"/>
  <c r="EL476" i="11"/>
  <c r="K476" i="11"/>
  <c r="J443" i="12" l="1"/>
  <c r="L443" i="12"/>
  <c r="O443" i="12" s="1"/>
  <c r="H476" i="11"/>
  <c r="K443" i="12" s="1"/>
  <c r="J476" i="11"/>
  <c r="Q476" i="11" s="1"/>
  <c r="R476" i="11"/>
  <c r="I476" i="11"/>
  <c r="P443" i="12" l="1"/>
  <c r="S443" i="12" s="1"/>
  <c r="T443" i="12" s="1"/>
  <c r="U476" i="11"/>
  <c r="S476" i="11"/>
  <c r="Q443" i="12" l="1"/>
  <c r="T476" i="11"/>
  <c r="V476" i="11"/>
  <c r="R443" i="12" l="1"/>
  <c r="U443" i="12" s="1"/>
  <c r="X443" i="12" s="1"/>
  <c r="Z477" i="11"/>
  <c r="F477" i="11" l="1"/>
  <c r="EB477" i="11"/>
  <c r="AC477" i="11"/>
  <c r="ED477" i="11" l="1"/>
  <c r="EE477" i="11" s="1"/>
  <c r="E444" i="12"/>
  <c r="AE477" i="11"/>
  <c r="AF477" i="11"/>
  <c r="AG477" i="11" s="1"/>
  <c r="EG477" i="11" l="1"/>
  <c r="EF477" i="11" s="1"/>
  <c r="O477" i="11"/>
  <c r="F444" i="12" s="1"/>
  <c r="G444" i="12" s="1"/>
  <c r="AJ477" i="11"/>
  <c r="G477" i="11"/>
  <c r="H444" i="12" s="1"/>
  <c r="AD477" i="11"/>
  <c r="AK477" i="11"/>
  <c r="AL477" i="11" s="1"/>
  <c r="EJ477" i="11"/>
  <c r="EK477" i="11"/>
  <c r="EL477" i="11" l="1"/>
  <c r="K477" i="11"/>
  <c r="R477" i="11" s="1"/>
  <c r="L444" i="12"/>
  <c r="O444" i="12" s="1"/>
  <c r="J444" i="12"/>
  <c r="J477" i="11"/>
  <c r="Q477" i="11" s="1"/>
  <c r="H477" i="11"/>
  <c r="I444" i="12"/>
  <c r="I477" i="11" l="1"/>
  <c r="K444" i="12"/>
  <c r="P444" i="12" l="1"/>
  <c r="S444" i="12" s="1"/>
  <c r="T444" i="12" s="1"/>
  <c r="S477" i="11"/>
  <c r="U477" i="11"/>
  <c r="V477" i="11" l="1"/>
  <c r="T477" i="11"/>
  <c r="Q444" i="12"/>
  <c r="R444" i="12" l="1"/>
  <c r="U444" i="12" s="1"/>
  <c r="X444" i="12" s="1"/>
  <c r="Z478" i="11"/>
  <c r="F478" i="11" l="1"/>
  <c r="EB478" i="11"/>
  <c r="AC478" i="11"/>
  <c r="E445" i="12" l="1"/>
  <c r="AE478" i="11"/>
  <c r="AF478" i="11"/>
  <c r="ED478" i="11"/>
  <c r="EE478" i="11" s="1"/>
  <c r="EG478" i="11" s="1"/>
  <c r="EF478" i="11" s="1"/>
  <c r="AG478" i="11" l="1"/>
  <c r="EJ478" i="11"/>
  <c r="EK478" i="11"/>
  <c r="O478" i="11"/>
  <c r="F445" i="12" s="1"/>
  <c r="AJ478" i="11"/>
  <c r="J478" i="11" s="1"/>
  <c r="AD478" i="11"/>
  <c r="G478" i="11"/>
  <c r="H445" i="12" s="1"/>
  <c r="AK478" i="11"/>
  <c r="I445" i="12" l="1"/>
  <c r="EL478" i="11"/>
  <c r="J445" i="12"/>
  <c r="L445" i="12"/>
  <c r="O445" i="12" s="1"/>
  <c r="Q478" i="11"/>
  <c r="G445" i="12"/>
  <c r="AL478" i="11"/>
  <c r="H478" i="11" s="1"/>
  <c r="K478" i="11"/>
  <c r="R478" i="11" s="1"/>
  <c r="K445" i="12" l="1"/>
  <c r="I478" i="11"/>
  <c r="P445" i="12" l="1"/>
  <c r="S445" i="12" s="1"/>
  <c r="T445" i="12" s="1"/>
  <c r="U478" i="11"/>
  <c r="S478" i="11"/>
  <c r="T478" i="11" l="1"/>
  <c r="Q445" i="12"/>
  <c r="V478" i="11"/>
  <c r="R445" i="12" l="1"/>
  <c r="U445" i="12" s="1"/>
  <c r="X445" i="12" s="1"/>
  <c r="Z479" i="11"/>
  <c r="F479" i="11" l="1"/>
  <c r="EB479" i="11"/>
  <c r="AC479" i="11"/>
  <c r="ED479" i="11" l="1"/>
  <c r="EE479" i="11" s="1"/>
  <c r="E446" i="12"/>
  <c r="AE479" i="11"/>
  <c r="AF479" i="11"/>
  <c r="EG479" i="11" l="1"/>
  <c r="EF479" i="11" s="1"/>
  <c r="O479" i="11"/>
  <c r="F446" i="12" s="1"/>
  <c r="G446" i="12" s="1"/>
  <c r="AG479" i="11"/>
  <c r="AK479" i="11" s="1"/>
  <c r="EJ479" i="11"/>
  <c r="EK479" i="11"/>
  <c r="G479" i="11" l="1"/>
  <c r="H446" i="12" s="1"/>
  <c r="AJ479" i="11"/>
  <c r="J479" i="11" s="1"/>
  <c r="Q479" i="11" s="1"/>
  <c r="AD479" i="11"/>
  <c r="EL479" i="11"/>
  <c r="L446" i="12"/>
  <c r="O446" i="12" s="1"/>
  <c r="J446" i="12"/>
  <c r="K479" i="11"/>
  <c r="R479" i="11" s="1"/>
  <c r="AL479" i="11"/>
  <c r="H479" i="11" s="1"/>
  <c r="I446" i="12"/>
  <c r="I479" i="11" l="1"/>
  <c r="K446" i="12"/>
  <c r="P446" i="12" l="1"/>
  <c r="S446" i="12" s="1"/>
  <c r="T446" i="12" s="1"/>
  <c r="S479" i="11"/>
  <c r="U479" i="11"/>
  <c r="V479" i="11" l="1"/>
  <c r="Q446" i="12"/>
  <c r="T479" i="11"/>
  <c r="R446" i="12" l="1"/>
  <c r="U446" i="12" s="1"/>
  <c r="X446" i="12" s="1"/>
  <c r="Z480" i="11"/>
  <c r="F480" i="11" l="1"/>
  <c r="EB480" i="11"/>
  <c r="AC480" i="11"/>
  <c r="E447" i="12" l="1"/>
  <c r="AE480" i="11"/>
  <c r="AF480" i="11"/>
  <c r="ED480" i="11"/>
  <c r="EE480" i="11" s="1"/>
  <c r="EG480" i="11" l="1"/>
  <c r="EF480" i="11" s="1"/>
  <c r="O480" i="11"/>
  <c r="F447" i="12" s="1"/>
  <c r="AG480" i="11"/>
  <c r="AJ480" i="11" s="1"/>
  <c r="EK480" i="11"/>
  <c r="G447" i="12"/>
  <c r="EJ480" i="11" l="1"/>
  <c r="J480" i="11" s="1"/>
  <c r="AD480" i="11"/>
  <c r="AK480" i="11"/>
  <c r="K480" i="11" s="1"/>
  <c r="G480" i="11"/>
  <c r="H447" i="12" s="1"/>
  <c r="J447" i="12" s="1"/>
  <c r="EL480" i="11"/>
  <c r="R480" i="11" l="1"/>
  <c r="I447" i="12"/>
  <c r="L447" i="12"/>
  <c r="O447" i="12" s="1"/>
  <c r="AL480" i="11"/>
  <c r="H480" i="11" s="1"/>
  <c r="I480" i="11" s="1"/>
  <c r="Q480" i="11"/>
  <c r="K447" i="12" l="1"/>
  <c r="P447" i="12"/>
  <c r="U480" i="11"/>
  <c r="S480" i="11"/>
  <c r="S447" i="12" l="1"/>
  <c r="T447" i="12" s="1"/>
  <c r="Q447" i="12"/>
  <c r="T480" i="11"/>
  <c r="V480" i="11"/>
  <c r="R447" i="12" l="1"/>
  <c r="U447" i="12" s="1"/>
  <c r="X447" i="12" s="1"/>
  <c r="Z481" i="11"/>
  <c r="F481" i="11" l="1"/>
  <c r="EB481" i="11"/>
  <c r="AC481" i="11"/>
  <c r="E448" i="12" l="1"/>
  <c r="AE481" i="11"/>
  <c r="AF481" i="11"/>
  <c r="ED481" i="11"/>
  <c r="EE481" i="11" s="1"/>
  <c r="EG481" i="11" l="1"/>
  <c r="EF481" i="11" s="1"/>
  <c r="O481" i="11"/>
  <c r="F448" i="12" s="1"/>
  <c r="G448" i="12" s="1"/>
  <c r="AG481" i="11"/>
  <c r="AJ481" i="11" s="1"/>
  <c r="EK481" i="11"/>
  <c r="AD481" i="11" l="1"/>
  <c r="G481" i="11"/>
  <c r="H448" i="12" s="1"/>
  <c r="AK481" i="11"/>
  <c r="K481" i="11" s="1"/>
  <c r="R481" i="11" s="1"/>
  <c r="EJ481" i="11"/>
  <c r="EL481" i="11" s="1"/>
  <c r="L448" i="12"/>
  <c r="O448" i="12" s="1"/>
  <c r="J448" i="12"/>
  <c r="I448" i="12"/>
  <c r="AL481" i="11"/>
  <c r="H481" i="11" s="1"/>
  <c r="J481" i="11" l="1"/>
  <c r="Q481" i="11" s="1"/>
  <c r="I481" i="11"/>
  <c r="K448" i="12"/>
  <c r="P448" i="12" l="1"/>
  <c r="S448" i="12" s="1"/>
  <c r="T448" i="12" s="1"/>
  <c r="S481" i="11"/>
  <c r="U481" i="11"/>
  <c r="V481" i="11" l="1"/>
  <c r="T481" i="11"/>
  <c r="Q448" i="12"/>
  <c r="R448" i="12" l="1"/>
  <c r="U448" i="12" s="1"/>
  <c r="X448" i="12" s="1"/>
  <c r="Z482" i="11"/>
  <c r="F482" i="11" l="1"/>
  <c r="EB482" i="11"/>
  <c r="AC482" i="11"/>
  <c r="ED482" i="11" l="1"/>
  <c r="EE482" i="11" s="1"/>
  <c r="E449" i="12"/>
  <c r="AE482" i="11"/>
  <c r="AF482" i="11"/>
  <c r="EG482" i="11" l="1"/>
  <c r="EF482" i="11" s="1"/>
  <c r="O482" i="11"/>
  <c r="F449" i="12" s="1"/>
  <c r="G449" i="12" s="1"/>
  <c r="AG482" i="11"/>
  <c r="AD482" i="11" s="1"/>
  <c r="EJ482" i="11" l="1"/>
  <c r="EK482" i="11"/>
  <c r="G482" i="11"/>
  <c r="H449" i="12" s="1"/>
  <c r="L449" i="12" s="1"/>
  <c r="O449" i="12" s="1"/>
  <c r="AK482" i="11"/>
  <c r="K482" i="11" s="1"/>
  <c r="R482" i="11" s="1"/>
  <c r="AJ482" i="11"/>
  <c r="I449" i="12" l="1"/>
  <c r="AL482" i="11"/>
  <c r="J449" i="12"/>
  <c r="EL482" i="11"/>
  <c r="H482" i="11" s="1"/>
  <c r="K449" i="12" s="1"/>
  <c r="J482" i="11"/>
  <c r="Q482" i="11" s="1"/>
  <c r="I482" i="11" l="1"/>
  <c r="P449" i="12" s="1"/>
  <c r="S449" i="12" s="1"/>
  <c r="T449" i="12" s="1"/>
  <c r="U482" i="11" l="1"/>
  <c r="V482" i="11" s="1"/>
  <c r="S482" i="11"/>
  <c r="Q449" i="12" s="1"/>
  <c r="T482" i="11" l="1"/>
  <c r="R449" i="12" s="1"/>
  <c r="U449" i="12" s="1"/>
  <c r="X449" i="12" s="1"/>
  <c r="Z483" i="11"/>
  <c r="F483" i="11" l="1"/>
  <c r="EB483" i="11"/>
  <c r="AC483" i="11"/>
  <c r="E450" i="12" l="1"/>
  <c r="AE483" i="11"/>
  <c r="AF483" i="11"/>
  <c r="ED483" i="11"/>
  <c r="EE483" i="11" s="1"/>
  <c r="EG483" i="11" s="1"/>
  <c r="EF483" i="11" s="1"/>
  <c r="AG483" i="11" l="1"/>
  <c r="AJ483" i="11" s="1"/>
  <c r="O483" i="11"/>
  <c r="F450" i="12" s="1"/>
  <c r="G450" i="12" s="1"/>
  <c r="EJ483" i="11"/>
  <c r="EK483" i="11"/>
  <c r="J483" i="11" l="1"/>
  <c r="AD483" i="11"/>
  <c r="AK483" i="11"/>
  <c r="K483" i="11" s="1"/>
  <c r="G483" i="11"/>
  <c r="H450" i="12" s="1"/>
  <c r="J450" i="12" s="1"/>
  <c r="EL483" i="11"/>
  <c r="R483" i="11" l="1"/>
  <c r="I450" i="12"/>
  <c r="L450" i="12"/>
  <c r="O450" i="12" s="1"/>
  <c r="AL483" i="11"/>
  <c r="H483" i="11" s="1"/>
  <c r="I483" i="11" s="1"/>
  <c r="Q483" i="11"/>
  <c r="K450" i="12" l="1"/>
  <c r="P450" i="12"/>
  <c r="S450" i="12" s="1"/>
  <c r="T450" i="12" s="1"/>
  <c r="U483" i="11"/>
  <c r="S483" i="11"/>
  <c r="T483" i="11" l="1"/>
  <c r="Q450" i="12"/>
  <c r="V483" i="11"/>
  <c r="R450" i="12" l="1"/>
  <c r="U450" i="12" s="1"/>
  <c r="X450" i="12" s="1"/>
  <c r="Z484" i="11"/>
  <c r="F484" i="11" l="1"/>
  <c r="EB484" i="11"/>
  <c r="AC484" i="11"/>
  <c r="E451" i="12" l="1"/>
  <c r="AE484" i="11"/>
  <c r="AF484" i="11"/>
  <c r="ED484" i="11"/>
  <c r="EE484" i="11" s="1"/>
  <c r="EG484" i="11" s="1"/>
  <c r="EF484" i="11" s="1"/>
  <c r="AG484" i="11" l="1"/>
  <c r="G484" i="11" s="1"/>
  <c r="H451" i="12" s="1"/>
  <c r="O484" i="11"/>
  <c r="F451" i="12" s="1"/>
  <c r="G451" i="12" s="1"/>
  <c r="AK484" i="11"/>
  <c r="EJ484" i="11"/>
  <c r="EK484" i="11"/>
  <c r="AD484" i="11" l="1"/>
  <c r="AJ484" i="11"/>
  <c r="J484" i="11" s="1"/>
  <c r="Q484" i="11" s="1"/>
  <c r="K484" i="11"/>
  <c r="R484" i="11" s="1"/>
  <c r="EL484" i="11"/>
  <c r="J451" i="12"/>
  <c r="L451" i="12"/>
  <c r="O451" i="12" s="1"/>
  <c r="I451" i="12"/>
  <c r="AL484" i="11" l="1"/>
  <c r="H484" i="11" s="1"/>
  <c r="I484" i="11" s="1"/>
  <c r="K451" i="12" l="1"/>
  <c r="P451" i="12"/>
  <c r="S451" i="12" s="1"/>
  <c r="T451" i="12" s="1"/>
  <c r="S484" i="11"/>
  <c r="U484" i="11"/>
  <c r="V484" i="11" l="1"/>
  <c r="Q451" i="12"/>
  <c r="T484" i="11"/>
  <c r="Z485" i="11" l="1"/>
  <c r="R451" i="12"/>
  <c r="U451" i="12" s="1"/>
  <c r="X451" i="12" s="1"/>
  <c r="F485" i="11" l="1"/>
  <c r="EB485" i="11"/>
  <c r="AC485" i="11"/>
  <c r="E452" i="12" l="1"/>
  <c r="AE485" i="11"/>
  <c r="AF485" i="11"/>
  <c r="ED485" i="11"/>
  <c r="EE485" i="11" s="1"/>
  <c r="EG485" i="11" s="1"/>
  <c r="EF485" i="11" s="1"/>
  <c r="AG485" i="11" l="1"/>
  <c r="O485" i="11"/>
  <c r="F452" i="12" s="1"/>
  <c r="G452" i="12" s="1"/>
  <c r="EK485" i="11"/>
  <c r="EJ485" i="11"/>
  <c r="AK485" i="11"/>
  <c r="K485" i="11" s="1"/>
  <c r="R485" i="11" s="1"/>
  <c r="G485" i="11"/>
  <c r="H452" i="12" s="1"/>
  <c r="AD485" i="11"/>
  <c r="AJ485" i="11"/>
  <c r="J485" i="11" s="1"/>
  <c r="Q485" i="11" s="1"/>
  <c r="EL485" i="11" l="1"/>
  <c r="J452" i="12"/>
  <c r="L452" i="12"/>
  <c r="O452" i="12" s="1"/>
  <c r="I452" i="12"/>
  <c r="AL485" i="11"/>
  <c r="H485" i="11" s="1"/>
  <c r="I485" i="11" l="1"/>
  <c r="K452" i="12"/>
  <c r="P452" i="12" l="1"/>
  <c r="S452" i="12" s="1"/>
  <c r="T452" i="12" s="1"/>
  <c r="U485" i="11"/>
  <c r="S485" i="11"/>
  <c r="Q452" i="12" l="1"/>
  <c r="T485" i="11"/>
  <c r="V485" i="11"/>
  <c r="R452" i="12" l="1"/>
  <c r="U452" i="12" s="1"/>
  <c r="X452" i="12" s="1"/>
  <c r="Z486" i="11"/>
  <c r="F486" i="11" l="1"/>
  <c r="EB486" i="11"/>
  <c r="AC486" i="11"/>
  <c r="E453" i="12" l="1"/>
  <c r="AE486" i="11"/>
  <c r="AF486" i="11"/>
  <c r="ED486" i="11"/>
  <c r="EE486" i="11" s="1"/>
  <c r="EG486" i="11" l="1"/>
  <c r="EF486" i="11" s="1"/>
  <c r="O486" i="11"/>
  <c r="F453" i="12" s="1"/>
  <c r="G453" i="12" s="1"/>
  <c r="AG486" i="11"/>
  <c r="AK486" i="11" s="1"/>
  <c r="EJ486" i="11" l="1"/>
  <c r="EK486" i="11"/>
  <c r="K486" i="11" s="1"/>
  <c r="G486" i="11"/>
  <c r="H453" i="12" s="1"/>
  <c r="J453" i="12" s="1"/>
  <c r="AJ486" i="11"/>
  <c r="J486" i="11" s="1"/>
  <c r="Q486" i="11" s="1"/>
  <c r="AD486" i="11"/>
  <c r="EL486" i="11"/>
  <c r="I453" i="12" l="1"/>
  <c r="L453" i="12"/>
  <c r="O453" i="12" s="1"/>
  <c r="AL486" i="11"/>
  <c r="H486" i="11" s="1"/>
  <c r="K453" i="12" s="1"/>
  <c r="R486" i="11"/>
  <c r="I486" i="11" l="1"/>
  <c r="P453" i="12" s="1"/>
  <c r="S453" i="12" s="1"/>
  <c r="T453" i="12" s="1"/>
  <c r="U486" i="11" l="1"/>
  <c r="V486" i="11" s="1"/>
  <c r="S486" i="11"/>
  <c r="T486" i="11" s="1"/>
  <c r="Q453" i="12" l="1"/>
  <c r="R453" i="12"/>
  <c r="U453" i="12" s="1"/>
  <c r="X453" i="12" s="1"/>
  <c r="Z487" i="11"/>
  <c r="F487" i="11" l="1"/>
  <c r="EB487" i="11"/>
  <c r="AC487" i="11"/>
  <c r="E454" i="12" l="1"/>
  <c r="AE487" i="11"/>
  <c r="AF487" i="11"/>
  <c r="ED487" i="11"/>
  <c r="EE487" i="11" s="1"/>
  <c r="EG487" i="11" s="1"/>
  <c r="EF487" i="11" s="1"/>
  <c r="AG487" i="11" l="1"/>
  <c r="EJ487" i="11"/>
  <c r="EK487" i="11"/>
  <c r="G487" i="11"/>
  <c r="H454" i="12" s="1"/>
  <c r="AJ487" i="11"/>
  <c r="AD487" i="11"/>
  <c r="AK487" i="11"/>
  <c r="K487" i="11" s="1"/>
  <c r="R487" i="11" s="1"/>
  <c r="O487" i="11"/>
  <c r="F454" i="12" s="1"/>
  <c r="I454" i="12" s="1"/>
  <c r="J487" i="11" l="1"/>
  <c r="Q487" i="11" s="1"/>
  <c r="EL487" i="11"/>
  <c r="L454" i="12"/>
  <c r="O454" i="12" s="1"/>
  <c r="J454" i="12"/>
  <c r="G454" i="12"/>
  <c r="AL487" i="11"/>
  <c r="H487" i="11" s="1"/>
  <c r="K454" i="12" l="1"/>
  <c r="I487" i="11"/>
  <c r="P454" i="12" l="1"/>
  <c r="S454" i="12" s="1"/>
  <c r="T454" i="12" s="1"/>
  <c r="U487" i="11"/>
  <c r="S487" i="11"/>
  <c r="T487" i="11" l="1"/>
  <c r="Q454" i="12"/>
  <c r="V487" i="11"/>
  <c r="R454" i="12" l="1"/>
  <c r="U454" i="12" s="1"/>
  <c r="X454" i="12" s="1"/>
  <c r="Z488" i="11"/>
  <c r="F488" i="11" l="1"/>
  <c r="EB488" i="11"/>
  <c r="AC488" i="11"/>
  <c r="E455" i="12" l="1"/>
  <c r="AE488" i="11"/>
  <c r="AF488" i="11"/>
  <c r="ED488" i="11"/>
  <c r="EE488" i="11" s="1"/>
  <c r="EG488" i="11" s="1"/>
  <c r="EF488" i="11" s="1"/>
  <c r="AG488" i="11" l="1"/>
  <c r="EK488" i="11"/>
  <c r="EJ488" i="11"/>
  <c r="AK488" i="11"/>
  <c r="K488" i="11" s="1"/>
  <c r="AD488" i="11"/>
  <c r="AJ488" i="11"/>
  <c r="J488" i="11" s="1"/>
  <c r="G488" i="11"/>
  <c r="H455" i="12" s="1"/>
  <c r="O488" i="11"/>
  <c r="F455" i="12" s="1"/>
  <c r="G455" i="12" s="1"/>
  <c r="Q488" i="11" l="1"/>
  <c r="EL488" i="11"/>
  <c r="R488" i="11"/>
  <c r="L455" i="12"/>
  <c r="O455" i="12" s="1"/>
  <c r="J455" i="12"/>
  <c r="I455" i="12"/>
  <c r="AL488" i="11"/>
  <c r="H488" i="11" s="1"/>
  <c r="K455" i="12" l="1"/>
  <c r="I488" i="11"/>
  <c r="P455" i="12" l="1"/>
  <c r="S455" i="12" s="1"/>
  <c r="T455" i="12" s="1"/>
  <c r="S488" i="11"/>
  <c r="U488" i="11"/>
  <c r="V488" i="11" l="1"/>
  <c r="Q455" i="12"/>
  <c r="T488" i="11"/>
  <c r="R455" i="12" l="1"/>
  <c r="U455" i="12" s="1"/>
  <c r="X455" i="12" s="1"/>
  <c r="Z489" i="11"/>
  <c r="F489" i="11" l="1"/>
  <c r="EB489" i="11"/>
  <c r="AC489" i="11"/>
  <c r="E456" i="12" l="1"/>
  <c r="AE489" i="11"/>
  <c r="AF489" i="11"/>
  <c r="ED489" i="11"/>
  <c r="EE489" i="11" s="1"/>
  <c r="EG489" i="11" s="1"/>
  <c r="EF489" i="11" s="1"/>
  <c r="AG489" i="11" l="1"/>
  <c r="AK489" i="11" s="1"/>
  <c r="EJ489" i="11"/>
  <c r="EK489" i="11"/>
  <c r="O489" i="11"/>
  <c r="F456" i="12" s="1"/>
  <c r="AJ489" i="11" l="1"/>
  <c r="J489" i="11" s="1"/>
  <c r="AD489" i="11"/>
  <c r="G489" i="11"/>
  <c r="H456" i="12" s="1"/>
  <c r="I456" i="12" s="1"/>
  <c r="G456" i="12"/>
  <c r="EL489" i="11"/>
  <c r="K489" i="11"/>
  <c r="AL489" i="11" l="1"/>
  <c r="H489" i="11" s="1"/>
  <c r="K456" i="12" s="1"/>
  <c r="L456" i="12"/>
  <c r="O456" i="12" s="1"/>
  <c r="J456" i="12"/>
  <c r="Q489" i="11"/>
  <c r="R489" i="11"/>
  <c r="I489" i="11" l="1"/>
  <c r="P456" i="12" s="1"/>
  <c r="S456" i="12" s="1"/>
  <c r="T456" i="12" s="1"/>
  <c r="S489" i="11" l="1"/>
  <c r="Q456" i="12" s="1"/>
  <c r="U489" i="11"/>
  <c r="V489" i="11" s="1"/>
  <c r="T489" i="11" l="1"/>
  <c r="R456" i="12" s="1"/>
  <c r="U456" i="12" s="1"/>
  <c r="X456" i="12" s="1"/>
  <c r="Z490" i="11"/>
  <c r="F490" i="11" l="1"/>
  <c r="EB490" i="11"/>
  <c r="AC490" i="11"/>
  <c r="E457" i="12" l="1"/>
  <c r="AE490" i="11"/>
  <c r="AF490" i="11"/>
  <c r="ED490" i="11"/>
  <c r="EE490" i="11" s="1"/>
  <c r="EG490" i="11" s="1"/>
  <c r="EF490" i="11" s="1"/>
  <c r="AG490" i="11" l="1"/>
  <c r="AK490" i="11" s="1"/>
  <c r="EK490" i="11"/>
  <c r="EJ490" i="11"/>
  <c r="O490" i="11"/>
  <c r="F457" i="12" s="1"/>
  <c r="G457" i="12" s="1"/>
  <c r="G490" i="11" l="1"/>
  <c r="H457" i="12" s="1"/>
  <c r="AD490" i="11"/>
  <c r="AJ490" i="11"/>
  <c r="AL490" i="11" s="1"/>
  <c r="H490" i="11" s="1"/>
  <c r="EL490" i="11"/>
  <c r="L457" i="12"/>
  <c r="O457" i="12" s="1"/>
  <c r="J457" i="12"/>
  <c r="J490" i="11"/>
  <c r="Q490" i="11" s="1"/>
  <c r="I457" i="12"/>
  <c r="K490" i="11"/>
  <c r="R490" i="11" s="1"/>
  <c r="K457" i="12" l="1"/>
  <c r="I490" i="11"/>
  <c r="P457" i="12" l="1"/>
  <c r="S457" i="12" s="1"/>
  <c r="T457" i="12" s="1"/>
  <c r="S490" i="11"/>
  <c r="U490" i="11"/>
  <c r="V490" i="11" l="1"/>
  <c r="Q457" i="12"/>
  <c r="T490" i="11"/>
  <c r="R457" i="12" l="1"/>
  <c r="U457" i="12" s="1"/>
  <c r="X457" i="12" s="1"/>
  <c r="Z491" i="11"/>
  <c r="F491" i="11" l="1"/>
  <c r="EB491" i="11"/>
  <c r="AC491" i="11"/>
  <c r="E458" i="12" l="1"/>
  <c r="AE491" i="11"/>
  <c r="AF491" i="11"/>
  <c r="ED491" i="11"/>
  <c r="EE491" i="11" s="1"/>
  <c r="EG491" i="11" s="1"/>
  <c r="EF491" i="11" s="1"/>
  <c r="AG491" i="11" l="1"/>
  <c r="G491" i="11" s="1"/>
  <c r="H458" i="12" s="1"/>
  <c r="EK491" i="11"/>
  <c r="EJ491" i="11"/>
  <c r="EL491" i="11" s="1"/>
  <c r="AK491" i="11"/>
  <c r="K491" i="11" s="1"/>
  <c r="AJ491" i="11"/>
  <c r="J491" i="11" s="1"/>
  <c r="O491" i="11"/>
  <c r="F458" i="12" s="1"/>
  <c r="G458" i="12" s="1"/>
  <c r="Q491" i="11" l="1"/>
  <c r="AD491" i="11"/>
  <c r="R491" i="11"/>
  <c r="J458" i="12"/>
  <c r="L458" i="12"/>
  <c r="O458" i="12" s="1"/>
  <c r="I458" i="12"/>
  <c r="AL491" i="11"/>
  <c r="H491" i="11" s="1"/>
  <c r="I491" i="11" l="1"/>
  <c r="K458" i="12"/>
  <c r="P458" i="12" l="1"/>
  <c r="S458" i="12" s="1"/>
  <c r="T458" i="12" s="1"/>
  <c r="U491" i="11"/>
  <c r="S491" i="11"/>
  <c r="T491" i="11" l="1"/>
  <c r="Q458" i="12"/>
  <c r="V491" i="11"/>
  <c r="R458" i="12" l="1"/>
  <c r="U458" i="12" s="1"/>
  <c r="X458" i="12" s="1"/>
  <c r="Z492" i="11"/>
  <c r="F492" i="11" l="1"/>
  <c r="EB492" i="11"/>
  <c r="AC492" i="11"/>
  <c r="E459" i="12" l="1"/>
  <c r="AE492" i="11"/>
  <c r="AF492" i="11"/>
  <c r="ED492" i="11"/>
  <c r="EE492" i="11" s="1"/>
  <c r="EG492" i="11" s="1"/>
  <c r="EF492" i="11" s="1"/>
  <c r="AG492" i="11" l="1"/>
  <c r="AK492" i="11" s="1"/>
  <c r="O492" i="11"/>
  <c r="F459" i="12" s="1"/>
  <c r="G459" i="12" s="1"/>
  <c r="EJ492" i="11"/>
  <c r="EK492" i="11"/>
  <c r="G492" i="11" l="1"/>
  <c r="H459" i="12" s="1"/>
  <c r="K492" i="11"/>
  <c r="R492" i="11" s="1"/>
  <c r="AD492" i="11"/>
  <c r="AJ492" i="11"/>
  <c r="AL492" i="11" s="1"/>
  <c r="H492" i="11" s="1"/>
  <c r="EL492" i="11"/>
  <c r="J459" i="12"/>
  <c r="L459" i="12"/>
  <c r="O459" i="12" s="1"/>
  <c r="I459" i="12"/>
  <c r="J492" i="11" l="1"/>
  <c r="Q492" i="11" s="1"/>
  <c r="K459" i="12"/>
  <c r="I492" i="11"/>
  <c r="P459" i="12" l="1"/>
  <c r="S459" i="12" s="1"/>
  <c r="T459" i="12" s="1"/>
  <c r="S492" i="11"/>
  <c r="U492" i="11"/>
  <c r="V492" i="11" l="1"/>
  <c r="T492" i="11"/>
  <c r="Q459" i="12"/>
  <c r="R459" i="12" l="1"/>
  <c r="U459" i="12" s="1"/>
  <c r="X459" i="12" s="1"/>
  <c r="Z493" i="11"/>
  <c r="F493" i="11" l="1"/>
  <c r="EB493" i="11"/>
  <c r="AC493" i="11"/>
  <c r="ED493" i="11" l="1"/>
  <c r="EE493" i="11" s="1"/>
  <c r="E460" i="12"/>
  <c r="AE493" i="11"/>
  <c r="AF493" i="11"/>
  <c r="AG493" i="11" l="1"/>
  <c r="EG493" i="11"/>
  <c r="EF493" i="11" s="1"/>
  <c r="O493" i="11"/>
  <c r="F460" i="12" s="1"/>
  <c r="G460" i="12" s="1"/>
  <c r="AK493" i="11"/>
  <c r="AJ493" i="11"/>
  <c r="AD493" i="11"/>
  <c r="G493" i="11"/>
  <c r="H460" i="12" s="1"/>
  <c r="AL493" i="11" l="1"/>
  <c r="EJ493" i="11"/>
  <c r="EK493" i="11"/>
  <c r="J493" i="11"/>
  <c r="Q493" i="11" s="1"/>
  <c r="I460" i="12"/>
  <c r="J460" i="12"/>
  <c r="L460" i="12"/>
  <c r="O460" i="12" s="1"/>
  <c r="K493" i="11"/>
  <c r="R493" i="11" s="1"/>
  <c r="EL493" i="11" l="1"/>
  <c r="H493" i="11" s="1"/>
  <c r="I493" i="11" s="1"/>
  <c r="K460" i="12" l="1"/>
  <c r="P460" i="12"/>
  <c r="S460" i="12" s="1"/>
  <c r="T460" i="12" s="1"/>
  <c r="U493" i="11"/>
  <c r="S493" i="11"/>
  <c r="Q460" i="12" l="1"/>
  <c r="T493" i="11"/>
  <c r="V493" i="11"/>
  <c r="R460" i="12" l="1"/>
  <c r="U460" i="12" s="1"/>
  <c r="X460" i="12" s="1"/>
  <c r="Z494" i="11"/>
  <c r="F494" i="11" l="1"/>
  <c r="EB494" i="11"/>
  <c r="AC494" i="11"/>
  <c r="E461" i="12" l="1"/>
  <c r="AE494" i="11"/>
  <c r="AF494" i="11"/>
  <c r="ED494" i="11"/>
  <c r="EE494" i="11" s="1"/>
  <c r="EG494" i="11" s="1"/>
  <c r="EF494" i="11" s="1"/>
  <c r="AG494" i="11" l="1"/>
  <c r="EJ494" i="11"/>
  <c r="EK494" i="11"/>
  <c r="AK494" i="11"/>
  <c r="G494" i="11"/>
  <c r="H461" i="12" s="1"/>
  <c r="AD494" i="11"/>
  <c r="AJ494" i="11"/>
  <c r="J494" i="11" s="1"/>
  <c r="Q494" i="11" s="1"/>
  <c r="O494" i="11"/>
  <c r="F461" i="12" s="1"/>
  <c r="G461" i="12" s="1"/>
  <c r="K494" i="11" l="1"/>
  <c r="EL494" i="11"/>
  <c r="R494" i="11"/>
  <c r="L461" i="12"/>
  <c r="O461" i="12" s="1"/>
  <c r="J461" i="12"/>
  <c r="I461" i="12"/>
  <c r="AL494" i="11"/>
  <c r="H494" i="11" l="1"/>
  <c r="K461" i="12" s="1"/>
  <c r="I494" i="11" l="1"/>
  <c r="P461" i="12" s="1"/>
  <c r="S461" i="12" s="1"/>
  <c r="T461" i="12" s="1"/>
  <c r="U494" i="11"/>
  <c r="S494" i="11"/>
  <c r="Q461" i="12" l="1"/>
  <c r="T494" i="11"/>
  <c r="V494" i="11"/>
  <c r="R461" i="12" l="1"/>
  <c r="U461" i="12" s="1"/>
  <c r="X461" i="12" s="1"/>
  <c r="Z495" i="11"/>
  <c r="F495" i="11" l="1"/>
  <c r="EB495" i="11"/>
  <c r="AC495" i="11"/>
  <c r="E462" i="12" l="1"/>
  <c r="AE495" i="11"/>
  <c r="AF495" i="11"/>
  <c r="ED495" i="11"/>
  <c r="EE495" i="11" s="1"/>
  <c r="EG495" i="11" s="1"/>
  <c r="EF495" i="11" s="1"/>
  <c r="AG495" i="11" l="1"/>
  <c r="EJ495" i="11"/>
  <c r="EK495" i="11"/>
  <c r="AK495" i="11"/>
  <c r="K495" i="11" s="1"/>
  <c r="AJ495" i="11"/>
  <c r="J495" i="11" s="1"/>
  <c r="G495" i="11"/>
  <c r="H462" i="12" s="1"/>
  <c r="AD495" i="11"/>
  <c r="O495" i="11"/>
  <c r="F462" i="12" s="1"/>
  <c r="G462" i="12" s="1"/>
  <c r="R495" i="11" l="1"/>
  <c r="Q495" i="11"/>
  <c r="EL495" i="11"/>
  <c r="I462" i="12"/>
  <c r="L462" i="12"/>
  <c r="O462" i="12" s="1"/>
  <c r="J462" i="12"/>
  <c r="AL495" i="11"/>
  <c r="H495" i="11" s="1"/>
  <c r="K462" i="12" l="1"/>
  <c r="I495" i="11"/>
  <c r="P462" i="12" l="1"/>
  <c r="S462" i="12" s="1"/>
  <c r="T462" i="12" s="1"/>
  <c r="S495" i="11"/>
  <c r="U495" i="11"/>
  <c r="V495" i="11" l="1"/>
  <c r="Q462" i="12"/>
  <c r="T495" i="11"/>
  <c r="R462" i="12" l="1"/>
  <c r="U462" i="12" s="1"/>
  <c r="X462" i="12" s="1"/>
  <c r="Z496" i="11"/>
  <c r="F496" i="11" l="1"/>
  <c r="EB496" i="11"/>
  <c r="AC496" i="11"/>
  <c r="ED496" i="11" l="1"/>
  <c r="EE496" i="11" s="1"/>
  <c r="E463" i="12"/>
  <c r="AE496" i="11"/>
  <c r="AF496" i="11"/>
  <c r="AG496" i="11" l="1"/>
  <c r="AK496" i="11" s="1"/>
  <c r="EG496" i="11"/>
  <c r="EF496" i="11" s="1"/>
  <c r="O496" i="11"/>
  <c r="F463" i="12" s="1"/>
  <c r="G463" i="12" s="1"/>
  <c r="AD496" i="11"/>
  <c r="AJ496" i="11" l="1"/>
  <c r="G496" i="11"/>
  <c r="H463" i="12" s="1"/>
  <c r="L463" i="12" s="1"/>
  <c r="O463" i="12" s="1"/>
  <c r="EK496" i="11"/>
  <c r="K496" i="11" s="1"/>
  <c r="EJ496" i="11"/>
  <c r="J496" i="11" s="1"/>
  <c r="AL496" i="11"/>
  <c r="J463" i="12"/>
  <c r="EL496" i="11" l="1"/>
  <c r="Q496" i="11"/>
  <c r="R496" i="11"/>
  <c r="I463" i="12"/>
  <c r="H496" i="11"/>
  <c r="I496" i="11" s="1"/>
  <c r="K463" i="12" l="1"/>
  <c r="P463" i="12"/>
  <c r="S463" i="12" s="1"/>
  <c r="T463" i="12" s="1"/>
  <c r="U496" i="11"/>
  <c r="S496" i="11"/>
  <c r="Q463" i="12" l="1"/>
  <c r="T496" i="11"/>
  <c r="V496" i="11"/>
  <c r="Z497" i="11" l="1"/>
  <c r="R463" i="12"/>
  <c r="U463" i="12" s="1"/>
  <c r="X463" i="12" s="1"/>
  <c r="F497" i="11" l="1"/>
  <c r="EB497" i="11"/>
  <c r="AC497" i="11"/>
  <c r="ED497" i="11" l="1"/>
  <c r="EE497" i="11" s="1"/>
  <c r="E464" i="12"/>
  <c r="AE497" i="11"/>
  <c r="AF497" i="11"/>
  <c r="AG497" i="11" l="1"/>
  <c r="EG497" i="11"/>
  <c r="EF497" i="11" s="1"/>
  <c r="O497" i="11"/>
  <c r="F464" i="12" s="1"/>
  <c r="AK497" i="11"/>
  <c r="AD497" i="11"/>
  <c r="AJ497" i="11"/>
  <c r="G497" i="11"/>
  <c r="H464" i="12" s="1"/>
  <c r="G464" i="12"/>
  <c r="EK497" i="11" l="1"/>
  <c r="K497" i="11" s="1"/>
  <c r="R497" i="11" s="1"/>
  <c r="EJ497" i="11"/>
  <c r="J497" i="11"/>
  <c r="Q497" i="11" s="1"/>
  <c r="J464" i="12"/>
  <c r="L464" i="12"/>
  <c r="O464" i="12" s="1"/>
  <c r="AL497" i="11"/>
  <c r="I464" i="12"/>
  <c r="EL497" i="11" l="1"/>
  <c r="H497" i="11" s="1"/>
  <c r="I497" i="11" s="1"/>
  <c r="K464" i="12" l="1"/>
  <c r="P464" i="12"/>
  <c r="S464" i="12" s="1"/>
  <c r="T464" i="12" s="1"/>
  <c r="S497" i="11"/>
  <c r="U497" i="11"/>
  <c r="V497" i="11" l="1"/>
  <c r="Q464" i="12"/>
  <c r="T497" i="11"/>
  <c r="R464" i="12" l="1"/>
  <c r="U464" i="12" s="1"/>
  <c r="X464" i="12" s="1"/>
  <c r="Z498" i="11"/>
  <c r="F498" i="11" l="1"/>
  <c r="EB498" i="11"/>
  <c r="AC498" i="11"/>
  <c r="ED498" i="11" l="1"/>
  <c r="EE498" i="11" s="1"/>
  <c r="E465" i="12"/>
  <c r="AE498" i="11"/>
  <c r="AF498" i="11"/>
  <c r="AG498" i="11" l="1"/>
  <c r="EG498" i="11"/>
  <c r="EF498" i="11" s="1"/>
  <c r="O498" i="11"/>
  <c r="F465" i="12" s="1"/>
  <c r="G465" i="12" s="1"/>
  <c r="AD498" i="11"/>
  <c r="AK498" i="11"/>
  <c r="G498" i="11"/>
  <c r="H465" i="12" s="1"/>
  <c r="I465" i="12" s="1"/>
  <c r="AJ498" i="11"/>
  <c r="EK498" i="11" l="1"/>
  <c r="K498" i="11" s="1"/>
  <c r="R498" i="11" s="1"/>
  <c r="EJ498" i="11"/>
  <c r="L465" i="12"/>
  <c r="O465" i="12" s="1"/>
  <c r="J465" i="12"/>
  <c r="AL498" i="11"/>
  <c r="EL498" i="11" l="1"/>
  <c r="J498" i="11"/>
  <c r="Q498" i="11" s="1"/>
  <c r="H498" i="11"/>
  <c r="K465" i="12" s="1"/>
  <c r="I498" i="11" l="1"/>
  <c r="P465" i="12" s="1"/>
  <c r="S465" i="12" s="1"/>
  <c r="T465" i="12" s="1"/>
  <c r="U498" i="11"/>
  <c r="S498" i="11"/>
  <c r="T498" i="11" l="1"/>
  <c r="Q465" i="12"/>
  <c r="V498" i="11"/>
  <c r="R465" i="12" l="1"/>
  <c r="U465" i="12" s="1"/>
  <c r="X465" i="12" s="1"/>
  <c r="Z499" i="11"/>
  <c r="F499" i="11" l="1"/>
  <c r="EB499" i="11"/>
  <c r="AC499" i="11"/>
  <c r="ED499" i="11" l="1"/>
  <c r="EE499" i="11" s="1"/>
  <c r="E466" i="12"/>
  <c r="AE499" i="11"/>
  <c r="AF499" i="11"/>
  <c r="EG499" i="11" l="1"/>
  <c r="EF499" i="11" s="1"/>
  <c r="O499" i="11"/>
  <c r="F466" i="12" s="1"/>
  <c r="G466" i="12" s="1"/>
  <c r="AG499" i="11"/>
  <c r="AK499" i="11" s="1"/>
  <c r="EK499" i="11" l="1"/>
  <c r="EJ499" i="11"/>
  <c r="EL499" i="11" s="1"/>
  <c r="AJ499" i="11"/>
  <c r="AL499" i="11" s="1"/>
  <c r="G499" i="11"/>
  <c r="H466" i="12" s="1"/>
  <c r="J466" i="12" s="1"/>
  <c r="AD499" i="11"/>
  <c r="K499" i="11"/>
  <c r="J499" i="11"/>
  <c r="Q499" i="11" s="1"/>
  <c r="H499" i="11" l="1"/>
  <c r="L466" i="12"/>
  <c r="O466" i="12" s="1"/>
  <c r="I466" i="12"/>
  <c r="R499" i="11"/>
  <c r="I499" i="11"/>
  <c r="K466" i="12"/>
  <c r="P466" i="12" l="1"/>
  <c r="S466" i="12" s="1"/>
  <c r="T466" i="12" s="1"/>
  <c r="S499" i="11"/>
  <c r="U499" i="11"/>
  <c r="T499" i="11" l="1"/>
  <c r="Q466" i="12"/>
  <c r="V499" i="11"/>
  <c r="R466" i="12" l="1"/>
  <c r="U466" i="12" s="1"/>
  <c r="X466" i="12" s="1"/>
  <c r="Z500" i="11"/>
  <c r="F500" i="11" l="1"/>
  <c r="EB500" i="11"/>
  <c r="AC500" i="11"/>
  <c r="E467" i="12" l="1"/>
  <c r="AE500" i="11"/>
  <c r="AF500" i="11"/>
  <c r="AG500" i="11" s="1"/>
  <c r="ED500" i="11"/>
  <c r="EE500" i="11" s="1"/>
  <c r="EG500" i="11" s="1"/>
  <c r="EF500" i="11" s="1"/>
  <c r="EJ500" i="11" l="1"/>
  <c r="EK500" i="11"/>
  <c r="AK500" i="11"/>
  <c r="K500" i="11" s="1"/>
  <c r="AD500" i="11"/>
  <c r="G500" i="11"/>
  <c r="H467" i="12" s="1"/>
  <c r="AJ500" i="11"/>
  <c r="J500" i="11" s="1"/>
  <c r="Q500" i="11" s="1"/>
  <c r="O500" i="11"/>
  <c r="F467" i="12" s="1"/>
  <c r="G467" i="12" s="1"/>
  <c r="EL500" i="11" l="1"/>
  <c r="R500" i="11"/>
  <c r="AL500" i="11"/>
  <c r="H500" i="11" s="1"/>
  <c r="I467" i="12"/>
  <c r="L467" i="12"/>
  <c r="O467" i="12" s="1"/>
  <c r="J467" i="12"/>
  <c r="K467" i="12" l="1"/>
  <c r="I500" i="11"/>
  <c r="P467" i="12" l="1"/>
  <c r="S467" i="12" s="1"/>
  <c r="T467" i="12" s="1"/>
  <c r="U500" i="11"/>
  <c r="S500" i="11"/>
  <c r="Q467" i="12" l="1"/>
  <c r="T500" i="11"/>
  <c r="V500" i="11"/>
  <c r="R467" i="12" l="1"/>
  <c r="U467" i="12" s="1"/>
  <c r="X467" i="12" s="1"/>
  <c r="Z501" i="11"/>
  <c r="F501" i="11" l="1"/>
  <c r="EB501" i="11"/>
  <c r="AC501" i="11"/>
  <c r="E468" i="12" l="1"/>
  <c r="AF501" i="11"/>
  <c r="AE501" i="11"/>
  <c r="ED501" i="11"/>
  <c r="EE501" i="11" s="1"/>
  <c r="EG501" i="11" s="1"/>
  <c r="EF501" i="11" s="1"/>
  <c r="AG501" i="11" l="1"/>
  <c r="EK501" i="11"/>
  <c r="EJ501" i="11"/>
  <c r="O501" i="11"/>
  <c r="F468" i="12" s="1"/>
  <c r="G501" i="11"/>
  <c r="H468" i="12" s="1"/>
  <c r="AJ501" i="11"/>
  <c r="J501" i="11" s="1"/>
  <c r="Q501" i="11" s="1"/>
  <c r="AK501" i="11"/>
  <c r="K501" i="11" s="1"/>
  <c r="R501" i="11" s="1"/>
  <c r="AD501" i="11"/>
  <c r="EL501" i="11" l="1"/>
  <c r="I468" i="12"/>
  <c r="G468" i="12"/>
  <c r="L468" i="12"/>
  <c r="O468" i="12" s="1"/>
  <c r="J468" i="12"/>
  <c r="AL501" i="11"/>
  <c r="H501" i="11" s="1"/>
  <c r="I501" i="11" l="1"/>
  <c r="K468" i="12"/>
  <c r="P468" i="12" l="1"/>
  <c r="S468" i="12" s="1"/>
  <c r="T468" i="12" s="1"/>
  <c r="S501" i="11"/>
  <c r="U501" i="11"/>
  <c r="V501" i="11" l="1"/>
  <c r="Q468" i="12"/>
  <c r="T501" i="11"/>
  <c r="R468" i="12" l="1"/>
  <c r="U468" i="12" s="1"/>
  <c r="X468" i="12" s="1"/>
  <c r="Z502" i="11"/>
  <c r="F502" i="11" l="1"/>
  <c r="EB502" i="11"/>
  <c r="AC502" i="11"/>
  <c r="ED502" i="11" l="1"/>
  <c r="EE502" i="11" s="1"/>
  <c r="E469" i="12"/>
  <c r="AE502" i="11"/>
  <c r="AF502" i="11"/>
  <c r="EG502" i="11" l="1"/>
  <c r="EF502" i="11" s="1"/>
  <c r="O502" i="11"/>
  <c r="F469" i="12" s="1"/>
  <c r="G469" i="12" s="1"/>
  <c r="AG502" i="11"/>
  <c r="AK502" i="11" s="1"/>
  <c r="AJ502" i="11" l="1"/>
  <c r="AD502" i="11"/>
  <c r="EK502" i="11"/>
  <c r="EJ502" i="11"/>
  <c r="G502" i="11"/>
  <c r="H469" i="12" s="1"/>
  <c r="I469" i="12" s="1"/>
  <c r="K502" i="11"/>
  <c r="AL502" i="11"/>
  <c r="EL502" i="11" l="1"/>
  <c r="J469" i="12"/>
  <c r="L469" i="12"/>
  <c r="O469" i="12" s="1"/>
  <c r="R502" i="11"/>
  <c r="J502" i="11"/>
  <c r="Q502" i="11" s="1"/>
  <c r="H502" i="11"/>
  <c r="K469" i="12" s="1"/>
  <c r="I502" i="11" l="1"/>
  <c r="P469" i="12" s="1"/>
  <c r="S469" i="12" s="1"/>
  <c r="T469" i="12" s="1"/>
  <c r="S502" i="11" l="1"/>
  <c r="T502" i="11" s="1"/>
  <c r="U502" i="11"/>
  <c r="V502" i="11" s="1"/>
  <c r="Q469" i="12" l="1"/>
  <c r="R469" i="12"/>
  <c r="U469" i="12" s="1"/>
  <c r="X469" i="12" s="1"/>
  <c r="Z503" i="11"/>
  <c r="F503" i="11" l="1"/>
  <c r="EB503" i="11"/>
  <c r="AC503" i="11"/>
  <c r="ED503" i="11" l="1"/>
  <c r="EE503" i="11" s="1"/>
  <c r="E470" i="12"/>
  <c r="AE503" i="11"/>
  <c r="AF503" i="11"/>
  <c r="AG503" i="11" l="1"/>
  <c r="AJ503" i="11" s="1"/>
  <c r="EG503" i="11"/>
  <c r="EF503" i="11" s="1"/>
  <c r="O503" i="11"/>
  <c r="F470" i="12" s="1"/>
  <c r="G470" i="12" s="1"/>
  <c r="AD503" i="11"/>
  <c r="G503" i="11"/>
  <c r="H470" i="12" s="1"/>
  <c r="AK503" i="11"/>
  <c r="AL503" i="11" l="1"/>
  <c r="EJ503" i="11"/>
  <c r="EK503" i="11"/>
  <c r="J470" i="12"/>
  <c r="L470" i="12"/>
  <c r="O470" i="12" s="1"/>
  <c r="J503" i="11"/>
  <c r="Q503" i="11" s="1"/>
  <c r="I470" i="12"/>
  <c r="EL503" i="11" l="1"/>
  <c r="H503" i="11" s="1"/>
  <c r="K470" i="12" s="1"/>
  <c r="K503" i="11"/>
  <c r="R503" i="11" s="1"/>
  <c r="I503" i="11" l="1"/>
  <c r="P470" i="12" s="1"/>
  <c r="S470" i="12" s="1"/>
  <c r="T470" i="12" s="1"/>
  <c r="S503" i="11"/>
  <c r="U503" i="11"/>
  <c r="V503" i="11" l="1"/>
  <c r="T503" i="11"/>
  <c r="Q470" i="12"/>
  <c r="R470" i="12" l="1"/>
  <c r="U470" i="12" s="1"/>
  <c r="X470" i="12" s="1"/>
  <c r="Z504" i="11"/>
  <c r="F504" i="11" l="1"/>
  <c r="EB504" i="11"/>
  <c r="AC504" i="11"/>
  <c r="ED504" i="11" l="1"/>
  <c r="EE504" i="11" s="1"/>
  <c r="E471" i="12"/>
  <c r="AE504" i="11"/>
  <c r="AF504" i="11"/>
  <c r="EG504" i="11" l="1"/>
  <c r="EF504" i="11" s="1"/>
  <c r="O504" i="11"/>
  <c r="F471" i="12" s="1"/>
  <c r="G471" i="12" s="1"/>
  <c r="AG504" i="11"/>
  <c r="AD504" i="11" s="1"/>
  <c r="EJ504" i="11"/>
  <c r="EK504" i="11"/>
  <c r="AK504" i="11" l="1"/>
  <c r="K504" i="11" s="1"/>
  <c r="AJ504" i="11"/>
  <c r="G504" i="11"/>
  <c r="H471" i="12" s="1"/>
  <c r="I471" i="12" s="1"/>
  <c r="EL504" i="11"/>
  <c r="AL504" i="11" l="1"/>
  <c r="J504" i="11"/>
  <c r="Q504" i="11" s="1"/>
  <c r="H504" i="11"/>
  <c r="K471" i="12" s="1"/>
  <c r="J471" i="12"/>
  <c r="L471" i="12"/>
  <c r="O471" i="12" s="1"/>
  <c r="R504" i="11"/>
  <c r="I504" i="11"/>
  <c r="P471" i="12" l="1"/>
  <c r="S471" i="12" s="1"/>
  <c r="T471" i="12" s="1"/>
  <c r="S504" i="11"/>
  <c r="U504" i="11"/>
  <c r="V504" i="11" l="1"/>
  <c r="T504" i="11"/>
  <c r="Q471" i="12"/>
  <c r="R471" i="12" l="1"/>
  <c r="U471" i="12" s="1"/>
  <c r="X471" i="12" s="1"/>
  <c r="Z505" i="11"/>
  <c r="F505" i="11" l="1"/>
  <c r="EB505" i="11"/>
  <c r="AC505" i="11"/>
  <c r="ED505" i="11" l="1"/>
  <c r="EE505" i="11" s="1"/>
  <c r="E472" i="12"/>
  <c r="AE505" i="11"/>
  <c r="AF505" i="11"/>
  <c r="EG505" i="11" l="1"/>
  <c r="EF505" i="11" s="1"/>
  <c r="O505" i="11"/>
  <c r="F472" i="12" s="1"/>
  <c r="G472" i="12" s="1"/>
  <c r="AG505" i="11"/>
  <c r="AJ505" i="11" s="1"/>
  <c r="EK505" i="11"/>
  <c r="EJ505" i="11"/>
  <c r="G505" i="11" l="1"/>
  <c r="H472" i="12" s="1"/>
  <c r="I472" i="12" s="1"/>
  <c r="AK505" i="11"/>
  <c r="AL505" i="11" s="1"/>
  <c r="AD505" i="11"/>
  <c r="EL505" i="11"/>
  <c r="J505" i="11"/>
  <c r="Q505" i="11" s="1"/>
  <c r="K505" i="11" l="1"/>
  <c r="R505" i="11" s="1"/>
  <c r="L472" i="12"/>
  <c r="O472" i="12" s="1"/>
  <c r="J472" i="12"/>
  <c r="H505" i="11"/>
  <c r="I505" i="11" s="1"/>
  <c r="K472" i="12" l="1"/>
  <c r="P472" i="12"/>
  <c r="S472" i="12" s="1"/>
  <c r="T472" i="12" s="1"/>
  <c r="U505" i="11"/>
  <c r="S505" i="11"/>
  <c r="V505" i="11" l="1"/>
  <c r="Q472" i="12"/>
  <c r="T505" i="11"/>
  <c r="R472" i="12" l="1"/>
  <c r="U472" i="12" s="1"/>
  <c r="X472" i="12" s="1"/>
  <c r="Z506" i="11"/>
  <c r="F506" i="11" l="1"/>
  <c r="EB506" i="11"/>
  <c r="AC506" i="11"/>
  <c r="E473" i="12" l="1"/>
  <c r="AE506" i="11"/>
  <c r="AF506" i="11"/>
  <c r="ED506" i="11"/>
  <c r="EE506" i="11" s="1"/>
  <c r="EG506" i="11" s="1"/>
  <c r="EF506" i="11" s="1"/>
  <c r="AG506" i="11" l="1"/>
  <c r="G506" i="11" s="1"/>
  <c r="H473" i="12" s="1"/>
  <c r="EK506" i="11"/>
  <c r="EJ506" i="11"/>
  <c r="EL506" i="11" s="1"/>
  <c r="O506" i="11"/>
  <c r="F473" i="12" s="1"/>
  <c r="G473" i="12" s="1"/>
  <c r="AK506" i="11" l="1"/>
  <c r="K506" i="11" s="1"/>
  <c r="R506" i="11" s="1"/>
  <c r="AD506" i="11"/>
  <c r="AJ506" i="11"/>
  <c r="AL506" i="11" s="1"/>
  <c r="H506" i="11" s="1"/>
  <c r="I473" i="12"/>
  <c r="J473" i="12"/>
  <c r="L473" i="12"/>
  <c r="O473" i="12" s="1"/>
  <c r="J506" i="11" l="1"/>
  <c r="Q506" i="11" s="1"/>
  <c r="I506" i="11"/>
  <c r="K473" i="12"/>
  <c r="P473" i="12" l="1"/>
  <c r="S473" i="12" s="1"/>
  <c r="T473" i="12" s="1"/>
  <c r="U506" i="11"/>
  <c r="S506" i="11"/>
  <c r="T506" i="11" l="1"/>
  <c r="Q473" i="12"/>
  <c r="V506" i="11"/>
  <c r="R473" i="12" l="1"/>
  <c r="U473" i="12" s="1"/>
  <c r="X473" i="12" s="1"/>
  <c r="Z507" i="11"/>
  <c r="F507" i="11" l="1"/>
  <c r="EB507" i="11"/>
  <c r="AC507" i="11"/>
  <c r="E474" i="12" l="1"/>
  <c r="AE507" i="11"/>
  <c r="AF507" i="11"/>
  <c r="ED507" i="11"/>
  <c r="EE507" i="11" s="1"/>
  <c r="EG507" i="11" s="1"/>
  <c r="EF507" i="11" s="1"/>
  <c r="AG507" i="11" l="1"/>
  <c r="AK507" i="11" s="1"/>
  <c r="EJ507" i="11"/>
  <c r="EK507" i="11"/>
  <c r="O507" i="11"/>
  <c r="F474" i="12" s="1"/>
  <c r="G474" i="12" s="1"/>
  <c r="AD507" i="11" l="1"/>
  <c r="G507" i="11"/>
  <c r="H474" i="12" s="1"/>
  <c r="I474" i="12" s="1"/>
  <c r="EL507" i="11"/>
  <c r="K507" i="11"/>
  <c r="R507" i="11" s="1"/>
  <c r="AJ507" i="11"/>
  <c r="J507" i="11" s="1"/>
  <c r="Q507" i="11" s="1"/>
  <c r="J474" i="12" l="1"/>
  <c r="L474" i="12"/>
  <c r="O474" i="12" s="1"/>
  <c r="AL507" i="11"/>
  <c r="H507" i="11" s="1"/>
  <c r="K474" i="12" s="1"/>
  <c r="I507" i="11" l="1"/>
  <c r="P474" i="12" s="1"/>
  <c r="S474" i="12" s="1"/>
  <c r="T474" i="12" s="1"/>
  <c r="S507" i="11"/>
  <c r="U507" i="11"/>
  <c r="V507" i="11" l="1"/>
  <c r="Q474" i="12"/>
  <c r="T507" i="11"/>
  <c r="R474" i="12" l="1"/>
  <c r="U474" i="12" s="1"/>
  <c r="X474" i="12" s="1"/>
  <c r="Z508" i="11"/>
  <c r="Z509" i="11" s="1"/>
  <c r="F509" i="11" l="1"/>
  <c r="AC509" i="11"/>
  <c r="F508" i="11"/>
  <c r="EB508" i="11"/>
  <c r="EB509" i="11" s="1"/>
  <c r="AC508" i="11"/>
  <c r="E476" i="12" l="1"/>
  <c r="AE509" i="11"/>
  <c r="ED509" i="11"/>
  <c r="EE509" i="11" s="1"/>
  <c r="E475" i="12"/>
  <c r="AE508" i="11"/>
  <c r="AF508" i="11"/>
  <c r="ED508" i="11"/>
  <c r="EE508" i="11" s="1"/>
  <c r="EG508" i="11" s="1"/>
  <c r="EF508" i="11" s="1"/>
  <c r="EG509" i="11" l="1"/>
  <c r="O509" i="11"/>
  <c r="F476" i="12" s="1"/>
  <c r="G476" i="12" s="1"/>
  <c r="AG508" i="11"/>
  <c r="AK508" i="11" s="1"/>
  <c r="AF509" i="11"/>
  <c r="AG509" i="11" s="1"/>
  <c r="EJ508" i="11"/>
  <c r="EK508" i="11"/>
  <c r="O508" i="11"/>
  <c r="F475" i="12" s="1"/>
  <c r="G475" i="12" s="1"/>
  <c r="AF510" i="11" l="1"/>
  <c r="G509" i="11"/>
  <c r="H476" i="12" s="1"/>
  <c r="AK509" i="11"/>
  <c r="AD509" i="11"/>
  <c r="AJ509" i="11"/>
  <c r="J509" i="11" s="1"/>
  <c r="Q509" i="11" s="1"/>
  <c r="I476" i="12"/>
  <c r="AJ508" i="11"/>
  <c r="AD508" i="11"/>
  <c r="G508" i="11"/>
  <c r="H475" i="12" s="1"/>
  <c r="EK509" i="11"/>
  <c r="EJ509" i="11"/>
  <c r="EL509" i="11"/>
  <c r="EF509" i="11"/>
  <c r="AL508" i="11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EL508" i="11"/>
  <c r="H508" i="11" s="1"/>
  <c r="L475" i="12"/>
  <c r="O475" i="12" s="1"/>
  <c r="J475" i="12"/>
  <c r="K508" i="11"/>
  <c r="R508" i="11" s="1"/>
  <c r="J508" i="11"/>
  <c r="Q508" i="11" s="1"/>
  <c r="I475" i="12"/>
  <c r="AL509" i="11" l="1"/>
  <c r="H509" i="11" s="1"/>
  <c r="K509" i="11"/>
  <c r="R509" i="11" s="1"/>
  <c r="L476" i="12"/>
  <c r="O476" i="12" s="1"/>
  <c r="J476" i="12"/>
  <c r="AB45" i="12"/>
  <c r="AD45" i="12" s="1"/>
  <c r="AF45" i="12" s="1"/>
  <c r="AH45" i="12" s="1"/>
  <c r="AJ45" i="12" s="1"/>
  <c r="AL45" i="12" s="1"/>
  <c r="AA45" i="12"/>
  <c r="AC45" i="12" s="1"/>
  <c r="AE45" i="12" s="1"/>
  <c r="AG45" i="12" s="1"/>
  <c r="AI45" i="12" s="1"/>
  <c r="AK45" i="12" s="1"/>
  <c r="AM45" i="12" s="1"/>
  <c r="AB37" i="12"/>
  <c r="AD37" i="12" s="1"/>
  <c r="AF37" i="12" s="1"/>
  <c r="AH37" i="12" s="1"/>
  <c r="AJ37" i="12" s="1"/>
  <c r="AL37" i="12" s="1"/>
  <c r="AA37" i="12"/>
  <c r="AC37" i="12" s="1"/>
  <c r="AE37" i="12" s="1"/>
  <c r="AG37" i="12" s="1"/>
  <c r="AI37" i="12" s="1"/>
  <c r="AK37" i="12" s="1"/>
  <c r="AM37" i="12" s="1"/>
  <c r="AA44" i="12"/>
  <c r="AC44" i="12" s="1"/>
  <c r="AE44" i="12" s="1"/>
  <c r="AG44" i="12" s="1"/>
  <c r="AI44" i="12" s="1"/>
  <c r="AK44" i="12" s="1"/>
  <c r="AM44" i="12" s="1"/>
  <c r="AB44" i="12"/>
  <c r="AD44" i="12" s="1"/>
  <c r="AF44" i="12" s="1"/>
  <c r="AH44" i="12" s="1"/>
  <c r="AJ44" i="12" s="1"/>
  <c r="AL44" i="12" s="1"/>
  <c r="AA36" i="12"/>
  <c r="AC36" i="12" s="1"/>
  <c r="AE36" i="12" s="1"/>
  <c r="AG36" i="12" s="1"/>
  <c r="AI36" i="12" s="1"/>
  <c r="AK36" i="12" s="1"/>
  <c r="AM36" i="12" s="1"/>
  <c r="AB36" i="12"/>
  <c r="AD36" i="12" s="1"/>
  <c r="AF36" i="12" s="1"/>
  <c r="AH36" i="12" s="1"/>
  <c r="AJ36" i="12" s="1"/>
  <c r="AL36" i="12" s="1"/>
  <c r="AA43" i="12"/>
  <c r="AC43" i="12" s="1"/>
  <c r="AE43" i="12" s="1"/>
  <c r="AG43" i="12" s="1"/>
  <c r="AI43" i="12" s="1"/>
  <c r="AK43" i="12" s="1"/>
  <c r="AM43" i="12" s="1"/>
  <c r="AB43" i="12"/>
  <c r="AD43" i="12" s="1"/>
  <c r="AF43" i="12" s="1"/>
  <c r="AH43" i="12" s="1"/>
  <c r="AJ43" i="12" s="1"/>
  <c r="AL43" i="12" s="1"/>
  <c r="AA42" i="12"/>
  <c r="AC42" i="12" s="1"/>
  <c r="AE42" i="12" s="1"/>
  <c r="AG42" i="12" s="1"/>
  <c r="AI42" i="12" s="1"/>
  <c r="AK42" i="12" s="1"/>
  <c r="AM42" i="12" s="1"/>
  <c r="AB42" i="12"/>
  <c r="AD42" i="12" s="1"/>
  <c r="AF42" i="12" s="1"/>
  <c r="AH42" i="12" s="1"/>
  <c r="AJ42" i="12" s="1"/>
  <c r="AL42" i="12" s="1"/>
  <c r="AA34" i="12"/>
  <c r="AC34" i="12" s="1"/>
  <c r="AE34" i="12" s="1"/>
  <c r="AG34" i="12" s="1"/>
  <c r="AI34" i="12" s="1"/>
  <c r="AK34" i="12" s="1"/>
  <c r="AM34" i="12" s="1"/>
  <c r="AB34" i="12"/>
  <c r="AD34" i="12" s="1"/>
  <c r="AF34" i="12" s="1"/>
  <c r="AH34" i="12" s="1"/>
  <c r="AJ34" i="12" s="1"/>
  <c r="AL34" i="12" s="1"/>
  <c r="AA41" i="12"/>
  <c r="AC41" i="12" s="1"/>
  <c r="AE41" i="12" s="1"/>
  <c r="AG41" i="12" s="1"/>
  <c r="AI41" i="12" s="1"/>
  <c r="AK41" i="12" s="1"/>
  <c r="AM41" i="12" s="1"/>
  <c r="AB41" i="12"/>
  <c r="AD41" i="12" s="1"/>
  <c r="AF41" i="12" s="1"/>
  <c r="AH41" i="12" s="1"/>
  <c r="AJ41" i="12" s="1"/>
  <c r="AL41" i="12" s="1"/>
  <c r="AB33" i="12"/>
  <c r="AD33" i="12" s="1"/>
  <c r="AF33" i="12" s="1"/>
  <c r="AH33" i="12" s="1"/>
  <c r="AJ33" i="12" s="1"/>
  <c r="AL33" i="12" s="1"/>
  <c r="AA33" i="12"/>
  <c r="AC33" i="12" s="1"/>
  <c r="AE33" i="12" s="1"/>
  <c r="AG33" i="12" s="1"/>
  <c r="AI33" i="12" s="1"/>
  <c r="AK33" i="12" s="1"/>
  <c r="AM33" i="12" s="1"/>
  <c r="AB35" i="12"/>
  <c r="AD35" i="12" s="1"/>
  <c r="AF35" i="12" s="1"/>
  <c r="AH35" i="12" s="1"/>
  <c r="AJ35" i="12" s="1"/>
  <c r="AL35" i="12" s="1"/>
  <c r="AA35" i="12"/>
  <c r="AC35" i="12" s="1"/>
  <c r="AE35" i="12" s="1"/>
  <c r="AG35" i="12" s="1"/>
  <c r="AI35" i="12" s="1"/>
  <c r="AK35" i="12" s="1"/>
  <c r="AM35" i="12" s="1"/>
  <c r="AB40" i="12"/>
  <c r="AD40" i="12" s="1"/>
  <c r="AF40" i="12" s="1"/>
  <c r="AH40" i="12" s="1"/>
  <c r="AJ40" i="12" s="1"/>
  <c r="AL40" i="12" s="1"/>
  <c r="AA40" i="12"/>
  <c r="AC40" i="12" s="1"/>
  <c r="AE40" i="12" s="1"/>
  <c r="AG40" i="12" s="1"/>
  <c r="AI40" i="12" s="1"/>
  <c r="AK40" i="12" s="1"/>
  <c r="AM40" i="12" s="1"/>
  <c r="AA32" i="12"/>
  <c r="AC32" i="12" s="1"/>
  <c r="AE32" i="12" s="1"/>
  <c r="AG32" i="12" s="1"/>
  <c r="AI32" i="12" s="1"/>
  <c r="AK32" i="12" s="1"/>
  <c r="AM32" i="12" s="1"/>
  <c r="AB32" i="12"/>
  <c r="AD32" i="12" s="1"/>
  <c r="AF32" i="12" s="1"/>
  <c r="AH32" i="12" s="1"/>
  <c r="AJ32" i="12" s="1"/>
  <c r="AL32" i="12" s="1"/>
  <c r="AA47" i="12"/>
  <c r="AC47" i="12" s="1"/>
  <c r="AE47" i="12" s="1"/>
  <c r="AG47" i="12" s="1"/>
  <c r="AI47" i="12" s="1"/>
  <c r="AK47" i="12" s="1"/>
  <c r="AM47" i="12" s="1"/>
  <c r="AB47" i="12"/>
  <c r="AD47" i="12" s="1"/>
  <c r="AF47" i="12" s="1"/>
  <c r="AH47" i="12" s="1"/>
  <c r="AJ47" i="12" s="1"/>
  <c r="AL47" i="12" s="1"/>
  <c r="AB39" i="12"/>
  <c r="AD39" i="12" s="1"/>
  <c r="AF39" i="12" s="1"/>
  <c r="AH39" i="12" s="1"/>
  <c r="AJ39" i="12" s="1"/>
  <c r="AL39" i="12" s="1"/>
  <c r="AA39" i="12"/>
  <c r="AC39" i="12" s="1"/>
  <c r="AE39" i="12" s="1"/>
  <c r="AG39" i="12" s="1"/>
  <c r="AI39" i="12" s="1"/>
  <c r="AK39" i="12" s="1"/>
  <c r="AM39" i="12" s="1"/>
  <c r="AB31" i="12"/>
  <c r="AD31" i="12" s="1"/>
  <c r="AF31" i="12" s="1"/>
  <c r="AH31" i="12" s="1"/>
  <c r="AJ31" i="12" s="1"/>
  <c r="AL31" i="12" s="1"/>
  <c r="AA31" i="12"/>
  <c r="AC31" i="12" s="1"/>
  <c r="AE31" i="12" s="1"/>
  <c r="AG31" i="12" s="1"/>
  <c r="AI31" i="12" s="1"/>
  <c r="AK31" i="12" s="1"/>
  <c r="AM31" i="12" s="1"/>
  <c r="AA46" i="12"/>
  <c r="AC46" i="12" s="1"/>
  <c r="AE46" i="12" s="1"/>
  <c r="AG46" i="12" s="1"/>
  <c r="AI46" i="12" s="1"/>
  <c r="AK46" i="12" s="1"/>
  <c r="AM46" i="12" s="1"/>
  <c r="AB46" i="12"/>
  <c r="AD46" i="12" s="1"/>
  <c r="AF46" i="12" s="1"/>
  <c r="AH46" i="12" s="1"/>
  <c r="AJ46" i="12" s="1"/>
  <c r="AL46" i="12" s="1"/>
  <c r="AA38" i="12"/>
  <c r="AC38" i="12" s="1"/>
  <c r="AE38" i="12" s="1"/>
  <c r="AG38" i="12" s="1"/>
  <c r="AI38" i="12" s="1"/>
  <c r="AK38" i="12" s="1"/>
  <c r="AM38" i="12" s="1"/>
  <c r="AB38" i="12"/>
  <c r="AD38" i="12" s="1"/>
  <c r="AF38" i="12" s="1"/>
  <c r="AH38" i="12" s="1"/>
  <c r="AJ38" i="12" s="1"/>
  <c r="AL38" i="12" s="1"/>
  <c r="AB30" i="12"/>
  <c r="AD30" i="12" s="1"/>
  <c r="AF30" i="12" s="1"/>
  <c r="AH30" i="12" s="1"/>
  <c r="AJ30" i="12" s="1"/>
  <c r="AL30" i="12" s="1"/>
  <c r="AA30" i="12"/>
  <c r="AC30" i="12" s="1"/>
  <c r="AE30" i="12" s="1"/>
  <c r="AG30" i="12" s="1"/>
  <c r="AI30" i="12" s="1"/>
  <c r="AK30" i="12" s="1"/>
  <c r="AM30" i="12" s="1"/>
  <c r="I508" i="11"/>
  <c r="K475" i="12"/>
  <c r="K476" i="12" l="1"/>
  <c r="I509" i="11"/>
  <c r="P476" i="12" s="1"/>
  <c r="S476" i="12" s="1"/>
  <c r="P475" i="12"/>
  <c r="S475" i="12" s="1"/>
  <c r="T475" i="12" s="1"/>
  <c r="U508" i="11"/>
  <c r="S508" i="11"/>
  <c r="S509" i="11" s="1"/>
  <c r="Q476" i="12" l="1"/>
  <c r="T509" i="11"/>
  <c r="R476" i="12" s="1"/>
  <c r="V508" i="11"/>
  <c r="U509" i="11"/>
  <c r="V509" i="11" s="1"/>
  <c r="T476" i="12"/>
  <c r="U476" i="12" s="1"/>
  <c r="X476" i="12" s="1"/>
  <c r="Q475" i="12"/>
  <c r="T508" i="11"/>
  <c r="R475" i="12" s="1"/>
  <c r="U475" i="12" s="1"/>
  <c r="X475" i="12" s="1"/>
</calcChain>
</file>

<file path=xl/comments1.xml><?xml version="1.0" encoding="utf-8"?>
<comments xmlns="http://schemas.openxmlformats.org/spreadsheetml/2006/main">
  <authors>
    <author>tc={3953EDD0-3985-4687-8189-47027AE77276}</author>
  </authors>
  <commentList>
    <comment ref="D85" authorId="0" shapeId="0">
      <text>
        <r>
          <rPr>
            <sz val="11"/>
            <color theme="1"/>
            <rFont val="Arial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aplica límite de edad para Prima de cobertura adicional</t>
        </r>
      </text>
    </comment>
  </commentList>
</comments>
</file>

<file path=xl/sharedStrings.xml><?xml version="1.0" encoding="utf-8"?>
<sst xmlns="http://schemas.openxmlformats.org/spreadsheetml/2006/main" count="706" uniqueCount="471">
  <si>
    <t>PARAMETROS</t>
  </si>
  <si>
    <t>Sexo</t>
  </si>
  <si>
    <t>Fumador</t>
  </si>
  <si>
    <t>Edad</t>
  </si>
  <si>
    <t>Valor Asegurado</t>
  </si>
  <si>
    <t>Hombre</t>
  </si>
  <si>
    <t>Muerte Accidental</t>
  </si>
  <si>
    <t>Recargo</t>
  </si>
  <si>
    <t>Final</t>
  </si>
  <si>
    <t>HF</t>
  </si>
  <si>
    <t>Utilidad</t>
  </si>
  <si>
    <t>Administrativos</t>
  </si>
  <si>
    <t>Recargo de seguridad</t>
  </si>
  <si>
    <t>HN</t>
  </si>
  <si>
    <t>MF</t>
  </si>
  <si>
    <t>MN</t>
  </si>
  <si>
    <t>v</t>
  </si>
  <si>
    <t>No</t>
  </si>
  <si>
    <t>PARAMETROS GENERALES</t>
  </si>
  <si>
    <t>Edad max. Pago de prima</t>
  </si>
  <si>
    <t>Interés garantizado</t>
  </si>
  <si>
    <t>Interés proyectado</t>
  </si>
  <si>
    <t>Contribución SCVS</t>
  </si>
  <si>
    <t>Contribución SSC</t>
  </si>
  <si>
    <t>Retención sobre interés</t>
  </si>
  <si>
    <t>Interés garantizado neto</t>
  </si>
  <si>
    <t>Interés proyectado neto</t>
  </si>
  <si>
    <t>Año</t>
  </si>
  <si>
    <t>VA</t>
  </si>
  <si>
    <t>Ahorro</t>
  </si>
  <si>
    <t>FUMADOR MUJER</t>
  </si>
  <si>
    <t>FUMADOR HOMBRE</t>
  </si>
  <si>
    <t>NO FUM MUJER</t>
  </si>
  <si>
    <t>NO FUM HOMBRE</t>
  </si>
  <si>
    <t>COEFICIENTES HF</t>
  </si>
  <si>
    <t>qx adj</t>
  </si>
  <si>
    <t>Coef.</t>
  </si>
  <si>
    <t>Recargo FUM/NO FUM</t>
  </si>
  <si>
    <t>i</t>
  </si>
  <si>
    <t>Factor de descuento actuarial</t>
  </si>
  <si>
    <t>Tasa financiera de descuento</t>
  </si>
  <si>
    <t>COBERTURA ADICIONAL</t>
  </si>
  <si>
    <t>VALOR ASEG.</t>
  </si>
  <si>
    <t>RECARGOS SUGERIDOS SOBRE PRIMA DE SEGURO</t>
  </si>
  <si>
    <t>Mujer</t>
  </si>
  <si>
    <t>Si</t>
  </si>
  <si>
    <t>FINAL</t>
  </si>
  <si>
    <t>HOMBRE</t>
  </si>
  <si>
    <t>MUJER</t>
  </si>
  <si>
    <t>FUMADOR</t>
  </si>
  <si>
    <t>NO FUMADOR</t>
  </si>
  <si>
    <t>2 - 2</t>
  </si>
  <si>
    <t>2 - 1</t>
  </si>
  <si>
    <t>1 - 1</t>
  </si>
  <si>
    <t>1 - 2</t>
  </si>
  <si>
    <t>% Accidente</t>
  </si>
  <si>
    <r>
      <t>Anual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ACC</t>
    </r>
  </si>
  <si>
    <r>
      <t>Mensual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ACC</t>
    </r>
  </si>
  <si>
    <r>
      <t>Trimestral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ACC</t>
    </r>
  </si>
  <si>
    <r>
      <t>Semestral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ACC</t>
    </r>
  </si>
  <si>
    <t>Min</t>
  </si>
  <si>
    <t>Max</t>
  </si>
  <si>
    <t>Muertes por Accidente</t>
  </si>
  <si>
    <t>18-19</t>
  </si>
  <si>
    <t>20-24</t>
  </si>
  <si>
    <t>25-34</t>
  </si>
  <si>
    <t>35-44</t>
  </si>
  <si>
    <t>45-54</t>
  </si>
  <si>
    <t>55-64</t>
  </si>
  <si>
    <t>≥65</t>
  </si>
  <si>
    <t>Tabla de Invalidez IESS 2000</t>
  </si>
  <si>
    <t>Tabla de Mortalidad Ajustada
Anual</t>
  </si>
  <si>
    <t>Tabla de Mortalidad Ajustada
Semestral</t>
  </si>
  <si>
    <t>Tabla de Mortalidad Ajustada
Trimestral</t>
  </si>
  <si>
    <t>Tabla de Mortalidad Ajustada
Mensual</t>
  </si>
  <si>
    <t>Masculino (ix)</t>
  </si>
  <si>
    <t>Femenino 
(ix)</t>
  </si>
  <si>
    <t>Unisex 
(ix)</t>
  </si>
  <si>
    <r>
      <t xml:space="preserve">q masc 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inv</t>
    </r>
  </si>
  <si>
    <r>
      <t xml:space="preserve">q fem 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inv</t>
    </r>
  </si>
  <si>
    <r>
      <t xml:space="preserve">q unisex 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inv</t>
    </r>
  </si>
  <si>
    <r>
      <t>Anual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ITP</t>
    </r>
  </si>
  <si>
    <r>
      <t>Mensual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ITP</t>
    </r>
  </si>
  <si>
    <r>
      <t>Trimestral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ITP</t>
    </r>
  </si>
  <si>
    <r>
      <t>Semestral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ITP</t>
    </r>
  </si>
  <si>
    <t>tasa incapacidad total y permanente</t>
  </si>
  <si>
    <r>
      <t xml:space="preserve"> Femenino q</t>
    </r>
    <r>
      <rPr>
        <b/>
        <vertAlign val="subscript"/>
        <sz val="8"/>
        <color rgb="FFFFFFFF"/>
        <rFont val="Arial"/>
        <family val="2"/>
      </rPr>
      <t>x</t>
    </r>
    <r>
      <rPr>
        <b/>
        <sz val="8"/>
        <color rgb="FFFFFFFF"/>
        <rFont val="Arial"/>
        <family val="2"/>
      </rPr>
      <t xml:space="preserve"> adj</t>
    </r>
  </si>
  <si>
    <r>
      <t>Masculino q</t>
    </r>
    <r>
      <rPr>
        <b/>
        <vertAlign val="subscript"/>
        <sz val="8"/>
        <color rgb="FFFFFFFF"/>
        <rFont val="Arial"/>
        <family val="2"/>
      </rPr>
      <t>x</t>
    </r>
    <r>
      <rPr>
        <b/>
        <sz val="8"/>
        <color rgb="FFFFFFFF"/>
        <rFont val="Arial"/>
        <family val="2"/>
      </rPr>
      <t xml:space="preserve"> adj</t>
    </r>
  </si>
  <si>
    <r>
      <t>Unisex q</t>
    </r>
    <r>
      <rPr>
        <b/>
        <vertAlign val="subscript"/>
        <sz val="8"/>
        <color rgb="FFFFFFFF"/>
        <rFont val="Arial"/>
        <family val="2"/>
      </rPr>
      <t>x</t>
    </r>
    <r>
      <rPr>
        <b/>
        <sz val="8"/>
        <color rgb="FFFFFFFF"/>
        <rFont val="Arial"/>
        <family val="2"/>
      </rPr>
      <t xml:space="preserve"> adj</t>
    </r>
  </si>
  <si>
    <t>HOMBRES</t>
  </si>
  <si>
    <t>MUJERES</t>
  </si>
  <si>
    <t>INTERES</t>
  </si>
  <si>
    <t>RECARGO MENSUAL</t>
  </si>
  <si>
    <t>RECARGO TRIMESTRAL</t>
  </si>
  <si>
    <t>RECARGO SEMESTRAL</t>
  </si>
  <si>
    <r>
      <t>Anual
q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MA</t>
    </r>
  </si>
  <si>
    <r>
      <t>Anual
PP</t>
    </r>
    <r>
      <rPr>
        <b/>
        <vertAlign val="subscript"/>
        <sz val="8"/>
        <color theme="0"/>
        <rFont val="Arial"/>
        <family val="2"/>
      </rPr>
      <t>x</t>
    </r>
    <r>
      <rPr>
        <b/>
        <vertAlign val="superscript"/>
        <sz val="8"/>
        <color theme="0"/>
        <rFont val="Arial"/>
        <family val="2"/>
      </rPr>
      <t>MA</t>
    </r>
  </si>
  <si>
    <t>Año 1-10</t>
  </si>
  <si>
    <t>Años de amortización</t>
  </si>
  <si>
    <t xml:space="preserve">REFERENCIAL </t>
  </si>
  <si>
    <t>PARAMETROS FLEXIBLES</t>
  </si>
  <si>
    <t>Fecha de Nacimiento</t>
  </si>
  <si>
    <t>Periodicidad</t>
  </si>
  <si>
    <t>Anual</t>
  </si>
  <si>
    <t>q masc xITP</t>
  </si>
  <si>
    <t>q fem xITP</t>
  </si>
  <si>
    <t>q unisex xITP</t>
  </si>
  <si>
    <t xml:space="preserve"> Macc Femenino fum qx adj</t>
  </si>
  <si>
    <t>Macc Masculino fum qx adj</t>
  </si>
  <si>
    <t>Macc Unisex fum qx adj</t>
  </si>
  <si>
    <t xml:space="preserve"> Macc Femenino no fum qx adj</t>
  </si>
  <si>
    <t>Macc Masculino no fum qx adj</t>
  </si>
  <si>
    <t>Macc Unisex no fum qx adj</t>
  </si>
  <si>
    <t xml:space="preserve"> Femenino qx adj</t>
  </si>
  <si>
    <t>Masculino qx adj</t>
  </si>
  <si>
    <t>Unisex qx adj</t>
  </si>
  <si>
    <t>Gastos med acc</t>
  </si>
  <si>
    <t>Enfermedades Graves</t>
  </si>
  <si>
    <t>días</t>
  </si>
  <si>
    <t>freq_renta</t>
  </si>
  <si>
    <t>edad</t>
  </si>
  <si>
    <t>0059H</t>
  </si>
  <si>
    <t>0059U</t>
  </si>
  <si>
    <t>0060MF</t>
  </si>
  <si>
    <t>0060HF</t>
  </si>
  <si>
    <t>0060UF</t>
  </si>
  <si>
    <t>0060MN</t>
  </si>
  <si>
    <t>0060HN</t>
  </si>
  <si>
    <t>0060UN</t>
  </si>
  <si>
    <t>0061MF</t>
  </si>
  <si>
    <t>0061HF</t>
  </si>
  <si>
    <t>0061UF</t>
  </si>
  <si>
    <t>0061MN</t>
  </si>
  <si>
    <t>0061HN</t>
  </si>
  <si>
    <t>0061UN</t>
  </si>
  <si>
    <t>0059</t>
  </si>
  <si>
    <t>0060</t>
  </si>
  <si>
    <t>0061</t>
  </si>
  <si>
    <t>0062</t>
  </si>
  <si>
    <t>0063</t>
  </si>
  <si>
    <t>0064</t>
  </si>
  <si>
    <t>CODIGO</t>
  </si>
  <si>
    <t>Incapacidad Total y Permanente</t>
  </si>
  <si>
    <t>Gastos de Entierro</t>
  </si>
  <si>
    <t>Gastos médicos por accidente</t>
  </si>
  <si>
    <t>Renta Diaria por Hospitalización</t>
  </si>
  <si>
    <t>Núm Días</t>
  </si>
  <si>
    <t>Semestral</t>
  </si>
  <si>
    <t>Trimestral</t>
  </si>
  <si>
    <t>Mensual</t>
  </si>
  <si>
    <t>Nro. Columna</t>
  </si>
  <si>
    <t>Cod para buscar</t>
  </si>
  <si>
    <t>Recargo por fraccionamiento</t>
  </si>
  <si>
    <t>Nro cuotas</t>
  </si>
  <si>
    <t>Año 1</t>
  </si>
  <si>
    <t>Año 2</t>
  </si>
  <si>
    <t>COMISIONES TOTALES</t>
  </si>
  <si>
    <t>Comisión amortizada 10 años</t>
  </si>
  <si>
    <t>Interés garantizado nominal anual</t>
  </si>
  <si>
    <t>Interés proyectado nominal anual</t>
  </si>
  <si>
    <t>OUTPUT</t>
  </si>
  <si>
    <t>Nro</t>
  </si>
  <si>
    <t>PCNeta</t>
  </si>
  <si>
    <t>PCfact</t>
  </si>
  <si>
    <t>SCVS_usd</t>
  </si>
  <si>
    <t>SCC_usd</t>
  </si>
  <si>
    <t>der_emis</t>
  </si>
  <si>
    <t>IVA</t>
  </si>
  <si>
    <t>Prima</t>
  </si>
  <si>
    <t>CODIGO1</t>
  </si>
  <si>
    <t>VAS1</t>
  </si>
  <si>
    <t>Tipo_cob1</t>
  </si>
  <si>
    <t>TasaR1</t>
  </si>
  <si>
    <t>PrimaR1</t>
  </si>
  <si>
    <t>TasaC1</t>
  </si>
  <si>
    <t>PrimaNeta1</t>
  </si>
  <si>
    <t>der_emis1</t>
  </si>
  <si>
    <t>IVA1</t>
  </si>
  <si>
    <t>SCVS_usd1</t>
  </si>
  <si>
    <t>SSC_usd1</t>
  </si>
  <si>
    <t>PCFact1</t>
  </si>
  <si>
    <t>00058</t>
  </si>
  <si>
    <t>CODIGO2</t>
  </si>
  <si>
    <t>VAS2</t>
  </si>
  <si>
    <t>Tipo_cob2</t>
  </si>
  <si>
    <t>TasaR2</t>
  </si>
  <si>
    <t>PrimaR2</t>
  </si>
  <si>
    <t>TasaC2</t>
  </si>
  <si>
    <t>PrimaNeta2</t>
  </si>
  <si>
    <t>der_emis2</t>
  </si>
  <si>
    <t>IVA2</t>
  </si>
  <si>
    <t>SCVS_usd2</t>
  </si>
  <si>
    <t>SSC_usd2</t>
  </si>
  <si>
    <t>PCFact2</t>
  </si>
  <si>
    <t>00059</t>
  </si>
  <si>
    <t>CODIGO3</t>
  </si>
  <si>
    <t>VAS3</t>
  </si>
  <si>
    <t>Tipo_cob3</t>
  </si>
  <si>
    <t>TasaR3</t>
  </si>
  <si>
    <t>PrimaR3</t>
  </si>
  <si>
    <t>TasaC3</t>
  </si>
  <si>
    <t>PrimaNeta3</t>
  </si>
  <si>
    <t>der_emis3</t>
  </si>
  <si>
    <t>IVA3</t>
  </si>
  <si>
    <t>SCVS_usd3</t>
  </si>
  <si>
    <t>SSC_usd3</t>
  </si>
  <si>
    <t>PCFact3</t>
  </si>
  <si>
    <t>CODIGO4</t>
  </si>
  <si>
    <t>VAS4</t>
  </si>
  <si>
    <t>Tipo_cob4</t>
  </si>
  <si>
    <t>TasaR4</t>
  </si>
  <si>
    <t>PrimaR4</t>
  </si>
  <si>
    <t>TasaC4</t>
  </si>
  <si>
    <t>PrimaNeta4</t>
  </si>
  <si>
    <t>der_emis4</t>
  </si>
  <si>
    <t>IVA4</t>
  </si>
  <si>
    <t>SCVS_usd4</t>
  </si>
  <si>
    <t>SSC_usd4</t>
  </si>
  <si>
    <t>PCFact4</t>
  </si>
  <si>
    <t>CODIGO5</t>
  </si>
  <si>
    <t>VAS5</t>
  </si>
  <si>
    <t>Tipo_cob5</t>
  </si>
  <si>
    <t>TasaR5</t>
  </si>
  <si>
    <t>PrimaR5</t>
  </si>
  <si>
    <t>TasaC5</t>
  </si>
  <si>
    <t>PrimaNeta5</t>
  </si>
  <si>
    <t>der_emis5</t>
  </si>
  <si>
    <t>IVA5</t>
  </si>
  <si>
    <t>SCVS_usd5</t>
  </si>
  <si>
    <t>SSC_usd5</t>
  </si>
  <si>
    <t>PCFact5</t>
  </si>
  <si>
    <t>NOMBRE</t>
  </si>
  <si>
    <t>00062</t>
  </si>
  <si>
    <t>00061</t>
  </si>
  <si>
    <t>00060</t>
  </si>
  <si>
    <t>CODIGO6</t>
  </si>
  <si>
    <t>VAS6</t>
  </si>
  <si>
    <t>Tipo_cob6</t>
  </si>
  <si>
    <t>TasaR6</t>
  </si>
  <si>
    <t>PrimaR6</t>
  </si>
  <si>
    <t>TasaC6</t>
  </si>
  <si>
    <t>PrimaNeta6</t>
  </si>
  <si>
    <t>der_emis6</t>
  </si>
  <si>
    <t>IVA6</t>
  </si>
  <si>
    <t>SCVS_usd6</t>
  </si>
  <si>
    <t>SSC_usd6</t>
  </si>
  <si>
    <t>PCFact6</t>
  </si>
  <si>
    <t>CODIGO7</t>
  </si>
  <si>
    <t>VAS7</t>
  </si>
  <si>
    <t>Tipo_cob7</t>
  </si>
  <si>
    <t>TasaR7</t>
  </si>
  <si>
    <t>PrimaR7</t>
  </si>
  <si>
    <t>TasaC7</t>
  </si>
  <si>
    <t>PrimaNeta7</t>
  </si>
  <si>
    <t>der_emis7</t>
  </si>
  <si>
    <t>IVA7</t>
  </si>
  <si>
    <t>SCVS_usd7</t>
  </si>
  <si>
    <t>SSC_usd7</t>
  </si>
  <si>
    <t>PCFact7</t>
  </si>
  <si>
    <t>00063</t>
  </si>
  <si>
    <t>00064</t>
  </si>
  <si>
    <t>MUERTE POR CUALQUIER CAUSA</t>
  </si>
  <si>
    <t>P</t>
  </si>
  <si>
    <t>A</t>
  </si>
  <si>
    <t>0059M</t>
  </si>
  <si>
    <t>mu</t>
  </si>
  <si>
    <t>sigma</t>
  </si>
  <si>
    <t>dias</t>
  </si>
  <si>
    <t>PrimaRiesgo</t>
  </si>
  <si>
    <t>comi_ahorro</t>
  </si>
  <si>
    <t>SSC_por</t>
  </si>
  <si>
    <t>SCVS_por</t>
  </si>
  <si>
    <t>OUTPUT_ANUAL</t>
  </si>
  <si>
    <t>OUTPUT_COB_ANUAL</t>
  </si>
  <si>
    <t>VAS</t>
  </si>
  <si>
    <t>Tipo_cob</t>
  </si>
  <si>
    <t>TasaR</t>
  </si>
  <si>
    <t>PrimaR</t>
  </si>
  <si>
    <t>TasaC</t>
  </si>
  <si>
    <t>PrimaNeta</t>
  </si>
  <si>
    <t>SSC_usd</t>
  </si>
  <si>
    <t>PCFact</t>
  </si>
  <si>
    <t>exencion_prima Masc</t>
  </si>
  <si>
    <t>exencion_prima Fem</t>
  </si>
  <si>
    <t>exencion_prima Unisex</t>
  </si>
  <si>
    <t>0065H</t>
  </si>
  <si>
    <t>0065M</t>
  </si>
  <si>
    <t>0065U</t>
  </si>
  <si>
    <t>00065</t>
  </si>
  <si>
    <t>CODIGO8</t>
  </si>
  <si>
    <t>Exención pago de primas</t>
  </si>
  <si>
    <t>0065</t>
  </si>
  <si>
    <t>-</t>
  </si>
  <si>
    <t>VAS8</t>
  </si>
  <si>
    <t>Tipo_cob8</t>
  </si>
  <si>
    <t>TasaR8</t>
  </si>
  <si>
    <t>PrimaR8</t>
  </si>
  <si>
    <t>TasaC8</t>
  </si>
  <si>
    <t>PrimaNeta8</t>
  </si>
  <si>
    <t>der_emis8</t>
  </si>
  <si>
    <t>IVA8</t>
  </si>
  <si>
    <t>SCVS_usd8</t>
  </si>
  <si>
    <t>SSC_usd8</t>
  </si>
  <si>
    <t>PCFact8</t>
  </si>
  <si>
    <t>Exención de primas</t>
  </si>
  <si>
    <t>Valor Asegurado default</t>
  </si>
  <si>
    <t>Tabla consolidada</t>
  </si>
  <si>
    <t>Tabla por cobertura</t>
  </si>
  <si>
    <t>AÑO</t>
  </si>
  <si>
    <t>Edad T</t>
  </si>
  <si>
    <t>Nro Cuota</t>
  </si>
  <si>
    <t>Edad Máxima tabla</t>
  </si>
  <si>
    <t>Cuenta G</t>
  </si>
  <si>
    <t>Cuenta P</t>
  </si>
  <si>
    <t>Rescate G</t>
  </si>
  <si>
    <t>Rescate P</t>
  </si>
  <si>
    <t>Exención de Primas</t>
  </si>
  <si>
    <t>Ajuste por VA muerte</t>
  </si>
  <si>
    <t>Cuenta Garantizada</t>
  </si>
  <si>
    <t>Cuenta Proyectada</t>
  </si>
  <si>
    <t>Prima Anualizada</t>
  </si>
  <si>
    <t>Recargo por coberturas adicionales</t>
  </si>
  <si>
    <t>Proporción Prima</t>
  </si>
  <si>
    <t>PARÁMETROS</t>
  </si>
  <si>
    <t>% Cesión</t>
  </si>
  <si>
    <t>% Cesión año1</t>
  </si>
  <si>
    <t>Pura Beneficio Básico</t>
  </si>
  <si>
    <t>Pura otras coberturas</t>
  </si>
  <si>
    <t>Prima total cedida</t>
  </si>
  <si>
    <t>Prima Pura</t>
  </si>
  <si>
    <t>a</t>
  </si>
  <si>
    <t>b</t>
  </si>
  <si>
    <t>c</t>
  </si>
  <si>
    <t>Prima Total (seguro y ahorro</t>
  </si>
  <si>
    <t>Prima Comercial total</t>
  </si>
  <si>
    <t>e</t>
  </si>
  <si>
    <t>Porcentaje de recargos</t>
  </si>
  <si>
    <t>Recargos en USD</t>
  </si>
  <si>
    <t>Prima Comercial y Recargos</t>
  </si>
  <si>
    <t>Comisión por Seguro USD</t>
  </si>
  <si>
    <t>h</t>
  </si>
  <si>
    <t>Comisiones reales</t>
  </si>
  <si>
    <t>Comisiones amortizadas</t>
  </si>
  <si>
    <t>j</t>
  </si>
  <si>
    <t>Comisión de ahorro</t>
  </si>
  <si>
    <t>k</t>
  </si>
  <si>
    <t>Comisiones</t>
  </si>
  <si>
    <t>l</t>
  </si>
  <si>
    <t>Prima de facturación</t>
  </si>
  <si>
    <t>*i</t>
  </si>
  <si>
    <t>m</t>
  </si>
  <si>
    <t>Cuenta</t>
  </si>
  <si>
    <t>Rescate</t>
  </si>
  <si>
    <t>n</t>
  </si>
  <si>
    <t>o</t>
  </si>
  <si>
    <t>Remanente SDP</t>
  </si>
  <si>
    <t>Remanente SDP acumulado</t>
  </si>
  <si>
    <t>q</t>
  </si>
  <si>
    <t>Remanente SDP rescate</t>
  </si>
  <si>
    <t>Componente Ahorro</t>
  </si>
  <si>
    <t>s</t>
  </si>
  <si>
    <t>Devolución bróker</t>
  </si>
  <si>
    <t>Factor devolución bróker</t>
  </si>
  <si>
    <t>Remanente SDP rescate + devolución bróker</t>
  </si>
  <si>
    <t>% Cesión año2 en adelante</t>
  </si>
  <si>
    <t>Contribuciones</t>
  </si>
  <si>
    <t xml:space="preserve">Comisión Ahorro </t>
  </si>
  <si>
    <t>Comisión real</t>
  </si>
  <si>
    <t>Devolución bróke por cancelación</t>
  </si>
  <si>
    <t>t</t>
  </si>
  <si>
    <t>VA_comorig</t>
  </si>
  <si>
    <t>d=cesion*b+cesion*c</t>
  </si>
  <si>
    <t>f=1-(b+c)/e</t>
  </si>
  <si>
    <t>g=e-b-c</t>
  </si>
  <si>
    <t>p=a-m-d-(h-e)-i</t>
  </si>
  <si>
    <t>r=q+(n-o)</t>
  </si>
  <si>
    <t>u=r+t</t>
  </si>
  <si>
    <t>RRC No Anual</t>
  </si>
  <si>
    <t>% CP</t>
  </si>
  <si>
    <t>% ANUAL</t>
  </si>
  <si>
    <t>Prima Neta Retenida</t>
  </si>
  <si>
    <t>RRC Anual</t>
  </si>
  <si>
    <t>Reserva de Riesgos en Curso</t>
  </si>
  <si>
    <t>PARÁMETROS RRC</t>
  </si>
  <si>
    <t>enf_terminal</t>
  </si>
  <si>
    <t>0066</t>
  </si>
  <si>
    <t>Enfermedad Terminal</t>
  </si>
  <si>
    <t>00066</t>
  </si>
  <si>
    <t>Enfermedad terminal</t>
  </si>
  <si>
    <t>Tipo_cob9</t>
  </si>
  <si>
    <t>TasaR9</t>
  </si>
  <si>
    <t>PrimaR9</t>
  </si>
  <si>
    <t>TasaC9</t>
  </si>
  <si>
    <t>PrimaNeta9</t>
  </si>
  <si>
    <t>der_emis9</t>
  </si>
  <si>
    <t>IVA9</t>
  </si>
  <si>
    <t>SCVS_usd9</t>
  </si>
  <si>
    <t>SSC_usd9</t>
  </si>
  <si>
    <t>PCFact9</t>
  </si>
  <si>
    <t>Recargar por coberturas</t>
  </si>
  <si>
    <t>Recargos máximos anuales</t>
  </si>
  <si>
    <t>(admin + utilidad), solo MPC</t>
  </si>
  <si>
    <t>PCNeta1</t>
  </si>
  <si>
    <t>ver si quitar post aprobación</t>
  </si>
  <si>
    <t>PCNetaRecFijos</t>
  </si>
  <si>
    <t>Antiguas</t>
  </si>
  <si>
    <t>Nuevas</t>
  </si>
  <si>
    <t>Tasas Enf. Terminales</t>
  </si>
  <si>
    <t>Recargos máximos fumador</t>
  </si>
  <si>
    <t>Recargos máximos no fumador</t>
  </si>
  <si>
    <t>Producto</t>
  </si>
  <si>
    <t>Escenario escogido</t>
  </si>
  <si>
    <t xml:space="preserve">Escenario </t>
  </si>
  <si>
    <t>Recargos maximos</t>
  </si>
  <si>
    <t>Recargos máximos anuales por año</t>
  </si>
  <si>
    <t>Años de recargos fijos (iguales al año anterior)</t>
  </si>
  <si>
    <t>Factor de ajuste por valor asegurado</t>
  </si>
  <si>
    <t>Escenario</t>
  </si>
  <si>
    <t>Tipo</t>
  </si>
  <si>
    <t>B</t>
  </si>
  <si>
    <t>PRIORI - PLAN AHORRO COLABORADORES</t>
  </si>
  <si>
    <t>Recargos totales años 11 en adelante</t>
  </si>
  <si>
    <t>Recargos totales años 1 a 10</t>
  </si>
  <si>
    <t>Comisión prima de seguro</t>
  </si>
  <si>
    <t>PRIORI - PLAN VIDA AHORRO</t>
  </si>
  <si>
    <t>Género</t>
  </si>
  <si>
    <t>RESCATES</t>
  </si>
  <si>
    <t>CUADRO RESUMEN PROYECCIÓN</t>
  </si>
  <si>
    <t>DATOS DEL CLIENTE</t>
  </si>
  <si>
    <t>Fecha de Cotización</t>
  </si>
  <si>
    <t>Edad Exacta</t>
  </si>
  <si>
    <t>Edad Alcanzada</t>
  </si>
  <si>
    <t>NOMBRE DEL CLIENTE:</t>
  </si>
  <si>
    <t>TELÉFONO CELULAR:</t>
  </si>
  <si>
    <t>CORREO ELECTRÓNICO:</t>
  </si>
  <si>
    <t>DECLARACIONES Y AUTORIZACIONES</t>
  </si>
  <si>
    <t>Asesorado por:</t>
  </si>
  <si>
    <t>Cargo*</t>
  </si>
  <si>
    <t>Teléfono*</t>
  </si>
  <si>
    <t>Firma*</t>
  </si>
  <si>
    <t>Beneficio por Muerte</t>
  </si>
  <si>
    <t>PRODUCTO PRIORI PLAN VIDA CON AHORRO-CRECIENTE</t>
  </si>
  <si>
    <t>Fecha de Cotización:</t>
  </si>
  <si>
    <t>Nombre del cliente</t>
  </si>
  <si>
    <t>Teléfono/Celular</t>
  </si>
  <si>
    <t>Fecha de nacimiento</t>
  </si>
  <si>
    <t>Correo electrónico</t>
  </si>
  <si>
    <t>COBERTURA DEL PRODUCTO</t>
  </si>
  <si>
    <t>Monto</t>
  </si>
  <si>
    <t>APORTE</t>
  </si>
  <si>
    <t>Frecuencia</t>
  </si>
  <si>
    <t>AHORRO</t>
  </si>
  <si>
    <t>Cuota</t>
  </si>
  <si>
    <t>20 años de aporte</t>
  </si>
  <si>
    <t>A los 65 años de edad</t>
  </si>
  <si>
    <t>Ahorro garantizado</t>
  </si>
  <si>
    <t>TABLA REFERENCIAL DE AHORRO</t>
  </si>
  <si>
    <t>3.5% Garantizado</t>
  </si>
  <si>
    <t>4% Proyectado</t>
  </si>
  <si>
    <t>Cuota Total</t>
  </si>
  <si>
    <t>Ahorro Disponible</t>
  </si>
  <si>
    <t>Condición fumador</t>
  </si>
  <si>
    <t>María Belén</t>
  </si>
  <si>
    <t>mgomez@seg-pichincha.com</t>
  </si>
  <si>
    <t>0991234567</t>
  </si>
  <si>
    <t>Propuesta válida a</t>
  </si>
  <si>
    <t>PROPUESTA VÁLIDA A :</t>
  </si>
  <si>
    <t>Cobertura principal</t>
  </si>
  <si>
    <t>Cobertura adicional</t>
  </si>
  <si>
    <t>Muerte por cualquier causa</t>
  </si>
  <si>
    <t>COTIZACIÓN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</si>
</sst>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(* #,##0.00_);_(* \(#,##0.00\);_(* &quot;-&quot;??_);_(@_)"/>
    <numFmt numFmtId="164" formatCode="&quot;$&quot;#,##0;[Red]&quot;$&quot;\-#,##0"/>
    <numFmt numFmtId="165" formatCode="_ &quot;$&quot;* #,##0.00_ ;_ &quot;$&quot;* \-#,##0.00_ ;_ &quot;$&quot;* &quot;-&quot;??_ ;_ @_ "/>
    <numFmt numFmtId="166" formatCode="_ * #,##0.00_ ;_ * \-#,##0.00_ ;_ * &quot;-&quot;??_ ;_ @_ "/>
    <numFmt numFmtId="167" formatCode="&quot;$&quot;#,##0"/>
    <numFmt numFmtId="168" formatCode="0.0%"/>
    <numFmt numFmtId="169" formatCode="0.000\‰"/>
    <numFmt numFmtId="170" formatCode="0.00000"/>
    <numFmt numFmtId="171" formatCode="0.0000%"/>
    <numFmt numFmtId="172" formatCode="&quot;$&quot;#,##0.00"/>
    <numFmt numFmtId="173" formatCode="0.000000%"/>
    <numFmt numFmtId="174" formatCode="0.0000000%"/>
    <numFmt numFmtId="175" formatCode="_ &quot;$&quot;* #,##0_ ;_ &quot;$&quot;* \-#,##0_ ;_ &quot;$&quot;* &quot;-&quot;??_ ;_ @_ "/>
    <numFmt numFmtId="176" formatCode="0.0000000"/>
    <numFmt numFmtId="177" formatCode="0.00000000"/>
    <numFmt numFmtId="178" formatCode="_ &quot;$&quot;* #,##0.000000_ ;_ &quot;$&quot;* \-#,##0.000000_ ;_ &quot;$&quot;* &quot;-&quot;??_ ;_ @_ "/>
    <numFmt numFmtId="179" formatCode="0.000000"/>
    <numFmt numFmtId="180" formatCode="0.0000"/>
    <numFmt numFmtId="181" formatCode="0.000%"/>
  </numFmts>
  <fonts count="3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10"/>
      <name val="Arial"/>
      <family val="2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b/>
      <vertAlign val="subscript"/>
      <sz val="8"/>
      <color rgb="FFFFFFFF"/>
      <name val="Arial"/>
      <family val="2"/>
    </font>
    <font>
      <sz val="8"/>
      <color rgb="FF000000"/>
      <name val="Arial"/>
      <family val="2"/>
    </font>
    <font>
      <b/>
      <vertAlign val="subscript"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  <scheme val="minor"/>
    </font>
    <font>
      <sz val="11"/>
      <color theme="2" tint="-0.1499984740745262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10"/>
      <color rgb="FFFF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i/>
      <sz val="9"/>
      <color theme="1"/>
      <name val="Calibri"/>
      <family val="2"/>
    </font>
    <font>
      <sz val="10"/>
      <color theme="5"/>
      <name val="Calibri"/>
      <family val="2"/>
    </font>
    <font>
      <sz val="14"/>
      <color rgb="FF001589"/>
      <name val="Calibri"/>
      <family val="2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theme="0"/>
      <name val="Calibri"/>
      <family val="2"/>
    </font>
    <font>
      <b/>
      <sz val="14"/>
      <color theme="0"/>
      <name val="Calibri"/>
      <family val="2"/>
    </font>
    <font>
      <sz val="14"/>
      <color theme="1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151F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061A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5E2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D416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1168B"/>
        <bgColor indexed="64"/>
      </patternFill>
    </fill>
    <fill>
      <patternFill patternType="solid">
        <fgColor rgb="FFE5E1E6"/>
        <bgColor indexed="64"/>
      </patternFill>
    </fill>
    <fill>
      <patternFill patternType="solid">
        <fgColor rgb="FFA6D4F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6038D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18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7" borderId="0" xfId="0" applyFont="1" applyFill="1" applyAlignment="1">
      <alignment vertical="center"/>
    </xf>
    <xf numFmtId="0" fontId="9" fillId="0" borderId="1" xfId="0" applyFont="1" applyBorder="1" applyAlignment="1">
      <alignment vertical="center"/>
    </xf>
    <xf numFmtId="170" fontId="5" fillId="0" borderId="1" xfId="0" applyNumberFormat="1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171" fontId="5" fillId="0" borderId="1" xfId="1" applyNumberFormat="1" applyFont="1" applyBorder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8" fontId="5" fillId="0" borderId="0" xfId="1" applyNumberFormat="1" applyFont="1" applyAlignment="1">
      <alignment vertical="center"/>
    </xf>
    <xf numFmtId="171" fontId="5" fillId="0" borderId="0" xfId="0" applyNumberFormat="1" applyFon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168" fontId="5" fillId="0" borderId="1" xfId="1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49" fontId="5" fillId="0" borderId="1" xfId="0" applyNumberFormat="1" applyFont="1" applyBorder="1" applyAlignment="1">
      <alignment vertical="center"/>
    </xf>
    <xf numFmtId="174" fontId="5" fillId="0" borderId="1" xfId="1" applyNumberFormat="1" applyFont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0" fontId="5" fillId="0" borderId="1" xfId="1" applyNumberFormat="1" applyFont="1" applyBorder="1" applyAlignment="1">
      <alignment horizontal="center" vertical="center"/>
    </xf>
    <xf numFmtId="171" fontId="5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 vertical="center"/>
    </xf>
    <xf numFmtId="0" fontId="6" fillId="2" borderId="0" xfId="2" applyFont="1" applyFill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8" fillId="3" borderId="6" xfId="0" applyFont="1" applyFill="1" applyBorder="1" applyAlignment="1">
      <alignment vertical="center" wrapText="1"/>
    </xf>
    <xf numFmtId="172" fontId="5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10" fontId="9" fillId="0" borderId="1" xfId="1" applyNumberFormat="1" applyFont="1" applyBorder="1" applyAlignment="1">
      <alignment vertical="center"/>
    </xf>
    <xf numFmtId="0" fontId="8" fillId="3" borderId="10" xfId="0" applyFont="1" applyFill="1" applyBorder="1" applyAlignment="1">
      <alignment vertical="center" wrapText="1"/>
    </xf>
    <xf numFmtId="171" fontId="5" fillId="0" borderId="1" xfId="1" applyNumberFormat="1" applyFont="1" applyBorder="1" applyAlignment="1">
      <alignment vertical="center"/>
    </xf>
    <xf numFmtId="171" fontId="5" fillId="9" borderId="1" xfId="0" applyNumberFormat="1" applyFont="1" applyFill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vertical="center"/>
    </xf>
    <xf numFmtId="171" fontId="11" fillId="0" borderId="1" xfId="0" applyNumberFormat="1" applyFont="1" applyBorder="1" applyAlignment="1">
      <alignment horizontal="center" vertical="center"/>
    </xf>
    <xf numFmtId="0" fontId="8" fillId="3" borderId="7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4" borderId="1" xfId="2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vertical="center"/>
    </xf>
    <xf numFmtId="173" fontId="5" fillId="0" borderId="1" xfId="1" applyNumberFormat="1" applyFont="1" applyBorder="1" applyAlignment="1">
      <alignment vertical="center"/>
    </xf>
    <xf numFmtId="172" fontId="5" fillId="7" borderId="1" xfId="0" applyNumberFormat="1" applyFont="1" applyFill="1" applyBorder="1" applyAlignment="1">
      <alignment vertical="center"/>
    </xf>
    <xf numFmtId="165" fontId="5" fillId="0" borderId="1" xfId="0" applyNumberFormat="1" applyFont="1" applyBorder="1" applyAlignment="1">
      <alignment vertical="center"/>
    </xf>
    <xf numFmtId="0" fontId="6" fillId="8" borderId="0" xfId="0" applyFont="1" applyFill="1" applyAlignment="1">
      <alignment horizontal="center" vertical="center"/>
    </xf>
    <xf numFmtId="169" fontId="6" fillId="2" borderId="0" xfId="2" applyNumberFormat="1" applyFont="1" applyFill="1" applyAlignment="1">
      <alignment horizontal="center" vertical="center" wrapText="1"/>
    </xf>
    <xf numFmtId="174" fontId="5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2" fontId="0" fillId="0" borderId="0" xfId="0" applyNumberFormat="1"/>
    <xf numFmtId="1" fontId="0" fillId="0" borderId="0" xfId="0" applyNumberFormat="1"/>
    <xf numFmtId="172" fontId="0" fillId="0" borderId="0" xfId="0" applyNumberFormat="1"/>
    <xf numFmtId="167" fontId="0" fillId="0" borderId="0" xfId="0" applyNumberFormat="1"/>
    <xf numFmtId="49" fontId="0" fillId="0" borderId="0" xfId="0" applyNumberFormat="1"/>
    <xf numFmtId="0" fontId="2" fillId="10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2" fillId="12" borderId="0" xfId="0" applyFont="1" applyFill="1" applyAlignment="1">
      <alignment vertical="center"/>
    </xf>
    <xf numFmtId="0" fontId="2" fillId="13" borderId="0" xfId="0" applyFont="1" applyFill="1" applyAlignment="1">
      <alignment vertical="center"/>
    </xf>
    <xf numFmtId="0" fontId="2" fillId="14" borderId="0" xfId="0" applyFont="1" applyFill="1" applyAlignment="1">
      <alignment vertical="center"/>
    </xf>
    <xf numFmtId="165" fontId="0" fillId="0" borderId="0" xfId="0" applyNumberFormat="1"/>
    <xf numFmtId="175" fontId="0" fillId="0" borderId="0" xfId="0" applyNumberFormat="1"/>
    <xf numFmtId="177" fontId="0" fillId="0" borderId="0" xfId="0" applyNumberFormat="1"/>
    <xf numFmtId="49" fontId="0" fillId="0" borderId="0" xfId="0" applyNumberFormat="1" applyAlignment="1">
      <alignment horizontal="center" vertical="center" wrapText="1"/>
    </xf>
    <xf numFmtId="178" fontId="0" fillId="0" borderId="0" xfId="0" applyNumberFormat="1"/>
    <xf numFmtId="0" fontId="16" fillId="0" borderId="0" xfId="0" applyFont="1"/>
    <xf numFmtId="168" fontId="0" fillId="0" borderId="0" xfId="1" applyNumberFormat="1" applyFont="1"/>
    <xf numFmtId="0" fontId="2" fillId="15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168" fontId="0" fillId="0" borderId="0" xfId="1" applyNumberFormat="1" applyFont="1" applyFill="1"/>
    <xf numFmtId="0" fontId="0" fillId="16" borderId="0" xfId="0" applyFill="1"/>
    <xf numFmtId="2" fontId="0" fillId="16" borderId="0" xfId="0" applyNumberFormat="1" applyFill="1"/>
    <xf numFmtId="165" fontId="0" fillId="16" borderId="0" xfId="0" applyNumberFormat="1" applyFill="1"/>
    <xf numFmtId="168" fontId="0" fillId="16" borderId="0" xfId="1" applyNumberFormat="1" applyFont="1" applyFill="1"/>
    <xf numFmtId="9" fontId="3" fillId="0" borderId="1" xfId="0" applyNumberFormat="1" applyFont="1" applyBorder="1" applyAlignment="1">
      <alignment horizontal="center" vertical="center"/>
    </xf>
    <xf numFmtId="9" fontId="0" fillId="0" borderId="0" xfId="0" applyNumberFormat="1"/>
    <xf numFmtId="0" fontId="2" fillId="11" borderId="0" xfId="0" applyFont="1" applyFill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0" fontId="2" fillId="13" borderId="0" xfId="0" applyFont="1" applyFill="1" applyAlignment="1">
      <alignment horizontal="center" vertical="center" wrapText="1"/>
    </xf>
    <xf numFmtId="0" fontId="2" fillId="13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2" fillId="17" borderId="0" xfId="0" applyFont="1" applyFill="1" applyAlignment="1">
      <alignment horizontal="center" vertical="center" wrapText="1"/>
    </xf>
    <xf numFmtId="181" fontId="5" fillId="0" borderId="0" xfId="1" applyNumberFormat="1" applyFont="1" applyAlignment="1">
      <alignment vertical="center"/>
    </xf>
    <xf numFmtId="180" fontId="5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172" fontId="0" fillId="0" borderId="0" xfId="1" applyNumberFormat="1" applyFont="1"/>
    <xf numFmtId="0" fontId="0" fillId="10" borderId="0" xfId="0" applyFill="1"/>
    <xf numFmtId="2" fontId="0" fillId="0" borderId="1" xfId="0" applyNumberFormat="1" applyBorder="1"/>
    <xf numFmtId="0" fontId="17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9" fontId="4" fillId="3" borderId="1" xfId="1" applyFont="1" applyFill="1" applyBorder="1" applyAlignment="1">
      <alignment horizontal="center" vertical="center"/>
    </xf>
    <xf numFmtId="0" fontId="0" fillId="0" borderId="0" xfId="0" quotePrefix="1" applyAlignment="1">
      <alignment horizontal="center"/>
    </xf>
    <xf numFmtId="0" fontId="2" fillId="18" borderId="0" xfId="0" applyFont="1" applyFill="1" applyAlignment="1">
      <alignment vertical="center"/>
    </xf>
    <xf numFmtId="172" fontId="0" fillId="16" borderId="0" xfId="0" applyNumberFormat="1" applyFill="1"/>
    <xf numFmtId="9" fontId="0" fillId="16" borderId="0" xfId="0" applyNumberFormat="1" applyFill="1"/>
    <xf numFmtId="172" fontId="0" fillId="16" borderId="0" xfId="1" applyNumberFormat="1" applyFont="1" applyFill="1"/>
    <xf numFmtId="0" fontId="0" fillId="0" borderId="1" xfId="0" applyBorder="1"/>
    <xf numFmtId="0" fontId="0" fillId="19" borderId="0" xfId="0" applyFill="1"/>
    <xf numFmtId="0" fontId="0" fillId="19" borderId="9" xfId="0" applyFill="1" applyBorder="1"/>
    <xf numFmtId="1" fontId="0" fillId="19" borderId="0" xfId="0" applyNumberFormat="1" applyFill="1"/>
    <xf numFmtId="0" fontId="0" fillId="20" borderId="0" xfId="0" applyFill="1"/>
    <xf numFmtId="0" fontId="0" fillId="20" borderId="9" xfId="0" applyFill="1" applyBorder="1"/>
    <xf numFmtId="0" fontId="0" fillId="21" borderId="0" xfId="0" applyFill="1"/>
    <xf numFmtId="0" fontId="0" fillId="21" borderId="9" xfId="0" applyFill="1" applyBorder="1"/>
    <xf numFmtId="0" fontId="0" fillId="22" borderId="0" xfId="0" applyFill="1"/>
    <xf numFmtId="0" fontId="0" fillId="22" borderId="9" xfId="0" applyFill="1" applyBorder="1"/>
    <xf numFmtId="0" fontId="0" fillId="7" borderId="0" xfId="0" applyFill="1"/>
    <xf numFmtId="0" fontId="0" fillId="7" borderId="9" xfId="0" applyFill="1" applyBorder="1"/>
    <xf numFmtId="0" fontId="18" fillId="0" borderId="0" xfId="0" applyFont="1"/>
    <xf numFmtId="167" fontId="5" fillId="0" borderId="0" xfId="4" applyNumberFormat="1" applyFont="1" applyAlignment="1">
      <alignment vertical="center"/>
    </xf>
    <xf numFmtId="165" fontId="0" fillId="0" borderId="0" xfId="4" applyFont="1" applyFill="1"/>
    <xf numFmtId="175" fontId="0" fillId="0" borderId="0" xfId="4" applyNumberFormat="1" applyFont="1" applyFill="1"/>
    <xf numFmtId="179" fontId="0" fillId="0" borderId="0" xfId="0" applyNumberFormat="1"/>
    <xf numFmtId="175" fontId="0" fillId="0" borderId="0" xfId="4" applyNumberFormat="1" applyFont="1" applyFill="1" applyAlignment="1">
      <alignment horizontal="left"/>
    </xf>
    <xf numFmtId="170" fontId="0" fillId="0" borderId="0" xfId="0" applyNumberFormat="1"/>
    <xf numFmtId="176" fontId="0" fillId="0" borderId="0" xfId="0" applyNumberFormat="1"/>
    <xf numFmtId="10" fontId="19" fillId="5" borderId="1" xfId="1" applyNumberFormat="1" applyFont="1" applyFill="1" applyBorder="1" applyAlignment="1" applyProtection="1">
      <alignment horizontal="center" vertical="center"/>
    </xf>
    <xf numFmtId="1" fontId="19" fillId="5" borderId="1" xfId="1" applyNumberFormat="1" applyFont="1" applyFill="1" applyBorder="1" applyAlignment="1" applyProtection="1">
      <alignment horizontal="center" vertical="center"/>
    </xf>
    <xf numFmtId="1" fontId="19" fillId="5" borderId="0" xfId="1" applyNumberFormat="1" applyFont="1" applyFill="1" applyBorder="1" applyAlignment="1" applyProtection="1">
      <alignment horizontal="center" vertical="center"/>
    </xf>
    <xf numFmtId="0" fontId="19" fillId="25" borderId="1" xfId="0" applyFont="1" applyFill="1" applyBorder="1" applyAlignment="1" applyProtection="1">
      <alignment horizontal="center" vertical="center"/>
      <protection locked="0"/>
    </xf>
    <xf numFmtId="14" fontId="19" fillId="25" borderId="1" xfId="0" applyNumberFormat="1" applyFont="1" applyFill="1" applyBorder="1" applyAlignment="1" applyProtection="1">
      <alignment horizontal="center" vertical="center"/>
      <protection locked="0"/>
    </xf>
    <xf numFmtId="167" fontId="19" fillId="25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/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horizontal="center"/>
    </xf>
    <xf numFmtId="0" fontId="23" fillId="24" borderId="1" xfId="0" applyFont="1" applyFill="1" applyBorder="1" applyAlignment="1">
      <alignment horizontal="center" vertical="center" wrapText="1"/>
    </xf>
    <xf numFmtId="1" fontId="19" fillId="0" borderId="1" xfId="0" applyNumberFormat="1" applyFont="1" applyBorder="1"/>
    <xf numFmtId="172" fontId="19" fillId="0" borderId="1" xfId="0" applyNumberFormat="1" applyFont="1" applyBorder="1"/>
    <xf numFmtId="0" fontId="19" fillId="0" borderId="1" xfId="0" applyFont="1" applyBorder="1"/>
    <xf numFmtId="2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72" fontId="19" fillId="0" borderId="1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/>
    </xf>
    <xf numFmtId="0" fontId="21" fillId="5" borderId="0" xfId="0" applyFont="1" applyFill="1" applyAlignment="1">
      <alignment horizontal="center" vertical="center"/>
    </xf>
    <xf numFmtId="0" fontId="24" fillId="0" borderId="0" xfId="0" applyFont="1"/>
    <xf numFmtId="0" fontId="20" fillId="23" borderId="12" xfId="0" applyFont="1" applyFill="1" applyBorder="1" applyAlignment="1">
      <alignment vertical="center"/>
    </xf>
    <xf numFmtId="0" fontId="20" fillId="23" borderId="13" xfId="0" applyFont="1" applyFill="1" applyBorder="1" applyAlignment="1">
      <alignment horizontal="center" vertical="center" wrapText="1"/>
    </xf>
    <xf numFmtId="49" fontId="21" fillId="0" borderId="0" xfId="0" applyNumberFormat="1" applyFont="1"/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167" fontId="19" fillId="5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167" fontId="19" fillId="5" borderId="0" xfId="0" applyNumberFormat="1" applyFont="1" applyFill="1" applyAlignment="1">
      <alignment horizontal="center" vertical="center"/>
    </xf>
    <xf numFmtId="0" fontId="19" fillId="5" borderId="3" xfId="0" applyFont="1" applyFill="1" applyBorder="1" applyAlignment="1">
      <alignment vertical="center"/>
    </xf>
    <xf numFmtId="0" fontId="19" fillId="5" borderId="5" xfId="0" applyFont="1" applyFill="1" applyBorder="1" applyAlignment="1">
      <alignment vertical="center"/>
    </xf>
    <xf numFmtId="0" fontId="19" fillId="0" borderId="8" xfId="0" applyFont="1" applyBorder="1"/>
    <xf numFmtId="10" fontId="19" fillId="25" borderId="1" xfId="0" applyNumberFormat="1" applyFont="1" applyFill="1" applyBorder="1" applyAlignment="1">
      <alignment vertical="center"/>
    </xf>
    <xf numFmtId="0" fontId="19" fillId="0" borderId="3" xfId="0" applyFont="1" applyBorder="1"/>
    <xf numFmtId="0" fontId="19" fillId="0" borderId="5" xfId="0" applyFont="1" applyBorder="1"/>
    <xf numFmtId="10" fontId="19" fillId="0" borderId="1" xfId="0" applyNumberFormat="1" applyFont="1" applyBorder="1" applyAlignment="1">
      <alignment vertical="center"/>
    </xf>
    <xf numFmtId="175" fontId="19" fillId="0" borderId="1" xfId="4" applyNumberFormat="1" applyFont="1" applyFill="1" applyBorder="1" applyAlignment="1" applyProtection="1">
      <alignment vertical="center"/>
    </xf>
    <xf numFmtId="0" fontId="19" fillId="0" borderId="1" xfId="4" applyNumberFormat="1" applyFont="1" applyFill="1" applyBorder="1" applyAlignment="1" applyProtection="1">
      <alignment vertical="center"/>
    </xf>
    <xf numFmtId="0" fontId="19" fillId="5" borderId="0" xfId="0" applyFont="1" applyFill="1" applyAlignment="1">
      <alignment vertical="center"/>
    </xf>
    <xf numFmtId="0" fontId="19" fillId="0" borderId="0" xfId="4" applyNumberFormat="1" applyFont="1" applyFill="1" applyBorder="1" applyAlignment="1" applyProtection="1">
      <alignment vertical="center"/>
    </xf>
    <xf numFmtId="168" fontId="19" fillId="0" borderId="1" xfId="0" applyNumberFormat="1" applyFont="1" applyBorder="1" applyAlignment="1">
      <alignment horizontal="right" vertical="center"/>
    </xf>
    <xf numFmtId="0" fontId="19" fillId="5" borderId="1" xfId="0" applyFont="1" applyFill="1" applyBorder="1" applyAlignment="1">
      <alignment horizontal="right" vertical="center"/>
    </xf>
    <xf numFmtId="0" fontId="19" fillId="0" borderId="1" xfId="0" applyFont="1" applyBorder="1" applyAlignment="1">
      <alignment horizontal="center"/>
    </xf>
    <xf numFmtId="9" fontId="19" fillId="0" borderId="1" xfId="1" applyFont="1" applyBorder="1" applyProtection="1"/>
    <xf numFmtId="10" fontId="19" fillId="0" borderId="1" xfId="1" applyNumberFormat="1" applyFont="1" applyFill="1" applyBorder="1" applyAlignment="1" applyProtection="1">
      <alignment vertical="center"/>
    </xf>
    <xf numFmtId="10" fontId="19" fillId="5" borderId="1" xfId="0" applyNumberFormat="1" applyFont="1" applyFill="1" applyBorder="1" applyAlignment="1">
      <alignment vertical="center"/>
    </xf>
    <xf numFmtId="10" fontId="19" fillId="3" borderId="1" xfId="1" applyNumberFormat="1" applyFont="1" applyFill="1" applyBorder="1" applyAlignment="1" applyProtection="1">
      <alignment vertical="center"/>
    </xf>
    <xf numFmtId="0" fontId="19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10" fontId="23" fillId="0" borderId="1" xfId="0" applyNumberFormat="1" applyFont="1" applyBorder="1" applyAlignment="1">
      <alignment vertical="center"/>
    </xf>
    <xf numFmtId="10" fontId="23" fillId="16" borderId="1" xfId="0" applyNumberFormat="1" applyFont="1" applyFill="1" applyBorder="1" applyAlignment="1">
      <alignment vertical="center"/>
    </xf>
    <xf numFmtId="10" fontId="23" fillId="3" borderId="1" xfId="1" applyNumberFormat="1" applyFont="1" applyFill="1" applyBorder="1" applyAlignment="1" applyProtection="1">
      <alignment vertical="center"/>
    </xf>
    <xf numFmtId="10" fontId="23" fillId="0" borderId="0" xfId="0" applyNumberFormat="1" applyFont="1" applyAlignment="1">
      <alignment vertical="center"/>
    </xf>
    <xf numFmtId="0" fontId="25" fillId="0" borderId="0" xfId="0" applyFont="1"/>
    <xf numFmtId="0" fontId="23" fillId="0" borderId="0" xfId="0" applyFont="1"/>
    <xf numFmtId="0" fontId="23" fillId="23" borderId="2" xfId="0" applyFont="1" applyFill="1" applyBorder="1" applyAlignment="1">
      <alignment vertical="center"/>
    </xf>
    <xf numFmtId="0" fontId="23" fillId="23" borderId="9" xfId="0" applyFont="1" applyFill="1" applyBorder="1" applyAlignment="1">
      <alignment vertical="center"/>
    </xf>
    <xf numFmtId="49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23" fillId="23" borderId="0" xfId="0" applyFont="1" applyFill="1" applyAlignment="1">
      <alignment vertical="center"/>
    </xf>
    <xf numFmtId="0" fontId="19" fillId="5" borderId="1" xfId="0" applyFont="1" applyFill="1" applyBorder="1" applyAlignment="1">
      <alignment vertical="center"/>
    </xf>
    <xf numFmtId="10" fontId="19" fillId="3" borderId="1" xfId="0" applyNumberFormat="1" applyFont="1" applyFill="1" applyBorder="1" applyAlignment="1">
      <alignment vertical="center"/>
    </xf>
    <xf numFmtId="49" fontId="19" fillId="0" borderId="0" xfId="0" applyNumberFormat="1" applyFont="1"/>
    <xf numFmtId="166" fontId="19" fillId="0" borderId="0" xfId="0" applyNumberFormat="1" applyFont="1" applyAlignment="1">
      <alignment vertical="center"/>
    </xf>
    <xf numFmtId="168" fontId="23" fillId="4" borderId="1" xfId="0" applyNumberFormat="1" applyFont="1" applyFill="1" applyBorder="1" applyAlignment="1">
      <alignment horizontal="center" vertical="center"/>
    </xf>
    <xf numFmtId="164" fontId="19" fillId="0" borderId="0" xfId="0" applyNumberFormat="1" applyFont="1"/>
    <xf numFmtId="164" fontId="19" fillId="0" borderId="0" xfId="0" applyNumberFormat="1" applyFont="1" applyAlignment="1">
      <alignment horizontal="center"/>
    </xf>
    <xf numFmtId="164" fontId="19" fillId="0" borderId="14" xfId="0" applyNumberFormat="1" applyFont="1" applyBorder="1" applyAlignment="1">
      <alignment horizontal="center"/>
    </xf>
    <xf numFmtId="164" fontId="19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/>
    </xf>
    <xf numFmtId="164" fontId="19" fillId="0" borderId="12" xfId="0" applyNumberFormat="1" applyFont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164" fontId="19" fillId="0" borderId="9" xfId="0" applyNumberFormat="1" applyFont="1" applyBorder="1" applyAlignment="1">
      <alignment horizontal="center"/>
    </xf>
    <xf numFmtId="164" fontId="19" fillId="0" borderId="15" xfId="0" applyNumberFormat="1" applyFont="1" applyBorder="1" applyAlignment="1">
      <alignment horizontal="center"/>
    </xf>
    <xf numFmtId="0" fontId="26" fillId="0" borderId="0" xfId="0" applyFont="1"/>
    <xf numFmtId="167" fontId="21" fillId="5" borderId="0" xfId="0" applyNumberFormat="1" applyFont="1" applyFill="1" applyAlignment="1">
      <alignment horizontal="center" vertical="center"/>
    </xf>
    <xf numFmtId="49" fontId="21" fillId="5" borderId="0" xfId="0" applyNumberFormat="1" applyFont="1" applyFill="1"/>
    <xf numFmtId="0" fontId="21" fillId="5" borderId="0" xfId="0" applyFont="1" applyFill="1" applyAlignment="1">
      <alignment vertical="center"/>
    </xf>
    <xf numFmtId="49" fontId="21" fillId="5" borderId="0" xfId="0" applyNumberFormat="1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3" fillId="0" borderId="1" xfId="0" applyFont="1" applyBorder="1" applyAlignment="1">
      <alignment vertical="center"/>
    </xf>
    <xf numFmtId="0" fontId="29" fillId="0" borderId="0" xfId="0" applyFont="1" applyAlignment="1">
      <alignment vertical="center"/>
    </xf>
    <xf numFmtId="14" fontId="19" fillId="0" borderId="0" xfId="0" applyNumberFormat="1" applyFont="1"/>
    <xf numFmtId="0" fontId="30" fillId="23" borderId="8" xfId="0" applyFont="1" applyFill="1" applyBorder="1" applyAlignment="1">
      <alignment vertical="center"/>
    </xf>
    <xf numFmtId="0" fontId="30" fillId="23" borderId="0" xfId="0" applyFont="1" applyFill="1" applyAlignment="1">
      <alignment vertical="center"/>
    </xf>
    <xf numFmtId="0" fontId="28" fillId="0" borderId="0" xfId="0" applyFont="1"/>
    <xf numFmtId="0" fontId="35" fillId="26" borderId="1" xfId="0" applyFont="1" applyFill="1" applyBorder="1" applyAlignment="1">
      <alignment vertical="center" wrapText="1"/>
    </xf>
    <xf numFmtId="0" fontId="35" fillId="26" borderId="1" xfId="0" applyFont="1" applyFill="1" applyBorder="1" applyAlignment="1">
      <alignment horizontal="left" vertical="center" wrapText="1"/>
    </xf>
    <xf numFmtId="0" fontId="35" fillId="0" borderId="1" xfId="0" applyFont="1" applyBorder="1" applyAlignment="1">
      <alignment vertical="center" wrapText="1"/>
    </xf>
    <xf numFmtId="0" fontId="35" fillId="0" borderId="1" xfId="0" applyFont="1" applyBorder="1" applyAlignment="1">
      <alignment horizontal="left" vertical="center" wrapText="1"/>
    </xf>
    <xf numFmtId="0" fontId="34" fillId="0" borderId="16" xfId="0" applyFont="1" applyBorder="1" applyAlignment="1">
      <alignment vertical="center" wrapText="1"/>
    </xf>
    <xf numFmtId="0" fontId="34" fillId="0" borderId="17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vertical="center" wrapText="1"/>
    </xf>
    <xf numFmtId="0" fontId="35" fillId="27" borderId="6" xfId="0" applyFont="1" applyFill="1" applyBorder="1" applyAlignment="1">
      <alignment horizontal="center" vertical="center"/>
    </xf>
    <xf numFmtId="0" fontId="31" fillId="23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19" fillId="5" borderId="1" xfId="0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/>
    </xf>
    <xf numFmtId="172" fontId="19" fillId="0" borderId="0" xfId="0" applyNumberFormat="1" applyFont="1"/>
    <xf numFmtId="0" fontId="19" fillId="0" borderId="1" xfId="0" applyFont="1" applyBorder="1" applyAlignment="1">
      <alignment horizontal="left" vertical="center"/>
    </xf>
    <xf numFmtId="0" fontId="20" fillId="23" borderId="0" xfId="0" applyFont="1" applyFill="1" applyAlignment="1" applyProtection="1">
      <alignment horizontal="center" vertical="center"/>
      <protection locked="0"/>
    </xf>
    <xf numFmtId="0" fontId="20" fillId="23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0" fillId="23" borderId="2" xfId="0" applyFont="1" applyFill="1" applyBorder="1" applyAlignment="1">
      <alignment horizontal="center" vertical="center"/>
    </xf>
    <xf numFmtId="0" fontId="20" fillId="23" borderId="9" xfId="0" applyFont="1" applyFill="1" applyBorder="1" applyAlignment="1">
      <alignment horizontal="center" vertical="center"/>
    </xf>
    <xf numFmtId="0" fontId="19" fillId="25" borderId="1" xfId="0" applyFont="1" applyFill="1" applyBorder="1" applyAlignment="1" applyProtection="1">
      <alignment horizontal="left"/>
      <protection locked="0"/>
    </xf>
    <xf numFmtId="0" fontId="19" fillId="25" borderId="1" xfId="0" quotePrefix="1" applyFont="1" applyFill="1" applyBorder="1" applyAlignment="1" applyProtection="1">
      <alignment horizontal="left"/>
      <protection locked="0"/>
    </xf>
    <xf numFmtId="14" fontId="19" fillId="25" borderId="3" xfId="0" applyNumberFormat="1" applyFont="1" applyFill="1" applyBorder="1" applyAlignment="1" applyProtection="1">
      <alignment horizontal="left" vertical="center"/>
      <protection locked="0"/>
    </xf>
    <xf numFmtId="14" fontId="19" fillId="25" borderId="5" xfId="0" applyNumberFormat="1" applyFont="1" applyFill="1" applyBorder="1" applyAlignment="1" applyProtection="1">
      <alignment horizontal="left" vertical="center"/>
      <protection locked="0"/>
    </xf>
    <xf numFmtId="0" fontId="23" fillId="4" borderId="1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23" borderId="3" xfId="0" applyFont="1" applyFill="1" applyBorder="1" applyAlignment="1">
      <alignment vertical="center"/>
    </xf>
    <xf numFmtId="0" fontId="20" fillId="23" borderId="4" xfId="0" applyFont="1" applyFill="1" applyBorder="1" applyAlignment="1">
      <alignment vertical="center"/>
    </xf>
    <xf numFmtId="0" fontId="19" fillId="25" borderId="9" xfId="0" applyFont="1" applyFill="1" applyBorder="1" applyAlignment="1" applyProtection="1">
      <alignment horizontal="left"/>
      <protection locked="0"/>
    </xf>
    <xf numFmtId="0" fontId="19" fillId="25" borderId="12" xfId="0" applyFont="1" applyFill="1" applyBorder="1" applyAlignment="1" applyProtection="1">
      <alignment horizontal="left"/>
      <protection locked="0"/>
    </xf>
    <xf numFmtId="0" fontId="19" fillId="25" borderId="0" xfId="0" applyFont="1" applyFill="1" applyAlignment="1" applyProtection="1">
      <alignment horizontal="left"/>
      <protection locked="0"/>
    </xf>
    <xf numFmtId="0" fontId="23" fillId="0" borderId="1" xfId="0" applyFont="1" applyBorder="1" applyAlignment="1">
      <alignment horizontal="left" vertical="center"/>
    </xf>
    <xf numFmtId="0" fontId="20" fillId="23" borderId="3" xfId="0" applyFont="1" applyFill="1" applyBorder="1" applyAlignment="1">
      <alignment horizontal="center" vertical="center"/>
    </xf>
    <xf numFmtId="0" fontId="20" fillId="23" borderId="4" xfId="0" applyFont="1" applyFill="1" applyBorder="1" applyAlignment="1">
      <alignment horizontal="center" vertical="center"/>
    </xf>
    <xf numFmtId="0" fontId="20" fillId="23" borderId="5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left" vertical="center"/>
    </xf>
    <xf numFmtId="0" fontId="20" fillId="5" borderId="0" xfId="0" applyFont="1" applyFill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5" fillId="27" borderId="6" xfId="0" applyFont="1" applyFill="1" applyBorder="1" applyAlignment="1">
      <alignment horizontal="center" vertical="center"/>
    </xf>
    <xf numFmtId="0" fontId="34" fillId="26" borderId="3" xfId="0" applyFont="1" applyFill="1" applyBorder="1" applyAlignment="1">
      <alignment horizontal="left" vertical="center" wrapText="1"/>
    </xf>
    <xf numFmtId="0" fontId="34" fillId="26" borderId="4" xfId="0" applyFont="1" applyFill="1" applyBorder="1" applyAlignment="1">
      <alignment horizontal="left" vertical="center" wrapText="1"/>
    </xf>
    <xf numFmtId="0" fontId="34" fillId="26" borderId="5" xfId="0" applyFont="1" applyFill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172" fontId="34" fillId="26" borderId="1" xfId="0" applyNumberFormat="1" applyFont="1" applyFill="1" applyBorder="1" applyAlignment="1">
      <alignment horizontal="center" vertical="center" wrapText="1"/>
    </xf>
    <xf numFmtId="172" fontId="34" fillId="0" borderId="3" xfId="0" applyNumberFormat="1" applyFont="1" applyBorder="1" applyAlignment="1">
      <alignment horizontal="center" vertical="center" wrapText="1"/>
    </xf>
    <xf numFmtId="172" fontId="34" fillId="0" borderId="4" xfId="0" applyNumberFormat="1" applyFont="1" applyBorder="1" applyAlignment="1">
      <alignment horizontal="center" vertical="center" wrapText="1"/>
    </xf>
    <xf numFmtId="172" fontId="34" fillId="0" borderId="5" xfId="0" applyNumberFormat="1" applyFont="1" applyBorder="1" applyAlignment="1">
      <alignment horizontal="center" vertical="center" wrapText="1"/>
    </xf>
    <xf numFmtId="14" fontId="34" fillId="0" borderId="3" xfId="0" applyNumberFormat="1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26" borderId="1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172" fontId="34" fillId="26" borderId="3" xfId="0" applyNumberFormat="1" applyFont="1" applyFill="1" applyBorder="1" applyAlignment="1">
      <alignment horizontal="center" vertical="center" wrapText="1"/>
    </xf>
    <xf numFmtId="172" fontId="34" fillId="26" borderId="4" xfId="0" applyNumberFormat="1" applyFont="1" applyFill="1" applyBorder="1" applyAlignment="1">
      <alignment horizontal="center" vertical="center" wrapText="1"/>
    </xf>
    <xf numFmtId="172" fontId="34" fillId="26" borderId="5" xfId="0" applyNumberFormat="1" applyFont="1" applyFill="1" applyBorder="1" applyAlignment="1">
      <alignment horizontal="center" vertical="center" wrapText="1"/>
    </xf>
    <xf numFmtId="0" fontId="19" fillId="0" borderId="9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2" fillId="17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9" fontId="6" fillId="2" borderId="6" xfId="2" applyNumberFormat="1" applyFont="1" applyFill="1" applyBorder="1" applyAlignment="1">
      <alignment horizontal="center" vertical="center" wrapText="1"/>
    </xf>
    <xf numFmtId="169" fontId="6" fillId="2" borderId="7" xfId="2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2" borderId="6" xfId="2" applyFont="1" applyFill="1" applyBorder="1" applyAlignment="1">
      <alignment horizontal="center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169" fontId="6" fillId="2" borderId="1" xfId="2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</cellXfs>
  <cellStyles count="5">
    <cellStyle name="Millares 2" xfId="3"/>
    <cellStyle name="Moneda" xfId="4" builtinId="4"/>
    <cellStyle name="Normal" xfId="0" builtinId="0"/>
    <cellStyle name="Normal 3" xfId="2"/>
    <cellStyle name="Porcentaje" xfId="1" builtinId="5"/>
  </cellStyles>
  <dxfs count="0"/>
  <tableStyles count="0" defaultTableStyle="TableStyleMedium2" defaultPivotStyle="PivotStyleLight16"/>
  <colors>
    <mruColors>
      <color rgb="FFA6D4F5"/>
      <color rgb="FFFD41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931833</xdr:colOff>
      <xdr:row>4</xdr:row>
      <xdr:rowOff>1947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7935AA-586B-C0DD-1D66-BE34AA23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322608" cy="487722"/>
        </a:xfrm>
        <a:prstGeom prst="rect">
          <a:avLst/>
        </a:prstGeom>
      </xdr:spPr>
    </xdr:pic>
    <xdr:clientData/>
  </xdr:twoCellAnchor>
  <xdr:twoCellAnchor editAs="oneCell">
    <xdr:from>
      <xdr:col>13</xdr:col>
      <xdr:colOff>971550</xdr:colOff>
      <xdr:row>1</xdr:row>
      <xdr:rowOff>19050</xdr:rowOff>
    </xdr:from>
    <xdr:to>
      <xdr:col>17</xdr:col>
      <xdr:colOff>71141</xdr:colOff>
      <xdr:row>4</xdr:row>
      <xdr:rowOff>2708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9567F8-ED3D-8C9E-846B-6058B5B6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180975"/>
          <a:ext cx="3176291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208</xdr:row>
      <xdr:rowOff>57150</xdr:rowOff>
    </xdr:from>
    <xdr:to>
      <xdr:col>17</xdr:col>
      <xdr:colOff>47625</xdr:colOff>
      <xdr:row>212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BC6E742-523E-25A9-C95B-3FBAA056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106150"/>
          <a:ext cx="1175385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201706</xdr:colOff>
      <xdr:row>125</xdr:row>
      <xdr:rowOff>11206</xdr:rowOff>
    </xdr:from>
    <xdr:to>
      <xdr:col>9</xdr:col>
      <xdr:colOff>1680</xdr:colOff>
      <xdr:row>156</xdr:row>
      <xdr:rowOff>44824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E094FEA-32F3-405B-B24D-C9B6F4EFE74E}"/>
            </a:ext>
          </a:extLst>
        </xdr:cNvPr>
        <xdr:cNvSpPr txBox="1"/>
      </xdr:nvSpPr>
      <xdr:spPr>
        <a:xfrm>
          <a:off x="201706" y="21123088"/>
          <a:ext cx="6019239" cy="4896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342900" lvl="0" indent="-342900" algn="just">
            <a:buFont typeface="Symbol" panose="05050102010706020507" pitchFamily="18" charset="2"/>
            <a:buChar char=""/>
          </a:pPr>
          <a:r>
            <a:rPr lang="es-EC" sz="1000">
              <a:solidFill>
                <a:schemeClr val="tx1"/>
              </a:solidFill>
              <a:effectLst/>
              <a:latin typeface="Calibri" panose="020F0502020204030204" pitchFamily="34" charset="0"/>
              <a:ea typeface="SimSun" panose="02010600030101010101" pitchFamily="2" charset="-122"/>
              <a:cs typeface="Calibri" panose="020F0502020204030204" pitchFamily="34" charset="0"/>
            </a:rPr>
            <a:t>El presente documento corresponde únicamente a una “Cotización Preliminar”; por lo tanto, las condiciones y la prima de este seguro individual pueden variar dependiendo varios factores del riesgo como: condición médica, estilo de vida, fecha de nacimiento, entre otros.</a:t>
          </a:r>
        </a:p>
        <a:p>
          <a:pPr marL="342900" lvl="0" indent="-342900" algn="just">
            <a:buFont typeface="Symbol" panose="05050102010706020507" pitchFamily="18" charset="2"/>
            <a:buChar char=""/>
          </a:pPr>
          <a:endParaRPr lang="es-EC" sz="1000">
            <a:solidFill>
              <a:schemeClr val="tx1"/>
            </a:solidFill>
            <a:effectLst/>
            <a:latin typeface="Calibri" panose="020F0502020204030204" pitchFamily="34" charset="0"/>
            <a:ea typeface="SimSun" panose="02010600030101010101" pitchFamily="2" charset="-122"/>
            <a:cs typeface="Calibri" panose="020F0502020204030204" pitchFamily="34" charset="0"/>
          </a:endParaRPr>
        </a:p>
        <a:p>
          <a:pPr marL="342900" lvl="0" indent="-342900" algn="just">
            <a:buFont typeface="Symbol" panose="05050102010706020507" pitchFamily="18" charset="2"/>
            <a:buChar char=""/>
          </a:pPr>
          <a:r>
            <a:rPr lang="es-EC" sz="1000">
              <a:solidFill>
                <a:schemeClr val="tx1"/>
              </a:solidFill>
              <a:effectLst/>
              <a:latin typeface="Calibri" panose="020F0502020204030204" pitchFamily="34" charset="0"/>
              <a:ea typeface="SimSun" panose="02010600030101010101" pitchFamily="2" charset="-122"/>
              <a:cs typeface="Calibri" panose="020F0502020204030204" pitchFamily="34" charset="0"/>
            </a:rPr>
            <a:t>Sin perjuicio de lo anterior, esta “Cotización Preliminar” tiene una validez de treinta (30) días calendario, contados desde la presente fecha; una vez superado este plazo, deberá solicitar una nueva cotización.</a:t>
          </a:r>
        </a:p>
        <a:p>
          <a:pPr marL="342900" lvl="0" indent="-342900" algn="just">
            <a:buFont typeface="Symbol" panose="05050102010706020507" pitchFamily="18" charset="2"/>
            <a:buChar char=""/>
          </a:pPr>
          <a:endParaRPr lang="es-EC" sz="1000">
            <a:solidFill>
              <a:schemeClr val="tx1"/>
            </a:solidFill>
            <a:effectLst/>
            <a:latin typeface="Calibri" panose="020F0502020204030204" pitchFamily="34" charset="0"/>
            <a:ea typeface="SimSun" panose="02010600030101010101" pitchFamily="2" charset="-122"/>
            <a:cs typeface="Calibri" panose="020F0502020204030204" pitchFamily="34" charset="0"/>
          </a:endParaRPr>
        </a:p>
        <a:p>
          <a:pPr marL="342900" lvl="0" indent="-342900" algn="just">
            <a:buFont typeface="Symbol" panose="05050102010706020507" pitchFamily="18" charset="2"/>
            <a:buChar char=""/>
          </a:pPr>
          <a:r>
            <a:rPr lang="es-EC" sz="1000">
              <a:solidFill>
                <a:schemeClr val="tx1"/>
              </a:solidFill>
              <a:effectLst/>
              <a:latin typeface="Calibri" panose="020F0502020204030204" pitchFamily="34" charset="0"/>
              <a:ea typeface="SimSun" panose="02010600030101010101" pitchFamily="2" charset="-122"/>
              <a:cs typeface="Calibri" panose="020F0502020204030204" pitchFamily="34" charset="0"/>
            </a:rPr>
            <a:t>El presente documento no significa aceptación del riesgo por parte de Seguros del Pichincha, la emisión de la póliza individual estará sujeta a verificación y análisis de la información entregada. En este sentido, Seguros del Pichincha S.A. se reserva el derecho de solicitar mayor documentación o información para realizar el análisis de asegurabilidad correspondiente.</a:t>
          </a:r>
        </a:p>
        <a:p>
          <a:pPr marL="342900" lvl="0" indent="-342900" algn="just">
            <a:buFont typeface="Symbol" panose="05050102010706020507" pitchFamily="18" charset="2"/>
            <a:buChar char=""/>
          </a:pPr>
          <a:endParaRPr lang="es-EC" sz="1000">
            <a:solidFill>
              <a:schemeClr val="tx1"/>
            </a:solidFill>
            <a:effectLst/>
            <a:latin typeface="Calibri" panose="020F0502020204030204" pitchFamily="34" charset="0"/>
            <a:ea typeface="SimSun" panose="02010600030101010101" pitchFamily="2" charset="-122"/>
            <a:cs typeface="Calibri" panose="020F0502020204030204" pitchFamily="34" charset="0"/>
          </a:endParaRPr>
        </a:p>
        <a:p>
          <a:pPr marL="342900" lvl="0" indent="-342900" algn="just">
            <a:buFont typeface="Symbol" panose="05050102010706020507" pitchFamily="18" charset="2"/>
            <a:buChar char=""/>
          </a:pPr>
          <a:r>
            <a:rPr lang="es-EC" sz="1000">
              <a:solidFill>
                <a:schemeClr val="tx1"/>
              </a:solidFill>
              <a:effectLst/>
              <a:latin typeface="Calibri" panose="020F0502020204030204" pitchFamily="34" charset="0"/>
              <a:ea typeface="SimSun" panose="02010600030101010101" pitchFamily="2" charset="-122"/>
              <a:cs typeface="Calibri" panose="020F0502020204030204" pitchFamily="34" charset="0"/>
            </a:rPr>
            <a:t>Autorizo a Seguros del Pichincha S.A. y a mi Asesor Productor de Seguros a utilizar, tratar, transferir y almacenar mi información personal proporcionada o cualquier información que sea de conocimiento público conforme a la ley, con el objetivo de contactarme, por medio de llamada telefónica, mensaje de texto vía telefónica, correo electrónico, correo directo u otro medio a fin de: formalizar e instrumentar el contrato de seguro, en caso de que el riesgo sea aceptado por Seguros del Pichincha y la relación comercial en caso de existir; así como, con fines publicitarios, comerciales de nuevos productos de la aseguradora; estadísticos y para efectuar estudios de perfil del consumidor. Esta autorización de tratamiento y conservación de datos personales se mantendrá vigente hasta el fin de la relacional contractual entre las partes y, posterior a ello por cinco (5) años más.</a:t>
          </a:r>
        </a:p>
        <a:p>
          <a:pPr marL="342900" lvl="0" indent="-342900" algn="just">
            <a:buFont typeface="Symbol" panose="05050102010706020507" pitchFamily="18" charset="2"/>
            <a:buChar char=""/>
          </a:pPr>
          <a:endParaRPr lang="es-EC" sz="1000">
            <a:solidFill>
              <a:schemeClr val="tx1"/>
            </a:solidFill>
            <a:effectLst/>
            <a:latin typeface="Calibri" panose="020F0502020204030204" pitchFamily="34" charset="0"/>
            <a:ea typeface="SimSun" panose="02010600030101010101" pitchFamily="2" charset="-122"/>
            <a:cs typeface="Calibri" panose="020F0502020204030204" pitchFamily="34" charset="0"/>
          </a:endParaRPr>
        </a:p>
        <a:p>
          <a:r>
            <a:rPr lang="es-EC" sz="1000">
              <a:solidFill>
                <a:schemeClr val="tx1"/>
              </a:solidFill>
              <a:effectLst/>
              <a:latin typeface="Calibri" panose="020F0502020204030204" pitchFamily="34" charset="0"/>
              <a:ea typeface="SimSun" panose="02010600030101010101" pitchFamily="2" charset="-122"/>
              <a:cs typeface="Calibri" panose="020F0502020204030204" pitchFamily="34" charset="0"/>
            </a:rPr>
            <a:t> </a:t>
          </a:r>
        </a:p>
        <a:p>
          <a:r>
            <a:rPr lang="es-EC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Para</a:t>
          </a:r>
          <a:r>
            <a:rPr lang="es-EC" sz="10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 cualquier inquietud o ayuda que requieras por favor contáctate con tu asesor o a nuestros canales de atención. </a:t>
          </a:r>
          <a:endParaRPr lang="es-EC" sz="1000">
            <a:solidFill>
              <a:schemeClr val="tx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endParaRPr lang="es-EC" sz="1100"/>
        </a:p>
        <a:p>
          <a:endParaRPr lang="es-EC" sz="1100"/>
        </a:p>
        <a:p>
          <a:endParaRPr lang="es-EC" sz="1100"/>
        </a:p>
        <a:p>
          <a:endParaRPr lang="es-EC" sz="1100"/>
        </a:p>
        <a:p>
          <a:endParaRPr lang="es-EC" sz="1100"/>
        </a:p>
        <a:p>
          <a:endParaRPr lang="es-EC" sz="1100"/>
        </a:p>
        <a:p>
          <a:endParaRPr lang="es-EC" sz="1100"/>
        </a:p>
        <a:p>
          <a:endParaRPr lang="es-EC" sz="1100"/>
        </a:p>
      </xdr:txBody>
    </xdr:sp>
    <xdr:clientData/>
  </xdr:twoCellAnchor>
  <xdr:twoCellAnchor editAs="oneCell">
    <xdr:from>
      <xdr:col>0</xdr:col>
      <xdr:colOff>212911</xdr:colOff>
      <xdr:row>1</xdr:row>
      <xdr:rowOff>0</xdr:rowOff>
    </xdr:from>
    <xdr:to>
      <xdr:col>4</xdr:col>
      <xdr:colOff>111855</xdr:colOff>
      <xdr:row>3</xdr:row>
      <xdr:rowOff>56143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9B26BD-3F35-0641-FAB8-DE2F32F7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1" y="156882"/>
          <a:ext cx="2520000" cy="369908"/>
        </a:xfrm>
        <a:prstGeom prst="rect">
          <a:avLst/>
        </a:prstGeom>
      </xdr:spPr>
    </xdr:pic>
    <xdr:clientData/>
  </xdr:twoCellAnchor>
  <xdr:twoCellAnchor editAs="oneCell">
    <xdr:from>
      <xdr:col>5</xdr:col>
      <xdr:colOff>218681</xdr:colOff>
      <xdr:row>1</xdr:row>
      <xdr:rowOff>3</xdr:rowOff>
    </xdr:from>
    <xdr:to>
      <xdr:col>8</xdr:col>
      <xdr:colOff>442036</xdr:colOff>
      <xdr:row>3</xdr:row>
      <xdr:rowOff>58674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5C0CC88-B64F-3302-7174-2DB2EBCE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506" y="161928"/>
          <a:ext cx="2518880" cy="3825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4</xdr:col>
      <xdr:colOff>111856</xdr:colOff>
      <xdr:row>59</xdr:row>
      <xdr:rowOff>56143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5A577F3-A153-48C1-886E-035D0CA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0242176"/>
          <a:ext cx="2520000" cy="369908"/>
        </a:xfrm>
        <a:prstGeom prst="rect">
          <a:avLst/>
        </a:prstGeom>
      </xdr:spPr>
    </xdr:pic>
    <xdr:clientData/>
  </xdr:twoCellAnchor>
  <xdr:twoCellAnchor editAs="oneCell">
    <xdr:from>
      <xdr:col>5</xdr:col>
      <xdr:colOff>190107</xdr:colOff>
      <xdr:row>57</xdr:row>
      <xdr:rowOff>3</xdr:rowOff>
    </xdr:from>
    <xdr:to>
      <xdr:col>8</xdr:col>
      <xdr:colOff>413462</xdr:colOff>
      <xdr:row>59</xdr:row>
      <xdr:rowOff>58674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61FA5A6-16F7-4429-9790-05D27666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932" y="10458453"/>
          <a:ext cx="2518880" cy="3825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4</xdr:col>
      <xdr:colOff>111856</xdr:colOff>
      <xdr:row>121</xdr:row>
      <xdr:rowOff>56143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C4977C2-AB22-412F-8F8D-A122390F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20148176"/>
          <a:ext cx="2520000" cy="369908"/>
        </a:xfrm>
        <a:prstGeom prst="rect">
          <a:avLst/>
        </a:prstGeom>
      </xdr:spPr>
    </xdr:pic>
    <xdr:clientData/>
  </xdr:twoCellAnchor>
  <xdr:twoCellAnchor editAs="oneCell">
    <xdr:from>
      <xdr:col>5</xdr:col>
      <xdr:colOff>199632</xdr:colOff>
      <xdr:row>119</xdr:row>
      <xdr:rowOff>3</xdr:rowOff>
    </xdr:from>
    <xdr:to>
      <xdr:col>8</xdr:col>
      <xdr:colOff>422987</xdr:colOff>
      <xdr:row>121</xdr:row>
      <xdr:rowOff>58674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78FB28-7C20-4D01-9558-D0C19B145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457" y="20878803"/>
          <a:ext cx="2518880" cy="38252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52</xdr:row>
      <xdr:rowOff>38102</xdr:rowOff>
    </xdr:from>
    <xdr:to>
      <xdr:col>8</xdr:col>
      <xdr:colOff>579675</xdr:colOff>
      <xdr:row>54</xdr:row>
      <xdr:rowOff>139015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DED2483-1C66-96C3-0565-1B6DC8AD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629777"/>
          <a:ext cx="6228000" cy="4247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114</xdr:row>
      <xdr:rowOff>57150</xdr:rowOff>
    </xdr:from>
    <xdr:to>
      <xdr:col>8</xdr:col>
      <xdr:colOff>579675</xdr:colOff>
      <xdr:row>116</xdr:row>
      <xdr:rowOff>158063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028268E-EB4C-4C14-8620-0468D60A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9907250"/>
          <a:ext cx="6228000" cy="4247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176</xdr:row>
      <xdr:rowOff>47625</xdr:rowOff>
    </xdr:from>
    <xdr:to>
      <xdr:col>8</xdr:col>
      <xdr:colOff>579675</xdr:colOff>
      <xdr:row>178</xdr:row>
      <xdr:rowOff>148538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A4E7EDC-7DBA-423D-AFC9-72685F6C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984700"/>
          <a:ext cx="6228000" cy="42476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ía Paez" id="{70D32950-4C34-4C09-BF94-DA0BE3F7713C}" userId="S::maria.paez@actuariac.onmicrosoft.com::9db8a4a1-0e23-44a6-a385-a29336199de9" providerId="AD"/>
</personList>
</file>

<file path=xl/theme/theme1.xml><?xml version="1.0" encoding="utf-8"?>
<a:theme xmlns:a="http://schemas.openxmlformats.org/drawingml/2006/main" name="Tema1">
  <a:themeElements>
    <a:clrScheme name="Personalizado 7">
      <a:dk1>
        <a:sysClr val="windowText" lastClr="000000"/>
      </a:dk1>
      <a:lt1>
        <a:sysClr val="window" lastClr="FFFFFF"/>
      </a:lt1>
      <a:dk2>
        <a:srgbClr val="3A3838"/>
      </a:dk2>
      <a:lt2>
        <a:srgbClr val="FFFFFF"/>
      </a:lt2>
      <a:accent1>
        <a:srgbClr val="151F47"/>
      </a:accent1>
      <a:accent2>
        <a:srgbClr val="DF5E2D"/>
      </a:accent2>
      <a:accent3>
        <a:srgbClr val="3061AA"/>
      </a:accent3>
      <a:accent4>
        <a:srgbClr val="3A3838"/>
      </a:accent4>
      <a:accent5>
        <a:srgbClr val="769ED8"/>
      </a:accent5>
      <a:accent6>
        <a:srgbClr val="EA9472"/>
      </a:accent6>
      <a:hlink>
        <a:srgbClr val="3061AA"/>
      </a:hlink>
      <a:folHlink>
        <a:srgbClr val="DF5E2D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Tema1" id="{519C684D-48FC-41A0-ABD1-7C417B3AF845}" vid="{0DBB3567-EBC5-430B-8ECE-F64410ED67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85" dT="2022-01-28T20:06:43.18" personId="{70D32950-4C34-4C09-BF94-DA0BE3F7713C}" id="{3953EDD0-3985-4687-8189-47027AE77276}">
    <text>No aplica límite de edad para Prima de cobertura adicional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6:R207"/>
  <sheetViews>
    <sheetView showGridLines="0" tabSelected="1" topLeftCell="A10" zoomScaleNormal="100" zoomScaleSheetLayoutView="55" zoomScalePageLayoutView="85" workbookViewId="0">
      <selection activeCell="N25" sqref="N25:Q25"/>
    </sheetView>
  </sheetViews>
  <sheetFormatPr baseColWidth="10" defaultColWidth="0" defaultRowHeight="13.8" x14ac:dyDescent="0.3"/>
  <cols>
    <col min="1" max="1" width="2.69921875" style="129" customWidth="1"/>
    <col min="2" max="2" width="18" style="129" customWidth="1"/>
    <col min="3" max="3" width="13.3984375" style="129" customWidth="1"/>
    <col min="4" max="4" width="21.19921875" style="129" customWidth="1"/>
    <col min="5" max="6" width="13.3984375" style="129" customWidth="1"/>
    <col min="7" max="10" width="11" style="129" hidden="1" customWidth="1"/>
    <col min="11" max="11" width="13.3984375" style="129" customWidth="1"/>
    <col min="12" max="12" width="2.59765625" style="129" bestFit="1" customWidth="1"/>
    <col min="13" max="13" width="4.3984375" style="129" bestFit="1" customWidth="1"/>
    <col min="14" max="17" width="13.3984375" style="129" customWidth="1"/>
    <col min="18" max="18" width="5" style="129" customWidth="1"/>
    <col min="19" max="16384" width="13.3984375" style="129" hidden="1"/>
  </cols>
  <sheetData>
    <row r="6" spans="1:18" ht="14.25" customHeight="1" x14ac:dyDescent="0.3">
      <c r="A6" s="234" t="s">
        <v>428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</row>
    <row r="8" spans="1:18" x14ac:dyDescent="0.3">
      <c r="B8" s="179" t="s">
        <v>432</v>
      </c>
      <c r="C8" s="241" t="s">
        <v>462</v>
      </c>
      <c r="D8" s="241"/>
    </row>
    <row r="9" spans="1:18" x14ac:dyDescent="0.3">
      <c r="B9" s="179" t="s">
        <v>433</v>
      </c>
      <c r="C9" s="242" t="s">
        <v>464</v>
      </c>
      <c r="D9" s="242"/>
    </row>
    <row r="10" spans="1:18" x14ac:dyDescent="0.3">
      <c r="B10" s="179" t="s">
        <v>434</v>
      </c>
      <c r="C10" s="241" t="s">
        <v>463</v>
      </c>
      <c r="D10" s="241"/>
    </row>
    <row r="11" spans="1:18" x14ac:dyDescent="0.3">
      <c r="B11" s="179" t="s">
        <v>466</v>
      </c>
      <c r="C11" s="243">
        <v>45189</v>
      </c>
      <c r="D11" s="244"/>
    </row>
    <row r="14" spans="1:18" x14ac:dyDescent="0.3">
      <c r="B14" s="235" t="s">
        <v>100</v>
      </c>
      <c r="C14" s="235"/>
      <c r="D14" s="235"/>
      <c r="E14" s="130"/>
      <c r="F14" s="130"/>
      <c r="G14" s="131"/>
      <c r="H14" s="131"/>
      <c r="I14" s="131"/>
      <c r="J14" s="131"/>
      <c r="K14" s="131"/>
      <c r="M14" s="239" t="s">
        <v>427</v>
      </c>
      <c r="N14" s="240"/>
      <c r="O14" s="240"/>
      <c r="P14" s="240"/>
      <c r="Q14" s="240"/>
    </row>
    <row r="15" spans="1:18" ht="27.6" x14ac:dyDescent="0.3">
      <c r="B15" s="236" t="s">
        <v>425</v>
      </c>
      <c r="C15" s="236"/>
      <c r="D15" s="126" t="s">
        <v>48</v>
      </c>
      <c r="E15" s="132" t="str">
        <f>+MID(sexo1,1,1)</f>
        <v>M</v>
      </c>
      <c r="F15" s="130"/>
      <c r="G15" s="131"/>
      <c r="H15" s="131"/>
      <c r="I15" s="131"/>
      <c r="J15" s="131"/>
      <c r="K15" s="131"/>
      <c r="M15" s="133" t="s">
        <v>3</v>
      </c>
      <c r="N15" s="133" t="s">
        <v>320</v>
      </c>
      <c r="O15" s="133" t="s">
        <v>318</v>
      </c>
      <c r="P15" s="133" t="s">
        <v>319</v>
      </c>
      <c r="Q15" s="133" t="s">
        <v>440</v>
      </c>
    </row>
    <row r="16" spans="1:18" x14ac:dyDescent="0.3">
      <c r="B16" s="237" t="s">
        <v>2</v>
      </c>
      <c r="C16" s="238"/>
      <c r="D16" s="126" t="s">
        <v>50</v>
      </c>
      <c r="E16" s="132" t="str">
        <f>+MID(fumador1,1,1)</f>
        <v>N</v>
      </c>
      <c r="F16" s="130"/>
      <c r="G16" s="131"/>
      <c r="H16" s="131"/>
      <c r="I16" s="131"/>
      <c r="J16" s="131"/>
      <c r="K16" s="131"/>
      <c r="L16" s="129">
        <v>1</v>
      </c>
      <c r="M16" s="134">
        <f>+IF(edad1+5&gt;65,"",edad1+1)</f>
        <v>41</v>
      </c>
      <c r="N16" s="135">
        <f t="shared" ref="N16:N47" si="0">+IF(M16="","",IF(M16&lt;$D$19,"",$D$23*frec))</f>
        <v>1128</v>
      </c>
      <c r="O16" s="135">
        <f>+IF(OR(M16&lt;$D$19,M16=""),"",VLOOKUP(L16*frec,'Tablas Servicio'!$C$42:$V$861,18,TRUE))</f>
        <v>0</v>
      </c>
      <c r="P16" s="135">
        <f>+IF(OR(M16&lt;$D$19,M16=""),"",VLOOKUP(L16*frec,'Tablas Servicio'!$C$42:$V$861,20,TRUE))</f>
        <v>0</v>
      </c>
      <c r="Q16" s="135">
        <f>+IF(OR(M16&lt;$D$19,M16=""),"",VLOOKUP(L16*frec,'Tablas Servicio'!$C$42:$V$861,17,TRUE)+$D$21)</f>
        <v>100752.97</v>
      </c>
    </row>
    <row r="17" spans="2:17" x14ac:dyDescent="0.3">
      <c r="B17" s="237" t="s">
        <v>429</v>
      </c>
      <c r="C17" s="238"/>
      <c r="D17" s="127">
        <v>44761</v>
      </c>
      <c r="E17" s="132"/>
      <c r="F17" s="130"/>
      <c r="G17" s="131"/>
      <c r="H17" s="131"/>
      <c r="I17" s="131"/>
      <c r="J17" s="131"/>
      <c r="K17" s="131"/>
      <c r="L17" s="129">
        <v>2</v>
      </c>
      <c r="M17" s="134">
        <f>+IF(M16="","",IF(M16+1&gt;65,"",M16+1))</f>
        <v>42</v>
      </c>
      <c r="N17" s="135">
        <f t="shared" si="0"/>
        <v>1128</v>
      </c>
      <c r="O17" s="135">
        <f>+IF(OR(M17&lt;$D$19,M17=""),"",VLOOKUP(L17*frec,'Tablas Servicio'!$C$42:$V$861,18,TRUE))</f>
        <v>0</v>
      </c>
      <c r="P17" s="135">
        <f>+IF(OR(M17&lt;$D$19,M17=""),"",VLOOKUP(L17*frec,'Tablas Servicio'!$C$42:$V$861,20,TRUE))</f>
        <v>0</v>
      </c>
      <c r="Q17" s="135">
        <f>+IF(OR(M17&lt;$D$19,M17=""),"",VLOOKUP(L17*frec,'Tablas Servicio'!$C$42:$V$861,17,TRUE)+$D$21)</f>
        <v>101510.94</v>
      </c>
    </row>
    <row r="18" spans="2:17" x14ac:dyDescent="0.3">
      <c r="B18" s="237" t="s">
        <v>101</v>
      </c>
      <c r="C18" s="238"/>
      <c r="D18" s="127">
        <v>30142</v>
      </c>
      <c r="E18" s="132"/>
      <c r="F18" s="130"/>
      <c r="G18" s="131"/>
      <c r="H18" s="131"/>
      <c r="I18" s="131"/>
      <c r="J18" s="131"/>
      <c r="K18" s="131"/>
      <c r="L18" s="129">
        <v>3</v>
      </c>
      <c r="M18" s="136">
        <f t="shared" ref="M18:M65" si="1">+IF(M17="","",IF(M17+1&gt;65,"",M17+1))</f>
        <v>43</v>
      </c>
      <c r="N18" s="135">
        <f t="shared" si="0"/>
        <v>1128</v>
      </c>
      <c r="O18" s="135">
        <f>+IF(OR(M18&lt;$D$19,M18=""),"",VLOOKUP(L18*frec,'Tablas Servicio'!$C$42:$V$861,18,TRUE))</f>
        <v>0</v>
      </c>
      <c r="P18" s="135">
        <f>+IF(OR(M18&lt;$D$19,M18=""),"",VLOOKUP(L18*frec,'Tablas Servicio'!$C$42:$V$861,20,TRUE))</f>
        <v>0</v>
      </c>
      <c r="Q18" s="135">
        <f>+IF(OR(M18&lt;$D$19,M18=""),"",VLOOKUP(L18*frec,'Tablas Servicio'!$C$42:$V$861,17,TRUE)+$D$21)</f>
        <v>102271.89</v>
      </c>
    </row>
    <row r="19" spans="2:17" x14ac:dyDescent="0.3">
      <c r="B19" s="237" t="s">
        <v>430</v>
      </c>
      <c r="C19" s="238"/>
      <c r="D19" s="137">
        <f>+ROUND((D17-D18)/365.25,2)</f>
        <v>40.020000000000003</v>
      </c>
      <c r="E19" s="132"/>
      <c r="F19" s="130"/>
      <c r="G19" s="131"/>
      <c r="H19" s="131"/>
      <c r="I19" s="131"/>
      <c r="J19" s="131"/>
      <c r="K19" s="131"/>
      <c r="L19" s="129">
        <v>4</v>
      </c>
      <c r="M19" s="136">
        <f t="shared" si="1"/>
        <v>44</v>
      </c>
      <c r="N19" s="135">
        <f t="shared" si="0"/>
        <v>1128</v>
      </c>
      <c r="O19" s="135">
        <f>+IF(OR(M19&lt;$D$19,M19=""),"",VLOOKUP(L19*frec,'Tablas Servicio'!$C$42:$V$861,18,TRUE))</f>
        <v>607.14</v>
      </c>
      <c r="P19" s="135">
        <f>+IF(OR(M19&lt;$D$19,M19=""),"",VLOOKUP(L19*frec,'Tablas Servicio'!$C$42:$V$861,20,TRUE))</f>
        <v>613.44000000000005</v>
      </c>
      <c r="Q19" s="135">
        <f>+IF(OR(M19&lt;$D$19,M19=""),"",VLOOKUP(L19*frec,'Tablas Servicio'!$C$42:$V$861,17,TRUE)+$D$21)</f>
        <v>103035.7</v>
      </c>
    </row>
    <row r="20" spans="2:17" x14ac:dyDescent="0.3">
      <c r="B20" s="237" t="s">
        <v>431</v>
      </c>
      <c r="C20" s="238"/>
      <c r="D20" s="137">
        <f>+ROUNDDOWN((D17-D18)/365.25,0)</f>
        <v>40</v>
      </c>
      <c r="E20" s="132"/>
      <c r="F20" s="130"/>
      <c r="G20" s="131"/>
      <c r="H20" s="131"/>
      <c r="I20" s="131"/>
      <c r="J20" s="131"/>
      <c r="K20" s="131"/>
      <c r="L20" s="129">
        <v>5</v>
      </c>
      <c r="M20" s="136">
        <f t="shared" si="1"/>
        <v>45</v>
      </c>
      <c r="N20" s="135">
        <f t="shared" si="0"/>
        <v>1128</v>
      </c>
      <c r="O20" s="135">
        <f>+IF(OR(M20&lt;$D$19,M20=""),"",VLOOKUP(L20*frec,'Tablas Servicio'!$C$42:$V$861,18,TRUE))</f>
        <v>1521.94</v>
      </c>
      <c r="P20" s="135">
        <f>+IF(OR(M20&lt;$D$19,M20=""),"",VLOOKUP(L20*frec,'Tablas Servicio'!$C$42:$V$861,20,TRUE))</f>
        <v>1541.87</v>
      </c>
      <c r="Q20" s="135">
        <f>+IF(OR(M20&lt;$D$19,M20=""),"",VLOOKUP(L20*frec,'Tablas Servicio'!$C$42:$V$861,17,TRUE)+$D$21)</f>
        <v>103804.86</v>
      </c>
    </row>
    <row r="21" spans="2:17" x14ac:dyDescent="0.3">
      <c r="B21" s="237" t="s">
        <v>4</v>
      </c>
      <c r="C21" s="238"/>
      <c r="D21" s="128">
        <v>100000</v>
      </c>
      <c r="E21" s="132"/>
      <c r="F21" s="130"/>
      <c r="G21" s="131"/>
      <c r="H21" s="131"/>
      <c r="I21" s="131"/>
      <c r="J21" s="131"/>
      <c r="K21" s="131"/>
      <c r="L21" s="129">
        <v>6</v>
      </c>
      <c r="M21" s="136">
        <f t="shared" si="1"/>
        <v>46</v>
      </c>
      <c r="N21" s="135">
        <f t="shared" si="0"/>
        <v>1128</v>
      </c>
      <c r="O21" s="135">
        <f>+IF(OR(M21&lt;$D$19,M21=""),"",VLOOKUP(L21*frec,'Tablas Servicio'!$C$42:$V$861,18,TRUE))</f>
        <v>2749.3</v>
      </c>
      <c r="P21" s="135">
        <f>+IF(OR(M21&lt;$D$19,M21=""),"",VLOOKUP(L21*frec,'Tablas Servicio'!$C$42:$V$861,20,TRUE))</f>
        <v>2792.89</v>
      </c>
      <c r="Q21" s="135">
        <f>+IF(OR(M21&lt;$D$19,M21=""),"",VLOOKUP(L21*frec,'Tablas Servicio'!$C$42:$V$861,17,TRUE)+$D$21)</f>
        <v>104582.17</v>
      </c>
    </row>
    <row r="22" spans="2:17" x14ac:dyDescent="0.3">
      <c r="B22" s="237" t="s">
        <v>410</v>
      </c>
      <c r="C22" s="238"/>
      <c r="D22" s="138" t="str">
        <f>IF(D27=1,'TABLAS MORT'!V28,'TABLAS MORT'!V27)</f>
        <v>PRIORI - PLAN VIDA AHORRO</v>
      </c>
      <c r="E22" s="132" t="s">
        <v>317</v>
      </c>
      <c r="F22" s="130"/>
      <c r="G22" s="131"/>
      <c r="H22" s="131"/>
      <c r="I22" s="131"/>
      <c r="J22" s="131"/>
      <c r="K22" s="131"/>
      <c r="L22" s="129">
        <v>7</v>
      </c>
      <c r="M22" s="136">
        <f t="shared" si="1"/>
        <v>47</v>
      </c>
      <c r="N22" s="135">
        <f t="shared" si="0"/>
        <v>1128</v>
      </c>
      <c r="O22" s="135">
        <f>+IF(OR(M22&lt;$D$19,M22=""),"",VLOOKUP(L22*frec,'Tablas Servicio'!$C$42:$V$861,18,TRUE))</f>
        <v>4029.23</v>
      </c>
      <c r="P22" s="135">
        <f>+IF(OR(M22&lt;$D$19,M22=""),"",VLOOKUP(L22*frec,'Tablas Servicio'!$C$42:$V$861,20,TRUE))</f>
        <v>4104.3999999999996</v>
      </c>
      <c r="Q22" s="135">
        <f>+IF(OR(M22&lt;$D$19,M22=""),"",VLOOKUP(L22*frec,'Tablas Servicio'!$C$42:$V$861,17,TRUE)+$D$21)</f>
        <v>105372.31</v>
      </c>
    </row>
    <row r="23" spans="2:17" x14ac:dyDescent="0.3">
      <c r="B23" s="237" t="str">
        <f>+"Prima "&amp;D24</f>
        <v>Prima Mensual</v>
      </c>
      <c r="C23" s="238"/>
      <c r="D23" s="139">
        <f>+ROUND(VLOOKUP(edad1,PRIMAS!$A$5:$E$52,Parámetros!E24,FALSE)/E25*D95*(1+D93),2)</f>
        <v>94</v>
      </c>
      <c r="E23" s="132"/>
      <c r="F23" s="130"/>
      <c r="G23" s="131"/>
      <c r="H23" s="131"/>
      <c r="I23" s="131"/>
      <c r="J23" s="131"/>
      <c r="K23" s="131"/>
      <c r="L23" s="129">
        <v>8</v>
      </c>
      <c r="M23" s="136">
        <f t="shared" si="1"/>
        <v>48</v>
      </c>
      <c r="N23" s="135">
        <f t="shared" si="0"/>
        <v>1128</v>
      </c>
      <c r="O23" s="135">
        <f>+IF(OR(M23&lt;$D$19,M23=""),"",VLOOKUP(L23*frec,'Tablas Servicio'!$C$42:$V$861,18,TRUE))</f>
        <v>5249.35</v>
      </c>
      <c r="P23" s="135">
        <f>+IF(OR(M23&lt;$D$19,M23=""),"",VLOOKUP(L23*frec,'Tablas Servicio'!$C$42:$V$861,20,TRUE))</f>
        <v>5362.26</v>
      </c>
      <c r="Q23" s="135">
        <f>+IF(OR(M23&lt;$D$19,M23=""),"",VLOOKUP(L23*frec,'Tablas Servicio'!$C$42:$V$861,17,TRUE)+$D$21)</f>
        <v>106175.7</v>
      </c>
    </row>
    <row r="24" spans="2:17" x14ac:dyDescent="0.3">
      <c r="B24" s="237" t="s">
        <v>102</v>
      </c>
      <c r="C24" s="238"/>
      <c r="D24" s="126" t="s">
        <v>149</v>
      </c>
      <c r="E24" s="132">
        <f>+VLOOKUP(E15&amp;E16,'TABLAS MORT'!X16:Y19,2,FALSE)</f>
        <v>3</v>
      </c>
      <c r="F24" s="130"/>
      <c r="G24" s="131"/>
      <c r="H24" s="131"/>
      <c r="I24" s="131"/>
      <c r="J24" s="131"/>
      <c r="K24" s="131"/>
      <c r="L24" s="129">
        <v>9</v>
      </c>
      <c r="M24" s="136">
        <f t="shared" si="1"/>
        <v>49</v>
      </c>
      <c r="N24" s="135">
        <f t="shared" si="0"/>
        <v>1128</v>
      </c>
      <c r="O24" s="135">
        <f>+IF(OR(M24&lt;$D$19,M24=""),"",VLOOKUP(L24*frec,'Tablas Servicio'!$C$42:$V$861,18,TRUE))</f>
        <v>6640.75</v>
      </c>
      <c r="P24" s="135">
        <f>+IF(OR(M24&lt;$D$19,M24=""),"",VLOOKUP(L24*frec,'Tablas Servicio'!$C$42:$V$861,20,TRUE))</f>
        <v>6802.94</v>
      </c>
      <c r="Q24" s="135">
        <f>+IF(OR(M24&lt;$D$19,M24=""),"",VLOOKUP(L24*frec,'Tablas Servicio'!$C$42:$V$861,17,TRUE)+$D$21)</f>
        <v>106990.26</v>
      </c>
    </row>
    <row r="25" spans="2:17" x14ac:dyDescent="0.3">
      <c r="B25" s="236" t="s">
        <v>418</v>
      </c>
      <c r="C25" s="236"/>
      <c r="D25" s="228" t="s">
        <v>419</v>
      </c>
      <c r="E25" s="140">
        <f>+VLOOKUP(D24,'TABLAS ADI'!BB3:BE6,2,FALSE)</f>
        <v>12</v>
      </c>
      <c r="F25" s="130"/>
      <c r="G25" s="131"/>
      <c r="H25" s="131"/>
      <c r="I25" s="131"/>
      <c r="J25" s="131"/>
      <c r="K25" s="131"/>
      <c r="L25" s="129">
        <v>10</v>
      </c>
      <c r="M25" s="136">
        <f t="shared" si="1"/>
        <v>50</v>
      </c>
      <c r="N25" s="135">
        <f t="shared" si="0"/>
        <v>1128</v>
      </c>
      <c r="O25" s="135">
        <f>+IF(OR(M25&lt;$D$19,M25=""),"",VLOOKUP(L25*frec,'Tablas Servicio'!$C$42:$V$861,18,TRUE))</f>
        <v>7816.35</v>
      </c>
      <c r="P25" s="135">
        <f>+IF(OR(M25&lt;$D$19,M25=""),"",VLOOKUP(L25*frec,'Tablas Servicio'!$C$42:$V$861,20,TRUE))</f>
        <v>8030.53</v>
      </c>
      <c r="Q25" s="135">
        <f>+IF(OR(M25&lt;$D$19,M25=""),"",VLOOKUP(L25*frec,'Tablas Servicio'!$C$42:$V$861,17,TRUE)+$D$21)</f>
        <v>107816.35</v>
      </c>
    </row>
    <row r="26" spans="2:17" x14ac:dyDescent="0.3">
      <c r="B26" s="246" t="s">
        <v>407</v>
      </c>
      <c r="C26" s="246"/>
      <c r="D26" s="141" t="s">
        <v>406</v>
      </c>
      <c r="E26" s="130"/>
      <c r="F26" s="130"/>
      <c r="G26" s="131"/>
      <c r="H26" s="142"/>
      <c r="I26" s="142"/>
      <c r="J26" s="142"/>
      <c r="K26" s="142"/>
      <c r="L26" s="129">
        <v>11</v>
      </c>
      <c r="M26" s="136">
        <f t="shared" si="1"/>
        <v>51</v>
      </c>
      <c r="N26" s="135">
        <f t="shared" si="0"/>
        <v>1128</v>
      </c>
      <c r="O26" s="135">
        <f>+IF(OR(M26&lt;$D$19,M26=""),"",VLOOKUP(L26*frec,'Tablas Servicio'!$C$42:$V$861,18,TRUE))</f>
        <v>8783.2000000000007</v>
      </c>
      <c r="P26" s="135">
        <f>+IF(OR(M26&lt;$D$19,M26=""),"",VLOOKUP(L26*frec,'Tablas Servicio'!$C$42:$V$861,20,TRUE))</f>
        <v>9047.01</v>
      </c>
      <c r="Q26" s="135">
        <f>+IF(OR(M26&lt;$D$19,M26=""),"",VLOOKUP(L26*frec,'Tablas Servicio'!$C$42:$V$861,17,TRUE)+$D$21)</f>
        <v>108783.2</v>
      </c>
    </row>
    <row r="27" spans="2:17" x14ac:dyDescent="0.3">
      <c r="B27" s="246" t="s">
        <v>417</v>
      </c>
      <c r="C27" s="246"/>
      <c r="D27" s="141">
        <v>1</v>
      </c>
      <c r="E27" s="130"/>
      <c r="F27" s="130"/>
      <c r="G27" s="131"/>
      <c r="H27" s="142"/>
      <c r="I27" s="142"/>
      <c r="J27" s="142"/>
      <c r="K27" s="142"/>
      <c r="L27" s="129">
        <v>12</v>
      </c>
      <c r="M27" s="136">
        <f t="shared" si="1"/>
        <v>52</v>
      </c>
      <c r="N27" s="135">
        <f t="shared" si="0"/>
        <v>1128</v>
      </c>
      <c r="O27" s="135">
        <f>+IF(OR(M27&lt;$D$19,M27=""),"",VLOOKUP(L27*frec,'Tablas Servicio'!$C$42:$V$861,18,TRUE))</f>
        <v>9763.09</v>
      </c>
      <c r="P27" s="135">
        <f>+IF(OR(M27&lt;$D$19,M27=""),"",VLOOKUP(L27*frec,'Tablas Servicio'!$C$42:$V$861,20,TRUE))</f>
        <v>10083.27</v>
      </c>
      <c r="Q27" s="135">
        <f>+IF(OR(M27&lt;$D$19,M27=""),"",VLOOKUP(L27*frec,'Tablas Servicio'!$C$42:$V$861,17,TRUE)+$D$21)</f>
        <v>109763.09</v>
      </c>
    </row>
    <row r="28" spans="2:17" x14ac:dyDescent="0.3">
      <c r="E28" s="131"/>
      <c r="F28" s="131"/>
      <c r="G28" s="131"/>
      <c r="H28" s="142"/>
      <c r="I28" s="142"/>
      <c r="J28" s="142"/>
      <c r="K28" s="142"/>
      <c r="L28" s="129">
        <v>13</v>
      </c>
      <c r="M28" s="136">
        <f t="shared" si="1"/>
        <v>53</v>
      </c>
      <c r="N28" s="135">
        <f t="shared" si="0"/>
        <v>1128</v>
      </c>
      <c r="O28" s="135">
        <f>+IF(OR(M28&lt;$D$19,M28=""),"",VLOOKUP(L28*frec,'Tablas Servicio'!$C$42:$V$861,18,TRUE))</f>
        <v>10752.64</v>
      </c>
      <c r="P28" s="135">
        <f>+IF(OR(M28&lt;$D$19,M28=""),"",VLOOKUP(L28*frec,'Tablas Servicio'!$C$42:$V$861,20,TRUE))</f>
        <v>11136.3</v>
      </c>
      <c r="Q28" s="135">
        <f>+IF(OR(M28&lt;$D$19,M28=""),"",VLOOKUP(L28*frec,'Tablas Servicio'!$C$42:$V$861,17,TRUE)+$D$21)</f>
        <v>110752.64</v>
      </c>
    </row>
    <row r="29" spans="2:17" x14ac:dyDescent="0.3">
      <c r="B29" s="253" t="s">
        <v>426</v>
      </c>
      <c r="C29" s="254"/>
      <c r="D29" s="255"/>
      <c r="H29" s="182"/>
      <c r="I29" s="183"/>
      <c r="J29" s="202"/>
      <c r="K29" s="142"/>
      <c r="L29" s="129">
        <v>14</v>
      </c>
      <c r="M29" s="136">
        <f t="shared" si="1"/>
        <v>54</v>
      </c>
      <c r="N29" s="135">
        <f t="shared" si="0"/>
        <v>1128</v>
      </c>
      <c r="O29" s="135">
        <f>+IF(OR(M29&lt;$D$19,M29=""),"",VLOOKUP(L29*frec,'Tablas Servicio'!$C$42:$V$861,18,TRUE))</f>
        <v>11749.75</v>
      </c>
      <c r="P29" s="135">
        <f>+IF(OR(M29&lt;$D$19,M29=""),"",VLOOKUP(L29*frec,'Tablas Servicio'!$C$42:$V$861,20,TRUE))</f>
        <v>12204.32</v>
      </c>
      <c r="Q29" s="135">
        <f>+IF(OR(M29&lt;$D$19,M29=""),"",VLOOKUP(L29*frec,'Tablas Servicio'!$C$42:$V$861,17,TRUE)+$D$21)</f>
        <v>111749.75</v>
      </c>
    </row>
    <row r="30" spans="2:17" x14ac:dyDescent="0.3">
      <c r="B30" s="136" t="s">
        <v>27</v>
      </c>
      <c r="C30" s="167">
        <v>1</v>
      </c>
      <c r="D30" s="168">
        <v>0</v>
      </c>
      <c r="H30" s="182"/>
      <c r="I30" s="183"/>
      <c r="J30" s="202"/>
      <c r="K30" s="142"/>
      <c r="L30" s="129">
        <v>15</v>
      </c>
      <c r="M30" s="136">
        <f t="shared" si="1"/>
        <v>55</v>
      </c>
      <c r="N30" s="135">
        <f t="shared" si="0"/>
        <v>1128</v>
      </c>
      <c r="O30" s="135">
        <f>+IF(OR(M30&lt;$D$19,M30=""),"",VLOOKUP(L30*frec,'Tablas Servicio'!$C$42:$V$861,18,TRUE))</f>
        <v>12752.13</v>
      </c>
      <c r="P30" s="135">
        <f>+IF(OR(M30&lt;$D$19,M30=""),"",VLOOKUP(L30*frec,'Tablas Servicio'!$C$42:$V$861,20,TRUE))</f>
        <v>13285.35</v>
      </c>
      <c r="Q30" s="135">
        <f>+IF(OR(M30&lt;$D$19,M30=""),"",VLOOKUP(L30*frec,'Tablas Servicio'!$C$42:$V$861,17,TRUE)+$D$21)</f>
        <v>112752.13</v>
      </c>
    </row>
    <row r="31" spans="2:17" ht="14.25" customHeight="1" x14ac:dyDescent="0.3">
      <c r="B31" s="136" t="s">
        <v>27</v>
      </c>
      <c r="C31" s="167">
        <v>2</v>
      </c>
      <c r="D31" s="168">
        <v>0</v>
      </c>
      <c r="H31" s="182"/>
      <c r="I31" s="183"/>
      <c r="J31" s="202"/>
      <c r="K31" s="142"/>
      <c r="L31" s="129">
        <v>16</v>
      </c>
      <c r="M31" s="136">
        <f t="shared" si="1"/>
        <v>56</v>
      </c>
      <c r="N31" s="135">
        <f t="shared" si="0"/>
        <v>1128</v>
      </c>
      <c r="O31" s="135">
        <f>+IF(OR(M31&lt;$D$19,M31=""),"",VLOOKUP(L31*frec,'Tablas Servicio'!$C$42:$V$861,18,TRUE))</f>
        <v>13754.06</v>
      </c>
      <c r="P31" s="135">
        <f>+IF(OR(M31&lt;$D$19,M31=""),"",VLOOKUP(L31*frec,'Tablas Servicio'!$C$42:$V$861,20,TRUE))</f>
        <v>14374.01</v>
      </c>
      <c r="Q31" s="135">
        <f>+IF(OR(M31&lt;$D$19,M31=""),"",VLOOKUP(L31*frec,'Tablas Servicio'!$C$42:$V$861,17,TRUE)+$D$21)</f>
        <v>113754.06</v>
      </c>
    </row>
    <row r="32" spans="2:17" x14ac:dyDescent="0.3">
      <c r="B32" s="136" t="s">
        <v>27</v>
      </c>
      <c r="C32" s="167">
        <v>3</v>
      </c>
      <c r="D32" s="168">
        <v>0</v>
      </c>
      <c r="H32" s="182"/>
      <c r="I32" s="183"/>
      <c r="J32" s="202"/>
      <c r="K32" s="142"/>
      <c r="L32" s="129">
        <v>17</v>
      </c>
      <c r="M32" s="136">
        <f t="shared" si="1"/>
        <v>57</v>
      </c>
      <c r="N32" s="135">
        <f t="shared" si="0"/>
        <v>1128</v>
      </c>
      <c r="O32" s="135">
        <f>+IF(OR(M32&lt;$D$19,M32=""),"",VLOOKUP(L32*frec,'Tablas Servicio'!$C$42:$V$861,18,TRUE))</f>
        <v>14758.73</v>
      </c>
      <c r="P32" s="135">
        <f>+IF(OR(M32&lt;$D$19,M32=""),"",VLOOKUP(L32*frec,'Tablas Servicio'!$C$42:$V$861,20,TRUE))</f>
        <v>15473.8</v>
      </c>
      <c r="Q32" s="135">
        <f>+IF(OR(M32&lt;$D$19,M32=""),"",VLOOKUP(L32*frec,'Tablas Servicio'!$C$42:$V$861,17,TRUE)+$D$21)</f>
        <v>114758.73</v>
      </c>
    </row>
    <row r="33" spans="2:17" x14ac:dyDescent="0.3">
      <c r="B33" s="136" t="s">
        <v>27</v>
      </c>
      <c r="C33" s="167">
        <v>4</v>
      </c>
      <c r="D33" s="168">
        <v>0.2</v>
      </c>
      <c r="H33" s="182"/>
      <c r="I33" s="183"/>
      <c r="J33" s="202"/>
      <c r="K33" s="142"/>
      <c r="L33" s="129">
        <v>18</v>
      </c>
      <c r="M33" s="136">
        <f t="shared" si="1"/>
        <v>58</v>
      </c>
      <c r="N33" s="135">
        <f t="shared" si="0"/>
        <v>1128</v>
      </c>
      <c r="O33" s="135">
        <f>+IF(OR(M33&lt;$D$19,M33=""),"",VLOOKUP(L33*frec,'Tablas Servicio'!$C$42:$V$861,18,TRUE))</f>
        <v>15767.73</v>
      </c>
      <c r="P33" s="135">
        <f>+IF(OR(M33&lt;$D$19,M33=""),"",VLOOKUP(L33*frec,'Tablas Servicio'!$C$42:$V$861,20,TRUE))</f>
        <v>16586.61</v>
      </c>
      <c r="Q33" s="135">
        <f>+IF(OR(M33&lt;$D$19,M33=""),"",VLOOKUP(L33*frec,'Tablas Servicio'!$C$42:$V$861,17,TRUE)+$D$21)</f>
        <v>115767.73</v>
      </c>
    </row>
    <row r="34" spans="2:17" x14ac:dyDescent="0.3">
      <c r="B34" s="136" t="s">
        <v>27</v>
      </c>
      <c r="C34" s="167">
        <v>5</v>
      </c>
      <c r="D34" s="168">
        <v>0.4</v>
      </c>
      <c r="H34" s="182"/>
      <c r="I34" s="183"/>
      <c r="J34" s="202"/>
      <c r="K34" s="142"/>
      <c r="L34" s="129">
        <v>19</v>
      </c>
      <c r="M34" s="136">
        <f t="shared" si="1"/>
        <v>59</v>
      </c>
      <c r="N34" s="135">
        <f t="shared" si="0"/>
        <v>1128</v>
      </c>
      <c r="O34" s="135">
        <f>+IF(OR(M34&lt;$D$19,M34=""),"",VLOOKUP(L34*frec,'Tablas Servicio'!$C$42:$V$861,18,TRUE))</f>
        <v>16782.37</v>
      </c>
      <c r="P34" s="135">
        <f>+IF(OR(M34&lt;$D$19,M34=""),"",VLOOKUP(L34*frec,'Tablas Servicio'!$C$42:$V$861,20,TRUE))</f>
        <v>17714.2</v>
      </c>
      <c r="Q34" s="135">
        <f>+IF(OR(M34&lt;$D$19,M34=""),"",VLOOKUP(L34*frec,'Tablas Servicio'!$C$42:$V$861,17,TRUE)+$D$21)</f>
        <v>116782.37</v>
      </c>
    </row>
    <row r="35" spans="2:17" x14ac:dyDescent="0.3">
      <c r="B35" s="136" t="s">
        <v>27</v>
      </c>
      <c r="C35" s="167">
        <v>6</v>
      </c>
      <c r="D35" s="168">
        <v>0.6</v>
      </c>
      <c r="H35" s="182"/>
      <c r="I35" s="183"/>
      <c r="J35" s="202"/>
      <c r="K35" s="142"/>
      <c r="L35" s="129">
        <v>20</v>
      </c>
      <c r="M35" s="136">
        <f t="shared" si="1"/>
        <v>60</v>
      </c>
      <c r="N35" s="135">
        <f t="shared" si="0"/>
        <v>1128</v>
      </c>
      <c r="O35" s="135">
        <f>+IF(OR(M35&lt;$D$19,M35=""),"",VLOOKUP(L35*frec,'Tablas Servicio'!$C$42:$V$861,18,TRUE))</f>
        <v>17800.34</v>
      </c>
      <c r="P35" s="135">
        <f>+IF(OR(M35&lt;$D$19,M35=""),"",VLOOKUP(L35*frec,'Tablas Servicio'!$C$42:$V$861,20,TRUE))</f>
        <v>18854.59</v>
      </c>
      <c r="Q35" s="135">
        <f>+IF(OR(M35&lt;$D$19,M35=""),"",VLOOKUP(L35*frec,'Tablas Servicio'!$C$42:$V$861,17,TRUE)+$D$21)</f>
        <v>117800.34</v>
      </c>
    </row>
    <row r="36" spans="2:17" x14ac:dyDescent="0.3">
      <c r="B36" s="136" t="s">
        <v>27</v>
      </c>
      <c r="C36" s="167">
        <v>7</v>
      </c>
      <c r="D36" s="168">
        <v>0.75</v>
      </c>
      <c r="H36" s="182"/>
      <c r="I36" s="183"/>
      <c r="J36" s="202"/>
      <c r="K36" s="142"/>
      <c r="L36" s="129">
        <v>21</v>
      </c>
      <c r="M36" s="136">
        <f t="shared" si="1"/>
        <v>61</v>
      </c>
      <c r="N36" s="135">
        <f t="shared" si="0"/>
        <v>1128</v>
      </c>
      <c r="O36" s="135">
        <f>+IF(OR(M36&lt;$D$19,M36=""),"",VLOOKUP(L36*frec,'Tablas Servicio'!$C$42:$V$861,18,TRUE))</f>
        <v>18807.66</v>
      </c>
      <c r="P36" s="135">
        <f>+IF(OR(M36&lt;$D$19,M36=""),"",VLOOKUP(L36*frec,'Tablas Servicio'!$C$42:$V$861,20,TRUE))</f>
        <v>19994.16</v>
      </c>
      <c r="Q36" s="135">
        <f>+IF(OR(M36&lt;$D$19,M36=""),"",VLOOKUP(L36*frec,'Tablas Servicio'!$C$42:$V$861,17,TRUE)+$D$21)</f>
        <v>118807.66</v>
      </c>
    </row>
    <row r="37" spans="2:17" x14ac:dyDescent="0.3">
      <c r="B37" s="136" t="s">
        <v>27</v>
      </c>
      <c r="C37" s="167">
        <v>8</v>
      </c>
      <c r="D37" s="168">
        <v>0.85</v>
      </c>
      <c r="H37" s="182"/>
      <c r="I37" s="183"/>
      <c r="J37" s="202"/>
      <c r="K37" s="142"/>
      <c r="L37" s="129">
        <v>22</v>
      </c>
      <c r="M37" s="136">
        <f t="shared" si="1"/>
        <v>62</v>
      </c>
      <c r="N37" s="135">
        <f t="shared" si="0"/>
        <v>1128</v>
      </c>
      <c r="O37" s="135">
        <f>+IF(OR(M37&lt;$D$19,M37=""),"",VLOOKUP(L37*frec,'Tablas Servicio'!$C$42:$V$861,18,TRUE))</f>
        <v>19806.52</v>
      </c>
      <c r="P37" s="135">
        <f>+IF(OR(M37&lt;$D$19,M37=""),"",VLOOKUP(L37*frec,'Tablas Servicio'!$C$42:$V$861,20,TRUE))</f>
        <v>21135.49</v>
      </c>
      <c r="Q37" s="135">
        <f>+IF(OR(M37&lt;$D$19,M37=""),"",VLOOKUP(L37*frec,'Tablas Servicio'!$C$42:$V$861,17,TRUE)+$D$21)</f>
        <v>119806.52</v>
      </c>
    </row>
    <row r="38" spans="2:17" x14ac:dyDescent="0.3">
      <c r="B38" s="136" t="s">
        <v>27</v>
      </c>
      <c r="C38" s="167">
        <v>9</v>
      </c>
      <c r="D38" s="168">
        <v>0.95</v>
      </c>
      <c r="H38" s="182"/>
      <c r="I38" s="183"/>
      <c r="J38" s="202"/>
      <c r="K38" s="142"/>
      <c r="L38" s="129">
        <v>23</v>
      </c>
      <c r="M38" s="136">
        <f t="shared" si="1"/>
        <v>63</v>
      </c>
      <c r="N38" s="135">
        <f t="shared" si="0"/>
        <v>1128</v>
      </c>
      <c r="O38" s="135">
        <f>+IF(OR(M38&lt;$D$19,M38=""),"",VLOOKUP(L38*frec,'Tablas Servicio'!$C$42:$V$861,18,TRUE))</f>
        <v>20784.05</v>
      </c>
      <c r="P38" s="135">
        <f>+IF(OR(M38&lt;$D$19,M38=""),"",VLOOKUP(L38*frec,'Tablas Servicio'!$C$42:$V$861,20,TRUE))</f>
        <v>22266.01</v>
      </c>
      <c r="Q38" s="135">
        <f>+IF(OR(M38&lt;$D$19,M38=""),"",VLOOKUP(L38*frec,'Tablas Servicio'!$C$42:$V$861,17,TRUE)+$D$21)</f>
        <v>120784.05</v>
      </c>
    </row>
    <row r="39" spans="2:17" x14ac:dyDescent="0.3">
      <c r="B39" s="136" t="s">
        <v>27</v>
      </c>
      <c r="C39" s="167">
        <v>10</v>
      </c>
      <c r="D39" s="168">
        <v>1</v>
      </c>
      <c r="E39" s="151"/>
      <c r="F39" s="153"/>
      <c r="G39" s="145"/>
      <c r="H39" s="147"/>
      <c r="I39" s="146"/>
      <c r="J39" s="130"/>
      <c r="K39" s="142"/>
      <c r="L39" s="129">
        <v>24</v>
      </c>
      <c r="M39" s="136">
        <f t="shared" si="1"/>
        <v>64</v>
      </c>
      <c r="N39" s="135">
        <f t="shared" si="0"/>
        <v>1128</v>
      </c>
      <c r="O39" s="135">
        <f>+IF(OR(M39&lt;$D$19,M39=""),"",VLOOKUP(L39*frec,'Tablas Servicio'!$C$42:$V$861,18,TRUE))</f>
        <v>21726.81</v>
      </c>
      <c r="P39" s="135">
        <f>+IF(OR(M39&lt;$D$19,M39=""),"",VLOOKUP(L39*frec,'Tablas Servicio'!$C$42:$V$861,20,TRUE))</f>
        <v>23372.54</v>
      </c>
      <c r="Q39" s="135">
        <f>+IF(OR(M39&lt;$D$19,M39=""),"",VLOOKUP(L39*frec,'Tablas Servicio'!$C$42:$V$861,17,TRUE)+$D$21)</f>
        <v>121726.81</v>
      </c>
    </row>
    <row r="40" spans="2:17" x14ac:dyDescent="0.3">
      <c r="E40" s="151"/>
      <c r="F40" s="153"/>
      <c r="G40" s="145"/>
      <c r="H40" s="147"/>
      <c r="I40" s="146"/>
      <c r="L40" s="129">
        <v>25</v>
      </c>
      <c r="M40" s="136">
        <f t="shared" si="1"/>
        <v>65</v>
      </c>
      <c r="N40" s="135">
        <f t="shared" si="0"/>
        <v>1128</v>
      </c>
      <c r="O40" s="135">
        <f>+IF(OR(M40&lt;$D$19,M40=""),"",VLOOKUP(L40*frec,'Tablas Servicio'!$C$42:$V$861,18,TRUE))</f>
        <v>22619.41</v>
      </c>
      <c r="P40" s="135">
        <f>+IF(OR(M40&lt;$D$19,M40=""),"",VLOOKUP(L40*frec,'Tablas Servicio'!$C$42:$V$861,20,TRUE))</f>
        <v>24439.94</v>
      </c>
      <c r="Q40" s="135">
        <f>+IF(OR(M40&lt;$D$19,M40=""),"",VLOOKUP(L40*frec,'Tablas Servicio'!$C$42:$V$861,17,TRUE)+$D$21)</f>
        <v>122619.41</v>
      </c>
    </row>
    <row r="41" spans="2:17" x14ac:dyDescent="0.3">
      <c r="E41" s="151"/>
      <c r="F41" s="153"/>
      <c r="G41" s="145"/>
      <c r="H41" s="147"/>
      <c r="I41" s="146"/>
      <c r="L41" s="129">
        <v>26</v>
      </c>
      <c r="M41" s="136" t="str">
        <f>+IF(M40="","",IF(M40+1&gt;65,"",M40+1))</f>
        <v/>
      </c>
      <c r="N41" s="135" t="str">
        <f t="shared" si="0"/>
        <v/>
      </c>
      <c r="O41" s="135" t="str">
        <f>+IF(OR(M41&lt;$D$19,M41=""),"",VLOOKUP(L41*frec,'Tablas Servicio'!$C$42:$V$861,18,TRUE))</f>
        <v/>
      </c>
      <c r="P41" s="135" t="str">
        <f>+IF(OR(M41&lt;$D$19,M41=""),"",VLOOKUP(L41*frec,'Tablas Servicio'!$C$42:$V$861,20,TRUE))</f>
        <v/>
      </c>
      <c r="Q41" s="135" t="str">
        <f>+IF(OR(M41&lt;$D$19,M41=""),"",VLOOKUP(L41*frec,'Tablas Servicio'!$C$42:$V$861,17,TRUE)+$D$21)</f>
        <v/>
      </c>
    </row>
    <row r="42" spans="2:17" x14ac:dyDescent="0.3">
      <c r="E42" s="151"/>
      <c r="F42" s="153"/>
      <c r="G42" s="145"/>
      <c r="H42" s="147"/>
      <c r="I42" s="146"/>
      <c r="L42" s="129">
        <v>27</v>
      </c>
      <c r="M42" s="136" t="str">
        <f t="shared" si="1"/>
        <v/>
      </c>
      <c r="N42" s="135" t="str">
        <f t="shared" si="0"/>
        <v/>
      </c>
      <c r="O42" s="135" t="str">
        <f>+IF(OR(M42&lt;$D$19,M42=""),"",VLOOKUP(L42*frec,'Tablas Servicio'!$C$42:$V$861,18,TRUE))</f>
        <v/>
      </c>
      <c r="P42" s="135" t="str">
        <f>+IF(OR(M42&lt;$D$19,M42=""),"",VLOOKUP(L42*frec,'Tablas Servicio'!$C$42:$V$861,20,TRUE))</f>
        <v/>
      </c>
      <c r="Q42" s="135" t="str">
        <f>+IF(OR(M42&lt;$D$19,M42=""),"",VLOOKUP(L42*frec,'Tablas Servicio'!$C$42:$V$861,17,TRUE)+$D$21)</f>
        <v/>
      </c>
    </row>
    <row r="43" spans="2:17" x14ac:dyDescent="0.3">
      <c r="E43" s="151"/>
      <c r="F43" s="153"/>
      <c r="G43" s="145"/>
      <c r="H43" s="147"/>
      <c r="I43" s="146"/>
      <c r="L43" s="129">
        <v>28</v>
      </c>
      <c r="M43" s="136" t="str">
        <f t="shared" si="1"/>
        <v/>
      </c>
      <c r="N43" s="135" t="str">
        <f t="shared" si="0"/>
        <v/>
      </c>
      <c r="O43" s="135" t="str">
        <f>+IF(OR(M43&lt;$D$19,M43=""),"",VLOOKUP(L43*frec,'Tablas Servicio'!$C$42:$V$861,18,TRUE))</f>
        <v/>
      </c>
      <c r="P43" s="135" t="str">
        <f>+IF(OR(M43&lt;$D$19,M43=""),"",VLOOKUP(L43*frec,'Tablas Servicio'!$C$42:$V$861,20,TRUE))</f>
        <v/>
      </c>
      <c r="Q43" s="135" t="str">
        <f>+IF(OR(M43&lt;$D$19,M43=""),"",VLOOKUP(L43*frec,'Tablas Servicio'!$C$42:$V$861,17,TRUE)+$D$21)</f>
        <v/>
      </c>
    </row>
    <row r="44" spans="2:17" x14ac:dyDescent="0.3">
      <c r="B44" s="247" t="s">
        <v>41</v>
      </c>
      <c r="C44" s="248"/>
      <c r="D44" s="143"/>
      <c r="E44" s="143" t="s">
        <v>141</v>
      </c>
      <c r="F44" s="144" t="s">
        <v>42</v>
      </c>
      <c r="G44" s="130"/>
      <c r="H44" s="130" t="s">
        <v>151</v>
      </c>
      <c r="I44" s="130" t="s">
        <v>150</v>
      </c>
      <c r="J44" s="142"/>
      <c r="K44" s="142"/>
      <c r="L44" s="129">
        <v>29</v>
      </c>
      <c r="M44" s="136" t="str">
        <f t="shared" si="1"/>
        <v/>
      </c>
      <c r="N44" s="135" t="str">
        <f t="shared" si="0"/>
        <v/>
      </c>
      <c r="O44" s="135" t="str">
        <f>+IF(OR(M44&lt;$D$19,M44=""),"",VLOOKUP(L44*frec,'Tablas Servicio'!$C$42:$V$861,18,TRUE))</f>
        <v/>
      </c>
      <c r="P44" s="135" t="str">
        <f>+IF(OR(M44&lt;$D$19,M44=""),"",VLOOKUP(L44*frec,'Tablas Servicio'!$C$42:$V$861,20,TRUE))</f>
        <v/>
      </c>
      <c r="Q44" s="135" t="str">
        <f>+IF(OR(M44&lt;$D$19,M44=""),"",VLOOKUP(L44*frec,'Tablas Servicio'!$C$42:$V$861,17,TRUE)+$D$21)</f>
        <v/>
      </c>
    </row>
    <row r="45" spans="2:17" x14ac:dyDescent="0.3">
      <c r="B45" s="252" t="s">
        <v>386</v>
      </c>
      <c r="C45" s="252"/>
      <c r="D45" s="149" t="str">
        <f>+IF(D22='TABLAS MORT'!V28,"Si","No")</f>
        <v>Si</v>
      </c>
      <c r="E45" s="208" t="str">
        <f t="shared" ref="E45:E50" si="2">+"0"&amp;G45</f>
        <v>00066</v>
      </c>
      <c r="F45" s="150">
        <f>+D21/2</f>
        <v>50000</v>
      </c>
      <c r="G45" s="145" t="s">
        <v>385</v>
      </c>
      <c r="H45" s="147" t="str">
        <f>+G45</f>
        <v>0066</v>
      </c>
      <c r="I45" s="146">
        <f>+VLOOKUP(H45,'COBERTURAS ADICIONALES'!$AF$3:$AG$26,2,FALSE)</f>
        <v>24</v>
      </c>
      <c r="J45" s="131"/>
      <c r="K45" s="131"/>
      <c r="L45" s="129">
        <v>30</v>
      </c>
      <c r="M45" s="136" t="str">
        <f>+IF(M44="","",IF(M44+1&gt;65,"",M44+1))</f>
        <v/>
      </c>
      <c r="N45" s="135" t="str">
        <f t="shared" si="0"/>
        <v/>
      </c>
      <c r="O45" s="135" t="str">
        <f>+IF(OR(M45&lt;$D$19,M45=""),"",VLOOKUP(L45*frec,'Tablas Servicio'!$C$42:$V$861,18,TRUE))</f>
        <v/>
      </c>
      <c r="P45" s="135" t="str">
        <f>+IF(OR(M45&lt;$D$19,M45=""),"",VLOOKUP(L45*frec,'Tablas Servicio'!$C$42:$V$861,20,TRUE))</f>
        <v/>
      </c>
      <c r="Q45" s="135" t="str">
        <f>+IF(OR(M45&lt;$D$19,M45=""),"",VLOOKUP(L45*frec,'Tablas Servicio'!$C$42:$V$861,17,TRUE)+$D$21)</f>
        <v/>
      </c>
    </row>
    <row r="46" spans="2:17" x14ac:dyDescent="0.3">
      <c r="B46" s="260" t="s">
        <v>142</v>
      </c>
      <c r="C46" s="260"/>
      <c r="D46" s="141" t="s">
        <v>17</v>
      </c>
      <c r="E46" s="207" t="str">
        <f t="shared" si="2"/>
        <v>00059</v>
      </c>
      <c r="F46" s="203">
        <v>0</v>
      </c>
      <c r="G46" s="204" t="s">
        <v>135</v>
      </c>
      <c r="H46" s="205" t="str">
        <f>+G46&amp;$E$15</f>
        <v>0059M</v>
      </c>
      <c r="I46" s="205">
        <f>+VLOOKUP(H46,'COBERTURAS ADICIONALES'!$AF$3:$AG$26,2,FALSE)</f>
        <v>3</v>
      </c>
      <c r="J46" s="130"/>
      <c r="K46" s="131"/>
      <c r="L46" s="129">
        <v>31</v>
      </c>
      <c r="M46" s="136" t="str">
        <f t="shared" si="1"/>
        <v/>
      </c>
      <c r="N46" s="135" t="str">
        <f t="shared" si="0"/>
        <v/>
      </c>
      <c r="O46" s="135" t="str">
        <f>+IF(OR(M46&lt;$D$19,M46=""),"",VLOOKUP(L46*frec,'Tablas Servicio'!$C$42:$V$861,18,TRUE))</f>
        <v/>
      </c>
      <c r="P46" s="135" t="str">
        <f>+IF(OR(M46&lt;$D$19,M46=""),"",VLOOKUP(L46*frec,'Tablas Servicio'!$C$42:$V$861,20,TRUE))</f>
        <v/>
      </c>
      <c r="Q46" s="135" t="str">
        <f>+IF(OR(M46&lt;$D$19,M46=""),"",VLOOKUP(L46*frec,'Tablas Servicio'!$C$42:$V$861,17,TRUE)+$D$21)</f>
        <v/>
      </c>
    </row>
    <row r="47" spans="2:17" x14ac:dyDescent="0.3">
      <c r="B47" s="260" t="s">
        <v>6</v>
      </c>
      <c r="C47" s="260"/>
      <c r="D47" s="141" t="s">
        <v>17</v>
      </c>
      <c r="E47" s="207" t="str">
        <f t="shared" si="2"/>
        <v>00060</v>
      </c>
      <c r="F47" s="203">
        <v>0</v>
      </c>
      <c r="G47" s="204" t="s">
        <v>136</v>
      </c>
      <c r="H47" s="205" t="str">
        <f t="shared" ref="H47:H48" si="3">+G47&amp;$E$15&amp;$E$16</f>
        <v>0060MN</v>
      </c>
      <c r="I47" s="205">
        <f>+VLOOKUP(H47,'COBERTURAS ADICIONALES'!$AF$3:$AG$26,2,FALSE)</f>
        <v>8</v>
      </c>
      <c r="J47" s="130"/>
      <c r="K47" s="131"/>
      <c r="L47" s="129">
        <v>32</v>
      </c>
      <c r="M47" s="136" t="str">
        <f t="shared" si="1"/>
        <v/>
      </c>
      <c r="N47" s="135" t="str">
        <f t="shared" si="0"/>
        <v/>
      </c>
      <c r="O47" s="135" t="str">
        <f>+IF(OR(M47&lt;$D$19,M47=""),"",VLOOKUP(L47*frec,'Tablas Servicio'!$C$42:$V$861,18,TRUE))</f>
        <v/>
      </c>
      <c r="P47" s="135" t="str">
        <f>+IF(OR(M47&lt;$D$19,M47=""),"",VLOOKUP(L47*frec,'Tablas Servicio'!$C$42:$V$861,20,TRUE))</f>
        <v/>
      </c>
      <c r="Q47" s="135" t="str">
        <f>+IF(OR(M47&lt;$D$19,M47=""),"",VLOOKUP(L47*frec,'Tablas Servicio'!$C$42:$V$861,17,TRUE)+$D$21)</f>
        <v/>
      </c>
    </row>
    <row r="48" spans="2:17" x14ac:dyDescent="0.3">
      <c r="B48" s="260" t="s">
        <v>143</v>
      </c>
      <c r="C48" s="260"/>
      <c r="D48" s="141" t="s">
        <v>17</v>
      </c>
      <c r="E48" s="207" t="str">
        <f t="shared" si="2"/>
        <v>00061</v>
      </c>
      <c r="F48" s="203">
        <v>0</v>
      </c>
      <c r="G48" s="204" t="s">
        <v>137</v>
      </c>
      <c r="H48" s="205" t="str">
        <f t="shared" si="3"/>
        <v>0061MN</v>
      </c>
      <c r="I48" s="205">
        <f>+VLOOKUP(H48,'COBERTURAS ADICIONALES'!$AF$3:$AG$26,2,FALSE)</f>
        <v>14</v>
      </c>
      <c r="J48" s="130"/>
      <c r="K48" s="131"/>
      <c r="L48" s="129">
        <v>33</v>
      </c>
      <c r="M48" s="136" t="str">
        <f t="shared" si="1"/>
        <v/>
      </c>
      <c r="N48" s="135" t="str">
        <f t="shared" ref="N48:N65" si="4">+IF(M48="","",IF(M48&lt;$D$19,"",$D$23*frec))</f>
        <v/>
      </c>
      <c r="O48" s="135" t="str">
        <f>+IF(OR(M48&lt;$D$19,M48=""),"",VLOOKUP(L48*frec,'Tablas Servicio'!$C$42:$V$861,18,TRUE))</f>
        <v/>
      </c>
      <c r="P48" s="135" t="str">
        <f>+IF(OR(M48&lt;$D$19,M48=""),"",VLOOKUP(L48*frec,'Tablas Servicio'!$C$42:$V$861,20,TRUE))</f>
        <v/>
      </c>
      <c r="Q48" s="135" t="str">
        <f>+IF(OR(M48&lt;$D$19,M48=""),"",VLOOKUP(L48*frec,'Tablas Servicio'!$C$42:$V$861,17,TRUE)+$D$21)</f>
        <v/>
      </c>
    </row>
    <row r="49" spans="2:17" x14ac:dyDescent="0.3">
      <c r="B49" s="260" t="s">
        <v>144</v>
      </c>
      <c r="C49" s="260"/>
      <c r="D49" s="141" t="s">
        <v>17</v>
      </c>
      <c r="E49" s="207" t="str">
        <f t="shared" si="2"/>
        <v>00062</v>
      </c>
      <c r="F49" s="203">
        <v>0</v>
      </c>
      <c r="G49" s="204" t="s">
        <v>138</v>
      </c>
      <c r="H49" s="206" t="str">
        <f>+G49</f>
        <v>0062</v>
      </c>
      <c r="I49" s="205">
        <f>+VLOOKUP(H49,'COBERTURAS ADICIONALES'!$AF$3:$AG$26,2,FALSE)</f>
        <v>17</v>
      </c>
      <c r="J49" s="130"/>
      <c r="K49" s="131"/>
      <c r="L49" s="129">
        <v>34</v>
      </c>
      <c r="M49" s="136" t="str">
        <f t="shared" si="1"/>
        <v/>
      </c>
      <c r="N49" s="135" t="str">
        <f t="shared" si="4"/>
        <v/>
      </c>
      <c r="O49" s="135" t="str">
        <f>+IF(OR(M49&lt;$D$19,M49=""),"",VLOOKUP(L49*frec,'Tablas Servicio'!$C$42:$V$861,18,TRUE))</f>
        <v/>
      </c>
      <c r="P49" s="135" t="str">
        <f>+IF(OR(M49&lt;$D$19,M49=""),"",VLOOKUP(L49*frec,'Tablas Servicio'!$C$42:$V$861,20,TRUE))</f>
        <v/>
      </c>
      <c r="Q49" s="135" t="str">
        <f>+IF(OR(M49&lt;$D$19,M49=""),"",VLOOKUP(L49*frec,'Tablas Servicio'!$C$42:$V$861,17,TRUE)+$D$21)</f>
        <v/>
      </c>
    </row>
    <row r="50" spans="2:17" x14ac:dyDescent="0.3">
      <c r="B50" s="259" t="s">
        <v>145</v>
      </c>
      <c r="C50" s="259"/>
      <c r="D50" s="141" t="s">
        <v>17</v>
      </c>
      <c r="E50" s="259" t="str">
        <f t="shared" si="2"/>
        <v>00063</v>
      </c>
      <c r="F50" s="203">
        <v>0</v>
      </c>
      <c r="G50" s="204" t="s">
        <v>139</v>
      </c>
      <c r="H50" s="206" t="str">
        <f>+G50</f>
        <v>0063</v>
      </c>
      <c r="I50" s="205">
        <f>+VLOOKUP(H50,'COBERTURAS ADICIONALES'!$AF$3:$AG$26,2,FALSE)</f>
        <v>20</v>
      </c>
      <c r="J50" s="130"/>
      <c r="K50" s="131"/>
      <c r="L50" s="129">
        <v>35</v>
      </c>
      <c r="M50" s="136" t="str">
        <f t="shared" si="1"/>
        <v/>
      </c>
      <c r="N50" s="135" t="str">
        <f t="shared" si="4"/>
        <v/>
      </c>
      <c r="O50" s="135" t="str">
        <f>+IF(OR(M50&lt;$D$19,M50=""),"",VLOOKUP(L50*frec,'Tablas Servicio'!$C$42:$V$861,18,TRUE))</f>
        <v/>
      </c>
      <c r="P50" s="135" t="str">
        <f>+IF(OR(M50&lt;$D$19,M50=""),"",VLOOKUP(L50*frec,'Tablas Servicio'!$C$42:$V$861,20,TRUE))</f>
        <v/>
      </c>
      <c r="Q50" s="135" t="str">
        <f>+IF(OR(M50&lt;$D$19,M50=""),"",VLOOKUP(L50*frec,'Tablas Servicio'!$C$42:$V$861,17,TRUE)+$D$21)</f>
        <v/>
      </c>
    </row>
    <row r="51" spans="2:17" x14ac:dyDescent="0.3">
      <c r="B51" s="259"/>
      <c r="C51" s="259"/>
      <c r="D51" s="205" t="s">
        <v>146</v>
      </c>
      <c r="E51" s="259"/>
      <c r="F51" s="141">
        <v>10</v>
      </c>
      <c r="G51" s="204"/>
      <c r="H51" s="205"/>
      <c r="I51" s="205"/>
      <c r="J51" s="130"/>
      <c r="K51" s="131"/>
      <c r="L51" s="129">
        <v>36</v>
      </c>
      <c r="M51" s="136" t="str">
        <f t="shared" si="1"/>
        <v/>
      </c>
      <c r="N51" s="135" t="str">
        <f t="shared" si="4"/>
        <v/>
      </c>
      <c r="O51" s="135" t="str">
        <f>+IF(OR(M51&lt;$D$19,M51=""),"",VLOOKUP(L51*frec,'Tablas Servicio'!$C$42:$V$861,18,TRUE))</f>
        <v/>
      </c>
      <c r="P51" s="135" t="str">
        <f>+IF(OR(M51&lt;$D$19,M51=""),"",VLOOKUP(L51*frec,'Tablas Servicio'!$C$42:$V$861,20,TRUE))</f>
        <v/>
      </c>
      <c r="Q51" s="135" t="str">
        <f>+IF(OR(M51&lt;$D$19,M51=""),"",VLOOKUP(L51*frec,'Tablas Servicio'!$C$42:$V$861,17,TRUE)+$D$21)</f>
        <v/>
      </c>
    </row>
    <row r="52" spans="2:17" x14ac:dyDescent="0.3">
      <c r="B52" s="260" t="s">
        <v>117</v>
      </c>
      <c r="C52" s="260"/>
      <c r="D52" s="141" t="s">
        <v>17</v>
      </c>
      <c r="E52" s="207" t="str">
        <f>+"0"&amp;G52</f>
        <v>00064</v>
      </c>
      <c r="F52" s="203">
        <v>0</v>
      </c>
      <c r="G52" s="204" t="s">
        <v>140</v>
      </c>
      <c r="H52" s="206" t="str">
        <f>+G52</f>
        <v>0064</v>
      </c>
      <c r="I52" s="205">
        <f>+VLOOKUP(H52,'COBERTURAS ADICIONALES'!$AF$3:$AG$26,2,FALSE)</f>
        <v>18</v>
      </c>
      <c r="J52" s="130"/>
      <c r="K52" s="131"/>
      <c r="L52" s="129">
        <v>37</v>
      </c>
      <c r="M52" s="136" t="str">
        <f t="shared" si="1"/>
        <v/>
      </c>
      <c r="N52" s="135" t="str">
        <f t="shared" si="4"/>
        <v/>
      </c>
      <c r="O52" s="135" t="str">
        <f>+IF(OR(M52&lt;$D$19,M52=""),"",VLOOKUP(L52*frec,'Tablas Servicio'!$C$42:$V$861,18,TRUE))</f>
        <v/>
      </c>
      <c r="P52" s="135" t="str">
        <f>+IF(OR(M52&lt;$D$19,M52=""),"",VLOOKUP(L52*frec,'Tablas Servicio'!$C$42:$V$861,20,TRUE))</f>
        <v/>
      </c>
      <c r="Q52" s="135" t="str">
        <f>+IF(OR(M52&lt;$D$19,M52=""),"",VLOOKUP(L52*frec,'Tablas Servicio'!$C$42:$V$861,17,TRUE)+$D$21)</f>
        <v/>
      </c>
    </row>
    <row r="53" spans="2:17" x14ac:dyDescent="0.3">
      <c r="B53" s="260" t="s">
        <v>304</v>
      </c>
      <c r="C53" s="260"/>
      <c r="D53" s="141" t="s">
        <v>17</v>
      </c>
      <c r="E53" s="207" t="str">
        <f>+"0"&amp;G53</f>
        <v>00065</v>
      </c>
      <c r="F53" s="203" t="s">
        <v>292</v>
      </c>
      <c r="G53" s="204" t="s">
        <v>291</v>
      </c>
      <c r="H53" s="205" t="str">
        <f>+G53&amp;$E$15</f>
        <v>0065M</v>
      </c>
      <c r="I53" s="205">
        <f>+VLOOKUP(H53,'COBERTURAS ADICIONALES'!$AF$3:$AG$26,2,FALSE)</f>
        <v>22</v>
      </c>
      <c r="J53" s="130"/>
      <c r="K53" s="131"/>
      <c r="L53" s="129">
        <v>38</v>
      </c>
      <c r="M53" s="136" t="str">
        <f t="shared" si="1"/>
        <v/>
      </c>
      <c r="N53" s="135" t="str">
        <f t="shared" si="4"/>
        <v/>
      </c>
      <c r="O53" s="135" t="str">
        <f>+IF(OR(M53&lt;$D$19,M53=""),"",VLOOKUP(L53*frec,'Tablas Servicio'!$C$42:$V$861,18,TRUE))</f>
        <v/>
      </c>
      <c r="P53" s="135" t="str">
        <f>+IF(OR(M53&lt;$D$19,M53=""),"",VLOOKUP(L53*frec,'Tablas Servicio'!$C$42:$V$861,20,TRUE))</f>
        <v/>
      </c>
      <c r="Q53" s="135" t="str">
        <f>+IF(OR(M53&lt;$D$19,M53=""),"",VLOOKUP(L53*frec,'Tablas Servicio'!$C$42:$V$861,17,TRUE)+$D$21)</f>
        <v/>
      </c>
    </row>
    <row r="54" spans="2:17" x14ac:dyDescent="0.3">
      <c r="B54" s="130"/>
      <c r="C54" s="130"/>
      <c r="D54" s="130"/>
      <c r="E54" s="130"/>
      <c r="F54" s="130"/>
      <c r="G54" s="130"/>
      <c r="H54" s="130"/>
      <c r="I54" s="130"/>
      <c r="J54" s="130"/>
      <c r="K54" s="131"/>
      <c r="L54" s="129">
        <v>39</v>
      </c>
      <c r="M54" s="136" t="str">
        <f t="shared" si="1"/>
        <v/>
      </c>
      <c r="N54" s="135" t="str">
        <f t="shared" si="4"/>
        <v/>
      </c>
      <c r="O54" s="135" t="str">
        <f>+IF(OR(M54&lt;$D$19,M54=""),"",VLOOKUP(L54*frec,'Tablas Servicio'!$C$42:$V$861,18,TRUE))</f>
        <v/>
      </c>
      <c r="P54" s="135" t="str">
        <f>+IF(OR(M54&lt;$D$19,M54=""),"",VLOOKUP(L54*frec,'Tablas Servicio'!$C$42:$V$861,20,TRUE))</f>
        <v/>
      </c>
      <c r="Q54" s="135" t="str">
        <f>+IF(OR(M54&lt;$D$19,M54=""),"",VLOOKUP(L54*frec,'Tablas Servicio'!$C$42:$V$861,17,TRUE)+$D$21)</f>
        <v/>
      </c>
    </row>
    <row r="55" spans="2:17" x14ac:dyDescent="0.3"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29">
        <v>40</v>
      </c>
      <c r="M55" s="136" t="str">
        <f t="shared" si="1"/>
        <v/>
      </c>
      <c r="N55" s="135" t="str">
        <f t="shared" si="4"/>
        <v/>
      </c>
      <c r="O55" s="135" t="str">
        <f>+IF(OR(M55&lt;$D$19,M55=""),"",VLOOKUP(L55*frec,'Tablas Servicio'!$C$42:$V$861,18,TRUE))</f>
        <v/>
      </c>
      <c r="P55" s="135" t="str">
        <f>+IF(OR(M55&lt;$D$19,M55=""),"",VLOOKUP(L55*frec,'Tablas Servicio'!$C$42:$V$861,20,TRUE))</f>
        <v/>
      </c>
      <c r="Q55" s="135" t="str">
        <f>+IF(OR(M55&lt;$D$19,M55=""),"",VLOOKUP(L55*frec,'Tablas Servicio'!$C$42:$V$861,17,TRUE)+$D$21)</f>
        <v/>
      </c>
    </row>
    <row r="56" spans="2:17" x14ac:dyDescent="0.3"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29">
        <v>41</v>
      </c>
      <c r="M56" s="136" t="str">
        <f t="shared" si="1"/>
        <v/>
      </c>
      <c r="N56" s="135" t="str">
        <f t="shared" si="4"/>
        <v/>
      </c>
      <c r="O56" s="135" t="str">
        <f>+IF(OR(M56&lt;$D$19,M56=""),"",VLOOKUP(L56*frec,'Tablas Servicio'!$C$42:$V$861,18,TRUE))</f>
        <v/>
      </c>
      <c r="P56" s="135" t="str">
        <f>+IF(OR(M56&lt;$D$19,M56=""),"",VLOOKUP(L56*frec,'Tablas Servicio'!$C$42:$V$861,20,TRUE))</f>
        <v/>
      </c>
      <c r="Q56" s="135" t="str">
        <f>+IF(OR(M56&lt;$D$19,M56=""),"",VLOOKUP(L56*frec,'Tablas Servicio'!$C$42:$V$861,17,TRUE)+$D$21)</f>
        <v/>
      </c>
    </row>
    <row r="57" spans="2:17" x14ac:dyDescent="0.3"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29">
        <v>42</v>
      </c>
      <c r="M57" s="136" t="str">
        <f t="shared" si="1"/>
        <v/>
      </c>
      <c r="N57" s="135" t="str">
        <f t="shared" si="4"/>
        <v/>
      </c>
      <c r="O57" s="135" t="str">
        <f>+IF(OR(M57&lt;$D$19,M57=""),"",VLOOKUP(L57*frec,'Tablas Servicio'!$C$42:$V$861,18,TRUE))</f>
        <v/>
      </c>
      <c r="P57" s="135" t="str">
        <f>+IF(OR(M57&lt;$D$19,M57=""),"",VLOOKUP(L57*frec,'Tablas Servicio'!$C$42:$V$861,20,TRUE))</f>
        <v/>
      </c>
      <c r="Q57" s="135" t="str">
        <f>+IF(OR(M57&lt;$D$19,M57=""),"",VLOOKUP(L57*frec,'Tablas Servicio'!$C$42:$V$861,17,TRUE)+$D$21)</f>
        <v/>
      </c>
    </row>
    <row r="58" spans="2:17" x14ac:dyDescent="0.3">
      <c r="B58" s="179" t="s">
        <v>436</v>
      </c>
      <c r="D58" s="131"/>
      <c r="E58" s="131"/>
      <c r="F58" s="131"/>
      <c r="G58" s="131"/>
      <c r="H58" s="131"/>
      <c r="I58" s="131"/>
      <c r="J58" s="131"/>
      <c r="K58" s="131"/>
      <c r="L58" s="129">
        <v>43</v>
      </c>
      <c r="M58" s="136" t="str">
        <f t="shared" si="1"/>
        <v/>
      </c>
      <c r="N58" s="135" t="str">
        <f t="shared" si="4"/>
        <v/>
      </c>
      <c r="O58" s="135" t="str">
        <f>+IF(OR(M58&lt;$D$19,M58=""),"",VLOOKUP(L58*frec,'Tablas Servicio'!$C$42:$V$861,18,TRUE))</f>
        <v/>
      </c>
      <c r="P58" s="135" t="str">
        <f>+IF(OR(M58&lt;$D$19,M58=""),"",VLOOKUP(L58*frec,'Tablas Servicio'!$C$42:$V$861,20,TRUE))</f>
        <v/>
      </c>
      <c r="Q58" s="135" t="str">
        <f>+IF(OR(M58&lt;$D$19,M58=""),"",VLOOKUP(L58*frec,'Tablas Servicio'!$C$42:$V$861,17,TRUE)+$D$21)</f>
        <v/>
      </c>
    </row>
    <row r="59" spans="2:17" x14ac:dyDescent="0.3">
      <c r="J59" s="130"/>
      <c r="K59" s="142"/>
      <c r="L59" s="129">
        <v>44</v>
      </c>
      <c r="M59" s="136" t="str">
        <f t="shared" si="1"/>
        <v/>
      </c>
      <c r="N59" s="135" t="str">
        <f t="shared" si="4"/>
        <v/>
      </c>
      <c r="O59" s="135" t="str">
        <f>+IF(OR(M59&lt;$D$19,M59=""),"",VLOOKUP(L59*frec,'Tablas Servicio'!$C$42:$V$861,18,TRUE))</f>
        <v/>
      </c>
      <c r="P59" s="135" t="str">
        <f>+IF(OR(M59&lt;$D$19,M59=""),"",VLOOKUP(L59*frec,'Tablas Servicio'!$C$42:$V$861,20,TRUE))</f>
        <v/>
      </c>
      <c r="Q59" s="135" t="str">
        <f>+IF(OR(M59&lt;$D$19,M59=""),"",VLOOKUP(L59*frec,'Tablas Servicio'!$C$42:$V$861,17,TRUE)+$D$21)</f>
        <v/>
      </c>
    </row>
    <row r="60" spans="2:17" x14ac:dyDescent="0.3">
      <c r="J60" s="130"/>
      <c r="K60" s="142"/>
      <c r="L60" s="129">
        <v>45</v>
      </c>
      <c r="M60" s="136" t="str">
        <f t="shared" si="1"/>
        <v/>
      </c>
      <c r="N60" s="135" t="str">
        <f t="shared" si="4"/>
        <v/>
      </c>
      <c r="O60" s="135" t="str">
        <f>+IF(OR(M60&lt;$D$19,M60=""),"",VLOOKUP(L60*frec,'Tablas Servicio'!$C$42:$V$861,18,TRUE))</f>
        <v/>
      </c>
      <c r="P60" s="135" t="str">
        <f>+IF(OR(M60&lt;$D$19,M60=""),"",VLOOKUP(L60*frec,'Tablas Servicio'!$C$42:$V$861,20,TRUE))</f>
        <v/>
      </c>
      <c r="Q60" s="135" t="str">
        <f>+IF(OR(M60&lt;$D$19,M60=""),"",VLOOKUP(L60*frec,'Tablas Servicio'!$C$42:$V$861,17,TRUE)+$D$21)</f>
        <v/>
      </c>
    </row>
    <row r="61" spans="2:17" x14ac:dyDescent="0.3">
      <c r="J61" s="130"/>
      <c r="K61" s="142"/>
      <c r="L61" s="129">
        <v>46</v>
      </c>
      <c r="M61" s="136" t="str">
        <f t="shared" si="1"/>
        <v/>
      </c>
      <c r="N61" s="135" t="str">
        <f t="shared" si="4"/>
        <v/>
      </c>
      <c r="O61" s="135" t="str">
        <f>+IF(OR(M61&lt;$D$19,M61=""),"",VLOOKUP(L61*frec,'Tablas Servicio'!$C$42:$V$861,18,TRUE))</f>
        <v/>
      </c>
      <c r="P61" s="135" t="str">
        <f>+IF(OR(M61&lt;$D$19,M61=""),"",VLOOKUP(L61*frec,'Tablas Servicio'!$C$42:$V$861,20,TRUE))</f>
        <v/>
      </c>
      <c r="Q61" s="135" t="str">
        <f>+IF(OR(M61&lt;$D$19,M61=""),"",VLOOKUP(L61*frec,'Tablas Servicio'!$C$42:$V$861,17,TRUE)+$D$21)</f>
        <v/>
      </c>
    </row>
    <row r="62" spans="2:17" x14ac:dyDescent="0.3">
      <c r="J62" s="130"/>
      <c r="K62" s="142"/>
      <c r="L62" s="129">
        <v>47</v>
      </c>
      <c r="M62" s="136" t="str">
        <f t="shared" si="1"/>
        <v/>
      </c>
      <c r="N62" s="135" t="str">
        <f t="shared" si="4"/>
        <v/>
      </c>
      <c r="O62" s="135" t="str">
        <f>+IF(OR(M62&lt;$D$19,M62=""),"",VLOOKUP(L62*frec,'Tablas Servicio'!$C$42:$V$861,18,TRUE))</f>
        <v/>
      </c>
      <c r="P62" s="135" t="str">
        <f>+IF(OR(M62&lt;$D$19,M62=""),"",VLOOKUP(L62*frec,'Tablas Servicio'!$C$42:$V$861,20,TRUE))</f>
        <v/>
      </c>
      <c r="Q62" s="135" t="str">
        <f>+IF(OR(M62&lt;$D$19,M62=""),"",VLOOKUP(L62*frec,'Tablas Servicio'!$C$42:$V$861,17,TRUE)+$D$21)</f>
        <v/>
      </c>
    </row>
    <row r="63" spans="2:17" x14ac:dyDescent="0.3">
      <c r="B63" s="249" t="s">
        <v>439</v>
      </c>
      <c r="C63" s="249"/>
      <c r="J63" s="130"/>
      <c r="K63" s="142"/>
      <c r="L63" s="129">
        <v>48</v>
      </c>
      <c r="M63" s="136" t="str">
        <f t="shared" si="1"/>
        <v/>
      </c>
      <c r="N63" s="135" t="str">
        <f t="shared" si="4"/>
        <v/>
      </c>
      <c r="O63" s="135" t="str">
        <f>+IF(OR(M63&lt;$D$19,M63=""),"",VLOOKUP(L63*frec,'Tablas Servicio'!$C$42:$V$861,18,TRUE))</f>
        <v/>
      </c>
      <c r="P63" s="135" t="str">
        <f>+IF(OR(M63&lt;$D$19,M63=""),"",VLOOKUP(L63*frec,'Tablas Servicio'!$C$42:$V$861,20,TRUE))</f>
        <v/>
      </c>
      <c r="Q63" s="135" t="str">
        <f>+IF(OR(M63&lt;$D$19,M63=""),"",VLOOKUP(L63*frec,'Tablas Servicio'!$C$42:$V$861,17,TRUE)+$D$21)</f>
        <v/>
      </c>
    </row>
    <row r="64" spans="2:17" x14ac:dyDescent="0.3">
      <c r="B64" s="250" t="s">
        <v>437</v>
      </c>
      <c r="C64" s="250"/>
      <c r="J64" s="130"/>
      <c r="K64" s="142"/>
      <c r="L64" s="129">
        <v>49</v>
      </c>
      <c r="M64" s="136" t="str">
        <f t="shared" si="1"/>
        <v/>
      </c>
      <c r="N64" s="135" t="str">
        <f t="shared" si="4"/>
        <v/>
      </c>
      <c r="O64" s="135" t="str">
        <f>+IF(OR(M64&lt;$D$19,M64=""),"",VLOOKUP(L64*frec,'Tablas Servicio'!$C$42:$V$861,18,TRUE))</f>
        <v/>
      </c>
      <c r="P64" s="135" t="str">
        <f>+IF(OR(M64&lt;$D$19,M64=""),"",VLOOKUP(L64*frec,'Tablas Servicio'!$C$42:$V$861,20,TRUE))</f>
        <v/>
      </c>
      <c r="Q64" s="135" t="str">
        <f>+IF(OR(M64&lt;$D$19,M64=""),"",VLOOKUP(L64*frec,'Tablas Servicio'!$C$42:$V$861,17,TRUE)+$D$21)</f>
        <v/>
      </c>
    </row>
    <row r="65" spans="2:17" x14ac:dyDescent="0.3">
      <c r="B65" s="251" t="s">
        <v>438</v>
      </c>
      <c r="C65" s="251"/>
      <c r="J65" s="130"/>
      <c r="K65" s="142"/>
      <c r="L65" s="129">
        <v>50</v>
      </c>
      <c r="M65" s="136" t="str">
        <f t="shared" si="1"/>
        <v/>
      </c>
      <c r="N65" s="135" t="str">
        <f t="shared" si="4"/>
        <v/>
      </c>
      <c r="O65" s="135" t="str">
        <f>+IF(OR(M65&lt;$D$19,M65=""),"",VLOOKUP(L65*frec,'Tablas Servicio'!$C$42:$V$861,18,TRUE))</f>
        <v/>
      </c>
      <c r="P65" s="135" t="str">
        <f>+IF(OR(M65&lt;$D$19,M65=""),"",VLOOKUP(L65*frec,'Tablas Servicio'!$C$42:$V$861,20,TRUE))</f>
        <v/>
      </c>
      <c r="Q65" s="135" t="str">
        <f>+IF(OR(M65&lt;$D$19,M65=""),"",VLOOKUP(L65*frec,'Tablas Servicio'!$C$42:$V$861,17,TRUE)+$D$21)</f>
        <v/>
      </c>
    </row>
    <row r="66" spans="2:17" x14ac:dyDescent="0.3">
      <c r="J66" s="130"/>
      <c r="K66" s="142"/>
    </row>
    <row r="67" spans="2:17" hidden="1" x14ac:dyDescent="0.3">
      <c r="J67" s="130"/>
      <c r="K67" s="142"/>
    </row>
    <row r="68" spans="2:17" hidden="1" x14ac:dyDescent="0.3">
      <c r="J68" s="130"/>
      <c r="K68" s="142"/>
    </row>
    <row r="69" spans="2:17" hidden="1" x14ac:dyDescent="0.3">
      <c r="J69" s="130"/>
      <c r="K69" s="142"/>
    </row>
    <row r="70" spans="2:17" hidden="1" x14ac:dyDescent="0.3">
      <c r="J70" s="130"/>
      <c r="K70" s="142"/>
    </row>
    <row r="71" spans="2:17" hidden="1" x14ac:dyDescent="0.3">
      <c r="J71" s="130"/>
      <c r="K71" s="142"/>
    </row>
    <row r="72" spans="2:17" hidden="1" x14ac:dyDescent="0.3">
      <c r="J72" s="130"/>
      <c r="K72" s="142"/>
    </row>
    <row r="73" spans="2:17" hidden="1" x14ac:dyDescent="0.3">
      <c r="J73" s="130"/>
      <c r="K73" s="142"/>
    </row>
    <row r="74" spans="2:17" hidden="1" x14ac:dyDescent="0.3">
      <c r="J74" s="130"/>
      <c r="K74" s="142"/>
    </row>
    <row r="75" spans="2:17" hidden="1" x14ac:dyDescent="0.3">
      <c r="B75" s="151"/>
      <c r="C75" s="151"/>
      <c r="D75" s="152"/>
      <c r="E75" s="151"/>
      <c r="F75" s="153"/>
      <c r="G75" s="145"/>
      <c r="H75" s="147"/>
      <c r="I75" s="146"/>
      <c r="J75" s="130"/>
      <c r="K75" s="142"/>
    </row>
    <row r="76" spans="2:17" hidden="1" x14ac:dyDescent="0.3">
      <c r="B76" s="151"/>
      <c r="C76" s="151"/>
      <c r="D76" s="152"/>
      <c r="E76" s="151"/>
      <c r="F76" s="153"/>
      <c r="G76" s="145"/>
      <c r="H76" s="147"/>
      <c r="I76" s="146"/>
      <c r="J76" s="130"/>
      <c r="K76" s="142"/>
    </row>
    <row r="77" spans="2:17" hidden="1" x14ac:dyDescent="0.3">
      <c r="B77" s="151"/>
      <c r="C77" s="151"/>
      <c r="D77" s="152"/>
      <c r="E77" s="151"/>
      <c r="F77" s="153"/>
      <c r="G77" s="145"/>
      <c r="H77" s="147"/>
      <c r="I77" s="146"/>
      <c r="J77" s="130"/>
      <c r="K77" s="142"/>
    </row>
    <row r="78" spans="2:17" hidden="1" x14ac:dyDescent="0.3">
      <c r="B78" s="151"/>
      <c r="C78" s="151"/>
      <c r="D78" s="152"/>
      <c r="E78" s="151"/>
      <c r="F78" s="153"/>
      <c r="G78" s="145"/>
      <c r="H78" s="147"/>
      <c r="I78" s="146"/>
      <c r="J78" s="130"/>
      <c r="K78" s="142"/>
    </row>
    <row r="79" spans="2:17" hidden="1" x14ac:dyDescent="0.3">
      <c r="B79" s="151"/>
      <c r="C79" s="151"/>
      <c r="D79" s="152"/>
      <c r="E79" s="151"/>
      <c r="F79" s="153"/>
      <c r="G79" s="145"/>
      <c r="H79" s="147"/>
      <c r="I79" s="146"/>
      <c r="J79" s="130"/>
      <c r="K79" s="142"/>
    </row>
    <row r="80" spans="2:17" hidden="1" x14ac:dyDescent="0.3">
      <c r="B80" s="151"/>
      <c r="C80" s="151"/>
      <c r="D80" s="152"/>
      <c r="E80" s="151"/>
      <c r="F80" s="153"/>
      <c r="G80" s="145"/>
      <c r="H80" s="147"/>
      <c r="I80" s="146"/>
      <c r="J80" s="130"/>
      <c r="K80" s="142"/>
    </row>
    <row r="81" spans="2:11" hidden="1" x14ac:dyDescent="0.3">
      <c r="B81" s="151"/>
      <c r="C81" s="151"/>
      <c r="D81" s="152"/>
      <c r="E81" s="151"/>
      <c r="F81" s="153"/>
      <c r="G81" s="145"/>
      <c r="H81" s="147"/>
      <c r="I81" s="146"/>
      <c r="J81" s="130"/>
      <c r="K81" s="142"/>
    </row>
    <row r="82" spans="2:11" hidden="1" x14ac:dyDescent="0.3">
      <c r="B82" s="151"/>
      <c r="C82" s="151"/>
      <c r="D82" s="152"/>
      <c r="E82" s="151"/>
      <c r="F82" s="153"/>
      <c r="G82" s="187"/>
      <c r="H82" s="182"/>
      <c r="I82" s="183"/>
    </row>
    <row r="83" spans="2:11" hidden="1" x14ac:dyDescent="0.3">
      <c r="B83" s="151"/>
      <c r="C83" s="151"/>
      <c r="D83" s="152"/>
      <c r="E83" s="151"/>
      <c r="F83" s="153"/>
      <c r="G83" s="187"/>
      <c r="H83" s="182"/>
      <c r="I83" s="183"/>
    </row>
    <row r="84" spans="2:11" hidden="1" x14ac:dyDescent="0.3">
      <c r="B84" s="180" t="s">
        <v>18</v>
      </c>
      <c r="C84" s="181"/>
      <c r="D84" s="184"/>
      <c r="E84" s="151"/>
      <c r="F84" s="151"/>
      <c r="G84" s="151"/>
      <c r="H84" s="182"/>
      <c r="I84" s="183"/>
    </row>
    <row r="85" spans="2:11" hidden="1" x14ac:dyDescent="0.3">
      <c r="B85" s="154" t="s">
        <v>19</v>
      </c>
      <c r="C85" s="155"/>
      <c r="D85" s="185">
        <v>65</v>
      </c>
      <c r="E85" s="148" t="s">
        <v>22</v>
      </c>
      <c r="F85" s="148"/>
      <c r="G85" s="160">
        <v>3.5000000000000003E-2</v>
      </c>
      <c r="H85" s="182"/>
      <c r="I85" s="183"/>
    </row>
    <row r="86" spans="2:11" hidden="1" x14ac:dyDescent="0.3">
      <c r="B86" s="154" t="s">
        <v>20</v>
      </c>
      <c r="C86" s="155"/>
      <c r="D86" s="160">
        <f>+(1+D88/12)^(12/$E$25)-1</f>
        <v>2.9166666666666785E-3</v>
      </c>
      <c r="E86" s="148" t="s">
        <v>23</v>
      </c>
      <c r="F86" s="148"/>
      <c r="G86" s="160">
        <v>5.0000000000000001E-3</v>
      </c>
      <c r="H86" s="182"/>
      <c r="I86" s="183"/>
    </row>
    <row r="87" spans="2:11" hidden="1" x14ac:dyDescent="0.3">
      <c r="B87" s="154" t="s">
        <v>21</v>
      </c>
      <c r="C87" s="155"/>
      <c r="D87" s="160">
        <f>+(1+D89/12)^(12/$E$25)-1</f>
        <v>3.3333333333334103E-3</v>
      </c>
      <c r="E87" s="148" t="s">
        <v>40</v>
      </c>
      <c r="F87" s="148"/>
      <c r="G87" s="160">
        <v>5.5E-2</v>
      </c>
      <c r="H87" s="182"/>
      <c r="I87" s="183"/>
    </row>
    <row r="88" spans="2:11" hidden="1" x14ac:dyDescent="0.3">
      <c r="B88" s="156" t="s">
        <v>158</v>
      </c>
      <c r="D88" s="186">
        <v>3.5000000000000003E-2</v>
      </c>
      <c r="E88" s="148" t="s">
        <v>39</v>
      </c>
      <c r="F88" s="148"/>
      <c r="G88" s="160">
        <f>1/(1+i)</f>
        <v>0.94786729857819907</v>
      </c>
      <c r="H88" s="182"/>
      <c r="I88" s="183"/>
    </row>
    <row r="89" spans="2:11" hidden="1" x14ac:dyDescent="0.3">
      <c r="B89" s="136" t="s">
        <v>159</v>
      </c>
      <c r="C89" s="136"/>
      <c r="D89" s="157">
        <v>0.04</v>
      </c>
      <c r="E89" s="148" t="s">
        <v>152</v>
      </c>
      <c r="F89" s="148"/>
      <c r="G89" s="160">
        <f>+VLOOKUP(D24,periodicidad,3,FALSE)</f>
        <v>2.8000000000000001E-2</v>
      </c>
      <c r="H89" s="182"/>
      <c r="I89" s="183"/>
    </row>
    <row r="90" spans="2:11" hidden="1" x14ac:dyDescent="0.3">
      <c r="B90" s="158" t="s">
        <v>24</v>
      </c>
      <c r="C90" s="159"/>
      <c r="D90" s="160">
        <v>2.75E-2</v>
      </c>
      <c r="E90" s="185" t="s">
        <v>167</v>
      </c>
      <c r="F90" s="185"/>
      <c r="G90" s="160">
        <v>0</v>
      </c>
      <c r="H90" s="182"/>
      <c r="I90" s="183"/>
    </row>
    <row r="91" spans="2:11" hidden="1" x14ac:dyDescent="0.3">
      <c r="B91" s="154" t="s">
        <v>25</v>
      </c>
      <c r="C91" s="155"/>
      <c r="D91" s="160">
        <f>+D86*(1-$D$90)</f>
        <v>2.8364583333333449E-3</v>
      </c>
      <c r="E91" s="185" t="s">
        <v>305</v>
      </c>
      <c r="F91" s="185"/>
      <c r="G91" s="161">
        <v>100000</v>
      </c>
      <c r="H91" s="182"/>
      <c r="I91" s="183"/>
    </row>
    <row r="92" spans="2:11" hidden="1" x14ac:dyDescent="0.3">
      <c r="B92" s="154" t="s">
        <v>26</v>
      </c>
      <c r="C92" s="155"/>
      <c r="D92" s="160">
        <f>+D87*(1-$D$90)</f>
        <v>3.2416666666667416E-3</v>
      </c>
      <c r="E92" s="185" t="s">
        <v>311</v>
      </c>
      <c r="F92" s="185"/>
      <c r="G92" s="162">
        <v>75</v>
      </c>
      <c r="H92" s="182"/>
      <c r="I92" s="183"/>
    </row>
    <row r="93" spans="2:11" hidden="1" x14ac:dyDescent="0.3">
      <c r="B93" s="154" t="s">
        <v>321</v>
      </c>
      <c r="C93" s="155"/>
      <c r="D93" s="160">
        <f>+IF(D94="No",0,('Tablas Servicio'!R38-'Tablas Servicio'!R29)/'Tablas Servicio'!R38)</f>
        <v>0</v>
      </c>
      <c r="E93" s="163"/>
      <c r="F93" s="163"/>
      <c r="G93" s="164"/>
      <c r="H93" s="182"/>
      <c r="I93" s="183"/>
    </row>
    <row r="94" spans="2:11" hidden="1" x14ac:dyDescent="0.3">
      <c r="B94" s="154" t="s">
        <v>399</v>
      </c>
      <c r="C94" s="155"/>
      <c r="D94" s="165" t="s">
        <v>17</v>
      </c>
      <c r="H94" s="182"/>
      <c r="I94" s="183"/>
    </row>
    <row r="95" spans="2:11" hidden="1" x14ac:dyDescent="0.3">
      <c r="B95" s="158" t="s">
        <v>416</v>
      </c>
      <c r="C95" s="159"/>
      <c r="D95" s="166">
        <f>+IF(D27=1,D21/G91,1)</f>
        <v>1</v>
      </c>
      <c r="H95" s="182"/>
      <c r="I95" s="183"/>
    </row>
    <row r="96" spans="2:11" hidden="1" x14ac:dyDescent="0.3">
      <c r="B96" s="151"/>
      <c r="C96" s="151"/>
      <c r="D96" s="152"/>
      <c r="E96" s="151"/>
      <c r="F96" s="153"/>
      <c r="G96" s="187"/>
      <c r="H96" s="182"/>
      <c r="I96" s="183"/>
    </row>
    <row r="97" spans="2:11" hidden="1" x14ac:dyDescent="0.3">
      <c r="J97" s="188"/>
    </row>
    <row r="98" spans="2:11" hidden="1" x14ac:dyDescent="0.3">
      <c r="B98" s="256" t="s">
        <v>43</v>
      </c>
      <c r="C98" s="257"/>
      <c r="D98" s="257"/>
      <c r="E98" s="257"/>
      <c r="F98" s="258"/>
      <c r="H98" s="256" t="s">
        <v>414</v>
      </c>
      <c r="I98" s="257"/>
      <c r="J98" s="258"/>
    </row>
    <row r="99" spans="2:11" hidden="1" x14ac:dyDescent="0.3">
      <c r="B99" s="245" t="s">
        <v>7</v>
      </c>
      <c r="C99" s="245"/>
      <c r="D99" s="195" t="s">
        <v>8</v>
      </c>
      <c r="E99" s="189" t="s">
        <v>49</v>
      </c>
      <c r="F99" s="195" t="s">
        <v>50</v>
      </c>
      <c r="H99" s="195" t="s">
        <v>27</v>
      </c>
      <c r="I99" s="195" t="s">
        <v>49</v>
      </c>
      <c r="J99" s="195" t="s">
        <v>50</v>
      </c>
      <c r="K99" s="190"/>
    </row>
    <row r="100" spans="2:11" hidden="1" x14ac:dyDescent="0.3">
      <c r="B100" s="233" t="s">
        <v>423</v>
      </c>
      <c r="C100" s="233"/>
      <c r="D100" s="160">
        <f>+F100</f>
        <v>0.11671751094508068</v>
      </c>
      <c r="E100" s="160">
        <f>+F100</f>
        <v>0.11671751094508068</v>
      </c>
      <c r="F100" s="169">
        <f>+D116</f>
        <v>0.11671751094508068</v>
      </c>
      <c r="H100" s="196">
        <v>1</v>
      </c>
      <c r="I100" s="197">
        <f>+IF(D22='TABLAS MORT'!V28,150,25)</f>
        <v>150</v>
      </c>
      <c r="J100" s="198">
        <f>+I100</f>
        <v>150</v>
      </c>
    </row>
    <row r="101" spans="2:11" hidden="1" x14ac:dyDescent="0.3">
      <c r="B101" s="233" t="s">
        <v>10</v>
      </c>
      <c r="C101" s="233"/>
      <c r="D101" s="160">
        <f t="shared" ref="D101:D103" si="5">+F101</f>
        <v>0.2</v>
      </c>
      <c r="E101" s="170">
        <f>($E$104-$E$100)*(F101/($F$101+$F$102))</f>
        <v>0.11815068054393756</v>
      </c>
      <c r="F101" s="171">
        <v>0.2</v>
      </c>
      <c r="H101" s="172">
        <v>2</v>
      </c>
      <c r="I101" s="191">
        <f>+I100</f>
        <v>150</v>
      </c>
      <c r="J101" s="192">
        <f t="shared" ref="J101:J120" si="6">+I101</f>
        <v>150</v>
      </c>
    </row>
    <row r="102" spans="2:11" hidden="1" x14ac:dyDescent="0.3">
      <c r="B102" s="233" t="s">
        <v>11</v>
      </c>
      <c r="C102" s="233"/>
      <c r="D102" s="160">
        <f t="shared" si="5"/>
        <v>0.2</v>
      </c>
      <c r="E102" s="170">
        <f>($E$104-$E$100)*(F102/($F$101+$F$102))</f>
        <v>0.11815068054393756</v>
      </c>
      <c r="F102" s="171">
        <v>0.2</v>
      </c>
      <c r="H102" s="173">
        <v>3</v>
      </c>
      <c r="I102" s="191">
        <f t="shared" ref="I102:I159" si="7">+I101</f>
        <v>150</v>
      </c>
      <c r="J102" s="192">
        <f t="shared" si="6"/>
        <v>150</v>
      </c>
    </row>
    <row r="103" spans="2:11" hidden="1" x14ac:dyDescent="0.3">
      <c r="B103" s="233" t="s">
        <v>12</v>
      </c>
      <c r="C103" s="233"/>
      <c r="D103" s="160">
        <f t="shared" si="5"/>
        <v>0.05</v>
      </c>
      <c r="E103" s="160">
        <v>0.05</v>
      </c>
      <c r="F103" s="171">
        <v>0.05</v>
      </c>
      <c r="H103" s="173">
        <v>4</v>
      </c>
      <c r="I103" s="191">
        <f t="shared" si="7"/>
        <v>150</v>
      </c>
      <c r="J103" s="192">
        <f t="shared" si="6"/>
        <v>150</v>
      </c>
    </row>
    <row r="104" spans="2:11" hidden="1" x14ac:dyDescent="0.3">
      <c r="B104" s="262" t="s">
        <v>422</v>
      </c>
      <c r="C104" s="262"/>
      <c r="D104" s="174">
        <f>+SUM(D100:D102)</f>
        <v>0.51671751094508078</v>
      </c>
      <c r="E104" s="174">
        <f>+(F104/(1-F104))/(RECARGO+(F104/(1-F104)))</f>
        <v>0.35301887203295579</v>
      </c>
      <c r="F104" s="174">
        <f>+SUM(F100:F102)</f>
        <v>0.51671751094508078</v>
      </c>
      <c r="H104" s="172">
        <v>5</v>
      </c>
      <c r="I104" s="191">
        <f t="shared" si="7"/>
        <v>150</v>
      </c>
      <c r="J104" s="192">
        <f t="shared" si="6"/>
        <v>150</v>
      </c>
    </row>
    <row r="105" spans="2:11" hidden="1" x14ac:dyDescent="0.3">
      <c r="B105" s="262" t="s">
        <v>421</v>
      </c>
      <c r="C105" s="262"/>
      <c r="D105" s="175">
        <f>+D104-D100</f>
        <v>0.40000000000000013</v>
      </c>
      <c r="E105" s="176">
        <f>+E101+E102</f>
        <v>0.23630136108787511</v>
      </c>
      <c r="F105" s="176">
        <f>+F101+F102</f>
        <v>0.4</v>
      </c>
      <c r="H105" s="173">
        <v>6</v>
      </c>
      <c r="I105" s="191">
        <f t="shared" si="7"/>
        <v>150</v>
      </c>
      <c r="J105" s="192">
        <f t="shared" si="6"/>
        <v>150</v>
      </c>
    </row>
    <row r="106" spans="2:11" hidden="1" x14ac:dyDescent="0.3">
      <c r="B106" s="194"/>
      <c r="C106" s="194"/>
      <c r="D106" s="177"/>
      <c r="E106" s="177">
        <f>+SUM(E100:E103)</f>
        <v>0.40301887203295578</v>
      </c>
      <c r="F106" s="177"/>
      <c r="H106" s="173">
        <v>7</v>
      </c>
      <c r="I106" s="191">
        <f t="shared" si="7"/>
        <v>150</v>
      </c>
      <c r="J106" s="192">
        <f t="shared" si="6"/>
        <v>150</v>
      </c>
    </row>
    <row r="107" spans="2:11" hidden="1" x14ac:dyDescent="0.3">
      <c r="B107" s="263" t="s">
        <v>415</v>
      </c>
      <c r="C107" s="263"/>
      <c r="D107" s="152">
        <v>70</v>
      </c>
      <c r="E107" s="177" t="s">
        <v>403</v>
      </c>
      <c r="F107" s="177"/>
      <c r="H107" s="172">
        <v>8</v>
      </c>
      <c r="I107" s="191">
        <f t="shared" si="7"/>
        <v>150</v>
      </c>
      <c r="J107" s="192">
        <f t="shared" si="6"/>
        <v>150</v>
      </c>
    </row>
    <row r="108" spans="2:11" hidden="1" x14ac:dyDescent="0.3">
      <c r="B108" s="266" t="s">
        <v>400</v>
      </c>
      <c r="C108" s="266"/>
      <c r="D108" s="193">
        <f>+IF(E16="F",D110,D111)</f>
        <v>50</v>
      </c>
      <c r="E108" s="177"/>
      <c r="F108" s="177"/>
      <c r="H108" s="173">
        <v>9</v>
      </c>
      <c r="I108" s="191">
        <f t="shared" si="7"/>
        <v>150</v>
      </c>
      <c r="J108" s="192">
        <f t="shared" si="6"/>
        <v>150</v>
      </c>
    </row>
    <row r="109" spans="2:11" hidden="1" x14ac:dyDescent="0.3">
      <c r="B109" s="266" t="s">
        <v>401</v>
      </c>
      <c r="C109" s="266"/>
      <c r="D109" s="193"/>
      <c r="E109" s="177"/>
      <c r="F109" s="177"/>
      <c r="H109" s="173">
        <v>10</v>
      </c>
      <c r="I109" s="191">
        <f t="shared" si="7"/>
        <v>150</v>
      </c>
      <c r="J109" s="192">
        <f t="shared" si="6"/>
        <v>150</v>
      </c>
    </row>
    <row r="110" spans="2:11" hidden="1" x14ac:dyDescent="0.3">
      <c r="B110" s="266" t="s">
        <v>408</v>
      </c>
      <c r="C110" s="266"/>
      <c r="D110" s="193">
        <v>100</v>
      </c>
      <c r="E110" s="177"/>
      <c r="F110" s="177"/>
      <c r="H110" s="172">
        <v>11</v>
      </c>
      <c r="I110" s="191">
        <f t="shared" si="7"/>
        <v>150</v>
      </c>
      <c r="J110" s="192">
        <f t="shared" si="6"/>
        <v>150</v>
      </c>
    </row>
    <row r="111" spans="2:11" hidden="1" x14ac:dyDescent="0.3">
      <c r="B111" s="266" t="s">
        <v>409</v>
      </c>
      <c r="C111" s="266"/>
      <c r="D111" s="193">
        <v>50</v>
      </c>
      <c r="E111" s="177"/>
      <c r="F111" s="177"/>
      <c r="H111" s="173">
        <v>12</v>
      </c>
      <c r="I111" s="191">
        <f t="shared" si="7"/>
        <v>150</v>
      </c>
      <c r="J111" s="192">
        <f t="shared" si="6"/>
        <v>150</v>
      </c>
    </row>
    <row r="112" spans="2:11" hidden="1" x14ac:dyDescent="0.3">
      <c r="H112" s="173">
        <v>13</v>
      </c>
      <c r="I112" s="191">
        <f t="shared" si="7"/>
        <v>150</v>
      </c>
      <c r="J112" s="192">
        <f t="shared" si="6"/>
        <v>150</v>
      </c>
    </row>
    <row r="113" spans="2:10" hidden="1" x14ac:dyDescent="0.3">
      <c r="B113" s="264" t="s">
        <v>156</v>
      </c>
      <c r="C113" s="265"/>
      <c r="D113" s="265"/>
      <c r="H113" s="172">
        <v>14</v>
      </c>
      <c r="I113" s="191">
        <f t="shared" si="7"/>
        <v>150</v>
      </c>
      <c r="J113" s="192">
        <f t="shared" si="6"/>
        <v>150</v>
      </c>
    </row>
    <row r="114" spans="2:10" hidden="1" x14ac:dyDescent="0.3">
      <c r="B114" s="261" t="s">
        <v>154</v>
      </c>
      <c r="C114" s="261"/>
      <c r="D114" s="123">
        <f>+IF(D22='TABLAS MORT'!V28,60%,0%)</f>
        <v>0.6</v>
      </c>
      <c r="H114" s="173">
        <v>15</v>
      </c>
      <c r="I114" s="191">
        <f t="shared" si="7"/>
        <v>150</v>
      </c>
      <c r="J114" s="192">
        <f t="shared" si="6"/>
        <v>150</v>
      </c>
    </row>
    <row r="115" spans="2:10" hidden="1" x14ac:dyDescent="0.3">
      <c r="B115" s="261" t="s">
        <v>155</v>
      </c>
      <c r="C115" s="261"/>
      <c r="D115" s="123">
        <f>+IF(D22='TABLAS MORT'!V28,40%,0%)</f>
        <v>0.4</v>
      </c>
      <c r="H115" s="173">
        <v>16</v>
      </c>
      <c r="I115" s="191">
        <f t="shared" si="7"/>
        <v>150</v>
      </c>
      <c r="J115" s="192">
        <f t="shared" si="6"/>
        <v>150</v>
      </c>
    </row>
    <row r="116" spans="2:10" hidden="1" x14ac:dyDescent="0.3">
      <c r="B116" s="261" t="s">
        <v>97</v>
      </c>
      <c r="C116" s="261"/>
      <c r="D116" s="123">
        <f>+VLOOKUP(Parámetros!D24,'TABLAS ADI'!BB2:BE6,4,FALSE)</f>
        <v>0.11671751094508068</v>
      </c>
      <c r="E116" s="178"/>
      <c r="H116" s="172">
        <v>17</v>
      </c>
      <c r="I116" s="191">
        <f t="shared" si="7"/>
        <v>150</v>
      </c>
      <c r="J116" s="192">
        <f t="shared" si="6"/>
        <v>150</v>
      </c>
    </row>
    <row r="117" spans="2:10" hidden="1" x14ac:dyDescent="0.3">
      <c r="B117" s="261" t="s">
        <v>98</v>
      </c>
      <c r="C117" s="261"/>
      <c r="D117" s="124">
        <v>10</v>
      </c>
      <c r="E117" s="178" t="s">
        <v>99</v>
      </c>
      <c r="H117" s="173">
        <v>18</v>
      </c>
      <c r="I117" s="191">
        <f t="shared" si="7"/>
        <v>150</v>
      </c>
      <c r="J117" s="192">
        <f t="shared" si="6"/>
        <v>150</v>
      </c>
    </row>
    <row r="118" spans="2:10" hidden="1" x14ac:dyDescent="0.3">
      <c r="B118" s="261" t="s">
        <v>98</v>
      </c>
      <c r="C118" s="261"/>
      <c r="D118" s="124">
        <v>10</v>
      </c>
      <c r="E118" s="178" t="s">
        <v>99</v>
      </c>
      <c r="H118" s="173">
        <v>19</v>
      </c>
      <c r="I118" s="191">
        <f t="shared" si="7"/>
        <v>150</v>
      </c>
      <c r="J118" s="192">
        <f t="shared" si="6"/>
        <v>150</v>
      </c>
    </row>
    <row r="119" spans="2:10" hidden="1" x14ac:dyDescent="0.3">
      <c r="B119" s="152"/>
      <c r="C119" s="152"/>
      <c r="D119" s="125"/>
      <c r="E119" s="179"/>
      <c r="H119" s="172">
        <v>20</v>
      </c>
      <c r="I119" s="191">
        <f t="shared" si="7"/>
        <v>150</v>
      </c>
      <c r="J119" s="192">
        <f t="shared" si="6"/>
        <v>150</v>
      </c>
    </row>
    <row r="120" spans="2:10" hidden="1" x14ac:dyDescent="0.3">
      <c r="H120" s="173">
        <v>21</v>
      </c>
      <c r="I120" s="191">
        <f t="shared" si="7"/>
        <v>150</v>
      </c>
      <c r="J120" s="192">
        <f t="shared" si="6"/>
        <v>150</v>
      </c>
    </row>
    <row r="121" spans="2:10" hidden="1" x14ac:dyDescent="0.3">
      <c r="H121" s="172">
        <v>22</v>
      </c>
      <c r="I121" s="191">
        <f t="shared" si="7"/>
        <v>150</v>
      </c>
      <c r="J121" s="192">
        <f t="shared" ref="J121:J159" si="8">+I121</f>
        <v>150</v>
      </c>
    </row>
    <row r="122" spans="2:10" hidden="1" x14ac:dyDescent="0.3">
      <c r="H122" s="173">
        <v>23</v>
      </c>
      <c r="I122" s="191">
        <f t="shared" si="7"/>
        <v>150</v>
      </c>
      <c r="J122" s="192">
        <f t="shared" si="8"/>
        <v>150</v>
      </c>
    </row>
    <row r="123" spans="2:10" hidden="1" x14ac:dyDescent="0.3">
      <c r="H123" s="172">
        <v>24</v>
      </c>
      <c r="I123" s="191">
        <f t="shared" si="7"/>
        <v>150</v>
      </c>
      <c r="J123" s="192">
        <f t="shared" si="8"/>
        <v>150</v>
      </c>
    </row>
    <row r="124" spans="2:10" hidden="1" x14ac:dyDescent="0.3">
      <c r="H124" s="173">
        <v>25</v>
      </c>
      <c r="I124" s="191">
        <f t="shared" si="7"/>
        <v>150</v>
      </c>
      <c r="J124" s="192">
        <f t="shared" si="8"/>
        <v>150</v>
      </c>
    </row>
    <row r="125" spans="2:10" hidden="1" x14ac:dyDescent="0.3">
      <c r="H125" s="172">
        <v>26</v>
      </c>
      <c r="I125" s="191">
        <f t="shared" si="7"/>
        <v>150</v>
      </c>
      <c r="J125" s="192">
        <f t="shared" si="8"/>
        <v>150</v>
      </c>
    </row>
    <row r="126" spans="2:10" hidden="1" x14ac:dyDescent="0.3">
      <c r="H126" s="173">
        <v>27</v>
      </c>
      <c r="I126" s="191">
        <f t="shared" si="7"/>
        <v>150</v>
      </c>
      <c r="J126" s="192">
        <f t="shared" si="8"/>
        <v>150</v>
      </c>
    </row>
    <row r="127" spans="2:10" hidden="1" x14ac:dyDescent="0.3">
      <c r="H127" s="172">
        <v>28</v>
      </c>
      <c r="I127" s="191">
        <f t="shared" si="7"/>
        <v>150</v>
      </c>
      <c r="J127" s="192">
        <f t="shared" si="8"/>
        <v>150</v>
      </c>
    </row>
    <row r="128" spans="2:10" hidden="1" x14ac:dyDescent="0.3">
      <c r="H128" s="173">
        <v>29</v>
      </c>
      <c r="I128" s="191">
        <f t="shared" si="7"/>
        <v>150</v>
      </c>
      <c r="J128" s="192">
        <f t="shared" si="8"/>
        <v>150</v>
      </c>
    </row>
    <row r="129" spans="8:10" hidden="1" x14ac:dyDescent="0.3">
      <c r="H129" s="172">
        <v>30</v>
      </c>
      <c r="I129" s="191">
        <f t="shared" si="7"/>
        <v>150</v>
      </c>
      <c r="J129" s="192">
        <f t="shared" si="8"/>
        <v>150</v>
      </c>
    </row>
    <row r="130" spans="8:10" hidden="1" x14ac:dyDescent="0.3">
      <c r="H130" s="173">
        <v>31</v>
      </c>
      <c r="I130" s="191">
        <f t="shared" si="7"/>
        <v>150</v>
      </c>
      <c r="J130" s="192">
        <f t="shared" si="8"/>
        <v>150</v>
      </c>
    </row>
    <row r="131" spans="8:10" hidden="1" x14ac:dyDescent="0.3">
      <c r="H131" s="172">
        <v>32</v>
      </c>
      <c r="I131" s="191">
        <f t="shared" si="7"/>
        <v>150</v>
      </c>
      <c r="J131" s="192">
        <f t="shared" si="8"/>
        <v>150</v>
      </c>
    </row>
    <row r="132" spans="8:10" hidden="1" x14ac:dyDescent="0.3">
      <c r="H132" s="172">
        <v>33</v>
      </c>
      <c r="I132" s="191">
        <f t="shared" si="7"/>
        <v>150</v>
      </c>
      <c r="J132" s="192">
        <f t="shared" si="8"/>
        <v>150</v>
      </c>
    </row>
    <row r="133" spans="8:10" hidden="1" x14ac:dyDescent="0.3">
      <c r="H133" s="173">
        <v>34</v>
      </c>
      <c r="I133" s="191">
        <f t="shared" si="7"/>
        <v>150</v>
      </c>
      <c r="J133" s="192">
        <f t="shared" si="8"/>
        <v>150</v>
      </c>
    </row>
    <row r="134" spans="8:10" hidden="1" x14ac:dyDescent="0.3">
      <c r="H134" s="172">
        <v>35</v>
      </c>
      <c r="I134" s="191">
        <f t="shared" si="7"/>
        <v>150</v>
      </c>
      <c r="J134" s="192">
        <f t="shared" si="8"/>
        <v>150</v>
      </c>
    </row>
    <row r="135" spans="8:10" hidden="1" x14ac:dyDescent="0.3">
      <c r="H135" s="173">
        <v>36</v>
      </c>
      <c r="I135" s="191">
        <f t="shared" si="7"/>
        <v>150</v>
      </c>
      <c r="J135" s="192">
        <f t="shared" si="8"/>
        <v>150</v>
      </c>
    </row>
    <row r="136" spans="8:10" hidden="1" x14ac:dyDescent="0.3">
      <c r="H136" s="172">
        <v>37</v>
      </c>
      <c r="I136" s="191">
        <f t="shared" si="7"/>
        <v>150</v>
      </c>
      <c r="J136" s="192">
        <f t="shared" si="8"/>
        <v>150</v>
      </c>
    </row>
    <row r="137" spans="8:10" hidden="1" x14ac:dyDescent="0.3">
      <c r="H137" s="173">
        <v>38</v>
      </c>
      <c r="I137" s="191">
        <f t="shared" si="7"/>
        <v>150</v>
      </c>
      <c r="J137" s="192">
        <f t="shared" si="8"/>
        <v>150</v>
      </c>
    </row>
    <row r="138" spans="8:10" hidden="1" x14ac:dyDescent="0.3">
      <c r="H138" s="172">
        <v>39</v>
      </c>
      <c r="I138" s="191">
        <f t="shared" si="7"/>
        <v>150</v>
      </c>
      <c r="J138" s="192">
        <f t="shared" si="8"/>
        <v>150</v>
      </c>
    </row>
    <row r="139" spans="8:10" hidden="1" x14ac:dyDescent="0.3">
      <c r="H139" s="172">
        <v>40</v>
      </c>
      <c r="I139" s="191">
        <f t="shared" si="7"/>
        <v>150</v>
      </c>
      <c r="J139" s="192">
        <f t="shared" si="8"/>
        <v>150</v>
      </c>
    </row>
    <row r="140" spans="8:10" hidden="1" x14ac:dyDescent="0.3">
      <c r="H140" s="173">
        <v>41</v>
      </c>
      <c r="I140" s="191">
        <f t="shared" si="7"/>
        <v>150</v>
      </c>
      <c r="J140" s="192">
        <f t="shared" si="8"/>
        <v>150</v>
      </c>
    </row>
    <row r="141" spans="8:10" hidden="1" x14ac:dyDescent="0.3">
      <c r="H141" s="172">
        <v>42</v>
      </c>
      <c r="I141" s="191">
        <f t="shared" si="7"/>
        <v>150</v>
      </c>
      <c r="J141" s="192">
        <f t="shared" si="8"/>
        <v>150</v>
      </c>
    </row>
    <row r="142" spans="8:10" hidden="1" x14ac:dyDescent="0.3">
      <c r="H142" s="173">
        <v>43</v>
      </c>
      <c r="I142" s="191">
        <f t="shared" si="7"/>
        <v>150</v>
      </c>
      <c r="J142" s="192">
        <f t="shared" si="8"/>
        <v>150</v>
      </c>
    </row>
    <row r="143" spans="8:10" hidden="1" x14ac:dyDescent="0.3">
      <c r="H143" s="172">
        <v>44</v>
      </c>
      <c r="I143" s="191">
        <f t="shared" si="7"/>
        <v>150</v>
      </c>
      <c r="J143" s="192">
        <f t="shared" si="8"/>
        <v>150</v>
      </c>
    </row>
    <row r="144" spans="8:10" hidden="1" x14ac:dyDescent="0.3">
      <c r="H144" s="173">
        <v>45</v>
      </c>
      <c r="I144" s="191">
        <f t="shared" si="7"/>
        <v>150</v>
      </c>
      <c r="J144" s="192">
        <f t="shared" si="8"/>
        <v>150</v>
      </c>
    </row>
    <row r="145" spans="8:10" hidden="1" x14ac:dyDescent="0.3">
      <c r="H145" s="172">
        <v>46</v>
      </c>
      <c r="I145" s="191">
        <f t="shared" si="7"/>
        <v>150</v>
      </c>
      <c r="J145" s="192">
        <f t="shared" si="8"/>
        <v>150</v>
      </c>
    </row>
    <row r="146" spans="8:10" hidden="1" x14ac:dyDescent="0.3">
      <c r="H146" s="173">
        <v>47</v>
      </c>
      <c r="I146" s="191">
        <f t="shared" si="7"/>
        <v>150</v>
      </c>
      <c r="J146" s="192">
        <f t="shared" si="8"/>
        <v>150</v>
      </c>
    </row>
    <row r="147" spans="8:10" hidden="1" x14ac:dyDescent="0.3">
      <c r="H147" s="172">
        <v>48</v>
      </c>
      <c r="I147" s="191">
        <f t="shared" si="7"/>
        <v>150</v>
      </c>
      <c r="J147" s="192">
        <f t="shared" si="8"/>
        <v>150</v>
      </c>
    </row>
    <row r="148" spans="8:10" hidden="1" x14ac:dyDescent="0.3">
      <c r="H148" s="173">
        <v>49</v>
      </c>
      <c r="I148" s="191">
        <f t="shared" si="7"/>
        <v>150</v>
      </c>
      <c r="J148" s="192">
        <f t="shared" si="8"/>
        <v>150</v>
      </c>
    </row>
    <row r="149" spans="8:10" hidden="1" x14ac:dyDescent="0.3">
      <c r="H149" s="172">
        <v>50</v>
      </c>
      <c r="I149" s="191">
        <f t="shared" si="7"/>
        <v>150</v>
      </c>
      <c r="J149" s="192">
        <f t="shared" si="8"/>
        <v>150</v>
      </c>
    </row>
    <row r="150" spans="8:10" hidden="1" x14ac:dyDescent="0.3">
      <c r="H150" s="173">
        <v>51</v>
      </c>
      <c r="I150" s="191">
        <f t="shared" si="7"/>
        <v>150</v>
      </c>
      <c r="J150" s="192">
        <f t="shared" si="8"/>
        <v>150</v>
      </c>
    </row>
    <row r="151" spans="8:10" hidden="1" x14ac:dyDescent="0.3">
      <c r="H151" s="172">
        <v>52</v>
      </c>
      <c r="I151" s="191">
        <f t="shared" si="7"/>
        <v>150</v>
      </c>
      <c r="J151" s="192">
        <f t="shared" si="8"/>
        <v>150</v>
      </c>
    </row>
    <row r="152" spans="8:10" hidden="1" x14ac:dyDescent="0.3">
      <c r="H152" s="172">
        <v>53</v>
      </c>
      <c r="I152" s="191">
        <f t="shared" si="7"/>
        <v>150</v>
      </c>
      <c r="J152" s="192">
        <f t="shared" si="8"/>
        <v>150</v>
      </c>
    </row>
    <row r="153" spans="8:10" hidden="1" x14ac:dyDescent="0.3">
      <c r="H153" s="173">
        <v>54</v>
      </c>
      <c r="I153" s="191">
        <f t="shared" si="7"/>
        <v>150</v>
      </c>
      <c r="J153" s="192">
        <f t="shared" si="8"/>
        <v>150</v>
      </c>
    </row>
    <row r="154" spans="8:10" hidden="1" x14ac:dyDescent="0.3">
      <c r="H154" s="172">
        <v>55</v>
      </c>
      <c r="I154" s="191">
        <f t="shared" si="7"/>
        <v>150</v>
      </c>
      <c r="J154" s="192">
        <f t="shared" si="8"/>
        <v>150</v>
      </c>
    </row>
    <row r="155" spans="8:10" hidden="1" x14ac:dyDescent="0.3">
      <c r="H155" s="173">
        <v>56</v>
      </c>
      <c r="I155" s="191">
        <f t="shared" si="7"/>
        <v>150</v>
      </c>
      <c r="J155" s="192">
        <f t="shared" si="8"/>
        <v>150</v>
      </c>
    </row>
    <row r="156" spans="8:10" hidden="1" x14ac:dyDescent="0.3">
      <c r="H156" s="172">
        <v>57</v>
      </c>
      <c r="I156" s="191">
        <f t="shared" si="7"/>
        <v>150</v>
      </c>
      <c r="J156" s="192">
        <f t="shared" si="8"/>
        <v>150</v>
      </c>
    </row>
    <row r="157" spans="8:10" hidden="1" x14ac:dyDescent="0.3">
      <c r="H157" s="173">
        <v>58</v>
      </c>
      <c r="I157" s="191">
        <f t="shared" si="7"/>
        <v>150</v>
      </c>
      <c r="J157" s="192">
        <f t="shared" si="8"/>
        <v>150</v>
      </c>
    </row>
    <row r="158" spans="8:10" hidden="1" x14ac:dyDescent="0.3">
      <c r="H158" s="172">
        <v>59</v>
      </c>
      <c r="I158" s="191">
        <f t="shared" si="7"/>
        <v>150</v>
      </c>
      <c r="J158" s="192">
        <f t="shared" si="8"/>
        <v>150</v>
      </c>
    </row>
    <row r="159" spans="8:10" hidden="1" x14ac:dyDescent="0.3">
      <c r="H159" s="199">
        <v>60</v>
      </c>
      <c r="I159" s="200">
        <f t="shared" si="7"/>
        <v>150</v>
      </c>
      <c r="J159" s="201">
        <f t="shared" si="8"/>
        <v>150</v>
      </c>
    </row>
    <row r="160" spans="8:1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</sheetData>
  <sheetProtection algorithmName="SHA-512" hashValue="WCz+4CrGSZOx2rLcvNiEYwvYKDotYJNXz8NeEiIRSxJRcgfZDMBcwL9V0FqshuiV7kyS9iPGkSl4K1rlzw0CtQ==" saltValue="zKAer3Mo0TYTsC1wx1uI7Q==" spinCount="100000" sheet="1" objects="1" scenarios="1"/>
  <mergeCells count="54">
    <mergeCell ref="B118:C118"/>
    <mergeCell ref="B104:C104"/>
    <mergeCell ref="B107:C107"/>
    <mergeCell ref="B116:C116"/>
    <mergeCell ref="B113:D113"/>
    <mergeCell ref="B117:C117"/>
    <mergeCell ref="B105:C105"/>
    <mergeCell ref="B114:C114"/>
    <mergeCell ref="B110:C110"/>
    <mergeCell ref="B111:C111"/>
    <mergeCell ref="B115:C115"/>
    <mergeCell ref="B108:C108"/>
    <mergeCell ref="B109:C109"/>
    <mergeCell ref="H98:J98"/>
    <mergeCell ref="B19:C19"/>
    <mergeCell ref="B102:C102"/>
    <mergeCell ref="B21:C21"/>
    <mergeCell ref="B50:C51"/>
    <mergeCell ref="B98:F98"/>
    <mergeCell ref="B49:C49"/>
    <mergeCell ref="B52:C52"/>
    <mergeCell ref="E50:E51"/>
    <mergeCell ref="B46:C46"/>
    <mergeCell ref="B47:C47"/>
    <mergeCell ref="B48:C48"/>
    <mergeCell ref="B23:C23"/>
    <mergeCell ref="B22:C22"/>
    <mergeCell ref="B53:C53"/>
    <mergeCell ref="B100:C100"/>
    <mergeCell ref="B44:C44"/>
    <mergeCell ref="B63:C63"/>
    <mergeCell ref="B64:C64"/>
    <mergeCell ref="B65:C65"/>
    <mergeCell ref="B24:C24"/>
    <mergeCell ref="B45:C45"/>
    <mergeCell ref="B29:D29"/>
    <mergeCell ref="B25:C25"/>
    <mergeCell ref="B27:C27"/>
    <mergeCell ref="B103:C103"/>
    <mergeCell ref="B101:C101"/>
    <mergeCell ref="A6:R6"/>
    <mergeCell ref="B14:D14"/>
    <mergeCell ref="B15:C15"/>
    <mergeCell ref="B16:C16"/>
    <mergeCell ref="B20:C20"/>
    <mergeCell ref="B18:C18"/>
    <mergeCell ref="B17:C17"/>
    <mergeCell ref="M14:Q14"/>
    <mergeCell ref="C8:D8"/>
    <mergeCell ref="C9:D9"/>
    <mergeCell ref="C10:D10"/>
    <mergeCell ref="C11:D11"/>
    <mergeCell ref="B99:C99"/>
    <mergeCell ref="B26:C26"/>
  </mergeCells>
  <phoneticPr fontId="15" type="noConversion"/>
  <pageMargins left="0.25" right="0.31433823529411764" top="0.75" bottom="0.75" header="0.3" footer="0.3"/>
  <pageSetup paperSize="9" orientation="portrait" r:id="rId1"/>
  <headerFooter>
    <oddHeader>&amp;L&amp;G&amp;R&amp;G</oddHeader>
    <oddFooter>&amp;C&amp;G</oddFooter>
  </headerFooter>
  <ignoredErrors>
    <ignoredError sqref="G97:H97 G45:G53" numberStoredAsText="1"/>
  </ignoredErrors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'TABLAS MORT'!$U$13:$U$14</xm:f>
          </x14:formula1>
          <xm:sqref>D16</xm:sqref>
        </x14:dataValidation>
        <x14:dataValidation type="list" allowBlank="1" showInputMessage="1" showErrorMessage="1">
          <x14:formula1>
            <xm:f>'TABLAS MORT'!$U$11:$U$12</xm:f>
          </x14:formula1>
          <xm:sqref>D15</xm:sqref>
        </x14:dataValidation>
        <x14:dataValidation type="list" allowBlank="1" showInputMessage="1" showErrorMessage="1">
          <x14:formula1>
            <xm:f>'COBERTURAS ADICIONALES'!$AB$2:$AC$2</xm:f>
          </x14:formula1>
          <xm:sqref>D26</xm:sqref>
        </x14:dataValidation>
        <x14:dataValidation type="list" allowBlank="1" showInputMessage="1" showErrorMessage="1">
          <x14:formula1>
            <xm:f>'TABLAS MORT'!$V$21:$V$24</xm:f>
          </x14:formula1>
          <xm:sqref>D27</xm:sqref>
        </x14:dataValidation>
        <x14:dataValidation type="list" allowBlank="1" showInputMessage="1" showErrorMessage="1">
          <x14:formula1>
            <xm:f>'TABLAS MORT'!$V$32:$V$33</xm:f>
          </x14:formula1>
          <xm:sqref>D26:D27</xm:sqref>
        </x14:dataValidation>
        <x14:dataValidation type="list" allowBlank="1" showInputMessage="1" showErrorMessage="1">
          <x14:formula1>
            <xm:f>IF($D$22='TABLAS MORT'!$V$27,'TABLAS ADI'!$BB$6,'TABLAS ADI'!$BB$3:$BB$6)</xm:f>
          </x14:formula1>
          <xm:sqref>D24</xm:sqref>
        </x14:dataValidation>
        <x14:dataValidation type="list" allowBlank="1" showInputMessage="1" showErrorMessage="1">
          <x14:formula1>
            <xm:f>IF($D$22='TABLAS MORT'!$V$27,'TABLAS MORT'!$X$27,'TABLAS MORT'!$X$28:$X$30)</xm:f>
          </x14:formula1>
          <xm:sqref>D21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180"/>
  <sheetViews>
    <sheetView showGridLines="0" showWhiteSpace="0" zoomScaleNormal="100" zoomScaleSheetLayoutView="55" zoomScalePageLayoutView="70" workbookViewId="0">
      <selection activeCell="B74" sqref="B74:G74"/>
    </sheetView>
  </sheetViews>
  <sheetFormatPr baseColWidth="10" defaultColWidth="0" defaultRowHeight="13.8" zeroHeight="1" x14ac:dyDescent="0.3"/>
  <cols>
    <col min="1" max="1" width="2.69921875" style="129" customWidth="1"/>
    <col min="2" max="2" width="15.8984375" style="129" customWidth="1"/>
    <col min="3" max="3" width="5.69921875" style="129" customWidth="1"/>
    <col min="4" max="4" width="10" style="129" customWidth="1"/>
    <col min="5" max="5" width="12.59765625" style="129" customWidth="1"/>
    <col min="6" max="6" width="14" style="129" customWidth="1"/>
    <col min="7" max="7" width="13.5" style="129" bestFit="1" customWidth="1"/>
    <col min="8" max="8" width="2.59765625" style="129" customWidth="1"/>
    <col min="9" max="9" width="7.69921875" style="129" customWidth="1"/>
    <col min="10" max="10" width="2.69921875" style="129" customWidth="1"/>
    <col min="11" max="16384" width="13.3984375" style="129" hidden="1"/>
  </cols>
  <sheetData>
    <row r="1" spans="2:9" x14ac:dyDescent="0.3"/>
    <row r="2" spans="2:9" x14ac:dyDescent="0.3"/>
    <row r="3" spans="2:9" x14ac:dyDescent="0.3"/>
    <row r="4" spans="2:9" x14ac:dyDescent="0.3"/>
    <row r="5" spans="2:9" x14ac:dyDescent="0.3"/>
    <row r="6" spans="2:9" x14ac:dyDescent="0.3"/>
    <row r="7" spans="2:9" ht="18" x14ac:dyDescent="0.35">
      <c r="B7" s="267" t="s">
        <v>470</v>
      </c>
      <c r="C7" s="267"/>
      <c r="D7" s="267"/>
      <c r="E7" s="267"/>
      <c r="F7" s="267"/>
      <c r="G7" s="267"/>
      <c r="H7" s="267"/>
      <c r="I7" s="267"/>
    </row>
    <row r="8" spans="2:9" ht="18" x14ac:dyDescent="0.35">
      <c r="B8" s="267" t="s">
        <v>441</v>
      </c>
      <c r="C8" s="267"/>
      <c r="D8" s="267"/>
      <c r="E8" s="267"/>
      <c r="F8" s="267"/>
      <c r="G8" s="267"/>
      <c r="H8" s="267"/>
      <c r="I8" s="267"/>
    </row>
    <row r="9" spans="2:9" x14ac:dyDescent="0.3"/>
    <row r="10" spans="2:9" x14ac:dyDescent="0.3"/>
    <row r="11" spans="2:9" ht="15.6" x14ac:dyDescent="0.3">
      <c r="B11" s="209" t="s">
        <v>442</v>
      </c>
      <c r="D11" s="210">
        <f>+Parámetros!D17</f>
        <v>44761</v>
      </c>
    </row>
    <row r="12" spans="2:9" x14ac:dyDescent="0.3"/>
    <row r="13" spans="2:9" x14ac:dyDescent="0.3"/>
    <row r="14" spans="2:9" s="213" customFormat="1" ht="14.25" customHeight="1" x14ac:dyDescent="0.3">
      <c r="B14" s="211" t="s">
        <v>435</v>
      </c>
      <c r="C14" s="212"/>
      <c r="D14" s="212"/>
      <c r="E14" s="212"/>
      <c r="F14" s="212"/>
      <c r="G14" s="212"/>
      <c r="H14" s="212"/>
      <c r="I14" s="212"/>
    </row>
    <row r="15" spans="2:9" x14ac:dyDescent="0.3"/>
    <row r="16" spans="2:9" ht="20.25" customHeight="1" x14ac:dyDescent="0.3">
      <c r="B16" s="214" t="s">
        <v>443</v>
      </c>
      <c r="C16" s="269" t="str">
        <f>+Parámetros!C8</f>
        <v>María Belén</v>
      </c>
      <c r="D16" s="270"/>
      <c r="E16" s="271"/>
      <c r="F16" s="215" t="s">
        <v>444</v>
      </c>
      <c r="G16" s="281" t="str">
        <f>+Parámetros!C9</f>
        <v>0991234567</v>
      </c>
      <c r="H16" s="281"/>
      <c r="I16" s="281"/>
    </row>
    <row r="17" spans="2:9" ht="20.25" customHeight="1" x14ac:dyDescent="0.3">
      <c r="B17" s="216" t="s">
        <v>445</v>
      </c>
      <c r="C17" s="277">
        <f>+Parámetros!D18</f>
        <v>30142</v>
      </c>
      <c r="D17" s="278"/>
      <c r="E17" s="279"/>
      <c r="F17" s="217" t="s">
        <v>446</v>
      </c>
      <c r="G17" s="282" t="str">
        <f>+Parámetros!C10</f>
        <v>mgomez@seg-pichincha.com</v>
      </c>
      <c r="H17" s="282"/>
      <c r="I17" s="282"/>
    </row>
    <row r="18" spans="2:9" ht="20.25" customHeight="1" x14ac:dyDescent="0.3">
      <c r="B18" s="214" t="s">
        <v>425</v>
      </c>
      <c r="C18" s="269" t="str">
        <f>+Parámetros!D15</f>
        <v>MUJER</v>
      </c>
      <c r="D18" s="270"/>
      <c r="E18" s="271"/>
      <c r="F18" s="215" t="s">
        <v>461</v>
      </c>
      <c r="G18" s="281" t="str">
        <f>+Parámetros!D16</f>
        <v>NO FUMADOR</v>
      </c>
      <c r="H18" s="281"/>
      <c r="I18" s="281"/>
    </row>
    <row r="19" spans="2:9" ht="20.25" customHeight="1" thickBot="1" x14ac:dyDescent="0.35">
      <c r="B19" s="218"/>
      <c r="C19" s="219"/>
      <c r="F19" s="217" t="s">
        <v>465</v>
      </c>
      <c r="G19" s="277">
        <f>+Parámetros!C11</f>
        <v>45189</v>
      </c>
      <c r="H19" s="278"/>
      <c r="I19" s="279"/>
    </row>
    <row r="20" spans="2:9" x14ac:dyDescent="0.3"/>
    <row r="21" spans="2:9" x14ac:dyDescent="0.3"/>
    <row r="22" spans="2:9" s="213" customFormat="1" ht="14.25" customHeight="1" x14ac:dyDescent="0.3">
      <c r="B22" s="211" t="s">
        <v>447</v>
      </c>
      <c r="C22" s="212"/>
      <c r="D22" s="212"/>
      <c r="E22" s="212"/>
      <c r="F22" s="212"/>
      <c r="G22" s="212"/>
      <c r="H22" s="212"/>
      <c r="I22" s="212"/>
    </row>
    <row r="23" spans="2:9" x14ac:dyDescent="0.3"/>
    <row r="24" spans="2:9" ht="21" customHeight="1" x14ac:dyDescent="0.3">
      <c r="B24" s="216" t="s">
        <v>467</v>
      </c>
      <c r="C24" s="280" t="s">
        <v>469</v>
      </c>
      <c r="D24" s="278"/>
      <c r="E24" s="279"/>
      <c r="F24" s="216" t="s">
        <v>448</v>
      </c>
      <c r="G24" s="274">
        <f>+Parámetros!D21</f>
        <v>100000</v>
      </c>
      <c r="H24" s="275"/>
      <c r="I24" s="276"/>
    </row>
    <row r="25" spans="2:9" ht="21" customHeight="1" x14ac:dyDescent="0.3">
      <c r="B25" s="214" t="s">
        <v>468</v>
      </c>
      <c r="C25" s="269" t="str">
        <f>+Parámetros!B45</f>
        <v>Enfermedad Terminal</v>
      </c>
      <c r="D25" s="270"/>
      <c r="E25" s="271"/>
      <c r="F25" s="214" t="s">
        <v>448</v>
      </c>
      <c r="G25" s="283">
        <f>+Parámetros!F45</f>
        <v>50000</v>
      </c>
      <c r="H25" s="284"/>
      <c r="I25" s="285"/>
    </row>
    <row r="26" spans="2:9" x14ac:dyDescent="0.3"/>
    <row r="27" spans="2:9" x14ac:dyDescent="0.3"/>
    <row r="28" spans="2:9" s="213" customFormat="1" ht="14.25" customHeight="1" x14ac:dyDescent="0.3">
      <c r="B28" s="211" t="s">
        <v>449</v>
      </c>
      <c r="C28" s="212"/>
      <c r="D28" s="212"/>
      <c r="E28" s="212"/>
      <c r="F28" s="212"/>
      <c r="G28" s="212"/>
      <c r="H28" s="212"/>
      <c r="I28" s="212"/>
    </row>
    <row r="29" spans="2:9" x14ac:dyDescent="0.3"/>
    <row r="30" spans="2:9" ht="21" customHeight="1" x14ac:dyDescent="0.3">
      <c r="B30" s="214" t="s">
        <v>450</v>
      </c>
      <c r="C30" s="269" t="str">
        <f>+Parámetros!D24</f>
        <v>Mensual</v>
      </c>
      <c r="D30" s="270"/>
      <c r="E30" s="271"/>
      <c r="F30" s="214" t="s">
        <v>452</v>
      </c>
      <c r="G30" s="283">
        <f>+Parámetros!D23</f>
        <v>94</v>
      </c>
      <c r="H30" s="284"/>
      <c r="I30" s="285"/>
    </row>
    <row r="31" spans="2:9" x14ac:dyDescent="0.3">
      <c r="B31" s="220"/>
      <c r="C31" s="221"/>
      <c r="D31" s="221"/>
      <c r="E31" s="221"/>
      <c r="F31" s="221"/>
      <c r="G31" s="222"/>
      <c r="H31" s="222"/>
      <c r="I31" s="222"/>
    </row>
    <row r="32" spans="2:9" x14ac:dyDescent="0.3">
      <c r="B32" s="220"/>
      <c r="C32" s="221"/>
      <c r="D32" s="221"/>
      <c r="E32" s="221"/>
      <c r="F32" s="221"/>
      <c r="G32" s="222"/>
      <c r="H32" s="222"/>
      <c r="I32" s="222"/>
    </row>
    <row r="33" spans="2:9" s="213" customFormat="1" ht="14.25" customHeight="1" x14ac:dyDescent="0.3">
      <c r="B33" s="211" t="s">
        <v>451</v>
      </c>
      <c r="C33" s="212"/>
      <c r="D33" s="212"/>
      <c r="E33" s="212"/>
      <c r="F33" s="212"/>
      <c r="G33" s="212"/>
      <c r="H33" s="212"/>
      <c r="I33" s="212"/>
    </row>
    <row r="34" spans="2:9" x14ac:dyDescent="0.3"/>
    <row r="35" spans="2:9" ht="21" customHeight="1" x14ac:dyDescent="0.3">
      <c r="B35" s="223"/>
      <c r="C35" s="272" t="s">
        <v>453</v>
      </c>
      <c r="D35" s="272"/>
      <c r="E35" s="272"/>
      <c r="F35" s="272" t="s">
        <v>454</v>
      </c>
      <c r="G35" s="272"/>
      <c r="H35" s="272"/>
      <c r="I35" s="272"/>
    </row>
    <row r="36" spans="2:9" ht="21" customHeight="1" x14ac:dyDescent="0.3">
      <c r="B36" s="214" t="s">
        <v>455</v>
      </c>
      <c r="C36" s="273">
        <f>+VLOOKUP(20,Parámetros!L16:Q65,4,FALSE)</f>
        <v>17800.34</v>
      </c>
      <c r="D36" s="273"/>
      <c r="E36" s="273"/>
      <c r="F36" s="273">
        <f>+VLOOKUP(65,Parámetros!M16:Q65,3,FALSE)</f>
        <v>22619.41</v>
      </c>
      <c r="G36" s="273"/>
      <c r="H36" s="273"/>
      <c r="I36" s="273"/>
    </row>
    <row r="37" spans="2:9" x14ac:dyDescent="0.3"/>
    <row r="38" spans="2:9" x14ac:dyDescent="0.3"/>
    <row r="39" spans="2:9" x14ac:dyDescent="0.3"/>
    <row r="40" spans="2:9" x14ac:dyDescent="0.3"/>
    <row r="41" spans="2:9" x14ac:dyDescent="0.3"/>
    <row r="42" spans="2:9" x14ac:dyDescent="0.3"/>
    <row r="43" spans="2:9" x14ac:dyDescent="0.3"/>
    <row r="44" spans="2:9" x14ac:dyDescent="0.3"/>
    <row r="45" spans="2:9" x14ac:dyDescent="0.3"/>
    <row r="46" spans="2:9" x14ac:dyDescent="0.3"/>
    <row r="47" spans="2:9" x14ac:dyDescent="0.3"/>
    <row r="48" spans="2:9" x14ac:dyDescent="0.3"/>
    <row r="49" spans="2:9" x14ac:dyDescent="0.3"/>
    <row r="50" spans="2:9" x14ac:dyDescent="0.3"/>
    <row r="51" spans="2:9" x14ac:dyDescent="0.3"/>
    <row r="52" spans="2:9" x14ac:dyDescent="0.3"/>
    <row r="53" spans="2:9" x14ac:dyDescent="0.3"/>
    <row r="54" spans="2:9" x14ac:dyDescent="0.3"/>
    <row r="55" spans="2:9" x14ac:dyDescent="0.3"/>
    <row r="56" spans="2:9" x14ac:dyDescent="0.3"/>
    <row r="57" spans="2:9" x14ac:dyDescent="0.3"/>
    <row r="58" spans="2:9" x14ac:dyDescent="0.3"/>
    <row r="59" spans="2:9" x14ac:dyDescent="0.3"/>
    <row r="60" spans="2:9" x14ac:dyDescent="0.3"/>
    <row r="61" spans="2:9" s="213" customFormat="1" ht="14.25" customHeight="1" x14ac:dyDescent="0.3">
      <c r="B61" s="211" t="s">
        <v>456</v>
      </c>
      <c r="C61" s="212"/>
      <c r="D61" s="212"/>
      <c r="E61" s="212"/>
      <c r="F61" s="212"/>
      <c r="G61" s="212"/>
      <c r="H61" s="212"/>
      <c r="I61" s="212"/>
    </row>
    <row r="62" spans="2:9" x14ac:dyDescent="0.3"/>
    <row r="63" spans="2:9" ht="15.6" x14ac:dyDescent="0.3">
      <c r="B63" s="213"/>
      <c r="C63" s="213"/>
      <c r="D63" s="268" t="s">
        <v>457</v>
      </c>
      <c r="E63" s="268"/>
      <c r="F63" s="268"/>
      <c r="G63" s="224" t="s">
        <v>458</v>
      </c>
    </row>
    <row r="64" spans="2:9" s="230" customFormat="1" ht="27.6" x14ac:dyDescent="0.3">
      <c r="B64" s="229" t="s">
        <v>27</v>
      </c>
      <c r="C64" s="229" t="s">
        <v>3</v>
      </c>
      <c r="D64" s="229" t="s">
        <v>459</v>
      </c>
      <c r="E64" s="229" t="s">
        <v>460</v>
      </c>
      <c r="F64" s="229" t="s">
        <v>440</v>
      </c>
      <c r="G64" s="229" t="s">
        <v>460</v>
      </c>
    </row>
    <row r="65" spans="2:7" x14ac:dyDescent="0.3">
      <c r="B65" s="231">
        <f>IF(C65="","",Parámetros!L16)</f>
        <v>1</v>
      </c>
      <c r="C65" s="231">
        <f>IF(Parámetros!M16="","",IF(Parámetros!M16+1&gt;65,"",Parámetros!M16))</f>
        <v>41</v>
      </c>
      <c r="D65" s="232">
        <f>+Parámetros!N16</f>
        <v>1128</v>
      </c>
      <c r="E65" s="232">
        <f>+Parámetros!O16</f>
        <v>0</v>
      </c>
      <c r="F65" s="232">
        <f>+Parámetros!Q16</f>
        <v>100752.97</v>
      </c>
      <c r="G65" s="232">
        <f>+Parámetros!P16</f>
        <v>0</v>
      </c>
    </row>
    <row r="66" spans="2:7" x14ac:dyDescent="0.3">
      <c r="B66" s="231">
        <f>IF(C66="","",Parámetros!L17)</f>
        <v>2</v>
      </c>
      <c r="C66" s="231">
        <f>+Parámetros!M17</f>
        <v>42</v>
      </c>
      <c r="D66" s="232">
        <f>+Parámetros!N17</f>
        <v>1128</v>
      </c>
      <c r="E66" s="232">
        <f>+Parámetros!O17</f>
        <v>0</v>
      </c>
      <c r="F66" s="232">
        <f>+Parámetros!Q17</f>
        <v>101510.94</v>
      </c>
      <c r="G66" s="232">
        <f>+Parámetros!P17</f>
        <v>0</v>
      </c>
    </row>
    <row r="67" spans="2:7" x14ac:dyDescent="0.3">
      <c r="B67" s="231">
        <f>IF(C67="","",Parámetros!L18)</f>
        <v>3</v>
      </c>
      <c r="C67" s="231">
        <f>+Parámetros!M18</f>
        <v>43</v>
      </c>
      <c r="D67" s="232">
        <f>+Parámetros!N18</f>
        <v>1128</v>
      </c>
      <c r="E67" s="232">
        <f>+Parámetros!O18</f>
        <v>0</v>
      </c>
      <c r="F67" s="232">
        <f>+Parámetros!Q18</f>
        <v>102271.89</v>
      </c>
      <c r="G67" s="232">
        <f>+Parámetros!P18</f>
        <v>0</v>
      </c>
    </row>
    <row r="68" spans="2:7" x14ac:dyDescent="0.3">
      <c r="B68" s="231">
        <f>IF(C68="","",Parámetros!L19)</f>
        <v>4</v>
      </c>
      <c r="C68" s="231">
        <f>+Parámetros!M19</f>
        <v>44</v>
      </c>
      <c r="D68" s="232">
        <f>+Parámetros!N19</f>
        <v>1128</v>
      </c>
      <c r="E68" s="232">
        <f>+Parámetros!O19</f>
        <v>607.14</v>
      </c>
      <c r="F68" s="232">
        <f>+Parámetros!Q19</f>
        <v>103035.7</v>
      </c>
      <c r="G68" s="232">
        <f>+Parámetros!P19</f>
        <v>613.44000000000005</v>
      </c>
    </row>
    <row r="69" spans="2:7" x14ac:dyDescent="0.3">
      <c r="B69" s="231">
        <f>IF(C69="","",Parámetros!L20)</f>
        <v>5</v>
      </c>
      <c r="C69" s="231">
        <f>+Parámetros!M20</f>
        <v>45</v>
      </c>
      <c r="D69" s="232">
        <f>+Parámetros!N20</f>
        <v>1128</v>
      </c>
      <c r="E69" s="232">
        <f>+Parámetros!O20</f>
        <v>1521.94</v>
      </c>
      <c r="F69" s="232">
        <f>+Parámetros!Q20</f>
        <v>103804.86</v>
      </c>
      <c r="G69" s="232">
        <f>+Parámetros!P20</f>
        <v>1541.87</v>
      </c>
    </row>
    <row r="70" spans="2:7" x14ac:dyDescent="0.3">
      <c r="B70" s="231">
        <f>IF(C70="","",Parámetros!L21)</f>
        <v>6</v>
      </c>
      <c r="C70" s="231">
        <f>+Parámetros!M21</f>
        <v>46</v>
      </c>
      <c r="D70" s="232">
        <f>+Parámetros!N21</f>
        <v>1128</v>
      </c>
      <c r="E70" s="232">
        <f>+Parámetros!O21</f>
        <v>2749.3</v>
      </c>
      <c r="F70" s="232">
        <f>+Parámetros!Q21</f>
        <v>104582.17</v>
      </c>
      <c r="G70" s="232">
        <f>+Parámetros!P21</f>
        <v>2792.89</v>
      </c>
    </row>
    <row r="71" spans="2:7" x14ac:dyDescent="0.3">
      <c r="B71" s="231">
        <f>IF(C71="","",Parámetros!L22)</f>
        <v>7</v>
      </c>
      <c r="C71" s="231">
        <f>+Parámetros!M22</f>
        <v>47</v>
      </c>
      <c r="D71" s="232">
        <f>+Parámetros!N22</f>
        <v>1128</v>
      </c>
      <c r="E71" s="232">
        <f>+Parámetros!O22</f>
        <v>4029.23</v>
      </c>
      <c r="F71" s="232">
        <f>+Parámetros!Q22</f>
        <v>105372.31</v>
      </c>
      <c r="G71" s="232">
        <f>+Parámetros!P22</f>
        <v>4104.3999999999996</v>
      </c>
    </row>
    <row r="72" spans="2:7" x14ac:dyDescent="0.3">
      <c r="B72" s="231">
        <f>IF(C72="","",Parámetros!L23)</f>
        <v>8</v>
      </c>
      <c r="C72" s="231">
        <f>+Parámetros!M23</f>
        <v>48</v>
      </c>
      <c r="D72" s="232">
        <f>+Parámetros!N23</f>
        <v>1128</v>
      </c>
      <c r="E72" s="232">
        <f>+Parámetros!O23</f>
        <v>5249.35</v>
      </c>
      <c r="F72" s="232">
        <f>+Parámetros!Q23</f>
        <v>106175.7</v>
      </c>
      <c r="G72" s="232">
        <f>+Parámetros!P23</f>
        <v>5362.26</v>
      </c>
    </row>
    <row r="73" spans="2:7" x14ac:dyDescent="0.3">
      <c r="B73" s="231">
        <f>IF(C73="","",Parámetros!L24)</f>
        <v>9</v>
      </c>
      <c r="C73" s="231">
        <f>+Parámetros!M24</f>
        <v>49</v>
      </c>
      <c r="D73" s="232">
        <f>+Parámetros!N24</f>
        <v>1128</v>
      </c>
      <c r="E73" s="232">
        <f>+Parámetros!O24</f>
        <v>6640.75</v>
      </c>
      <c r="F73" s="232">
        <f>+Parámetros!Q24</f>
        <v>106990.26</v>
      </c>
      <c r="G73" s="232">
        <f>+Parámetros!P24</f>
        <v>6802.94</v>
      </c>
    </row>
    <row r="74" spans="2:7" x14ac:dyDescent="0.3">
      <c r="B74" s="231">
        <f>IF(C74="","",Parámetros!L25)</f>
        <v>10</v>
      </c>
      <c r="C74" s="231">
        <f>+Parámetros!M25</f>
        <v>50</v>
      </c>
      <c r="D74" s="232">
        <f>+Parámetros!N25</f>
        <v>1128</v>
      </c>
      <c r="E74" s="232">
        <f>+Parámetros!O25</f>
        <v>7816.35</v>
      </c>
      <c r="F74" s="232">
        <f>+Parámetros!Q25</f>
        <v>107816.35</v>
      </c>
      <c r="G74" s="232">
        <f>+Parámetros!P25</f>
        <v>8030.53</v>
      </c>
    </row>
    <row r="75" spans="2:7" x14ac:dyDescent="0.3">
      <c r="B75" s="231">
        <f>IF(C75="","",Parámetros!L26)</f>
        <v>11</v>
      </c>
      <c r="C75" s="231">
        <f>+Parámetros!M26</f>
        <v>51</v>
      </c>
      <c r="D75" s="232">
        <f>+Parámetros!N26</f>
        <v>1128</v>
      </c>
      <c r="E75" s="232">
        <f>+Parámetros!O26</f>
        <v>8783.2000000000007</v>
      </c>
      <c r="F75" s="232">
        <f>+Parámetros!Q26</f>
        <v>108783.2</v>
      </c>
      <c r="G75" s="232">
        <f>+Parámetros!P26</f>
        <v>9047.01</v>
      </c>
    </row>
    <row r="76" spans="2:7" x14ac:dyDescent="0.3">
      <c r="B76" s="231">
        <f>IF(C76="","",Parámetros!L27)</f>
        <v>12</v>
      </c>
      <c r="C76" s="231">
        <f>+Parámetros!M27</f>
        <v>52</v>
      </c>
      <c r="D76" s="232">
        <f>+Parámetros!N27</f>
        <v>1128</v>
      </c>
      <c r="E76" s="232">
        <f>+Parámetros!O27</f>
        <v>9763.09</v>
      </c>
      <c r="F76" s="232">
        <f>+Parámetros!Q27</f>
        <v>109763.09</v>
      </c>
      <c r="G76" s="232">
        <f>+Parámetros!P27</f>
        <v>10083.27</v>
      </c>
    </row>
    <row r="77" spans="2:7" x14ac:dyDescent="0.3">
      <c r="B77" s="231">
        <f>IF(C77="","",Parámetros!L28)</f>
        <v>13</v>
      </c>
      <c r="C77" s="231">
        <f>+Parámetros!M28</f>
        <v>53</v>
      </c>
      <c r="D77" s="232">
        <f>+Parámetros!N28</f>
        <v>1128</v>
      </c>
      <c r="E77" s="232">
        <f>+Parámetros!O28</f>
        <v>10752.64</v>
      </c>
      <c r="F77" s="232">
        <f>+Parámetros!Q28</f>
        <v>110752.64</v>
      </c>
      <c r="G77" s="232">
        <f>+Parámetros!P28</f>
        <v>11136.3</v>
      </c>
    </row>
    <row r="78" spans="2:7" x14ac:dyDescent="0.3">
      <c r="B78" s="231">
        <f>IF(C78="","",Parámetros!L29)</f>
        <v>14</v>
      </c>
      <c r="C78" s="231">
        <f>+Parámetros!M29</f>
        <v>54</v>
      </c>
      <c r="D78" s="232">
        <f>+Parámetros!N29</f>
        <v>1128</v>
      </c>
      <c r="E78" s="232">
        <f>+Parámetros!O29</f>
        <v>11749.75</v>
      </c>
      <c r="F78" s="232">
        <f>+Parámetros!Q29</f>
        <v>111749.75</v>
      </c>
      <c r="G78" s="232">
        <f>+Parámetros!P29</f>
        <v>12204.32</v>
      </c>
    </row>
    <row r="79" spans="2:7" x14ac:dyDescent="0.3">
      <c r="B79" s="231">
        <f>IF(C79="","",Parámetros!L30)</f>
        <v>15</v>
      </c>
      <c r="C79" s="231">
        <f>+Parámetros!M30</f>
        <v>55</v>
      </c>
      <c r="D79" s="232">
        <f>+Parámetros!N30</f>
        <v>1128</v>
      </c>
      <c r="E79" s="232">
        <f>+Parámetros!O30</f>
        <v>12752.13</v>
      </c>
      <c r="F79" s="232">
        <f>+Parámetros!Q30</f>
        <v>112752.13</v>
      </c>
      <c r="G79" s="232">
        <f>+Parámetros!P30</f>
        <v>13285.35</v>
      </c>
    </row>
    <row r="80" spans="2:7" x14ac:dyDescent="0.3">
      <c r="B80" s="231">
        <f>IF(C80="","",Parámetros!L31)</f>
        <v>16</v>
      </c>
      <c r="C80" s="231">
        <f>+Parámetros!M31</f>
        <v>56</v>
      </c>
      <c r="D80" s="232">
        <f>+Parámetros!N31</f>
        <v>1128</v>
      </c>
      <c r="E80" s="232">
        <f>+Parámetros!O31</f>
        <v>13754.06</v>
      </c>
      <c r="F80" s="232">
        <f>+Parámetros!Q31</f>
        <v>113754.06</v>
      </c>
      <c r="G80" s="232">
        <f>+Parámetros!P31</f>
        <v>14374.01</v>
      </c>
    </row>
    <row r="81" spans="2:7" x14ac:dyDescent="0.3">
      <c r="B81" s="231">
        <f>IF(C81="","",Parámetros!L32)</f>
        <v>17</v>
      </c>
      <c r="C81" s="231">
        <f>+Parámetros!M32</f>
        <v>57</v>
      </c>
      <c r="D81" s="232">
        <f>+Parámetros!N32</f>
        <v>1128</v>
      </c>
      <c r="E81" s="232">
        <f>+Parámetros!O32</f>
        <v>14758.73</v>
      </c>
      <c r="F81" s="232">
        <f>+Parámetros!Q32</f>
        <v>114758.73</v>
      </c>
      <c r="G81" s="232">
        <f>+Parámetros!P32</f>
        <v>15473.8</v>
      </c>
    </row>
    <row r="82" spans="2:7" x14ac:dyDescent="0.3">
      <c r="B82" s="231">
        <f>IF(C82="","",Parámetros!L33)</f>
        <v>18</v>
      </c>
      <c r="C82" s="231">
        <f>+Parámetros!M33</f>
        <v>58</v>
      </c>
      <c r="D82" s="232">
        <f>+Parámetros!N33</f>
        <v>1128</v>
      </c>
      <c r="E82" s="232">
        <f>+Parámetros!O33</f>
        <v>15767.73</v>
      </c>
      <c r="F82" s="232">
        <f>+Parámetros!Q33</f>
        <v>115767.73</v>
      </c>
      <c r="G82" s="232">
        <f>+Parámetros!P33</f>
        <v>16586.61</v>
      </c>
    </row>
    <row r="83" spans="2:7" x14ac:dyDescent="0.3">
      <c r="B83" s="231">
        <f>IF(C83="","",Parámetros!L34)</f>
        <v>19</v>
      </c>
      <c r="C83" s="231">
        <f>+Parámetros!M34</f>
        <v>59</v>
      </c>
      <c r="D83" s="232">
        <f>+Parámetros!N34</f>
        <v>1128</v>
      </c>
      <c r="E83" s="232">
        <f>+Parámetros!O34</f>
        <v>16782.37</v>
      </c>
      <c r="F83" s="232">
        <f>+Parámetros!Q34</f>
        <v>116782.37</v>
      </c>
      <c r="G83" s="232">
        <f>+Parámetros!P34</f>
        <v>17714.2</v>
      </c>
    </row>
    <row r="84" spans="2:7" x14ac:dyDescent="0.3">
      <c r="B84" s="231">
        <f>IF(C84="","",Parámetros!L35)</f>
        <v>20</v>
      </c>
      <c r="C84" s="231">
        <f>+Parámetros!M35</f>
        <v>60</v>
      </c>
      <c r="D84" s="232">
        <f>+Parámetros!N35</f>
        <v>1128</v>
      </c>
      <c r="E84" s="232">
        <f>+Parámetros!O35</f>
        <v>17800.34</v>
      </c>
      <c r="F84" s="232">
        <f>+Parámetros!Q35</f>
        <v>117800.34</v>
      </c>
      <c r="G84" s="232">
        <f>+Parámetros!P35</f>
        <v>18854.59</v>
      </c>
    </row>
    <row r="85" spans="2:7" x14ac:dyDescent="0.3">
      <c r="B85" s="231">
        <f>IF(C85="","",Parámetros!L36)</f>
        <v>21</v>
      </c>
      <c r="C85" s="231">
        <f>+Parámetros!M36</f>
        <v>61</v>
      </c>
      <c r="D85" s="232">
        <f>+Parámetros!N36</f>
        <v>1128</v>
      </c>
      <c r="E85" s="232">
        <f>+Parámetros!O36</f>
        <v>18807.66</v>
      </c>
      <c r="F85" s="232">
        <f>+Parámetros!Q36</f>
        <v>118807.66</v>
      </c>
      <c r="G85" s="232">
        <f>+Parámetros!P36</f>
        <v>19994.16</v>
      </c>
    </row>
    <row r="86" spans="2:7" x14ac:dyDescent="0.3">
      <c r="B86" s="231">
        <f>IF(C86="","",Parámetros!L37)</f>
        <v>22</v>
      </c>
      <c r="C86" s="231">
        <f>+Parámetros!M37</f>
        <v>62</v>
      </c>
      <c r="D86" s="232">
        <f>+Parámetros!N37</f>
        <v>1128</v>
      </c>
      <c r="E86" s="232">
        <f>+Parámetros!O37</f>
        <v>19806.52</v>
      </c>
      <c r="F86" s="232">
        <f>+Parámetros!Q37</f>
        <v>119806.52</v>
      </c>
      <c r="G86" s="232">
        <f>+Parámetros!P37</f>
        <v>21135.49</v>
      </c>
    </row>
    <row r="87" spans="2:7" x14ac:dyDescent="0.3">
      <c r="B87" s="231">
        <f>IF(C87="","",Parámetros!L38)</f>
        <v>23</v>
      </c>
      <c r="C87" s="231">
        <f>+Parámetros!M38</f>
        <v>63</v>
      </c>
      <c r="D87" s="232">
        <f>+Parámetros!N38</f>
        <v>1128</v>
      </c>
      <c r="E87" s="232">
        <f>+Parámetros!O38</f>
        <v>20784.05</v>
      </c>
      <c r="F87" s="232">
        <f>+Parámetros!Q38</f>
        <v>120784.05</v>
      </c>
      <c r="G87" s="232">
        <f>+Parámetros!P38</f>
        <v>22266.01</v>
      </c>
    </row>
    <row r="88" spans="2:7" x14ac:dyDescent="0.3">
      <c r="B88" s="231">
        <f>IF(C88="","",Parámetros!L39)</f>
        <v>24</v>
      </c>
      <c r="C88" s="231">
        <f>+Parámetros!M39</f>
        <v>64</v>
      </c>
      <c r="D88" s="232">
        <f>+Parámetros!N39</f>
        <v>1128</v>
      </c>
      <c r="E88" s="232">
        <f>+Parámetros!O39</f>
        <v>21726.81</v>
      </c>
      <c r="F88" s="232">
        <f>+Parámetros!Q39</f>
        <v>121726.81</v>
      </c>
      <c r="G88" s="232">
        <f>+Parámetros!P39</f>
        <v>23372.54</v>
      </c>
    </row>
    <row r="89" spans="2:7" x14ac:dyDescent="0.3">
      <c r="B89" s="231">
        <f>IF(C89="","",Parámetros!L40)</f>
        <v>25</v>
      </c>
      <c r="C89" s="231">
        <f>+Parámetros!M40</f>
        <v>65</v>
      </c>
      <c r="D89" s="232">
        <f>+Parámetros!N40</f>
        <v>1128</v>
      </c>
      <c r="E89" s="232">
        <f>+Parámetros!O40</f>
        <v>22619.41</v>
      </c>
      <c r="F89" s="232">
        <f>+Parámetros!Q40</f>
        <v>122619.41</v>
      </c>
      <c r="G89" s="232">
        <f>+Parámetros!P40</f>
        <v>24439.94</v>
      </c>
    </row>
    <row r="90" spans="2:7" x14ac:dyDescent="0.3">
      <c r="B90" s="231" t="str">
        <f>IF(C90="","",Parámetros!L41)</f>
        <v/>
      </c>
      <c r="C90" s="231" t="str">
        <f>+Parámetros!M41</f>
        <v/>
      </c>
      <c r="D90" s="232" t="str">
        <f>+Parámetros!N41</f>
        <v/>
      </c>
      <c r="E90" s="232" t="str">
        <f>+Parámetros!O41</f>
        <v/>
      </c>
      <c r="F90" s="232" t="str">
        <f>+Parámetros!Q41</f>
        <v/>
      </c>
      <c r="G90" s="232" t="str">
        <f>+Parámetros!P41</f>
        <v/>
      </c>
    </row>
    <row r="91" spans="2:7" x14ac:dyDescent="0.3">
      <c r="B91" s="231" t="str">
        <f>IF(C91="","",Parámetros!L42)</f>
        <v/>
      </c>
      <c r="C91" s="231" t="str">
        <f>+Parámetros!M42</f>
        <v/>
      </c>
      <c r="D91" s="232" t="str">
        <f>+Parámetros!N42</f>
        <v/>
      </c>
      <c r="E91" s="232" t="str">
        <f>+Parámetros!O42</f>
        <v/>
      </c>
      <c r="F91" s="232" t="str">
        <f>+Parámetros!Q42</f>
        <v/>
      </c>
      <c r="G91" s="232" t="str">
        <f>+Parámetros!P42</f>
        <v/>
      </c>
    </row>
    <row r="92" spans="2:7" x14ac:dyDescent="0.3">
      <c r="B92" s="231" t="str">
        <f>IF(C92="","",Parámetros!L43)</f>
        <v/>
      </c>
      <c r="C92" s="231" t="str">
        <f>+Parámetros!M43</f>
        <v/>
      </c>
      <c r="D92" s="232" t="str">
        <f>+Parámetros!N43</f>
        <v/>
      </c>
      <c r="E92" s="232" t="str">
        <f>+Parámetros!O43</f>
        <v/>
      </c>
      <c r="F92" s="232" t="str">
        <f>+Parámetros!Q43</f>
        <v/>
      </c>
      <c r="G92" s="232" t="str">
        <f>+Parámetros!P43</f>
        <v/>
      </c>
    </row>
    <row r="93" spans="2:7" x14ac:dyDescent="0.3">
      <c r="B93" s="231" t="str">
        <f>IF(C93="","",Parámetros!L44)</f>
        <v/>
      </c>
      <c r="C93" s="231" t="str">
        <f>+Parámetros!M44</f>
        <v/>
      </c>
      <c r="D93" s="232" t="str">
        <f>+Parámetros!N44</f>
        <v/>
      </c>
      <c r="E93" s="232" t="str">
        <f>+Parámetros!O44</f>
        <v/>
      </c>
      <c r="F93" s="232" t="str">
        <f>+Parámetros!Q44</f>
        <v/>
      </c>
      <c r="G93" s="232" t="str">
        <f>+Parámetros!P44</f>
        <v/>
      </c>
    </row>
    <row r="94" spans="2:7" x14ac:dyDescent="0.3">
      <c r="B94" s="231" t="str">
        <f>IF(C94="","",Parámetros!L45)</f>
        <v/>
      </c>
      <c r="C94" s="231" t="str">
        <f>+Parámetros!M45</f>
        <v/>
      </c>
      <c r="D94" s="232" t="str">
        <f>+Parámetros!N45</f>
        <v/>
      </c>
      <c r="E94" s="232" t="str">
        <f>+Parámetros!O45</f>
        <v/>
      </c>
      <c r="F94" s="232" t="str">
        <f>+Parámetros!Q45</f>
        <v/>
      </c>
      <c r="G94" s="232" t="str">
        <f>+Parámetros!P45</f>
        <v/>
      </c>
    </row>
    <row r="95" spans="2:7" x14ac:dyDescent="0.3">
      <c r="B95" s="231" t="str">
        <f>IF(C95="","",Parámetros!L46)</f>
        <v/>
      </c>
      <c r="C95" s="231" t="str">
        <f>+Parámetros!M46</f>
        <v/>
      </c>
      <c r="D95" s="232" t="str">
        <f>+Parámetros!N46</f>
        <v/>
      </c>
      <c r="E95" s="232" t="str">
        <f>+Parámetros!O46</f>
        <v/>
      </c>
      <c r="F95" s="232" t="str">
        <f>+Parámetros!Q46</f>
        <v/>
      </c>
      <c r="G95" s="232" t="str">
        <f>+Parámetros!P46</f>
        <v/>
      </c>
    </row>
    <row r="96" spans="2:7" x14ac:dyDescent="0.3">
      <c r="B96" s="231" t="str">
        <f>IF(C96="","",Parámetros!L47)</f>
        <v/>
      </c>
      <c r="C96" s="231" t="str">
        <f>+Parámetros!M47</f>
        <v/>
      </c>
      <c r="D96" s="232" t="str">
        <f>+Parámetros!N47</f>
        <v/>
      </c>
      <c r="E96" s="232" t="str">
        <f>+Parámetros!O47</f>
        <v/>
      </c>
      <c r="F96" s="232" t="str">
        <f>+Parámetros!Q47</f>
        <v/>
      </c>
      <c r="G96" s="232" t="str">
        <f>+Parámetros!P47</f>
        <v/>
      </c>
    </row>
    <row r="97" spans="2:7" x14ac:dyDescent="0.3">
      <c r="B97" s="231" t="str">
        <f>IF(C97="","",Parámetros!L48)</f>
        <v/>
      </c>
      <c r="C97" s="231" t="str">
        <f>+Parámetros!M48</f>
        <v/>
      </c>
      <c r="D97" s="232" t="str">
        <f>+Parámetros!N48</f>
        <v/>
      </c>
      <c r="E97" s="232" t="str">
        <f>+Parámetros!O48</f>
        <v/>
      </c>
      <c r="F97" s="232" t="str">
        <f>+Parámetros!Q48</f>
        <v/>
      </c>
      <c r="G97" s="232" t="str">
        <f>+Parámetros!P48</f>
        <v/>
      </c>
    </row>
    <row r="98" spans="2:7" x14ac:dyDescent="0.3">
      <c r="B98" s="231" t="str">
        <f>IF(C98="","",Parámetros!L49)</f>
        <v/>
      </c>
      <c r="C98" s="231" t="str">
        <f>+Parámetros!M49</f>
        <v/>
      </c>
      <c r="D98" s="232" t="str">
        <f>+Parámetros!N49</f>
        <v/>
      </c>
      <c r="E98" s="232" t="str">
        <f>+Parámetros!O49</f>
        <v/>
      </c>
      <c r="F98" s="232" t="str">
        <f>+Parámetros!Q49</f>
        <v/>
      </c>
      <c r="G98" s="232" t="str">
        <f>+Parámetros!P49</f>
        <v/>
      </c>
    </row>
    <row r="99" spans="2:7" x14ac:dyDescent="0.3">
      <c r="B99" s="231" t="str">
        <f>IF(C99="","",Parámetros!L50)</f>
        <v/>
      </c>
      <c r="C99" s="231" t="str">
        <f>+Parámetros!M50</f>
        <v/>
      </c>
      <c r="D99" s="232" t="str">
        <f>+Parámetros!N50</f>
        <v/>
      </c>
      <c r="E99" s="232" t="str">
        <f>+Parámetros!O50</f>
        <v/>
      </c>
      <c r="F99" s="232" t="str">
        <f>+Parámetros!Q50</f>
        <v/>
      </c>
      <c r="G99" s="232" t="str">
        <f>+Parámetros!P50</f>
        <v/>
      </c>
    </row>
    <row r="100" spans="2:7" x14ac:dyDescent="0.3">
      <c r="B100" s="231" t="str">
        <f>IF(C100="","",Parámetros!L51)</f>
        <v/>
      </c>
      <c r="C100" s="231" t="str">
        <f>+Parámetros!M51</f>
        <v/>
      </c>
      <c r="D100" s="232" t="str">
        <f>+Parámetros!N51</f>
        <v/>
      </c>
      <c r="E100" s="232" t="str">
        <f>+Parámetros!O51</f>
        <v/>
      </c>
      <c r="F100" s="232" t="str">
        <f>+Parámetros!Q51</f>
        <v/>
      </c>
      <c r="G100" s="232" t="str">
        <f>+Parámetros!P51</f>
        <v/>
      </c>
    </row>
    <row r="101" spans="2:7" x14ac:dyDescent="0.3">
      <c r="B101" s="231" t="str">
        <f>IF(C101="","",Parámetros!L52)</f>
        <v/>
      </c>
      <c r="C101" s="231" t="str">
        <f>+Parámetros!M52</f>
        <v/>
      </c>
      <c r="D101" s="232" t="str">
        <f>+Parámetros!N52</f>
        <v/>
      </c>
      <c r="E101" s="232" t="str">
        <f>+Parámetros!O52</f>
        <v/>
      </c>
      <c r="F101" s="232" t="str">
        <f>+Parámetros!Q52</f>
        <v/>
      </c>
      <c r="G101" s="232" t="str">
        <f>+Parámetros!P52</f>
        <v/>
      </c>
    </row>
    <row r="102" spans="2:7" x14ac:dyDescent="0.3">
      <c r="B102" s="231" t="str">
        <f>IF(C102="","",Parámetros!L53)</f>
        <v/>
      </c>
      <c r="C102" s="231" t="str">
        <f>+Parámetros!M53</f>
        <v/>
      </c>
      <c r="D102" s="232" t="str">
        <f>+Parámetros!N53</f>
        <v/>
      </c>
      <c r="E102" s="232" t="str">
        <f>+Parámetros!O53</f>
        <v/>
      </c>
      <c r="F102" s="232" t="str">
        <f>+Parámetros!Q53</f>
        <v/>
      </c>
      <c r="G102" s="232" t="str">
        <f>+Parámetros!P53</f>
        <v/>
      </c>
    </row>
    <row r="103" spans="2:7" x14ac:dyDescent="0.3">
      <c r="B103" s="231" t="str">
        <f>IF(C103="","",Parámetros!L54)</f>
        <v/>
      </c>
      <c r="C103" s="231" t="str">
        <f>+Parámetros!M54</f>
        <v/>
      </c>
      <c r="D103" s="232" t="str">
        <f>+Parámetros!N54</f>
        <v/>
      </c>
      <c r="E103" s="232" t="str">
        <f>+Parámetros!O54</f>
        <v/>
      </c>
      <c r="F103" s="232" t="str">
        <f>+Parámetros!Q54</f>
        <v/>
      </c>
      <c r="G103" s="232" t="str">
        <f>+Parámetros!P54</f>
        <v/>
      </c>
    </row>
    <row r="104" spans="2:7" x14ac:dyDescent="0.3">
      <c r="B104" s="231" t="str">
        <f>IF(C104="","",Parámetros!L55)</f>
        <v/>
      </c>
      <c r="C104" s="231" t="str">
        <f>+Parámetros!M55</f>
        <v/>
      </c>
      <c r="D104" s="232" t="str">
        <f>+Parámetros!N55</f>
        <v/>
      </c>
      <c r="E104" s="232" t="str">
        <f>+Parámetros!O55</f>
        <v/>
      </c>
      <c r="F104" s="232" t="str">
        <f>+Parámetros!Q55</f>
        <v/>
      </c>
      <c r="G104" s="232" t="str">
        <f>+Parámetros!P55</f>
        <v/>
      </c>
    </row>
    <row r="105" spans="2:7" x14ac:dyDescent="0.3">
      <c r="B105" s="231" t="str">
        <f>IF(C105="","",Parámetros!L56)</f>
        <v/>
      </c>
      <c r="C105" s="231" t="str">
        <f>+Parámetros!M56</f>
        <v/>
      </c>
      <c r="D105" s="232" t="str">
        <f>+Parámetros!N56</f>
        <v/>
      </c>
      <c r="E105" s="232" t="str">
        <f>+Parámetros!O56</f>
        <v/>
      </c>
      <c r="F105" s="232" t="str">
        <f>+Parámetros!Q56</f>
        <v/>
      </c>
      <c r="G105" s="232" t="str">
        <f>+Parámetros!P56</f>
        <v/>
      </c>
    </row>
    <row r="106" spans="2:7" x14ac:dyDescent="0.3">
      <c r="B106" s="231" t="str">
        <f>IF(C106="","",Parámetros!L57)</f>
        <v/>
      </c>
      <c r="C106" s="231" t="str">
        <f>+Parámetros!M57</f>
        <v/>
      </c>
      <c r="D106" s="232" t="str">
        <f>+Parámetros!N57</f>
        <v/>
      </c>
      <c r="E106" s="232" t="str">
        <f>+Parámetros!O57</f>
        <v/>
      </c>
      <c r="F106" s="232" t="str">
        <f>+Parámetros!Q57</f>
        <v/>
      </c>
      <c r="G106" s="232" t="str">
        <f>+Parámetros!P57</f>
        <v/>
      </c>
    </row>
    <row r="107" spans="2:7" x14ac:dyDescent="0.3">
      <c r="B107" s="231" t="str">
        <f>IF(C107="","",Parámetros!L58)</f>
        <v/>
      </c>
      <c r="C107" s="231" t="str">
        <f>+Parámetros!M58</f>
        <v/>
      </c>
      <c r="D107" s="232" t="str">
        <f>+Parámetros!N58</f>
        <v/>
      </c>
      <c r="E107" s="232" t="str">
        <f>+Parámetros!O58</f>
        <v/>
      </c>
      <c r="F107" s="232" t="str">
        <f>+Parámetros!Q58</f>
        <v/>
      </c>
      <c r="G107" s="232" t="str">
        <f>+Parámetros!P58</f>
        <v/>
      </c>
    </row>
    <row r="108" spans="2:7" x14ac:dyDescent="0.3">
      <c r="B108" s="231" t="str">
        <f>IF(C108="","",Parámetros!L59)</f>
        <v/>
      </c>
      <c r="C108" s="231" t="str">
        <f>+Parámetros!M59</f>
        <v/>
      </c>
      <c r="D108" s="232" t="str">
        <f>+Parámetros!N59</f>
        <v/>
      </c>
      <c r="E108" s="232" t="str">
        <f>+Parámetros!O59</f>
        <v/>
      </c>
      <c r="F108" s="232" t="str">
        <f>+Parámetros!Q59</f>
        <v/>
      </c>
      <c r="G108" s="232" t="str">
        <f>+Parámetros!P59</f>
        <v/>
      </c>
    </row>
    <row r="109" spans="2:7" x14ac:dyDescent="0.3">
      <c r="B109" s="231" t="str">
        <f>IF(C109="","",Parámetros!L60)</f>
        <v/>
      </c>
      <c r="C109" s="231" t="str">
        <f>+Parámetros!M60</f>
        <v/>
      </c>
      <c r="D109" s="232" t="str">
        <f>+Parámetros!N60</f>
        <v/>
      </c>
      <c r="E109" s="232" t="str">
        <f>+Parámetros!O60</f>
        <v/>
      </c>
      <c r="F109" s="232" t="str">
        <f>+Parámetros!Q60</f>
        <v/>
      </c>
      <c r="G109" s="232" t="str">
        <f>+Parámetros!P60</f>
        <v/>
      </c>
    </row>
    <row r="110" spans="2:7" x14ac:dyDescent="0.3">
      <c r="B110" s="231" t="str">
        <f>IF(C110="","",Parámetros!L61)</f>
        <v/>
      </c>
      <c r="C110" s="231" t="str">
        <f>+Parámetros!M61</f>
        <v/>
      </c>
      <c r="D110" s="232" t="str">
        <f>+Parámetros!N61</f>
        <v/>
      </c>
      <c r="E110" s="232" t="str">
        <f>+Parámetros!O61</f>
        <v/>
      </c>
      <c r="F110" s="232" t="str">
        <f>+Parámetros!Q61</f>
        <v/>
      </c>
      <c r="G110" s="232" t="str">
        <f>+Parámetros!P61</f>
        <v/>
      </c>
    </row>
    <row r="111" spans="2:7" x14ac:dyDescent="0.3">
      <c r="B111" s="231" t="str">
        <f>IF(C111="","",Parámetros!L62)</f>
        <v/>
      </c>
      <c r="C111" s="231" t="str">
        <f>+Parámetros!M62</f>
        <v/>
      </c>
      <c r="D111" s="232" t="str">
        <f>+Parámetros!N62</f>
        <v/>
      </c>
      <c r="E111" s="232" t="str">
        <f>+Parámetros!O62</f>
        <v/>
      </c>
      <c r="F111" s="232" t="str">
        <f>+Parámetros!Q62</f>
        <v/>
      </c>
      <c r="G111" s="232" t="str">
        <f>+Parámetros!P62</f>
        <v/>
      </c>
    </row>
    <row r="112" spans="2:7" x14ac:dyDescent="0.3">
      <c r="B112" s="231" t="str">
        <f>IF(C112="","",Parámetros!L63)</f>
        <v/>
      </c>
      <c r="C112" s="231" t="str">
        <f>+Parámetros!M63</f>
        <v/>
      </c>
      <c r="D112" s="232" t="str">
        <f>+Parámetros!N63</f>
        <v/>
      </c>
      <c r="E112" s="232" t="str">
        <f>+Parámetros!O63</f>
        <v/>
      </c>
      <c r="F112" s="232" t="str">
        <f>+Parámetros!Q63</f>
        <v/>
      </c>
      <c r="G112" s="232" t="str">
        <f>+Parámetros!P63</f>
        <v/>
      </c>
    </row>
    <row r="113" spans="2:9" x14ac:dyDescent="0.3">
      <c r="B113" s="231" t="str">
        <f>IF(C113="","",Parámetros!L64)</f>
        <v/>
      </c>
      <c r="C113" s="231" t="str">
        <f>+Parámetros!M64</f>
        <v/>
      </c>
      <c r="D113" s="232" t="str">
        <f>+Parámetros!N64</f>
        <v/>
      </c>
      <c r="E113" s="232" t="str">
        <f>+Parámetros!O64</f>
        <v/>
      </c>
      <c r="F113" s="232" t="str">
        <f>+Parámetros!Q64</f>
        <v/>
      </c>
      <c r="G113" s="232" t="str">
        <f>+Parámetros!P64</f>
        <v/>
      </c>
    </row>
    <row r="114" spans="2:9" x14ac:dyDescent="0.3">
      <c r="B114" s="231" t="str">
        <f>IF(C114="","",Parámetros!L65)</f>
        <v/>
      </c>
      <c r="C114" s="231" t="str">
        <f>+Parámetros!M65</f>
        <v/>
      </c>
      <c r="D114" s="232" t="str">
        <f>+Parámetros!N65</f>
        <v/>
      </c>
      <c r="E114" s="232" t="str">
        <f>+Parámetros!O65</f>
        <v/>
      </c>
      <c r="F114" s="232" t="str">
        <f>+Parámetros!Q65</f>
        <v/>
      </c>
      <c r="G114" s="232" t="str">
        <f>+Parámetros!P65</f>
        <v/>
      </c>
    </row>
    <row r="115" spans="2:9" x14ac:dyDescent="0.3"/>
    <row r="116" spans="2:9" x14ac:dyDescent="0.3"/>
    <row r="117" spans="2:9" x14ac:dyDescent="0.3"/>
    <row r="118" spans="2:9" x14ac:dyDescent="0.3"/>
    <row r="119" spans="2:9" x14ac:dyDescent="0.3"/>
    <row r="120" spans="2:9" x14ac:dyDescent="0.3"/>
    <row r="121" spans="2:9" x14ac:dyDescent="0.3"/>
    <row r="122" spans="2:9" x14ac:dyDescent="0.3"/>
    <row r="123" spans="2:9" x14ac:dyDescent="0.3"/>
    <row r="124" spans="2:9" s="226" customFormat="1" ht="14.25" customHeight="1" x14ac:dyDescent="0.35">
      <c r="B124" s="211" t="s">
        <v>435</v>
      </c>
      <c r="C124" s="225"/>
      <c r="D124" s="225"/>
      <c r="E124" s="225"/>
      <c r="F124" s="225"/>
      <c r="G124" s="225"/>
      <c r="H124" s="225"/>
      <c r="I124" s="225"/>
    </row>
    <row r="125" spans="2:9" x14ac:dyDescent="0.3"/>
    <row r="126" spans="2:9" x14ac:dyDescent="0.3"/>
    <row r="127" spans="2:9" x14ac:dyDescent="0.3"/>
    <row r="128" spans="2:9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spans="2:2" x14ac:dyDescent="0.3"/>
    <row r="146" spans="2:2" x14ac:dyDescent="0.3"/>
    <row r="147" spans="2:2" x14ac:dyDescent="0.3"/>
    <row r="148" spans="2:2" x14ac:dyDescent="0.3"/>
    <row r="149" spans="2:2" x14ac:dyDescent="0.3"/>
    <row r="150" spans="2:2" x14ac:dyDescent="0.3"/>
    <row r="151" spans="2:2" x14ac:dyDescent="0.3"/>
    <row r="152" spans="2:2" x14ac:dyDescent="0.3"/>
    <row r="153" spans="2:2" x14ac:dyDescent="0.3"/>
    <row r="154" spans="2:2" x14ac:dyDescent="0.3"/>
    <row r="155" spans="2:2" x14ac:dyDescent="0.3"/>
    <row r="156" spans="2:2" x14ac:dyDescent="0.3"/>
    <row r="157" spans="2:2" x14ac:dyDescent="0.3"/>
    <row r="158" spans="2:2" ht="14.4" x14ac:dyDescent="0.3">
      <c r="B158" s="227" t="s">
        <v>436</v>
      </c>
    </row>
    <row r="159" spans="2:2" x14ac:dyDescent="0.3"/>
    <row r="160" spans="2:2" x14ac:dyDescent="0.3"/>
    <row r="161" spans="2:3" x14ac:dyDescent="0.3"/>
    <row r="162" spans="2:3" x14ac:dyDescent="0.3"/>
    <row r="163" spans="2:3" x14ac:dyDescent="0.3"/>
    <row r="164" spans="2:3" x14ac:dyDescent="0.3"/>
    <row r="165" spans="2:3" x14ac:dyDescent="0.3"/>
    <row r="166" spans="2:3" x14ac:dyDescent="0.3">
      <c r="B166" s="286" t="str">
        <f>+Parámetros!B63</f>
        <v>Firma*</v>
      </c>
      <c r="C166" s="286"/>
    </row>
    <row r="167" spans="2:3" x14ac:dyDescent="0.3">
      <c r="B167" s="287" t="str">
        <f>+Parámetros!B64</f>
        <v>Cargo*</v>
      </c>
      <c r="C167" s="287"/>
    </row>
    <row r="168" spans="2:3" x14ac:dyDescent="0.3">
      <c r="B168" s="288" t="str">
        <f>+Parámetros!B65</f>
        <v>Teléfono*</v>
      </c>
      <c r="C168" s="288"/>
    </row>
    <row r="169" spans="2:3" x14ac:dyDescent="0.3"/>
    <row r="170" spans="2:3" x14ac:dyDescent="0.3"/>
    <row r="171" spans="2:3" x14ac:dyDescent="0.3"/>
    <row r="172" spans="2:3" x14ac:dyDescent="0.3"/>
    <row r="173" spans="2:3" x14ac:dyDescent="0.3"/>
    <row r="174" spans="2:3" x14ac:dyDescent="0.3"/>
    <row r="175" spans="2:3" x14ac:dyDescent="0.3"/>
    <row r="176" spans="2:3" x14ac:dyDescent="0.3"/>
    <row r="177" x14ac:dyDescent="0.3"/>
    <row r="178" x14ac:dyDescent="0.3"/>
    <row r="179" x14ac:dyDescent="0.3"/>
    <row r="180" x14ac:dyDescent="0.3"/>
  </sheetData>
  <sheetProtection algorithmName="SHA-512" hashValue="KvYZPBbTZvSSA5LbFGGQmHgcO0wXAlFWgTaEq2NI+PA1z0jKJL2wbMjutKei9MoYesy2tYTof7SD13KF97dA7Q==" saltValue="LHjamiCaObo41yG8Vsjgwg==" spinCount="100000" sheet="1" objects="1" scenarios="1"/>
  <mergeCells count="23">
    <mergeCell ref="B166:C166"/>
    <mergeCell ref="B167:C167"/>
    <mergeCell ref="B168:C168"/>
    <mergeCell ref="G16:I16"/>
    <mergeCell ref="G19:I19"/>
    <mergeCell ref="C36:E36"/>
    <mergeCell ref="G30:I30"/>
    <mergeCell ref="B7:I7"/>
    <mergeCell ref="B8:I8"/>
    <mergeCell ref="D63:F63"/>
    <mergeCell ref="C30:E30"/>
    <mergeCell ref="F35:I35"/>
    <mergeCell ref="F36:I36"/>
    <mergeCell ref="C16:E16"/>
    <mergeCell ref="G24:I24"/>
    <mergeCell ref="C17:E17"/>
    <mergeCell ref="C18:E18"/>
    <mergeCell ref="C24:E24"/>
    <mergeCell ref="G18:I18"/>
    <mergeCell ref="G17:I17"/>
    <mergeCell ref="C25:E25"/>
    <mergeCell ref="G25:I25"/>
    <mergeCell ref="C35:E35"/>
  </mergeCells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L864"/>
  <sheetViews>
    <sheetView topLeftCell="H28" zoomScale="85" zoomScaleNormal="85" workbookViewId="0">
      <selection activeCell="C42" sqref="C42:S42"/>
    </sheetView>
  </sheetViews>
  <sheetFormatPr baseColWidth="10" defaultRowHeight="13.8" x14ac:dyDescent="0.25"/>
  <cols>
    <col min="4" max="4" width="12" bestFit="1" customWidth="1"/>
    <col min="5" max="5" width="12.59765625" bestFit="1" customWidth="1"/>
    <col min="6" max="6" width="11" customWidth="1"/>
    <col min="7" max="8" width="12.09765625" bestFit="1" customWidth="1"/>
    <col min="9" max="9" width="11.5" bestFit="1" customWidth="1"/>
    <col min="10" max="16" width="11.09765625" bestFit="1" customWidth="1"/>
    <col min="19" max="22" width="15.8984375" customWidth="1"/>
    <col min="40" max="40" width="12.19921875" bestFit="1" customWidth="1"/>
    <col min="46" max="46" width="14.59765625" customWidth="1"/>
    <col min="66" max="66" width="11.3984375" bestFit="1" customWidth="1"/>
    <col min="67" max="67" width="12" bestFit="1" customWidth="1"/>
    <col min="92" max="92" width="28.19921875" bestFit="1" customWidth="1"/>
  </cols>
  <sheetData>
    <row r="2" spans="3:67" x14ac:dyDescent="0.25">
      <c r="C2" t="s">
        <v>160</v>
      </c>
    </row>
    <row r="3" spans="3:67" x14ac:dyDescent="0.25">
      <c r="D3" s="55" t="s">
        <v>161</v>
      </c>
      <c r="E3" s="55" t="s">
        <v>3</v>
      </c>
      <c r="F3" s="55" t="s">
        <v>28</v>
      </c>
      <c r="G3" s="55" t="s">
        <v>162</v>
      </c>
      <c r="H3" s="55" t="s">
        <v>163</v>
      </c>
      <c r="I3" s="55" t="s">
        <v>29</v>
      </c>
      <c r="J3" s="55" t="s">
        <v>164</v>
      </c>
      <c r="K3" s="55" t="s">
        <v>165</v>
      </c>
      <c r="L3" s="55" t="s">
        <v>166</v>
      </c>
      <c r="M3" s="55" t="s">
        <v>167</v>
      </c>
      <c r="N3" s="55" t="s">
        <v>168</v>
      </c>
      <c r="O3" s="55" t="s">
        <v>268</v>
      </c>
      <c r="P3" s="55" t="s">
        <v>269</v>
      </c>
      <c r="Q3" s="55" t="s">
        <v>270</v>
      </c>
      <c r="R3" s="55" t="s">
        <v>271</v>
      </c>
      <c r="S3" s="74"/>
      <c r="T3" s="74"/>
      <c r="U3" s="74"/>
      <c r="V3" s="74"/>
    </row>
    <row r="4" spans="3:67" x14ac:dyDescent="0.25">
      <c r="D4" s="57">
        <f>+IF($B42=1,C42,"")</f>
        <v>1</v>
      </c>
      <c r="E4" s="56">
        <f t="shared" ref="E4" si="0">+IF($B42=1,D42,"")</f>
        <v>40.103333333333339</v>
      </c>
      <c r="F4" s="59">
        <f>+IF($B42=1,F42,"")</f>
        <v>100000</v>
      </c>
      <c r="G4" s="66">
        <f>+IF($B42=1,G42,"")</f>
        <v>23.21</v>
      </c>
      <c r="H4" s="66">
        <f>+IF($B42=1,H42,"")</f>
        <v>24.14</v>
      </c>
      <c r="I4" s="66">
        <f t="shared" ref="I4:R4" si="1">+IF($B42=1,I42,"")</f>
        <v>61.6</v>
      </c>
      <c r="J4" s="66">
        <f t="shared" si="1"/>
        <v>0.82000000000000006</v>
      </c>
      <c r="K4" s="66">
        <f t="shared" si="1"/>
        <v>0.11</v>
      </c>
      <c r="L4" s="66">
        <f t="shared" si="1"/>
        <v>0</v>
      </c>
      <c r="M4" s="66">
        <f t="shared" si="1"/>
        <v>0</v>
      </c>
      <c r="N4" s="58">
        <f t="shared" si="1"/>
        <v>94</v>
      </c>
      <c r="O4" s="66">
        <f t="shared" si="1"/>
        <v>11.4</v>
      </c>
      <c r="P4" s="66">
        <f t="shared" si="1"/>
        <v>8.26</v>
      </c>
      <c r="Q4" s="72">
        <f t="shared" si="1"/>
        <v>3.5329599310641967E-2</v>
      </c>
      <c r="R4" s="72">
        <f t="shared" si="1"/>
        <v>4.7393364928909948E-3</v>
      </c>
      <c r="S4" s="75"/>
      <c r="T4" s="75"/>
      <c r="U4" s="75"/>
      <c r="V4" s="75"/>
    </row>
    <row r="5" spans="3:67" x14ac:dyDescent="0.25">
      <c r="D5" s="57">
        <f t="shared" ref="D5:E15" si="2">+IF($B43=1,C43,"")</f>
        <v>2</v>
      </c>
      <c r="E5" s="56">
        <f t="shared" si="2"/>
        <v>40.186666666666675</v>
      </c>
      <c r="F5" s="59">
        <f t="shared" ref="F5:R5" si="3">+IF($B43=1,F43,"")</f>
        <v>100000</v>
      </c>
      <c r="G5" s="66">
        <f t="shared" si="3"/>
        <v>23.21</v>
      </c>
      <c r="H5" s="66">
        <f t="shared" si="3"/>
        <v>24.14</v>
      </c>
      <c r="I5" s="66">
        <f t="shared" si="3"/>
        <v>61.6</v>
      </c>
      <c r="J5" s="66">
        <f t="shared" si="3"/>
        <v>0.82000000000000006</v>
      </c>
      <c r="K5" s="66">
        <f t="shared" si="3"/>
        <v>0.11</v>
      </c>
      <c r="L5" s="66">
        <f t="shared" si="3"/>
        <v>0</v>
      </c>
      <c r="M5" s="66">
        <f t="shared" si="3"/>
        <v>0</v>
      </c>
      <c r="N5" s="58">
        <f t="shared" si="3"/>
        <v>94</v>
      </c>
      <c r="O5" s="66">
        <f t="shared" si="3"/>
        <v>11.4</v>
      </c>
      <c r="P5" s="66">
        <f t="shared" si="3"/>
        <v>8.26</v>
      </c>
      <c r="Q5" s="72">
        <f t="shared" si="3"/>
        <v>3.5329599310641967E-2</v>
      </c>
      <c r="R5" s="72">
        <f t="shared" si="3"/>
        <v>4.7393364928909948E-3</v>
      </c>
      <c r="S5" s="75"/>
      <c r="T5" s="75"/>
      <c r="U5" s="75"/>
      <c r="V5" s="75"/>
      <c r="W5" s="58"/>
    </row>
    <row r="6" spans="3:67" x14ac:dyDescent="0.25">
      <c r="D6" s="57">
        <f t="shared" si="2"/>
        <v>3</v>
      </c>
      <c r="E6" s="56">
        <f t="shared" si="2"/>
        <v>40.27000000000001</v>
      </c>
      <c r="F6" s="59">
        <f t="shared" ref="F6:R6" si="4">+IF($B44=1,F44,"")</f>
        <v>100000</v>
      </c>
      <c r="G6" s="66">
        <f t="shared" si="4"/>
        <v>23.21</v>
      </c>
      <c r="H6" s="66">
        <f t="shared" si="4"/>
        <v>24.14</v>
      </c>
      <c r="I6" s="66">
        <f t="shared" si="4"/>
        <v>61.6</v>
      </c>
      <c r="J6" s="66">
        <f t="shared" si="4"/>
        <v>0.82000000000000006</v>
      </c>
      <c r="K6" s="66">
        <f t="shared" si="4"/>
        <v>0.11</v>
      </c>
      <c r="L6" s="66">
        <f t="shared" si="4"/>
        <v>0</v>
      </c>
      <c r="M6" s="66">
        <f t="shared" si="4"/>
        <v>0</v>
      </c>
      <c r="N6" s="58">
        <f t="shared" si="4"/>
        <v>94</v>
      </c>
      <c r="O6" s="66">
        <f t="shared" si="4"/>
        <v>11.4</v>
      </c>
      <c r="P6" s="66">
        <f t="shared" si="4"/>
        <v>8.26</v>
      </c>
      <c r="Q6" s="72">
        <f t="shared" si="4"/>
        <v>3.5329599310641967E-2</v>
      </c>
      <c r="R6" s="72">
        <f t="shared" si="4"/>
        <v>4.7393364928909948E-3</v>
      </c>
      <c r="S6" s="75"/>
      <c r="T6" s="75"/>
      <c r="U6" s="75"/>
      <c r="V6" s="75"/>
      <c r="W6" s="58"/>
    </row>
    <row r="7" spans="3:67" x14ac:dyDescent="0.25">
      <c r="D7" s="57">
        <f t="shared" si="2"/>
        <v>4</v>
      </c>
      <c r="E7" s="56">
        <f t="shared" si="2"/>
        <v>40.353333333333346</v>
      </c>
      <c r="F7" s="59">
        <f t="shared" ref="F7:R7" si="5">+IF($B45=1,F45,"")</f>
        <v>100000</v>
      </c>
      <c r="G7" s="66">
        <f t="shared" si="5"/>
        <v>23.21</v>
      </c>
      <c r="H7" s="66">
        <f t="shared" si="5"/>
        <v>24.14</v>
      </c>
      <c r="I7" s="66">
        <f t="shared" si="5"/>
        <v>61.6</v>
      </c>
      <c r="J7" s="66">
        <f t="shared" si="5"/>
        <v>0.82000000000000006</v>
      </c>
      <c r="K7" s="66">
        <f t="shared" si="5"/>
        <v>0.11</v>
      </c>
      <c r="L7" s="66">
        <f t="shared" si="5"/>
        <v>0</v>
      </c>
      <c r="M7" s="66">
        <f t="shared" si="5"/>
        <v>0</v>
      </c>
      <c r="N7" s="58">
        <f t="shared" si="5"/>
        <v>94</v>
      </c>
      <c r="O7" s="66">
        <f t="shared" si="5"/>
        <v>11.4</v>
      </c>
      <c r="P7" s="66">
        <f t="shared" si="5"/>
        <v>8.26</v>
      </c>
      <c r="Q7" s="72">
        <f t="shared" si="5"/>
        <v>3.5329599310641967E-2</v>
      </c>
      <c r="R7" s="72">
        <f t="shared" si="5"/>
        <v>4.7393364928909948E-3</v>
      </c>
      <c r="S7" s="75"/>
      <c r="T7" s="75"/>
      <c r="U7" s="75"/>
      <c r="V7" s="75"/>
      <c r="W7" s="58"/>
    </row>
    <row r="8" spans="3:67" x14ac:dyDescent="0.25">
      <c r="D8" s="57">
        <f t="shared" si="2"/>
        <v>5</v>
      </c>
      <c r="E8" s="56">
        <f t="shared" si="2"/>
        <v>40.436666666666682</v>
      </c>
      <c r="F8" s="59">
        <f t="shared" ref="F8:R8" si="6">+IF($B46=1,F46,"")</f>
        <v>100000</v>
      </c>
      <c r="G8" s="66">
        <f t="shared" si="6"/>
        <v>23.21</v>
      </c>
      <c r="H8" s="66">
        <f t="shared" si="6"/>
        <v>24.14</v>
      </c>
      <c r="I8" s="66">
        <f t="shared" si="6"/>
        <v>61.6</v>
      </c>
      <c r="J8" s="66">
        <f t="shared" si="6"/>
        <v>0.82000000000000006</v>
      </c>
      <c r="K8" s="66">
        <f t="shared" si="6"/>
        <v>0.11</v>
      </c>
      <c r="L8" s="66">
        <f t="shared" si="6"/>
        <v>0</v>
      </c>
      <c r="M8" s="66">
        <f t="shared" si="6"/>
        <v>0</v>
      </c>
      <c r="N8" s="58">
        <f t="shared" si="6"/>
        <v>94</v>
      </c>
      <c r="O8" s="66">
        <f t="shared" si="6"/>
        <v>11.4</v>
      </c>
      <c r="P8" s="66">
        <f t="shared" si="6"/>
        <v>8.26</v>
      </c>
      <c r="Q8" s="72">
        <f t="shared" si="6"/>
        <v>3.5329599310641967E-2</v>
      </c>
      <c r="R8" s="72">
        <f t="shared" si="6"/>
        <v>4.7393364928909948E-3</v>
      </c>
      <c r="S8" s="75"/>
      <c r="T8" s="75"/>
      <c r="U8" s="75"/>
      <c r="V8" s="75"/>
      <c r="W8" s="58"/>
    </row>
    <row r="9" spans="3:67" x14ac:dyDescent="0.25">
      <c r="D9" s="57">
        <f t="shared" si="2"/>
        <v>6</v>
      </c>
      <c r="E9" s="56">
        <f t="shared" si="2"/>
        <v>40.520000000000017</v>
      </c>
      <c r="F9" s="59">
        <f t="shared" ref="F9:R9" si="7">+IF($B47=1,F47,"")</f>
        <v>100000</v>
      </c>
      <c r="G9" s="66">
        <f t="shared" si="7"/>
        <v>23.21</v>
      </c>
      <c r="H9" s="66">
        <f t="shared" si="7"/>
        <v>24.14</v>
      </c>
      <c r="I9" s="66">
        <f t="shared" si="7"/>
        <v>61.6</v>
      </c>
      <c r="J9" s="66">
        <f t="shared" si="7"/>
        <v>0.82000000000000006</v>
      </c>
      <c r="K9" s="66">
        <f t="shared" si="7"/>
        <v>0.11</v>
      </c>
      <c r="L9" s="66">
        <f t="shared" si="7"/>
        <v>0</v>
      </c>
      <c r="M9" s="66">
        <f t="shared" si="7"/>
        <v>0</v>
      </c>
      <c r="N9" s="58">
        <f t="shared" si="7"/>
        <v>94</v>
      </c>
      <c r="O9" s="66">
        <f t="shared" si="7"/>
        <v>11.4</v>
      </c>
      <c r="P9" s="66">
        <f t="shared" si="7"/>
        <v>8.26</v>
      </c>
      <c r="Q9" s="72">
        <f t="shared" si="7"/>
        <v>3.5329599310641967E-2</v>
      </c>
      <c r="R9" s="72">
        <f t="shared" si="7"/>
        <v>4.7393364928909948E-3</v>
      </c>
      <c r="S9" s="75"/>
      <c r="T9" s="75"/>
      <c r="U9" s="75"/>
      <c r="V9" s="75"/>
      <c r="W9" s="58"/>
    </row>
    <row r="10" spans="3:67" x14ac:dyDescent="0.25">
      <c r="D10" s="57">
        <f t="shared" si="2"/>
        <v>7</v>
      </c>
      <c r="E10" s="56">
        <f t="shared" si="2"/>
        <v>40.603333333333353</v>
      </c>
      <c r="F10" s="59">
        <f t="shared" ref="F10:R10" si="8">+IF($B48=1,F48,"")</f>
        <v>100000</v>
      </c>
      <c r="G10" s="66">
        <f t="shared" si="8"/>
        <v>23.21</v>
      </c>
      <c r="H10" s="66">
        <f t="shared" si="8"/>
        <v>24.14</v>
      </c>
      <c r="I10" s="66">
        <f t="shared" si="8"/>
        <v>61.6</v>
      </c>
      <c r="J10" s="66">
        <f t="shared" si="8"/>
        <v>0.82000000000000006</v>
      </c>
      <c r="K10" s="66">
        <f t="shared" si="8"/>
        <v>0.11</v>
      </c>
      <c r="L10" s="66">
        <f t="shared" si="8"/>
        <v>0</v>
      </c>
      <c r="M10" s="66">
        <f t="shared" si="8"/>
        <v>0</v>
      </c>
      <c r="N10" s="58">
        <f t="shared" si="8"/>
        <v>94</v>
      </c>
      <c r="O10" s="66">
        <f t="shared" si="8"/>
        <v>11.4</v>
      </c>
      <c r="P10" s="66">
        <f t="shared" si="8"/>
        <v>8.26</v>
      </c>
      <c r="Q10" s="72">
        <f t="shared" si="8"/>
        <v>3.5329599310641967E-2</v>
      </c>
      <c r="R10" s="72">
        <f t="shared" si="8"/>
        <v>4.7393364928909948E-3</v>
      </c>
      <c r="S10" s="75"/>
      <c r="T10" s="75"/>
      <c r="U10" s="75"/>
      <c r="V10" s="75"/>
      <c r="W10" s="58"/>
    </row>
    <row r="11" spans="3:67" x14ac:dyDescent="0.25">
      <c r="D11" s="57">
        <f t="shared" si="2"/>
        <v>8</v>
      </c>
      <c r="E11" s="56">
        <f t="shared" si="2"/>
        <v>40.686666666666689</v>
      </c>
      <c r="F11" s="59">
        <f t="shared" ref="F11:R11" si="9">+IF($B49=1,F49,"")</f>
        <v>100000</v>
      </c>
      <c r="G11" s="66">
        <f t="shared" si="9"/>
        <v>23.21</v>
      </c>
      <c r="H11" s="66">
        <f t="shared" si="9"/>
        <v>24.14</v>
      </c>
      <c r="I11" s="66">
        <f t="shared" si="9"/>
        <v>61.6</v>
      </c>
      <c r="J11" s="66">
        <f t="shared" si="9"/>
        <v>0.82000000000000006</v>
      </c>
      <c r="K11" s="66">
        <f t="shared" si="9"/>
        <v>0.11</v>
      </c>
      <c r="L11" s="66">
        <f t="shared" si="9"/>
        <v>0</v>
      </c>
      <c r="M11" s="66">
        <f t="shared" si="9"/>
        <v>0</v>
      </c>
      <c r="N11" s="58">
        <f t="shared" si="9"/>
        <v>94</v>
      </c>
      <c r="O11" s="66">
        <f t="shared" si="9"/>
        <v>11.4</v>
      </c>
      <c r="P11" s="66">
        <f t="shared" si="9"/>
        <v>8.26</v>
      </c>
      <c r="Q11" s="72">
        <f t="shared" si="9"/>
        <v>3.5329599310641967E-2</v>
      </c>
      <c r="R11" s="72">
        <f t="shared" si="9"/>
        <v>4.7393364928909948E-3</v>
      </c>
      <c r="S11" s="75"/>
      <c r="T11" s="75"/>
      <c r="U11" s="75"/>
      <c r="V11" s="75"/>
      <c r="W11" s="58"/>
    </row>
    <row r="12" spans="3:67" x14ac:dyDescent="0.25">
      <c r="D12" s="57">
        <f t="shared" si="2"/>
        <v>9</v>
      </c>
      <c r="E12" s="56">
        <f t="shared" si="2"/>
        <v>40.770000000000024</v>
      </c>
      <c r="F12" s="59">
        <f t="shared" ref="F12:R12" si="10">+IF($B50=1,F50,"")</f>
        <v>100000</v>
      </c>
      <c r="G12" s="66">
        <f t="shared" si="10"/>
        <v>23.21</v>
      </c>
      <c r="H12" s="66">
        <f t="shared" si="10"/>
        <v>24.14</v>
      </c>
      <c r="I12" s="66">
        <f t="shared" si="10"/>
        <v>61.6</v>
      </c>
      <c r="J12" s="66">
        <f t="shared" si="10"/>
        <v>0.82000000000000006</v>
      </c>
      <c r="K12" s="66">
        <f t="shared" si="10"/>
        <v>0.11</v>
      </c>
      <c r="L12" s="66">
        <f t="shared" si="10"/>
        <v>0</v>
      </c>
      <c r="M12" s="66">
        <f t="shared" si="10"/>
        <v>0</v>
      </c>
      <c r="N12" s="58">
        <f t="shared" si="10"/>
        <v>94</v>
      </c>
      <c r="O12" s="66">
        <f t="shared" si="10"/>
        <v>11.4</v>
      </c>
      <c r="P12" s="66">
        <f t="shared" si="10"/>
        <v>8.26</v>
      </c>
      <c r="Q12" s="72">
        <f t="shared" si="10"/>
        <v>3.5329599310641967E-2</v>
      </c>
      <c r="R12" s="72">
        <f t="shared" si="10"/>
        <v>4.7393364928909948E-3</v>
      </c>
      <c r="S12" s="75"/>
      <c r="T12" s="75"/>
      <c r="U12" s="75"/>
      <c r="V12" s="75"/>
      <c r="W12" s="58"/>
    </row>
    <row r="13" spans="3:67" x14ac:dyDescent="0.25">
      <c r="D13" s="57">
        <f t="shared" si="2"/>
        <v>10</v>
      </c>
      <c r="E13" s="56">
        <f t="shared" si="2"/>
        <v>40.85333333333336</v>
      </c>
      <c r="F13" s="59">
        <f t="shared" ref="F13:R13" si="11">+IF($B51=1,F51,"")</f>
        <v>100000</v>
      </c>
      <c r="G13" s="66">
        <f t="shared" si="11"/>
        <v>23.21</v>
      </c>
      <c r="H13" s="66">
        <f t="shared" si="11"/>
        <v>24.14</v>
      </c>
      <c r="I13" s="66">
        <f t="shared" si="11"/>
        <v>61.6</v>
      </c>
      <c r="J13" s="66">
        <f t="shared" si="11"/>
        <v>0.82000000000000006</v>
      </c>
      <c r="K13" s="66">
        <f t="shared" si="11"/>
        <v>0.11</v>
      </c>
      <c r="L13" s="66">
        <f t="shared" si="11"/>
        <v>0</v>
      </c>
      <c r="M13" s="66">
        <f t="shared" si="11"/>
        <v>0</v>
      </c>
      <c r="N13" s="58">
        <f t="shared" si="11"/>
        <v>94</v>
      </c>
      <c r="O13" s="66">
        <f t="shared" si="11"/>
        <v>11.4</v>
      </c>
      <c r="P13" s="66">
        <f t="shared" si="11"/>
        <v>8.26</v>
      </c>
      <c r="Q13" s="72">
        <f t="shared" si="11"/>
        <v>3.5329599310641967E-2</v>
      </c>
      <c r="R13" s="72">
        <f t="shared" si="11"/>
        <v>4.7393364928909948E-3</v>
      </c>
      <c r="S13" s="75"/>
      <c r="T13" s="75"/>
      <c r="U13" s="75"/>
      <c r="V13" s="75"/>
      <c r="W13" s="58"/>
    </row>
    <row r="14" spans="3:67" x14ac:dyDescent="0.25">
      <c r="D14" s="57">
        <f t="shared" si="2"/>
        <v>11</v>
      </c>
      <c r="E14" s="56">
        <f t="shared" si="2"/>
        <v>40.936666666666696</v>
      </c>
      <c r="F14" s="59">
        <f t="shared" ref="F14:R14" si="12">+IF($B52=1,F52,"")</f>
        <v>100000</v>
      </c>
      <c r="G14" s="66">
        <f t="shared" si="12"/>
        <v>23.21</v>
      </c>
      <c r="H14" s="66">
        <f t="shared" si="12"/>
        <v>24.14</v>
      </c>
      <c r="I14" s="66">
        <f t="shared" si="12"/>
        <v>61.6</v>
      </c>
      <c r="J14" s="66">
        <f t="shared" si="12"/>
        <v>0.82000000000000006</v>
      </c>
      <c r="K14" s="66">
        <f t="shared" si="12"/>
        <v>0.11</v>
      </c>
      <c r="L14" s="66">
        <f t="shared" si="12"/>
        <v>0</v>
      </c>
      <c r="M14" s="66">
        <f t="shared" si="12"/>
        <v>0</v>
      </c>
      <c r="N14" s="58">
        <f t="shared" si="12"/>
        <v>94</v>
      </c>
      <c r="O14" s="66">
        <f t="shared" si="12"/>
        <v>11.4</v>
      </c>
      <c r="P14" s="66">
        <f t="shared" si="12"/>
        <v>8.26</v>
      </c>
      <c r="Q14" s="72">
        <f t="shared" si="12"/>
        <v>3.5329599310641967E-2</v>
      </c>
      <c r="R14" s="72">
        <f t="shared" si="12"/>
        <v>4.7393364928909948E-3</v>
      </c>
      <c r="S14" s="75"/>
      <c r="T14" s="75"/>
      <c r="U14" s="75"/>
      <c r="V14" s="75"/>
      <c r="W14" s="58"/>
    </row>
    <row r="15" spans="3:67" x14ac:dyDescent="0.25">
      <c r="D15" s="57">
        <f t="shared" si="2"/>
        <v>12</v>
      </c>
      <c r="E15" s="56">
        <f t="shared" si="2"/>
        <v>41.020000000000032</v>
      </c>
      <c r="F15" s="59">
        <f t="shared" ref="F15:R15" si="13">+IF($B53=1,F53,"")</f>
        <v>100000</v>
      </c>
      <c r="G15" s="66">
        <f t="shared" si="13"/>
        <v>23.21</v>
      </c>
      <c r="H15" s="66">
        <f t="shared" si="13"/>
        <v>24.14</v>
      </c>
      <c r="I15" s="66">
        <f t="shared" si="13"/>
        <v>61.6</v>
      </c>
      <c r="J15" s="66">
        <f t="shared" si="13"/>
        <v>0.82000000000000006</v>
      </c>
      <c r="K15" s="66">
        <f t="shared" si="13"/>
        <v>0.11</v>
      </c>
      <c r="L15" s="66">
        <f t="shared" si="13"/>
        <v>0</v>
      </c>
      <c r="M15" s="66">
        <f t="shared" si="13"/>
        <v>0</v>
      </c>
      <c r="N15" s="58">
        <f t="shared" si="13"/>
        <v>94</v>
      </c>
      <c r="O15" s="66">
        <f t="shared" si="13"/>
        <v>11.4</v>
      </c>
      <c r="P15" s="66">
        <f t="shared" si="13"/>
        <v>8.26</v>
      </c>
      <c r="Q15" s="72">
        <f t="shared" si="13"/>
        <v>3.5329599310641967E-2</v>
      </c>
      <c r="R15" s="72">
        <f t="shared" si="13"/>
        <v>4.7393364928909948E-3</v>
      </c>
      <c r="S15" s="75"/>
      <c r="T15" s="75"/>
      <c r="U15" s="75"/>
      <c r="V15" s="75"/>
      <c r="W15" s="58"/>
      <c r="BO15" s="66"/>
    </row>
    <row r="16" spans="3:67" x14ac:dyDescent="0.25">
      <c r="W16" s="58"/>
      <c r="BO16" s="66"/>
    </row>
    <row r="17" spans="3:67" x14ac:dyDescent="0.25">
      <c r="BO17" s="66"/>
    </row>
    <row r="18" spans="3:67" x14ac:dyDescent="0.25">
      <c r="G18" s="66"/>
      <c r="BO18" s="66"/>
    </row>
    <row r="19" spans="3:67" x14ac:dyDescent="0.25">
      <c r="C19" t="s">
        <v>272</v>
      </c>
      <c r="H19" s="66"/>
      <c r="BO19" s="66"/>
    </row>
    <row r="20" spans="3:67" x14ac:dyDescent="0.25">
      <c r="BO20" s="66"/>
    </row>
    <row r="21" spans="3:67" x14ac:dyDescent="0.25">
      <c r="D21" s="55" t="s">
        <v>3</v>
      </c>
      <c r="E21" s="55" t="s">
        <v>28</v>
      </c>
      <c r="F21" s="55" t="s">
        <v>162</v>
      </c>
      <c r="G21" s="55" t="s">
        <v>163</v>
      </c>
      <c r="H21" s="55" t="s">
        <v>29</v>
      </c>
      <c r="I21" s="55" t="s">
        <v>164</v>
      </c>
      <c r="J21" s="55" t="s">
        <v>165</v>
      </c>
      <c r="K21" s="55" t="s">
        <v>166</v>
      </c>
      <c r="L21" s="55" t="s">
        <v>167</v>
      </c>
      <c r="M21" s="55" t="s">
        <v>168</v>
      </c>
      <c r="N21" s="55" t="s">
        <v>268</v>
      </c>
      <c r="O21" s="55" t="s">
        <v>269</v>
      </c>
      <c r="P21" s="55" t="s">
        <v>270</v>
      </c>
      <c r="Q21" s="55" t="s">
        <v>271</v>
      </c>
      <c r="BO21" s="66"/>
    </row>
    <row r="22" spans="3:67" x14ac:dyDescent="0.25">
      <c r="D22" s="56">
        <f>+Parámetros!D19</f>
        <v>40.020000000000003</v>
      </c>
      <c r="E22" s="59">
        <f>+F42</f>
        <v>100000</v>
      </c>
      <c r="F22" s="66">
        <f t="shared" ref="F22:O22" si="14">+SUMIF($B$42:$B$53,1,G42:G53)</f>
        <v>278.52000000000004</v>
      </c>
      <c r="G22" s="66">
        <f t="shared" si="14"/>
        <v>289.67999999999995</v>
      </c>
      <c r="H22" s="66">
        <f t="shared" si="14"/>
        <v>739.20000000000016</v>
      </c>
      <c r="I22" s="66">
        <f t="shared" si="14"/>
        <v>9.8400000000000016</v>
      </c>
      <c r="J22" s="66">
        <f t="shared" si="14"/>
        <v>1.3200000000000003</v>
      </c>
      <c r="K22" s="66">
        <f t="shared" si="14"/>
        <v>0</v>
      </c>
      <c r="L22" s="66">
        <f t="shared" si="14"/>
        <v>0</v>
      </c>
      <c r="M22" s="66">
        <f t="shared" si="14"/>
        <v>1128</v>
      </c>
      <c r="N22" s="66">
        <f t="shared" si="14"/>
        <v>136.80000000000004</v>
      </c>
      <c r="O22" s="66">
        <f t="shared" si="14"/>
        <v>99.120000000000019</v>
      </c>
      <c r="P22" s="72">
        <f>+I22/$F$22</f>
        <v>3.5329599310641967E-2</v>
      </c>
      <c r="Q22" s="72">
        <f>+J22/$F$22</f>
        <v>4.7393364928909956E-3</v>
      </c>
      <c r="BO22" s="66"/>
    </row>
    <row r="23" spans="3:67" x14ac:dyDescent="0.25">
      <c r="BO23" s="66"/>
    </row>
    <row r="24" spans="3:67" x14ac:dyDescent="0.25">
      <c r="BO24" s="66"/>
    </row>
    <row r="25" spans="3:67" x14ac:dyDescent="0.25">
      <c r="BO25" s="66"/>
    </row>
    <row r="26" spans="3:67" x14ac:dyDescent="0.25">
      <c r="C26" t="s">
        <v>273</v>
      </c>
      <c r="BO26" s="66"/>
    </row>
    <row r="27" spans="3:67" x14ac:dyDescent="0.25">
      <c r="BO27" s="66"/>
    </row>
    <row r="28" spans="3:67" x14ac:dyDescent="0.25">
      <c r="D28" s="55" t="s">
        <v>141</v>
      </c>
      <c r="E28" s="55" t="s">
        <v>231</v>
      </c>
      <c r="F28" s="55"/>
      <c r="G28" s="55"/>
      <c r="H28" s="55" t="s">
        <v>274</v>
      </c>
      <c r="I28" s="55" t="s">
        <v>275</v>
      </c>
      <c r="J28" s="55" t="s">
        <v>276</v>
      </c>
      <c r="K28" s="55" t="s">
        <v>277</v>
      </c>
      <c r="L28" s="55" t="s">
        <v>278</v>
      </c>
      <c r="M28" s="55" t="s">
        <v>279</v>
      </c>
      <c r="N28" s="55" t="s">
        <v>166</v>
      </c>
      <c r="O28" s="55" t="s">
        <v>167</v>
      </c>
      <c r="P28" s="55" t="s">
        <v>164</v>
      </c>
      <c r="Q28" s="55" t="s">
        <v>280</v>
      </c>
      <c r="R28" s="55" t="s">
        <v>281</v>
      </c>
      <c r="S28" s="55" t="s">
        <v>322</v>
      </c>
      <c r="T28" s="74"/>
      <c r="U28" s="74"/>
      <c r="V28" s="74"/>
      <c r="BO28" s="66"/>
    </row>
    <row r="29" spans="3:67" x14ac:dyDescent="0.25">
      <c r="D29" s="60" t="str">
        <f>+X42</f>
        <v>00058</v>
      </c>
      <c r="E29" s="60" t="str">
        <f>+Y42</f>
        <v>MUERTE POR CUALQUIER CAUSA</v>
      </c>
      <c r="H29" s="67">
        <f>+Z42</f>
        <v>100000</v>
      </c>
      <c r="I29" s="60" t="str">
        <f>+AA42</f>
        <v>P</v>
      </c>
      <c r="J29" s="68">
        <f>+K29/H29</f>
        <v>1.32E-3</v>
      </c>
      <c r="K29" s="66">
        <f>+SUMIF($B$42:$B$53,1,AC42:AC53)</f>
        <v>132</v>
      </c>
      <c r="L29" s="68">
        <f t="shared" ref="L29:L35" si="15">+IF(H29=0,"",M29/H29)</f>
        <v>2.7311999999999996E-3</v>
      </c>
      <c r="M29" s="66">
        <f>+SUMIF($B$42:$B$53,1,AG42:AG53)</f>
        <v>273.11999999999995</v>
      </c>
      <c r="N29" s="66">
        <f t="shared" ref="N29:Q29" si="16">+SUMIF($B$42:$B$53,1,AH42:AH53)</f>
        <v>0</v>
      </c>
      <c r="O29" s="66">
        <f t="shared" si="16"/>
        <v>0</v>
      </c>
      <c r="P29" s="66">
        <f t="shared" si="16"/>
        <v>9.6</v>
      </c>
      <c r="Q29" s="66">
        <f t="shared" si="16"/>
        <v>1.3200000000000003</v>
      </c>
      <c r="R29" s="66">
        <f>+SUMIF($B$42:$B$53,1,AL42:AL53)</f>
        <v>284.04000000000008</v>
      </c>
      <c r="S29" s="75">
        <f t="shared" ref="S29:S37" si="17">+R29/$R$38</f>
        <v>0.98053024026512015</v>
      </c>
      <c r="T29" s="66"/>
      <c r="U29" s="66"/>
      <c r="V29" s="66"/>
      <c r="BO29" s="66"/>
    </row>
    <row r="30" spans="3:67" x14ac:dyDescent="0.25">
      <c r="D30" s="60" t="str">
        <f>+AM42</f>
        <v>00059</v>
      </c>
      <c r="E30" s="60" t="str">
        <f>+AN42</f>
        <v>Incapacidad Total y Permanente</v>
      </c>
      <c r="H30" s="67">
        <f>+AO42</f>
        <v>0</v>
      </c>
      <c r="I30" s="60" t="str">
        <f>+AP42</f>
        <v>A</v>
      </c>
      <c r="J30" s="68" t="str">
        <f t="shared" ref="J30:J35" si="18">+IF(H30=0,"",K30/H30)</f>
        <v/>
      </c>
      <c r="K30" s="66">
        <f>+SUMIF($B$42:$B$53,1,AR42:AR53)</f>
        <v>0</v>
      </c>
      <c r="L30" s="68" t="str">
        <f t="shared" si="15"/>
        <v/>
      </c>
      <c r="M30" s="66">
        <f t="shared" ref="M30:R30" si="19">+SUMIF($B$42:$B$53,1,AT42:AT53)</f>
        <v>0</v>
      </c>
      <c r="N30" s="66">
        <f t="shared" si="19"/>
        <v>0</v>
      </c>
      <c r="O30" s="66">
        <f t="shared" si="19"/>
        <v>0</v>
      </c>
      <c r="P30" s="66">
        <f t="shared" si="19"/>
        <v>0</v>
      </c>
      <c r="Q30" s="66">
        <f t="shared" si="19"/>
        <v>0</v>
      </c>
      <c r="R30" s="66">
        <f t="shared" si="19"/>
        <v>0</v>
      </c>
      <c r="S30" s="75">
        <f t="shared" si="17"/>
        <v>0</v>
      </c>
      <c r="T30" s="66"/>
      <c r="U30" s="66"/>
      <c r="V30" s="66"/>
      <c r="BO30" s="66"/>
    </row>
    <row r="31" spans="3:67" x14ac:dyDescent="0.25">
      <c r="D31" s="60" t="str">
        <f>+AZ42</f>
        <v>00060</v>
      </c>
      <c r="E31" s="60" t="str">
        <f>+BA42</f>
        <v>Muerte Accidental</v>
      </c>
      <c r="H31" s="67">
        <f>+BB42</f>
        <v>0</v>
      </c>
      <c r="I31" s="60" t="str">
        <f>+BC42</f>
        <v>A</v>
      </c>
      <c r="J31" s="68" t="str">
        <f t="shared" si="18"/>
        <v/>
      </c>
      <c r="K31" s="66">
        <f>+SUMIF($B$42:$B$53,1,BE42:BE53)</f>
        <v>0</v>
      </c>
      <c r="L31" s="68" t="str">
        <f t="shared" si="15"/>
        <v/>
      </c>
      <c r="M31" s="66">
        <f>+SUMIF($B$42:$B$53,1,BG42:BG53)</f>
        <v>0</v>
      </c>
      <c r="N31" s="66">
        <f t="shared" ref="N31:R31" si="20">+SUMIF($B$42:$B$53,1,BH42:BH53)</f>
        <v>0</v>
      </c>
      <c r="O31" s="66">
        <f t="shared" si="20"/>
        <v>0</v>
      </c>
      <c r="P31" s="66">
        <f t="shared" si="20"/>
        <v>0</v>
      </c>
      <c r="Q31" s="66">
        <f t="shared" si="20"/>
        <v>0</v>
      </c>
      <c r="R31" s="66">
        <f t="shared" si="20"/>
        <v>0</v>
      </c>
      <c r="S31" s="75">
        <f t="shared" si="17"/>
        <v>0</v>
      </c>
      <c r="T31" s="66"/>
      <c r="U31" s="66"/>
      <c r="V31" s="66"/>
      <c r="BO31" s="66"/>
    </row>
    <row r="32" spans="3:67" x14ac:dyDescent="0.25">
      <c r="D32" s="60" t="str">
        <f>+BM42</f>
        <v>00061</v>
      </c>
      <c r="E32" s="60" t="str">
        <f>+BN42</f>
        <v>Gastos de Entierro</v>
      </c>
      <c r="H32" s="67">
        <f>+BO42</f>
        <v>0</v>
      </c>
      <c r="I32" s="60" t="str">
        <f>+BP42</f>
        <v>A</v>
      </c>
      <c r="J32" s="68" t="str">
        <f t="shared" si="18"/>
        <v/>
      </c>
      <c r="K32" s="66">
        <f>+SUMIF($B$42:$B$53,1,BR42:BR53)</f>
        <v>0</v>
      </c>
      <c r="L32" s="68" t="str">
        <f t="shared" si="15"/>
        <v/>
      </c>
      <c r="M32" s="66">
        <f t="shared" ref="M32:R32" si="21">+SUMIF($B$42:$B$53,1,BT42:BT53)</f>
        <v>0</v>
      </c>
      <c r="N32" s="66">
        <f t="shared" si="21"/>
        <v>0</v>
      </c>
      <c r="O32" s="66">
        <f t="shared" si="21"/>
        <v>0</v>
      </c>
      <c r="P32" s="66">
        <f t="shared" si="21"/>
        <v>0</v>
      </c>
      <c r="Q32" s="66">
        <f t="shared" si="21"/>
        <v>0</v>
      </c>
      <c r="R32" s="66">
        <f t="shared" si="21"/>
        <v>0</v>
      </c>
      <c r="S32" s="75">
        <f t="shared" si="17"/>
        <v>0</v>
      </c>
      <c r="T32" s="66"/>
      <c r="U32" s="66"/>
      <c r="V32" s="66"/>
      <c r="BO32" s="66"/>
    </row>
    <row r="33" spans="1:142" x14ac:dyDescent="0.25">
      <c r="D33" s="60" t="str">
        <f>+BZ42</f>
        <v>00062</v>
      </c>
      <c r="E33" s="60" t="str">
        <f>+CA42</f>
        <v>Gastos médicos por accidente</v>
      </c>
      <c r="H33" s="67">
        <f>+CB42</f>
        <v>0</v>
      </c>
      <c r="I33" s="60" t="str">
        <f>+CC42</f>
        <v>A</v>
      </c>
      <c r="J33" s="68" t="str">
        <f t="shared" si="18"/>
        <v/>
      </c>
      <c r="K33" s="66">
        <f>+SUMIF($B$42:$B$53,1,CE42:CE53)</f>
        <v>0</v>
      </c>
      <c r="L33" s="68" t="str">
        <f t="shared" si="15"/>
        <v/>
      </c>
      <c r="M33" s="66">
        <f t="shared" ref="M33:R33" si="22">+SUMIF($B$42:$B$53,1,CG42:CG53)</f>
        <v>0</v>
      </c>
      <c r="N33" s="66">
        <f t="shared" si="22"/>
        <v>0</v>
      </c>
      <c r="O33" s="66">
        <f t="shared" si="22"/>
        <v>0</v>
      </c>
      <c r="P33" s="66">
        <f t="shared" si="22"/>
        <v>0</v>
      </c>
      <c r="Q33" s="66">
        <f t="shared" si="22"/>
        <v>0</v>
      </c>
      <c r="R33" s="66">
        <f t="shared" si="22"/>
        <v>0</v>
      </c>
      <c r="S33" s="75">
        <f t="shared" si="17"/>
        <v>0</v>
      </c>
      <c r="T33" s="66"/>
      <c r="U33" s="66"/>
      <c r="V33" s="66"/>
      <c r="BO33" s="66"/>
    </row>
    <row r="34" spans="1:142" x14ac:dyDescent="0.25">
      <c r="D34" s="60" t="str">
        <f>+CM42</f>
        <v>00063</v>
      </c>
      <c r="E34" s="60" t="str">
        <f>+CN42</f>
        <v>Renta Diaria por Hospitalización</v>
      </c>
      <c r="H34" s="67">
        <f>+CO42</f>
        <v>0</v>
      </c>
      <c r="I34" s="60" t="str">
        <f>+CP42</f>
        <v>A</v>
      </c>
      <c r="J34" s="68" t="str">
        <f t="shared" si="18"/>
        <v/>
      </c>
      <c r="K34" s="66">
        <f>+SUMIF($B$42:$B$53,1,CR42:CR53)</f>
        <v>0</v>
      </c>
      <c r="L34" s="68" t="str">
        <f t="shared" si="15"/>
        <v/>
      </c>
      <c r="M34" s="66">
        <f t="shared" ref="M34:R34" si="23">+SUMIF($B$42:$B$53,1,CT42:CT53)</f>
        <v>0</v>
      </c>
      <c r="N34" s="66">
        <f t="shared" si="23"/>
        <v>0</v>
      </c>
      <c r="O34" s="66">
        <f t="shared" si="23"/>
        <v>0</v>
      </c>
      <c r="P34" s="66">
        <f t="shared" si="23"/>
        <v>0</v>
      </c>
      <c r="Q34" s="66">
        <f t="shared" si="23"/>
        <v>0</v>
      </c>
      <c r="R34" s="66">
        <f t="shared" si="23"/>
        <v>0</v>
      </c>
      <c r="S34" s="75">
        <f t="shared" si="17"/>
        <v>0</v>
      </c>
      <c r="T34" s="66"/>
      <c r="U34" s="66"/>
      <c r="V34" s="66"/>
    </row>
    <row r="35" spans="1:142" x14ac:dyDescent="0.25">
      <c r="D35" s="60" t="str">
        <f>+CZ42</f>
        <v>00064</v>
      </c>
      <c r="E35" s="60" t="str">
        <f>+DA42</f>
        <v>Enfermedades Graves</v>
      </c>
      <c r="H35" s="67">
        <f>+DB42</f>
        <v>0</v>
      </c>
      <c r="I35" s="60" t="str">
        <f>+DC42</f>
        <v>A</v>
      </c>
      <c r="J35" s="68" t="str">
        <f t="shared" si="18"/>
        <v/>
      </c>
      <c r="K35" s="66">
        <f>+SUMIF($B$42:$B$53,1,DE42:DE53)</f>
        <v>0</v>
      </c>
      <c r="L35" s="68" t="str">
        <f t="shared" si="15"/>
        <v/>
      </c>
      <c r="M35" s="66">
        <f t="shared" ref="M35:R35" si="24">+SUMIF($B$42:$B$53,1,DG42:DG53)</f>
        <v>0</v>
      </c>
      <c r="N35" s="66">
        <f t="shared" si="24"/>
        <v>0</v>
      </c>
      <c r="O35" s="66">
        <f t="shared" si="24"/>
        <v>0</v>
      </c>
      <c r="P35" s="66">
        <f t="shared" si="24"/>
        <v>0</v>
      </c>
      <c r="Q35" s="66">
        <f t="shared" si="24"/>
        <v>0</v>
      </c>
      <c r="R35" s="66">
        <f t="shared" si="24"/>
        <v>0</v>
      </c>
      <c r="S35" s="75">
        <f t="shared" si="17"/>
        <v>0</v>
      </c>
      <c r="T35" s="66"/>
      <c r="U35" s="66"/>
      <c r="V35" s="66"/>
      <c r="CB35" s="70"/>
    </row>
    <row r="36" spans="1:142" x14ac:dyDescent="0.25">
      <c r="D36" s="60" t="s">
        <v>288</v>
      </c>
      <c r="E36" s="60" t="s">
        <v>316</v>
      </c>
      <c r="F36" s="60"/>
      <c r="G36" s="67"/>
      <c r="H36" s="67">
        <f>+DO42</f>
        <v>0</v>
      </c>
      <c r="I36" s="60" t="s">
        <v>263</v>
      </c>
      <c r="J36" s="68" t="str">
        <f>+IF(H36=0,"",K36/H36)</f>
        <v/>
      </c>
      <c r="K36" s="66">
        <f>+SUMIF($B$42:$B$53,1,DR42:DR53)</f>
        <v>0</v>
      </c>
      <c r="L36" s="68" t="str">
        <f>+IF(H36=0,"",M36/H36)</f>
        <v/>
      </c>
      <c r="M36" s="66">
        <f t="shared" ref="M36:R36" si="25">+SUMIF($B$42:$B$53,1,DT42:DT53)</f>
        <v>0</v>
      </c>
      <c r="N36" s="66">
        <f t="shared" si="25"/>
        <v>0</v>
      </c>
      <c r="O36" s="66">
        <f t="shared" si="25"/>
        <v>0</v>
      </c>
      <c r="P36" s="66">
        <f t="shared" si="25"/>
        <v>0</v>
      </c>
      <c r="Q36" s="66">
        <f t="shared" si="25"/>
        <v>0</v>
      </c>
      <c r="R36" s="66">
        <f t="shared" si="25"/>
        <v>0</v>
      </c>
      <c r="S36" s="75">
        <f t="shared" si="17"/>
        <v>0</v>
      </c>
      <c r="T36" s="66"/>
      <c r="U36" s="66"/>
      <c r="V36" s="66"/>
      <c r="CB36" s="70"/>
    </row>
    <row r="37" spans="1:142" x14ac:dyDescent="0.25">
      <c r="D37" s="60" t="s">
        <v>387</v>
      </c>
      <c r="E37" s="60" t="s">
        <v>386</v>
      </c>
      <c r="F37" s="60"/>
      <c r="G37" s="67"/>
      <c r="H37" s="67">
        <f>+EB42</f>
        <v>50000</v>
      </c>
      <c r="I37" s="60" t="s">
        <v>263</v>
      </c>
      <c r="J37" s="68">
        <f>+IF(H37=0,"",K37/H37)</f>
        <v>9.6000000000000002E-5</v>
      </c>
      <c r="K37" s="66">
        <f>+SUMIF($B$42:$B$53,1,EE42:EE53)</f>
        <v>4.8</v>
      </c>
      <c r="L37" s="68">
        <f>+IF(H37=0,"",M37/H37)</f>
        <v>1.0800000000000002E-4</v>
      </c>
      <c r="M37" s="66">
        <f t="shared" ref="M37:R37" si="26">+SUMIF($B$42:$B$53,1,EG42:EG53)</f>
        <v>5.4000000000000012</v>
      </c>
      <c r="N37" s="66">
        <f t="shared" si="26"/>
        <v>0</v>
      </c>
      <c r="O37" s="66">
        <f t="shared" si="26"/>
        <v>0</v>
      </c>
      <c r="P37" s="66">
        <f t="shared" si="26"/>
        <v>0.23999999999999996</v>
      </c>
      <c r="Q37" s="66">
        <f t="shared" si="26"/>
        <v>0</v>
      </c>
      <c r="R37" s="66">
        <f t="shared" si="26"/>
        <v>5.6399999999999979</v>
      </c>
      <c r="S37" s="75">
        <f t="shared" si="17"/>
        <v>1.9469759734879855E-2</v>
      </c>
      <c r="T37" s="66"/>
      <c r="U37" s="66"/>
      <c r="V37" s="66"/>
      <c r="CB37" s="70"/>
      <c r="EE37">
        <f>VLOOKUP(ROUNDDOWN($D42-1/frec,0),cob_adi,DO$40,FALSE)</f>
        <v>8.585E-5</v>
      </c>
    </row>
    <row r="38" spans="1:142" x14ac:dyDescent="0.25">
      <c r="D38" s="60"/>
      <c r="E38" s="60"/>
      <c r="F38" s="67"/>
      <c r="G38" s="60"/>
      <c r="H38" s="68"/>
      <c r="I38" s="66"/>
      <c r="J38" s="68"/>
      <c r="K38" s="66"/>
      <c r="L38" s="66"/>
      <c r="M38" s="66"/>
      <c r="N38" s="66"/>
      <c r="O38" s="66"/>
      <c r="P38" s="66"/>
      <c r="R38" s="66">
        <f>+SUM(R29:R37)</f>
        <v>289.68000000000006</v>
      </c>
      <c r="CB38" s="70"/>
    </row>
    <row r="39" spans="1:142" x14ac:dyDescent="0.25">
      <c r="D39" s="60"/>
      <c r="E39" s="60"/>
      <c r="F39" s="60"/>
      <c r="G39" s="66"/>
      <c r="H39" s="60"/>
      <c r="I39" s="68"/>
      <c r="J39" s="66"/>
      <c r="K39" s="68"/>
      <c r="L39" s="66"/>
      <c r="M39" s="66"/>
      <c r="N39" s="66"/>
      <c r="O39" s="66"/>
      <c r="P39" s="66"/>
      <c r="Q39" s="66"/>
      <c r="AE39" s="66">
        <f>+AG42-AC42</f>
        <v>11.760000000000002</v>
      </c>
      <c r="AF39" s="66"/>
      <c r="AG39" s="66"/>
      <c r="CC39" s="70"/>
    </row>
    <row r="40" spans="1:142" s="71" customFormat="1" x14ac:dyDescent="0.25">
      <c r="A40" s="115" t="s">
        <v>413</v>
      </c>
      <c r="C40" t="s">
        <v>306</v>
      </c>
      <c r="D40" s="71">
        <v>1</v>
      </c>
      <c r="E40" s="71">
        <v>2</v>
      </c>
      <c r="F40" s="71">
        <v>3</v>
      </c>
      <c r="G40" s="71">
        <v>4</v>
      </c>
      <c r="H40" s="71">
        <v>5</v>
      </c>
      <c r="I40" s="71">
        <v>6</v>
      </c>
      <c r="J40" s="71">
        <v>7</v>
      </c>
      <c r="K40" s="71">
        <v>8</v>
      </c>
      <c r="L40" s="71">
        <v>9</v>
      </c>
      <c r="M40" s="71">
        <v>10</v>
      </c>
      <c r="N40" s="71">
        <v>11</v>
      </c>
      <c r="O40" s="71">
        <v>12</v>
      </c>
      <c r="P40" s="71">
        <v>13</v>
      </c>
      <c r="Q40" s="71">
        <v>14</v>
      </c>
      <c r="R40" s="71">
        <v>15</v>
      </c>
      <c r="S40" s="71">
        <v>16</v>
      </c>
      <c r="T40" s="71">
        <v>17</v>
      </c>
      <c r="U40" s="71">
        <v>18</v>
      </c>
      <c r="V40" s="71">
        <v>19</v>
      </c>
      <c r="W40" t="s">
        <v>307</v>
      </c>
      <c r="Z40" s="71">
        <f>+VLOOKUP(AM42,Parámetros!$E$45:$I$53,5,FALSE)</f>
        <v>3</v>
      </c>
      <c r="AO40" s="71">
        <f>+VLOOKUP(AZ42,Parámetros!$E$45:$I$53,5,FALSE)</f>
        <v>8</v>
      </c>
      <c r="BB40" s="71">
        <f>+VLOOKUP(BM42,Parámetros!$E$45:$I$53,5,FALSE)</f>
        <v>14</v>
      </c>
      <c r="BO40" s="71">
        <f>+VLOOKUP(BZ42,Parámetros!$E$45:$I$53,5,FALSE)</f>
        <v>17</v>
      </c>
      <c r="CB40" s="71">
        <f>+VLOOKUP(CM42,Parámetros!$E$45:$I$53,5,FALSE)</f>
        <v>20</v>
      </c>
      <c r="CO40" s="71">
        <f>+VLOOKUP(CZ42,Parámetros!$E$45:$I$53,5,FALSE)</f>
        <v>18</v>
      </c>
      <c r="DB40" s="71">
        <f>+VLOOKUP(DM42,Parámetros!$E$45:$I$53,5,FALSE)</f>
        <v>22</v>
      </c>
      <c r="DO40" s="71">
        <f>+VLOOKUP(DZ42,Parámetros!$E$45:$I$53,5,FALSE)</f>
        <v>24</v>
      </c>
    </row>
    <row r="41" spans="1:142" x14ac:dyDescent="0.25">
      <c r="B41" s="62" t="s">
        <v>308</v>
      </c>
      <c r="C41" s="62" t="s">
        <v>310</v>
      </c>
      <c r="D41" s="62" t="s">
        <v>3</v>
      </c>
      <c r="E41" s="62" t="s">
        <v>309</v>
      </c>
      <c r="F41" s="62" t="s">
        <v>28</v>
      </c>
      <c r="G41" s="62" t="s">
        <v>162</v>
      </c>
      <c r="H41" s="62" t="s">
        <v>163</v>
      </c>
      <c r="I41" s="62" t="s">
        <v>29</v>
      </c>
      <c r="J41" s="62" t="s">
        <v>164</v>
      </c>
      <c r="K41" s="62" t="s">
        <v>165</v>
      </c>
      <c r="L41" s="62" t="s">
        <v>166</v>
      </c>
      <c r="M41" s="62" t="s">
        <v>167</v>
      </c>
      <c r="N41" s="62" t="s">
        <v>168</v>
      </c>
      <c r="O41" s="62" t="s">
        <v>268</v>
      </c>
      <c r="P41" s="62" t="s">
        <v>269</v>
      </c>
      <c r="Q41" s="62" t="s">
        <v>270</v>
      </c>
      <c r="R41" s="62" t="s">
        <v>271</v>
      </c>
      <c r="S41" s="62" t="s">
        <v>312</v>
      </c>
      <c r="T41" s="62" t="s">
        <v>314</v>
      </c>
      <c r="U41" s="62" t="s">
        <v>313</v>
      </c>
      <c r="V41" s="62" t="s">
        <v>315</v>
      </c>
      <c r="W41" s="55" t="s">
        <v>161</v>
      </c>
      <c r="X41" s="55" t="s">
        <v>169</v>
      </c>
      <c r="Y41" s="55" t="s">
        <v>231</v>
      </c>
      <c r="Z41" s="55" t="s">
        <v>170</v>
      </c>
      <c r="AA41" s="55" t="s">
        <v>171</v>
      </c>
      <c r="AB41" s="55" t="s">
        <v>172</v>
      </c>
      <c r="AC41" s="55" t="s">
        <v>173</v>
      </c>
      <c r="AD41" s="55" t="s">
        <v>174</v>
      </c>
      <c r="AE41" s="55" t="s">
        <v>402</v>
      </c>
      <c r="AF41" s="55" t="s">
        <v>404</v>
      </c>
      <c r="AG41" s="55" t="s">
        <v>175</v>
      </c>
      <c r="AH41" s="55" t="s">
        <v>176</v>
      </c>
      <c r="AI41" s="55" t="s">
        <v>177</v>
      </c>
      <c r="AJ41" s="55" t="s">
        <v>178</v>
      </c>
      <c r="AK41" s="55" t="s">
        <v>179</v>
      </c>
      <c r="AL41" s="55" t="s">
        <v>180</v>
      </c>
      <c r="AM41" s="61" t="s">
        <v>182</v>
      </c>
      <c r="AN41" s="61" t="s">
        <v>231</v>
      </c>
      <c r="AO41" s="61" t="s">
        <v>183</v>
      </c>
      <c r="AP41" s="61" t="s">
        <v>184</v>
      </c>
      <c r="AQ41" s="61" t="s">
        <v>185</v>
      </c>
      <c r="AR41" s="61" t="s">
        <v>186</v>
      </c>
      <c r="AS41" s="61" t="s">
        <v>187</v>
      </c>
      <c r="AT41" s="61" t="s">
        <v>188</v>
      </c>
      <c r="AU41" s="61" t="s">
        <v>189</v>
      </c>
      <c r="AV41" s="61" t="s">
        <v>190</v>
      </c>
      <c r="AW41" s="61" t="s">
        <v>191</v>
      </c>
      <c r="AX41" s="61" t="s">
        <v>192</v>
      </c>
      <c r="AY41" s="61" t="s">
        <v>193</v>
      </c>
      <c r="AZ41" s="62" t="s">
        <v>195</v>
      </c>
      <c r="BA41" s="62" t="s">
        <v>231</v>
      </c>
      <c r="BB41" s="62" t="s">
        <v>196</v>
      </c>
      <c r="BC41" s="62" t="s">
        <v>197</v>
      </c>
      <c r="BD41" s="62" t="s">
        <v>198</v>
      </c>
      <c r="BE41" s="62" t="s">
        <v>199</v>
      </c>
      <c r="BF41" s="62" t="s">
        <v>200</v>
      </c>
      <c r="BG41" s="62" t="s">
        <v>201</v>
      </c>
      <c r="BH41" s="62" t="s">
        <v>202</v>
      </c>
      <c r="BI41" s="62" t="s">
        <v>203</v>
      </c>
      <c r="BJ41" s="62" t="s">
        <v>204</v>
      </c>
      <c r="BK41" s="62" t="s">
        <v>205</v>
      </c>
      <c r="BL41" s="62" t="s">
        <v>206</v>
      </c>
      <c r="BM41" s="63" t="s">
        <v>207</v>
      </c>
      <c r="BN41" s="63" t="s">
        <v>231</v>
      </c>
      <c r="BO41" s="63" t="s">
        <v>208</v>
      </c>
      <c r="BP41" s="63" t="s">
        <v>209</v>
      </c>
      <c r="BQ41" s="63" t="s">
        <v>210</v>
      </c>
      <c r="BR41" s="63" t="s">
        <v>211</v>
      </c>
      <c r="BS41" s="63" t="s">
        <v>212</v>
      </c>
      <c r="BT41" s="63" t="s">
        <v>213</v>
      </c>
      <c r="BU41" s="63" t="s">
        <v>214</v>
      </c>
      <c r="BV41" s="63" t="s">
        <v>215</v>
      </c>
      <c r="BW41" s="63" t="s">
        <v>216</v>
      </c>
      <c r="BX41" s="63" t="s">
        <v>217</v>
      </c>
      <c r="BY41" s="63" t="s">
        <v>218</v>
      </c>
      <c r="BZ41" s="64" t="s">
        <v>219</v>
      </c>
      <c r="CA41" s="64" t="s">
        <v>231</v>
      </c>
      <c r="CB41" s="64" t="s">
        <v>220</v>
      </c>
      <c r="CC41" s="64" t="s">
        <v>221</v>
      </c>
      <c r="CD41" s="64" t="s">
        <v>222</v>
      </c>
      <c r="CE41" s="64" t="s">
        <v>223</v>
      </c>
      <c r="CF41" s="64" t="s">
        <v>224</v>
      </c>
      <c r="CG41" s="64" t="s">
        <v>225</v>
      </c>
      <c r="CH41" s="64" t="s">
        <v>226</v>
      </c>
      <c r="CI41" s="64" t="s">
        <v>227</v>
      </c>
      <c r="CJ41" s="64" t="s">
        <v>228</v>
      </c>
      <c r="CK41" s="64" t="s">
        <v>229</v>
      </c>
      <c r="CL41" s="64" t="s">
        <v>230</v>
      </c>
      <c r="CM41" s="61" t="s">
        <v>235</v>
      </c>
      <c r="CN41" s="61" t="s">
        <v>231</v>
      </c>
      <c r="CO41" s="61" t="s">
        <v>236</v>
      </c>
      <c r="CP41" s="61" t="s">
        <v>237</v>
      </c>
      <c r="CQ41" s="61" t="s">
        <v>238</v>
      </c>
      <c r="CR41" s="61" t="s">
        <v>239</v>
      </c>
      <c r="CS41" s="61" t="s">
        <v>240</v>
      </c>
      <c r="CT41" s="61" t="s">
        <v>241</v>
      </c>
      <c r="CU41" s="61" t="s">
        <v>242</v>
      </c>
      <c r="CV41" s="61" t="s">
        <v>243</v>
      </c>
      <c r="CW41" s="61" t="s">
        <v>244</v>
      </c>
      <c r="CX41" s="61" t="s">
        <v>245</v>
      </c>
      <c r="CY41" s="61" t="s">
        <v>246</v>
      </c>
      <c r="CZ41" s="65" t="s">
        <v>247</v>
      </c>
      <c r="DA41" s="65" t="s">
        <v>231</v>
      </c>
      <c r="DB41" s="65" t="s">
        <v>248</v>
      </c>
      <c r="DC41" s="65" t="s">
        <v>249</v>
      </c>
      <c r="DD41" s="65" t="s">
        <v>250</v>
      </c>
      <c r="DE41" s="65" t="s">
        <v>251</v>
      </c>
      <c r="DF41" s="65" t="s">
        <v>252</v>
      </c>
      <c r="DG41" s="65" t="s">
        <v>253</v>
      </c>
      <c r="DH41" s="65" t="s">
        <v>254</v>
      </c>
      <c r="DI41" s="65" t="s">
        <v>255</v>
      </c>
      <c r="DJ41" s="65" t="s">
        <v>256</v>
      </c>
      <c r="DK41" s="65" t="s">
        <v>257</v>
      </c>
      <c r="DL41" s="65" t="s">
        <v>258</v>
      </c>
      <c r="DM41" s="73" t="s">
        <v>289</v>
      </c>
      <c r="DN41" s="73" t="s">
        <v>231</v>
      </c>
      <c r="DO41" s="73" t="s">
        <v>293</v>
      </c>
      <c r="DP41" s="73" t="s">
        <v>294</v>
      </c>
      <c r="DQ41" s="73" t="s">
        <v>295</v>
      </c>
      <c r="DR41" s="73" t="s">
        <v>296</v>
      </c>
      <c r="DS41" s="73" t="s">
        <v>297</v>
      </c>
      <c r="DT41" s="73" t="s">
        <v>298</v>
      </c>
      <c r="DU41" s="73" t="s">
        <v>299</v>
      </c>
      <c r="DV41" s="73" t="s">
        <v>300</v>
      </c>
      <c r="DW41" s="73" t="s">
        <v>301</v>
      </c>
      <c r="DX41" s="73" t="s">
        <v>302</v>
      </c>
      <c r="DY41" s="73" t="s">
        <v>303</v>
      </c>
      <c r="DZ41" s="99" t="s">
        <v>289</v>
      </c>
      <c r="EA41" s="99" t="s">
        <v>231</v>
      </c>
      <c r="EB41" s="99" t="s">
        <v>293</v>
      </c>
      <c r="EC41" s="99" t="s">
        <v>389</v>
      </c>
      <c r="ED41" s="99" t="s">
        <v>390</v>
      </c>
      <c r="EE41" s="99" t="s">
        <v>391</v>
      </c>
      <c r="EF41" s="99" t="s">
        <v>392</v>
      </c>
      <c r="EG41" s="99" t="s">
        <v>393</v>
      </c>
      <c r="EH41" s="99" t="s">
        <v>394</v>
      </c>
      <c r="EI41" s="99" t="s">
        <v>395</v>
      </c>
      <c r="EJ41" s="99" t="s">
        <v>396</v>
      </c>
      <c r="EK41" s="99" t="s">
        <v>397</v>
      </c>
      <c r="EL41" s="99" t="s">
        <v>398</v>
      </c>
    </row>
    <row r="42" spans="1:142" x14ac:dyDescent="0.25">
      <c r="A42">
        <f>+IF($C42="","",ROUND(VLOOKUP('Tablas Servicio'!B42,Parámetros!$H$100:$J$159,IF(Parámetros!$E$16="F",2,3),FALSE),2))</f>
        <v>150</v>
      </c>
      <c r="B42">
        <f t="shared" ref="B42:B105" si="27">+IF(D42="","",ROUNDUP(C42/frec,0))</f>
        <v>1</v>
      </c>
      <c r="C42" s="57">
        <v>1</v>
      </c>
      <c r="D42" s="56">
        <f>+Parámetros!D19+1/Parámetros!$E$25</f>
        <v>40.103333333333339</v>
      </c>
      <c r="E42" s="57">
        <f>+IF(D42="","",ROUNDDOWN(D42,0))</f>
        <v>40</v>
      </c>
      <c r="F42" s="59">
        <f>+Z42</f>
        <v>100000</v>
      </c>
      <c r="G42" s="66">
        <f>+IF($C42="","",AG42+AT42+BG42+BT42+CG42+CT42+DG42+DT42+EG42)</f>
        <v>23.21</v>
      </c>
      <c r="H42" s="66">
        <f t="shared" ref="H42:H105" si="28">+IF($C42="","",AL42+AY42+BL42+BY42+CL42+CY42+DL42+DY42+EL42)</f>
        <v>24.14</v>
      </c>
      <c r="I42" s="66">
        <f>+IF($C42="","",N42-H42-P42)</f>
        <v>61.6</v>
      </c>
      <c r="J42" s="66">
        <f t="shared" ref="J42:J105" si="29">+IF($C42="","",AJ42+AW42+BJ42+BW42+CJ42+CW42+DJ42+DW42+EJ42)</f>
        <v>0.82000000000000006</v>
      </c>
      <c r="K42" s="66">
        <f t="shared" ref="K42:K105" si="30">+IF($C42="","",AK42+AX42+BK42+BX42+CK42+CX42+DK42+DX42+EK42)</f>
        <v>0.11</v>
      </c>
      <c r="L42" s="66">
        <f t="shared" ref="L42:L105" si="31">+IF($C42="","",AH42+AU42+BH42+BU42+CH42+CU42+DH42+DU42+EH42)</f>
        <v>0</v>
      </c>
      <c r="M42" s="66">
        <f t="shared" ref="M42:M105" si="32">+IF($C42="","",AI42+AV42+BI42+BV42+CI42+CV42+DI42+DV42+EI42)</f>
        <v>0</v>
      </c>
      <c r="N42" s="66">
        <f>+IF(C42="","",ROUND(Parámetros!$D$23,2))</f>
        <v>94</v>
      </c>
      <c r="O42" s="66">
        <f t="shared" ref="O42:O105" si="33">+IF($C42="","",AC42+AR42+BE42+BR42+CE42+CR42+DE42+DR42+EE42)</f>
        <v>11.4</v>
      </c>
      <c r="P42" s="66">
        <f>+IF($C42="","",ROUND(IF(B42&gt;Parámetros!$D$117,0,N42*Parámetros!$D$116-G42*Parámetros!$D$100),2))</f>
        <v>8.26</v>
      </c>
      <c r="Q42" s="75">
        <f>+J42/$G$42</f>
        <v>3.5329599310641967E-2</v>
      </c>
      <c r="R42" s="75">
        <f>+K42/$G$42</f>
        <v>4.7393364928909948E-3</v>
      </c>
      <c r="S42" s="117">
        <f>+ROUND(I42*(1+Parámetros!$D$91),2)</f>
        <v>61.77</v>
      </c>
      <c r="T42" s="117">
        <f>+IF($C42="","",ROUND(S42*VLOOKUP(B42,Parámetros!$C$30:$D$39,2,TRUE),2))</f>
        <v>0</v>
      </c>
      <c r="U42" s="117">
        <f>+ROUND(I42*(1+Parámetros!$D$92),2)</f>
        <v>61.8</v>
      </c>
      <c r="V42" s="117">
        <f>+IF($C42="","",ROUND(U42*VLOOKUP(B42,Parámetros!$C$30:$D$39,2,TRUE),2))</f>
        <v>0</v>
      </c>
      <c r="W42" s="57">
        <f t="shared" ref="W42:W53" si="34">+C42</f>
        <v>1</v>
      </c>
      <c r="X42" s="60" t="s">
        <v>181</v>
      </c>
      <c r="Y42" t="s">
        <v>261</v>
      </c>
      <c r="Z42" s="118">
        <f>+Parámetros!D21</f>
        <v>100000</v>
      </c>
      <c r="AA42" s="66" t="s">
        <v>262</v>
      </c>
      <c r="AB42" s="119">
        <f>+IF(W42="","",ROUND((VLOOKUP(ROUNDDOWN($D42-1/frec,0),qx_tabla,2,FALSE)*(1+i/frec)^-0.5*(1+Parámetros!$D$103)*(1+rec_fracc)/frec),6))</f>
        <v>1.1E-4</v>
      </c>
      <c r="AC42" s="66">
        <f>+IF($W42="","",ROUND((AB42*Z42),2))</f>
        <v>11</v>
      </c>
      <c r="AD42" s="119">
        <f t="shared" ref="AD42:AD105" si="35">+IF($W42="","",ROUND((AG42/Z42),6))</f>
        <v>2.2800000000000001E-4</v>
      </c>
      <c r="AE42" s="66">
        <f>+IF($W42="","",ROUND((AC42/(1-IF(B42&lt;=10,Parámetros!$D$104,Parámetros!$D$105))),2))</f>
        <v>22.76</v>
      </c>
      <c r="AF42" s="66">
        <f>+IF($W42="","",ROUND(((AC42+A42/frec)/(1-IF(B42&lt;=Parámetros!$D$117,Parámetros!$D$100,0))),2))</f>
        <v>26.61</v>
      </c>
      <c r="AG42" s="66">
        <f>+IF($W42="","",MIN(AE42,AF42))</f>
        <v>22.76</v>
      </c>
      <c r="AH42" s="66">
        <f>+IF($W42="","",0)</f>
        <v>0</v>
      </c>
      <c r="AI42" s="66">
        <f>IF($W42="","",0)</f>
        <v>0</v>
      </c>
      <c r="AJ42" s="66">
        <f>+IF($W42="","",ROUND((AG42*Parámetros!$G$85),2))</f>
        <v>0.8</v>
      </c>
      <c r="AK42" s="66">
        <f>+IF($W42="","",ROUND((AG42*(Parámetros!$G$86)),2))</f>
        <v>0.11</v>
      </c>
      <c r="AL42" s="66">
        <f t="shared" ref="AL42:AL105" si="36">+IF($W42="","",ROUND((AG42+AJ42+AK42),2))</f>
        <v>23.67</v>
      </c>
      <c r="AM42" s="60" t="s">
        <v>194</v>
      </c>
      <c r="AN42" t="s">
        <v>142</v>
      </c>
      <c r="AO42" s="118">
        <f>+IF(Parámetros!$D$46="Si",Parámetros!$F$46,0)</f>
        <v>0</v>
      </c>
      <c r="AP42" t="s">
        <v>263</v>
      </c>
      <c r="AQ42" s="119" t="str">
        <f>+IF(OR($W42="",AO42=0),"",ROUND((VLOOKUP(ROUNDDOWN($D42-1/frec,0),cob_adi,Z$40,FALSE)*(1+i/frec)^-0.5*(1+Parámetros!$D$103)*(1+rec_fracc)/frec),6))</f>
        <v/>
      </c>
      <c r="AR42" s="66">
        <f>+IF(AO42=0,0,IF($W42="","",ROUND((AQ42*AO42),2)))</f>
        <v>0</v>
      </c>
      <c r="AS42" s="119" t="str">
        <f>+IF(OR($W42="",AO42=0),"",ROUND((AT42/AO42),6))</f>
        <v/>
      </c>
      <c r="AT42" s="66">
        <f>+IF($W42="","",ROUND((AR42/(1-IF(B42&lt;=10,Parámetros!$D$100,0))),2))</f>
        <v>0</v>
      </c>
      <c r="AU42" s="66">
        <f>+IF($W42="","",0)</f>
        <v>0</v>
      </c>
      <c r="AV42" s="66">
        <f>+IF($W42="","",0)</f>
        <v>0</v>
      </c>
      <c r="AW42" s="66">
        <f>+IF($W42="","",ROUND((AT42*Parámetros!$G$85),2))</f>
        <v>0</v>
      </c>
      <c r="AX42" s="66">
        <f>+IF($W42="","",ROUND((AT42*(Parámetros!$G$86)),2))</f>
        <v>0</v>
      </c>
      <c r="AY42" s="66">
        <f>+IF($W42="","",ROUND((AT42+AW42+AX42),2))</f>
        <v>0</v>
      </c>
      <c r="AZ42" s="60" t="s">
        <v>234</v>
      </c>
      <c r="BA42" t="s">
        <v>6</v>
      </c>
      <c r="BB42" s="118">
        <f>+IF(Parámetros!$D$47="Si",Parámetros!$F$47,0)</f>
        <v>0</v>
      </c>
      <c r="BC42" t="s">
        <v>263</v>
      </c>
      <c r="BD42" s="119" t="str">
        <f>+IF(OR($W42="",BB42=0),"",ROUND((VLOOKUP(ROUNDDOWN($D42-1/frec,0),cob_adi,AO$40,FALSE)*(1+i/frec)^-0.5*(1+Parámetros!$D$103)*(1+rec_fracc)/frec),6))</f>
        <v/>
      </c>
      <c r="BE42" s="66">
        <f>+IF(BB42=0,0,IF($W42="","",ROUND(((BD42*BB42)),2)))</f>
        <v>0</v>
      </c>
      <c r="BF42" s="119" t="str">
        <f>+IF(OR($W42="",BB42=0),"",ROUND((BG42/BB42),6))</f>
        <v/>
      </c>
      <c r="BG42" s="66">
        <f>+IF($W42="","",ROUND((BE42/(1-IF(B42&lt;=10,Parámetros!$D$100,0))),2))</f>
        <v>0</v>
      </c>
      <c r="BH42" s="66">
        <f>IF($W42="","",0)</f>
        <v>0</v>
      </c>
      <c r="BI42" s="66">
        <f>+IF($W42="","",0)</f>
        <v>0</v>
      </c>
      <c r="BJ42" s="66">
        <f>+IF($W42="","",ROUND((BG42*Parámetros!$G$85),2))</f>
        <v>0</v>
      </c>
      <c r="BK42" s="66">
        <f>+IF($W42="","",ROUND((BG42*(Parámetros!$G$86)),2))</f>
        <v>0</v>
      </c>
      <c r="BL42" s="66">
        <f>+IF($W42="","",ROUND((BG42+BJ42+BK42),2))</f>
        <v>0</v>
      </c>
      <c r="BM42" s="60" t="s">
        <v>233</v>
      </c>
      <c r="BN42" t="s">
        <v>143</v>
      </c>
      <c r="BO42" s="118">
        <f>+IF(Parámetros!$D$48="Si",Parámetros!$F$48,0)</f>
        <v>0</v>
      </c>
      <c r="BP42" t="s">
        <v>263</v>
      </c>
      <c r="BQ42" s="119" t="str">
        <f>+IF(OR($W42="",BO42=0),"",ROUND((VLOOKUP(ROUNDDOWN($D42-1/frec,0),cob_adi,BB$40,FALSE)*(1+i/frec)^-0.5*(1+Parámetros!$D$103)*(1+rec_fracc)/frec),6))</f>
        <v/>
      </c>
      <c r="BR42" s="66">
        <f>+IF(BO42=0,0,IF($W42="","",ROUND(((BQ42*BO42)),2)))</f>
        <v>0</v>
      </c>
      <c r="BS42" s="119" t="str">
        <f>+IF(OR($W42="",BO42=0),"",ROUND((BT42/BO42),6))</f>
        <v/>
      </c>
      <c r="BT42" s="66">
        <f>+IF($W42="","",ROUND((BR42/(1-IF(B42&lt;=10,Parámetros!$D$100,0))),2))</f>
        <v>0</v>
      </c>
      <c r="BU42" s="66">
        <f>+IF($W42="","",0)</f>
        <v>0</v>
      </c>
      <c r="BV42" s="66">
        <f>+IF($W42="","",0)</f>
        <v>0</v>
      </c>
      <c r="BW42" s="66">
        <f>+IF($W42="","",ROUND((BT42*Parámetros!$G$85),2))</f>
        <v>0</v>
      </c>
      <c r="BX42" s="66">
        <f>+IF($W42="","",ROUND((BT42*(Parámetros!$G$86)),2))</f>
        <v>0</v>
      </c>
      <c r="BY42" s="66">
        <f>+IF($W42="","",ROUND((BT42+BW42+BX42),2))</f>
        <v>0</v>
      </c>
      <c r="BZ42" s="60" t="s">
        <v>232</v>
      </c>
      <c r="CA42" t="s">
        <v>144</v>
      </c>
      <c r="CB42" s="118">
        <f>+IF(Parámetros!$D$49="Si",Parámetros!$F$49,0)</f>
        <v>0</v>
      </c>
      <c r="CC42" t="s">
        <v>263</v>
      </c>
      <c r="CD42" s="119" t="str">
        <f>+IF(OR($W42="",CB42=0),"",ROUND((CE42/CB42),6))</f>
        <v/>
      </c>
      <c r="CE42" s="66">
        <f>+IF($W42="","",ROUND((VLOOKUP(ROUNDDOWN($D42-1/frec,0),cob_adi,BO$40,FALSE)*(1+i/frec)^-0.5*(1+Parámetros!$D$103)*(1+rec_fracc)/frec*'TABLAS ADI'!$BC$17),2))</f>
        <v>0</v>
      </c>
      <c r="CF42" s="119" t="str">
        <f>+IF(OR($W42="",CB42=0),"",ROUND((CG42/CB42),6))</f>
        <v/>
      </c>
      <c r="CG42" s="66">
        <f>+IF($W42="","",ROUND((CE42/(1-IF(B42&lt;=10,Parámetros!$D$100,0))),2))</f>
        <v>0</v>
      </c>
      <c r="CH42" s="66">
        <f>+IF($W42="","",0)</f>
        <v>0</v>
      </c>
      <c r="CI42" s="66">
        <f>+IF($W42="","",0)</f>
        <v>0</v>
      </c>
      <c r="CJ42" s="66">
        <f>+IF($W42="","",ROUND((CG42*Parámetros!$G$85),2))</f>
        <v>0</v>
      </c>
      <c r="CK42" s="66">
        <f>+IF($W42="","",ROUND((CG42*(Parámetros!$G$86)),2))</f>
        <v>0</v>
      </c>
      <c r="CL42" s="66">
        <f>+IF($W42="","",ROUND((CG42+CJ42+CK42),2))</f>
        <v>0</v>
      </c>
      <c r="CM42" s="60" t="s">
        <v>259</v>
      </c>
      <c r="CN42" t="s">
        <v>145</v>
      </c>
      <c r="CO42" s="118">
        <f>+IF(Parámetros!$D$50="Si",Parámetros!$F$50,0)</f>
        <v>0</v>
      </c>
      <c r="CP42" t="s">
        <v>263</v>
      </c>
      <c r="CQ42" s="119" t="str">
        <f>+IF(OR($W42="",CO42=0),"",ROUND((CR42/CO42),6))</f>
        <v/>
      </c>
      <c r="CR42" s="66">
        <f>+IF($W42="","",ROUND((VLOOKUP(Parámetros!$F$51,'COBERTURAS ADICIONALES'!$S$4:$T$32,2,FALSE)*(1+i/frec)^-0.5*(1+Parámetros!$D$103)*(1+rec_fracc)/frec*$CO$42),2))</f>
        <v>0</v>
      </c>
      <c r="CS42" s="119" t="str">
        <f>+IF(OR($W42="",CO42=0),"",ROUND((CT42/CO42),6))</f>
        <v/>
      </c>
      <c r="CT42" s="66">
        <f>+IF($W42="","",ROUND((CR42/(1-IF(B42&lt;=10,Parámetros!$D$100,0))),2))</f>
        <v>0</v>
      </c>
      <c r="CU42" s="66">
        <f>+IF($W42="","",0)</f>
        <v>0</v>
      </c>
      <c r="CV42" s="66">
        <f>+IF($W42="","",0)</f>
        <v>0</v>
      </c>
      <c r="CW42" s="66">
        <f>+IF($W42="","",ROUND((CT42*Parámetros!$G$85),2))</f>
        <v>0</v>
      </c>
      <c r="CX42" s="66">
        <f>+IF($W42="","",ROUND((CT42*(Parámetros!$G$86)),2))</f>
        <v>0</v>
      </c>
      <c r="CY42" s="66">
        <f>+IF($W42="","",ROUND((CT42+CW42+CX42),2))</f>
        <v>0</v>
      </c>
      <c r="CZ42" s="60" t="s">
        <v>260</v>
      </c>
      <c r="DA42" s="120" t="s">
        <v>117</v>
      </c>
      <c r="DB42" s="118">
        <f>+IF(Parámetros!$D$52="Si",Parámetros!$F$52,0)</f>
        <v>0</v>
      </c>
      <c r="DC42" s="118" t="s">
        <v>263</v>
      </c>
      <c r="DD42" s="121" t="str">
        <f>+IF(OR($W42="",DB42=0),"",ROUND((VLOOKUP(ROUNDDOWN($D42-1/frec,0),cob_adi,CO$40,FALSE)*(1+i/frec)^-0.5*(1+Parámetros!$D$103)*(1+rec_fracc)/frec),6))</f>
        <v/>
      </c>
      <c r="DE42" s="66">
        <f>+IF(DB42=0,0,IF($W42="","",ROUND(((DD42*DB42)),2)))</f>
        <v>0</v>
      </c>
      <c r="DF42" s="119" t="str">
        <f>+IF(OR($W42="",DB42=0),"",ROUND((DG42/DB42),6))</f>
        <v/>
      </c>
      <c r="DG42" s="66">
        <f>+IF($W42="","",ROUND((DE42/(1-IF(B42&lt;=10,Parámetros!$D$100,0))),2))</f>
        <v>0</v>
      </c>
      <c r="DH42" s="66">
        <f>+IF($W42="","",0)</f>
        <v>0</v>
      </c>
      <c r="DI42" s="66">
        <f>+IF($W42="","",0)</f>
        <v>0</v>
      </c>
      <c r="DJ42" s="66">
        <f>+IF($W42="","",ROUND((DG42*Parámetros!$G$85),2))</f>
        <v>0</v>
      </c>
      <c r="DK42" s="66">
        <f>+IF($W42="","",ROUND((DG42*(Parámetros!$G$86)),2))</f>
        <v>0</v>
      </c>
      <c r="DL42" s="66">
        <f>+IF($W42="","",ROUND((DG42+DJ42+DK42),2))</f>
        <v>0</v>
      </c>
      <c r="DM42" s="60" t="s">
        <v>288</v>
      </c>
      <c r="DN42" s="120" t="s">
        <v>290</v>
      </c>
      <c r="DO42" s="118">
        <f>+IF(Parámetros!$D$53="Si",+Parámetros!D23*frec,0)</f>
        <v>0</v>
      </c>
      <c r="DP42" s="118" t="s">
        <v>263</v>
      </c>
      <c r="DQ42" s="122" t="str">
        <f>+IF(OR($W42="",DO42=0),"",ROUND((VLOOKUP(ROUNDDOWN($D42-1/frec,0),cob_adi,DB$40,FALSE)*(1+i/frec)^-0.5*(1+Parámetros!$D$103)*(1+rec_fracc)/frec),6))</f>
        <v/>
      </c>
      <c r="DR42" s="66">
        <f>+IF(DO42=0,0,IF($W42="","",ROUND(((DQ42*DO42)),2)))</f>
        <v>0</v>
      </c>
      <c r="DS42" s="68" t="str">
        <f>+IF(OR($W42="",DO42=0),"",ROUND((DT42/DO42),6))</f>
        <v/>
      </c>
      <c r="DT42" s="66">
        <f>+IF($W42="","",ROUND((DR42/(1-IF(B42&lt;=10,Parámetros!$D$100,0))),2))</f>
        <v>0</v>
      </c>
      <c r="DU42" s="66">
        <f>+IF($W42="","",0)</f>
        <v>0</v>
      </c>
      <c r="DV42" s="66">
        <f>+IF($W42="","",0)</f>
        <v>0</v>
      </c>
      <c r="DW42" s="66">
        <f>+IF($W42="","",ROUND((DT42*Parámetros!$G$85),2))</f>
        <v>0</v>
      </c>
      <c r="DX42" s="66">
        <f>+IF($W42="","",ROUND((DT42*(Parámetros!$G$86)),2))</f>
        <v>0</v>
      </c>
      <c r="DY42" s="66">
        <f>+IF($W42="","",ROUND((DT42+DW42+DX42),2))</f>
        <v>0</v>
      </c>
      <c r="DZ42" s="60" t="s">
        <v>387</v>
      </c>
      <c r="EA42" s="120" t="s">
        <v>388</v>
      </c>
      <c r="EB42" s="118">
        <f>+IF(Parámetros!$D$45="Si",Parámetros!$F$45,0)</f>
        <v>50000</v>
      </c>
      <c r="EC42" s="118" t="s">
        <v>263</v>
      </c>
      <c r="ED42" s="122">
        <f>+IF(OR($W42="",EB42=0),"",ROUND((VLOOKUP(ROUNDDOWN($D42-1/frec,0),cob_adi,DO$40,FALSE)*(1+i/frec)^-0.5*(1+Parámetros!$D$103)*(1+rec_fracc)/frec),6))</f>
        <v>7.9999999999999996E-6</v>
      </c>
      <c r="EE42" s="66">
        <f>+IF(EB42=0,0,IF($W42="","",ROUND(((ED42*EB42)),2)))</f>
        <v>0.4</v>
      </c>
      <c r="EF42" s="68">
        <f>+IF(OR($W42="",EB42=0),"",ROUND((EG42/EB42),6))</f>
        <v>9.0000000000000002E-6</v>
      </c>
      <c r="EG42" s="66">
        <f>+IF($W42="","",ROUND((EE42/(1-IF(B42&lt;=10,Parámetros!$D$100,0))),2))</f>
        <v>0.45</v>
      </c>
      <c r="EH42" s="66">
        <f>+IF($W42="","",0)</f>
        <v>0</v>
      </c>
      <c r="EI42" s="66">
        <f>+IF($W42="","",0)</f>
        <v>0</v>
      </c>
      <c r="EJ42" s="66">
        <f>+IF($W42="","",ROUND((EG42*Parámetros!$G$85),2))</f>
        <v>0.02</v>
      </c>
      <c r="EK42" s="66">
        <f>+IF($W42="","",ROUND((EG42*(Parámetros!$G$86)),2))</f>
        <v>0</v>
      </c>
      <c r="EL42" s="66">
        <f>+IF($W42="","",ROUND((EG42+EJ42+EK42),2))</f>
        <v>0.47</v>
      </c>
    </row>
    <row r="43" spans="1:142" x14ac:dyDescent="0.25">
      <c r="A43">
        <f>+IF($C43="","",ROUND(VLOOKUP('Tablas Servicio'!B43,Parámetros!$H$100:$J$159,IF(Parámetros!$E$16="F",2,3),FALSE),2))</f>
        <v>150</v>
      </c>
      <c r="B43">
        <f t="shared" si="27"/>
        <v>1</v>
      </c>
      <c r="C43" s="57">
        <f>+IF(D43="","",'Tablas Servicio'!C42+1)</f>
        <v>2</v>
      </c>
      <c r="D43" s="56">
        <f>+IF(D42&lt;edadmaxtabla,D42+1/Parámetros!$E$25,"")</f>
        <v>40.186666666666675</v>
      </c>
      <c r="E43" s="57">
        <f t="shared" ref="E43:E106" si="37">+IF(D43="","",ROUNDDOWN(D43,0))</f>
        <v>40</v>
      </c>
      <c r="F43" s="59">
        <f t="shared" ref="F43:F106" si="38">+Z43</f>
        <v>100000</v>
      </c>
      <c r="G43" s="66">
        <f t="shared" ref="G43:G105" si="39">+IF($C43="","",AG43+AT43+BG43+BT43+CG43+CT43+DG43+DT43+EG43)</f>
        <v>23.21</v>
      </c>
      <c r="H43" s="66">
        <f t="shared" si="28"/>
        <v>24.14</v>
      </c>
      <c r="I43" s="66">
        <f t="shared" ref="I43:I53" si="40">+IF($C43="","",N43-H43-P43)</f>
        <v>61.6</v>
      </c>
      <c r="J43" s="66">
        <f t="shared" si="29"/>
        <v>0.82000000000000006</v>
      </c>
      <c r="K43" s="66">
        <f t="shared" si="30"/>
        <v>0.11</v>
      </c>
      <c r="L43" s="66">
        <f t="shared" si="31"/>
        <v>0</v>
      </c>
      <c r="M43" s="66">
        <f t="shared" si="32"/>
        <v>0</v>
      </c>
      <c r="N43" s="66">
        <f>+IF(C43="","",ROUND(Parámetros!$D$23,2))</f>
        <v>94</v>
      </c>
      <c r="O43" s="66">
        <f t="shared" si="33"/>
        <v>11.4</v>
      </c>
      <c r="P43" s="66">
        <f>+IF($C43="","",ROUND(IF(B43&gt;Parámetros!$D$117,0,N43*Parámetros!$D$116-G43*Parámetros!$D$100),2))</f>
        <v>8.26</v>
      </c>
      <c r="Q43" s="75">
        <f t="shared" ref="Q43:Q53" si="41">+IF($C43="","",J43/$G43)</f>
        <v>3.5329599310641967E-2</v>
      </c>
      <c r="R43" s="75">
        <f t="shared" ref="R43:R53" si="42">+IF($C43="","",K43/$G43)</f>
        <v>4.7393364928909948E-3</v>
      </c>
      <c r="S43" s="117">
        <f>+IF($C43="","",ROUND((S42+I43)*(1+Parámetros!$D$91),2))</f>
        <v>123.72</v>
      </c>
      <c r="T43" s="117">
        <f>+IF($C43="","",ROUND(S43*VLOOKUP(B43,Parámetros!$C$30:$D$39,2,TRUE),2))</f>
        <v>0</v>
      </c>
      <c r="U43" s="117">
        <f>+IF($C43="","",ROUND((U42+I43)*(1+Parámetros!$D$92),2))</f>
        <v>123.8</v>
      </c>
      <c r="V43" s="117">
        <f>+IF($C43="","",ROUND(U43*VLOOKUP(B43,Parámetros!$C$30:$D$39,2,TRUE),2))</f>
        <v>0</v>
      </c>
      <c r="W43" s="57">
        <f t="shared" si="34"/>
        <v>2</v>
      </c>
      <c r="X43" t="str">
        <f t="shared" ref="X43:X53" si="43">+IF($W43="","",X42)</f>
        <v>00058</v>
      </c>
      <c r="Y43" s="118" t="str">
        <f t="shared" ref="Y43:Y53" si="44">+IF($W43="","",Y42)</f>
        <v>MUERTE POR CUALQUIER CAUSA</v>
      </c>
      <c r="Z43" s="118">
        <f>+IF($W43="","",ROUND(IF(Parámetros!$D$25='TABLAS MORT'!$V$33,Z42,Parámetros!$D$21-'Tablas Servicio'!T42),0))</f>
        <v>100000</v>
      </c>
      <c r="AA43" s="118" t="str">
        <f t="shared" ref="AA43:AA53" si="45">+IF($W43="","",AA42)</f>
        <v>P</v>
      </c>
      <c r="AB43" s="119">
        <f>+IF(W43="","",ROUND((VLOOKUP(ROUNDDOWN($D43-1/frec,0),qx_tabla,2,FALSE)*(1+i/frec)^-0.5*(1+Parámetros!$D$103)*(1+rec_fracc)/frec),6))</f>
        <v>1.1E-4</v>
      </c>
      <c r="AC43" s="66">
        <f t="shared" ref="AC43:AC106" si="46">+IF($W43="","",ROUND((AB43*Z43),2))</f>
        <v>11</v>
      </c>
      <c r="AD43" s="119">
        <f t="shared" si="35"/>
        <v>2.2800000000000001E-4</v>
      </c>
      <c r="AE43" s="66">
        <f>+IF($W43="","",ROUND(IF($B43&gt;Parámetros!$D$107,'Tablas Servicio'!AC43+('Tablas Servicio'!AG42-'Tablas Servicio'!AC42),AC43/(1-IF(B43&lt;=10,Parámetros!$D$104,Parámetros!$D$105))),2))</f>
        <v>22.76</v>
      </c>
      <c r="AF43" s="66">
        <f>+IF($W43="","",ROUND(IF($B43&gt;Parámetros!$D$107,'Tablas Servicio'!AC43+('Tablas Servicio'!AG42-'Tablas Servicio'!AC42),(AC43+$A42/frec)/(1-IF(B43&lt;=Parámetros!$D$117,Parámetros!$D$100,0))),2))</f>
        <v>26.61</v>
      </c>
      <c r="AG43" s="66">
        <f>+IF($W43="","",MIN(AE43,AF43))</f>
        <v>22.76</v>
      </c>
      <c r="AH43" s="66">
        <f t="shared" ref="AH43:AH106" si="47">+IF($W43="","",0)</f>
        <v>0</v>
      </c>
      <c r="AI43" s="66">
        <f t="shared" ref="AI43:AI106" si="48">IF($W43="","",0)</f>
        <v>0</v>
      </c>
      <c r="AJ43" s="66">
        <f>+IF($W43="","",ROUND((AG43*Parámetros!$G$85),2))</f>
        <v>0.8</v>
      </c>
      <c r="AK43" s="66">
        <f>+IF($W43="","",ROUND((AG43*(Parámetros!$G$86)),2))</f>
        <v>0.11</v>
      </c>
      <c r="AL43" s="66">
        <f t="shared" si="36"/>
        <v>23.67</v>
      </c>
      <c r="AM43" t="str">
        <f t="shared" ref="AM43:AM53" si="49">+IF($W43="","",AM42)</f>
        <v>00059</v>
      </c>
      <c r="AN43" t="str">
        <f t="shared" ref="AN43:AN53" si="50">+IF($W43="","",AN42)</f>
        <v>Incapacidad Total y Permanente</v>
      </c>
      <c r="AO43" s="118">
        <f t="shared" ref="AO43:AO53" si="51">+IF($W43="","",AO42)</f>
        <v>0</v>
      </c>
      <c r="AP43" s="118" t="str">
        <f t="shared" ref="AP43:AP53" si="52">+IF($W43="","",AP42)</f>
        <v>A</v>
      </c>
      <c r="AQ43" s="119" t="str">
        <f>+IF(OR($W43="",AO43=0),"",ROUND((VLOOKUP(ROUNDDOWN($D43-1/frec,0),cob_adi,Z$40,FALSE)*(1+i/frec)^-0.5*(1+Parámetros!$D$103)*(1+rec_fracc)/frec),6))</f>
        <v/>
      </c>
      <c r="AR43" s="66">
        <f t="shared" ref="AR43:AR106" si="53">+IF(AO43=0,0,IF($W43="","",ROUND((AQ43*AO43),2)))</f>
        <v>0</v>
      </c>
      <c r="AS43" s="119" t="str">
        <f t="shared" ref="AS43:AS106" si="54">+IF(OR($W43="",AO43=0),"",ROUND((AT43/AO43),6))</f>
        <v/>
      </c>
      <c r="AT43" s="66">
        <f>+IF($W43="","",ROUND(IF($B43&gt;Parámetros!$D$107,'Tablas Servicio'!AR43+('Tablas Servicio'!AT42-'Tablas Servicio'!AR42),AR43/(1-IF(B43&lt;=10,Parámetros!$D$100,0))),2))</f>
        <v>0</v>
      </c>
      <c r="AU43" s="66">
        <f t="shared" ref="AU43:AV106" si="55">+IF($W43="","",0)</f>
        <v>0</v>
      </c>
      <c r="AV43" s="66">
        <f t="shared" si="55"/>
        <v>0</v>
      </c>
      <c r="AW43" s="66">
        <f>+IF($W43="","",ROUND((AT43*Parámetros!$G$85),2))</f>
        <v>0</v>
      </c>
      <c r="AX43" s="66">
        <f>+IF($W43="","",ROUND((AT43*(Parámetros!$G$86)),2))</f>
        <v>0</v>
      </c>
      <c r="AY43" s="66">
        <f t="shared" ref="AY43:AY106" si="56">+IF($W43="","",ROUND((AT43+AW43+AX43),2))</f>
        <v>0</v>
      </c>
      <c r="AZ43" t="str">
        <f t="shared" ref="AZ43:AZ53" si="57">+IF($W43="","",AZ42)</f>
        <v>00060</v>
      </c>
      <c r="BA43" t="str">
        <f t="shared" ref="BA43:BA53" si="58">+IF($W43="","",BA42)</f>
        <v>Muerte Accidental</v>
      </c>
      <c r="BB43" s="118">
        <f t="shared" ref="BB43:BB53" si="59">+IF($W43="","",BB42)</f>
        <v>0</v>
      </c>
      <c r="BC43" s="118" t="str">
        <f t="shared" ref="BC43:BC53" si="60">+IF($W43="","",BC42)</f>
        <v>A</v>
      </c>
      <c r="BD43" s="119" t="str">
        <f>+IF(OR($W43="",BB43=0),"",ROUND((VLOOKUP(ROUNDDOWN($D43-1/frec,0),cob_adi,AO$40,FALSE)*(1+i/frec)^-0.5*(1+Parámetros!$D$103)*(1+rec_fracc)/frec),6))</f>
        <v/>
      </c>
      <c r="BE43" s="66">
        <f t="shared" ref="BE43:BE106" si="61">+IF(BB43=0,0,IF($W43="","",ROUND(((BD43*BB43)),2)))</f>
        <v>0</v>
      </c>
      <c r="BF43" s="119" t="str">
        <f t="shared" ref="BF43:BF106" si="62">+IF(OR($W43="",BB43=0),"",ROUND((BG43/BB43),6))</f>
        <v/>
      </c>
      <c r="BG43" s="66">
        <f>+IF($W43="","",ROUND(IF($B43&gt;Parámetros!$D$107,'Tablas Servicio'!BE43+('Tablas Servicio'!BG42-'Tablas Servicio'!BE42),BE43/(1-IF(B43&lt;=10,Parámetros!$D$100,0))),2))</f>
        <v>0</v>
      </c>
      <c r="BH43" s="66">
        <f t="shared" ref="BH43:BH106" si="63">IF($W43="","",0)</f>
        <v>0</v>
      </c>
      <c r="BI43" s="66">
        <f t="shared" ref="BI43:BI106" si="64">+IF($W43="","",0)</f>
        <v>0</v>
      </c>
      <c r="BJ43" s="66">
        <f>+IF($W43="","",ROUND((BG43*Parámetros!$G$85),2))</f>
        <v>0</v>
      </c>
      <c r="BK43" s="66">
        <f>+IF($W43="","",ROUND((BG43*(Parámetros!$G$86)),2))</f>
        <v>0</v>
      </c>
      <c r="BL43" s="66">
        <f t="shared" ref="BL43:BL106" si="65">+IF($W43="","",ROUND((BG43+BJ43+BK43),2))</f>
        <v>0</v>
      </c>
      <c r="BM43" t="str">
        <f t="shared" ref="BM43:BM53" si="66">+IF($W43="","",BM42)</f>
        <v>00061</v>
      </c>
      <c r="BN43" t="str">
        <f t="shared" ref="BN43:BN53" si="67">+IF($W43="","",BN42)</f>
        <v>Gastos de Entierro</v>
      </c>
      <c r="BO43" s="118">
        <f t="shared" ref="BO43:BO53" si="68">+IF($W43="","",BO42)</f>
        <v>0</v>
      </c>
      <c r="BP43" s="118" t="str">
        <f t="shared" ref="BP43:BP53" si="69">+IF($W43="","",BP42)</f>
        <v>A</v>
      </c>
      <c r="BQ43" s="119" t="str">
        <f>+IF(OR($W43="",BO43=0),"",ROUND((VLOOKUP(ROUNDDOWN($D43-1/frec,0),cob_adi,BB$40,FALSE)*(1+i/frec)^-0.5*(1+Parámetros!$D$103)*(1+rec_fracc)/frec),6))</f>
        <v/>
      </c>
      <c r="BR43" s="66">
        <f t="shared" ref="BR43:BR106" si="70">+IF(BO43=0,0,IF($W43="","",ROUND(((BQ43*BO43)),2)))</f>
        <v>0</v>
      </c>
      <c r="BS43" s="119" t="str">
        <f t="shared" ref="BS43:BS106" si="71">+IF(OR($W43="",BO43=0),"",ROUND((BT43/BO43),6))</f>
        <v/>
      </c>
      <c r="BT43" s="66">
        <f>+IF($W43="","",ROUND(IF($B43&gt;Parámetros!$D$107,'Tablas Servicio'!BR43+('Tablas Servicio'!BT42-'Tablas Servicio'!BR42),BR43/(1-IF(B43&lt;=10,Parámetros!$D$100,0))),2))</f>
        <v>0</v>
      </c>
      <c r="BU43" s="66">
        <f t="shared" ref="BU43:BV106" si="72">+IF($W43="","",0)</f>
        <v>0</v>
      </c>
      <c r="BV43" s="66">
        <f t="shared" si="72"/>
        <v>0</v>
      </c>
      <c r="BW43" s="66">
        <f>+IF($W43="","",ROUND((BT43*Parámetros!$G$85),2))</f>
        <v>0</v>
      </c>
      <c r="BX43" s="66">
        <f>+IF($W43="","",ROUND((BT43*(Parámetros!$G$86)),2))</f>
        <v>0</v>
      </c>
      <c r="BY43" s="66">
        <f t="shared" ref="BY43:BY106" si="73">+IF($W43="","",ROUND((BT43+BW43+BX43),2))</f>
        <v>0</v>
      </c>
      <c r="BZ43" t="str">
        <f t="shared" ref="BZ43:BZ53" si="74">+IF($W43="","",BZ42)</f>
        <v>00062</v>
      </c>
      <c r="CA43" t="str">
        <f t="shared" ref="CA43:CA53" si="75">+IF($W43="","",CA42)</f>
        <v>Gastos médicos por accidente</v>
      </c>
      <c r="CB43" s="118">
        <f t="shared" ref="CB43:CB53" si="76">+IF($W43="","",CB42)</f>
        <v>0</v>
      </c>
      <c r="CC43" s="118" t="str">
        <f t="shared" ref="CC43:CC53" si="77">+IF($W43="","",CC42)</f>
        <v>A</v>
      </c>
      <c r="CD43" s="119" t="str">
        <f t="shared" ref="CD43:CD106" si="78">+IF(OR($W43="",CB43=0),"",ROUND((CE43/CB43),6))</f>
        <v/>
      </c>
      <c r="CE43" s="66">
        <f>+IF($W43="","",ROUND((VLOOKUP(ROUNDDOWN($D43-1/frec,0),cob_adi,BO$40,FALSE)*(1+i/frec)^-0.5*(1+Parámetros!$D$103)*(1+rec_fracc)/frec*'TABLAS ADI'!$BC$17),2))</f>
        <v>0</v>
      </c>
      <c r="CF43" s="119" t="str">
        <f t="shared" ref="CF43:CF106" si="79">+IF(OR($W43="",CB43=0),"",ROUND((CG43/CB43),6))</f>
        <v/>
      </c>
      <c r="CG43" s="66">
        <f>+IF($W43="","",ROUND(IF($B43&gt;Parámetros!$D$107,'Tablas Servicio'!CE43+('Tablas Servicio'!CG42-'Tablas Servicio'!CE42),CE43/(1-IF(B43&lt;=10,Parámetros!$D$100,0))),2))</f>
        <v>0</v>
      </c>
      <c r="CH43" s="66">
        <f t="shared" ref="CH43:CI106" si="80">+IF($W43="","",0)</f>
        <v>0</v>
      </c>
      <c r="CI43" s="66">
        <f t="shared" si="80"/>
        <v>0</v>
      </c>
      <c r="CJ43" s="66">
        <f>+IF($W43="","",ROUND((CG43*Parámetros!$G$85),2))</f>
        <v>0</v>
      </c>
      <c r="CK43" s="66">
        <f>+IF($W43="","",ROUND((CG43*(Parámetros!$G$86)),2))</f>
        <v>0</v>
      </c>
      <c r="CL43" s="66">
        <f t="shared" ref="CL43:CL106" si="81">+IF($W43="","",ROUND((CG43+CJ43+CK43),2))</f>
        <v>0</v>
      </c>
      <c r="CM43" t="str">
        <f t="shared" ref="CM43:CM53" si="82">+IF($W43="","",CM42)</f>
        <v>00063</v>
      </c>
      <c r="CN43" s="118" t="str">
        <f t="shared" ref="CN43:CN53" si="83">+IF($W43="","",CN42)</f>
        <v>Renta Diaria por Hospitalización</v>
      </c>
      <c r="CO43" s="118">
        <f t="shared" ref="CO43:CO53" si="84">+IF($W43="","",CO42)</f>
        <v>0</v>
      </c>
      <c r="CP43" s="118" t="str">
        <f t="shared" ref="CP43:CP53" si="85">+IF($W43="","",CP42)</f>
        <v>A</v>
      </c>
      <c r="CQ43" s="119" t="str">
        <f t="shared" ref="CQ43:CQ106" si="86">+IF(OR($W43="",CO43=0),"",ROUND((CR43/CO43),6))</f>
        <v/>
      </c>
      <c r="CR43" s="66">
        <f>+IF($W43="","",ROUND((VLOOKUP(Parámetros!$F$51,'COBERTURAS ADICIONALES'!$S$4:$T$32,2,FALSE)*(1+i/frec)^-0.5*(1+Parámetros!$D$103)*(1+rec_fracc)/frec*$CO$42),2))</f>
        <v>0</v>
      </c>
      <c r="CS43" s="119" t="str">
        <f t="shared" ref="CS43:CS106" si="87">+IF(OR($W43="",CO43=0),"",ROUND((CT43/CO43),6))</f>
        <v/>
      </c>
      <c r="CT43" s="66">
        <f>+IF($W43="","",ROUND(IF($B43&gt;Parámetros!$D$107,'Tablas Servicio'!CR43+('Tablas Servicio'!CT42-'Tablas Servicio'!CR42),CR43/(1-IF(B43&lt;=10,Parámetros!$D$100,0))),2))</f>
        <v>0</v>
      </c>
      <c r="CU43" s="66">
        <f t="shared" ref="CU43:CV106" si="88">+IF($W43="","",0)</f>
        <v>0</v>
      </c>
      <c r="CV43" s="66">
        <f t="shared" si="88"/>
        <v>0</v>
      </c>
      <c r="CW43" s="66">
        <f>+IF($W43="","",ROUND((CT43*Parámetros!$G$85),2))</f>
        <v>0</v>
      </c>
      <c r="CX43" s="66">
        <f>+IF($W43="","",ROUND((CT43*(Parámetros!$G$86)),2))</f>
        <v>0</v>
      </c>
      <c r="CY43" s="66">
        <f t="shared" ref="CY43:CY106" si="89">+IF($W43="","",ROUND((CT43+CW43+CX43),2))</f>
        <v>0</v>
      </c>
      <c r="CZ43" t="str">
        <f t="shared" ref="CZ43:CZ53" si="90">+IF($W43="","",CZ42)</f>
        <v>00064</v>
      </c>
      <c r="DA43" s="120" t="str">
        <f t="shared" ref="DA43:DA53" si="91">+IF($W43="","",DA42)</f>
        <v>Enfermedades Graves</v>
      </c>
      <c r="DB43" s="118">
        <f t="shared" ref="DB43:DB53" si="92">+IF($W43="","",DB42)</f>
        <v>0</v>
      </c>
      <c r="DC43" s="118" t="str">
        <f t="shared" ref="DC43:DC53" si="93">+IF($W43="","",DC42)</f>
        <v>A</v>
      </c>
      <c r="DD43" s="121" t="str">
        <f>+IF(OR($W43="",DB43=0),"",ROUND((VLOOKUP(ROUNDDOWN($D43-1/frec,0),cob_adi,CO$40,FALSE)*(1+i/frec)^-0.5*(1+Parámetros!$D$103)*(1+rec_fracc)/frec),6))</f>
        <v/>
      </c>
      <c r="DE43" s="66">
        <f t="shared" ref="DE43:DE106" si="94">+IF(DB43=0,0,IF($W43="","",ROUND(((DD43*DB43)),2)))</f>
        <v>0</v>
      </c>
      <c r="DF43" s="119" t="str">
        <f t="shared" ref="DF43:DF106" si="95">+IF(OR($W43="",DB43=0),"",ROUND((DG43/DB43),6))</f>
        <v/>
      </c>
      <c r="DG43" s="66">
        <f>+IF($W43="","",ROUND(IF($B43&gt;Parámetros!$D$107,'Tablas Servicio'!DE43+('Tablas Servicio'!DG42-'Tablas Servicio'!DE42),DE43/(1-IF(B43&lt;=10,Parámetros!$D$100,0))),2))</f>
        <v>0</v>
      </c>
      <c r="DH43" s="66">
        <f t="shared" ref="DH43:DI106" si="96">+IF($W43="","",0)</f>
        <v>0</v>
      </c>
      <c r="DI43" s="66">
        <f t="shared" si="96"/>
        <v>0</v>
      </c>
      <c r="DJ43" s="66">
        <f>+IF($W43="","",ROUND((DG43*Parámetros!$G$85),2))</f>
        <v>0</v>
      </c>
      <c r="DK43" s="66">
        <f>+IF($W43="","",ROUND((DG43*(Parámetros!$G$86)),2))</f>
        <v>0</v>
      </c>
      <c r="DL43" s="66">
        <f t="shared" ref="DL43:DL106" si="97">+IF($W43="","",ROUND((DG43+DJ43+DK43),2))</f>
        <v>0</v>
      </c>
      <c r="DM43" t="str">
        <f t="shared" ref="DM43:DM53" si="98">+IF($W43="","",DM42)</f>
        <v>00065</v>
      </c>
      <c r="DN43" s="120" t="str">
        <f t="shared" ref="DN43:DN53" si="99">+IF($W43="","",DN42)</f>
        <v>Exención pago de primas</v>
      </c>
      <c r="DO43" s="118">
        <f t="shared" ref="DO43:DO53" si="100">+IF($W43="","",DO42)</f>
        <v>0</v>
      </c>
      <c r="DP43" s="118" t="str">
        <f t="shared" ref="DP43:DP53" si="101">+IF($W43="","",DP42)</f>
        <v>A</v>
      </c>
      <c r="DQ43" s="122" t="str">
        <f>+IF(OR($W43="",DO43=0),"",ROUND((VLOOKUP(ROUNDDOWN($D43-1/frec,0),cob_adi,DB$40,FALSE)*(1+i/frec)^-0.5*(1+Parámetros!$D$103)*(1+rec_fracc)/frec),6))</f>
        <v/>
      </c>
      <c r="DR43" s="66">
        <f t="shared" ref="DR43:DR106" si="102">+IF(DO43=0,0,IF($W43="","",ROUND(((DQ43*DO43)),2)))</f>
        <v>0</v>
      </c>
      <c r="DS43" s="68" t="str">
        <f t="shared" ref="DS43:DS106" si="103">+IF(OR($W43="",DO43=0),"",ROUND((DT43/DO43),6))</f>
        <v/>
      </c>
      <c r="DT43" s="66">
        <f>+IF($W43="","",ROUND(IF($B43&gt;Parámetros!$D$107,'Tablas Servicio'!DR43+('Tablas Servicio'!DT42-'Tablas Servicio'!DR42),DR43/(1-IF(B43&lt;=10,Parámetros!$D$100,0))),2))</f>
        <v>0</v>
      </c>
      <c r="DU43" s="66">
        <f t="shared" ref="DU43:DV106" si="104">+IF($W43="","",0)</f>
        <v>0</v>
      </c>
      <c r="DV43" s="66">
        <f t="shared" si="104"/>
        <v>0</v>
      </c>
      <c r="DW43" s="66">
        <f>+IF($W43="","",ROUND((DT43*Parámetros!$G$85),2))</f>
        <v>0</v>
      </c>
      <c r="DX43" s="66">
        <f>+IF($W43="","",ROUND((DT43*(Parámetros!$G$86)),2))</f>
        <v>0</v>
      </c>
      <c r="DY43" s="66">
        <f t="shared" ref="DY43:DY106" si="105">+IF($W43="","",ROUND((DT43+DW43+DX43),2))</f>
        <v>0</v>
      </c>
      <c r="DZ43" t="str">
        <f t="shared" ref="DZ43:EC58" si="106">+IF($W43="","",DZ42)</f>
        <v>00066</v>
      </c>
      <c r="EA43" s="120" t="str">
        <f t="shared" si="106"/>
        <v>Enfermedad terminal</v>
      </c>
      <c r="EB43" s="118">
        <f>+IF($W43="","",ROUND(IF(Parámetros!$D$25='TABLAS MORT'!$V$33,EB42,Z43/2),0))</f>
        <v>50000</v>
      </c>
      <c r="EC43" s="118" t="str">
        <f t="shared" si="106"/>
        <v>A</v>
      </c>
      <c r="ED43" s="122">
        <f>+IF(OR($W43="",EB43=0),"",ROUND((VLOOKUP(ROUNDDOWN($D43-1/frec,0),cob_adi,DO$40,FALSE)*(1+i/frec)^-0.5*(1+Parámetros!$D$103)*(1+rec_fracc)/frec),6))</f>
        <v>7.9999999999999996E-6</v>
      </c>
      <c r="EE43" s="66">
        <f t="shared" ref="EE43:EE106" si="107">+IF(EB43=0,0,IF($W43="","",ROUND(((ED43*EB43)),2)))</f>
        <v>0.4</v>
      </c>
      <c r="EF43" s="68">
        <f t="shared" ref="EF43:EF106" si="108">+IF(OR($W43="",EB43=0),"",ROUND((EG43/EB43),6))</f>
        <v>9.0000000000000002E-6</v>
      </c>
      <c r="EG43" s="66">
        <f>+IF($W43="","",ROUND(IF($B43&gt;Parámetros!$D$107,'Tablas Servicio'!EE43+('Tablas Servicio'!EG42-'Tablas Servicio'!EE42),EE43/(1-IF(B43&lt;=10,Parámetros!$D$100,0))),2))</f>
        <v>0.45</v>
      </c>
      <c r="EH43" s="66">
        <f t="shared" ref="EH43:EI106" si="109">+IF($W43="","",0)</f>
        <v>0</v>
      </c>
      <c r="EI43" s="66">
        <f t="shared" si="109"/>
        <v>0</v>
      </c>
      <c r="EJ43" s="66">
        <f>+IF($W43="","",ROUND((EG43*Parámetros!$G$85),2))</f>
        <v>0.02</v>
      </c>
      <c r="EK43" s="66">
        <f>+IF($W43="","",ROUND((EG43*(Parámetros!$G$86)),2))</f>
        <v>0</v>
      </c>
      <c r="EL43" s="66">
        <f t="shared" ref="EL43:EL106" si="110">+IF($W43="","",ROUND((EG43+EJ43+EK43),2))</f>
        <v>0.47</v>
      </c>
    </row>
    <row r="44" spans="1:142" x14ac:dyDescent="0.25">
      <c r="A44">
        <f>+IF($C44="","",ROUND(VLOOKUP('Tablas Servicio'!B44,Parámetros!$H$100:$J$159,IF(Parámetros!$E$16="F",2,3),FALSE),2))</f>
        <v>150</v>
      </c>
      <c r="B44">
        <f t="shared" si="27"/>
        <v>1</v>
      </c>
      <c r="C44" s="57">
        <f>+IF(D44="","",'Tablas Servicio'!C43+1)</f>
        <v>3</v>
      </c>
      <c r="D44" s="56">
        <f>+IF(D43&lt;edadmaxtabla,D43+1/Parámetros!$E$25,"")</f>
        <v>40.27000000000001</v>
      </c>
      <c r="E44" s="57">
        <f t="shared" si="37"/>
        <v>40</v>
      </c>
      <c r="F44" s="59">
        <f t="shared" si="38"/>
        <v>100000</v>
      </c>
      <c r="G44" s="66">
        <f t="shared" si="39"/>
        <v>23.21</v>
      </c>
      <c r="H44" s="66">
        <f t="shared" si="28"/>
        <v>24.14</v>
      </c>
      <c r="I44" s="66">
        <f t="shared" si="40"/>
        <v>61.6</v>
      </c>
      <c r="J44" s="66">
        <f t="shared" si="29"/>
        <v>0.82000000000000006</v>
      </c>
      <c r="K44" s="66">
        <f t="shared" si="30"/>
        <v>0.11</v>
      </c>
      <c r="L44" s="66">
        <f t="shared" si="31"/>
        <v>0</v>
      </c>
      <c r="M44" s="66">
        <f t="shared" si="32"/>
        <v>0</v>
      </c>
      <c r="N44" s="66">
        <f>+IF(C44="","",ROUND(Parámetros!$D$23,2))</f>
        <v>94</v>
      </c>
      <c r="O44" s="66">
        <f t="shared" si="33"/>
        <v>11.4</v>
      </c>
      <c r="P44" s="66">
        <f>+IF($C44="","",ROUND(IF(B44&gt;Parámetros!$D$117,0,N44*Parámetros!$D$116-G44*Parámetros!$D$100),2))</f>
        <v>8.26</v>
      </c>
      <c r="Q44" s="75">
        <f t="shared" si="41"/>
        <v>3.5329599310641967E-2</v>
      </c>
      <c r="R44" s="75">
        <f t="shared" si="42"/>
        <v>4.7393364928909948E-3</v>
      </c>
      <c r="S44" s="117">
        <f>+IF($C44="","",ROUND((S43+I44)*(1+Parámetros!$D$91),2))</f>
        <v>185.85</v>
      </c>
      <c r="T44" s="117">
        <f>+IF($C44="","",ROUND(S44*VLOOKUP(B44,Parámetros!$C$30:$D$39,2,TRUE),2))</f>
        <v>0</v>
      </c>
      <c r="U44" s="117">
        <f>+IF($C44="","",ROUND((U43+I44)*(1+Parámetros!$D$92),2))</f>
        <v>186</v>
      </c>
      <c r="V44" s="117">
        <f>+IF($C44="","",ROUND(U44*VLOOKUP(B44,Parámetros!$C$30:$D$39,2,TRUE),2))</f>
        <v>0</v>
      </c>
      <c r="W44" s="57">
        <f t="shared" si="34"/>
        <v>3</v>
      </c>
      <c r="X44" t="str">
        <f t="shared" si="43"/>
        <v>00058</v>
      </c>
      <c r="Y44" t="str">
        <f t="shared" si="44"/>
        <v>MUERTE POR CUALQUIER CAUSA</v>
      </c>
      <c r="Z44" s="118">
        <f>+IF($W44="","",ROUND(IF(Parámetros!$D$25='TABLAS MORT'!$V$33,Z43,Parámetros!$D$21-'Tablas Servicio'!T43),0))</f>
        <v>100000</v>
      </c>
      <c r="AA44" s="118" t="str">
        <f t="shared" si="45"/>
        <v>P</v>
      </c>
      <c r="AB44" s="119">
        <f>+IF(W44="","",ROUND((VLOOKUP(ROUNDDOWN($D44-1/frec,0),qx_tabla,2,FALSE)*(1+i/frec)^-0.5*(1+Parámetros!$D$103)*(1+rec_fracc)/frec),6))</f>
        <v>1.1E-4</v>
      </c>
      <c r="AC44" s="66">
        <f t="shared" si="46"/>
        <v>11</v>
      </c>
      <c r="AD44" s="119">
        <f t="shared" si="35"/>
        <v>2.2800000000000001E-4</v>
      </c>
      <c r="AE44" s="66">
        <f>+IF($W44="","",ROUND(IF($B44&gt;Parámetros!$D$107,'Tablas Servicio'!AC44+('Tablas Servicio'!AG43-'Tablas Servicio'!AC43),AC44/(1-IF(B44&lt;=10,Parámetros!$D$104,Parámetros!$D$105))),2))</f>
        <v>22.76</v>
      </c>
      <c r="AF44" s="66">
        <f>+IF($W44="","",ROUND(IF($B44&gt;Parámetros!$D$107,'Tablas Servicio'!AC44+('Tablas Servicio'!AG43-'Tablas Servicio'!AC43),(AC44+$A43/frec)/(1-IF(B44&lt;=Parámetros!$D$117,Parámetros!$D$100,0))),2))</f>
        <v>26.61</v>
      </c>
      <c r="AG44" s="66">
        <f t="shared" ref="AG44:AG106" si="111">+IF($W44="","",MIN(AE44,AF44))</f>
        <v>22.76</v>
      </c>
      <c r="AH44" s="66">
        <f t="shared" si="47"/>
        <v>0</v>
      </c>
      <c r="AI44" s="66">
        <f t="shared" si="48"/>
        <v>0</v>
      </c>
      <c r="AJ44" s="66">
        <f>+IF($W44="","",ROUND((AG44*Parámetros!$G$85),2))</f>
        <v>0.8</v>
      </c>
      <c r="AK44" s="66">
        <f>+IF($W44="","",ROUND((AG44*(Parámetros!$G$86)),2))</f>
        <v>0.11</v>
      </c>
      <c r="AL44" s="66">
        <f t="shared" si="36"/>
        <v>23.67</v>
      </c>
      <c r="AM44" t="str">
        <f t="shared" si="49"/>
        <v>00059</v>
      </c>
      <c r="AN44" t="str">
        <f t="shared" si="50"/>
        <v>Incapacidad Total y Permanente</v>
      </c>
      <c r="AO44" s="118">
        <f t="shared" si="51"/>
        <v>0</v>
      </c>
      <c r="AP44" s="118" t="str">
        <f t="shared" si="52"/>
        <v>A</v>
      </c>
      <c r="AQ44" s="119" t="str">
        <f>+IF(OR($W44="",AO44=0),"",ROUND((VLOOKUP(ROUNDDOWN($D44-1/frec,0),cob_adi,Z$40,FALSE)*(1+i/frec)^-0.5*(1+Parámetros!$D$103)*(1+rec_fracc)/frec),6))</f>
        <v/>
      </c>
      <c r="AR44" s="66">
        <f t="shared" si="53"/>
        <v>0</v>
      </c>
      <c r="AS44" s="119" t="str">
        <f t="shared" si="54"/>
        <v/>
      </c>
      <c r="AT44" s="66">
        <f>+IF($W44="","",ROUND(IF($B44&gt;Parámetros!$D$107,'Tablas Servicio'!AR44+('Tablas Servicio'!AT43-'Tablas Servicio'!AR43),AR44/(1-IF(B44&lt;=10,Parámetros!$D$100,0))),2))</f>
        <v>0</v>
      </c>
      <c r="AU44" s="66">
        <f t="shared" si="55"/>
        <v>0</v>
      </c>
      <c r="AV44" s="66">
        <f t="shared" si="55"/>
        <v>0</v>
      </c>
      <c r="AW44" s="66">
        <f>+IF($W44="","",ROUND((AT44*Parámetros!$G$85),2))</f>
        <v>0</v>
      </c>
      <c r="AX44" s="66">
        <f>+IF($W44="","",ROUND((AT44*(Parámetros!$G$86)),2))</f>
        <v>0</v>
      </c>
      <c r="AY44" s="66">
        <f t="shared" si="56"/>
        <v>0</v>
      </c>
      <c r="AZ44" t="str">
        <f t="shared" si="57"/>
        <v>00060</v>
      </c>
      <c r="BA44" t="str">
        <f t="shared" si="58"/>
        <v>Muerte Accidental</v>
      </c>
      <c r="BB44" s="118">
        <f t="shared" si="59"/>
        <v>0</v>
      </c>
      <c r="BC44" s="118" t="str">
        <f t="shared" si="60"/>
        <v>A</v>
      </c>
      <c r="BD44" s="119" t="str">
        <f>+IF(OR($W44="",BB44=0),"",ROUND((VLOOKUP(ROUNDDOWN($D44-1/frec,0),cob_adi,AO$40,FALSE)*(1+i/frec)^-0.5*(1+Parámetros!$D$103)*(1+rec_fracc)/frec),6))</f>
        <v/>
      </c>
      <c r="BE44" s="66">
        <f t="shared" si="61"/>
        <v>0</v>
      </c>
      <c r="BF44" s="119" t="str">
        <f t="shared" si="62"/>
        <v/>
      </c>
      <c r="BG44" s="66">
        <f>+IF($W44="","",ROUND(IF($B44&gt;Parámetros!$D$107,'Tablas Servicio'!BE44+('Tablas Servicio'!BG43-'Tablas Servicio'!BE43),BE44/(1-IF(B44&lt;=10,Parámetros!$D$100,0))),2))</f>
        <v>0</v>
      </c>
      <c r="BH44" s="66">
        <f t="shared" si="63"/>
        <v>0</v>
      </c>
      <c r="BI44" s="66">
        <f t="shared" si="64"/>
        <v>0</v>
      </c>
      <c r="BJ44" s="66">
        <f>+IF($W44="","",ROUND((BG44*Parámetros!$G$85),2))</f>
        <v>0</v>
      </c>
      <c r="BK44" s="66">
        <f>+IF($W44="","",ROUND((BG44*(Parámetros!$G$86)),2))</f>
        <v>0</v>
      </c>
      <c r="BL44" s="66">
        <f t="shared" si="65"/>
        <v>0</v>
      </c>
      <c r="BM44" t="str">
        <f t="shared" si="66"/>
        <v>00061</v>
      </c>
      <c r="BN44" t="str">
        <f t="shared" si="67"/>
        <v>Gastos de Entierro</v>
      </c>
      <c r="BO44" s="118">
        <f t="shared" si="68"/>
        <v>0</v>
      </c>
      <c r="BP44" s="118" t="str">
        <f t="shared" si="69"/>
        <v>A</v>
      </c>
      <c r="BQ44" s="119" t="str">
        <f>+IF(OR($W44="",BO44=0),"",ROUND((VLOOKUP(ROUNDDOWN($D44-1/frec,0),cob_adi,BB$40,FALSE)*(1+i/frec)^-0.5*(1+Parámetros!$D$103)*(1+rec_fracc)/frec),6))</f>
        <v/>
      </c>
      <c r="BR44" s="66">
        <f t="shared" si="70"/>
        <v>0</v>
      </c>
      <c r="BS44" s="119" t="str">
        <f t="shared" si="71"/>
        <v/>
      </c>
      <c r="BT44" s="66">
        <f>+IF($W44="","",ROUND(IF($B44&gt;Parámetros!$D$107,'Tablas Servicio'!BR44+('Tablas Servicio'!BT43-'Tablas Servicio'!BR43),BR44/(1-IF(B44&lt;=10,Parámetros!$D$100,0))),2))</f>
        <v>0</v>
      </c>
      <c r="BU44" s="66">
        <f t="shared" si="72"/>
        <v>0</v>
      </c>
      <c r="BV44" s="66">
        <f t="shared" si="72"/>
        <v>0</v>
      </c>
      <c r="BW44" s="66">
        <f>+IF($W44="","",ROUND((BT44*Parámetros!$G$85),2))</f>
        <v>0</v>
      </c>
      <c r="BX44" s="66">
        <f>+IF($W44="","",ROUND((BT44*(Parámetros!$G$86)),2))</f>
        <v>0</v>
      </c>
      <c r="BY44" s="66">
        <f t="shared" si="73"/>
        <v>0</v>
      </c>
      <c r="BZ44" t="str">
        <f t="shared" si="74"/>
        <v>00062</v>
      </c>
      <c r="CA44" t="str">
        <f t="shared" si="75"/>
        <v>Gastos médicos por accidente</v>
      </c>
      <c r="CB44" s="118">
        <f t="shared" si="76"/>
        <v>0</v>
      </c>
      <c r="CC44" s="118" t="str">
        <f t="shared" si="77"/>
        <v>A</v>
      </c>
      <c r="CD44" s="119" t="str">
        <f t="shared" si="78"/>
        <v/>
      </c>
      <c r="CE44" s="66">
        <f>+IF($W44="","",ROUND((VLOOKUP(ROUNDDOWN($D44-1/frec,0),cob_adi,BO$40,FALSE)*(1+i/frec)^-0.5*(1+Parámetros!$D$103)*(1+rec_fracc)/frec*'TABLAS ADI'!$BC$17),2))</f>
        <v>0</v>
      </c>
      <c r="CF44" s="119" t="str">
        <f t="shared" si="79"/>
        <v/>
      </c>
      <c r="CG44" s="66">
        <f>+IF($W44="","",ROUND(IF($B44&gt;Parámetros!$D$107,'Tablas Servicio'!CE44+('Tablas Servicio'!CG43-'Tablas Servicio'!CE43),CE44/(1-IF(B44&lt;=10,Parámetros!$D$100,0))),2))</f>
        <v>0</v>
      </c>
      <c r="CH44" s="66">
        <f t="shared" si="80"/>
        <v>0</v>
      </c>
      <c r="CI44" s="66">
        <f t="shared" si="80"/>
        <v>0</v>
      </c>
      <c r="CJ44" s="66">
        <f>+IF($W44="","",ROUND((CG44*Parámetros!$G$85),2))</f>
        <v>0</v>
      </c>
      <c r="CK44" s="66">
        <f>+IF($W44="","",ROUND((CG44*(Parámetros!$G$86)),2))</f>
        <v>0</v>
      </c>
      <c r="CL44" s="66">
        <f t="shared" si="81"/>
        <v>0</v>
      </c>
      <c r="CM44" t="str">
        <f t="shared" si="82"/>
        <v>00063</v>
      </c>
      <c r="CN44" s="118" t="str">
        <f t="shared" si="83"/>
        <v>Renta Diaria por Hospitalización</v>
      </c>
      <c r="CO44" s="118">
        <f t="shared" si="84"/>
        <v>0</v>
      </c>
      <c r="CP44" s="118" t="str">
        <f t="shared" si="85"/>
        <v>A</v>
      </c>
      <c r="CQ44" s="119" t="str">
        <f t="shared" si="86"/>
        <v/>
      </c>
      <c r="CR44" s="66">
        <f>+IF($W44="","",ROUND((VLOOKUP(Parámetros!$F$51,'COBERTURAS ADICIONALES'!$S$4:$T$32,2,FALSE)*(1+i/frec)^-0.5*(1+Parámetros!$D$103)*(1+rec_fracc)/frec*$CO$42),2))</f>
        <v>0</v>
      </c>
      <c r="CS44" s="119" t="str">
        <f t="shared" si="87"/>
        <v/>
      </c>
      <c r="CT44" s="66">
        <f>+IF($W44="","",ROUND(IF($B44&gt;Parámetros!$D$107,'Tablas Servicio'!CR44+('Tablas Servicio'!CT43-'Tablas Servicio'!CR43),CR44/(1-IF(B44&lt;=10,Parámetros!$D$100,0))),2))</f>
        <v>0</v>
      </c>
      <c r="CU44" s="66">
        <f t="shared" si="88"/>
        <v>0</v>
      </c>
      <c r="CV44" s="66">
        <f t="shared" si="88"/>
        <v>0</v>
      </c>
      <c r="CW44" s="66">
        <f>+IF($W44="","",ROUND((CT44*Parámetros!$G$85),2))</f>
        <v>0</v>
      </c>
      <c r="CX44" s="66">
        <f>+IF($W44="","",ROUND((CT44*(Parámetros!$G$86)),2))</f>
        <v>0</v>
      </c>
      <c r="CY44" s="66">
        <f t="shared" si="89"/>
        <v>0</v>
      </c>
      <c r="CZ44" t="str">
        <f t="shared" si="90"/>
        <v>00064</v>
      </c>
      <c r="DA44" s="118" t="str">
        <f t="shared" si="91"/>
        <v>Enfermedades Graves</v>
      </c>
      <c r="DB44" s="118">
        <f t="shared" si="92"/>
        <v>0</v>
      </c>
      <c r="DC44" s="118" t="str">
        <f t="shared" si="93"/>
        <v>A</v>
      </c>
      <c r="DD44" s="121" t="str">
        <f>+IF(OR($W44="",DB44=0),"",ROUND((VLOOKUP(ROUNDDOWN($D44-1/frec,0),cob_adi,CO$40,FALSE)*(1+i/frec)^-0.5*(1+Parámetros!$D$103)*(1+rec_fracc)/frec),6))</f>
        <v/>
      </c>
      <c r="DE44" s="66">
        <f t="shared" si="94"/>
        <v>0</v>
      </c>
      <c r="DF44" s="119" t="str">
        <f t="shared" si="95"/>
        <v/>
      </c>
      <c r="DG44" s="66">
        <f>+IF($W44="","",ROUND(IF($B44&gt;Parámetros!$D$107,'Tablas Servicio'!DE44+('Tablas Servicio'!DG43-'Tablas Servicio'!DE43),DE44/(1-IF(B44&lt;=10,Parámetros!$D$100,0))),2))</f>
        <v>0</v>
      </c>
      <c r="DH44" s="66">
        <f t="shared" si="96"/>
        <v>0</v>
      </c>
      <c r="DI44" s="66">
        <f t="shared" si="96"/>
        <v>0</v>
      </c>
      <c r="DJ44" s="66">
        <f>+IF($W44="","",ROUND((DG44*Parámetros!$G$85),2))</f>
        <v>0</v>
      </c>
      <c r="DK44" s="66">
        <f>+IF($W44="","",ROUND((DG44*(Parámetros!$G$86)),2))</f>
        <v>0</v>
      </c>
      <c r="DL44" s="66">
        <f t="shared" si="97"/>
        <v>0</v>
      </c>
      <c r="DM44" t="str">
        <f t="shared" si="98"/>
        <v>00065</v>
      </c>
      <c r="DN44" s="118" t="str">
        <f t="shared" si="99"/>
        <v>Exención pago de primas</v>
      </c>
      <c r="DO44" s="118">
        <f t="shared" si="100"/>
        <v>0</v>
      </c>
      <c r="DP44" s="118" t="str">
        <f t="shared" si="101"/>
        <v>A</v>
      </c>
      <c r="DQ44" s="122" t="str">
        <f>+IF(OR($W44="",DO44=0),"",ROUND((VLOOKUP(ROUNDDOWN($D44-1/frec,0),cob_adi,DB$40,FALSE)*(1+i/frec)^-0.5*(1+Parámetros!$D$103)*(1+rec_fracc)/frec),6))</f>
        <v/>
      </c>
      <c r="DR44" s="66">
        <f t="shared" si="102"/>
        <v>0</v>
      </c>
      <c r="DS44" s="68" t="str">
        <f t="shared" si="103"/>
        <v/>
      </c>
      <c r="DT44" s="66">
        <f>+IF($W44="","",ROUND(IF($B44&gt;Parámetros!$D$107,'Tablas Servicio'!DR44+('Tablas Servicio'!DT43-'Tablas Servicio'!DR43),DR44/(1-IF(B44&lt;=10,Parámetros!$D$100,0))),2))</f>
        <v>0</v>
      </c>
      <c r="DU44" s="66">
        <f t="shared" si="104"/>
        <v>0</v>
      </c>
      <c r="DV44" s="66">
        <f t="shared" si="104"/>
        <v>0</v>
      </c>
      <c r="DW44" s="66">
        <f>+IF($W44="","",ROUND((DT44*Parámetros!$G$85),2))</f>
        <v>0</v>
      </c>
      <c r="DX44" s="66">
        <f>+IF($W44="","",ROUND((DT44*(Parámetros!$G$86)),2))</f>
        <v>0</v>
      </c>
      <c r="DY44" s="66">
        <f t="shared" si="105"/>
        <v>0</v>
      </c>
      <c r="DZ44" t="str">
        <f t="shared" si="106"/>
        <v>00066</v>
      </c>
      <c r="EA44" s="118" t="str">
        <f t="shared" si="106"/>
        <v>Enfermedad terminal</v>
      </c>
      <c r="EB44" s="118">
        <f>+IF($W44="","",ROUND(IF(Parámetros!$D$25='TABLAS MORT'!$V$33,EB43,Z44/2),0))</f>
        <v>50000</v>
      </c>
      <c r="EC44" s="118" t="str">
        <f t="shared" si="106"/>
        <v>A</v>
      </c>
      <c r="ED44" s="122">
        <f>+IF(OR($W44="",EB44=0),"",ROUND((VLOOKUP(ROUNDDOWN($D44-1/frec,0),cob_adi,DO$40,FALSE)*(1+i/frec)^-0.5*(1+Parámetros!$D$103)*(1+rec_fracc)/frec),6))</f>
        <v>7.9999999999999996E-6</v>
      </c>
      <c r="EE44" s="66">
        <f t="shared" si="107"/>
        <v>0.4</v>
      </c>
      <c r="EF44" s="68">
        <f t="shared" si="108"/>
        <v>9.0000000000000002E-6</v>
      </c>
      <c r="EG44" s="66">
        <f>+IF($W44="","",ROUND(IF($B44&gt;Parámetros!$D$107,'Tablas Servicio'!EE44+('Tablas Servicio'!EG43-'Tablas Servicio'!EE43),EE44/(1-IF(B44&lt;=10,Parámetros!$D$100,0))),2))</f>
        <v>0.45</v>
      </c>
      <c r="EH44" s="66">
        <f t="shared" si="109"/>
        <v>0</v>
      </c>
      <c r="EI44" s="66">
        <f t="shared" si="109"/>
        <v>0</v>
      </c>
      <c r="EJ44" s="66">
        <f>+IF($W44="","",ROUND((EG44*Parámetros!$G$85),2))</f>
        <v>0.02</v>
      </c>
      <c r="EK44" s="66">
        <f>+IF($W44="","",ROUND((EG44*(Parámetros!$G$86)),2))</f>
        <v>0</v>
      </c>
      <c r="EL44" s="66">
        <f t="shared" si="110"/>
        <v>0.47</v>
      </c>
    </row>
    <row r="45" spans="1:142" x14ac:dyDescent="0.25">
      <c r="A45">
        <f>+IF($C45="","",ROUND(VLOOKUP('Tablas Servicio'!B45,Parámetros!$H$100:$J$159,IF(Parámetros!$E$16="F",2,3),FALSE),2))</f>
        <v>150</v>
      </c>
      <c r="B45">
        <f t="shared" si="27"/>
        <v>1</v>
      </c>
      <c r="C45" s="57">
        <f>+IF(D45="","",'Tablas Servicio'!C44+1)</f>
        <v>4</v>
      </c>
      <c r="D45" s="56">
        <f>+IF(D44&lt;edadmaxtabla,D44+1/Parámetros!$E$25,"")</f>
        <v>40.353333333333346</v>
      </c>
      <c r="E45" s="57">
        <f t="shared" si="37"/>
        <v>40</v>
      </c>
      <c r="F45" s="59">
        <f t="shared" si="38"/>
        <v>100000</v>
      </c>
      <c r="G45" s="66">
        <f t="shared" si="39"/>
        <v>23.21</v>
      </c>
      <c r="H45" s="66">
        <f t="shared" si="28"/>
        <v>24.14</v>
      </c>
      <c r="I45" s="66">
        <f t="shared" si="40"/>
        <v>61.6</v>
      </c>
      <c r="J45" s="66">
        <f t="shared" si="29"/>
        <v>0.82000000000000006</v>
      </c>
      <c r="K45" s="66">
        <f t="shared" si="30"/>
        <v>0.11</v>
      </c>
      <c r="L45" s="66">
        <f t="shared" si="31"/>
        <v>0</v>
      </c>
      <c r="M45" s="66">
        <f t="shared" si="32"/>
        <v>0</v>
      </c>
      <c r="N45" s="66">
        <f>+IF(C45="","",ROUND(Parámetros!$D$23,2))</f>
        <v>94</v>
      </c>
      <c r="O45" s="66">
        <f t="shared" si="33"/>
        <v>11.4</v>
      </c>
      <c r="P45" s="66">
        <f>+IF($C45="","",ROUND(IF(B45&gt;Parámetros!$D$117,0,N45*Parámetros!$D$116-G45*Parámetros!$D$100),2))</f>
        <v>8.26</v>
      </c>
      <c r="Q45" s="75">
        <f t="shared" si="41"/>
        <v>3.5329599310641967E-2</v>
      </c>
      <c r="R45" s="75">
        <f t="shared" si="42"/>
        <v>4.7393364928909948E-3</v>
      </c>
      <c r="S45" s="117">
        <f>+IF($C45="","",ROUND((S44+I45)*(1+Parámetros!$D$91),2))</f>
        <v>248.15</v>
      </c>
      <c r="T45" s="117">
        <f>+IF($C45="","",ROUND(S45*VLOOKUP(B45,Parámetros!$C$30:$D$39,2,TRUE),2))</f>
        <v>0</v>
      </c>
      <c r="U45" s="117">
        <f>+IF($C45="","",ROUND((U44+I45)*(1+Parámetros!$D$92),2))</f>
        <v>248.4</v>
      </c>
      <c r="V45" s="117">
        <f>+IF($C45="","",ROUND(U45*VLOOKUP(B45,Parámetros!$C$30:$D$39,2,TRUE),2))</f>
        <v>0</v>
      </c>
      <c r="W45" s="57">
        <f t="shared" si="34"/>
        <v>4</v>
      </c>
      <c r="X45" t="str">
        <f t="shared" si="43"/>
        <v>00058</v>
      </c>
      <c r="Y45" t="str">
        <f t="shared" si="44"/>
        <v>MUERTE POR CUALQUIER CAUSA</v>
      </c>
      <c r="Z45" s="118">
        <f>+IF($W45="","",ROUND(IF(Parámetros!$D$25='TABLAS MORT'!$V$33,Z44,Parámetros!$D$21-'Tablas Servicio'!T44),0))</f>
        <v>100000</v>
      </c>
      <c r="AA45" s="118" t="str">
        <f t="shared" si="45"/>
        <v>P</v>
      </c>
      <c r="AB45" s="119">
        <f>+IF(W45="","",ROUND((VLOOKUP(ROUNDDOWN($D45-1/frec,0),qx_tabla,2,FALSE)*(1+i/frec)^-0.5*(1+Parámetros!$D$103)*(1+rec_fracc)/frec),6))</f>
        <v>1.1E-4</v>
      </c>
      <c r="AC45" s="66">
        <f t="shared" si="46"/>
        <v>11</v>
      </c>
      <c r="AD45" s="119">
        <f t="shared" si="35"/>
        <v>2.2800000000000001E-4</v>
      </c>
      <c r="AE45" s="66">
        <f>+IF($W45="","",ROUND(IF($B45&gt;Parámetros!$D$107,'Tablas Servicio'!AC45+('Tablas Servicio'!AG44-'Tablas Servicio'!AC44),AC45/(1-IF(B45&lt;=10,Parámetros!$D$104,Parámetros!$D$105))),2))</f>
        <v>22.76</v>
      </c>
      <c r="AF45" s="66">
        <f>+IF($W45="","",ROUND(IF($B45&gt;Parámetros!$D$107,'Tablas Servicio'!AC45+('Tablas Servicio'!AG44-'Tablas Servicio'!AC44),(AC45+$A44/frec)/(1-IF(B45&lt;=Parámetros!$D$117,Parámetros!$D$100,0))),2))</f>
        <v>26.61</v>
      </c>
      <c r="AG45" s="66">
        <f t="shared" si="111"/>
        <v>22.76</v>
      </c>
      <c r="AH45" s="66">
        <f t="shared" si="47"/>
        <v>0</v>
      </c>
      <c r="AI45" s="66">
        <f t="shared" si="48"/>
        <v>0</v>
      </c>
      <c r="AJ45" s="66">
        <f>+IF($W45="","",ROUND((AG45*Parámetros!$G$85),2))</f>
        <v>0.8</v>
      </c>
      <c r="AK45" s="66">
        <f>+IF($W45="","",ROUND((AG45*(Parámetros!$G$86)),2))</f>
        <v>0.11</v>
      </c>
      <c r="AL45" s="66">
        <f t="shared" si="36"/>
        <v>23.67</v>
      </c>
      <c r="AM45" t="str">
        <f t="shared" si="49"/>
        <v>00059</v>
      </c>
      <c r="AN45" t="str">
        <f t="shared" si="50"/>
        <v>Incapacidad Total y Permanente</v>
      </c>
      <c r="AO45" s="118">
        <f t="shared" si="51"/>
        <v>0</v>
      </c>
      <c r="AP45" s="118" t="str">
        <f t="shared" si="52"/>
        <v>A</v>
      </c>
      <c r="AQ45" s="119" t="str">
        <f>+IF(OR($W45="",AO45=0),"",ROUND((VLOOKUP(ROUNDDOWN($D45-1/frec,0),cob_adi,Z$40,FALSE)*(1+i/frec)^-0.5*(1+Parámetros!$D$103)*(1+rec_fracc)/frec),6))</f>
        <v/>
      </c>
      <c r="AR45" s="66">
        <f t="shared" si="53"/>
        <v>0</v>
      </c>
      <c r="AS45" s="119" t="str">
        <f t="shared" si="54"/>
        <v/>
      </c>
      <c r="AT45" s="66">
        <f>+IF($W45="","",ROUND(IF($B45&gt;Parámetros!$D$107,'Tablas Servicio'!AR45+('Tablas Servicio'!AT44-'Tablas Servicio'!AR44),AR45/(1-IF(B45&lt;=10,Parámetros!$D$100,0))),2))</f>
        <v>0</v>
      </c>
      <c r="AU45" s="66">
        <f t="shared" si="55"/>
        <v>0</v>
      </c>
      <c r="AV45" s="66">
        <f t="shared" si="55"/>
        <v>0</v>
      </c>
      <c r="AW45" s="66">
        <f>+IF($W45="","",ROUND((AT45*Parámetros!$G$85),2))</f>
        <v>0</v>
      </c>
      <c r="AX45" s="66">
        <f>+IF($W45="","",ROUND((AT45*(Parámetros!$G$86)),2))</f>
        <v>0</v>
      </c>
      <c r="AY45" s="66">
        <f t="shared" si="56"/>
        <v>0</v>
      </c>
      <c r="AZ45" t="str">
        <f t="shared" si="57"/>
        <v>00060</v>
      </c>
      <c r="BA45" t="str">
        <f t="shared" si="58"/>
        <v>Muerte Accidental</v>
      </c>
      <c r="BB45" s="118">
        <f t="shared" si="59"/>
        <v>0</v>
      </c>
      <c r="BC45" s="118" t="str">
        <f t="shared" si="60"/>
        <v>A</v>
      </c>
      <c r="BD45" s="119" t="str">
        <f>+IF(OR($W45="",BB45=0),"",ROUND((VLOOKUP(ROUNDDOWN($D45-1/frec,0),cob_adi,AO$40,FALSE)*(1+i/frec)^-0.5*(1+Parámetros!$D$103)*(1+rec_fracc)/frec),6))</f>
        <v/>
      </c>
      <c r="BE45" s="66">
        <f t="shared" si="61"/>
        <v>0</v>
      </c>
      <c r="BF45" s="119" t="str">
        <f t="shared" si="62"/>
        <v/>
      </c>
      <c r="BG45" s="66">
        <f>+IF($W45="","",ROUND(IF($B45&gt;Parámetros!$D$107,'Tablas Servicio'!BE45+('Tablas Servicio'!BG44-'Tablas Servicio'!BE44),BE45/(1-IF(B45&lt;=10,Parámetros!$D$100,0))),2))</f>
        <v>0</v>
      </c>
      <c r="BH45" s="66">
        <f t="shared" si="63"/>
        <v>0</v>
      </c>
      <c r="BI45" s="66">
        <f t="shared" si="64"/>
        <v>0</v>
      </c>
      <c r="BJ45" s="66">
        <f>+IF($W45="","",ROUND((BG45*Parámetros!$G$85),2))</f>
        <v>0</v>
      </c>
      <c r="BK45" s="66">
        <f>+IF($W45="","",ROUND((BG45*(Parámetros!$G$86)),2))</f>
        <v>0</v>
      </c>
      <c r="BL45" s="66">
        <f t="shared" si="65"/>
        <v>0</v>
      </c>
      <c r="BM45" t="str">
        <f t="shared" si="66"/>
        <v>00061</v>
      </c>
      <c r="BN45" t="str">
        <f t="shared" si="67"/>
        <v>Gastos de Entierro</v>
      </c>
      <c r="BO45" s="118">
        <f t="shared" si="68"/>
        <v>0</v>
      </c>
      <c r="BP45" s="118" t="str">
        <f t="shared" si="69"/>
        <v>A</v>
      </c>
      <c r="BQ45" s="119" t="str">
        <f>+IF(OR($W45="",BO45=0),"",ROUND((VLOOKUP(ROUNDDOWN($D45-1/frec,0),cob_adi,BB$40,FALSE)*(1+i/frec)^-0.5*(1+Parámetros!$D$103)*(1+rec_fracc)/frec),6))</f>
        <v/>
      </c>
      <c r="BR45" s="66">
        <f t="shared" si="70"/>
        <v>0</v>
      </c>
      <c r="BS45" s="119" t="str">
        <f t="shared" si="71"/>
        <v/>
      </c>
      <c r="BT45" s="66">
        <f>+IF($W45="","",ROUND(IF($B45&gt;Parámetros!$D$107,'Tablas Servicio'!BR45+('Tablas Servicio'!BT44-'Tablas Servicio'!BR44),BR45/(1-IF(B45&lt;=10,Parámetros!$D$100,0))),2))</f>
        <v>0</v>
      </c>
      <c r="BU45" s="66">
        <f t="shared" si="72"/>
        <v>0</v>
      </c>
      <c r="BV45" s="66">
        <f t="shared" si="72"/>
        <v>0</v>
      </c>
      <c r="BW45" s="66">
        <f>+IF($W45="","",ROUND((BT45*Parámetros!$G$85),2))</f>
        <v>0</v>
      </c>
      <c r="BX45" s="66">
        <f>+IF($W45="","",ROUND((BT45*(Parámetros!$G$86)),2))</f>
        <v>0</v>
      </c>
      <c r="BY45" s="66">
        <f t="shared" si="73"/>
        <v>0</v>
      </c>
      <c r="BZ45" t="str">
        <f t="shared" si="74"/>
        <v>00062</v>
      </c>
      <c r="CA45" t="str">
        <f t="shared" si="75"/>
        <v>Gastos médicos por accidente</v>
      </c>
      <c r="CB45" s="118">
        <f t="shared" si="76"/>
        <v>0</v>
      </c>
      <c r="CC45" s="118" t="str">
        <f t="shared" si="77"/>
        <v>A</v>
      </c>
      <c r="CD45" s="119" t="str">
        <f t="shared" si="78"/>
        <v/>
      </c>
      <c r="CE45" s="66">
        <f>+IF($W45="","",ROUND((VLOOKUP(ROUNDDOWN($D45-1/frec,0),cob_adi,BO$40,FALSE)*(1+i/frec)^-0.5*(1+Parámetros!$D$103)*(1+rec_fracc)/frec*'TABLAS ADI'!$BC$17),2))</f>
        <v>0</v>
      </c>
      <c r="CF45" s="119" t="str">
        <f t="shared" si="79"/>
        <v/>
      </c>
      <c r="CG45" s="66">
        <f>+IF($W45="","",ROUND(IF($B45&gt;Parámetros!$D$107,'Tablas Servicio'!CE45+('Tablas Servicio'!CG44-'Tablas Servicio'!CE44),CE45/(1-IF(B45&lt;=10,Parámetros!$D$100,0))),2))</f>
        <v>0</v>
      </c>
      <c r="CH45" s="66">
        <f t="shared" si="80"/>
        <v>0</v>
      </c>
      <c r="CI45" s="66">
        <f t="shared" si="80"/>
        <v>0</v>
      </c>
      <c r="CJ45" s="66">
        <f>+IF($W45="","",ROUND((CG45*Parámetros!$G$85),2))</f>
        <v>0</v>
      </c>
      <c r="CK45" s="66">
        <f>+IF($W45="","",ROUND((CG45*(Parámetros!$G$86)),2))</f>
        <v>0</v>
      </c>
      <c r="CL45" s="66">
        <f t="shared" si="81"/>
        <v>0</v>
      </c>
      <c r="CM45" t="str">
        <f t="shared" si="82"/>
        <v>00063</v>
      </c>
      <c r="CN45" s="118" t="str">
        <f t="shared" si="83"/>
        <v>Renta Diaria por Hospitalización</v>
      </c>
      <c r="CO45" s="118">
        <f t="shared" si="84"/>
        <v>0</v>
      </c>
      <c r="CP45" s="118" t="str">
        <f t="shared" si="85"/>
        <v>A</v>
      </c>
      <c r="CQ45" s="119" t="str">
        <f t="shared" si="86"/>
        <v/>
      </c>
      <c r="CR45" s="66">
        <f>+IF($W45="","",ROUND((VLOOKUP(Parámetros!$F$51,'COBERTURAS ADICIONALES'!$S$4:$T$32,2,FALSE)*(1+i/frec)^-0.5*(1+Parámetros!$D$103)*(1+rec_fracc)/frec*$CO$42),2))</f>
        <v>0</v>
      </c>
      <c r="CS45" s="119" t="str">
        <f t="shared" si="87"/>
        <v/>
      </c>
      <c r="CT45" s="66">
        <f>+IF($W45="","",ROUND(IF($B45&gt;Parámetros!$D$107,'Tablas Servicio'!CR45+('Tablas Servicio'!CT44-'Tablas Servicio'!CR44),CR45/(1-IF(B45&lt;=10,Parámetros!$D$100,0))),2))</f>
        <v>0</v>
      </c>
      <c r="CU45" s="66">
        <f t="shared" si="88"/>
        <v>0</v>
      </c>
      <c r="CV45" s="66">
        <f t="shared" si="88"/>
        <v>0</v>
      </c>
      <c r="CW45" s="66">
        <f>+IF($W45="","",ROUND((CT45*Parámetros!$G$85),2))</f>
        <v>0</v>
      </c>
      <c r="CX45" s="66">
        <f>+IF($W45="","",ROUND((CT45*(Parámetros!$G$86)),2))</f>
        <v>0</v>
      </c>
      <c r="CY45" s="66">
        <f t="shared" si="89"/>
        <v>0</v>
      </c>
      <c r="CZ45" t="str">
        <f t="shared" si="90"/>
        <v>00064</v>
      </c>
      <c r="DA45" s="118" t="str">
        <f t="shared" si="91"/>
        <v>Enfermedades Graves</v>
      </c>
      <c r="DB45" s="118">
        <f t="shared" si="92"/>
        <v>0</v>
      </c>
      <c r="DC45" s="118" t="str">
        <f t="shared" si="93"/>
        <v>A</v>
      </c>
      <c r="DD45" s="121" t="str">
        <f>+IF(OR($W45="",DB45=0),"",ROUND((VLOOKUP(ROUNDDOWN($D45-1/frec,0),cob_adi,CO$40,FALSE)*(1+i/frec)^-0.5*(1+Parámetros!$D$103)*(1+rec_fracc)/frec),6))</f>
        <v/>
      </c>
      <c r="DE45" s="66">
        <f t="shared" si="94"/>
        <v>0</v>
      </c>
      <c r="DF45" s="119" t="str">
        <f t="shared" si="95"/>
        <v/>
      </c>
      <c r="DG45" s="66">
        <f>+IF($W45="","",ROUND(IF($B45&gt;Parámetros!$D$107,'Tablas Servicio'!DE45+('Tablas Servicio'!DG44-'Tablas Servicio'!DE44),DE45/(1-IF(B45&lt;=10,Parámetros!$D$100,0))),2))</f>
        <v>0</v>
      </c>
      <c r="DH45" s="66">
        <f t="shared" si="96"/>
        <v>0</v>
      </c>
      <c r="DI45" s="66">
        <f t="shared" si="96"/>
        <v>0</v>
      </c>
      <c r="DJ45" s="66">
        <f>+IF($W45="","",ROUND((DG45*Parámetros!$G$85),2))</f>
        <v>0</v>
      </c>
      <c r="DK45" s="66">
        <f>+IF($W45="","",ROUND((DG45*(Parámetros!$G$86)),2))</f>
        <v>0</v>
      </c>
      <c r="DL45" s="66">
        <f t="shared" si="97"/>
        <v>0</v>
      </c>
      <c r="DM45" t="str">
        <f t="shared" si="98"/>
        <v>00065</v>
      </c>
      <c r="DN45" s="118" t="str">
        <f t="shared" si="99"/>
        <v>Exención pago de primas</v>
      </c>
      <c r="DO45" s="118">
        <f t="shared" si="100"/>
        <v>0</v>
      </c>
      <c r="DP45" s="118" t="str">
        <f t="shared" si="101"/>
        <v>A</v>
      </c>
      <c r="DQ45" s="122" t="str">
        <f>+IF(OR($W45="",DO45=0),"",ROUND((VLOOKUP(ROUNDDOWN($D45-1/frec,0),cob_adi,DB$40,FALSE)*(1+i/frec)^-0.5*(1+Parámetros!$D$103)*(1+rec_fracc)/frec),6))</f>
        <v/>
      </c>
      <c r="DR45" s="66">
        <f t="shared" si="102"/>
        <v>0</v>
      </c>
      <c r="DS45" s="68" t="str">
        <f t="shared" si="103"/>
        <v/>
      </c>
      <c r="DT45" s="66">
        <f>+IF($W45="","",ROUND(IF($B45&gt;Parámetros!$D$107,'Tablas Servicio'!DR45+('Tablas Servicio'!DT44-'Tablas Servicio'!DR44),DR45/(1-IF(B45&lt;=10,Parámetros!$D$100,0))),2))</f>
        <v>0</v>
      </c>
      <c r="DU45" s="66">
        <f t="shared" si="104"/>
        <v>0</v>
      </c>
      <c r="DV45" s="66">
        <f t="shared" si="104"/>
        <v>0</v>
      </c>
      <c r="DW45" s="66">
        <f>+IF($W45="","",ROUND((DT45*Parámetros!$G$85),2))</f>
        <v>0</v>
      </c>
      <c r="DX45" s="66">
        <f>+IF($W45="","",ROUND((DT45*(Parámetros!$G$86)),2))</f>
        <v>0</v>
      </c>
      <c r="DY45" s="66">
        <f t="shared" si="105"/>
        <v>0</v>
      </c>
      <c r="DZ45" t="str">
        <f t="shared" si="106"/>
        <v>00066</v>
      </c>
      <c r="EA45" s="118" t="str">
        <f t="shared" si="106"/>
        <v>Enfermedad terminal</v>
      </c>
      <c r="EB45" s="118">
        <f>+IF($W45="","",ROUND(IF(Parámetros!$D$25='TABLAS MORT'!$V$33,EB44,Z45/2),0))</f>
        <v>50000</v>
      </c>
      <c r="EC45" s="118" t="str">
        <f t="shared" si="106"/>
        <v>A</v>
      </c>
      <c r="ED45" s="122">
        <f>+IF(OR($W45="",EB45=0),"",ROUND((VLOOKUP(ROUNDDOWN($D45-1/frec,0),cob_adi,DO$40,FALSE)*(1+i/frec)^-0.5*(1+Parámetros!$D$103)*(1+rec_fracc)/frec),6))</f>
        <v>7.9999999999999996E-6</v>
      </c>
      <c r="EE45" s="66">
        <f t="shared" si="107"/>
        <v>0.4</v>
      </c>
      <c r="EF45" s="68">
        <f t="shared" si="108"/>
        <v>9.0000000000000002E-6</v>
      </c>
      <c r="EG45" s="66">
        <f>+IF($W45="","",ROUND(IF($B45&gt;Parámetros!$D$107,'Tablas Servicio'!EE45+('Tablas Servicio'!EG44-'Tablas Servicio'!EE44),EE45/(1-IF(B45&lt;=10,Parámetros!$D$100,0))),2))</f>
        <v>0.45</v>
      </c>
      <c r="EH45" s="66">
        <f t="shared" si="109"/>
        <v>0</v>
      </c>
      <c r="EI45" s="66">
        <f t="shared" si="109"/>
        <v>0</v>
      </c>
      <c r="EJ45" s="66">
        <f>+IF($W45="","",ROUND((EG45*Parámetros!$G$85),2))</f>
        <v>0.02</v>
      </c>
      <c r="EK45" s="66">
        <f>+IF($W45="","",ROUND((EG45*(Parámetros!$G$86)),2))</f>
        <v>0</v>
      </c>
      <c r="EL45" s="66">
        <f t="shared" si="110"/>
        <v>0.47</v>
      </c>
    </row>
    <row r="46" spans="1:142" x14ac:dyDescent="0.25">
      <c r="A46">
        <f>+IF($C46="","",ROUND(VLOOKUP('Tablas Servicio'!B46,Parámetros!$H$100:$J$159,IF(Parámetros!$E$16="F",2,3),FALSE),2))</f>
        <v>150</v>
      </c>
      <c r="B46">
        <f t="shared" si="27"/>
        <v>1</v>
      </c>
      <c r="C46" s="57">
        <f>+IF(D46="","",'Tablas Servicio'!C45+1)</f>
        <v>5</v>
      </c>
      <c r="D46" s="56">
        <f>+IF(D45&lt;edadmaxtabla,D45+1/Parámetros!$E$25,"")</f>
        <v>40.436666666666682</v>
      </c>
      <c r="E46" s="57">
        <f t="shared" si="37"/>
        <v>40</v>
      </c>
      <c r="F46" s="59">
        <f t="shared" si="38"/>
        <v>100000</v>
      </c>
      <c r="G46" s="66">
        <f t="shared" si="39"/>
        <v>23.21</v>
      </c>
      <c r="H46" s="66">
        <f t="shared" si="28"/>
        <v>24.14</v>
      </c>
      <c r="I46" s="66">
        <f t="shared" si="40"/>
        <v>61.6</v>
      </c>
      <c r="J46" s="66">
        <f t="shared" si="29"/>
        <v>0.82000000000000006</v>
      </c>
      <c r="K46" s="66">
        <f t="shared" si="30"/>
        <v>0.11</v>
      </c>
      <c r="L46" s="66">
        <f t="shared" si="31"/>
        <v>0</v>
      </c>
      <c r="M46" s="66">
        <f t="shared" si="32"/>
        <v>0</v>
      </c>
      <c r="N46" s="66">
        <f>+IF(C46="","",ROUND(Parámetros!$D$23,2))</f>
        <v>94</v>
      </c>
      <c r="O46" s="66">
        <f t="shared" si="33"/>
        <v>11.4</v>
      </c>
      <c r="P46" s="66">
        <f>+IF($C46="","",ROUND(IF(B46&gt;Parámetros!$D$117,0,N46*Parámetros!$D$116-G46*Parámetros!$D$100),2))</f>
        <v>8.26</v>
      </c>
      <c r="Q46" s="75">
        <f t="shared" si="41"/>
        <v>3.5329599310641967E-2</v>
      </c>
      <c r="R46" s="75">
        <f t="shared" si="42"/>
        <v>4.7393364928909948E-3</v>
      </c>
      <c r="S46" s="117">
        <f>+IF($C46="","",ROUND((S45+I46)*(1+Parámetros!$D$91),2))</f>
        <v>310.63</v>
      </c>
      <c r="T46" s="117">
        <f>+IF($C46="","",ROUND(S46*VLOOKUP(B46,Parámetros!$C$30:$D$39,2,TRUE),2))</f>
        <v>0</v>
      </c>
      <c r="U46" s="117">
        <f>+IF($C46="","",ROUND((U45+I46)*(1+Parámetros!$D$92),2))</f>
        <v>311</v>
      </c>
      <c r="V46" s="117">
        <f>+IF($C46="","",ROUND(U46*VLOOKUP(B46,Parámetros!$C$30:$D$39,2,TRUE),2))</f>
        <v>0</v>
      </c>
      <c r="W46" s="57">
        <f t="shared" si="34"/>
        <v>5</v>
      </c>
      <c r="X46" t="str">
        <f t="shared" si="43"/>
        <v>00058</v>
      </c>
      <c r="Y46" t="str">
        <f t="shared" si="44"/>
        <v>MUERTE POR CUALQUIER CAUSA</v>
      </c>
      <c r="Z46" s="118">
        <f>+IF($W46="","",ROUND(IF(Parámetros!$D$25='TABLAS MORT'!$V$33,Z45,Parámetros!$D$21-'Tablas Servicio'!T45),0))</f>
        <v>100000</v>
      </c>
      <c r="AA46" s="118" t="str">
        <f t="shared" si="45"/>
        <v>P</v>
      </c>
      <c r="AB46" s="119">
        <f>+IF(W46="","",ROUND((VLOOKUP(ROUNDDOWN($D46-1/frec,0),qx_tabla,2,FALSE)*(1+i/frec)^-0.5*(1+Parámetros!$D$103)*(1+rec_fracc)/frec),6))</f>
        <v>1.1E-4</v>
      </c>
      <c r="AC46" s="66">
        <f t="shared" si="46"/>
        <v>11</v>
      </c>
      <c r="AD46" s="119">
        <f t="shared" si="35"/>
        <v>2.2800000000000001E-4</v>
      </c>
      <c r="AE46" s="66">
        <f>+IF($W46="","",ROUND(IF($B46&gt;Parámetros!$D$107,'Tablas Servicio'!AC46+('Tablas Servicio'!AG45-'Tablas Servicio'!AC45),AC46/(1-IF(B46&lt;=10,Parámetros!$D$104,Parámetros!$D$105))),2))</f>
        <v>22.76</v>
      </c>
      <c r="AF46" s="66">
        <f>+IF($W46="","",ROUND(IF($B46&gt;Parámetros!$D$107,'Tablas Servicio'!AC46+('Tablas Servicio'!AG45-'Tablas Servicio'!AC45),(AC46+$A45/frec)/(1-IF(B46&lt;=Parámetros!$D$117,Parámetros!$D$100,0))),2))</f>
        <v>26.61</v>
      </c>
      <c r="AG46" s="66">
        <f t="shared" si="111"/>
        <v>22.76</v>
      </c>
      <c r="AH46" s="66">
        <f t="shared" si="47"/>
        <v>0</v>
      </c>
      <c r="AI46" s="66">
        <f t="shared" si="48"/>
        <v>0</v>
      </c>
      <c r="AJ46" s="66">
        <f>+IF($W46="","",ROUND((AG46*Parámetros!$G$85),2))</f>
        <v>0.8</v>
      </c>
      <c r="AK46" s="66">
        <f>+IF($W46="","",ROUND((AG46*(Parámetros!$G$86)),2))</f>
        <v>0.11</v>
      </c>
      <c r="AL46" s="66">
        <f t="shared" si="36"/>
        <v>23.67</v>
      </c>
      <c r="AM46" t="str">
        <f t="shared" si="49"/>
        <v>00059</v>
      </c>
      <c r="AN46" t="str">
        <f t="shared" si="50"/>
        <v>Incapacidad Total y Permanente</v>
      </c>
      <c r="AO46" s="118">
        <f t="shared" si="51"/>
        <v>0</v>
      </c>
      <c r="AP46" s="118" t="str">
        <f t="shared" si="52"/>
        <v>A</v>
      </c>
      <c r="AQ46" s="119" t="str">
        <f>+IF(OR($W46="",AO46=0),"",ROUND((VLOOKUP(ROUNDDOWN($D46-1/frec,0),cob_adi,Z$40,FALSE)*(1+i/frec)^-0.5*(1+Parámetros!$D$103)*(1+rec_fracc)/frec),6))</f>
        <v/>
      </c>
      <c r="AR46" s="66">
        <f t="shared" si="53"/>
        <v>0</v>
      </c>
      <c r="AS46" s="119" t="str">
        <f t="shared" si="54"/>
        <v/>
      </c>
      <c r="AT46" s="66">
        <f>+IF($W46="","",ROUND(IF($B46&gt;Parámetros!$D$107,'Tablas Servicio'!AR46+('Tablas Servicio'!AT45-'Tablas Servicio'!AR45),AR46/(1-IF(B46&lt;=10,Parámetros!$D$100,0))),2))</f>
        <v>0</v>
      </c>
      <c r="AU46" s="66">
        <f t="shared" si="55"/>
        <v>0</v>
      </c>
      <c r="AV46" s="66">
        <f t="shared" si="55"/>
        <v>0</v>
      </c>
      <c r="AW46" s="66">
        <f>+IF($W46="","",ROUND((AT46*Parámetros!$G$85),2))</f>
        <v>0</v>
      </c>
      <c r="AX46" s="66">
        <f>+IF($W46="","",ROUND((AT46*(Parámetros!$G$86)),2))</f>
        <v>0</v>
      </c>
      <c r="AY46" s="66">
        <f t="shared" si="56"/>
        <v>0</v>
      </c>
      <c r="AZ46" t="str">
        <f t="shared" si="57"/>
        <v>00060</v>
      </c>
      <c r="BA46" t="str">
        <f t="shared" si="58"/>
        <v>Muerte Accidental</v>
      </c>
      <c r="BB46" s="118">
        <f t="shared" si="59"/>
        <v>0</v>
      </c>
      <c r="BC46" s="118" t="str">
        <f t="shared" si="60"/>
        <v>A</v>
      </c>
      <c r="BD46" s="119" t="str">
        <f>+IF(OR($W46="",BB46=0),"",ROUND((VLOOKUP(ROUNDDOWN($D46-1/frec,0),cob_adi,AO$40,FALSE)*(1+i/frec)^-0.5*(1+Parámetros!$D$103)*(1+rec_fracc)/frec),6))</f>
        <v/>
      </c>
      <c r="BE46" s="66">
        <f t="shared" si="61"/>
        <v>0</v>
      </c>
      <c r="BF46" s="119" t="str">
        <f t="shared" si="62"/>
        <v/>
      </c>
      <c r="BG46" s="66">
        <f>+IF($W46="","",ROUND(IF($B46&gt;Parámetros!$D$107,'Tablas Servicio'!BE46+('Tablas Servicio'!BG45-'Tablas Servicio'!BE45),BE46/(1-IF(B46&lt;=10,Parámetros!$D$100,0))),2))</f>
        <v>0</v>
      </c>
      <c r="BH46" s="66">
        <f t="shared" si="63"/>
        <v>0</v>
      </c>
      <c r="BI46" s="66">
        <f t="shared" si="64"/>
        <v>0</v>
      </c>
      <c r="BJ46" s="66">
        <f>+IF($W46="","",ROUND((BG46*Parámetros!$G$85),2))</f>
        <v>0</v>
      </c>
      <c r="BK46" s="66">
        <f>+IF($W46="","",ROUND((BG46*(Parámetros!$G$86)),2))</f>
        <v>0</v>
      </c>
      <c r="BL46" s="66">
        <f t="shared" si="65"/>
        <v>0</v>
      </c>
      <c r="BM46" t="str">
        <f t="shared" si="66"/>
        <v>00061</v>
      </c>
      <c r="BN46" t="str">
        <f t="shared" si="67"/>
        <v>Gastos de Entierro</v>
      </c>
      <c r="BO46" s="118">
        <f t="shared" si="68"/>
        <v>0</v>
      </c>
      <c r="BP46" s="118" t="str">
        <f t="shared" si="69"/>
        <v>A</v>
      </c>
      <c r="BQ46" s="119" t="str">
        <f>+IF(OR($W46="",BO46=0),"",ROUND((VLOOKUP(ROUNDDOWN($D46-1/frec,0),cob_adi,BB$40,FALSE)*(1+i/frec)^-0.5*(1+Parámetros!$D$103)*(1+rec_fracc)/frec),6))</f>
        <v/>
      </c>
      <c r="BR46" s="66">
        <f t="shared" si="70"/>
        <v>0</v>
      </c>
      <c r="BS46" s="119" t="str">
        <f t="shared" si="71"/>
        <v/>
      </c>
      <c r="BT46" s="66">
        <f>+IF($W46="","",ROUND(IF($B46&gt;Parámetros!$D$107,'Tablas Servicio'!BR46+('Tablas Servicio'!BT45-'Tablas Servicio'!BR45),BR46/(1-IF(B46&lt;=10,Parámetros!$D$100,0))),2))</f>
        <v>0</v>
      </c>
      <c r="BU46" s="66">
        <f t="shared" si="72"/>
        <v>0</v>
      </c>
      <c r="BV46" s="66">
        <f t="shared" si="72"/>
        <v>0</v>
      </c>
      <c r="BW46" s="66">
        <f>+IF($W46="","",ROUND((BT46*Parámetros!$G$85),2))</f>
        <v>0</v>
      </c>
      <c r="BX46" s="66">
        <f>+IF($W46="","",ROUND((BT46*(Parámetros!$G$86)),2))</f>
        <v>0</v>
      </c>
      <c r="BY46" s="66">
        <f t="shared" si="73"/>
        <v>0</v>
      </c>
      <c r="BZ46" t="str">
        <f t="shared" si="74"/>
        <v>00062</v>
      </c>
      <c r="CA46" t="str">
        <f t="shared" si="75"/>
        <v>Gastos médicos por accidente</v>
      </c>
      <c r="CB46" s="118">
        <f t="shared" si="76"/>
        <v>0</v>
      </c>
      <c r="CC46" s="118" t="str">
        <f t="shared" si="77"/>
        <v>A</v>
      </c>
      <c r="CD46" s="119" t="str">
        <f t="shared" si="78"/>
        <v/>
      </c>
      <c r="CE46" s="66">
        <f>+IF($W46="","",ROUND((VLOOKUP(ROUNDDOWN($D46-1/frec,0),cob_adi,BO$40,FALSE)*(1+i/frec)^-0.5*(1+Parámetros!$D$103)*(1+rec_fracc)/frec*'TABLAS ADI'!$BC$17),2))</f>
        <v>0</v>
      </c>
      <c r="CF46" s="119" t="str">
        <f t="shared" si="79"/>
        <v/>
      </c>
      <c r="CG46" s="66">
        <f>+IF($W46="","",ROUND(IF($B46&gt;Parámetros!$D$107,'Tablas Servicio'!CE46+('Tablas Servicio'!CG45-'Tablas Servicio'!CE45),CE46/(1-IF(B46&lt;=10,Parámetros!$D$100,0))),2))</f>
        <v>0</v>
      </c>
      <c r="CH46" s="66">
        <f t="shared" si="80"/>
        <v>0</v>
      </c>
      <c r="CI46" s="66">
        <f t="shared" si="80"/>
        <v>0</v>
      </c>
      <c r="CJ46" s="66">
        <f>+IF($W46="","",ROUND((CG46*Parámetros!$G$85),2))</f>
        <v>0</v>
      </c>
      <c r="CK46" s="66">
        <f>+IF($W46="","",ROUND((CG46*(Parámetros!$G$86)),2))</f>
        <v>0</v>
      </c>
      <c r="CL46" s="66">
        <f t="shared" si="81"/>
        <v>0</v>
      </c>
      <c r="CM46" t="str">
        <f t="shared" si="82"/>
        <v>00063</v>
      </c>
      <c r="CN46" s="118" t="str">
        <f t="shared" si="83"/>
        <v>Renta Diaria por Hospitalización</v>
      </c>
      <c r="CO46" s="118">
        <f t="shared" si="84"/>
        <v>0</v>
      </c>
      <c r="CP46" s="118" t="str">
        <f t="shared" si="85"/>
        <v>A</v>
      </c>
      <c r="CQ46" s="119" t="str">
        <f t="shared" si="86"/>
        <v/>
      </c>
      <c r="CR46" s="66">
        <f>+IF($W46="","",ROUND((VLOOKUP(Parámetros!$F$51,'COBERTURAS ADICIONALES'!$S$4:$T$32,2,FALSE)*(1+i/frec)^-0.5*(1+Parámetros!$D$103)*(1+rec_fracc)/frec*$CO$42),2))</f>
        <v>0</v>
      </c>
      <c r="CS46" s="119" t="str">
        <f t="shared" si="87"/>
        <v/>
      </c>
      <c r="CT46" s="66">
        <f>+IF($W46="","",ROUND(IF($B46&gt;Parámetros!$D$107,'Tablas Servicio'!CR46+('Tablas Servicio'!CT45-'Tablas Servicio'!CR45),CR46/(1-IF(B46&lt;=10,Parámetros!$D$100,0))),2))</f>
        <v>0</v>
      </c>
      <c r="CU46" s="66">
        <f t="shared" si="88"/>
        <v>0</v>
      </c>
      <c r="CV46" s="66">
        <f t="shared" si="88"/>
        <v>0</v>
      </c>
      <c r="CW46" s="66">
        <f>+IF($W46="","",ROUND((CT46*Parámetros!$G$85),2))</f>
        <v>0</v>
      </c>
      <c r="CX46" s="66">
        <f>+IF($W46="","",ROUND((CT46*(Parámetros!$G$86)),2))</f>
        <v>0</v>
      </c>
      <c r="CY46" s="66">
        <f t="shared" si="89"/>
        <v>0</v>
      </c>
      <c r="CZ46" t="str">
        <f t="shared" si="90"/>
        <v>00064</v>
      </c>
      <c r="DA46" s="118" t="str">
        <f t="shared" si="91"/>
        <v>Enfermedades Graves</v>
      </c>
      <c r="DB46" s="118">
        <f t="shared" si="92"/>
        <v>0</v>
      </c>
      <c r="DC46" s="118" t="str">
        <f t="shared" si="93"/>
        <v>A</v>
      </c>
      <c r="DD46" s="121" t="str">
        <f>+IF(OR($W46="",DB46=0),"",ROUND((VLOOKUP(ROUNDDOWN($D46-1/frec,0),cob_adi,CO$40,FALSE)*(1+i/frec)^-0.5*(1+Parámetros!$D$103)*(1+rec_fracc)/frec),6))</f>
        <v/>
      </c>
      <c r="DE46" s="66">
        <f t="shared" si="94"/>
        <v>0</v>
      </c>
      <c r="DF46" s="119" t="str">
        <f t="shared" si="95"/>
        <v/>
      </c>
      <c r="DG46" s="66">
        <f>+IF($W46="","",ROUND(IF($B46&gt;Parámetros!$D$107,'Tablas Servicio'!DE46+('Tablas Servicio'!DG45-'Tablas Servicio'!DE45),DE46/(1-IF(B46&lt;=10,Parámetros!$D$100,0))),2))</f>
        <v>0</v>
      </c>
      <c r="DH46" s="66">
        <f t="shared" si="96"/>
        <v>0</v>
      </c>
      <c r="DI46" s="66">
        <f t="shared" si="96"/>
        <v>0</v>
      </c>
      <c r="DJ46" s="66">
        <f>+IF($W46="","",ROUND((DG46*Parámetros!$G$85),2))</f>
        <v>0</v>
      </c>
      <c r="DK46" s="66">
        <f>+IF($W46="","",ROUND((DG46*(Parámetros!$G$86)),2))</f>
        <v>0</v>
      </c>
      <c r="DL46" s="66">
        <f t="shared" si="97"/>
        <v>0</v>
      </c>
      <c r="DM46" t="str">
        <f t="shared" si="98"/>
        <v>00065</v>
      </c>
      <c r="DN46" s="118" t="str">
        <f t="shared" si="99"/>
        <v>Exención pago de primas</v>
      </c>
      <c r="DO46" s="118">
        <f t="shared" si="100"/>
        <v>0</v>
      </c>
      <c r="DP46" s="118" t="str">
        <f t="shared" si="101"/>
        <v>A</v>
      </c>
      <c r="DQ46" s="122" t="str">
        <f>+IF(OR($W46="",DO46=0),"",ROUND((VLOOKUP(ROUNDDOWN($D46-1/frec,0),cob_adi,DB$40,FALSE)*(1+i/frec)^-0.5*(1+Parámetros!$D$103)*(1+rec_fracc)/frec),6))</f>
        <v/>
      </c>
      <c r="DR46" s="66">
        <f t="shared" si="102"/>
        <v>0</v>
      </c>
      <c r="DS46" s="68" t="str">
        <f t="shared" si="103"/>
        <v/>
      </c>
      <c r="DT46" s="66">
        <f>+IF($W46="","",ROUND(IF($B46&gt;Parámetros!$D$107,'Tablas Servicio'!DR46+('Tablas Servicio'!DT45-'Tablas Servicio'!DR45),DR46/(1-IF(B46&lt;=10,Parámetros!$D$100,0))),2))</f>
        <v>0</v>
      </c>
      <c r="DU46" s="66">
        <f t="shared" si="104"/>
        <v>0</v>
      </c>
      <c r="DV46" s="66">
        <f t="shared" si="104"/>
        <v>0</v>
      </c>
      <c r="DW46" s="66">
        <f>+IF($W46="","",ROUND((DT46*Parámetros!$G$85),2))</f>
        <v>0</v>
      </c>
      <c r="DX46" s="66">
        <f>+IF($W46="","",ROUND((DT46*(Parámetros!$G$86)),2))</f>
        <v>0</v>
      </c>
      <c r="DY46" s="66">
        <f t="shared" si="105"/>
        <v>0</v>
      </c>
      <c r="DZ46" t="str">
        <f t="shared" si="106"/>
        <v>00066</v>
      </c>
      <c r="EA46" s="118" t="str">
        <f t="shared" si="106"/>
        <v>Enfermedad terminal</v>
      </c>
      <c r="EB46" s="118">
        <f>+IF($W46="","",ROUND(IF(Parámetros!$D$25='TABLAS MORT'!$V$33,EB45,Z46/2),0))</f>
        <v>50000</v>
      </c>
      <c r="EC46" s="118" t="str">
        <f t="shared" si="106"/>
        <v>A</v>
      </c>
      <c r="ED46" s="122">
        <f>+IF(OR($W46="",EB46=0),"",ROUND((VLOOKUP(ROUNDDOWN($D46-1/frec,0),cob_adi,DO$40,FALSE)*(1+i/frec)^-0.5*(1+Parámetros!$D$103)*(1+rec_fracc)/frec),6))</f>
        <v>7.9999999999999996E-6</v>
      </c>
      <c r="EE46" s="66">
        <f t="shared" si="107"/>
        <v>0.4</v>
      </c>
      <c r="EF46" s="68">
        <f t="shared" si="108"/>
        <v>9.0000000000000002E-6</v>
      </c>
      <c r="EG46" s="66">
        <f>+IF($W46="","",ROUND(IF($B46&gt;Parámetros!$D$107,'Tablas Servicio'!EE46+('Tablas Servicio'!EG45-'Tablas Servicio'!EE45),EE46/(1-IF(B46&lt;=10,Parámetros!$D$100,0))),2))</f>
        <v>0.45</v>
      </c>
      <c r="EH46" s="66">
        <f t="shared" si="109"/>
        <v>0</v>
      </c>
      <c r="EI46" s="66">
        <f t="shared" si="109"/>
        <v>0</v>
      </c>
      <c r="EJ46" s="66">
        <f>+IF($W46="","",ROUND((EG46*Parámetros!$G$85),2))</f>
        <v>0.02</v>
      </c>
      <c r="EK46" s="66">
        <f>+IF($W46="","",ROUND((EG46*(Parámetros!$G$86)),2))</f>
        <v>0</v>
      </c>
      <c r="EL46" s="66">
        <f t="shared" si="110"/>
        <v>0.47</v>
      </c>
    </row>
    <row r="47" spans="1:142" x14ac:dyDescent="0.25">
      <c r="A47">
        <f>+IF($C47="","",ROUND(VLOOKUP('Tablas Servicio'!B47,Parámetros!$H$100:$J$159,IF(Parámetros!$E$16="F",2,3),FALSE),2))</f>
        <v>150</v>
      </c>
      <c r="B47">
        <f t="shared" si="27"/>
        <v>1</v>
      </c>
      <c r="C47" s="57">
        <f>+IF(D47="","",'Tablas Servicio'!C46+1)</f>
        <v>6</v>
      </c>
      <c r="D47" s="56">
        <f>+IF(D46&lt;edadmaxtabla,D46+1/Parámetros!$E$25,"")</f>
        <v>40.520000000000017</v>
      </c>
      <c r="E47" s="57">
        <f t="shared" si="37"/>
        <v>40</v>
      </c>
      <c r="F47" s="59">
        <f t="shared" si="38"/>
        <v>100000</v>
      </c>
      <c r="G47" s="66">
        <f t="shared" si="39"/>
        <v>23.21</v>
      </c>
      <c r="H47" s="66">
        <f t="shared" si="28"/>
        <v>24.14</v>
      </c>
      <c r="I47" s="66">
        <f t="shared" si="40"/>
        <v>61.6</v>
      </c>
      <c r="J47" s="66">
        <f t="shared" si="29"/>
        <v>0.82000000000000006</v>
      </c>
      <c r="K47" s="66">
        <f t="shared" si="30"/>
        <v>0.11</v>
      </c>
      <c r="L47" s="66">
        <f t="shared" si="31"/>
        <v>0</v>
      </c>
      <c r="M47" s="66">
        <f t="shared" si="32"/>
        <v>0</v>
      </c>
      <c r="N47" s="66">
        <f>+IF(C47="","",ROUND(Parámetros!$D$23,2))</f>
        <v>94</v>
      </c>
      <c r="O47" s="66">
        <f t="shared" si="33"/>
        <v>11.4</v>
      </c>
      <c r="P47" s="66">
        <f>+IF($C47="","",ROUND(IF(B47&gt;Parámetros!$D$117,0,N47*Parámetros!$D$116-G47*Parámetros!$D$100),2))</f>
        <v>8.26</v>
      </c>
      <c r="Q47" s="75">
        <f t="shared" si="41"/>
        <v>3.5329599310641967E-2</v>
      </c>
      <c r="R47" s="75">
        <f t="shared" si="42"/>
        <v>4.7393364928909948E-3</v>
      </c>
      <c r="S47" s="117">
        <f>+IF($C47="","",ROUND((S46+I47)*(1+Parámetros!$D$91),2))</f>
        <v>373.29</v>
      </c>
      <c r="T47" s="117">
        <f>+IF($C47="","",ROUND(S47*VLOOKUP(B47,Parámetros!$C$30:$D$39,2,TRUE),2))</f>
        <v>0</v>
      </c>
      <c r="U47" s="117">
        <f>+IF($C47="","",ROUND((U46+I47)*(1+Parámetros!$D$92),2))</f>
        <v>373.81</v>
      </c>
      <c r="V47" s="117">
        <f>+IF($C47="","",ROUND(U47*VLOOKUP(B47,Parámetros!$C$30:$D$39,2,TRUE),2))</f>
        <v>0</v>
      </c>
      <c r="W47" s="57">
        <f t="shared" si="34"/>
        <v>6</v>
      </c>
      <c r="X47" t="str">
        <f t="shared" si="43"/>
        <v>00058</v>
      </c>
      <c r="Y47" t="str">
        <f t="shared" si="44"/>
        <v>MUERTE POR CUALQUIER CAUSA</v>
      </c>
      <c r="Z47" s="118">
        <f>+IF($W47="","",ROUND(IF(Parámetros!$D$25='TABLAS MORT'!$V$33,Z46,Parámetros!$D$21-'Tablas Servicio'!T46),0))</f>
        <v>100000</v>
      </c>
      <c r="AA47" s="118" t="str">
        <f t="shared" si="45"/>
        <v>P</v>
      </c>
      <c r="AB47" s="119">
        <f>+IF(W47="","",ROUND((VLOOKUP(ROUNDDOWN($D47-1/frec,0),qx_tabla,2,FALSE)*(1+i/frec)^-0.5*(1+Parámetros!$D$103)*(1+rec_fracc)/frec),6))</f>
        <v>1.1E-4</v>
      </c>
      <c r="AC47" s="66">
        <f t="shared" si="46"/>
        <v>11</v>
      </c>
      <c r="AD47" s="119">
        <f t="shared" si="35"/>
        <v>2.2800000000000001E-4</v>
      </c>
      <c r="AE47" s="66">
        <f>+IF($W47="","",ROUND(IF($B47&gt;Parámetros!$D$107,'Tablas Servicio'!AC47+('Tablas Servicio'!AG46-'Tablas Servicio'!AC46),AC47/(1-IF(B47&lt;=10,Parámetros!$D$104,Parámetros!$D$105))),2))</f>
        <v>22.76</v>
      </c>
      <c r="AF47" s="66">
        <f>+IF($W47="","",ROUND(IF($B47&gt;Parámetros!$D$107,'Tablas Servicio'!AC47+('Tablas Servicio'!AG46-'Tablas Servicio'!AC46),(AC47+$A46/frec)/(1-IF(B47&lt;=Parámetros!$D$117,Parámetros!$D$100,0))),2))</f>
        <v>26.61</v>
      </c>
      <c r="AG47" s="66">
        <f t="shared" si="111"/>
        <v>22.76</v>
      </c>
      <c r="AH47" s="66">
        <f t="shared" si="47"/>
        <v>0</v>
      </c>
      <c r="AI47" s="66">
        <f t="shared" si="48"/>
        <v>0</v>
      </c>
      <c r="AJ47" s="66">
        <f>+IF($W47="","",ROUND((AG47*Parámetros!$G$85),2))</f>
        <v>0.8</v>
      </c>
      <c r="AK47" s="66">
        <f>+IF($W47="","",ROUND((AG47*(Parámetros!$G$86)),2))</f>
        <v>0.11</v>
      </c>
      <c r="AL47" s="66">
        <f t="shared" si="36"/>
        <v>23.67</v>
      </c>
      <c r="AM47" t="str">
        <f t="shared" si="49"/>
        <v>00059</v>
      </c>
      <c r="AN47" t="str">
        <f t="shared" si="50"/>
        <v>Incapacidad Total y Permanente</v>
      </c>
      <c r="AO47" s="118">
        <f t="shared" si="51"/>
        <v>0</v>
      </c>
      <c r="AP47" s="118" t="str">
        <f t="shared" si="52"/>
        <v>A</v>
      </c>
      <c r="AQ47" s="119" t="str">
        <f>+IF(OR($W47="",AO47=0),"",ROUND((VLOOKUP(ROUNDDOWN($D47-1/frec,0),cob_adi,Z$40,FALSE)*(1+i/frec)^-0.5*(1+Parámetros!$D$103)*(1+rec_fracc)/frec),6))</f>
        <v/>
      </c>
      <c r="AR47" s="66">
        <f t="shared" si="53"/>
        <v>0</v>
      </c>
      <c r="AS47" s="119" t="str">
        <f t="shared" si="54"/>
        <v/>
      </c>
      <c r="AT47" s="66">
        <f>+IF($W47="","",ROUND(IF($B47&gt;Parámetros!$D$107,'Tablas Servicio'!AR47+('Tablas Servicio'!AT46-'Tablas Servicio'!AR46),AR47/(1-IF(B47&lt;=10,Parámetros!$D$100,0))),2))</f>
        <v>0</v>
      </c>
      <c r="AU47" s="66">
        <f t="shared" si="55"/>
        <v>0</v>
      </c>
      <c r="AV47" s="66">
        <f t="shared" si="55"/>
        <v>0</v>
      </c>
      <c r="AW47" s="66">
        <f>+IF($W47="","",ROUND((AT47*Parámetros!$G$85),2))</f>
        <v>0</v>
      </c>
      <c r="AX47" s="66">
        <f>+IF($W47="","",ROUND((AT47*(Parámetros!$G$86)),2))</f>
        <v>0</v>
      </c>
      <c r="AY47" s="66">
        <f t="shared" si="56"/>
        <v>0</v>
      </c>
      <c r="AZ47" t="str">
        <f t="shared" si="57"/>
        <v>00060</v>
      </c>
      <c r="BA47" t="str">
        <f t="shared" si="58"/>
        <v>Muerte Accidental</v>
      </c>
      <c r="BB47" s="118">
        <f t="shared" si="59"/>
        <v>0</v>
      </c>
      <c r="BC47" s="118" t="str">
        <f t="shared" si="60"/>
        <v>A</v>
      </c>
      <c r="BD47" s="119" t="str">
        <f>+IF(OR($W47="",BB47=0),"",ROUND((VLOOKUP(ROUNDDOWN($D47-1/frec,0),cob_adi,AO$40,FALSE)*(1+i/frec)^-0.5*(1+Parámetros!$D$103)*(1+rec_fracc)/frec),6))</f>
        <v/>
      </c>
      <c r="BE47" s="66">
        <f t="shared" si="61"/>
        <v>0</v>
      </c>
      <c r="BF47" s="119" t="str">
        <f t="shared" si="62"/>
        <v/>
      </c>
      <c r="BG47" s="66">
        <f>+IF($W47="","",ROUND(IF($B47&gt;Parámetros!$D$107,'Tablas Servicio'!BE47+('Tablas Servicio'!BG46-'Tablas Servicio'!BE46),BE47/(1-IF(B47&lt;=10,Parámetros!$D$100,0))),2))</f>
        <v>0</v>
      </c>
      <c r="BH47" s="66">
        <f t="shared" si="63"/>
        <v>0</v>
      </c>
      <c r="BI47" s="66">
        <f t="shared" si="64"/>
        <v>0</v>
      </c>
      <c r="BJ47" s="66">
        <f>+IF($W47="","",ROUND((BG47*Parámetros!$G$85),2))</f>
        <v>0</v>
      </c>
      <c r="BK47" s="66">
        <f>+IF($W47="","",ROUND((BG47*(Parámetros!$G$86)),2))</f>
        <v>0</v>
      </c>
      <c r="BL47" s="66">
        <f t="shared" si="65"/>
        <v>0</v>
      </c>
      <c r="BM47" t="str">
        <f t="shared" si="66"/>
        <v>00061</v>
      </c>
      <c r="BN47" t="str">
        <f t="shared" si="67"/>
        <v>Gastos de Entierro</v>
      </c>
      <c r="BO47" s="118">
        <f t="shared" si="68"/>
        <v>0</v>
      </c>
      <c r="BP47" s="118" t="str">
        <f t="shared" si="69"/>
        <v>A</v>
      </c>
      <c r="BQ47" s="119" t="str">
        <f>+IF(OR($W47="",BO47=0),"",ROUND((VLOOKUP(ROUNDDOWN($D47-1/frec,0),cob_adi,BB$40,FALSE)*(1+i/frec)^-0.5*(1+Parámetros!$D$103)*(1+rec_fracc)/frec),6))</f>
        <v/>
      </c>
      <c r="BR47" s="66">
        <f t="shared" si="70"/>
        <v>0</v>
      </c>
      <c r="BS47" s="119" t="str">
        <f t="shared" si="71"/>
        <v/>
      </c>
      <c r="BT47" s="66">
        <f>+IF($W47="","",ROUND(IF($B47&gt;Parámetros!$D$107,'Tablas Servicio'!BR47+('Tablas Servicio'!BT46-'Tablas Servicio'!BR46),BR47/(1-IF(B47&lt;=10,Parámetros!$D$100,0))),2))</f>
        <v>0</v>
      </c>
      <c r="BU47" s="66">
        <f t="shared" si="72"/>
        <v>0</v>
      </c>
      <c r="BV47" s="66">
        <f t="shared" si="72"/>
        <v>0</v>
      </c>
      <c r="BW47" s="66">
        <f>+IF($W47="","",ROUND((BT47*Parámetros!$G$85),2))</f>
        <v>0</v>
      </c>
      <c r="BX47" s="66">
        <f>+IF($W47="","",ROUND((BT47*(Parámetros!$G$86)),2))</f>
        <v>0</v>
      </c>
      <c r="BY47" s="66">
        <f t="shared" si="73"/>
        <v>0</v>
      </c>
      <c r="BZ47" t="str">
        <f t="shared" si="74"/>
        <v>00062</v>
      </c>
      <c r="CA47" t="str">
        <f t="shared" si="75"/>
        <v>Gastos médicos por accidente</v>
      </c>
      <c r="CB47" s="118">
        <f t="shared" si="76"/>
        <v>0</v>
      </c>
      <c r="CC47" s="118" t="str">
        <f t="shared" si="77"/>
        <v>A</v>
      </c>
      <c r="CD47" s="119" t="str">
        <f t="shared" si="78"/>
        <v/>
      </c>
      <c r="CE47" s="66">
        <f>+IF($W47="","",ROUND((VLOOKUP(ROUNDDOWN($D47-1/frec,0),cob_adi,BO$40,FALSE)*(1+i/frec)^-0.5*(1+Parámetros!$D$103)*(1+rec_fracc)/frec*'TABLAS ADI'!$BC$17),2))</f>
        <v>0</v>
      </c>
      <c r="CF47" s="119" t="str">
        <f t="shared" si="79"/>
        <v/>
      </c>
      <c r="CG47" s="66">
        <f>+IF($W47="","",ROUND(IF($B47&gt;Parámetros!$D$107,'Tablas Servicio'!CE47+('Tablas Servicio'!CG46-'Tablas Servicio'!CE46),CE47/(1-IF(B47&lt;=10,Parámetros!$D$100,0))),2))</f>
        <v>0</v>
      </c>
      <c r="CH47" s="66">
        <f t="shared" si="80"/>
        <v>0</v>
      </c>
      <c r="CI47" s="66">
        <f t="shared" si="80"/>
        <v>0</v>
      </c>
      <c r="CJ47" s="66">
        <f>+IF($W47="","",ROUND((CG47*Parámetros!$G$85),2))</f>
        <v>0</v>
      </c>
      <c r="CK47" s="66">
        <f>+IF($W47="","",ROUND((CG47*(Parámetros!$G$86)),2))</f>
        <v>0</v>
      </c>
      <c r="CL47" s="66">
        <f t="shared" si="81"/>
        <v>0</v>
      </c>
      <c r="CM47" t="str">
        <f t="shared" si="82"/>
        <v>00063</v>
      </c>
      <c r="CN47" s="118" t="str">
        <f t="shared" si="83"/>
        <v>Renta Diaria por Hospitalización</v>
      </c>
      <c r="CO47" s="118">
        <f t="shared" si="84"/>
        <v>0</v>
      </c>
      <c r="CP47" s="118" t="str">
        <f t="shared" si="85"/>
        <v>A</v>
      </c>
      <c r="CQ47" s="119" t="str">
        <f t="shared" si="86"/>
        <v/>
      </c>
      <c r="CR47" s="66">
        <f>+IF($W47="","",ROUND((VLOOKUP(Parámetros!$F$51,'COBERTURAS ADICIONALES'!$S$4:$T$32,2,FALSE)*(1+i/frec)^-0.5*(1+Parámetros!$D$103)*(1+rec_fracc)/frec*$CO$42),2))</f>
        <v>0</v>
      </c>
      <c r="CS47" s="119" t="str">
        <f t="shared" si="87"/>
        <v/>
      </c>
      <c r="CT47" s="66">
        <f>+IF($W47="","",ROUND(IF($B47&gt;Parámetros!$D$107,'Tablas Servicio'!CR47+('Tablas Servicio'!CT46-'Tablas Servicio'!CR46),CR47/(1-IF(B47&lt;=10,Parámetros!$D$100,0))),2))</f>
        <v>0</v>
      </c>
      <c r="CU47" s="66">
        <f t="shared" si="88"/>
        <v>0</v>
      </c>
      <c r="CV47" s="66">
        <f t="shared" si="88"/>
        <v>0</v>
      </c>
      <c r="CW47" s="66">
        <f>+IF($W47="","",ROUND((CT47*Parámetros!$G$85),2))</f>
        <v>0</v>
      </c>
      <c r="CX47" s="66">
        <f>+IF($W47="","",ROUND((CT47*(Parámetros!$G$86)),2))</f>
        <v>0</v>
      </c>
      <c r="CY47" s="66">
        <f t="shared" si="89"/>
        <v>0</v>
      </c>
      <c r="CZ47" t="str">
        <f t="shared" si="90"/>
        <v>00064</v>
      </c>
      <c r="DA47" s="118" t="str">
        <f t="shared" si="91"/>
        <v>Enfermedades Graves</v>
      </c>
      <c r="DB47" s="118">
        <f t="shared" si="92"/>
        <v>0</v>
      </c>
      <c r="DC47" s="118" t="str">
        <f t="shared" si="93"/>
        <v>A</v>
      </c>
      <c r="DD47" s="121" t="str">
        <f>+IF(OR($W47="",DB47=0),"",ROUND((VLOOKUP(ROUNDDOWN($D47-1/frec,0),cob_adi,CO$40,FALSE)*(1+i/frec)^-0.5*(1+Parámetros!$D$103)*(1+rec_fracc)/frec),6))</f>
        <v/>
      </c>
      <c r="DE47" s="66">
        <f t="shared" si="94"/>
        <v>0</v>
      </c>
      <c r="DF47" s="119" t="str">
        <f t="shared" si="95"/>
        <v/>
      </c>
      <c r="DG47" s="66">
        <f>+IF($W47="","",ROUND(IF($B47&gt;Parámetros!$D$107,'Tablas Servicio'!DE47+('Tablas Servicio'!DG46-'Tablas Servicio'!DE46),DE47/(1-IF(B47&lt;=10,Parámetros!$D$100,0))),2))</f>
        <v>0</v>
      </c>
      <c r="DH47" s="66">
        <f t="shared" si="96"/>
        <v>0</v>
      </c>
      <c r="DI47" s="66">
        <f t="shared" si="96"/>
        <v>0</v>
      </c>
      <c r="DJ47" s="66">
        <f>+IF($W47="","",ROUND((DG47*Parámetros!$G$85),2))</f>
        <v>0</v>
      </c>
      <c r="DK47" s="66">
        <f>+IF($W47="","",ROUND((DG47*(Parámetros!$G$86)),2))</f>
        <v>0</v>
      </c>
      <c r="DL47" s="66">
        <f t="shared" si="97"/>
        <v>0</v>
      </c>
      <c r="DM47" t="str">
        <f t="shared" si="98"/>
        <v>00065</v>
      </c>
      <c r="DN47" s="118" t="str">
        <f t="shared" si="99"/>
        <v>Exención pago de primas</v>
      </c>
      <c r="DO47" s="118">
        <f t="shared" si="100"/>
        <v>0</v>
      </c>
      <c r="DP47" s="118" t="str">
        <f t="shared" si="101"/>
        <v>A</v>
      </c>
      <c r="DQ47" s="122" t="str">
        <f>+IF(OR($W47="",DO47=0),"",ROUND((VLOOKUP(ROUNDDOWN($D47-1/frec,0),cob_adi,DB$40,FALSE)*(1+i/frec)^-0.5*(1+Parámetros!$D$103)*(1+rec_fracc)/frec),6))</f>
        <v/>
      </c>
      <c r="DR47" s="66">
        <f t="shared" si="102"/>
        <v>0</v>
      </c>
      <c r="DS47" s="68" t="str">
        <f t="shared" si="103"/>
        <v/>
      </c>
      <c r="DT47" s="66">
        <f>+IF($W47="","",ROUND(IF($B47&gt;Parámetros!$D$107,'Tablas Servicio'!DR47+('Tablas Servicio'!DT46-'Tablas Servicio'!DR46),DR47/(1-IF(B47&lt;=10,Parámetros!$D$100,0))),2))</f>
        <v>0</v>
      </c>
      <c r="DU47" s="66">
        <f t="shared" si="104"/>
        <v>0</v>
      </c>
      <c r="DV47" s="66">
        <f t="shared" si="104"/>
        <v>0</v>
      </c>
      <c r="DW47" s="66">
        <f>+IF($W47="","",ROUND((DT47*Parámetros!$G$85),2))</f>
        <v>0</v>
      </c>
      <c r="DX47" s="66">
        <f>+IF($W47="","",ROUND((DT47*(Parámetros!$G$86)),2))</f>
        <v>0</v>
      </c>
      <c r="DY47" s="66">
        <f t="shared" si="105"/>
        <v>0</v>
      </c>
      <c r="DZ47" t="str">
        <f t="shared" si="106"/>
        <v>00066</v>
      </c>
      <c r="EA47" s="118" t="str">
        <f t="shared" si="106"/>
        <v>Enfermedad terminal</v>
      </c>
      <c r="EB47" s="118">
        <f>+IF($W47="","",ROUND(IF(Parámetros!$D$25='TABLAS MORT'!$V$33,EB46,Z47/2),0))</f>
        <v>50000</v>
      </c>
      <c r="EC47" s="118" t="str">
        <f t="shared" si="106"/>
        <v>A</v>
      </c>
      <c r="ED47" s="122">
        <f>+IF(OR($W47="",EB47=0),"",ROUND((VLOOKUP(ROUNDDOWN($D47-1/frec,0),cob_adi,DO$40,FALSE)*(1+i/frec)^-0.5*(1+Parámetros!$D$103)*(1+rec_fracc)/frec),6))</f>
        <v>7.9999999999999996E-6</v>
      </c>
      <c r="EE47" s="66">
        <f t="shared" si="107"/>
        <v>0.4</v>
      </c>
      <c r="EF47" s="68">
        <f t="shared" si="108"/>
        <v>9.0000000000000002E-6</v>
      </c>
      <c r="EG47" s="66">
        <f>+IF($W47="","",ROUND(IF($B47&gt;Parámetros!$D$107,'Tablas Servicio'!EE47+('Tablas Servicio'!EG46-'Tablas Servicio'!EE46),EE47/(1-IF(B47&lt;=10,Parámetros!$D$100,0))),2))</f>
        <v>0.45</v>
      </c>
      <c r="EH47" s="66">
        <f t="shared" si="109"/>
        <v>0</v>
      </c>
      <c r="EI47" s="66">
        <f t="shared" si="109"/>
        <v>0</v>
      </c>
      <c r="EJ47" s="66">
        <f>+IF($W47="","",ROUND((EG47*Parámetros!$G$85),2))</f>
        <v>0.02</v>
      </c>
      <c r="EK47" s="66">
        <f>+IF($W47="","",ROUND((EG47*(Parámetros!$G$86)),2))</f>
        <v>0</v>
      </c>
      <c r="EL47" s="66">
        <f t="shared" si="110"/>
        <v>0.47</v>
      </c>
    </row>
    <row r="48" spans="1:142" x14ac:dyDescent="0.25">
      <c r="A48">
        <f>+IF($C48="","",ROUND(VLOOKUP('Tablas Servicio'!B48,Parámetros!$H$100:$J$159,IF(Parámetros!$E$16="F",2,3),FALSE),2))</f>
        <v>150</v>
      </c>
      <c r="B48">
        <f t="shared" si="27"/>
        <v>1</v>
      </c>
      <c r="C48" s="57">
        <f>+IF(D48="","",'Tablas Servicio'!C47+1)</f>
        <v>7</v>
      </c>
      <c r="D48" s="56">
        <f>+IF(D47&lt;edadmaxtabla,D47+1/Parámetros!$E$25,"")</f>
        <v>40.603333333333353</v>
      </c>
      <c r="E48" s="57">
        <f t="shared" si="37"/>
        <v>40</v>
      </c>
      <c r="F48" s="59">
        <f t="shared" si="38"/>
        <v>100000</v>
      </c>
      <c r="G48" s="66">
        <f t="shared" si="39"/>
        <v>23.21</v>
      </c>
      <c r="H48" s="66">
        <f t="shared" si="28"/>
        <v>24.14</v>
      </c>
      <c r="I48" s="66">
        <f t="shared" si="40"/>
        <v>61.6</v>
      </c>
      <c r="J48" s="66">
        <f t="shared" si="29"/>
        <v>0.82000000000000006</v>
      </c>
      <c r="K48" s="66">
        <f t="shared" si="30"/>
        <v>0.11</v>
      </c>
      <c r="L48" s="66">
        <f t="shared" si="31"/>
        <v>0</v>
      </c>
      <c r="M48" s="66">
        <f t="shared" si="32"/>
        <v>0</v>
      </c>
      <c r="N48" s="66">
        <f>+IF(C48="","",ROUND(Parámetros!$D$23,2))</f>
        <v>94</v>
      </c>
      <c r="O48" s="66">
        <f t="shared" si="33"/>
        <v>11.4</v>
      </c>
      <c r="P48" s="66">
        <f>+IF($C48="","",ROUND(IF(B48&gt;Parámetros!$D$117,0,N48*Parámetros!$D$116-G48*Parámetros!$D$100),2))</f>
        <v>8.26</v>
      </c>
      <c r="Q48" s="75">
        <f t="shared" si="41"/>
        <v>3.5329599310641967E-2</v>
      </c>
      <c r="R48" s="75">
        <f t="shared" si="42"/>
        <v>4.7393364928909948E-3</v>
      </c>
      <c r="S48" s="117">
        <f>+IF($C48="","",ROUND((S47+I48)*(1+Parámetros!$D$91),2))</f>
        <v>436.12</v>
      </c>
      <c r="T48" s="117">
        <f>+IF($C48="","",ROUND(S48*VLOOKUP(B48,Parámetros!$C$30:$D$39,2,TRUE),2))</f>
        <v>0</v>
      </c>
      <c r="U48" s="117">
        <f>+IF($C48="","",ROUND((U47+I48)*(1+Parámetros!$D$92),2))</f>
        <v>436.82</v>
      </c>
      <c r="V48" s="117">
        <f>+IF($C48="","",ROUND(U48*VLOOKUP(B48,Parámetros!$C$30:$D$39,2,TRUE),2))</f>
        <v>0</v>
      </c>
      <c r="W48" s="57">
        <f t="shared" si="34"/>
        <v>7</v>
      </c>
      <c r="X48" t="str">
        <f t="shared" si="43"/>
        <v>00058</v>
      </c>
      <c r="Y48" t="str">
        <f t="shared" si="44"/>
        <v>MUERTE POR CUALQUIER CAUSA</v>
      </c>
      <c r="Z48" s="118">
        <f>+IF($W48="","",ROUND(IF(Parámetros!$D$25='TABLAS MORT'!$V$33,Z47,Parámetros!$D$21-'Tablas Servicio'!T47),0))</f>
        <v>100000</v>
      </c>
      <c r="AA48" s="118" t="str">
        <f t="shared" si="45"/>
        <v>P</v>
      </c>
      <c r="AB48" s="119">
        <f>+IF(W48="","",ROUND((VLOOKUP(ROUNDDOWN($D48-1/frec,0),qx_tabla,2,FALSE)*(1+i/frec)^-0.5*(1+Parámetros!$D$103)*(1+rec_fracc)/frec),6))</f>
        <v>1.1E-4</v>
      </c>
      <c r="AC48" s="66">
        <f t="shared" si="46"/>
        <v>11</v>
      </c>
      <c r="AD48" s="119">
        <f t="shared" si="35"/>
        <v>2.2800000000000001E-4</v>
      </c>
      <c r="AE48" s="66">
        <f>+IF($W48="","",ROUND(IF($B48&gt;Parámetros!$D$107,'Tablas Servicio'!AC48+('Tablas Servicio'!AG47-'Tablas Servicio'!AC47),AC48/(1-IF(B48&lt;=10,Parámetros!$D$104,Parámetros!$D$105))),2))</f>
        <v>22.76</v>
      </c>
      <c r="AF48" s="66">
        <f>+IF($W48="","",ROUND(IF($B48&gt;Parámetros!$D$107,'Tablas Servicio'!AC48+('Tablas Servicio'!AG47-'Tablas Servicio'!AC47),(AC48+$A47/frec)/(1-IF(B48&lt;=Parámetros!$D$117,Parámetros!$D$100,0))),2))</f>
        <v>26.61</v>
      </c>
      <c r="AG48" s="66">
        <f t="shared" si="111"/>
        <v>22.76</v>
      </c>
      <c r="AH48" s="66">
        <f t="shared" si="47"/>
        <v>0</v>
      </c>
      <c r="AI48" s="66">
        <f t="shared" si="48"/>
        <v>0</v>
      </c>
      <c r="AJ48" s="66">
        <f>+IF($W48="","",ROUND((AG48*Parámetros!$G$85),2))</f>
        <v>0.8</v>
      </c>
      <c r="AK48" s="66">
        <f>+IF($W48="","",ROUND((AG48*(Parámetros!$G$86)),2))</f>
        <v>0.11</v>
      </c>
      <c r="AL48" s="66">
        <f t="shared" si="36"/>
        <v>23.67</v>
      </c>
      <c r="AM48" t="str">
        <f t="shared" si="49"/>
        <v>00059</v>
      </c>
      <c r="AN48" t="str">
        <f t="shared" si="50"/>
        <v>Incapacidad Total y Permanente</v>
      </c>
      <c r="AO48" s="118">
        <f t="shared" si="51"/>
        <v>0</v>
      </c>
      <c r="AP48" s="118" t="str">
        <f t="shared" si="52"/>
        <v>A</v>
      </c>
      <c r="AQ48" s="119" t="str">
        <f>+IF(OR($W48="",AO48=0),"",ROUND((VLOOKUP(ROUNDDOWN($D48-1/frec,0),cob_adi,Z$40,FALSE)*(1+i/frec)^-0.5*(1+Parámetros!$D$103)*(1+rec_fracc)/frec),6))</f>
        <v/>
      </c>
      <c r="AR48" s="66">
        <f t="shared" si="53"/>
        <v>0</v>
      </c>
      <c r="AS48" s="119" t="str">
        <f t="shared" si="54"/>
        <v/>
      </c>
      <c r="AT48" s="66">
        <f>+IF($W48="","",ROUND(IF($B48&gt;Parámetros!$D$107,'Tablas Servicio'!AR48+('Tablas Servicio'!AT47-'Tablas Servicio'!AR47),AR48/(1-IF(B48&lt;=10,Parámetros!$D$100,0))),2))</f>
        <v>0</v>
      </c>
      <c r="AU48" s="66">
        <f t="shared" si="55"/>
        <v>0</v>
      </c>
      <c r="AV48" s="66">
        <f t="shared" si="55"/>
        <v>0</v>
      </c>
      <c r="AW48" s="66">
        <f>+IF($W48="","",ROUND((AT48*Parámetros!$G$85),2))</f>
        <v>0</v>
      </c>
      <c r="AX48" s="66">
        <f>+IF($W48="","",ROUND((AT48*(Parámetros!$G$86)),2))</f>
        <v>0</v>
      </c>
      <c r="AY48" s="66">
        <f t="shared" si="56"/>
        <v>0</v>
      </c>
      <c r="AZ48" t="str">
        <f t="shared" si="57"/>
        <v>00060</v>
      </c>
      <c r="BA48" t="str">
        <f t="shared" si="58"/>
        <v>Muerte Accidental</v>
      </c>
      <c r="BB48" s="118">
        <f t="shared" si="59"/>
        <v>0</v>
      </c>
      <c r="BC48" s="118" t="str">
        <f t="shared" si="60"/>
        <v>A</v>
      </c>
      <c r="BD48" s="119" t="str">
        <f>+IF(OR($W48="",BB48=0),"",ROUND((VLOOKUP(ROUNDDOWN($D48-1/frec,0),cob_adi,AO$40,FALSE)*(1+i/frec)^-0.5*(1+Parámetros!$D$103)*(1+rec_fracc)/frec),6))</f>
        <v/>
      </c>
      <c r="BE48" s="66">
        <f t="shared" si="61"/>
        <v>0</v>
      </c>
      <c r="BF48" s="119" t="str">
        <f t="shared" si="62"/>
        <v/>
      </c>
      <c r="BG48" s="66">
        <f>+IF($W48="","",ROUND(IF($B48&gt;Parámetros!$D$107,'Tablas Servicio'!BE48+('Tablas Servicio'!BG47-'Tablas Servicio'!BE47),BE48/(1-IF(B48&lt;=10,Parámetros!$D$100,0))),2))</f>
        <v>0</v>
      </c>
      <c r="BH48" s="66">
        <f t="shared" si="63"/>
        <v>0</v>
      </c>
      <c r="BI48" s="66">
        <f t="shared" si="64"/>
        <v>0</v>
      </c>
      <c r="BJ48" s="66">
        <f>+IF($W48="","",ROUND((BG48*Parámetros!$G$85),2))</f>
        <v>0</v>
      </c>
      <c r="BK48" s="66">
        <f>+IF($W48="","",ROUND((BG48*(Parámetros!$G$86)),2))</f>
        <v>0</v>
      </c>
      <c r="BL48" s="66">
        <f t="shared" si="65"/>
        <v>0</v>
      </c>
      <c r="BM48" t="str">
        <f t="shared" si="66"/>
        <v>00061</v>
      </c>
      <c r="BN48" t="str">
        <f t="shared" si="67"/>
        <v>Gastos de Entierro</v>
      </c>
      <c r="BO48" s="118">
        <f t="shared" si="68"/>
        <v>0</v>
      </c>
      <c r="BP48" s="118" t="str">
        <f t="shared" si="69"/>
        <v>A</v>
      </c>
      <c r="BQ48" s="119" t="str">
        <f>+IF(OR($W48="",BO48=0),"",ROUND((VLOOKUP(ROUNDDOWN($D48-1/frec,0),cob_adi,BB$40,FALSE)*(1+i/frec)^-0.5*(1+Parámetros!$D$103)*(1+rec_fracc)/frec),6))</f>
        <v/>
      </c>
      <c r="BR48" s="66">
        <f t="shared" si="70"/>
        <v>0</v>
      </c>
      <c r="BS48" s="119" t="str">
        <f t="shared" si="71"/>
        <v/>
      </c>
      <c r="BT48" s="66">
        <f>+IF($W48="","",ROUND(IF($B48&gt;Parámetros!$D$107,'Tablas Servicio'!BR48+('Tablas Servicio'!BT47-'Tablas Servicio'!BR47),BR48/(1-IF(B48&lt;=10,Parámetros!$D$100,0))),2))</f>
        <v>0</v>
      </c>
      <c r="BU48" s="66">
        <f t="shared" si="72"/>
        <v>0</v>
      </c>
      <c r="BV48" s="66">
        <f t="shared" si="72"/>
        <v>0</v>
      </c>
      <c r="BW48" s="66">
        <f>+IF($W48="","",ROUND((BT48*Parámetros!$G$85),2))</f>
        <v>0</v>
      </c>
      <c r="BX48" s="66">
        <f>+IF($W48="","",ROUND((BT48*(Parámetros!$G$86)),2))</f>
        <v>0</v>
      </c>
      <c r="BY48" s="66">
        <f t="shared" si="73"/>
        <v>0</v>
      </c>
      <c r="BZ48" t="str">
        <f t="shared" si="74"/>
        <v>00062</v>
      </c>
      <c r="CA48" t="str">
        <f t="shared" si="75"/>
        <v>Gastos médicos por accidente</v>
      </c>
      <c r="CB48" s="118">
        <f t="shared" si="76"/>
        <v>0</v>
      </c>
      <c r="CC48" s="118" t="str">
        <f t="shared" si="77"/>
        <v>A</v>
      </c>
      <c r="CD48" s="119" t="str">
        <f t="shared" si="78"/>
        <v/>
      </c>
      <c r="CE48" s="66">
        <f>+IF($W48="","",ROUND((VLOOKUP(ROUNDDOWN($D48-1/frec,0),cob_adi,BO$40,FALSE)*(1+i/frec)^-0.5*(1+Parámetros!$D$103)*(1+rec_fracc)/frec*'TABLAS ADI'!$BC$17),2))</f>
        <v>0</v>
      </c>
      <c r="CF48" s="119" t="str">
        <f t="shared" si="79"/>
        <v/>
      </c>
      <c r="CG48" s="66">
        <f>+IF($W48="","",ROUND(IF($B48&gt;Parámetros!$D$107,'Tablas Servicio'!CE48+('Tablas Servicio'!CG47-'Tablas Servicio'!CE47),CE48/(1-IF(B48&lt;=10,Parámetros!$D$100,0))),2))</f>
        <v>0</v>
      </c>
      <c r="CH48" s="66">
        <f t="shared" si="80"/>
        <v>0</v>
      </c>
      <c r="CI48" s="66">
        <f t="shared" si="80"/>
        <v>0</v>
      </c>
      <c r="CJ48" s="66">
        <f>+IF($W48="","",ROUND((CG48*Parámetros!$G$85),2))</f>
        <v>0</v>
      </c>
      <c r="CK48" s="66">
        <f>+IF($W48="","",ROUND((CG48*(Parámetros!$G$86)),2))</f>
        <v>0</v>
      </c>
      <c r="CL48" s="66">
        <f t="shared" si="81"/>
        <v>0</v>
      </c>
      <c r="CM48" t="str">
        <f t="shared" si="82"/>
        <v>00063</v>
      </c>
      <c r="CN48" s="118" t="str">
        <f t="shared" si="83"/>
        <v>Renta Diaria por Hospitalización</v>
      </c>
      <c r="CO48" s="118">
        <f t="shared" si="84"/>
        <v>0</v>
      </c>
      <c r="CP48" s="118" t="str">
        <f t="shared" si="85"/>
        <v>A</v>
      </c>
      <c r="CQ48" s="119" t="str">
        <f t="shared" si="86"/>
        <v/>
      </c>
      <c r="CR48" s="66">
        <f>+IF($W48="","",ROUND((VLOOKUP(Parámetros!$F$51,'COBERTURAS ADICIONALES'!$S$4:$T$32,2,FALSE)*(1+i/frec)^-0.5*(1+Parámetros!$D$103)*(1+rec_fracc)/frec*$CO$42),2))</f>
        <v>0</v>
      </c>
      <c r="CS48" s="119" t="str">
        <f t="shared" si="87"/>
        <v/>
      </c>
      <c r="CT48" s="66">
        <f>+IF($W48="","",ROUND(IF($B48&gt;Parámetros!$D$107,'Tablas Servicio'!CR48+('Tablas Servicio'!CT47-'Tablas Servicio'!CR47),CR48/(1-IF(B48&lt;=10,Parámetros!$D$100,0))),2))</f>
        <v>0</v>
      </c>
      <c r="CU48" s="66">
        <f t="shared" si="88"/>
        <v>0</v>
      </c>
      <c r="CV48" s="66">
        <f t="shared" si="88"/>
        <v>0</v>
      </c>
      <c r="CW48" s="66">
        <f>+IF($W48="","",ROUND((CT48*Parámetros!$G$85),2))</f>
        <v>0</v>
      </c>
      <c r="CX48" s="66">
        <f>+IF($W48="","",ROUND((CT48*(Parámetros!$G$86)),2))</f>
        <v>0</v>
      </c>
      <c r="CY48" s="66">
        <f t="shared" si="89"/>
        <v>0</v>
      </c>
      <c r="CZ48" t="str">
        <f t="shared" si="90"/>
        <v>00064</v>
      </c>
      <c r="DA48" s="118" t="str">
        <f t="shared" si="91"/>
        <v>Enfermedades Graves</v>
      </c>
      <c r="DB48" s="118">
        <f t="shared" si="92"/>
        <v>0</v>
      </c>
      <c r="DC48" s="118" t="str">
        <f t="shared" si="93"/>
        <v>A</v>
      </c>
      <c r="DD48" s="121" t="str">
        <f>+IF(OR($W48="",DB48=0),"",ROUND((VLOOKUP(ROUNDDOWN($D48-1/frec,0),cob_adi,CO$40,FALSE)*(1+i/frec)^-0.5*(1+Parámetros!$D$103)*(1+rec_fracc)/frec),6))</f>
        <v/>
      </c>
      <c r="DE48" s="66">
        <f t="shared" si="94"/>
        <v>0</v>
      </c>
      <c r="DF48" s="119" t="str">
        <f t="shared" si="95"/>
        <v/>
      </c>
      <c r="DG48" s="66">
        <f>+IF($W48="","",ROUND(IF($B48&gt;Parámetros!$D$107,'Tablas Servicio'!DE48+('Tablas Servicio'!DG47-'Tablas Servicio'!DE47),DE48/(1-IF(B48&lt;=10,Parámetros!$D$100,0))),2))</f>
        <v>0</v>
      </c>
      <c r="DH48" s="66">
        <f t="shared" si="96"/>
        <v>0</v>
      </c>
      <c r="DI48" s="66">
        <f t="shared" si="96"/>
        <v>0</v>
      </c>
      <c r="DJ48" s="66">
        <f>+IF($W48="","",ROUND((DG48*Parámetros!$G$85),2))</f>
        <v>0</v>
      </c>
      <c r="DK48" s="66">
        <f>+IF($W48="","",ROUND((DG48*(Parámetros!$G$86)),2))</f>
        <v>0</v>
      </c>
      <c r="DL48" s="66">
        <f t="shared" si="97"/>
        <v>0</v>
      </c>
      <c r="DM48" t="str">
        <f t="shared" si="98"/>
        <v>00065</v>
      </c>
      <c r="DN48" s="118" t="str">
        <f t="shared" si="99"/>
        <v>Exención pago de primas</v>
      </c>
      <c r="DO48" s="118">
        <f t="shared" si="100"/>
        <v>0</v>
      </c>
      <c r="DP48" s="118" t="str">
        <f t="shared" si="101"/>
        <v>A</v>
      </c>
      <c r="DQ48" s="122" t="str">
        <f>+IF(OR($W48="",DO48=0),"",ROUND((VLOOKUP(ROUNDDOWN($D48-1/frec,0),cob_adi,DB$40,FALSE)*(1+i/frec)^-0.5*(1+Parámetros!$D$103)*(1+rec_fracc)/frec),6))</f>
        <v/>
      </c>
      <c r="DR48" s="66">
        <f t="shared" si="102"/>
        <v>0</v>
      </c>
      <c r="DS48" s="68" t="str">
        <f t="shared" si="103"/>
        <v/>
      </c>
      <c r="DT48" s="66">
        <f>+IF($W48="","",ROUND(IF($B48&gt;Parámetros!$D$107,'Tablas Servicio'!DR48+('Tablas Servicio'!DT47-'Tablas Servicio'!DR47),DR48/(1-IF(B48&lt;=10,Parámetros!$D$100,0))),2))</f>
        <v>0</v>
      </c>
      <c r="DU48" s="66">
        <f t="shared" si="104"/>
        <v>0</v>
      </c>
      <c r="DV48" s="66">
        <f t="shared" si="104"/>
        <v>0</v>
      </c>
      <c r="DW48" s="66">
        <f>+IF($W48="","",ROUND((DT48*Parámetros!$G$85),2))</f>
        <v>0</v>
      </c>
      <c r="DX48" s="66">
        <f>+IF($W48="","",ROUND((DT48*(Parámetros!$G$86)),2))</f>
        <v>0</v>
      </c>
      <c r="DY48" s="66">
        <f t="shared" si="105"/>
        <v>0</v>
      </c>
      <c r="DZ48" t="str">
        <f t="shared" si="106"/>
        <v>00066</v>
      </c>
      <c r="EA48" s="118" t="str">
        <f t="shared" si="106"/>
        <v>Enfermedad terminal</v>
      </c>
      <c r="EB48" s="118">
        <f>+IF($W48="","",ROUND(IF(Parámetros!$D$25='TABLAS MORT'!$V$33,EB47,Z48/2),0))</f>
        <v>50000</v>
      </c>
      <c r="EC48" s="118" t="str">
        <f t="shared" si="106"/>
        <v>A</v>
      </c>
      <c r="ED48" s="122">
        <f>+IF(OR($W48="",EB48=0),"",ROUND((VLOOKUP(ROUNDDOWN($D48-1/frec,0),cob_adi,DO$40,FALSE)*(1+i/frec)^-0.5*(1+Parámetros!$D$103)*(1+rec_fracc)/frec),6))</f>
        <v>7.9999999999999996E-6</v>
      </c>
      <c r="EE48" s="66">
        <f t="shared" si="107"/>
        <v>0.4</v>
      </c>
      <c r="EF48" s="68">
        <f t="shared" si="108"/>
        <v>9.0000000000000002E-6</v>
      </c>
      <c r="EG48" s="66">
        <f>+IF($W48="","",ROUND(IF($B48&gt;Parámetros!$D$107,'Tablas Servicio'!EE48+('Tablas Servicio'!EG47-'Tablas Servicio'!EE47),EE48/(1-IF(B48&lt;=10,Parámetros!$D$100,0))),2))</f>
        <v>0.45</v>
      </c>
      <c r="EH48" s="66">
        <f t="shared" si="109"/>
        <v>0</v>
      </c>
      <c r="EI48" s="66">
        <f t="shared" si="109"/>
        <v>0</v>
      </c>
      <c r="EJ48" s="66">
        <f>+IF($W48="","",ROUND((EG48*Parámetros!$G$85),2))</f>
        <v>0.02</v>
      </c>
      <c r="EK48" s="66">
        <f>+IF($W48="","",ROUND((EG48*(Parámetros!$G$86)),2))</f>
        <v>0</v>
      </c>
      <c r="EL48" s="66">
        <f t="shared" si="110"/>
        <v>0.47</v>
      </c>
    </row>
    <row r="49" spans="1:142" x14ac:dyDescent="0.25">
      <c r="A49">
        <f>+IF($C49="","",ROUND(VLOOKUP('Tablas Servicio'!B49,Parámetros!$H$100:$J$159,IF(Parámetros!$E$16="F",2,3),FALSE),2))</f>
        <v>150</v>
      </c>
      <c r="B49">
        <f t="shared" si="27"/>
        <v>1</v>
      </c>
      <c r="C49" s="57">
        <f>+IF(D49="","",'Tablas Servicio'!C48+1)</f>
        <v>8</v>
      </c>
      <c r="D49" s="56">
        <f>+IF(D48&lt;edadmaxtabla,D48+1/Parámetros!$E$25,"")</f>
        <v>40.686666666666689</v>
      </c>
      <c r="E49" s="57">
        <f t="shared" si="37"/>
        <v>40</v>
      </c>
      <c r="F49" s="59">
        <f t="shared" si="38"/>
        <v>100000</v>
      </c>
      <c r="G49" s="66">
        <f t="shared" si="39"/>
        <v>23.21</v>
      </c>
      <c r="H49" s="66">
        <f t="shared" si="28"/>
        <v>24.14</v>
      </c>
      <c r="I49" s="66">
        <f t="shared" si="40"/>
        <v>61.6</v>
      </c>
      <c r="J49" s="66">
        <f t="shared" si="29"/>
        <v>0.82000000000000006</v>
      </c>
      <c r="K49" s="66">
        <f t="shared" si="30"/>
        <v>0.11</v>
      </c>
      <c r="L49" s="66">
        <f t="shared" si="31"/>
        <v>0</v>
      </c>
      <c r="M49" s="66">
        <f t="shared" si="32"/>
        <v>0</v>
      </c>
      <c r="N49" s="66">
        <f>+IF(C49="","",ROUND(Parámetros!$D$23,2))</f>
        <v>94</v>
      </c>
      <c r="O49" s="66">
        <f t="shared" si="33"/>
        <v>11.4</v>
      </c>
      <c r="P49" s="66">
        <f>+IF($C49="","",ROUND(IF(B49&gt;Parámetros!$D$117,0,N49*Parámetros!$D$116-G49*Parámetros!$D$100),2))</f>
        <v>8.26</v>
      </c>
      <c r="Q49" s="75">
        <f t="shared" si="41"/>
        <v>3.5329599310641967E-2</v>
      </c>
      <c r="R49" s="75">
        <f t="shared" si="42"/>
        <v>4.7393364928909948E-3</v>
      </c>
      <c r="S49" s="117">
        <f>+IF($C49="","",ROUND((S48+I49)*(1+Parámetros!$D$91),2))</f>
        <v>499.13</v>
      </c>
      <c r="T49" s="117">
        <f>+IF($C49="","",ROUND(S49*VLOOKUP(B49,Parámetros!$C$30:$D$39,2,TRUE),2))</f>
        <v>0</v>
      </c>
      <c r="U49" s="117">
        <f>+IF($C49="","",ROUND((U48+I49)*(1+Parámetros!$D$92),2))</f>
        <v>500.04</v>
      </c>
      <c r="V49" s="117">
        <f>+IF($C49="","",ROUND(U49*VLOOKUP(B49,Parámetros!$C$30:$D$39,2,TRUE),2))</f>
        <v>0</v>
      </c>
      <c r="W49" s="57">
        <f t="shared" si="34"/>
        <v>8</v>
      </c>
      <c r="X49" t="str">
        <f t="shared" si="43"/>
        <v>00058</v>
      </c>
      <c r="Y49" t="str">
        <f t="shared" si="44"/>
        <v>MUERTE POR CUALQUIER CAUSA</v>
      </c>
      <c r="Z49" s="118">
        <f>+IF($W49="","",ROUND(IF(Parámetros!$D$25='TABLAS MORT'!$V$33,Z48,Parámetros!$D$21-'Tablas Servicio'!T48),0))</f>
        <v>100000</v>
      </c>
      <c r="AA49" s="118" t="str">
        <f t="shared" si="45"/>
        <v>P</v>
      </c>
      <c r="AB49" s="119">
        <f>+IF(W49="","",ROUND((VLOOKUP(ROUNDDOWN($D49-1/frec,0),qx_tabla,2,FALSE)*(1+i/frec)^-0.5*(1+Parámetros!$D$103)*(1+rec_fracc)/frec),6))</f>
        <v>1.1E-4</v>
      </c>
      <c r="AC49" s="66">
        <f t="shared" si="46"/>
        <v>11</v>
      </c>
      <c r="AD49" s="119">
        <f t="shared" si="35"/>
        <v>2.2800000000000001E-4</v>
      </c>
      <c r="AE49" s="66">
        <f>+IF($W49="","",ROUND(IF($B49&gt;Parámetros!$D$107,'Tablas Servicio'!AC49+('Tablas Servicio'!AG48-'Tablas Servicio'!AC48),AC49/(1-IF(B49&lt;=10,Parámetros!$D$104,Parámetros!$D$105))),2))</f>
        <v>22.76</v>
      </c>
      <c r="AF49" s="66">
        <f>+IF($W49="","",ROUND(IF($B49&gt;Parámetros!$D$107,'Tablas Servicio'!AC49+('Tablas Servicio'!AG48-'Tablas Servicio'!AC48),(AC49+$A48/frec)/(1-IF(B49&lt;=Parámetros!$D$117,Parámetros!$D$100,0))),2))</f>
        <v>26.61</v>
      </c>
      <c r="AG49" s="66">
        <f t="shared" si="111"/>
        <v>22.76</v>
      </c>
      <c r="AH49" s="66">
        <f t="shared" si="47"/>
        <v>0</v>
      </c>
      <c r="AI49" s="66">
        <f t="shared" si="48"/>
        <v>0</v>
      </c>
      <c r="AJ49" s="66">
        <f>+IF($W49="","",ROUND((AG49*Parámetros!$G$85),2))</f>
        <v>0.8</v>
      </c>
      <c r="AK49" s="66">
        <f>+IF($W49="","",ROUND((AG49*(Parámetros!$G$86)),2))</f>
        <v>0.11</v>
      </c>
      <c r="AL49" s="66">
        <f t="shared" si="36"/>
        <v>23.67</v>
      </c>
      <c r="AM49" t="str">
        <f t="shared" si="49"/>
        <v>00059</v>
      </c>
      <c r="AN49" t="str">
        <f t="shared" si="50"/>
        <v>Incapacidad Total y Permanente</v>
      </c>
      <c r="AO49" s="118">
        <f t="shared" si="51"/>
        <v>0</v>
      </c>
      <c r="AP49" s="118" t="str">
        <f t="shared" si="52"/>
        <v>A</v>
      </c>
      <c r="AQ49" s="119" t="str">
        <f>+IF(OR($W49="",AO49=0),"",ROUND((VLOOKUP(ROUNDDOWN($D49-1/frec,0),cob_adi,Z$40,FALSE)*(1+i/frec)^-0.5*(1+Parámetros!$D$103)*(1+rec_fracc)/frec),6))</f>
        <v/>
      </c>
      <c r="AR49" s="66">
        <f t="shared" si="53"/>
        <v>0</v>
      </c>
      <c r="AS49" s="119" t="str">
        <f t="shared" si="54"/>
        <v/>
      </c>
      <c r="AT49" s="66">
        <f>+IF($W49="","",ROUND(IF($B49&gt;Parámetros!$D$107,'Tablas Servicio'!AR49+('Tablas Servicio'!AT48-'Tablas Servicio'!AR48),AR49/(1-IF(B49&lt;=10,Parámetros!$D$100,0))),2))</f>
        <v>0</v>
      </c>
      <c r="AU49" s="66">
        <f t="shared" si="55"/>
        <v>0</v>
      </c>
      <c r="AV49" s="66">
        <f t="shared" si="55"/>
        <v>0</v>
      </c>
      <c r="AW49" s="66">
        <f>+IF($W49="","",ROUND((AT49*Parámetros!$G$85),2))</f>
        <v>0</v>
      </c>
      <c r="AX49" s="66">
        <f>+IF($W49="","",ROUND((AT49*(Parámetros!$G$86)),2))</f>
        <v>0</v>
      </c>
      <c r="AY49" s="66">
        <f t="shared" si="56"/>
        <v>0</v>
      </c>
      <c r="AZ49" t="str">
        <f t="shared" si="57"/>
        <v>00060</v>
      </c>
      <c r="BA49" t="str">
        <f t="shared" si="58"/>
        <v>Muerte Accidental</v>
      </c>
      <c r="BB49" s="118">
        <f t="shared" si="59"/>
        <v>0</v>
      </c>
      <c r="BC49" s="118" t="str">
        <f t="shared" si="60"/>
        <v>A</v>
      </c>
      <c r="BD49" s="119" t="str">
        <f>+IF(OR($W49="",BB49=0),"",ROUND((VLOOKUP(ROUNDDOWN($D49-1/frec,0),cob_adi,AO$40,FALSE)*(1+i/frec)^-0.5*(1+Parámetros!$D$103)*(1+rec_fracc)/frec),6))</f>
        <v/>
      </c>
      <c r="BE49" s="66">
        <f t="shared" si="61"/>
        <v>0</v>
      </c>
      <c r="BF49" s="119" t="str">
        <f t="shared" si="62"/>
        <v/>
      </c>
      <c r="BG49" s="66">
        <f>+IF($W49="","",ROUND(IF($B49&gt;Parámetros!$D$107,'Tablas Servicio'!BE49+('Tablas Servicio'!BG48-'Tablas Servicio'!BE48),BE49/(1-IF(B49&lt;=10,Parámetros!$D$100,0))),2))</f>
        <v>0</v>
      </c>
      <c r="BH49" s="66">
        <f t="shared" si="63"/>
        <v>0</v>
      </c>
      <c r="BI49" s="66">
        <f t="shared" si="64"/>
        <v>0</v>
      </c>
      <c r="BJ49" s="66">
        <f>+IF($W49="","",ROUND((BG49*Parámetros!$G$85),2))</f>
        <v>0</v>
      </c>
      <c r="BK49" s="66">
        <f>+IF($W49="","",ROUND((BG49*(Parámetros!$G$86)),2))</f>
        <v>0</v>
      </c>
      <c r="BL49" s="66">
        <f t="shared" si="65"/>
        <v>0</v>
      </c>
      <c r="BM49" t="str">
        <f t="shared" si="66"/>
        <v>00061</v>
      </c>
      <c r="BN49" t="str">
        <f t="shared" si="67"/>
        <v>Gastos de Entierro</v>
      </c>
      <c r="BO49" s="118">
        <f t="shared" si="68"/>
        <v>0</v>
      </c>
      <c r="BP49" s="118" t="str">
        <f t="shared" si="69"/>
        <v>A</v>
      </c>
      <c r="BQ49" s="119" t="str">
        <f>+IF(OR($W49="",BO49=0),"",ROUND((VLOOKUP(ROUNDDOWN($D49-1/frec,0),cob_adi,BB$40,FALSE)*(1+i/frec)^-0.5*(1+Parámetros!$D$103)*(1+rec_fracc)/frec),6))</f>
        <v/>
      </c>
      <c r="BR49" s="66">
        <f t="shared" si="70"/>
        <v>0</v>
      </c>
      <c r="BS49" s="119" t="str">
        <f t="shared" si="71"/>
        <v/>
      </c>
      <c r="BT49" s="66">
        <f>+IF($W49="","",ROUND(IF($B49&gt;Parámetros!$D$107,'Tablas Servicio'!BR49+('Tablas Servicio'!BT48-'Tablas Servicio'!BR48),BR49/(1-IF(B49&lt;=10,Parámetros!$D$100,0))),2))</f>
        <v>0</v>
      </c>
      <c r="BU49" s="66">
        <f t="shared" si="72"/>
        <v>0</v>
      </c>
      <c r="BV49" s="66">
        <f t="shared" si="72"/>
        <v>0</v>
      </c>
      <c r="BW49" s="66">
        <f>+IF($W49="","",ROUND((BT49*Parámetros!$G$85),2))</f>
        <v>0</v>
      </c>
      <c r="BX49" s="66">
        <f>+IF($W49="","",ROUND((BT49*(Parámetros!$G$86)),2))</f>
        <v>0</v>
      </c>
      <c r="BY49" s="66">
        <f t="shared" si="73"/>
        <v>0</v>
      </c>
      <c r="BZ49" t="str">
        <f t="shared" si="74"/>
        <v>00062</v>
      </c>
      <c r="CA49" t="str">
        <f t="shared" si="75"/>
        <v>Gastos médicos por accidente</v>
      </c>
      <c r="CB49" s="118">
        <f t="shared" si="76"/>
        <v>0</v>
      </c>
      <c r="CC49" s="118" t="str">
        <f t="shared" si="77"/>
        <v>A</v>
      </c>
      <c r="CD49" s="119" t="str">
        <f t="shared" si="78"/>
        <v/>
      </c>
      <c r="CE49" s="66">
        <f>+IF($W49="","",ROUND((VLOOKUP(ROUNDDOWN($D49-1/frec,0),cob_adi,BO$40,FALSE)*(1+i/frec)^-0.5*(1+Parámetros!$D$103)*(1+rec_fracc)/frec*'TABLAS ADI'!$BC$17),2))</f>
        <v>0</v>
      </c>
      <c r="CF49" s="119" t="str">
        <f t="shared" si="79"/>
        <v/>
      </c>
      <c r="CG49" s="66">
        <f>+IF($W49="","",ROUND(IF($B49&gt;Parámetros!$D$107,'Tablas Servicio'!CE49+('Tablas Servicio'!CG48-'Tablas Servicio'!CE48),CE49/(1-IF(B49&lt;=10,Parámetros!$D$100,0))),2))</f>
        <v>0</v>
      </c>
      <c r="CH49" s="66">
        <f t="shared" si="80"/>
        <v>0</v>
      </c>
      <c r="CI49" s="66">
        <f t="shared" si="80"/>
        <v>0</v>
      </c>
      <c r="CJ49" s="66">
        <f>+IF($W49="","",ROUND((CG49*Parámetros!$G$85),2))</f>
        <v>0</v>
      </c>
      <c r="CK49" s="66">
        <f>+IF($W49="","",ROUND((CG49*(Parámetros!$G$86)),2))</f>
        <v>0</v>
      </c>
      <c r="CL49" s="66">
        <f t="shared" si="81"/>
        <v>0</v>
      </c>
      <c r="CM49" t="str">
        <f t="shared" si="82"/>
        <v>00063</v>
      </c>
      <c r="CN49" s="118" t="str">
        <f t="shared" si="83"/>
        <v>Renta Diaria por Hospitalización</v>
      </c>
      <c r="CO49" s="118">
        <f t="shared" si="84"/>
        <v>0</v>
      </c>
      <c r="CP49" s="118" t="str">
        <f t="shared" si="85"/>
        <v>A</v>
      </c>
      <c r="CQ49" s="119" t="str">
        <f t="shared" si="86"/>
        <v/>
      </c>
      <c r="CR49" s="66">
        <f>+IF($W49="","",ROUND((VLOOKUP(Parámetros!$F$51,'COBERTURAS ADICIONALES'!$S$4:$T$32,2,FALSE)*(1+i/frec)^-0.5*(1+Parámetros!$D$103)*(1+rec_fracc)/frec*$CO$42),2))</f>
        <v>0</v>
      </c>
      <c r="CS49" s="119" t="str">
        <f t="shared" si="87"/>
        <v/>
      </c>
      <c r="CT49" s="66">
        <f>+IF($W49="","",ROUND(IF($B49&gt;Parámetros!$D$107,'Tablas Servicio'!CR49+('Tablas Servicio'!CT48-'Tablas Servicio'!CR48),CR49/(1-IF(B49&lt;=10,Parámetros!$D$100,0))),2))</f>
        <v>0</v>
      </c>
      <c r="CU49" s="66">
        <f t="shared" si="88"/>
        <v>0</v>
      </c>
      <c r="CV49" s="66">
        <f t="shared" si="88"/>
        <v>0</v>
      </c>
      <c r="CW49" s="66">
        <f>+IF($W49="","",ROUND((CT49*Parámetros!$G$85),2))</f>
        <v>0</v>
      </c>
      <c r="CX49" s="66">
        <f>+IF($W49="","",ROUND((CT49*(Parámetros!$G$86)),2))</f>
        <v>0</v>
      </c>
      <c r="CY49" s="66">
        <f t="shared" si="89"/>
        <v>0</v>
      </c>
      <c r="CZ49" t="str">
        <f t="shared" si="90"/>
        <v>00064</v>
      </c>
      <c r="DA49" s="118" t="str">
        <f t="shared" si="91"/>
        <v>Enfermedades Graves</v>
      </c>
      <c r="DB49" s="118">
        <f t="shared" si="92"/>
        <v>0</v>
      </c>
      <c r="DC49" s="118" t="str">
        <f t="shared" si="93"/>
        <v>A</v>
      </c>
      <c r="DD49" s="121" t="str">
        <f>+IF(OR($W49="",DB49=0),"",ROUND((VLOOKUP(ROUNDDOWN($D49-1/frec,0),cob_adi,CO$40,FALSE)*(1+i/frec)^-0.5*(1+Parámetros!$D$103)*(1+rec_fracc)/frec),6))</f>
        <v/>
      </c>
      <c r="DE49" s="66">
        <f t="shared" si="94"/>
        <v>0</v>
      </c>
      <c r="DF49" s="119" t="str">
        <f t="shared" si="95"/>
        <v/>
      </c>
      <c r="DG49" s="66">
        <f>+IF($W49="","",ROUND(IF($B49&gt;Parámetros!$D$107,'Tablas Servicio'!DE49+('Tablas Servicio'!DG48-'Tablas Servicio'!DE48),DE49/(1-IF(B49&lt;=10,Parámetros!$D$100,0))),2))</f>
        <v>0</v>
      </c>
      <c r="DH49" s="66">
        <f t="shared" si="96"/>
        <v>0</v>
      </c>
      <c r="DI49" s="66">
        <f t="shared" si="96"/>
        <v>0</v>
      </c>
      <c r="DJ49" s="66">
        <f>+IF($W49="","",ROUND((DG49*Parámetros!$G$85),2))</f>
        <v>0</v>
      </c>
      <c r="DK49" s="66">
        <f>+IF($W49="","",ROUND((DG49*(Parámetros!$G$86)),2))</f>
        <v>0</v>
      </c>
      <c r="DL49" s="66">
        <f t="shared" si="97"/>
        <v>0</v>
      </c>
      <c r="DM49" t="str">
        <f t="shared" si="98"/>
        <v>00065</v>
      </c>
      <c r="DN49" s="118" t="str">
        <f t="shared" si="99"/>
        <v>Exención pago de primas</v>
      </c>
      <c r="DO49" s="118">
        <f t="shared" si="100"/>
        <v>0</v>
      </c>
      <c r="DP49" s="118" t="str">
        <f t="shared" si="101"/>
        <v>A</v>
      </c>
      <c r="DQ49" s="122" t="str">
        <f>+IF(OR($W49="",DO49=0),"",ROUND((VLOOKUP(ROUNDDOWN($D49-1/frec,0),cob_adi,DB$40,FALSE)*(1+i/frec)^-0.5*(1+Parámetros!$D$103)*(1+rec_fracc)/frec),6))</f>
        <v/>
      </c>
      <c r="DR49" s="66">
        <f t="shared" si="102"/>
        <v>0</v>
      </c>
      <c r="DS49" s="68" t="str">
        <f t="shared" si="103"/>
        <v/>
      </c>
      <c r="DT49" s="66">
        <f>+IF($W49="","",ROUND(IF($B49&gt;Parámetros!$D$107,'Tablas Servicio'!DR49+('Tablas Servicio'!DT48-'Tablas Servicio'!DR48),DR49/(1-IF(B49&lt;=10,Parámetros!$D$100,0))),2))</f>
        <v>0</v>
      </c>
      <c r="DU49" s="66">
        <f t="shared" si="104"/>
        <v>0</v>
      </c>
      <c r="DV49" s="66">
        <f t="shared" si="104"/>
        <v>0</v>
      </c>
      <c r="DW49" s="66">
        <f>+IF($W49="","",ROUND((DT49*Parámetros!$G$85),2))</f>
        <v>0</v>
      </c>
      <c r="DX49" s="66">
        <f>+IF($W49="","",ROUND((DT49*(Parámetros!$G$86)),2))</f>
        <v>0</v>
      </c>
      <c r="DY49" s="66">
        <f t="shared" si="105"/>
        <v>0</v>
      </c>
      <c r="DZ49" t="str">
        <f t="shared" si="106"/>
        <v>00066</v>
      </c>
      <c r="EA49" s="118" t="str">
        <f t="shared" si="106"/>
        <v>Enfermedad terminal</v>
      </c>
      <c r="EB49" s="118">
        <f>+IF($W49="","",ROUND(IF(Parámetros!$D$25='TABLAS MORT'!$V$33,EB48,Z49/2),0))</f>
        <v>50000</v>
      </c>
      <c r="EC49" s="118" t="str">
        <f t="shared" si="106"/>
        <v>A</v>
      </c>
      <c r="ED49" s="122">
        <f>+IF(OR($W49="",EB49=0),"",ROUND((VLOOKUP(ROUNDDOWN($D49-1/frec,0),cob_adi,DO$40,FALSE)*(1+i/frec)^-0.5*(1+Parámetros!$D$103)*(1+rec_fracc)/frec),6))</f>
        <v>7.9999999999999996E-6</v>
      </c>
      <c r="EE49" s="66">
        <f t="shared" si="107"/>
        <v>0.4</v>
      </c>
      <c r="EF49" s="68">
        <f t="shared" si="108"/>
        <v>9.0000000000000002E-6</v>
      </c>
      <c r="EG49" s="66">
        <f>+IF($W49="","",ROUND(IF($B49&gt;Parámetros!$D$107,'Tablas Servicio'!EE49+('Tablas Servicio'!EG48-'Tablas Servicio'!EE48),EE49/(1-IF(B49&lt;=10,Parámetros!$D$100,0))),2))</f>
        <v>0.45</v>
      </c>
      <c r="EH49" s="66">
        <f t="shared" si="109"/>
        <v>0</v>
      </c>
      <c r="EI49" s="66">
        <f t="shared" si="109"/>
        <v>0</v>
      </c>
      <c r="EJ49" s="66">
        <f>+IF($W49="","",ROUND((EG49*Parámetros!$G$85),2))</f>
        <v>0.02</v>
      </c>
      <c r="EK49" s="66">
        <f>+IF($W49="","",ROUND((EG49*(Parámetros!$G$86)),2))</f>
        <v>0</v>
      </c>
      <c r="EL49" s="66">
        <f t="shared" si="110"/>
        <v>0.47</v>
      </c>
    </row>
    <row r="50" spans="1:142" x14ac:dyDescent="0.25">
      <c r="A50">
        <f>+IF($C50="","",ROUND(VLOOKUP('Tablas Servicio'!B50,Parámetros!$H$100:$J$159,IF(Parámetros!$E$16="F",2,3),FALSE),2))</f>
        <v>150</v>
      </c>
      <c r="B50">
        <f t="shared" si="27"/>
        <v>1</v>
      </c>
      <c r="C50" s="57">
        <f>+IF(D50="","",'Tablas Servicio'!C49+1)</f>
        <v>9</v>
      </c>
      <c r="D50" s="56">
        <f>+IF(D49&lt;edadmaxtabla,D49+1/Parámetros!$E$25,"")</f>
        <v>40.770000000000024</v>
      </c>
      <c r="E50" s="57">
        <f t="shared" si="37"/>
        <v>40</v>
      </c>
      <c r="F50" s="59">
        <f t="shared" si="38"/>
        <v>100000</v>
      </c>
      <c r="G50" s="66">
        <f t="shared" si="39"/>
        <v>23.21</v>
      </c>
      <c r="H50" s="66">
        <f t="shared" si="28"/>
        <v>24.14</v>
      </c>
      <c r="I50" s="66">
        <f t="shared" si="40"/>
        <v>61.6</v>
      </c>
      <c r="J50" s="66">
        <f t="shared" si="29"/>
        <v>0.82000000000000006</v>
      </c>
      <c r="K50" s="66">
        <f t="shared" si="30"/>
        <v>0.11</v>
      </c>
      <c r="L50" s="66">
        <f t="shared" si="31"/>
        <v>0</v>
      </c>
      <c r="M50" s="66">
        <f t="shared" si="32"/>
        <v>0</v>
      </c>
      <c r="N50" s="66">
        <f>+IF(C50="","",ROUND(Parámetros!$D$23,2))</f>
        <v>94</v>
      </c>
      <c r="O50" s="66">
        <f t="shared" si="33"/>
        <v>11.4</v>
      </c>
      <c r="P50" s="66">
        <f>+IF($C50="","",ROUND(IF(B50&gt;Parámetros!$D$117,0,N50*Parámetros!$D$116-G50*Parámetros!$D$100),2))</f>
        <v>8.26</v>
      </c>
      <c r="Q50" s="75">
        <f t="shared" si="41"/>
        <v>3.5329599310641967E-2</v>
      </c>
      <c r="R50" s="75">
        <f t="shared" si="42"/>
        <v>4.7393364928909948E-3</v>
      </c>
      <c r="S50" s="117">
        <f>+IF($C50="","",ROUND((S49+I50)*(1+Parámetros!$D$91),2))</f>
        <v>562.32000000000005</v>
      </c>
      <c r="T50" s="117">
        <f>+IF($C50="","",ROUND(S50*VLOOKUP(B50,Parámetros!$C$30:$D$39,2,TRUE),2))</f>
        <v>0</v>
      </c>
      <c r="U50" s="117">
        <f>+IF($C50="","",ROUND((U49+I50)*(1+Parámetros!$D$92),2))</f>
        <v>563.46</v>
      </c>
      <c r="V50" s="117">
        <f>+IF($C50="","",ROUND(U50*VLOOKUP(B50,Parámetros!$C$30:$D$39,2,TRUE),2))</f>
        <v>0</v>
      </c>
      <c r="W50" s="57">
        <f t="shared" si="34"/>
        <v>9</v>
      </c>
      <c r="X50" t="str">
        <f t="shared" si="43"/>
        <v>00058</v>
      </c>
      <c r="Y50" t="str">
        <f t="shared" si="44"/>
        <v>MUERTE POR CUALQUIER CAUSA</v>
      </c>
      <c r="Z50" s="118">
        <f>+IF($W50="","",ROUND(IF(Parámetros!$D$25='TABLAS MORT'!$V$33,Z49,Parámetros!$D$21-'Tablas Servicio'!T49),0))</f>
        <v>100000</v>
      </c>
      <c r="AA50" s="118" t="str">
        <f t="shared" si="45"/>
        <v>P</v>
      </c>
      <c r="AB50" s="119">
        <f>+IF(W50="","",ROUND((VLOOKUP(ROUNDDOWN($D50-1/frec,0),qx_tabla,2,FALSE)*(1+i/frec)^-0.5*(1+Parámetros!$D$103)*(1+rec_fracc)/frec),6))</f>
        <v>1.1E-4</v>
      </c>
      <c r="AC50" s="66">
        <f t="shared" si="46"/>
        <v>11</v>
      </c>
      <c r="AD50" s="119">
        <f t="shared" si="35"/>
        <v>2.2800000000000001E-4</v>
      </c>
      <c r="AE50" s="66">
        <f>+IF($W50="","",ROUND(IF($B50&gt;Parámetros!$D$107,'Tablas Servicio'!AC50+('Tablas Servicio'!AG49-'Tablas Servicio'!AC49),AC50/(1-IF(B50&lt;=10,Parámetros!$D$104,Parámetros!$D$105))),2))</f>
        <v>22.76</v>
      </c>
      <c r="AF50" s="66">
        <f>+IF($W50="","",ROUND(IF($B50&gt;Parámetros!$D$107,'Tablas Servicio'!AC50+('Tablas Servicio'!AG49-'Tablas Servicio'!AC49),(AC50+$A49/frec)/(1-IF(B50&lt;=Parámetros!$D$117,Parámetros!$D$100,0))),2))</f>
        <v>26.61</v>
      </c>
      <c r="AG50" s="66">
        <f t="shared" si="111"/>
        <v>22.76</v>
      </c>
      <c r="AH50" s="66">
        <f t="shared" si="47"/>
        <v>0</v>
      </c>
      <c r="AI50" s="66">
        <f t="shared" si="48"/>
        <v>0</v>
      </c>
      <c r="AJ50" s="66">
        <f>+IF($W50="","",ROUND((AG50*Parámetros!$G$85),2))</f>
        <v>0.8</v>
      </c>
      <c r="AK50" s="66">
        <f>+IF($W50="","",ROUND((AG50*(Parámetros!$G$86)),2))</f>
        <v>0.11</v>
      </c>
      <c r="AL50" s="66">
        <f t="shared" si="36"/>
        <v>23.67</v>
      </c>
      <c r="AM50" t="str">
        <f t="shared" si="49"/>
        <v>00059</v>
      </c>
      <c r="AN50" t="str">
        <f t="shared" si="50"/>
        <v>Incapacidad Total y Permanente</v>
      </c>
      <c r="AO50" s="118">
        <f t="shared" si="51"/>
        <v>0</v>
      </c>
      <c r="AP50" s="118" t="str">
        <f t="shared" si="52"/>
        <v>A</v>
      </c>
      <c r="AQ50" s="119" t="str">
        <f>+IF(OR($W50="",AO50=0),"",ROUND((VLOOKUP(ROUNDDOWN($D50-1/frec,0),cob_adi,Z$40,FALSE)*(1+i/frec)^-0.5*(1+Parámetros!$D$103)*(1+rec_fracc)/frec),6))</f>
        <v/>
      </c>
      <c r="AR50" s="66">
        <f t="shared" si="53"/>
        <v>0</v>
      </c>
      <c r="AS50" s="119" t="str">
        <f t="shared" si="54"/>
        <v/>
      </c>
      <c r="AT50" s="66">
        <f>+IF($W50="","",ROUND(IF($B50&gt;Parámetros!$D$107,'Tablas Servicio'!AR50+('Tablas Servicio'!AT49-'Tablas Servicio'!AR49),AR50/(1-IF(B50&lt;=10,Parámetros!$D$100,0))),2))</f>
        <v>0</v>
      </c>
      <c r="AU50" s="66">
        <f t="shared" si="55"/>
        <v>0</v>
      </c>
      <c r="AV50" s="66">
        <f t="shared" si="55"/>
        <v>0</v>
      </c>
      <c r="AW50" s="66">
        <f>+IF($W50="","",ROUND((AT50*Parámetros!$G$85),2))</f>
        <v>0</v>
      </c>
      <c r="AX50" s="66">
        <f>+IF($W50="","",ROUND((AT50*(Parámetros!$G$86)),2))</f>
        <v>0</v>
      </c>
      <c r="AY50" s="66">
        <f t="shared" si="56"/>
        <v>0</v>
      </c>
      <c r="AZ50" t="str">
        <f t="shared" si="57"/>
        <v>00060</v>
      </c>
      <c r="BA50" t="str">
        <f t="shared" si="58"/>
        <v>Muerte Accidental</v>
      </c>
      <c r="BB50" s="118">
        <f t="shared" si="59"/>
        <v>0</v>
      </c>
      <c r="BC50" s="118" t="str">
        <f t="shared" si="60"/>
        <v>A</v>
      </c>
      <c r="BD50" s="119" t="str">
        <f>+IF(OR($W50="",BB50=0),"",ROUND((VLOOKUP(ROUNDDOWN($D50-1/frec,0),cob_adi,AO$40,FALSE)*(1+i/frec)^-0.5*(1+Parámetros!$D$103)*(1+rec_fracc)/frec),6))</f>
        <v/>
      </c>
      <c r="BE50" s="66">
        <f t="shared" si="61"/>
        <v>0</v>
      </c>
      <c r="BF50" s="119" t="str">
        <f t="shared" si="62"/>
        <v/>
      </c>
      <c r="BG50" s="66">
        <f>+IF($W50="","",ROUND(IF($B50&gt;Parámetros!$D$107,'Tablas Servicio'!BE50+('Tablas Servicio'!BG49-'Tablas Servicio'!BE49),BE50/(1-IF(B50&lt;=10,Parámetros!$D$100,0))),2))</f>
        <v>0</v>
      </c>
      <c r="BH50" s="66">
        <f t="shared" si="63"/>
        <v>0</v>
      </c>
      <c r="BI50" s="66">
        <f t="shared" si="64"/>
        <v>0</v>
      </c>
      <c r="BJ50" s="66">
        <f>+IF($W50="","",ROUND((BG50*Parámetros!$G$85),2))</f>
        <v>0</v>
      </c>
      <c r="BK50" s="66">
        <f>+IF($W50="","",ROUND((BG50*(Parámetros!$G$86)),2))</f>
        <v>0</v>
      </c>
      <c r="BL50" s="66">
        <f t="shared" si="65"/>
        <v>0</v>
      </c>
      <c r="BM50" t="str">
        <f t="shared" si="66"/>
        <v>00061</v>
      </c>
      <c r="BN50" t="str">
        <f t="shared" si="67"/>
        <v>Gastos de Entierro</v>
      </c>
      <c r="BO50" s="118">
        <f t="shared" si="68"/>
        <v>0</v>
      </c>
      <c r="BP50" s="118" t="str">
        <f t="shared" si="69"/>
        <v>A</v>
      </c>
      <c r="BQ50" s="119" t="str">
        <f>+IF(OR($W50="",BO50=0),"",ROUND((VLOOKUP(ROUNDDOWN($D50-1/frec,0),cob_adi,BB$40,FALSE)*(1+i/frec)^-0.5*(1+Parámetros!$D$103)*(1+rec_fracc)/frec),6))</f>
        <v/>
      </c>
      <c r="BR50" s="66">
        <f t="shared" si="70"/>
        <v>0</v>
      </c>
      <c r="BS50" s="119" t="str">
        <f t="shared" si="71"/>
        <v/>
      </c>
      <c r="BT50" s="66">
        <f>+IF($W50="","",ROUND(IF($B50&gt;Parámetros!$D$107,'Tablas Servicio'!BR50+('Tablas Servicio'!BT49-'Tablas Servicio'!BR49),BR50/(1-IF(B50&lt;=10,Parámetros!$D$100,0))),2))</f>
        <v>0</v>
      </c>
      <c r="BU50" s="66">
        <f t="shared" si="72"/>
        <v>0</v>
      </c>
      <c r="BV50" s="66">
        <f t="shared" si="72"/>
        <v>0</v>
      </c>
      <c r="BW50" s="66">
        <f>+IF($W50="","",ROUND((BT50*Parámetros!$G$85),2))</f>
        <v>0</v>
      </c>
      <c r="BX50" s="66">
        <f>+IF($W50="","",ROUND((BT50*(Parámetros!$G$86)),2))</f>
        <v>0</v>
      </c>
      <c r="BY50" s="66">
        <f t="shared" si="73"/>
        <v>0</v>
      </c>
      <c r="BZ50" t="str">
        <f t="shared" si="74"/>
        <v>00062</v>
      </c>
      <c r="CA50" t="str">
        <f t="shared" si="75"/>
        <v>Gastos médicos por accidente</v>
      </c>
      <c r="CB50" s="118">
        <f t="shared" si="76"/>
        <v>0</v>
      </c>
      <c r="CC50" s="118" t="str">
        <f t="shared" si="77"/>
        <v>A</v>
      </c>
      <c r="CD50" s="119" t="str">
        <f t="shared" si="78"/>
        <v/>
      </c>
      <c r="CE50" s="66">
        <f>+IF($W50="","",ROUND((VLOOKUP(ROUNDDOWN($D50-1/frec,0),cob_adi,BO$40,FALSE)*(1+i/frec)^-0.5*(1+Parámetros!$D$103)*(1+rec_fracc)/frec*'TABLAS ADI'!$BC$17),2))</f>
        <v>0</v>
      </c>
      <c r="CF50" s="119" t="str">
        <f t="shared" si="79"/>
        <v/>
      </c>
      <c r="CG50" s="66">
        <f>+IF($W50="","",ROUND(IF($B50&gt;Parámetros!$D$107,'Tablas Servicio'!CE50+('Tablas Servicio'!CG49-'Tablas Servicio'!CE49),CE50/(1-IF(B50&lt;=10,Parámetros!$D$100,0))),2))</f>
        <v>0</v>
      </c>
      <c r="CH50" s="66">
        <f t="shared" si="80"/>
        <v>0</v>
      </c>
      <c r="CI50" s="66">
        <f t="shared" si="80"/>
        <v>0</v>
      </c>
      <c r="CJ50" s="66">
        <f>+IF($W50="","",ROUND((CG50*Parámetros!$G$85),2))</f>
        <v>0</v>
      </c>
      <c r="CK50" s="66">
        <f>+IF($W50="","",ROUND((CG50*(Parámetros!$G$86)),2))</f>
        <v>0</v>
      </c>
      <c r="CL50" s="66">
        <f t="shared" si="81"/>
        <v>0</v>
      </c>
      <c r="CM50" t="str">
        <f t="shared" si="82"/>
        <v>00063</v>
      </c>
      <c r="CN50" s="118" t="str">
        <f t="shared" si="83"/>
        <v>Renta Diaria por Hospitalización</v>
      </c>
      <c r="CO50" s="118">
        <f t="shared" si="84"/>
        <v>0</v>
      </c>
      <c r="CP50" s="118" t="str">
        <f t="shared" si="85"/>
        <v>A</v>
      </c>
      <c r="CQ50" s="119" t="str">
        <f t="shared" si="86"/>
        <v/>
      </c>
      <c r="CR50" s="66">
        <f>+IF($W50="","",ROUND((VLOOKUP(Parámetros!$F$51,'COBERTURAS ADICIONALES'!$S$4:$T$32,2,FALSE)*(1+i/frec)^-0.5*(1+Parámetros!$D$103)*(1+rec_fracc)/frec*$CO$42),2))</f>
        <v>0</v>
      </c>
      <c r="CS50" s="119" t="str">
        <f t="shared" si="87"/>
        <v/>
      </c>
      <c r="CT50" s="66">
        <f>+IF($W50="","",ROUND(IF($B50&gt;Parámetros!$D$107,'Tablas Servicio'!CR50+('Tablas Servicio'!CT49-'Tablas Servicio'!CR49),CR50/(1-IF(B50&lt;=10,Parámetros!$D$100,0))),2))</f>
        <v>0</v>
      </c>
      <c r="CU50" s="66">
        <f t="shared" si="88"/>
        <v>0</v>
      </c>
      <c r="CV50" s="66">
        <f t="shared" si="88"/>
        <v>0</v>
      </c>
      <c r="CW50" s="66">
        <f>+IF($W50="","",ROUND((CT50*Parámetros!$G$85),2))</f>
        <v>0</v>
      </c>
      <c r="CX50" s="66">
        <f>+IF($W50="","",ROUND((CT50*(Parámetros!$G$86)),2))</f>
        <v>0</v>
      </c>
      <c r="CY50" s="66">
        <f t="shared" si="89"/>
        <v>0</v>
      </c>
      <c r="CZ50" t="str">
        <f t="shared" si="90"/>
        <v>00064</v>
      </c>
      <c r="DA50" s="118" t="str">
        <f t="shared" si="91"/>
        <v>Enfermedades Graves</v>
      </c>
      <c r="DB50" s="118">
        <f t="shared" si="92"/>
        <v>0</v>
      </c>
      <c r="DC50" s="118" t="str">
        <f t="shared" si="93"/>
        <v>A</v>
      </c>
      <c r="DD50" s="121" t="str">
        <f>+IF(OR($W50="",DB50=0),"",ROUND((VLOOKUP(ROUNDDOWN($D50-1/frec,0),cob_adi,CO$40,FALSE)*(1+i/frec)^-0.5*(1+Parámetros!$D$103)*(1+rec_fracc)/frec),6))</f>
        <v/>
      </c>
      <c r="DE50" s="66">
        <f t="shared" si="94"/>
        <v>0</v>
      </c>
      <c r="DF50" s="119" t="str">
        <f t="shared" si="95"/>
        <v/>
      </c>
      <c r="DG50" s="66">
        <f>+IF($W50="","",ROUND(IF($B50&gt;Parámetros!$D$107,'Tablas Servicio'!DE50+('Tablas Servicio'!DG49-'Tablas Servicio'!DE49),DE50/(1-IF(B50&lt;=10,Parámetros!$D$100,0))),2))</f>
        <v>0</v>
      </c>
      <c r="DH50" s="66">
        <f t="shared" si="96"/>
        <v>0</v>
      </c>
      <c r="DI50" s="66">
        <f t="shared" si="96"/>
        <v>0</v>
      </c>
      <c r="DJ50" s="66">
        <f>+IF($W50="","",ROUND((DG50*Parámetros!$G$85),2))</f>
        <v>0</v>
      </c>
      <c r="DK50" s="66">
        <f>+IF($W50="","",ROUND((DG50*(Parámetros!$G$86)),2))</f>
        <v>0</v>
      </c>
      <c r="DL50" s="66">
        <f t="shared" si="97"/>
        <v>0</v>
      </c>
      <c r="DM50" t="str">
        <f t="shared" si="98"/>
        <v>00065</v>
      </c>
      <c r="DN50" s="118" t="str">
        <f t="shared" si="99"/>
        <v>Exención pago de primas</v>
      </c>
      <c r="DO50" s="118">
        <f t="shared" si="100"/>
        <v>0</v>
      </c>
      <c r="DP50" s="118" t="str">
        <f t="shared" si="101"/>
        <v>A</v>
      </c>
      <c r="DQ50" s="122" t="str">
        <f>+IF(OR($W50="",DO50=0),"",ROUND((VLOOKUP(ROUNDDOWN($D50-1/frec,0),cob_adi,DB$40,FALSE)*(1+i/frec)^-0.5*(1+Parámetros!$D$103)*(1+rec_fracc)/frec),6))</f>
        <v/>
      </c>
      <c r="DR50" s="66">
        <f t="shared" si="102"/>
        <v>0</v>
      </c>
      <c r="DS50" s="68" t="str">
        <f t="shared" si="103"/>
        <v/>
      </c>
      <c r="DT50" s="66">
        <f>+IF($W50="","",ROUND(IF($B50&gt;Parámetros!$D$107,'Tablas Servicio'!DR50+('Tablas Servicio'!DT49-'Tablas Servicio'!DR49),DR50/(1-IF(B50&lt;=10,Parámetros!$D$100,0))),2))</f>
        <v>0</v>
      </c>
      <c r="DU50" s="66">
        <f t="shared" si="104"/>
        <v>0</v>
      </c>
      <c r="DV50" s="66">
        <f t="shared" si="104"/>
        <v>0</v>
      </c>
      <c r="DW50" s="66">
        <f>+IF($W50="","",ROUND((DT50*Parámetros!$G$85),2))</f>
        <v>0</v>
      </c>
      <c r="DX50" s="66">
        <f>+IF($W50="","",ROUND((DT50*(Parámetros!$G$86)),2))</f>
        <v>0</v>
      </c>
      <c r="DY50" s="66">
        <f t="shared" si="105"/>
        <v>0</v>
      </c>
      <c r="DZ50" t="str">
        <f t="shared" si="106"/>
        <v>00066</v>
      </c>
      <c r="EA50" s="118" t="str">
        <f t="shared" si="106"/>
        <v>Enfermedad terminal</v>
      </c>
      <c r="EB50" s="118">
        <f>+IF($W50="","",ROUND(IF(Parámetros!$D$25='TABLAS MORT'!$V$33,EB49,Z50/2),0))</f>
        <v>50000</v>
      </c>
      <c r="EC50" s="118" t="str">
        <f t="shared" si="106"/>
        <v>A</v>
      </c>
      <c r="ED50" s="122">
        <f>+IF(OR($W50="",EB50=0),"",ROUND((VLOOKUP(ROUNDDOWN($D50-1/frec,0),cob_adi,DO$40,FALSE)*(1+i/frec)^-0.5*(1+Parámetros!$D$103)*(1+rec_fracc)/frec),6))</f>
        <v>7.9999999999999996E-6</v>
      </c>
      <c r="EE50" s="66">
        <f t="shared" si="107"/>
        <v>0.4</v>
      </c>
      <c r="EF50" s="68">
        <f t="shared" si="108"/>
        <v>9.0000000000000002E-6</v>
      </c>
      <c r="EG50" s="66">
        <f>+IF($W50="","",ROUND(IF($B50&gt;Parámetros!$D$107,'Tablas Servicio'!EE50+('Tablas Servicio'!EG49-'Tablas Servicio'!EE49),EE50/(1-IF(B50&lt;=10,Parámetros!$D$100,0))),2))</f>
        <v>0.45</v>
      </c>
      <c r="EH50" s="66">
        <f t="shared" si="109"/>
        <v>0</v>
      </c>
      <c r="EI50" s="66">
        <f t="shared" si="109"/>
        <v>0</v>
      </c>
      <c r="EJ50" s="66">
        <f>+IF($W50="","",ROUND((EG50*Parámetros!$G$85),2))</f>
        <v>0.02</v>
      </c>
      <c r="EK50" s="66">
        <f>+IF($W50="","",ROUND((EG50*(Parámetros!$G$86)),2))</f>
        <v>0</v>
      </c>
      <c r="EL50" s="66">
        <f t="shared" si="110"/>
        <v>0.47</v>
      </c>
    </row>
    <row r="51" spans="1:142" x14ac:dyDescent="0.25">
      <c r="A51">
        <f>+IF($C51="","",ROUND(VLOOKUP('Tablas Servicio'!B51,Parámetros!$H$100:$J$159,IF(Parámetros!$E$16="F",2,3),FALSE),2))</f>
        <v>150</v>
      </c>
      <c r="B51">
        <f t="shared" si="27"/>
        <v>1</v>
      </c>
      <c r="C51" s="57">
        <f>+IF(D51="","",'Tablas Servicio'!C50+1)</f>
        <v>10</v>
      </c>
      <c r="D51" s="56">
        <f>+IF(D50&lt;edadmaxtabla,D50+1/Parámetros!$E$25,"")</f>
        <v>40.85333333333336</v>
      </c>
      <c r="E51" s="57">
        <f t="shared" si="37"/>
        <v>40</v>
      </c>
      <c r="F51" s="59">
        <f t="shared" si="38"/>
        <v>100000</v>
      </c>
      <c r="G51" s="66">
        <f t="shared" si="39"/>
        <v>23.21</v>
      </c>
      <c r="H51" s="66">
        <f t="shared" si="28"/>
        <v>24.14</v>
      </c>
      <c r="I51" s="66">
        <f t="shared" si="40"/>
        <v>61.6</v>
      </c>
      <c r="J51" s="66">
        <f t="shared" si="29"/>
        <v>0.82000000000000006</v>
      </c>
      <c r="K51" s="66">
        <f t="shared" si="30"/>
        <v>0.11</v>
      </c>
      <c r="L51" s="66">
        <f t="shared" si="31"/>
        <v>0</v>
      </c>
      <c r="M51" s="66">
        <f t="shared" si="32"/>
        <v>0</v>
      </c>
      <c r="N51" s="66">
        <f>+IF(C51="","",ROUND(Parámetros!$D$23,2))</f>
        <v>94</v>
      </c>
      <c r="O51" s="66">
        <f t="shared" si="33"/>
        <v>11.4</v>
      </c>
      <c r="P51" s="66">
        <f>+IF($C51="","",ROUND(IF(B51&gt;Parámetros!$D$117,0,N51*Parámetros!$D$116-G51*Parámetros!$D$100),2))</f>
        <v>8.26</v>
      </c>
      <c r="Q51" s="75">
        <f t="shared" si="41"/>
        <v>3.5329599310641967E-2</v>
      </c>
      <c r="R51" s="75">
        <f t="shared" si="42"/>
        <v>4.7393364928909948E-3</v>
      </c>
      <c r="S51" s="117">
        <f>+IF($C51="","",ROUND((S50+I51)*(1+Parámetros!$D$91),2))</f>
        <v>625.69000000000005</v>
      </c>
      <c r="T51" s="117">
        <f>+IF($C51="","",ROUND(S51*VLOOKUP(B51,Parámetros!$C$30:$D$39,2,TRUE),2))</f>
        <v>0</v>
      </c>
      <c r="U51" s="117">
        <f>+IF($C51="","",ROUND((U50+I51)*(1+Parámetros!$D$92),2))</f>
        <v>627.09</v>
      </c>
      <c r="V51" s="117">
        <f>+IF($C51="","",ROUND(U51*VLOOKUP(B51,Parámetros!$C$30:$D$39,2,TRUE),2))</f>
        <v>0</v>
      </c>
      <c r="W51" s="57">
        <f t="shared" si="34"/>
        <v>10</v>
      </c>
      <c r="X51" t="str">
        <f t="shared" si="43"/>
        <v>00058</v>
      </c>
      <c r="Y51" t="str">
        <f t="shared" si="44"/>
        <v>MUERTE POR CUALQUIER CAUSA</v>
      </c>
      <c r="Z51" s="118">
        <f>+IF($W51="","",ROUND(IF(Parámetros!$D$25='TABLAS MORT'!$V$33,Z50,Parámetros!$D$21-'Tablas Servicio'!T50),0))</f>
        <v>100000</v>
      </c>
      <c r="AA51" s="118" t="str">
        <f t="shared" si="45"/>
        <v>P</v>
      </c>
      <c r="AB51" s="119">
        <f>+IF(W51="","",ROUND((VLOOKUP(ROUNDDOWN($D51-1/frec,0),qx_tabla,2,FALSE)*(1+i/frec)^-0.5*(1+Parámetros!$D$103)*(1+rec_fracc)/frec),6))</f>
        <v>1.1E-4</v>
      </c>
      <c r="AC51" s="66">
        <f t="shared" si="46"/>
        <v>11</v>
      </c>
      <c r="AD51" s="119">
        <f t="shared" si="35"/>
        <v>2.2800000000000001E-4</v>
      </c>
      <c r="AE51" s="66">
        <f>+IF($W51="","",ROUND(IF($B51&gt;Parámetros!$D$107,'Tablas Servicio'!AC51+('Tablas Servicio'!AG50-'Tablas Servicio'!AC50),AC51/(1-IF(B51&lt;=10,Parámetros!$D$104,Parámetros!$D$105))),2))</f>
        <v>22.76</v>
      </c>
      <c r="AF51" s="66">
        <f>+IF($W51="","",ROUND(IF($B51&gt;Parámetros!$D$107,'Tablas Servicio'!AC51+('Tablas Servicio'!AG50-'Tablas Servicio'!AC50),(AC51+$A50/frec)/(1-IF(B51&lt;=Parámetros!$D$117,Parámetros!$D$100,0))),2))</f>
        <v>26.61</v>
      </c>
      <c r="AG51" s="66">
        <f t="shared" si="111"/>
        <v>22.76</v>
      </c>
      <c r="AH51" s="66">
        <f t="shared" si="47"/>
        <v>0</v>
      </c>
      <c r="AI51" s="66">
        <f t="shared" si="48"/>
        <v>0</v>
      </c>
      <c r="AJ51" s="66">
        <f>+IF($W51="","",ROUND((AG51*Parámetros!$G$85),2))</f>
        <v>0.8</v>
      </c>
      <c r="AK51" s="66">
        <f>+IF($W51="","",ROUND((AG51*(Parámetros!$G$86)),2))</f>
        <v>0.11</v>
      </c>
      <c r="AL51" s="66">
        <f t="shared" si="36"/>
        <v>23.67</v>
      </c>
      <c r="AM51" t="str">
        <f t="shared" si="49"/>
        <v>00059</v>
      </c>
      <c r="AN51" t="str">
        <f t="shared" si="50"/>
        <v>Incapacidad Total y Permanente</v>
      </c>
      <c r="AO51" s="118">
        <f t="shared" si="51"/>
        <v>0</v>
      </c>
      <c r="AP51" s="118" t="str">
        <f t="shared" si="52"/>
        <v>A</v>
      </c>
      <c r="AQ51" s="119" t="str">
        <f>+IF(OR($W51="",AO51=0),"",ROUND((VLOOKUP(ROUNDDOWN($D51-1/frec,0),cob_adi,Z$40,FALSE)*(1+i/frec)^-0.5*(1+Parámetros!$D$103)*(1+rec_fracc)/frec),6))</f>
        <v/>
      </c>
      <c r="AR51" s="66">
        <f t="shared" si="53"/>
        <v>0</v>
      </c>
      <c r="AS51" s="119" t="str">
        <f t="shared" si="54"/>
        <v/>
      </c>
      <c r="AT51" s="66">
        <f>+IF($W51="","",ROUND(IF($B51&gt;Parámetros!$D$107,'Tablas Servicio'!AR51+('Tablas Servicio'!AT50-'Tablas Servicio'!AR50),AR51/(1-IF(B51&lt;=10,Parámetros!$D$100,0))),2))</f>
        <v>0</v>
      </c>
      <c r="AU51" s="66">
        <f t="shared" si="55"/>
        <v>0</v>
      </c>
      <c r="AV51" s="66">
        <f t="shared" si="55"/>
        <v>0</v>
      </c>
      <c r="AW51" s="66">
        <f>+IF($W51="","",ROUND((AT51*Parámetros!$G$85),2))</f>
        <v>0</v>
      </c>
      <c r="AX51" s="66">
        <f>+IF($W51="","",ROUND((AT51*(Parámetros!$G$86)),2))</f>
        <v>0</v>
      </c>
      <c r="AY51" s="66">
        <f t="shared" si="56"/>
        <v>0</v>
      </c>
      <c r="AZ51" t="str">
        <f t="shared" si="57"/>
        <v>00060</v>
      </c>
      <c r="BA51" t="str">
        <f t="shared" si="58"/>
        <v>Muerte Accidental</v>
      </c>
      <c r="BB51" s="118">
        <f t="shared" si="59"/>
        <v>0</v>
      </c>
      <c r="BC51" s="118" t="str">
        <f t="shared" si="60"/>
        <v>A</v>
      </c>
      <c r="BD51" s="119" t="str">
        <f>+IF(OR($W51="",BB51=0),"",ROUND((VLOOKUP(ROUNDDOWN($D51-1/frec,0),cob_adi,AO$40,FALSE)*(1+i/frec)^-0.5*(1+Parámetros!$D$103)*(1+rec_fracc)/frec),6))</f>
        <v/>
      </c>
      <c r="BE51" s="66">
        <f t="shared" si="61"/>
        <v>0</v>
      </c>
      <c r="BF51" s="119" t="str">
        <f t="shared" si="62"/>
        <v/>
      </c>
      <c r="BG51" s="66">
        <f>+IF($W51="","",ROUND(IF($B51&gt;Parámetros!$D$107,'Tablas Servicio'!BE51+('Tablas Servicio'!BG50-'Tablas Servicio'!BE50),BE51/(1-IF(B51&lt;=10,Parámetros!$D$100,0))),2))</f>
        <v>0</v>
      </c>
      <c r="BH51" s="66">
        <f t="shared" si="63"/>
        <v>0</v>
      </c>
      <c r="BI51" s="66">
        <f t="shared" si="64"/>
        <v>0</v>
      </c>
      <c r="BJ51" s="66">
        <f>+IF($W51="","",ROUND((BG51*Parámetros!$G$85),2))</f>
        <v>0</v>
      </c>
      <c r="BK51" s="66">
        <f>+IF($W51="","",ROUND((BG51*(Parámetros!$G$86)),2))</f>
        <v>0</v>
      </c>
      <c r="BL51" s="66">
        <f t="shared" si="65"/>
        <v>0</v>
      </c>
      <c r="BM51" t="str">
        <f t="shared" si="66"/>
        <v>00061</v>
      </c>
      <c r="BN51" t="str">
        <f t="shared" si="67"/>
        <v>Gastos de Entierro</v>
      </c>
      <c r="BO51" s="118">
        <f t="shared" si="68"/>
        <v>0</v>
      </c>
      <c r="BP51" s="118" t="str">
        <f t="shared" si="69"/>
        <v>A</v>
      </c>
      <c r="BQ51" s="119" t="str">
        <f>+IF(OR($W51="",BO51=0),"",ROUND((VLOOKUP(ROUNDDOWN($D51-1/frec,0),cob_adi,BB$40,FALSE)*(1+i/frec)^-0.5*(1+Parámetros!$D$103)*(1+rec_fracc)/frec),6))</f>
        <v/>
      </c>
      <c r="BR51" s="66">
        <f t="shared" si="70"/>
        <v>0</v>
      </c>
      <c r="BS51" s="119" t="str">
        <f t="shared" si="71"/>
        <v/>
      </c>
      <c r="BT51" s="66">
        <f>+IF($W51="","",ROUND(IF($B51&gt;Parámetros!$D$107,'Tablas Servicio'!BR51+('Tablas Servicio'!BT50-'Tablas Servicio'!BR50),BR51/(1-IF(B51&lt;=10,Parámetros!$D$100,0))),2))</f>
        <v>0</v>
      </c>
      <c r="BU51" s="66">
        <f t="shared" si="72"/>
        <v>0</v>
      </c>
      <c r="BV51" s="66">
        <f t="shared" si="72"/>
        <v>0</v>
      </c>
      <c r="BW51" s="66">
        <f>+IF($W51="","",ROUND((BT51*Parámetros!$G$85),2))</f>
        <v>0</v>
      </c>
      <c r="BX51" s="66">
        <f>+IF($W51="","",ROUND((BT51*(Parámetros!$G$86)),2))</f>
        <v>0</v>
      </c>
      <c r="BY51" s="66">
        <f t="shared" si="73"/>
        <v>0</v>
      </c>
      <c r="BZ51" t="str">
        <f t="shared" si="74"/>
        <v>00062</v>
      </c>
      <c r="CA51" t="str">
        <f t="shared" si="75"/>
        <v>Gastos médicos por accidente</v>
      </c>
      <c r="CB51" s="118">
        <f t="shared" si="76"/>
        <v>0</v>
      </c>
      <c r="CC51" s="118" t="str">
        <f t="shared" si="77"/>
        <v>A</v>
      </c>
      <c r="CD51" s="119" t="str">
        <f t="shared" si="78"/>
        <v/>
      </c>
      <c r="CE51" s="66">
        <f>+IF($W51="","",ROUND((VLOOKUP(ROUNDDOWN($D51-1/frec,0),cob_adi,BO$40,FALSE)*(1+i/frec)^-0.5*(1+Parámetros!$D$103)*(1+rec_fracc)/frec*'TABLAS ADI'!$BC$17),2))</f>
        <v>0</v>
      </c>
      <c r="CF51" s="119" t="str">
        <f t="shared" si="79"/>
        <v/>
      </c>
      <c r="CG51" s="66">
        <f>+IF($W51="","",ROUND(IF($B51&gt;Parámetros!$D$107,'Tablas Servicio'!CE51+('Tablas Servicio'!CG50-'Tablas Servicio'!CE50),CE51/(1-IF(B51&lt;=10,Parámetros!$D$100,0))),2))</f>
        <v>0</v>
      </c>
      <c r="CH51" s="66">
        <f t="shared" si="80"/>
        <v>0</v>
      </c>
      <c r="CI51" s="66">
        <f t="shared" si="80"/>
        <v>0</v>
      </c>
      <c r="CJ51" s="66">
        <f>+IF($W51="","",ROUND((CG51*Parámetros!$G$85),2))</f>
        <v>0</v>
      </c>
      <c r="CK51" s="66">
        <f>+IF($W51="","",ROUND((CG51*(Parámetros!$G$86)),2))</f>
        <v>0</v>
      </c>
      <c r="CL51" s="66">
        <f t="shared" si="81"/>
        <v>0</v>
      </c>
      <c r="CM51" t="str">
        <f t="shared" si="82"/>
        <v>00063</v>
      </c>
      <c r="CN51" s="118" t="str">
        <f t="shared" si="83"/>
        <v>Renta Diaria por Hospitalización</v>
      </c>
      <c r="CO51" s="118">
        <f t="shared" si="84"/>
        <v>0</v>
      </c>
      <c r="CP51" s="118" t="str">
        <f t="shared" si="85"/>
        <v>A</v>
      </c>
      <c r="CQ51" s="119" t="str">
        <f t="shared" si="86"/>
        <v/>
      </c>
      <c r="CR51" s="66">
        <f>+IF($W51="","",ROUND((VLOOKUP(Parámetros!$F$51,'COBERTURAS ADICIONALES'!$S$4:$T$32,2,FALSE)*(1+i/frec)^-0.5*(1+Parámetros!$D$103)*(1+rec_fracc)/frec*$CO$42),2))</f>
        <v>0</v>
      </c>
      <c r="CS51" s="119" t="str">
        <f t="shared" si="87"/>
        <v/>
      </c>
      <c r="CT51" s="66">
        <f>+IF($W51="","",ROUND(IF($B51&gt;Parámetros!$D$107,'Tablas Servicio'!CR51+('Tablas Servicio'!CT50-'Tablas Servicio'!CR50),CR51/(1-IF(B51&lt;=10,Parámetros!$D$100,0))),2))</f>
        <v>0</v>
      </c>
      <c r="CU51" s="66">
        <f t="shared" si="88"/>
        <v>0</v>
      </c>
      <c r="CV51" s="66">
        <f t="shared" si="88"/>
        <v>0</v>
      </c>
      <c r="CW51" s="66">
        <f>+IF($W51="","",ROUND((CT51*Parámetros!$G$85),2))</f>
        <v>0</v>
      </c>
      <c r="CX51" s="66">
        <f>+IF($W51="","",ROUND((CT51*(Parámetros!$G$86)),2))</f>
        <v>0</v>
      </c>
      <c r="CY51" s="66">
        <f t="shared" si="89"/>
        <v>0</v>
      </c>
      <c r="CZ51" t="str">
        <f t="shared" si="90"/>
        <v>00064</v>
      </c>
      <c r="DA51" s="118" t="str">
        <f t="shared" si="91"/>
        <v>Enfermedades Graves</v>
      </c>
      <c r="DB51" s="118">
        <f t="shared" si="92"/>
        <v>0</v>
      </c>
      <c r="DC51" s="118" t="str">
        <f t="shared" si="93"/>
        <v>A</v>
      </c>
      <c r="DD51" s="121" t="str">
        <f>+IF(OR($W51="",DB51=0),"",ROUND((VLOOKUP(ROUNDDOWN($D51-1/frec,0),cob_adi,CO$40,FALSE)*(1+i/frec)^-0.5*(1+Parámetros!$D$103)*(1+rec_fracc)/frec),6))</f>
        <v/>
      </c>
      <c r="DE51" s="66">
        <f t="shared" si="94"/>
        <v>0</v>
      </c>
      <c r="DF51" s="119" t="str">
        <f t="shared" si="95"/>
        <v/>
      </c>
      <c r="DG51" s="66">
        <f>+IF($W51="","",ROUND(IF($B51&gt;Parámetros!$D$107,'Tablas Servicio'!DE51+('Tablas Servicio'!DG50-'Tablas Servicio'!DE50),DE51/(1-IF(B51&lt;=10,Parámetros!$D$100,0))),2))</f>
        <v>0</v>
      </c>
      <c r="DH51" s="66">
        <f t="shared" si="96"/>
        <v>0</v>
      </c>
      <c r="DI51" s="66">
        <f t="shared" si="96"/>
        <v>0</v>
      </c>
      <c r="DJ51" s="66">
        <f>+IF($W51="","",ROUND((DG51*Parámetros!$G$85),2))</f>
        <v>0</v>
      </c>
      <c r="DK51" s="66">
        <f>+IF($W51="","",ROUND((DG51*(Parámetros!$G$86)),2))</f>
        <v>0</v>
      </c>
      <c r="DL51" s="66">
        <f t="shared" si="97"/>
        <v>0</v>
      </c>
      <c r="DM51" t="str">
        <f t="shared" si="98"/>
        <v>00065</v>
      </c>
      <c r="DN51" s="118" t="str">
        <f t="shared" si="99"/>
        <v>Exención pago de primas</v>
      </c>
      <c r="DO51" s="118">
        <f t="shared" si="100"/>
        <v>0</v>
      </c>
      <c r="DP51" s="118" t="str">
        <f t="shared" si="101"/>
        <v>A</v>
      </c>
      <c r="DQ51" s="122" t="str">
        <f>+IF(OR($W51="",DO51=0),"",ROUND((VLOOKUP(ROUNDDOWN($D51-1/frec,0),cob_adi,DB$40,FALSE)*(1+i/frec)^-0.5*(1+Parámetros!$D$103)*(1+rec_fracc)/frec),6))</f>
        <v/>
      </c>
      <c r="DR51" s="66">
        <f t="shared" si="102"/>
        <v>0</v>
      </c>
      <c r="DS51" s="68" t="str">
        <f t="shared" si="103"/>
        <v/>
      </c>
      <c r="DT51" s="66">
        <f>+IF($W51="","",ROUND(IF($B51&gt;Parámetros!$D$107,'Tablas Servicio'!DR51+('Tablas Servicio'!DT50-'Tablas Servicio'!DR50),DR51/(1-IF(B51&lt;=10,Parámetros!$D$100,0))),2))</f>
        <v>0</v>
      </c>
      <c r="DU51" s="66">
        <f t="shared" si="104"/>
        <v>0</v>
      </c>
      <c r="DV51" s="66">
        <f t="shared" si="104"/>
        <v>0</v>
      </c>
      <c r="DW51" s="66">
        <f>+IF($W51="","",ROUND((DT51*Parámetros!$G$85),2))</f>
        <v>0</v>
      </c>
      <c r="DX51" s="66">
        <f>+IF($W51="","",ROUND((DT51*(Parámetros!$G$86)),2))</f>
        <v>0</v>
      </c>
      <c r="DY51" s="66">
        <f t="shared" si="105"/>
        <v>0</v>
      </c>
      <c r="DZ51" t="str">
        <f t="shared" si="106"/>
        <v>00066</v>
      </c>
      <c r="EA51" s="118" t="str">
        <f t="shared" si="106"/>
        <v>Enfermedad terminal</v>
      </c>
      <c r="EB51" s="118">
        <f>+IF($W51="","",ROUND(IF(Parámetros!$D$25='TABLAS MORT'!$V$33,EB50,Z51/2),0))</f>
        <v>50000</v>
      </c>
      <c r="EC51" s="118" t="str">
        <f t="shared" si="106"/>
        <v>A</v>
      </c>
      <c r="ED51" s="122">
        <f>+IF(OR($W51="",EB51=0),"",ROUND((VLOOKUP(ROUNDDOWN($D51-1/frec,0),cob_adi,DO$40,FALSE)*(1+i/frec)^-0.5*(1+Parámetros!$D$103)*(1+rec_fracc)/frec),6))</f>
        <v>7.9999999999999996E-6</v>
      </c>
      <c r="EE51" s="66">
        <f t="shared" si="107"/>
        <v>0.4</v>
      </c>
      <c r="EF51" s="68">
        <f t="shared" si="108"/>
        <v>9.0000000000000002E-6</v>
      </c>
      <c r="EG51" s="66">
        <f>+IF($W51="","",ROUND(IF($B51&gt;Parámetros!$D$107,'Tablas Servicio'!EE51+('Tablas Servicio'!EG50-'Tablas Servicio'!EE50),EE51/(1-IF(B51&lt;=10,Parámetros!$D$100,0))),2))</f>
        <v>0.45</v>
      </c>
      <c r="EH51" s="66">
        <f t="shared" si="109"/>
        <v>0</v>
      </c>
      <c r="EI51" s="66">
        <f t="shared" si="109"/>
        <v>0</v>
      </c>
      <c r="EJ51" s="66">
        <f>+IF($W51="","",ROUND((EG51*Parámetros!$G$85),2))</f>
        <v>0.02</v>
      </c>
      <c r="EK51" s="66">
        <f>+IF($W51="","",ROUND((EG51*(Parámetros!$G$86)),2))</f>
        <v>0</v>
      </c>
      <c r="EL51" s="66">
        <f t="shared" si="110"/>
        <v>0.47</v>
      </c>
    </row>
    <row r="52" spans="1:142" x14ac:dyDescent="0.25">
      <c r="A52">
        <f>+IF($C52="","",ROUND(VLOOKUP('Tablas Servicio'!B52,Parámetros!$H$100:$J$159,IF(Parámetros!$E$16="F",2,3),FALSE),2))</f>
        <v>150</v>
      </c>
      <c r="B52">
        <f t="shared" si="27"/>
        <v>1</v>
      </c>
      <c r="C52" s="57">
        <f>+IF(D52="","",'Tablas Servicio'!C51+1)</f>
        <v>11</v>
      </c>
      <c r="D52" s="56">
        <f>+IF(D51&lt;edadmaxtabla,D51+1/Parámetros!$E$25,"")</f>
        <v>40.936666666666696</v>
      </c>
      <c r="E52" s="57">
        <f t="shared" si="37"/>
        <v>40</v>
      </c>
      <c r="F52" s="59">
        <f t="shared" si="38"/>
        <v>100000</v>
      </c>
      <c r="G52" s="66">
        <f t="shared" si="39"/>
        <v>23.21</v>
      </c>
      <c r="H52" s="66">
        <f t="shared" si="28"/>
        <v>24.14</v>
      </c>
      <c r="I52" s="66">
        <f t="shared" si="40"/>
        <v>61.6</v>
      </c>
      <c r="J52" s="66">
        <f t="shared" si="29"/>
        <v>0.82000000000000006</v>
      </c>
      <c r="K52" s="66">
        <f t="shared" si="30"/>
        <v>0.11</v>
      </c>
      <c r="L52" s="66">
        <f t="shared" si="31"/>
        <v>0</v>
      </c>
      <c r="M52" s="66">
        <f t="shared" si="32"/>
        <v>0</v>
      </c>
      <c r="N52" s="66">
        <f>+IF(C52="","",ROUND(Parámetros!$D$23,2))</f>
        <v>94</v>
      </c>
      <c r="O52" s="66">
        <f t="shared" si="33"/>
        <v>11.4</v>
      </c>
      <c r="P52" s="66">
        <f>+IF($C52="","",ROUND(IF(B52&gt;Parámetros!$D$117,0,N52*Parámetros!$D$116-G52*Parámetros!$D$100),2))</f>
        <v>8.26</v>
      </c>
      <c r="Q52" s="75">
        <f t="shared" si="41"/>
        <v>3.5329599310641967E-2</v>
      </c>
      <c r="R52" s="75">
        <f t="shared" si="42"/>
        <v>4.7393364928909948E-3</v>
      </c>
      <c r="S52" s="117">
        <f>+IF($C52="","",ROUND((S51+I52)*(1+Parámetros!$D$91),2))</f>
        <v>689.24</v>
      </c>
      <c r="T52" s="117">
        <f>+IF($C52="","",ROUND(S52*VLOOKUP(B52,Parámetros!$C$30:$D$39,2,TRUE),2))</f>
        <v>0</v>
      </c>
      <c r="U52" s="117">
        <f>+IF($C52="","",ROUND((U51+I52)*(1+Parámetros!$D$92),2))</f>
        <v>690.92</v>
      </c>
      <c r="V52" s="117">
        <f>+IF($C52="","",ROUND(U52*VLOOKUP(B52,Parámetros!$C$30:$D$39,2,TRUE),2))</f>
        <v>0</v>
      </c>
      <c r="W52" s="57">
        <f t="shared" si="34"/>
        <v>11</v>
      </c>
      <c r="X52" t="str">
        <f t="shared" si="43"/>
        <v>00058</v>
      </c>
      <c r="Y52" t="str">
        <f t="shared" si="44"/>
        <v>MUERTE POR CUALQUIER CAUSA</v>
      </c>
      <c r="Z52" s="118">
        <f>+IF($W52="","",ROUND(IF(Parámetros!$D$25='TABLAS MORT'!$V$33,Z51,Parámetros!$D$21-'Tablas Servicio'!T51),0))</f>
        <v>100000</v>
      </c>
      <c r="AA52" s="118" t="str">
        <f t="shared" si="45"/>
        <v>P</v>
      </c>
      <c r="AB52" s="119">
        <f>+IF(W52="","",ROUND((VLOOKUP(ROUNDDOWN($D52-1/frec,0),qx_tabla,2,FALSE)*(1+i/frec)^-0.5*(1+Parámetros!$D$103)*(1+rec_fracc)/frec),6))</f>
        <v>1.1E-4</v>
      </c>
      <c r="AC52" s="66">
        <f t="shared" si="46"/>
        <v>11</v>
      </c>
      <c r="AD52" s="119">
        <f t="shared" si="35"/>
        <v>2.2800000000000001E-4</v>
      </c>
      <c r="AE52" s="66">
        <f>+IF($W52="","",ROUND(IF($B52&gt;Parámetros!$D$107,'Tablas Servicio'!AC52+('Tablas Servicio'!AG51-'Tablas Servicio'!AC51),AC52/(1-IF(B52&lt;=10,Parámetros!$D$104,Parámetros!$D$105))),2))</f>
        <v>22.76</v>
      </c>
      <c r="AF52" s="66">
        <f>+IF($W52="","",ROUND(IF($B52&gt;Parámetros!$D$107,'Tablas Servicio'!AC52+('Tablas Servicio'!AG51-'Tablas Servicio'!AC51),(AC52+$A51/frec)/(1-IF(B52&lt;=Parámetros!$D$117,Parámetros!$D$100,0))),2))</f>
        <v>26.61</v>
      </c>
      <c r="AG52" s="66">
        <f t="shared" si="111"/>
        <v>22.76</v>
      </c>
      <c r="AH52" s="66">
        <f t="shared" si="47"/>
        <v>0</v>
      </c>
      <c r="AI52" s="66">
        <f t="shared" si="48"/>
        <v>0</v>
      </c>
      <c r="AJ52" s="66">
        <f>+IF($W52="","",ROUND((AG52*Parámetros!$G$85),2))</f>
        <v>0.8</v>
      </c>
      <c r="AK52" s="66">
        <f>+IF($W52="","",ROUND((AG52*(Parámetros!$G$86)),2))</f>
        <v>0.11</v>
      </c>
      <c r="AL52" s="66">
        <f t="shared" si="36"/>
        <v>23.67</v>
      </c>
      <c r="AM52" t="str">
        <f t="shared" si="49"/>
        <v>00059</v>
      </c>
      <c r="AN52" t="str">
        <f t="shared" si="50"/>
        <v>Incapacidad Total y Permanente</v>
      </c>
      <c r="AO52" s="118">
        <f t="shared" si="51"/>
        <v>0</v>
      </c>
      <c r="AP52" s="118" t="str">
        <f t="shared" si="52"/>
        <v>A</v>
      </c>
      <c r="AQ52" s="119" t="str">
        <f>+IF(OR($W52="",AO52=0),"",ROUND((VLOOKUP(ROUNDDOWN($D52-1/frec,0),cob_adi,Z$40,FALSE)*(1+i/frec)^-0.5*(1+Parámetros!$D$103)*(1+rec_fracc)/frec),6))</f>
        <v/>
      </c>
      <c r="AR52" s="66">
        <f t="shared" si="53"/>
        <v>0</v>
      </c>
      <c r="AS52" s="119" t="str">
        <f t="shared" si="54"/>
        <v/>
      </c>
      <c r="AT52" s="66">
        <f>+IF($W52="","",ROUND(IF($B52&gt;Parámetros!$D$107,'Tablas Servicio'!AR52+('Tablas Servicio'!AT51-'Tablas Servicio'!AR51),AR52/(1-IF(B52&lt;=10,Parámetros!$D$100,0))),2))</f>
        <v>0</v>
      </c>
      <c r="AU52" s="66">
        <f t="shared" si="55"/>
        <v>0</v>
      </c>
      <c r="AV52" s="66">
        <f t="shared" si="55"/>
        <v>0</v>
      </c>
      <c r="AW52" s="66">
        <f>+IF($W52="","",ROUND((AT52*Parámetros!$G$85),2))</f>
        <v>0</v>
      </c>
      <c r="AX52" s="66">
        <f>+IF($W52="","",ROUND((AT52*(Parámetros!$G$86)),2))</f>
        <v>0</v>
      </c>
      <c r="AY52" s="66">
        <f t="shared" si="56"/>
        <v>0</v>
      </c>
      <c r="AZ52" t="str">
        <f t="shared" si="57"/>
        <v>00060</v>
      </c>
      <c r="BA52" t="str">
        <f t="shared" si="58"/>
        <v>Muerte Accidental</v>
      </c>
      <c r="BB52" s="118">
        <f t="shared" si="59"/>
        <v>0</v>
      </c>
      <c r="BC52" s="118" t="str">
        <f t="shared" si="60"/>
        <v>A</v>
      </c>
      <c r="BD52" s="119" t="str">
        <f>+IF(OR($W52="",BB52=0),"",ROUND((VLOOKUP(ROUNDDOWN($D52-1/frec,0),cob_adi,AO$40,FALSE)*(1+i/frec)^-0.5*(1+Parámetros!$D$103)*(1+rec_fracc)/frec),6))</f>
        <v/>
      </c>
      <c r="BE52" s="66">
        <f t="shared" si="61"/>
        <v>0</v>
      </c>
      <c r="BF52" s="119" t="str">
        <f t="shared" si="62"/>
        <v/>
      </c>
      <c r="BG52" s="66">
        <f>+IF($W52="","",ROUND(IF($B52&gt;Parámetros!$D$107,'Tablas Servicio'!BE52+('Tablas Servicio'!BG51-'Tablas Servicio'!BE51),BE52/(1-IF(B52&lt;=10,Parámetros!$D$100,0))),2))</f>
        <v>0</v>
      </c>
      <c r="BH52" s="66">
        <f t="shared" si="63"/>
        <v>0</v>
      </c>
      <c r="BI52" s="66">
        <f t="shared" si="64"/>
        <v>0</v>
      </c>
      <c r="BJ52" s="66">
        <f>+IF($W52="","",ROUND((BG52*Parámetros!$G$85),2))</f>
        <v>0</v>
      </c>
      <c r="BK52" s="66">
        <f>+IF($W52="","",ROUND((BG52*(Parámetros!$G$86)),2))</f>
        <v>0</v>
      </c>
      <c r="BL52" s="66">
        <f t="shared" si="65"/>
        <v>0</v>
      </c>
      <c r="BM52" t="str">
        <f t="shared" si="66"/>
        <v>00061</v>
      </c>
      <c r="BN52" t="str">
        <f t="shared" si="67"/>
        <v>Gastos de Entierro</v>
      </c>
      <c r="BO52" s="118">
        <f t="shared" si="68"/>
        <v>0</v>
      </c>
      <c r="BP52" s="118" t="str">
        <f t="shared" si="69"/>
        <v>A</v>
      </c>
      <c r="BQ52" s="119" t="str">
        <f>+IF(OR($W52="",BO52=0),"",ROUND((VLOOKUP(ROUNDDOWN($D52-1/frec,0),cob_adi,BB$40,FALSE)*(1+i/frec)^-0.5*(1+Parámetros!$D$103)*(1+rec_fracc)/frec),6))</f>
        <v/>
      </c>
      <c r="BR52" s="66">
        <f t="shared" si="70"/>
        <v>0</v>
      </c>
      <c r="BS52" s="119" t="str">
        <f t="shared" si="71"/>
        <v/>
      </c>
      <c r="BT52" s="66">
        <f>+IF($W52="","",ROUND(IF($B52&gt;Parámetros!$D$107,'Tablas Servicio'!BR52+('Tablas Servicio'!BT51-'Tablas Servicio'!BR51),BR52/(1-IF(B52&lt;=10,Parámetros!$D$100,0))),2))</f>
        <v>0</v>
      </c>
      <c r="BU52" s="66">
        <f t="shared" si="72"/>
        <v>0</v>
      </c>
      <c r="BV52" s="66">
        <f t="shared" si="72"/>
        <v>0</v>
      </c>
      <c r="BW52" s="66">
        <f>+IF($W52="","",ROUND((BT52*Parámetros!$G$85),2))</f>
        <v>0</v>
      </c>
      <c r="BX52" s="66">
        <f>+IF($W52="","",ROUND((BT52*(Parámetros!$G$86)),2))</f>
        <v>0</v>
      </c>
      <c r="BY52" s="66">
        <f t="shared" si="73"/>
        <v>0</v>
      </c>
      <c r="BZ52" t="str">
        <f t="shared" si="74"/>
        <v>00062</v>
      </c>
      <c r="CA52" t="str">
        <f t="shared" si="75"/>
        <v>Gastos médicos por accidente</v>
      </c>
      <c r="CB52" s="118">
        <f t="shared" si="76"/>
        <v>0</v>
      </c>
      <c r="CC52" s="118" t="str">
        <f t="shared" si="77"/>
        <v>A</v>
      </c>
      <c r="CD52" s="119" t="str">
        <f t="shared" si="78"/>
        <v/>
      </c>
      <c r="CE52" s="66">
        <f>+IF($W52="","",ROUND((VLOOKUP(ROUNDDOWN($D52-1/frec,0),cob_adi,BO$40,FALSE)*(1+i/frec)^-0.5*(1+Parámetros!$D$103)*(1+rec_fracc)/frec*'TABLAS ADI'!$BC$17),2))</f>
        <v>0</v>
      </c>
      <c r="CF52" s="119" t="str">
        <f t="shared" si="79"/>
        <v/>
      </c>
      <c r="CG52" s="66">
        <f>+IF($W52="","",ROUND(IF($B52&gt;Parámetros!$D$107,'Tablas Servicio'!CE52+('Tablas Servicio'!CG51-'Tablas Servicio'!CE51),CE52/(1-IF(B52&lt;=10,Parámetros!$D$100,0))),2))</f>
        <v>0</v>
      </c>
      <c r="CH52" s="66">
        <f t="shared" si="80"/>
        <v>0</v>
      </c>
      <c r="CI52" s="66">
        <f t="shared" si="80"/>
        <v>0</v>
      </c>
      <c r="CJ52" s="66">
        <f>+IF($W52="","",ROUND((CG52*Parámetros!$G$85),2))</f>
        <v>0</v>
      </c>
      <c r="CK52" s="66">
        <f>+IF($W52="","",ROUND((CG52*(Parámetros!$G$86)),2))</f>
        <v>0</v>
      </c>
      <c r="CL52" s="66">
        <f t="shared" si="81"/>
        <v>0</v>
      </c>
      <c r="CM52" t="str">
        <f t="shared" si="82"/>
        <v>00063</v>
      </c>
      <c r="CN52" s="118" t="str">
        <f t="shared" si="83"/>
        <v>Renta Diaria por Hospitalización</v>
      </c>
      <c r="CO52" s="118">
        <f t="shared" si="84"/>
        <v>0</v>
      </c>
      <c r="CP52" s="118" t="str">
        <f t="shared" si="85"/>
        <v>A</v>
      </c>
      <c r="CQ52" s="119" t="str">
        <f t="shared" si="86"/>
        <v/>
      </c>
      <c r="CR52" s="66">
        <f>+IF($W52="","",ROUND((VLOOKUP(Parámetros!$F$51,'COBERTURAS ADICIONALES'!$S$4:$T$32,2,FALSE)*(1+i/frec)^-0.5*(1+Parámetros!$D$103)*(1+rec_fracc)/frec*$CO$42),2))</f>
        <v>0</v>
      </c>
      <c r="CS52" s="119" t="str">
        <f t="shared" si="87"/>
        <v/>
      </c>
      <c r="CT52" s="66">
        <f>+IF($W52="","",ROUND(IF($B52&gt;Parámetros!$D$107,'Tablas Servicio'!CR52+('Tablas Servicio'!CT51-'Tablas Servicio'!CR51),CR52/(1-IF(B52&lt;=10,Parámetros!$D$100,0))),2))</f>
        <v>0</v>
      </c>
      <c r="CU52" s="66">
        <f t="shared" si="88"/>
        <v>0</v>
      </c>
      <c r="CV52" s="66">
        <f t="shared" si="88"/>
        <v>0</v>
      </c>
      <c r="CW52" s="66">
        <f>+IF($W52="","",ROUND((CT52*Parámetros!$G$85),2))</f>
        <v>0</v>
      </c>
      <c r="CX52" s="66">
        <f>+IF($W52="","",ROUND((CT52*(Parámetros!$G$86)),2))</f>
        <v>0</v>
      </c>
      <c r="CY52" s="66">
        <f t="shared" si="89"/>
        <v>0</v>
      </c>
      <c r="CZ52" t="str">
        <f t="shared" si="90"/>
        <v>00064</v>
      </c>
      <c r="DA52" s="118" t="str">
        <f t="shared" si="91"/>
        <v>Enfermedades Graves</v>
      </c>
      <c r="DB52" s="118">
        <f t="shared" si="92"/>
        <v>0</v>
      </c>
      <c r="DC52" s="118" t="str">
        <f t="shared" si="93"/>
        <v>A</v>
      </c>
      <c r="DD52" s="121" t="str">
        <f>+IF(OR($W52="",DB52=0),"",ROUND((VLOOKUP(ROUNDDOWN($D52-1/frec,0),cob_adi,CO$40,FALSE)*(1+i/frec)^-0.5*(1+Parámetros!$D$103)*(1+rec_fracc)/frec),6))</f>
        <v/>
      </c>
      <c r="DE52" s="66">
        <f t="shared" si="94"/>
        <v>0</v>
      </c>
      <c r="DF52" s="119" t="str">
        <f t="shared" si="95"/>
        <v/>
      </c>
      <c r="DG52" s="66">
        <f>+IF($W52="","",ROUND(IF($B52&gt;Parámetros!$D$107,'Tablas Servicio'!DE52+('Tablas Servicio'!DG51-'Tablas Servicio'!DE51),DE52/(1-IF(B52&lt;=10,Parámetros!$D$100,0))),2))</f>
        <v>0</v>
      </c>
      <c r="DH52" s="66">
        <f t="shared" si="96"/>
        <v>0</v>
      </c>
      <c r="DI52" s="66">
        <f t="shared" si="96"/>
        <v>0</v>
      </c>
      <c r="DJ52" s="66">
        <f>+IF($W52="","",ROUND((DG52*Parámetros!$G$85),2))</f>
        <v>0</v>
      </c>
      <c r="DK52" s="66">
        <f>+IF($W52="","",ROUND((DG52*(Parámetros!$G$86)),2))</f>
        <v>0</v>
      </c>
      <c r="DL52" s="66">
        <f t="shared" si="97"/>
        <v>0</v>
      </c>
      <c r="DM52" t="str">
        <f t="shared" si="98"/>
        <v>00065</v>
      </c>
      <c r="DN52" s="118" t="str">
        <f t="shared" si="99"/>
        <v>Exención pago de primas</v>
      </c>
      <c r="DO52" s="118">
        <f t="shared" si="100"/>
        <v>0</v>
      </c>
      <c r="DP52" s="118" t="str">
        <f t="shared" si="101"/>
        <v>A</v>
      </c>
      <c r="DQ52" s="122" t="str">
        <f>+IF(OR($W52="",DO52=0),"",ROUND((VLOOKUP(ROUNDDOWN($D52-1/frec,0),cob_adi,DB$40,FALSE)*(1+i/frec)^-0.5*(1+Parámetros!$D$103)*(1+rec_fracc)/frec),6))</f>
        <v/>
      </c>
      <c r="DR52" s="66">
        <f t="shared" si="102"/>
        <v>0</v>
      </c>
      <c r="DS52" s="68" t="str">
        <f t="shared" si="103"/>
        <v/>
      </c>
      <c r="DT52" s="66">
        <f>+IF($W52="","",ROUND(IF($B52&gt;Parámetros!$D$107,'Tablas Servicio'!DR52+('Tablas Servicio'!DT51-'Tablas Servicio'!DR51),DR52/(1-IF(B52&lt;=10,Parámetros!$D$100,0))),2))</f>
        <v>0</v>
      </c>
      <c r="DU52" s="66">
        <f t="shared" si="104"/>
        <v>0</v>
      </c>
      <c r="DV52" s="66">
        <f t="shared" si="104"/>
        <v>0</v>
      </c>
      <c r="DW52" s="66">
        <f>+IF($W52="","",ROUND((DT52*Parámetros!$G$85),2))</f>
        <v>0</v>
      </c>
      <c r="DX52" s="66">
        <f>+IF($W52="","",ROUND((DT52*(Parámetros!$G$86)),2))</f>
        <v>0</v>
      </c>
      <c r="DY52" s="66">
        <f t="shared" si="105"/>
        <v>0</v>
      </c>
      <c r="DZ52" t="str">
        <f t="shared" si="106"/>
        <v>00066</v>
      </c>
      <c r="EA52" s="118" t="str">
        <f t="shared" si="106"/>
        <v>Enfermedad terminal</v>
      </c>
      <c r="EB52" s="118">
        <f>+IF($W52="","",ROUND(IF(Parámetros!$D$25='TABLAS MORT'!$V$33,EB51,Z52/2),0))</f>
        <v>50000</v>
      </c>
      <c r="EC52" s="118" t="str">
        <f t="shared" si="106"/>
        <v>A</v>
      </c>
      <c r="ED52" s="122">
        <f>+IF(OR($W52="",EB52=0),"",ROUND((VLOOKUP(ROUNDDOWN($D52-1/frec,0),cob_adi,DO$40,FALSE)*(1+i/frec)^-0.5*(1+Parámetros!$D$103)*(1+rec_fracc)/frec),6))</f>
        <v>7.9999999999999996E-6</v>
      </c>
      <c r="EE52" s="66">
        <f t="shared" si="107"/>
        <v>0.4</v>
      </c>
      <c r="EF52" s="68">
        <f t="shared" si="108"/>
        <v>9.0000000000000002E-6</v>
      </c>
      <c r="EG52" s="66">
        <f>+IF($W52="","",ROUND(IF($B52&gt;Parámetros!$D$107,'Tablas Servicio'!EE52+('Tablas Servicio'!EG51-'Tablas Servicio'!EE51),EE52/(1-IF(B52&lt;=10,Parámetros!$D$100,0))),2))</f>
        <v>0.45</v>
      </c>
      <c r="EH52" s="66">
        <f t="shared" si="109"/>
        <v>0</v>
      </c>
      <c r="EI52" s="66">
        <f t="shared" si="109"/>
        <v>0</v>
      </c>
      <c r="EJ52" s="66">
        <f>+IF($W52="","",ROUND((EG52*Parámetros!$G$85),2))</f>
        <v>0.02</v>
      </c>
      <c r="EK52" s="66">
        <f>+IF($W52="","",ROUND((EG52*(Parámetros!$G$86)),2))</f>
        <v>0</v>
      </c>
      <c r="EL52" s="66">
        <f t="shared" si="110"/>
        <v>0.47</v>
      </c>
    </row>
    <row r="53" spans="1:142" x14ac:dyDescent="0.25">
      <c r="A53">
        <f>+IF($C53="","",ROUND(VLOOKUP('Tablas Servicio'!B53,Parámetros!$H$100:$J$159,IF(Parámetros!$E$16="F",2,3),FALSE),2))</f>
        <v>150</v>
      </c>
      <c r="B53">
        <f t="shared" si="27"/>
        <v>1</v>
      </c>
      <c r="C53" s="57">
        <f>+IF(D53="","",'Tablas Servicio'!C52+1)</f>
        <v>12</v>
      </c>
      <c r="D53" s="56">
        <f>+IF(D52&lt;edadmaxtabla,D52+1/Parámetros!$E$25,"")</f>
        <v>41.020000000000032</v>
      </c>
      <c r="E53" s="57">
        <f t="shared" si="37"/>
        <v>41</v>
      </c>
      <c r="F53" s="59">
        <f t="shared" si="38"/>
        <v>100000</v>
      </c>
      <c r="G53" s="66">
        <f t="shared" si="39"/>
        <v>23.21</v>
      </c>
      <c r="H53" s="66">
        <f t="shared" si="28"/>
        <v>24.14</v>
      </c>
      <c r="I53" s="66">
        <f t="shared" si="40"/>
        <v>61.6</v>
      </c>
      <c r="J53" s="66">
        <f t="shared" si="29"/>
        <v>0.82000000000000006</v>
      </c>
      <c r="K53" s="66">
        <f t="shared" si="30"/>
        <v>0.11</v>
      </c>
      <c r="L53" s="66">
        <f t="shared" si="31"/>
        <v>0</v>
      </c>
      <c r="M53" s="66">
        <f t="shared" si="32"/>
        <v>0</v>
      </c>
      <c r="N53" s="66">
        <f>+IF(C53="","",ROUND(Parámetros!$D$23,2))</f>
        <v>94</v>
      </c>
      <c r="O53" s="66">
        <f t="shared" si="33"/>
        <v>11.4</v>
      </c>
      <c r="P53" s="66">
        <f>+IF($C53="","",ROUND(IF(B53&gt;Parámetros!$D$117,0,N53*Parámetros!$D$116-G53*Parámetros!$D$100),2))</f>
        <v>8.26</v>
      </c>
      <c r="Q53" s="75">
        <f t="shared" si="41"/>
        <v>3.5329599310641967E-2</v>
      </c>
      <c r="R53" s="75">
        <f t="shared" si="42"/>
        <v>4.7393364928909948E-3</v>
      </c>
      <c r="S53" s="117">
        <f>+IF($C53="","",ROUND((S52+I53)*(1+Parámetros!$D$91),2))</f>
        <v>752.97</v>
      </c>
      <c r="T53" s="117">
        <f>+IF($C53="","",ROUND(S53*VLOOKUP(B53,Parámetros!$C$30:$D$39,2,TRUE),2))</f>
        <v>0</v>
      </c>
      <c r="U53" s="117">
        <f>+IF($C53="","",ROUND((U52+I53)*(1+Parámetros!$D$92),2))</f>
        <v>754.96</v>
      </c>
      <c r="V53" s="117">
        <f>+IF($C53="","",ROUND(U53*VLOOKUP(B53,Parámetros!$C$30:$D$39,2,TRUE),2))</f>
        <v>0</v>
      </c>
      <c r="W53" s="57">
        <f t="shared" si="34"/>
        <v>12</v>
      </c>
      <c r="X53" t="str">
        <f t="shared" si="43"/>
        <v>00058</v>
      </c>
      <c r="Y53" t="str">
        <f t="shared" si="44"/>
        <v>MUERTE POR CUALQUIER CAUSA</v>
      </c>
      <c r="Z53" s="118">
        <f>+IF($W53="","",ROUND(IF(Parámetros!$D$25='TABLAS MORT'!$V$33,Z52,Parámetros!$D$21-'Tablas Servicio'!T52),0))</f>
        <v>100000</v>
      </c>
      <c r="AA53" s="118" t="str">
        <f t="shared" si="45"/>
        <v>P</v>
      </c>
      <c r="AB53" s="119">
        <f>+IF(W53="","",ROUND((VLOOKUP(ROUNDDOWN($D53-1/frec,0),qx_tabla,2,FALSE)*(1+i/frec)^-0.5*(1+Parámetros!$D$103)*(1+rec_fracc)/frec),6))</f>
        <v>1.1E-4</v>
      </c>
      <c r="AC53" s="66">
        <f t="shared" si="46"/>
        <v>11</v>
      </c>
      <c r="AD53" s="119">
        <f t="shared" si="35"/>
        <v>2.2800000000000001E-4</v>
      </c>
      <c r="AE53" s="66">
        <f>+IF($W53="","",ROUND(IF($B53&gt;Parámetros!$D$107,'Tablas Servicio'!AC53+('Tablas Servicio'!AG52-'Tablas Servicio'!AC52),AC53/(1-IF(B53&lt;=10,Parámetros!$D$104,Parámetros!$D$105))),2))</f>
        <v>22.76</v>
      </c>
      <c r="AF53" s="66">
        <f>+IF($W53="","",ROUND(IF($B53&gt;Parámetros!$D$107,'Tablas Servicio'!AC53+('Tablas Servicio'!AG52-'Tablas Servicio'!AC52),(AC53+$A52/frec)/(1-IF(B53&lt;=Parámetros!$D$117,Parámetros!$D$100,0))),2))</f>
        <v>26.61</v>
      </c>
      <c r="AG53" s="66">
        <f t="shared" si="111"/>
        <v>22.76</v>
      </c>
      <c r="AH53" s="66">
        <f t="shared" si="47"/>
        <v>0</v>
      </c>
      <c r="AI53" s="66">
        <f t="shared" si="48"/>
        <v>0</v>
      </c>
      <c r="AJ53" s="66">
        <f>+IF($W53="","",ROUND((AG53*Parámetros!$G$85),2))</f>
        <v>0.8</v>
      </c>
      <c r="AK53" s="66">
        <f>+IF($W53="","",ROUND((AG53*(Parámetros!$G$86)),2))</f>
        <v>0.11</v>
      </c>
      <c r="AL53" s="66">
        <f t="shared" si="36"/>
        <v>23.67</v>
      </c>
      <c r="AM53" t="str">
        <f t="shared" si="49"/>
        <v>00059</v>
      </c>
      <c r="AN53" t="str">
        <f t="shared" si="50"/>
        <v>Incapacidad Total y Permanente</v>
      </c>
      <c r="AO53" s="118">
        <f t="shared" si="51"/>
        <v>0</v>
      </c>
      <c r="AP53" s="118" t="str">
        <f t="shared" si="52"/>
        <v>A</v>
      </c>
      <c r="AQ53" s="119" t="str">
        <f>+IF(OR($W53="",AO53=0),"",ROUND((VLOOKUP(ROUNDDOWN($D53-1/frec,0),cob_adi,Z$40,FALSE)*(1+i/frec)^-0.5*(1+Parámetros!$D$103)*(1+rec_fracc)/frec),6))</f>
        <v/>
      </c>
      <c r="AR53" s="66">
        <f t="shared" si="53"/>
        <v>0</v>
      </c>
      <c r="AS53" s="119" t="str">
        <f t="shared" si="54"/>
        <v/>
      </c>
      <c r="AT53" s="66">
        <f>+IF($W53="","",ROUND(IF($B53&gt;Parámetros!$D$107,'Tablas Servicio'!AR53+('Tablas Servicio'!AT52-'Tablas Servicio'!AR52),AR53/(1-IF(B53&lt;=10,Parámetros!$D$100,0))),2))</f>
        <v>0</v>
      </c>
      <c r="AU53" s="66">
        <f t="shared" si="55"/>
        <v>0</v>
      </c>
      <c r="AV53" s="66">
        <f t="shared" si="55"/>
        <v>0</v>
      </c>
      <c r="AW53" s="66">
        <f>+IF($W53="","",ROUND((AT53*Parámetros!$G$85),2))</f>
        <v>0</v>
      </c>
      <c r="AX53" s="66">
        <f>+IF($W53="","",ROUND((AT53*(Parámetros!$G$86)),2))</f>
        <v>0</v>
      </c>
      <c r="AY53" s="66">
        <f t="shared" si="56"/>
        <v>0</v>
      </c>
      <c r="AZ53" t="str">
        <f t="shared" si="57"/>
        <v>00060</v>
      </c>
      <c r="BA53" t="str">
        <f t="shared" si="58"/>
        <v>Muerte Accidental</v>
      </c>
      <c r="BB53" s="118">
        <f t="shared" si="59"/>
        <v>0</v>
      </c>
      <c r="BC53" s="118" t="str">
        <f t="shared" si="60"/>
        <v>A</v>
      </c>
      <c r="BD53" s="119" t="str">
        <f>+IF(OR($W53="",BB53=0),"",ROUND((VLOOKUP(ROUNDDOWN($D53-1/frec,0),cob_adi,AO$40,FALSE)*(1+i/frec)^-0.5*(1+Parámetros!$D$103)*(1+rec_fracc)/frec),6))</f>
        <v/>
      </c>
      <c r="BE53" s="66">
        <f t="shared" si="61"/>
        <v>0</v>
      </c>
      <c r="BF53" s="119" t="str">
        <f t="shared" si="62"/>
        <v/>
      </c>
      <c r="BG53" s="66">
        <f>+IF($W53="","",ROUND(IF($B53&gt;Parámetros!$D$107,'Tablas Servicio'!BE53+('Tablas Servicio'!BG52-'Tablas Servicio'!BE52),BE53/(1-IF(B53&lt;=10,Parámetros!$D$100,0))),2))</f>
        <v>0</v>
      </c>
      <c r="BH53" s="66">
        <f t="shared" si="63"/>
        <v>0</v>
      </c>
      <c r="BI53" s="66">
        <f t="shared" si="64"/>
        <v>0</v>
      </c>
      <c r="BJ53" s="66">
        <f>+IF($W53="","",ROUND((BG53*Parámetros!$G$85),2))</f>
        <v>0</v>
      </c>
      <c r="BK53" s="66">
        <f>+IF($W53="","",ROUND((BG53*(Parámetros!$G$86)),2))</f>
        <v>0</v>
      </c>
      <c r="BL53" s="66">
        <f t="shared" si="65"/>
        <v>0</v>
      </c>
      <c r="BM53" t="str">
        <f t="shared" si="66"/>
        <v>00061</v>
      </c>
      <c r="BN53" t="str">
        <f t="shared" si="67"/>
        <v>Gastos de Entierro</v>
      </c>
      <c r="BO53" s="118">
        <f t="shared" si="68"/>
        <v>0</v>
      </c>
      <c r="BP53" s="118" t="str">
        <f t="shared" si="69"/>
        <v>A</v>
      </c>
      <c r="BQ53" s="119" t="str">
        <f>+IF(OR($W53="",BO53=0),"",ROUND((VLOOKUP(ROUNDDOWN($D53-1/frec,0),cob_adi,BB$40,FALSE)*(1+i/frec)^-0.5*(1+Parámetros!$D$103)*(1+rec_fracc)/frec),6))</f>
        <v/>
      </c>
      <c r="BR53" s="66">
        <f t="shared" si="70"/>
        <v>0</v>
      </c>
      <c r="BS53" s="119" t="str">
        <f t="shared" si="71"/>
        <v/>
      </c>
      <c r="BT53" s="66">
        <f>+IF($W53="","",ROUND(IF($B53&gt;Parámetros!$D$107,'Tablas Servicio'!BR53+('Tablas Servicio'!BT52-'Tablas Servicio'!BR52),BR53/(1-IF(B53&lt;=10,Parámetros!$D$100,0))),2))</f>
        <v>0</v>
      </c>
      <c r="BU53" s="66">
        <f t="shared" si="72"/>
        <v>0</v>
      </c>
      <c r="BV53" s="66">
        <f t="shared" si="72"/>
        <v>0</v>
      </c>
      <c r="BW53" s="66">
        <f>+IF($W53="","",ROUND((BT53*Parámetros!$G$85),2))</f>
        <v>0</v>
      </c>
      <c r="BX53" s="66">
        <f>+IF($W53="","",ROUND((BT53*(Parámetros!$G$86)),2))</f>
        <v>0</v>
      </c>
      <c r="BY53" s="66">
        <f t="shared" si="73"/>
        <v>0</v>
      </c>
      <c r="BZ53" t="str">
        <f t="shared" si="74"/>
        <v>00062</v>
      </c>
      <c r="CA53" t="str">
        <f t="shared" si="75"/>
        <v>Gastos médicos por accidente</v>
      </c>
      <c r="CB53" s="118">
        <f t="shared" si="76"/>
        <v>0</v>
      </c>
      <c r="CC53" s="118" t="str">
        <f t="shared" si="77"/>
        <v>A</v>
      </c>
      <c r="CD53" s="119" t="str">
        <f t="shared" si="78"/>
        <v/>
      </c>
      <c r="CE53" s="66">
        <f>+IF($W53="","",ROUND((VLOOKUP(ROUNDDOWN($D53-1/frec,0),cob_adi,BO$40,FALSE)*(1+i/frec)^-0.5*(1+Parámetros!$D$103)*(1+rec_fracc)/frec*'TABLAS ADI'!$BC$17),2))</f>
        <v>0</v>
      </c>
      <c r="CF53" s="119" t="str">
        <f t="shared" si="79"/>
        <v/>
      </c>
      <c r="CG53" s="66">
        <f>+IF($W53="","",ROUND(IF($B53&gt;Parámetros!$D$107,'Tablas Servicio'!CE53+('Tablas Servicio'!CG52-'Tablas Servicio'!CE52),CE53/(1-IF(B53&lt;=10,Parámetros!$D$100,0))),2))</f>
        <v>0</v>
      </c>
      <c r="CH53" s="66">
        <f t="shared" si="80"/>
        <v>0</v>
      </c>
      <c r="CI53" s="66">
        <f t="shared" si="80"/>
        <v>0</v>
      </c>
      <c r="CJ53" s="66">
        <f>+IF($W53="","",ROUND((CG53*Parámetros!$G$85),2))</f>
        <v>0</v>
      </c>
      <c r="CK53" s="66">
        <f>+IF($W53="","",ROUND((CG53*(Parámetros!$G$86)),2))</f>
        <v>0</v>
      </c>
      <c r="CL53" s="66">
        <f t="shared" si="81"/>
        <v>0</v>
      </c>
      <c r="CM53" t="str">
        <f t="shared" si="82"/>
        <v>00063</v>
      </c>
      <c r="CN53" s="118" t="str">
        <f t="shared" si="83"/>
        <v>Renta Diaria por Hospitalización</v>
      </c>
      <c r="CO53" s="118">
        <f t="shared" si="84"/>
        <v>0</v>
      </c>
      <c r="CP53" s="118" t="str">
        <f t="shared" si="85"/>
        <v>A</v>
      </c>
      <c r="CQ53" s="119" t="str">
        <f t="shared" si="86"/>
        <v/>
      </c>
      <c r="CR53" s="66">
        <f>+IF($W53="","",ROUND((VLOOKUP(Parámetros!$F$51,'COBERTURAS ADICIONALES'!$S$4:$T$32,2,FALSE)*(1+i/frec)^-0.5*(1+Parámetros!$D$103)*(1+rec_fracc)/frec*$CO$42),2))</f>
        <v>0</v>
      </c>
      <c r="CS53" s="119" t="str">
        <f t="shared" si="87"/>
        <v/>
      </c>
      <c r="CT53" s="66">
        <f>+IF($W53="","",ROUND(IF($B53&gt;Parámetros!$D$107,'Tablas Servicio'!CR53+('Tablas Servicio'!CT52-'Tablas Servicio'!CR52),CR53/(1-IF(B53&lt;=10,Parámetros!$D$100,0))),2))</f>
        <v>0</v>
      </c>
      <c r="CU53" s="66">
        <f t="shared" si="88"/>
        <v>0</v>
      </c>
      <c r="CV53" s="66">
        <f t="shared" si="88"/>
        <v>0</v>
      </c>
      <c r="CW53" s="66">
        <f>+IF($W53="","",ROUND((CT53*Parámetros!$G$85),2))</f>
        <v>0</v>
      </c>
      <c r="CX53" s="66">
        <f>+IF($W53="","",ROUND((CT53*(Parámetros!$G$86)),2))</f>
        <v>0</v>
      </c>
      <c r="CY53" s="66">
        <f t="shared" si="89"/>
        <v>0</v>
      </c>
      <c r="CZ53" t="str">
        <f t="shared" si="90"/>
        <v>00064</v>
      </c>
      <c r="DA53" s="118" t="str">
        <f t="shared" si="91"/>
        <v>Enfermedades Graves</v>
      </c>
      <c r="DB53" s="118">
        <f t="shared" si="92"/>
        <v>0</v>
      </c>
      <c r="DC53" s="118" t="str">
        <f t="shared" si="93"/>
        <v>A</v>
      </c>
      <c r="DD53" s="121" t="str">
        <f>+IF(OR($W53="",DB53=0),"",ROUND((VLOOKUP(ROUNDDOWN($D53-1/frec,0),cob_adi,CO$40,FALSE)*(1+i/frec)^-0.5*(1+Parámetros!$D$103)*(1+rec_fracc)/frec),6))</f>
        <v/>
      </c>
      <c r="DE53" s="66">
        <f t="shared" si="94"/>
        <v>0</v>
      </c>
      <c r="DF53" s="119" t="str">
        <f t="shared" si="95"/>
        <v/>
      </c>
      <c r="DG53" s="66">
        <f>+IF($W53="","",ROUND(IF($B53&gt;Parámetros!$D$107,'Tablas Servicio'!DE53+('Tablas Servicio'!DG52-'Tablas Servicio'!DE52),DE53/(1-IF(B53&lt;=10,Parámetros!$D$100,0))),2))</f>
        <v>0</v>
      </c>
      <c r="DH53" s="66">
        <f t="shared" si="96"/>
        <v>0</v>
      </c>
      <c r="DI53" s="66">
        <f t="shared" si="96"/>
        <v>0</v>
      </c>
      <c r="DJ53" s="66">
        <f>+IF($W53="","",ROUND((DG53*Parámetros!$G$85),2))</f>
        <v>0</v>
      </c>
      <c r="DK53" s="66">
        <f>+IF($W53="","",ROUND((DG53*(Parámetros!$G$86)),2))</f>
        <v>0</v>
      </c>
      <c r="DL53" s="66">
        <f t="shared" si="97"/>
        <v>0</v>
      </c>
      <c r="DM53" t="str">
        <f t="shared" si="98"/>
        <v>00065</v>
      </c>
      <c r="DN53" s="118" t="str">
        <f t="shared" si="99"/>
        <v>Exención pago de primas</v>
      </c>
      <c r="DO53" s="118">
        <f t="shared" si="100"/>
        <v>0</v>
      </c>
      <c r="DP53" s="118" t="str">
        <f t="shared" si="101"/>
        <v>A</v>
      </c>
      <c r="DQ53" s="122" t="str">
        <f>+IF(OR($W53="",DO53=0),"",ROUND((VLOOKUP(ROUNDDOWN($D53-1/frec,0),cob_adi,DB$40,FALSE)*(1+i/frec)^-0.5*(1+Parámetros!$D$103)*(1+rec_fracc)/frec),6))</f>
        <v/>
      </c>
      <c r="DR53" s="66">
        <f t="shared" si="102"/>
        <v>0</v>
      </c>
      <c r="DS53" s="68" t="str">
        <f t="shared" si="103"/>
        <v/>
      </c>
      <c r="DT53" s="66">
        <f>+IF($W53="","",ROUND(IF($B53&gt;Parámetros!$D$107,'Tablas Servicio'!DR53+('Tablas Servicio'!DT52-'Tablas Servicio'!DR52),DR53/(1-IF(B53&lt;=10,Parámetros!$D$100,0))),2))</f>
        <v>0</v>
      </c>
      <c r="DU53" s="66">
        <f t="shared" si="104"/>
        <v>0</v>
      </c>
      <c r="DV53" s="66">
        <f t="shared" si="104"/>
        <v>0</v>
      </c>
      <c r="DW53" s="66">
        <f>+IF($W53="","",ROUND((DT53*Parámetros!$G$85),2))</f>
        <v>0</v>
      </c>
      <c r="DX53" s="66">
        <f>+IF($W53="","",ROUND((DT53*(Parámetros!$G$86)),2))</f>
        <v>0</v>
      </c>
      <c r="DY53" s="66">
        <f t="shared" si="105"/>
        <v>0</v>
      </c>
      <c r="DZ53" t="str">
        <f t="shared" si="106"/>
        <v>00066</v>
      </c>
      <c r="EA53" s="118" t="str">
        <f t="shared" si="106"/>
        <v>Enfermedad terminal</v>
      </c>
      <c r="EB53" s="118">
        <f>+IF($W53="","",ROUND(IF(Parámetros!$D$25='TABLAS MORT'!$V$33,EB52,Z53/2),0))</f>
        <v>50000</v>
      </c>
      <c r="EC53" s="118" t="str">
        <f t="shared" si="106"/>
        <v>A</v>
      </c>
      <c r="ED53" s="122">
        <f>+IF(OR($W53="",EB53=0),"",ROUND((VLOOKUP(ROUNDDOWN($D53-1/frec,0),cob_adi,DO$40,FALSE)*(1+i/frec)^-0.5*(1+Parámetros!$D$103)*(1+rec_fracc)/frec),6))</f>
        <v>7.9999999999999996E-6</v>
      </c>
      <c r="EE53" s="66">
        <f t="shared" si="107"/>
        <v>0.4</v>
      </c>
      <c r="EF53" s="68">
        <f t="shared" si="108"/>
        <v>9.0000000000000002E-6</v>
      </c>
      <c r="EG53" s="66">
        <f>+IF($W53="","",ROUND(IF($B53&gt;Parámetros!$D$107,'Tablas Servicio'!EE53+('Tablas Servicio'!EG52-'Tablas Servicio'!EE52),EE53/(1-IF(B53&lt;=10,Parámetros!$D$100,0))),2))</f>
        <v>0.45</v>
      </c>
      <c r="EH53" s="66">
        <f t="shared" si="109"/>
        <v>0</v>
      </c>
      <c r="EI53" s="66">
        <f t="shared" si="109"/>
        <v>0</v>
      </c>
      <c r="EJ53" s="66">
        <f>+IF($W53="","",ROUND((EG53*Parámetros!$G$85),2))</f>
        <v>0.02</v>
      </c>
      <c r="EK53" s="66">
        <f>+IF($W53="","",ROUND((EG53*(Parámetros!$G$86)),2))</f>
        <v>0</v>
      </c>
      <c r="EL53" s="66">
        <f t="shared" si="110"/>
        <v>0.47</v>
      </c>
    </row>
    <row r="54" spans="1:142" x14ac:dyDescent="0.25">
      <c r="A54">
        <f>+IF($C54="","",ROUND(VLOOKUP('Tablas Servicio'!B54,Parámetros!$H$100:$J$159,IF(Parámetros!$E$16="F",2,3),FALSE),2))</f>
        <v>150</v>
      </c>
      <c r="B54">
        <f t="shared" si="27"/>
        <v>2</v>
      </c>
      <c r="C54" s="57">
        <f>+IF(D54="","",'Tablas Servicio'!C53+1)</f>
        <v>13</v>
      </c>
      <c r="D54" s="56">
        <f>+IF(D53&lt;edadmaxtabla,D53+1/Parámetros!$E$25,"")</f>
        <v>41.103333333333367</v>
      </c>
      <c r="E54" s="57">
        <f t="shared" si="37"/>
        <v>41</v>
      </c>
      <c r="F54" s="59">
        <f t="shared" si="38"/>
        <v>100000</v>
      </c>
      <c r="G54" s="66">
        <f t="shared" si="39"/>
        <v>25.07</v>
      </c>
      <c r="H54" s="66">
        <f t="shared" si="28"/>
        <v>26.07</v>
      </c>
      <c r="I54" s="66">
        <f t="shared" ref="I54:I117" si="112">+IF($C54="","",N54-H54-P54)</f>
        <v>59.88000000000001</v>
      </c>
      <c r="J54" s="66">
        <f t="shared" si="29"/>
        <v>0.88</v>
      </c>
      <c r="K54" s="66">
        <f t="shared" si="30"/>
        <v>0.12</v>
      </c>
      <c r="L54" s="66">
        <f t="shared" si="31"/>
        <v>0</v>
      </c>
      <c r="M54" s="66">
        <f t="shared" si="32"/>
        <v>0</v>
      </c>
      <c r="N54" s="66">
        <f>+IF(C54="","",ROUND(Parámetros!$D$23,2))</f>
        <v>94</v>
      </c>
      <c r="O54" s="66">
        <f t="shared" si="33"/>
        <v>12.3</v>
      </c>
      <c r="P54" s="66">
        <f>+IF($C54="","",ROUND(IF(B54&gt;Parámetros!$D$117,0,N54*Parámetros!$D$116-G54*Parámetros!$D$100),2))</f>
        <v>8.0500000000000007</v>
      </c>
      <c r="Q54" s="75">
        <f t="shared" ref="Q54:Q117" si="113">+IF($C54="","",J54/$G54)</f>
        <v>3.5101715197447148E-2</v>
      </c>
      <c r="R54" s="75">
        <f t="shared" ref="R54:R117" si="114">+IF($C54="","",K54/$G54)</f>
        <v>4.7865975269246108E-3</v>
      </c>
      <c r="S54" s="117">
        <f>+IF($C54="","",ROUND((S53+I54)*(1+Parámetros!$D$91),2))</f>
        <v>815.16</v>
      </c>
      <c r="T54" s="117">
        <f>+IF($C54="","",ROUND(S54*VLOOKUP(B54,Parámetros!$C$30:$D$39,2,TRUE),2))</f>
        <v>0</v>
      </c>
      <c r="U54" s="117">
        <f>+IF($C54="","",ROUND((U53+I54)*(1+Parámetros!$D$92),2))</f>
        <v>817.48</v>
      </c>
      <c r="V54" s="117">
        <f>+IF($C54="","",ROUND(U54*VLOOKUP(B54,Parámetros!$C$30:$D$39,2,TRUE),2))</f>
        <v>0</v>
      </c>
      <c r="W54" s="57">
        <f t="shared" ref="W54:W117" si="115">+C54</f>
        <v>13</v>
      </c>
      <c r="X54" t="str">
        <f t="shared" ref="X54:X117" si="116">+IF($W54="","",X53)</f>
        <v>00058</v>
      </c>
      <c r="Y54" t="str">
        <f t="shared" ref="Y54:Y117" si="117">+IF($W54="","",Y53)</f>
        <v>MUERTE POR CUALQUIER CAUSA</v>
      </c>
      <c r="Z54" s="118">
        <f>+IF($W54="","",ROUND(IF(Parámetros!$D$25='TABLAS MORT'!$V$33,Z53,Parámetros!$D$21-'Tablas Servicio'!T53),0))</f>
        <v>100000</v>
      </c>
      <c r="AA54" s="118" t="str">
        <f t="shared" ref="AA54:AA117" si="118">+IF($W54="","",AA53)</f>
        <v>P</v>
      </c>
      <c r="AB54" s="119">
        <f>+IF(W54="","",ROUND((VLOOKUP(ROUNDDOWN($D54-1/frec,0),qx_tabla,2,FALSE)*(1+i/frec)^-0.5*(1+Parámetros!$D$103)*(1+rec_fracc)/frec),6))</f>
        <v>1.1900000000000001E-4</v>
      </c>
      <c r="AC54" s="66">
        <f t="shared" si="46"/>
        <v>11.9</v>
      </c>
      <c r="AD54" s="119">
        <f t="shared" si="35"/>
        <v>2.4600000000000002E-4</v>
      </c>
      <c r="AE54" s="66">
        <f>+IF($W54="","",ROUND(IF($B54&gt;Parámetros!$D$107,'Tablas Servicio'!AC54+('Tablas Servicio'!AG53-'Tablas Servicio'!AC53),AC54/(1-IF(B54&lt;=10,Parámetros!$D$104,Parámetros!$D$105))),2))</f>
        <v>24.62</v>
      </c>
      <c r="AF54" s="66">
        <f>+IF($W54="","",ROUND(IF($B54&gt;Parámetros!$D$107,'Tablas Servicio'!AC54+('Tablas Servicio'!AG53-'Tablas Servicio'!AC53),(AC54+$A53/frec)/(1-IF(B54&lt;=Parámetros!$D$117,Parámetros!$D$100,0))),2))</f>
        <v>27.62</v>
      </c>
      <c r="AG54" s="66">
        <f t="shared" si="111"/>
        <v>24.62</v>
      </c>
      <c r="AH54" s="66">
        <f t="shared" si="47"/>
        <v>0</v>
      </c>
      <c r="AI54" s="66">
        <f t="shared" si="48"/>
        <v>0</v>
      </c>
      <c r="AJ54" s="66">
        <f>+IF($W54="","",ROUND((AG54*Parámetros!$G$85),2))</f>
        <v>0.86</v>
      </c>
      <c r="AK54" s="66">
        <f>+IF($W54="","",ROUND((AG54*(Parámetros!$G$86)),2))</f>
        <v>0.12</v>
      </c>
      <c r="AL54" s="66">
        <f t="shared" si="36"/>
        <v>25.6</v>
      </c>
      <c r="AM54" t="str">
        <f t="shared" ref="AM54:AM117" si="119">+IF($W54="","",AM53)</f>
        <v>00059</v>
      </c>
      <c r="AN54" t="str">
        <f t="shared" ref="AN54:AN117" si="120">+IF($W54="","",AN53)</f>
        <v>Incapacidad Total y Permanente</v>
      </c>
      <c r="AO54" s="118">
        <f t="shared" ref="AO54:AO117" si="121">+IF($W54="","",AO53)</f>
        <v>0</v>
      </c>
      <c r="AP54" s="118" t="str">
        <f t="shared" ref="AP54:AP117" si="122">+IF($W54="","",AP53)</f>
        <v>A</v>
      </c>
      <c r="AQ54" s="119" t="str">
        <f>+IF(OR($W54="",AO54=0),"",ROUND((VLOOKUP(ROUNDDOWN($D54-1/frec,0),cob_adi,Z$40,FALSE)*(1+i/frec)^-0.5*(1+Parámetros!$D$103)*(1+rec_fracc)/frec),6))</f>
        <v/>
      </c>
      <c r="AR54" s="66">
        <f t="shared" si="53"/>
        <v>0</v>
      </c>
      <c r="AS54" s="119" t="str">
        <f t="shared" si="54"/>
        <v/>
      </c>
      <c r="AT54" s="66">
        <f>+IF($W54="","",ROUND(IF($B54&gt;Parámetros!$D$107,'Tablas Servicio'!AR54+('Tablas Servicio'!AT53-'Tablas Servicio'!AR53),AR54/(1-IF(B54&lt;=10,Parámetros!$D$100,0))),2))</f>
        <v>0</v>
      </c>
      <c r="AU54" s="66">
        <f t="shared" si="55"/>
        <v>0</v>
      </c>
      <c r="AV54" s="66">
        <f t="shared" si="55"/>
        <v>0</v>
      </c>
      <c r="AW54" s="66">
        <f>+IF($W54="","",ROUND((AT54*Parámetros!$G$85),2))</f>
        <v>0</v>
      </c>
      <c r="AX54" s="66">
        <f>+IF($W54="","",ROUND((AT54*(Parámetros!$G$86)),2))</f>
        <v>0</v>
      </c>
      <c r="AY54" s="66">
        <f t="shared" si="56"/>
        <v>0</v>
      </c>
      <c r="AZ54" t="str">
        <f t="shared" ref="AZ54:AZ117" si="123">+IF($W54="","",AZ53)</f>
        <v>00060</v>
      </c>
      <c r="BA54" t="str">
        <f t="shared" ref="BA54:BA117" si="124">+IF($W54="","",BA53)</f>
        <v>Muerte Accidental</v>
      </c>
      <c r="BB54" s="118">
        <f t="shared" ref="BB54:BB117" si="125">+IF($W54="","",BB53)</f>
        <v>0</v>
      </c>
      <c r="BC54" s="118" t="str">
        <f t="shared" ref="BC54:BC117" si="126">+IF($W54="","",BC53)</f>
        <v>A</v>
      </c>
      <c r="BD54" s="119" t="str">
        <f>+IF(OR($W54="",BB54=0),"",ROUND((VLOOKUP(ROUNDDOWN($D54-1/frec,0),cob_adi,AO$40,FALSE)*(1+i/frec)^-0.5*(1+Parámetros!$D$103)*(1+rec_fracc)/frec),6))</f>
        <v/>
      </c>
      <c r="BE54" s="66">
        <f t="shared" si="61"/>
        <v>0</v>
      </c>
      <c r="BF54" s="119" t="str">
        <f t="shared" si="62"/>
        <v/>
      </c>
      <c r="BG54" s="66">
        <f>+IF($W54="","",ROUND(IF($B54&gt;Parámetros!$D$107,'Tablas Servicio'!BE54+('Tablas Servicio'!BG53-'Tablas Servicio'!BE53),BE54/(1-IF(B54&lt;=10,Parámetros!$D$100,0))),2))</f>
        <v>0</v>
      </c>
      <c r="BH54" s="66">
        <f t="shared" si="63"/>
        <v>0</v>
      </c>
      <c r="BI54" s="66">
        <f t="shared" si="64"/>
        <v>0</v>
      </c>
      <c r="BJ54" s="66">
        <f>+IF($W54="","",ROUND((BG54*Parámetros!$G$85),2))</f>
        <v>0</v>
      </c>
      <c r="BK54" s="66">
        <f>+IF($W54="","",ROUND((BG54*(Parámetros!$G$86)),2))</f>
        <v>0</v>
      </c>
      <c r="BL54" s="66">
        <f t="shared" si="65"/>
        <v>0</v>
      </c>
      <c r="BM54" t="str">
        <f t="shared" ref="BM54:BM117" si="127">+IF($W54="","",BM53)</f>
        <v>00061</v>
      </c>
      <c r="BN54" t="str">
        <f t="shared" ref="BN54:BN117" si="128">+IF($W54="","",BN53)</f>
        <v>Gastos de Entierro</v>
      </c>
      <c r="BO54" s="118">
        <f t="shared" ref="BO54:BO117" si="129">+IF($W54="","",BO53)</f>
        <v>0</v>
      </c>
      <c r="BP54" s="118" t="str">
        <f t="shared" ref="BP54:BP117" si="130">+IF($W54="","",BP53)</f>
        <v>A</v>
      </c>
      <c r="BQ54" s="119" t="str">
        <f>+IF(OR($W54="",BO54=0),"",ROUND((VLOOKUP(ROUNDDOWN($D54-1/frec,0),cob_adi,BB$40,FALSE)*(1+i/frec)^-0.5*(1+Parámetros!$D$103)*(1+rec_fracc)/frec),6))</f>
        <v/>
      </c>
      <c r="BR54" s="66">
        <f t="shared" si="70"/>
        <v>0</v>
      </c>
      <c r="BS54" s="119" t="str">
        <f t="shared" si="71"/>
        <v/>
      </c>
      <c r="BT54" s="66">
        <f>+IF($W54="","",ROUND(IF($B54&gt;Parámetros!$D$107,'Tablas Servicio'!BR54+('Tablas Servicio'!BT53-'Tablas Servicio'!BR53),BR54/(1-IF(B54&lt;=10,Parámetros!$D$100,0))),2))</f>
        <v>0</v>
      </c>
      <c r="BU54" s="66">
        <f t="shared" si="72"/>
        <v>0</v>
      </c>
      <c r="BV54" s="66">
        <f t="shared" si="72"/>
        <v>0</v>
      </c>
      <c r="BW54" s="66">
        <f>+IF($W54="","",ROUND((BT54*Parámetros!$G$85),2))</f>
        <v>0</v>
      </c>
      <c r="BX54" s="66">
        <f>+IF($W54="","",ROUND((BT54*(Parámetros!$G$86)),2))</f>
        <v>0</v>
      </c>
      <c r="BY54" s="66">
        <f t="shared" si="73"/>
        <v>0</v>
      </c>
      <c r="BZ54" t="str">
        <f t="shared" ref="BZ54:BZ117" si="131">+IF($W54="","",BZ53)</f>
        <v>00062</v>
      </c>
      <c r="CA54" t="str">
        <f t="shared" ref="CA54:CA117" si="132">+IF($W54="","",CA53)</f>
        <v>Gastos médicos por accidente</v>
      </c>
      <c r="CB54" s="118">
        <f t="shared" ref="CB54:CB117" si="133">+IF($W54="","",CB53)</f>
        <v>0</v>
      </c>
      <c r="CC54" s="118" t="str">
        <f t="shared" ref="CC54:CC117" si="134">+IF($W54="","",CC53)</f>
        <v>A</v>
      </c>
      <c r="CD54" s="119" t="str">
        <f t="shared" si="78"/>
        <v/>
      </c>
      <c r="CE54" s="66">
        <f>+IF($W54="","",ROUND((VLOOKUP(ROUNDDOWN($D54-1/frec,0),cob_adi,BO$40,FALSE)*(1+i/frec)^-0.5*(1+Parámetros!$D$103)*(1+rec_fracc)/frec*'TABLAS ADI'!$BC$17),2))</f>
        <v>0</v>
      </c>
      <c r="CF54" s="119" t="str">
        <f t="shared" si="79"/>
        <v/>
      </c>
      <c r="CG54" s="66">
        <f>+IF($W54="","",ROUND(IF($B54&gt;Parámetros!$D$107,'Tablas Servicio'!CE54+('Tablas Servicio'!CG53-'Tablas Servicio'!CE53),CE54/(1-IF(B54&lt;=10,Parámetros!$D$100,0))),2))</f>
        <v>0</v>
      </c>
      <c r="CH54" s="66">
        <f t="shared" si="80"/>
        <v>0</v>
      </c>
      <c r="CI54" s="66">
        <f t="shared" si="80"/>
        <v>0</v>
      </c>
      <c r="CJ54" s="66">
        <f>+IF($W54="","",ROUND((CG54*Parámetros!$G$85),2))</f>
        <v>0</v>
      </c>
      <c r="CK54" s="66">
        <f>+IF($W54="","",ROUND((CG54*(Parámetros!$G$86)),2))</f>
        <v>0</v>
      </c>
      <c r="CL54" s="66">
        <f t="shared" si="81"/>
        <v>0</v>
      </c>
      <c r="CM54" t="str">
        <f t="shared" ref="CM54:CM117" si="135">+IF($W54="","",CM53)</f>
        <v>00063</v>
      </c>
      <c r="CN54" s="118" t="str">
        <f t="shared" ref="CN54:CN117" si="136">+IF($W54="","",CN53)</f>
        <v>Renta Diaria por Hospitalización</v>
      </c>
      <c r="CO54" s="118">
        <f t="shared" ref="CO54:CO117" si="137">+IF($W54="","",CO53)</f>
        <v>0</v>
      </c>
      <c r="CP54" s="118" t="str">
        <f t="shared" ref="CP54:CP117" si="138">+IF($W54="","",CP53)</f>
        <v>A</v>
      </c>
      <c r="CQ54" s="119" t="str">
        <f t="shared" si="86"/>
        <v/>
      </c>
      <c r="CR54" s="66">
        <f>+IF($W54="","",ROUND((VLOOKUP(Parámetros!$F$51,'COBERTURAS ADICIONALES'!$S$4:$T$32,2,FALSE)*(1+i/frec)^-0.5*(1+Parámetros!$D$103)*(1+rec_fracc)/frec*$CO$42),2))</f>
        <v>0</v>
      </c>
      <c r="CS54" s="119" t="str">
        <f t="shared" si="87"/>
        <v/>
      </c>
      <c r="CT54" s="66">
        <f>+IF($W54="","",ROUND(IF($B54&gt;Parámetros!$D$107,'Tablas Servicio'!CR54+('Tablas Servicio'!CT53-'Tablas Servicio'!CR53),CR54/(1-IF(B54&lt;=10,Parámetros!$D$100,0))),2))</f>
        <v>0</v>
      </c>
      <c r="CU54" s="66">
        <f t="shared" si="88"/>
        <v>0</v>
      </c>
      <c r="CV54" s="66">
        <f t="shared" si="88"/>
        <v>0</v>
      </c>
      <c r="CW54" s="66">
        <f>+IF($W54="","",ROUND((CT54*Parámetros!$G$85),2))</f>
        <v>0</v>
      </c>
      <c r="CX54" s="66">
        <f>+IF($W54="","",ROUND((CT54*(Parámetros!$G$86)),2))</f>
        <v>0</v>
      </c>
      <c r="CY54" s="66">
        <f t="shared" si="89"/>
        <v>0</v>
      </c>
      <c r="CZ54" t="str">
        <f t="shared" ref="CZ54:CZ117" si="139">+IF($W54="","",CZ53)</f>
        <v>00064</v>
      </c>
      <c r="DA54" s="118" t="str">
        <f t="shared" ref="DA54:DA117" si="140">+IF($W54="","",DA53)</f>
        <v>Enfermedades Graves</v>
      </c>
      <c r="DB54" s="118">
        <f t="shared" ref="DB54:DB117" si="141">+IF($W54="","",DB53)</f>
        <v>0</v>
      </c>
      <c r="DC54" s="118" t="str">
        <f t="shared" ref="DC54:DC117" si="142">+IF($W54="","",DC53)</f>
        <v>A</v>
      </c>
      <c r="DD54" s="121" t="str">
        <f>+IF(OR($W54="",DB54=0),"",ROUND((VLOOKUP(ROUNDDOWN($D54-1/frec,0),cob_adi,CO$40,FALSE)*(1+i/frec)^-0.5*(1+Parámetros!$D$103)*(1+rec_fracc)/frec),6))</f>
        <v/>
      </c>
      <c r="DE54" s="66">
        <f t="shared" si="94"/>
        <v>0</v>
      </c>
      <c r="DF54" s="119" t="str">
        <f t="shared" si="95"/>
        <v/>
      </c>
      <c r="DG54" s="66">
        <f>+IF($W54="","",ROUND(IF($B54&gt;Parámetros!$D$107,'Tablas Servicio'!DE54+('Tablas Servicio'!DG53-'Tablas Servicio'!DE53),DE54/(1-IF(B54&lt;=10,Parámetros!$D$100,0))),2))</f>
        <v>0</v>
      </c>
      <c r="DH54" s="66">
        <f t="shared" si="96"/>
        <v>0</v>
      </c>
      <c r="DI54" s="66">
        <f t="shared" si="96"/>
        <v>0</v>
      </c>
      <c r="DJ54" s="66">
        <f>+IF($W54="","",ROUND((DG54*Parámetros!$G$85),2))</f>
        <v>0</v>
      </c>
      <c r="DK54" s="66">
        <f>+IF($W54="","",ROUND((DG54*(Parámetros!$G$86)),2))</f>
        <v>0</v>
      </c>
      <c r="DL54" s="66">
        <f t="shared" si="97"/>
        <v>0</v>
      </c>
      <c r="DM54" t="str">
        <f t="shared" ref="DM54:DM117" si="143">+IF($W54="","",DM53)</f>
        <v>00065</v>
      </c>
      <c r="DN54" s="118" t="str">
        <f t="shared" ref="DN54:DN117" si="144">+IF($W54="","",DN53)</f>
        <v>Exención pago de primas</v>
      </c>
      <c r="DO54" s="118">
        <f t="shared" ref="DO54:DO117" si="145">+IF($W54="","",DO53)</f>
        <v>0</v>
      </c>
      <c r="DP54" s="118" t="str">
        <f t="shared" ref="DP54:DP117" si="146">+IF($W54="","",DP53)</f>
        <v>A</v>
      </c>
      <c r="DQ54" s="122" t="str">
        <f>+IF(OR($W54="",DO54=0),"",ROUND((VLOOKUP(ROUNDDOWN($D54-1/frec,0),cob_adi,DB$40,FALSE)*(1+i/frec)^-0.5*(1+Parámetros!$D$103)*(1+rec_fracc)/frec),6))</f>
        <v/>
      </c>
      <c r="DR54" s="66">
        <f t="shared" si="102"/>
        <v>0</v>
      </c>
      <c r="DS54" s="68" t="str">
        <f t="shared" si="103"/>
        <v/>
      </c>
      <c r="DT54" s="66">
        <f>+IF($W54="","",ROUND(IF($B54&gt;Parámetros!$D$107,'Tablas Servicio'!DR54+('Tablas Servicio'!DT53-'Tablas Servicio'!DR53),DR54/(1-IF(B54&lt;=10,Parámetros!$D$100,0))),2))</f>
        <v>0</v>
      </c>
      <c r="DU54" s="66">
        <f t="shared" si="104"/>
        <v>0</v>
      </c>
      <c r="DV54" s="66">
        <f t="shared" si="104"/>
        <v>0</v>
      </c>
      <c r="DW54" s="66">
        <f>+IF($W54="","",ROUND((DT54*Parámetros!$G$85),2))</f>
        <v>0</v>
      </c>
      <c r="DX54" s="66">
        <f>+IF($W54="","",ROUND((DT54*(Parámetros!$G$86)),2))</f>
        <v>0</v>
      </c>
      <c r="DY54" s="66">
        <f t="shared" si="105"/>
        <v>0</v>
      </c>
      <c r="DZ54" t="str">
        <f t="shared" si="106"/>
        <v>00066</v>
      </c>
      <c r="EA54" s="118" t="str">
        <f t="shared" si="106"/>
        <v>Enfermedad terminal</v>
      </c>
      <c r="EB54" s="118">
        <f>+IF($W54="","",ROUND(IF(Parámetros!$D$25='TABLAS MORT'!$V$33,EB53,Z54/2),0))</f>
        <v>50000</v>
      </c>
      <c r="EC54" s="118" t="str">
        <f t="shared" si="106"/>
        <v>A</v>
      </c>
      <c r="ED54" s="122">
        <f>+IF(OR($W54="",EB54=0),"",ROUND((VLOOKUP(ROUNDDOWN($D54-1/frec,0),cob_adi,DO$40,FALSE)*(1+i/frec)^-0.5*(1+Parámetros!$D$103)*(1+rec_fracc)/frec),6))</f>
        <v>7.9999999999999996E-6</v>
      </c>
      <c r="EE54" s="66">
        <f t="shared" si="107"/>
        <v>0.4</v>
      </c>
      <c r="EF54" s="68">
        <f t="shared" si="108"/>
        <v>9.0000000000000002E-6</v>
      </c>
      <c r="EG54" s="66">
        <f>+IF($W54="","",ROUND(IF($B54&gt;Parámetros!$D$107,'Tablas Servicio'!EE54+('Tablas Servicio'!EG53-'Tablas Servicio'!EE53),EE54/(1-IF(B54&lt;=10,Parámetros!$D$100,0))),2))</f>
        <v>0.45</v>
      </c>
      <c r="EH54" s="66">
        <f t="shared" si="109"/>
        <v>0</v>
      </c>
      <c r="EI54" s="66">
        <f t="shared" si="109"/>
        <v>0</v>
      </c>
      <c r="EJ54" s="66">
        <f>+IF($W54="","",ROUND((EG54*Parámetros!$G$85),2))</f>
        <v>0.02</v>
      </c>
      <c r="EK54" s="66">
        <f>+IF($W54="","",ROUND((EG54*(Parámetros!$G$86)),2))</f>
        <v>0</v>
      </c>
      <c r="EL54" s="66">
        <f t="shared" si="110"/>
        <v>0.47</v>
      </c>
    </row>
    <row r="55" spans="1:142" x14ac:dyDescent="0.25">
      <c r="A55">
        <f>+IF($C55="","",ROUND(VLOOKUP('Tablas Servicio'!B55,Parámetros!$H$100:$J$159,IF(Parámetros!$E$16="F",2,3),FALSE),2))</f>
        <v>150</v>
      </c>
      <c r="B55">
        <f t="shared" si="27"/>
        <v>2</v>
      </c>
      <c r="C55" s="57">
        <f>+IF(D55="","",'Tablas Servicio'!C54+1)</f>
        <v>14</v>
      </c>
      <c r="D55" s="56">
        <f>+IF(D54&lt;edadmaxtabla,D54+1/Parámetros!$E$25,"")</f>
        <v>41.186666666666703</v>
      </c>
      <c r="E55" s="57">
        <f t="shared" si="37"/>
        <v>41</v>
      </c>
      <c r="F55" s="59">
        <f t="shared" si="38"/>
        <v>100000</v>
      </c>
      <c r="G55" s="66">
        <f t="shared" si="39"/>
        <v>25.07</v>
      </c>
      <c r="H55" s="66">
        <f t="shared" si="28"/>
        <v>26.07</v>
      </c>
      <c r="I55" s="66">
        <f t="shared" si="112"/>
        <v>59.88000000000001</v>
      </c>
      <c r="J55" s="66">
        <f t="shared" si="29"/>
        <v>0.88</v>
      </c>
      <c r="K55" s="66">
        <f t="shared" si="30"/>
        <v>0.12</v>
      </c>
      <c r="L55" s="66">
        <f t="shared" si="31"/>
        <v>0</v>
      </c>
      <c r="M55" s="66">
        <f t="shared" si="32"/>
        <v>0</v>
      </c>
      <c r="N55" s="66">
        <f>+IF(C55="","",ROUND(Parámetros!$D$23,2))</f>
        <v>94</v>
      </c>
      <c r="O55" s="66">
        <f t="shared" si="33"/>
        <v>12.3</v>
      </c>
      <c r="P55" s="66">
        <f>+IF($C55="","",ROUND(IF(B55&gt;Parámetros!$D$117,0,N55*Parámetros!$D$116-G55*Parámetros!$D$100),2))</f>
        <v>8.0500000000000007</v>
      </c>
      <c r="Q55" s="75">
        <f t="shared" si="113"/>
        <v>3.5101715197447148E-2</v>
      </c>
      <c r="R55" s="75">
        <f t="shared" si="114"/>
        <v>4.7865975269246108E-3</v>
      </c>
      <c r="S55" s="117">
        <f>+IF($C55="","",ROUND((S54+I55)*(1+Parámetros!$D$91),2))</f>
        <v>877.52</v>
      </c>
      <c r="T55" s="117">
        <f>+IF($C55="","",ROUND(S55*VLOOKUP(B55,Parámetros!$C$30:$D$39,2,TRUE),2))</f>
        <v>0</v>
      </c>
      <c r="U55" s="117">
        <f>+IF($C55="","",ROUND((U54+I55)*(1+Parámetros!$D$92),2))</f>
        <v>880.2</v>
      </c>
      <c r="V55" s="117">
        <f>+IF($C55="","",ROUND(U55*VLOOKUP(B55,Parámetros!$C$30:$D$39,2,TRUE),2))</f>
        <v>0</v>
      </c>
      <c r="W55" s="57">
        <f t="shared" si="115"/>
        <v>14</v>
      </c>
      <c r="X55" t="str">
        <f t="shared" si="116"/>
        <v>00058</v>
      </c>
      <c r="Y55" t="str">
        <f t="shared" si="117"/>
        <v>MUERTE POR CUALQUIER CAUSA</v>
      </c>
      <c r="Z55" s="118">
        <f>+IF($W55="","",ROUND(IF(Parámetros!$D$25='TABLAS MORT'!$V$33,Z54,Parámetros!$D$21-'Tablas Servicio'!T54),0))</f>
        <v>100000</v>
      </c>
      <c r="AA55" s="118" t="str">
        <f t="shared" si="118"/>
        <v>P</v>
      </c>
      <c r="AB55" s="119">
        <f>+IF(W55="","",ROUND((VLOOKUP(ROUNDDOWN($D55-1/frec,0),qx_tabla,2,FALSE)*(1+i/frec)^-0.5*(1+Parámetros!$D$103)*(1+rec_fracc)/frec),6))</f>
        <v>1.1900000000000001E-4</v>
      </c>
      <c r="AC55" s="66">
        <f t="shared" si="46"/>
        <v>11.9</v>
      </c>
      <c r="AD55" s="119">
        <f t="shared" si="35"/>
        <v>2.4600000000000002E-4</v>
      </c>
      <c r="AE55" s="66">
        <f>+IF($W55="","",ROUND(IF($B55&gt;Parámetros!$D$107,'Tablas Servicio'!AC55+('Tablas Servicio'!AG54-'Tablas Servicio'!AC54),AC55/(1-IF(B55&lt;=10,Parámetros!$D$104,Parámetros!$D$105))),2))</f>
        <v>24.62</v>
      </c>
      <c r="AF55" s="66">
        <f>+IF($W55="","",ROUND(IF($B55&gt;Parámetros!$D$107,'Tablas Servicio'!AC55+('Tablas Servicio'!AG54-'Tablas Servicio'!AC54),(AC55+$A54/frec)/(1-IF(B55&lt;=Parámetros!$D$117,Parámetros!$D$100,0))),2))</f>
        <v>27.62</v>
      </c>
      <c r="AG55" s="66">
        <f t="shared" si="111"/>
        <v>24.62</v>
      </c>
      <c r="AH55" s="66">
        <f t="shared" si="47"/>
        <v>0</v>
      </c>
      <c r="AI55" s="66">
        <f t="shared" si="48"/>
        <v>0</v>
      </c>
      <c r="AJ55" s="66">
        <f>+IF($W55="","",ROUND((AG55*Parámetros!$G$85),2))</f>
        <v>0.86</v>
      </c>
      <c r="AK55" s="66">
        <f>+IF($W55="","",ROUND((AG55*(Parámetros!$G$86)),2))</f>
        <v>0.12</v>
      </c>
      <c r="AL55" s="66">
        <f t="shared" si="36"/>
        <v>25.6</v>
      </c>
      <c r="AM55" t="str">
        <f t="shared" si="119"/>
        <v>00059</v>
      </c>
      <c r="AN55" t="str">
        <f t="shared" si="120"/>
        <v>Incapacidad Total y Permanente</v>
      </c>
      <c r="AO55" s="118">
        <f t="shared" si="121"/>
        <v>0</v>
      </c>
      <c r="AP55" s="118" t="str">
        <f t="shared" si="122"/>
        <v>A</v>
      </c>
      <c r="AQ55" s="119" t="str">
        <f>+IF(OR($W55="",AO55=0),"",ROUND((VLOOKUP(ROUNDDOWN($D55-1/frec,0),cob_adi,Z$40,FALSE)*(1+i/frec)^-0.5*(1+Parámetros!$D$103)*(1+rec_fracc)/frec),6))</f>
        <v/>
      </c>
      <c r="AR55" s="66">
        <f t="shared" si="53"/>
        <v>0</v>
      </c>
      <c r="AS55" s="119" t="str">
        <f t="shared" si="54"/>
        <v/>
      </c>
      <c r="AT55" s="66">
        <f>+IF($W55="","",ROUND(IF($B55&gt;Parámetros!$D$107,'Tablas Servicio'!AR55+('Tablas Servicio'!AT54-'Tablas Servicio'!AR54),AR55/(1-IF(B55&lt;=10,Parámetros!$D$100,0))),2))</f>
        <v>0</v>
      </c>
      <c r="AU55" s="66">
        <f t="shared" si="55"/>
        <v>0</v>
      </c>
      <c r="AV55" s="66">
        <f t="shared" si="55"/>
        <v>0</v>
      </c>
      <c r="AW55" s="66">
        <f>+IF($W55="","",ROUND((AT55*Parámetros!$G$85),2))</f>
        <v>0</v>
      </c>
      <c r="AX55" s="66">
        <f>+IF($W55="","",ROUND((AT55*(Parámetros!$G$86)),2))</f>
        <v>0</v>
      </c>
      <c r="AY55" s="66">
        <f t="shared" si="56"/>
        <v>0</v>
      </c>
      <c r="AZ55" t="str">
        <f t="shared" si="123"/>
        <v>00060</v>
      </c>
      <c r="BA55" t="str">
        <f t="shared" si="124"/>
        <v>Muerte Accidental</v>
      </c>
      <c r="BB55" s="118">
        <f t="shared" si="125"/>
        <v>0</v>
      </c>
      <c r="BC55" s="118" t="str">
        <f t="shared" si="126"/>
        <v>A</v>
      </c>
      <c r="BD55" s="119" t="str">
        <f>+IF(OR($W55="",BB55=0),"",ROUND((VLOOKUP(ROUNDDOWN($D55-1/frec,0),cob_adi,AO$40,FALSE)*(1+i/frec)^-0.5*(1+Parámetros!$D$103)*(1+rec_fracc)/frec),6))</f>
        <v/>
      </c>
      <c r="BE55" s="66">
        <f t="shared" si="61"/>
        <v>0</v>
      </c>
      <c r="BF55" s="119" t="str">
        <f t="shared" si="62"/>
        <v/>
      </c>
      <c r="BG55" s="66">
        <f>+IF($W55="","",ROUND(IF($B55&gt;Parámetros!$D$107,'Tablas Servicio'!BE55+('Tablas Servicio'!BG54-'Tablas Servicio'!BE54),BE55/(1-IF(B55&lt;=10,Parámetros!$D$100,0))),2))</f>
        <v>0</v>
      </c>
      <c r="BH55" s="66">
        <f t="shared" si="63"/>
        <v>0</v>
      </c>
      <c r="BI55" s="66">
        <f t="shared" si="64"/>
        <v>0</v>
      </c>
      <c r="BJ55" s="66">
        <f>+IF($W55="","",ROUND((BG55*Parámetros!$G$85),2))</f>
        <v>0</v>
      </c>
      <c r="BK55" s="66">
        <f>+IF($W55="","",ROUND((BG55*(Parámetros!$G$86)),2))</f>
        <v>0</v>
      </c>
      <c r="BL55" s="66">
        <f t="shared" si="65"/>
        <v>0</v>
      </c>
      <c r="BM55" t="str">
        <f t="shared" si="127"/>
        <v>00061</v>
      </c>
      <c r="BN55" t="str">
        <f t="shared" si="128"/>
        <v>Gastos de Entierro</v>
      </c>
      <c r="BO55" s="118">
        <f t="shared" si="129"/>
        <v>0</v>
      </c>
      <c r="BP55" s="118" t="str">
        <f t="shared" si="130"/>
        <v>A</v>
      </c>
      <c r="BQ55" s="119" t="str">
        <f>+IF(OR($W55="",BO55=0),"",ROUND((VLOOKUP(ROUNDDOWN($D55-1/frec,0),cob_adi,BB$40,FALSE)*(1+i/frec)^-0.5*(1+Parámetros!$D$103)*(1+rec_fracc)/frec),6))</f>
        <v/>
      </c>
      <c r="BR55" s="66">
        <f t="shared" si="70"/>
        <v>0</v>
      </c>
      <c r="BS55" s="119" t="str">
        <f t="shared" si="71"/>
        <v/>
      </c>
      <c r="BT55" s="66">
        <f>+IF($W55="","",ROUND(IF($B55&gt;Parámetros!$D$107,'Tablas Servicio'!BR55+('Tablas Servicio'!BT54-'Tablas Servicio'!BR54),BR55/(1-IF(B55&lt;=10,Parámetros!$D$100,0))),2))</f>
        <v>0</v>
      </c>
      <c r="BU55" s="66">
        <f t="shared" si="72"/>
        <v>0</v>
      </c>
      <c r="BV55" s="66">
        <f t="shared" si="72"/>
        <v>0</v>
      </c>
      <c r="BW55" s="66">
        <f>+IF($W55="","",ROUND((BT55*Parámetros!$G$85),2))</f>
        <v>0</v>
      </c>
      <c r="BX55" s="66">
        <f>+IF($W55="","",ROUND((BT55*(Parámetros!$G$86)),2))</f>
        <v>0</v>
      </c>
      <c r="BY55" s="66">
        <f t="shared" si="73"/>
        <v>0</v>
      </c>
      <c r="BZ55" t="str">
        <f t="shared" si="131"/>
        <v>00062</v>
      </c>
      <c r="CA55" t="str">
        <f t="shared" si="132"/>
        <v>Gastos médicos por accidente</v>
      </c>
      <c r="CB55" s="118">
        <f t="shared" si="133"/>
        <v>0</v>
      </c>
      <c r="CC55" s="118" t="str">
        <f t="shared" si="134"/>
        <v>A</v>
      </c>
      <c r="CD55" s="119" t="str">
        <f t="shared" si="78"/>
        <v/>
      </c>
      <c r="CE55" s="66">
        <f>+IF($W55="","",ROUND((VLOOKUP(ROUNDDOWN($D55-1/frec,0),cob_adi,BO$40,FALSE)*(1+i/frec)^-0.5*(1+Parámetros!$D$103)*(1+rec_fracc)/frec*'TABLAS ADI'!$BC$17),2))</f>
        <v>0</v>
      </c>
      <c r="CF55" s="119" t="str">
        <f t="shared" si="79"/>
        <v/>
      </c>
      <c r="CG55" s="66">
        <f>+IF($W55="","",ROUND(IF($B55&gt;Parámetros!$D$107,'Tablas Servicio'!CE55+('Tablas Servicio'!CG54-'Tablas Servicio'!CE54),CE55/(1-IF(B55&lt;=10,Parámetros!$D$100,0))),2))</f>
        <v>0</v>
      </c>
      <c r="CH55" s="66">
        <f t="shared" si="80"/>
        <v>0</v>
      </c>
      <c r="CI55" s="66">
        <f t="shared" si="80"/>
        <v>0</v>
      </c>
      <c r="CJ55" s="66">
        <f>+IF($W55="","",ROUND((CG55*Parámetros!$G$85),2))</f>
        <v>0</v>
      </c>
      <c r="CK55" s="66">
        <f>+IF($W55="","",ROUND((CG55*(Parámetros!$G$86)),2))</f>
        <v>0</v>
      </c>
      <c r="CL55" s="66">
        <f t="shared" si="81"/>
        <v>0</v>
      </c>
      <c r="CM55" t="str">
        <f t="shared" si="135"/>
        <v>00063</v>
      </c>
      <c r="CN55" s="118" t="str">
        <f t="shared" si="136"/>
        <v>Renta Diaria por Hospitalización</v>
      </c>
      <c r="CO55" s="118">
        <f t="shared" si="137"/>
        <v>0</v>
      </c>
      <c r="CP55" s="118" t="str">
        <f t="shared" si="138"/>
        <v>A</v>
      </c>
      <c r="CQ55" s="119" t="str">
        <f t="shared" si="86"/>
        <v/>
      </c>
      <c r="CR55" s="66">
        <f>+IF($W55="","",ROUND((VLOOKUP(Parámetros!$F$51,'COBERTURAS ADICIONALES'!$S$4:$T$32,2,FALSE)*(1+i/frec)^-0.5*(1+Parámetros!$D$103)*(1+rec_fracc)/frec*$CO$42),2))</f>
        <v>0</v>
      </c>
      <c r="CS55" s="119" t="str">
        <f t="shared" si="87"/>
        <v/>
      </c>
      <c r="CT55" s="66">
        <f>+IF($W55="","",ROUND(IF($B55&gt;Parámetros!$D$107,'Tablas Servicio'!CR55+('Tablas Servicio'!CT54-'Tablas Servicio'!CR54),CR55/(1-IF(B55&lt;=10,Parámetros!$D$100,0))),2))</f>
        <v>0</v>
      </c>
      <c r="CU55" s="66">
        <f t="shared" si="88"/>
        <v>0</v>
      </c>
      <c r="CV55" s="66">
        <f t="shared" si="88"/>
        <v>0</v>
      </c>
      <c r="CW55" s="66">
        <f>+IF($W55="","",ROUND((CT55*Parámetros!$G$85),2))</f>
        <v>0</v>
      </c>
      <c r="CX55" s="66">
        <f>+IF($W55="","",ROUND((CT55*(Parámetros!$G$86)),2))</f>
        <v>0</v>
      </c>
      <c r="CY55" s="66">
        <f t="shared" si="89"/>
        <v>0</v>
      </c>
      <c r="CZ55" t="str">
        <f t="shared" si="139"/>
        <v>00064</v>
      </c>
      <c r="DA55" s="118" t="str">
        <f t="shared" si="140"/>
        <v>Enfermedades Graves</v>
      </c>
      <c r="DB55" s="118">
        <f t="shared" si="141"/>
        <v>0</v>
      </c>
      <c r="DC55" s="118" t="str">
        <f t="shared" si="142"/>
        <v>A</v>
      </c>
      <c r="DD55" s="121" t="str">
        <f>+IF(OR($W55="",DB55=0),"",ROUND((VLOOKUP(ROUNDDOWN($D55-1/frec,0),cob_adi,CO$40,FALSE)*(1+i/frec)^-0.5*(1+Parámetros!$D$103)*(1+rec_fracc)/frec),6))</f>
        <v/>
      </c>
      <c r="DE55" s="66">
        <f t="shared" si="94"/>
        <v>0</v>
      </c>
      <c r="DF55" s="119" t="str">
        <f t="shared" si="95"/>
        <v/>
      </c>
      <c r="DG55" s="66">
        <f>+IF($W55="","",ROUND(IF($B55&gt;Parámetros!$D$107,'Tablas Servicio'!DE55+('Tablas Servicio'!DG54-'Tablas Servicio'!DE54),DE55/(1-IF(B55&lt;=10,Parámetros!$D$100,0))),2))</f>
        <v>0</v>
      </c>
      <c r="DH55" s="66">
        <f t="shared" si="96"/>
        <v>0</v>
      </c>
      <c r="DI55" s="66">
        <f t="shared" si="96"/>
        <v>0</v>
      </c>
      <c r="DJ55" s="66">
        <f>+IF($W55="","",ROUND((DG55*Parámetros!$G$85),2))</f>
        <v>0</v>
      </c>
      <c r="DK55" s="66">
        <f>+IF($W55="","",ROUND((DG55*(Parámetros!$G$86)),2))</f>
        <v>0</v>
      </c>
      <c r="DL55" s="66">
        <f t="shared" si="97"/>
        <v>0</v>
      </c>
      <c r="DM55" t="str">
        <f t="shared" si="143"/>
        <v>00065</v>
      </c>
      <c r="DN55" s="118" t="str">
        <f t="shared" si="144"/>
        <v>Exención pago de primas</v>
      </c>
      <c r="DO55" s="118">
        <f t="shared" si="145"/>
        <v>0</v>
      </c>
      <c r="DP55" s="118" t="str">
        <f t="shared" si="146"/>
        <v>A</v>
      </c>
      <c r="DQ55" s="122" t="str">
        <f>+IF(OR($W55="",DO55=0),"",ROUND((VLOOKUP(ROUNDDOWN($D55-1/frec,0),cob_adi,DB$40,FALSE)*(1+i/frec)^-0.5*(1+Parámetros!$D$103)*(1+rec_fracc)/frec),6))</f>
        <v/>
      </c>
      <c r="DR55" s="66">
        <f t="shared" si="102"/>
        <v>0</v>
      </c>
      <c r="DS55" s="68" t="str">
        <f t="shared" si="103"/>
        <v/>
      </c>
      <c r="DT55" s="66">
        <f>+IF($W55="","",ROUND(IF($B55&gt;Parámetros!$D$107,'Tablas Servicio'!DR55+('Tablas Servicio'!DT54-'Tablas Servicio'!DR54),DR55/(1-IF(B55&lt;=10,Parámetros!$D$100,0))),2))</f>
        <v>0</v>
      </c>
      <c r="DU55" s="66">
        <f t="shared" si="104"/>
        <v>0</v>
      </c>
      <c r="DV55" s="66">
        <f t="shared" si="104"/>
        <v>0</v>
      </c>
      <c r="DW55" s="66">
        <f>+IF($W55="","",ROUND((DT55*Parámetros!$G$85),2))</f>
        <v>0</v>
      </c>
      <c r="DX55" s="66">
        <f>+IF($W55="","",ROUND((DT55*(Parámetros!$G$86)),2))</f>
        <v>0</v>
      </c>
      <c r="DY55" s="66">
        <f t="shared" si="105"/>
        <v>0</v>
      </c>
      <c r="DZ55" t="str">
        <f t="shared" si="106"/>
        <v>00066</v>
      </c>
      <c r="EA55" s="118" t="str">
        <f t="shared" si="106"/>
        <v>Enfermedad terminal</v>
      </c>
      <c r="EB55" s="118">
        <f>+IF($W55="","",ROUND(IF(Parámetros!$D$25='TABLAS MORT'!$V$33,EB54,Z55/2),0))</f>
        <v>50000</v>
      </c>
      <c r="EC55" s="118" t="str">
        <f t="shared" si="106"/>
        <v>A</v>
      </c>
      <c r="ED55" s="122">
        <f>+IF(OR($W55="",EB55=0),"",ROUND((VLOOKUP(ROUNDDOWN($D55-1/frec,0),cob_adi,DO$40,FALSE)*(1+i/frec)^-0.5*(1+Parámetros!$D$103)*(1+rec_fracc)/frec),6))</f>
        <v>7.9999999999999996E-6</v>
      </c>
      <c r="EE55" s="66">
        <f t="shared" si="107"/>
        <v>0.4</v>
      </c>
      <c r="EF55" s="68">
        <f t="shared" si="108"/>
        <v>9.0000000000000002E-6</v>
      </c>
      <c r="EG55" s="66">
        <f>+IF($W55="","",ROUND(IF($B55&gt;Parámetros!$D$107,'Tablas Servicio'!EE55+('Tablas Servicio'!EG54-'Tablas Servicio'!EE54),EE55/(1-IF(B55&lt;=10,Parámetros!$D$100,0))),2))</f>
        <v>0.45</v>
      </c>
      <c r="EH55" s="66">
        <f t="shared" si="109"/>
        <v>0</v>
      </c>
      <c r="EI55" s="66">
        <f t="shared" si="109"/>
        <v>0</v>
      </c>
      <c r="EJ55" s="66">
        <f>+IF($W55="","",ROUND((EG55*Parámetros!$G$85),2))</f>
        <v>0.02</v>
      </c>
      <c r="EK55" s="66">
        <f>+IF($W55="","",ROUND((EG55*(Parámetros!$G$86)),2))</f>
        <v>0</v>
      </c>
      <c r="EL55" s="66">
        <f t="shared" si="110"/>
        <v>0.47</v>
      </c>
    </row>
    <row r="56" spans="1:142" x14ac:dyDescent="0.25">
      <c r="A56">
        <f>+IF($C56="","",ROUND(VLOOKUP('Tablas Servicio'!B56,Parámetros!$H$100:$J$159,IF(Parámetros!$E$16="F",2,3),FALSE),2))</f>
        <v>150</v>
      </c>
      <c r="B56">
        <f t="shared" si="27"/>
        <v>2</v>
      </c>
      <c r="C56" s="57">
        <f>+IF(D56="","",'Tablas Servicio'!C55+1)</f>
        <v>15</v>
      </c>
      <c r="D56" s="56">
        <f>+IF(D55&lt;edadmaxtabla,D55+1/Parámetros!$E$25,"")</f>
        <v>41.270000000000039</v>
      </c>
      <c r="E56" s="57">
        <f t="shared" si="37"/>
        <v>41</v>
      </c>
      <c r="F56" s="59">
        <f t="shared" si="38"/>
        <v>100000</v>
      </c>
      <c r="G56" s="66">
        <f t="shared" si="39"/>
        <v>25.07</v>
      </c>
      <c r="H56" s="66">
        <f t="shared" si="28"/>
        <v>26.07</v>
      </c>
      <c r="I56" s="66">
        <f t="shared" si="112"/>
        <v>59.88000000000001</v>
      </c>
      <c r="J56" s="66">
        <f t="shared" si="29"/>
        <v>0.88</v>
      </c>
      <c r="K56" s="66">
        <f t="shared" si="30"/>
        <v>0.12</v>
      </c>
      <c r="L56" s="66">
        <f t="shared" si="31"/>
        <v>0</v>
      </c>
      <c r="M56" s="66">
        <f t="shared" si="32"/>
        <v>0</v>
      </c>
      <c r="N56" s="66">
        <f>+IF(C56="","",ROUND(Parámetros!$D$23,2))</f>
        <v>94</v>
      </c>
      <c r="O56" s="66">
        <f t="shared" si="33"/>
        <v>12.3</v>
      </c>
      <c r="P56" s="66">
        <f>+IF($C56="","",ROUND(IF(B56&gt;Parámetros!$D$117,0,N56*Parámetros!$D$116-G56*Parámetros!$D$100),2))</f>
        <v>8.0500000000000007</v>
      </c>
      <c r="Q56" s="75">
        <f t="shared" si="113"/>
        <v>3.5101715197447148E-2</v>
      </c>
      <c r="R56" s="75">
        <f t="shared" si="114"/>
        <v>4.7865975269246108E-3</v>
      </c>
      <c r="S56" s="117">
        <f>+IF($C56="","",ROUND((S55+I56)*(1+Parámetros!$D$91),2))</f>
        <v>940.06</v>
      </c>
      <c r="T56" s="117">
        <f>+IF($C56="","",ROUND(S56*VLOOKUP(B56,Parámetros!$C$30:$D$39,2,TRUE),2))</f>
        <v>0</v>
      </c>
      <c r="U56" s="117">
        <f>+IF($C56="","",ROUND((U55+I56)*(1+Parámetros!$D$92),2))</f>
        <v>943.13</v>
      </c>
      <c r="V56" s="117">
        <f>+IF($C56="","",ROUND(U56*VLOOKUP(B56,Parámetros!$C$30:$D$39,2,TRUE),2))</f>
        <v>0</v>
      </c>
      <c r="W56" s="57">
        <f t="shared" si="115"/>
        <v>15</v>
      </c>
      <c r="X56" t="str">
        <f t="shared" si="116"/>
        <v>00058</v>
      </c>
      <c r="Y56" t="str">
        <f t="shared" si="117"/>
        <v>MUERTE POR CUALQUIER CAUSA</v>
      </c>
      <c r="Z56" s="118">
        <f>+IF($W56="","",ROUND(IF(Parámetros!$D$25='TABLAS MORT'!$V$33,Z55,Parámetros!$D$21-'Tablas Servicio'!T55),0))</f>
        <v>100000</v>
      </c>
      <c r="AA56" s="118" t="str">
        <f t="shared" si="118"/>
        <v>P</v>
      </c>
      <c r="AB56" s="119">
        <f>+IF(W56="","",ROUND((VLOOKUP(ROUNDDOWN($D56-1/frec,0),qx_tabla,2,FALSE)*(1+i/frec)^-0.5*(1+Parámetros!$D$103)*(1+rec_fracc)/frec),6))</f>
        <v>1.1900000000000001E-4</v>
      </c>
      <c r="AC56" s="66">
        <f t="shared" si="46"/>
        <v>11.9</v>
      </c>
      <c r="AD56" s="119">
        <f t="shared" si="35"/>
        <v>2.4600000000000002E-4</v>
      </c>
      <c r="AE56" s="66">
        <f>+IF($W56="","",ROUND(IF($B56&gt;Parámetros!$D$107,'Tablas Servicio'!AC56+('Tablas Servicio'!AG55-'Tablas Servicio'!AC55),AC56/(1-IF(B56&lt;=10,Parámetros!$D$104,Parámetros!$D$105))),2))</f>
        <v>24.62</v>
      </c>
      <c r="AF56" s="66">
        <f>+IF($W56="","",ROUND(IF($B56&gt;Parámetros!$D$107,'Tablas Servicio'!AC56+('Tablas Servicio'!AG55-'Tablas Servicio'!AC55),(AC56+$A55/frec)/(1-IF(B56&lt;=Parámetros!$D$117,Parámetros!$D$100,0))),2))</f>
        <v>27.62</v>
      </c>
      <c r="AG56" s="66">
        <f t="shared" si="111"/>
        <v>24.62</v>
      </c>
      <c r="AH56" s="66">
        <f t="shared" si="47"/>
        <v>0</v>
      </c>
      <c r="AI56" s="66">
        <f t="shared" si="48"/>
        <v>0</v>
      </c>
      <c r="AJ56" s="66">
        <f>+IF($W56="","",ROUND((AG56*Parámetros!$G$85),2))</f>
        <v>0.86</v>
      </c>
      <c r="AK56" s="66">
        <f>+IF($W56="","",ROUND((AG56*(Parámetros!$G$86)),2))</f>
        <v>0.12</v>
      </c>
      <c r="AL56" s="66">
        <f t="shared" si="36"/>
        <v>25.6</v>
      </c>
      <c r="AM56" t="str">
        <f t="shared" si="119"/>
        <v>00059</v>
      </c>
      <c r="AN56" t="str">
        <f t="shared" si="120"/>
        <v>Incapacidad Total y Permanente</v>
      </c>
      <c r="AO56" s="118">
        <f t="shared" si="121"/>
        <v>0</v>
      </c>
      <c r="AP56" s="118" t="str">
        <f t="shared" si="122"/>
        <v>A</v>
      </c>
      <c r="AQ56" s="119" t="str">
        <f>+IF(OR($W56="",AO56=0),"",ROUND((VLOOKUP(ROUNDDOWN($D56-1/frec,0),cob_adi,Z$40,FALSE)*(1+i/frec)^-0.5*(1+Parámetros!$D$103)*(1+rec_fracc)/frec),6))</f>
        <v/>
      </c>
      <c r="AR56" s="66">
        <f t="shared" si="53"/>
        <v>0</v>
      </c>
      <c r="AS56" s="119" t="str">
        <f t="shared" si="54"/>
        <v/>
      </c>
      <c r="AT56" s="66">
        <f>+IF($W56="","",ROUND(IF($B56&gt;Parámetros!$D$107,'Tablas Servicio'!AR56+('Tablas Servicio'!AT55-'Tablas Servicio'!AR55),AR56/(1-IF(B56&lt;=10,Parámetros!$D$100,0))),2))</f>
        <v>0</v>
      </c>
      <c r="AU56" s="66">
        <f t="shared" si="55"/>
        <v>0</v>
      </c>
      <c r="AV56" s="66">
        <f t="shared" si="55"/>
        <v>0</v>
      </c>
      <c r="AW56" s="66">
        <f>+IF($W56="","",ROUND((AT56*Parámetros!$G$85),2))</f>
        <v>0</v>
      </c>
      <c r="AX56" s="66">
        <f>+IF($W56="","",ROUND((AT56*(Parámetros!$G$86)),2))</f>
        <v>0</v>
      </c>
      <c r="AY56" s="66">
        <f t="shared" si="56"/>
        <v>0</v>
      </c>
      <c r="AZ56" t="str">
        <f t="shared" si="123"/>
        <v>00060</v>
      </c>
      <c r="BA56" t="str">
        <f t="shared" si="124"/>
        <v>Muerte Accidental</v>
      </c>
      <c r="BB56" s="118">
        <f t="shared" si="125"/>
        <v>0</v>
      </c>
      <c r="BC56" s="118" t="str">
        <f t="shared" si="126"/>
        <v>A</v>
      </c>
      <c r="BD56" s="119" t="str">
        <f>+IF(OR($W56="",BB56=0),"",ROUND((VLOOKUP(ROUNDDOWN($D56-1/frec,0),cob_adi,AO$40,FALSE)*(1+i/frec)^-0.5*(1+Parámetros!$D$103)*(1+rec_fracc)/frec),6))</f>
        <v/>
      </c>
      <c r="BE56" s="66">
        <f t="shared" si="61"/>
        <v>0</v>
      </c>
      <c r="BF56" s="119" t="str">
        <f t="shared" si="62"/>
        <v/>
      </c>
      <c r="BG56" s="66">
        <f>+IF($W56="","",ROUND(IF($B56&gt;Parámetros!$D$107,'Tablas Servicio'!BE56+('Tablas Servicio'!BG55-'Tablas Servicio'!BE55),BE56/(1-IF(B56&lt;=10,Parámetros!$D$100,0))),2))</f>
        <v>0</v>
      </c>
      <c r="BH56" s="66">
        <f t="shared" si="63"/>
        <v>0</v>
      </c>
      <c r="BI56" s="66">
        <f t="shared" si="64"/>
        <v>0</v>
      </c>
      <c r="BJ56" s="66">
        <f>+IF($W56="","",ROUND((BG56*Parámetros!$G$85),2))</f>
        <v>0</v>
      </c>
      <c r="BK56" s="66">
        <f>+IF($W56="","",ROUND((BG56*(Parámetros!$G$86)),2))</f>
        <v>0</v>
      </c>
      <c r="BL56" s="66">
        <f t="shared" si="65"/>
        <v>0</v>
      </c>
      <c r="BM56" t="str">
        <f t="shared" si="127"/>
        <v>00061</v>
      </c>
      <c r="BN56" t="str">
        <f t="shared" si="128"/>
        <v>Gastos de Entierro</v>
      </c>
      <c r="BO56" s="118">
        <f t="shared" si="129"/>
        <v>0</v>
      </c>
      <c r="BP56" s="118" t="str">
        <f t="shared" si="130"/>
        <v>A</v>
      </c>
      <c r="BQ56" s="119" t="str">
        <f>+IF(OR($W56="",BO56=0),"",ROUND((VLOOKUP(ROUNDDOWN($D56-1/frec,0),cob_adi,BB$40,FALSE)*(1+i/frec)^-0.5*(1+Parámetros!$D$103)*(1+rec_fracc)/frec),6))</f>
        <v/>
      </c>
      <c r="BR56" s="66">
        <f t="shared" si="70"/>
        <v>0</v>
      </c>
      <c r="BS56" s="119" t="str">
        <f t="shared" si="71"/>
        <v/>
      </c>
      <c r="BT56" s="66">
        <f>+IF($W56="","",ROUND(IF($B56&gt;Parámetros!$D$107,'Tablas Servicio'!BR56+('Tablas Servicio'!BT55-'Tablas Servicio'!BR55),BR56/(1-IF(B56&lt;=10,Parámetros!$D$100,0))),2))</f>
        <v>0</v>
      </c>
      <c r="BU56" s="66">
        <f t="shared" si="72"/>
        <v>0</v>
      </c>
      <c r="BV56" s="66">
        <f t="shared" si="72"/>
        <v>0</v>
      </c>
      <c r="BW56" s="66">
        <f>+IF($W56="","",ROUND((BT56*Parámetros!$G$85),2))</f>
        <v>0</v>
      </c>
      <c r="BX56" s="66">
        <f>+IF($W56="","",ROUND((BT56*(Parámetros!$G$86)),2))</f>
        <v>0</v>
      </c>
      <c r="BY56" s="66">
        <f t="shared" si="73"/>
        <v>0</v>
      </c>
      <c r="BZ56" t="str">
        <f t="shared" si="131"/>
        <v>00062</v>
      </c>
      <c r="CA56" t="str">
        <f t="shared" si="132"/>
        <v>Gastos médicos por accidente</v>
      </c>
      <c r="CB56" s="118">
        <f t="shared" si="133"/>
        <v>0</v>
      </c>
      <c r="CC56" s="118" t="str">
        <f t="shared" si="134"/>
        <v>A</v>
      </c>
      <c r="CD56" s="119" t="str">
        <f t="shared" si="78"/>
        <v/>
      </c>
      <c r="CE56" s="66">
        <f>+IF($W56="","",ROUND((VLOOKUP(ROUNDDOWN($D56-1/frec,0),cob_adi,BO$40,FALSE)*(1+i/frec)^-0.5*(1+Parámetros!$D$103)*(1+rec_fracc)/frec*'TABLAS ADI'!$BC$17),2))</f>
        <v>0</v>
      </c>
      <c r="CF56" s="119" t="str">
        <f t="shared" si="79"/>
        <v/>
      </c>
      <c r="CG56" s="66">
        <f>+IF($W56="","",ROUND(IF($B56&gt;Parámetros!$D$107,'Tablas Servicio'!CE56+('Tablas Servicio'!CG55-'Tablas Servicio'!CE55),CE56/(1-IF(B56&lt;=10,Parámetros!$D$100,0))),2))</f>
        <v>0</v>
      </c>
      <c r="CH56" s="66">
        <f t="shared" si="80"/>
        <v>0</v>
      </c>
      <c r="CI56" s="66">
        <f t="shared" si="80"/>
        <v>0</v>
      </c>
      <c r="CJ56" s="66">
        <f>+IF($W56="","",ROUND((CG56*Parámetros!$G$85),2))</f>
        <v>0</v>
      </c>
      <c r="CK56" s="66">
        <f>+IF($W56="","",ROUND((CG56*(Parámetros!$G$86)),2))</f>
        <v>0</v>
      </c>
      <c r="CL56" s="66">
        <f t="shared" si="81"/>
        <v>0</v>
      </c>
      <c r="CM56" t="str">
        <f t="shared" si="135"/>
        <v>00063</v>
      </c>
      <c r="CN56" s="118" t="str">
        <f t="shared" si="136"/>
        <v>Renta Diaria por Hospitalización</v>
      </c>
      <c r="CO56" s="118">
        <f t="shared" si="137"/>
        <v>0</v>
      </c>
      <c r="CP56" s="118" t="str">
        <f t="shared" si="138"/>
        <v>A</v>
      </c>
      <c r="CQ56" s="119" t="str">
        <f t="shared" si="86"/>
        <v/>
      </c>
      <c r="CR56" s="66">
        <f>+IF($W56="","",ROUND((VLOOKUP(Parámetros!$F$51,'COBERTURAS ADICIONALES'!$S$4:$T$32,2,FALSE)*(1+i/frec)^-0.5*(1+Parámetros!$D$103)*(1+rec_fracc)/frec*$CO$42),2))</f>
        <v>0</v>
      </c>
      <c r="CS56" s="119" t="str">
        <f t="shared" si="87"/>
        <v/>
      </c>
      <c r="CT56" s="66">
        <f>+IF($W56="","",ROUND(IF($B56&gt;Parámetros!$D$107,'Tablas Servicio'!CR56+('Tablas Servicio'!CT55-'Tablas Servicio'!CR55),CR56/(1-IF(B56&lt;=10,Parámetros!$D$100,0))),2))</f>
        <v>0</v>
      </c>
      <c r="CU56" s="66">
        <f t="shared" si="88"/>
        <v>0</v>
      </c>
      <c r="CV56" s="66">
        <f t="shared" si="88"/>
        <v>0</v>
      </c>
      <c r="CW56" s="66">
        <f>+IF($W56="","",ROUND((CT56*Parámetros!$G$85),2))</f>
        <v>0</v>
      </c>
      <c r="CX56" s="66">
        <f>+IF($W56="","",ROUND((CT56*(Parámetros!$G$86)),2))</f>
        <v>0</v>
      </c>
      <c r="CY56" s="66">
        <f t="shared" si="89"/>
        <v>0</v>
      </c>
      <c r="CZ56" t="str">
        <f t="shared" si="139"/>
        <v>00064</v>
      </c>
      <c r="DA56" s="118" t="str">
        <f t="shared" si="140"/>
        <v>Enfermedades Graves</v>
      </c>
      <c r="DB56" s="118">
        <f t="shared" si="141"/>
        <v>0</v>
      </c>
      <c r="DC56" s="118" t="str">
        <f t="shared" si="142"/>
        <v>A</v>
      </c>
      <c r="DD56" s="121" t="str">
        <f>+IF(OR($W56="",DB56=0),"",ROUND((VLOOKUP(ROUNDDOWN($D56-1/frec,0),cob_adi,CO$40,FALSE)*(1+i/frec)^-0.5*(1+Parámetros!$D$103)*(1+rec_fracc)/frec),6))</f>
        <v/>
      </c>
      <c r="DE56" s="66">
        <f t="shared" si="94"/>
        <v>0</v>
      </c>
      <c r="DF56" s="119" t="str">
        <f t="shared" si="95"/>
        <v/>
      </c>
      <c r="DG56" s="66">
        <f>+IF($W56="","",ROUND(IF($B56&gt;Parámetros!$D$107,'Tablas Servicio'!DE56+('Tablas Servicio'!DG55-'Tablas Servicio'!DE55),DE56/(1-IF(B56&lt;=10,Parámetros!$D$100,0))),2))</f>
        <v>0</v>
      </c>
      <c r="DH56" s="66">
        <f t="shared" si="96"/>
        <v>0</v>
      </c>
      <c r="DI56" s="66">
        <f t="shared" si="96"/>
        <v>0</v>
      </c>
      <c r="DJ56" s="66">
        <f>+IF($W56="","",ROUND((DG56*Parámetros!$G$85),2))</f>
        <v>0</v>
      </c>
      <c r="DK56" s="66">
        <f>+IF($W56="","",ROUND((DG56*(Parámetros!$G$86)),2))</f>
        <v>0</v>
      </c>
      <c r="DL56" s="66">
        <f t="shared" si="97"/>
        <v>0</v>
      </c>
      <c r="DM56" t="str">
        <f t="shared" si="143"/>
        <v>00065</v>
      </c>
      <c r="DN56" s="118" t="str">
        <f t="shared" si="144"/>
        <v>Exención pago de primas</v>
      </c>
      <c r="DO56" s="118">
        <f t="shared" si="145"/>
        <v>0</v>
      </c>
      <c r="DP56" s="118" t="str">
        <f t="shared" si="146"/>
        <v>A</v>
      </c>
      <c r="DQ56" s="122" t="str">
        <f>+IF(OR($W56="",DO56=0),"",ROUND((VLOOKUP(ROUNDDOWN($D56-1/frec,0),cob_adi,DB$40,FALSE)*(1+i/frec)^-0.5*(1+Parámetros!$D$103)*(1+rec_fracc)/frec),6))</f>
        <v/>
      </c>
      <c r="DR56" s="66">
        <f t="shared" si="102"/>
        <v>0</v>
      </c>
      <c r="DS56" s="68" t="str">
        <f t="shared" si="103"/>
        <v/>
      </c>
      <c r="DT56" s="66">
        <f>+IF($W56="","",ROUND(IF($B56&gt;Parámetros!$D$107,'Tablas Servicio'!DR56+('Tablas Servicio'!DT55-'Tablas Servicio'!DR55),DR56/(1-IF(B56&lt;=10,Parámetros!$D$100,0))),2))</f>
        <v>0</v>
      </c>
      <c r="DU56" s="66">
        <f t="shared" si="104"/>
        <v>0</v>
      </c>
      <c r="DV56" s="66">
        <f t="shared" si="104"/>
        <v>0</v>
      </c>
      <c r="DW56" s="66">
        <f>+IF($W56="","",ROUND((DT56*Parámetros!$G$85),2))</f>
        <v>0</v>
      </c>
      <c r="DX56" s="66">
        <f>+IF($W56="","",ROUND((DT56*(Parámetros!$G$86)),2))</f>
        <v>0</v>
      </c>
      <c r="DY56" s="66">
        <f t="shared" si="105"/>
        <v>0</v>
      </c>
      <c r="DZ56" t="str">
        <f t="shared" si="106"/>
        <v>00066</v>
      </c>
      <c r="EA56" s="118" t="str">
        <f t="shared" si="106"/>
        <v>Enfermedad terminal</v>
      </c>
      <c r="EB56" s="118">
        <f>+IF($W56="","",ROUND(IF(Parámetros!$D$25='TABLAS MORT'!$V$33,EB55,Z56/2),0))</f>
        <v>50000</v>
      </c>
      <c r="EC56" s="118" t="str">
        <f t="shared" si="106"/>
        <v>A</v>
      </c>
      <c r="ED56" s="122">
        <f>+IF(OR($W56="",EB56=0),"",ROUND((VLOOKUP(ROUNDDOWN($D56-1/frec,0),cob_adi,DO$40,FALSE)*(1+i/frec)^-0.5*(1+Parámetros!$D$103)*(1+rec_fracc)/frec),6))</f>
        <v>7.9999999999999996E-6</v>
      </c>
      <c r="EE56" s="66">
        <f t="shared" si="107"/>
        <v>0.4</v>
      </c>
      <c r="EF56" s="68">
        <f t="shared" si="108"/>
        <v>9.0000000000000002E-6</v>
      </c>
      <c r="EG56" s="66">
        <f>+IF($W56="","",ROUND(IF($B56&gt;Parámetros!$D$107,'Tablas Servicio'!EE56+('Tablas Servicio'!EG55-'Tablas Servicio'!EE55),EE56/(1-IF(B56&lt;=10,Parámetros!$D$100,0))),2))</f>
        <v>0.45</v>
      </c>
      <c r="EH56" s="66">
        <f t="shared" si="109"/>
        <v>0</v>
      </c>
      <c r="EI56" s="66">
        <f t="shared" si="109"/>
        <v>0</v>
      </c>
      <c r="EJ56" s="66">
        <f>+IF($W56="","",ROUND((EG56*Parámetros!$G$85),2))</f>
        <v>0.02</v>
      </c>
      <c r="EK56" s="66">
        <f>+IF($W56="","",ROUND((EG56*(Parámetros!$G$86)),2))</f>
        <v>0</v>
      </c>
      <c r="EL56" s="66">
        <f t="shared" si="110"/>
        <v>0.47</v>
      </c>
    </row>
    <row r="57" spans="1:142" x14ac:dyDescent="0.25">
      <c r="A57">
        <f>+IF($C57="","",ROUND(VLOOKUP('Tablas Servicio'!B57,Parámetros!$H$100:$J$159,IF(Parámetros!$E$16="F",2,3),FALSE),2))</f>
        <v>150</v>
      </c>
      <c r="B57">
        <f t="shared" si="27"/>
        <v>2</v>
      </c>
      <c r="C57" s="57">
        <f>+IF(D57="","",'Tablas Servicio'!C56+1)</f>
        <v>16</v>
      </c>
      <c r="D57" s="56">
        <f>+IF(D56&lt;edadmaxtabla,D56+1/Parámetros!$E$25,"")</f>
        <v>41.353333333333374</v>
      </c>
      <c r="E57" s="57">
        <f t="shared" si="37"/>
        <v>41</v>
      </c>
      <c r="F57" s="59">
        <f t="shared" si="38"/>
        <v>100000</v>
      </c>
      <c r="G57" s="66">
        <f t="shared" si="39"/>
        <v>25.07</v>
      </c>
      <c r="H57" s="66">
        <f t="shared" si="28"/>
        <v>26.07</v>
      </c>
      <c r="I57" s="66">
        <f t="shared" si="112"/>
        <v>59.88000000000001</v>
      </c>
      <c r="J57" s="66">
        <f t="shared" si="29"/>
        <v>0.88</v>
      </c>
      <c r="K57" s="66">
        <f t="shared" si="30"/>
        <v>0.12</v>
      </c>
      <c r="L57" s="66">
        <f t="shared" si="31"/>
        <v>0</v>
      </c>
      <c r="M57" s="66">
        <f t="shared" si="32"/>
        <v>0</v>
      </c>
      <c r="N57" s="66">
        <f>+IF(C57="","",ROUND(Parámetros!$D$23,2))</f>
        <v>94</v>
      </c>
      <c r="O57" s="66">
        <f t="shared" si="33"/>
        <v>12.3</v>
      </c>
      <c r="P57" s="66">
        <f>+IF($C57="","",ROUND(IF(B57&gt;Parámetros!$D$117,0,N57*Parámetros!$D$116-G57*Parámetros!$D$100),2))</f>
        <v>8.0500000000000007</v>
      </c>
      <c r="Q57" s="75">
        <f t="shared" si="113"/>
        <v>3.5101715197447148E-2</v>
      </c>
      <c r="R57" s="75">
        <f t="shared" si="114"/>
        <v>4.7865975269246108E-3</v>
      </c>
      <c r="S57" s="117">
        <f>+IF($C57="","",ROUND((S56+I57)*(1+Parámetros!$D$91),2))</f>
        <v>1002.78</v>
      </c>
      <c r="T57" s="117">
        <f>+IF($C57="","",ROUND(S57*VLOOKUP(B57,Parámetros!$C$30:$D$39,2,TRUE),2))</f>
        <v>0</v>
      </c>
      <c r="U57" s="117">
        <f>+IF($C57="","",ROUND((U56+I57)*(1+Parámetros!$D$92),2))</f>
        <v>1006.26</v>
      </c>
      <c r="V57" s="117">
        <f>+IF($C57="","",ROUND(U57*VLOOKUP(B57,Parámetros!$C$30:$D$39,2,TRUE),2))</f>
        <v>0</v>
      </c>
      <c r="W57" s="57">
        <f t="shared" si="115"/>
        <v>16</v>
      </c>
      <c r="X57" t="str">
        <f t="shared" si="116"/>
        <v>00058</v>
      </c>
      <c r="Y57" t="str">
        <f t="shared" si="117"/>
        <v>MUERTE POR CUALQUIER CAUSA</v>
      </c>
      <c r="Z57" s="118">
        <f>+IF($W57="","",ROUND(IF(Parámetros!$D$25='TABLAS MORT'!$V$33,Z56,Parámetros!$D$21-'Tablas Servicio'!T56),0))</f>
        <v>100000</v>
      </c>
      <c r="AA57" s="118" t="str">
        <f t="shared" si="118"/>
        <v>P</v>
      </c>
      <c r="AB57" s="119">
        <f>+IF(W57="","",ROUND((VLOOKUP(ROUNDDOWN($D57-1/frec,0),qx_tabla,2,FALSE)*(1+i/frec)^-0.5*(1+Parámetros!$D$103)*(1+rec_fracc)/frec),6))</f>
        <v>1.1900000000000001E-4</v>
      </c>
      <c r="AC57" s="66">
        <f t="shared" si="46"/>
        <v>11.9</v>
      </c>
      <c r="AD57" s="119">
        <f t="shared" si="35"/>
        <v>2.4600000000000002E-4</v>
      </c>
      <c r="AE57" s="66">
        <f>+IF($W57="","",ROUND(IF($B57&gt;Parámetros!$D$107,'Tablas Servicio'!AC57+('Tablas Servicio'!AG56-'Tablas Servicio'!AC56),AC57/(1-IF(B57&lt;=10,Parámetros!$D$104,Parámetros!$D$105))),2))</f>
        <v>24.62</v>
      </c>
      <c r="AF57" s="66">
        <f>+IF($W57="","",ROUND(IF($B57&gt;Parámetros!$D$107,'Tablas Servicio'!AC57+('Tablas Servicio'!AG56-'Tablas Servicio'!AC56),(AC57+$A56/frec)/(1-IF(B57&lt;=Parámetros!$D$117,Parámetros!$D$100,0))),2))</f>
        <v>27.62</v>
      </c>
      <c r="AG57" s="66">
        <f t="shared" si="111"/>
        <v>24.62</v>
      </c>
      <c r="AH57" s="66">
        <f t="shared" si="47"/>
        <v>0</v>
      </c>
      <c r="AI57" s="66">
        <f t="shared" si="48"/>
        <v>0</v>
      </c>
      <c r="AJ57" s="66">
        <f>+IF($W57="","",ROUND((AG57*Parámetros!$G$85),2))</f>
        <v>0.86</v>
      </c>
      <c r="AK57" s="66">
        <f>+IF($W57="","",ROUND((AG57*(Parámetros!$G$86)),2))</f>
        <v>0.12</v>
      </c>
      <c r="AL57" s="66">
        <f t="shared" si="36"/>
        <v>25.6</v>
      </c>
      <c r="AM57" t="str">
        <f t="shared" si="119"/>
        <v>00059</v>
      </c>
      <c r="AN57" t="str">
        <f t="shared" si="120"/>
        <v>Incapacidad Total y Permanente</v>
      </c>
      <c r="AO57" s="118">
        <f t="shared" si="121"/>
        <v>0</v>
      </c>
      <c r="AP57" s="118" t="str">
        <f t="shared" si="122"/>
        <v>A</v>
      </c>
      <c r="AQ57" s="119" t="str">
        <f>+IF(OR($W57="",AO57=0),"",ROUND((VLOOKUP(ROUNDDOWN($D57-1/frec,0),cob_adi,Z$40,FALSE)*(1+i/frec)^-0.5*(1+Parámetros!$D$103)*(1+rec_fracc)/frec),6))</f>
        <v/>
      </c>
      <c r="AR57" s="66">
        <f t="shared" si="53"/>
        <v>0</v>
      </c>
      <c r="AS57" s="119" t="str">
        <f t="shared" si="54"/>
        <v/>
      </c>
      <c r="AT57" s="66">
        <f>+IF($W57="","",ROUND(IF($B57&gt;Parámetros!$D$107,'Tablas Servicio'!AR57+('Tablas Servicio'!AT56-'Tablas Servicio'!AR56),AR57/(1-IF(B57&lt;=10,Parámetros!$D$100,0))),2))</f>
        <v>0</v>
      </c>
      <c r="AU57" s="66">
        <f t="shared" si="55"/>
        <v>0</v>
      </c>
      <c r="AV57" s="66">
        <f t="shared" si="55"/>
        <v>0</v>
      </c>
      <c r="AW57" s="66">
        <f>+IF($W57="","",ROUND((AT57*Parámetros!$G$85),2))</f>
        <v>0</v>
      </c>
      <c r="AX57" s="66">
        <f>+IF($W57="","",ROUND((AT57*(Parámetros!$G$86)),2))</f>
        <v>0</v>
      </c>
      <c r="AY57" s="66">
        <f t="shared" si="56"/>
        <v>0</v>
      </c>
      <c r="AZ57" t="str">
        <f t="shared" si="123"/>
        <v>00060</v>
      </c>
      <c r="BA57" t="str">
        <f t="shared" si="124"/>
        <v>Muerte Accidental</v>
      </c>
      <c r="BB57" s="118">
        <f t="shared" si="125"/>
        <v>0</v>
      </c>
      <c r="BC57" s="118" t="str">
        <f t="shared" si="126"/>
        <v>A</v>
      </c>
      <c r="BD57" s="119" t="str">
        <f>+IF(OR($W57="",BB57=0),"",ROUND((VLOOKUP(ROUNDDOWN($D57-1/frec,0),cob_adi,AO$40,FALSE)*(1+i/frec)^-0.5*(1+Parámetros!$D$103)*(1+rec_fracc)/frec),6))</f>
        <v/>
      </c>
      <c r="BE57" s="66">
        <f t="shared" si="61"/>
        <v>0</v>
      </c>
      <c r="BF57" s="119" t="str">
        <f t="shared" si="62"/>
        <v/>
      </c>
      <c r="BG57" s="66">
        <f>+IF($W57="","",ROUND(IF($B57&gt;Parámetros!$D$107,'Tablas Servicio'!BE57+('Tablas Servicio'!BG56-'Tablas Servicio'!BE56),BE57/(1-IF(B57&lt;=10,Parámetros!$D$100,0))),2))</f>
        <v>0</v>
      </c>
      <c r="BH57" s="66">
        <f t="shared" si="63"/>
        <v>0</v>
      </c>
      <c r="BI57" s="66">
        <f t="shared" si="64"/>
        <v>0</v>
      </c>
      <c r="BJ57" s="66">
        <f>+IF($W57="","",ROUND((BG57*Parámetros!$G$85),2))</f>
        <v>0</v>
      </c>
      <c r="BK57" s="66">
        <f>+IF($W57="","",ROUND((BG57*(Parámetros!$G$86)),2))</f>
        <v>0</v>
      </c>
      <c r="BL57" s="66">
        <f t="shared" si="65"/>
        <v>0</v>
      </c>
      <c r="BM57" t="str">
        <f t="shared" si="127"/>
        <v>00061</v>
      </c>
      <c r="BN57" t="str">
        <f t="shared" si="128"/>
        <v>Gastos de Entierro</v>
      </c>
      <c r="BO57" s="118">
        <f t="shared" si="129"/>
        <v>0</v>
      </c>
      <c r="BP57" s="118" t="str">
        <f t="shared" si="130"/>
        <v>A</v>
      </c>
      <c r="BQ57" s="119" t="str">
        <f>+IF(OR($W57="",BO57=0),"",ROUND((VLOOKUP(ROUNDDOWN($D57-1/frec,0),cob_adi,BB$40,FALSE)*(1+i/frec)^-0.5*(1+Parámetros!$D$103)*(1+rec_fracc)/frec),6))</f>
        <v/>
      </c>
      <c r="BR57" s="66">
        <f t="shared" si="70"/>
        <v>0</v>
      </c>
      <c r="BS57" s="119" t="str">
        <f t="shared" si="71"/>
        <v/>
      </c>
      <c r="BT57" s="66">
        <f>+IF($W57="","",ROUND(IF($B57&gt;Parámetros!$D$107,'Tablas Servicio'!BR57+('Tablas Servicio'!BT56-'Tablas Servicio'!BR56),BR57/(1-IF(B57&lt;=10,Parámetros!$D$100,0))),2))</f>
        <v>0</v>
      </c>
      <c r="BU57" s="66">
        <f t="shared" si="72"/>
        <v>0</v>
      </c>
      <c r="BV57" s="66">
        <f t="shared" si="72"/>
        <v>0</v>
      </c>
      <c r="BW57" s="66">
        <f>+IF($W57="","",ROUND((BT57*Parámetros!$G$85),2))</f>
        <v>0</v>
      </c>
      <c r="BX57" s="66">
        <f>+IF($W57="","",ROUND((BT57*(Parámetros!$G$86)),2))</f>
        <v>0</v>
      </c>
      <c r="BY57" s="66">
        <f t="shared" si="73"/>
        <v>0</v>
      </c>
      <c r="BZ57" t="str">
        <f t="shared" si="131"/>
        <v>00062</v>
      </c>
      <c r="CA57" t="str">
        <f t="shared" si="132"/>
        <v>Gastos médicos por accidente</v>
      </c>
      <c r="CB57" s="118">
        <f t="shared" si="133"/>
        <v>0</v>
      </c>
      <c r="CC57" s="118" t="str">
        <f t="shared" si="134"/>
        <v>A</v>
      </c>
      <c r="CD57" s="119" t="str">
        <f t="shared" si="78"/>
        <v/>
      </c>
      <c r="CE57" s="66">
        <f>+IF($W57="","",ROUND((VLOOKUP(ROUNDDOWN($D57-1/frec,0),cob_adi,BO$40,FALSE)*(1+i/frec)^-0.5*(1+Parámetros!$D$103)*(1+rec_fracc)/frec*'TABLAS ADI'!$BC$17),2))</f>
        <v>0</v>
      </c>
      <c r="CF57" s="119" t="str">
        <f t="shared" si="79"/>
        <v/>
      </c>
      <c r="CG57" s="66">
        <f>+IF($W57="","",ROUND(IF($B57&gt;Parámetros!$D$107,'Tablas Servicio'!CE57+('Tablas Servicio'!CG56-'Tablas Servicio'!CE56),CE57/(1-IF(B57&lt;=10,Parámetros!$D$100,0))),2))</f>
        <v>0</v>
      </c>
      <c r="CH57" s="66">
        <f t="shared" si="80"/>
        <v>0</v>
      </c>
      <c r="CI57" s="66">
        <f t="shared" si="80"/>
        <v>0</v>
      </c>
      <c r="CJ57" s="66">
        <f>+IF($W57="","",ROUND((CG57*Parámetros!$G$85),2))</f>
        <v>0</v>
      </c>
      <c r="CK57" s="66">
        <f>+IF($W57="","",ROUND((CG57*(Parámetros!$G$86)),2))</f>
        <v>0</v>
      </c>
      <c r="CL57" s="66">
        <f t="shared" si="81"/>
        <v>0</v>
      </c>
      <c r="CM57" t="str">
        <f t="shared" si="135"/>
        <v>00063</v>
      </c>
      <c r="CN57" s="118" t="str">
        <f t="shared" si="136"/>
        <v>Renta Diaria por Hospitalización</v>
      </c>
      <c r="CO57" s="118">
        <f t="shared" si="137"/>
        <v>0</v>
      </c>
      <c r="CP57" s="118" t="str">
        <f t="shared" si="138"/>
        <v>A</v>
      </c>
      <c r="CQ57" s="119" t="str">
        <f t="shared" si="86"/>
        <v/>
      </c>
      <c r="CR57" s="66">
        <f>+IF($W57="","",ROUND((VLOOKUP(Parámetros!$F$51,'COBERTURAS ADICIONALES'!$S$4:$T$32,2,FALSE)*(1+i/frec)^-0.5*(1+Parámetros!$D$103)*(1+rec_fracc)/frec*$CO$42),2))</f>
        <v>0</v>
      </c>
      <c r="CS57" s="119" t="str">
        <f t="shared" si="87"/>
        <v/>
      </c>
      <c r="CT57" s="66">
        <f>+IF($W57="","",ROUND(IF($B57&gt;Parámetros!$D$107,'Tablas Servicio'!CR57+('Tablas Servicio'!CT56-'Tablas Servicio'!CR56),CR57/(1-IF(B57&lt;=10,Parámetros!$D$100,0))),2))</f>
        <v>0</v>
      </c>
      <c r="CU57" s="66">
        <f t="shared" si="88"/>
        <v>0</v>
      </c>
      <c r="CV57" s="66">
        <f t="shared" si="88"/>
        <v>0</v>
      </c>
      <c r="CW57" s="66">
        <f>+IF($W57="","",ROUND((CT57*Parámetros!$G$85),2))</f>
        <v>0</v>
      </c>
      <c r="CX57" s="66">
        <f>+IF($W57="","",ROUND((CT57*(Parámetros!$G$86)),2))</f>
        <v>0</v>
      </c>
      <c r="CY57" s="66">
        <f t="shared" si="89"/>
        <v>0</v>
      </c>
      <c r="CZ57" t="str">
        <f t="shared" si="139"/>
        <v>00064</v>
      </c>
      <c r="DA57" s="118" t="str">
        <f t="shared" si="140"/>
        <v>Enfermedades Graves</v>
      </c>
      <c r="DB57" s="118">
        <f t="shared" si="141"/>
        <v>0</v>
      </c>
      <c r="DC57" s="118" t="str">
        <f t="shared" si="142"/>
        <v>A</v>
      </c>
      <c r="DD57" s="121" t="str">
        <f>+IF(OR($W57="",DB57=0),"",ROUND((VLOOKUP(ROUNDDOWN($D57-1/frec,0),cob_adi,CO$40,FALSE)*(1+i/frec)^-0.5*(1+Parámetros!$D$103)*(1+rec_fracc)/frec),6))</f>
        <v/>
      </c>
      <c r="DE57" s="66">
        <f t="shared" si="94"/>
        <v>0</v>
      </c>
      <c r="DF57" s="119" t="str">
        <f t="shared" si="95"/>
        <v/>
      </c>
      <c r="DG57" s="66">
        <f>+IF($W57="","",ROUND(IF($B57&gt;Parámetros!$D$107,'Tablas Servicio'!DE57+('Tablas Servicio'!DG56-'Tablas Servicio'!DE56),DE57/(1-IF(B57&lt;=10,Parámetros!$D$100,0))),2))</f>
        <v>0</v>
      </c>
      <c r="DH57" s="66">
        <f t="shared" si="96"/>
        <v>0</v>
      </c>
      <c r="DI57" s="66">
        <f t="shared" si="96"/>
        <v>0</v>
      </c>
      <c r="DJ57" s="66">
        <f>+IF($W57="","",ROUND((DG57*Parámetros!$G$85),2))</f>
        <v>0</v>
      </c>
      <c r="DK57" s="66">
        <f>+IF($W57="","",ROUND((DG57*(Parámetros!$G$86)),2))</f>
        <v>0</v>
      </c>
      <c r="DL57" s="66">
        <f t="shared" si="97"/>
        <v>0</v>
      </c>
      <c r="DM57" t="str">
        <f t="shared" si="143"/>
        <v>00065</v>
      </c>
      <c r="DN57" s="118" t="str">
        <f t="shared" si="144"/>
        <v>Exención pago de primas</v>
      </c>
      <c r="DO57" s="118">
        <f t="shared" si="145"/>
        <v>0</v>
      </c>
      <c r="DP57" s="118" t="str">
        <f t="shared" si="146"/>
        <v>A</v>
      </c>
      <c r="DQ57" s="122" t="str">
        <f>+IF(OR($W57="",DO57=0),"",ROUND((VLOOKUP(ROUNDDOWN($D57-1/frec,0),cob_adi,DB$40,FALSE)*(1+i/frec)^-0.5*(1+Parámetros!$D$103)*(1+rec_fracc)/frec),6))</f>
        <v/>
      </c>
      <c r="DR57" s="66">
        <f t="shared" si="102"/>
        <v>0</v>
      </c>
      <c r="DS57" s="68" t="str">
        <f t="shared" si="103"/>
        <v/>
      </c>
      <c r="DT57" s="66">
        <f>+IF($W57="","",ROUND(IF($B57&gt;Parámetros!$D$107,'Tablas Servicio'!DR57+('Tablas Servicio'!DT56-'Tablas Servicio'!DR56),DR57/(1-IF(B57&lt;=10,Parámetros!$D$100,0))),2))</f>
        <v>0</v>
      </c>
      <c r="DU57" s="66">
        <f t="shared" si="104"/>
        <v>0</v>
      </c>
      <c r="DV57" s="66">
        <f t="shared" si="104"/>
        <v>0</v>
      </c>
      <c r="DW57" s="66">
        <f>+IF($W57="","",ROUND((DT57*Parámetros!$G$85),2))</f>
        <v>0</v>
      </c>
      <c r="DX57" s="66">
        <f>+IF($W57="","",ROUND((DT57*(Parámetros!$G$86)),2))</f>
        <v>0</v>
      </c>
      <c r="DY57" s="66">
        <f t="shared" si="105"/>
        <v>0</v>
      </c>
      <c r="DZ57" t="str">
        <f t="shared" si="106"/>
        <v>00066</v>
      </c>
      <c r="EA57" s="118" t="str">
        <f t="shared" si="106"/>
        <v>Enfermedad terminal</v>
      </c>
      <c r="EB57" s="118">
        <f>+IF($W57="","",ROUND(IF(Parámetros!$D$25='TABLAS MORT'!$V$33,EB56,Z57/2),0))</f>
        <v>50000</v>
      </c>
      <c r="EC57" s="118" t="str">
        <f t="shared" si="106"/>
        <v>A</v>
      </c>
      <c r="ED57" s="122">
        <f>+IF(OR($W57="",EB57=0),"",ROUND((VLOOKUP(ROUNDDOWN($D57-1/frec,0),cob_adi,DO$40,FALSE)*(1+i/frec)^-0.5*(1+Parámetros!$D$103)*(1+rec_fracc)/frec),6))</f>
        <v>7.9999999999999996E-6</v>
      </c>
      <c r="EE57" s="66">
        <f t="shared" si="107"/>
        <v>0.4</v>
      </c>
      <c r="EF57" s="68">
        <f t="shared" si="108"/>
        <v>9.0000000000000002E-6</v>
      </c>
      <c r="EG57" s="66">
        <f>+IF($W57="","",ROUND(IF($B57&gt;Parámetros!$D$107,'Tablas Servicio'!EE57+('Tablas Servicio'!EG56-'Tablas Servicio'!EE56),EE57/(1-IF(B57&lt;=10,Parámetros!$D$100,0))),2))</f>
        <v>0.45</v>
      </c>
      <c r="EH57" s="66">
        <f t="shared" si="109"/>
        <v>0</v>
      </c>
      <c r="EI57" s="66">
        <f t="shared" si="109"/>
        <v>0</v>
      </c>
      <c r="EJ57" s="66">
        <f>+IF($W57="","",ROUND((EG57*Parámetros!$G$85),2))</f>
        <v>0.02</v>
      </c>
      <c r="EK57" s="66">
        <f>+IF($W57="","",ROUND((EG57*(Parámetros!$G$86)),2))</f>
        <v>0</v>
      </c>
      <c r="EL57" s="66">
        <f t="shared" si="110"/>
        <v>0.47</v>
      </c>
    </row>
    <row r="58" spans="1:142" x14ac:dyDescent="0.25">
      <c r="A58">
        <f>+IF($C58="","",ROUND(VLOOKUP('Tablas Servicio'!B58,Parámetros!$H$100:$J$159,IF(Parámetros!$E$16="F",2,3),FALSE),2))</f>
        <v>150</v>
      </c>
      <c r="B58">
        <f t="shared" si="27"/>
        <v>2</v>
      </c>
      <c r="C58" s="57">
        <f>+IF(D58="","",'Tablas Servicio'!C57+1)</f>
        <v>17</v>
      </c>
      <c r="D58" s="56">
        <f>+IF(D57&lt;edadmaxtabla,D57+1/Parámetros!$E$25,"")</f>
        <v>41.43666666666671</v>
      </c>
      <c r="E58" s="57">
        <f t="shared" si="37"/>
        <v>41</v>
      </c>
      <c r="F58" s="59">
        <f t="shared" si="38"/>
        <v>100000</v>
      </c>
      <c r="G58" s="66">
        <f t="shared" si="39"/>
        <v>25.07</v>
      </c>
      <c r="H58" s="66">
        <f t="shared" si="28"/>
        <v>26.07</v>
      </c>
      <c r="I58" s="66">
        <f t="shared" si="112"/>
        <v>59.88000000000001</v>
      </c>
      <c r="J58" s="66">
        <f t="shared" si="29"/>
        <v>0.88</v>
      </c>
      <c r="K58" s="66">
        <f t="shared" si="30"/>
        <v>0.12</v>
      </c>
      <c r="L58" s="66">
        <f t="shared" si="31"/>
        <v>0</v>
      </c>
      <c r="M58" s="66">
        <f t="shared" si="32"/>
        <v>0</v>
      </c>
      <c r="N58" s="66">
        <f>+IF(C58="","",ROUND(Parámetros!$D$23,2))</f>
        <v>94</v>
      </c>
      <c r="O58" s="66">
        <f t="shared" si="33"/>
        <v>12.3</v>
      </c>
      <c r="P58" s="66">
        <f>+IF($C58="","",ROUND(IF(B58&gt;Parámetros!$D$117,0,N58*Parámetros!$D$116-G58*Parámetros!$D$100),2))</f>
        <v>8.0500000000000007</v>
      </c>
      <c r="Q58" s="75">
        <f t="shared" si="113"/>
        <v>3.5101715197447148E-2</v>
      </c>
      <c r="R58" s="75">
        <f t="shared" si="114"/>
        <v>4.7865975269246108E-3</v>
      </c>
      <c r="S58" s="117">
        <f>+IF($C58="","",ROUND((S57+I58)*(1+Parámetros!$D$91),2))</f>
        <v>1065.67</v>
      </c>
      <c r="T58" s="117">
        <f>+IF($C58="","",ROUND(S58*VLOOKUP(B58,Parámetros!$C$30:$D$39,2,TRUE),2))</f>
        <v>0</v>
      </c>
      <c r="U58" s="117">
        <f>+IF($C58="","",ROUND((U57+I58)*(1+Parámetros!$D$92),2))</f>
        <v>1069.5999999999999</v>
      </c>
      <c r="V58" s="117">
        <f>+IF($C58="","",ROUND(U58*VLOOKUP(B58,Parámetros!$C$30:$D$39,2,TRUE),2))</f>
        <v>0</v>
      </c>
      <c r="W58" s="57">
        <f t="shared" si="115"/>
        <v>17</v>
      </c>
      <c r="X58" t="str">
        <f t="shared" si="116"/>
        <v>00058</v>
      </c>
      <c r="Y58" t="str">
        <f t="shared" si="117"/>
        <v>MUERTE POR CUALQUIER CAUSA</v>
      </c>
      <c r="Z58" s="118">
        <f>+IF($W58="","",ROUND(IF(Parámetros!$D$25='TABLAS MORT'!$V$33,Z57,Parámetros!$D$21-'Tablas Servicio'!T57),0))</f>
        <v>100000</v>
      </c>
      <c r="AA58" s="118" t="str">
        <f t="shared" si="118"/>
        <v>P</v>
      </c>
      <c r="AB58" s="119">
        <f>+IF(W58="","",ROUND((VLOOKUP(ROUNDDOWN($D58-1/frec,0),qx_tabla,2,FALSE)*(1+i/frec)^-0.5*(1+Parámetros!$D$103)*(1+rec_fracc)/frec),6))</f>
        <v>1.1900000000000001E-4</v>
      </c>
      <c r="AC58" s="66">
        <f t="shared" si="46"/>
        <v>11.9</v>
      </c>
      <c r="AD58" s="119">
        <f t="shared" si="35"/>
        <v>2.4600000000000002E-4</v>
      </c>
      <c r="AE58" s="66">
        <f>+IF($W58="","",ROUND(IF($B58&gt;Parámetros!$D$107,'Tablas Servicio'!AC58+('Tablas Servicio'!AG57-'Tablas Servicio'!AC57),AC58/(1-IF(B58&lt;=10,Parámetros!$D$104,Parámetros!$D$105))),2))</f>
        <v>24.62</v>
      </c>
      <c r="AF58" s="66">
        <f>+IF($W58="","",ROUND(IF($B58&gt;Parámetros!$D$107,'Tablas Servicio'!AC58+('Tablas Servicio'!AG57-'Tablas Servicio'!AC57),(AC58+$A57/frec)/(1-IF(B58&lt;=Parámetros!$D$117,Parámetros!$D$100,0))),2))</f>
        <v>27.62</v>
      </c>
      <c r="AG58" s="66">
        <f t="shared" si="111"/>
        <v>24.62</v>
      </c>
      <c r="AH58" s="66">
        <f t="shared" si="47"/>
        <v>0</v>
      </c>
      <c r="AI58" s="66">
        <f t="shared" si="48"/>
        <v>0</v>
      </c>
      <c r="AJ58" s="66">
        <f>+IF($W58="","",ROUND((AG58*Parámetros!$G$85),2))</f>
        <v>0.86</v>
      </c>
      <c r="AK58" s="66">
        <f>+IF($W58="","",ROUND((AG58*(Parámetros!$G$86)),2))</f>
        <v>0.12</v>
      </c>
      <c r="AL58" s="66">
        <f t="shared" si="36"/>
        <v>25.6</v>
      </c>
      <c r="AM58" t="str">
        <f t="shared" si="119"/>
        <v>00059</v>
      </c>
      <c r="AN58" t="str">
        <f t="shared" si="120"/>
        <v>Incapacidad Total y Permanente</v>
      </c>
      <c r="AO58" s="118">
        <f t="shared" si="121"/>
        <v>0</v>
      </c>
      <c r="AP58" s="118" t="str">
        <f t="shared" si="122"/>
        <v>A</v>
      </c>
      <c r="AQ58" s="119" t="str">
        <f>+IF(OR($W58="",AO58=0),"",ROUND((VLOOKUP(ROUNDDOWN($D58-1/frec,0),cob_adi,Z$40,FALSE)*(1+i/frec)^-0.5*(1+Parámetros!$D$103)*(1+rec_fracc)/frec),6))</f>
        <v/>
      </c>
      <c r="AR58" s="66">
        <f t="shared" si="53"/>
        <v>0</v>
      </c>
      <c r="AS58" s="119" t="str">
        <f t="shared" si="54"/>
        <v/>
      </c>
      <c r="AT58" s="66">
        <f>+IF($W58="","",ROUND(IF($B58&gt;Parámetros!$D$107,'Tablas Servicio'!AR58+('Tablas Servicio'!AT57-'Tablas Servicio'!AR57),AR58/(1-IF(B58&lt;=10,Parámetros!$D$100,0))),2))</f>
        <v>0</v>
      </c>
      <c r="AU58" s="66">
        <f t="shared" si="55"/>
        <v>0</v>
      </c>
      <c r="AV58" s="66">
        <f t="shared" si="55"/>
        <v>0</v>
      </c>
      <c r="AW58" s="66">
        <f>+IF($W58="","",ROUND((AT58*Parámetros!$G$85),2))</f>
        <v>0</v>
      </c>
      <c r="AX58" s="66">
        <f>+IF($W58="","",ROUND((AT58*(Parámetros!$G$86)),2))</f>
        <v>0</v>
      </c>
      <c r="AY58" s="66">
        <f t="shared" si="56"/>
        <v>0</v>
      </c>
      <c r="AZ58" t="str">
        <f t="shared" si="123"/>
        <v>00060</v>
      </c>
      <c r="BA58" t="str">
        <f t="shared" si="124"/>
        <v>Muerte Accidental</v>
      </c>
      <c r="BB58" s="118">
        <f t="shared" si="125"/>
        <v>0</v>
      </c>
      <c r="BC58" s="118" t="str">
        <f t="shared" si="126"/>
        <v>A</v>
      </c>
      <c r="BD58" s="119" t="str">
        <f>+IF(OR($W58="",BB58=0),"",ROUND((VLOOKUP(ROUNDDOWN($D58-1/frec,0),cob_adi,AO$40,FALSE)*(1+i/frec)^-0.5*(1+Parámetros!$D$103)*(1+rec_fracc)/frec),6))</f>
        <v/>
      </c>
      <c r="BE58" s="66">
        <f t="shared" si="61"/>
        <v>0</v>
      </c>
      <c r="BF58" s="119" t="str">
        <f t="shared" si="62"/>
        <v/>
      </c>
      <c r="BG58" s="66">
        <f>+IF($W58="","",ROUND(IF($B58&gt;Parámetros!$D$107,'Tablas Servicio'!BE58+('Tablas Servicio'!BG57-'Tablas Servicio'!BE57),BE58/(1-IF(B58&lt;=10,Parámetros!$D$100,0))),2))</f>
        <v>0</v>
      </c>
      <c r="BH58" s="66">
        <f t="shared" si="63"/>
        <v>0</v>
      </c>
      <c r="BI58" s="66">
        <f t="shared" si="64"/>
        <v>0</v>
      </c>
      <c r="BJ58" s="66">
        <f>+IF($W58="","",ROUND((BG58*Parámetros!$G$85),2))</f>
        <v>0</v>
      </c>
      <c r="BK58" s="66">
        <f>+IF($W58="","",ROUND((BG58*(Parámetros!$G$86)),2))</f>
        <v>0</v>
      </c>
      <c r="BL58" s="66">
        <f t="shared" si="65"/>
        <v>0</v>
      </c>
      <c r="BM58" t="str">
        <f t="shared" si="127"/>
        <v>00061</v>
      </c>
      <c r="BN58" t="str">
        <f t="shared" si="128"/>
        <v>Gastos de Entierro</v>
      </c>
      <c r="BO58" s="118">
        <f t="shared" si="129"/>
        <v>0</v>
      </c>
      <c r="BP58" s="118" t="str">
        <f t="shared" si="130"/>
        <v>A</v>
      </c>
      <c r="BQ58" s="119" t="str">
        <f>+IF(OR($W58="",BO58=0),"",ROUND((VLOOKUP(ROUNDDOWN($D58-1/frec,0),cob_adi,BB$40,FALSE)*(1+i/frec)^-0.5*(1+Parámetros!$D$103)*(1+rec_fracc)/frec),6))</f>
        <v/>
      </c>
      <c r="BR58" s="66">
        <f t="shared" si="70"/>
        <v>0</v>
      </c>
      <c r="BS58" s="119" t="str">
        <f t="shared" si="71"/>
        <v/>
      </c>
      <c r="BT58" s="66">
        <f>+IF($W58="","",ROUND(IF($B58&gt;Parámetros!$D$107,'Tablas Servicio'!BR58+('Tablas Servicio'!BT57-'Tablas Servicio'!BR57),BR58/(1-IF(B58&lt;=10,Parámetros!$D$100,0))),2))</f>
        <v>0</v>
      </c>
      <c r="BU58" s="66">
        <f t="shared" si="72"/>
        <v>0</v>
      </c>
      <c r="BV58" s="66">
        <f t="shared" si="72"/>
        <v>0</v>
      </c>
      <c r="BW58" s="66">
        <f>+IF($W58="","",ROUND((BT58*Parámetros!$G$85),2))</f>
        <v>0</v>
      </c>
      <c r="BX58" s="66">
        <f>+IF($W58="","",ROUND((BT58*(Parámetros!$G$86)),2))</f>
        <v>0</v>
      </c>
      <c r="BY58" s="66">
        <f t="shared" si="73"/>
        <v>0</v>
      </c>
      <c r="BZ58" t="str">
        <f t="shared" si="131"/>
        <v>00062</v>
      </c>
      <c r="CA58" t="str">
        <f t="shared" si="132"/>
        <v>Gastos médicos por accidente</v>
      </c>
      <c r="CB58" s="118">
        <f t="shared" si="133"/>
        <v>0</v>
      </c>
      <c r="CC58" s="118" t="str">
        <f t="shared" si="134"/>
        <v>A</v>
      </c>
      <c r="CD58" s="119" t="str">
        <f t="shared" si="78"/>
        <v/>
      </c>
      <c r="CE58" s="66">
        <f>+IF($W58="","",ROUND((VLOOKUP(ROUNDDOWN($D58-1/frec,0),cob_adi,BO$40,FALSE)*(1+i/frec)^-0.5*(1+Parámetros!$D$103)*(1+rec_fracc)/frec*'TABLAS ADI'!$BC$17),2))</f>
        <v>0</v>
      </c>
      <c r="CF58" s="119" t="str">
        <f t="shared" si="79"/>
        <v/>
      </c>
      <c r="CG58" s="66">
        <f>+IF($W58="","",ROUND(IF($B58&gt;Parámetros!$D$107,'Tablas Servicio'!CE58+('Tablas Servicio'!CG57-'Tablas Servicio'!CE57),CE58/(1-IF(B58&lt;=10,Parámetros!$D$100,0))),2))</f>
        <v>0</v>
      </c>
      <c r="CH58" s="66">
        <f t="shared" si="80"/>
        <v>0</v>
      </c>
      <c r="CI58" s="66">
        <f t="shared" si="80"/>
        <v>0</v>
      </c>
      <c r="CJ58" s="66">
        <f>+IF($W58="","",ROUND((CG58*Parámetros!$G$85),2))</f>
        <v>0</v>
      </c>
      <c r="CK58" s="66">
        <f>+IF($W58="","",ROUND((CG58*(Parámetros!$G$86)),2))</f>
        <v>0</v>
      </c>
      <c r="CL58" s="66">
        <f t="shared" si="81"/>
        <v>0</v>
      </c>
      <c r="CM58" t="str">
        <f t="shared" si="135"/>
        <v>00063</v>
      </c>
      <c r="CN58" s="118" t="str">
        <f t="shared" si="136"/>
        <v>Renta Diaria por Hospitalización</v>
      </c>
      <c r="CO58" s="118">
        <f t="shared" si="137"/>
        <v>0</v>
      </c>
      <c r="CP58" s="118" t="str">
        <f t="shared" si="138"/>
        <v>A</v>
      </c>
      <c r="CQ58" s="119" t="str">
        <f t="shared" si="86"/>
        <v/>
      </c>
      <c r="CR58" s="66">
        <f>+IF($W58="","",ROUND((VLOOKUP(Parámetros!$F$51,'COBERTURAS ADICIONALES'!$S$4:$T$32,2,FALSE)*(1+i/frec)^-0.5*(1+Parámetros!$D$103)*(1+rec_fracc)/frec*$CO$42),2))</f>
        <v>0</v>
      </c>
      <c r="CS58" s="119" t="str">
        <f t="shared" si="87"/>
        <v/>
      </c>
      <c r="CT58" s="66">
        <f>+IF($W58="","",ROUND(IF($B58&gt;Parámetros!$D$107,'Tablas Servicio'!CR58+('Tablas Servicio'!CT57-'Tablas Servicio'!CR57),CR58/(1-IF(B58&lt;=10,Parámetros!$D$100,0))),2))</f>
        <v>0</v>
      </c>
      <c r="CU58" s="66">
        <f t="shared" si="88"/>
        <v>0</v>
      </c>
      <c r="CV58" s="66">
        <f t="shared" si="88"/>
        <v>0</v>
      </c>
      <c r="CW58" s="66">
        <f>+IF($W58="","",ROUND((CT58*Parámetros!$G$85),2))</f>
        <v>0</v>
      </c>
      <c r="CX58" s="66">
        <f>+IF($W58="","",ROUND((CT58*(Parámetros!$G$86)),2))</f>
        <v>0</v>
      </c>
      <c r="CY58" s="66">
        <f t="shared" si="89"/>
        <v>0</v>
      </c>
      <c r="CZ58" t="str">
        <f t="shared" si="139"/>
        <v>00064</v>
      </c>
      <c r="DA58" s="118" t="str">
        <f t="shared" si="140"/>
        <v>Enfermedades Graves</v>
      </c>
      <c r="DB58" s="118">
        <f t="shared" si="141"/>
        <v>0</v>
      </c>
      <c r="DC58" s="118" t="str">
        <f t="shared" si="142"/>
        <v>A</v>
      </c>
      <c r="DD58" s="121" t="str">
        <f>+IF(OR($W58="",DB58=0),"",ROUND((VLOOKUP(ROUNDDOWN($D58-1/frec,0),cob_adi,CO$40,FALSE)*(1+i/frec)^-0.5*(1+Parámetros!$D$103)*(1+rec_fracc)/frec),6))</f>
        <v/>
      </c>
      <c r="DE58" s="66">
        <f t="shared" si="94"/>
        <v>0</v>
      </c>
      <c r="DF58" s="119" t="str">
        <f t="shared" si="95"/>
        <v/>
      </c>
      <c r="DG58" s="66">
        <f>+IF($W58="","",ROUND(IF($B58&gt;Parámetros!$D$107,'Tablas Servicio'!DE58+('Tablas Servicio'!DG57-'Tablas Servicio'!DE57),DE58/(1-IF(B58&lt;=10,Parámetros!$D$100,0))),2))</f>
        <v>0</v>
      </c>
      <c r="DH58" s="66">
        <f t="shared" si="96"/>
        <v>0</v>
      </c>
      <c r="DI58" s="66">
        <f t="shared" si="96"/>
        <v>0</v>
      </c>
      <c r="DJ58" s="66">
        <f>+IF($W58="","",ROUND((DG58*Parámetros!$G$85),2))</f>
        <v>0</v>
      </c>
      <c r="DK58" s="66">
        <f>+IF($W58="","",ROUND((DG58*(Parámetros!$G$86)),2))</f>
        <v>0</v>
      </c>
      <c r="DL58" s="66">
        <f t="shared" si="97"/>
        <v>0</v>
      </c>
      <c r="DM58" t="str">
        <f t="shared" si="143"/>
        <v>00065</v>
      </c>
      <c r="DN58" s="118" t="str">
        <f t="shared" si="144"/>
        <v>Exención pago de primas</v>
      </c>
      <c r="DO58" s="118">
        <f t="shared" si="145"/>
        <v>0</v>
      </c>
      <c r="DP58" s="118" t="str">
        <f t="shared" si="146"/>
        <v>A</v>
      </c>
      <c r="DQ58" s="122" t="str">
        <f>+IF(OR($W58="",DO58=0),"",ROUND((VLOOKUP(ROUNDDOWN($D58-1/frec,0),cob_adi,DB$40,FALSE)*(1+i/frec)^-0.5*(1+Parámetros!$D$103)*(1+rec_fracc)/frec),6))</f>
        <v/>
      </c>
      <c r="DR58" s="66">
        <f t="shared" si="102"/>
        <v>0</v>
      </c>
      <c r="DS58" s="68" t="str">
        <f t="shared" si="103"/>
        <v/>
      </c>
      <c r="DT58" s="66">
        <f>+IF($W58="","",ROUND(IF($B58&gt;Parámetros!$D$107,'Tablas Servicio'!DR58+('Tablas Servicio'!DT57-'Tablas Servicio'!DR57),DR58/(1-IF(B58&lt;=10,Parámetros!$D$100,0))),2))</f>
        <v>0</v>
      </c>
      <c r="DU58" s="66">
        <f t="shared" si="104"/>
        <v>0</v>
      </c>
      <c r="DV58" s="66">
        <f t="shared" si="104"/>
        <v>0</v>
      </c>
      <c r="DW58" s="66">
        <f>+IF($W58="","",ROUND((DT58*Parámetros!$G$85),2))</f>
        <v>0</v>
      </c>
      <c r="DX58" s="66">
        <f>+IF($W58="","",ROUND((DT58*(Parámetros!$G$86)),2))</f>
        <v>0</v>
      </c>
      <c r="DY58" s="66">
        <f t="shared" si="105"/>
        <v>0</v>
      </c>
      <c r="DZ58" t="str">
        <f t="shared" si="106"/>
        <v>00066</v>
      </c>
      <c r="EA58" s="118" t="str">
        <f t="shared" si="106"/>
        <v>Enfermedad terminal</v>
      </c>
      <c r="EB58" s="118">
        <f>+IF($W58="","",ROUND(IF(Parámetros!$D$25='TABLAS MORT'!$V$33,EB57,Z58/2),0))</f>
        <v>50000</v>
      </c>
      <c r="EC58" s="118" t="str">
        <f t="shared" si="106"/>
        <v>A</v>
      </c>
      <c r="ED58" s="122">
        <f>+IF(OR($W58="",EB58=0),"",ROUND((VLOOKUP(ROUNDDOWN($D58-1/frec,0),cob_adi,DO$40,FALSE)*(1+i/frec)^-0.5*(1+Parámetros!$D$103)*(1+rec_fracc)/frec),6))</f>
        <v>7.9999999999999996E-6</v>
      </c>
      <c r="EE58" s="66">
        <f t="shared" si="107"/>
        <v>0.4</v>
      </c>
      <c r="EF58" s="68">
        <f t="shared" si="108"/>
        <v>9.0000000000000002E-6</v>
      </c>
      <c r="EG58" s="66">
        <f>+IF($W58="","",ROUND(IF($B58&gt;Parámetros!$D$107,'Tablas Servicio'!EE58+('Tablas Servicio'!EG57-'Tablas Servicio'!EE57),EE58/(1-IF(B58&lt;=10,Parámetros!$D$100,0))),2))</f>
        <v>0.45</v>
      </c>
      <c r="EH58" s="66">
        <f t="shared" si="109"/>
        <v>0</v>
      </c>
      <c r="EI58" s="66">
        <f t="shared" si="109"/>
        <v>0</v>
      </c>
      <c r="EJ58" s="66">
        <f>+IF($W58="","",ROUND((EG58*Parámetros!$G$85),2))</f>
        <v>0.02</v>
      </c>
      <c r="EK58" s="66">
        <f>+IF($W58="","",ROUND((EG58*(Parámetros!$G$86)),2))</f>
        <v>0</v>
      </c>
      <c r="EL58" s="66">
        <f t="shared" si="110"/>
        <v>0.47</v>
      </c>
    </row>
    <row r="59" spans="1:142" x14ac:dyDescent="0.25">
      <c r="A59">
        <f>+IF($C59="","",ROUND(VLOOKUP('Tablas Servicio'!B59,Parámetros!$H$100:$J$159,IF(Parámetros!$E$16="F",2,3),FALSE),2))</f>
        <v>150</v>
      </c>
      <c r="B59">
        <f t="shared" si="27"/>
        <v>2</v>
      </c>
      <c r="C59" s="57">
        <f>+IF(D59="","",'Tablas Servicio'!C58+1)</f>
        <v>18</v>
      </c>
      <c r="D59" s="56">
        <f>+IF(D58&lt;edadmaxtabla,D58+1/Parámetros!$E$25,"")</f>
        <v>41.520000000000046</v>
      </c>
      <c r="E59" s="57">
        <f t="shared" si="37"/>
        <v>41</v>
      </c>
      <c r="F59" s="59">
        <f t="shared" si="38"/>
        <v>100000</v>
      </c>
      <c r="G59" s="66">
        <f t="shared" si="39"/>
        <v>25.07</v>
      </c>
      <c r="H59" s="66">
        <f t="shared" si="28"/>
        <v>26.07</v>
      </c>
      <c r="I59" s="66">
        <f t="shared" si="112"/>
        <v>59.88000000000001</v>
      </c>
      <c r="J59" s="66">
        <f t="shared" si="29"/>
        <v>0.88</v>
      </c>
      <c r="K59" s="66">
        <f t="shared" si="30"/>
        <v>0.12</v>
      </c>
      <c r="L59" s="66">
        <f t="shared" si="31"/>
        <v>0</v>
      </c>
      <c r="M59" s="66">
        <f t="shared" si="32"/>
        <v>0</v>
      </c>
      <c r="N59" s="66">
        <f>+IF(C59="","",ROUND(Parámetros!$D$23,2))</f>
        <v>94</v>
      </c>
      <c r="O59" s="66">
        <f t="shared" si="33"/>
        <v>12.3</v>
      </c>
      <c r="P59" s="66">
        <f>+IF($C59="","",ROUND(IF(B59&gt;Parámetros!$D$117,0,N59*Parámetros!$D$116-G59*Parámetros!$D$100),2))</f>
        <v>8.0500000000000007</v>
      </c>
      <c r="Q59" s="75">
        <f t="shared" si="113"/>
        <v>3.5101715197447148E-2</v>
      </c>
      <c r="R59" s="75">
        <f t="shared" si="114"/>
        <v>4.7865975269246108E-3</v>
      </c>
      <c r="S59" s="117">
        <f>+IF($C59="","",ROUND((S58+I59)*(1+Parámetros!$D$91),2))</f>
        <v>1128.74</v>
      </c>
      <c r="T59" s="117">
        <f>+IF($C59="","",ROUND(S59*VLOOKUP(B59,Parámetros!$C$30:$D$39,2,TRUE),2))</f>
        <v>0</v>
      </c>
      <c r="U59" s="117">
        <f>+IF($C59="","",ROUND((U58+I59)*(1+Parámetros!$D$92),2))</f>
        <v>1133.1400000000001</v>
      </c>
      <c r="V59" s="117">
        <f>+IF($C59="","",ROUND(U59*VLOOKUP(B59,Parámetros!$C$30:$D$39,2,TRUE),2))</f>
        <v>0</v>
      </c>
      <c r="W59" s="57">
        <f t="shared" si="115"/>
        <v>18</v>
      </c>
      <c r="X59" t="str">
        <f t="shared" si="116"/>
        <v>00058</v>
      </c>
      <c r="Y59" t="str">
        <f t="shared" si="117"/>
        <v>MUERTE POR CUALQUIER CAUSA</v>
      </c>
      <c r="Z59" s="118">
        <f>+IF($W59="","",ROUND(IF(Parámetros!$D$25='TABLAS MORT'!$V$33,Z58,Parámetros!$D$21-'Tablas Servicio'!T58),0))</f>
        <v>100000</v>
      </c>
      <c r="AA59" s="118" t="str">
        <f t="shared" si="118"/>
        <v>P</v>
      </c>
      <c r="AB59" s="119">
        <f>+IF(W59="","",ROUND((VLOOKUP(ROUNDDOWN($D59-1/frec,0),qx_tabla,2,FALSE)*(1+i/frec)^-0.5*(1+Parámetros!$D$103)*(1+rec_fracc)/frec),6))</f>
        <v>1.1900000000000001E-4</v>
      </c>
      <c r="AC59" s="66">
        <f t="shared" si="46"/>
        <v>11.9</v>
      </c>
      <c r="AD59" s="119">
        <f t="shared" si="35"/>
        <v>2.4600000000000002E-4</v>
      </c>
      <c r="AE59" s="66">
        <f>+IF($W59="","",ROUND(IF($B59&gt;Parámetros!$D$107,'Tablas Servicio'!AC59+('Tablas Servicio'!AG58-'Tablas Servicio'!AC58),AC59/(1-IF(B59&lt;=10,Parámetros!$D$104,Parámetros!$D$105))),2))</f>
        <v>24.62</v>
      </c>
      <c r="AF59" s="66">
        <f>+IF($W59="","",ROUND(IF($B59&gt;Parámetros!$D$107,'Tablas Servicio'!AC59+('Tablas Servicio'!AG58-'Tablas Servicio'!AC58),(AC59+$A58/frec)/(1-IF(B59&lt;=Parámetros!$D$117,Parámetros!$D$100,0))),2))</f>
        <v>27.62</v>
      </c>
      <c r="AG59" s="66">
        <f t="shared" si="111"/>
        <v>24.62</v>
      </c>
      <c r="AH59" s="66">
        <f t="shared" si="47"/>
        <v>0</v>
      </c>
      <c r="AI59" s="66">
        <f t="shared" si="48"/>
        <v>0</v>
      </c>
      <c r="AJ59" s="66">
        <f>+IF($W59="","",ROUND((AG59*Parámetros!$G$85),2))</f>
        <v>0.86</v>
      </c>
      <c r="AK59" s="66">
        <f>+IF($W59="","",ROUND((AG59*(Parámetros!$G$86)),2))</f>
        <v>0.12</v>
      </c>
      <c r="AL59" s="66">
        <f t="shared" si="36"/>
        <v>25.6</v>
      </c>
      <c r="AM59" t="str">
        <f t="shared" si="119"/>
        <v>00059</v>
      </c>
      <c r="AN59" t="str">
        <f t="shared" si="120"/>
        <v>Incapacidad Total y Permanente</v>
      </c>
      <c r="AO59" s="118">
        <f t="shared" si="121"/>
        <v>0</v>
      </c>
      <c r="AP59" s="118" t="str">
        <f t="shared" si="122"/>
        <v>A</v>
      </c>
      <c r="AQ59" s="119" t="str">
        <f>+IF(OR($W59="",AO59=0),"",ROUND((VLOOKUP(ROUNDDOWN($D59-1/frec,0),cob_adi,Z$40,FALSE)*(1+i/frec)^-0.5*(1+Parámetros!$D$103)*(1+rec_fracc)/frec),6))</f>
        <v/>
      </c>
      <c r="AR59" s="66">
        <f t="shared" si="53"/>
        <v>0</v>
      </c>
      <c r="AS59" s="119" t="str">
        <f t="shared" si="54"/>
        <v/>
      </c>
      <c r="AT59" s="66">
        <f>+IF($W59="","",ROUND(IF($B59&gt;Parámetros!$D$107,'Tablas Servicio'!AR59+('Tablas Servicio'!AT58-'Tablas Servicio'!AR58),AR59/(1-IF(B59&lt;=10,Parámetros!$D$100,0))),2))</f>
        <v>0</v>
      </c>
      <c r="AU59" s="66">
        <f t="shared" si="55"/>
        <v>0</v>
      </c>
      <c r="AV59" s="66">
        <f t="shared" si="55"/>
        <v>0</v>
      </c>
      <c r="AW59" s="66">
        <f>+IF($W59="","",ROUND((AT59*Parámetros!$G$85),2))</f>
        <v>0</v>
      </c>
      <c r="AX59" s="66">
        <f>+IF($W59="","",ROUND((AT59*(Parámetros!$G$86)),2))</f>
        <v>0</v>
      </c>
      <c r="AY59" s="66">
        <f t="shared" si="56"/>
        <v>0</v>
      </c>
      <c r="AZ59" t="str">
        <f t="shared" si="123"/>
        <v>00060</v>
      </c>
      <c r="BA59" t="str">
        <f t="shared" si="124"/>
        <v>Muerte Accidental</v>
      </c>
      <c r="BB59" s="118">
        <f t="shared" si="125"/>
        <v>0</v>
      </c>
      <c r="BC59" s="118" t="str">
        <f t="shared" si="126"/>
        <v>A</v>
      </c>
      <c r="BD59" s="119" t="str">
        <f>+IF(OR($W59="",BB59=0),"",ROUND((VLOOKUP(ROUNDDOWN($D59-1/frec,0),cob_adi,AO$40,FALSE)*(1+i/frec)^-0.5*(1+Parámetros!$D$103)*(1+rec_fracc)/frec),6))</f>
        <v/>
      </c>
      <c r="BE59" s="66">
        <f t="shared" si="61"/>
        <v>0</v>
      </c>
      <c r="BF59" s="119" t="str">
        <f t="shared" si="62"/>
        <v/>
      </c>
      <c r="BG59" s="66">
        <f>+IF($W59="","",ROUND(IF($B59&gt;Parámetros!$D$107,'Tablas Servicio'!BE59+('Tablas Servicio'!BG58-'Tablas Servicio'!BE58),BE59/(1-IF(B59&lt;=10,Parámetros!$D$100,0))),2))</f>
        <v>0</v>
      </c>
      <c r="BH59" s="66">
        <f t="shared" si="63"/>
        <v>0</v>
      </c>
      <c r="BI59" s="66">
        <f t="shared" si="64"/>
        <v>0</v>
      </c>
      <c r="BJ59" s="66">
        <f>+IF($W59="","",ROUND((BG59*Parámetros!$G$85),2))</f>
        <v>0</v>
      </c>
      <c r="BK59" s="66">
        <f>+IF($W59="","",ROUND((BG59*(Parámetros!$G$86)),2))</f>
        <v>0</v>
      </c>
      <c r="BL59" s="66">
        <f t="shared" si="65"/>
        <v>0</v>
      </c>
      <c r="BM59" t="str">
        <f t="shared" si="127"/>
        <v>00061</v>
      </c>
      <c r="BN59" t="str">
        <f t="shared" si="128"/>
        <v>Gastos de Entierro</v>
      </c>
      <c r="BO59" s="118">
        <f t="shared" si="129"/>
        <v>0</v>
      </c>
      <c r="BP59" s="118" t="str">
        <f t="shared" si="130"/>
        <v>A</v>
      </c>
      <c r="BQ59" s="119" t="str">
        <f>+IF(OR($W59="",BO59=0),"",ROUND((VLOOKUP(ROUNDDOWN($D59-1/frec,0),cob_adi,BB$40,FALSE)*(1+i/frec)^-0.5*(1+Parámetros!$D$103)*(1+rec_fracc)/frec),6))</f>
        <v/>
      </c>
      <c r="BR59" s="66">
        <f t="shared" si="70"/>
        <v>0</v>
      </c>
      <c r="BS59" s="119" t="str">
        <f t="shared" si="71"/>
        <v/>
      </c>
      <c r="BT59" s="66">
        <f>+IF($W59="","",ROUND(IF($B59&gt;Parámetros!$D$107,'Tablas Servicio'!BR59+('Tablas Servicio'!BT58-'Tablas Servicio'!BR58),BR59/(1-IF(B59&lt;=10,Parámetros!$D$100,0))),2))</f>
        <v>0</v>
      </c>
      <c r="BU59" s="66">
        <f t="shared" si="72"/>
        <v>0</v>
      </c>
      <c r="BV59" s="66">
        <f t="shared" si="72"/>
        <v>0</v>
      </c>
      <c r="BW59" s="66">
        <f>+IF($W59="","",ROUND((BT59*Parámetros!$G$85),2))</f>
        <v>0</v>
      </c>
      <c r="BX59" s="66">
        <f>+IF($W59="","",ROUND((BT59*(Parámetros!$G$86)),2))</f>
        <v>0</v>
      </c>
      <c r="BY59" s="66">
        <f t="shared" si="73"/>
        <v>0</v>
      </c>
      <c r="BZ59" t="str">
        <f t="shared" si="131"/>
        <v>00062</v>
      </c>
      <c r="CA59" t="str">
        <f t="shared" si="132"/>
        <v>Gastos médicos por accidente</v>
      </c>
      <c r="CB59" s="118">
        <f t="shared" si="133"/>
        <v>0</v>
      </c>
      <c r="CC59" s="118" t="str">
        <f t="shared" si="134"/>
        <v>A</v>
      </c>
      <c r="CD59" s="119" t="str">
        <f t="shared" si="78"/>
        <v/>
      </c>
      <c r="CE59" s="66">
        <f>+IF($W59="","",ROUND((VLOOKUP(ROUNDDOWN($D59-1/frec,0),cob_adi,BO$40,FALSE)*(1+i/frec)^-0.5*(1+Parámetros!$D$103)*(1+rec_fracc)/frec*'TABLAS ADI'!$BC$17),2))</f>
        <v>0</v>
      </c>
      <c r="CF59" s="119" t="str">
        <f t="shared" si="79"/>
        <v/>
      </c>
      <c r="CG59" s="66">
        <f>+IF($W59="","",ROUND(IF($B59&gt;Parámetros!$D$107,'Tablas Servicio'!CE59+('Tablas Servicio'!CG58-'Tablas Servicio'!CE58),CE59/(1-IF(B59&lt;=10,Parámetros!$D$100,0))),2))</f>
        <v>0</v>
      </c>
      <c r="CH59" s="66">
        <f t="shared" si="80"/>
        <v>0</v>
      </c>
      <c r="CI59" s="66">
        <f t="shared" si="80"/>
        <v>0</v>
      </c>
      <c r="CJ59" s="66">
        <f>+IF($W59="","",ROUND((CG59*Parámetros!$G$85),2))</f>
        <v>0</v>
      </c>
      <c r="CK59" s="66">
        <f>+IF($W59="","",ROUND((CG59*(Parámetros!$G$86)),2))</f>
        <v>0</v>
      </c>
      <c r="CL59" s="66">
        <f t="shared" si="81"/>
        <v>0</v>
      </c>
      <c r="CM59" t="str">
        <f t="shared" si="135"/>
        <v>00063</v>
      </c>
      <c r="CN59" s="118" t="str">
        <f t="shared" si="136"/>
        <v>Renta Diaria por Hospitalización</v>
      </c>
      <c r="CO59" s="118">
        <f t="shared" si="137"/>
        <v>0</v>
      </c>
      <c r="CP59" s="118" t="str">
        <f t="shared" si="138"/>
        <v>A</v>
      </c>
      <c r="CQ59" s="119" t="str">
        <f t="shared" si="86"/>
        <v/>
      </c>
      <c r="CR59" s="66">
        <f>+IF($W59="","",ROUND((VLOOKUP(Parámetros!$F$51,'COBERTURAS ADICIONALES'!$S$4:$T$32,2,FALSE)*(1+i/frec)^-0.5*(1+Parámetros!$D$103)*(1+rec_fracc)/frec*$CO$42),2))</f>
        <v>0</v>
      </c>
      <c r="CS59" s="119" t="str">
        <f t="shared" si="87"/>
        <v/>
      </c>
      <c r="CT59" s="66">
        <f>+IF($W59="","",ROUND(IF($B59&gt;Parámetros!$D$107,'Tablas Servicio'!CR59+('Tablas Servicio'!CT58-'Tablas Servicio'!CR58),CR59/(1-IF(B59&lt;=10,Parámetros!$D$100,0))),2))</f>
        <v>0</v>
      </c>
      <c r="CU59" s="66">
        <f t="shared" si="88"/>
        <v>0</v>
      </c>
      <c r="CV59" s="66">
        <f t="shared" si="88"/>
        <v>0</v>
      </c>
      <c r="CW59" s="66">
        <f>+IF($W59="","",ROUND((CT59*Parámetros!$G$85),2))</f>
        <v>0</v>
      </c>
      <c r="CX59" s="66">
        <f>+IF($W59="","",ROUND((CT59*(Parámetros!$G$86)),2))</f>
        <v>0</v>
      </c>
      <c r="CY59" s="66">
        <f t="shared" si="89"/>
        <v>0</v>
      </c>
      <c r="CZ59" t="str">
        <f t="shared" si="139"/>
        <v>00064</v>
      </c>
      <c r="DA59" s="118" t="str">
        <f t="shared" si="140"/>
        <v>Enfermedades Graves</v>
      </c>
      <c r="DB59" s="118">
        <f t="shared" si="141"/>
        <v>0</v>
      </c>
      <c r="DC59" s="118" t="str">
        <f t="shared" si="142"/>
        <v>A</v>
      </c>
      <c r="DD59" s="121" t="str">
        <f>+IF(OR($W59="",DB59=0),"",ROUND((VLOOKUP(ROUNDDOWN($D59-1/frec,0),cob_adi,CO$40,FALSE)*(1+i/frec)^-0.5*(1+Parámetros!$D$103)*(1+rec_fracc)/frec),6))</f>
        <v/>
      </c>
      <c r="DE59" s="66">
        <f t="shared" si="94"/>
        <v>0</v>
      </c>
      <c r="DF59" s="119" t="str">
        <f t="shared" si="95"/>
        <v/>
      </c>
      <c r="DG59" s="66">
        <f>+IF($W59="","",ROUND(IF($B59&gt;Parámetros!$D$107,'Tablas Servicio'!DE59+('Tablas Servicio'!DG58-'Tablas Servicio'!DE58),DE59/(1-IF(B59&lt;=10,Parámetros!$D$100,0))),2))</f>
        <v>0</v>
      </c>
      <c r="DH59" s="66">
        <f t="shared" si="96"/>
        <v>0</v>
      </c>
      <c r="DI59" s="66">
        <f t="shared" si="96"/>
        <v>0</v>
      </c>
      <c r="DJ59" s="66">
        <f>+IF($W59="","",ROUND((DG59*Parámetros!$G$85),2))</f>
        <v>0</v>
      </c>
      <c r="DK59" s="66">
        <f>+IF($W59="","",ROUND((DG59*(Parámetros!$G$86)),2))</f>
        <v>0</v>
      </c>
      <c r="DL59" s="66">
        <f t="shared" si="97"/>
        <v>0</v>
      </c>
      <c r="DM59" t="str">
        <f t="shared" si="143"/>
        <v>00065</v>
      </c>
      <c r="DN59" s="118" t="str">
        <f t="shared" si="144"/>
        <v>Exención pago de primas</v>
      </c>
      <c r="DO59" s="118">
        <f t="shared" si="145"/>
        <v>0</v>
      </c>
      <c r="DP59" s="118" t="str">
        <f t="shared" si="146"/>
        <v>A</v>
      </c>
      <c r="DQ59" s="122" t="str">
        <f>+IF(OR($W59="",DO59=0),"",ROUND((VLOOKUP(ROUNDDOWN($D59-1/frec,0),cob_adi,DB$40,FALSE)*(1+i/frec)^-0.5*(1+Parámetros!$D$103)*(1+rec_fracc)/frec),6))</f>
        <v/>
      </c>
      <c r="DR59" s="66">
        <f t="shared" si="102"/>
        <v>0</v>
      </c>
      <c r="DS59" s="68" t="str">
        <f t="shared" si="103"/>
        <v/>
      </c>
      <c r="DT59" s="66">
        <f>+IF($W59="","",ROUND(IF($B59&gt;Parámetros!$D$107,'Tablas Servicio'!DR59+('Tablas Servicio'!DT58-'Tablas Servicio'!DR58),DR59/(1-IF(B59&lt;=10,Parámetros!$D$100,0))),2))</f>
        <v>0</v>
      </c>
      <c r="DU59" s="66">
        <f t="shared" si="104"/>
        <v>0</v>
      </c>
      <c r="DV59" s="66">
        <f t="shared" si="104"/>
        <v>0</v>
      </c>
      <c r="DW59" s="66">
        <f>+IF($W59="","",ROUND((DT59*Parámetros!$G$85),2))</f>
        <v>0</v>
      </c>
      <c r="DX59" s="66">
        <f>+IF($W59="","",ROUND((DT59*(Parámetros!$G$86)),2))</f>
        <v>0</v>
      </c>
      <c r="DY59" s="66">
        <f t="shared" si="105"/>
        <v>0</v>
      </c>
      <c r="DZ59" t="str">
        <f t="shared" ref="DZ59:EC74" si="147">+IF($W59="","",DZ58)</f>
        <v>00066</v>
      </c>
      <c r="EA59" s="118" t="str">
        <f t="shared" si="147"/>
        <v>Enfermedad terminal</v>
      </c>
      <c r="EB59" s="118">
        <f>+IF($W59="","",ROUND(IF(Parámetros!$D$25='TABLAS MORT'!$V$33,EB58,Z59/2),0))</f>
        <v>50000</v>
      </c>
      <c r="EC59" s="118" t="str">
        <f t="shared" si="147"/>
        <v>A</v>
      </c>
      <c r="ED59" s="122">
        <f>+IF(OR($W59="",EB59=0),"",ROUND((VLOOKUP(ROUNDDOWN($D59-1/frec,0),cob_adi,DO$40,FALSE)*(1+i/frec)^-0.5*(1+Parámetros!$D$103)*(1+rec_fracc)/frec),6))</f>
        <v>7.9999999999999996E-6</v>
      </c>
      <c r="EE59" s="66">
        <f t="shared" si="107"/>
        <v>0.4</v>
      </c>
      <c r="EF59" s="68">
        <f t="shared" si="108"/>
        <v>9.0000000000000002E-6</v>
      </c>
      <c r="EG59" s="66">
        <f>+IF($W59="","",ROUND(IF($B59&gt;Parámetros!$D$107,'Tablas Servicio'!EE59+('Tablas Servicio'!EG58-'Tablas Servicio'!EE58),EE59/(1-IF(B59&lt;=10,Parámetros!$D$100,0))),2))</f>
        <v>0.45</v>
      </c>
      <c r="EH59" s="66">
        <f t="shared" si="109"/>
        <v>0</v>
      </c>
      <c r="EI59" s="66">
        <f t="shared" si="109"/>
        <v>0</v>
      </c>
      <c r="EJ59" s="66">
        <f>+IF($W59="","",ROUND((EG59*Parámetros!$G$85),2))</f>
        <v>0.02</v>
      </c>
      <c r="EK59" s="66">
        <f>+IF($W59="","",ROUND((EG59*(Parámetros!$G$86)),2))</f>
        <v>0</v>
      </c>
      <c r="EL59" s="66">
        <f t="shared" si="110"/>
        <v>0.47</v>
      </c>
    </row>
    <row r="60" spans="1:142" x14ac:dyDescent="0.25">
      <c r="A60">
        <f>+IF($C60="","",ROUND(VLOOKUP('Tablas Servicio'!B60,Parámetros!$H$100:$J$159,IF(Parámetros!$E$16="F",2,3),FALSE),2))</f>
        <v>150</v>
      </c>
      <c r="B60">
        <f t="shared" si="27"/>
        <v>2</v>
      </c>
      <c r="C60" s="57">
        <f>+IF(D60="","",'Tablas Servicio'!C59+1)</f>
        <v>19</v>
      </c>
      <c r="D60" s="56">
        <f>+IF(D59&lt;edadmaxtabla,D59+1/Parámetros!$E$25,"")</f>
        <v>41.603333333333381</v>
      </c>
      <c r="E60" s="57">
        <f t="shared" si="37"/>
        <v>41</v>
      </c>
      <c r="F60" s="59">
        <f t="shared" si="38"/>
        <v>100000</v>
      </c>
      <c r="G60" s="66">
        <f t="shared" si="39"/>
        <v>25.07</v>
      </c>
      <c r="H60" s="66">
        <f t="shared" si="28"/>
        <v>26.07</v>
      </c>
      <c r="I60" s="66">
        <f t="shared" si="112"/>
        <v>59.88000000000001</v>
      </c>
      <c r="J60" s="66">
        <f t="shared" si="29"/>
        <v>0.88</v>
      </c>
      <c r="K60" s="66">
        <f t="shared" si="30"/>
        <v>0.12</v>
      </c>
      <c r="L60" s="66">
        <f t="shared" si="31"/>
        <v>0</v>
      </c>
      <c r="M60" s="66">
        <f t="shared" si="32"/>
        <v>0</v>
      </c>
      <c r="N60" s="66">
        <f>+IF(C60="","",ROUND(Parámetros!$D$23,2))</f>
        <v>94</v>
      </c>
      <c r="O60" s="66">
        <f t="shared" si="33"/>
        <v>12.3</v>
      </c>
      <c r="P60" s="66">
        <f>+IF($C60="","",ROUND(IF(B60&gt;Parámetros!$D$117,0,N60*Parámetros!$D$116-G60*Parámetros!$D$100),2))</f>
        <v>8.0500000000000007</v>
      </c>
      <c r="Q60" s="75">
        <f t="shared" si="113"/>
        <v>3.5101715197447148E-2</v>
      </c>
      <c r="R60" s="75">
        <f t="shared" si="114"/>
        <v>4.7865975269246108E-3</v>
      </c>
      <c r="S60" s="117">
        <f>+IF($C60="","",ROUND((S59+I60)*(1+Parámetros!$D$91),2))</f>
        <v>1191.99</v>
      </c>
      <c r="T60" s="117">
        <f>+IF($C60="","",ROUND(S60*VLOOKUP(B60,Parámetros!$C$30:$D$39,2,TRUE),2))</f>
        <v>0</v>
      </c>
      <c r="U60" s="117">
        <f>+IF($C60="","",ROUND((U59+I60)*(1+Parámetros!$D$92),2))</f>
        <v>1196.8900000000001</v>
      </c>
      <c r="V60" s="117">
        <f>+IF($C60="","",ROUND(U60*VLOOKUP(B60,Parámetros!$C$30:$D$39,2,TRUE),2))</f>
        <v>0</v>
      </c>
      <c r="W60" s="57">
        <f t="shared" si="115"/>
        <v>19</v>
      </c>
      <c r="X60" t="str">
        <f t="shared" si="116"/>
        <v>00058</v>
      </c>
      <c r="Y60" t="str">
        <f t="shared" si="117"/>
        <v>MUERTE POR CUALQUIER CAUSA</v>
      </c>
      <c r="Z60" s="118">
        <f>+IF($W60="","",ROUND(IF(Parámetros!$D$25='TABLAS MORT'!$V$33,Z59,Parámetros!$D$21-'Tablas Servicio'!T59),0))</f>
        <v>100000</v>
      </c>
      <c r="AA60" s="118" t="str">
        <f t="shared" si="118"/>
        <v>P</v>
      </c>
      <c r="AB60" s="119">
        <f>+IF(W60="","",ROUND((VLOOKUP(ROUNDDOWN($D60-1/frec,0),qx_tabla,2,FALSE)*(1+i/frec)^-0.5*(1+Parámetros!$D$103)*(1+rec_fracc)/frec),6))</f>
        <v>1.1900000000000001E-4</v>
      </c>
      <c r="AC60" s="66">
        <f t="shared" si="46"/>
        <v>11.9</v>
      </c>
      <c r="AD60" s="119">
        <f t="shared" si="35"/>
        <v>2.4600000000000002E-4</v>
      </c>
      <c r="AE60" s="66">
        <f>+IF($W60="","",ROUND(IF($B60&gt;Parámetros!$D$107,'Tablas Servicio'!AC60+('Tablas Servicio'!AG59-'Tablas Servicio'!AC59),AC60/(1-IF(B60&lt;=10,Parámetros!$D$104,Parámetros!$D$105))),2))</f>
        <v>24.62</v>
      </c>
      <c r="AF60" s="66">
        <f>+IF($W60="","",ROUND(IF($B60&gt;Parámetros!$D$107,'Tablas Servicio'!AC60+('Tablas Servicio'!AG59-'Tablas Servicio'!AC59),(AC60+$A59/frec)/(1-IF(B60&lt;=Parámetros!$D$117,Parámetros!$D$100,0))),2))</f>
        <v>27.62</v>
      </c>
      <c r="AG60" s="66">
        <f t="shared" si="111"/>
        <v>24.62</v>
      </c>
      <c r="AH60" s="66">
        <f t="shared" si="47"/>
        <v>0</v>
      </c>
      <c r="AI60" s="66">
        <f t="shared" si="48"/>
        <v>0</v>
      </c>
      <c r="AJ60" s="66">
        <f>+IF($W60="","",ROUND((AG60*Parámetros!$G$85),2))</f>
        <v>0.86</v>
      </c>
      <c r="AK60" s="66">
        <f>+IF($W60="","",ROUND((AG60*(Parámetros!$G$86)),2))</f>
        <v>0.12</v>
      </c>
      <c r="AL60" s="66">
        <f t="shared" si="36"/>
        <v>25.6</v>
      </c>
      <c r="AM60" t="str">
        <f t="shared" si="119"/>
        <v>00059</v>
      </c>
      <c r="AN60" t="str">
        <f t="shared" si="120"/>
        <v>Incapacidad Total y Permanente</v>
      </c>
      <c r="AO60" s="118">
        <f t="shared" si="121"/>
        <v>0</v>
      </c>
      <c r="AP60" s="118" t="str">
        <f t="shared" si="122"/>
        <v>A</v>
      </c>
      <c r="AQ60" s="119" t="str">
        <f>+IF(OR($W60="",AO60=0),"",ROUND((VLOOKUP(ROUNDDOWN($D60-1/frec,0),cob_adi,Z$40,FALSE)*(1+i/frec)^-0.5*(1+Parámetros!$D$103)*(1+rec_fracc)/frec),6))</f>
        <v/>
      </c>
      <c r="AR60" s="66">
        <f t="shared" si="53"/>
        <v>0</v>
      </c>
      <c r="AS60" s="119" t="str">
        <f t="shared" si="54"/>
        <v/>
      </c>
      <c r="AT60" s="66">
        <f>+IF($W60="","",ROUND(IF($B60&gt;Parámetros!$D$107,'Tablas Servicio'!AR60+('Tablas Servicio'!AT59-'Tablas Servicio'!AR59),AR60/(1-IF(B60&lt;=10,Parámetros!$D$100,0))),2))</f>
        <v>0</v>
      </c>
      <c r="AU60" s="66">
        <f t="shared" si="55"/>
        <v>0</v>
      </c>
      <c r="AV60" s="66">
        <f t="shared" si="55"/>
        <v>0</v>
      </c>
      <c r="AW60" s="66">
        <f>+IF($W60="","",ROUND((AT60*Parámetros!$G$85),2))</f>
        <v>0</v>
      </c>
      <c r="AX60" s="66">
        <f>+IF($W60="","",ROUND((AT60*(Parámetros!$G$86)),2))</f>
        <v>0</v>
      </c>
      <c r="AY60" s="66">
        <f t="shared" si="56"/>
        <v>0</v>
      </c>
      <c r="AZ60" t="str">
        <f t="shared" si="123"/>
        <v>00060</v>
      </c>
      <c r="BA60" t="str">
        <f t="shared" si="124"/>
        <v>Muerte Accidental</v>
      </c>
      <c r="BB60" s="118">
        <f t="shared" si="125"/>
        <v>0</v>
      </c>
      <c r="BC60" s="118" t="str">
        <f t="shared" si="126"/>
        <v>A</v>
      </c>
      <c r="BD60" s="119" t="str">
        <f>+IF(OR($W60="",BB60=0),"",ROUND((VLOOKUP(ROUNDDOWN($D60-1/frec,0),cob_adi,AO$40,FALSE)*(1+i/frec)^-0.5*(1+Parámetros!$D$103)*(1+rec_fracc)/frec),6))</f>
        <v/>
      </c>
      <c r="BE60" s="66">
        <f t="shared" si="61"/>
        <v>0</v>
      </c>
      <c r="BF60" s="119" t="str">
        <f t="shared" si="62"/>
        <v/>
      </c>
      <c r="BG60" s="66">
        <f>+IF($W60="","",ROUND(IF($B60&gt;Parámetros!$D$107,'Tablas Servicio'!BE60+('Tablas Servicio'!BG59-'Tablas Servicio'!BE59),BE60/(1-IF(B60&lt;=10,Parámetros!$D$100,0))),2))</f>
        <v>0</v>
      </c>
      <c r="BH60" s="66">
        <f t="shared" si="63"/>
        <v>0</v>
      </c>
      <c r="BI60" s="66">
        <f t="shared" si="64"/>
        <v>0</v>
      </c>
      <c r="BJ60" s="66">
        <f>+IF($W60="","",ROUND((BG60*Parámetros!$G$85),2))</f>
        <v>0</v>
      </c>
      <c r="BK60" s="66">
        <f>+IF($W60="","",ROUND((BG60*(Parámetros!$G$86)),2))</f>
        <v>0</v>
      </c>
      <c r="BL60" s="66">
        <f t="shared" si="65"/>
        <v>0</v>
      </c>
      <c r="BM60" t="str">
        <f t="shared" si="127"/>
        <v>00061</v>
      </c>
      <c r="BN60" t="str">
        <f t="shared" si="128"/>
        <v>Gastos de Entierro</v>
      </c>
      <c r="BO60" s="118">
        <f t="shared" si="129"/>
        <v>0</v>
      </c>
      <c r="BP60" s="118" t="str">
        <f t="shared" si="130"/>
        <v>A</v>
      </c>
      <c r="BQ60" s="119" t="str">
        <f>+IF(OR($W60="",BO60=0),"",ROUND((VLOOKUP(ROUNDDOWN($D60-1/frec,0),cob_adi,BB$40,FALSE)*(1+i/frec)^-0.5*(1+Parámetros!$D$103)*(1+rec_fracc)/frec),6))</f>
        <v/>
      </c>
      <c r="BR60" s="66">
        <f t="shared" si="70"/>
        <v>0</v>
      </c>
      <c r="BS60" s="119" t="str">
        <f t="shared" si="71"/>
        <v/>
      </c>
      <c r="BT60" s="66">
        <f>+IF($W60="","",ROUND(IF($B60&gt;Parámetros!$D$107,'Tablas Servicio'!BR60+('Tablas Servicio'!BT59-'Tablas Servicio'!BR59),BR60/(1-IF(B60&lt;=10,Parámetros!$D$100,0))),2))</f>
        <v>0</v>
      </c>
      <c r="BU60" s="66">
        <f t="shared" si="72"/>
        <v>0</v>
      </c>
      <c r="BV60" s="66">
        <f t="shared" si="72"/>
        <v>0</v>
      </c>
      <c r="BW60" s="66">
        <f>+IF($W60="","",ROUND((BT60*Parámetros!$G$85),2))</f>
        <v>0</v>
      </c>
      <c r="BX60" s="66">
        <f>+IF($W60="","",ROUND((BT60*(Parámetros!$G$86)),2))</f>
        <v>0</v>
      </c>
      <c r="BY60" s="66">
        <f t="shared" si="73"/>
        <v>0</v>
      </c>
      <c r="BZ60" t="str">
        <f t="shared" si="131"/>
        <v>00062</v>
      </c>
      <c r="CA60" t="str">
        <f t="shared" si="132"/>
        <v>Gastos médicos por accidente</v>
      </c>
      <c r="CB60" s="118">
        <f t="shared" si="133"/>
        <v>0</v>
      </c>
      <c r="CC60" s="118" t="str">
        <f t="shared" si="134"/>
        <v>A</v>
      </c>
      <c r="CD60" s="119" t="str">
        <f t="shared" si="78"/>
        <v/>
      </c>
      <c r="CE60" s="66">
        <f>+IF($W60="","",ROUND((VLOOKUP(ROUNDDOWN($D60-1/frec,0),cob_adi,BO$40,FALSE)*(1+i/frec)^-0.5*(1+Parámetros!$D$103)*(1+rec_fracc)/frec*'TABLAS ADI'!$BC$17),2))</f>
        <v>0</v>
      </c>
      <c r="CF60" s="119" t="str">
        <f t="shared" si="79"/>
        <v/>
      </c>
      <c r="CG60" s="66">
        <f>+IF($W60="","",ROUND(IF($B60&gt;Parámetros!$D$107,'Tablas Servicio'!CE60+('Tablas Servicio'!CG59-'Tablas Servicio'!CE59),CE60/(1-IF(B60&lt;=10,Parámetros!$D$100,0))),2))</f>
        <v>0</v>
      </c>
      <c r="CH60" s="66">
        <f t="shared" si="80"/>
        <v>0</v>
      </c>
      <c r="CI60" s="66">
        <f t="shared" si="80"/>
        <v>0</v>
      </c>
      <c r="CJ60" s="66">
        <f>+IF($W60="","",ROUND((CG60*Parámetros!$G$85),2))</f>
        <v>0</v>
      </c>
      <c r="CK60" s="66">
        <f>+IF($W60="","",ROUND((CG60*(Parámetros!$G$86)),2))</f>
        <v>0</v>
      </c>
      <c r="CL60" s="66">
        <f t="shared" si="81"/>
        <v>0</v>
      </c>
      <c r="CM60" t="str">
        <f t="shared" si="135"/>
        <v>00063</v>
      </c>
      <c r="CN60" s="118" t="str">
        <f t="shared" si="136"/>
        <v>Renta Diaria por Hospitalización</v>
      </c>
      <c r="CO60" s="118">
        <f t="shared" si="137"/>
        <v>0</v>
      </c>
      <c r="CP60" s="118" t="str">
        <f t="shared" si="138"/>
        <v>A</v>
      </c>
      <c r="CQ60" s="119" t="str">
        <f t="shared" si="86"/>
        <v/>
      </c>
      <c r="CR60" s="66">
        <f>+IF($W60="","",ROUND((VLOOKUP(Parámetros!$F$51,'COBERTURAS ADICIONALES'!$S$4:$T$32,2,FALSE)*(1+i/frec)^-0.5*(1+Parámetros!$D$103)*(1+rec_fracc)/frec*$CO$42),2))</f>
        <v>0</v>
      </c>
      <c r="CS60" s="119" t="str">
        <f t="shared" si="87"/>
        <v/>
      </c>
      <c r="CT60" s="66">
        <f>+IF($W60="","",ROUND(IF($B60&gt;Parámetros!$D$107,'Tablas Servicio'!CR60+('Tablas Servicio'!CT59-'Tablas Servicio'!CR59),CR60/(1-IF(B60&lt;=10,Parámetros!$D$100,0))),2))</f>
        <v>0</v>
      </c>
      <c r="CU60" s="66">
        <f t="shared" si="88"/>
        <v>0</v>
      </c>
      <c r="CV60" s="66">
        <f t="shared" si="88"/>
        <v>0</v>
      </c>
      <c r="CW60" s="66">
        <f>+IF($W60="","",ROUND((CT60*Parámetros!$G$85),2))</f>
        <v>0</v>
      </c>
      <c r="CX60" s="66">
        <f>+IF($W60="","",ROUND((CT60*(Parámetros!$G$86)),2))</f>
        <v>0</v>
      </c>
      <c r="CY60" s="66">
        <f t="shared" si="89"/>
        <v>0</v>
      </c>
      <c r="CZ60" t="str">
        <f t="shared" si="139"/>
        <v>00064</v>
      </c>
      <c r="DA60" s="118" t="str">
        <f t="shared" si="140"/>
        <v>Enfermedades Graves</v>
      </c>
      <c r="DB60" s="118">
        <f t="shared" si="141"/>
        <v>0</v>
      </c>
      <c r="DC60" s="118" t="str">
        <f t="shared" si="142"/>
        <v>A</v>
      </c>
      <c r="DD60" s="121" t="str">
        <f>+IF(OR($W60="",DB60=0),"",ROUND((VLOOKUP(ROUNDDOWN($D60-1/frec,0),cob_adi,CO$40,FALSE)*(1+i/frec)^-0.5*(1+Parámetros!$D$103)*(1+rec_fracc)/frec),6))</f>
        <v/>
      </c>
      <c r="DE60" s="66">
        <f t="shared" si="94"/>
        <v>0</v>
      </c>
      <c r="DF60" s="119" t="str">
        <f t="shared" si="95"/>
        <v/>
      </c>
      <c r="DG60" s="66">
        <f>+IF($W60="","",ROUND(IF($B60&gt;Parámetros!$D$107,'Tablas Servicio'!DE60+('Tablas Servicio'!DG59-'Tablas Servicio'!DE59),DE60/(1-IF(B60&lt;=10,Parámetros!$D$100,0))),2))</f>
        <v>0</v>
      </c>
      <c r="DH60" s="66">
        <f t="shared" si="96"/>
        <v>0</v>
      </c>
      <c r="DI60" s="66">
        <f t="shared" si="96"/>
        <v>0</v>
      </c>
      <c r="DJ60" s="66">
        <f>+IF($W60="","",ROUND((DG60*Parámetros!$G$85),2))</f>
        <v>0</v>
      </c>
      <c r="DK60" s="66">
        <f>+IF($W60="","",ROUND((DG60*(Parámetros!$G$86)),2))</f>
        <v>0</v>
      </c>
      <c r="DL60" s="66">
        <f t="shared" si="97"/>
        <v>0</v>
      </c>
      <c r="DM60" t="str">
        <f t="shared" si="143"/>
        <v>00065</v>
      </c>
      <c r="DN60" s="118" t="str">
        <f t="shared" si="144"/>
        <v>Exención pago de primas</v>
      </c>
      <c r="DO60" s="118">
        <f t="shared" si="145"/>
        <v>0</v>
      </c>
      <c r="DP60" s="118" t="str">
        <f t="shared" si="146"/>
        <v>A</v>
      </c>
      <c r="DQ60" s="122" t="str">
        <f>+IF(OR($W60="",DO60=0),"",ROUND((VLOOKUP(ROUNDDOWN($D60-1/frec,0),cob_adi,DB$40,FALSE)*(1+i/frec)^-0.5*(1+Parámetros!$D$103)*(1+rec_fracc)/frec),6))</f>
        <v/>
      </c>
      <c r="DR60" s="66">
        <f t="shared" si="102"/>
        <v>0</v>
      </c>
      <c r="DS60" s="68" t="str">
        <f t="shared" si="103"/>
        <v/>
      </c>
      <c r="DT60" s="66">
        <f>+IF($W60="","",ROUND(IF($B60&gt;Parámetros!$D$107,'Tablas Servicio'!DR60+('Tablas Servicio'!DT59-'Tablas Servicio'!DR59),DR60/(1-IF(B60&lt;=10,Parámetros!$D$100,0))),2))</f>
        <v>0</v>
      </c>
      <c r="DU60" s="66">
        <f t="shared" si="104"/>
        <v>0</v>
      </c>
      <c r="DV60" s="66">
        <f t="shared" si="104"/>
        <v>0</v>
      </c>
      <c r="DW60" s="66">
        <f>+IF($W60="","",ROUND((DT60*Parámetros!$G$85),2))</f>
        <v>0</v>
      </c>
      <c r="DX60" s="66">
        <f>+IF($W60="","",ROUND((DT60*(Parámetros!$G$86)),2))</f>
        <v>0</v>
      </c>
      <c r="DY60" s="66">
        <f t="shared" si="105"/>
        <v>0</v>
      </c>
      <c r="DZ60" t="str">
        <f t="shared" si="147"/>
        <v>00066</v>
      </c>
      <c r="EA60" s="118" t="str">
        <f t="shared" si="147"/>
        <v>Enfermedad terminal</v>
      </c>
      <c r="EB60" s="118">
        <f>+IF($W60="","",ROUND(IF(Parámetros!$D$25='TABLAS MORT'!$V$33,EB59,Z60/2),0))</f>
        <v>50000</v>
      </c>
      <c r="EC60" s="118" t="str">
        <f t="shared" si="147"/>
        <v>A</v>
      </c>
      <c r="ED60" s="122">
        <f>+IF(OR($W60="",EB60=0),"",ROUND((VLOOKUP(ROUNDDOWN($D60-1/frec,0),cob_adi,DO$40,FALSE)*(1+i/frec)^-0.5*(1+Parámetros!$D$103)*(1+rec_fracc)/frec),6))</f>
        <v>7.9999999999999996E-6</v>
      </c>
      <c r="EE60" s="66">
        <f t="shared" si="107"/>
        <v>0.4</v>
      </c>
      <c r="EF60" s="68">
        <f t="shared" si="108"/>
        <v>9.0000000000000002E-6</v>
      </c>
      <c r="EG60" s="66">
        <f>+IF($W60="","",ROUND(IF($B60&gt;Parámetros!$D$107,'Tablas Servicio'!EE60+('Tablas Servicio'!EG59-'Tablas Servicio'!EE59),EE60/(1-IF(B60&lt;=10,Parámetros!$D$100,0))),2))</f>
        <v>0.45</v>
      </c>
      <c r="EH60" s="66">
        <f t="shared" si="109"/>
        <v>0</v>
      </c>
      <c r="EI60" s="66">
        <f t="shared" si="109"/>
        <v>0</v>
      </c>
      <c r="EJ60" s="66">
        <f>+IF($W60="","",ROUND((EG60*Parámetros!$G$85),2))</f>
        <v>0.02</v>
      </c>
      <c r="EK60" s="66">
        <f>+IF($W60="","",ROUND((EG60*(Parámetros!$G$86)),2))</f>
        <v>0</v>
      </c>
      <c r="EL60" s="66">
        <f t="shared" si="110"/>
        <v>0.47</v>
      </c>
    </row>
    <row r="61" spans="1:142" x14ac:dyDescent="0.25">
      <c r="A61">
        <f>+IF($C61="","",ROUND(VLOOKUP('Tablas Servicio'!B61,Parámetros!$H$100:$J$159,IF(Parámetros!$E$16="F",2,3),FALSE),2))</f>
        <v>150</v>
      </c>
      <c r="B61">
        <f t="shared" si="27"/>
        <v>2</v>
      </c>
      <c r="C61" s="57">
        <f>+IF(D61="","",'Tablas Servicio'!C60+1)</f>
        <v>20</v>
      </c>
      <c r="D61" s="56">
        <f>+IF(D60&lt;edadmaxtabla,D60+1/Parámetros!$E$25,"")</f>
        <v>41.686666666666717</v>
      </c>
      <c r="E61" s="57">
        <f t="shared" si="37"/>
        <v>41</v>
      </c>
      <c r="F61" s="59">
        <f t="shared" si="38"/>
        <v>100000</v>
      </c>
      <c r="G61" s="66">
        <f t="shared" si="39"/>
        <v>25.07</v>
      </c>
      <c r="H61" s="66">
        <f t="shared" si="28"/>
        <v>26.07</v>
      </c>
      <c r="I61" s="66">
        <f t="shared" si="112"/>
        <v>59.88000000000001</v>
      </c>
      <c r="J61" s="66">
        <f t="shared" si="29"/>
        <v>0.88</v>
      </c>
      <c r="K61" s="66">
        <f t="shared" si="30"/>
        <v>0.12</v>
      </c>
      <c r="L61" s="66">
        <f t="shared" si="31"/>
        <v>0</v>
      </c>
      <c r="M61" s="66">
        <f t="shared" si="32"/>
        <v>0</v>
      </c>
      <c r="N61" s="66">
        <f>+IF(C61="","",ROUND(Parámetros!$D$23,2))</f>
        <v>94</v>
      </c>
      <c r="O61" s="66">
        <f t="shared" si="33"/>
        <v>12.3</v>
      </c>
      <c r="P61" s="66">
        <f>+IF($C61="","",ROUND(IF(B61&gt;Parámetros!$D$117,0,N61*Parámetros!$D$116-G61*Parámetros!$D$100),2))</f>
        <v>8.0500000000000007</v>
      </c>
      <c r="Q61" s="75">
        <f t="shared" si="113"/>
        <v>3.5101715197447148E-2</v>
      </c>
      <c r="R61" s="75">
        <f t="shared" si="114"/>
        <v>4.7865975269246108E-3</v>
      </c>
      <c r="S61" s="117">
        <f>+IF($C61="","",ROUND((S60+I61)*(1+Parámetros!$D$91),2))</f>
        <v>1255.42</v>
      </c>
      <c r="T61" s="117">
        <f>+IF($C61="","",ROUND(S61*VLOOKUP(B61,Parámetros!$C$30:$D$39,2,TRUE),2))</f>
        <v>0</v>
      </c>
      <c r="U61" s="117">
        <f>+IF($C61="","",ROUND((U60+I61)*(1+Parámetros!$D$92),2))</f>
        <v>1260.8399999999999</v>
      </c>
      <c r="V61" s="117">
        <f>+IF($C61="","",ROUND(U61*VLOOKUP(B61,Parámetros!$C$30:$D$39,2,TRUE),2))</f>
        <v>0</v>
      </c>
      <c r="W61" s="57">
        <f t="shared" si="115"/>
        <v>20</v>
      </c>
      <c r="X61" t="str">
        <f t="shared" si="116"/>
        <v>00058</v>
      </c>
      <c r="Y61" t="str">
        <f t="shared" si="117"/>
        <v>MUERTE POR CUALQUIER CAUSA</v>
      </c>
      <c r="Z61" s="118">
        <f>+IF($W61="","",ROUND(IF(Parámetros!$D$25='TABLAS MORT'!$V$33,Z60,Parámetros!$D$21-'Tablas Servicio'!T60),0))</f>
        <v>100000</v>
      </c>
      <c r="AA61" s="118" t="str">
        <f t="shared" si="118"/>
        <v>P</v>
      </c>
      <c r="AB61" s="119">
        <f>+IF(W61="","",ROUND((VLOOKUP(ROUNDDOWN($D61-1/frec,0),qx_tabla,2,FALSE)*(1+i/frec)^-0.5*(1+Parámetros!$D$103)*(1+rec_fracc)/frec),6))</f>
        <v>1.1900000000000001E-4</v>
      </c>
      <c r="AC61" s="66">
        <f t="shared" si="46"/>
        <v>11.9</v>
      </c>
      <c r="AD61" s="119">
        <f t="shared" si="35"/>
        <v>2.4600000000000002E-4</v>
      </c>
      <c r="AE61" s="66">
        <f>+IF($W61="","",ROUND(IF($B61&gt;Parámetros!$D$107,'Tablas Servicio'!AC61+('Tablas Servicio'!AG60-'Tablas Servicio'!AC60),AC61/(1-IF(B61&lt;=10,Parámetros!$D$104,Parámetros!$D$105))),2))</f>
        <v>24.62</v>
      </c>
      <c r="AF61" s="66">
        <f>+IF($W61="","",ROUND(IF($B61&gt;Parámetros!$D$107,'Tablas Servicio'!AC61+('Tablas Servicio'!AG60-'Tablas Servicio'!AC60),(AC61+$A60/frec)/(1-IF(B61&lt;=Parámetros!$D$117,Parámetros!$D$100,0))),2))</f>
        <v>27.62</v>
      </c>
      <c r="AG61" s="66">
        <f t="shared" si="111"/>
        <v>24.62</v>
      </c>
      <c r="AH61" s="66">
        <f t="shared" si="47"/>
        <v>0</v>
      </c>
      <c r="AI61" s="66">
        <f t="shared" si="48"/>
        <v>0</v>
      </c>
      <c r="AJ61" s="66">
        <f>+IF($W61="","",ROUND((AG61*Parámetros!$G$85),2))</f>
        <v>0.86</v>
      </c>
      <c r="AK61" s="66">
        <f>+IF($W61="","",ROUND((AG61*(Parámetros!$G$86)),2))</f>
        <v>0.12</v>
      </c>
      <c r="AL61" s="66">
        <f t="shared" si="36"/>
        <v>25.6</v>
      </c>
      <c r="AM61" t="str">
        <f t="shared" si="119"/>
        <v>00059</v>
      </c>
      <c r="AN61" t="str">
        <f t="shared" si="120"/>
        <v>Incapacidad Total y Permanente</v>
      </c>
      <c r="AO61" s="118">
        <f t="shared" si="121"/>
        <v>0</v>
      </c>
      <c r="AP61" s="118" t="str">
        <f t="shared" si="122"/>
        <v>A</v>
      </c>
      <c r="AQ61" s="119" t="str">
        <f>+IF(OR($W61="",AO61=0),"",ROUND((VLOOKUP(ROUNDDOWN($D61-1/frec,0),cob_adi,Z$40,FALSE)*(1+i/frec)^-0.5*(1+Parámetros!$D$103)*(1+rec_fracc)/frec),6))</f>
        <v/>
      </c>
      <c r="AR61" s="66">
        <f t="shared" si="53"/>
        <v>0</v>
      </c>
      <c r="AS61" s="119" t="str">
        <f t="shared" si="54"/>
        <v/>
      </c>
      <c r="AT61" s="66">
        <f>+IF($W61="","",ROUND(IF($B61&gt;Parámetros!$D$107,'Tablas Servicio'!AR61+('Tablas Servicio'!AT60-'Tablas Servicio'!AR60),AR61/(1-IF(B61&lt;=10,Parámetros!$D$100,0))),2))</f>
        <v>0</v>
      </c>
      <c r="AU61" s="66">
        <f t="shared" si="55"/>
        <v>0</v>
      </c>
      <c r="AV61" s="66">
        <f t="shared" si="55"/>
        <v>0</v>
      </c>
      <c r="AW61" s="66">
        <f>+IF($W61="","",ROUND((AT61*Parámetros!$G$85),2))</f>
        <v>0</v>
      </c>
      <c r="AX61" s="66">
        <f>+IF($W61="","",ROUND((AT61*(Parámetros!$G$86)),2))</f>
        <v>0</v>
      </c>
      <c r="AY61" s="66">
        <f t="shared" si="56"/>
        <v>0</v>
      </c>
      <c r="AZ61" t="str">
        <f t="shared" si="123"/>
        <v>00060</v>
      </c>
      <c r="BA61" t="str">
        <f t="shared" si="124"/>
        <v>Muerte Accidental</v>
      </c>
      <c r="BB61" s="118">
        <f t="shared" si="125"/>
        <v>0</v>
      </c>
      <c r="BC61" s="118" t="str">
        <f t="shared" si="126"/>
        <v>A</v>
      </c>
      <c r="BD61" s="119" t="str">
        <f>+IF(OR($W61="",BB61=0),"",ROUND((VLOOKUP(ROUNDDOWN($D61-1/frec,0),cob_adi,AO$40,FALSE)*(1+i/frec)^-0.5*(1+Parámetros!$D$103)*(1+rec_fracc)/frec),6))</f>
        <v/>
      </c>
      <c r="BE61" s="66">
        <f t="shared" si="61"/>
        <v>0</v>
      </c>
      <c r="BF61" s="119" t="str">
        <f t="shared" si="62"/>
        <v/>
      </c>
      <c r="BG61" s="66">
        <f>+IF($W61="","",ROUND(IF($B61&gt;Parámetros!$D$107,'Tablas Servicio'!BE61+('Tablas Servicio'!BG60-'Tablas Servicio'!BE60),BE61/(1-IF(B61&lt;=10,Parámetros!$D$100,0))),2))</f>
        <v>0</v>
      </c>
      <c r="BH61" s="66">
        <f t="shared" si="63"/>
        <v>0</v>
      </c>
      <c r="BI61" s="66">
        <f t="shared" si="64"/>
        <v>0</v>
      </c>
      <c r="BJ61" s="66">
        <f>+IF($W61="","",ROUND((BG61*Parámetros!$G$85),2))</f>
        <v>0</v>
      </c>
      <c r="BK61" s="66">
        <f>+IF($W61="","",ROUND((BG61*(Parámetros!$G$86)),2))</f>
        <v>0</v>
      </c>
      <c r="BL61" s="66">
        <f t="shared" si="65"/>
        <v>0</v>
      </c>
      <c r="BM61" t="str">
        <f t="shared" si="127"/>
        <v>00061</v>
      </c>
      <c r="BN61" t="str">
        <f t="shared" si="128"/>
        <v>Gastos de Entierro</v>
      </c>
      <c r="BO61" s="118">
        <f t="shared" si="129"/>
        <v>0</v>
      </c>
      <c r="BP61" s="118" t="str">
        <f t="shared" si="130"/>
        <v>A</v>
      </c>
      <c r="BQ61" s="119" t="str">
        <f>+IF(OR($W61="",BO61=0),"",ROUND((VLOOKUP(ROUNDDOWN($D61-1/frec,0),cob_adi,BB$40,FALSE)*(1+i/frec)^-0.5*(1+Parámetros!$D$103)*(1+rec_fracc)/frec),6))</f>
        <v/>
      </c>
      <c r="BR61" s="66">
        <f t="shared" si="70"/>
        <v>0</v>
      </c>
      <c r="BS61" s="119" t="str">
        <f t="shared" si="71"/>
        <v/>
      </c>
      <c r="BT61" s="66">
        <f>+IF($W61="","",ROUND(IF($B61&gt;Parámetros!$D$107,'Tablas Servicio'!BR61+('Tablas Servicio'!BT60-'Tablas Servicio'!BR60),BR61/(1-IF(B61&lt;=10,Parámetros!$D$100,0))),2))</f>
        <v>0</v>
      </c>
      <c r="BU61" s="66">
        <f t="shared" si="72"/>
        <v>0</v>
      </c>
      <c r="BV61" s="66">
        <f t="shared" si="72"/>
        <v>0</v>
      </c>
      <c r="BW61" s="66">
        <f>+IF($W61="","",ROUND((BT61*Parámetros!$G$85),2))</f>
        <v>0</v>
      </c>
      <c r="BX61" s="66">
        <f>+IF($W61="","",ROUND((BT61*(Parámetros!$G$86)),2))</f>
        <v>0</v>
      </c>
      <c r="BY61" s="66">
        <f t="shared" si="73"/>
        <v>0</v>
      </c>
      <c r="BZ61" t="str">
        <f t="shared" si="131"/>
        <v>00062</v>
      </c>
      <c r="CA61" t="str">
        <f t="shared" si="132"/>
        <v>Gastos médicos por accidente</v>
      </c>
      <c r="CB61" s="118">
        <f t="shared" si="133"/>
        <v>0</v>
      </c>
      <c r="CC61" s="118" t="str">
        <f t="shared" si="134"/>
        <v>A</v>
      </c>
      <c r="CD61" s="119" t="str">
        <f t="shared" si="78"/>
        <v/>
      </c>
      <c r="CE61" s="66">
        <f>+IF($W61="","",ROUND((VLOOKUP(ROUNDDOWN($D61-1/frec,0),cob_adi,BO$40,FALSE)*(1+i/frec)^-0.5*(1+Parámetros!$D$103)*(1+rec_fracc)/frec*'TABLAS ADI'!$BC$17),2))</f>
        <v>0</v>
      </c>
      <c r="CF61" s="119" t="str">
        <f t="shared" si="79"/>
        <v/>
      </c>
      <c r="CG61" s="66">
        <f>+IF($W61="","",ROUND(IF($B61&gt;Parámetros!$D$107,'Tablas Servicio'!CE61+('Tablas Servicio'!CG60-'Tablas Servicio'!CE60),CE61/(1-IF(B61&lt;=10,Parámetros!$D$100,0))),2))</f>
        <v>0</v>
      </c>
      <c r="CH61" s="66">
        <f t="shared" si="80"/>
        <v>0</v>
      </c>
      <c r="CI61" s="66">
        <f t="shared" si="80"/>
        <v>0</v>
      </c>
      <c r="CJ61" s="66">
        <f>+IF($W61="","",ROUND((CG61*Parámetros!$G$85),2))</f>
        <v>0</v>
      </c>
      <c r="CK61" s="66">
        <f>+IF($W61="","",ROUND((CG61*(Parámetros!$G$86)),2))</f>
        <v>0</v>
      </c>
      <c r="CL61" s="66">
        <f t="shared" si="81"/>
        <v>0</v>
      </c>
      <c r="CM61" t="str">
        <f t="shared" si="135"/>
        <v>00063</v>
      </c>
      <c r="CN61" s="118" t="str">
        <f t="shared" si="136"/>
        <v>Renta Diaria por Hospitalización</v>
      </c>
      <c r="CO61" s="118">
        <f t="shared" si="137"/>
        <v>0</v>
      </c>
      <c r="CP61" s="118" t="str">
        <f t="shared" si="138"/>
        <v>A</v>
      </c>
      <c r="CQ61" s="119" t="str">
        <f t="shared" si="86"/>
        <v/>
      </c>
      <c r="CR61" s="66">
        <f>+IF($W61="","",ROUND((VLOOKUP(Parámetros!$F$51,'COBERTURAS ADICIONALES'!$S$4:$T$32,2,FALSE)*(1+i/frec)^-0.5*(1+Parámetros!$D$103)*(1+rec_fracc)/frec*$CO$42),2))</f>
        <v>0</v>
      </c>
      <c r="CS61" s="119" t="str">
        <f t="shared" si="87"/>
        <v/>
      </c>
      <c r="CT61" s="66">
        <f>+IF($W61="","",ROUND(IF($B61&gt;Parámetros!$D$107,'Tablas Servicio'!CR61+('Tablas Servicio'!CT60-'Tablas Servicio'!CR60),CR61/(1-IF(B61&lt;=10,Parámetros!$D$100,0))),2))</f>
        <v>0</v>
      </c>
      <c r="CU61" s="66">
        <f t="shared" si="88"/>
        <v>0</v>
      </c>
      <c r="CV61" s="66">
        <f t="shared" si="88"/>
        <v>0</v>
      </c>
      <c r="CW61" s="66">
        <f>+IF($W61="","",ROUND((CT61*Parámetros!$G$85),2))</f>
        <v>0</v>
      </c>
      <c r="CX61" s="66">
        <f>+IF($W61="","",ROUND((CT61*(Parámetros!$G$86)),2))</f>
        <v>0</v>
      </c>
      <c r="CY61" s="66">
        <f t="shared" si="89"/>
        <v>0</v>
      </c>
      <c r="CZ61" t="str">
        <f t="shared" si="139"/>
        <v>00064</v>
      </c>
      <c r="DA61" s="118" t="str">
        <f t="shared" si="140"/>
        <v>Enfermedades Graves</v>
      </c>
      <c r="DB61" s="118">
        <f t="shared" si="141"/>
        <v>0</v>
      </c>
      <c r="DC61" s="118" t="str">
        <f t="shared" si="142"/>
        <v>A</v>
      </c>
      <c r="DD61" s="121" t="str">
        <f>+IF(OR($W61="",DB61=0),"",ROUND((VLOOKUP(ROUNDDOWN($D61-1/frec,0),cob_adi,CO$40,FALSE)*(1+i/frec)^-0.5*(1+Parámetros!$D$103)*(1+rec_fracc)/frec),6))</f>
        <v/>
      </c>
      <c r="DE61" s="66">
        <f t="shared" si="94"/>
        <v>0</v>
      </c>
      <c r="DF61" s="119" t="str">
        <f t="shared" si="95"/>
        <v/>
      </c>
      <c r="DG61" s="66">
        <f>+IF($W61="","",ROUND(IF($B61&gt;Parámetros!$D$107,'Tablas Servicio'!DE61+('Tablas Servicio'!DG60-'Tablas Servicio'!DE60),DE61/(1-IF(B61&lt;=10,Parámetros!$D$100,0))),2))</f>
        <v>0</v>
      </c>
      <c r="DH61" s="66">
        <f t="shared" si="96"/>
        <v>0</v>
      </c>
      <c r="DI61" s="66">
        <f t="shared" si="96"/>
        <v>0</v>
      </c>
      <c r="DJ61" s="66">
        <f>+IF($W61="","",ROUND((DG61*Parámetros!$G$85),2))</f>
        <v>0</v>
      </c>
      <c r="DK61" s="66">
        <f>+IF($W61="","",ROUND((DG61*(Parámetros!$G$86)),2))</f>
        <v>0</v>
      </c>
      <c r="DL61" s="66">
        <f t="shared" si="97"/>
        <v>0</v>
      </c>
      <c r="DM61" t="str">
        <f t="shared" si="143"/>
        <v>00065</v>
      </c>
      <c r="DN61" s="118" t="str">
        <f t="shared" si="144"/>
        <v>Exención pago de primas</v>
      </c>
      <c r="DO61" s="118">
        <f t="shared" si="145"/>
        <v>0</v>
      </c>
      <c r="DP61" s="118" t="str">
        <f t="shared" si="146"/>
        <v>A</v>
      </c>
      <c r="DQ61" s="122" t="str">
        <f>+IF(OR($W61="",DO61=0),"",ROUND((VLOOKUP(ROUNDDOWN($D61-1/frec,0),cob_adi,DB$40,FALSE)*(1+i/frec)^-0.5*(1+Parámetros!$D$103)*(1+rec_fracc)/frec),6))</f>
        <v/>
      </c>
      <c r="DR61" s="66">
        <f t="shared" si="102"/>
        <v>0</v>
      </c>
      <c r="DS61" s="68" t="str">
        <f t="shared" si="103"/>
        <v/>
      </c>
      <c r="DT61" s="66">
        <f>+IF($W61="","",ROUND(IF($B61&gt;Parámetros!$D$107,'Tablas Servicio'!DR61+('Tablas Servicio'!DT60-'Tablas Servicio'!DR60),DR61/(1-IF(B61&lt;=10,Parámetros!$D$100,0))),2))</f>
        <v>0</v>
      </c>
      <c r="DU61" s="66">
        <f t="shared" si="104"/>
        <v>0</v>
      </c>
      <c r="DV61" s="66">
        <f t="shared" si="104"/>
        <v>0</v>
      </c>
      <c r="DW61" s="66">
        <f>+IF($W61="","",ROUND((DT61*Parámetros!$G$85),2))</f>
        <v>0</v>
      </c>
      <c r="DX61" s="66">
        <f>+IF($W61="","",ROUND((DT61*(Parámetros!$G$86)),2))</f>
        <v>0</v>
      </c>
      <c r="DY61" s="66">
        <f t="shared" si="105"/>
        <v>0</v>
      </c>
      <c r="DZ61" t="str">
        <f t="shared" si="147"/>
        <v>00066</v>
      </c>
      <c r="EA61" s="118" t="str">
        <f t="shared" si="147"/>
        <v>Enfermedad terminal</v>
      </c>
      <c r="EB61" s="118">
        <f>+IF($W61="","",ROUND(IF(Parámetros!$D$25='TABLAS MORT'!$V$33,EB60,Z61/2),0))</f>
        <v>50000</v>
      </c>
      <c r="EC61" s="118" t="str">
        <f t="shared" si="147"/>
        <v>A</v>
      </c>
      <c r="ED61" s="122">
        <f>+IF(OR($W61="",EB61=0),"",ROUND((VLOOKUP(ROUNDDOWN($D61-1/frec,0),cob_adi,DO$40,FALSE)*(1+i/frec)^-0.5*(1+Parámetros!$D$103)*(1+rec_fracc)/frec),6))</f>
        <v>7.9999999999999996E-6</v>
      </c>
      <c r="EE61" s="66">
        <f t="shared" si="107"/>
        <v>0.4</v>
      </c>
      <c r="EF61" s="68">
        <f t="shared" si="108"/>
        <v>9.0000000000000002E-6</v>
      </c>
      <c r="EG61" s="66">
        <f>+IF($W61="","",ROUND(IF($B61&gt;Parámetros!$D$107,'Tablas Servicio'!EE61+('Tablas Servicio'!EG60-'Tablas Servicio'!EE60),EE61/(1-IF(B61&lt;=10,Parámetros!$D$100,0))),2))</f>
        <v>0.45</v>
      </c>
      <c r="EH61" s="66">
        <f t="shared" si="109"/>
        <v>0</v>
      </c>
      <c r="EI61" s="66">
        <f t="shared" si="109"/>
        <v>0</v>
      </c>
      <c r="EJ61" s="66">
        <f>+IF($W61="","",ROUND((EG61*Parámetros!$G$85),2))</f>
        <v>0.02</v>
      </c>
      <c r="EK61" s="66">
        <f>+IF($W61="","",ROUND((EG61*(Parámetros!$G$86)),2))</f>
        <v>0</v>
      </c>
      <c r="EL61" s="66">
        <f t="shared" si="110"/>
        <v>0.47</v>
      </c>
    </row>
    <row r="62" spans="1:142" x14ac:dyDescent="0.25">
      <c r="A62">
        <f>+IF($C62="","",ROUND(VLOOKUP('Tablas Servicio'!B62,Parámetros!$H$100:$J$159,IF(Parámetros!$E$16="F",2,3),FALSE),2))</f>
        <v>150</v>
      </c>
      <c r="B62">
        <f t="shared" si="27"/>
        <v>2</v>
      </c>
      <c r="C62" s="57">
        <f>+IF(D62="","",'Tablas Servicio'!C61+1)</f>
        <v>21</v>
      </c>
      <c r="D62" s="56">
        <f>+IF(D61&lt;edadmaxtabla,D61+1/Parámetros!$E$25,"")</f>
        <v>41.770000000000053</v>
      </c>
      <c r="E62" s="57">
        <f t="shared" si="37"/>
        <v>41</v>
      </c>
      <c r="F62" s="59">
        <f t="shared" si="38"/>
        <v>100000</v>
      </c>
      <c r="G62" s="66">
        <f t="shared" si="39"/>
        <v>25.07</v>
      </c>
      <c r="H62" s="66">
        <f t="shared" si="28"/>
        <v>26.07</v>
      </c>
      <c r="I62" s="66">
        <f t="shared" si="112"/>
        <v>59.88000000000001</v>
      </c>
      <c r="J62" s="66">
        <f t="shared" si="29"/>
        <v>0.88</v>
      </c>
      <c r="K62" s="66">
        <f t="shared" si="30"/>
        <v>0.12</v>
      </c>
      <c r="L62" s="66">
        <f t="shared" si="31"/>
        <v>0</v>
      </c>
      <c r="M62" s="66">
        <f t="shared" si="32"/>
        <v>0</v>
      </c>
      <c r="N62" s="66">
        <f>+IF(C62="","",ROUND(Parámetros!$D$23,2))</f>
        <v>94</v>
      </c>
      <c r="O62" s="66">
        <f t="shared" si="33"/>
        <v>12.3</v>
      </c>
      <c r="P62" s="66">
        <f>+IF($C62="","",ROUND(IF(B62&gt;Parámetros!$D$117,0,N62*Parámetros!$D$116-G62*Parámetros!$D$100),2))</f>
        <v>8.0500000000000007</v>
      </c>
      <c r="Q62" s="75">
        <f t="shared" si="113"/>
        <v>3.5101715197447148E-2</v>
      </c>
      <c r="R62" s="75">
        <f t="shared" si="114"/>
        <v>4.7865975269246108E-3</v>
      </c>
      <c r="S62" s="117">
        <f>+IF($C62="","",ROUND((S61+I62)*(1+Parámetros!$D$91),2))</f>
        <v>1319.03</v>
      </c>
      <c r="T62" s="117">
        <f>+IF($C62="","",ROUND(S62*VLOOKUP(B62,Parámetros!$C$30:$D$39,2,TRUE),2))</f>
        <v>0</v>
      </c>
      <c r="U62" s="117">
        <f>+IF($C62="","",ROUND((U61+I62)*(1+Parámetros!$D$92),2))</f>
        <v>1325</v>
      </c>
      <c r="V62" s="117">
        <f>+IF($C62="","",ROUND(U62*VLOOKUP(B62,Parámetros!$C$30:$D$39,2,TRUE),2))</f>
        <v>0</v>
      </c>
      <c r="W62" s="57">
        <f t="shared" si="115"/>
        <v>21</v>
      </c>
      <c r="X62" t="str">
        <f t="shared" si="116"/>
        <v>00058</v>
      </c>
      <c r="Y62" t="str">
        <f t="shared" si="117"/>
        <v>MUERTE POR CUALQUIER CAUSA</v>
      </c>
      <c r="Z62" s="118">
        <f>+IF($W62="","",ROUND(IF(Parámetros!$D$25='TABLAS MORT'!$V$33,Z61,Parámetros!$D$21-'Tablas Servicio'!T61),0))</f>
        <v>100000</v>
      </c>
      <c r="AA62" s="118" t="str">
        <f t="shared" si="118"/>
        <v>P</v>
      </c>
      <c r="AB62" s="119">
        <f>+IF(W62="","",ROUND((VLOOKUP(ROUNDDOWN($D62-1/frec,0),qx_tabla,2,FALSE)*(1+i/frec)^-0.5*(1+Parámetros!$D$103)*(1+rec_fracc)/frec),6))</f>
        <v>1.1900000000000001E-4</v>
      </c>
      <c r="AC62" s="66">
        <f t="shared" si="46"/>
        <v>11.9</v>
      </c>
      <c r="AD62" s="119">
        <f t="shared" si="35"/>
        <v>2.4600000000000002E-4</v>
      </c>
      <c r="AE62" s="66">
        <f>+IF($W62="","",ROUND(IF($B62&gt;Parámetros!$D$107,'Tablas Servicio'!AC62+('Tablas Servicio'!AG61-'Tablas Servicio'!AC61),AC62/(1-IF(B62&lt;=10,Parámetros!$D$104,Parámetros!$D$105))),2))</f>
        <v>24.62</v>
      </c>
      <c r="AF62" s="66">
        <f>+IF($W62="","",ROUND(IF($B62&gt;Parámetros!$D$107,'Tablas Servicio'!AC62+('Tablas Servicio'!AG61-'Tablas Servicio'!AC61),(AC62+$A61/frec)/(1-IF(B62&lt;=Parámetros!$D$117,Parámetros!$D$100,0))),2))</f>
        <v>27.62</v>
      </c>
      <c r="AG62" s="66">
        <f t="shared" si="111"/>
        <v>24.62</v>
      </c>
      <c r="AH62" s="66">
        <f t="shared" si="47"/>
        <v>0</v>
      </c>
      <c r="AI62" s="66">
        <f t="shared" si="48"/>
        <v>0</v>
      </c>
      <c r="AJ62" s="66">
        <f>+IF($W62="","",ROUND((AG62*Parámetros!$G$85),2))</f>
        <v>0.86</v>
      </c>
      <c r="AK62" s="66">
        <f>+IF($W62="","",ROUND((AG62*(Parámetros!$G$86)),2))</f>
        <v>0.12</v>
      </c>
      <c r="AL62" s="66">
        <f t="shared" si="36"/>
        <v>25.6</v>
      </c>
      <c r="AM62" t="str">
        <f t="shared" si="119"/>
        <v>00059</v>
      </c>
      <c r="AN62" t="str">
        <f t="shared" si="120"/>
        <v>Incapacidad Total y Permanente</v>
      </c>
      <c r="AO62" s="118">
        <f t="shared" si="121"/>
        <v>0</v>
      </c>
      <c r="AP62" s="118" t="str">
        <f t="shared" si="122"/>
        <v>A</v>
      </c>
      <c r="AQ62" s="119" t="str">
        <f>+IF(OR($W62="",AO62=0),"",ROUND((VLOOKUP(ROUNDDOWN($D62-1/frec,0),cob_adi,Z$40,FALSE)*(1+i/frec)^-0.5*(1+Parámetros!$D$103)*(1+rec_fracc)/frec),6))</f>
        <v/>
      </c>
      <c r="AR62" s="66">
        <f t="shared" si="53"/>
        <v>0</v>
      </c>
      <c r="AS62" s="119" t="str">
        <f t="shared" si="54"/>
        <v/>
      </c>
      <c r="AT62" s="66">
        <f>+IF($W62="","",ROUND(IF($B62&gt;Parámetros!$D$107,'Tablas Servicio'!AR62+('Tablas Servicio'!AT61-'Tablas Servicio'!AR61),AR62/(1-IF(B62&lt;=10,Parámetros!$D$100,0))),2))</f>
        <v>0</v>
      </c>
      <c r="AU62" s="66">
        <f t="shared" si="55"/>
        <v>0</v>
      </c>
      <c r="AV62" s="66">
        <f t="shared" si="55"/>
        <v>0</v>
      </c>
      <c r="AW62" s="66">
        <f>+IF($W62="","",ROUND((AT62*Parámetros!$G$85),2))</f>
        <v>0</v>
      </c>
      <c r="AX62" s="66">
        <f>+IF($W62="","",ROUND((AT62*(Parámetros!$G$86)),2))</f>
        <v>0</v>
      </c>
      <c r="AY62" s="66">
        <f t="shared" si="56"/>
        <v>0</v>
      </c>
      <c r="AZ62" t="str">
        <f t="shared" si="123"/>
        <v>00060</v>
      </c>
      <c r="BA62" t="str">
        <f t="shared" si="124"/>
        <v>Muerte Accidental</v>
      </c>
      <c r="BB62" s="118">
        <f t="shared" si="125"/>
        <v>0</v>
      </c>
      <c r="BC62" s="118" t="str">
        <f t="shared" si="126"/>
        <v>A</v>
      </c>
      <c r="BD62" s="119" t="str">
        <f>+IF(OR($W62="",BB62=0),"",ROUND((VLOOKUP(ROUNDDOWN($D62-1/frec,0),cob_adi,AO$40,FALSE)*(1+i/frec)^-0.5*(1+Parámetros!$D$103)*(1+rec_fracc)/frec),6))</f>
        <v/>
      </c>
      <c r="BE62" s="66">
        <f t="shared" si="61"/>
        <v>0</v>
      </c>
      <c r="BF62" s="119" t="str">
        <f t="shared" si="62"/>
        <v/>
      </c>
      <c r="BG62" s="66">
        <f>+IF($W62="","",ROUND(IF($B62&gt;Parámetros!$D$107,'Tablas Servicio'!BE62+('Tablas Servicio'!BG61-'Tablas Servicio'!BE61),BE62/(1-IF(B62&lt;=10,Parámetros!$D$100,0))),2))</f>
        <v>0</v>
      </c>
      <c r="BH62" s="66">
        <f t="shared" si="63"/>
        <v>0</v>
      </c>
      <c r="BI62" s="66">
        <f t="shared" si="64"/>
        <v>0</v>
      </c>
      <c r="BJ62" s="66">
        <f>+IF($W62="","",ROUND((BG62*Parámetros!$G$85),2))</f>
        <v>0</v>
      </c>
      <c r="BK62" s="66">
        <f>+IF($W62="","",ROUND((BG62*(Parámetros!$G$86)),2))</f>
        <v>0</v>
      </c>
      <c r="BL62" s="66">
        <f t="shared" si="65"/>
        <v>0</v>
      </c>
      <c r="BM62" t="str">
        <f t="shared" si="127"/>
        <v>00061</v>
      </c>
      <c r="BN62" t="str">
        <f t="shared" si="128"/>
        <v>Gastos de Entierro</v>
      </c>
      <c r="BO62" s="118">
        <f t="shared" si="129"/>
        <v>0</v>
      </c>
      <c r="BP62" s="118" t="str">
        <f t="shared" si="130"/>
        <v>A</v>
      </c>
      <c r="BQ62" s="119" t="str">
        <f>+IF(OR($W62="",BO62=0),"",ROUND((VLOOKUP(ROUNDDOWN($D62-1/frec,0),cob_adi,BB$40,FALSE)*(1+i/frec)^-0.5*(1+Parámetros!$D$103)*(1+rec_fracc)/frec),6))</f>
        <v/>
      </c>
      <c r="BR62" s="66">
        <f t="shared" si="70"/>
        <v>0</v>
      </c>
      <c r="BS62" s="119" t="str">
        <f t="shared" si="71"/>
        <v/>
      </c>
      <c r="BT62" s="66">
        <f>+IF($W62="","",ROUND(IF($B62&gt;Parámetros!$D$107,'Tablas Servicio'!BR62+('Tablas Servicio'!BT61-'Tablas Servicio'!BR61),BR62/(1-IF(B62&lt;=10,Parámetros!$D$100,0))),2))</f>
        <v>0</v>
      </c>
      <c r="BU62" s="66">
        <f t="shared" si="72"/>
        <v>0</v>
      </c>
      <c r="BV62" s="66">
        <f t="shared" si="72"/>
        <v>0</v>
      </c>
      <c r="BW62" s="66">
        <f>+IF($W62="","",ROUND((BT62*Parámetros!$G$85),2))</f>
        <v>0</v>
      </c>
      <c r="BX62" s="66">
        <f>+IF($W62="","",ROUND((BT62*(Parámetros!$G$86)),2))</f>
        <v>0</v>
      </c>
      <c r="BY62" s="66">
        <f t="shared" si="73"/>
        <v>0</v>
      </c>
      <c r="BZ62" t="str">
        <f t="shared" si="131"/>
        <v>00062</v>
      </c>
      <c r="CA62" t="str">
        <f t="shared" si="132"/>
        <v>Gastos médicos por accidente</v>
      </c>
      <c r="CB62" s="118">
        <f t="shared" si="133"/>
        <v>0</v>
      </c>
      <c r="CC62" s="118" t="str">
        <f t="shared" si="134"/>
        <v>A</v>
      </c>
      <c r="CD62" s="119" t="str">
        <f t="shared" si="78"/>
        <v/>
      </c>
      <c r="CE62" s="66">
        <f>+IF($W62="","",ROUND((VLOOKUP(ROUNDDOWN($D62-1/frec,0),cob_adi,BO$40,FALSE)*(1+i/frec)^-0.5*(1+Parámetros!$D$103)*(1+rec_fracc)/frec*'TABLAS ADI'!$BC$17),2))</f>
        <v>0</v>
      </c>
      <c r="CF62" s="119" t="str">
        <f t="shared" si="79"/>
        <v/>
      </c>
      <c r="CG62" s="66">
        <f>+IF($W62="","",ROUND(IF($B62&gt;Parámetros!$D$107,'Tablas Servicio'!CE62+('Tablas Servicio'!CG61-'Tablas Servicio'!CE61),CE62/(1-IF(B62&lt;=10,Parámetros!$D$100,0))),2))</f>
        <v>0</v>
      </c>
      <c r="CH62" s="66">
        <f t="shared" si="80"/>
        <v>0</v>
      </c>
      <c r="CI62" s="66">
        <f t="shared" si="80"/>
        <v>0</v>
      </c>
      <c r="CJ62" s="66">
        <f>+IF($W62="","",ROUND((CG62*Parámetros!$G$85),2))</f>
        <v>0</v>
      </c>
      <c r="CK62" s="66">
        <f>+IF($W62="","",ROUND((CG62*(Parámetros!$G$86)),2))</f>
        <v>0</v>
      </c>
      <c r="CL62" s="66">
        <f t="shared" si="81"/>
        <v>0</v>
      </c>
      <c r="CM62" t="str">
        <f t="shared" si="135"/>
        <v>00063</v>
      </c>
      <c r="CN62" s="118" t="str">
        <f t="shared" si="136"/>
        <v>Renta Diaria por Hospitalización</v>
      </c>
      <c r="CO62" s="118">
        <f t="shared" si="137"/>
        <v>0</v>
      </c>
      <c r="CP62" s="118" t="str">
        <f t="shared" si="138"/>
        <v>A</v>
      </c>
      <c r="CQ62" s="119" t="str">
        <f t="shared" si="86"/>
        <v/>
      </c>
      <c r="CR62" s="66">
        <f>+IF($W62="","",ROUND((VLOOKUP(Parámetros!$F$51,'COBERTURAS ADICIONALES'!$S$4:$T$32,2,FALSE)*(1+i/frec)^-0.5*(1+Parámetros!$D$103)*(1+rec_fracc)/frec*$CO$42),2))</f>
        <v>0</v>
      </c>
      <c r="CS62" s="119" t="str">
        <f t="shared" si="87"/>
        <v/>
      </c>
      <c r="CT62" s="66">
        <f>+IF($W62="","",ROUND(IF($B62&gt;Parámetros!$D$107,'Tablas Servicio'!CR62+('Tablas Servicio'!CT61-'Tablas Servicio'!CR61),CR62/(1-IF(B62&lt;=10,Parámetros!$D$100,0))),2))</f>
        <v>0</v>
      </c>
      <c r="CU62" s="66">
        <f t="shared" si="88"/>
        <v>0</v>
      </c>
      <c r="CV62" s="66">
        <f t="shared" si="88"/>
        <v>0</v>
      </c>
      <c r="CW62" s="66">
        <f>+IF($W62="","",ROUND((CT62*Parámetros!$G$85),2))</f>
        <v>0</v>
      </c>
      <c r="CX62" s="66">
        <f>+IF($W62="","",ROUND((CT62*(Parámetros!$G$86)),2))</f>
        <v>0</v>
      </c>
      <c r="CY62" s="66">
        <f t="shared" si="89"/>
        <v>0</v>
      </c>
      <c r="CZ62" t="str">
        <f t="shared" si="139"/>
        <v>00064</v>
      </c>
      <c r="DA62" s="118" t="str">
        <f t="shared" si="140"/>
        <v>Enfermedades Graves</v>
      </c>
      <c r="DB62" s="118">
        <f t="shared" si="141"/>
        <v>0</v>
      </c>
      <c r="DC62" s="118" t="str">
        <f t="shared" si="142"/>
        <v>A</v>
      </c>
      <c r="DD62" s="121" t="str">
        <f>+IF(OR($W62="",DB62=0),"",ROUND((VLOOKUP(ROUNDDOWN($D62-1/frec,0),cob_adi,CO$40,FALSE)*(1+i/frec)^-0.5*(1+Parámetros!$D$103)*(1+rec_fracc)/frec),6))</f>
        <v/>
      </c>
      <c r="DE62" s="66">
        <f t="shared" si="94"/>
        <v>0</v>
      </c>
      <c r="DF62" s="119" t="str">
        <f t="shared" si="95"/>
        <v/>
      </c>
      <c r="DG62" s="66">
        <f>+IF($W62="","",ROUND(IF($B62&gt;Parámetros!$D$107,'Tablas Servicio'!DE62+('Tablas Servicio'!DG61-'Tablas Servicio'!DE61),DE62/(1-IF(B62&lt;=10,Parámetros!$D$100,0))),2))</f>
        <v>0</v>
      </c>
      <c r="DH62" s="66">
        <f t="shared" si="96"/>
        <v>0</v>
      </c>
      <c r="DI62" s="66">
        <f t="shared" si="96"/>
        <v>0</v>
      </c>
      <c r="DJ62" s="66">
        <f>+IF($W62="","",ROUND((DG62*Parámetros!$G$85),2))</f>
        <v>0</v>
      </c>
      <c r="DK62" s="66">
        <f>+IF($W62="","",ROUND((DG62*(Parámetros!$G$86)),2))</f>
        <v>0</v>
      </c>
      <c r="DL62" s="66">
        <f t="shared" si="97"/>
        <v>0</v>
      </c>
      <c r="DM62" t="str">
        <f t="shared" si="143"/>
        <v>00065</v>
      </c>
      <c r="DN62" s="118" t="str">
        <f t="shared" si="144"/>
        <v>Exención pago de primas</v>
      </c>
      <c r="DO62" s="118">
        <f t="shared" si="145"/>
        <v>0</v>
      </c>
      <c r="DP62" s="118" t="str">
        <f t="shared" si="146"/>
        <v>A</v>
      </c>
      <c r="DQ62" s="122" t="str">
        <f>+IF(OR($W62="",DO62=0),"",ROUND((VLOOKUP(ROUNDDOWN($D62-1/frec,0),cob_adi,DB$40,FALSE)*(1+i/frec)^-0.5*(1+Parámetros!$D$103)*(1+rec_fracc)/frec),6))</f>
        <v/>
      </c>
      <c r="DR62" s="66">
        <f t="shared" si="102"/>
        <v>0</v>
      </c>
      <c r="DS62" s="68" t="str">
        <f t="shared" si="103"/>
        <v/>
      </c>
      <c r="DT62" s="66">
        <f>+IF($W62="","",ROUND(IF($B62&gt;Parámetros!$D$107,'Tablas Servicio'!DR62+('Tablas Servicio'!DT61-'Tablas Servicio'!DR61),DR62/(1-IF(B62&lt;=10,Parámetros!$D$100,0))),2))</f>
        <v>0</v>
      </c>
      <c r="DU62" s="66">
        <f t="shared" si="104"/>
        <v>0</v>
      </c>
      <c r="DV62" s="66">
        <f t="shared" si="104"/>
        <v>0</v>
      </c>
      <c r="DW62" s="66">
        <f>+IF($W62="","",ROUND((DT62*Parámetros!$G$85),2))</f>
        <v>0</v>
      </c>
      <c r="DX62" s="66">
        <f>+IF($W62="","",ROUND((DT62*(Parámetros!$G$86)),2))</f>
        <v>0</v>
      </c>
      <c r="DY62" s="66">
        <f t="shared" si="105"/>
        <v>0</v>
      </c>
      <c r="DZ62" t="str">
        <f t="shared" si="147"/>
        <v>00066</v>
      </c>
      <c r="EA62" s="118" t="str">
        <f t="shared" si="147"/>
        <v>Enfermedad terminal</v>
      </c>
      <c r="EB62" s="118">
        <f>+IF($W62="","",ROUND(IF(Parámetros!$D$25='TABLAS MORT'!$V$33,EB61,Z62/2),0))</f>
        <v>50000</v>
      </c>
      <c r="EC62" s="118" t="str">
        <f t="shared" si="147"/>
        <v>A</v>
      </c>
      <c r="ED62" s="122">
        <f>+IF(OR($W62="",EB62=0),"",ROUND((VLOOKUP(ROUNDDOWN($D62-1/frec,0),cob_adi,DO$40,FALSE)*(1+i/frec)^-0.5*(1+Parámetros!$D$103)*(1+rec_fracc)/frec),6))</f>
        <v>7.9999999999999996E-6</v>
      </c>
      <c r="EE62" s="66">
        <f t="shared" si="107"/>
        <v>0.4</v>
      </c>
      <c r="EF62" s="68">
        <f t="shared" si="108"/>
        <v>9.0000000000000002E-6</v>
      </c>
      <c r="EG62" s="66">
        <f>+IF($W62="","",ROUND(IF($B62&gt;Parámetros!$D$107,'Tablas Servicio'!EE62+('Tablas Servicio'!EG61-'Tablas Servicio'!EE61),EE62/(1-IF(B62&lt;=10,Parámetros!$D$100,0))),2))</f>
        <v>0.45</v>
      </c>
      <c r="EH62" s="66">
        <f t="shared" si="109"/>
        <v>0</v>
      </c>
      <c r="EI62" s="66">
        <f t="shared" si="109"/>
        <v>0</v>
      </c>
      <c r="EJ62" s="66">
        <f>+IF($W62="","",ROUND((EG62*Parámetros!$G$85),2))</f>
        <v>0.02</v>
      </c>
      <c r="EK62" s="66">
        <f>+IF($W62="","",ROUND((EG62*(Parámetros!$G$86)),2))</f>
        <v>0</v>
      </c>
      <c r="EL62" s="66">
        <f t="shared" si="110"/>
        <v>0.47</v>
      </c>
    </row>
    <row r="63" spans="1:142" x14ac:dyDescent="0.25">
      <c r="A63">
        <f>+IF($C63="","",ROUND(VLOOKUP('Tablas Servicio'!B63,Parámetros!$H$100:$J$159,IF(Parámetros!$E$16="F",2,3),FALSE),2))</f>
        <v>150</v>
      </c>
      <c r="B63">
        <f t="shared" si="27"/>
        <v>2</v>
      </c>
      <c r="C63" s="57">
        <f>+IF(D63="","",'Tablas Servicio'!C62+1)</f>
        <v>22</v>
      </c>
      <c r="D63" s="56">
        <f>+IF(D62&lt;edadmaxtabla,D62+1/Parámetros!$E$25,"")</f>
        <v>41.853333333333389</v>
      </c>
      <c r="E63" s="57">
        <f t="shared" si="37"/>
        <v>41</v>
      </c>
      <c r="F63" s="59">
        <f t="shared" si="38"/>
        <v>100000</v>
      </c>
      <c r="G63" s="66">
        <f t="shared" si="39"/>
        <v>25.07</v>
      </c>
      <c r="H63" s="66">
        <f t="shared" si="28"/>
        <v>26.07</v>
      </c>
      <c r="I63" s="66">
        <f t="shared" si="112"/>
        <v>59.88000000000001</v>
      </c>
      <c r="J63" s="66">
        <f t="shared" si="29"/>
        <v>0.88</v>
      </c>
      <c r="K63" s="66">
        <f t="shared" si="30"/>
        <v>0.12</v>
      </c>
      <c r="L63" s="66">
        <f t="shared" si="31"/>
        <v>0</v>
      </c>
      <c r="M63" s="66">
        <f t="shared" si="32"/>
        <v>0</v>
      </c>
      <c r="N63" s="66">
        <f>+IF(C63="","",ROUND(Parámetros!$D$23,2))</f>
        <v>94</v>
      </c>
      <c r="O63" s="66">
        <f t="shared" si="33"/>
        <v>12.3</v>
      </c>
      <c r="P63" s="66">
        <f>+IF($C63="","",ROUND(IF(B63&gt;Parámetros!$D$117,0,N63*Parámetros!$D$116-G63*Parámetros!$D$100),2))</f>
        <v>8.0500000000000007</v>
      </c>
      <c r="Q63" s="75">
        <f t="shared" si="113"/>
        <v>3.5101715197447148E-2</v>
      </c>
      <c r="R63" s="75">
        <f t="shared" si="114"/>
        <v>4.7865975269246108E-3</v>
      </c>
      <c r="S63" s="117">
        <f>+IF($C63="","",ROUND((S62+I63)*(1+Parámetros!$D$91),2))</f>
        <v>1382.82</v>
      </c>
      <c r="T63" s="117">
        <f>+IF($C63="","",ROUND(S63*VLOOKUP(B63,Parámetros!$C$30:$D$39,2,TRUE),2))</f>
        <v>0</v>
      </c>
      <c r="U63" s="117">
        <f>+IF($C63="","",ROUND((U62+I63)*(1+Parámetros!$D$92),2))</f>
        <v>1389.37</v>
      </c>
      <c r="V63" s="117">
        <f>+IF($C63="","",ROUND(U63*VLOOKUP(B63,Parámetros!$C$30:$D$39,2,TRUE),2))</f>
        <v>0</v>
      </c>
      <c r="W63" s="57">
        <f t="shared" si="115"/>
        <v>22</v>
      </c>
      <c r="X63" t="str">
        <f t="shared" si="116"/>
        <v>00058</v>
      </c>
      <c r="Y63" t="str">
        <f t="shared" si="117"/>
        <v>MUERTE POR CUALQUIER CAUSA</v>
      </c>
      <c r="Z63" s="118">
        <f>+IF($W63="","",ROUND(IF(Parámetros!$D$25='TABLAS MORT'!$V$33,Z62,Parámetros!$D$21-'Tablas Servicio'!T62),0))</f>
        <v>100000</v>
      </c>
      <c r="AA63" s="118" t="str">
        <f t="shared" si="118"/>
        <v>P</v>
      </c>
      <c r="AB63" s="119">
        <f>+IF(W63="","",ROUND((VLOOKUP(ROUNDDOWN($D63-1/frec,0),qx_tabla,2,FALSE)*(1+i/frec)^-0.5*(1+Parámetros!$D$103)*(1+rec_fracc)/frec),6))</f>
        <v>1.1900000000000001E-4</v>
      </c>
      <c r="AC63" s="66">
        <f t="shared" si="46"/>
        <v>11.9</v>
      </c>
      <c r="AD63" s="119">
        <f t="shared" si="35"/>
        <v>2.4600000000000002E-4</v>
      </c>
      <c r="AE63" s="66">
        <f>+IF($W63="","",ROUND(IF($B63&gt;Parámetros!$D$107,'Tablas Servicio'!AC63+('Tablas Servicio'!AG62-'Tablas Servicio'!AC62),AC63/(1-IF(B63&lt;=10,Parámetros!$D$104,Parámetros!$D$105))),2))</f>
        <v>24.62</v>
      </c>
      <c r="AF63" s="66">
        <f>+IF($W63="","",ROUND(IF($B63&gt;Parámetros!$D$107,'Tablas Servicio'!AC63+('Tablas Servicio'!AG62-'Tablas Servicio'!AC62),(AC63+$A62/frec)/(1-IF(B63&lt;=Parámetros!$D$117,Parámetros!$D$100,0))),2))</f>
        <v>27.62</v>
      </c>
      <c r="AG63" s="66">
        <f t="shared" si="111"/>
        <v>24.62</v>
      </c>
      <c r="AH63" s="66">
        <f t="shared" si="47"/>
        <v>0</v>
      </c>
      <c r="AI63" s="66">
        <f t="shared" si="48"/>
        <v>0</v>
      </c>
      <c r="AJ63" s="66">
        <f>+IF($W63="","",ROUND((AG63*Parámetros!$G$85),2))</f>
        <v>0.86</v>
      </c>
      <c r="AK63" s="66">
        <f>+IF($W63="","",ROUND((AG63*(Parámetros!$G$86)),2))</f>
        <v>0.12</v>
      </c>
      <c r="AL63" s="66">
        <f t="shared" si="36"/>
        <v>25.6</v>
      </c>
      <c r="AM63" t="str">
        <f t="shared" si="119"/>
        <v>00059</v>
      </c>
      <c r="AN63" t="str">
        <f t="shared" si="120"/>
        <v>Incapacidad Total y Permanente</v>
      </c>
      <c r="AO63" s="118">
        <f t="shared" si="121"/>
        <v>0</v>
      </c>
      <c r="AP63" s="118" t="str">
        <f t="shared" si="122"/>
        <v>A</v>
      </c>
      <c r="AQ63" s="119" t="str">
        <f>+IF(OR($W63="",AO63=0),"",ROUND((VLOOKUP(ROUNDDOWN($D63-1/frec,0),cob_adi,Z$40,FALSE)*(1+i/frec)^-0.5*(1+Parámetros!$D$103)*(1+rec_fracc)/frec),6))</f>
        <v/>
      </c>
      <c r="AR63" s="66">
        <f t="shared" si="53"/>
        <v>0</v>
      </c>
      <c r="AS63" s="119" t="str">
        <f t="shared" si="54"/>
        <v/>
      </c>
      <c r="AT63" s="66">
        <f>+IF($W63="","",ROUND(IF($B63&gt;Parámetros!$D$107,'Tablas Servicio'!AR63+('Tablas Servicio'!AT62-'Tablas Servicio'!AR62),AR63/(1-IF(B63&lt;=10,Parámetros!$D$100,0))),2))</f>
        <v>0</v>
      </c>
      <c r="AU63" s="66">
        <f t="shared" si="55"/>
        <v>0</v>
      </c>
      <c r="AV63" s="66">
        <f t="shared" si="55"/>
        <v>0</v>
      </c>
      <c r="AW63" s="66">
        <f>+IF($W63="","",ROUND((AT63*Parámetros!$G$85),2))</f>
        <v>0</v>
      </c>
      <c r="AX63" s="66">
        <f>+IF($W63="","",ROUND((AT63*(Parámetros!$G$86)),2))</f>
        <v>0</v>
      </c>
      <c r="AY63" s="66">
        <f t="shared" si="56"/>
        <v>0</v>
      </c>
      <c r="AZ63" t="str">
        <f t="shared" si="123"/>
        <v>00060</v>
      </c>
      <c r="BA63" t="str">
        <f t="shared" si="124"/>
        <v>Muerte Accidental</v>
      </c>
      <c r="BB63" s="118">
        <f t="shared" si="125"/>
        <v>0</v>
      </c>
      <c r="BC63" s="118" t="str">
        <f t="shared" si="126"/>
        <v>A</v>
      </c>
      <c r="BD63" s="119" t="str">
        <f>+IF(OR($W63="",BB63=0),"",ROUND((VLOOKUP(ROUNDDOWN($D63-1/frec,0),cob_adi,AO$40,FALSE)*(1+i/frec)^-0.5*(1+Parámetros!$D$103)*(1+rec_fracc)/frec),6))</f>
        <v/>
      </c>
      <c r="BE63" s="66">
        <f t="shared" si="61"/>
        <v>0</v>
      </c>
      <c r="BF63" s="119" t="str">
        <f t="shared" si="62"/>
        <v/>
      </c>
      <c r="BG63" s="66">
        <f>+IF($W63="","",ROUND(IF($B63&gt;Parámetros!$D$107,'Tablas Servicio'!BE63+('Tablas Servicio'!BG62-'Tablas Servicio'!BE62),BE63/(1-IF(B63&lt;=10,Parámetros!$D$100,0))),2))</f>
        <v>0</v>
      </c>
      <c r="BH63" s="66">
        <f t="shared" si="63"/>
        <v>0</v>
      </c>
      <c r="BI63" s="66">
        <f t="shared" si="64"/>
        <v>0</v>
      </c>
      <c r="BJ63" s="66">
        <f>+IF($W63="","",ROUND((BG63*Parámetros!$G$85),2))</f>
        <v>0</v>
      </c>
      <c r="BK63" s="66">
        <f>+IF($W63="","",ROUND((BG63*(Parámetros!$G$86)),2))</f>
        <v>0</v>
      </c>
      <c r="BL63" s="66">
        <f t="shared" si="65"/>
        <v>0</v>
      </c>
      <c r="BM63" t="str">
        <f t="shared" si="127"/>
        <v>00061</v>
      </c>
      <c r="BN63" t="str">
        <f t="shared" si="128"/>
        <v>Gastos de Entierro</v>
      </c>
      <c r="BO63" s="118">
        <f t="shared" si="129"/>
        <v>0</v>
      </c>
      <c r="BP63" s="118" t="str">
        <f t="shared" si="130"/>
        <v>A</v>
      </c>
      <c r="BQ63" s="119" t="str">
        <f>+IF(OR($W63="",BO63=0),"",ROUND((VLOOKUP(ROUNDDOWN($D63-1/frec,0),cob_adi,BB$40,FALSE)*(1+i/frec)^-0.5*(1+Parámetros!$D$103)*(1+rec_fracc)/frec),6))</f>
        <v/>
      </c>
      <c r="BR63" s="66">
        <f t="shared" si="70"/>
        <v>0</v>
      </c>
      <c r="BS63" s="119" t="str">
        <f t="shared" si="71"/>
        <v/>
      </c>
      <c r="BT63" s="66">
        <f>+IF($W63="","",ROUND(IF($B63&gt;Parámetros!$D$107,'Tablas Servicio'!BR63+('Tablas Servicio'!BT62-'Tablas Servicio'!BR62),BR63/(1-IF(B63&lt;=10,Parámetros!$D$100,0))),2))</f>
        <v>0</v>
      </c>
      <c r="BU63" s="66">
        <f t="shared" si="72"/>
        <v>0</v>
      </c>
      <c r="BV63" s="66">
        <f t="shared" si="72"/>
        <v>0</v>
      </c>
      <c r="BW63" s="66">
        <f>+IF($W63="","",ROUND((BT63*Parámetros!$G$85),2))</f>
        <v>0</v>
      </c>
      <c r="BX63" s="66">
        <f>+IF($W63="","",ROUND((BT63*(Parámetros!$G$86)),2))</f>
        <v>0</v>
      </c>
      <c r="BY63" s="66">
        <f t="shared" si="73"/>
        <v>0</v>
      </c>
      <c r="BZ63" t="str">
        <f t="shared" si="131"/>
        <v>00062</v>
      </c>
      <c r="CA63" t="str">
        <f t="shared" si="132"/>
        <v>Gastos médicos por accidente</v>
      </c>
      <c r="CB63" s="118">
        <f t="shared" si="133"/>
        <v>0</v>
      </c>
      <c r="CC63" s="118" t="str">
        <f t="shared" si="134"/>
        <v>A</v>
      </c>
      <c r="CD63" s="119" t="str">
        <f t="shared" si="78"/>
        <v/>
      </c>
      <c r="CE63" s="66">
        <f>+IF($W63="","",ROUND((VLOOKUP(ROUNDDOWN($D63-1/frec,0),cob_adi,BO$40,FALSE)*(1+i/frec)^-0.5*(1+Parámetros!$D$103)*(1+rec_fracc)/frec*'TABLAS ADI'!$BC$17),2))</f>
        <v>0</v>
      </c>
      <c r="CF63" s="119" t="str">
        <f t="shared" si="79"/>
        <v/>
      </c>
      <c r="CG63" s="66">
        <f>+IF($W63="","",ROUND(IF($B63&gt;Parámetros!$D$107,'Tablas Servicio'!CE63+('Tablas Servicio'!CG62-'Tablas Servicio'!CE62),CE63/(1-IF(B63&lt;=10,Parámetros!$D$100,0))),2))</f>
        <v>0</v>
      </c>
      <c r="CH63" s="66">
        <f t="shared" si="80"/>
        <v>0</v>
      </c>
      <c r="CI63" s="66">
        <f t="shared" si="80"/>
        <v>0</v>
      </c>
      <c r="CJ63" s="66">
        <f>+IF($W63="","",ROUND((CG63*Parámetros!$G$85),2))</f>
        <v>0</v>
      </c>
      <c r="CK63" s="66">
        <f>+IF($W63="","",ROUND((CG63*(Parámetros!$G$86)),2))</f>
        <v>0</v>
      </c>
      <c r="CL63" s="66">
        <f t="shared" si="81"/>
        <v>0</v>
      </c>
      <c r="CM63" t="str">
        <f t="shared" si="135"/>
        <v>00063</v>
      </c>
      <c r="CN63" s="118" t="str">
        <f t="shared" si="136"/>
        <v>Renta Diaria por Hospitalización</v>
      </c>
      <c r="CO63" s="118">
        <f t="shared" si="137"/>
        <v>0</v>
      </c>
      <c r="CP63" s="118" t="str">
        <f t="shared" si="138"/>
        <v>A</v>
      </c>
      <c r="CQ63" s="119" t="str">
        <f t="shared" si="86"/>
        <v/>
      </c>
      <c r="CR63" s="66">
        <f>+IF($W63="","",ROUND((VLOOKUP(Parámetros!$F$51,'COBERTURAS ADICIONALES'!$S$4:$T$32,2,FALSE)*(1+i/frec)^-0.5*(1+Parámetros!$D$103)*(1+rec_fracc)/frec*$CO$42),2))</f>
        <v>0</v>
      </c>
      <c r="CS63" s="119" t="str">
        <f t="shared" si="87"/>
        <v/>
      </c>
      <c r="CT63" s="66">
        <f>+IF($W63="","",ROUND(IF($B63&gt;Parámetros!$D$107,'Tablas Servicio'!CR63+('Tablas Servicio'!CT62-'Tablas Servicio'!CR62),CR63/(1-IF(B63&lt;=10,Parámetros!$D$100,0))),2))</f>
        <v>0</v>
      </c>
      <c r="CU63" s="66">
        <f t="shared" si="88"/>
        <v>0</v>
      </c>
      <c r="CV63" s="66">
        <f t="shared" si="88"/>
        <v>0</v>
      </c>
      <c r="CW63" s="66">
        <f>+IF($W63="","",ROUND((CT63*Parámetros!$G$85),2))</f>
        <v>0</v>
      </c>
      <c r="CX63" s="66">
        <f>+IF($W63="","",ROUND((CT63*(Parámetros!$G$86)),2))</f>
        <v>0</v>
      </c>
      <c r="CY63" s="66">
        <f t="shared" si="89"/>
        <v>0</v>
      </c>
      <c r="CZ63" t="str">
        <f t="shared" si="139"/>
        <v>00064</v>
      </c>
      <c r="DA63" s="118" t="str">
        <f t="shared" si="140"/>
        <v>Enfermedades Graves</v>
      </c>
      <c r="DB63" s="118">
        <f t="shared" si="141"/>
        <v>0</v>
      </c>
      <c r="DC63" s="118" t="str">
        <f t="shared" si="142"/>
        <v>A</v>
      </c>
      <c r="DD63" s="121" t="str">
        <f>+IF(OR($W63="",DB63=0),"",ROUND((VLOOKUP(ROUNDDOWN($D63-1/frec,0),cob_adi,CO$40,FALSE)*(1+i/frec)^-0.5*(1+Parámetros!$D$103)*(1+rec_fracc)/frec),6))</f>
        <v/>
      </c>
      <c r="DE63" s="66">
        <f t="shared" si="94"/>
        <v>0</v>
      </c>
      <c r="DF63" s="119" t="str">
        <f t="shared" si="95"/>
        <v/>
      </c>
      <c r="DG63" s="66">
        <f>+IF($W63="","",ROUND(IF($B63&gt;Parámetros!$D$107,'Tablas Servicio'!DE63+('Tablas Servicio'!DG62-'Tablas Servicio'!DE62),DE63/(1-IF(B63&lt;=10,Parámetros!$D$100,0))),2))</f>
        <v>0</v>
      </c>
      <c r="DH63" s="66">
        <f t="shared" si="96"/>
        <v>0</v>
      </c>
      <c r="DI63" s="66">
        <f t="shared" si="96"/>
        <v>0</v>
      </c>
      <c r="DJ63" s="66">
        <f>+IF($W63="","",ROUND((DG63*Parámetros!$G$85),2))</f>
        <v>0</v>
      </c>
      <c r="DK63" s="66">
        <f>+IF($W63="","",ROUND((DG63*(Parámetros!$G$86)),2))</f>
        <v>0</v>
      </c>
      <c r="DL63" s="66">
        <f t="shared" si="97"/>
        <v>0</v>
      </c>
      <c r="DM63" t="str">
        <f t="shared" si="143"/>
        <v>00065</v>
      </c>
      <c r="DN63" s="118" t="str">
        <f t="shared" si="144"/>
        <v>Exención pago de primas</v>
      </c>
      <c r="DO63" s="118">
        <f t="shared" si="145"/>
        <v>0</v>
      </c>
      <c r="DP63" s="118" t="str">
        <f t="shared" si="146"/>
        <v>A</v>
      </c>
      <c r="DQ63" s="122" t="str">
        <f>+IF(OR($W63="",DO63=0),"",ROUND((VLOOKUP(ROUNDDOWN($D63-1/frec,0),cob_adi,DB$40,FALSE)*(1+i/frec)^-0.5*(1+Parámetros!$D$103)*(1+rec_fracc)/frec),6))</f>
        <v/>
      </c>
      <c r="DR63" s="66">
        <f t="shared" si="102"/>
        <v>0</v>
      </c>
      <c r="DS63" s="68" t="str">
        <f t="shared" si="103"/>
        <v/>
      </c>
      <c r="DT63" s="66">
        <f>+IF($W63="","",ROUND(IF($B63&gt;Parámetros!$D$107,'Tablas Servicio'!DR63+('Tablas Servicio'!DT62-'Tablas Servicio'!DR62),DR63/(1-IF(B63&lt;=10,Parámetros!$D$100,0))),2))</f>
        <v>0</v>
      </c>
      <c r="DU63" s="66">
        <f t="shared" si="104"/>
        <v>0</v>
      </c>
      <c r="DV63" s="66">
        <f t="shared" si="104"/>
        <v>0</v>
      </c>
      <c r="DW63" s="66">
        <f>+IF($W63="","",ROUND((DT63*Parámetros!$G$85),2))</f>
        <v>0</v>
      </c>
      <c r="DX63" s="66">
        <f>+IF($W63="","",ROUND((DT63*(Parámetros!$G$86)),2))</f>
        <v>0</v>
      </c>
      <c r="DY63" s="66">
        <f t="shared" si="105"/>
        <v>0</v>
      </c>
      <c r="DZ63" t="str">
        <f t="shared" si="147"/>
        <v>00066</v>
      </c>
      <c r="EA63" s="118" t="str">
        <f t="shared" si="147"/>
        <v>Enfermedad terminal</v>
      </c>
      <c r="EB63" s="118">
        <f>+IF($W63="","",ROUND(IF(Parámetros!$D$25='TABLAS MORT'!$V$33,EB62,Z63/2),0))</f>
        <v>50000</v>
      </c>
      <c r="EC63" s="118" t="str">
        <f t="shared" si="147"/>
        <v>A</v>
      </c>
      <c r="ED63" s="122">
        <f>+IF(OR($W63="",EB63=0),"",ROUND((VLOOKUP(ROUNDDOWN($D63-1/frec,0),cob_adi,DO$40,FALSE)*(1+i/frec)^-0.5*(1+Parámetros!$D$103)*(1+rec_fracc)/frec),6))</f>
        <v>7.9999999999999996E-6</v>
      </c>
      <c r="EE63" s="66">
        <f t="shared" si="107"/>
        <v>0.4</v>
      </c>
      <c r="EF63" s="68">
        <f t="shared" si="108"/>
        <v>9.0000000000000002E-6</v>
      </c>
      <c r="EG63" s="66">
        <f>+IF($W63="","",ROUND(IF($B63&gt;Parámetros!$D$107,'Tablas Servicio'!EE63+('Tablas Servicio'!EG62-'Tablas Servicio'!EE62),EE63/(1-IF(B63&lt;=10,Parámetros!$D$100,0))),2))</f>
        <v>0.45</v>
      </c>
      <c r="EH63" s="66">
        <f t="shared" si="109"/>
        <v>0</v>
      </c>
      <c r="EI63" s="66">
        <f t="shared" si="109"/>
        <v>0</v>
      </c>
      <c r="EJ63" s="66">
        <f>+IF($W63="","",ROUND((EG63*Parámetros!$G$85),2))</f>
        <v>0.02</v>
      </c>
      <c r="EK63" s="66">
        <f>+IF($W63="","",ROUND((EG63*(Parámetros!$G$86)),2))</f>
        <v>0</v>
      </c>
      <c r="EL63" s="66">
        <f t="shared" si="110"/>
        <v>0.47</v>
      </c>
    </row>
    <row r="64" spans="1:142" x14ac:dyDescent="0.25">
      <c r="A64">
        <f>+IF($C64="","",ROUND(VLOOKUP('Tablas Servicio'!B64,Parámetros!$H$100:$J$159,IF(Parámetros!$E$16="F",2,3),FALSE),2))</f>
        <v>150</v>
      </c>
      <c r="B64">
        <f t="shared" si="27"/>
        <v>2</v>
      </c>
      <c r="C64" s="57">
        <f>+IF(D64="","",'Tablas Servicio'!C63+1)</f>
        <v>23</v>
      </c>
      <c r="D64" s="56">
        <f>+IF(D63&lt;edadmaxtabla,D63+1/Parámetros!$E$25,"")</f>
        <v>41.936666666666724</v>
      </c>
      <c r="E64" s="57">
        <f t="shared" si="37"/>
        <v>41</v>
      </c>
      <c r="F64" s="59">
        <f t="shared" si="38"/>
        <v>100000</v>
      </c>
      <c r="G64" s="66">
        <f t="shared" si="39"/>
        <v>25.07</v>
      </c>
      <c r="H64" s="66">
        <f t="shared" si="28"/>
        <v>26.07</v>
      </c>
      <c r="I64" s="66">
        <f t="shared" si="112"/>
        <v>59.88000000000001</v>
      </c>
      <c r="J64" s="66">
        <f t="shared" si="29"/>
        <v>0.88</v>
      </c>
      <c r="K64" s="66">
        <f t="shared" si="30"/>
        <v>0.12</v>
      </c>
      <c r="L64" s="66">
        <f t="shared" si="31"/>
        <v>0</v>
      </c>
      <c r="M64" s="66">
        <f t="shared" si="32"/>
        <v>0</v>
      </c>
      <c r="N64" s="66">
        <f>+IF(C64="","",ROUND(Parámetros!$D$23,2))</f>
        <v>94</v>
      </c>
      <c r="O64" s="66">
        <f t="shared" si="33"/>
        <v>12.3</v>
      </c>
      <c r="P64" s="66">
        <f>+IF($C64="","",ROUND(IF(B64&gt;Parámetros!$D$117,0,N64*Parámetros!$D$116-G64*Parámetros!$D$100),2))</f>
        <v>8.0500000000000007</v>
      </c>
      <c r="Q64" s="75">
        <f t="shared" si="113"/>
        <v>3.5101715197447148E-2</v>
      </c>
      <c r="R64" s="75">
        <f t="shared" si="114"/>
        <v>4.7865975269246108E-3</v>
      </c>
      <c r="S64" s="117">
        <f>+IF($C64="","",ROUND((S63+I64)*(1+Parámetros!$D$91),2))</f>
        <v>1446.79</v>
      </c>
      <c r="T64" s="117">
        <f>+IF($C64="","",ROUND(S64*VLOOKUP(B64,Parámetros!$C$30:$D$39,2,TRUE),2))</f>
        <v>0</v>
      </c>
      <c r="U64" s="117">
        <f>+IF($C64="","",ROUND((U63+I64)*(1+Parámetros!$D$92),2))</f>
        <v>1453.95</v>
      </c>
      <c r="V64" s="117">
        <f>+IF($C64="","",ROUND(U64*VLOOKUP(B64,Parámetros!$C$30:$D$39,2,TRUE),2))</f>
        <v>0</v>
      </c>
      <c r="W64" s="57">
        <f t="shared" si="115"/>
        <v>23</v>
      </c>
      <c r="X64" t="str">
        <f t="shared" si="116"/>
        <v>00058</v>
      </c>
      <c r="Y64" t="str">
        <f t="shared" si="117"/>
        <v>MUERTE POR CUALQUIER CAUSA</v>
      </c>
      <c r="Z64" s="118">
        <f>+IF($W64="","",ROUND(IF(Parámetros!$D$25='TABLAS MORT'!$V$33,Z63,Parámetros!$D$21-'Tablas Servicio'!T63),0))</f>
        <v>100000</v>
      </c>
      <c r="AA64" s="118" t="str">
        <f t="shared" si="118"/>
        <v>P</v>
      </c>
      <c r="AB64" s="119">
        <f>+IF(W64="","",ROUND((VLOOKUP(ROUNDDOWN($D64-1/frec,0),qx_tabla,2,FALSE)*(1+i/frec)^-0.5*(1+Parámetros!$D$103)*(1+rec_fracc)/frec),6))</f>
        <v>1.1900000000000001E-4</v>
      </c>
      <c r="AC64" s="66">
        <f t="shared" si="46"/>
        <v>11.9</v>
      </c>
      <c r="AD64" s="119">
        <f t="shared" si="35"/>
        <v>2.4600000000000002E-4</v>
      </c>
      <c r="AE64" s="66">
        <f>+IF($W64="","",ROUND(IF($B64&gt;Parámetros!$D$107,'Tablas Servicio'!AC64+('Tablas Servicio'!AG63-'Tablas Servicio'!AC63),AC64/(1-IF(B64&lt;=10,Parámetros!$D$104,Parámetros!$D$105))),2))</f>
        <v>24.62</v>
      </c>
      <c r="AF64" s="66">
        <f>+IF($W64="","",ROUND(IF($B64&gt;Parámetros!$D$107,'Tablas Servicio'!AC64+('Tablas Servicio'!AG63-'Tablas Servicio'!AC63),(AC64+$A63/frec)/(1-IF(B64&lt;=Parámetros!$D$117,Parámetros!$D$100,0))),2))</f>
        <v>27.62</v>
      </c>
      <c r="AG64" s="66">
        <f t="shared" si="111"/>
        <v>24.62</v>
      </c>
      <c r="AH64" s="66">
        <f t="shared" si="47"/>
        <v>0</v>
      </c>
      <c r="AI64" s="66">
        <f t="shared" si="48"/>
        <v>0</v>
      </c>
      <c r="AJ64" s="66">
        <f>+IF($W64="","",ROUND((AG64*Parámetros!$G$85),2))</f>
        <v>0.86</v>
      </c>
      <c r="AK64" s="66">
        <f>+IF($W64="","",ROUND((AG64*(Parámetros!$G$86)),2))</f>
        <v>0.12</v>
      </c>
      <c r="AL64" s="66">
        <f t="shared" si="36"/>
        <v>25.6</v>
      </c>
      <c r="AM64" t="str">
        <f t="shared" si="119"/>
        <v>00059</v>
      </c>
      <c r="AN64" t="str">
        <f t="shared" si="120"/>
        <v>Incapacidad Total y Permanente</v>
      </c>
      <c r="AO64" s="118">
        <f t="shared" si="121"/>
        <v>0</v>
      </c>
      <c r="AP64" s="118" t="str">
        <f t="shared" si="122"/>
        <v>A</v>
      </c>
      <c r="AQ64" s="119" t="str">
        <f>+IF(OR($W64="",AO64=0),"",ROUND((VLOOKUP(ROUNDDOWN($D64-1/frec,0),cob_adi,Z$40,FALSE)*(1+i/frec)^-0.5*(1+Parámetros!$D$103)*(1+rec_fracc)/frec),6))</f>
        <v/>
      </c>
      <c r="AR64" s="66">
        <f t="shared" si="53"/>
        <v>0</v>
      </c>
      <c r="AS64" s="119" t="str">
        <f t="shared" si="54"/>
        <v/>
      </c>
      <c r="AT64" s="66">
        <f>+IF($W64="","",ROUND(IF($B64&gt;Parámetros!$D$107,'Tablas Servicio'!AR64+('Tablas Servicio'!AT63-'Tablas Servicio'!AR63),AR64/(1-IF(B64&lt;=10,Parámetros!$D$100,0))),2))</f>
        <v>0</v>
      </c>
      <c r="AU64" s="66">
        <f t="shared" si="55"/>
        <v>0</v>
      </c>
      <c r="AV64" s="66">
        <f t="shared" si="55"/>
        <v>0</v>
      </c>
      <c r="AW64" s="66">
        <f>+IF($W64="","",ROUND((AT64*Parámetros!$G$85),2))</f>
        <v>0</v>
      </c>
      <c r="AX64" s="66">
        <f>+IF($W64="","",ROUND((AT64*(Parámetros!$G$86)),2))</f>
        <v>0</v>
      </c>
      <c r="AY64" s="66">
        <f t="shared" si="56"/>
        <v>0</v>
      </c>
      <c r="AZ64" t="str">
        <f t="shared" si="123"/>
        <v>00060</v>
      </c>
      <c r="BA64" t="str">
        <f t="shared" si="124"/>
        <v>Muerte Accidental</v>
      </c>
      <c r="BB64" s="118">
        <f t="shared" si="125"/>
        <v>0</v>
      </c>
      <c r="BC64" s="118" t="str">
        <f t="shared" si="126"/>
        <v>A</v>
      </c>
      <c r="BD64" s="119" t="str">
        <f>+IF(OR($W64="",BB64=0),"",ROUND((VLOOKUP(ROUNDDOWN($D64-1/frec,0),cob_adi,AO$40,FALSE)*(1+i/frec)^-0.5*(1+Parámetros!$D$103)*(1+rec_fracc)/frec),6))</f>
        <v/>
      </c>
      <c r="BE64" s="66">
        <f t="shared" si="61"/>
        <v>0</v>
      </c>
      <c r="BF64" s="119" t="str">
        <f t="shared" si="62"/>
        <v/>
      </c>
      <c r="BG64" s="66">
        <f>+IF($W64="","",ROUND(IF($B64&gt;Parámetros!$D$107,'Tablas Servicio'!BE64+('Tablas Servicio'!BG63-'Tablas Servicio'!BE63),BE64/(1-IF(B64&lt;=10,Parámetros!$D$100,0))),2))</f>
        <v>0</v>
      </c>
      <c r="BH64" s="66">
        <f t="shared" si="63"/>
        <v>0</v>
      </c>
      <c r="BI64" s="66">
        <f t="shared" si="64"/>
        <v>0</v>
      </c>
      <c r="BJ64" s="66">
        <f>+IF($W64="","",ROUND((BG64*Parámetros!$G$85),2))</f>
        <v>0</v>
      </c>
      <c r="BK64" s="66">
        <f>+IF($W64="","",ROUND((BG64*(Parámetros!$G$86)),2))</f>
        <v>0</v>
      </c>
      <c r="BL64" s="66">
        <f t="shared" si="65"/>
        <v>0</v>
      </c>
      <c r="BM64" t="str">
        <f t="shared" si="127"/>
        <v>00061</v>
      </c>
      <c r="BN64" t="str">
        <f t="shared" si="128"/>
        <v>Gastos de Entierro</v>
      </c>
      <c r="BO64" s="118">
        <f t="shared" si="129"/>
        <v>0</v>
      </c>
      <c r="BP64" s="118" t="str">
        <f t="shared" si="130"/>
        <v>A</v>
      </c>
      <c r="BQ64" s="119" t="str">
        <f>+IF(OR($W64="",BO64=0),"",ROUND((VLOOKUP(ROUNDDOWN($D64-1/frec,0),cob_adi,BB$40,FALSE)*(1+i/frec)^-0.5*(1+Parámetros!$D$103)*(1+rec_fracc)/frec),6))</f>
        <v/>
      </c>
      <c r="BR64" s="66">
        <f t="shared" si="70"/>
        <v>0</v>
      </c>
      <c r="BS64" s="119" t="str">
        <f t="shared" si="71"/>
        <v/>
      </c>
      <c r="BT64" s="66">
        <f>+IF($W64="","",ROUND(IF($B64&gt;Parámetros!$D$107,'Tablas Servicio'!BR64+('Tablas Servicio'!BT63-'Tablas Servicio'!BR63),BR64/(1-IF(B64&lt;=10,Parámetros!$D$100,0))),2))</f>
        <v>0</v>
      </c>
      <c r="BU64" s="66">
        <f t="shared" si="72"/>
        <v>0</v>
      </c>
      <c r="BV64" s="66">
        <f t="shared" si="72"/>
        <v>0</v>
      </c>
      <c r="BW64" s="66">
        <f>+IF($W64="","",ROUND((BT64*Parámetros!$G$85),2))</f>
        <v>0</v>
      </c>
      <c r="BX64" s="66">
        <f>+IF($W64="","",ROUND((BT64*(Parámetros!$G$86)),2))</f>
        <v>0</v>
      </c>
      <c r="BY64" s="66">
        <f t="shared" si="73"/>
        <v>0</v>
      </c>
      <c r="BZ64" t="str">
        <f t="shared" si="131"/>
        <v>00062</v>
      </c>
      <c r="CA64" t="str">
        <f t="shared" si="132"/>
        <v>Gastos médicos por accidente</v>
      </c>
      <c r="CB64" s="118">
        <f t="shared" si="133"/>
        <v>0</v>
      </c>
      <c r="CC64" s="118" t="str">
        <f t="shared" si="134"/>
        <v>A</v>
      </c>
      <c r="CD64" s="119" t="str">
        <f t="shared" si="78"/>
        <v/>
      </c>
      <c r="CE64" s="66">
        <f>+IF($W64="","",ROUND((VLOOKUP(ROUNDDOWN($D64-1/frec,0),cob_adi,BO$40,FALSE)*(1+i/frec)^-0.5*(1+Parámetros!$D$103)*(1+rec_fracc)/frec*'TABLAS ADI'!$BC$17),2))</f>
        <v>0</v>
      </c>
      <c r="CF64" s="119" t="str">
        <f t="shared" si="79"/>
        <v/>
      </c>
      <c r="CG64" s="66">
        <f>+IF($W64="","",ROUND(IF($B64&gt;Parámetros!$D$107,'Tablas Servicio'!CE64+('Tablas Servicio'!CG63-'Tablas Servicio'!CE63),CE64/(1-IF(B64&lt;=10,Parámetros!$D$100,0))),2))</f>
        <v>0</v>
      </c>
      <c r="CH64" s="66">
        <f t="shared" si="80"/>
        <v>0</v>
      </c>
      <c r="CI64" s="66">
        <f t="shared" si="80"/>
        <v>0</v>
      </c>
      <c r="CJ64" s="66">
        <f>+IF($W64="","",ROUND((CG64*Parámetros!$G$85),2))</f>
        <v>0</v>
      </c>
      <c r="CK64" s="66">
        <f>+IF($W64="","",ROUND((CG64*(Parámetros!$G$86)),2))</f>
        <v>0</v>
      </c>
      <c r="CL64" s="66">
        <f t="shared" si="81"/>
        <v>0</v>
      </c>
      <c r="CM64" t="str">
        <f t="shared" si="135"/>
        <v>00063</v>
      </c>
      <c r="CN64" s="118" t="str">
        <f t="shared" si="136"/>
        <v>Renta Diaria por Hospitalización</v>
      </c>
      <c r="CO64" s="118">
        <f t="shared" si="137"/>
        <v>0</v>
      </c>
      <c r="CP64" s="118" t="str">
        <f t="shared" si="138"/>
        <v>A</v>
      </c>
      <c r="CQ64" s="119" t="str">
        <f t="shared" si="86"/>
        <v/>
      </c>
      <c r="CR64" s="66">
        <f>+IF($W64="","",ROUND((VLOOKUP(Parámetros!$F$51,'COBERTURAS ADICIONALES'!$S$4:$T$32,2,FALSE)*(1+i/frec)^-0.5*(1+Parámetros!$D$103)*(1+rec_fracc)/frec*$CO$42),2))</f>
        <v>0</v>
      </c>
      <c r="CS64" s="119" t="str">
        <f t="shared" si="87"/>
        <v/>
      </c>
      <c r="CT64" s="66">
        <f>+IF($W64="","",ROUND(IF($B64&gt;Parámetros!$D$107,'Tablas Servicio'!CR64+('Tablas Servicio'!CT63-'Tablas Servicio'!CR63),CR64/(1-IF(B64&lt;=10,Parámetros!$D$100,0))),2))</f>
        <v>0</v>
      </c>
      <c r="CU64" s="66">
        <f t="shared" si="88"/>
        <v>0</v>
      </c>
      <c r="CV64" s="66">
        <f t="shared" si="88"/>
        <v>0</v>
      </c>
      <c r="CW64" s="66">
        <f>+IF($W64="","",ROUND((CT64*Parámetros!$G$85),2))</f>
        <v>0</v>
      </c>
      <c r="CX64" s="66">
        <f>+IF($W64="","",ROUND((CT64*(Parámetros!$G$86)),2))</f>
        <v>0</v>
      </c>
      <c r="CY64" s="66">
        <f t="shared" si="89"/>
        <v>0</v>
      </c>
      <c r="CZ64" t="str">
        <f t="shared" si="139"/>
        <v>00064</v>
      </c>
      <c r="DA64" s="118" t="str">
        <f t="shared" si="140"/>
        <v>Enfermedades Graves</v>
      </c>
      <c r="DB64" s="118">
        <f t="shared" si="141"/>
        <v>0</v>
      </c>
      <c r="DC64" s="118" t="str">
        <f t="shared" si="142"/>
        <v>A</v>
      </c>
      <c r="DD64" s="121" t="str">
        <f>+IF(OR($W64="",DB64=0),"",ROUND((VLOOKUP(ROUNDDOWN($D64-1/frec,0),cob_adi,CO$40,FALSE)*(1+i/frec)^-0.5*(1+Parámetros!$D$103)*(1+rec_fracc)/frec),6))</f>
        <v/>
      </c>
      <c r="DE64" s="66">
        <f t="shared" si="94"/>
        <v>0</v>
      </c>
      <c r="DF64" s="119" t="str">
        <f t="shared" si="95"/>
        <v/>
      </c>
      <c r="DG64" s="66">
        <f>+IF($W64="","",ROUND(IF($B64&gt;Parámetros!$D$107,'Tablas Servicio'!DE64+('Tablas Servicio'!DG63-'Tablas Servicio'!DE63),DE64/(1-IF(B64&lt;=10,Parámetros!$D$100,0))),2))</f>
        <v>0</v>
      </c>
      <c r="DH64" s="66">
        <f t="shared" si="96"/>
        <v>0</v>
      </c>
      <c r="DI64" s="66">
        <f t="shared" si="96"/>
        <v>0</v>
      </c>
      <c r="DJ64" s="66">
        <f>+IF($W64="","",ROUND((DG64*Parámetros!$G$85),2))</f>
        <v>0</v>
      </c>
      <c r="DK64" s="66">
        <f>+IF($W64="","",ROUND((DG64*(Parámetros!$G$86)),2))</f>
        <v>0</v>
      </c>
      <c r="DL64" s="66">
        <f t="shared" si="97"/>
        <v>0</v>
      </c>
      <c r="DM64" t="str">
        <f t="shared" si="143"/>
        <v>00065</v>
      </c>
      <c r="DN64" s="118" t="str">
        <f t="shared" si="144"/>
        <v>Exención pago de primas</v>
      </c>
      <c r="DO64" s="118">
        <f t="shared" si="145"/>
        <v>0</v>
      </c>
      <c r="DP64" s="118" t="str">
        <f t="shared" si="146"/>
        <v>A</v>
      </c>
      <c r="DQ64" s="122" t="str">
        <f>+IF(OR($W64="",DO64=0),"",ROUND((VLOOKUP(ROUNDDOWN($D64-1/frec,0),cob_adi,DB$40,FALSE)*(1+i/frec)^-0.5*(1+Parámetros!$D$103)*(1+rec_fracc)/frec),6))</f>
        <v/>
      </c>
      <c r="DR64" s="66">
        <f t="shared" si="102"/>
        <v>0</v>
      </c>
      <c r="DS64" s="68" t="str">
        <f t="shared" si="103"/>
        <v/>
      </c>
      <c r="DT64" s="66">
        <f>+IF($W64="","",ROUND(IF($B64&gt;Parámetros!$D$107,'Tablas Servicio'!DR64+('Tablas Servicio'!DT63-'Tablas Servicio'!DR63),DR64/(1-IF(B64&lt;=10,Parámetros!$D$100,0))),2))</f>
        <v>0</v>
      </c>
      <c r="DU64" s="66">
        <f t="shared" si="104"/>
        <v>0</v>
      </c>
      <c r="DV64" s="66">
        <f t="shared" si="104"/>
        <v>0</v>
      </c>
      <c r="DW64" s="66">
        <f>+IF($W64="","",ROUND((DT64*Parámetros!$G$85),2))</f>
        <v>0</v>
      </c>
      <c r="DX64" s="66">
        <f>+IF($W64="","",ROUND((DT64*(Parámetros!$G$86)),2))</f>
        <v>0</v>
      </c>
      <c r="DY64" s="66">
        <f t="shared" si="105"/>
        <v>0</v>
      </c>
      <c r="DZ64" t="str">
        <f t="shared" si="147"/>
        <v>00066</v>
      </c>
      <c r="EA64" s="118" t="str">
        <f t="shared" si="147"/>
        <v>Enfermedad terminal</v>
      </c>
      <c r="EB64" s="118">
        <f>+IF($W64="","",ROUND(IF(Parámetros!$D$25='TABLAS MORT'!$V$33,EB63,Z64/2),0))</f>
        <v>50000</v>
      </c>
      <c r="EC64" s="118" t="str">
        <f t="shared" si="147"/>
        <v>A</v>
      </c>
      <c r="ED64" s="122">
        <f>+IF(OR($W64="",EB64=0),"",ROUND((VLOOKUP(ROUNDDOWN($D64-1/frec,0),cob_adi,DO$40,FALSE)*(1+i/frec)^-0.5*(1+Parámetros!$D$103)*(1+rec_fracc)/frec),6))</f>
        <v>7.9999999999999996E-6</v>
      </c>
      <c r="EE64" s="66">
        <f t="shared" si="107"/>
        <v>0.4</v>
      </c>
      <c r="EF64" s="68">
        <f t="shared" si="108"/>
        <v>9.0000000000000002E-6</v>
      </c>
      <c r="EG64" s="66">
        <f>+IF($W64="","",ROUND(IF($B64&gt;Parámetros!$D$107,'Tablas Servicio'!EE64+('Tablas Servicio'!EG63-'Tablas Servicio'!EE63),EE64/(1-IF(B64&lt;=10,Parámetros!$D$100,0))),2))</f>
        <v>0.45</v>
      </c>
      <c r="EH64" s="66">
        <f t="shared" si="109"/>
        <v>0</v>
      </c>
      <c r="EI64" s="66">
        <f t="shared" si="109"/>
        <v>0</v>
      </c>
      <c r="EJ64" s="66">
        <f>+IF($W64="","",ROUND((EG64*Parámetros!$G$85),2))</f>
        <v>0.02</v>
      </c>
      <c r="EK64" s="66">
        <f>+IF($W64="","",ROUND((EG64*(Parámetros!$G$86)),2))</f>
        <v>0</v>
      </c>
      <c r="EL64" s="66">
        <f t="shared" si="110"/>
        <v>0.47</v>
      </c>
    </row>
    <row r="65" spans="1:142" x14ac:dyDescent="0.25">
      <c r="A65">
        <f>+IF($C65="","",ROUND(VLOOKUP('Tablas Servicio'!B65,Parámetros!$H$100:$J$159,IF(Parámetros!$E$16="F",2,3),FALSE),2))</f>
        <v>150</v>
      </c>
      <c r="B65">
        <f t="shared" si="27"/>
        <v>2</v>
      </c>
      <c r="C65" s="57">
        <f>+IF(D65="","",'Tablas Servicio'!C64+1)</f>
        <v>24</v>
      </c>
      <c r="D65" s="56">
        <f>+IF(D64&lt;edadmaxtabla,D64+1/Parámetros!$E$25,"")</f>
        <v>42.02000000000006</v>
      </c>
      <c r="E65" s="57">
        <f t="shared" si="37"/>
        <v>42</v>
      </c>
      <c r="F65" s="59">
        <f t="shared" si="38"/>
        <v>100000</v>
      </c>
      <c r="G65" s="66">
        <f t="shared" si="39"/>
        <v>25.07</v>
      </c>
      <c r="H65" s="66">
        <f t="shared" si="28"/>
        <v>26.07</v>
      </c>
      <c r="I65" s="66">
        <f t="shared" si="112"/>
        <v>59.88000000000001</v>
      </c>
      <c r="J65" s="66">
        <f t="shared" si="29"/>
        <v>0.88</v>
      </c>
      <c r="K65" s="66">
        <f t="shared" si="30"/>
        <v>0.12</v>
      </c>
      <c r="L65" s="66">
        <f t="shared" si="31"/>
        <v>0</v>
      </c>
      <c r="M65" s="66">
        <f t="shared" si="32"/>
        <v>0</v>
      </c>
      <c r="N65" s="66">
        <f>+IF(C65="","",ROUND(Parámetros!$D$23,2))</f>
        <v>94</v>
      </c>
      <c r="O65" s="66">
        <f t="shared" si="33"/>
        <v>12.3</v>
      </c>
      <c r="P65" s="66">
        <f>+IF($C65="","",ROUND(IF(B65&gt;Parámetros!$D$117,0,N65*Parámetros!$D$116-G65*Parámetros!$D$100),2))</f>
        <v>8.0500000000000007</v>
      </c>
      <c r="Q65" s="75">
        <f t="shared" si="113"/>
        <v>3.5101715197447148E-2</v>
      </c>
      <c r="R65" s="75">
        <f t="shared" si="114"/>
        <v>4.7865975269246108E-3</v>
      </c>
      <c r="S65" s="117">
        <f>+IF($C65="","",ROUND((S64+I65)*(1+Parámetros!$D$91),2))</f>
        <v>1510.94</v>
      </c>
      <c r="T65" s="117">
        <f>+IF($C65="","",ROUND(S65*VLOOKUP(B65,Parámetros!$C$30:$D$39,2,TRUE),2))</f>
        <v>0</v>
      </c>
      <c r="U65" s="117">
        <f>+IF($C65="","",ROUND((U64+I65)*(1+Parámetros!$D$92),2))</f>
        <v>1518.74</v>
      </c>
      <c r="V65" s="117">
        <f>+IF($C65="","",ROUND(U65*VLOOKUP(B65,Parámetros!$C$30:$D$39,2,TRUE),2))</f>
        <v>0</v>
      </c>
      <c r="W65" s="57">
        <f t="shared" si="115"/>
        <v>24</v>
      </c>
      <c r="X65" t="str">
        <f t="shared" si="116"/>
        <v>00058</v>
      </c>
      <c r="Y65" t="str">
        <f t="shared" si="117"/>
        <v>MUERTE POR CUALQUIER CAUSA</v>
      </c>
      <c r="Z65" s="118">
        <f>+IF($W65="","",ROUND(IF(Parámetros!$D$25='TABLAS MORT'!$V$33,Z64,Parámetros!$D$21-'Tablas Servicio'!T64),0))</f>
        <v>100000</v>
      </c>
      <c r="AA65" s="118" t="str">
        <f t="shared" si="118"/>
        <v>P</v>
      </c>
      <c r="AB65" s="119">
        <f>+IF(W65="","",ROUND((VLOOKUP(ROUNDDOWN($D65-1/frec,0),qx_tabla,2,FALSE)*(1+i/frec)^-0.5*(1+Parámetros!$D$103)*(1+rec_fracc)/frec),6))</f>
        <v>1.1900000000000001E-4</v>
      </c>
      <c r="AC65" s="66">
        <f t="shared" si="46"/>
        <v>11.9</v>
      </c>
      <c r="AD65" s="119">
        <f t="shared" si="35"/>
        <v>2.4600000000000002E-4</v>
      </c>
      <c r="AE65" s="66">
        <f>+IF($W65="","",ROUND(IF($B65&gt;Parámetros!$D$107,'Tablas Servicio'!AC65+('Tablas Servicio'!AG64-'Tablas Servicio'!AC64),AC65/(1-IF(B65&lt;=10,Parámetros!$D$104,Parámetros!$D$105))),2))</f>
        <v>24.62</v>
      </c>
      <c r="AF65" s="66">
        <f>+IF($W65="","",ROUND(IF($B65&gt;Parámetros!$D$107,'Tablas Servicio'!AC65+('Tablas Servicio'!AG64-'Tablas Servicio'!AC64),(AC65+$A64/frec)/(1-IF(B65&lt;=Parámetros!$D$117,Parámetros!$D$100,0))),2))</f>
        <v>27.62</v>
      </c>
      <c r="AG65" s="66">
        <f t="shared" si="111"/>
        <v>24.62</v>
      </c>
      <c r="AH65" s="66">
        <f t="shared" si="47"/>
        <v>0</v>
      </c>
      <c r="AI65" s="66">
        <f t="shared" si="48"/>
        <v>0</v>
      </c>
      <c r="AJ65" s="66">
        <f>+IF($W65="","",ROUND((AG65*Parámetros!$G$85),2))</f>
        <v>0.86</v>
      </c>
      <c r="AK65" s="66">
        <f>+IF($W65="","",ROUND((AG65*(Parámetros!$G$86)),2))</f>
        <v>0.12</v>
      </c>
      <c r="AL65" s="66">
        <f t="shared" si="36"/>
        <v>25.6</v>
      </c>
      <c r="AM65" t="str">
        <f t="shared" si="119"/>
        <v>00059</v>
      </c>
      <c r="AN65" t="str">
        <f t="shared" si="120"/>
        <v>Incapacidad Total y Permanente</v>
      </c>
      <c r="AO65" s="118">
        <f t="shared" si="121"/>
        <v>0</v>
      </c>
      <c r="AP65" s="118" t="str">
        <f t="shared" si="122"/>
        <v>A</v>
      </c>
      <c r="AQ65" s="119" t="str">
        <f>+IF(OR($W65="",AO65=0),"",ROUND((VLOOKUP(ROUNDDOWN($D65-1/frec,0),cob_adi,Z$40,FALSE)*(1+i/frec)^-0.5*(1+Parámetros!$D$103)*(1+rec_fracc)/frec),6))</f>
        <v/>
      </c>
      <c r="AR65" s="66">
        <f t="shared" si="53"/>
        <v>0</v>
      </c>
      <c r="AS65" s="119" t="str">
        <f t="shared" si="54"/>
        <v/>
      </c>
      <c r="AT65" s="66">
        <f>+IF($W65="","",ROUND(IF($B65&gt;Parámetros!$D$107,'Tablas Servicio'!AR65+('Tablas Servicio'!AT64-'Tablas Servicio'!AR64),AR65/(1-IF(B65&lt;=10,Parámetros!$D$100,0))),2))</f>
        <v>0</v>
      </c>
      <c r="AU65" s="66">
        <f t="shared" si="55"/>
        <v>0</v>
      </c>
      <c r="AV65" s="66">
        <f t="shared" si="55"/>
        <v>0</v>
      </c>
      <c r="AW65" s="66">
        <f>+IF($W65="","",ROUND((AT65*Parámetros!$G$85),2))</f>
        <v>0</v>
      </c>
      <c r="AX65" s="66">
        <f>+IF($W65="","",ROUND((AT65*(Parámetros!$G$86)),2))</f>
        <v>0</v>
      </c>
      <c r="AY65" s="66">
        <f t="shared" si="56"/>
        <v>0</v>
      </c>
      <c r="AZ65" t="str">
        <f t="shared" si="123"/>
        <v>00060</v>
      </c>
      <c r="BA65" t="str">
        <f t="shared" si="124"/>
        <v>Muerte Accidental</v>
      </c>
      <c r="BB65" s="118">
        <f t="shared" si="125"/>
        <v>0</v>
      </c>
      <c r="BC65" s="118" t="str">
        <f t="shared" si="126"/>
        <v>A</v>
      </c>
      <c r="BD65" s="119" t="str">
        <f>+IF(OR($W65="",BB65=0),"",ROUND((VLOOKUP(ROUNDDOWN($D65-1/frec,0),cob_adi,AO$40,FALSE)*(1+i/frec)^-0.5*(1+Parámetros!$D$103)*(1+rec_fracc)/frec),6))</f>
        <v/>
      </c>
      <c r="BE65" s="66">
        <f t="shared" si="61"/>
        <v>0</v>
      </c>
      <c r="BF65" s="119" t="str">
        <f t="shared" si="62"/>
        <v/>
      </c>
      <c r="BG65" s="66">
        <f>+IF($W65="","",ROUND(IF($B65&gt;Parámetros!$D$107,'Tablas Servicio'!BE65+('Tablas Servicio'!BG64-'Tablas Servicio'!BE64),BE65/(1-IF(B65&lt;=10,Parámetros!$D$100,0))),2))</f>
        <v>0</v>
      </c>
      <c r="BH65" s="66">
        <f t="shared" si="63"/>
        <v>0</v>
      </c>
      <c r="BI65" s="66">
        <f t="shared" si="64"/>
        <v>0</v>
      </c>
      <c r="BJ65" s="66">
        <f>+IF($W65="","",ROUND((BG65*Parámetros!$G$85),2))</f>
        <v>0</v>
      </c>
      <c r="BK65" s="66">
        <f>+IF($W65="","",ROUND((BG65*(Parámetros!$G$86)),2))</f>
        <v>0</v>
      </c>
      <c r="BL65" s="66">
        <f t="shared" si="65"/>
        <v>0</v>
      </c>
      <c r="BM65" t="str">
        <f t="shared" si="127"/>
        <v>00061</v>
      </c>
      <c r="BN65" t="str">
        <f t="shared" si="128"/>
        <v>Gastos de Entierro</v>
      </c>
      <c r="BO65" s="118">
        <f t="shared" si="129"/>
        <v>0</v>
      </c>
      <c r="BP65" s="118" t="str">
        <f t="shared" si="130"/>
        <v>A</v>
      </c>
      <c r="BQ65" s="119" t="str">
        <f>+IF(OR($W65="",BO65=0),"",ROUND((VLOOKUP(ROUNDDOWN($D65-1/frec,0),cob_adi,BB$40,FALSE)*(1+i/frec)^-0.5*(1+Parámetros!$D$103)*(1+rec_fracc)/frec),6))</f>
        <v/>
      </c>
      <c r="BR65" s="66">
        <f t="shared" si="70"/>
        <v>0</v>
      </c>
      <c r="BS65" s="119" t="str">
        <f t="shared" si="71"/>
        <v/>
      </c>
      <c r="BT65" s="66">
        <f>+IF($W65="","",ROUND(IF($B65&gt;Parámetros!$D$107,'Tablas Servicio'!BR65+('Tablas Servicio'!BT64-'Tablas Servicio'!BR64),BR65/(1-IF(B65&lt;=10,Parámetros!$D$100,0))),2))</f>
        <v>0</v>
      </c>
      <c r="BU65" s="66">
        <f t="shared" si="72"/>
        <v>0</v>
      </c>
      <c r="BV65" s="66">
        <f t="shared" si="72"/>
        <v>0</v>
      </c>
      <c r="BW65" s="66">
        <f>+IF($W65="","",ROUND((BT65*Parámetros!$G$85),2))</f>
        <v>0</v>
      </c>
      <c r="BX65" s="66">
        <f>+IF($W65="","",ROUND((BT65*(Parámetros!$G$86)),2))</f>
        <v>0</v>
      </c>
      <c r="BY65" s="66">
        <f t="shared" si="73"/>
        <v>0</v>
      </c>
      <c r="BZ65" t="str">
        <f t="shared" si="131"/>
        <v>00062</v>
      </c>
      <c r="CA65" t="str">
        <f t="shared" si="132"/>
        <v>Gastos médicos por accidente</v>
      </c>
      <c r="CB65" s="118">
        <f t="shared" si="133"/>
        <v>0</v>
      </c>
      <c r="CC65" s="118" t="str">
        <f t="shared" si="134"/>
        <v>A</v>
      </c>
      <c r="CD65" s="119" t="str">
        <f t="shared" si="78"/>
        <v/>
      </c>
      <c r="CE65" s="66">
        <f>+IF($W65="","",ROUND((VLOOKUP(ROUNDDOWN($D65-1/frec,0),cob_adi,BO$40,FALSE)*(1+i/frec)^-0.5*(1+Parámetros!$D$103)*(1+rec_fracc)/frec*'TABLAS ADI'!$BC$17),2))</f>
        <v>0</v>
      </c>
      <c r="CF65" s="119" t="str">
        <f t="shared" si="79"/>
        <v/>
      </c>
      <c r="CG65" s="66">
        <f>+IF($W65="","",ROUND(IF($B65&gt;Parámetros!$D$107,'Tablas Servicio'!CE65+('Tablas Servicio'!CG64-'Tablas Servicio'!CE64),CE65/(1-IF(B65&lt;=10,Parámetros!$D$100,0))),2))</f>
        <v>0</v>
      </c>
      <c r="CH65" s="66">
        <f t="shared" si="80"/>
        <v>0</v>
      </c>
      <c r="CI65" s="66">
        <f t="shared" si="80"/>
        <v>0</v>
      </c>
      <c r="CJ65" s="66">
        <f>+IF($W65="","",ROUND((CG65*Parámetros!$G$85),2))</f>
        <v>0</v>
      </c>
      <c r="CK65" s="66">
        <f>+IF($W65="","",ROUND((CG65*(Parámetros!$G$86)),2))</f>
        <v>0</v>
      </c>
      <c r="CL65" s="66">
        <f t="shared" si="81"/>
        <v>0</v>
      </c>
      <c r="CM65" t="str">
        <f t="shared" si="135"/>
        <v>00063</v>
      </c>
      <c r="CN65" s="118" t="str">
        <f t="shared" si="136"/>
        <v>Renta Diaria por Hospitalización</v>
      </c>
      <c r="CO65" s="118">
        <f t="shared" si="137"/>
        <v>0</v>
      </c>
      <c r="CP65" s="118" t="str">
        <f t="shared" si="138"/>
        <v>A</v>
      </c>
      <c r="CQ65" s="119" t="str">
        <f t="shared" si="86"/>
        <v/>
      </c>
      <c r="CR65" s="66">
        <f>+IF($W65="","",ROUND((VLOOKUP(Parámetros!$F$51,'COBERTURAS ADICIONALES'!$S$4:$T$32,2,FALSE)*(1+i/frec)^-0.5*(1+Parámetros!$D$103)*(1+rec_fracc)/frec*$CO$42),2))</f>
        <v>0</v>
      </c>
      <c r="CS65" s="119" t="str">
        <f t="shared" si="87"/>
        <v/>
      </c>
      <c r="CT65" s="66">
        <f>+IF($W65="","",ROUND(IF($B65&gt;Parámetros!$D$107,'Tablas Servicio'!CR65+('Tablas Servicio'!CT64-'Tablas Servicio'!CR64),CR65/(1-IF(B65&lt;=10,Parámetros!$D$100,0))),2))</f>
        <v>0</v>
      </c>
      <c r="CU65" s="66">
        <f t="shared" si="88"/>
        <v>0</v>
      </c>
      <c r="CV65" s="66">
        <f t="shared" si="88"/>
        <v>0</v>
      </c>
      <c r="CW65" s="66">
        <f>+IF($W65="","",ROUND((CT65*Parámetros!$G$85),2))</f>
        <v>0</v>
      </c>
      <c r="CX65" s="66">
        <f>+IF($W65="","",ROUND((CT65*(Parámetros!$G$86)),2))</f>
        <v>0</v>
      </c>
      <c r="CY65" s="66">
        <f t="shared" si="89"/>
        <v>0</v>
      </c>
      <c r="CZ65" t="str">
        <f t="shared" si="139"/>
        <v>00064</v>
      </c>
      <c r="DA65" s="118" t="str">
        <f t="shared" si="140"/>
        <v>Enfermedades Graves</v>
      </c>
      <c r="DB65" s="118">
        <f t="shared" si="141"/>
        <v>0</v>
      </c>
      <c r="DC65" s="118" t="str">
        <f t="shared" si="142"/>
        <v>A</v>
      </c>
      <c r="DD65" s="121" t="str">
        <f>+IF(OR($W65="",DB65=0),"",ROUND((VLOOKUP(ROUNDDOWN($D65-1/frec,0),cob_adi,CO$40,FALSE)*(1+i/frec)^-0.5*(1+Parámetros!$D$103)*(1+rec_fracc)/frec),6))</f>
        <v/>
      </c>
      <c r="DE65" s="66">
        <f t="shared" si="94"/>
        <v>0</v>
      </c>
      <c r="DF65" s="119" t="str">
        <f t="shared" si="95"/>
        <v/>
      </c>
      <c r="DG65" s="66">
        <f>+IF($W65="","",ROUND(IF($B65&gt;Parámetros!$D$107,'Tablas Servicio'!DE65+('Tablas Servicio'!DG64-'Tablas Servicio'!DE64),DE65/(1-IF(B65&lt;=10,Parámetros!$D$100,0))),2))</f>
        <v>0</v>
      </c>
      <c r="DH65" s="66">
        <f t="shared" si="96"/>
        <v>0</v>
      </c>
      <c r="DI65" s="66">
        <f t="shared" si="96"/>
        <v>0</v>
      </c>
      <c r="DJ65" s="66">
        <f>+IF($W65="","",ROUND((DG65*Parámetros!$G$85),2))</f>
        <v>0</v>
      </c>
      <c r="DK65" s="66">
        <f>+IF($W65="","",ROUND((DG65*(Parámetros!$G$86)),2))</f>
        <v>0</v>
      </c>
      <c r="DL65" s="66">
        <f t="shared" si="97"/>
        <v>0</v>
      </c>
      <c r="DM65" t="str">
        <f t="shared" si="143"/>
        <v>00065</v>
      </c>
      <c r="DN65" s="118" t="str">
        <f t="shared" si="144"/>
        <v>Exención pago de primas</v>
      </c>
      <c r="DO65" s="118">
        <f t="shared" si="145"/>
        <v>0</v>
      </c>
      <c r="DP65" s="118" t="str">
        <f t="shared" si="146"/>
        <v>A</v>
      </c>
      <c r="DQ65" s="122" t="str">
        <f>+IF(OR($W65="",DO65=0),"",ROUND((VLOOKUP(ROUNDDOWN($D65-1/frec,0),cob_adi,DB$40,FALSE)*(1+i/frec)^-0.5*(1+Parámetros!$D$103)*(1+rec_fracc)/frec),6))</f>
        <v/>
      </c>
      <c r="DR65" s="66">
        <f t="shared" si="102"/>
        <v>0</v>
      </c>
      <c r="DS65" s="68" t="str">
        <f t="shared" si="103"/>
        <v/>
      </c>
      <c r="DT65" s="66">
        <f>+IF($W65="","",ROUND(IF($B65&gt;Parámetros!$D$107,'Tablas Servicio'!DR65+('Tablas Servicio'!DT64-'Tablas Servicio'!DR64),DR65/(1-IF(B65&lt;=10,Parámetros!$D$100,0))),2))</f>
        <v>0</v>
      </c>
      <c r="DU65" s="66">
        <f t="shared" si="104"/>
        <v>0</v>
      </c>
      <c r="DV65" s="66">
        <f t="shared" si="104"/>
        <v>0</v>
      </c>
      <c r="DW65" s="66">
        <f>+IF($W65="","",ROUND((DT65*Parámetros!$G$85),2))</f>
        <v>0</v>
      </c>
      <c r="DX65" s="66">
        <f>+IF($W65="","",ROUND((DT65*(Parámetros!$G$86)),2))</f>
        <v>0</v>
      </c>
      <c r="DY65" s="66">
        <f t="shared" si="105"/>
        <v>0</v>
      </c>
      <c r="DZ65" t="str">
        <f t="shared" si="147"/>
        <v>00066</v>
      </c>
      <c r="EA65" s="118" t="str">
        <f t="shared" si="147"/>
        <v>Enfermedad terminal</v>
      </c>
      <c r="EB65" s="118">
        <f>+IF($W65="","",ROUND(IF(Parámetros!$D$25='TABLAS MORT'!$V$33,EB64,Z65/2),0))</f>
        <v>50000</v>
      </c>
      <c r="EC65" s="118" t="str">
        <f t="shared" si="147"/>
        <v>A</v>
      </c>
      <c r="ED65" s="122">
        <f>+IF(OR($W65="",EB65=0),"",ROUND((VLOOKUP(ROUNDDOWN($D65-1/frec,0),cob_adi,DO$40,FALSE)*(1+i/frec)^-0.5*(1+Parámetros!$D$103)*(1+rec_fracc)/frec),6))</f>
        <v>7.9999999999999996E-6</v>
      </c>
      <c r="EE65" s="66">
        <f t="shared" si="107"/>
        <v>0.4</v>
      </c>
      <c r="EF65" s="68">
        <f t="shared" si="108"/>
        <v>9.0000000000000002E-6</v>
      </c>
      <c r="EG65" s="66">
        <f>+IF($W65="","",ROUND(IF($B65&gt;Parámetros!$D$107,'Tablas Servicio'!EE65+('Tablas Servicio'!EG64-'Tablas Servicio'!EE64),EE65/(1-IF(B65&lt;=10,Parámetros!$D$100,0))),2))</f>
        <v>0.45</v>
      </c>
      <c r="EH65" s="66">
        <f t="shared" si="109"/>
        <v>0</v>
      </c>
      <c r="EI65" s="66">
        <f t="shared" si="109"/>
        <v>0</v>
      </c>
      <c r="EJ65" s="66">
        <f>+IF($W65="","",ROUND((EG65*Parámetros!$G$85),2))</f>
        <v>0.02</v>
      </c>
      <c r="EK65" s="66">
        <f>+IF($W65="","",ROUND((EG65*(Parámetros!$G$86)),2))</f>
        <v>0</v>
      </c>
      <c r="EL65" s="66">
        <f t="shared" si="110"/>
        <v>0.47</v>
      </c>
    </row>
    <row r="66" spans="1:142" x14ac:dyDescent="0.25">
      <c r="A66">
        <f>+IF($C66="","",ROUND(VLOOKUP('Tablas Servicio'!B66,Parámetros!$H$100:$J$159,IF(Parámetros!$E$16="F",2,3),FALSE),2))</f>
        <v>150</v>
      </c>
      <c r="B66">
        <f t="shared" si="27"/>
        <v>3</v>
      </c>
      <c r="C66" s="57">
        <f>+IF(D66="","",'Tablas Servicio'!C65+1)</f>
        <v>25</v>
      </c>
      <c r="D66" s="56">
        <f>+IF(D65&lt;edadmaxtabla,D65+1/Parámetros!$E$25,"")</f>
        <v>42.103333333333396</v>
      </c>
      <c r="E66" s="57">
        <f t="shared" si="37"/>
        <v>42</v>
      </c>
      <c r="F66" s="59">
        <f t="shared" si="38"/>
        <v>100000</v>
      </c>
      <c r="G66" s="66">
        <f t="shared" si="39"/>
        <v>27.14</v>
      </c>
      <c r="H66" s="66">
        <f t="shared" si="28"/>
        <v>28.22</v>
      </c>
      <c r="I66" s="66">
        <f t="shared" si="112"/>
        <v>57.980000000000004</v>
      </c>
      <c r="J66" s="66">
        <f t="shared" si="29"/>
        <v>0.95000000000000007</v>
      </c>
      <c r="K66" s="66">
        <f t="shared" si="30"/>
        <v>0.13</v>
      </c>
      <c r="L66" s="66">
        <f t="shared" si="31"/>
        <v>0</v>
      </c>
      <c r="M66" s="66">
        <f t="shared" si="32"/>
        <v>0</v>
      </c>
      <c r="N66" s="66">
        <f>+IF(C66="","",ROUND(Parámetros!$D$23,2))</f>
        <v>94</v>
      </c>
      <c r="O66" s="66">
        <f t="shared" si="33"/>
        <v>13.3</v>
      </c>
      <c r="P66" s="66">
        <f>+IF($C66="","",ROUND(IF(B66&gt;Parámetros!$D$117,0,N66*Parámetros!$D$116-G66*Parámetros!$D$100),2))</f>
        <v>7.8</v>
      </c>
      <c r="Q66" s="75">
        <f t="shared" si="113"/>
        <v>3.5003684598378777E-2</v>
      </c>
      <c r="R66" s="75">
        <f t="shared" si="114"/>
        <v>4.7899778924097277E-3</v>
      </c>
      <c r="S66" s="117">
        <f>+IF($C66="","",ROUND((S65+I66)*(1+Parámetros!$D$91),2))</f>
        <v>1573.37</v>
      </c>
      <c r="T66" s="117">
        <f>+IF($C66="","",ROUND(S66*VLOOKUP(B66,Parámetros!$C$30:$D$39,2,TRUE),2))</f>
        <v>0</v>
      </c>
      <c r="U66" s="117">
        <f>+IF($C66="","",ROUND((U65+I66)*(1+Parámetros!$D$92),2))</f>
        <v>1581.83</v>
      </c>
      <c r="V66" s="117">
        <f>+IF($C66="","",ROUND(U66*VLOOKUP(B66,Parámetros!$C$30:$D$39,2,TRUE),2))</f>
        <v>0</v>
      </c>
      <c r="W66" s="57">
        <f t="shared" si="115"/>
        <v>25</v>
      </c>
      <c r="X66" t="str">
        <f t="shared" si="116"/>
        <v>00058</v>
      </c>
      <c r="Y66" t="str">
        <f t="shared" si="117"/>
        <v>MUERTE POR CUALQUIER CAUSA</v>
      </c>
      <c r="Z66" s="118">
        <f>+IF($W66="","",ROUND(IF(Parámetros!$D$25='TABLAS MORT'!$V$33,Z65,Parámetros!$D$21-'Tablas Servicio'!T65),0))</f>
        <v>100000</v>
      </c>
      <c r="AA66" s="118" t="str">
        <f t="shared" si="118"/>
        <v>P</v>
      </c>
      <c r="AB66" s="119">
        <f>+IF(W66="","",ROUND((VLOOKUP(ROUNDDOWN($D66-1/frec,0),qx_tabla,2,FALSE)*(1+i/frec)^-0.5*(1+Parámetros!$D$103)*(1+rec_fracc)/frec),6))</f>
        <v>1.2899999999999999E-4</v>
      </c>
      <c r="AC66" s="66">
        <f t="shared" si="46"/>
        <v>12.9</v>
      </c>
      <c r="AD66" s="119">
        <f t="shared" si="35"/>
        <v>2.6699999999999998E-4</v>
      </c>
      <c r="AE66" s="66">
        <f>+IF($W66="","",ROUND(IF($B66&gt;Parámetros!$D$107,'Tablas Servicio'!AC66+('Tablas Servicio'!AG65-'Tablas Servicio'!AC65),AC66/(1-IF(B66&lt;=10,Parámetros!$D$104,Parámetros!$D$105))),2))</f>
        <v>26.69</v>
      </c>
      <c r="AF66" s="66">
        <f>+IF($W66="","",ROUND(IF($B66&gt;Parámetros!$D$107,'Tablas Servicio'!AC66+('Tablas Servicio'!AG65-'Tablas Servicio'!AC65),(AC66+$A65/frec)/(1-IF(B66&lt;=Parámetros!$D$117,Parámetros!$D$100,0))),2))</f>
        <v>28.76</v>
      </c>
      <c r="AG66" s="66">
        <f t="shared" si="111"/>
        <v>26.69</v>
      </c>
      <c r="AH66" s="66">
        <f t="shared" si="47"/>
        <v>0</v>
      </c>
      <c r="AI66" s="66">
        <f t="shared" si="48"/>
        <v>0</v>
      </c>
      <c r="AJ66" s="66">
        <f>+IF($W66="","",ROUND((AG66*Parámetros!$G$85),2))</f>
        <v>0.93</v>
      </c>
      <c r="AK66" s="66">
        <f>+IF($W66="","",ROUND((AG66*(Parámetros!$G$86)),2))</f>
        <v>0.13</v>
      </c>
      <c r="AL66" s="66">
        <f t="shared" si="36"/>
        <v>27.75</v>
      </c>
      <c r="AM66" t="str">
        <f t="shared" si="119"/>
        <v>00059</v>
      </c>
      <c r="AN66" t="str">
        <f t="shared" si="120"/>
        <v>Incapacidad Total y Permanente</v>
      </c>
      <c r="AO66" s="118">
        <f t="shared" si="121"/>
        <v>0</v>
      </c>
      <c r="AP66" s="118" t="str">
        <f t="shared" si="122"/>
        <v>A</v>
      </c>
      <c r="AQ66" s="119" t="str">
        <f>+IF(OR($W66="",AO66=0),"",ROUND((VLOOKUP(ROUNDDOWN($D66-1/frec,0),cob_adi,Z$40,FALSE)*(1+i/frec)^-0.5*(1+Parámetros!$D$103)*(1+rec_fracc)/frec),6))</f>
        <v/>
      </c>
      <c r="AR66" s="66">
        <f t="shared" si="53"/>
        <v>0</v>
      </c>
      <c r="AS66" s="119" t="str">
        <f t="shared" si="54"/>
        <v/>
      </c>
      <c r="AT66" s="66">
        <f>+IF($W66="","",ROUND(IF($B66&gt;Parámetros!$D$107,'Tablas Servicio'!AR66+('Tablas Servicio'!AT65-'Tablas Servicio'!AR65),AR66/(1-IF(B66&lt;=10,Parámetros!$D$100,0))),2))</f>
        <v>0</v>
      </c>
      <c r="AU66" s="66">
        <f t="shared" si="55"/>
        <v>0</v>
      </c>
      <c r="AV66" s="66">
        <f t="shared" si="55"/>
        <v>0</v>
      </c>
      <c r="AW66" s="66">
        <f>+IF($W66="","",ROUND((AT66*Parámetros!$G$85),2))</f>
        <v>0</v>
      </c>
      <c r="AX66" s="66">
        <f>+IF($W66="","",ROUND((AT66*(Parámetros!$G$86)),2))</f>
        <v>0</v>
      </c>
      <c r="AY66" s="66">
        <f t="shared" si="56"/>
        <v>0</v>
      </c>
      <c r="AZ66" t="str">
        <f t="shared" si="123"/>
        <v>00060</v>
      </c>
      <c r="BA66" t="str">
        <f t="shared" si="124"/>
        <v>Muerte Accidental</v>
      </c>
      <c r="BB66" s="118">
        <f t="shared" si="125"/>
        <v>0</v>
      </c>
      <c r="BC66" s="118" t="str">
        <f t="shared" si="126"/>
        <v>A</v>
      </c>
      <c r="BD66" s="119" t="str">
        <f>+IF(OR($W66="",BB66=0),"",ROUND((VLOOKUP(ROUNDDOWN($D66-1/frec,0),cob_adi,AO$40,FALSE)*(1+i/frec)^-0.5*(1+Parámetros!$D$103)*(1+rec_fracc)/frec),6))</f>
        <v/>
      </c>
      <c r="BE66" s="66">
        <f t="shared" si="61"/>
        <v>0</v>
      </c>
      <c r="BF66" s="119" t="str">
        <f t="shared" si="62"/>
        <v/>
      </c>
      <c r="BG66" s="66">
        <f>+IF($W66="","",ROUND(IF($B66&gt;Parámetros!$D$107,'Tablas Servicio'!BE66+('Tablas Servicio'!BG65-'Tablas Servicio'!BE65),BE66/(1-IF(B66&lt;=10,Parámetros!$D$100,0))),2))</f>
        <v>0</v>
      </c>
      <c r="BH66" s="66">
        <f t="shared" si="63"/>
        <v>0</v>
      </c>
      <c r="BI66" s="66">
        <f t="shared" si="64"/>
        <v>0</v>
      </c>
      <c r="BJ66" s="66">
        <f>+IF($W66="","",ROUND((BG66*Parámetros!$G$85),2))</f>
        <v>0</v>
      </c>
      <c r="BK66" s="66">
        <f>+IF($W66="","",ROUND((BG66*(Parámetros!$G$86)),2))</f>
        <v>0</v>
      </c>
      <c r="BL66" s="66">
        <f t="shared" si="65"/>
        <v>0</v>
      </c>
      <c r="BM66" t="str">
        <f t="shared" si="127"/>
        <v>00061</v>
      </c>
      <c r="BN66" t="str">
        <f t="shared" si="128"/>
        <v>Gastos de Entierro</v>
      </c>
      <c r="BO66" s="118">
        <f t="shared" si="129"/>
        <v>0</v>
      </c>
      <c r="BP66" s="118" t="str">
        <f t="shared" si="130"/>
        <v>A</v>
      </c>
      <c r="BQ66" s="119" t="str">
        <f>+IF(OR($W66="",BO66=0),"",ROUND((VLOOKUP(ROUNDDOWN($D66-1/frec,0),cob_adi,BB$40,FALSE)*(1+i/frec)^-0.5*(1+Parámetros!$D$103)*(1+rec_fracc)/frec),6))</f>
        <v/>
      </c>
      <c r="BR66" s="66">
        <f t="shared" si="70"/>
        <v>0</v>
      </c>
      <c r="BS66" s="119" t="str">
        <f t="shared" si="71"/>
        <v/>
      </c>
      <c r="BT66" s="66">
        <f>+IF($W66="","",ROUND(IF($B66&gt;Parámetros!$D$107,'Tablas Servicio'!BR66+('Tablas Servicio'!BT65-'Tablas Servicio'!BR65),BR66/(1-IF(B66&lt;=10,Parámetros!$D$100,0))),2))</f>
        <v>0</v>
      </c>
      <c r="BU66" s="66">
        <f t="shared" si="72"/>
        <v>0</v>
      </c>
      <c r="BV66" s="66">
        <f t="shared" si="72"/>
        <v>0</v>
      </c>
      <c r="BW66" s="66">
        <f>+IF($W66="","",ROUND((BT66*Parámetros!$G$85),2))</f>
        <v>0</v>
      </c>
      <c r="BX66" s="66">
        <f>+IF($W66="","",ROUND((BT66*(Parámetros!$G$86)),2))</f>
        <v>0</v>
      </c>
      <c r="BY66" s="66">
        <f t="shared" si="73"/>
        <v>0</v>
      </c>
      <c r="BZ66" t="str">
        <f t="shared" si="131"/>
        <v>00062</v>
      </c>
      <c r="CA66" t="str">
        <f t="shared" si="132"/>
        <v>Gastos médicos por accidente</v>
      </c>
      <c r="CB66" s="118">
        <f t="shared" si="133"/>
        <v>0</v>
      </c>
      <c r="CC66" s="118" t="str">
        <f t="shared" si="134"/>
        <v>A</v>
      </c>
      <c r="CD66" s="119" t="str">
        <f t="shared" si="78"/>
        <v/>
      </c>
      <c r="CE66" s="66">
        <f>+IF($W66="","",ROUND((VLOOKUP(ROUNDDOWN($D66-1/frec,0),cob_adi,BO$40,FALSE)*(1+i/frec)^-0.5*(1+Parámetros!$D$103)*(1+rec_fracc)/frec*'TABLAS ADI'!$BC$17),2))</f>
        <v>0</v>
      </c>
      <c r="CF66" s="119" t="str">
        <f t="shared" si="79"/>
        <v/>
      </c>
      <c r="CG66" s="66">
        <f>+IF($W66="","",ROUND(IF($B66&gt;Parámetros!$D$107,'Tablas Servicio'!CE66+('Tablas Servicio'!CG65-'Tablas Servicio'!CE65),CE66/(1-IF(B66&lt;=10,Parámetros!$D$100,0))),2))</f>
        <v>0</v>
      </c>
      <c r="CH66" s="66">
        <f t="shared" si="80"/>
        <v>0</v>
      </c>
      <c r="CI66" s="66">
        <f t="shared" si="80"/>
        <v>0</v>
      </c>
      <c r="CJ66" s="66">
        <f>+IF($W66="","",ROUND((CG66*Parámetros!$G$85),2))</f>
        <v>0</v>
      </c>
      <c r="CK66" s="66">
        <f>+IF($W66="","",ROUND((CG66*(Parámetros!$G$86)),2))</f>
        <v>0</v>
      </c>
      <c r="CL66" s="66">
        <f t="shared" si="81"/>
        <v>0</v>
      </c>
      <c r="CM66" t="str">
        <f t="shared" si="135"/>
        <v>00063</v>
      </c>
      <c r="CN66" s="118" t="str">
        <f t="shared" si="136"/>
        <v>Renta Diaria por Hospitalización</v>
      </c>
      <c r="CO66" s="118">
        <f t="shared" si="137"/>
        <v>0</v>
      </c>
      <c r="CP66" s="118" t="str">
        <f t="shared" si="138"/>
        <v>A</v>
      </c>
      <c r="CQ66" s="119" t="str">
        <f t="shared" si="86"/>
        <v/>
      </c>
      <c r="CR66" s="66">
        <f>+IF($W66="","",ROUND((VLOOKUP(Parámetros!$F$51,'COBERTURAS ADICIONALES'!$S$4:$T$32,2,FALSE)*(1+i/frec)^-0.5*(1+Parámetros!$D$103)*(1+rec_fracc)/frec*$CO$42),2))</f>
        <v>0</v>
      </c>
      <c r="CS66" s="119" t="str">
        <f t="shared" si="87"/>
        <v/>
      </c>
      <c r="CT66" s="66">
        <f>+IF($W66="","",ROUND(IF($B66&gt;Parámetros!$D$107,'Tablas Servicio'!CR66+('Tablas Servicio'!CT65-'Tablas Servicio'!CR65),CR66/(1-IF(B66&lt;=10,Parámetros!$D$100,0))),2))</f>
        <v>0</v>
      </c>
      <c r="CU66" s="66">
        <f t="shared" si="88"/>
        <v>0</v>
      </c>
      <c r="CV66" s="66">
        <f t="shared" si="88"/>
        <v>0</v>
      </c>
      <c r="CW66" s="66">
        <f>+IF($W66="","",ROUND((CT66*Parámetros!$G$85),2))</f>
        <v>0</v>
      </c>
      <c r="CX66" s="66">
        <f>+IF($W66="","",ROUND((CT66*(Parámetros!$G$86)),2))</f>
        <v>0</v>
      </c>
      <c r="CY66" s="66">
        <f t="shared" si="89"/>
        <v>0</v>
      </c>
      <c r="CZ66" t="str">
        <f t="shared" si="139"/>
        <v>00064</v>
      </c>
      <c r="DA66" s="118" t="str">
        <f t="shared" si="140"/>
        <v>Enfermedades Graves</v>
      </c>
      <c r="DB66" s="118">
        <f t="shared" si="141"/>
        <v>0</v>
      </c>
      <c r="DC66" s="118" t="str">
        <f t="shared" si="142"/>
        <v>A</v>
      </c>
      <c r="DD66" s="121" t="str">
        <f>+IF(OR($W66="",DB66=0),"",ROUND((VLOOKUP(ROUNDDOWN($D66-1/frec,0),cob_adi,CO$40,FALSE)*(1+i/frec)^-0.5*(1+Parámetros!$D$103)*(1+rec_fracc)/frec),6))</f>
        <v/>
      </c>
      <c r="DE66" s="66">
        <f t="shared" si="94"/>
        <v>0</v>
      </c>
      <c r="DF66" s="119" t="str">
        <f t="shared" si="95"/>
        <v/>
      </c>
      <c r="DG66" s="66">
        <f>+IF($W66="","",ROUND(IF($B66&gt;Parámetros!$D$107,'Tablas Servicio'!DE66+('Tablas Servicio'!DG65-'Tablas Servicio'!DE65),DE66/(1-IF(B66&lt;=10,Parámetros!$D$100,0))),2))</f>
        <v>0</v>
      </c>
      <c r="DH66" s="66">
        <f t="shared" si="96"/>
        <v>0</v>
      </c>
      <c r="DI66" s="66">
        <f t="shared" si="96"/>
        <v>0</v>
      </c>
      <c r="DJ66" s="66">
        <f>+IF($W66="","",ROUND((DG66*Parámetros!$G$85),2))</f>
        <v>0</v>
      </c>
      <c r="DK66" s="66">
        <f>+IF($W66="","",ROUND((DG66*(Parámetros!$G$86)),2))</f>
        <v>0</v>
      </c>
      <c r="DL66" s="66">
        <f t="shared" si="97"/>
        <v>0</v>
      </c>
      <c r="DM66" t="str">
        <f t="shared" si="143"/>
        <v>00065</v>
      </c>
      <c r="DN66" s="118" t="str">
        <f t="shared" si="144"/>
        <v>Exención pago de primas</v>
      </c>
      <c r="DO66" s="118">
        <f t="shared" si="145"/>
        <v>0</v>
      </c>
      <c r="DP66" s="118" t="str">
        <f t="shared" si="146"/>
        <v>A</v>
      </c>
      <c r="DQ66" s="122" t="str">
        <f>+IF(OR($W66="",DO66=0),"",ROUND((VLOOKUP(ROUNDDOWN($D66-1/frec,0),cob_adi,DB$40,FALSE)*(1+i/frec)^-0.5*(1+Parámetros!$D$103)*(1+rec_fracc)/frec),6))</f>
        <v/>
      </c>
      <c r="DR66" s="66">
        <f t="shared" si="102"/>
        <v>0</v>
      </c>
      <c r="DS66" s="68" t="str">
        <f t="shared" si="103"/>
        <v/>
      </c>
      <c r="DT66" s="66">
        <f>+IF($W66="","",ROUND(IF($B66&gt;Parámetros!$D$107,'Tablas Servicio'!DR66+('Tablas Servicio'!DT65-'Tablas Servicio'!DR65),DR66/(1-IF(B66&lt;=10,Parámetros!$D$100,0))),2))</f>
        <v>0</v>
      </c>
      <c r="DU66" s="66">
        <f t="shared" si="104"/>
        <v>0</v>
      </c>
      <c r="DV66" s="66">
        <f t="shared" si="104"/>
        <v>0</v>
      </c>
      <c r="DW66" s="66">
        <f>+IF($W66="","",ROUND((DT66*Parámetros!$G$85),2))</f>
        <v>0</v>
      </c>
      <c r="DX66" s="66">
        <f>+IF($W66="","",ROUND((DT66*(Parámetros!$G$86)),2))</f>
        <v>0</v>
      </c>
      <c r="DY66" s="66">
        <f t="shared" si="105"/>
        <v>0</v>
      </c>
      <c r="DZ66" t="str">
        <f t="shared" si="147"/>
        <v>00066</v>
      </c>
      <c r="EA66" s="118" t="str">
        <f t="shared" si="147"/>
        <v>Enfermedad terminal</v>
      </c>
      <c r="EB66" s="118">
        <f>+IF($W66="","",ROUND(IF(Parámetros!$D$25='TABLAS MORT'!$V$33,EB65,Z66/2),0))</f>
        <v>50000</v>
      </c>
      <c r="EC66" s="118" t="str">
        <f t="shared" si="147"/>
        <v>A</v>
      </c>
      <c r="ED66" s="122">
        <f>+IF(OR($W66="",EB66=0),"",ROUND((VLOOKUP(ROUNDDOWN($D66-1/frec,0),cob_adi,DO$40,FALSE)*(1+i/frec)^-0.5*(1+Parámetros!$D$103)*(1+rec_fracc)/frec),6))</f>
        <v>7.9999999999999996E-6</v>
      </c>
      <c r="EE66" s="66">
        <f t="shared" si="107"/>
        <v>0.4</v>
      </c>
      <c r="EF66" s="68">
        <f t="shared" si="108"/>
        <v>9.0000000000000002E-6</v>
      </c>
      <c r="EG66" s="66">
        <f>+IF($W66="","",ROUND(IF($B66&gt;Parámetros!$D$107,'Tablas Servicio'!EE66+('Tablas Servicio'!EG65-'Tablas Servicio'!EE65),EE66/(1-IF(B66&lt;=10,Parámetros!$D$100,0))),2))</f>
        <v>0.45</v>
      </c>
      <c r="EH66" s="66">
        <f t="shared" si="109"/>
        <v>0</v>
      </c>
      <c r="EI66" s="66">
        <f t="shared" si="109"/>
        <v>0</v>
      </c>
      <c r="EJ66" s="66">
        <f>+IF($W66="","",ROUND((EG66*Parámetros!$G$85),2))</f>
        <v>0.02</v>
      </c>
      <c r="EK66" s="66">
        <f>+IF($W66="","",ROUND((EG66*(Parámetros!$G$86)),2))</f>
        <v>0</v>
      </c>
      <c r="EL66" s="66">
        <f t="shared" si="110"/>
        <v>0.47</v>
      </c>
    </row>
    <row r="67" spans="1:142" x14ac:dyDescent="0.25">
      <c r="A67">
        <f>+IF($C67="","",ROUND(VLOOKUP('Tablas Servicio'!B67,Parámetros!$H$100:$J$159,IF(Parámetros!$E$16="F",2,3),FALSE),2))</f>
        <v>150</v>
      </c>
      <c r="B67">
        <f t="shared" si="27"/>
        <v>3</v>
      </c>
      <c r="C67" s="57">
        <f>+IF(D67="","",'Tablas Servicio'!C66+1)</f>
        <v>26</v>
      </c>
      <c r="D67" s="56">
        <f>+IF(D66&lt;edadmaxtabla,D66+1/Parámetros!$E$25,"")</f>
        <v>42.186666666666731</v>
      </c>
      <c r="E67" s="57">
        <f t="shared" si="37"/>
        <v>42</v>
      </c>
      <c r="F67" s="59">
        <f t="shared" si="38"/>
        <v>100000</v>
      </c>
      <c r="G67" s="66">
        <f t="shared" si="39"/>
        <v>27.14</v>
      </c>
      <c r="H67" s="66">
        <f t="shared" si="28"/>
        <v>28.22</v>
      </c>
      <c r="I67" s="66">
        <f t="shared" si="112"/>
        <v>57.980000000000004</v>
      </c>
      <c r="J67" s="66">
        <f t="shared" si="29"/>
        <v>0.95000000000000007</v>
      </c>
      <c r="K67" s="66">
        <f t="shared" si="30"/>
        <v>0.13</v>
      </c>
      <c r="L67" s="66">
        <f t="shared" si="31"/>
        <v>0</v>
      </c>
      <c r="M67" s="66">
        <f t="shared" si="32"/>
        <v>0</v>
      </c>
      <c r="N67" s="66">
        <f>+IF(C67="","",ROUND(Parámetros!$D$23,2))</f>
        <v>94</v>
      </c>
      <c r="O67" s="66">
        <f t="shared" si="33"/>
        <v>13.3</v>
      </c>
      <c r="P67" s="66">
        <f>+IF($C67="","",ROUND(IF(B67&gt;Parámetros!$D$117,0,N67*Parámetros!$D$116-G67*Parámetros!$D$100),2))</f>
        <v>7.8</v>
      </c>
      <c r="Q67" s="75">
        <f t="shared" si="113"/>
        <v>3.5003684598378777E-2</v>
      </c>
      <c r="R67" s="75">
        <f t="shared" si="114"/>
        <v>4.7899778924097277E-3</v>
      </c>
      <c r="S67" s="117">
        <f>+IF($C67="","",ROUND((S66+I67)*(1+Parámetros!$D$91),2))</f>
        <v>1635.98</v>
      </c>
      <c r="T67" s="117">
        <f>+IF($C67="","",ROUND(S67*VLOOKUP(B67,Parámetros!$C$30:$D$39,2,TRUE),2))</f>
        <v>0</v>
      </c>
      <c r="U67" s="117">
        <f>+IF($C67="","",ROUND((U66+I67)*(1+Parámetros!$D$92),2))</f>
        <v>1645.13</v>
      </c>
      <c r="V67" s="117">
        <f>+IF($C67="","",ROUND(U67*VLOOKUP(B67,Parámetros!$C$30:$D$39,2,TRUE),2))</f>
        <v>0</v>
      </c>
      <c r="W67" s="57">
        <f t="shared" si="115"/>
        <v>26</v>
      </c>
      <c r="X67" t="str">
        <f t="shared" si="116"/>
        <v>00058</v>
      </c>
      <c r="Y67" t="str">
        <f t="shared" si="117"/>
        <v>MUERTE POR CUALQUIER CAUSA</v>
      </c>
      <c r="Z67" s="118">
        <f>+IF($W67="","",ROUND(IF(Parámetros!$D$25='TABLAS MORT'!$V$33,Z66,Parámetros!$D$21-'Tablas Servicio'!T66),0))</f>
        <v>100000</v>
      </c>
      <c r="AA67" s="118" t="str">
        <f t="shared" si="118"/>
        <v>P</v>
      </c>
      <c r="AB67" s="119">
        <f>+IF(W67="","",ROUND((VLOOKUP(ROUNDDOWN($D67-1/frec,0),qx_tabla,2,FALSE)*(1+i/frec)^-0.5*(1+Parámetros!$D$103)*(1+rec_fracc)/frec),6))</f>
        <v>1.2899999999999999E-4</v>
      </c>
      <c r="AC67" s="66">
        <f t="shared" si="46"/>
        <v>12.9</v>
      </c>
      <c r="AD67" s="119">
        <f t="shared" si="35"/>
        <v>2.6699999999999998E-4</v>
      </c>
      <c r="AE67" s="66">
        <f>+IF($W67="","",ROUND(IF($B67&gt;Parámetros!$D$107,'Tablas Servicio'!AC67+('Tablas Servicio'!AG66-'Tablas Servicio'!AC66),AC67/(1-IF(B67&lt;=10,Parámetros!$D$104,Parámetros!$D$105))),2))</f>
        <v>26.69</v>
      </c>
      <c r="AF67" s="66">
        <f>+IF($W67="","",ROUND(IF($B67&gt;Parámetros!$D$107,'Tablas Servicio'!AC67+('Tablas Servicio'!AG66-'Tablas Servicio'!AC66),(AC67+$A66/frec)/(1-IF(B67&lt;=Parámetros!$D$117,Parámetros!$D$100,0))),2))</f>
        <v>28.76</v>
      </c>
      <c r="AG67" s="66">
        <f t="shared" si="111"/>
        <v>26.69</v>
      </c>
      <c r="AH67" s="66">
        <f t="shared" si="47"/>
        <v>0</v>
      </c>
      <c r="AI67" s="66">
        <f t="shared" si="48"/>
        <v>0</v>
      </c>
      <c r="AJ67" s="66">
        <f>+IF($W67="","",ROUND((AG67*Parámetros!$G$85),2))</f>
        <v>0.93</v>
      </c>
      <c r="AK67" s="66">
        <f>+IF($W67="","",ROUND((AG67*(Parámetros!$G$86)),2))</f>
        <v>0.13</v>
      </c>
      <c r="AL67" s="66">
        <f t="shared" si="36"/>
        <v>27.75</v>
      </c>
      <c r="AM67" t="str">
        <f t="shared" si="119"/>
        <v>00059</v>
      </c>
      <c r="AN67" t="str">
        <f t="shared" si="120"/>
        <v>Incapacidad Total y Permanente</v>
      </c>
      <c r="AO67" s="118">
        <f t="shared" si="121"/>
        <v>0</v>
      </c>
      <c r="AP67" s="118" t="str">
        <f t="shared" si="122"/>
        <v>A</v>
      </c>
      <c r="AQ67" s="119" t="str">
        <f>+IF(OR($W67="",AO67=0),"",ROUND((VLOOKUP(ROUNDDOWN($D67-1/frec,0),cob_adi,Z$40,FALSE)*(1+i/frec)^-0.5*(1+Parámetros!$D$103)*(1+rec_fracc)/frec),6))</f>
        <v/>
      </c>
      <c r="AR67" s="66">
        <f t="shared" si="53"/>
        <v>0</v>
      </c>
      <c r="AS67" s="119" t="str">
        <f t="shared" si="54"/>
        <v/>
      </c>
      <c r="AT67" s="66">
        <f>+IF($W67="","",ROUND(IF($B67&gt;Parámetros!$D$107,'Tablas Servicio'!AR67+('Tablas Servicio'!AT66-'Tablas Servicio'!AR66),AR67/(1-IF(B67&lt;=10,Parámetros!$D$100,0))),2))</f>
        <v>0</v>
      </c>
      <c r="AU67" s="66">
        <f t="shared" si="55"/>
        <v>0</v>
      </c>
      <c r="AV67" s="66">
        <f t="shared" si="55"/>
        <v>0</v>
      </c>
      <c r="AW67" s="66">
        <f>+IF($W67="","",ROUND((AT67*Parámetros!$G$85),2))</f>
        <v>0</v>
      </c>
      <c r="AX67" s="66">
        <f>+IF($W67="","",ROUND((AT67*(Parámetros!$G$86)),2))</f>
        <v>0</v>
      </c>
      <c r="AY67" s="66">
        <f t="shared" si="56"/>
        <v>0</v>
      </c>
      <c r="AZ67" t="str">
        <f t="shared" si="123"/>
        <v>00060</v>
      </c>
      <c r="BA67" t="str">
        <f t="shared" si="124"/>
        <v>Muerte Accidental</v>
      </c>
      <c r="BB67" s="118">
        <f t="shared" si="125"/>
        <v>0</v>
      </c>
      <c r="BC67" s="118" t="str">
        <f t="shared" si="126"/>
        <v>A</v>
      </c>
      <c r="BD67" s="119" t="str">
        <f>+IF(OR($W67="",BB67=0),"",ROUND((VLOOKUP(ROUNDDOWN($D67-1/frec,0),cob_adi,AO$40,FALSE)*(1+i/frec)^-0.5*(1+Parámetros!$D$103)*(1+rec_fracc)/frec),6))</f>
        <v/>
      </c>
      <c r="BE67" s="66">
        <f t="shared" si="61"/>
        <v>0</v>
      </c>
      <c r="BF67" s="119" t="str">
        <f t="shared" si="62"/>
        <v/>
      </c>
      <c r="BG67" s="66">
        <f>+IF($W67="","",ROUND(IF($B67&gt;Parámetros!$D$107,'Tablas Servicio'!BE67+('Tablas Servicio'!BG66-'Tablas Servicio'!BE66),BE67/(1-IF(B67&lt;=10,Parámetros!$D$100,0))),2))</f>
        <v>0</v>
      </c>
      <c r="BH67" s="66">
        <f t="shared" si="63"/>
        <v>0</v>
      </c>
      <c r="BI67" s="66">
        <f t="shared" si="64"/>
        <v>0</v>
      </c>
      <c r="BJ67" s="66">
        <f>+IF($W67="","",ROUND((BG67*Parámetros!$G$85),2))</f>
        <v>0</v>
      </c>
      <c r="BK67" s="66">
        <f>+IF($W67="","",ROUND((BG67*(Parámetros!$G$86)),2))</f>
        <v>0</v>
      </c>
      <c r="BL67" s="66">
        <f t="shared" si="65"/>
        <v>0</v>
      </c>
      <c r="BM67" t="str">
        <f t="shared" si="127"/>
        <v>00061</v>
      </c>
      <c r="BN67" t="str">
        <f t="shared" si="128"/>
        <v>Gastos de Entierro</v>
      </c>
      <c r="BO67" s="118">
        <f t="shared" si="129"/>
        <v>0</v>
      </c>
      <c r="BP67" s="118" t="str">
        <f t="shared" si="130"/>
        <v>A</v>
      </c>
      <c r="BQ67" s="119" t="str">
        <f>+IF(OR($W67="",BO67=0),"",ROUND((VLOOKUP(ROUNDDOWN($D67-1/frec,0),cob_adi,BB$40,FALSE)*(1+i/frec)^-0.5*(1+Parámetros!$D$103)*(1+rec_fracc)/frec),6))</f>
        <v/>
      </c>
      <c r="BR67" s="66">
        <f t="shared" si="70"/>
        <v>0</v>
      </c>
      <c r="BS67" s="119" t="str">
        <f t="shared" si="71"/>
        <v/>
      </c>
      <c r="BT67" s="66">
        <f>+IF($W67="","",ROUND(IF($B67&gt;Parámetros!$D$107,'Tablas Servicio'!BR67+('Tablas Servicio'!BT66-'Tablas Servicio'!BR66),BR67/(1-IF(B67&lt;=10,Parámetros!$D$100,0))),2))</f>
        <v>0</v>
      </c>
      <c r="BU67" s="66">
        <f t="shared" si="72"/>
        <v>0</v>
      </c>
      <c r="BV67" s="66">
        <f t="shared" si="72"/>
        <v>0</v>
      </c>
      <c r="BW67" s="66">
        <f>+IF($W67="","",ROUND((BT67*Parámetros!$G$85),2))</f>
        <v>0</v>
      </c>
      <c r="BX67" s="66">
        <f>+IF($W67="","",ROUND((BT67*(Parámetros!$G$86)),2))</f>
        <v>0</v>
      </c>
      <c r="BY67" s="66">
        <f t="shared" si="73"/>
        <v>0</v>
      </c>
      <c r="BZ67" t="str">
        <f t="shared" si="131"/>
        <v>00062</v>
      </c>
      <c r="CA67" t="str">
        <f t="shared" si="132"/>
        <v>Gastos médicos por accidente</v>
      </c>
      <c r="CB67" s="118">
        <f t="shared" si="133"/>
        <v>0</v>
      </c>
      <c r="CC67" s="118" t="str">
        <f t="shared" si="134"/>
        <v>A</v>
      </c>
      <c r="CD67" s="119" t="str">
        <f t="shared" si="78"/>
        <v/>
      </c>
      <c r="CE67" s="66">
        <f>+IF($W67="","",ROUND((VLOOKUP(ROUNDDOWN($D67-1/frec,0),cob_adi,BO$40,FALSE)*(1+i/frec)^-0.5*(1+Parámetros!$D$103)*(1+rec_fracc)/frec*'TABLAS ADI'!$BC$17),2))</f>
        <v>0</v>
      </c>
      <c r="CF67" s="119" t="str">
        <f t="shared" si="79"/>
        <v/>
      </c>
      <c r="CG67" s="66">
        <f>+IF($W67="","",ROUND(IF($B67&gt;Parámetros!$D$107,'Tablas Servicio'!CE67+('Tablas Servicio'!CG66-'Tablas Servicio'!CE66),CE67/(1-IF(B67&lt;=10,Parámetros!$D$100,0))),2))</f>
        <v>0</v>
      </c>
      <c r="CH67" s="66">
        <f t="shared" si="80"/>
        <v>0</v>
      </c>
      <c r="CI67" s="66">
        <f t="shared" si="80"/>
        <v>0</v>
      </c>
      <c r="CJ67" s="66">
        <f>+IF($W67="","",ROUND((CG67*Parámetros!$G$85),2))</f>
        <v>0</v>
      </c>
      <c r="CK67" s="66">
        <f>+IF($W67="","",ROUND((CG67*(Parámetros!$G$86)),2))</f>
        <v>0</v>
      </c>
      <c r="CL67" s="66">
        <f t="shared" si="81"/>
        <v>0</v>
      </c>
      <c r="CM67" t="str">
        <f t="shared" si="135"/>
        <v>00063</v>
      </c>
      <c r="CN67" s="118" t="str">
        <f t="shared" si="136"/>
        <v>Renta Diaria por Hospitalización</v>
      </c>
      <c r="CO67" s="118">
        <f t="shared" si="137"/>
        <v>0</v>
      </c>
      <c r="CP67" s="118" t="str">
        <f t="shared" si="138"/>
        <v>A</v>
      </c>
      <c r="CQ67" s="119" t="str">
        <f t="shared" si="86"/>
        <v/>
      </c>
      <c r="CR67" s="66">
        <f>+IF($W67="","",ROUND((VLOOKUP(Parámetros!$F$51,'COBERTURAS ADICIONALES'!$S$4:$T$32,2,FALSE)*(1+i/frec)^-0.5*(1+Parámetros!$D$103)*(1+rec_fracc)/frec*$CO$42),2))</f>
        <v>0</v>
      </c>
      <c r="CS67" s="119" t="str">
        <f t="shared" si="87"/>
        <v/>
      </c>
      <c r="CT67" s="66">
        <f>+IF($W67="","",ROUND(IF($B67&gt;Parámetros!$D$107,'Tablas Servicio'!CR67+('Tablas Servicio'!CT66-'Tablas Servicio'!CR66),CR67/(1-IF(B67&lt;=10,Parámetros!$D$100,0))),2))</f>
        <v>0</v>
      </c>
      <c r="CU67" s="66">
        <f t="shared" si="88"/>
        <v>0</v>
      </c>
      <c r="CV67" s="66">
        <f t="shared" si="88"/>
        <v>0</v>
      </c>
      <c r="CW67" s="66">
        <f>+IF($W67="","",ROUND((CT67*Parámetros!$G$85),2))</f>
        <v>0</v>
      </c>
      <c r="CX67" s="66">
        <f>+IF($W67="","",ROUND((CT67*(Parámetros!$G$86)),2))</f>
        <v>0</v>
      </c>
      <c r="CY67" s="66">
        <f t="shared" si="89"/>
        <v>0</v>
      </c>
      <c r="CZ67" t="str">
        <f t="shared" si="139"/>
        <v>00064</v>
      </c>
      <c r="DA67" s="118" t="str">
        <f t="shared" si="140"/>
        <v>Enfermedades Graves</v>
      </c>
      <c r="DB67" s="118">
        <f t="shared" si="141"/>
        <v>0</v>
      </c>
      <c r="DC67" s="118" t="str">
        <f t="shared" si="142"/>
        <v>A</v>
      </c>
      <c r="DD67" s="121" t="str">
        <f>+IF(OR($W67="",DB67=0),"",ROUND((VLOOKUP(ROUNDDOWN($D67-1/frec,0),cob_adi,CO$40,FALSE)*(1+i/frec)^-0.5*(1+Parámetros!$D$103)*(1+rec_fracc)/frec),6))</f>
        <v/>
      </c>
      <c r="DE67" s="66">
        <f t="shared" si="94"/>
        <v>0</v>
      </c>
      <c r="DF67" s="119" t="str">
        <f t="shared" si="95"/>
        <v/>
      </c>
      <c r="DG67" s="66">
        <f>+IF($W67="","",ROUND(IF($B67&gt;Parámetros!$D$107,'Tablas Servicio'!DE67+('Tablas Servicio'!DG66-'Tablas Servicio'!DE66),DE67/(1-IF(B67&lt;=10,Parámetros!$D$100,0))),2))</f>
        <v>0</v>
      </c>
      <c r="DH67" s="66">
        <f t="shared" si="96"/>
        <v>0</v>
      </c>
      <c r="DI67" s="66">
        <f t="shared" si="96"/>
        <v>0</v>
      </c>
      <c r="DJ67" s="66">
        <f>+IF($W67="","",ROUND((DG67*Parámetros!$G$85),2))</f>
        <v>0</v>
      </c>
      <c r="DK67" s="66">
        <f>+IF($W67="","",ROUND((DG67*(Parámetros!$G$86)),2))</f>
        <v>0</v>
      </c>
      <c r="DL67" s="66">
        <f t="shared" si="97"/>
        <v>0</v>
      </c>
      <c r="DM67" t="str">
        <f t="shared" si="143"/>
        <v>00065</v>
      </c>
      <c r="DN67" s="118" t="str">
        <f t="shared" si="144"/>
        <v>Exención pago de primas</v>
      </c>
      <c r="DO67" s="118">
        <f t="shared" si="145"/>
        <v>0</v>
      </c>
      <c r="DP67" s="118" t="str">
        <f t="shared" si="146"/>
        <v>A</v>
      </c>
      <c r="DQ67" s="122" t="str">
        <f>+IF(OR($W67="",DO67=0),"",ROUND((VLOOKUP(ROUNDDOWN($D67-1/frec,0),cob_adi,DB$40,FALSE)*(1+i/frec)^-0.5*(1+Parámetros!$D$103)*(1+rec_fracc)/frec),6))</f>
        <v/>
      </c>
      <c r="DR67" s="66">
        <f t="shared" si="102"/>
        <v>0</v>
      </c>
      <c r="DS67" s="68" t="str">
        <f t="shared" si="103"/>
        <v/>
      </c>
      <c r="DT67" s="66">
        <f>+IF($W67="","",ROUND(IF($B67&gt;Parámetros!$D$107,'Tablas Servicio'!DR67+('Tablas Servicio'!DT66-'Tablas Servicio'!DR66),DR67/(1-IF(B67&lt;=10,Parámetros!$D$100,0))),2))</f>
        <v>0</v>
      </c>
      <c r="DU67" s="66">
        <f t="shared" si="104"/>
        <v>0</v>
      </c>
      <c r="DV67" s="66">
        <f t="shared" si="104"/>
        <v>0</v>
      </c>
      <c r="DW67" s="66">
        <f>+IF($W67="","",ROUND((DT67*Parámetros!$G$85),2))</f>
        <v>0</v>
      </c>
      <c r="DX67" s="66">
        <f>+IF($W67="","",ROUND((DT67*(Parámetros!$G$86)),2))</f>
        <v>0</v>
      </c>
      <c r="DY67" s="66">
        <f t="shared" si="105"/>
        <v>0</v>
      </c>
      <c r="DZ67" t="str">
        <f t="shared" si="147"/>
        <v>00066</v>
      </c>
      <c r="EA67" s="118" t="str">
        <f t="shared" si="147"/>
        <v>Enfermedad terminal</v>
      </c>
      <c r="EB67" s="118">
        <f>+IF($W67="","",ROUND(IF(Parámetros!$D$25='TABLAS MORT'!$V$33,EB66,Z67/2),0))</f>
        <v>50000</v>
      </c>
      <c r="EC67" s="118" t="str">
        <f t="shared" si="147"/>
        <v>A</v>
      </c>
      <c r="ED67" s="122">
        <f>+IF(OR($W67="",EB67=0),"",ROUND((VLOOKUP(ROUNDDOWN($D67-1/frec,0),cob_adi,DO$40,FALSE)*(1+i/frec)^-0.5*(1+Parámetros!$D$103)*(1+rec_fracc)/frec),6))</f>
        <v>7.9999999999999996E-6</v>
      </c>
      <c r="EE67" s="66">
        <f t="shared" si="107"/>
        <v>0.4</v>
      </c>
      <c r="EF67" s="68">
        <f t="shared" si="108"/>
        <v>9.0000000000000002E-6</v>
      </c>
      <c r="EG67" s="66">
        <f>+IF($W67="","",ROUND(IF($B67&gt;Parámetros!$D$107,'Tablas Servicio'!EE67+('Tablas Servicio'!EG66-'Tablas Servicio'!EE66),EE67/(1-IF(B67&lt;=10,Parámetros!$D$100,0))),2))</f>
        <v>0.45</v>
      </c>
      <c r="EH67" s="66">
        <f t="shared" si="109"/>
        <v>0</v>
      </c>
      <c r="EI67" s="66">
        <f t="shared" si="109"/>
        <v>0</v>
      </c>
      <c r="EJ67" s="66">
        <f>+IF($W67="","",ROUND((EG67*Parámetros!$G$85),2))</f>
        <v>0.02</v>
      </c>
      <c r="EK67" s="66">
        <f>+IF($W67="","",ROUND((EG67*(Parámetros!$G$86)),2))</f>
        <v>0</v>
      </c>
      <c r="EL67" s="66">
        <f t="shared" si="110"/>
        <v>0.47</v>
      </c>
    </row>
    <row r="68" spans="1:142" x14ac:dyDescent="0.25">
      <c r="A68">
        <f>+IF($C68="","",ROUND(VLOOKUP('Tablas Servicio'!B68,Parámetros!$H$100:$J$159,IF(Parámetros!$E$16="F",2,3),FALSE),2))</f>
        <v>150</v>
      </c>
      <c r="B68">
        <f t="shared" si="27"/>
        <v>3</v>
      </c>
      <c r="C68" s="57">
        <f>+IF(D68="","",'Tablas Servicio'!C67+1)</f>
        <v>27</v>
      </c>
      <c r="D68" s="56">
        <f>+IF(D67&lt;edadmaxtabla,D67+1/Parámetros!$E$25,"")</f>
        <v>42.270000000000067</v>
      </c>
      <c r="E68" s="57">
        <f t="shared" si="37"/>
        <v>42</v>
      </c>
      <c r="F68" s="59">
        <f t="shared" si="38"/>
        <v>100000</v>
      </c>
      <c r="G68" s="66">
        <f t="shared" si="39"/>
        <v>27.14</v>
      </c>
      <c r="H68" s="66">
        <f t="shared" si="28"/>
        <v>28.22</v>
      </c>
      <c r="I68" s="66">
        <f t="shared" si="112"/>
        <v>57.980000000000004</v>
      </c>
      <c r="J68" s="66">
        <f t="shared" si="29"/>
        <v>0.95000000000000007</v>
      </c>
      <c r="K68" s="66">
        <f t="shared" si="30"/>
        <v>0.13</v>
      </c>
      <c r="L68" s="66">
        <f t="shared" si="31"/>
        <v>0</v>
      </c>
      <c r="M68" s="66">
        <f t="shared" si="32"/>
        <v>0</v>
      </c>
      <c r="N68" s="66">
        <f>+IF(C68="","",ROUND(Parámetros!$D$23,2))</f>
        <v>94</v>
      </c>
      <c r="O68" s="66">
        <f t="shared" si="33"/>
        <v>13.3</v>
      </c>
      <c r="P68" s="66">
        <f>+IF($C68="","",ROUND(IF(B68&gt;Parámetros!$D$117,0,N68*Parámetros!$D$116-G68*Parámetros!$D$100),2))</f>
        <v>7.8</v>
      </c>
      <c r="Q68" s="75">
        <f t="shared" si="113"/>
        <v>3.5003684598378777E-2</v>
      </c>
      <c r="R68" s="75">
        <f t="shared" si="114"/>
        <v>4.7899778924097277E-3</v>
      </c>
      <c r="S68" s="117">
        <f>+IF($C68="","",ROUND((S67+I68)*(1+Parámetros!$D$91),2))</f>
        <v>1698.76</v>
      </c>
      <c r="T68" s="117">
        <f>+IF($C68="","",ROUND(S68*VLOOKUP(B68,Parámetros!$C$30:$D$39,2,TRUE),2))</f>
        <v>0</v>
      </c>
      <c r="U68" s="117">
        <f>+IF($C68="","",ROUND((U67+I68)*(1+Parámetros!$D$92),2))</f>
        <v>1708.63</v>
      </c>
      <c r="V68" s="117">
        <f>+IF($C68="","",ROUND(U68*VLOOKUP(B68,Parámetros!$C$30:$D$39,2,TRUE),2))</f>
        <v>0</v>
      </c>
      <c r="W68" s="57">
        <f t="shared" si="115"/>
        <v>27</v>
      </c>
      <c r="X68" t="str">
        <f t="shared" si="116"/>
        <v>00058</v>
      </c>
      <c r="Y68" t="str">
        <f t="shared" si="117"/>
        <v>MUERTE POR CUALQUIER CAUSA</v>
      </c>
      <c r="Z68" s="118">
        <f>+IF($W68="","",ROUND(IF(Parámetros!$D$25='TABLAS MORT'!$V$33,Z67,Parámetros!$D$21-'Tablas Servicio'!T67),0))</f>
        <v>100000</v>
      </c>
      <c r="AA68" s="118" t="str">
        <f t="shared" si="118"/>
        <v>P</v>
      </c>
      <c r="AB68" s="119">
        <f>+IF(W68="","",ROUND((VLOOKUP(ROUNDDOWN($D68-1/frec,0),qx_tabla,2,FALSE)*(1+i/frec)^-0.5*(1+Parámetros!$D$103)*(1+rec_fracc)/frec),6))</f>
        <v>1.2899999999999999E-4</v>
      </c>
      <c r="AC68" s="66">
        <f t="shared" si="46"/>
        <v>12.9</v>
      </c>
      <c r="AD68" s="119">
        <f t="shared" si="35"/>
        <v>2.6699999999999998E-4</v>
      </c>
      <c r="AE68" s="66">
        <f>+IF($W68="","",ROUND(IF($B68&gt;Parámetros!$D$107,'Tablas Servicio'!AC68+('Tablas Servicio'!AG67-'Tablas Servicio'!AC67),AC68/(1-IF(B68&lt;=10,Parámetros!$D$104,Parámetros!$D$105))),2))</f>
        <v>26.69</v>
      </c>
      <c r="AF68" s="66">
        <f>+IF($W68="","",ROUND(IF($B68&gt;Parámetros!$D$107,'Tablas Servicio'!AC68+('Tablas Servicio'!AG67-'Tablas Servicio'!AC67),(AC68+$A67/frec)/(1-IF(B68&lt;=Parámetros!$D$117,Parámetros!$D$100,0))),2))</f>
        <v>28.76</v>
      </c>
      <c r="AG68" s="66">
        <f t="shared" si="111"/>
        <v>26.69</v>
      </c>
      <c r="AH68" s="66">
        <f t="shared" si="47"/>
        <v>0</v>
      </c>
      <c r="AI68" s="66">
        <f t="shared" si="48"/>
        <v>0</v>
      </c>
      <c r="AJ68" s="66">
        <f>+IF($W68="","",ROUND((AG68*Parámetros!$G$85),2))</f>
        <v>0.93</v>
      </c>
      <c r="AK68" s="66">
        <f>+IF($W68="","",ROUND((AG68*(Parámetros!$G$86)),2))</f>
        <v>0.13</v>
      </c>
      <c r="AL68" s="66">
        <f t="shared" si="36"/>
        <v>27.75</v>
      </c>
      <c r="AM68" t="str">
        <f t="shared" si="119"/>
        <v>00059</v>
      </c>
      <c r="AN68" t="str">
        <f t="shared" si="120"/>
        <v>Incapacidad Total y Permanente</v>
      </c>
      <c r="AO68" s="118">
        <f t="shared" si="121"/>
        <v>0</v>
      </c>
      <c r="AP68" s="118" t="str">
        <f t="shared" si="122"/>
        <v>A</v>
      </c>
      <c r="AQ68" s="119" t="str">
        <f>+IF(OR($W68="",AO68=0),"",ROUND((VLOOKUP(ROUNDDOWN($D68-1/frec,0),cob_adi,Z$40,FALSE)*(1+i/frec)^-0.5*(1+Parámetros!$D$103)*(1+rec_fracc)/frec),6))</f>
        <v/>
      </c>
      <c r="AR68" s="66">
        <f t="shared" si="53"/>
        <v>0</v>
      </c>
      <c r="AS68" s="119" t="str">
        <f t="shared" si="54"/>
        <v/>
      </c>
      <c r="AT68" s="66">
        <f>+IF($W68="","",ROUND(IF($B68&gt;Parámetros!$D$107,'Tablas Servicio'!AR68+('Tablas Servicio'!AT67-'Tablas Servicio'!AR67),AR68/(1-IF(B68&lt;=10,Parámetros!$D$100,0))),2))</f>
        <v>0</v>
      </c>
      <c r="AU68" s="66">
        <f t="shared" si="55"/>
        <v>0</v>
      </c>
      <c r="AV68" s="66">
        <f t="shared" si="55"/>
        <v>0</v>
      </c>
      <c r="AW68" s="66">
        <f>+IF($W68="","",ROUND((AT68*Parámetros!$G$85),2))</f>
        <v>0</v>
      </c>
      <c r="AX68" s="66">
        <f>+IF($W68="","",ROUND((AT68*(Parámetros!$G$86)),2))</f>
        <v>0</v>
      </c>
      <c r="AY68" s="66">
        <f t="shared" si="56"/>
        <v>0</v>
      </c>
      <c r="AZ68" t="str">
        <f t="shared" si="123"/>
        <v>00060</v>
      </c>
      <c r="BA68" t="str">
        <f t="shared" si="124"/>
        <v>Muerte Accidental</v>
      </c>
      <c r="BB68" s="118">
        <f t="shared" si="125"/>
        <v>0</v>
      </c>
      <c r="BC68" s="118" t="str">
        <f t="shared" si="126"/>
        <v>A</v>
      </c>
      <c r="BD68" s="119" t="str">
        <f>+IF(OR($W68="",BB68=0),"",ROUND((VLOOKUP(ROUNDDOWN($D68-1/frec,0),cob_adi,AO$40,FALSE)*(1+i/frec)^-0.5*(1+Parámetros!$D$103)*(1+rec_fracc)/frec),6))</f>
        <v/>
      </c>
      <c r="BE68" s="66">
        <f t="shared" si="61"/>
        <v>0</v>
      </c>
      <c r="BF68" s="119" t="str">
        <f t="shared" si="62"/>
        <v/>
      </c>
      <c r="BG68" s="66">
        <f>+IF($W68="","",ROUND(IF($B68&gt;Parámetros!$D$107,'Tablas Servicio'!BE68+('Tablas Servicio'!BG67-'Tablas Servicio'!BE67),BE68/(1-IF(B68&lt;=10,Parámetros!$D$100,0))),2))</f>
        <v>0</v>
      </c>
      <c r="BH68" s="66">
        <f t="shared" si="63"/>
        <v>0</v>
      </c>
      <c r="BI68" s="66">
        <f t="shared" si="64"/>
        <v>0</v>
      </c>
      <c r="BJ68" s="66">
        <f>+IF($W68="","",ROUND((BG68*Parámetros!$G$85),2))</f>
        <v>0</v>
      </c>
      <c r="BK68" s="66">
        <f>+IF($W68="","",ROUND((BG68*(Parámetros!$G$86)),2))</f>
        <v>0</v>
      </c>
      <c r="BL68" s="66">
        <f t="shared" si="65"/>
        <v>0</v>
      </c>
      <c r="BM68" t="str">
        <f t="shared" si="127"/>
        <v>00061</v>
      </c>
      <c r="BN68" t="str">
        <f t="shared" si="128"/>
        <v>Gastos de Entierro</v>
      </c>
      <c r="BO68" s="118">
        <f t="shared" si="129"/>
        <v>0</v>
      </c>
      <c r="BP68" s="118" t="str">
        <f t="shared" si="130"/>
        <v>A</v>
      </c>
      <c r="BQ68" s="119" t="str">
        <f>+IF(OR($W68="",BO68=0),"",ROUND((VLOOKUP(ROUNDDOWN($D68-1/frec,0),cob_adi,BB$40,FALSE)*(1+i/frec)^-0.5*(1+Parámetros!$D$103)*(1+rec_fracc)/frec),6))</f>
        <v/>
      </c>
      <c r="BR68" s="66">
        <f t="shared" si="70"/>
        <v>0</v>
      </c>
      <c r="BS68" s="119" t="str">
        <f t="shared" si="71"/>
        <v/>
      </c>
      <c r="BT68" s="66">
        <f>+IF($W68="","",ROUND(IF($B68&gt;Parámetros!$D$107,'Tablas Servicio'!BR68+('Tablas Servicio'!BT67-'Tablas Servicio'!BR67),BR68/(1-IF(B68&lt;=10,Parámetros!$D$100,0))),2))</f>
        <v>0</v>
      </c>
      <c r="BU68" s="66">
        <f t="shared" si="72"/>
        <v>0</v>
      </c>
      <c r="BV68" s="66">
        <f t="shared" si="72"/>
        <v>0</v>
      </c>
      <c r="BW68" s="66">
        <f>+IF($W68="","",ROUND((BT68*Parámetros!$G$85),2))</f>
        <v>0</v>
      </c>
      <c r="BX68" s="66">
        <f>+IF($W68="","",ROUND((BT68*(Parámetros!$G$86)),2))</f>
        <v>0</v>
      </c>
      <c r="BY68" s="66">
        <f t="shared" si="73"/>
        <v>0</v>
      </c>
      <c r="BZ68" t="str">
        <f t="shared" si="131"/>
        <v>00062</v>
      </c>
      <c r="CA68" t="str">
        <f t="shared" si="132"/>
        <v>Gastos médicos por accidente</v>
      </c>
      <c r="CB68" s="118">
        <f t="shared" si="133"/>
        <v>0</v>
      </c>
      <c r="CC68" s="118" t="str">
        <f t="shared" si="134"/>
        <v>A</v>
      </c>
      <c r="CD68" s="119" t="str">
        <f t="shared" si="78"/>
        <v/>
      </c>
      <c r="CE68" s="66">
        <f>+IF($W68="","",ROUND((VLOOKUP(ROUNDDOWN($D68-1/frec,0),cob_adi,BO$40,FALSE)*(1+i/frec)^-0.5*(1+Parámetros!$D$103)*(1+rec_fracc)/frec*'TABLAS ADI'!$BC$17),2))</f>
        <v>0</v>
      </c>
      <c r="CF68" s="119" t="str">
        <f t="shared" si="79"/>
        <v/>
      </c>
      <c r="CG68" s="66">
        <f>+IF($W68="","",ROUND(IF($B68&gt;Parámetros!$D$107,'Tablas Servicio'!CE68+('Tablas Servicio'!CG67-'Tablas Servicio'!CE67),CE68/(1-IF(B68&lt;=10,Parámetros!$D$100,0))),2))</f>
        <v>0</v>
      </c>
      <c r="CH68" s="66">
        <f t="shared" si="80"/>
        <v>0</v>
      </c>
      <c r="CI68" s="66">
        <f t="shared" si="80"/>
        <v>0</v>
      </c>
      <c r="CJ68" s="66">
        <f>+IF($W68="","",ROUND((CG68*Parámetros!$G$85),2))</f>
        <v>0</v>
      </c>
      <c r="CK68" s="66">
        <f>+IF($W68="","",ROUND((CG68*(Parámetros!$G$86)),2))</f>
        <v>0</v>
      </c>
      <c r="CL68" s="66">
        <f t="shared" si="81"/>
        <v>0</v>
      </c>
      <c r="CM68" t="str">
        <f t="shared" si="135"/>
        <v>00063</v>
      </c>
      <c r="CN68" s="118" t="str">
        <f t="shared" si="136"/>
        <v>Renta Diaria por Hospitalización</v>
      </c>
      <c r="CO68" s="118">
        <f t="shared" si="137"/>
        <v>0</v>
      </c>
      <c r="CP68" s="118" t="str">
        <f t="shared" si="138"/>
        <v>A</v>
      </c>
      <c r="CQ68" s="119" t="str">
        <f t="shared" si="86"/>
        <v/>
      </c>
      <c r="CR68" s="66">
        <f>+IF($W68="","",ROUND((VLOOKUP(Parámetros!$F$51,'COBERTURAS ADICIONALES'!$S$4:$T$32,2,FALSE)*(1+i/frec)^-0.5*(1+Parámetros!$D$103)*(1+rec_fracc)/frec*$CO$42),2))</f>
        <v>0</v>
      </c>
      <c r="CS68" s="119" t="str">
        <f t="shared" si="87"/>
        <v/>
      </c>
      <c r="CT68" s="66">
        <f>+IF($W68="","",ROUND(IF($B68&gt;Parámetros!$D$107,'Tablas Servicio'!CR68+('Tablas Servicio'!CT67-'Tablas Servicio'!CR67),CR68/(1-IF(B68&lt;=10,Parámetros!$D$100,0))),2))</f>
        <v>0</v>
      </c>
      <c r="CU68" s="66">
        <f t="shared" si="88"/>
        <v>0</v>
      </c>
      <c r="CV68" s="66">
        <f t="shared" si="88"/>
        <v>0</v>
      </c>
      <c r="CW68" s="66">
        <f>+IF($W68="","",ROUND((CT68*Parámetros!$G$85),2))</f>
        <v>0</v>
      </c>
      <c r="CX68" s="66">
        <f>+IF($W68="","",ROUND((CT68*(Parámetros!$G$86)),2))</f>
        <v>0</v>
      </c>
      <c r="CY68" s="66">
        <f t="shared" si="89"/>
        <v>0</v>
      </c>
      <c r="CZ68" t="str">
        <f t="shared" si="139"/>
        <v>00064</v>
      </c>
      <c r="DA68" s="118" t="str">
        <f t="shared" si="140"/>
        <v>Enfermedades Graves</v>
      </c>
      <c r="DB68" s="118">
        <f t="shared" si="141"/>
        <v>0</v>
      </c>
      <c r="DC68" s="118" t="str">
        <f t="shared" si="142"/>
        <v>A</v>
      </c>
      <c r="DD68" s="121" t="str">
        <f>+IF(OR($W68="",DB68=0),"",ROUND((VLOOKUP(ROUNDDOWN($D68-1/frec,0),cob_adi,CO$40,FALSE)*(1+i/frec)^-0.5*(1+Parámetros!$D$103)*(1+rec_fracc)/frec),6))</f>
        <v/>
      </c>
      <c r="DE68" s="66">
        <f t="shared" si="94"/>
        <v>0</v>
      </c>
      <c r="DF68" s="119" t="str">
        <f t="shared" si="95"/>
        <v/>
      </c>
      <c r="DG68" s="66">
        <f>+IF($W68="","",ROUND(IF($B68&gt;Parámetros!$D$107,'Tablas Servicio'!DE68+('Tablas Servicio'!DG67-'Tablas Servicio'!DE67),DE68/(1-IF(B68&lt;=10,Parámetros!$D$100,0))),2))</f>
        <v>0</v>
      </c>
      <c r="DH68" s="66">
        <f t="shared" si="96"/>
        <v>0</v>
      </c>
      <c r="DI68" s="66">
        <f t="shared" si="96"/>
        <v>0</v>
      </c>
      <c r="DJ68" s="66">
        <f>+IF($W68="","",ROUND((DG68*Parámetros!$G$85),2))</f>
        <v>0</v>
      </c>
      <c r="DK68" s="66">
        <f>+IF($W68="","",ROUND((DG68*(Parámetros!$G$86)),2))</f>
        <v>0</v>
      </c>
      <c r="DL68" s="66">
        <f t="shared" si="97"/>
        <v>0</v>
      </c>
      <c r="DM68" t="str">
        <f t="shared" si="143"/>
        <v>00065</v>
      </c>
      <c r="DN68" s="118" t="str">
        <f t="shared" si="144"/>
        <v>Exención pago de primas</v>
      </c>
      <c r="DO68" s="118">
        <f t="shared" si="145"/>
        <v>0</v>
      </c>
      <c r="DP68" s="118" t="str">
        <f t="shared" si="146"/>
        <v>A</v>
      </c>
      <c r="DQ68" s="122" t="str">
        <f>+IF(OR($W68="",DO68=0),"",ROUND((VLOOKUP(ROUNDDOWN($D68-1/frec,0),cob_adi,DB$40,FALSE)*(1+i/frec)^-0.5*(1+Parámetros!$D$103)*(1+rec_fracc)/frec),6))</f>
        <v/>
      </c>
      <c r="DR68" s="66">
        <f t="shared" si="102"/>
        <v>0</v>
      </c>
      <c r="DS68" s="68" t="str">
        <f t="shared" si="103"/>
        <v/>
      </c>
      <c r="DT68" s="66">
        <f>+IF($W68="","",ROUND(IF($B68&gt;Parámetros!$D$107,'Tablas Servicio'!DR68+('Tablas Servicio'!DT67-'Tablas Servicio'!DR67),DR68/(1-IF(B68&lt;=10,Parámetros!$D$100,0))),2))</f>
        <v>0</v>
      </c>
      <c r="DU68" s="66">
        <f t="shared" si="104"/>
        <v>0</v>
      </c>
      <c r="DV68" s="66">
        <f t="shared" si="104"/>
        <v>0</v>
      </c>
      <c r="DW68" s="66">
        <f>+IF($W68="","",ROUND((DT68*Parámetros!$G$85),2))</f>
        <v>0</v>
      </c>
      <c r="DX68" s="66">
        <f>+IF($W68="","",ROUND((DT68*(Parámetros!$G$86)),2))</f>
        <v>0</v>
      </c>
      <c r="DY68" s="66">
        <f t="shared" si="105"/>
        <v>0</v>
      </c>
      <c r="DZ68" t="str">
        <f t="shared" si="147"/>
        <v>00066</v>
      </c>
      <c r="EA68" s="118" t="str">
        <f t="shared" si="147"/>
        <v>Enfermedad terminal</v>
      </c>
      <c r="EB68" s="118">
        <f>+IF($W68="","",ROUND(IF(Parámetros!$D$25='TABLAS MORT'!$V$33,EB67,Z68/2),0))</f>
        <v>50000</v>
      </c>
      <c r="EC68" s="118" t="str">
        <f t="shared" si="147"/>
        <v>A</v>
      </c>
      <c r="ED68" s="122">
        <f>+IF(OR($W68="",EB68=0),"",ROUND((VLOOKUP(ROUNDDOWN($D68-1/frec,0),cob_adi,DO$40,FALSE)*(1+i/frec)^-0.5*(1+Parámetros!$D$103)*(1+rec_fracc)/frec),6))</f>
        <v>7.9999999999999996E-6</v>
      </c>
      <c r="EE68" s="66">
        <f t="shared" si="107"/>
        <v>0.4</v>
      </c>
      <c r="EF68" s="68">
        <f t="shared" si="108"/>
        <v>9.0000000000000002E-6</v>
      </c>
      <c r="EG68" s="66">
        <f>+IF($W68="","",ROUND(IF($B68&gt;Parámetros!$D$107,'Tablas Servicio'!EE68+('Tablas Servicio'!EG67-'Tablas Servicio'!EE67),EE68/(1-IF(B68&lt;=10,Parámetros!$D$100,0))),2))</f>
        <v>0.45</v>
      </c>
      <c r="EH68" s="66">
        <f t="shared" si="109"/>
        <v>0</v>
      </c>
      <c r="EI68" s="66">
        <f t="shared" si="109"/>
        <v>0</v>
      </c>
      <c r="EJ68" s="66">
        <f>+IF($W68="","",ROUND((EG68*Parámetros!$G$85),2))</f>
        <v>0.02</v>
      </c>
      <c r="EK68" s="66">
        <f>+IF($W68="","",ROUND((EG68*(Parámetros!$G$86)),2))</f>
        <v>0</v>
      </c>
      <c r="EL68" s="66">
        <f t="shared" si="110"/>
        <v>0.47</v>
      </c>
    </row>
    <row r="69" spans="1:142" x14ac:dyDescent="0.25">
      <c r="A69">
        <f>+IF($C69="","",ROUND(VLOOKUP('Tablas Servicio'!B69,Parámetros!$H$100:$J$159,IF(Parámetros!$E$16="F",2,3),FALSE),2))</f>
        <v>150</v>
      </c>
      <c r="B69">
        <f t="shared" si="27"/>
        <v>3</v>
      </c>
      <c r="C69" s="57">
        <f>+IF(D69="","",'Tablas Servicio'!C68+1)</f>
        <v>28</v>
      </c>
      <c r="D69" s="56">
        <f>+IF(D68&lt;edadmaxtabla,D68+1/Parámetros!$E$25,"")</f>
        <v>42.353333333333403</v>
      </c>
      <c r="E69" s="57">
        <f t="shared" si="37"/>
        <v>42</v>
      </c>
      <c r="F69" s="59">
        <f t="shared" si="38"/>
        <v>100000</v>
      </c>
      <c r="G69" s="66">
        <f t="shared" si="39"/>
        <v>27.14</v>
      </c>
      <c r="H69" s="66">
        <f t="shared" si="28"/>
        <v>28.22</v>
      </c>
      <c r="I69" s="66">
        <f t="shared" si="112"/>
        <v>57.980000000000004</v>
      </c>
      <c r="J69" s="66">
        <f t="shared" si="29"/>
        <v>0.95000000000000007</v>
      </c>
      <c r="K69" s="66">
        <f t="shared" si="30"/>
        <v>0.13</v>
      </c>
      <c r="L69" s="66">
        <f t="shared" si="31"/>
        <v>0</v>
      </c>
      <c r="M69" s="66">
        <f t="shared" si="32"/>
        <v>0</v>
      </c>
      <c r="N69" s="66">
        <f>+IF(C69="","",ROUND(Parámetros!$D$23,2))</f>
        <v>94</v>
      </c>
      <c r="O69" s="66">
        <f t="shared" si="33"/>
        <v>13.3</v>
      </c>
      <c r="P69" s="66">
        <f>+IF($C69="","",ROUND(IF(B69&gt;Parámetros!$D$117,0,N69*Parámetros!$D$116-G69*Parámetros!$D$100),2))</f>
        <v>7.8</v>
      </c>
      <c r="Q69" s="75">
        <f t="shared" si="113"/>
        <v>3.5003684598378777E-2</v>
      </c>
      <c r="R69" s="75">
        <f t="shared" si="114"/>
        <v>4.7899778924097277E-3</v>
      </c>
      <c r="S69" s="117">
        <f>+IF($C69="","",ROUND((S68+I69)*(1+Parámetros!$D$91),2))</f>
        <v>1761.72</v>
      </c>
      <c r="T69" s="117">
        <f>+IF($C69="","",ROUND(S69*VLOOKUP(B69,Parámetros!$C$30:$D$39,2,TRUE),2))</f>
        <v>0</v>
      </c>
      <c r="U69" s="117">
        <f>+IF($C69="","",ROUND((U68+I69)*(1+Parámetros!$D$92),2))</f>
        <v>1772.34</v>
      </c>
      <c r="V69" s="117">
        <f>+IF($C69="","",ROUND(U69*VLOOKUP(B69,Parámetros!$C$30:$D$39,2,TRUE),2))</f>
        <v>0</v>
      </c>
      <c r="W69" s="57">
        <f t="shared" si="115"/>
        <v>28</v>
      </c>
      <c r="X69" t="str">
        <f t="shared" si="116"/>
        <v>00058</v>
      </c>
      <c r="Y69" t="str">
        <f t="shared" si="117"/>
        <v>MUERTE POR CUALQUIER CAUSA</v>
      </c>
      <c r="Z69" s="118">
        <f>+IF($W69="","",ROUND(IF(Parámetros!$D$25='TABLAS MORT'!$V$33,Z68,Parámetros!$D$21-'Tablas Servicio'!T68),0))</f>
        <v>100000</v>
      </c>
      <c r="AA69" s="118" t="str">
        <f t="shared" si="118"/>
        <v>P</v>
      </c>
      <c r="AB69" s="119">
        <f>+IF(W69="","",ROUND((VLOOKUP(ROUNDDOWN($D69-1/frec,0),qx_tabla,2,FALSE)*(1+i/frec)^-0.5*(1+Parámetros!$D$103)*(1+rec_fracc)/frec),6))</f>
        <v>1.2899999999999999E-4</v>
      </c>
      <c r="AC69" s="66">
        <f t="shared" si="46"/>
        <v>12.9</v>
      </c>
      <c r="AD69" s="119">
        <f t="shared" si="35"/>
        <v>2.6699999999999998E-4</v>
      </c>
      <c r="AE69" s="66">
        <f>+IF($W69="","",ROUND(IF($B69&gt;Parámetros!$D$107,'Tablas Servicio'!AC69+('Tablas Servicio'!AG68-'Tablas Servicio'!AC68),AC69/(1-IF(B69&lt;=10,Parámetros!$D$104,Parámetros!$D$105))),2))</f>
        <v>26.69</v>
      </c>
      <c r="AF69" s="66">
        <f>+IF($W69="","",ROUND(IF($B69&gt;Parámetros!$D$107,'Tablas Servicio'!AC69+('Tablas Servicio'!AG68-'Tablas Servicio'!AC68),(AC69+$A68/frec)/(1-IF(B69&lt;=Parámetros!$D$117,Parámetros!$D$100,0))),2))</f>
        <v>28.76</v>
      </c>
      <c r="AG69" s="66">
        <f t="shared" si="111"/>
        <v>26.69</v>
      </c>
      <c r="AH69" s="66">
        <f t="shared" si="47"/>
        <v>0</v>
      </c>
      <c r="AI69" s="66">
        <f t="shared" si="48"/>
        <v>0</v>
      </c>
      <c r="AJ69" s="66">
        <f>+IF($W69="","",ROUND((AG69*Parámetros!$G$85),2))</f>
        <v>0.93</v>
      </c>
      <c r="AK69" s="66">
        <f>+IF($W69="","",ROUND((AG69*(Parámetros!$G$86)),2))</f>
        <v>0.13</v>
      </c>
      <c r="AL69" s="66">
        <f t="shared" si="36"/>
        <v>27.75</v>
      </c>
      <c r="AM69" t="str">
        <f t="shared" si="119"/>
        <v>00059</v>
      </c>
      <c r="AN69" t="str">
        <f t="shared" si="120"/>
        <v>Incapacidad Total y Permanente</v>
      </c>
      <c r="AO69" s="118">
        <f t="shared" si="121"/>
        <v>0</v>
      </c>
      <c r="AP69" s="118" t="str">
        <f t="shared" si="122"/>
        <v>A</v>
      </c>
      <c r="AQ69" s="119" t="str">
        <f>+IF(OR($W69="",AO69=0),"",ROUND((VLOOKUP(ROUNDDOWN($D69-1/frec,0),cob_adi,Z$40,FALSE)*(1+i/frec)^-0.5*(1+Parámetros!$D$103)*(1+rec_fracc)/frec),6))</f>
        <v/>
      </c>
      <c r="AR69" s="66">
        <f t="shared" si="53"/>
        <v>0</v>
      </c>
      <c r="AS69" s="119" t="str">
        <f t="shared" si="54"/>
        <v/>
      </c>
      <c r="AT69" s="66">
        <f>+IF($W69="","",ROUND(IF($B69&gt;Parámetros!$D$107,'Tablas Servicio'!AR69+('Tablas Servicio'!AT68-'Tablas Servicio'!AR68),AR69/(1-IF(B69&lt;=10,Parámetros!$D$100,0))),2))</f>
        <v>0</v>
      </c>
      <c r="AU69" s="66">
        <f t="shared" si="55"/>
        <v>0</v>
      </c>
      <c r="AV69" s="66">
        <f t="shared" si="55"/>
        <v>0</v>
      </c>
      <c r="AW69" s="66">
        <f>+IF($W69="","",ROUND((AT69*Parámetros!$G$85),2))</f>
        <v>0</v>
      </c>
      <c r="AX69" s="66">
        <f>+IF($W69="","",ROUND((AT69*(Parámetros!$G$86)),2))</f>
        <v>0</v>
      </c>
      <c r="AY69" s="66">
        <f t="shared" si="56"/>
        <v>0</v>
      </c>
      <c r="AZ69" t="str">
        <f t="shared" si="123"/>
        <v>00060</v>
      </c>
      <c r="BA69" t="str">
        <f t="shared" si="124"/>
        <v>Muerte Accidental</v>
      </c>
      <c r="BB69" s="118">
        <f t="shared" si="125"/>
        <v>0</v>
      </c>
      <c r="BC69" s="118" t="str">
        <f t="shared" si="126"/>
        <v>A</v>
      </c>
      <c r="BD69" s="119" t="str">
        <f>+IF(OR($W69="",BB69=0),"",ROUND((VLOOKUP(ROUNDDOWN($D69-1/frec,0),cob_adi,AO$40,FALSE)*(1+i/frec)^-0.5*(1+Parámetros!$D$103)*(1+rec_fracc)/frec),6))</f>
        <v/>
      </c>
      <c r="BE69" s="66">
        <f t="shared" si="61"/>
        <v>0</v>
      </c>
      <c r="BF69" s="119" t="str">
        <f t="shared" si="62"/>
        <v/>
      </c>
      <c r="BG69" s="66">
        <f>+IF($W69="","",ROUND(IF($B69&gt;Parámetros!$D$107,'Tablas Servicio'!BE69+('Tablas Servicio'!BG68-'Tablas Servicio'!BE68),BE69/(1-IF(B69&lt;=10,Parámetros!$D$100,0))),2))</f>
        <v>0</v>
      </c>
      <c r="BH69" s="66">
        <f t="shared" si="63"/>
        <v>0</v>
      </c>
      <c r="BI69" s="66">
        <f t="shared" si="64"/>
        <v>0</v>
      </c>
      <c r="BJ69" s="66">
        <f>+IF($W69="","",ROUND((BG69*Parámetros!$G$85),2))</f>
        <v>0</v>
      </c>
      <c r="BK69" s="66">
        <f>+IF($W69="","",ROUND((BG69*(Parámetros!$G$86)),2))</f>
        <v>0</v>
      </c>
      <c r="BL69" s="66">
        <f t="shared" si="65"/>
        <v>0</v>
      </c>
      <c r="BM69" t="str">
        <f t="shared" si="127"/>
        <v>00061</v>
      </c>
      <c r="BN69" t="str">
        <f t="shared" si="128"/>
        <v>Gastos de Entierro</v>
      </c>
      <c r="BO69" s="118">
        <f t="shared" si="129"/>
        <v>0</v>
      </c>
      <c r="BP69" s="118" t="str">
        <f t="shared" si="130"/>
        <v>A</v>
      </c>
      <c r="BQ69" s="119" t="str">
        <f>+IF(OR($W69="",BO69=0),"",ROUND((VLOOKUP(ROUNDDOWN($D69-1/frec,0),cob_adi,BB$40,FALSE)*(1+i/frec)^-0.5*(1+Parámetros!$D$103)*(1+rec_fracc)/frec),6))</f>
        <v/>
      </c>
      <c r="BR69" s="66">
        <f t="shared" si="70"/>
        <v>0</v>
      </c>
      <c r="BS69" s="119" t="str">
        <f t="shared" si="71"/>
        <v/>
      </c>
      <c r="BT69" s="66">
        <f>+IF($W69="","",ROUND(IF($B69&gt;Parámetros!$D$107,'Tablas Servicio'!BR69+('Tablas Servicio'!BT68-'Tablas Servicio'!BR68),BR69/(1-IF(B69&lt;=10,Parámetros!$D$100,0))),2))</f>
        <v>0</v>
      </c>
      <c r="BU69" s="66">
        <f t="shared" si="72"/>
        <v>0</v>
      </c>
      <c r="BV69" s="66">
        <f t="shared" si="72"/>
        <v>0</v>
      </c>
      <c r="BW69" s="66">
        <f>+IF($W69="","",ROUND((BT69*Parámetros!$G$85),2))</f>
        <v>0</v>
      </c>
      <c r="BX69" s="66">
        <f>+IF($W69="","",ROUND((BT69*(Parámetros!$G$86)),2))</f>
        <v>0</v>
      </c>
      <c r="BY69" s="66">
        <f t="shared" si="73"/>
        <v>0</v>
      </c>
      <c r="BZ69" t="str">
        <f t="shared" si="131"/>
        <v>00062</v>
      </c>
      <c r="CA69" t="str">
        <f t="shared" si="132"/>
        <v>Gastos médicos por accidente</v>
      </c>
      <c r="CB69" s="118">
        <f t="shared" si="133"/>
        <v>0</v>
      </c>
      <c r="CC69" s="118" t="str">
        <f t="shared" si="134"/>
        <v>A</v>
      </c>
      <c r="CD69" s="119" t="str">
        <f t="shared" si="78"/>
        <v/>
      </c>
      <c r="CE69" s="66">
        <f>+IF($W69="","",ROUND((VLOOKUP(ROUNDDOWN($D69-1/frec,0),cob_adi,BO$40,FALSE)*(1+i/frec)^-0.5*(1+Parámetros!$D$103)*(1+rec_fracc)/frec*'TABLAS ADI'!$BC$17),2))</f>
        <v>0</v>
      </c>
      <c r="CF69" s="119" t="str">
        <f t="shared" si="79"/>
        <v/>
      </c>
      <c r="CG69" s="66">
        <f>+IF($W69="","",ROUND(IF($B69&gt;Parámetros!$D$107,'Tablas Servicio'!CE69+('Tablas Servicio'!CG68-'Tablas Servicio'!CE68),CE69/(1-IF(B69&lt;=10,Parámetros!$D$100,0))),2))</f>
        <v>0</v>
      </c>
      <c r="CH69" s="66">
        <f t="shared" si="80"/>
        <v>0</v>
      </c>
      <c r="CI69" s="66">
        <f t="shared" si="80"/>
        <v>0</v>
      </c>
      <c r="CJ69" s="66">
        <f>+IF($W69="","",ROUND((CG69*Parámetros!$G$85),2))</f>
        <v>0</v>
      </c>
      <c r="CK69" s="66">
        <f>+IF($W69="","",ROUND((CG69*(Parámetros!$G$86)),2))</f>
        <v>0</v>
      </c>
      <c r="CL69" s="66">
        <f t="shared" si="81"/>
        <v>0</v>
      </c>
      <c r="CM69" t="str">
        <f t="shared" si="135"/>
        <v>00063</v>
      </c>
      <c r="CN69" s="118" t="str">
        <f t="shared" si="136"/>
        <v>Renta Diaria por Hospitalización</v>
      </c>
      <c r="CO69" s="118">
        <f t="shared" si="137"/>
        <v>0</v>
      </c>
      <c r="CP69" s="118" t="str">
        <f t="shared" si="138"/>
        <v>A</v>
      </c>
      <c r="CQ69" s="119" t="str">
        <f t="shared" si="86"/>
        <v/>
      </c>
      <c r="CR69" s="66">
        <f>+IF($W69="","",ROUND((VLOOKUP(Parámetros!$F$51,'COBERTURAS ADICIONALES'!$S$4:$T$32,2,FALSE)*(1+i/frec)^-0.5*(1+Parámetros!$D$103)*(1+rec_fracc)/frec*$CO$42),2))</f>
        <v>0</v>
      </c>
      <c r="CS69" s="119" t="str">
        <f t="shared" si="87"/>
        <v/>
      </c>
      <c r="CT69" s="66">
        <f>+IF($W69="","",ROUND(IF($B69&gt;Parámetros!$D$107,'Tablas Servicio'!CR69+('Tablas Servicio'!CT68-'Tablas Servicio'!CR68),CR69/(1-IF(B69&lt;=10,Parámetros!$D$100,0))),2))</f>
        <v>0</v>
      </c>
      <c r="CU69" s="66">
        <f t="shared" si="88"/>
        <v>0</v>
      </c>
      <c r="CV69" s="66">
        <f t="shared" si="88"/>
        <v>0</v>
      </c>
      <c r="CW69" s="66">
        <f>+IF($W69="","",ROUND((CT69*Parámetros!$G$85),2))</f>
        <v>0</v>
      </c>
      <c r="CX69" s="66">
        <f>+IF($W69="","",ROUND((CT69*(Parámetros!$G$86)),2))</f>
        <v>0</v>
      </c>
      <c r="CY69" s="66">
        <f t="shared" si="89"/>
        <v>0</v>
      </c>
      <c r="CZ69" t="str">
        <f t="shared" si="139"/>
        <v>00064</v>
      </c>
      <c r="DA69" s="118" t="str">
        <f t="shared" si="140"/>
        <v>Enfermedades Graves</v>
      </c>
      <c r="DB69" s="118">
        <f t="shared" si="141"/>
        <v>0</v>
      </c>
      <c r="DC69" s="118" t="str">
        <f t="shared" si="142"/>
        <v>A</v>
      </c>
      <c r="DD69" s="121" t="str">
        <f>+IF(OR($W69="",DB69=0),"",ROUND((VLOOKUP(ROUNDDOWN($D69-1/frec,0),cob_adi,CO$40,FALSE)*(1+i/frec)^-0.5*(1+Parámetros!$D$103)*(1+rec_fracc)/frec),6))</f>
        <v/>
      </c>
      <c r="DE69" s="66">
        <f t="shared" si="94"/>
        <v>0</v>
      </c>
      <c r="DF69" s="119" t="str">
        <f t="shared" si="95"/>
        <v/>
      </c>
      <c r="DG69" s="66">
        <f>+IF($W69="","",ROUND(IF($B69&gt;Parámetros!$D$107,'Tablas Servicio'!DE69+('Tablas Servicio'!DG68-'Tablas Servicio'!DE68),DE69/(1-IF(B69&lt;=10,Parámetros!$D$100,0))),2))</f>
        <v>0</v>
      </c>
      <c r="DH69" s="66">
        <f t="shared" si="96"/>
        <v>0</v>
      </c>
      <c r="DI69" s="66">
        <f t="shared" si="96"/>
        <v>0</v>
      </c>
      <c r="DJ69" s="66">
        <f>+IF($W69="","",ROUND((DG69*Parámetros!$G$85),2))</f>
        <v>0</v>
      </c>
      <c r="DK69" s="66">
        <f>+IF($W69="","",ROUND((DG69*(Parámetros!$G$86)),2))</f>
        <v>0</v>
      </c>
      <c r="DL69" s="66">
        <f t="shared" si="97"/>
        <v>0</v>
      </c>
      <c r="DM69" t="str">
        <f t="shared" si="143"/>
        <v>00065</v>
      </c>
      <c r="DN69" s="118" t="str">
        <f t="shared" si="144"/>
        <v>Exención pago de primas</v>
      </c>
      <c r="DO69" s="118">
        <f t="shared" si="145"/>
        <v>0</v>
      </c>
      <c r="DP69" s="118" t="str">
        <f t="shared" si="146"/>
        <v>A</v>
      </c>
      <c r="DQ69" s="122" t="str">
        <f>+IF(OR($W69="",DO69=0),"",ROUND((VLOOKUP(ROUNDDOWN($D69-1/frec,0),cob_adi,DB$40,FALSE)*(1+i/frec)^-0.5*(1+Parámetros!$D$103)*(1+rec_fracc)/frec),6))</f>
        <v/>
      </c>
      <c r="DR69" s="66">
        <f t="shared" si="102"/>
        <v>0</v>
      </c>
      <c r="DS69" s="68" t="str">
        <f t="shared" si="103"/>
        <v/>
      </c>
      <c r="DT69" s="66">
        <f>+IF($W69="","",ROUND(IF($B69&gt;Parámetros!$D$107,'Tablas Servicio'!DR69+('Tablas Servicio'!DT68-'Tablas Servicio'!DR68),DR69/(1-IF(B69&lt;=10,Parámetros!$D$100,0))),2))</f>
        <v>0</v>
      </c>
      <c r="DU69" s="66">
        <f t="shared" si="104"/>
        <v>0</v>
      </c>
      <c r="DV69" s="66">
        <f t="shared" si="104"/>
        <v>0</v>
      </c>
      <c r="DW69" s="66">
        <f>+IF($W69="","",ROUND((DT69*Parámetros!$G$85),2))</f>
        <v>0</v>
      </c>
      <c r="DX69" s="66">
        <f>+IF($W69="","",ROUND((DT69*(Parámetros!$G$86)),2))</f>
        <v>0</v>
      </c>
      <c r="DY69" s="66">
        <f t="shared" si="105"/>
        <v>0</v>
      </c>
      <c r="DZ69" t="str">
        <f t="shared" si="147"/>
        <v>00066</v>
      </c>
      <c r="EA69" s="118" t="str">
        <f t="shared" si="147"/>
        <v>Enfermedad terminal</v>
      </c>
      <c r="EB69" s="118">
        <f>+IF($W69="","",ROUND(IF(Parámetros!$D$25='TABLAS MORT'!$V$33,EB68,Z69/2),0))</f>
        <v>50000</v>
      </c>
      <c r="EC69" s="118" t="str">
        <f t="shared" si="147"/>
        <v>A</v>
      </c>
      <c r="ED69" s="122">
        <f>+IF(OR($W69="",EB69=0),"",ROUND((VLOOKUP(ROUNDDOWN($D69-1/frec,0),cob_adi,DO$40,FALSE)*(1+i/frec)^-0.5*(1+Parámetros!$D$103)*(1+rec_fracc)/frec),6))</f>
        <v>7.9999999999999996E-6</v>
      </c>
      <c r="EE69" s="66">
        <f t="shared" si="107"/>
        <v>0.4</v>
      </c>
      <c r="EF69" s="68">
        <f t="shared" si="108"/>
        <v>9.0000000000000002E-6</v>
      </c>
      <c r="EG69" s="66">
        <f>+IF($W69="","",ROUND(IF($B69&gt;Parámetros!$D$107,'Tablas Servicio'!EE69+('Tablas Servicio'!EG68-'Tablas Servicio'!EE68),EE69/(1-IF(B69&lt;=10,Parámetros!$D$100,0))),2))</f>
        <v>0.45</v>
      </c>
      <c r="EH69" s="66">
        <f t="shared" si="109"/>
        <v>0</v>
      </c>
      <c r="EI69" s="66">
        <f t="shared" si="109"/>
        <v>0</v>
      </c>
      <c r="EJ69" s="66">
        <f>+IF($W69="","",ROUND((EG69*Parámetros!$G$85),2))</f>
        <v>0.02</v>
      </c>
      <c r="EK69" s="66">
        <f>+IF($W69="","",ROUND((EG69*(Parámetros!$G$86)),2))</f>
        <v>0</v>
      </c>
      <c r="EL69" s="66">
        <f t="shared" si="110"/>
        <v>0.47</v>
      </c>
    </row>
    <row r="70" spans="1:142" x14ac:dyDescent="0.25">
      <c r="A70">
        <f>+IF($C70="","",ROUND(VLOOKUP('Tablas Servicio'!B70,Parámetros!$H$100:$J$159,IF(Parámetros!$E$16="F",2,3),FALSE),2))</f>
        <v>150</v>
      </c>
      <c r="B70">
        <f t="shared" si="27"/>
        <v>3</v>
      </c>
      <c r="C70" s="57">
        <f>+IF(D70="","",'Tablas Servicio'!C69+1)</f>
        <v>29</v>
      </c>
      <c r="D70" s="56">
        <f>+IF(D69&lt;edadmaxtabla,D69+1/Parámetros!$E$25,"")</f>
        <v>42.436666666666738</v>
      </c>
      <c r="E70" s="57">
        <f t="shared" si="37"/>
        <v>42</v>
      </c>
      <c r="F70" s="59">
        <f t="shared" si="38"/>
        <v>100000</v>
      </c>
      <c r="G70" s="66">
        <f t="shared" si="39"/>
        <v>27.14</v>
      </c>
      <c r="H70" s="66">
        <f t="shared" si="28"/>
        <v>28.22</v>
      </c>
      <c r="I70" s="66">
        <f t="shared" si="112"/>
        <v>57.980000000000004</v>
      </c>
      <c r="J70" s="66">
        <f t="shared" si="29"/>
        <v>0.95000000000000007</v>
      </c>
      <c r="K70" s="66">
        <f t="shared" si="30"/>
        <v>0.13</v>
      </c>
      <c r="L70" s="66">
        <f t="shared" si="31"/>
        <v>0</v>
      </c>
      <c r="M70" s="66">
        <f t="shared" si="32"/>
        <v>0</v>
      </c>
      <c r="N70" s="66">
        <f>+IF(C70="","",ROUND(Parámetros!$D$23,2))</f>
        <v>94</v>
      </c>
      <c r="O70" s="66">
        <f t="shared" si="33"/>
        <v>13.3</v>
      </c>
      <c r="P70" s="66">
        <f>+IF($C70="","",ROUND(IF(B70&gt;Parámetros!$D$117,0,N70*Parámetros!$D$116-G70*Parámetros!$D$100),2))</f>
        <v>7.8</v>
      </c>
      <c r="Q70" s="75">
        <f t="shared" si="113"/>
        <v>3.5003684598378777E-2</v>
      </c>
      <c r="R70" s="75">
        <f t="shared" si="114"/>
        <v>4.7899778924097277E-3</v>
      </c>
      <c r="S70" s="117">
        <f>+IF($C70="","",ROUND((S69+I70)*(1+Parámetros!$D$91),2))</f>
        <v>1824.86</v>
      </c>
      <c r="T70" s="117">
        <f>+IF($C70="","",ROUND(S70*VLOOKUP(B70,Parámetros!$C$30:$D$39,2,TRUE),2))</f>
        <v>0</v>
      </c>
      <c r="U70" s="117">
        <f>+IF($C70="","",ROUND((U69+I70)*(1+Parámetros!$D$92),2))</f>
        <v>1836.25</v>
      </c>
      <c r="V70" s="117">
        <f>+IF($C70="","",ROUND(U70*VLOOKUP(B70,Parámetros!$C$30:$D$39,2,TRUE),2))</f>
        <v>0</v>
      </c>
      <c r="W70" s="57">
        <f t="shared" si="115"/>
        <v>29</v>
      </c>
      <c r="X70" t="str">
        <f t="shared" si="116"/>
        <v>00058</v>
      </c>
      <c r="Y70" t="str">
        <f t="shared" si="117"/>
        <v>MUERTE POR CUALQUIER CAUSA</v>
      </c>
      <c r="Z70" s="118">
        <f>+IF($W70="","",ROUND(IF(Parámetros!$D$25='TABLAS MORT'!$V$33,Z69,Parámetros!$D$21-'Tablas Servicio'!T69),0))</f>
        <v>100000</v>
      </c>
      <c r="AA70" s="118" t="str">
        <f t="shared" si="118"/>
        <v>P</v>
      </c>
      <c r="AB70" s="119">
        <f>+IF(W70="","",ROUND((VLOOKUP(ROUNDDOWN($D70-1/frec,0),qx_tabla,2,FALSE)*(1+i/frec)^-0.5*(1+Parámetros!$D$103)*(1+rec_fracc)/frec),6))</f>
        <v>1.2899999999999999E-4</v>
      </c>
      <c r="AC70" s="66">
        <f t="shared" si="46"/>
        <v>12.9</v>
      </c>
      <c r="AD70" s="119">
        <f t="shared" si="35"/>
        <v>2.6699999999999998E-4</v>
      </c>
      <c r="AE70" s="66">
        <f>+IF($W70="","",ROUND(IF($B70&gt;Parámetros!$D$107,'Tablas Servicio'!AC70+('Tablas Servicio'!AG69-'Tablas Servicio'!AC69),AC70/(1-IF(B70&lt;=10,Parámetros!$D$104,Parámetros!$D$105))),2))</f>
        <v>26.69</v>
      </c>
      <c r="AF70" s="66">
        <f>+IF($W70="","",ROUND(IF($B70&gt;Parámetros!$D$107,'Tablas Servicio'!AC70+('Tablas Servicio'!AG69-'Tablas Servicio'!AC69),(AC70+$A69/frec)/(1-IF(B70&lt;=Parámetros!$D$117,Parámetros!$D$100,0))),2))</f>
        <v>28.76</v>
      </c>
      <c r="AG70" s="66">
        <f t="shared" si="111"/>
        <v>26.69</v>
      </c>
      <c r="AH70" s="66">
        <f t="shared" si="47"/>
        <v>0</v>
      </c>
      <c r="AI70" s="66">
        <f t="shared" si="48"/>
        <v>0</v>
      </c>
      <c r="AJ70" s="66">
        <f>+IF($W70="","",ROUND((AG70*Parámetros!$G$85),2))</f>
        <v>0.93</v>
      </c>
      <c r="AK70" s="66">
        <f>+IF($W70="","",ROUND((AG70*(Parámetros!$G$86)),2))</f>
        <v>0.13</v>
      </c>
      <c r="AL70" s="66">
        <f t="shared" si="36"/>
        <v>27.75</v>
      </c>
      <c r="AM70" t="str">
        <f t="shared" si="119"/>
        <v>00059</v>
      </c>
      <c r="AN70" t="str">
        <f t="shared" si="120"/>
        <v>Incapacidad Total y Permanente</v>
      </c>
      <c r="AO70" s="118">
        <f t="shared" si="121"/>
        <v>0</v>
      </c>
      <c r="AP70" s="118" t="str">
        <f t="shared" si="122"/>
        <v>A</v>
      </c>
      <c r="AQ70" s="119" t="str">
        <f>+IF(OR($W70="",AO70=0),"",ROUND((VLOOKUP(ROUNDDOWN($D70-1/frec,0),cob_adi,Z$40,FALSE)*(1+i/frec)^-0.5*(1+Parámetros!$D$103)*(1+rec_fracc)/frec),6))</f>
        <v/>
      </c>
      <c r="AR70" s="66">
        <f t="shared" si="53"/>
        <v>0</v>
      </c>
      <c r="AS70" s="119" t="str">
        <f t="shared" si="54"/>
        <v/>
      </c>
      <c r="AT70" s="66">
        <f>+IF($W70="","",ROUND(IF($B70&gt;Parámetros!$D$107,'Tablas Servicio'!AR70+('Tablas Servicio'!AT69-'Tablas Servicio'!AR69),AR70/(1-IF(B70&lt;=10,Parámetros!$D$100,0))),2))</f>
        <v>0</v>
      </c>
      <c r="AU70" s="66">
        <f t="shared" si="55"/>
        <v>0</v>
      </c>
      <c r="AV70" s="66">
        <f t="shared" si="55"/>
        <v>0</v>
      </c>
      <c r="AW70" s="66">
        <f>+IF($W70="","",ROUND((AT70*Parámetros!$G$85),2))</f>
        <v>0</v>
      </c>
      <c r="AX70" s="66">
        <f>+IF($W70="","",ROUND((AT70*(Parámetros!$G$86)),2))</f>
        <v>0</v>
      </c>
      <c r="AY70" s="66">
        <f t="shared" si="56"/>
        <v>0</v>
      </c>
      <c r="AZ70" t="str">
        <f t="shared" si="123"/>
        <v>00060</v>
      </c>
      <c r="BA70" t="str">
        <f t="shared" si="124"/>
        <v>Muerte Accidental</v>
      </c>
      <c r="BB70" s="118">
        <f t="shared" si="125"/>
        <v>0</v>
      </c>
      <c r="BC70" s="118" t="str">
        <f t="shared" si="126"/>
        <v>A</v>
      </c>
      <c r="BD70" s="119" t="str">
        <f>+IF(OR($W70="",BB70=0),"",ROUND((VLOOKUP(ROUNDDOWN($D70-1/frec,0),cob_adi,AO$40,FALSE)*(1+i/frec)^-0.5*(1+Parámetros!$D$103)*(1+rec_fracc)/frec),6))</f>
        <v/>
      </c>
      <c r="BE70" s="66">
        <f t="shared" si="61"/>
        <v>0</v>
      </c>
      <c r="BF70" s="119" t="str">
        <f t="shared" si="62"/>
        <v/>
      </c>
      <c r="BG70" s="66">
        <f>+IF($W70="","",ROUND(IF($B70&gt;Parámetros!$D$107,'Tablas Servicio'!BE70+('Tablas Servicio'!BG69-'Tablas Servicio'!BE69),BE70/(1-IF(B70&lt;=10,Parámetros!$D$100,0))),2))</f>
        <v>0</v>
      </c>
      <c r="BH70" s="66">
        <f t="shared" si="63"/>
        <v>0</v>
      </c>
      <c r="BI70" s="66">
        <f t="shared" si="64"/>
        <v>0</v>
      </c>
      <c r="BJ70" s="66">
        <f>+IF($W70="","",ROUND((BG70*Parámetros!$G$85),2))</f>
        <v>0</v>
      </c>
      <c r="BK70" s="66">
        <f>+IF($W70="","",ROUND((BG70*(Parámetros!$G$86)),2))</f>
        <v>0</v>
      </c>
      <c r="BL70" s="66">
        <f t="shared" si="65"/>
        <v>0</v>
      </c>
      <c r="BM70" t="str">
        <f t="shared" si="127"/>
        <v>00061</v>
      </c>
      <c r="BN70" t="str">
        <f t="shared" si="128"/>
        <v>Gastos de Entierro</v>
      </c>
      <c r="BO70" s="118">
        <f t="shared" si="129"/>
        <v>0</v>
      </c>
      <c r="BP70" s="118" t="str">
        <f t="shared" si="130"/>
        <v>A</v>
      </c>
      <c r="BQ70" s="119" t="str">
        <f>+IF(OR($W70="",BO70=0),"",ROUND((VLOOKUP(ROUNDDOWN($D70-1/frec,0),cob_adi,BB$40,FALSE)*(1+i/frec)^-0.5*(1+Parámetros!$D$103)*(1+rec_fracc)/frec),6))</f>
        <v/>
      </c>
      <c r="BR70" s="66">
        <f t="shared" si="70"/>
        <v>0</v>
      </c>
      <c r="BS70" s="119" t="str">
        <f t="shared" si="71"/>
        <v/>
      </c>
      <c r="BT70" s="66">
        <f>+IF($W70="","",ROUND(IF($B70&gt;Parámetros!$D$107,'Tablas Servicio'!BR70+('Tablas Servicio'!BT69-'Tablas Servicio'!BR69),BR70/(1-IF(B70&lt;=10,Parámetros!$D$100,0))),2))</f>
        <v>0</v>
      </c>
      <c r="BU70" s="66">
        <f t="shared" si="72"/>
        <v>0</v>
      </c>
      <c r="BV70" s="66">
        <f t="shared" si="72"/>
        <v>0</v>
      </c>
      <c r="BW70" s="66">
        <f>+IF($W70="","",ROUND((BT70*Parámetros!$G$85),2))</f>
        <v>0</v>
      </c>
      <c r="BX70" s="66">
        <f>+IF($W70="","",ROUND((BT70*(Parámetros!$G$86)),2))</f>
        <v>0</v>
      </c>
      <c r="BY70" s="66">
        <f t="shared" si="73"/>
        <v>0</v>
      </c>
      <c r="BZ70" t="str">
        <f t="shared" si="131"/>
        <v>00062</v>
      </c>
      <c r="CA70" t="str">
        <f t="shared" si="132"/>
        <v>Gastos médicos por accidente</v>
      </c>
      <c r="CB70" s="118">
        <f t="shared" si="133"/>
        <v>0</v>
      </c>
      <c r="CC70" s="118" t="str">
        <f t="shared" si="134"/>
        <v>A</v>
      </c>
      <c r="CD70" s="119" t="str">
        <f t="shared" si="78"/>
        <v/>
      </c>
      <c r="CE70" s="66">
        <f>+IF($W70="","",ROUND((VLOOKUP(ROUNDDOWN($D70-1/frec,0),cob_adi,BO$40,FALSE)*(1+i/frec)^-0.5*(1+Parámetros!$D$103)*(1+rec_fracc)/frec*'TABLAS ADI'!$BC$17),2))</f>
        <v>0</v>
      </c>
      <c r="CF70" s="119" t="str">
        <f t="shared" si="79"/>
        <v/>
      </c>
      <c r="CG70" s="66">
        <f>+IF($W70="","",ROUND(IF($B70&gt;Parámetros!$D$107,'Tablas Servicio'!CE70+('Tablas Servicio'!CG69-'Tablas Servicio'!CE69),CE70/(1-IF(B70&lt;=10,Parámetros!$D$100,0))),2))</f>
        <v>0</v>
      </c>
      <c r="CH70" s="66">
        <f t="shared" si="80"/>
        <v>0</v>
      </c>
      <c r="CI70" s="66">
        <f t="shared" si="80"/>
        <v>0</v>
      </c>
      <c r="CJ70" s="66">
        <f>+IF($W70="","",ROUND((CG70*Parámetros!$G$85),2))</f>
        <v>0</v>
      </c>
      <c r="CK70" s="66">
        <f>+IF($W70="","",ROUND((CG70*(Parámetros!$G$86)),2))</f>
        <v>0</v>
      </c>
      <c r="CL70" s="66">
        <f t="shared" si="81"/>
        <v>0</v>
      </c>
      <c r="CM70" t="str">
        <f t="shared" si="135"/>
        <v>00063</v>
      </c>
      <c r="CN70" s="118" t="str">
        <f t="shared" si="136"/>
        <v>Renta Diaria por Hospitalización</v>
      </c>
      <c r="CO70" s="118">
        <f t="shared" si="137"/>
        <v>0</v>
      </c>
      <c r="CP70" s="118" t="str">
        <f t="shared" si="138"/>
        <v>A</v>
      </c>
      <c r="CQ70" s="119" t="str">
        <f t="shared" si="86"/>
        <v/>
      </c>
      <c r="CR70" s="66">
        <f>+IF($W70="","",ROUND((VLOOKUP(Parámetros!$F$51,'COBERTURAS ADICIONALES'!$S$4:$T$32,2,FALSE)*(1+i/frec)^-0.5*(1+Parámetros!$D$103)*(1+rec_fracc)/frec*$CO$42),2))</f>
        <v>0</v>
      </c>
      <c r="CS70" s="119" t="str">
        <f t="shared" si="87"/>
        <v/>
      </c>
      <c r="CT70" s="66">
        <f>+IF($W70="","",ROUND(IF($B70&gt;Parámetros!$D$107,'Tablas Servicio'!CR70+('Tablas Servicio'!CT69-'Tablas Servicio'!CR69),CR70/(1-IF(B70&lt;=10,Parámetros!$D$100,0))),2))</f>
        <v>0</v>
      </c>
      <c r="CU70" s="66">
        <f t="shared" si="88"/>
        <v>0</v>
      </c>
      <c r="CV70" s="66">
        <f t="shared" si="88"/>
        <v>0</v>
      </c>
      <c r="CW70" s="66">
        <f>+IF($W70="","",ROUND((CT70*Parámetros!$G$85),2))</f>
        <v>0</v>
      </c>
      <c r="CX70" s="66">
        <f>+IF($W70="","",ROUND((CT70*(Parámetros!$G$86)),2))</f>
        <v>0</v>
      </c>
      <c r="CY70" s="66">
        <f t="shared" si="89"/>
        <v>0</v>
      </c>
      <c r="CZ70" t="str">
        <f t="shared" si="139"/>
        <v>00064</v>
      </c>
      <c r="DA70" s="118" t="str">
        <f t="shared" si="140"/>
        <v>Enfermedades Graves</v>
      </c>
      <c r="DB70" s="118">
        <f t="shared" si="141"/>
        <v>0</v>
      </c>
      <c r="DC70" s="118" t="str">
        <f t="shared" si="142"/>
        <v>A</v>
      </c>
      <c r="DD70" s="121" t="str">
        <f>+IF(OR($W70="",DB70=0),"",ROUND((VLOOKUP(ROUNDDOWN($D70-1/frec,0),cob_adi,CO$40,FALSE)*(1+i/frec)^-0.5*(1+Parámetros!$D$103)*(1+rec_fracc)/frec),6))</f>
        <v/>
      </c>
      <c r="DE70" s="66">
        <f t="shared" si="94"/>
        <v>0</v>
      </c>
      <c r="DF70" s="119" t="str">
        <f t="shared" si="95"/>
        <v/>
      </c>
      <c r="DG70" s="66">
        <f>+IF($W70="","",ROUND(IF($B70&gt;Parámetros!$D$107,'Tablas Servicio'!DE70+('Tablas Servicio'!DG69-'Tablas Servicio'!DE69),DE70/(1-IF(B70&lt;=10,Parámetros!$D$100,0))),2))</f>
        <v>0</v>
      </c>
      <c r="DH70" s="66">
        <f t="shared" si="96"/>
        <v>0</v>
      </c>
      <c r="DI70" s="66">
        <f t="shared" si="96"/>
        <v>0</v>
      </c>
      <c r="DJ70" s="66">
        <f>+IF($W70="","",ROUND((DG70*Parámetros!$G$85),2))</f>
        <v>0</v>
      </c>
      <c r="DK70" s="66">
        <f>+IF($W70="","",ROUND((DG70*(Parámetros!$G$86)),2))</f>
        <v>0</v>
      </c>
      <c r="DL70" s="66">
        <f t="shared" si="97"/>
        <v>0</v>
      </c>
      <c r="DM70" t="str">
        <f t="shared" si="143"/>
        <v>00065</v>
      </c>
      <c r="DN70" s="118" t="str">
        <f t="shared" si="144"/>
        <v>Exención pago de primas</v>
      </c>
      <c r="DO70" s="118">
        <f t="shared" si="145"/>
        <v>0</v>
      </c>
      <c r="DP70" s="118" t="str">
        <f t="shared" si="146"/>
        <v>A</v>
      </c>
      <c r="DQ70" s="122" t="str">
        <f>+IF(OR($W70="",DO70=0),"",ROUND((VLOOKUP(ROUNDDOWN($D70-1/frec,0),cob_adi,DB$40,FALSE)*(1+i/frec)^-0.5*(1+Parámetros!$D$103)*(1+rec_fracc)/frec),6))</f>
        <v/>
      </c>
      <c r="DR70" s="66">
        <f t="shared" si="102"/>
        <v>0</v>
      </c>
      <c r="DS70" s="68" t="str">
        <f t="shared" si="103"/>
        <v/>
      </c>
      <c r="DT70" s="66">
        <f>+IF($W70="","",ROUND(IF($B70&gt;Parámetros!$D$107,'Tablas Servicio'!DR70+('Tablas Servicio'!DT69-'Tablas Servicio'!DR69),DR70/(1-IF(B70&lt;=10,Parámetros!$D$100,0))),2))</f>
        <v>0</v>
      </c>
      <c r="DU70" s="66">
        <f t="shared" si="104"/>
        <v>0</v>
      </c>
      <c r="DV70" s="66">
        <f t="shared" si="104"/>
        <v>0</v>
      </c>
      <c r="DW70" s="66">
        <f>+IF($W70="","",ROUND((DT70*Parámetros!$G$85),2))</f>
        <v>0</v>
      </c>
      <c r="DX70" s="66">
        <f>+IF($W70="","",ROUND((DT70*(Parámetros!$G$86)),2))</f>
        <v>0</v>
      </c>
      <c r="DY70" s="66">
        <f t="shared" si="105"/>
        <v>0</v>
      </c>
      <c r="DZ70" t="str">
        <f t="shared" si="147"/>
        <v>00066</v>
      </c>
      <c r="EA70" s="118" t="str">
        <f t="shared" si="147"/>
        <v>Enfermedad terminal</v>
      </c>
      <c r="EB70" s="118">
        <f>+IF($W70="","",ROUND(IF(Parámetros!$D$25='TABLAS MORT'!$V$33,EB69,Z70/2),0))</f>
        <v>50000</v>
      </c>
      <c r="EC70" s="118" t="str">
        <f t="shared" si="147"/>
        <v>A</v>
      </c>
      <c r="ED70" s="122">
        <f>+IF(OR($W70="",EB70=0),"",ROUND((VLOOKUP(ROUNDDOWN($D70-1/frec,0),cob_adi,DO$40,FALSE)*(1+i/frec)^-0.5*(1+Parámetros!$D$103)*(1+rec_fracc)/frec),6))</f>
        <v>7.9999999999999996E-6</v>
      </c>
      <c r="EE70" s="66">
        <f t="shared" si="107"/>
        <v>0.4</v>
      </c>
      <c r="EF70" s="68">
        <f t="shared" si="108"/>
        <v>9.0000000000000002E-6</v>
      </c>
      <c r="EG70" s="66">
        <f>+IF($W70="","",ROUND(IF($B70&gt;Parámetros!$D$107,'Tablas Servicio'!EE70+('Tablas Servicio'!EG69-'Tablas Servicio'!EE69),EE70/(1-IF(B70&lt;=10,Parámetros!$D$100,0))),2))</f>
        <v>0.45</v>
      </c>
      <c r="EH70" s="66">
        <f t="shared" si="109"/>
        <v>0</v>
      </c>
      <c r="EI70" s="66">
        <f t="shared" si="109"/>
        <v>0</v>
      </c>
      <c r="EJ70" s="66">
        <f>+IF($W70="","",ROUND((EG70*Parámetros!$G$85),2))</f>
        <v>0.02</v>
      </c>
      <c r="EK70" s="66">
        <f>+IF($W70="","",ROUND((EG70*(Parámetros!$G$86)),2))</f>
        <v>0</v>
      </c>
      <c r="EL70" s="66">
        <f t="shared" si="110"/>
        <v>0.47</v>
      </c>
    </row>
    <row r="71" spans="1:142" x14ac:dyDescent="0.25">
      <c r="A71">
        <f>+IF($C71="","",ROUND(VLOOKUP('Tablas Servicio'!B71,Parámetros!$H$100:$J$159,IF(Parámetros!$E$16="F",2,3),FALSE),2))</f>
        <v>150</v>
      </c>
      <c r="B71">
        <f t="shared" si="27"/>
        <v>3</v>
      </c>
      <c r="C71" s="57">
        <f>+IF(D71="","",'Tablas Servicio'!C70+1)</f>
        <v>30</v>
      </c>
      <c r="D71" s="56">
        <f>+IF(D70&lt;edadmaxtabla,D70+1/Parámetros!$E$25,"")</f>
        <v>42.520000000000074</v>
      </c>
      <c r="E71" s="57">
        <f t="shared" si="37"/>
        <v>42</v>
      </c>
      <c r="F71" s="59">
        <f t="shared" si="38"/>
        <v>100000</v>
      </c>
      <c r="G71" s="66">
        <f t="shared" si="39"/>
        <v>27.14</v>
      </c>
      <c r="H71" s="66">
        <f t="shared" si="28"/>
        <v>28.22</v>
      </c>
      <c r="I71" s="66">
        <f t="shared" si="112"/>
        <v>57.980000000000004</v>
      </c>
      <c r="J71" s="66">
        <f t="shared" si="29"/>
        <v>0.95000000000000007</v>
      </c>
      <c r="K71" s="66">
        <f t="shared" si="30"/>
        <v>0.13</v>
      </c>
      <c r="L71" s="66">
        <f t="shared" si="31"/>
        <v>0</v>
      </c>
      <c r="M71" s="66">
        <f t="shared" si="32"/>
        <v>0</v>
      </c>
      <c r="N71" s="66">
        <f>+IF(C71="","",ROUND(Parámetros!$D$23,2))</f>
        <v>94</v>
      </c>
      <c r="O71" s="66">
        <f t="shared" si="33"/>
        <v>13.3</v>
      </c>
      <c r="P71" s="66">
        <f>+IF($C71="","",ROUND(IF(B71&gt;Parámetros!$D$117,0,N71*Parámetros!$D$116-G71*Parámetros!$D$100),2))</f>
        <v>7.8</v>
      </c>
      <c r="Q71" s="75">
        <f t="shared" si="113"/>
        <v>3.5003684598378777E-2</v>
      </c>
      <c r="R71" s="75">
        <f t="shared" si="114"/>
        <v>4.7899778924097277E-3</v>
      </c>
      <c r="S71" s="117">
        <f>+IF($C71="","",ROUND((S70+I71)*(1+Parámetros!$D$91),2))</f>
        <v>1888.18</v>
      </c>
      <c r="T71" s="117">
        <f>+IF($C71="","",ROUND(S71*VLOOKUP(B71,Parámetros!$C$30:$D$39,2,TRUE),2))</f>
        <v>0</v>
      </c>
      <c r="U71" s="117">
        <f>+IF($C71="","",ROUND((U70+I71)*(1+Parámetros!$D$92),2))</f>
        <v>1900.37</v>
      </c>
      <c r="V71" s="117">
        <f>+IF($C71="","",ROUND(U71*VLOOKUP(B71,Parámetros!$C$30:$D$39,2,TRUE),2))</f>
        <v>0</v>
      </c>
      <c r="W71" s="57">
        <f t="shared" si="115"/>
        <v>30</v>
      </c>
      <c r="X71" t="str">
        <f t="shared" si="116"/>
        <v>00058</v>
      </c>
      <c r="Y71" t="str">
        <f t="shared" si="117"/>
        <v>MUERTE POR CUALQUIER CAUSA</v>
      </c>
      <c r="Z71" s="118">
        <f>+IF($W71="","",ROUND(IF(Parámetros!$D$25='TABLAS MORT'!$V$33,Z70,Parámetros!$D$21-'Tablas Servicio'!T70),0))</f>
        <v>100000</v>
      </c>
      <c r="AA71" s="118" t="str">
        <f t="shared" si="118"/>
        <v>P</v>
      </c>
      <c r="AB71" s="119">
        <f>+IF(W71="","",ROUND((VLOOKUP(ROUNDDOWN($D71-1/frec,0),qx_tabla,2,FALSE)*(1+i/frec)^-0.5*(1+Parámetros!$D$103)*(1+rec_fracc)/frec),6))</f>
        <v>1.2899999999999999E-4</v>
      </c>
      <c r="AC71" s="66">
        <f t="shared" si="46"/>
        <v>12.9</v>
      </c>
      <c r="AD71" s="119">
        <f t="shared" si="35"/>
        <v>2.6699999999999998E-4</v>
      </c>
      <c r="AE71" s="66">
        <f>+IF($W71="","",ROUND(IF($B71&gt;Parámetros!$D$107,'Tablas Servicio'!AC71+('Tablas Servicio'!AG70-'Tablas Servicio'!AC70),AC71/(1-IF(B71&lt;=10,Parámetros!$D$104,Parámetros!$D$105))),2))</f>
        <v>26.69</v>
      </c>
      <c r="AF71" s="66">
        <f>+IF($W71="","",ROUND(IF($B71&gt;Parámetros!$D$107,'Tablas Servicio'!AC71+('Tablas Servicio'!AG70-'Tablas Servicio'!AC70),(AC71+$A70/frec)/(1-IF(B71&lt;=Parámetros!$D$117,Parámetros!$D$100,0))),2))</f>
        <v>28.76</v>
      </c>
      <c r="AG71" s="66">
        <f t="shared" si="111"/>
        <v>26.69</v>
      </c>
      <c r="AH71" s="66">
        <f t="shared" si="47"/>
        <v>0</v>
      </c>
      <c r="AI71" s="66">
        <f t="shared" si="48"/>
        <v>0</v>
      </c>
      <c r="AJ71" s="66">
        <f>+IF($W71="","",ROUND((AG71*Parámetros!$G$85),2))</f>
        <v>0.93</v>
      </c>
      <c r="AK71" s="66">
        <f>+IF($W71="","",ROUND((AG71*(Parámetros!$G$86)),2))</f>
        <v>0.13</v>
      </c>
      <c r="AL71" s="66">
        <f t="shared" si="36"/>
        <v>27.75</v>
      </c>
      <c r="AM71" t="str">
        <f t="shared" si="119"/>
        <v>00059</v>
      </c>
      <c r="AN71" t="str">
        <f t="shared" si="120"/>
        <v>Incapacidad Total y Permanente</v>
      </c>
      <c r="AO71" s="118">
        <f t="shared" si="121"/>
        <v>0</v>
      </c>
      <c r="AP71" s="118" t="str">
        <f t="shared" si="122"/>
        <v>A</v>
      </c>
      <c r="AQ71" s="119" t="str">
        <f>+IF(OR($W71="",AO71=0),"",ROUND((VLOOKUP(ROUNDDOWN($D71-1/frec,0),cob_adi,Z$40,FALSE)*(1+i/frec)^-0.5*(1+Parámetros!$D$103)*(1+rec_fracc)/frec),6))</f>
        <v/>
      </c>
      <c r="AR71" s="66">
        <f t="shared" si="53"/>
        <v>0</v>
      </c>
      <c r="AS71" s="119" t="str">
        <f t="shared" si="54"/>
        <v/>
      </c>
      <c r="AT71" s="66">
        <f>+IF($W71="","",ROUND(IF($B71&gt;Parámetros!$D$107,'Tablas Servicio'!AR71+('Tablas Servicio'!AT70-'Tablas Servicio'!AR70),AR71/(1-IF(B71&lt;=10,Parámetros!$D$100,0))),2))</f>
        <v>0</v>
      </c>
      <c r="AU71" s="66">
        <f t="shared" si="55"/>
        <v>0</v>
      </c>
      <c r="AV71" s="66">
        <f t="shared" si="55"/>
        <v>0</v>
      </c>
      <c r="AW71" s="66">
        <f>+IF($W71="","",ROUND((AT71*Parámetros!$G$85),2))</f>
        <v>0</v>
      </c>
      <c r="AX71" s="66">
        <f>+IF($W71="","",ROUND((AT71*(Parámetros!$G$86)),2))</f>
        <v>0</v>
      </c>
      <c r="AY71" s="66">
        <f t="shared" si="56"/>
        <v>0</v>
      </c>
      <c r="AZ71" t="str">
        <f t="shared" si="123"/>
        <v>00060</v>
      </c>
      <c r="BA71" t="str">
        <f t="shared" si="124"/>
        <v>Muerte Accidental</v>
      </c>
      <c r="BB71" s="118">
        <f t="shared" si="125"/>
        <v>0</v>
      </c>
      <c r="BC71" s="118" t="str">
        <f t="shared" si="126"/>
        <v>A</v>
      </c>
      <c r="BD71" s="119" t="str">
        <f>+IF(OR($W71="",BB71=0),"",ROUND((VLOOKUP(ROUNDDOWN($D71-1/frec,0),cob_adi,AO$40,FALSE)*(1+i/frec)^-0.5*(1+Parámetros!$D$103)*(1+rec_fracc)/frec),6))</f>
        <v/>
      </c>
      <c r="BE71" s="66">
        <f t="shared" si="61"/>
        <v>0</v>
      </c>
      <c r="BF71" s="119" t="str">
        <f t="shared" si="62"/>
        <v/>
      </c>
      <c r="BG71" s="66">
        <f>+IF($W71="","",ROUND(IF($B71&gt;Parámetros!$D$107,'Tablas Servicio'!BE71+('Tablas Servicio'!BG70-'Tablas Servicio'!BE70),BE71/(1-IF(B71&lt;=10,Parámetros!$D$100,0))),2))</f>
        <v>0</v>
      </c>
      <c r="BH71" s="66">
        <f t="shared" si="63"/>
        <v>0</v>
      </c>
      <c r="BI71" s="66">
        <f t="shared" si="64"/>
        <v>0</v>
      </c>
      <c r="BJ71" s="66">
        <f>+IF($W71="","",ROUND((BG71*Parámetros!$G$85),2))</f>
        <v>0</v>
      </c>
      <c r="BK71" s="66">
        <f>+IF($W71="","",ROUND((BG71*(Parámetros!$G$86)),2))</f>
        <v>0</v>
      </c>
      <c r="BL71" s="66">
        <f t="shared" si="65"/>
        <v>0</v>
      </c>
      <c r="BM71" t="str">
        <f t="shared" si="127"/>
        <v>00061</v>
      </c>
      <c r="BN71" t="str">
        <f t="shared" si="128"/>
        <v>Gastos de Entierro</v>
      </c>
      <c r="BO71" s="118">
        <f t="shared" si="129"/>
        <v>0</v>
      </c>
      <c r="BP71" s="118" t="str">
        <f t="shared" si="130"/>
        <v>A</v>
      </c>
      <c r="BQ71" s="119" t="str">
        <f>+IF(OR($W71="",BO71=0),"",ROUND((VLOOKUP(ROUNDDOWN($D71-1/frec,0),cob_adi,BB$40,FALSE)*(1+i/frec)^-0.5*(1+Parámetros!$D$103)*(1+rec_fracc)/frec),6))</f>
        <v/>
      </c>
      <c r="BR71" s="66">
        <f t="shared" si="70"/>
        <v>0</v>
      </c>
      <c r="BS71" s="119" t="str">
        <f t="shared" si="71"/>
        <v/>
      </c>
      <c r="BT71" s="66">
        <f>+IF($W71="","",ROUND(IF($B71&gt;Parámetros!$D$107,'Tablas Servicio'!BR71+('Tablas Servicio'!BT70-'Tablas Servicio'!BR70),BR71/(1-IF(B71&lt;=10,Parámetros!$D$100,0))),2))</f>
        <v>0</v>
      </c>
      <c r="BU71" s="66">
        <f t="shared" si="72"/>
        <v>0</v>
      </c>
      <c r="BV71" s="66">
        <f t="shared" si="72"/>
        <v>0</v>
      </c>
      <c r="BW71" s="66">
        <f>+IF($W71="","",ROUND((BT71*Parámetros!$G$85),2))</f>
        <v>0</v>
      </c>
      <c r="BX71" s="66">
        <f>+IF($W71="","",ROUND((BT71*(Parámetros!$G$86)),2))</f>
        <v>0</v>
      </c>
      <c r="BY71" s="66">
        <f t="shared" si="73"/>
        <v>0</v>
      </c>
      <c r="BZ71" t="str">
        <f t="shared" si="131"/>
        <v>00062</v>
      </c>
      <c r="CA71" t="str">
        <f t="shared" si="132"/>
        <v>Gastos médicos por accidente</v>
      </c>
      <c r="CB71" s="118">
        <f t="shared" si="133"/>
        <v>0</v>
      </c>
      <c r="CC71" s="118" t="str">
        <f t="shared" si="134"/>
        <v>A</v>
      </c>
      <c r="CD71" s="119" t="str">
        <f t="shared" si="78"/>
        <v/>
      </c>
      <c r="CE71" s="66">
        <f>+IF($W71="","",ROUND((VLOOKUP(ROUNDDOWN($D71-1/frec,0),cob_adi,BO$40,FALSE)*(1+i/frec)^-0.5*(1+Parámetros!$D$103)*(1+rec_fracc)/frec*'TABLAS ADI'!$BC$17),2))</f>
        <v>0</v>
      </c>
      <c r="CF71" s="119" t="str">
        <f t="shared" si="79"/>
        <v/>
      </c>
      <c r="CG71" s="66">
        <f>+IF($W71="","",ROUND(IF($B71&gt;Parámetros!$D$107,'Tablas Servicio'!CE71+('Tablas Servicio'!CG70-'Tablas Servicio'!CE70),CE71/(1-IF(B71&lt;=10,Parámetros!$D$100,0))),2))</f>
        <v>0</v>
      </c>
      <c r="CH71" s="66">
        <f t="shared" si="80"/>
        <v>0</v>
      </c>
      <c r="CI71" s="66">
        <f t="shared" si="80"/>
        <v>0</v>
      </c>
      <c r="CJ71" s="66">
        <f>+IF($W71="","",ROUND((CG71*Parámetros!$G$85),2))</f>
        <v>0</v>
      </c>
      <c r="CK71" s="66">
        <f>+IF($W71="","",ROUND((CG71*(Parámetros!$G$86)),2))</f>
        <v>0</v>
      </c>
      <c r="CL71" s="66">
        <f t="shared" si="81"/>
        <v>0</v>
      </c>
      <c r="CM71" t="str">
        <f t="shared" si="135"/>
        <v>00063</v>
      </c>
      <c r="CN71" s="118" t="str">
        <f t="shared" si="136"/>
        <v>Renta Diaria por Hospitalización</v>
      </c>
      <c r="CO71" s="118">
        <f t="shared" si="137"/>
        <v>0</v>
      </c>
      <c r="CP71" s="118" t="str">
        <f t="shared" si="138"/>
        <v>A</v>
      </c>
      <c r="CQ71" s="119" t="str">
        <f t="shared" si="86"/>
        <v/>
      </c>
      <c r="CR71" s="66">
        <f>+IF($W71="","",ROUND((VLOOKUP(Parámetros!$F$51,'COBERTURAS ADICIONALES'!$S$4:$T$32,2,FALSE)*(1+i/frec)^-0.5*(1+Parámetros!$D$103)*(1+rec_fracc)/frec*$CO$42),2))</f>
        <v>0</v>
      </c>
      <c r="CS71" s="119" t="str">
        <f t="shared" si="87"/>
        <v/>
      </c>
      <c r="CT71" s="66">
        <f>+IF($W71="","",ROUND(IF($B71&gt;Parámetros!$D$107,'Tablas Servicio'!CR71+('Tablas Servicio'!CT70-'Tablas Servicio'!CR70),CR71/(1-IF(B71&lt;=10,Parámetros!$D$100,0))),2))</f>
        <v>0</v>
      </c>
      <c r="CU71" s="66">
        <f t="shared" si="88"/>
        <v>0</v>
      </c>
      <c r="CV71" s="66">
        <f t="shared" si="88"/>
        <v>0</v>
      </c>
      <c r="CW71" s="66">
        <f>+IF($W71="","",ROUND((CT71*Parámetros!$G$85),2))</f>
        <v>0</v>
      </c>
      <c r="CX71" s="66">
        <f>+IF($W71="","",ROUND((CT71*(Parámetros!$G$86)),2))</f>
        <v>0</v>
      </c>
      <c r="CY71" s="66">
        <f t="shared" si="89"/>
        <v>0</v>
      </c>
      <c r="CZ71" t="str">
        <f t="shared" si="139"/>
        <v>00064</v>
      </c>
      <c r="DA71" s="118" t="str">
        <f t="shared" si="140"/>
        <v>Enfermedades Graves</v>
      </c>
      <c r="DB71" s="118">
        <f t="shared" si="141"/>
        <v>0</v>
      </c>
      <c r="DC71" s="118" t="str">
        <f t="shared" si="142"/>
        <v>A</v>
      </c>
      <c r="DD71" s="121" t="str">
        <f>+IF(OR($W71="",DB71=0),"",ROUND((VLOOKUP(ROUNDDOWN($D71-1/frec,0),cob_adi,CO$40,FALSE)*(1+i/frec)^-0.5*(1+Parámetros!$D$103)*(1+rec_fracc)/frec),6))</f>
        <v/>
      </c>
      <c r="DE71" s="66">
        <f t="shared" si="94"/>
        <v>0</v>
      </c>
      <c r="DF71" s="119" t="str">
        <f t="shared" si="95"/>
        <v/>
      </c>
      <c r="DG71" s="66">
        <f>+IF($W71="","",ROUND(IF($B71&gt;Parámetros!$D$107,'Tablas Servicio'!DE71+('Tablas Servicio'!DG70-'Tablas Servicio'!DE70),DE71/(1-IF(B71&lt;=10,Parámetros!$D$100,0))),2))</f>
        <v>0</v>
      </c>
      <c r="DH71" s="66">
        <f t="shared" si="96"/>
        <v>0</v>
      </c>
      <c r="DI71" s="66">
        <f t="shared" si="96"/>
        <v>0</v>
      </c>
      <c r="DJ71" s="66">
        <f>+IF($W71="","",ROUND((DG71*Parámetros!$G$85),2))</f>
        <v>0</v>
      </c>
      <c r="DK71" s="66">
        <f>+IF($W71="","",ROUND((DG71*(Parámetros!$G$86)),2))</f>
        <v>0</v>
      </c>
      <c r="DL71" s="66">
        <f t="shared" si="97"/>
        <v>0</v>
      </c>
      <c r="DM71" t="str">
        <f t="shared" si="143"/>
        <v>00065</v>
      </c>
      <c r="DN71" s="118" t="str">
        <f t="shared" si="144"/>
        <v>Exención pago de primas</v>
      </c>
      <c r="DO71" s="118">
        <f t="shared" si="145"/>
        <v>0</v>
      </c>
      <c r="DP71" s="118" t="str">
        <f t="shared" si="146"/>
        <v>A</v>
      </c>
      <c r="DQ71" s="122" t="str">
        <f>+IF(OR($W71="",DO71=0),"",ROUND((VLOOKUP(ROUNDDOWN($D71-1/frec,0),cob_adi,DB$40,FALSE)*(1+i/frec)^-0.5*(1+Parámetros!$D$103)*(1+rec_fracc)/frec),6))</f>
        <v/>
      </c>
      <c r="DR71" s="66">
        <f t="shared" si="102"/>
        <v>0</v>
      </c>
      <c r="DS71" s="68" t="str">
        <f t="shared" si="103"/>
        <v/>
      </c>
      <c r="DT71" s="66">
        <f>+IF($W71="","",ROUND(IF($B71&gt;Parámetros!$D$107,'Tablas Servicio'!DR71+('Tablas Servicio'!DT70-'Tablas Servicio'!DR70),DR71/(1-IF(B71&lt;=10,Parámetros!$D$100,0))),2))</f>
        <v>0</v>
      </c>
      <c r="DU71" s="66">
        <f t="shared" si="104"/>
        <v>0</v>
      </c>
      <c r="DV71" s="66">
        <f t="shared" si="104"/>
        <v>0</v>
      </c>
      <c r="DW71" s="66">
        <f>+IF($W71="","",ROUND((DT71*Parámetros!$G$85),2))</f>
        <v>0</v>
      </c>
      <c r="DX71" s="66">
        <f>+IF($W71="","",ROUND((DT71*(Parámetros!$G$86)),2))</f>
        <v>0</v>
      </c>
      <c r="DY71" s="66">
        <f t="shared" si="105"/>
        <v>0</v>
      </c>
      <c r="DZ71" t="str">
        <f t="shared" si="147"/>
        <v>00066</v>
      </c>
      <c r="EA71" s="118" t="str">
        <f t="shared" si="147"/>
        <v>Enfermedad terminal</v>
      </c>
      <c r="EB71" s="118">
        <f>+IF($W71="","",ROUND(IF(Parámetros!$D$25='TABLAS MORT'!$V$33,EB70,Z71/2),0))</f>
        <v>50000</v>
      </c>
      <c r="EC71" s="118" t="str">
        <f t="shared" si="147"/>
        <v>A</v>
      </c>
      <c r="ED71" s="122">
        <f>+IF(OR($W71="",EB71=0),"",ROUND((VLOOKUP(ROUNDDOWN($D71-1/frec,0),cob_adi,DO$40,FALSE)*(1+i/frec)^-0.5*(1+Parámetros!$D$103)*(1+rec_fracc)/frec),6))</f>
        <v>7.9999999999999996E-6</v>
      </c>
      <c r="EE71" s="66">
        <f t="shared" si="107"/>
        <v>0.4</v>
      </c>
      <c r="EF71" s="68">
        <f t="shared" si="108"/>
        <v>9.0000000000000002E-6</v>
      </c>
      <c r="EG71" s="66">
        <f>+IF($W71="","",ROUND(IF($B71&gt;Parámetros!$D$107,'Tablas Servicio'!EE71+('Tablas Servicio'!EG70-'Tablas Servicio'!EE70),EE71/(1-IF(B71&lt;=10,Parámetros!$D$100,0))),2))</f>
        <v>0.45</v>
      </c>
      <c r="EH71" s="66">
        <f t="shared" si="109"/>
        <v>0</v>
      </c>
      <c r="EI71" s="66">
        <f t="shared" si="109"/>
        <v>0</v>
      </c>
      <c r="EJ71" s="66">
        <f>+IF($W71="","",ROUND((EG71*Parámetros!$G$85),2))</f>
        <v>0.02</v>
      </c>
      <c r="EK71" s="66">
        <f>+IF($W71="","",ROUND((EG71*(Parámetros!$G$86)),2))</f>
        <v>0</v>
      </c>
      <c r="EL71" s="66">
        <f t="shared" si="110"/>
        <v>0.47</v>
      </c>
    </row>
    <row r="72" spans="1:142" x14ac:dyDescent="0.25">
      <c r="A72">
        <f>+IF($C72="","",ROUND(VLOOKUP('Tablas Servicio'!B72,Parámetros!$H$100:$J$159,IF(Parámetros!$E$16="F",2,3),FALSE),2))</f>
        <v>150</v>
      </c>
      <c r="B72">
        <f t="shared" si="27"/>
        <v>3</v>
      </c>
      <c r="C72" s="57">
        <f>+IF(D72="","",'Tablas Servicio'!C71+1)</f>
        <v>31</v>
      </c>
      <c r="D72" s="56">
        <f>+IF(D71&lt;edadmaxtabla,D71+1/Parámetros!$E$25,"")</f>
        <v>42.60333333333341</v>
      </c>
      <c r="E72" s="57">
        <f t="shared" si="37"/>
        <v>42</v>
      </c>
      <c r="F72" s="59">
        <f t="shared" si="38"/>
        <v>100000</v>
      </c>
      <c r="G72" s="66">
        <f t="shared" si="39"/>
        <v>27.14</v>
      </c>
      <c r="H72" s="66">
        <f t="shared" si="28"/>
        <v>28.22</v>
      </c>
      <c r="I72" s="66">
        <f t="shared" si="112"/>
        <v>57.980000000000004</v>
      </c>
      <c r="J72" s="66">
        <f t="shared" si="29"/>
        <v>0.95000000000000007</v>
      </c>
      <c r="K72" s="66">
        <f t="shared" si="30"/>
        <v>0.13</v>
      </c>
      <c r="L72" s="66">
        <f t="shared" si="31"/>
        <v>0</v>
      </c>
      <c r="M72" s="66">
        <f t="shared" si="32"/>
        <v>0</v>
      </c>
      <c r="N72" s="66">
        <f>+IF(C72="","",ROUND(Parámetros!$D$23,2))</f>
        <v>94</v>
      </c>
      <c r="O72" s="66">
        <f t="shared" si="33"/>
        <v>13.3</v>
      </c>
      <c r="P72" s="66">
        <f>+IF($C72="","",ROUND(IF(B72&gt;Parámetros!$D$117,0,N72*Parámetros!$D$116-G72*Parámetros!$D$100),2))</f>
        <v>7.8</v>
      </c>
      <c r="Q72" s="75">
        <f t="shared" si="113"/>
        <v>3.5003684598378777E-2</v>
      </c>
      <c r="R72" s="75">
        <f t="shared" si="114"/>
        <v>4.7899778924097277E-3</v>
      </c>
      <c r="S72" s="117">
        <f>+IF($C72="","",ROUND((S71+I72)*(1+Parámetros!$D$91),2))</f>
        <v>1951.68</v>
      </c>
      <c r="T72" s="117">
        <f>+IF($C72="","",ROUND(S72*VLOOKUP(B72,Parámetros!$C$30:$D$39,2,TRUE),2))</f>
        <v>0</v>
      </c>
      <c r="U72" s="117">
        <f>+IF($C72="","",ROUND((U71+I72)*(1+Parámetros!$D$92),2))</f>
        <v>1964.7</v>
      </c>
      <c r="V72" s="117">
        <f>+IF($C72="","",ROUND(U72*VLOOKUP(B72,Parámetros!$C$30:$D$39,2,TRUE),2))</f>
        <v>0</v>
      </c>
      <c r="W72" s="57">
        <f t="shared" si="115"/>
        <v>31</v>
      </c>
      <c r="X72" t="str">
        <f t="shared" si="116"/>
        <v>00058</v>
      </c>
      <c r="Y72" t="str">
        <f t="shared" si="117"/>
        <v>MUERTE POR CUALQUIER CAUSA</v>
      </c>
      <c r="Z72" s="118">
        <f>+IF($W72="","",ROUND(IF(Parámetros!$D$25='TABLAS MORT'!$V$33,Z71,Parámetros!$D$21-'Tablas Servicio'!T71),0))</f>
        <v>100000</v>
      </c>
      <c r="AA72" s="118" t="str">
        <f t="shared" si="118"/>
        <v>P</v>
      </c>
      <c r="AB72" s="119">
        <f>+IF(W72="","",ROUND((VLOOKUP(ROUNDDOWN($D72-1/frec,0),qx_tabla,2,FALSE)*(1+i/frec)^-0.5*(1+Parámetros!$D$103)*(1+rec_fracc)/frec),6))</f>
        <v>1.2899999999999999E-4</v>
      </c>
      <c r="AC72" s="66">
        <f t="shared" si="46"/>
        <v>12.9</v>
      </c>
      <c r="AD72" s="119">
        <f t="shared" si="35"/>
        <v>2.6699999999999998E-4</v>
      </c>
      <c r="AE72" s="66">
        <f>+IF($W72="","",ROUND(IF($B72&gt;Parámetros!$D$107,'Tablas Servicio'!AC72+('Tablas Servicio'!AG71-'Tablas Servicio'!AC71),AC72/(1-IF(B72&lt;=10,Parámetros!$D$104,Parámetros!$D$105))),2))</f>
        <v>26.69</v>
      </c>
      <c r="AF72" s="66">
        <f>+IF($W72="","",ROUND(IF($B72&gt;Parámetros!$D$107,'Tablas Servicio'!AC72+('Tablas Servicio'!AG71-'Tablas Servicio'!AC71),(AC72+$A71/frec)/(1-IF(B72&lt;=Parámetros!$D$117,Parámetros!$D$100,0))),2))</f>
        <v>28.76</v>
      </c>
      <c r="AG72" s="66">
        <f t="shared" si="111"/>
        <v>26.69</v>
      </c>
      <c r="AH72" s="66">
        <f t="shared" si="47"/>
        <v>0</v>
      </c>
      <c r="AI72" s="66">
        <f t="shared" si="48"/>
        <v>0</v>
      </c>
      <c r="AJ72" s="66">
        <f>+IF($W72="","",ROUND((AG72*Parámetros!$G$85),2))</f>
        <v>0.93</v>
      </c>
      <c r="AK72" s="66">
        <f>+IF($W72="","",ROUND((AG72*(Parámetros!$G$86)),2))</f>
        <v>0.13</v>
      </c>
      <c r="AL72" s="66">
        <f t="shared" si="36"/>
        <v>27.75</v>
      </c>
      <c r="AM72" t="str">
        <f t="shared" si="119"/>
        <v>00059</v>
      </c>
      <c r="AN72" t="str">
        <f t="shared" si="120"/>
        <v>Incapacidad Total y Permanente</v>
      </c>
      <c r="AO72" s="118">
        <f t="shared" si="121"/>
        <v>0</v>
      </c>
      <c r="AP72" s="118" t="str">
        <f t="shared" si="122"/>
        <v>A</v>
      </c>
      <c r="AQ72" s="119" t="str">
        <f>+IF(OR($W72="",AO72=0),"",ROUND((VLOOKUP(ROUNDDOWN($D72-1/frec,0),cob_adi,Z$40,FALSE)*(1+i/frec)^-0.5*(1+Parámetros!$D$103)*(1+rec_fracc)/frec),6))</f>
        <v/>
      </c>
      <c r="AR72" s="66">
        <f t="shared" si="53"/>
        <v>0</v>
      </c>
      <c r="AS72" s="119" t="str">
        <f t="shared" si="54"/>
        <v/>
      </c>
      <c r="AT72" s="66">
        <f>+IF($W72="","",ROUND(IF($B72&gt;Parámetros!$D$107,'Tablas Servicio'!AR72+('Tablas Servicio'!AT71-'Tablas Servicio'!AR71),AR72/(1-IF(B72&lt;=10,Parámetros!$D$100,0))),2))</f>
        <v>0</v>
      </c>
      <c r="AU72" s="66">
        <f t="shared" si="55"/>
        <v>0</v>
      </c>
      <c r="AV72" s="66">
        <f t="shared" si="55"/>
        <v>0</v>
      </c>
      <c r="AW72" s="66">
        <f>+IF($W72="","",ROUND((AT72*Parámetros!$G$85),2))</f>
        <v>0</v>
      </c>
      <c r="AX72" s="66">
        <f>+IF($W72="","",ROUND((AT72*(Parámetros!$G$86)),2))</f>
        <v>0</v>
      </c>
      <c r="AY72" s="66">
        <f t="shared" si="56"/>
        <v>0</v>
      </c>
      <c r="AZ72" t="str">
        <f t="shared" si="123"/>
        <v>00060</v>
      </c>
      <c r="BA72" t="str">
        <f t="shared" si="124"/>
        <v>Muerte Accidental</v>
      </c>
      <c r="BB72" s="118">
        <f t="shared" si="125"/>
        <v>0</v>
      </c>
      <c r="BC72" s="118" t="str">
        <f t="shared" si="126"/>
        <v>A</v>
      </c>
      <c r="BD72" s="119" t="str">
        <f>+IF(OR($W72="",BB72=0),"",ROUND((VLOOKUP(ROUNDDOWN($D72-1/frec,0),cob_adi,AO$40,FALSE)*(1+i/frec)^-0.5*(1+Parámetros!$D$103)*(1+rec_fracc)/frec),6))</f>
        <v/>
      </c>
      <c r="BE72" s="66">
        <f t="shared" si="61"/>
        <v>0</v>
      </c>
      <c r="BF72" s="119" t="str">
        <f t="shared" si="62"/>
        <v/>
      </c>
      <c r="BG72" s="66">
        <f>+IF($W72="","",ROUND(IF($B72&gt;Parámetros!$D$107,'Tablas Servicio'!BE72+('Tablas Servicio'!BG71-'Tablas Servicio'!BE71),BE72/(1-IF(B72&lt;=10,Parámetros!$D$100,0))),2))</f>
        <v>0</v>
      </c>
      <c r="BH72" s="66">
        <f t="shared" si="63"/>
        <v>0</v>
      </c>
      <c r="BI72" s="66">
        <f t="shared" si="64"/>
        <v>0</v>
      </c>
      <c r="BJ72" s="66">
        <f>+IF($W72="","",ROUND((BG72*Parámetros!$G$85),2))</f>
        <v>0</v>
      </c>
      <c r="BK72" s="66">
        <f>+IF($W72="","",ROUND((BG72*(Parámetros!$G$86)),2))</f>
        <v>0</v>
      </c>
      <c r="BL72" s="66">
        <f t="shared" si="65"/>
        <v>0</v>
      </c>
      <c r="BM72" t="str">
        <f t="shared" si="127"/>
        <v>00061</v>
      </c>
      <c r="BN72" t="str">
        <f t="shared" si="128"/>
        <v>Gastos de Entierro</v>
      </c>
      <c r="BO72" s="118">
        <f t="shared" si="129"/>
        <v>0</v>
      </c>
      <c r="BP72" s="118" t="str">
        <f t="shared" si="130"/>
        <v>A</v>
      </c>
      <c r="BQ72" s="119" t="str">
        <f>+IF(OR($W72="",BO72=0),"",ROUND((VLOOKUP(ROUNDDOWN($D72-1/frec,0),cob_adi,BB$40,FALSE)*(1+i/frec)^-0.5*(1+Parámetros!$D$103)*(1+rec_fracc)/frec),6))</f>
        <v/>
      </c>
      <c r="BR72" s="66">
        <f t="shared" si="70"/>
        <v>0</v>
      </c>
      <c r="BS72" s="119" t="str">
        <f t="shared" si="71"/>
        <v/>
      </c>
      <c r="BT72" s="66">
        <f>+IF($W72="","",ROUND(IF($B72&gt;Parámetros!$D$107,'Tablas Servicio'!BR72+('Tablas Servicio'!BT71-'Tablas Servicio'!BR71),BR72/(1-IF(B72&lt;=10,Parámetros!$D$100,0))),2))</f>
        <v>0</v>
      </c>
      <c r="BU72" s="66">
        <f t="shared" si="72"/>
        <v>0</v>
      </c>
      <c r="BV72" s="66">
        <f t="shared" si="72"/>
        <v>0</v>
      </c>
      <c r="BW72" s="66">
        <f>+IF($W72="","",ROUND((BT72*Parámetros!$G$85),2))</f>
        <v>0</v>
      </c>
      <c r="BX72" s="66">
        <f>+IF($W72="","",ROUND((BT72*(Parámetros!$G$86)),2))</f>
        <v>0</v>
      </c>
      <c r="BY72" s="66">
        <f t="shared" si="73"/>
        <v>0</v>
      </c>
      <c r="BZ72" t="str">
        <f t="shared" si="131"/>
        <v>00062</v>
      </c>
      <c r="CA72" t="str">
        <f t="shared" si="132"/>
        <v>Gastos médicos por accidente</v>
      </c>
      <c r="CB72" s="118">
        <f t="shared" si="133"/>
        <v>0</v>
      </c>
      <c r="CC72" s="118" t="str">
        <f t="shared" si="134"/>
        <v>A</v>
      </c>
      <c r="CD72" s="119" t="str">
        <f t="shared" si="78"/>
        <v/>
      </c>
      <c r="CE72" s="66">
        <f>+IF($W72="","",ROUND((VLOOKUP(ROUNDDOWN($D72-1/frec,0),cob_adi,BO$40,FALSE)*(1+i/frec)^-0.5*(1+Parámetros!$D$103)*(1+rec_fracc)/frec*'TABLAS ADI'!$BC$17),2))</f>
        <v>0</v>
      </c>
      <c r="CF72" s="119" t="str">
        <f t="shared" si="79"/>
        <v/>
      </c>
      <c r="CG72" s="66">
        <f>+IF($W72="","",ROUND(IF($B72&gt;Parámetros!$D$107,'Tablas Servicio'!CE72+('Tablas Servicio'!CG71-'Tablas Servicio'!CE71),CE72/(1-IF(B72&lt;=10,Parámetros!$D$100,0))),2))</f>
        <v>0</v>
      </c>
      <c r="CH72" s="66">
        <f t="shared" si="80"/>
        <v>0</v>
      </c>
      <c r="CI72" s="66">
        <f t="shared" si="80"/>
        <v>0</v>
      </c>
      <c r="CJ72" s="66">
        <f>+IF($W72="","",ROUND((CG72*Parámetros!$G$85),2))</f>
        <v>0</v>
      </c>
      <c r="CK72" s="66">
        <f>+IF($W72="","",ROUND((CG72*(Parámetros!$G$86)),2))</f>
        <v>0</v>
      </c>
      <c r="CL72" s="66">
        <f t="shared" si="81"/>
        <v>0</v>
      </c>
      <c r="CM72" t="str">
        <f t="shared" si="135"/>
        <v>00063</v>
      </c>
      <c r="CN72" s="118" t="str">
        <f t="shared" si="136"/>
        <v>Renta Diaria por Hospitalización</v>
      </c>
      <c r="CO72" s="118">
        <f t="shared" si="137"/>
        <v>0</v>
      </c>
      <c r="CP72" s="118" t="str">
        <f t="shared" si="138"/>
        <v>A</v>
      </c>
      <c r="CQ72" s="119" t="str">
        <f t="shared" si="86"/>
        <v/>
      </c>
      <c r="CR72" s="66">
        <f>+IF($W72="","",ROUND((VLOOKUP(Parámetros!$F$51,'COBERTURAS ADICIONALES'!$S$4:$T$32,2,FALSE)*(1+i/frec)^-0.5*(1+Parámetros!$D$103)*(1+rec_fracc)/frec*$CO$42),2))</f>
        <v>0</v>
      </c>
      <c r="CS72" s="119" t="str">
        <f t="shared" si="87"/>
        <v/>
      </c>
      <c r="CT72" s="66">
        <f>+IF($W72="","",ROUND(IF($B72&gt;Parámetros!$D$107,'Tablas Servicio'!CR72+('Tablas Servicio'!CT71-'Tablas Servicio'!CR71),CR72/(1-IF(B72&lt;=10,Parámetros!$D$100,0))),2))</f>
        <v>0</v>
      </c>
      <c r="CU72" s="66">
        <f t="shared" si="88"/>
        <v>0</v>
      </c>
      <c r="CV72" s="66">
        <f t="shared" si="88"/>
        <v>0</v>
      </c>
      <c r="CW72" s="66">
        <f>+IF($W72="","",ROUND((CT72*Parámetros!$G$85),2))</f>
        <v>0</v>
      </c>
      <c r="CX72" s="66">
        <f>+IF($W72="","",ROUND((CT72*(Parámetros!$G$86)),2))</f>
        <v>0</v>
      </c>
      <c r="CY72" s="66">
        <f t="shared" si="89"/>
        <v>0</v>
      </c>
      <c r="CZ72" t="str">
        <f t="shared" si="139"/>
        <v>00064</v>
      </c>
      <c r="DA72" s="118" t="str">
        <f t="shared" si="140"/>
        <v>Enfermedades Graves</v>
      </c>
      <c r="DB72" s="118">
        <f t="shared" si="141"/>
        <v>0</v>
      </c>
      <c r="DC72" s="118" t="str">
        <f t="shared" si="142"/>
        <v>A</v>
      </c>
      <c r="DD72" s="121" t="str">
        <f>+IF(OR($W72="",DB72=0),"",ROUND((VLOOKUP(ROUNDDOWN($D72-1/frec,0),cob_adi,CO$40,FALSE)*(1+i/frec)^-0.5*(1+Parámetros!$D$103)*(1+rec_fracc)/frec),6))</f>
        <v/>
      </c>
      <c r="DE72" s="66">
        <f t="shared" si="94"/>
        <v>0</v>
      </c>
      <c r="DF72" s="119" t="str">
        <f t="shared" si="95"/>
        <v/>
      </c>
      <c r="DG72" s="66">
        <f>+IF($W72="","",ROUND(IF($B72&gt;Parámetros!$D$107,'Tablas Servicio'!DE72+('Tablas Servicio'!DG71-'Tablas Servicio'!DE71),DE72/(1-IF(B72&lt;=10,Parámetros!$D$100,0))),2))</f>
        <v>0</v>
      </c>
      <c r="DH72" s="66">
        <f t="shared" si="96"/>
        <v>0</v>
      </c>
      <c r="DI72" s="66">
        <f t="shared" si="96"/>
        <v>0</v>
      </c>
      <c r="DJ72" s="66">
        <f>+IF($W72="","",ROUND((DG72*Parámetros!$G$85),2))</f>
        <v>0</v>
      </c>
      <c r="DK72" s="66">
        <f>+IF($W72="","",ROUND((DG72*(Parámetros!$G$86)),2))</f>
        <v>0</v>
      </c>
      <c r="DL72" s="66">
        <f t="shared" si="97"/>
        <v>0</v>
      </c>
      <c r="DM72" t="str">
        <f t="shared" si="143"/>
        <v>00065</v>
      </c>
      <c r="DN72" s="118" t="str">
        <f t="shared" si="144"/>
        <v>Exención pago de primas</v>
      </c>
      <c r="DO72" s="118">
        <f t="shared" si="145"/>
        <v>0</v>
      </c>
      <c r="DP72" s="118" t="str">
        <f t="shared" si="146"/>
        <v>A</v>
      </c>
      <c r="DQ72" s="122" t="str">
        <f>+IF(OR($W72="",DO72=0),"",ROUND((VLOOKUP(ROUNDDOWN($D72-1/frec,0),cob_adi,DB$40,FALSE)*(1+i/frec)^-0.5*(1+Parámetros!$D$103)*(1+rec_fracc)/frec),6))</f>
        <v/>
      </c>
      <c r="DR72" s="66">
        <f t="shared" si="102"/>
        <v>0</v>
      </c>
      <c r="DS72" s="68" t="str">
        <f t="shared" si="103"/>
        <v/>
      </c>
      <c r="DT72" s="66">
        <f>+IF($W72="","",ROUND(IF($B72&gt;Parámetros!$D$107,'Tablas Servicio'!DR72+('Tablas Servicio'!DT71-'Tablas Servicio'!DR71),DR72/(1-IF(B72&lt;=10,Parámetros!$D$100,0))),2))</f>
        <v>0</v>
      </c>
      <c r="DU72" s="66">
        <f t="shared" si="104"/>
        <v>0</v>
      </c>
      <c r="DV72" s="66">
        <f t="shared" si="104"/>
        <v>0</v>
      </c>
      <c r="DW72" s="66">
        <f>+IF($W72="","",ROUND((DT72*Parámetros!$G$85),2))</f>
        <v>0</v>
      </c>
      <c r="DX72" s="66">
        <f>+IF($W72="","",ROUND((DT72*(Parámetros!$G$86)),2))</f>
        <v>0</v>
      </c>
      <c r="DY72" s="66">
        <f t="shared" si="105"/>
        <v>0</v>
      </c>
      <c r="DZ72" t="str">
        <f t="shared" si="147"/>
        <v>00066</v>
      </c>
      <c r="EA72" s="118" t="str">
        <f t="shared" si="147"/>
        <v>Enfermedad terminal</v>
      </c>
      <c r="EB72" s="118">
        <f>+IF($W72="","",ROUND(IF(Parámetros!$D$25='TABLAS MORT'!$V$33,EB71,Z72/2),0))</f>
        <v>50000</v>
      </c>
      <c r="EC72" s="118" t="str">
        <f t="shared" si="147"/>
        <v>A</v>
      </c>
      <c r="ED72" s="122">
        <f>+IF(OR($W72="",EB72=0),"",ROUND((VLOOKUP(ROUNDDOWN($D72-1/frec,0),cob_adi,DO$40,FALSE)*(1+i/frec)^-0.5*(1+Parámetros!$D$103)*(1+rec_fracc)/frec),6))</f>
        <v>7.9999999999999996E-6</v>
      </c>
      <c r="EE72" s="66">
        <f t="shared" si="107"/>
        <v>0.4</v>
      </c>
      <c r="EF72" s="68">
        <f t="shared" si="108"/>
        <v>9.0000000000000002E-6</v>
      </c>
      <c r="EG72" s="66">
        <f>+IF($W72="","",ROUND(IF($B72&gt;Parámetros!$D$107,'Tablas Servicio'!EE72+('Tablas Servicio'!EG71-'Tablas Servicio'!EE71),EE72/(1-IF(B72&lt;=10,Parámetros!$D$100,0))),2))</f>
        <v>0.45</v>
      </c>
      <c r="EH72" s="66">
        <f t="shared" si="109"/>
        <v>0</v>
      </c>
      <c r="EI72" s="66">
        <f t="shared" si="109"/>
        <v>0</v>
      </c>
      <c r="EJ72" s="66">
        <f>+IF($W72="","",ROUND((EG72*Parámetros!$G$85),2))</f>
        <v>0.02</v>
      </c>
      <c r="EK72" s="66">
        <f>+IF($W72="","",ROUND((EG72*(Parámetros!$G$86)),2))</f>
        <v>0</v>
      </c>
      <c r="EL72" s="66">
        <f t="shared" si="110"/>
        <v>0.47</v>
      </c>
    </row>
    <row r="73" spans="1:142" x14ac:dyDescent="0.25">
      <c r="A73">
        <f>+IF($C73="","",ROUND(VLOOKUP('Tablas Servicio'!B73,Parámetros!$H$100:$J$159,IF(Parámetros!$E$16="F",2,3),FALSE),2))</f>
        <v>150</v>
      </c>
      <c r="B73">
        <f t="shared" si="27"/>
        <v>3</v>
      </c>
      <c r="C73" s="57">
        <f>+IF(D73="","",'Tablas Servicio'!C72+1)</f>
        <v>32</v>
      </c>
      <c r="D73" s="56">
        <f>+IF(D72&lt;edadmaxtabla,D72+1/Parámetros!$E$25,"")</f>
        <v>42.686666666666746</v>
      </c>
      <c r="E73" s="57">
        <f t="shared" si="37"/>
        <v>42</v>
      </c>
      <c r="F73" s="59">
        <f t="shared" si="38"/>
        <v>100000</v>
      </c>
      <c r="G73" s="66">
        <f t="shared" si="39"/>
        <v>27.14</v>
      </c>
      <c r="H73" s="66">
        <f t="shared" si="28"/>
        <v>28.22</v>
      </c>
      <c r="I73" s="66">
        <f t="shared" si="112"/>
        <v>57.980000000000004</v>
      </c>
      <c r="J73" s="66">
        <f t="shared" si="29"/>
        <v>0.95000000000000007</v>
      </c>
      <c r="K73" s="66">
        <f t="shared" si="30"/>
        <v>0.13</v>
      </c>
      <c r="L73" s="66">
        <f t="shared" si="31"/>
        <v>0</v>
      </c>
      <c r="M73" s="66">
        <f t="shared" si="32"/>
        <v>0</v>
      </c>
      <c r="N73" s="66">
        <f>+IF(C73="","",ROUND(Parámetros!$D$23,2))</f>
        <v>94</v>
      </c>
      <c r="O73" s="66">
        <f t="shared" si="33"/>
        <v>13.3</v>
      </c>
      <c r="P73" s="66">
        <f>+IF($C73="","",ROUND(IF(B73&gt;Parámetros!$D$117,0,N73*Parámetros!$D$116-G73*Parámetros!$D$100),2))</f>
        <v>7.8</v>
      </c>
      <c r="Q73" s="75">
        <f t="shared" si="113"/>
        <v>3.5003684598378777E-2</v>
      </c>
      <c r="R73" s="75">
        <f t="shared" si="114"/>
        <v>4.7899778924097277E-3</v>
      </c>
      <c r="S73" s="117">
        <f>+IF($C73="","",ROUND((S72+I73)*(1+Parámetros!$D$91),2))</f>
        <v>2015.36</v>
      </c>
      <c r="T73" s="117">
        <f>+IF($C73="","",ROUND(S73*VLOOKUP(B73,Parámetros!$C$30:$D$39,2,TRUE),2))</f>
        <v>0</v>
      </c>
      <c r="U73" s="117">
        <f>+IF($C73="","",ROUND((U72+I73)*(1+Parámetros!$D$92),2))</f>
        <v>2029.24</v>
      </c>
      <c r="V73" s="117">
        <f>+IF($C73="","",ROUND(U73*VLOOKUP(B73,Parámetros!$C$30:$D$39,2,TRUE),2))</f>
        <v>0</v>
      </c>
      <c r="W73" s="57">
        <f t="shared" si="115"/>
        <v>32</v>
      </c>
      <c r="X73" t="str">
        <f t="shared" si="116"/>
        <v>00058</v>
      </c>
      <c r="Y73" t="str">
        <f t="shared" si="117"/>
        <v>MUERTE POR CUALQUIER CAUSA</v>
      </c>
      <c r="Z73" s="118">
        <f>+IF($W73="","",ROUND(IF(Parámetros!$D$25='TABLAS MORT'!$V$33,Z72,Parámetros!$D$21-'Tablas Servicio'!T72),0))</f>
        <v>100000</v>
      </c>
      <c r="AA73" s="118" t="str">
        <f t="shared" si="118"/>
        <v>P</v>
      </c>
      <c r="AB73" s="119">
        <f>+IF(W73="","",ROUND((VLOOKUP(ROUNDDOWN($D73-1/frec,0),qx_tabla,2,FALSE)*(1+i/frec)^-0.5*(1+Parámetros!$D$103)*(1+rec_fracc)/frec),6))</f>
        <v>1.2899999999999999E-4</v>
      </c>
      <c r="AC73" s="66">
        <f t="shared" si="46"/>
        <v>12.9</v>
      </c>
      <c r="AD73" s="119">
        <f t="shared" si="35"/>
        <v>2.6699999999999998E-4</v>
      </c>
      <c r="AE73" s="66">
        <f>+IF($W73="","",ROUND(IF($B73&gt;Parámetros!$D$107,'Tablas Servicio'!AC73+('Tablas Servicio'!AG72-'Tablas Servicio'!AC72),AC73/(1-IF(B73&lt;=10,Parámetros!$D$104,Parámetros!$D$105))),2))</f>
        <v>26.69</v>
      </c>
      <c r="AF73" s="66">
        <f>+IF($W73="","",ROUND(IF($B73&gt;Parámetros!$D$107,'Tablas Servicio'!AC73+('Tablas Servicio'!AG72-'Tablas Servicio'!AC72),(AC73+$A72/frec)/(1-IF(B73&lt;=Parámetros!$D$117,Parámetros!$D$100,0))),2))</f>
        <v>28.76</v>
      </c>
      <c r="AG73" s="66">
        <f t="shared" si="111"/>
        <v>26.69</v>
      </c>
      <c r="AH73" s="66">
        <f t="shared" si="47"/>
        <v>0</v>
      </c>
      <c r="AI73" s="66">
        <f t="shared" si="48"/>
        <v>0</v>
      </c>
      <c r="AJ73" s="66">
        <f>+IF($W73="","",ROUND((AG73*Parámetros!$G$85),2))</f>
        <v>0.93</v>
      </c>
      <c r="AK73" s="66">
        <f>+IF($W73="","",ROUND((AG73*(Parámetros!$G$86)),2))</f>
        <v>0.13</v>
      </c>
      <c r="AL73" s="66">
        <f t="shared" si="36"/>
        <v>27.75</v>
      </c>
      <c r="AM73" t="str">
        <f t="shared" si="119"/>
        <v>00059</v>
      </c>
      <c r="AN73" t="str">
        <f t="shared" si="120"/>
        <v>Incapacidad Total y Permanente</v>
      </c>
      <c r="AO73" s="118">
        <f t="shared" si="121"/>
        <v>0</v>
      </c>
      <c r="AP73" s="118" t="str">
        <f t="shared" si="122"/>
        <v>A</v>
      </c>
      <c r="AQ73" s="119" t="str">
        <f>+IF(OR($W73="",AO73=0),"",ROUND((VLOOKUP(ROUNDDOWN($D73-1/frec,0),cob_adi,Z$40,FALSE)*(1+i/frec)^-0.5*(1+Parámetros!$D$103)*(1+rec_fracc)/frec),6))</f>
        <v/>
      </c>
      <c r="AR73" s="66">
        <f t="shared" si="53"/>
        <v>0</v>
      </c>
      <c r="AS73" s="119" t="str">
        <f t="shared" si="54"/>
        <v/>
      </c>
      <c r="AT73" s="66">
        <f>+IF($W73="","",ROUND(IF($B73&gt;Parámetros!$D$107,'Tablas Servicio'!AR73+('Tablas Servicio'!AT72-'Tablas Servicio'!AR72),AR73/(1-IF(B73&lt;=10,Parámetros!$D$100,0))),2))</f>
        <v>0</v>
      </c>
      <c r="AU73" s="66">
        <f t="shared" si="55"/>
        <v>0</v>
      </c>
      <c r="AV73" s="66">
        <f t="shared" si="55"/>
        <v>0</v>
      </c>
      <c r="AW73" s="66">
        <f>+IF($W73="","",ROUND((AT73*Parámetros!$G$85),2))</f>
        <v>0</v>
      </c>
      <c r="AX73" s="66">
        <f>+IF($W73="","",ROUND((AT73*(Parámetros!$G$86)),2))</f>
        <v>0</v>
      </c>
      <c r="AY73" s="66">
        <f t="shared" si="56"/>
        <v>0</v>
      </c>
      <c r="AZ73" t="str">
        <f t="shared" si="123"/>
        <v>00060</v>
      </c>
      <c r="BA73" t="str">
        <f t="shared" si="124"/>
        <v>Muerte Accidental</v>
      </c>
      <c r="BB73" s="118">
        <f t="shared" si="125"/>
        <v>0</v>
      </c>
      <c r="BC73" s="118" t="str">
        <f t="shared" si="126"/>
        <v>A</v>
      </c>
      <c r="BD73" s="119" t="str">
        <f>+IF(OR($W73="",BB73=0),"",ROUND((VLOOKUP(ROUNDDOWN($D73-1/frec,0),cob_adi,AO$40,FALSE)*(1+i/frec)^-0.5*(1+Parámetros!$D$103)*(1+rec_fracc)/frec),6))</f>
        <v/>
      </c>
      <c r="BE73" s="66">
        <f t="shared" si="61"/>
        <v>0</v>
      </c>
      <c r="BF73" s="119" t="str">
        <f t="shared" si="62"/>
        <v/>
      </c>
      <c r="BG73" s="66">
        <f>+IF($W73="","",ROUND(IF($B73&gt;Parámetros!$D$107,'Tablas Servicio'!BE73+('Tablas Servicio'!BG72-'Tablas Servicio'!BE72),BE73/(1-IF(B73&lt;=10,Parámetros!$D$100,0))),2))</f>
        <v>0</v>
      </c>
      <c r="BH73" s="66">
        <f t="shared" si="63"/>
        <v>0</v>
      </c>
      <c r="BI73" s="66">
        <f t="shared" si="64"/>
        <v>0</v>
      </c>
      <c r="BJ73" s="66">
        <f>+IF($W73="","",ROUND((BG73*Parámetros!$G$85),2))</f>
        <v>0</v>
      </c>
      <c r="BK73" s="66">
        <f>+IF($W73="","",ROUND((BG73*(Parámetros!$G$86)),2))</f>
        <v>0</v>
      </c>
      <c r="BL73" s="66">
        <f t="shared" si="65"/>
        <v>0</v>
      </c>
      <c r="BM73" t="str">
        <f t="shared" si="127"/>
        <v>00061</v>
      </c>
      <c r="BN73" t="str">
        <f t="shared" si="128"/>
        <v>Gastos de Entierro</v>
      </c>
      <c r="BO73" s="118">
        <f t="shared" si="129"/>
        <v>0</v>
      </c>
      <c r="BP73" s="118" t="str">
        <f t="shared" si="130"/>
        <v>A</v>
      </c>
      <c r="BQ73" s="119" t="str">
        <f>+IF(OR($W73="",BO73=0),"",ROUND((VLOOKUP(ROUNDDOWN($D73-1/frec,0),cob_adi,BB$40,FALSE)*(1+i/frec)^-0.5*(1+Parámetros!$D$103)*(1+rec_fracc)/frec),6))</f>
        <v/>
      </c>
      <c r="BR73" s="66">
        <f t="shared" si="70"/>
        <v>0</v>
      </c>
      <c r="BS73" s="119" t="str">
        <f t="shared" si="71"/>
        <v/>
      </c>
      <c r="BT73" s="66">
        <f>+IF($W73="","",ROUND(IF($B73&gt;Parámetros!$D$107,'Tablas Servicio'!BR73+('Tablas Servicio'!BT72-'Tablas Servicio'!BR72),BR73/(1-IF(B73&lt;=10,Parámetros!$D$100,0))),2))</f>
        <v>0</v>
      </c>
      <c r="BU73" s="66">
        <f t="shared" si="72"/>
        <v>0</v>
      </c>
      <c r="BV73" s="66">
        <f t="shared" si="72"/>
        <v>0</v>
      </c>
      <c r="BW73" s="66">
        <f>+IF($W73="","",ROUND((BT73*Parámetros!$G$85),2))</f>
        <v>0</v>
      </c>
      <c r="BX73" s="66">
        <f>+IF($W73="","",ROUND((BT73*(Parámetros!$G$86)),2))</f>
        <v>0</v>
      </c>
      <c r="BY73" s="66">
        <f t="shared" si="73"/>
        <v>0</v>
      </c>
      <c r="BZ73" t="str">
        <f t="shared" si="131"/>
        <v>00062</v>
      </c>
      <c r="CA73" t="str">
        <f t="shared" si="132"/>
        <v>Gastos médicos por accidente</v>
      </c>
      <c r="CB73" s="118">
        <f t="shared" si="133"/>
        <v>0</v>
      </c>
      <c r="CC73" s="118" t="str">
        <f t="shared" si="134"/>
        <v>A</v>
      </c>
      <c r="CD73" s="119" t="str">
        <f t="shared" si="78"/>
        <v/>
      </c>
      <c r="CE73" s="66">
        <f>+IF($W73="","",ROUND((VLOOKUP(ROUNDDOWN($D73-1/frec,0),cob_adi,BO$40,FALSE)*(1+i/frec)^-0.5*(1+Parámetros!$D$103)*(1+rec_fracc)/frec*'TABLAS ADI'!$BC$17),2))</f>
        <v>0</v>
      </c>
      <c r="CF73" s="119" t="str">
        <f t="shared" si="79"/>
        <v/>
      </c>
      <c r="CG73" s="66">
        <f>+IF($W73="","",ROUND(IF($B73&gt;Parámetros!$D$107,'Tablas Servicio'!CE73+('Tablas Servicio'!CG72-'Tablas Servicio'!CE72),CE73/(1-IF(B73&lt;=10,Parámetros!$D$100,0))),2))</f>
        <v>0</v>
      </c>
      <c r="CH73" s="66">
        <f t="shared" si="80"/>
        <v>0</v>
      </c>
      <c r="CI73" s="66">
        <f t="shared" si="80"/>
        <v>0</v>
      </c>
      <c r="CJ73" s="66">
        <f>+IF($W73="","",ROUND((CG73*Parámetros!$G$85),2))</f>
        <v>0</v>
      </c>
      <c r="CK73" s="66">
        <f>+IF($W73="","",ROUND((CG73*(Parámetros!$G$86)),2))</f>
        <v>0</v>
      </c>
      <c r="CL73" s="66">
        <f t="shared" si="81"/>
        <v>0</v>
      </c>
      <c r="CM73" t="str">
        <f t="shared" si="135"/>
        <v>00063</v>
      </c>
      <c r="CN73" s="118" t="str">
        <f t="shared" si="136"/>
        <v>Renta Diaria por Hospitalización</v>
      </c>
      <c r="CO73" s="118">
        <f t="shared" si="137"/>
        <v>0</v>
      </c>
      <c r="CP73" s="118" t="str">
        <f t="shared" si="138"/>
        <v>A</v>
      </c>
      <c r="CQ73" s="119" t="str">
        <f t="shared" si="86"/>
        <v/>
      </c>
      <c r="CR73" s="66">
        <f>+IF($W73="","",ROUND((VLOOKUP(Parámetros!$F$51,'COBERTURAS ADICIONALES'!$S$4:$T$32,2,FALSE)*(1+i/frec)^-0.5*(1+Parámetros!$D$103)*(1+rec_fracc)/frec*$CO$42),2))</f>
        <v>0</v>
      </c>
      <c r="CS73" s="119" t="str">
        <f t="shared" si="87"/>
        <v/>
      </c>
      <c r="CT73" s="66">
        <f>+IF($W73="","",ROUND(IF($B73&gt;Parámetros!$D$107,'Tablas Servicio'!CR73+('Tablas Servicio'!CT72-'Tablas Servicio'!CR72),CR73/(1-IF(B73&lt;=10,Parámetros!$D$100,0))),2))</f>
        <v>0</v>
      </c>
      <c r="CU73" s="66">
        <f t="shared" si="88"/>
        <v>0</v>
      </c>
      <c r="CV73" s="66">
        <f t="shared" si="88"/>
        <v>0</v>
      </c>
      <c r="CW73" s="66">
        <f>+IF($W73="","",ROUND((CT73*Parámetros!$G$85),2))</f>
        <v>0</v>
      </c>
      <c r="CX73" s="66">
        <f>+IF($W73="","",ROUND((CT73*(Parámetros!$G$86)),2))</f>
        <v>0</v>
      </c>
      <c r="CY73" s="66">
        <f t="shared" si="89"/>
        <v>0</v>
      </c>
      <c r="CZ73" t="str">
        <f t="shared" si="139"/>
        <v>00064</v>
      </c>
      <c r="DA73" s="118" t="str">
        <f t="shared" si="140"/>
        <v>Enfermedades Graves</v>
      </c>
      <c r="DB73" s="118">
        <f t="shared" si="141"/>
        <v>0</v>
      </c>
      <c r="DC73" s="118" t="str">
        <f t="shared" si="142"/>
        <v>A</v>
      </c>
      <c r="DD73" s="121" t="str">
        <f>+IF(OR($W73="",DB73=0),"",ROUND((VLOOKUP(ROUNDDOWN($D73-1/frec,0),cob_adi,CO$40,FALSE)*(1+i/frec)^-0.5*(1+Parámetros!$D$103)*(1+rec_fracc)/frec),6))</f>
        <v/>
      </c>
      <c r="DE73" s="66">
        <f t="shared" si="94"/>
        <v>0</v>
      </c>
      <c r="DF73" s="119" t="str">
        <f t="shared" si="95"/>
        <v/>
      </c>
      <c r="DG73" s="66">
        <f>+IF($W73="","",ROUND(IF($B73&gt;Parámetros!$D$107,'Tablas Servicio'!DE73+('Tablas Servicio'!DG72-'Tablas Servicio'!DE72),DE73/(1-IF(B73&lt;=10,Parámetros!$D$100,0))),2))</f>
        <v>0</v>
      </c>
      <c r="DH73" s="66">
        <f t="shared" si="96"/>
        <v>0</v>
      </c>
      <c r="DI73" s="66">
        <f t="shared" si="96"/>
        <v>0</v>
      </c>
      <c r="DJ73" s="66">
        <f>+IF($W73="","",ROUND((DG73*Parámetros!$G$85),2))</f>
        <v>0</v>
      </c>
      <c r="DK73" s="66">
        <f>+IF($W73="","",ROUND((DG73*(Parámetros!$G$86)),2))</f>
        <v>0</v>
      </c>
      <c r="DL73" s="66">
        <f t="shared" si="97"/>
        <v>0</v>
      </c>
      <c r="DM73" t="str">
        <f t="shared" si="143"/>
        <v>00065</v>
      </c>
      <c r="DN73" s="118" t="str">
        <f t="shared" si="144"/>
        <v>Exención pago de primas</v>
      </c>
      <c r="DO73" s="118">
        <f t="shared" si="145"/>
        <v>0</v>
      </c>
      <c r="DP73" s="118" t="str">
        <f t="shared" si="146"/>
        <v>A</v>
      </c>
      <c r="DQ73" s="122" t="str">
        <f>+IF(OR($W73="",DO73=0),"",ROUND((VLOOKUP(ROUNDDOWN($D73-1/frec,0),cob_adi,DB$40,FALSE)*(1+i/frec)^-0.5*(1+Parámetros!$D$103)*(1+rec_fracc)/frec),6))</f>
        <v/>
      </c>
      <c r="DR73" s="66">
        <f t="shared" si="102"/>
        <v>0</v>
      </c>
      <c r="DS73" s="68" t="str">
        <f t="shared" si="103"/>
        <v/>
      </c>
      <c r="DT73" s="66">
        <f>+IF($W73="","",ROUND(IF($B73&gt;Parámetros!$D$107,'Tablas Servicio'!DR73+('Tablas Servicio'!DT72-'Tablas Servicio'!DR72),DR73/(1-IF(B73&lt;=10,Parámetros!$D$100,0))),2))</f>
        <v>0</v>
      </c>
      <c r="DU73" s="66">
        <f t="shared" si="104"/>
        <v>0</v>
      </c>
      <c r="DV73" s="66">
        <f t="shared" si="104"/>
        <v>0</v>
      </c>
      <c r="DW73" s="66">
        <f>+IF($W73="","",ROUND((DT73*Parámetros!$G$85),2))</f>
        <v>0</v>
      </c>
      <c r="DX73" s="66">
        <f>+IF($W73="","",ROUND((DT73*(Parámetros!$G$86)),2))</f>
        <v>0</v>
      </c>
      <c r="DY73" s="66">
        <f t="shared" si="105"/>
        <v>0</v>
      </c>
      <c r="DZ73" t="str">
        <f t="shared" si="147"/>
        <v>00066</v>
      </c>
      <c r="EA73" s="118" t="str">
        <f t="shared" si="147"/>
        <v>Enfermedad terminal</v>
      </c>
      <c r="EB73" s="118">
        <f>+IF($W73="","",ROUND(IF(Parámetros!$D$25='TABLAS MORT'!$V$33,EB72,Z73/2),0))</f>
        <v>50000</v>
      </c>
      <c r="EC73" s="118" t="str">
        <f t="shared" si="147"/>
        <v>A</v>
      </c>
      <c r="ED73" s="122">
        <f>+IF(OR($W73="",EB73=0),"",ROUND((VLOOKUP(ROUNDDOWN($D73-1/frec,0),cob_adi,DO$40,FALSE)*(1+i/frec)^-0.5*(1+Parámetros!$D$103)*(1+rec_fracc)/frec),6))</f>
        <v>7.9999999999999996E-6</v>
      </c>
      <c r="EE73" s="66">
        <f t="shared" si="107"/>
        <v>0.4</v>
      </c>
      <c r="EF73" s="68">
        <f t="shared" si="108"/>
        <v>9.0000000000000002E-6</v>
      </c>
      <c r="EG73" s="66">
        <f>+IF($W73="","",ROUND(IF($B73&gt;Parámetros!$D$107,'Tablas Servicio'!EE73+('Tablas Servicio'!EG72-'Tablas Servicio'!EE72),EE73/(1-IF(B73&lt;=10,Parámetros!$D$100,0))),2))</f>
        <v>0.45</v>
      </c>
      <c r="EH73" s="66">
        <f t="shared" si="109"/>
        <v>0</v>
      </c>
      <c r="EI73" s="66">
        <f t="shared" si="109"/>
        <v>0</v>
      </c>
      <c r="EJ73" s="66">
        <f>+IF($W73="","",ROUND((EG73*Parámetros!$G$85),2))</f>
        <v>0.02</v>
      </c>
      <c r="EK73" s="66">
        <f>+IF($W73="","",ROUND((EG73*(Parámetros!$G$86)),2))</f>
        <v>0</v>
      </c>
      <c r="EL73" s="66">
        <f t="shared" si="110"/>
        <v>0.47</v>
      </c>
    </row>
    <row r="74" spans="1:142" x14ac:dyDescent="0.25">
      <c r="A74">
        <f>+IF($C74="","",ROUND(VLOOKUP('Tablas Servicio'!B74,Parámetros!$H$100:$J$159,IF(Parámetros!$E$16="F",2,3),FALSE),2))</f>
        <v>150</v>
      </c>
      <c r="B74">
        <f t="shared" si="27"/>
        <v>3</v>
      </c>
      <c r="C74" s="57">
        <f>+IF(D74="","",'Tablas Servicio'!C73+1)</f>
        <v>33</v>
      </c>
      <c r="D74" s="56">
        <f>+IF(D73&lt;edadmaxtabla,D73+1/Parámetros!$E$25,"")</f>
        <v>42.770000000000081</v>
      </c>
      <c r="E74" s="57">
        <f t="shared" si="37"/>
        <v>42</v>
      </c>
      <c r="F74" s="59">
        <f t="shared" si="38"/>
        <v>100000</v>
      </c>
      <c r="G74" s="66">
        <f t="shared" si="39"/>
        <v>27.14</v>
      </c>
      <c r="H74" s="66">
        <f t="shared" si="28"/>
        <v>28.22</v>
      </c>
      <c r="I74" s="66">
        <f t="shared" si="112"/>
        <v>57.980000000000004</v>
      </c>
      <c r="J74" s="66">
        <f t="shared" si="29"/>
        <v>0.95000000000000007</v>
      </c>
      <c r="K74" s="66">
        <f t="shared" si="30"/>
        <v>0.13</v>
      </c>
      <c r="L74" s="66">
        <f t="shared" si="31"/>
        <v>0</v>
      </c>
      <c r="M74" s="66">
        <f t="shared" si="32"/>
        <v>0</v>
      </c>
      <c r="N74" s="66">
        <f>+IF(C74="","",ROUND(Parámetros!$D$23,2))</f>
        <v>94</v>
      </c>
      <c r="O74" s="66">
        <f t="shared" si="33"/>
        <v>13.3</v>
      </c>
      <c r="P74" s="66">
        <f>+IF($C74="","",ROUND(IF(B74&gt;Parámetros!$D$117,0,N74*Parámetros!$D$116-G74*Parámetros!$D$100),2))</f>
        <v>7.8</v>
      </c>
      <c r="Q74" s="75">
        <f t="shared" si="113"/>
        <v>3.5003684598378777E-2</v>
      </c>
      <c r="R74" s="75">
        <f t="shared" si="114"/>
        <v>4.7899778924097277E-3</v>
      </c>
      <c r="S74" s="117">
        <f>+IF($C74="","",ROUND((S73+I74)*(1+Parámetros!$D$91),2))</f>
        <v>2079.2199999999998</v>
      </c>
      <c r="T74" s="117">
        <f>+IF($C74="","",ROUND(S74*VLOOKUP(B74,Parámetros!$C$30:$D$39,2,TRUE),2))</f>
        <v>0</v>
      </c>
      <c r="U74" s="117">
        <f>+IF($C74="","",ROUND((U73+I74)*(1+Parámetros!$D$92),2))</f>
        <v>2093.9899999999998</v>
      </c>
      <c r="V74" s="117">
        <f>+IF($C74="","",ROUND(U74*VLOOKUP(B74,Parámetros!$C$30:$D$39,2,TRUE),2))</f>
        <v>0</v>
      </c>
      <c r="W74" s="57">
        <f t="shared" si="115"/>
        <v>33</v>
      </c>
      <c r="X74" t="str">
        <f t="shared" si="116"/>
        <v>00058</v>
      </c>
      <c r="Y74" t="str">
        <f t="shared" si="117"/>
        <v>MUERTE POR CUALQUIER CAUSA</v>
      </c>
      <c r="Z74" s="118">
        <f>+IF($W74="","",ROUND(IF(Parámetros!$D$25='TABLAS MORT'!$V$33,Z73,Parámetros!$D$21-'Tablas Servicio'!T73),0))</f>
        <v>100000</v>
      </c>
      <c r="AA74" s="118" t="str">
        <f t="shared" si="118"/>
        <v>P</v>
      </c>
      <c r="AB74" s="119">
        <f>+IF(W74="","",ROUND((VLOOKUP(ROUNDDOWN($D74-1/frec,0),qx_tabla,2,FALSE)*(1+i/frec)^-0.5*(1+Parámetros!$D$103)*(1+rec_fracc)/frec),6))</f>
        <v>1.2899999999999999E-4</v>
      </c>
      <c r="AC74" s="66">
        <f t="shared" si="46"/>
        <v>12.9</v>
      </c>
      <c r="AD74" s="119">
        <f t="shared" si="35"/>
        <v>2.6699999999999998E-4</v>
      </c>
      <c r="AE74" s="66">
        <f>+IF($W74="","",ROUND(IF($B74&gt;Parámetros!$D$107,'Tablas Servicio'!AC74+('Tablas Servicio'!AG73-'Tablas Servicio'!AC73),AC74/(1-IF(B74&lt;=10,Parámetros!$D$104,Parámetros!$D$105))),2))</f>
        <v>26.69</v>
      </c>
      <c r="AF74" s="66">
        <f>+IF($W74="","",ROUND(IF($B74&gt;Parámetros!$D$107,'Tablas Servicio'!AC74+('Tablas Servicio'!AG73-'Tablas Servicio'!AC73),(AC74+$A73/frec)/(1-IF(B74&lt;=Parámetros!$D$117,Parámetros!$D$100,0))),2))</f>
        <v>28.76</v>
      </c>
      <c r="AG74" s="66">
        <f t="shared" si="111"/>
        <v>26.69</v>
      </c>
      <c r="AH74" s="66">
        <f t="shared" si="47"/>
        <v>0</v>
      </c>
      <c r="AI74" s="66">
        <f t="shared" si="48"/>
        <v>0</v>
      </c>
      <c r="AJ74" s="66">
        <f>+IF($W74="","",ROUND((AG74*Parámetros!$G$85),2))</f>
        <v>0.93</v>
      </c>
      <c r="AK74" s="66">
        <f>+IF($W74="","",ROUND((AG74*(Parámetros!$G$86)),2))</f>
        <v>0.13</v>
      </c>
      <c r="AL74" s="66">
        <f t="shared" si="36"/>
        <v>27.75</v>
      </c>
      <c r="AM74" t="str">
        <f t="shared" si="119"/>
        <v>00059</v>
      </c>
      <c r="AN74" t="str">
        <f t="shared" si="120"/>
        <v>Incapacidad Total y Permanente</v>
      </c>
      <c r="AO74" s="118">
        <f t="shared" si="121"/>
        <v>0</v>
      </c>
      <c r="AP74" s="118" t="str">
        <f t="shared" si="122"/>
        <v>A</v>
      </c>
      <c r="AQ74" s="119" t="str">
        <f>+IF(OR($W74="",AO74=0),"",ROUND((VLOOKUP(ROUNDDOWN($D74-1/frec,0),cob_adi,Z$40,FALSE)*(1+i/frec)^-0.5*(1+Parámetros!$D$103)*(1+rec_fracc)/frec),6))</f>
        <v/>
      </c>
      <c r="AR74" s="66">
        <f t="shared" si="53"/>
        <v>0</v>
      </c>
      <c r="AS74" s="119" t="str">
        <f t="shared" si="54"/>
        <v/>
      </c>
      <c r="AT74" s="66">
        <f>+IF($W74="","",ROUND(IF($B74&gt;Parámetros!$D$107,'Tablas Servicio'!AR74+('Tablas Servicio'!AT73-'Tablas Servicio'!AR73),AR74/(1-IF(B74&lt;=10,Parámetros!$D$100,0))),2))</f>
        <v>0</v>
      </c>
      <c r="AU74" s="66">
        <f t="shared" si="55"/>
        <v>0</v>
      </c>
      <c r="AV74" s="66">
        <f t="shared" si="55"/>
        <v>0</v>
      </c>
      <c r="AW74" s="66">
        <f>+IF($W74="","",ROUND((AT74*Parámetros!$G$85),2))</f>
        <v>0</v>
      </c>
      <c r="AX74" s="66">
        <f>+IF($W74="","",ROUND((AT74*(Parámetros!$G$86)),2))</f>
        <v>0</v>
      </c>
      <c r="AY74" s="66">
        <f t="shared" si="56"/>
        <v>0</v>
      </c>
      <c r="AZ74" t="str">
        <f t="shared" si="123"/>
        <v>00060</v>
      </c>
      <c r="BA74" t="str">
        <f t="shared" si="124"/>
        <v>Muerte Accidental</v>
      </c>
      <c r="BB74" s="118">
        <f t="shared" si="125"/>
        <v>0</v>
      </c>
      <c r="BC74" s="118" t="str">
        <f t="shared" si="126"/>
        <v>A</v>
      </c>
      <c r="BD74" s="119" t="str">
        <f>+IF(OR($W74="",BB74=0),"",ROUND((VLOOKUP(ROUNDDOWN($D74-1/frec,0),cob_adi,AO$40,FALSE)*(1+i/frec)^-0.5*(1+Parámetros!$D$103)*(1+rec_fracc)/frec),6))</f>
        <v/>
      </c>
      <c r="BE74" s="66">
        <f t="shared" si="61"/>
        <v>0</v>
      </c>
      <c r="BF74" s="119" t="str">
        <f t="shared" si="62"/>
        <v/>
      </c>
      <c r="BG74" s="66">
        <f>+IF($W74="","",ROUND(IF($B74&gt;Parámetros!$D$107,'Tablas Servicio'!BE74+('Tablas Servicio'!BG73-'Tablas Servicio'!BE73),BE74/(1-IF(B74&lt;=10,Parámetros!$D$100,0))),2))</f>
        <v>0</v>
      </c>
      <c r="BH74" s="66">
        <f t="shared" si="63"/>
        <v>0</v>
      </c>
      <c r="BI74" s="66">
        <f t="shared" si="64"/>
        <v>0</v>
      </c>
      <c r="BJ74" s="66">
        <f>+IF($W74="","",ROUND((BG74*Parámetros!$G$85),2))</f>
        <v>0</v>
      </c>
      <c r="BK74" s="66">
        <f>+IF($W74="","",ROUND((BG74*(Parámetros!$G$86)),2))</f>
        <v>0</v>
      </c>
      <c r="BL74" s="66">
        <f t="shared" si="65"/>
        <v>0</v>
      </c>
      <c r="BM74" t="str">
        <f t="shared" si="127"/>
        <v>00061</v>
      </c>
      <c r="BN74" t="str">
        <f t="shared" si="128"/>
        <v>Gastos de Entierro</v>
      </c>
      <c r="BO74" s="118">
        <f t="shared" si="129"/>
        <v>0</v>
      </c>
      <c r="BP74" s="118" t="str">
        <f t="shared" si="130"/>
        <v>A</v>
      </c>
      <c r="BQ74" s="119" t="str">
        <f>+IF(OR($W74="",BO74=0),"",ROUND((VLOOKUP(ROUNDDOWN($D74-1/frec,0),cob_adi,BB$40,FALSE)*(1+i/frec)^-0.5*(1+Parámetros!$D$103)*(1+rec_fracc)/frec),6))</f>
        <v/>
      </c>
      <c r="BR74" s="66">
        <f t="shared" si="70"/>
        <v>0</v>
      </c>
      <c r="BS74" s="119" t="str">
        <f t="shared" si="71"/>
        <v/>
      </c>
      <c r="BT74" s="66">
        <f>+IF($W74="","",ROUND(IF($B74&gt;Parámetros!$D$107,'Tablas Servicio'!BR74+('Tablas Servicio'!BT73-'Tablas Servicio'!BR73),BR74/(1-IF(B74&lt;=10,Parámetros!$D$100,0))),2))</f>
        <v>0</v>
      </c>
      <c r="BU74" s="66">
        <f t="shared" si="72"/>
        <v>0</v>
      </c>
      <c r="BV74" s="66">
        <f t="shared" si="72"/>
        <v>0</v>
      </c>
      <c r="BW74" s="66">
        <f>+IF($W74="","",ROUND((BT74*Parámetros!$G$85),2))</f>
        <v>0</v>
      </c>
      <c r="BX74" s="66">
        <f>+IF($W74="","",ROUND((BT74*(Parámetros!$G$86)),2))</f>
        <v>0</v>
      </c>
      <c r="BY74" s="66">
        <f t="shared" si="73"/>
        <v>0</v>
      </c>
      <c r="BZ74" t="str">
        <f t="shared" si="131"/>
        <v>00062</v>
      </c>
      <c r="CA74" t="str">
        <f t="shared" si="132"/>
        <v>Gastos médicos por accidente</v>
      </c>
      <c r="CB74" s="118">
        <f t="shared" si="133"/>
        <v>0</v>
      </c>
      <c r="CC74" s="118" t="str">
        <f t="shared" si="134"/>
        <v>A</v>
      </c>
      <c r="CD74" s="119" t="str">
        <f t="shared" si="78"/>
        <v/>
      </c>
      <c r="CE74" s="66">
        <f>+IF($W74="","",ROUND((VLOOKUP(ROUNDDOWN($D74-1/frec,0),cob_adi,BO$40,FALSE)*(1+i/frec)^-0.5*(1+Parámetros!$D$103)*(1+rec_fracc)/frec*'TABLAS ADI'!$BC$17),2))</f>
        <v>0</v>
      </c>
      <c r="CF74" s="119" t="str">
        <f t="shared" si="79"/>
        <v/>
      </c>
      <c r="CG74" s="66">
        <f>+IF($W74="","",ROUND(IF($B74&gt;Parámetros!$D$107,'Tablas Servicio'!CE74+('Tablas Servicio'!CG73-'Tablas Servicio'!CE73),CE74/(1-IF(B74&lt;=10,Parámetros!$D$100,0))),2))</f>
        <v>0</v>
      </c>
      <c r="CH74" s="66">
        <f t="shared" si="80"/>
        <v>0</v>
      </c>
      <c r="CI74" s="66">
        <f t="shared" si="80"/>
        <v>0</v>
      </c>
      <c r="CJ74" s="66">
        <f>+IF($W74="","",ROUND((CG74*Parámetros!$G$85),2))</f>
        <v>0</v>
      </c>
      <c r="CK74" s="66">
        <f>+IF($W74="","",ROUND((CG74*(Parámetros!$G$86)),2))</f>
        <v>0</v>
      </c>
      <c r="CL74" s="66">
        <f t="shared" si="81"/>
        <v>0</v>
      </c>
      <c r="CM74" t="str">
        <f t="shared" si="135"/>
        <v>00063</v>
      </c>
      <c r="CN74" s="118" t="str">
        <f t="shared" si="136"/>
        <v>Renta Diaria por Hospitalización</v>
      </c>
      <c r="CO74" s="118">
        <f t="shared" si="137"/>
        <v>0</v>
      </c>
      <c r="CP74" s="118" t="str">
        <f t="shared" si="138"/>
        <v>A</v>
      </c>
      <c r="CQ74" s="119" t="str">
        <f t="shared" si="86"/>
        <v/>
      </c>
      <c r="CR74" s="66">
        <f>+IF($W74="","",ROUND((VLOOKUP(Parámetros!$F$51,'COBERTURAS ADICIONALES'!$S$4:$T$32,2,FALSE)*(1+i/frec)^-0.5*(1+Parámetros!$D$103)*(1+rec_fracc)/frec*$CO$42),2))</f>
        <v>0</v>
      </c>
      <c r="CS74" s="119" t="str">
        <f t="shared" si="87"/>
        <v/>
      </c>
      <c r="CT74" s="66">
        <f>+IF($W74="","",ROUND(IF($B74&gt;Parámetros!$D$107,'Tablas Servicio'!CR74+('Tablas Servicio'!CT73-'Tablas Servicio'!CR73),CR74/(1-IF(B74&lt;=10,Parámetros!$D$100,0))),2))</f>
        <v>0</v>
      </c>
      <c r="CU74" s="66">
        <f t="shared" si="88"/>
        <v>0</v>
      </c>
      <c r="CV74" s="66">
        <f t="shared" si="88"/>
        <v>0</v>
      </c>
      <c r="CW74" s="66">
        <f>+IF($W74="","",ROUND((CT74*Parámetros!$G$85),2))</f>
        <v>0</v>
      </c>
      <c r="CX74" s="66">
        <f>+IF($W74="","",ROUND((CT74*(Parámetros!$G$86)),2))</f>
        <v>0</v>
      </c>
      <c r="CY74" s="66">
        <f t="shared" si="89"/>
        <v>0</v>
      </c>
      <c r="CZ74" t="str">
        <f t="shared" si="139"/>
        <v>00064</v>
      </c>
      <c r="DA74" s="118" t="str">
        <f t="shared" si="140"/>
        <v>Enfermedades Graves</v>
      </c>
      <c r="DB74" s="118">
        <f t="shared" si="141"/>
        <v>0</v>
      </c>
      <c r="DC74" s="118" t="str">
        <f t="shared" si="142"/>
        <v>A</v>
      </c>
      <c r="DD74" s="121" t="str">
        <f>+IF(OR($W74="",DB74=0),"",ROUND((VLOOKUP(ROUNDDOWN($D74-1/frec,0),cob_adi,CO$40,FALSE)*(1+i/frec)^-0.5*(1+Parámetros!$D$103)*(1+rec_fracc)/frec),6))</f>
        <v/>
      </c>
      <c r="DE74" s="66">
        <f t="shared" si="94"/>
        <v>0</v>
      </c>
      <c r="DF74" s="119" t="str">
        <f t="shared" si="95"/>
        <v/>
      </c>
      <c r="DG74" s="66">
        <f>+IF($W74="","",ROUND(IF($B74&gt;Parámetros!$D$107,'Tablas Servicio'!DE74+('Tablas Servicio'!DG73-'Tablas Servicio'!DE73),DE74/(1-IF(B74&lt;=10,Parámetros!$D$100,0))),2))</f>
        <v>0</v>
      </c>
      <c r="DH74" s="66">
        <f t="shared" si="96"/>
        <v>0</v>
      </c>
      <c r="DI74" s="66">
        <f t="shared" si="96"/>
        <v>0</v>
      </c>
      <c r="DJ74" s="66">
        <f>+IF($W74="","",ROUND((DG74*Parámetros!$G$85),2))</f>
        <v>0</v>
      </c>
      <c r="DK74" s="66">
        <f>+IF($W74="","",ROUND((DG74*(Parámetros!$G$86)),2))</f>
        <v>0</v>
      </c>
      <c r="DL74" s="66">
        <f t="shared" si="97"/>
        <v>0</v>
      </c>
      <c r="DM74" t="str">
        <f t="shared" si="143"/>
        <v>00065</v>
      </c>
      <c r="DN74" s="118" t="str">
        <f t="shared" si="144"/>
        <v>Exención pago de primas</v>
      </c>
      <c r="DO74" s="118">
        <f t="shared" si="145"/>
        <v>0</v>
      </c>
      <c r="DP74" s="118" t="str">
        <f t="shared" si="146"/>
        <v>A</v>
      </c>
      <c r="DQ74" s="122" t="str">
        <f>+IF(OR($W74="",DO74=0),"",ROUND((VLOOKUP(ROUNDDOWN($D74-1/frec,0),cob_adi,DB$40,FALSE)*(1+i/frec)^-0.5*(1+Parámetros!$D$103)*(1+rec_fracc)/frec),6))</f>
        <v/>
      </c>
      <c r="DR74" s="66">
        <f t="shared" si="102"/>
        <v>0</v>
      </c>
      <c r="DS74" s="68" t="str">
        <f t="shared" si="103"/>
        <v/>
      </c>
      <c r="DT74" s="66">
        <f>+IF($W74="","",ROUND(IF($B74&gt;Parámetros!$D$107,'Tablas Servicio'!DR74+('Tablas Servicio'!DT73-'Tablas Servicio'!DR73),DR74/(1-IF(B74&lt;=10,Parámetros!$D$100,0))),2))</f>
        <v>0</v>
      </c>
      <c r="DU74" s="66">
        <f t="shared" si="104"/>
        <v>0</v>
      </c>
      <c r="DV74" s="66">
        <f t="shared" si="104"/>
        <v>0</v>
      </c>
      <c r="DW74" s="66">
        <f>+IF($W74="","",ROUND((DT74*Parámetros!$G$85),2))</f>
        <v>0</v>
      </c>
      <c r="DX74" s="66">
        <f>+IF($W74="","",ROUND((DT74*(Parámetros!$G$86)),2))</f>
        <v>0</v>
      </c>
      <c r="DY74" s="66">
        <f t="shared" si="105"/>
        <v>0</v>
      </c>
      <c r="DZ74" t="str">
        <f t="shared" si="147"/>
        <v>00066</v>
      </c>
      <c r="EA74" s="118" t="str">
        <f t="shared" si="147"/>
        <v>Enfermedad terminal</v>
      </c>
      <c r="EB74" s="118">
        <f>+IF($W74="","",ROUND(IF(Parámetros!$D$25='TABLAS MORT'!$V$33,EB73,Z74/2),0))</f>
        <v>50000</v>
      </c>
      <c r="EC74" s="118" t="str">
        <f t="shared" si="147"/>
        <v>A</v>
      </c>
      <c r="ED74" s="122">
        <f>+IF(OR($W74="",EB74=0),"",ROUND((VLOOKUP(ROUNDDOWN($D74-1/frec,0),cob_adi,DO$40,FALSE)*(1+i/frec)^-0.5*(1+Parámetros!$D$103)*(1+rec_fracc)/frec),6))</f>
        <v>7.9999999999999996E-6</v>
      </c>
      <c r="EE74" s="66">
        <f t="shared" si="107"/>
        <v>0.4</v>
      </c>
      <c r="EF74" s="68">
        <f t="shared" si="108"/>
        <v>9.0000000000000002E-6</v>
      </c>
      <c r="EG74" s="66">
        <f>+IF($W74="","",ROUND(IF($B74&gt;Parámetros!$D$107,'Tablas Servicio'!EE74+('Tablas Servicio'!EG73-'Tablas Servicio'!EE73),EE74/(1-IF(B74&lt;=10,Parámetros!$D$100,0))),2))</f>
        <v>0.45</v>
      </c>
      <c r="EH74" s="66">
        <f t="shared" si="109"/>
        <v>0</v>
      </c>
      <c r="EI74" s="66">
        <f t="shared" si="109"/>
        <v>0</v>
      </c>
      <c r="EJ74" s="66">
        <f>+IF($W74="","",ROUND((EG74*Parámetros!$G$85),2))</f>
        <v>0.02</v>
      </c>
      <c r="EK74" s="66">
        <f>+IF($W74="","",ROUND((EG74*(Parámetros!$G$86)),2))</f>
        <v>0</v>
      </c>
      <c r="EL74" s="66">
        <f t="shared" si="110"/>
        <v>0.47</v>
      </c>
    </row>
    <row r="75" spans="1:142" x14ac:dyDescent="0.25">
      <c r="A75">
        <f>+IF($C75="","",ROUND(VLOOKUP('Tablas Servicio'!B75,Parámetros!$H$100:$J$159,IF(Parámetros!$E$16="F",2,3),FALSE),2))</f>
        <v>150</v>
      </c>
      <c r="B75">
        <f t="shared" si="27"/>
        <v>3</v>
      </c>
      <c r="C75" s="57">
        <f>+IF(D75="","",'Tablas Servicio'!C74+1)</f>
        <v>34</v>
      </c>
      <c r="D75" s="56">
        <f>+IF(D74&lt;edadmaxtabla,D74+1/Parámetros!$E$25,"")</f>
        <v>42.853333333333417</v>
      </c>
      <c r="E75" s="57">
        <f t="shared" si="37"/>
        <v>42</v>
      </c>
      <c r="F75" s="59">
        <f t="shared" si="38"/>
        <v>100000</v>
      </c>
      <c r="G75" s="66">
        <f t="shared" si="39"/>
        <v>27.14</v>
      </c>
      <c r="H75" s="66">
        <f t="shared" si="28"/>
        <v>28.22</v>
      </c>
      <c r="I75" s="66">
        <f t="shared" si="112"/>
        <v>57.980000000000004</v>
      </c>
      <c r="J75" s="66">
        <f t="shared" si="29"/>
        <v>0.95000000000000007</v>
      </c>
      <c r="K75" s="66">
        <f t="shared" si="30"/>
        <v>0.13</v>
      </c>
      <c r="L75" s="66">
        <f t="shared" si="31"/>
        <v>0</v>
      </c>
      <c r="M75" s="66">
        <f t="shared" si="32"/>
        <v>0</v>
      </c>
      <c r="N75" s="66">
        <f>+IF(C75="","",ROUND(Parámetros!$D$23,2))</f>
        <v>94</v>
      </c>
      <c r="O75" s="66">
        <f t="shared" si="33"/>
        <v>13.3</v>
      </c>
      <c r="P75" s="66">
        <f>+IF($C75="","",ROUND(IF(B75&gt;Parámetros!$D$117,0,N75*Parámetros!$D$116-G75*Parámetros!$D$100),2))</f>
        <v>7.8</v>
      </c>
      <c r="Q75" s="75">
        <f t="shared" si="113"/>
        <v>3.5003684598378777E-2</v>
      </c>
      <c r="R75" s="75">
        <f t="shared" si="114"/>
        <v>4.7899778924097277E-3</v>
      </c>
      <c r="S75" s="117">
        <f>+IF($C75="","",ROUND((S74+I75)*(1+Parámetros!$D$91),2))</f>
        <v>2143.2600000000002</v>
      </c>
      <c r="T75" s="117">
        <f>+IF($C75="","",ROUND(S75*VLOOKUP(B75,Parámetros!$C$30:$D$39,2,TRUE),2))</f>
        <v>0</v>
      </c>
      <c r="U75" s="117">
        <f>+IF($C75="","",ROUND((U74+I75)*(1+Parámetros!$D$92),2))</f>
        <v>2158.9499999999998</v>
      </c>
      <c r="V75" s="117">
        <f>+IF($C75="","",ROUND(U75*VLOOKUP(B75,Parámetros!$C$30:$D$39,2,TRUE),2))</f>
        <v>0</v>
      </c>
      <c r="W75" s="57">
        <f t="shared" si="115"/>
        <v>34</v>
      </c>
      <c r="X75" t="str">
        <f t="shared" si="116"/>
        <v>00058</v>
      </c>
      <c r="Y75" t="str">
        <f t="shared" si="117"/>
        <v>MUERTE POR CUALQUIER CAUSA</v>
      </c>
      <c r="Z75" s="118">
        <f>+IF($W75="","",ROUND(IF(Parámetros!$D$25='TABLAS MORT'!$V$33,Z74,Parámetros!$D$21-'Tablas Servicio'!T74),0))</f>
        <v>100000</v>
      </c>
      <c r="AA75" s="118" t="str">
        <f t="shared" si="118"/>
        <v>P</v>
      </c>
      <c r="AB75" s="119">
        <f>+IF(W75="","",ROUND((VLOOKUP(ROUNDDOWN($D75-1/frec,0),qx_tabla,2,FALSE)*(1+i/frec)^-0.5*(1+Parámetros!$D$103)*(1+rec_fracc)/frec),6))</f>
        <v>1.2899999999999999E-4</v>
      </c>
      <c r="AC75" s="66">
        <f t="shared" si="46"/>
        <v>12.9</v>
      </c>
      <c r="AD75" s="119">
        <f t="shared" si="35"/>
        <v>2.6699999999999998E-4</v>
      </c>
      <c r="AE75" s="66">
        <f>+IF($W75="","",ROUND(IF($B75&gt;Parámetros!$D$107,'Tablas Servicio'!AC75+('Tablas Servicio'!AG74-'Tablas Servicio'!AC74),AC75/(1-IF(B75&lt;=10,Parámetros!$D$104,Parámetros!$D$105))),2))</f>
        <v>26.69</v>
      </c>
      <c r="AF75" s="66">
        <f>+IF($W75="","",ROUND(IF($B75&gt;Parámetros!$D$107,'Tablas Servicio'!AC75+('Tablas Servicio'!AG74-'Tablas Servicio'!AC74),(AC75+$A74/frec)/(1-IF(B75&lt;=Parámetros!$D$117,Parámetros!$D$100,0))),2))</f>
        <v>28.76</v>
      </c>
      <c r="AG75" s="66">
        <f t="shared" si="111"/>
        <v>26.69</v>
      </c>
      <c r="AH75" s="66">
        <f t="shared" si="47"/>
        <v>0</v>
      </c>
      <c r="AI75" s="66">
        <f t="shared" si="48"/>
        <v>0</v>
      </c>
      <c r="AJ75" s="66">
        <f>+IF($W75="","",ROUND((AG75*Parámetros!$G$85),2))</f>
        <v>0.93</v>
      </c>
      <c r="AK75" s="66">
        <f>+IF($W75="","",ROUND((AG75*(Parámetros!$G$86)),2))</f>
        <v>0.13</v>
      </c>
      <c r="AL75" s="66">
        <f t="shared" si="36"/>
        <v>27.75</v>
      </c>
      <c r="AM75" t="str">
        <f t="shared" si="119"/>
        <v>00059</v>
      </c>
      <c r="AN75" t="str">
        <f t="shared" si="120"/>
        <v>Incapacidad Total y Permanente</v>
      </c>
      <c r="AO75" s="118">
        <f t="shared" si="121"/>
        <v>0</v>
      </c>
      <c r="AP75" s="118" t="str">
        <f t="shared" si="122"/>
        <v>A</v>
      </c>
      <c r="AQ75" s="119" t="str">
        <f>+IF(OR($W75="",AO75=0),"",ROUND((VLOOKUP(ROUNDDOWN($D75-1/frec,0),cob_adi,Z$40,FALSE)*(1+i/frec)^-0.5*(1+Parámetros!$D$103)*(1+rec_fracc)/frec),6))</f>
        <v/>
      </c>
      <c r="AR75" s="66">
        <f t="shared" si="53"/>
        <v>0</v>
      </c>
      <c r="AS75" s="119" t="str">
        <f t="shared" si="54"/>
        <v/>
      </c>
      <c r="AT75" s="66">
        <f>+IF($W75="","",ROUND(IF($B75&gt;Parámetros!$D$107,'Tablas Servicio'!AR75+('Tablas Servicio'!AT74-'Tablas Servicio'!AR74),AR75/(1-IF(B75&lt;=10,Parámetros!$D$100,0))),2))</f>
        <v>0</v>
      </c>
      <c r="AU75" s="66">
        <f t="shared" si="55"/>
        <v>0</v>
      </c>
      <c r="AV75" s="66">
        <f t="shared" si="55"/>
        <v>0</v>
      </c>
      <c r="AW75" s="66">
        <f>+IF($W75="","",ROUND((AT75*Parámetros!$G$85),2))</f>
        <v>0</v>
      </c>
      <c r="AX75" s="66">
        <f>+IF($W75="","",ROUND((AT75*(Parámetros!$G$86)),2))</f>
        <v>0</v>
      </c>
      <c r="AY75" s="66">
        <f t="shared" si="56"/>
        <v>0</v>
      </c>
      <c r="AZ75" t="str">
        <f t="shared" si="123"/>
        <v>00060</v>
      </c>
      <c r="BA75" t="str">
        <f t="shared" si="124"/>
        <v>Muerte Accidental</v>
      </c>
      <c r="BB75" s="118">
        <f t="shared" si="125"/>
        <v>0</v>
      </c>
      <c r="BC75" s="118" t="str">
        <f t="shared" si="126"/>
        <v>A</v>
      </c>
      <c r="BD75" s="119" t="str">
        <f>+IF(OR($W75="",BB75=0),"",ROUND((VLOOKUP(ROUNDDOWN($D75-1/frec,0),cob_adi,AO$40,FALSE)*(1+i/frec)^-0.5*(1+Parámetros!$D$103)*(1+rec_fracc)/frec),6))</f>
        <v/>
      </c>
      <c r="BE75" s="66">
        <f t="shared" si="61"/>
        <v>0</v>
      </c>
      <c r="BF75" s="119" t="str">
        <f t="shared" si="62"/>
        <v/>
      </c>
      <c r="BG75" s="66">
        <f>+IF($W75="","",ROUND(IF($B75&gt;Parámetros!$D$107,'Tablas Servicio'!BE75+('Tablas Servicio'!BG74-'Tablas Servicio'!BE74),BE75/(1-IF(B75&lt;=10,Parámetros!$D$100,0))),2))</f>
        <v>0</v>
      </c>
      <c r="BH75" s="66">
        <f t="shared" si="63"/>
        <v>0</v>
      </c>
      <c r="BI75" s="66">
        <f t="shared" si="64"/>
        <v>0</v>
      </c>
      <c r="BJ75" s="66">
        <f>+IF($W75="","",ROUND((BG75*Parámetros!$G$85),2))</f>
        <v>0</v>
      </c>
      <c r="BK75" s="66">
        <f>+IF($W75="","",ROUND((BG75*(Parámetros!$G$86)),2))</f>
        <v>0</v>
      </c>
      <c r="BL75" s="66">
        <f t="shared" si="65"/>
        <v>0</v>
      </c>
      <c r="BM75" t="str">
        <f t="shared" si="127"/>
        <v>00061</v>
      </c>
      <c r="BN75" t="str">
        <f t="shared" si="128"/>
        <v>Gastos de Entierro</v>
      </c>
      <c r="BO75" s="118">
        <f t="shared" si="129"/>
        <v>0</v>
      </c>
      <c r="BP75" s="118" t="str">
        <f t="shared" si="130"/>
        <v>A</v>
      </c>
      <c r="BQ75" s="119" t="str">
        <f>+IF(OR($W75="",BO75=0),"",ROUND((VLOOKUP(ROUNDDOWN($D75-1/frec,0),cob_adi,BB$40,FALSE)*(1+i/frec)^-0.5*(1+Parámetros!$D$103)*(1+rec_fracc)/frec),6))</f>
        <v/>
      </c>
      <c r="BR75" s="66">
        <f t="shared" si="70"/>
        <v>0</v>
      </c>
      <c r="BS75" s="119" t="str">
        <f t="shared" si="71"/>
        <v/>
      </c>
      <c r="BT75" s="66">
        <f>+IF($W75="","",ROUND(IF($B75&gt;Parámetros!$D$107,'Tablas Servicio'!BR75+('Tablas Servicio'!BT74-'Tablas Servicio'!BR74),BR75/(1-IF(B75&lt;=10,Parámetros!$D$100,0))),2))</f>
        <v>0</v>
      </c>
      <c r="BU75" s="66">
        <f t="shared" si="72"/>
        <v>0</v>
      </c>
      <c r="BV75" s="66">
        <f t="shared" si="72"/>
        <v>0</v>
      </c>
      <c r="BW75" s="66">
        <f>+IF($W75="","",ROUND((BT75*Parámetros!$G$85),2))</f>
        <v>0</v>
      </c>
      <c r="BX75" s="66">
        <f>+IF($W75="","",ROUND((BT75*(Parámetros!$G$86)),2))</f>
        <v>0</v>
      </c>
      <c r="BY75" s="66">
        <f t="shared" si="73"/>
        <v>0</v>
      </c>
      <c r="BZ75" t="str">
        <f t="shared" si="131"/>
        <v>00062</v>
      </c>
      <c r="CA75" t="str">
        <f t="shared" si="132"/>
        <v>Gastos médicos por accidente</v>
      </c>
      <c r="CB75" s="118">
        <f t="shared" si="133"/>
        <v>0</v>
      </c>
      <c r="CC75" s="118" t="str">
        <f t="shared" si="134"/>
        <v>A</v>
      </c>
      <c r="CD75" s="119" t="str">
        <f t="shared" si="78"/>
        <v/>
      </c>
      <c r="CE75" s="66">
        <f>+IF($W75="","",ROUND((VLOOKUP(ROUNDDOWN($D75-1/frec,0),cob_adi,BO$40,FALSE)*(1+i/frec)^-0.5*(1+Parámetros!$D$103)*(1+rec_fracc)/frec*'TABLAS ADI'!$BC$17),2))</f>
        <v>0</v>
      </c>
      <c r="CF75" s="119" t="str">
        <f t="shared" si="79"/>
        <v/>
      </c>
      <c r="CG75" s="66">
        <f>+IF($W75="","",ROUND(IF($B75&gt;Parámetros!$D$107,'Tablas Servicio'!CE75+('Tablas Servicio'!CG74-'Tablas Servicio'!CE74),CE75/(1-IF(B75&lt;=10,Parámetros!$D$100,0))),2))</f>
        <v>0</v>
      </c>
      <c r="CH75" s="66">
        <f t="shared" si="80"/>
        <v>0</v>
      </c>
      <c r="CI75" s="66">
        <f t="shared" si="80"/>
        <v>0</v>
      </c>
      <c r="CJ75" s="66">
        <f>+IF($W75="","",ROUND((CG75*Parámetros!$G$85),2))</f>
        <v>0</v>
      </c>
      <c r="CK75" s="66">
        <f>+IF($W75="","",ROUND((CG75*(Parámetros!$G$86)),2))</f>
        <v>0</v>
      </c>
      <c r="CL75" s="66">
        <f t="shared" si="81"/>
        <v>0</v>
      </c>
      <c r="CM75" t="str">
        <f t="shared" si="135"/>
        <v>00063</v>
      </c>
      <c r="CN75" s="118" t="str">
        <f t="shared" si="136"/>
        <v>Renta Diaria por Hospitalización</v>
      </c>
      <c r="CO75" s="118">
        <f t="shared" si="137"/>
        <v>0</v>
      </c>
      <c r="CP75" s="118" t="str">
        <f t="shared" si="138"/>
        <v>A</v>
      </c>
      <c r="CQ75" s="119" t="str">
        <f t="shared" si="86"/>
        <v/>
      </c>
      <c r="CR75" s="66">
        <f>+IF($W75="","",ROUND((VLOOKUP(Parámetros!$F$51,'COBERTURAS ADICIONALES'!$S$4:$T$32,2,FALSE)*(1+i/frec)^-0.5*(1+Parámetros!$D$103)*(1+rec_fracc)/frec*$CO$42),2))</f>
        <v>0</v>
      </c>
      <c r="CS75" s="119" t="str">
        <f t="shared" si="87"/>
        <v/>
      </c>
      <c r="CT75" s="66">
        <f>+IF($W75="","",ROUND(IF($B75&gt;Parámetros!$D$107,'Tablas Servicio'!CR75+('Tablas Servicio'!CT74-'Tablas Servicio'!CR74),CR75/(1-IF(B75&lt;=10,Parámetros!$D$100,0))),2))</f>
        <v>0</v>
      </c>
      <c r="CU75" s="66">
        <f t="shared" si="88"/>
        <v>0</v>
      </c>
      <c r="CV75" s="66">
        <f t="shared" si="88"/>
        <v>0</v>
      </c>
      <c r="CW75" s="66">
        <f>+IF($W75="","",ROUND((CT75*Parámetros!$G$85),2))</f>
        <v>0</v>
      </c>
      <c r="CX75" s="66">
        <f>+IF($W75="","",ROUND((CT75*(Parámetros!$G$86)),2))</f>
        <v>0</v>
      </c>
      <c r="CY75" s="66">
        <f t="shared" si="89"/>
        <v>0</v>
      </c>
      <c r="CZ75" t="str">
        <f t="shared" si="139"/>
        <v>00064</v>
      </c>
      <c r="DA75" s="118" t="str">
        <f t="shared" si="140"/>
        <v>Enfermedades Graves</v>
      </c>
      <c r="DB75" s="118">
        <f t="shared" si="141"/>
        <v>0</v>
      </c>
      <c r="DC75" s="118" t="str">
        <f t="shared" si="142"/>
        <v>A</v>
      </c>
      <c r="DD75" s="121" t="str">
        <f>+IF(OR($W75="",DB75=0),"",ROUND((VLOOKUP(ROUNDDOWN($D75-1/frec,0),cob_adi,CO$40,FALSE)*(1+i/frec)^-0.5*(1+Parámetros!$D$103)*(1+rec_fracc)/frec),6))</f>
        <v/>
      </c>
      <c r="DE75" s="66">
        <f t="shared" si="94"/>
        <v>0</v>
      </c>
      <c r="DF75" s="119" t="str">
        <f t="shared" si="95"/>
        <v/>
      </c>
      <c r="DG75" s="66">
        <f>+IF($W75="","",ROUND(IF($B75&gt;Parámetros!$D$107,'Tablas Servicio'!DE75+('Tablas Servicio'!DG74-'Tablas Servicio'!DE74),DE75/(1-IF(B75&lt;=10,Parámetros!$D$100,0))),2))</f>
        <v>0</v>
      </c>
      <c r="DH75" s="66">
        <f t="shared" si="96"/>
        <v>0</v>
      </c>
      <c r="DI75" s="66">
        <f t="shared" si="96"/>
        <v>0</v>
      </c>
      <c r="DJ75" s="66">
        <f>+IF($W75="","",ROUND((DG75*Parámetros!$G$85),2))</f>
        <v>0</v>
      </c>
      <c r="DK75" s="66">
        <f>+IF($W75="","",ROUND((DG75*(Parámetros!$G$86)),2))</f>
        <v>0</v>
      </c>
      <c r="DL75" s="66">
        <f t="shared" si="97"/>
        <v>0</v>
      </c>
      <c r="DM75" t="str">
        <f t="shared" si="143"/>
        <v>00065</v>
      </c>
      <c r="DN75" s="118" t="str">
        <f t="shared" si="144"/>
        <v>Exención pago de primas</v>
      </c>
      <c r="DO75" s="118">
        <f t="shared" si="145"/>
        <v>0</v>
      </c>
      <c r="DP75" s="118" t="str">
        <f t="shared" si="146"/>
        <v>A</v>
      </c>
      <c r="DQ75" s="122" t="str">
        <f>+IF(OR($W75="",DO75=0),"",ROUND((VLOOKUP(ROUNDDOWN($D75-1/frec,0),cob_adi,DB$40,FALSE)*(1+i/frec)^-0.5*(1+Parámetros!$D$103)*(1+rec_fracc)/frec),6))</f>
        <v/>
      </c>
      <c r="DR75" s="66">
        <f t="shared" si="102"/>
        <v>0</v>
      </c>
      <c r="DS75" s="68" t="str">
        <f t="shared" si="103"/>
        <v/>
      </c>
      <c r="DT75" s="66">
        <f>+IF($W75="","",ROUND(IF($B75&gt;Parámetros!$D$107,'Tablas Servicio'!DR75+('Tablas Servicio'!DT74-'Tablas Servicio'!DR74),DR75/(1-IF(B75&lt;=10,Parámetros!$D$100,0))),2))</f>
        <v>0</v>
      </c>
      <c r="DU75" s="66">
        <f t="shared" si="104"/>
        <v>0</v>
      </c>
      <c r="DV75" s="66">
        <f t="shared" si="104"/>
        <v>0</v>
      </c>
      <c r="DW75" s="66">
        <f>+IF($W75="","",ROUND((DT75*Parámetros!$G$85),2))</f>
        <v>0</v>
      </c>
      <c r="DX75" s="66">
        <f>+IF($W75="","",ROUND((DT75*(Parámetros!$G$86)),2))</f>
        <v>0</v>
      </c>
      <c r="DY75" s="66">
        <f t="shared" si="105"/>
        <v>0</v>
      </c>
      <c r="DZ75" t="str">
        <f t="shared" ref="DZ75:EC90" si="148">+IF($W75="","",DZ74)</f>
        <v>00066</v>
      </c>
      <c r="EA75" s="118" t="str">
        <f t="shared" si="148"/>
        <v>Enfermedad terminal</v>
      </c>
      <c r="EB75" s="118">
        <f>+IF($W75="","",ROUND(IF(Parámetros!$D$25='TABLAS MORT'!$V$33,EB74,Z75/2),0))</f>
        <v>50000</v>
      </c>
      <c r="EC75" s="118" t="str">
        <f t="shared" si="148"/>
        <v>A</v>
      </c>
      <c r="ED75" s="122">
        <f>+IF(OR($W75="",EB75=0),"",ROUND((VLOOKUP(ROUNDDOWN($D75-1/frec,0),cob_adi,DO$40,FALSE)*(1+i/frec)^-0.5*(1+Parámetros!$D$103)*(1+rec_fracc)/frec),6))</f>
        <v>7.9999999999999996E-6</v>
      </c>
      <c r="EE75" s="66">
        <f t="shared" si="107"/>
        <v>0.4</v>
      </c>
      <c r="EF75" s="68">
        <f t="shared" si="108"/>
        <v>9.0000000000000002E-6</v>
      </c>
      <c r="EG75" s="66">
        <f>+IF($W75="","",ROUND(IF($B75&gt;Parámetros!$D$107,'Tablas Servicio'!EE75+('Tablas Servicio'!EG74-'Tablas Servicio'!EE74),EE75/(1-IF(B75&lt;=10,Parámetros!$D$100,0))),2))</f>
        <v>0.45</v>
      </c>
      <c r="EH75" s="66">
        <f t="shared" si="109"/>
        <v>0</v>
      </c>
      <c r="EI75" s="66">
        <f t="shared" si="109"/>
        <v>0</v>
      </c>
      <c r="EJ75" s="66">
        <f>+IF($W75="","",ROUND((EG75*Parámetros!$G$85),2))</f>
        <v>0.02</v>
      </c>
      <c r="EK75" s="66">
        <f>+IF($W75="","",ROUND((EG75*(Parámetros!$G$86)),2))</f>
        <v>0</v>
      </c>
      <c r="EL75" s="66">
        <f t="shared" si="110"/>
        <v>0.47</v>
      </c>
    </row>
    <row r="76" spans="1:142" x14ac:dyDescent="0.25">
      <c r="A76">
        <f>+IF($C76="","",ROUND(VLOOKUP('Tablas Servicio'!B76,Parámetros!$H$100:$J$159,IF(Parámetros!$E$16="F",2,3),FALSE),2))</f>
        <v>150</v>
      </c>
      <c r="B76">
        <f t="shared" si="27"/>
        <v>3</v>
      </c>
      <c r="C76" s="57">
        <f>+IF(D76="","",'Tablas Servicio'!C75+1)</f>
        <v>35</v>
      </c>
      <c r="D76" s="56">
        <f>+IF(D75&lt;edadmaxtabla,D75+1/Parámetros!$E$25,"")</f>
        <v>42.936666666666753</v>
      </c>
      <c r="E76" s="57">
        <f t="shared" si="37"/>
        <v>42</v>
      </c>
      <c r="F76" s="59">
        <f t="shared" si="38"/>
        <v>100000</v>
      </c>
      <c r="G76" s="66">
        <f t="shared" si="39"/>
        <v>27.14</v>
      </c>
      <c r="H76" s="66">
        <f t="shared" si="28"/>
        <v>28.22</v>
      </c>
      <c r="I76" s="66">
        <f t="shared" si="112"/>
        <v>57.980000000000004</v>
      </c>
      <c r="J76" s="66">
        <f t="shared" si="29"/>
        <v>0.95000000000000007</v>
      </c>
      <c r="K76" s="66">
        <f t="shared" si="30"/>
        <v>0.13</v>
      </c>
      <c r="L76" s="66">
        <f t="shared" si="31"/>
        <v>0</v>
      </c>
      <c r="M76" s="66">
        <f t="shared" si="32"/>
        <v>0</v>
      </c>
      <c r="N76" s="66">
        <f>+IF(C76="","",ROUND(Parámetros!$D$23,2))</f>
        <v>94</v>
      </c>
      <c r="O76" s="66">
        <f t="shared" si="33"/>
        <v>13.3</v>
      </c>
      <c r="P76" s="66">
        <f>+IF($C76="","",ROUND(IF(B76&gt;Parámetros!$D$117,0,N76*Parámetros!$D$116-G76*Parámetros!$D$100),2))</f>
        <v>7.8</v>
      </c>
      <c r="Q76" s="75">
        <f t="shared" si="113"/>
        <v>3.5003684598378777E-2</v>
      </c>
      <c r="R76" s="75">
        <f t="shared" si="114"/>
        <v>4.7899778924097277E-3</v>
      </c>
      <c r="S76" s="117">
        <f>+IF($C76="","",ROUND((S75+I76)*(1+Parámetros!$D$91),2))</f>
        <v>2207.48</v>
      </c>
      <c r="T76" s="117">
        <f>+IF($C76="","",ROUND(S76*VLOOKUP(B76,Parámetros!$C$30:$D$39,2,TRUE),2))</f>
        <v>0</v>
      </c>
      <c r="U76" s="117">
        <f>+IF($C76="","",ROUND((U75+I76)*(1+Parámetros!$D$92),2))</f>
        <v>2224.12</v>
      </c>
      <c r="V76" s="117">
        <f>+IF($C76="","",ROUND(U76*VLOOKUP(B76,Parámetros!$C$30:$D$39,2,TRUE),2))</f>
        <v>0</v>
      </c>
      <c r="W76" s="57">
        <f t="shared" si="115"/>
        <v>35</v>
      </c>
      <c r="X76" t="str">
        <f t="shared" si="116"/>
        <v>00058</v>
      </c>
      <c r="Y76" t="str">
        <f t="shared" si="117"/>
        <v>MUERTE POR CUALQUIER CAUSA</v>
      </c>
      <c r="Z76" s="118">
        <f>+IF($W76="","",ROUND(IF(Parámetros!$D$25='TABLAS MORT'!$V$33,Z75,Parámetros!$D$21-'Tablas Servicio'!T75),0))</f>
        <v>100000</v>
      </c>
      <c r="AA76" s="118" t="str">
        <f t="shared" si="118"/>
        <v>P</v>
      </c>
      <c r="AB76" s="119">
        <f>+IF(W76="","",ROUND((VLOOKUP(ROUNDDOWN($D76-1/frec,0),qx_tabla,2,FALSE)*(1+i/frec)^-0.5*(1+Parámetros!$D$103)*(1+rec_fracc)/frec),6))</f>
        <v>1.2899999999999999E-4</v>
      </c>
      <c r="AC76" s="66">
        <f t="shared" si="46"/>
        <v>12.9</v>
      </c>
      <c r="AD76" s="119">
        <f t="shared" si="35"/>
        <v>2.6699999999999998E-4</v>
      </c>
      <c r="AE76" s="66">
        <f>+IF($W76="","",ROUND(IF($B76&gt;Parámetros!$D$107,'Tablas Servicio'!AC76+('Tablas Servicio'!AG75-'Tablas Servicio'!AC75),AC76/(1-IF(B76&lt;=10,Parámetros!$D$104,Parámetros!$D$105))),2))</f>
        <v>26.69</v>
      </c>
      <c r="AF76" s="66">
        <f>+IF($W76="","",ROUND(IF($B76&gt;Parámetros!$D$107,'Tablas Servicio'!AC76+('Tablas Servicio'!AG75-'Tablas Servicio'!AC75),(AC76+$A75/frec)/(1-IF(B76&lt;=Parámetros!$D$117,Parámetros!$D$100,0))),2))</f>
        <v>28.76</v>
      </c>
      <c r="AG76" s="66">
        <f t="shared" si="111"/>
        <v>26.69</v>
      </c>
      <c r="AH76" s="66">
        <f t="shared" si="47"/>
        <v>0</v>
      </c>
      <c r="AI76" s="66">
        <f t="shared" si="48"/>
        <v>0</v>
      </c>
      <c r="AJ76" s="66">
        <f>+IF($W76="","",ROUND((AG76*Parámetros!$G$85),2))</f>
        <v>0.93</v>
      </c>
      <c r="AK76" s="66">
        <f>+IF($W76="","",ROUND((AG76*(Parámetros!$G$86)),2))</f>
        <v>0.13</v>
      </c>
      <c r="AL76" s="66">
        <f t="shared" si="36"/>
        <v>27.75</v>
      </c>
      <c r="AM76" t="str">
        <f t="shared" si="119"/>
        <v>00059</v>
      </c>
      <c r="AN76" t="str">
        <f t="shared" si="120"/>
        <v>Incapacidad Total y Permanente</v>
      </c>
      <c r="AO76" s="118">
        <f t="shared" si="121"/>
        <v>0</v>
      </c>
      <c r="AP76" s="118" t="str">
        <f t="shared" si="122"/>
        <v>A</v>
      </c>
      <c r="AQ76" s="119" t="str">
        <f>+IF(OR($W76="",AO76=0),"",ROUND((VLOOKUP(ROUNDDOWN($D76-1/frec,0),cob_adi,Z$40,FALSE)*(1+i/frec)^-0.5*(1+Parámetros!$D$103)*(1+rec_fracc)/frec),6))</f>
        <v/>
      </c>
      <c r="AR76" s="66">
        <f t="shared" si="53"/>
        <v>0</v>
      </c>
      <c r="AS76" s="119" t="str">
        <f t="shared" si="54"/>
        <v/>
      </c>
      <c r="AT76" s="66">
        <f>+IF($W76="","",ROUND(IF($B76&gt;Parámetros!$D$107,'Tablas Servicio'!AR76+('Tablas Servicio'!AT75-'Tablas Servicio'!AR75),AR76/(1-IF(B76&lt;=10,Parámetros!$D$100,0))),2))</f>
        <v>0</v>
      </c>
      <c r="AU76" s="66">
        <f t="shared" si="55"/>
        <v>0</v>
      </c>
      <c r="AV76" s="66">
        <f t="shared" si="55"/>
        <v>0</v>
      </c>
      <c r="AW76" s="66">
        <f>+IF($W76="","",ROUND((AT76*Parámetros!$G$85),2))</f>
        <v>0</v>
      </c>
      <c r="AX76" s="66">
        <f>+IF($W76="","",ROUND((AT76*(Parámetros!$G$86)),2))</f>
        <v>0</v>
      </c>
      <c r="AY76" s="66">
        <f t="shared" si="56"/>
        <v>0</v>
      </c>
      <c r="AZ76" t="str">
        <f t="shared" si="123"/>
        <v>00060</v>
      </c>
      <c r="BA76" t="str">
        <f t="shared" si="124"/>
        <v>Muerte Accidental</v>
      </c>
      <c r="BB76" s="118">
        <f t="shared" si="125"/>
        <v>0</v>
      </c>
      <c r="BC76" s="118" t="str">
        <f t="shared" si="126"/>
        <v>A</v>
      </c>
      <c r="BD76" s="119" t="str">
        <f>+IF(OR($W76="",BB76=0),"",ROUND((VLOOKUP(ROUNDDOWN($D76-1/frec,0),cob_adi,AO$40,FALSE)*(1+i/frec)^-0.5*(1+Parámetros!$D$103)*(1+rec_fracc)/frec),6))</f>
        <v/>
      </c>
      <c r="BE76" s="66">
        <f t="shared" si="61"/>
        <v>0</v>
      </c>
      <c r="BF76" s="119" t="str">
        <f t="shared" si="62"/>
        <v/>
      </c>
      <c r="BG76" s="66">
        <f>+IF($W76="","",ROUND(IF($B76&gt;Parámetros!$D$107,'Tablas Servicio'!BE76+('Tablas Servicio'!BG75-'Tablas Servicio'!BE75),BE76/(1-IF(B76&lt;=10,Parámetros!$D$100,0))),2))</f>
        <v>0</v>
      </c>
      <c r="BH76" s="66">
        <f t="shared" si="63"/>
        <v>0</v>
      </c>
      <c r="BI76" s="66">
        <f t="shared" si="64"/>
        <v>0</v>
      </c>
      <c r="BJ76" s="66">
        <f>+IF($W76="","",ROUND((BG76*Parámetros!$G$85),2))</f>
        <v>0</v>
      </c>
      <c r="BK76" s="66">
        <f>+IF($W76="","",ROUND((BG76*(Parámetros!$G$86)),2))</f>
        <v>0</v>
      </c>
      <c r="BL76" s="66">
        <f t="shared" si="65"/>
        <v>0</v>
      </c>
      <c r="BM76" t="str">
        <f t="shared" si="127"/>
        <v>00061</v>
      </c>
      <c r="BN76" t="str">
        <f t="shared" si="128"/>
        <v>Gastos de Entierro</v>
      </c>
      <c r="BO76" s="118">
        <f t="shared" si="129"/>
        <v>0</v>
      </c>
      <c r="BP76" s="118" t="str">
        <f t="shared" si="130"/>
        <v>A</v>
      </c>
      <c r="BQ76" s="119" t="str">
        <f>+IF(OR($W76="",BO76=0),"",ROUND((VLOOKUP(ROUNDDOWN($D76-1/frec,0),cob_adi,BB$40,FALSE)*(1+i/frec)^-0.5*(1+Parámetros!$D$103)*(1+rec_fracc)/frec),6))</f>
        <v/>
      </c>
      <c r="BR76" s="66">
        <f t="shared" si="70"/>
        <v>0</v>
      </c>
      <c r="BS76" s="119" t="str">
        <f t="shared" si="71"/>
        <v/>
      </c>
      <c r="BT76" s="66">
        <f>+IF($W76="","",ROUND(IF($B76&gt;Parámetros!$D$107,'Tablas Servicio'!BR76+('Tablas Servicio'!BT75-'Tablas Servicio'!BR75),BR76/(1-IF(B76&lt;=10,Parámetros!$D$100,0))),2))</f>
        <v>0</v>
      </c>
      <c r="BU76" s="66">
        <f t="shared" si="72"/>
        <v>0</v>
      </c>
      <c r="BV76" s="66">
        <f t="shared" si="72"/>
        <v>0</v>
      </c>
      <c r="BW76" s="66">
        <f>+IF($W76="","",ROUND((BT76*Parámetros!$G$85),2))</f>
        <v>0</v>
      </c>
      <c r="BX76" s="66">
        <f>+IF($W76="","",ROUND((BT76*(Parámetros!$G$86)),2))</f>
        <v>0</v>
      </c>
      <c r="BY76" s="66">
        <f t="shared" si="73"/>
        <v>0</v>
      </c>
      <c r="BZ76" t="str">
        <f t="shared" si="131"/>
        <v>00062</v>
      </c>
      <c r="CA76" t="str">
        <f t="shared" si="132"/>
        <v>Gastos médicos por accidente</v>
      </c>
      <c r="CB76" s="118">
        <f t="shared" si="133"/>
        <v>0</v>
      </c>
      <c r="CC76" s="118" t="str">
        <f t="shared" si="134"/>
        <v>A</v>
      </c>
      <c r="CD76" s="119" t="str">
        <f t="shared" si="78"/>
        <v/>
      </c>
      <c r="CE76" s="66">
        <f>+IF($W76="","",ROUND((VLOOKUP(ROUNDDOWN($D76-1/frec,0),cob_adi,BO$40,FALSE)*(1+i/frec)^-0.5*(1+Parámetros!$D$103)*(1+rec_fracc)/frec*'TABLAS ADI'!$BC$17),2))</f>
        <v>0</v>
      </c>
      <c r="CF76" s="119" t="str">
        <f t="shared" si="79"/>
        <v/>
      </c>
      <c r="CG76" s="66">
        <f>+IF($W76="","",ROUND(IF($B76&gt;Parámetros!$D$107,'Tablas Servicio'!CE76+('Tablas Servicio'!CG75-'Tablas Servicio'!CE75),CE76/(1-IF(B76&lt;=10,Parámetros!$D$100,0))),2))</f>
        <v>0</v>
      </c>
      <c r="CH76" s="66">
        <f t="shared" si="80"/>
        <v>0</v>
      </c>
      <c r="CI76" s="66">
        <f t="shared" si="80"/>
        <v>0</v>
      </c>
      <c r="CJ76" s="66">
        <f>+IF($W76="","",ROUND((CG76*Parámetros!$G$85),2))</f>
        <v>0</v>
      </c>
      <c r="CK76" s="66">
        <f>+IF($W76="","",ROUND((CG76*(Parámetros!$G$86)),2))</f>
        <v>0</v>
      </c>
      <c r="CL76" s="66">
        <f t="shared" si="81"/>
        <v>0</v>
      </c>
      <c r="CM76" t="str">
        <f t="shared" si="135"/>
        <v>00063</v>
      </c>
      <c r="CN76" s="118" t="str">
        <f t="shared" si="136"/>
        <v>Renta Diaria por Hospitalización</v>
      </c>
      <c r="CO76" s="118">
        <f t="shared" si="137"/>
        <v>0</v>
      </c>
      <c r="CP76" s="118" t="str">
        <f t="shared" si="138"/>
        <v>A</v>
      </c>
      <c r="CQ76" s="119" t="str">
        <f t="shared" si="86"/>
        <v/>
      </c>
      <c r="CR76" s="66">
        <f>+IF($W76="","",ROUND((VLOOKUP(Parámetros!$F$51,'COBERTURAS ADICIONALES'!$S$4:$T$32,2,FALSE)*(1+i/frec)^-0.5*(1+Parámetros!$D$103)*(1+rec_fracc)/frec*$CO$42),2))</f>
        <v>0</v>
      </c>
      <c r="CS76" s="119" t="str">
        <f t="shared" si="87"/>
        <v/>
      </c>
      <c r="CT76" s="66">
        <f>+IF($W76="","",ROUND(IF($B76&gt;Parámetros!$D$107,'Tablas Servicio'!CR76+('Tablas Servicio'!CT75-'Tablas Servicio'!CR75),CR76/(1-IF(B76&lt;=10,Parámetros!$D$100,0))),2))</f>
        <v>0</v>
      </c>
      <c r="CU76" s="66">
        <f t="shared" si="88"/>
        <v>0</v>
      </c>
      <c r="CV76" s="66">
        <f t="shared" si="88"/>
        <v>0</v>
      </c>
      <c r="CW76" s="66">
        <f>+IF($W76="","",ROUND((CT76*Parámetros!$G$85),2))</f>
        <v>0</v>
      </c>
      <c r="CX76" s="66">
        <f>+IF($W76="","",ROUND((CT76*(Parámetros!$G$86)),2))</f>
        <v>0</v>
      </c>
      <c r="CY76" s="66">
        <f t="shared" si="89"/>
        <v>0</v>
      </c>
      <c r="CZ76" t="str">
        <f t="shared" si="139"/>
        <v>00064</v>
      </c>
      <c r="DA76" s="118" t="str">
        <f t="shared" si="140"/>
        <v>Enfermedades Graves</v>
      </c>
      <c r="DB76" s="118">
        <f t="shared" si="141"/>
        <v>0</v>
      </c>
      <c r="DC76" s="118" t="str">
        <f t="shared" si="142"/>
        <v>A</v>
      </c>
      <c r="DD76" s="121" t="str">
        <f>+IF(OR($W76="",DB76=0),"",ROUND((VLOOKUP(ROUNDDOWN($D76-1/frec,0),cob_adi,CO$40,FALSE)*(1+i/frec)^-0.5*(1+Parámetros!$D$103)*(1+rec_fracc)/frec),6))</f>
        <v/>
      </c>
      <c r="DE76" s="66">
        <f t="shared" si="94"/>
        <v>0</v>
      </c>
      <c r="DF76" s="119" t="str">
        <f t="shared" si="95"/>
        <v/>
      </c>
      <c r="DG76" s="66">
        <f>+IF($W76="","",ROUND(IF($B76&gt;Parámetros!$D$107,'Tablas Servicio'!DE76+('Tablas Servicio'!DG75-'Tablas Servicio'!DE75),DE76/(1-IF(B76&lt;=10,Parámetros!$D$100,0))),2))</f>
        <v>0</v>
      </c>
      <c r="DH76" s="66">
        <f t="shared" si="96"/>
        <v>0</v>
      </c>
      <c r="DI76" s="66">
        <f t="shared" si="96"/>
        <v>0</v>
      </c>
      <c r="DJ76" s="66">
        <f>+IF($W76="","",ROUND((DG76*Parámetros!$G$85),2))</f>
        <v>0</v>
      </c>
      <c r="DK76" s="66">
        <f>+IF($W76="","",ROUND((DG76*(Parámetros!$G$86)),2))</f>
        <v>0</v>
      </c>
      <c r="DL76" s="66">
        <f t="shared" si="97"/>
        <v>0</v>
      </c>
      <c r="DM76" t="str">
        <f t="shared" si="143"/>
        <v>00065</v>
      </c>
      <c r="DN76" s="118" t="str">
        <f t="shared" si="144"/>
        <v>Exención pago de primas</v>
      </c>
      <c r="DO76" s="118">
        <f t="shared" si="145"/>
        <v>0</v>
      </c>
      <c r="DP76" s="118" t="str">
        <f t="shared" si="146"/>
        <v>A</v>
      </c>
      <c r="DQ76" s="122" t="str">
        <f>+IF(OR($W76="",DO76=0),"",ROUND((VLOOKUP(ROUNDDOWN($D76-1/frec,0),cob_adi,DB$40,FALSE)*(1+i/frec)^-0.5*(1+Parámetros!$D$103)*(1+rec_fracc)/frec),6))</f>
        <v/>
      </c>
      <c r="DR76" s="66">
        <f t="shared" si="102"/>
        <v>0</v>
      </c>
      <c r="DS76" s="68" t="str">
        <f t="shared" si="103"/>
        <v/>
      </c>
      <c r="DT76" s="66">
        <f>+IF($W76="","",ROUND(IF($B76&gt;Parámetros!$D$107,'Tablas Servicio'!DR76+('Tablas Servicio'!DT75-'Tablas Servicio'!DR75),DR76/(1-IF(B76&lt;=10,Parámetros!$D$100,0))),2))</f>
        <v>0</v>
      </c>
      <c r="DU76" s="66">
        <f t="shared" si="104"/>
        <v>0</v>
      </c>
      <c r="DV76" s="66">
        <f t="shared" si="104"/>
        <v>0</v>
      </c>
      <c r="DW76" s="66">
        <f>+IF($W76="","",ROUND((DT76*Parámetros!$G$85),2))</f>
        <v>0</v>
      </c>
      <c r="DX76" s="66">
        <f>+IF($W76="","",ROUND((DT76*(Parámetros!$G$86)),2))</f>
        <v>0</v>
      </c>
      <c r="DY76" s="66">
        <f t="shared" si="105"/>
        <v>0</v>
      </c>
      <c r="DZ76" t="str">
        <f t="shared" si="148"/>
        <v>00066</v>
      </c>
      <c r="EA76" s="118" t="str">
        <f t="shared" si="148"/>
        <v>Enfermedad terminal</v>
      </c>
      <c r="EB76" s="118">
        <f>+IF($W76="","",ROUND(IF(Parámetros!$D$25='TABLAS MORT'!$V$33,EB75,Z76/2),0))</f>
        <v>50000</v>
      </c>
      <c r="EC76" s="118" t="str">
        <f t="shared" si="148"/>
        <v>A</v>
      </c>
      <c r="ED76" s="122">
        <f>+IF(OR($W76="",EB76=0),"",ROUND((VLOOKUP(ROUNDDOWN($D76-1/frec,0),cob_adi,DO$40,FALSE)*(1+i/frec)^-0.5*(1+Parámetros!$D$103)*(1+rec_fracc)/frec),6))</f>
        <v>7.9999999999999996E-6</v>
      </c>
      <c r="EE76" s="66">
        <f t="shared" si="107"/>
        <v>0.4</v>
      </c>
      <c r="EF76" s="68">
        <f t="shared" si="108"/>
        <v>9.0000000000000002E-6</v>
      </c>
      <c r="EG76" s="66">
        <f>+IF($W76="","",ROUND(IF($B76&gt;Parámetros!$D$107,'Tablas Servicio'!EE76+('Tablas Servicio'!EG75-'Tablas Servicio'!EE75),EE76/(1-IF(B76&lt;=10,Parámetros!$D$100,0))),2))</f>
        <v>0.45</v>
      </c>
      <c r="EH76" s="66">
        <f t="shared" si="109"/>
        <v>0</v>
      </c>
      <c r="EI76" s="66">
        <f t="shared" si="109"/>
        <v>0</v>
      </c>
      <c r="EJ76" s="66">
        <f>+IF($W76="","",ROUND((EG76*Parámetros!$G$85),2))</f>
        <v>0.02</v>
      </c>
      <c r="EK76" s="66">
        <f>+IF($W76="","",ROUND((EG76*(Parámetros!$G$86)),2))</f>
        <v>0</v>
      </c>
      <c r="EL76" s="66">
        <f t="shared" si="110"/>
        <v>0.47</v>
      </c>
    </row>
    <row r="77" spans="1:142" x14ac:dyDescent="0.25">
      <c r="A77">
        <f>+IF($C77="","",ROUND(VLOOKUP('Tablas Servicio'!B77,Parámetros!$H$100:$J$159,IF(Parámetros!$E$16="F",2,3),FALSE),2))</f>
        <v>150</v>
      </c>
      <c r="B77">
        <f t="shared" si="27"/>
        <v>3</v>
      </c>
      <c r="C77" s="57">
        <f>+IF(D77="","",'Tablas Servicio'!C76+1)</f>
        <v>36</v>
      </c>
      <c r="D77" s="56">
        <f>+IF(D76&lt;edadmaxtabla,D76+1/Parámetros!$E$25,"")</f>
        <v>43.020000000000088</v>
      </c>
      <c r="E77" s="57">
        <f t="shared" si="37"/>
        <v>43</v>
      </c>
      <c r="F77" s="59">
        <f t="shared" si="38"/>
        <v>100000</v>
      </c>
      <c r="G77" s="66">
        <f t="shared" si="39"/>
        <v>27.14</v>
      </c>
      <c r="H77" s="66">
        <f t="shared" si="28"/>
        <v>28.22</v>
      </c>
      <c r="I77" s="66">
        <f t="shared" si="112"/>
        <v>57.980000000000004</v>
      </c>
      <c r="J77" s="66">
        <f t="shared" si="29"/>
        <v>0.95000000000000007</v>
      </c>
      <c r="K77" s="66">
        <f t="shared" si="30"/>
        <v>0.13</v>
      </c>
      <c r="L77" s="66">
        <f t="shared" si="31"/>
        <v>0</v>
      </c>
      <c r="M77" s="66">
        <f t="shared" si="32"/>
        <v>0</v>
      </c>
      <c r="N77" s="66">
        <f>+IF(C77="","",ROUND(Parámetros!$D$23,2))</f>
        <v>94</v>
      </c>
      <c r="O77" s="66">
        <f t="shared" si="33"/>
        <v>13.3</v>
      </c>
      <c r="P77" s="66">
        <f>+IF($C77="","",ROUND(IF(B77&gt;Parámetros!$D$117,0,N77*Parámetros!$D$116-G77*Parámetros!$D$100),2))</f>
        <v>7.8</v>
      </c>
      <c r="Q77" s="75">
        <f t="shared" si="113"/>
        <v>3.5003684598378777E-2</v>
      </c>
      <c r="R77" s="75">
        <f t="shared" si="114"/>
        <v>4.7899778924097277E-3</v>
      </c>
      <c r="S77" s="117">
        <f>+IF($C77="","",ROUND((S76+I77)*(1+Parámetros!$D$91),2))</f>
        <v>2271.89</v>
      </c>
      <c r="T77" s="117">
        <f>+IF($C77="","",ROUND(S77*VLOOKUP(B77,Parámetros!$C$30:$D$39,2,TRUE),2))</f>
        <v>0</v>
      </c>
      <c r="U77" s="117">
        <f>+IF($C77="","",ROUND((U76+I77)*(1+Parámetros!$D$92),2))</f>
        <v>2289.5</v>
      </c>
      <c r="V77" s="117">
        <f>+IF($C77="","",ROUND(U77*VLOOKUP(B77,Parámetros!$C$30:$D$39,2,TRUE),2))</f>
        <v>0</v>
      </c>
      <c r="W77" s="57">
        <f t="shared" si="115"/>
        <v>36</v>
      </c>
      <c r="X77" t="str">
        <f t="shared" si="116"/>
        <v>00058</v>
      </c>
      <c r="Y77" t="str">
        <f t="shared" si="117"/>
        <v>MUERTE POR CUALQUIER CAUSA</v>
      </c>
      <c r="Z77" s="118">
        <f>+IF($W77="","",ROUND(IF(Parámetros!$D$25='TABLAS MORT'!$V$33,Z76,Parámetros!$D$21-'Tablas Servicio'!T76),0))</f>
        <v>100000</v>
      </c>
      <c r="AA77" s="118" t="str">
        <f t="shared" si="118"/>
        <v>P</v>
      </c>
      <c r="AB77" s="119">
        <f>+IF(W77="","",ROUND((VLOOKUP(ROUNDDOWN($D77-1/frec,0),qx_tabla,2,FALSE)*(1+i/frec)^-0.5*(1+Parámetros!$D$103)*(1+rec_fracc)/frec),6))</f>
        <v>1.2899999999999999E-4</v>
      </c>
      <c r="AC77" s="66">
        <f t="shared" si="46"/>
        <v>12.9</v>
      </c>
      <c r="AD77" s="119">
        <f t="shared" si="35"/>
        <v>2.6699999999999998E-4</v>
      </c>
      <c r="AE77" s="66">
        <f>+IF($W77="","",ROUND(IF($B77&gt;Parámetros!$D$107,'Tablas Servicio'!AC77+('Tablas Servicio'!AG76-'Tablas Servicio'!AC76),AC77/(1-IF(B77&lt;=10,Parámetros!$D$104,Parámetros!$D$105))),2))</f>
        <v>26.69</v>
      </c>
      <c r="AF77" s="66">
        <f>+IF($W77="","",ROUND(IF($B77&gt;Parámetros!$D$107,'Tablas Servicio'!AC77+('Tablas Servicio'!AG76-'Tablas Servicio'!AC76),(AC77+$A76/frec)/(1-IF(B77&lt;=Parámetros!$D$117,Parámetros!$D$100,0))),2))</f>
        <v>28.76</v>
      </c>
      <c r="AG77" s="66">
        <f t="shared" si="111"/>
        <v>26.69</v>
      </c>
      <c r="AH77" s="66">
        <f t="shared" si="47"/>
        <v>0</v>
      </c>
      <c r="AI77" s="66">
        <f t="shared" si="48"/>
        <v>0</v>
      </c>
      <c r="AJ77" s="66">
        <f>+IF($W77="","",ROUND((AG77*Parámetros!$G$85),2))</f>
        <v>0.93</v>
      </c>
      <c r="AK77" s="66">
        <f>+IF($W77="","",ROUND((AG77*(Parámetros!$G$86)),2))</f>
        <v>0.13</v>
      </c>
      <c r="AL77" s="66">
        <f t="shared" si="36"/>
        <v>27.75</v>
      </c>
      <c r="AM77" t="str">
        <f t="shared" si="119"/>
        <v>00059</v>
      </c>
      <c r="AN77" t="str">
        <f t="shared" si="120"/>
        <v>Incapacidad Total y Permanente</v>
      </c>
      <c r="AO77" s="118">
        <f t="shared" si="121"/>
        <v>0</v>
      </c>
      <c r="AP77" s="118" t="str">
        <f t="shared" si="122"/>
        <v>A</v>
      </c>
      <c r="AQ77" s="119" t="str">
        <f>+IF(OR($W77="",AO77=0),"",ROUND((VLOOKUP(ROUNDDOWN($D77-1/frec,0),cob_adi,Z$40,FALSE)*(1+i/frec)^-0.5*(1+Parámetros!$D$103)*(1+rec_fracc)/frec),6))</f>
        <v/>
      </c>
      <c r="AR77" s="66">
        <f t="shared" si="53"/>
        <v>0</v>
      </c>
      <c r="AS77" s="119" t="str">
        <f t="shared" si="54"/>
        <v/>
      </c>
      <c r="AT77" s="66">
        <f>+IF($W77="","",ROUND(IF($B77&gt;Parámetros!$D$107,'Tablas Servicio'!AR77+('Tablas Servicio'!AT76-'Tablas Servicio'!AR76),AR77/(1-IF(B77&lt;=10,Parámetros!$D$100,0))),2))</f>
        <v>0</v>
      </c>
      <c r="AU77" s="66">
        <f t="shared" si="55"/>
        <v>0</v>
      </c>
      <c r="AV77" s="66">
        <f t="shared" si="55"/>
        <v>0</v>
      </c>
      <c r="AW77" s="66">
        <f>+IF($W77="","",ROUND((AT77*Parámetros!$G$85),2))</f>
        <v>0</v>
      </c>
      <c r="AX77" s="66">
        <f>+IF($W77="","",ROUND((AT77*(Parámetros!$G$86)),2))</f>
        <v>0</v>
      </c>
      <c r="AY77" s="66">
        <f t="shared" si="56"/>
        <v>0</v>
      </c>
      <c r="AZ77" t="str">
        <f t="shared" si="123"/>
        <v>00060</v>
      </c>
      <c r="BA77" t="str">
        <f t="shared" si="124"/>
        <v>Muerte Accidental</v>
      </c>
      <c r="BB77" s="118">
        <f t="shared" si="125"/>
        <v>0</v>
      </c>
      <c r="BC77" s="118" t="str">
        <f t="shared" si="126"/>
        <v>A</v>
      </c>
      <c r="BD77" s="119" t="str">
        <f>+IF(OR($W77="",BB77=0),"",ROUND((VLOOKUP(ROUNDDOWN($D77-1/frec,0),cob_adi,AO$40,FALSE)*(1+i/frec)^-0.5*(1+Parámetros!$D$103)*(1+rec_fracc)/frec),6))</f>
        <v/>
      </c>
      <c r="BE77" s="66">
        <f t="shared" si="61"/>
        <v>0</v>
      </c>
      <c r="BF77" s="119" t="str">
        <f t="shared" si="62"/>
        <v/>
      </c>
      <c r="BG77" s="66">
        <f>+IF($W77="","",ROUND(IF($B77&gt;Parámetros!$D$107,'Tablas Servicio'!BE77+('Tablas Servicio'!BG76-'Tablas Servicio'!BE76),BE77/(1-IF(B77&lt;=10,Parámetros!$D$100,0))),2))</f>
        <v>0</v>
      </c>
      <c r="BH77" s="66">
        <f t="shared" si="63"/>
        <v>0</v>
      </c>
      <c r="BI77" s="66">
        <f t="shared" si="64"/>
        <v>0</v>
      </c>
      <c r="BJ77" s="66">
        <f>+IF($W77="","",ROUND((BG77*Parámetros!$G$85),2))</f>
        <v>0</v>
      </c>
      <c r="BK77" s="66">
        <f>+IF($W77="","",ROUND((BG77*(Parámetros!$G$86)),2))</f>
        <v>0</v>
      </c>
      <c r="BL77" s="66">
        <f t="shared" si="65"/>
        <v>0</v>
      </c>
      <c r="BM77" t="str">
        <f t="shared" si="127"/>
        <v>00061</v>
      </c>
      <c r="BN77" t="str">
        <f t="shared" si="128"/>
        <v>Gastos de Entierro</v>
      </c>
      <c r="BO77" s="118">
        <f t="shared" si="129"/>
        <v>0</v>
      </c>
      <c r="BP77" s="118" t="str">
        <f t="shared" si="130"/>
        <v>A</v>
      </c>
      <c r="BQ77" s="119" t="str">
        <f>+IF(OR($W77="",BO77=0),"",ROUND((VLOOKUP(ROUNDDOWN($D77-1/frec,0),cob_adi,BB$40,FALSE)*(1+i/frec)^-0.5*(1+Parámetros!$D$103)*(1+rec_fracc)/frec),6))</f>
        <v/>
      </c>
      <c r="BR77" s="66">
        <f t="shared" si="70"/>
        <v>0</v>
      </c>
      <c r="BS77" s="119" t="str">
        <f t="shared" si="71"/>
        <v/>
      </c>
      <c r="BT77" s="66">
        <f>+IF($W77="","",ROUND(IF($B77&gt;Parámetros!$D$107,'Tablas Servicio'!BR77+('Tablas Servicio'!BT76-'Tablas Servicio'!BR76),BR77/(1-IF(B77&lt;=10,Parámetros!$D$100,0))),2))</f>
        <v>0</v>
      </c>
      <c r="BU77" s="66">
        <f t="shared" si="72"/>
        <v>0</v>
      </c>
      <c r="BV77" s="66">
        <f t="shared" si="72"/>
        <v>0</v>
      </c>
      <c r="BW77" s="66">
        <f>+IF($W77="","",ROUND((BT77*Parámetros!$G$85),2))</f>
        <v>0</v>
      </c>
      <c r="BX77" s="66">
        <f>+IF($W77="","",ROUND((BT77*(Parámetros!$G$86)),2))</f>
        <v>0</v>
      </c>
      <c r="BY77" s="66">
        <f t="shared" si="73"/>
        <v>0</v>
      </c>
      <c r="BZ77" t="str">
        <f t="shared" si="131"/>
        <v>00062</v>
      </c>
      <c r="CA77" t="str">
        <f t="shared" si="132"/>
        <v>Gastos médicos por accidente</v>
      </c>
      <c r="CB77" s="118">
        <f t="shared" si="133"/>
        <v>0</v>
      </c>
      <c r="CC77" s="118" t="str">
        <f t="shared" si="134"/>
        <v>A</v>
      </c>
      <c r="CD77" s="119" t="str">
        <f t="shared" si="78"/>
        <v/>
      </c>
      <c r="CE77" s="66">
        <f>+IF($W77="","",ROUND((VLOOKUP(ROUNDDOWN($D77-1/frec,0),cob_adi,BO$40,FALSE)*(1+i/frec)^-0.5*(1+Parámetros!$D$103)*(1+rec_fracc)/frec*'TABLAS ADI'!$BC$17),2))</f>
        <v>0</v>
      </c>
      <c r="CF77" s="119" t="str">
        <f t="shared" si="79"/>
        <v/>
      </c>
      <c r="CG77" s="66">
        <f>+IF($W77="","",ROUND(IF($B77&gt;Parámetros!$D$107,'Tablas Servicio'!CE77+('Tablas Servicio'!CG76-'Tablas Servicio'!CE76),CE77/(1-IF(B77&lt;=10,Parámetros!$D$100,0))),2))</f>
        <v>0</v>
      </c>
      <c r="CH77" s="66">
        <f t="shared" si="80"/>
        <v>0</v>
      </c>
      <c r="CI77" s="66">
        <f t="shared" si="80"/>
        <v>0</v>
      </c>
      <c r="CJ77" s="66">
        <f>+IF($W77="","",ROUND((CG77*Parámetros!$G$85),2))</f>
        <v>0</v>
      </c>
      <c r="CK77" s="66">
        <f>+IF($W77="","",ROUND((CG77*(Parámetros!$G$86)),2))</f>
        <v>0</v>
      </c>
      <c r="CL77" s="66">
        <f t="shared" si="81"/>
        <v>0</v>
      </c>
      <c r="CM77" t="str">
        <f t="shared" si="135"/>
        <v>00063</v>
      </c>
      <c r="CN77" s="118" t="str">
        <f t="shared" si="136"/>
        <v>Renta Diaria por Hospitalización</v>
      </c>
      <c r="CO77" s="118">
        <f t="shared" si="137"/>
        <v>0</v>
      </c>
      <c r="CP77" s="118" t="str">
        <f t="shared" si="138"/>
        <v>A</v>
      </c>
      <c r="CQ77" s="119" t="str">
        <f t="shared" si="86"/>
        <v/>
      </c>
      <c r="CR77" s="66">
        <f>+IF($W77="","",ROUND((VLOOKUP(Parámetros!$F$51,'COBERTURAS ADICIONALES'!$S$4:$T$32,2,FALSE)*(1+i/frec)^-0.5*(1+Parámetros!$D$103)*(1+rec_fracc)/frec*$CO$42),2))</f>
        <v>0</v>
      </c>
      <c r="CS77" s="119" t="str">
        <f t="shared" si="87"/>
        <v/>
      </c>
      <c r="CT77" s="66">
        <f>+IF($W77="","",ROUND(IF($B77&gt;Parámetros!$D$107,'Tablas Servicio'!CR77+('Tablas Servicio'!CT76-'Tablas Servicio'!CR76),CR77/(1-IF(B77&lt;=10,Parámetros!$D$100,0))),2))</f>
        <v>0</v>
      </c>
      <c r="CU77" s="66">
        <f t="shared" si="88"/>
        <v>0</v>
      </c>
      <c r="CV77" s="66">
        <f t="shared" si="88"/>
        <v>0</v>
      </c>
      <c r="CW77" s="66">
        <f>+IF($W77="","",ROUND((CT77*Parámetros!$G$85),2))</f>
        <v>0</v>
      </c>
      <c r="CX77" s="66">
        <f>+IF($W77="","",ROUND((CT77*(Parámetros!$G$86)),2))</f>
        <v>0</v>
      </c>
      <c r="CY77" s="66">
        <f t="shared" si="89"/>
        <v>0</v>
      </c>
      <c r="CZ77" t="str">
        <f t="shared" si="139"/>
        <v>00064</v>
      </c>
      <c r="DA77" s="118" t="str">
        <f t="shared" si="140"/>
        <v>Enfermedades Graves</v>
      </c>
      <c r="DB77" s="118">
        <f t="shared" si="141"/>
        <v>0</v>
      </c>
      <c r="DC77" s="118" t="str">
        <f t="shared" si="142"/>
        <v>A</v>
      </c>
      <c r="DD77" s="121" t="str">
        <f>+IF(OR($W77="",DB77=0),"",ROUND((VLOOKUP(ROUNDDOWN($D77-1/frec,0),cob_adi,CO$40,FALSE)*(1+i/frec)^-0.5*(1+Parámetros!$D$103)*(1+rec_fracc)/frec),6))</f>
        <v/>
      </c>
      <c r="DE77" s="66">
        <f t="shared" si="94"/>
        <v>0</v>
      </c>
      <c r="DF77" s="119" t="str">
        <f t="shared" si="95"/>
        <v/>
      </c>
      <c r="DG77" s="66">
        <f>+IF($W77="","",ROUND(IF($B77&gt;Parámetros!$D$107,'Tablas Servicio'!DE77+('Tablas Servicio'!DG76-'Tablas Servicio'!DE76),DE77/(1-IF(B77&lt;=10,Parámetros!$D$100,0))),2))</f>
        <v>0</v>
      </c>
      <c r="DH77" s="66">
        <f t="shared" si="96"/>
        <v>0</v>
      </c>
      <c r="DI77" s="66">
        <f t="shared" si="96"/>
        <v>0</v>
      </c>
      <c r="DJ77" s="66">
        <f>+IF($W77="","",ROUND((DG77*Parámetros!$G$85),2))</f>
        <v>0</v>
      </c>
      <c r="DK77" s="66">
        <f>+IF($W77="","",ROUND((DG77*(Parámetros!$G$86)),2))</f>
        <v>0</v>
      </c>
      <c r="DL77" s="66">
        <f t="shared" si="97"/>
        <v>0</v>
      </c>
      <c r="DM77" t="str">
        <f t="shared" si="143"/>
        <v>00065</v>
      </c>
      <c r="DN77" s="118" t="str">
        <f t="shared" si="144"/>
        <v>Exención pago de primas</v>
      </c>
      <c r="DO77" s="118">
        <f t="shared" si="145"/>
        <v>0</v>
      </c>
      <c r="DP77" s="118" t="str">
        <f t="shared" si="146"/>
        <v>A</v>
      </c>
      <c r="DQ77" s="122" t="str">
        <f>+IF(OR($W77="",DO77=0),"",ROUND((VLOOKUP(ROUNDDOWN($D77-1/frec,0),cob_adi,DB$40,FALSE)*(1+i/frec)^-0.5*(1+Parámetros!$D$103)*(1+rec_fracc)/frec),6))</f>
        <v/>
      </c>
      <c r="DR77" s="66">
        <f t="shared" si="102"/>
        <v>0</v>
      </c>
      <c r="DS77" s="68" t="str">
        <f t="shared" si="103"/>
        <v/>
      </c>
      <c r="DT77" s="66">
        <f>+IF($W77="","",ROUND(IF($B77&gt;Parámetros!$D$107,'Tablas Servicio'!DR77+('Tablas Servicio'!DT76-'Tablas Servicio'!DR76),DR77/(1-IF(B77&lt;=10,Parámetros!$D$100,0))),2))</f>
        <v>0</v>
      </c>
      <c r="DU77" s="66">
        <f t="shared" si="104"/>
        <v>0</v>
      </c>
      <c r="DV77" s="66">
        <f t="shared" si="104"/>
        <v>0</v>
      </c>
      <c r="DW77" s="66">
        <f>+IF($W77="","",ROUND((DT77*Parámetros!$G$85),2))</f>
        <v>0</v>
      </c>
      <c r="DX77" s="66">
        <f>+IF($W77="","",ROUND((DT77*(Parámetros!$G$86)),2))</f>
        <v>0</v>
      </c>
      <c r="DY77" s="66">
        <f t="shared" si="105"/>
        <v>0</v>
      </c>
      <c r="DZ77" t="str">
        <f t="shared" si="148"/>
        <v>00066</v>
      </c>
      <c r="EA77" s="118" t="str">
        <f t="shared" si="148"/>
        <v>Enfermedad terminal</v>
      </c>
      <c r="EB77" s="118">
        <f>+IF($W77="","",ROUND(IF(Parámetros!$D$25='TABLAS MORT'!$V$33,EB76,Z77/2),0))</f>
        <v>50000</v>
      </c>
      <c r="EC77" s="118" t="str">
        <f t="shared" si="148"/>
        <v>A</v>
      </c>
      <c r="ED77" s="122">
        <f>+IF(OR($W77="",EB77=0),"",ROUND((VLOOKUP(ROUNDDOWN($D77-1/frec,0),cob_adi,DO$40,FALSE)*(1+i/frec)^-0.5*(1+Parámetros!$D$103)*(1+rec_fracc)/frec),6))</f>
        <v>7.9999999999999996E-6</v>
      </c>
      <c r="EE77" s="66">
        <f t="shared" si="107"/>
        <v>0.4</v>
      </c>
      <c r="EF77" s="68">
        <f t="shared" si="108"/>
        <v>9.0000000000000002E-6</v>
      </c>
      <c r="EG77" s="66">
        <f>+IF($W77="","",ROUND(IF($B77&gt;Parámetros!$D$107,'Tablas Servicio'!EE77+('Tablas Servicio'!EG76-'Tablas Servicio'!EE76),EE77/(1-IF(B77&lt;=10,Parámetros!$D$100,0))),2))</f>
        <v>0.45</v>
      </c>
      <c r="EH77" s="66">
        <f t="shared" si="109"/>
        <v>0</v>
      </c>
      <c r="EI77" s="66">
        <f t="shared" si="109"/>
        <v>0</v>
      </c>
      <c r="EJ77" s="66">
        <f>+IF($W77="","",ROUND((EG77*Parámetros!$G$85),2))</f>
        <v>0.02</v>
      </c>
      <c r="EK77" s="66">
        <f>+IF($W77="","",ROUND((EG77*(Parámetros!$G$86)),2))</f>
        <v>0</v>
      </c>
      <c r="EL77" s="66">
        <f t="shared" si="110"/>
        <v>0.47</v>
      </c>
    </row>
    <row r="78" spans="1:142" x14ac:dyDescent="0.25">
      <c r="A78">
        <f>+IF($C78="","",ROUND(VLOOKUP('Tablas Servicio'!B78,Parámetros!$H$100:$J$159,IF(Parámetros!$E$16="F",2,3),FALSE),2))</f>
        <v>150</v>
      </c>
      <c r="B78">
        <f t="shared" si="27"/>
        <v>4</v>
      </c>
      <c r="C78" s="57">
        <f>+IF(D78="","",'Tablas Servicio'!C77+1)</f>
        <v>37</v>
      </c>
      <c r="D78" s="56">
        <f>+IF(D77&lt;edadmaxtabla,D77+1/Parámetros!$E$25,"")</f>
        <v>43.103333333333424</v>
      </c>
      <c r="E78" s="57">
        <f t="shared" si="37"/>
        <v>43</v>
      </c>
      <c r="F78" s="59">
        <f t="shared" si="38"/>
        <v>100000</v>
      </c>
      <c r="G78" s="66">
        <f t="shared" si="39"/>
        <v>29.21</v>
      </c>
      <c r="H78" s="66">
        <f t="shared" si="28"/>
        <v>30.38</v>
      </c>
      <c r="I78" s="66">
        <f t="shared" si="112"/>
        <v>56.06</v>
      </c>
      <c r="J78" s="66">
        <f t="shared" si="29"/>
        <v>1.03</v>
      </c>
      <c r="K78" s="66">
        <f t="shared" si="30"/>
        <v>0.14000000000000001</v>
      </c>
      <c r="L78" s="66">
        <f t="shared" si="31"/>
        <v>0</v>
      </c>
      <c r="M78" s="66">
        <f t="shared" si="32"/>
        <v>0</v>
      </c>
      <c r="N78" s="66">
        <f>+IF(C78="","",ROUND(Parámetros!$D$23,2))</f>
        <v>94</v>
      </c>
      <c r="O78" s="66">
        <f t="shared" si="33"/>
        <v>14.3</v>
      </c>
      <c r="P78" s="66">
        <f>+IF($C78="","",ROUND(IF(B78&gt;Parámetros!$D$117,0,N78*Parámetros!$D$116-G78*Parámetros!$D$100),2))</f>
        <v>7.56</v>
      </c>
      <c r="Q78" s="75">
        <f t="shared" si="113"/>
        <v>3.5261896610749743E-2</v>
      </c>
      <c r="R78" s="75">
        <f t="shared" si="114"/>
        <v>4.7928791509756936E-3</v>
      </c>
      <c r="S78" s="117">
        <f>+IF($C78="","",ROUND((S77+I78)*(1+Parámetros!$D$91),2))</f>
        <v>2334.5500000000002</v>
      </c>
      <c r="T78" s="117">
        <f>+IF($C78="","",ROUND(S78*VLOOKUP(B78,Parámetros!$C$30:$D$39,2,TRUE),2))</f>
        <v>466.91</v>
      </c>
      <c r="U78" s="117">
        <f>+IF($C78="","",ROUND((U77+I78)*(1+Parámetros!$D$92),2))</f>
        <v>2353.16</v>
      </c>
      <c r="V78" s="117">
        <f>+IF($C78="","",ROUND(U78*VLOOKUP(B78,Parámetros!$C$30:$D$39,2,TRUE),2))</f>
        <v>470.63</v>
      </c>
      <c r="W78" s="57">
        <f t="shared" si="115"/>
        <v>37</v>
      </c>
      <c r="X78" t="str">
        <f t="shared" si="116"/>
        <v>00058</v>
      </c>
      <c r="Y78" t="str">
        <f t="shared" si="117"/>
        <v>MUERTE POR CUALQUIER CAUSA</v>
      </c>
      <c r="Z78" s="118">
        <f>+IF($W78="","",ROUND(IF(Parámetros!$D$25='TABLAS MORT'!$V$33,Z77,Parámetros!$D$21-'Tablas Servicio'!T77),0))</f>
        <v>100000</v>
      </c>
      <c r="AA78" s="118" t="str">
        <f t="shared" si="118"/>
        <v>P</v>
      </c>
      <c r="AB78" s="119">
        <f>+IF(W78="","",ROUND((VLOOKUP(ROUNDDOWN($D78-1/frec,0),qx_tabla,2,FALSE)*(1+i/frec)^-0.5*(1+Parámetros!$D$103)*(1+rec_fracc)/frec),6))</f>
        <v>1.3899999999999999E-4</v>
      </c>
      <c r="AC78" s="66">
        <f t="shared" si="46"/>
        <v>13.9</v>
      </c>
      <c r="AD78" s="119">
        <f t="shared" si="35"/>
        <v>2.8800000000000001E-4</v>
      </c>
      <c r="AE78" s="66">
        <f>+IF($W78="","",ROUND(IF($B78&gt;Parámetros!$D$107,'Tablas Servicio'!AC78+('Tablas Servicio'!AG77-'Tablas Servicio'!AC77),AC78/(1-IF(B78&lt;=10,Parámetros!$D$104,Parámetros!$D$105))),2))</f>
        <v>28.76</v>
      </c>
      <c r="AF78" s="66">
        <f>+IF($W78="","",ROUND(IF($B78&gt;Parámetros!$D$107,'Tablas Servicio'!AC78+('Tablas Servicio'!AG77-'Tablas Servicio'!AC77),(AC78+$A77/frec)/(1-IF(B78&lt;=Parámetros!$D$117,Parámetros!$D$100,0))),2))</f>
        <v>29.89</v>
      </c>
      <c r="AG78" s="66">
        <f t="shared" si="111"/>
        <v>28.76</v>
      </c>
      <c r="AH78" s="66">
        <f t="shared" si="47"/>
        <v>0</v>
      </c>
      <c r="AI78" s="66">
        <f t="shared" si="48"/>
        <v>0</v>
      </c>
      <c r="AJ78" s="66">
        <f>+IF($W78="","",ROUND((AG78*Parámetros!$G$85),2))</f>
        <v>1.01</v>
      </c>
      <c r="AK78" s="66">
        <f>+IF($W78="","",ROUND((AG78*(Parámetros!$G$86)),2))</f>
        <v>0.14000000000000001</v>
      </c>
      <c r="AL78" s="66">
        <f t="shared" si="36"/>
        <v>29.91</v>
      </c>
      <c r="AM78" t="str">
        <f t="shared" si="119"/>
        <v>00059</v>
      </c>
      <c r="AN78" t="str">
        <f t="shared" si="120"/>
        <v>Incapacidad Total y Permanente</v>
      </c>
      <c r="AO78" s="118">
        <f t="shared" si="121"/>
        <v>0</v>
      </c>
      <c r="AP78" s="118" t="str">
        <f t="shared" si="122"/>
        <v>A</v>
      </c>
      <c r="AQ78" s="119" t="str">
        <f>+IF(OR($W78="",AO78=0),"",ROUND((VLOOKUP(ROUNDDOWN($D78-1/frec,0),cob_adi,Z$40,FALSE)*(1+i/frec)^-0.5*(1+Parámetros!$D$103)*(1+rec_fracc)/frec),6))</f>
        <v/>
      </c>
      <c r="AR78" s="66">
        <f t="shared" si="53"/>
        <v>0</v>
      </c>
      <c r="AS78" s="119" t="str">
        <f t="shared" si="54"/>
        <v/>
      </c>
      <c r="AT78" s="66">
        <f>+IF($W78="","",ROUND(IF($B78&gt;Parámetros!$D$107,'Tablas Servicio'!AR78+('Tablas Servicio'!AT77-'Tablas Servicio'!AR77),AR78/(1-IF(B78&lt;=10,Parámetros!$D$100,0))),2))</f>
        <v>0</v>
      </c>
      <c r="AU78" s="66">
        <f t="shared" si="55"/>
        <v>0</v>
      </c>
      <c r="AV78" s="66">
        <f t="shared" si="55"/>
        <v>0</v>
      </c>
      <c r="AW78" s="66">
        <f>+IF($W78="","",ROUND((AT78*Parámetros!$G$85),2))</f>
        <v>0</v>
      </c>
      <c r="AX78" s="66">
        <f>+IF($W78="","",ROUND((AT78*(Parámetros!$G$86)),2))</f>
        <v>0</v>
      </c>
      <c r="AY78" s="66">
        <f t="shared" si="56"/>
        <v>0</v>
      </c>
      <c r="AZ78" t="str">
        <f t="shared" si="123"/>
        <v>00060</v>
      </c>
      <c r="BA78" t="str">
        <f t="shared" si="124"/>
        <v>Muerte Accidental</v>
      </c>
      <c r="BB78" s="118">
        <f t="shared" si="125"/>
        <v>0</v>
      </c>
      <c r="BC78" s="118" t="str">
        <f t="shared" si="126"/>
        <v>A</v>
      </c>
      <c r="BD78" s="119" t="str">
        <f>+IF(OR($W78="",BB78=0),"",ROUND((VLOOKUP(ROUNDDOWN($D78-1/frec,0),cob_adi,AO$40,FALSE)*(1+i/frec)^-0.5*(1+Parámetros!$D$103)*(1+rec_fracc)/frec),6))</f>
        <v/>
      </c>
      <c r="BE78" s="66">
        <f t="shared" si="61"/>
        <v>0</v>
      </c>
      <c r="BF78" s="119" t="str">
        <f t="shared" si="62"/>
        <v/>
      </c>
      <c r="BG78" s="66">
        <f>+IF($W78="","",ROUND(IF($B78&gt;Parámetros!$D$107,'Tablas Servicio'!BE78+('Tablas Servicio'!BG77-'Tablas Servicio'!BE77),BE78/(1-IF(B78&lt;=10,Parámetros!$D$100,0))),2))</f>
        <v>0</v>
      </c>
      <c r="BH78" s="66">
        <f t="shared" si="63"/>
        <v>0</v>
      </c>
      <c r="BI78" s="66">
        <f t="shared" si="64"/>
        <v>0</v>
      </c>
      <c r="BJ78" s="66">
        <f>+IF($W78="","",ROUND((BG78*Parámetros!$G$85),2))</f>
        <v>0</v>
      </c>
      <c r="BK78" s="66">
        <f>+IF($W78="","",ROUND((BG78*(Parámetros!$G$86)),2))</f>
        <v>0</v>
      </c>
      <c r="BL78" s="66">
        <f t="shared" si="65"/>
        <v>0</v>
      </c>
      <c r="BM78" t="str">
        <f t="shared" si="127"/>
        <v>00061</v>
      </c>
      <c r="BN78" t="str">
        <f t="shared" si="128"/>
        <v>Gastos de Entierro</v>
      </c>
      <c r="BO78" s="118">
        <f t="shared" si="129"/>
        <v>0</v>
      </c>
      <c r="BP78" s="118" t="str">
        <f t="shared" si="130"/>
        <v>A</v>
      </c>
      <c r="BQ78" s="119" t="str">
        <f>+IF(OR($W78="",BO78=0),"",ROUND((VLOOKUP(ROUNDDOWN($D78-1/frec,0),cob_adi,BB$40,FALSE)*(1+i/frec)^-0.5*(1+Parámetros!$D$103)*(1+rec_fracc)/frec),6))</f>
        <v/>
      </c>
      <c r="BR78" s="66">
        <f t="shared" si="70"/>
        <v>0</v>
      </c>
      <c r="BS78" s="119" t="str">
        <f t="shared" si="71"/>
        <v/>
      </c>
      <c r="BT78" s="66">
        <f>+IF($W78="","",ROUND(IF($B78&gt;Parámetros!$D$107,'Tablas Servicio'!BR78+('Tablas Servicio'!BT77-'Tablas Servicio'!BR77),BR78/(1-IF(B78&lt;=10,Parámetros!$D$100,0))),2))</f>
        <v>0</v>
      </c>
      <c r="BU78" s="66">
        <f t="shared" si="72"/>
        <v>0</v>
      </c>
      <c r="BV78" s="66">
        <f t="shared" si="72"/>
        <v>0</v>
      </c>
      <c r="BW78" s="66">
        <f>+IF($W78="","",ROUND((BT78*Parámetros!$G$85),2))</f>
        <v>0</v>
      </c>
      <c r="BX78" s="66">
        <f>+IF($W78="","",ROUND((BT78*(Parámetros!$G$86)),2))</f>
        <v>0</v>
      </c>
      <c r="BY78" s="66">
        <f t="shared" si="73"/>
        <v>0</v>
      </c>
      <c r="BZ78" t="str">
        <f t="shared" si="131"/>
        <v>00062</v>
      </c>
      <c r="CA78" t="str">
        <f t="shared" si="132"/>
        <v>Gastos médicos por accidente</v>
      </c>
      <c r="CB78" s="118">
        <f t="shared" si="133"/>
        <v>0</v>
      </c>
      <c r="CC78" s="118" t="str">
        <f t="shared" si="134"/>
        <v>A</v>
      </c>
      <c r="CD78" s="119" t="str">
        <f t="shared" si="78"/>
        <v/>
      </c>
      <c r="CE78" s="66">
        <f>+IF($W78="","",ROUND((VLOOKUP(ROUNDDOWN($D78-1/frec,0),cob_adi,BO$40,FALSE)*(1+i/frec)^-0.5*(1+Parámetros!$D$103)*(1+rec_fracc)/frec*'TABLAS ADI'!$BC$17),2))</f>
        <v>0</v>
      </c>
      <c r="CF78" s="119" t="str">
        <f t="shared" si="79"/>
        <v/>
      </c>
      <c r="CG78" s="66">
        <f>+IF($W78="","",ROUND(IF($B78&gt;Parámetros!$D$107,'Tablas Servicio'!CE78+('Tablas Servicio'!CG77-'Tablas Servicio'!CE77),CE78/(1-IF(B78&lt;=10,Parámetros!$D$100,0))),2))</f>
        <v>0</v>
      </c>
      <c r="CH78" s="66">
        <f t="shared" si="80"/>
        <v>0</v>
      </c>
      <c r="CI78" s="66">
        <f t="shared" si="80"/>
        <v>0</v>
      </c>
      <c r="CJ78" s="66">
        <f>+IF($W78="","",ROUND((CG78*Parámetros!$G$85),2))</f>
        <v>0</v>
      </c>
      <c r="CK78" s="66">
        <f>+IF($W78="","",ROUND((CG78*(Parámetros!$G$86)),2))</f>
        <v>0</v>
      </c>
      <c r="CL78" s="66">
        <f t="shared" si="81"/>
        <v>0</v>
      </c>
      <c r="CM78" t="str">
        <f t="shared" si="135"/>
        <v>00063</v>
      </c>
      <c r="CN78" s="118" t="str">
        <f t="shared" si="136"/>
        <v>Renta Diaria por Hospitalización</v>
      </c>
      <c r="CO78" s="118">
        <f t="shared" si="137"/>
        <v>0</v>
      </c>
      <c r="CP78" s="118" t="str">
        <f t="shared" si="138"/>
        <v>A</v>
      </c>
      <c r="CQ78" s="119" t="str">
        <f t="shared" si="86"/>
        <v/>
      </c>
      <c r="CR78" s="66">
        <f>+IF($W78="","",ROUND((VLOOKUP(Parámetros!$F$51,'COBERTURAS ADICIONALES'!$S$4:$T$32,2,FALSE)*(1+i/frec)^-0.5*(1+Parámetros!$D$103)*(1+rec_fracc)/frec*$CO$42),2))</f>
        <v>0</v>
      </c>
      <c r="CS78" s="119" t="str">
        <f t="shared" si="87"/>
        <v/>
      </c>
      <c r="CT78" s="66">
        <f>+IF($W78="","",ROUND(IF($B78&gt;Parámetros!$D$107,'Tablas Servicio'!CR78+('Tablas Servicio'!CT77-'Tablas Servicio'!CR77),CR78/(1-IF(B78&lt;=10,Parámetros!$D$100,0))),2))</f>
        <v>0</v>
      </c>
      <c r="CU78" s="66">
        <f t="shared" si="88"/>
        <v>0</v>
      </c>
      <c r="CV78" s="66">
        <f t="shared" si="88"/>
        <v>0</v>
      </c>
      <c r="CW78" s="66">
        <f>+IF($W78="","",ROUND((CT78*Parámetros!$G$85),2))</f>
        <v>0</v>
      </c>
      <c r="CX78" s="66">
        <f>+IF($W78="","",ROUND((CT78*(Parámetros!$G$86)),2))</f>
        <v>0</v>
      </c>
      <c r="CY78" s="66">
        <f t="shared" si="89"/>
        <v>0</v>
      </c>
      <c r="CZ78" t="str">
        <f t="shared" si="139"/>
        <v>00064</v>
      </c>
      <c r="DA78" s="118" t="str">
        <f t="shared" si="140"/>
        <v>Enfermedades Graves</v>
      </c>
      <c r="DB78" s="118">
        <f t="shared" si="141"/>
        <v>0</v>
      </c>
      <c r="DC78" s="118" t="str">
        <f t="shared" si="142"/>
        <v>A</v>
      </c>
      <c r="DD78" s="121" t="str">
        <f>+IF(OR($W78="",DB78=0),"",ROUND((VLOOKUP(ROUNDDOWN($D78-1/frec,0),cob_adi,CO$40,FALSE)*(1+i/frec)^-0.5*(1+Parámetros!$D$103)*(1+rec_fracc)/frec),6))</f>
        <v/>
      </c>
      <c r="DE78" s="66">
        <f t="shared" si="94"/>
        <v>0</v>
      </c>
      <c r="DF78" s="119" t="str">
        <f t="shared" si="95"/>
        <v/>
      </c>
      <c r="DG78" s="66">
        <f>+IF($W78="","",ROUND(IF($B78&gt;Parámetros!$D$107,'Tablas Servicio'!DE78+('Tablas Servicio'!DG77-'Tablas Servicio'!DE77),DE78/(1-IF(B78&lt;=10,Parámetros!$D$100,0))),2))</f>
        <v>0</v>
      </c>
      <c r="DH78" s="66">
        <f t="shared" si="96"/>
        <v>0</v>
      </c>
      <c r="DI78" s="66">
        <f t="shared" si="96"/>
        <v>0</v>
      </c>
      <c r="DJ78" s="66">
        <f>+IF($W78="","",ROUND((DG78*Parámetros!$G$85),2))</f>
        <v>0</v>
      </c>
      <c r="DK78" s="66">
        <f>+IF($W78="","",ROUND((DG78*(Parámetros!$G$86)),2))</f>
        <v>0</v>
      </c>
      <c r="DL78" s="66">
        <f t="shared" si="97"/>
        <v>0</v>
      </c>
      <c r="DM78" t="str">
        <f t="shared" si="143"/>
        <v>00065</v>
      </c>
      <c r="DN78" s="118" t="str">
        <f t="shared" si="144"/>
        <v>Exención pago de primas</v>
      </c>
      <c r="DO78" s="118">
        <f t="shared" si="145"/>
        <v>0</v>
      </c>
      <c r="DP78" s="118" t="str">
        <f t="shared" si="146"/>
        <v>A</v>
      </c>
      <c r="DQ78" s="122" t="str">
        <f>+IF(OR($W78="",DO78=0),"",ROUND((VLOOKUP(ROUNDDOWN($D78-1/frec,0),cob_adi,DB$40,FALSE)*(1+i/frec)^-0.5*(1+Parámetros!$D$103)*(1+rec_fracc)/frec),6))</f>
        <v/>
      </c>
      <c r="DR78" s="66">
        <f t="shared" si="102"/>
        <v>0</v>
      </c>
      <c r="DS78" s="68" t="str">
        <f t="shared" si="103"/>
        <v/>
      </c>
      <c r="DT78" s="66">
        <f>+IF($W78="","",ROUND(IF($B78&gt;Parámetros!$D$107,'Tablas Servicio'!DR78+('Tablas Servicio'!DT77-'Tablas Servicio'!DR77),DR78/(1-IF(B78&lt;=10,Parámetros!$D$100,0))),2))</f>
        <v>0</v>
      </c>
      <c r="DU78" s="66">
        <f t="shared" si="104"/>
        <v>0</v>
      </c>
      <c r="DV78" s="66">
        <f t="shared" si="104"/>
        <v>0</v>
      </c>
      <c r="DW78" s="66">
        <f>+IF($W78="","",ROUND((DT78*Parámetros!$G$85),2))</f>
        <v>0</v>
      </c>
      <c r="DX78" s="66">
        <f>+IF($W78="","",ROUND((DT78*(Parámetros!$G$86)),2))</f>
        <v>0</v>
      </c>
      <c r="DY78" s="66">
        <f t="shared" si="105"/>
        <v>0</v>
      </c>
      <c r="DZ78" t="str">
        <f t="shared" si="148"/>
        <v>00066</v>
      </c>
      <c r="EA78" s="118" t="str">
        <f t="shared" si="148"/>
        <v>Enfermedad terminal</v>
      </c>
      <c r="EB78" s="118">
        <f>+IF($W78="","",ROUND(IF(Parámetros!$D$25='TABLAS MORT'!$V$33,EB77,Z78/2),0))</f>
        <v>50000</v>
      </c>
      <c r="EC78" s="118" t="str">
        <f t="shared" si="148"/>
        <v>A</v>
      </c>
      <c r="ED78" s="122">
        <f>+IF(OR($W78="",EB78=0),"",ROUND((VLOOKUP(ROUNDDOWN($D78-1/frec,0),cob_adi,DO$40,FALSE)*(1+i/frec)^-0.5*(1+Parámetros!$D$103)*(1+rec_fracc)/frec),6))</f>
        <v>7.9999999999999996E-6</v>
      </c>
      <c r="EE78" s="66">
        <f t="shared" si="107"/>
        <v>0.4</v>
      </c>
      <c r="EF78" s="68">
        <f t="shared" si="108"/>
        <v>9.0000000000000002E-6</v>
      </c>
      <c r="EG78" s="66">
        <f>+IF($W78="","",ROUND(IF($B78&gt;Parámetros!$D$107,'Tablas Servicio'!EE78+('Tablas Servicio'!EG77-'Tablas Servicio'!EE77),EE78/(1-IF(B78&lt;=10,Parámetros!$D$100,0))),2))</f>
        <v>0.45</v>
      </c>
      <c r="EH78" s="66">
        <f t="shared" si="109"/>
        <v>0</v>
      </c>
      <c r="EI78" s="66">
        <f t="shared" si="109"/>
        <v>0</v>
      </c>
      <c r="EJ78" s="66">
        <f>+IF($W78="","",ROUND((EG78*Parámetros!$G$85),2))</f>
        <v>0.02</v>
      </c>
      <c r="EK78" s="66">
        <f>+IF($W78="","",ROUND((EG78*(Parámetros!$G$86)),2))</f>
        <v>0</v>
      </c>
      <c r="EL78" s="66">
        <f t="shared" si="110"/>
        <v>0.47</v>
      </c>
    </row>
    <row r="79" spans="1:142" x14ac:dyDescent="0.25">
      <c r="A79">
        <f>+IF($C79="","",ROUND(VLOOKUP('Tablas Servicio'!B79,Parámetros!$H$100:$J$159,IF(Parámetros!$E$16="F",2,3),FALSE),2))</f>
        <v>150</v>
      </c>
      <c r="B79">
        <f t="shared" si="27"/>
        <v>4</v>
      </c>
      <c r="C79" s="57">
        <f>+IF(D79="","",'Tablas Servicio'!C78+1)</f>
        <v>38</v>
      </c>
      <c r="D79" s="56">
        <f>+IF(D78&lt;edadmaxtabla,D78+1/Parámetros!$E$25,"")</f>
        <v>43.18666666666676</v>
      </c>
      <c r="E79" s="57">
        <f t="shared" si="37"/>
        <v>43</v>
      </c>
      <c r="F79" s="59">
        <f t="shared" si="38"/>
        <v>100000</v>
      </c>
      <c r="G79" s="66">
        <f t="shared" si="39"/>
        <v>29.21</v>
      </c>
      <c r="H79" s="66">
        <f t="shared" si="28"/>
        <v>30.38</v>
      </c>
      <c r="I79" s="66">
        <f t="shared" si="112"/>
        <v>56.06</v>
      </c>
      <c r="J79" s="66">
        <f t="shared" si="29"/>
        <v>1.03</v>
      </c>
      <c r="K79" s="66">
        <f t="shared" si="30"/>
        <v>0.14000000000000001</v>
      </c>
      <c r="L79" s="66">
        <f t="shared" si="31"/>
        <v>0</v>
      </c>
      <c r="M79" s="66">
        <f t="shared" si="32"/>
        <v>0</v>
      </c>
      <c r="N79" s="66">
        <f>+IF(C79="","",ROUND(Parámetros!$D$23,2))</f>
        <v>94</v>
      </c>
      <c r="O79" s="66">
        <f t="shared" si="33"/>
        <v>14.3</v>
      </c>
      <c r="P79" s="66">
        <f>+IF($C79="","",ROUND(IF(B79&gt;Parámetros!$D$117,0,N79*Parámetros!$D$116-G79*Parámetros!$D$100),2))</f>
        <v>7.56</v>
      </c>
      <c r="Q79" s="75">
        <f t="shared" si="113"/>
        <v>3.5261896610749743E-2</v>
      </c>
      <c r="R79" s="75">
        <f t="shared" si="114"/>
        <v>4.7928791509756936E-3</v>
      </c>
      <c r="S79" s="117">
        <f>+IF($C79="","",ROUND((S78+I79)*(1+Parámetros!$D$91),2))</f>
        <v>2397.39</v>
      </c>
      <c r="T79" s="117">
        <f>+IF($C79="","",ROUND(S79*VLOOKUP(B79,Parámetros!$C$30:$D$39,2,TRUE),2))</f>
        <v>479.48</v>
      </c>
      <c r="U79" s="117">
        <f>+IF($C79="","",ROUND((U78+I79)*(1+Parámetros!$D$92),2))</f>
        <v>2417.0300000000002</v>
      </c>
      <c r="V79" s="117">
        <f>+IF($C79="","",ROUND(U79*VLOOKUP(B79,Parámetros!$C$30:$D$39,2,TRUE),2))</f>
        <v>483.41</v>
      </c>
      <c r="W79" s="57">
        <f t="shared" si="115"/>
        <v>38</v>
      </c>
      <c r="X79" t="str">
        <f t="shared" si="116"/>
        <v>00058</v>
      </c>
      <c r="Y79" t="str">
        <f t="shared" si="117"/>
        <v>MUERTE POR CUALQUIER CAUSA</v>
      </c>
      <c r="Z79" s="118">
        <f>+IF($W79="","",ROUND(IF(Parámetros!$D$25='TABLAS MORT'!$V$33,Z78,Parámetros!$D$21-'Tablas Servicio'!T78),0))</f>
        <v>100000</v>
      </c>
      <c r="AA79" s="118" t="str">
        <f t="shared" si="118"/>
        <v>P</v>
      </c>
      <c r="AB79" s="119">
        <f>+IF(W79="","",ROUND((VLOOKUP(ROUNDDOWN($D79-1/frec,0),qx_tabla,2,FALSE)*(1+i/frec)^-0.5*(1+Parámetros!$D$103)*(1+rec_fracc)/frec),6))</f>
        <v>1.3899999999999999E-4</v>
      </c>
      <c r="AC79" s="66">
        <f t="shared" si="46"/>
        <v>13.9</v>
      </c>
      <c r="AD79" s="119">
        <f t="shared" si="35"/>
        <v>2.8800000000000001E-4</v>
      </c>
      <c r="AE79" s="66">
        <f>+IF($W79="","",ROUND(IF($B79&gt;Parámetros!$D$107,'Tablas Servicio'!AC79+('Tablas Servicio'!AG78-'Tablas Servicio'!AC78),AC79/(1-IF(B79&lt;=10,Parámetros!$D$104,Parámetros!$D$105))),2))</f>
        <v>28.76</v>
      </c>
      <c r="AF79" s="66">
        <f>+IF($W79="","",ROUND(IF($B79&gt;Parámetros!$D$107,'Tablas Servicio'!AC79+('Tablas Servicio'!AG78-'Tablas Servicio'!AC78),(AC79+$A78/frec)/(1-IF(B79&lt;=Parámetros!$D$117,Parámetros!$D$100,0))),2))</f>
        <v>29.89</v>
      </c>
      <c r="AG79" s="66">
        <f t="shared" si="111"/>
        <v>28.76</v>
      </c>
      <c r="AH79" s="66">
        <f t="shared" si="47"/>
        <v>0</v>
      </c>
      <c r="AI79" s="66">
        <f t="shared" si="48"/>
        <v>0</v>
      </c>
      <c r="AJ79" s="66">
        <f>+IF($W79="","",ROUND((AG79*Parámetros!$G$85),2))</f>
        <v>1.01</v>
      </c>
      <c r="AK79" s="66">
        <f>+IF($W79="","",ROUND((AG79*(Parámetros!$G$86)),2))</f>
        <v>0.14000000000000001</v>
      </c>
      <c r="AL79" s="66">
        <f t="shared" si="36"/>
        <v>29.91</v>
      </c>
      <c r="AM79" t="str">
        <f t="shared" si="119"/>
        <v>00059</v>
      </c>
      <c r="AN79" t="str">
        <f t="shared" si="120"/>
        <v>Incapacidad Total y Permanente</v>
      </c>
      <c r="AO79" s="118">
        <f t="shared" si="121"/>
        <v>0</v>
      </c>
      <c r="AP79" s="118" t="str">
        <f t="shared" si="122"/>
        <v>A</v>
      </c>
      <c r="AQ79" s="119" t="str">
        <f>+IF(OR($W79="",AO79=0),"",ROUND((VLOOKUP(ROUNDDOWN($D79-1/frec,0),cob_adi,Z$40,FALSE)*(1+i/frec)^-0.5*(1+Parámetros!$D$103)*(1+rec_fracc)/frec),6))</f>
        <v/>
      </c>
      <c r="AR79" s="66">
        <f t="shared" si="53"/>
        <v>0</v>
      </c>
      <c r="AS79" s="119" t="str">
        <f t="shared" si="54"/>
        <v/>
      </c>
      <c r="AT79" s="66">
        <f>+IF($W79="","",ROUND(IF($B79&gt;Parámetros!$D$107,'Tablas Servicio'!AR79+('Tablas Servicio'!AT78-'Tablas Servicio'!AR78),AR79/(1-IF(B79&lt;=10,Parámetros!$D$100,0))),2))</f>
        <v>0</v>
      </c>
      <c r="AU79" s="66">
        <f t="shared" si="55"/>
        <v>0</v>
      </c>
      <c r="AV79" s="66">
        <f t="shared" si="55"/>
        <v>0</v>
      </c>
      <c r="AW79" s="66">
        <f>+IF($W79="","",ROUND((AT79*Parámetros!$G$85),2))</f>
        <v>0</v>
      </c>
      <c r="AX79" s="66">
        <f>+IF($W79="","",ROUND((AT79*(Parámetros!$G$86)),2))</f>
        <v>0</v>
      </c>
      <c r="AY79" s="66">
        <f t="shared" si="56"/>
        <v>0</v>
      </c>
      <c r="AZ79" t="str">
        <f t="shared" si="123"/>
        <v>00060</v>
      </c>
      <c r="BA79" t="str">
        <f t="shared" si="124"/>
        <v>Muerte Accidental</v>
      </c>
      <c r="BB79" s="118">
        <f t="shared" si="125"/>
        <v>0</v>
      </c>
      <c r="BC79" s="118" t="str">
        <f t="shared" si="126"/>
        <v>A</v>
      </c>
      <c r="BD79" s="119" t="str">
        <f>+IF(OR($W79="",BB79=0),"",ROUND((VLOOKUP(ROUNDDOWN($D79-1/frec,0),cob_adi,AO$40,FALSE)*(1+i/frec)^-0.5*(1+Parámetros!$D$103)*(1+rec_fracc)/frec),6))</f>
        <v/>
      </c>
      <c r="BE79" s="66">
        <f t="shared" si="61"/>
        <v>0</v>
      </c>
      <c r="BF79" s="119" t="str">
        <f t="shared" si="62"/>
        <v/>
      </c>
      <c r="BG79" s="66">
        <f>+IF($W79="","",ROUND(IF($B79&gt;Parámetros!$D$107,'Tablas Servicio'!BE79+('Tablas Servicio'!BG78-'Tablas Servicio'!BE78),BE79/(1-IF(B79&lt;=10,Parámetros!$D$100,0))),2))</f>
        <v>0</v>
      </c>
      <c r="BH79" s="66">
        <f t="shared" si="63"/>
        <v>0</v>
      </c>
      <c r="BI79" s="66">
        <f t="shared" si="64"/>
        <v>0</v>
      </c>
      <c r="BJ79" s="66">
        <f>+IF($W79="","",ROUND((BG79*Parámetros!$G$85),2))</f>
        <v>0</v>
      </c>
      <c r="BK79" s="66">
        <f>+IF($W79="","",ROUND((BG79*(Parámetros!$G$86)),2))</f>
        <v>0</v>
      </c>
      <c r="BL79" s="66">
        <f t="shared" si="65"/>
        <v>0</v>
      </c>
      <c r="BM79" t="str">
        <f t="shared" si="127"/>
        <v>00061</v>
      </c>
      <c r="BN79" t="str">
        <f t="shared" si="128"/>
        <v>Gastos de Entierro</v>
      </c>
      <c r="BO79" s="118">
        <f t="shared" si="129"/>
        <v>0</v>
      </c>
      <c r="BP79" s="118" t="str">
        <f t="shared" si="130"/>
        <v>A</v>
      </c>
      <c r="BQ79" s="119" t="str">
        <f>+IF(OR($W79="",BO79=0),"",ROUND((VLOOKUP(ROUNDDOWN($D79-1/frec,0),cob_adi,BB$40,FALSE)*(1+i/frec)^-0.5*(1+Parámetros!$D$103)*(1+rec_fracc)/frec),6))</f>
        <v/>
      </c>
      <c r="BR79" s="66">
        <f t="shared" si="70"/>
        <v>0</v>
      </c>
      <c r="BS79" s="119" t="str">
        <f t="shared" si="71"/>
        <v/>
      </c>
      <c r="BT79" s="66">
        <f>+IF($W79="","",ROUND(IF($B79&gt;Parámetros!$D$107,'Tablas Servicio'!BR79+('Tablas Servicio'!BT78-'Tablas Servicio'!BR78),BR79/(1-IF(B79&lt;=10,Parámetros!$D$100,0))),2))</f>
        <v>0</v>
      </c>
      <c r="BU79" s="66">
        <f t="shared" si="72"/>
        <v>0</v>
      </c>
      <c r="BV79" s="66">
        <f t="shared" si="72"/>
        <v>0</v>
      </c>
      <c r="BW79" s="66">
        <f>+IF($W79="","",ROUND((BT79*Parámetros!$G$85),2))</f>
        <v>0</v>
      </c>
      <c r="BX79" s="66">
        <f>+IF($W79="","",ROUND((BT79*(Parámetros!$G$86)),2))</f>
        <v>0</v>
      </c>
      <c r="BY79" s="66">
        <f t="shared" si="73"/>
        <v>0</v>
      </c>
      <c r="BZ79" t="str">
        <f t="shared" si="131"/>
        <v>00062</v>
      </c>
      <c r="CA79" t="str">
        <f t="shared" si="132"/>
        <v>Gastos médicos por accidente</v>
      </c>
      <c r="CB79" s="118">
        <f t="shared" si="133"/>
        <v>0</v>
      </c>
      <c r="CC79" s="118" t="str">
        <f t="shared" si="134"/>
        <v>A</v>
      </c>
      <c r="CD79" s="119" t="str">
        <f t="shared" si="78"/>
        <v/>
      </c>
      <c r="CE79" s="66">
        <f>+IF($W79="","",ROUND((VLOOKUP(ROUNDDOWN($D79-1/frec,0),cob_adi,BO$40,FALSE)*(1+i/frec)^-0.5*(1+Parámetros!$D$103)*(1+rec_fracc)/frec*'TABLAS ADI'!$BC$17),2))</f>
        <v>0</v>
      </c>
      <c r="CF79" s="119" t="str">
        <f t="shared" si="79"/>
        <v/>
      </c>
      <c r="CG79" s="66">
        <f>+IF($W79="","",ROUND(IF($B79&gt;Parámetros!$D$107,'Tablas Servicio'!CE79+('Tablas Servicio'!CG78-'Tablas Servicio'!CE78),CE79/(1-IF(B79&lt;=10,Parámetros!$D$100,0))),2))</f>
        <v>0</v>
      </c>
      <c r="CH79" s="66">
        <f t="shared" si="80"/>
        <v>0</v>
      </c>
      <c r="CI79" s="66">
        <f t="shared" si="80"/>
        <v>0</v>
      </c>
      <c r="CJ79" s="66">
        <f>+IF($W79="","",ROUND((CG79*Parámetros!$G$85),2))</f>
        <v>0</v>
      </c>
      <c r="CK79" s="66">
        <f>+IF($W79="","",ROUND((CG79*(Parámetros!$G$86)),2))</f>
        <v>0</v>
      </c>
      <c r="CL79" s="66">
        <f t="shared" si="81"/>
        <v>0</v>
      </c>
      <c r="CM79" t="str">
        <f t="shared" si="135"/>
        <v>00063</v>
      </c>
      <c r="CN79" s="118" t="str">
        <f t="shared" si="136"/>
        <v>Renta Diaria por Hospitalización</v>
      </c>
      <c r="CO79" s="118">
        <f t="shared" si="137"/>
        <v>0</v>
      </c>
      <c r="CP79" s="118" t="str">
        <f t="shared" si="138"/>
        <v>A</v>
      </c>
      <c r="CQ79" s="119" t="str">
        <f t="shared" si="86"/>
        <v/>
      </c>
      <c r="CR79" s="66">
        <f>+IF($W79="","",ROUND((VLOOKUP(Parámetros!$F$51,'COBERTURAS ADICIONALES'!$S$4:$T$32,2,FALSE)*(1+i/frec)^-0.5*(1+Parámetros!$D$103)*(1+rec_fracc)/frec*$CO$42),2))</f>
        <v>0</v>
      </c>
      <c r="CS79" s="119" t="str">
        <f t="shared" si="87"/>
        <v/>
      </c>
      <c r="CT79" s="66">
        <f>+IF($W79="","",ROUND(IF($B79&gt;Parámetros!$D$107,'Tablas Servicio'!CR79+('Tablas Servicio'!CT78-'Tablas Servicio'!CR78),CR79/(1-IF(B79&lt;=10,Parámetros!$D$100,0))),2))</f>
        <v>0</v>
      </c>
      <c r="CU79" s="66">
        <f t="shared" si="88"/>
        <v>0</v>
      </c>
      <c r="CV79" s="66">
        <f t="shared" si="88"/>
        <v>0</v>
      </c>
      <c r="CW79" s="66">
        <f>+IF($W79="","",ROUND((CT79*Parámetros!$G$85),2))</f>
        <v>0</v>
      </c>
      <c r="CX79" s="66">
        <f>+IF($W79="","",ROUND((CT79*(Parámetros!$G$86)),2))</f>
        <v>0</v>
      </c>
      <c r="CY79" s="66">
        <f t="shared" si="89"/>
        <v>0</v>
      </c>
      <c r="CZ79" t="str">
        <f t="shared" si="139"/>
        <v>00064</v>
      </c>
      <c r="DA79" s="118" t="str">
        <f t="shared" si="140"/>
        <v>Enfermedades Graves</v>
      </c>
      <c r="DB79" s="118">
        <f t="shared" si="141"/>
        <v>0</v>
      </c>
      <c r="DC79" s="118" t="str">
        <f t="shared" si="142"/>
        <v>A</v>
      </c>
      <c r="DD79" s="121" t="str">
        <f>+IF(OR($W79="",DB79=0),"",ROUND((VLOOKUP(ROUNDDOWN($D79-1/frec,0),cob_adi,CO$40,FALSE)*(1+i/frec)^-0.5*(1+Parámetros!$D$103)*(1+rec_fracc)/frec),6))</f>
        <v/>
      </c>
      <c r="DE79" s="66">
        <f t="shared" si="94"/>
        <v>0</v>
      </c>
      <c r="DF79" s="119" t="str">
        <f t="shared" si="95"/>
        <v/>
      </c>
      <c r="DG79" s="66">
        <f>+IF($W79="","",ROUND(IF($B79&gt;Parámetros!$D$107,'Tablas Servicio'!DE79+('Tablas Servicio'!DG78-'Tablas Servicio'!DE78),DE79/(1-IF(B79&lt;=10,Parámetros!$D$100,0))),2))</f>
        <v>0</v>
      </c>
      <c r="DH79" s="66">
        <f t="shared" si="96"/>
        <v>0</v>
      </c>
      <c r="DI79" s="66">
        <f t="shared" si="96"/>
        <v>0</v>
      </c>
      <c r="DJ79" s="66">
        <f>+IF($W79="","",ROUND((DG79*Parámetros!$G$85),2))</f>
        <v>0</v>
      </c>
      <c r="DK79" s="66">
        <f>+IF($W79="","",ROUND((DG79*(Parámetros!$G$86)),2))</f>
        <v>0</v>
      </c>
      <c r="DL79" s="66">
        <f t="shared" si="97"/>
        <v>0</v>
      </c>
      <c r="DM79" t="str">
        <f t="shared" si="143"/>
        <v>00065</v>
      </c>
      <c r="DN79" s="118" t="str">
        <f t="shared" si="144"/>
        <v>Exención pago de primas</v>
      </c>
      <c r="DO79" s="118">
        <f t="shared" si="145"/>
        <v>0</v>
      </c>
      <c r="DP79" s="118" t="str">
        <f t="shared" si="146"/>
        <v>A</v>
      </c>
      <c r="DQ79" s="122" t="str">
        <f>+IF(OR($W79="",DO79=0),"",ROUND((VLOOKUP(ROUNDDOWN($D79-1/frec,0),cob_adi,DB$40,FALSE)*(1+i/frec)^-0.5*(1+Parámetros!$D$103)*(1+rec_fracc)/frec),6))</f>
        <v/>
      </c>
      <c r="DR79" s="66">
        <f t="shared" si="102"/>
        <v>0</v>
      </c>
      <c r="DS79" s="68" t="str">
        <f t="shared" si="103"/>
        <v/>
      </c>
      <c r="DT79" s="66">
        <f>+IF($W79="","",ROUND(IF($B79&gt;Parámetros!$D$107,'Tablas Servicio'!DR79+('Tablas Servicio'!DT78-'Tablas Servicio'!DR78),DR79/(1-IF(B79&lt;=10,Parámetros!$D$100,0))),2))</f>
        <v>0</v>
      </c>
      <c r="DU79" s="66">
        <f t="shared" si="104"/>
        <v>0</v>
      </c>
      <c r="DV79" s="66">
        <f t="shared" si="104"/>
        <v>0</v>
      </c>
      <c r="DW79" s="66">
        <f>+IF($W79="","",ROUND((DT79*Parámetros!$G$85),2))</f>
        <v>0</v>
      </c>
      <c r="DX79" s="66">
        <f>+IF($W79="","",ROUND((DT79*(Parámetros!$G$86)),2))</f>
        <v>0</v>
      </c>
      <c r="DY79" s="66">
        <f t="shared" si="105"/>
        <v>0</v>
      </c>
      <c r="DZ79" t="str">
        <f t="shared" si="148"/>
        <v>00066</v>
      </c>
      <c r="EA79" s="118" t="str">
        <f t="shared" si="148"/>
        <v>Enfermedad terminal</v>
      </c>
      <c r="EB79" s="118">
        <f>+IF($W79="","",ROUND(IF(Parámetros!$D$25='TABLAS MORT'!$V$33,EB78,Z79/2),0))</f>
        <v>50000</v>
      </c>
      <c r="EC79" s="118" t="str">
        <f t="shared" si="148"/>
        <v>A</v>
      </c>
      <c r="ED79" s="122">
        <f>+IF(OR($W79="",EB79=0),"",ROUND((VLOOKUP(ROUNDDOWN($D79-1/frec,0),cob_adi,DO$40,FALSE)*(1+i/frec)^-0.5*(1+Parámetros!$D$103)*(1+rec_fracc)/frec),6))</f>
        <v>7.9999999999999996E-6</v>
      </c>
      <c r="EE79" s="66">
        <f t="shared" si="107"/>
        <v>0.4</v>
      </c>
      <c r="EF79" s="68">
        <f t="shared" si="108"/>
        <v>9.0000000000000002E-6</v>
      </c>
      <c r="EG79" s="66">
        <f>+IF($W79="","",ROUND(IF($B79&gt;Parámetros!$D$107,'Tablas Servicio'!EE79+('Tablas Servicio'!EG78-'Tablas Servicio'!EE78),EE79/(1-IF(B79&lt;=10,Parámetros!$D$100,0))),2))</f>
        <v>0.45</v>
      </c>
      <c r="EH79" s="66">
        <f t="shared" si="109"/>
        <v>0</v>
      </c>
      <c r="EI79" s="66">
        <f t="shared" si="109"/>
        <v>0</v>
      </c>
      <c r="EJ79" s="66">
        <f>+IF($W79="","",ROUND((EG79*Parámetros!$G$85),2))</f>
        <v>0.02</v>
      </c>
      <c r="EK79" s="66">
        <f>+IF($W79="","",ROUND((EG79*(Parámetros!$G$86)),2))</f>
        <v>0</v>
      </c>
      <c r="EL79" s="66">
        <f t="shared" si="110"/>
        <v>0.47</v>
      </c>
    </row>
    <row r="80" spans="1:142" x14ac:dyDescent="0.25">
      <c r="A80">
        <f>+IF($C80="","",ROUND(VLOOKUP('Tablas Servicio'!B80,Parámetros!$H$100:$J$159,IF(Parámetros!$E$16="F",2,3),FALSE),2))</f>
        <v>150</v>
      </c>
      <c r="B80">
        <f t="shared" si="27"/>
        <v>4</v>
      </c>
      <c r="C80" s="57">
        <f>+IF(D80="","",'Tablas Servicio'!C79+1)</f>
        <v>39</v>
      </c>
      <c r="D80" s="56">
        <f>+IF(D79&lt;edadmaxtabla,D79+1/Parámetros!$E$25,"")</f>
        <v>43.270000000000095</v>
      </c>
      <c r="E80" s="57">
        <f t="shared" si="37"/>
        <v>43</v>
      </c>
      <c r="F80" s="59">
        <f t="shared" si="38"/>
        <v>100000</v>
      </c>
      <c r="G80" s="66">
        <f t="shared" si="39"/>
        <v>29.21</v>
      </c>
      <c r="H80" s="66">
        <f t="shared" si="28"/>
        <v>30.38</v>
      </c>
      <c r="I80" s="66">
        <f t="shared" si="112"/>
        <v>56.06</v>
      </c>
      <c r="J80" s="66">
        <f t="shared" si="29"/>
        <v>1.03</v>
      </c>
      <c r="K80" s="66">
        <f t="shared" si="30"/>
        <v>0.14000000000000001</v>
      </c>
      <c r="L80" s="66">
        <f t="shared" si="31"/>
        <v>0</v>
      </c>
      <c r="M80" s="66">
        <f t="shared" si="32"/>
        <v>0</v>
      </c>
      <c r="N80" s="66">
        <f>+IF(C80="","",ROUND(Parámetros!$D$23,2))</f>
        <v>94</v>
      </c>
      <c r="O80" s="66">
        <f t="shared" si="33"/>
        <v>14.3</v>
      </c>
      <c r="P80" s="66">
        <f>+IF($C80="","",ROUND(IF(B80&gt;Parámetros!$D$117,0,N80*Parámetros!$D$116-G80*Parámetros!$D$100),2))</f>
        <v>7.56</v>
      </c>
      <c r="Q80" s="75">
        <f t="shared" si="113"/>
        <v>3.5261896610749743E-2</v>
      </c>
      <c r="R80" s="75">
        <f t="shared" si="114"/>
        <v>4.7928791509756936E-3</v>
      </c>
      <c r="S80" s="117">
        <f>+IF($C80="","",ROUND((S79+I80)*(1+Parámetros!$D$91),2))</f>
        <v>2460.41</v>
      </c>
      <c r="T80" s="117">
        <f>+IF($C80="","",ROUND(S80*VLOOKUP(B80,Parámetros!$C$30:$D$39,2,TRUE),2))</f>
        <v>492.08</v>
      </c>
      <c r="U80" s="117">
        <f>+IF($C80="","",ROUND((U79+I80)*(1+Parámetros!$D$92),2))</f>
        <v>2481.11</v>
      </c>
      <c r="V80" s="117">
        <f>+IF($C80="","",ROUND(U80*VLOOKUP(B80,Parámetros!$C$30:$D$39,2,TRUE),2))</f>
        <v>496.22</v>
      </c>
      <c r="W80" s="57">
        <f t="shared" si="115"/>
        <v>39</v>
      </c>
      <c r="X80" t="str">
        <f t="shared" si="116"/>
        <v>00058</v>
      </c>
      <c r="Y80" t="str">
        <f t="shared" si="117"/>
        <v>MUERTE POR CUALQUIER CAUSA</v>
      </c>
      <c r="Z80" s="118">
        <f>+IF($W80="","",ROUND(IF(Parámetros!$D$25='TABLAS MORT'!$V$33,Z79,Parámetros!$D$21-'Tablas Servicio'!T79),0))</f>
        <v>100000</v>
      </c>
      <c r="AA80" s="118" t="str">
        <f t="shared" si="118"/>
        <v>P</v>
      </c>
      <c r="AB80" s="119">
        <f>+IF(W80="","",ROUND((VLOOKUP(ROUNDDOWN($D80-1/frec,0),qx_tabla,2,FALSE)*(1+i/frec)^-0.5*(1+Parámetros!$D$103)*(1+rec_fracc)/frec),6))</f>
        <v>1.3899999999999999E-4</v>
      </c>
      <c r="AC80" s="66">
        <f t="shared" si="46"/>
        <v>13.9</v>
      </c>
      <c r="AD80" s="119">
        <f t="shared" si="35"/>
        <v>2.8800000000000001E-4</v>
      </c>
      <c r="AE80" s="66">
        <f>+IF($W80="","",ROUND(IF($B80&gt;Parámetros!$D$107,'Tablas Servicio'!AC80+('Tablas Servicio'!AG79-'Tablas Servicio'!AC79),AC80/(1-IF(B80&lt;=10,Parámetros!$D$104,Parámetros!$D$105))),2))</f>
        <v>28.76</v>
      </c>
      <c r="AF80" s="66">
        <f>+IF($W80="","",ROUND(IF($B80&gt;Parámetros!$D$107,'Tablas Servicio'!AC80+('Tablas Servicio'!AG79-'Tablas Servicio'!AC79),(AC80+$A79/frec)/(1-IF(B80&lt;=Parámetros!$D$117,Parámetros!$D$100,0))),2))</f>
        <v>29.89</v>
      </c>
      <c r="AG80" s="66">
        <f t="shared" si="111"/>
        <v>28.76</v>
      </c>
      <c r="AH80" s="66">
        <f t="shared" si="47"/>
        <v>0</v>
      </c>
      <c r="AI80" s="66">
        <f t="shared" si="48"/>
        <v>0</v>
      </c>
      <c r="AJ80" s="66">
        <f>+IF($W80="","",ROUND((AG80*Parámetros!$G$85),2))</f>
        <v>1.01</v>
      </c>
      <c r="AK80" s="66">
        <f>+IF($W80="","",ROUND((AG80*(Parámetros!$G$86)),2))</f>
        <v>0.14000000000000001</v>
      </c>
      <c r="AL80" s="66">
        <f t="shared" si="36"/>
        <v>29.91</v>
      </c>
      <c r="AM80" t="str">
        <f t="shared" si="119"/>
        <v>00059</v>
      </c>
      <c r="AN80" t="str">
        <f t="shared" si="120"/>
        <v>Incapacidad Total y Permanente</v>
      </c>
      <c r="AO80" s="118">
        <f t="shared" si="121"/>
        <v>0</v>
      </c>
      <c r="AP80" s="118" t="str">
        <f t="shared" si="122"/>
        <v>A</v>
      </c>
      <c r="AQ80" s="119" t="str">
        <f>+IF(OR($W80="",AO80=0),"",ROUND((VLOOKUP(ROUNDDOWN($D80-1/frec,0),cob_adi,Z$40,FALSE)*(1+i/frec)^-0.5*(1+Parámetros!$D$103)*(1+rec_fracc)/frec),6))</f>
        <v/>
      </c>
      <c r="AR80" s="66">
        <f t="shared" si="53"/>
        <v>0</v>
      </c>
      <c r="AS80" s="119" t="str">
        <f t="shared" si="54"/>
        <v/>
      </c>
      <c r="AT80" s="66">
        <f>+IF($W80="","",ROUND(IF($B80&gt;Parámetros!$D$107,'Tablas Servicio'!AR80+('Tablas Servicio'!AT79-'Tablas Servicio'!AR79),AR80/(1-IF(B80&lt;=10,Parámetros!$D$100,0))),2))</f>
        <v>0</v>
      </c>
      <c r="AU80" s="66">
        <f t="shared" si="55"/>
        <v>0</v>
      </c>
      <c r="AV80" s="66">
        <f t="shared" si="55"/>
        <v>0</v>
      </c>
      <c r="AW80" s="66">
        <f>+IF($W80="","",ROUND((AT80*Parámetros!$G$85),2))</f>
        <v>0</v>
      </c>
      <c r="AX80" s="66">
        <f>+IF($W80="","",ROUND((AT80*(Parámetros!$G$86)),2))</f>
        <v>0</v>
      </c>
      <c r="AY80" s="66">
        <f t="shared" si="56"/>
        <v>0</v>
      </c>
      <c r="AZ80" t="str">
        <f t="shared" si="123"/>
        <v>00060</v>
      </c>
      <c r="BA80" t="str">
        <f t="shared" si="124"/>
        <v>Muerte Accidental</v>
      </c>
      <c r="BB80" s="118">
        <f t="shared" si="125"/>
        <v>0</v>
      </c>
      <c r="BC80" s="118" t="str">
        <f t="shared" si="126"/>
        <v>A</v>
      </c>
      <c r="BD80" s="119" t="str">
        <f>+IF(OR($W80="",BB80=0),"",ROUND((VLOOKUP(ROUNDDOWN($D80-1/frec,0),cob_adi,AO$40,FALSE)*(1+i/frec)^-0.5*(1+Parámetros!$D$103)*(1+rec_fracc)/frec),6))</f>
        <v/>
      </c>
      <c r="BE80" s="66">
        <f t="shared" si="61"/>
        <v>0</v>
      </c>
      <c r="BF80" s="119" t="str">
        <f t="shared" si="62"/>
        <v/>
      </c>
      <c r="BG80" s="66">
        <f>+IF($W80="","",ROUND(IF($B80&gt;Parámetros!$D$107,'Tablas Servicio'!BE80+('Tablas Servicio'!BG79-'Tablas Servicio'!BE79),BE80/(1-IF(B80&lt;=10,Parámetros!$D$100,0))),2))</f>
        <v>0</v>
      </c>
      <c r="BH80" s="66">
        <f t="shared" si="63"/>
        <v>0</v>
      </c>
      <c r="BI80" s="66">
        <f t="shared" si="64"/>
        <v>0</v>
      </c>
      <c r="BJ80" s="66">
        <f>+IF($W80="","",ROUND((BG80*Parámetros!$G$85),2))</f>
        <v>0</v>
      </c>
      <c r="BK80" s="66">
        <f>+IF($W80="","",ROUND((BG80*(Parámetros!$G$86)),2))</f>
        <v>0</v>
      </c>
      <c r="BL80" s="66">
        <f t="shared" si="65"/>
        <v>0</v>
      </c>
      <c r="BM80" t="str">
        <f t="shared" si="127"/>
        <v>00061</v>
      </c>
      <c r="BN80" t="str">
        <f t="shared" si="128"/>
        <v>Gastos de Entierro</v>
      </c>
      <c r="BO80" s="118">
        <f t="shared" si="129"/>
        <v>0</v>
      </c>
      <c r="BP80" s="118" t="str">
        <f t="shared" si="130"/>
        <v>A</v>
      </c>
      <c r="BQ80" s="119" t="str">
        <f>+IF(OR($W80="",BO80=0),"",ROUND((VLOOKUP(ROUNDDOWN($D80-1/frec,0),cob_adi,BB$40,FALSE)*(1+i/frec)^-0.5*(1+Parámetros!$D$103)*(1+rec_fracc)/frec),6))</f>
        <v/>
      </c>
      <c r="BR80" s="66">
        <f t="shared" si="70"/>
        <v>0</v>
      </c>
      <c r="BS80" s="119" t="str">
        <f t="shared" si="71"/>
        <v/>
      </c>
      <c r="BT80" s="66">
        <f>+IF($W80="","",ROUND(IF($B80&gt;Parámetros!$D$107,'Tablas Servicio'!BR80+('Tablas Servicio'!BT79-'Tablas Servicio'!BR79),BR80/(1-IF(B80&lt;=10,Parámetros!$D$100,0))),2))</f>
        <v>0</v>
      </c>
      <c r="BU80" s="66">
        <f t="shared" si="72"/>
        <v>0</v>
      </c>
      <c r="BV80" s="66">
        <f t="shared" si="72"/>
        <v>0</v>
      </c>
      <c r="BW80" s="66">
        <f>+IF($W80="","",ROUND((BT80*Parámetros!$G$85),2))</f>
        <v>0</v>
      </c>
      <c r="BX80" s="66">
        <f>+IF($W80="","",ROUND((BT80*(Parámetros!$G$86)),2))</f>
        <v>0</v>
      </c>
      <c r="BY80" s="66">
        <f t="shared" si="73"/>
        <v>0</v>
      </c>
      <c r="BZ80" t="str">
        <f t="shared" si="131"/>
        <v>00062</v>
      </c>
      <c r="CA80" t="str">
        <f t="shared" si="132"/>
        <v>Gastos médicos por accidente</v>
      </c>
      <c r="CB80" s="118">
        <f t="shared" si="133"/>
        <v>0</v>
      </c>
      <c r="CC80" s="118" t="str">
        <f t="shared" si="134"/>
        <v>A</v>
      </c>
      <c r="CD80" s="119" t="str">
        <f t="shared" si="78"/>
        <v/>
      </c>
      <c r="CE80" s="66">
        <f>+IF($W80="","",ROUND((VLOOKUP(ROUNDDOWN($D80-1/frec,0),cob_adi,BO$40,FALSE)*(1+i/frec)^-0.5*(1+Parámetros!$D$103)*(1+rec_fracc)/frec*'TABLAS ADI'!$BC$17),2))</f>
        <v>0</v>
      </c>
      <c r="CF80" s="119" t="str">
        <f t="shared" si="79"/>
        <v/>
      </c>
      <c r="CG80" s="66">
        <f>+IF($W80="","",ROUND(IF($B80&gt;Parámetros!$D$107,'Tablas Servicio'!CE80+('Tablas Servicio'!CG79-'Tablas Servicio'!CE79),CE80/(1-IF(B80&lt;=10,Parámetros!$D$100,0))),2))</f>
        <v>0</v>
      </c>
      <c r="CH80" s="66">
        <f t="shared" si="80"/>
        <v>0</v>
      </c>
      <c r="CI80" s="66">
        <f t="shared" si="80"/>
        <v>0</v>
      </c>
      <c r="CJ80" s="66">
        <f>+IF($W80="","",ROUND((CG80*Parámetros!$G$85),2))</f>
        <v>0</v>
      </c>
      <c r="CK80" s="66">
        <f>+IF($W80="","",ROUND((CG80*(Parámetros!$G$86)),2))</f>
        <v>0</v>
      </c>
      <c r="CL80" s="66">
        <f t="shared" si="81"/>
        <v>0</v>
      </c>
      <c r="CM80" t="str">
        <f t="shared" si="135"/>
        <v>00063</v>
      </c>
      <c r="CN80" s="118" t="str">
        <f t="shared" si="136"/>
        <v>Renta Diaria por Hospitalización</v>
      </c>
      <c r="CO80" s="118">
        <f t="shared" si="137"/>
        <v>0</v>
      </c>
      <c r="CP80" s="118" t="str">
        <f t="shared" si="138"/>
        <v>A</v>
      </c>
      <c r="CQ80" s="119" t="str">
        <f t="shared" si="86"/>
        <v/>
      </c>
      <c r="CR80" s="66">
        <f>+IF($W80="","",ROUND((VLOOKUP(Parámetros!$F$51,'COBERTURAS ADICIONALES'!$S$4:$T$32,2,FALSE)*(1+i/frec)^-0.5*(1+Parámetros!$D$103)*(1+rec_fracc)/frec*$CO$42),2))</f>
        <v>0</v>
      </c>
      <c r="CS80" s="119" t="str">
        <f t="shared" si="87"/>
        <v/>
      </c>
      <c r="CT80" s="66">
        <f>+IF($W80="","",ROUND(IF($B80&gt;Parámetros!$D$107,'Tablas Servicio'!CR80+('Tablas Servicio'!CT79-'Tablas Servicio'!CR79),CR80/(1-IF(B80&lt;=10,Parámetros!$D$100,0))),2))</f>
        <v>0</v>
      </c>
      <c r="CU80" s="66">
        <f t="shared" si="88"/>
        <v>0</v>
      </c>
      <c r="CV80" s="66">
        <f t="shared" si="88"/>
        <v>0</v>
      </c>
      <c r="CW80" s="66">
        <f>+IF($W80="","",ROUND((CT80*Parámetros!$G$85),2))</f>
        <v>0</v>
      </c>
      <c r="CX80" s="66">
        <f>+IF($W80="","",ROUND((CT80*(Parámetros!$G$86)),2))</f>
        <v>0</v>
      </c>
      <c r="CY80" s="66">
        <f t="shared" si="89"/>
        <v>0</v>
      </c>
      <c r="CZ80" t="str">
        <f t="shared" si="139"/>
        <v>00064</v>
      </c>
      <c r="DA80" s="118" t="str">
        <f t="shared" si="140"/>
        <v>Enfermedades Graves</v>
      </c>
      <c r="DB80" s="118">
        <f t="shared" si="141"/>
        <v>0</v>
      </c>
      <c r="DC80" s="118" t="str">
        <f t="shared" si="142"/>
        <v>A</v>
      </c>
      <c r="DD80" s="121" t="str">
        <f>+IF(OR($W80="",DB80=0),"",ROUND((VLOOKUP(ROUNDDOWN($D80-1/frec,0),cob_adi,CO$40,FALSE)*(1+i/frec)^-0.5*(1+Parámetros!$D$103)*(1+rec_fracc)/frec),6))</f>
        <v/>
      </c>
      <c r="DE80" s="66">
        <f t="shared" si="94"/>
        <v>0</v>
      </c>
      <c r="DF80" s="119" t="str">
        <f t="shared" si="95"/>
        <v/>
      </c>
      <c r="DG80" s="66">
        <f>+IF($W80="","",ROUND(IF($B80&gt;Parámetros!$D$107,'Tablas Servicio'!DE80+('Tablas Servicio'!DG79-'Tablas Servicio'!DE79),DE80/(1-IF(B80&lt;=10,Parámetros!$D$100,0))),2))</f>
        <v>0</v>
      </c>
      <c r="DH80" s="66">
        <f t="shared" si="96"/>
        <v>0</v>
      </c>
      <c r="DI80" s="66">
        <f t="shared" si="96"/>
        <v>0</v>
      </c>
      <c r="DJ80" s="66">
        <f>+IF($W80="","",ROUND((DG80*Parámetros!$G$85),2))</f>
        <v>0</v>
      </c>
      <c r="DK80" s="66">
        <f>+IF($W80="","",ROUND((DG80*(Parámetros!$G$86)),2))</f>
        <v>0</v>
      </c>
      <c r="DL80" s="66">
        <f t="shared" si="97"/>
        <v>0</v>
      </c>
      <c r="DM80" t="str">
        <f t="shared" si="143"/>
        <v>00065</v>
      </c>
      <c r="DN80" s="118" t="str">
        <f t="shared" si="144"/>
        <v>Exención pago de primas</v>
      </c>
      <c r="DO80" s="118">
        <f t="shared" si="145"/>
        <v>0</v>
      </c>
      <c r="DP80" s="118" t="str">
        <f t="shared" si="146"/>
        <v>A</v>
      </c>
      <c r="DQ80" s="122" t="str">
        <f>+IF(OR($W80="",DO80=0),"",ROUND((VLOOKUP(ROUNDDOWN($D80-1/frec,0),cob_adi,DB$40,FALSE)*(1+i/frec)^-0.5*(1+Parámetros!$D$103)*(1+rec_fracc)/frec),6))</f>
        <v/>
      </c>
      <c r="DR80" s="66">
        <f t="shared" si="102"/>
        <v>0</v>
      </c>
      <c r="DS80" s="68" t="str">
        <f t="shared" si="103"/>
        <v/>
      </c>
      <c r="DT80" s="66">
        <f>+IF($W80="","",ROUND(IF($B80&gt;Parámetros!$D$107,'Tablas Servicio'!DR80+('Tablas Servicio'!DT79-'Tablas Servicio'!DR79),DR80/(1-IF(B80&lt;=10,Parámetros!$D$100,0))),2))</f>
        <v>0</v>
      </c>
      <c r="DU80" s="66">
        <f t="shared" si="104"/>
        <v>0</v>
      </c>
      <c r="DV80" s="66">
        <f t="shared" si="104"/>
        <v>0</v>
      </c>
      <c r="DW80" s="66">
        <f>+IF($W80="","",ROUND((DT80*Parámetros!$G$85),2))</f>
        <v>0</v>
      </c>
      <c r="DX80" s="66">
        <f>+IF($W80="","",ROUND((DT80*(Parámetros!$G$86)),2))</f>
        <v>0</v>
      </c>
      <c r="DY80" s="66">
        <f t="shared" si="105"/>
        <v>0</v>
      </c>
      <c r="DZ80" t="str">
        <f t="shared" si="148"/>
        <v>00066</v>
      </c>
      <c r="EA80" s="118" t="str">
        <f t="shared" si="148"/>
        <v>Enfermedad terminal</v>
      </c>
      <c r="EB80" s="118">
        <f>+IF($W80="","",ROUND(IF(Parámetros!$D$25='TABLAS MORT'!$V$33,EB79,Z80/2),0))</f>
        <v>50000</v>
      </c>
      <c r="EC80" s="118" t="str">
        <f t="shared" si="148"/>
        <v>A</v>
      </c>
      <c r="ED80" s="122">
        <f>+IF(OR($W80="",EB80=0),"",ROUND((VLOOKUP(ROUNDDOWN($D80-1/frec,0),cob_adi,DO$40,FALSE)*(1+i/frec)^-0.5*(1+Parámetros!$D$103)*(1+rec_fracc)/frec),6))</f>
        <v>7.9999999999999996E-6</v>
      </c>
      <c r="EE80" s="66">
        <f t="shared" si="107"/>
        <v>0.4</v>
      </c>
      <c r="EF80" s="68">
        <f t="shared" si="108"/>
        <v>9.0000000000000002E-6</v>
      </c>
      <c r="EG80" s="66">
        <f>+IF($W80="","",ROUND(IF($B80&gt;Parámetros!$D$107,'Tablas Servicio'!EE80+('Tablas Servicio'!EG79-'Tablas Servicio'!EE79),EE80/(1-IF(B80&lt;=10,Parámetros!$D$100,0))),2))</f>
        <v>0.45</v>
      </c>
      <c r="EH80" s="66">
        <f t="shared" si="109"/>
        <v>0</v>
      </c>
      <c r="EI80" s="66">
        <f t="shared" si="109"/>
        <v>0</v>
      </c>
      <c r="EJ80" s="66">
        <f>+IF($W80="","",ROUND((EG80*Parámetros!$G$85),2))</f>
        <v>0.02</v>
      </c>
      <c r="EK80" s="66">
        <f>+IF($W80="","",ROUND((EG80*(Parámetros!$G$86)),2))</f>
        <v>0</v>
      </c>
      <c r="EL80" s="66">
        <f t="shared" si="110"/>
        <v>0.47</v>
      </c>
    </row>
    <row r="81" spans="1:142" x14ac:dyDescent="0.25">
      <c r="A81">
        <f>+IF($C81="","",ROUND(VLOOKUP('Tablas Servicio'!B81,Parámetros!$H$100:$J$159,IF(Parámetros!$E$16="F",2,3),FALSE),2))</f>
        <v>150</v>
      </c>
      <c r="B81">
        <f t="shared" si="27"/>
        <v>4</v>
      </c>
      <c r="C81" s="57">
        <f>+IF(D81="","",'Tablas Servicio'!C80+1)</f>
        <v>40</v>
      </c>
      <c r="D81" s="56">
        <f>+IF(D80&lt;edadmaxtabla,D80+1/Parámetros!$E$25,"")</f>
        <v>43.353333333333431</v>
      </c>
      <c r="E81" s="57">
        <f t="shared" si="37"/>
        <v>43</v>
      </c>
      <c r="F81" s="59">
        <f t="shared" si="38"/>
        <v>100000</v>
      </c>
      <c r="G81" s="66">
        <f t="shared" si="39"/>
        <v>29.21</v>
      </c>
      <c r="H81" s="66">
        <f t="shared" si="28"/>
        <v>30.38</v>
      </c>
      <c r="I81" s="66">
        <f t="shared" si="112"/>
        <v>56.06</v>
      </c>
      <c r="J81" s="66">
        <f t="shared" si="29"/>
        <v>1.03</v>
      </c>
      <c r="K81" s="66">
        <f t="shared" si="30"/>
        <v>0.14000000000000001</v>
      </c>
      <c r="L81" s="66">
        <f t="shared" si="31"/>
        <v>0</v>
      </c>
      <c r="M81" s="66">
        <f t="shared" si="32"/>
        <v>0</v>
      </c>
      <c r="N81" s="66">
        <f>+IF(C81="","",ROUND(Parámetros!$D$23,2))</f>
        <v>94</v>
      </c>
      <c r="O81" s="66">
        <f t="shared" si="33"/>
        <v>14.3</v>
      </c>
      <c r="P81" s="66">
        <f>+IF($C81="","",ROUND(IF(B81&gt;Parámetros!$D$117,0,N81*Parámetros!$D$116-G81*Parámetros!$D$100),2))</f>
        <v>7.56</v>
      </c>
      <c r="Q81" s="75">
        <f t="shared" si="113"/>
        <v>3.5261896610749743E-2</v>
      </c>
      <c r="R81" s="75">
        <f t="shared" si="114"/>
        <v>4.7928791509756936E-3</v>
      </c>
      <c r="S81" s="117">
        <f>+IF($C81="","",ROUND((S80+I81)*(1+Parámetros!$D$91),2))</f>
        <v>2523.61</v>
      </c>
      <c r="T81" s="117">
        <f>+IF($C81="","",ROUND(S81*VLOOKUP(B81,Parámetros!$C$30:$D$39,2,TRUE),2))</f>
        <v>504.72</v>
      </c>
      <c r="U81" s="117">
        <f>+IF($C81="","",ROUND((U80+I81)*(1+Parámetros!$D$92),2))</f>
        <v>2545.39</v>
      </c>
      <c r="V81" s="117">
        <f>+IF($C81="","",ROUND(U81*VLOOKUP(B81,Parámetros!$C$30:$D$39,2,TRUE),2))</f>
        <v>509.08</v>
      </c>
      <c r="W81" s="57">
        <f t="shared" si="115"/>
        <v>40</v>
      </c>
      <c r="X81" t="str">
        <f t="shared" si="116"/>
        <v>00058</v>
      </c>
      <c r="Y81" t="str">
        <f t="shared" si="117"/>
        <v>MUERTE POR CUALQUIER CAUSA</v>
      </c>
      <c r="Z81" s="118">
        <f>+IF($W81="","",ROUND(IF(Parámetros!$D$25='TABLAS MORT'!$V$33,Z80,Parámetros!$D$21-'Tablas Servicio'!T80),0))</f>
        <v>100000</v>
      </c>
      <c r="AA81" s="118" t="str">
        <f t="shared" si="118"/>
        <v>P</v>
      </c>
      <c r="AB81" s="119">
        <f>+IF(W81="","",ROUND((VLOOKUP(ROUNDDOWN($D81-1/frec,0),qx_tabla,2,FALSE)*(1+i/frec)^-0.5*(1+Parámetros!$D$103)*(1+rec_fracc)/frec),6))</f>
        <v>1.3899999999999999E-4</v>
      </c>
      <c r="AC81" s="66">
        <f t="shared" si="46"/>
        <v>13.9</v>
      </c>
      <c r="AD81" s="119">
        <f t="shared" si="35"/>
        <v>2.8800000000000001E-4</v>
      </c>
      <c r="AE81" s="66">
        <f>+IF($W81="","",ROUND(IF($B81&gt;Parámetros!$D$107,'Tablas Servicio'!AC81+('Tablas Servicio'!AG80-'Tablas Servicio'!AC80),AC81/(1-IF(B81&lt;=10,Parámetros!$D$104,Parámetros!$D$105))),2))</f>
        <v>28.76</v>
      </c>
      <c r="AF81" s="66">
        <f>+IF($W81="","",ROUND(IF($B81&gt;Parámetros!$D$107,'Tablas Servicio'!AC81+('Tablas Servicio'!AG80-'Tablas Servicio'!AC80),(AC81+$A80/frec)/(1-IF(B81&lt;=Parámetros!$D$117,Parámetros!$D$100,0))),2))</f>
        <v>29.89</v>
      </c>
      <c r="AG81" s="66">
        <f t="shared" si="111"/>
        <v>28.76</v>
      </c>
      <c r="AH81" s="66">
        <f t="shared" si="47"/>
        <v>0</v>
      </c>
      <c r="AI81" s="66">
        <f t="shared" si="48"/>
        <v>0</v>
      </c>
      <c r="AJ81" s="66">
        <f>+IF($W81="","",ROUND((AG81*Parámetros!$G$85),2))</f>
        <v>1.01</v>
      </c>
      <c r="AK81" s="66">
        <f>+IF($W81="","",ROUND((AG81*(Parámetros!$G$86)),2))</f>
        <v>0.14000000000000001</v>
      </c>
      <c r="AL81" s="66">
        <f t="shared" si="36"/>
        <v>29.91</v>
      </c>
      <c r="AM81" t="str">
        <f t="shared" si="119"/>
        <v>00059</v>
      </c>
      <c r="AN81" t="str">
        <f t="shared" si="120"/>
        <v>Incapacidad Total y Permanente</v>
      </c>
      <c r="AO81" s="118">
        <f t="shared" si="121"/>
        <v>0</v>
      </c>
      <c r="AP81" s="118" t="str">
        <f t="shared" si="122"/>
        <v>A</v>
      </c>
      <c r="AQ81" s="119" t="str">
        <f>+IF(OR($W81="",AO81=0),"",ROUND((VLOOKUP(ROUNDDOWN($D81-1/frec,0),cob_adi,Z$40,FALSE)*(1+i/frec)^-0.5*(1+Parámetros!$D$103)*(1+rec_fracc)/frec),6))</f>
        <v/>
      </c>
      <c r="AR81" s="66">
        <f t="shared" si="53"/>
        <v>0</v>
      </c>
      <c r="AS81" s="119" t="str">
        <f t="shared" si="54"/>
        <v/>
      </c>
      <c r="AT81" s="66">
        <f>+IF($W81="","",ROUND(IF($B81&gt;Parámetros!$D$107,'Tablas Servicio'!AR81+('Tablas Servicio'!AT80-'Tablas Servicio'!AR80),AR81/(1-IF(B81&lt;=10,Parámetros!$D$100,0))),2))</f>
        <v>0</v>
      </c>
      <c r="AU81" s="66">
        <f t="shared" si="55"/>
        <v>0</v>
      </c>
      <c r="AV81" s="66">
        <f t="shared" si="55"/>
        <v>0</v>
      </c>
      <c r="AW81" s="66">
        <f>+IF($W81="","",ROUND((AT81*Parámetros!$G$85),2))</f>
        <v>0</v>
      </c>
      <c r="AX81" s="66">
        <f>+IF($W81="","",ROUND((AT81*(Parámetros!$G$86)),2))</f>
        <v>0</v>
      </c>
      <c r="AY81" s="66">
        <f t="shared" si="56"/>
        <v>0</v>
      </c>
      <c r="AZ81" t="str">
        <f t="shared" si="123"/>
        <v>00060</v>
      </c>
      <c r="BA81" t="str">
        <f t="shared" si="124"/>
        <v>Muerte Accidental</v>
      </c>
      <c r="BB81" s="118">
        <f t="shared" si="125"/>
        <v>0</v>
      </c>
      <c r="BC81" s="118" t="str">
        <f t="shared" si="126"/>
        <v>A</v>
      </c>
      <c r="BD81" s="119" t="str">
        <f>+IF(OR($W81="",BB81=0),"",ROUND((VLOOKUP(ROUNDDOWN($D81-1/frec,0),cob_adi,AO$40,FALSE)*(1+i/frec)^-0.5*(1+Parámetros!$D$103)*(1+rec_fracc)/frec),6))</f>
        <v/>
      </c>
      <c r="BE81" s="66">
        <f t="shared" si="61"/>
        <v>0</v>
      </c>
      <c r="BF81" s="119" t="str">
        <f t="shared" si="62"/>
        <v/>
      </c>
      <c r="BG81" s="66">
        <f>+IF($W81="","",ROUND(IF($B81&gt;Parámetros!$D$107,'Tablas Servicio'!BE81+('Tablas Servicio'!BG80-'Tablas Servicio'!BE80),BE81/(1-IF(B81&lt;=10,Parámetros!$D$100,0))),2))</f>
        <v>0</v>
      </c>
      <c r="BH81" s="66">
        <f t="shared" si="63"/>
        <v>0</v>
      </c>
      <c r="BI81" s="66">
        <f t="shared" si="64"/>
        <v>0</v>
      </c>
      <c r="BJ81" s="66">
        <f>+IF($W81="","",ROUND((BG81*Parámetros!$G$85),2))</f>
        <v>0</v>
      </c>
      <c r="BK81" s="66">
        <f>+IF($W81="","",ROUND((BG81*(Parámetros!$G$86)),2))</f>
        <v>0</v>
      </c>
      <c r="BL81" s="66">
        <f t="shared" si="65"/>
        <v>0</v>
      </c>
      <c r="BM81" t="str">
        <f t="shared" si="127"/>
        <v>00061</v>
      </c>
      <c r="BN81" t="str">
        <f t="shared" si="128"/>
        <v>Gastos de Entierro</v>
      </c>
      <c r="BO81" s="118">
        <f t="shared" si="129"/>
        <v>0</v>
      </c>
      <c r="BP81" s="118" t="str">
        <f t="shared" si="130"/>
        <v>A</v>
      </c>
      <c r="BQ81" s="119" t="str">
        <f>+IF(OR($W81="",BO81=0),"",ROUND((VLOOKUP(ROUNDDOWN($D81-1/frec,0),cob_adi,BB$40,FALSE)*(1+i/frec)^-0.5*(1+Parámetros!$D$103)*(1+rec_fracc)/frec),6))</f>
        <v/>
      </c>
      <c r="BR81" s="66">
        <f t="shared" si="70"/>
        <v>0</v>
      </c>
      <c r="BS81" s="119" t="str">
        <f t="shared" si="71"/>
        <v/>
      </c>
      <c r="BT81" s="66">
        <f>+IF($W81="","",ROUND(IF($B81&gt;Parámetros!$D$107,'Tablas Servicio'!BR81+('Tablas Servicio'!BT80-'Tablas Servicio'!BR80),BR81/(1-IF(B81&lt;=10,Parámetros!$D$100,0))),2))</f>
        <v>0</v>
      </c>
      <c r="BU81" s="66">
        <f t="shared" si="72"/>
        <v>0</v>
      </c>
      <c r="BV81" s="66">
        <f t="shared" si="72"/>
        <v>0</v>
      </c>
      <c r="BW81" s="66">
        <f>+IF($W81="","",ROUND((BT81*Parámetros!$G$85),2))</f>
        <v>0</v>
      </c>
      <c r="BX81" s="66">
        <f>+IF($W81="","",ROUND((BT81*(Parámetros!$G$86)),2))</f>
        <v>0</v>
      </c>
      <c r="BY81" s="66">
        <f t="shared" si="73"/>
        <v>0</v>
      </c>
      <c r="BZ81" t="str">
        <f t="shared" si="131"/>
        <v>00062</v>
      </c>
      <c r="CA81" t="str">
        <f t="shared" si="132"/>
        <v>Gastos médicos por accidente</v>
      </c>
      <c r="CB81" s="118">
        <f t="shared" si="133"/>
        <v>0</v>
      </c>
      <c r="CC81" s="118" t="str">
        <f t="shared" si="134"/>
        <v>A</v>
      </c>
      <c r="CD81" s="119" t="str">
        <f t="shared" si="78"/>
        <v/>
      </c>
      <c r="CE81" s="66">
        <f>+IF($W81="","",ROUND((VLOOKUP(ROUNDDOWN($D81-1/frec,0),cob_adi,BO$40,FALSE)*(1+i/frec)^-0.5*(1+Parámetros!$D$103)*(1+rec_fracc)/frec*'TABLAS ADI'!$BC$17),2))</f>
        <v>0</v>
      </c>
      <c r="CF81" s="119" t="str">
        <f t="shared" si="79"/>
        <v/>
      </c>
      <c r="CG81" s="66">
        <f>+IF($W81="","",ROUND(IF($B81&gt;Parámetros!$D$107,'Tablas Servicio'!CE81+('Tablas Servicio'!CG80-'Tablas Servicio'!CE80),CE81/(1-IF(B81&lt;=10,Parámetros!$D$100,0))),2))</f>
        <v>0</v>
      </c>
      <c r="CH81" s="66">
        <f t="shared" si="80"/>
        <v>0</v>
      </c>
      <c r="CI81" s="66">
        <f t="shared" si="80"/>
        <v>0</v>
      </c>
      <c r="CJ81" s="66">
        <f>+IF($W81="","",ROUND((CG81*Parámetros!$G$85),2))</f>
        <v>0</v>
      </c>
      <c r="CK81" s="66">
        <f>+IF($W81="","",ROUND((CG81*(Parámetros!$G$86)),2))</f>
        <v>0</v>
      </c>
      <c r="CL81" s="66">
        <f t="shared" si="81"/>
        <v>0</v>
      </c>
      <c r="CM81" t="str">
        <f t="shared" si="135"/>
        <v>00063</v>
      </c>
      <c r="CN81" s="118" t="str">
        <f t="shared" si="136"/>
        <v>Renta Diaria por Hospitalización</v>
      </c>
      <c r="CO81" s="118">
        <f t="shared" si="137"/>
        <v>0</v>
      </c>
      <c r="CP81" s="118" t="str">
        <f t="shared" si="138"/>
        <v>A</v>
      </c>
      <c r="CQ81" s="119" t="str">
        <f t="shared" si="86"/>
        <v/>
      </c>
      <c r="CR81" s="66">
        <f>+IF($W81="","",ROUND((VLOOKUP(Parámetros!$F$51,'COBERTURAS ADICIONALES'!$S$4:$T$32,2,FALSE)*(1+i/frec)^-0.5*(1+Parámetros!$D$103)*(1+rec_fracc)/frec*$CO$42),2))</f>
        <v>0</v>
      </c>
      <c r="CS81" s="119" t="str">
        <f t="shared" si="87"/>
        <v/>
      </c>
      <c r="CT81" s="66">
        <f>+IF($W81="","",ROUND(IF($B81&gt;Parámetros!$D$107,'Tablas Servicio'!CR81+('Tablas Servicio'!CT80-'Tablas Servicio'!CR80),CR81/(1-IF(B81&lt;=10,Parámetros!$D$100,0))),2))</f>
        <v>0</v>
      </c>
      <c r="CU81" s="66">
        <f t="shared" si="88"/>
        <v>0</v>
      </c>
      <c r="CV81" s="66">
        <f t="shared" si="88"/>
        <v>0</v>
      </c>
      <c r="CW81" s="66">
        <f>+IF($W81="","",ROUND((CT81*Parámetros!$G$85),2))</f>
        <v>0</v>
      </c>
      <c r="CX81" s="66">
        <f>+IF($W81="","",ROUND((CT81*(Parámetros!$G$86)),2))</f>
        <v>0</v>
      </c>
      <c r="CY81" s="66">
        <f t="shared" si="89"/>
        <v>0</v>
      </c>
      <c r="CZ81" t="str">
        <f t="shared" si="139"/>
        <v>00064</v>
      </c>
      <c r="DA81" s="118" t="str">
        <f t="shared" si="140"/>
        <v>Enfermedades Graves</v>
      </c>
      <c r="DB81" s="118">
        <f t="shared" si="141"/>
        <v>0</v>
      </c>
      <c r="DC81" s="118" t="str">
        <f t="shared" si="142"/>
        <v>A</v>
      </c>
      <c r="DD81" s="121" t="str">
        <f>+IF(OR($W81="",DB81=0),"",ROUND((VLOOKUP(ROUNDDOWN($D81-1/frec,0),cob_adi,CO$40,FALSE)*(1+i/frec)^-0.5*(1+Parámetros!$D$103)*(1+rec_fracc)/frec),6))</f>
        <v/>
      </c>
      <c r="DE81" s="66">
        <f t="shared" si="94"/>
        <v>0</v>
      </c>
      <c r="DF81" s="119" t="str">
        <f t="shared" si="95"/>
        <v/>
      </c>
      <c r="DG81" s="66">
        <f>+IF($W81="","",ROUND(IF($B81&gt;Parámetros!$D$107,'Tablas Servicio'!DE81+('Tablas Servicio'!DG80-'Tablas Servicio'!DE80),DE81/(1-IF(B81&lt;=10,Parámetros!$D$100,0))),2))</f>
        <v>0</v>
      </c>
      <c r="DH81" s="66">
        <f t="shared" si="96"/>
        <v>0</v>
      </c>
      <c r="DI81" s="66">
        <f t="shared" si="96"/>
        <v>0</v>
      </c>
      <c r="DJ81" s="66">
        <f>+IF($W81="","",ROUND((DG81*Parámetros!$G$85),2))</f>
        <v>0</v>
      </c>
      <c r="DK81" s="66">
        <f>+IF($W81="","",ROUND((DG81*(Parámetros!$G$86)),2))</f>
        <v>0</v>
      </c>
      <c r="DL81" s="66">
        <f t="shared" si="97"/>
        <v>0</v>
      </c>
      <c r="DM81" t="str">
        <f t="shared" si="143"/>
        <v>00065</v>
      </c>
      <c r="DN81" s="118" t="str">
        <f t="shared" si="144"/>
        <v>Exención pago de primas</v>
      </c>
      <c r="DO81" s="118">
        <f t="shared" si="145"/>
        <v>0</v>
      </c>
      <c r="DP81" s="118" t="str">
        <f t="shared" si="146"/>
        <v>A</v>
      </c>
      <c r="DQ81" s="122" t="str">
        <f>+IF(OR($W81="",DO81=0),"",ROUND((VLOOKUP(ROUNDDOWN($D81-1/frec,0),cob_adi,DB$40,FALSE)*(1+i/frec)^-0.5*(1+Parámetros!$D$103)*(1+rec_fracc)/frec),6))</f>
        <v/>
      </c>
      <c r="DR81" s="66">
        <f t="shared" si="102"/>
        <v>0</v>
      </c>
      <c r="DS81" s="68" t="str">
        <f t="shared" si="103"/>
        <v/>
      </c>
      <c r="DT81" s="66">
        <f>+IF($W81="","",ROUND(IF($B81&gt;Parámetros!$D$107,'Tablas Servicio'!DR81+('Tablas Servicio'!DT80-'Tablas Servicio'!DR80),DR81/(1-IF(B81&lt;=10,Parámetros!$D$100,0))),2))</f>
        <v>0</v>
      </c>
      <c r="DU81" s="66">
        <f t="shared" si="104"/>
        <v>0</v>
      </c>
      <c r="DV81" s="66">
        <f t="shared" si="104"/>
        <v>0</v>
      </c>
      <c r="DW81" s="66">
        <f>+IF($W81="","",ROUND((DT81*Parámetros!$G$85),2))</f>
        <v>0</v>
      </c>
      <c r="DX81" s="66">
        <f>+IF($W81="","",ROUND((DT81*(Parámetros!$G$86)),2))</f>
        <v>0</v>
      </c>
      <c r="DY81" s="66">
        <f t="shared" si="105"/>
        <v>0</v>
      </c>
      <c r="DZ81" t="str">
        <f t="shared" si="148"/>
        <v>00066</v>
      </c>
      <c r="EA81" s="118" t="str">
        <f t="shared" si="148"/>
        <v>Enfermedad terminal</v>
      </c>
      <c r="EB81" s="118">
        <f>+IF($W81="","",ROUND(IF(Parámetros!$D$25='TABLAS MORT'!$V$33,EB80,Z81/2),0))</f>
        <v>50000</v>
      </c>
      <c r="EC81" s="118" t="str">
        <f t="shared" si="148"/>
        <v>A</v>
      </c>
      <c r="ED81" s="122">
        <f>+IF(OR($W81="",EB81=0),"",ROUND((VLOOKUP(ROUNDDOWN($D81-1/frec,0),cob_adi,DO$40,FALSE)*(1+i/frec)^-0.5*(1+Parámetros!$D$103)*(1+rec_fracc)/frec),6))</f>
        <v>7.9999999999999996E-6</v>
      </c>
      <c r="EE81" s="66">
        <f t="shared" si="107"/>
        <v>0.4</v>
      </c>
      <c r="EF81" s="68">
        <f t="shared" si="108"/>
        <v>9.0000000000000002E-6</v>
      </c>
      <c r="EG81" s="66">
        <f>+IF($W81="","",ROUND(IF($B81&gt;Parámetros!$D$107,'Tablas Servicio'!EE81+('Tablas Servicio'!EG80-'Tablas Servicio'!EE80),EE81/(1-IF(B81&lt;=10,Parámetros!$D$100,0))),2))</f>
        <v>0.45</v>
      </c>
      <c r="EH81" s="66">
        <f t="shared" si="109"/>
        <v>0</v>
      </c>
      <c r="EI81" s="66">
        <f t="shared" si="109"/>
        <v>0</v>
      </c>
      <c r="EJ81" s="66">
        <f>+IF($W81="","",ROUND((EG81*Parámetros!$G$85),2))</f>
        <v>0.02</v>
      </c>
      <c r="EK81" s="66">
        <f>+IF($W81="","",ROUND((EG81*(Parámetros!$G$86)),2))</f>
        <v>0</v>
      </c>
      <c r="EL81" s="66">
        <f t="shared" si="110"/>
        <v>0.47</v>
      </c>
    </row>
    <row r="82" spans="1:142" x14ac:dyDescent="0.25">
      <c r="A82">
        <f>+IF($C82="","",ROUND(VLOOKUP('Tablas Servicio'!B82,Parámetros!$H$100:$J$159,IF(Parámetros!$E$16="F",2,3),FALSE),2))</f>
        <v>150</v>
      </c>
      <c r="B82">
        <f t="shared" si="27"/>
        <v>4</v>
      </c>
      <c r="C82" s="57">
        <f>+IF(D82="","",'Tablas Servicio'!C81+1)</f>
        <v>41</v>
      </c>
      <c r="D82" s="56">
        <f>+IF(D81&lt;edadmaxtabla,D81+1/Parámetros!$E$25,"")</f>
        <v>43.436666666666767</v>
      </c>
      <c r="E82" s="57">
        <f t="shared" si="37"/>
        <v>43</v>
      </c>
      <c r="F82" s="59">
        <f t="shared" si="38"/>
        <v>100000</v>
      </c>
      <c r="G82" s="66">
        <f t="shared" si="39"/>
        <v>29.21</v>
      </c>
      <c r="H82" s="66">
        <f t="shared" si="28"/>
        <v>30.38</v>
      </c>
      <c r="I82" s="66">
        <f t="shared" si="112"/>
        <v>56.06</v>
      </c>
      <c r="J82" s="66">
        <f t="shared" si="29"/>
        <v>1.03</v>
      </c>
      <c r="K82" s="66">
        <f t="shared" si="30"/>
        <v>0.14000000000000001</v>
      </c>
      <c r="L82" s="66">
        <f t="shared" si="31"/>
        <v>0</v>
      </c>
      <c r="M82" s="66">
        <f t="shared" si="32"/>
        <v>0</v>
      </c>
      <c r="N82" s="66">
        <f>+IF(C82="","",ROUND(Parámetros!$D$23,2))</f>
        <v>94</v>
      </c>
      <c r="O82" s="66">
        <f t="shared" si="33"/>
        <v>14.3</v>
      </c>
      <c r="P82" s="66">
        <f>+IF($C82="","",ROUND(IF(B82&gt;Parámetros!$D$117,0,N82*Parámetros!$D$116-G82*Parámetros!$D$100),2))</f>
        <v>7.56</v>
      </c>
      <c r="Q82" s="75">
        <f t="shared" si="113"/>
        <v>3.5261896610749743E-2</v>
      </c>
      <c r="R82" s="75">
        <f t="shared" si="114"/>
        <v>4.7928791509756936E-3</v>
      </c>
      <c r="S82" s="117">
        <f>+IF($C82="","",ROUND((S81+I82)*(1+Parámetros!$D$91),2))</f>
        <v>2586.9899999999998</v>
      </c>
      <c r="T82" s="117">
        <f>+IF($C82="","",ROUND(S82*VLOOKUP(B82,Parámetros!$C$30:$D$39,2,TRUE),2))</f>
        <v>517.4</v>
      </c>
      <c r="U82" s="117">
        <f>+IF($C82="","",ROUND((U81+I82)*(1+Parámetros!$D$92),2))</f>
        <v>2609.88</v>
      </c>
      <c r="V82" s="117">
        <f>+IF($C82="","",ROUND(U82*VLOOKUP(B82,Parámetros!$C$30:$D$39,2,TRUE),2))</f>
        <v>521.98</v>
      </c>
      <c r="W82" s="57">
        <f t="shared" si="115"/>
        <v>41</v>
      </c>
      <c r="X82" t="str">
        <f t="shared" si="116"/>
        <v>00058</v>
      </c>
      <c r="Y82" t="str">
        <f t="shared" si="117"/>
        <v>MUERTE POR CUALQUIER CAUSA</v>
      </c>
      <c r="Z82" s="118">
        <f>+IF($W82="","",ROUND(IF(Parámetros!$D$25='TABLAS MORT'!$V$33,Z81,Parámetros!$D$21-'Tablas Servicio'!T81),0))</f>
        <v>100000</v>
      </c>
      <c r="AA82" s="118" t="str">
        <f t="shared" si="118"/>
        <v>P</v>
      </c>
      <c r="AB82" s="119">
        <f>+IF(W82="","",ROUND((VLOOKUP(ROUNDDOWN($D82-1/frec,0),qx_tabla,2,FALSE)*(1+i/frec)^-0.5*(1+Parámetros!$D$103)*(1+rec_fracc)/frec),6))</f>
        <v>1.3899999999999999E-4</v>
      </c>
      <c r="AC82" s="66">
        <f t="shared" si="46"/>
        <v>13.9</v>
      </c>
      <c r="AD82" s="119">
        <f t="shared" si="35"/>
        <v>2.8800000000000001E-4</v>
      </c>
      <c r="AE82" s="66">
        <f>+IF($W82="","",ROUND(IF($B82&gt;Parámetros!$D$107,'Tablas Servicio'!AC82+('Tablas Servicio'!AG81-'Tablas Servicio'!AC81),AC82/(1-IF(B82&lt;=10,Parámetros!$D$104,Parámetros!$D$105))),2))</f>
        <v>28.76</v>
      </c>
      <c r="AF82" s="66">
        <f>+IF($W82="","",ROUND(IF($B82&gt;Parámetros!$D$107,'Tablas Servicio'!AC82+('Tablas Servicio'!AG81-'Tablas Servicio'!AC81),(AC82+$A81/frec)/(1-IF(B82&lt;=Parámetros!$D$117,Parámetros!$D$100,0))),2))</f>
        <v>29.89</v>
      </c>
      <c r="AG82" s="66">
        <f t="shared" si="111"/>
        <v>28.76</v>
      </c>
      <c r="AH82" s="66">
        <f t="shared" si="47"/>
        <v>0</v>
      </c>
      <c r="AI82" s="66">
        <f t="shared" si="48"/>
        <v>0</v>
      </c>
      <c r="AJ82" s="66">
        <f>+IF($W82="","",ROUND((AG82*Parámetros!$G$85),2))</f>
        <v>1.01</v>
      </c>
      <c r="AK82" s="66">
        <f>+IF($W82="","",ROUND((AG82*(Parámetros!$G$86)),2))</f>
        <v>0.14000000000000001</v>
      </c>
      <c r="AL82" s="66">
        <f t="shared" si="36"/>
        <v>29.91</v>
      </c>
      <c r="AM82" t="str">
        <f t="shared" si="119"/>
        <v>00059</v>
      </c>
      <c r="AN82" t="str">
        <f t="shared" si="120"/>
        <v>Incapacidad Total y Permanente</v>
      </c>
      <c r="AO82" s="118">
        <f t="shared" si="121"/>
        <v>0</v>
      </c>
      <c r="AP82" s="118" t="str">
        <f t="shared" si="122"/>
        <v>A</v>
      </c>
      <c r="AQ82" s="119" t="str">
        <f>+IF(OR($W82="",AO82=0),"",ROUND((VLOOKUP(ROUNDDOWN($D82-1/frec,0),cob_adi,Z$40,FALSE)*(1+i/frec)^-0.5*(1+Parámetros!$D$103)*(1+rec_fracc)/frec),6))</f>
        <v/>
      </c>
      <c r="AR82" s="66">
        <f t="shared" si="53"/>
        <v>0</v>
      </c>
      <c r="AS82" s="119" t="str">
        <f t="shared" si="54"/>
        <v/>
      </c>
      <c r="AT82" s="66">
        <f>+IF($W82="","",ROUND(IF($B82&gt;Parámetros!$D$107,'Tablas Servicio'!AR82+('Tablas Servicio'!AT81-'Tablas Servicio'!AR81),AR82/(1-IF(B82&lt;=10,Parámetros!$D$100,0))),2))</f>
        <v>0</v>
      </c>
      <c r="AU82" s="66">
        <f t="shared" si="55"/>
        <v>0</v>
      </c>
      <c r="AV82" s="66">
        <f t="shared" si="55"/>
        <v>0</v>
      </c>
      <c r="AW82" s="66">
        <f>+IF($W82="","",ROUND((AT82*Parámetros!$G$85),2))</f>
        <v>0</v>
      </c>
      <c r="AX82" s="66">
        <f>+IF($W82="","",ROUND((AT82*(Parámetros!$G$86)),2))</f>
        <v>0</v>
      </c>
      <c r="AY82" s="66">
        <f t="shared" si="56"/>
        <v>0</v>
      </c>
      <c r="AZ82" t="str">
        <f t="shared" si="123"/>
        <v>00060</v>
      </c>
      <c r="BA82" t="str">
        <f t="shared" si="124"/>
        <v>Muerte Accidental</v>
      </c>
      <c r="BB82" s="118">
        <f t="shared" si="125"/>
        <v>0</v>
      </c>
      <c r="BC82" s="118" t="str">
        <f t="shared" si="126"/>
        <v>A</v>
      </c>
      <c r="BD82" s="119" t="str">
        <f>+IF(OR($W82="",BB82=0),"",ROUND((VLOOKUP(ROUNDDOWN($D82-1/frec,0),cob_adi,AO$40,FALSE)*(1+i/frec)^-0.5*(1+Parámetros!$D$103)*(1+rec_fracc)/frec),6))</f>
        <v/>
      </c>
      <c r="BE82" s="66">
        <f t="shared" si="61"/>
        <v>0</v>
      </c>
      <c r="BF82" s="119" t="str">
        <f t="shared" si="62"/>
        <v/>
      </c>
      <c r="BG82" s="66">
        <f>+IF($W82="","",ROUND(IF($B82&gt;Parámetros!$D$107,'Tablas Servicio'!BE82+('Tablas Servicio'!BG81-'Tablas Servicio'!BE81),BE82/(1-IF(B82&lt;=10,Parámetros!$D$100,0))),2))</f>
        <v>0</v>
      </c>
      <c r="BH82" s="66">
        <f t="shared" si="63"/>
        <v>0</v>
      </c>
      <c r="BI82" s="66">
        <f t="shared" si="64"/>
        <v>0</v>
      </c>
      <c r="BJ82" s="66">
        <f>+IF($W82="","",ROUND((BG82*Parámetros!$G$85),2))</f>
        <v>0</v>
      </c>
      <c r="BK82" s="66">
        <f>+IF($W82="","",ROUND((BG82*(Parámetros!$G$86)),2))</f>
        <v>0</v>
      </c>
      <c r="BL82" s="66">
        <f t="shared" si="65"/>
        <v>0</v>
      </c>
      <c r="BM82" t="str">
        <f t="shared" si="127"/>
        <v>00061</v>
      </c>
      <c r="BN82" t="str">
        <f t="shared" si="128"/>
        <v>Gastos de Entierro</v>
      </c>
      <c r="BO82" s="118">
        <f t="shared" si="129"/>
        <v>0</v>
      </c>
      <c r="BP82" s="118" t="str">
        <f t="shared" si="130"/>
        <v>A</v>
      </c>
      <c r="BQ82" s="119" t="str">
        <f>+IF(OR($W82="",BO82=0),"",ROUND((VLOOKUP(ROUNDDOWN($D82-1/frec,0),cob_adi,BB$40,FALSE)*(1+i/frec)^-0.5*(1+Parámetros!$D$103)*(1+rec_fracc)/frec),6))</f>
        <v/>
      </c>
      <c r="BR82" s="66">
        <f t="shared" si="70"/>
        <v>0</v>
      </c>
      <c r="BS82" s="119" t="str">
        <f t="shared" si="71"/>
        <v/>
      </c>
      <c r="BT82" s="66">
        <f>+IF($W82="","",ROUND(IF($B82&gt;Parámetros!$D$107,'Tablas Servicio'!BR82+('Tablas Servicio'!BT81-'Tablas Servicio'!BR81),BR82/(1-IF(B82&lt;=10,Parámetros!$D$100,0))),2))</f>
        <v>0</v>
      </c>
      <c r="BU82" s="66">
        <f t="shared" si="72"/>
        <v>0</v>
      </c>
      <c r="BV82" s="66">
        <f t="shared" si="72"/>
        <v>0</v>
      </c>
      <c r="BW82" s="66">
        <f>+IF($W82="","",ROUND((BT82*Parámetros!$G$85),2))</f>
        <v>0</v>
      </c>
      <c r="BX82" s="66">
        <f>+IF($W82="","",ROUND((BT82*(Parámetros!$G$86)),2))</f>
        <v>0</v>
      </c>
      <c r="BY82" s="66">
        <f t="shared" si="73"/>
        <v>0</v>
      </c>
      <c r="BZ82" t="str">
        <f t="shared" si="131"/>
        <v>00062</v>
      </c>
      <c r="CA82" t="str">
        <f t="shared" si="132"/>
        <v>Gastos médicos por accidente</v>
      </c>
      <c r="CB82" s="118">
        <f t="shared" si="133"/>
        <v>0</v>
      </c>
      <c r="CC82" s="118" t="str">
        <f t="shared" si="134"/>
        <v>A</v>
      </c>
      <c r="CD82" s="119" t="str">
        <f t="shared" si="78"/>
        <v/>
      </c>
      <c r="CE82" s="66">
        <f>+IF($W82="","",ROUND((VLOOKUP(ROUNDDOWN($D82-1/frec,0),cob_adi,BO$40,FALSE)*(1+i/frec)^-0.5*(1+Parámetros!$D$103)*(1+rec_fracc)/frec*'TABLAS ADI'!$BC$17),2))</f>
        <v>0</v>
      </c>
      <c r="CF82" s="119" t="str">
        <f t="shared" si="79"/>
        <v/>
      </c>
      <c r="CG82" s="66">
        <f>+IF($W82="","",ROUND(IF($B82&gt;Parámetros!$D$107,'Tablas Servicio'!CE82+('Tablas Servicio'!CG81-'Tablas Servicio'!CE81),CE82/(1-IF(B82&lt;=10,Parámetros!$D$100,0))),2))</f>
        <v>0</v>
      </c>
      <c r="CH82" s="66">
        <f t="shared" si="80"/>
        <v>0</v>
      </c>
      <c r="CI82" s="66">
        <f t="shared" si="80"/>
        <v>0</v>
      </c>
      <c r="CJ82" s="66">
        <f>+IF($W82="","",ROUND((CG82*Parámetros!$G$85),2))</f>
        <v>0</v>
      </c>
      <c r="CK82" s="66">
        <f>+IF($W82="","",ROUND((CG82*(Parámetros!$G$86)),2))</f>
        <v>0</v>
      </c>
      <c r="CL82" s="66">
        <f t="shared" si="81"/>
        <v>0</v>
      </c>
      <c r="CM82" t="str">
        <f t="shared" si="135"/>
        <v>00063</v>
      </c>
      <c r="CN82" s="118" t="str">
        <f t="shared" si="136"/>
        <v>Renta Diaria por Hospitalización</v>
      </c>
      <c r="CO82" s="118">
        <f t="shared" si="137"/>
        <v>0</v>
      </c>
      <c r="CP82" s="118" t="str">
        <f t="shared" si="138"/>
        <v>A</v>
      </c>
      <c r="CQ82" s="119" t="str">
        <f t="shared" si="86"/>
        <v/>
      </c>
      <c r="CR82" s="66">
        <f>+IF($W82="","",ROUND((VLOOKUP(Parámetros!$F$51,'COBERTURAS ADICIONALES'!$S$4:$T$32,2,FALSE)*(1+i/frec)^-0.5*(1+Parámetros!$D$103)*(1+rec_fracc)/frec*$CO$42),2))</f>
        <v>0</v>
      </c>
      <c r="CS82" s="119" t="str">
        <f t="shared" si="87"/>
        <v/>
      </c>
      <c r="CT82" s="66">
        <f>+IF($W82="","",ROUND(IF($B82&gt;Parámetros!$D$107,'Tablas Servicio'!CR82+('Tablas Servicio'!CT81-'Tablas Servicio'!CR81),CR82/(1-IF(B82&lt;=10,Parámetros!$D$100,0))),2))</f>
        <v>0</v>
      </c>
      <c r="CU82" s="66">
        <f t="shared" si="88"/>
        <v>0</v>
      </c>
      <c r="CV82" s="66">
        <f t="shared" si="88"/>
        <v>0</v>
      </c>
      <c r="CW82" s="66">
        <f>+IF($W82="","",ROUND((CT82*Parámetros!$G$85),2))</f>
        <v>0</v>
      </c>
      <c r="CX82" s="66">
        <f>+IF($W82="","",ROUND((CT82*(Parámetros!$G$86)),2))</f>
        <v>0</v>
      </c>
      <c r="CY82" s="66">
        <f t="shared" si="89"/>
        <v>0</v>
      </c>
      <c r="CZ82" t="str">
        <f t="shared" si="139"/>
        <v>00064</v>
      </c>
      <c r="DA82" s="118" t="str">
        <f t="shared" si="140"/>
        <v>Enfermedades Graves</v>
      </c>
      <c r="DB82" s="118">
        <f t="shared" si="141"/>
        <v>0</v>
      </c>
      <c r="DC82" s="118" t="str">
        <f t="shared" si="142"/>
        <v>A</v>
      </c>
      <c r="DD82" s="121" t="str">
        <f>+IF(OR($W82="",DB82=0),"",ROUND((VLOOKUP(ROUNDDOWN($D82-1/frec,0),cob_adi,CO$40,FALSE)*(1+i/frec)^-0.5*(1+Parámetros!$D$103)*(1+rec_fracc)/frec),6))</f>
        <v/>
      </c>
      <c r="DE82" s="66">
        <f t="shared" si="94"/>
        <v>0</v>
      </c>
      <c r="DF82" s="119" t="str">
        <f t="shared" si="95"/>
        <v/>
      </c>
      <c r="DG82" s="66">
        <f>+IF($W82="","",ROUND(IF($B82&gt;Parámetros!$D$107,'Tablas Servicio'!DE82+('Tablas Servicio'!DG81-'Tablas Servicio'!DE81),DE82/(1-IF(B82&lt;=10,Parámetros!$D$100,0))),2))</f>
        <v>0</v>
      </c>
      <c r="DH82" s="66">
        <f t="shared" si="96"/>
        <v>0</v>
      </c>
      <c r="DI82" s="66">
        <f t="shared" si="96"/>
        <v>0</v>
      </c>
      <c r="DJ82" s="66">
        <f>+IF($W82="","",ROUND((DG82*Parámetros!$G$85),2))</f>
        <v>0</v>
      </c>
      <c r="DK82" s="66">
        <f>+IF($W82="","",ROUND((DG82*(Parámetros!$G$86)),2))</f>
        <v>0</v>
      </c>
      <c r="DL82" s="66">
        <f t="shared" si="97"/>
        <v>0</v>
      </c>
      <c r="DM82" t="str">
        <f t="shared" si="143"/>
        <v>00065</v>
      </c>
      <c r="DN82" s="118" t="str">
        <f t="shared" si="144"/>
        <v>Exención pago de primas</v>
      </c>
      <c r="DO82" s="118">
        <f t="shared" si="145"/>
        <v>0</v>
      </c>
      <c r="DP82" s="118" t="str">
        <f t="shared" si="146"/>
        <v>A</v>
      </c>
      <c r="DQ82" s="122" t="str">
        <f>+IF(OR($W82="",DO82=0),"",ROUND((VLOOKUP(ROUNDDOWN($D82-1/frec,0),cob_adi,DB$40,FALSE)*(1+i/frec)^-0.5*(1+Parámetros!$D$103)*(1+rec_fracc)/frec),6))</f>
        <v/>
      </c>
      <c r="DR82" s="66">
        <f t="shared" si="102"/>
        <v>0</v>
      </c>
      <c r="DS82" s="68" t="str">
        <f t="shared" si="103"/>
        <v/>
      </c>
      <c r="DT82" s="66">
        <f>+IF($W82="","",ROUND(IF($B82&gt;Parámetros!$D$107,'Tablas Servicio'!DR82+('Tablas Servicio'!DT81-'Tablas Servicio'!DR81),DR82/(1-IF(B82&lt;=10,Parámetros!$D$100,0))),2))</f>
        <v>0</v>
      </c>
      <c r="DU82" s="66">
        <f t="shared" si="104"/>
        <v>0</v>
      </c>
      <c r="DV82" s="66">
        <f t="shared" si="104"/>
        <v>0</v>
      </c>
      <c r="DW82" s="66">
        <f>+IF($W82="","",ROUND((DT82*Parámetros!$G$85),2))</f>
        <v>0</v>
      </c>
      <c r="DX82" s="66">
        <f>+IF($W82="","",ROUND((DT82*(Parámetros!$G$86)),2))</f>
        <v>0</v>
      </c>
      <c r="DY82" s="66">
        <f t="shared" si="105"/>
        <v>0</v>
      </c>
      <c r="DZ82" t="str">
        <f t="shared" si="148"/>
        <v>00066</v>
      </c>
      <c r="EA82" s="118" t="str">
        <f t="shared" si="148"/>
        <v>Enfermedad terminal</v>
      </c>
      <c r="EB82" s="118">
        <f>+IF($W82="","",ROUND(IF(Parámetros!$D$25='TABLAS MORT'!$V$33,EB81,Z82/2),0))</f>
        <v>50000</v>
      </c>
      <c r="EC82" s="118" t="str">
        <f t="shared" si="148"/>
        <v>A</v>
      </c>
      <c r="ED82" s="122">
        <f>+IF(OR($W82="",EB82=0),"",ROUND((VLOOKUP(ROUNDDOWN($D82-1/frec,0),cob_adi,DO$40,FALSE)*(1+i/frec)^-0.5*(1+Parámetros!$D$103)*(1+rec_fracc)/frec),6))</f>
        <v>7.9999999999999996E-6</v>
      </c>
      <c r="EE82" s="66">
        <f t="shared" si="107"/>
        <v>0.4</v>
      </c>
      <c r="EF82" s="68">
        <f t="shared" si="108"/>
        <v>9.0000000000000002E-6</v>
      </c>
      <c r="EG82" s="66">
        <f>+IF($W82="","",ROUND(IF($B82&gt;Parámetros!$D$107,'Tablas Servicio'!EE82+('Tablas Servicio'!EG81-'Tablas Servicio'!EE81),EE82/(1-IF(B82&lt;=10,Parámetros!$D$100,0))),2))</f>
        <v>0.45</v>
      </c>
      <c r="EH82" s="66">
        <f t="shared" si="109"/>
        <v>0</v>
      </c>
      <c r="EI82" s="66">
        <f t="shared" si="109"/>
        <v>0</v>
      </c>
      <c r="EJ82" s="66">
        <f>+IF($W82="","",ROUND((EG82*Parámetros!$G$85),2))</f>
        <v>0.02</v>
      </c>
      <c r="EK82" s="66">
        <f>+IF($W82="","",ROUND((EG82*(Parámetros!$G$86)),2))</f>
        <v>0</v>
      </c>
      <c r="EL82" s="66">
        <f t="shared" si="110"/>
        <v>0.47</v>
      </c>
    </row>
    <row r="83" spans="1:142" x14ac:dyDescent="0.25">
      <c r="A83">
        <f>+IF($C83="","",ROUND(VLOOKUP('Tablas Servicio'!B83,Parámetros!$H$100:$J$159,IF(Parámetros!$E$16="F",2,3),FALSE),2))</f>
        <v>150</v>
      </c>
      <c r="B83">
        <f t="shared" si="27"/>
        <v>4</v>
      </c>
      <c r="C83" s="57">
        <f>+IF(D83="","",'Tablas Servicio'!C82+1)</f>
        <v>42</v>
      </c>
      <c r="D83" s="56">
        <f>+IF(D82&lt;edadmaxtabla,D82+1/Parámetros!$E$25,"")</f>
        <v>43.520000000000103</v>
      </c>
      <c r="E83" s="57">
        <f t="shared" si="37"/>
        <v>43</v>
      </c>
      <c r="F83" s="59">
        <f t="shared" si="38"/>
        <v>100000</v>
      </c>
      <c r="G83" s="66">
        <f t="shared" si="39"/>
        <v>29.21</v>
      </c>
      <c r="H83" s="66">
        <f t="shared" si="28"/>
        <v>30.38</v>
      </c>
      <c r="I83" s="66">
        <f t="shared" si="112"/>
        <v>56.06</v>
      </c>
      <c r="J83" s="66">
        <f t="shared" si="29"/>
        <v>1.03</v>
      </c>
      <c r="K83" s="66">
        <f t="shared" si="30"/>
        <v>0.14000000000000001</v>
      </c>
      <c r="L83" s="66">
        <f t="shared" si="31"/>
        <v>0</v>
      </c>
      <c r="M83" s="66">
        <f t="shared" si="32"/>
        <v>0</v>
      </c>
      <c r="N83" s="66">
        <f>+IF(C83="","",ROUND(Parámetros!$D$23,2))</f>
        <v>94</v>
      </c>
      <c r="O83" s="66">
        <f t="shared" si="33"/>
        <v>14.3</v>
      </c>
      <c r="P83" s="66">
        <f>+IF($C83="","",ROUND(IF(B83&gt;Parámetros!$D$117,0,N83*Parámetros!$D$116-G83*Parámetros!$D$100),2))</f>
        <v>7.56</v>
      </c>
      <c r="Q83" s="75">
        <f t="shared" si="113"/>
        <v>3.5261896610749743E-2</v>
      </c>
      <c r="R83" s="75">
        <f t="shared" si="114"/>
        <v>4.7928791509756936E-3</v>
      </c>
      <c r="S83" s="117">
        <f>+IF($C83="","",ROUND((S82+I83)*(1+Parámetros!$D$91),2))</f>
        <v>2650.55</v>
      </c>
      <c r="T83" s="117">
        <f>+IF($C83="","",ROUND(S83*VLOOKUP(B83,Parámetros!$C$30:$D$39,2,TRUE),2))</f>
        <v>530.11</v>
      </c>
      <c r="U83" s="117">
        <f>+IF($C83="","",ROUND((U82+I83)*(1+Parámetros!$D$92),2))</f>
        <v>2674.58</v>
      </c>
      <c r="V83" s="117">
        <f>+IF($C83="","",ROUND(U83*VLOOKUP(B83,Parámetros!$C$30:$D$39,2,TRUE),2))</f>
        <v>534.91999999999996</v>
      </c>
      <c r="W83" s="57">
        <f t="shared" si="115"/>
        <v>42</v>
      </c>
      <c r="X83" t="str">
        <f t="shared" si="116"/>
        <v>00058</v>
      </c>
      <c r="Y83" t="str">
        <f t="shared" si="117"/>
        <v>MUERTE POR CUALQUIER CAUSA</v>
      </c>
      <c r="Z83" s="118">
        <f>+IF($W83="","",ROUND(IF(Parámetros!$D$25='TABLAS MORT'!$V$33,Z82,Parámetros!$D$21-'Tablas Servicio'!T82),0))</f>
        <v>100000</v>
      </c>
      <c r="AA83" s="118" t="str">
        <f t="shared" si="118"/>
        <v>P</v>
      </c>
      <c r="AB83" s="119">
        <f>+IF(W83="","",ROUND((VLOOKUP(ROUNDDOWN($D83-1/frec,0),qx_tabla,2,FALSE)*(1+i/frec)^-0.5*(1+Parámetros!$D$103)*(1+rec_fracc)/frec),6))</f>
        <v>1.3899999999999999E-4</v>
      </c>
      <c r="AC83" s="66">
        <f t="shared" si="46"/>
        <v>13.9</v>
      </c>
      <c r="AD83" s="119">
        <f t="shared" si="35"/>
        <v>2.8800000000000001E-4</v>
      </c>
      <c r="AE83" s="66">
        <f>+IF($W83="","",ROUND(IF($B83&gt;Parámetros!$D$107,'Tablas Servicio'!AC83+('Tablas Servicio'!AG82-'Tablas Servicio'!AC82),AC83/(1-IF(B83&lt;=10,Parámetros!$D$104,Parámetros!$D$105))),2))</f>
        <v>28.76</v>
      </c>
      <c r="AF83" s="66">
        <f>+IF($W83="","",ROUND(IF($B83&gt;Parámetros!$D$107,'Tablas Servicio'!AC83+('Tablas Servicio'!AG82-'Tablas Servicio'!AC82),(AC83+$A82/frec)/(1-IF(B83&lt;=Parámetros!$D$117,Parámetros!$D$100,0))),2))</f>
        <v>29.89</v>
      </c>
      <c r="AG83" s="66">
        <f t="shared" si="111"/>
        <v>28.76</v>
      </c>
      <c r="AH83" s="66">
        <f t="shared" si="47"/>
        <v>0</v>
      </c>
      <c r="AI83" s="66">
        <f t="shared" si="48"/>
        <v>0</v>
      </c>
      <c r="AJ83" s="66">
        <f>+IF($W83="","",ROUND((AG83*Parámetros!$G$85),2))</f>
        <v>1.01</v>
      </c>
      <c r="AK83" s="66">
        <f>+IF($W83="","",ROUND((AG83*(Parámetros!$G$86)),2))</f>
        <v>0.14000000000000001</v>
      </c>
      <c r="AL83" s="66">
        <f t="shared" si="36"/>
        <v>29.91</v>
      </c>
      <c r="AM83" t="str">
        <f t="shared" si="119"/>
        <v>00059</v>
      </c>
      <c r="AN83" t="str">
        <f t="shared" si="120"/>
        <v>Incapacidad Total y Permanente</v>
      </c>
      <c r="AO83" s="118">
        <f t="shared" si="121"/>
        <v>0</v>
      </c>
      <c r="AP83" s="118" t="str">
        <f t="shared" si="122"/>
        <v>A</v>
      </c>
      <c r="AQ83" s="119" t="str">
        <f>+IF(OR($W83="",AO83=0),"",ROUND((VLOOKUP(ROUNDDOWN($D83-1/frec,0),cob_adi,Z$40,FALSE)*(1+i/frec)^-0.5*(1+Parámetros!$D$103)*(1+rec_fracc)/frec),6))</f>
        <v/>
      </c>
      <c r="AR83" s="66">
        <f t="shared" si="53"/>
        <v>0</v>
      </c>
      <c r="AS83" s="119" t="str">
        <f t="shared" si="54"/>
        <v/>
      </c>
      <c r="AT83" s="66">
        <f>+IF($W83="","",ROUND(IF($B83&gt;Parámetros!$D$107,'Tablas Servicio'!AR83+('Tablas Servicio'!AT82-'Tablas Servicio'!AR82),AR83/(1-IF(B83&lt;=10,Parámetros!$D$100,0))),2))</f>
        <v>0</v>
      </c>
      <c r="AU83" s="66">
        <f t="shared" si="55"/>
        <v>0</v>
      </c>
      <c r="AV83" s="66">
        <f t="shared" si="55"/>
        <v>0</v>
      </c>
      <c r="AW83" s="66">
        <f>+IF($W83="","",ROUND((AT83*Parámetros!$G$85),2))</f>
        <v>0</v>
      </c>
      <c r="AX83" s="66">
        <f>+IF($W83="","",ROUND((AT83*(Parámetros!$G$86)),2))</f>
        <v>0</v>
      </c>
      <c r="AY83" s="66">
        <f t="shared" si="56"/>
        <v>0</v>
      </c>
      <c r="AZ83" t="str">
        <f t="shared" si="123"/>
        <v>00060</v>
      </c>
      <c r="BA83" t="str">
        <f t="shared" si="124"/>
        <v>Muerte Accidental</v>
      </c>
      <c r="BB83" s="118">
        <f t="shared" si="125"/>
        <v>0</v>
      </c>
      <c r="BC83" s="118" t="str">
        <f t="shared" si="126"/>
        <v>A</v>
      </c>
      <c r="BD83" s="119" t="str">
        <f>+IF(OR($W83="",BB83=0),"",ROUND((VLOOKUP(ROUNDDOWN($D83-1/frec,0),cob_adi,AO$40,FALSE)*(1+i/frec)^-0.5*(1+Parámetros!$D$103)*(1+rec_fracc)/frec),6))</f>
        <v/>
      </c>
      <c r="BE83" s="66">
        <f t="shared" si="61"/>
        <v>0</v>
      </c>
      <c r="BF83" s="119" t="str">
        <f t="shared" si="62"/>
        <v/>
      </c>
      <c r="BG83" s="66">
        <f>+IF($W83="","",ROUND(IF($B83&gt;Parámetros!$D$107,'Tablas Servicio'!BE83+('Tablas Servicio'!BG82-'Tablas Servicio'!BE82),BE83/(1-IF(B83&lt;=10,Parámetros!$D$100,0))),2))</f>
        <v>0</v>
      </c>
      <c r="BH83" s="66">
        <f t="shared" si="63"/>
        <v>0</v>
      </c>
      <c r="BI83" s="66">
        <f t="shared" si="64"/>
        <v>0</v>
      </c>
      <c r="BJ83" s="66">
        <f>+IF($W83="","",ROUND((BG83*Parámetros!$G$85),2))</f>
        <v>0</v>
      </c>
      <c r="BK83" s="66">
        <f>+IF($W83="","",ROUND((BG83*(Parámetros!$G$86)),2))</f>
        <v>0</v>
      </c>
      <c r="BL83" s="66">
        <f t="shared" si="65"/>
        <v>0</v>
      </c>
      <c r="BM83" t="str">
        <f t="shared" si="127"/>
        <v>00061</v>
      </c>
      <c r="BN83" t="str">
        <f t="shared" si="128"/>
        <v>Gastos de Entierro</v>
      </c>
      <c r="BO83" s="118">
        <f t="shared" si="129"/>
        <v>0</v>
      </c>
      <c r="BP83" s="118" t="str">
        <f t="shared" si="130"/>
        <v>A</v>
      </c>
      <c r="BQ83" s="119" t="str">
        <f>+IF(OR($W83="",BO83=0),"",ROUND((VLOOKUP(ROUNDDOWN($D83-1/frec,0),cob_adi,BB$40,FALSE)*(1+i/frec)^-0.5*(1+Parámetros!$D$103)*(1+rec_fracc)/frec),6))</f>
        <v/>
      </c>
      <c r="BR83" s="66">
        <f t="shared" si="70"/>
        <v>0</v>
      </c>
      <c r="BS83" s="119" t="str">
        <f t="shared" si="71"/>
        <v/>
      </c>
      <c r="BT83" s="66">
        <f>+IF($W83="","",ROUND(IF($B83&gt;Parámetros!$D$107,'Tablas Servicio'!BR83+('Tablas Servicio'!BT82-'Tablas Servicio'!BR82),BR83/(1-IF(B83&lt;=10,Parámetros!$D$100,0))),2))</f>
        <v>0</v>
      </c>
      <c r="BU83" s="66">
        <f t="shared" si="72"/>
        <v>0</v>
      </c>
      <c r="BV83" s="66">
        <f t="shared" si="72"/>
        <v>0</v>
      </c>
      <c r="BW83" s="66">
        <f>+IF($W83="","",ROUND((BT83*Parámetros!$G$85),2))</f>
        <v>0</v>
      </c>
      <c r="BX83" s="66">
        <f>+IF($W83="","",ROUND((BT83*(Parámetros!$G$86)),2))</f>
        <v>0</v>
      </c>
      <c r="BY83" s="66">
        <f t="shared" si="73"/>
        <v>0</v>
      </c>
      <c r="BZ83" t="str">
        <f t="shared" si="131"/>
        <v>00062</v>
      </c>
      <c r="CA83" t="str">
        <f t="shared" si="132"/>
        <v>Gastos médicos por accidente</v>
      </c>
      <c r="CB83" s="118">
        <f t="shared" si="133"/>
        <v>0</v>
      </c>
      <c r="CC83" s="118" t="str">
        <f t="shared" si="134"/>
        <v>A</v>
      </c>
      <c r="CD83" s="119" t="str">
        <f t="shared" si="78"/>
        <v/>
      </c>
      <c r="CE83" s="66">
        <f>+IF($W83="","",ROUND((VLOOKUP(ROUNDDOWN($D83-1/frec,0),cob_adi,BO$40,FALSE)*(1+i/frec)^-0.5*(1+Parámetros!$D$103)*(1+rec_fracc)/frec*'TABLAS ADI'!$BC$17),2))</f>
        <v>0</v>
      </c>
      <c r="CF83" s="119" t="str">
        <f t="shared" si="79"/>
        <v/>
      </c>
      <c r="CG83" s="66">
        <f>+IF($W83="","",ROUND(IF($B83&gt;Parámetros!$D$107,'Tablas Servicio'!CE83+('Tablas Servicio'!CG82-'Tablas Servicio'!CE82),CE83/(1-IF(B83&lt;=10,Parámetros!$D$100,0))),2))</f>
        <v>0</v>
      </c>
      <c r="CH83" s="66">
        <f t="shared" si="80"/>
        <v>0</v>
      </c>
      <c r="CI83" s="66">
        <f t="shared" si="80"/>
        <v>0</v>
      </c>
      <c r="CJ83" s="66">
        <f>+IF($W83="","",ROUND((CG83*Parámetros!$G$85),2))</f>
        <v>0</v>
      </c>
      <c r="CK83" s="66">
        <f>+IF($W83="","",ROUND((CG83*(Parámetros!$G$86)),2))</f>
        <v>0</v>
      </c>
      <c r="CL83" s="66">
        <f t="shared" si="81"/>
        <v>0</v>
      </c>
      <c r="CM83" t="str">
        <f t="shared" si="135"/>
        <v>00063</v>
      </c>
      <c r="CN83" s="118" t="str">
        <f t="shared" si="136"/>
        <v>Renta Diaria por Hospitalización</v>
      </c>
      <c r="CO83" s="118">
        <f t="shared" si="137"/>
        <v>0</v>
      </c>
      <c r="CP83" s="118" t="str">
        <f t="shared" si="138"/>
        <v>A</v>
      </c>
      <c r="CQ83" s="119" t="str">
        <f t="shared" si="86"/>
        <v/>
      </c>
      <c r="CR83" s="66">
        <f>+IF($W83="","",ROUND((VLOOKUP(Parámetros!$F$51,'COBERTURAS ADICIONALES'!$S$4:$T$32,2,FALSE)*(1+i/frec)^-0.5*(1+Parámetros!$D$103)*(1+rec_fracc)/frec*$CO$42),2))</f>
        <v>0</v>
      </c>
      <c r="CS83" s="119" t="str">
        <f t="shared" si="87"/>
        <v/>
      </c>
      <c r="CT83" s="66">
        <f>+IF($W83="","",ROUND(IF($B83&gt;Parámetros!$D$107,'Tablas Servicio'!CR83+('Tablas Servicio'!CT82-'Tablas Servicio'!CR82),CR83/(1-IF(B83&lt;=10,Parámetros!$D$100,0))),2))</f>
        <v>0</v>
      </c>
      <c r="CU83" s="66">
        <f t="shared" si="88"/>
        <v>0</v>
      </c>
      <c r="CV83" s="66">
        <f t="shared" si="88"/>
        <v>0</v>
      </c>
      <c r="CW83" s="66">
        <f>+IF($W83="","",ROUND((CT83*Parámetros!$G$85),2))</f>
        <v>0</v>
      </c>
      <c r="CX83" s="66">
        <f>+IF($W83="","",ROUND((CT83*(Parámetros!$G$86)),2))</f>
        <v>0</v>
      </c>
      <c r="CY83" s="66">
        <f t="shared" si="89"/>
        <v>0</v>
      </c>
      <c r="CZ83" t="str">
        <f t="shared" si="139"/>
        <v>00064</v>
      </c>
      <c r="DA83" s="118" t="str">
        <f t="shared" si="140"/>
        <v>Enfermedades Graves</v>
      </c>
      <c r="DB83" s="118">
        <f t="shared" si="141"/>
        <v>0</v>
      </c>
      <c r="DC83" s="118" t="str">
        <f t="shared" si="142"/>
        <v>A</v>
      </c>
      <c r="DD83" s="121" t="str">
        <f>+IF(OR($W83="",DB83=0),"",ROUND((VLOOKUP(ROUNDDOWN($D83-1/frec,0),cob_adi,CO$40,FALSE)*(1+i/frec)^-0.5*(1+Parámetros!$D$103)*(1+rec_fracc)/frec),6))</f>
        <v/>
      </c>
      <c r="DE83" s="66">
        <f t="shared" si="94"/>
        <v>0</v>
      </c>
      <c r="DF83" s="119" t="str">
        <f t="shared" si="95"/>
        <v/>
      </c>
      <c r="DG83" s="66">
        <f>+IF($W83="","",ROUND(IF($B83&gt;Parámetros!$D$107,'Tablas Servicio'!DE83+('Tablas Servicio'!DG82-'Tablas Servicio'!DE82),DE83/(1-IF(B83&lt;=10,Parámetros!$D$100,0))),2))</f>
        <v>0</v>
      </c>
      <c r="DH83" s="66">
        <f t="shared" si="96"/>
        <v>0</v>
      </c>
      <c r="DI83" s="66">
        <f t="shared" si="96"/>
        <v>0</v>
      </c>
      <c r="DJ83" s="66">
        <f>+IF($W83="","",ROUND((DG83*Parámetros!$G$85),2))</f>
        <v>0</v>
      </c>
      <c r="DK83" s="66">
        <f>+IF($W83="","",ROUND((DG83*(Parámetros!$G$86)),2))</f>
        <v>0</v>
      </c>
      <c r="DL83" s="66">
        <f t="shared" si="97"/>
        <v>0</v>
      </c>
      <c r="DM83" t="str">
        <f t="shared" si="143"/>
        <v>00065</v>
      </c>
      <c r="DN83" s="118" t="str">
        <f t="shared" si="144"/>
        <v>Exención pago de primas</v>
      </c>
      <c r="DO83" s="118">
        <f t="shared" si="145"/>
        <v>0</v>
      </c>
      <c r="DP83" s="118" t="str">
        <f t="shared" si="146"/>
        <v>A</v>
      </c>
      <c r="DQ83" s="122" t="str">
        <f>+IF(OR($W83="",DO83=0),"",ROUND((VLOOKUP(ROUNDDOWN($D83-1/frec,0),cob_adi,DB$40,FALSE)*(1+i/frec)^-0.5*(1+Parámetros!$D$103)*(1+rec_fracc)/frec),6))</f>
        <v/>
      </c>
      <c r="DR83" s="66">
        <f t="shared" si="102"/>
        <v>0</v>
      </c>
      <c r="DS83" s="68" t="str">
        <f t="shared" si="103"/>
        <v/>
      </c>
      <c r="DT83" s="66">
        <f>+IF($W83="","",ROUND(IF($B83&gt;Parámetros!$D$107,'Tablas Servicio'!DR83+('Tablas Servicio'!DT82-'Tablas Servicio'!DR82),DR83/(1-IF(B83&lt;=10,Parámetros!$D$100,0))),2))</f>
        <v>0</v>
      </c>
      <c r="DU83" s="66">
        <f t="shared" si="104"/>
        <v>0</v>
      </c>
      <c r="DV83" s="66">
        <f t="shared" si="104"/>
        <v>0</v>
      </c>
      <c r="DW83" s="66">
        <f>+IF($W83="","",ROUND((DT83*Parámetros!$G$85),2))</f>
        <v>0</v>
      </c>
      <c r="DX83" s="66">
        <f>+IF($W83="","",ROUND((DT83*(Parámetros!$G$86)),2))</f>
        <v>0</v>
      </c>
      <c r="DY83" s="66">
        <f t="shared" si="105"/>
        <v>0</v>
      </c>
      <c r="DZ83" t="str">
        <f t="shared" si="148"/>
        <v>00066</v>
      </c>
      <c r="EA83" s="118" t="str">
        <f t="shared" si="148"/>
        <v>Enfermedad terminal</v>
      </c>
      <c r="EB83" s="118">
        <f>+IF($W83="","",ROUND(IF(Parámetros!$D$25='TABLAS MORT'!$V$33,EB82,Z83/2),0))</f>
        <v>50000</v>
      </c>
      <c r="EC83" s="118" t="str">
        <f t="shared" si="148"/>
        <v>A</v>
      </c>
      <c r="ED83" s="122">
        <f>+IF(OR($W83="",EB83=0),"",ROUND((VLOOKUP(ROUNDDOWN($D83-1/frec,0),cob_adi,DO$40,FALSE)*(1+i/frec)^-0.5*(1+Parámetros!$D$103)*(1+rec_fracc)/frec),6))</f>
        <v>7.9999999999999996E-6</v>
      </c>
      <c r="EE83" s="66">
        <f t="shared" si="107"/>
        <v>0.4</v>
      </c>
      <c r="EF83" s="68">
        <f t="shared" si="108"/>
        <v>9.0000000000000002E-6</v>
      </c>
      <c r="EG83" s="66">
        <f>+IF($W83="","",ROUND(IF($B83&gt;Parámetros!$D$107,'Tablas Servicio'!EE83+('Tablas Servicio'!EG82-'Tablas Servicio'!EE82),EE83/(1-IF(B83&lt;=10,Parámetros!$D$100,0))),2))</f>
        <v>0.45</v>
      </c>
      <c r="EH83" s="66">
        <f t="shared" si="109"/>
        <v>0</v>
      </c>
      <c r="EI83" s="66">
        <f t="shared" si="109"/>
        <v>0</v>
      </c>
      <c r="EJ83" s="66">
        <f>+IF($W83="","",ROUND((EG83*Parámetros!$G$85),2))</f>
        <v>0.02</v>
      </c>
      <c r="EK83" s="66">
        <f>+IF($W83="","",ROUND((EG83*(Parámetros!$G$86)),2))</f>
        <v>0</v>
      </c>
      <c r="EL83" s="66">
        <f t="shared" si="110"/>
        <v>0.47</v>
      </c>
    </row>
    <row r="84" spans="1:142" x14ac:dyDescent="0.25">
      <c r="A84">
        <f>+IF($C84="","",ROUND(VLOOKUP('Tablas Servicio'!B84,Parámetros!$H$100:$J$159,IF(Parámetros!$E$16="F",2,3),FALSE),2))</f>
        <v>150</v>
      </c>
      <c r="B84">
        <f t="shared" si="27"/>
        <v>4</v>
      </c>
      <c r="C84" s="57">
        <f>+IF(D84="","",'Tablas Servicio'!C83+1)</f>
        <v>43</v>
      </c>
      <c r="D84" s="56">
        <f>+IF(D83&lt;edadmaxtabla,D83+1/Parámetros!$E$25,"")</f>
        <v>43.603333333333438</v>
      </c>
      <c r="E84" s="57">
        <f t="shared" si="37"/>
        <v>43</v>
      </c>
      <c r="F84" s="59">
        <f t="shared" si="38"/>
        <v>100000</v>
      </c>
      <c r="G84" s="66">
        <f t="shared" si="39"/>
        <v>29.21</v>
      </c>
      <c r="H84" s="66">
        <f t="shared" si="28"/>
        <v>30.38</v>
      </c>
      <c r="I84" s="66">
        <f t="shared" si="112"/>
        <v>56.06</v>
      </c>
      <c r="J84" s="66">
        <f t="shared" si="29"/>
        <v>1.03</v>
      </c>
      <c r="K84" s="66">
        <f t="shared" si="30"/>
        <v>0.14000000000000001</v>
      </c>
      <c r="L84" s="66">
        <f t="shared" si="31"/>
        <v>0</v>
      </c>
      <c r="M84" s="66">
        <f t="shared" si="32"/>
        <v>0</v>
      </c>
      <c r="N84" s="66">
        <f>+IF(C84="","",ROUND(Parámetros!$D$23,2))</f>
        <v>94</v>
      </c>
      <c r="O84" s="66">
        <f t="shared" si="33"/>
        <v>14.3</v>
      </c>
      <c r="P84" s="66">
        <f>+IF($C84="","",ROUND(IF(B84&gt;Parámetros!$D$117,0,N84*Parámetros!$D$116-G84*Parámetros!$D$100),2))</f>
        <v>7.56</v>
      </c>
      <c r="Q84" s="75">
        <f t="shared" si="113"/>
        <v>3.5261896610749743E-2</v>
      </c>
      <c r="R84" s="75">
        <f t="shared" si="114"/>
        <v>4.7928791509756936E-3</v>
      </c>
      <c r="S84" s="117">
        <f>+IF($C84="","",ROUND((S83+I84)*(1+Parámetros!$D$91),2))</f>
        <v>2714.29</v>
      </c>
      <c r="T84" s="117">
        <f>+IF($C84="","",ROUND(S84*VLOOKUP(B84,Parámetros!$C$30:$D$39,2,TRUE),2))</f>
        <v>542.86</v>
      </c>
      <c r="U84" s="117">
        <f>+IF($C84="","",ROUND((U83+I84)*(1+Parámetros!$D$92),2))</f>
        <v>2739.49</v>
      </c>
      <c r="V84" s="117">
        <f>+IF($C84="","",ROUND(U84*VLOOKUP(B84,Parámetros!$C$30:$D$39,2,TRUE),2))</f>
        <v>547.9</v>
      </c>
      <c r="W84" s="57">
        <f t="shared" si="115"/>
        <v>43</v>
      </c>
      <c r="X84" t="str">
        <f t="shared" si="116"/>
        <v>00058</v>
      </c>
      <c r="Y84" t="str">
        <f t="shared" si="117"/>
        <v>MUERTE POR CUALQUIER CAUSA</v>
      </c>
      <c r="Z84" s="118">
        <f>+IF($W84="","",ROUND(IF(Parámetros!$D$25='TABLAS MORT'!$V$33,Z83,Parámetros!$D$21-'Tablas Servicio'!T83),0))</f>
        <v>100000</v>
      </c>
      <c r="AA84" s="118" t="str">
        <f t="shared" si="118"/>
        <v>P</v>
      </c>
      <c r="AB84" s="119">
        <f>+IF(W84="","",ROUND((VLOOKUP(ROUNDDOWN($D84-1/frec,0),qx_tabla,2,FALSE)*(1+i/frec)^-0.5*(1+Parámetros!$D$103)*(1+rec_fracc)/frec),6))</f>
        <v>1.3899999999999999E-4</v>
      </c>
      <c r="AC84" s="66">
        <f t="shared" si="46"/>
        <v>13.9</v>
      </c>
      <c r="AD84" s="119">
        <f t="shared" si="35"/>
        <v>2.8800000000000001E-4</v>
      </c>
      <c r="AE84" s="66">
        <f>+IF($W84="","",ROUND(IF($B84&gt;Parámetros!$D$107,'Tablas Servicio'!AC84+('Tablas Servicio'!AG83-'Tablas Servicio'!AC83),AC84/(1-IF(B84&lt;=10,Parámetros!$D$104,Parámetros!$D$105))),2))</f>
        <v>28.76</v>
      </c>
      <c r="AF84" s="66">
        <f>+IF($W84="","",ROUND(IF($B84&gt;Parámetros!$D$107,'Tablas Servicio'!AC84+('Tablas Servicio'!AG83-'Tablas Servicio'!AC83),(AC84+$A83/frec)/(1-IF(B84&lt;=Parámetros!$D$117,Parámetros!$D$100,0))),2))</f>
        <v>29.89</v>
      </c>
      <c r="AG84" s="66">
        <f t="shared" si="111"/>
        <v>28.76</v>
      </c>
      <c r="AH84" s="66">
        <f t="shared" si="47"/>
        <v>0</v>
      </c>
      <c r="AI84" s="66">
        <f t="shared" si="48"/>
        <v>0</v>
      </c>
      <c r="AJ84" s="66">
        <f>+IF($W84="","",ROUND((AG84*Parámetros!$G$85),2))</f>
        <v>1.01</v>
      </c>
      <c r="AK84" s="66">
        <f>+IF($W84="","",ROUND((AG84*(Parámetros!$G$86)),2))</f>
        <v>0.14000000000000001</v>
      </c>
      <c r="AL84" s="66">
        <f t="shared" si="36"/>
        <v>29.91</v>
      </c>
      <c r="AM84" t="str">
        <f t="shared" si="119"/>
        <v>00059</v>
      </c>
      <c r="AN84" t="str">
        <f t="shared" si="120"/>
        <v>Incapacidad Total y Permanente</v>
      </c>
      <c r="AO84" s="118">
        <f t="shared" si="121"/>
        <v>0</v>
      </c>
      <c r="AP84" s="118" t="str">
        <f t="shared" si="122"/>
        <v>A</v>
      </c>
      <c r="AQ84" s="119" t="str">
        <f>+IF(OR($W84="",AO84=0),"",ROUND((VLOOKUP(ROUNDDOWN($D84-1/frec,0),cob_adi,Z$40,FALSE)*(1+i/frec)^-0.5*(1+Parámetros!$D$103)*(1+rec_fracc)/frec),6))</f>
        <v/>
      </c>
      <c r="AR84" s="66">
        <f t="shared" si="53"/>
        <v>0</v>
      </c>
      <c r="AS84" s="119" t="str">
        <f t="shared" si="54"/>
        <v/>
      </c>
      <c r="AT84" s="66">
        <f>+IF($W84="","",ROUND(IF($B84&gt;Parámetros!$D$107,'Tablas Servicio'!AR84+('Tablas Servicio'!AT83-'Tablas Servicio'!AR83),AR84/(1-IF(B84&lt;=10,Parámetros!$D$100,0))),2))</f>
        <v>0</v>
      </c>
      <c r="AU84" s="66">
        <f t="shared" si="55"/>
        <v>0</v>
      </c>
      <c r="AV84" s="66">
        <f t="shared" si="55"/>
        <v>0</v>
      </c>
      <c r="AW84" s="66">
        <f>+IF($W84="","",ROUND((AT84*Parámetros!$G$85),2))</f>
        <v>0</v>
      </c>
      <c r="AX84" s="66">
        <f>+IF($W84="","",ROUND((AT84*(Parámetros!$G$86)),2))</f>
        <v>0</v>
      </c>
      <c r="AY84" s="66">
        <f t="shared" si="56"/>
        <v>0</v>
      </c>
      <c r="AZ84" t="str">
        <f t="shared" si="123"/>
        <v>00060</v>
      </c>
      <c r="BA84" t="str">
        <f t="shared" si="124"/>
        <v>Muerte Accidental</v>
      </c>
      <c r="BB84" s="118">
        <f t="shared" si="125"/>
        <v>0</v>
      </c>
      <c r="BC84" s="118" t="str">
        <f t="shared" si="126"/>
        <v>A</v>
      </c>
      <c r="BD84" s="119" t="str">
        <f>+IF(OR($W84="",BB84=0),"",ROUND((VLOOKUP(ROUNDDOWN($D84-1/frec,0),cob_adi,AO$40,FALSE)*(1+i/frec)^-0.5*(1+Parámetros!$D$103)*(1+rec_fracc)/frec),6))</f>
        <v/>
      </c>
      <c r="BE84" s="66">
        <f t="shared" si="61"/>
        <v>0</v>
      </c>
      <c r="BF84" s="119" t="str">
        <f t="shared" si="62"/>
        <v/>
      </c>
      <c r="BG84" s="66">
        <f>+IF($W84="","",ROUND(IF($B84&gt;Parámetros!$D$107,'Tablas Servicio'!BE84+('Tablas Servicio'!BG83-'Tablas Servicio'!BE83),BE84/(1-IF(B84&lt;=10,Parámetros!$D$100,0))),2))</f>
        <v>0</v>
      </c>
      <c r="BH84" s="66">
        <f t="shared" si="63"/>
        <v>0</v>
      </c>
      <c r="BI84" s="66">
        <f t="shared" si="64"/>
        <v>0</v>
      </c>
      <c r="BJ84" s="66">
        <f>+IF($W84="","",ROUND((BG84*Parámetros!$G$85),2))</f>
        <v>0</v>
      </c>
      <c r="BK84" s="66">
        <f>+IF($W84="","",ROUND((BG84*(Parámetros!$G$86)),2))</f>
        <v>0</v>
      </c>
      <c r="BL84" s="66">
        <f t="shared" si="65"/>
        <v>0</v>
      </c>
      <c r="BM84" t="str">
        <f t="shared" si="127"/>
        <v>00061</v>
      </c>
      <c r="BN84" t="str">
        <f t="shared" si="128"/>
        <v>Gastos de Entierro</v>
      </c>
      <c r="BO84" s="118">
        <f t="shared" si="129"/>
        <v>0</v>
      </c>
      <c r="BP84" s="118" t="str">
        <f t="shared" si="130"/>
        <v>A</v>
      </c>
      <c r="BQ84" s="119" t="str">
        <f>+IF(OR($W84="",BO84=0),"",ROUND((VLOOKUP(ROUNDDOWN($D84-1/frec,0),cob_adi,BB$40,FALSE)*(1+i/frec)^-0.5*(1+Parámetros!$D$103)*(1+rec_fracc)/frec),6))</f>
        <v/>
      </c>
      <c r="BR84" s="66">
        <f t="shared" si="70"/>
        <v>0</v>
      </c>
      <c r="BS84" s="119" t="str">
        <f t="shared" si="71"/>
        <v/>
      </c>
      <c r="BT84" s="66">
        <f>+IF($W84="","",ROUND(IF($B84&gt;Parámetros!$D$107,'Tablas Servicio'!BR84+('Tablas Servicio'!BT83-'Tablas Servicio'!BR83),BR84/(1-IF(B84&lt;=10,Parámetros!$D$100,0))),2))</f>
        <v>0</v>
      </c>
      <c r="BU84" s="66">
        <f t="shared" si="72"/>
        <v>0</v>
      </c>
      <c r="BV84" s="66">
        <f t="shared" si="72"/>
        <v>0</v>
      </c>
      <c r="BW84" s="66">
        <f>+IF($W84="","",ROUND((BT84*Parámetros!$G$85),2))</f>
        <v>0</v>
      </c>
      <c r="BX84" s="66">
        <f>+IF($W84="","",ROUND((BT84*(Parámetros!$G$86)),2))</f>
        <v>0</v>
      </c>
      <c r="BY84" s="66">
        <f t="shared" si="73"/>
        <v>0</v>
      </c>
      <c r="BZ84" t="str">
        <f t="shared" si="131"/>
        <v>00062</v>
      </c>
      <c r="CA84" t="str">
        <f t="shared" si="132"/>
        <v>Gastos médicos por accidente</v>
      </c>
      <c r="CB84" s="118">
        <f t="shared" si="133"/>
        <v>0</v>
      </c>
      <c r="CC84" s="118" t="str">
        <f t="shared" si="134"/>
        <v>A</v>
      </c>
      <c r="CD84" s="119" t="str">
        <f t="shared" si="78"/>
        <v/>
      </c>
      <c r="CE84" s="66">
        <f>+IF($W84="","",ROUND((VLOOKUP(ROUNDDOWN($D84-1/frec,0),cob_adi,BO$40,FALSE)*(1+i/frec)^-0.5*(1+Parámetros!$D$103)*(1+rec_fracc)/frec*'TABLAS ADI'!$BC$17),2))</f>
        <v>0</v>
      </c>
      <c r="CF84" s="119" t="str">
        <f t="shared" si="79"/>
        <v/>
      </c>
      <c r="CG84" s="66">
        <f>+IF($W84="","",ROUND(IF($B84&gt;Parámetros!$D$107,'Tablas Servicio'!CE84+('Tablas Servicio'!CG83-'Tablas Servicio'!CE83),CE84/(1-IF(B84&lt;=10,Parámetros!$D$100,0))),2))</f>
        <v>0</v>
      </c>
      <c r="CH84" s="66">
        <f t="shared" si="80"/>
        <v>0</v>
      </c>
      <c r="CI84" s="66">
        <f t="shared" si="80"/>
        <v>0</v>
      </c>
      <c r="CJ84" s="66">
        <f>+IF($W84="","",ROUND((CG84*Parámetros!$G$85),2))</f>
        <v>0</v>
      </c>
      <c r="CK84" s="66">
        <f>+IF($W84="","",ROUND((CG84*(Parámetros!$G$86)),2))</f>
        <v>0</v>
      </c>
      <c r="CL84" s="66">
        <f t="shared" si="81"/>
        <v>0</v>
      </c>
      <c r="CM84" t="str">
        <f t="shared" si="135"/>
        <v>00063</v>
      </c>
      <c r="CN84" s="118" t="str">
        <f t="shared" si="136"/>
        <v>Renta Diaria por Hospitalización</v>
      </c>
      <c r="CO84" s="118">
        <f t="shared" si="137"/>
        <v>0</v>
      </c>
      <c r="CP84" s="118" t="str">
        <f t="shared" si="138"/>
        <v>A</v>
      </c>
      <c r="CQ84" s="119" t="str">
        <f t="shared" si="86"/>
        <v/>
      </c>
      <c r="CR84" s="66">
        <f>+IF($W84="","",ROUND((VLOOKUP(Parámetros!$F$51,'COBERTURAS ADICIONALES'!$S$4:$T$32,2,FALSE)*(1+i/frec)^-0.5*(1+Parámetros!$D$103)*(1+rec_fracc)/frec*$CO$42),2))</f>
        <v>0</v>
      </c>
      <c r="CS84" s="119" t="str">
        <f t="shared" si="87"/>
        <v/>
      </c>
      <c r="CT84" s="66">
        <f>+IF($W84="","",ROUND(IF($B84&gt;Parámetros!$D$107,'Tablas Servicio'!CR84+('Tablas Servicio'!CT83-'Tablas Servicio'!CR83),CR84/(1-IF(B84&lt;=10,Parámetros!$D$100,0))),2))</f>
        <v>0</v>
      </c>
      <c r="CU84" s="66">
        <f t="shared" si="88"/>
        <v>0</v>
      </c>
      <c r="CV84" s="66">
        <f t="shared" si="88"/>
        <v>0</v>
      </c>
      <c r="CW84" s="66">
        <f>+IF($W84="","",ROUND((CT84*Parámetros!$G$85),2))</f>
        <v>0</v>
      </c>
      <c r="CX84" s="66">
        <f>+IF($W84="","",ROUND((CT84*(Parámetros!$G$86)),2))</f>
        <v>0</v>
      </c>
      <c r="CY84" s="66">
        <f t="shared" si="89"/>
        <v>0</v>
      </c>
      <c r="CZ84" t="str">
        <f t="shared" si="139"/>
        <v>00064</v>
      </c>
      <c r="DA84" s="118" t="str">
        <f t="shared" si="140"/>
        <v>Enfermedades Graves</v>
      </c>
      <c r="DB84" s="118">
        <f t="shared" si="141"/>
        <v>0</v>
      </c>
      <c r="DC84" s="118" t="str">
        <f t="shared" si="142"/>
        <v>A</v>
      </c>
      <c r="DD84" s="121" t="str">
        <f>+IF(OR($W84="",DB84=0),"",ROUND((VLOOKUP(ROUNDDOWN($D84-1/frec,0),cob_adi,CO$40,FALSE)*(1+i/frec)^-0.5*(1+Parámetros!$D$103)*(1+rec_fracc)/frec),6))</f>
        <v/>
      </c>
      <c r="DE84" s="66">
        <f t="shared" si="94"/>
        <v>0</v>
      </c>
      <c r="DF84" s="119" t="str">
        <f t="shared" si="95"/>
        <v/>
      </c>
      <c r="DG84" s="66">
        <f>+IF($W84="","",ROUND(IF($B84&gt;Parámetros!$D$107,'Tablas Servicio'!DE84+('Tablas Servicio'!DG83-'Tablas Servicio'!DE83),DE84/(1-IF(B84&lt;=10,Parámetros!$D$100,0))),2))</f>
        <v>0</v>
      </c>
      <c r="DH84" s="66">
        <f t="shared" si="96"/>
        <v>0</v>
      </c>
      <c r="DI84" s="66">
        <f t="shared" si="96"/>
        <v>0</v>
      </c>
      <c r="DJ84" s="66">
        <f>+IF($W84="","",ROUND((DG84*Parámetros!$G$85),2))</f>
        <v>0</v>
      </c>
      <c r="DK84" s="66">
        <f>+IF($W84="","",ROUND((DG84*(Parámetros!$G$86)),2))</f>
        <v>0</v>
      </c>
      <c r="DL84" s="66">
        <f t="shared" si="97"/>
        <v>0</v>
      </c>
      <c r="DM84" t="str">
        <f t="shared" si="143"/>
        <v>00065</v>
      </c>
      <c r="DN84" s="118" t="str">
        <f t="shared" si="144"/>
        <v>Exención pago de primas</v>
      </c>
      <c r="DO84" s="118">
        <f t="shared" si="145"/>
        <v>0</v>
      </c>
      <c r="DP84" s="118" t="str">
        <f t="shared" si="146"/>
        <v>A</v>
      </c>
      <c r="DQ84" s="122" t="str">
        <f>+IF(OR($W84="",DO84=0),"",ROUND((VLOOKUP(ROUNDDOWN($D84-1/frec,0),cob_adi,DB$40,FALSE)*(1+i/frec)^-0.5*(1+Parámetros!$D$103)*(1+rec_fracc)/frec),6))</f>
        <v/>
      </c>
      <c r="DR84" s="66">
        <f t="shared" si="102"/>
        <v>0</v>
      </c>
      <c r="DS84" s="68" t="str">
        <f t="shared" si="103"/>
        <v/>
      </c>
      <c r="DT84" s="66">
        <f>+IF($W84="","",ROUND(IF($B84&gt;Parámetros!$D$107,'Tablas Servicio'!DR84+('Tablas Servicio'!DT83-'Tablas Servicio'!DR83),DR84/(1-IF(B84&lt;=10,Parámetros!$D$100,0))),2))</f>
        <v>0</v>
      </c>
      <c r="DU84" s="66">
        <f t="shared" si="104"/>
        <v>0</v>
      </c>
      <c r="DV84" s="66">
        <f t="shared" si="104"/>
        <v>0</v>
      </c>
      <c r="DW84" s="66">
        <f>+IF($W84="","",ROUND((DT84*Parámetros!$G$85),2))</f>
        <v>0</v>
      </c>
      <c r="DX84" s="66">
        <f>+IF($W84="","",ROUND((DT84*(Parámetros!$G$86)),2))</f>
        <v>0</v>
      </c>
      <c r="DY84" s="66">
        <f t="shared" si="105"/>
        <v>0</v>
      </c>
      <c r="DZ84" t="str">
        <f t="shared" si="148"/>
        <v>00066</v>
      </c>
      <c r="EA84" s="118" t="str">
        <f t="shared" si="148"/>
        <v>Enfermedad terminal</v>
      </c>
      <c r="EB84" s="118">
        <f>+IF($W84="","",ROUND(IF(Parámetros!$D$25='TABLAS MORT'!$V$33,EB83,Z84/2),0))</f>
        <v>50000</v>
      </c>
      <c r="EC84" s="118" t="str">
        <f t="shared" si="148"/>
        <v>A</v>
      </c>
      <c r="ED84" s="122">
        <f>+IF(OR($W84="",EB84=0),"",ROUND((VLOOKUP(ROUNDDOWN($D84-1/frec,0),cob_adi,DO$40,FALSE)*(1+i/frec)^-0.5*(1+Parámetros!$D$103)*(1+rec_fracc)/frec),6))</f>
        <v>7.9999999999999996E-6</v>
      </c>
      <c r="EE84" s="66">
        <f t="shared" si="107"/>
        <v>0.4</v>
      </c>
      <c r="EF84" s="68">
        <f t="shared" si="108"/>
        <v>9.0000000000000002E-6</v>
      </c>
      <c r="EG84" s="66">
        <f>+IF($W84="","",ROUND(IF($B84&gt;Parámetros!$D$107,'Tablas Servicio'!EE84+('Tablas Servicio'!EG83-'Tablas Servicio'!EE83),EE84/(1-IF(B84&lt;=10,Parámetros!$D$100,0))),2))</f>
        <v>0.45</v>
      </c>
      <c r="EH84" s="66">
        <f t="shared" si="109"/>
        <v>0</v>
      </c>
      <c r="EI84" s="66">
        <f t="shared" si="109"/>
        <v>0</v>
      </c>
      <c r="EJ84" s="66">
        <f>+IF($W84="","",ROUND((EG84*Parámetros!$G$85),2))</f>
        <v>0.02</v>
      </c>
      <c r="EK84" s="66">
        <f>+IF($W84="","",ROUND((EG84*(Parámetros!$G$86)),2))</f>
        <v>0</v>
      </c>
      <c r="EL84" s="66">
        <f t="shared" si="110"/>
        <v>0.47</v>
      </c>
    </row>
    <row r="85" spans="1:142" x14ac:dyDescent="0.25">
      <c r="A85">
        <f>+IF($C85="","",ROUND(VLOOKUP('Tablas Servicio'!B85,Parámetros!$H$100:$J$159,IF(Parámetros!$E$16="F",2,3),FALSE),2))</f>
        <v>150</v>
      </c>
      <c r="B85">
        <f t="shared" si="27"/>
        <v>4</v>
      </c>
      <c r="C85" s="57">
        <f>+IF(D85="","",'Tablas Servicio'!C84+1)</f>
        <v>44</v>
      </c>
      <c r="D85" s="56">
        <f>+IF(D84&lt;edadmaxtabla,D84+1/Parámetros!$E$25,"")</f>
        <v>43.686666666666774</v>
      </c>
      <c r="E85" s="57">
        <f t="shared" si="37"/>
        <v>43</v>
      </c>
      <c r="F85" s="59">
        <f t="shared" si="38"/>
        <v>100000</v>
      </c>
      <c r="G85" s="66">
        <f t="shared" si="39"/>
        <v>29.21</v>
      </c>
      <c r="H85" s="66">
        <f t="shared" si="28"/>
        <v>30.38</v>
      </c>
      <c r="I85" s="66">
        <f t="shared" si="112"/>
        <v>56.06</v>
      </c>
      <c r="J85" s="66">
        <f t="shared" si="29"/>
        <v>1.03</v>
      </c>
      <c r="K85" s="66">
        <f t="shared" si="30"/>
        <v>0.14000000000000001</v>
      </c>
      <c r="L85" s="66">
        <f t="shared" si="31"/>
        <v>0</v>
      </c>
      <c r="M85" s="66">
        <f t="shared" si="32"/>
        <v>0</v>
      </c>
      <c r="N85" s="66">
        <f>+IF(C85="","",ROUND(Parámetros!$D$23,2))</f>
        <v>94</v>
      </c>
      <c r="O85" s="66">
        <f t="shared" si="33"/>
        <v>14.3</v>
      </c>
      <c r="P85" s="66">
        <f>+IF($C85="","",ROUND(IF(B85&gt;Parámetros!$D$117,0,N85*Parámetros!$D$116-G85*Parámetros!$D$100),2))</f>
        <v>7.56</v>
      </c>
      <c r="Q85" s="75">
        <f t="shared" si="113"/>
        <v>3.5261896610749743E-2</v>
      </c>
      <c r="R85" s="75">
        <f t="shared" si="114"/>
        <v>4.7928791509756936E-3</v>
      </c>
      <c r="S85" s="117">
        <f>+IF($C85="","",ROUND((S84+I85)*(1+Parámetros!$D$91),2))</f>
        <v>2778.21</v>
      </c>
      <c r="T85" s="117">
        <f>+IF($C85="","",ROUND(S85*VLOOKUP(B85,Parámetros!$C$30:$D$39,2,TRUE),2))</f>
        <v>555.64</v>
      </c>
      <c r="U85" s="117">
        <f>+IF($C85="","",ROUND((U84+I85)*(1+Parámetros!$D$92),2))</f>
        <v>2804.61</v>
      </c>
      <c r="V85" s="117">
        <f>+IF($C85="","",ROUND(U85*VLOOKUP(B85,Parámetros!$C$30:$D$39,2,TRUE),2))</f>
        <v>560.91999999999996</v>
      </c>
      <c r="W85" s="57">
        <f t="shared" si="115"/>
        <v>44</v>
      </c>
      <c r="X85" t="str">
        <f t="shared" si="116"/>
        <v>00058</v>
      </c>
      <c r="Y85" t="str">
        <f t="shared" si="117"/>
        <v>MUERTE POR CUALQUIER CAUSA</v>
      </c>
      <c r="Z85" s="118">
        <f>+IF($W85="","",ROUND(IF(Parámetros!$D$25='TABLAS MORT'!$V$33,Z84,Parámetros!$D$21-'Tablas Servicio'!T84),0))</f>
        <v>100000</v>
      </c>
      <c r="AA85" s="118" t="str">
        <f t="shared" si="118"/>
        <v>P</v>
      </c>
      <c r="AB85" s="119">
        <f>+IF(W85="","",ROUND((VLOOKUP(ROUNDDOWN($D85-1/frec,0),qx_tabla,2,FALSE)*(1+i/frec)^-0.5*(1+Parámetros!$D$103)*(1+rec_fracc)/frec),6))</f>
        <v>1.3899999999999999E-4</v>
      </c>
      <c r="AC85" s="66">
        <f t="shared" si="46"/>
        <v>13.9</v>
      </c>
      <c r="AD85" s="119">
        <f t="shared" si="35"/>
        <v>2.8800000000000001E-4</v>
      </c>
      <c r="AE85" s="66">
        <f>+IF($W85="","",ROUND(IF($B85&gt;Parámetros!$D$107,'Tablas Servicio'!AC85+('Tablas Servicio'!AG84-'Tablas Servicio'!AC84),AC85/(1-IF(B85&lt;=10,Parámetros!$D$104,Parámetros!$D$105))),2))</f>
        <v>28.76</v>
      </c>
      <c r="AF85" s="66">
        <f>+IF($W85="","",ROUND(IF($B85&gt;Parámetros!$D$107,'Tablas Servicio'!AC85+('Tablas Servicio'!AG84-'Tablas Servicio'!AC84),(AC85+$A84/frec)/(1-IF(B85&lt;=Parámetros!$D$117,Parámetros!$D$100,0))),2))</f>
        <v>29.89</v>
      </c>
      <c r="AG85" s="66">
        <f t="shared" si="111"/>
        <v>28.76</v>
      </c>
      <c r="AH85" s="66">
        <f t="shared" si="47"/>
        <v>0</v>
      </c>
      <c r="AI85" s="66">
        <f t="shared" si="48"/>
        <v>0</v>
      </c>
      <c r="AJ85" s="66">
        <f>+IF($W85="","",ROUND((AG85*Parámetros!$G$85),2))</f>
        <v>1.01</v>
      </c>
      <c r="AK85" s="66">
        <f>+IF($W85="","",ROUND((AG85*(Parámetros!$G$86)),2))</f>
        <v>0.14000000000000001</v>
      </c>
      <c r="AL85" s="66">
        <f t="shared" si="36"/>
        <v>29.91</v>
      </c>
      <c r="AM85" t="str">
        <f t="shared" si="119"/>
        <v>00059</v>
      </c>
      <c r="AN85" t="str">
        <f t="shared" si="120"/>
        <v>Incapacidad Total y Permanente</v>
      </c>
      <c r="AO85" s="118">
        <f t="shared" si="121"/>
        <v>0</v>
      </c>
      <c r="AP85" s="118" t="str">
        <f t="shared" si="122"/>
        <v>A</v>
      </c>
      <c r="AQ85" s="119" t="str">
        <f>+IF(OR($W85="",AO85=0),"",ROUND((VLOOKUP(ROUNDDOWN($D85-1/frec,0),cob_adi,Z$40,FALSE)*(1+i/frec)^-0.5*(1+Parámetros!$D$103)*(1+rec_fracc)/frec),6))</f>
        <v/>
      </c>
      <c r="AR85" s="66">
        <f t="shared" si="53"/>
        <v>0</v>
      </c>
      <c r="AS85" s="119" t="str">
        <f t="shared" si="54"/>
        <v/>
      </c>
      <c r="AT85" s="66">
        <f>+IF($W85="","",ROUND(IF($B85&gt;Parámetros!$D$107,'Tablas Servicio'!AR85+('Tablas Servicio'!AT84-'Tablas Servicio'!AR84),AR85/(1-IF(B85&lt;=10,Parámetros!$D$100,0))),2))</f>
        <v>0</v>
      </c>
      <c r="AU85" s="66">
        <f t="shared" si="55"/>
        <v>0</v>
      </c>
      <c r="AV85" s="66">
        <f t="shared" si="55"/>
        <v>0</v>
      </c>
      <c r="AW85" s="66">
        <f>+IF($W85="","",ROUND((AT85*Parámetros!$G$85),2))</f>
        <v>0</v>
      </c>
      <c r="AX85" s="66">
        <f>+IF($W85="","",ROUND((AT85*(Parámetros!$G$86)),2))</f>
        <v>0</v>
      </c>
      <c r="AY85" s="66">
        <f t="shared" si="56"/>
        <v>0</v>
      </c>
      <c r="AZ85" t="str">
        <f t="shared" si="123"/>
        <v>00060</v>
      </c>
      <c r="BA85" t="str">
        <f t="shared" si="124"/>
        <v>Muerte Accidental</v>
      </c>
      <c r="BB85" s="118">
        <f t="shared" si="125"/>
        <v>0</v>
      </c>
      <c r="BC85" s="118" t="str">
        <f t="shared" si="126"/>
        <v>A</v>
      </c>
      <c r="BD85" s="119" t="str">
        <f>+IF(OR($W85="",BB85=0),"",ROUND((VLOOKUP(ROUNDDOWN($D85-1/frec,0),cob_adi,AO$40,FALSE)*(1+i/frec)^-0.5*(1+Parámetros!$D$103)*(1+rec_fracc)/frec),6))</f>
        <v/>
      </c>
      <c r="BE85" s="66">
        <f t="shared" si="61"/>
        <v>0</v>
      </c>
      <c r="BF85" s="119" t="str">
        <f t="shared" si="62"/>
        <v/>
      </c>
      <c r="BG85" s="66">
        <f>+IF($W85="","",ROUND(IF($B85&gt;Parámetros!$D$107,'Tablas Servicio'!BE85+('Tablas Servicio'!BG84-'Tablas Servicio'!BE84),BE85/(1-IF(B85&lt;=10,Parámetros!$D$100,0))),2))</f>
        <v>0</v>
      </c>
      <c r="BH85" s="66">
        <f t="shared" si="63"/>
        <v>0</v>
      </c>
      <c r="BI85" s="66">
        <f t="shared" si="64"/>
        <v>0</v>
      </c>
      <c r="BJ85" s="66">
        <f>+IF($W85="","",ROUND((BG85*Parámetros!$G$85),2))</f>
        <v>0</v>
      </c>
      <c r="BK85" s="66">
        <f>+IF($W85="","",ROUND((BG85*(Parámetros!$G$86)),2))</f>
        <v>0</v>
      </c>
      <c r="BL85" s="66">
        <f t="shared" si="65"/>
        <v>0</v>
      </c>
      <c r="BM85" t="str">
        <f t="shared" si="127"/>
        <v>00061</v>
      </c>
      <c r="BN85" t="str">
        <f t="shared" si="128"/>
        <v>Gastos de Entierro</v>
      </c>
      <c r="BO85" s="118">
        <f t="shared" si="129"/>
        <v>0</v>
      </c>
      <c r="BP85" s="118" t="str">
        <f t="shared" si="130"/>
        <v>A</v>
      </c>
      <c r="BQ85" s="119" t="str">
        <f>+IF(OR($W85="",BO85=0),"",ROUND((VLOOKUP(ROUNDDOWN($D85-1/frec,0),cob_adi,BB$40,FALSE)*(1+i/frec)^-0.5*(1+Parámetros!$D$103)*(1+rec_fracc)/frec),6))</f>
        <v/>
      </c>
      <c r="BR85" s="66">
        <f t="shared" si="70"/>
        <v>0</v>
      </c>
      <c r="BS85" s="119" t="str">
        <f t="shared" si="71"/>
        <v/>
      </c>
      <c r="BT85" s="66">
        <f>+IF($W85="","",ROUND(IF($B85&gt;Parámetros!$D$107,'Tablas Servicio'!BR85+('Tablas Servicio'!BT84-'Tablas Servicio'!BR84),BR85/(1-IF(B85&lt;=10,Parámetros!$D$100,0))),2))</f>
        <v>0</v>
      </c>
      <c r="BU85" s="66">
        <f t="shared" si="72"/>
        <v>0</v>
      </c>
      <c r="BV85" s="66">
        <f t="shared" si="72"/>
        <v>0</v>
      </c>
      <c r="BW85" s="66">
        <f>+IF($W85="","",ROUND((BT85*Parámetros!$G$85),2))</f>
        <v>0</v>
      </c>
      <c r="BX85" s="66">
        <f>+IF($W85="","",ROUND((BT85*(Parámetros!$G$86)),2))</f>
        <v>0</v>
      </c>
      <c r="BY85" s="66">
        <f t="shared" si="73"/>
        <v>0</v>
      </c>
      <c r="BZ85" t="str">
        <f t="shared" si="131"/>
        <v>00062</v>
      </c>
      <c r="CA85" t="str">
        <f t="shared" si="132"/>
        <v>Gastos médicos por accidente</v>
      </c>
      <c r="CB85" s="118">
        <f t="shared" si="133"/>
        <v>0</v>
      </c>
      <c r="CC85" s="118" t="str">
        <f t="shared" si="134"/>
        <v>A</v>
      </c>
      <c r="CD85" s="119" t="str">
        <f t="shared" si="78"/>
        <v/>
      </c>
      <c r="CE85" s="66">
        <f>+IF($W85="","",ROUND((VLOOKUP(ROUNDDOWN($D85-1/frec,0),cob_adi,BO$40,FALSE)*(1+i/frec)^-0.5*(1+Parámetros!$D$103)*(1+rec_fracc)/frec*'TABLAS ADI'!$BC$17),2))</f>
        <v>0</v>
      </c>
      <c r="CF85" s="119" t="str">
        <f t="shared" si="79"/>
        <v/>
      </c>
      <c r="CG85" s="66">
        <f>+IF($W85="","",ROUND(IF($B85&gt;Parámetros!$D$107,'Tablas Servicio'!CE85+('Tablas Servicio'!CG84-'Tablas Servicio'!CE84),CE85/(1-IF(B85&lt;=10,Parámetros!$D$100,0))),2))</f>
        <v>0</v>
      </c>
      <c r="CH85" s="66">
        <f t="shared" si="80"/>
        <v>0</v>
      </c>
      <c r="CI85" s="66">
        <f t="shared" si="80"/>
        <v>0</v>
      </c>
      <c r="CJ85" s="66">
        <f>+IF($W85="","",ROUND((CG85*Parámetros!$G$85),2))</f>
        <v>0</v>
      </c>
      <c r="CK85" s="66">
        <f>+IF($W85="","",ROUND((CG85*(Parámetros!$G$86)),2))</f>
        <v>0</v>
      </c>
      <c r="CL85" s="66">
        <f t="shared" si="81"/>
        <v>0</v>
      </c>
      <c r="CM85" t="str">
        <f t="shared" si="135"/>
        <v>00063</v>
      </c>
      <c r="CN85" s="118" t="str">
        <f t="shared" si="136"/>
        <v>Renta Diaria por Hospitalización</v>
      </c>
      <c r="CO85" s="118">
        <f t="shared" si="137"/>
        <v>0</v>
      </c>
      <c r="CP85" s="118" t="str">
        <f t="shared" si="138"/>
        <v>A</v>
      </c>
      <c r="CQ85" s="119" t="str">
        <f t="shared" si="86"/>
        <v/>
      </c>
      <c r="CR85" s="66">
        <f>+IF($W85="","",ROUND((VLOOKUP(Parámetros!$F$51,'COBERTURAS ADICIONALES'!$S$4:$T$32,2,FALSE)*(1+i/frec)^-0.5*(1+Parámetros!$D$103)*(1+rec_fracc)/frec*$CO$42),2))</f>
        <v>0</v>
      </c>
      <c r="CS85" s="119" t="str">
        <f t="shared" si="87"/>
        <v/>
      </c>
      <c r="CT85" s="66">
        <f>+IF($W85="","",ROUND(IF($B85&gt;Parámetros!$D$107,'Tablas Servicio'!CR85+('Tablas Servicio'!CT84-'Tablas Servicio'!CR84),CR85/(1-IF(B85&lt;=10,Parámetros!$D$100,0))),2))</f>
        <v>0</v>
      </c>
      <c r="CU85" s="66">
        <f t="shared" si="88"/>
        <v>0</v>
      </c>
      <c r="CV85" s="66">
        <f t="shared" si="88"/>
        <v>0</v>
      </c>
      <c r="CW85" s="66">
        <f>+IF($W85="","",ROUND((CT85*Parámetros!$G$85),2))</f>
        <v>0</v>
      </c>
      <c r="CX85" s="66">
        <f>+IF($W85="","",ROUND((CT85*(Parámetros!$G$86)),2))</f>
        <v>0</v>
      </c>
      <c r="CY85" s="66">
        <f t="shared" si="89"/>
        <v>0</v>
      </c>
      <c r="CZ85" t="str">
        <f t="shared" si="139"/>
        <v>00064</v>
      </c>
      <c r="DA85" s="118" t="str">
        <f t="shared" si="140"/>
        <v>Enfermedades Graves</v>
      </c>
      <c r="DB85" s="118">
        <f t="shared" si="141"/>
        <v>0</v>
      </c>
      <c r="DC85" s="118" t="str">
        <f t="shared" si="142"/>
        <v>A</v>
      </c>
      <c r="DD85" s="121" t="str">
        <f>+IF(OR($W85="",DB85=0),"",ROUND((VLOOKUP(ROUNDDOWN($D85-1/frec,0),cob_adi,CO$40,FALSE)*(1+i/frec)^-0.5*(1+Parámetros!$D$103)*(1+rec_fracc)/frec),6))</f>
        <v/>
      </c>
      <c r="DE85" s="66">
        <f t="shared" si="94"/>
        <v>0</v>
      </c>
      <c r="DF85" s="119" t="str">
        <f t="shared" si="95"/>
        <v/>
      </c>
      <c r="DG85" s="66">
        <f>+IF($W85="","",ROUND(IF($B85&gt;Parámetros!$D$107,'Tablas Servicio'!DE85+('Tablas Servicio'!DG84-'Tablas Servicio'!DE84),DE85/(1-IF(B85&lt;=10,Parámetros!$D$100,0))),2))</f>
        <v>0</v>
      </c>
      <c r="DH85" s="66">
        <f t="shared" si="96"/>
        <v>0</v>
      </c>
      <c r="DI85" s="66">
        <f t="shared" si="96"/>
        <v>0</v>
      </c>
      <c r="DJ85" s="66">
        <f>+IF($W85="","",ROUND((DG85*Parámetros!$G$85),2))</f>
        <v>0</v>
      </c>
      <c r="DK85" s="66">
        <f>+IF($W85="","",ROUND((DG85*(Parámetros!$G$86)),2))</f>
        <v>0</v>
      </c>
      <c r="DL85" s="66">
        <f t="shared" si="97"/>
        <v>0</v>
      </c>
      <c r="DM85" t="str">
        <f t="shared" si="143"/>
        <v>00065</v>
      </c>
      <c r="DN85" s="118" t="str">
        <f t="shared" si="144"/>
        <v>Exención pago de primas</v>
      </c>
      <c r="DO85" s="118">
        <f t="shared" si="145"/>
        <v>0</v>
      </c>
      <c r="DP85" s="118" t="str">
        <f t="shared" si="146"/>
        <v>A</v>
      </c>
      <c r="DQ85" s="122" t="str">
        <f>+IF(OR($W85="",DO85=0),"",ROUND((VLOOKUP(ROUNDDOWN($D85-1/frec,0),cob_adi,DB$40,FALSE)*(1+i/frec)^-0.5*(1+Parámetros!$D$103)*(1+rec_fracc)/frec),6))</f>
        <v/>
      </c>
      <c r="DR85" s="66">
        <f t="shared" si="102"/>
        <v>0</v>
      </c>
      <c r="DS85" s="68" t="str">
        <f t="shared" si="103"/>
        <v/>
      </c>
      <c r="DT85" s="66">
        <f>+IF($W85="","",ROUND(IF($B85&gt;Parámetros!$D$107,'Tablas Servicio'!DR85+('Tablas Servicio'!DT84-'Tablas Servicio'!DR84),DR85/(1-IF(B85&lt;=10,Parámetros!$D$100,0))),2))</f>
        <v>0</v>
      </c>
      <c r="DU85" s="66">
        <f t="shared" si="104"/>
        <v>0</v>
      </c>
      <c r="DV85" s="66">
        <f t="shared" si="104"/>
        <v>0</v>
      </c>
      <c r="DW85" s="66">
        <f>+IF($W85="","",ROUND((DT85*Parámetros!$G$85),2))</f>
        <v>0</v>
      </c>
      <c r="DX85" s="66">
        <f>+IF($W85="","",ROUND((DT85*(Parámetros!$G$86)),2))</f>
        <v>0</v>
      </c>
      <c r="DY85" s="66">
        <f t="shared" si="105"/>
        <v>0</v>
      </c>
      <c r="DZ85" t="str">
        <f t="shared" si="148"/>
        <v>00066</v>
      </c>
      <c r="EA85" s="118" t="str">
        <f t="shared" si="148"/>
        <v>Enfermedad terminal</v>
      </c>
      <c r="EB85" s="118">
        <f>+IF($W85="","",ROUND(IF(Parámetros!$D$25='TABLAS MORT'!$V$33,EB84,Z85/2),0))</f>
        <v>50000</v>
      </c>
      <c r="EC85" s="118" t="str">
        <f t="shared" si="148"/>
        <v>A</v>
      </c>
      <c r="ED85" s="122">
        <f>+IF(OR($W85="",EB85=0),"",ROUND((VLOOKUP(ROUNDDOWN($D85-1/frec,0),cob_adi,DO$40,FALSE)*(1+i/frec)^-0.5*(1+Parámetros!$D$103)*(1+rec_fracc)/frec),6))</f>
        <v>7.9999999999999996E-6</v>
      </c>
      <c r="EE85" s="66">
        <f t="shared" si="107"/>
        <v>0.4</v>
      </c>
      <c r="EF85" s="68">
        <f t="shared" si="108"/>
        <v>9.0000000000000002E-6</v>
      </c>
      <c r="EG85" s="66">
        <f>+IF($W85="","",ROUND(IF($B85&gt;Parámetros!$D$107,'Tablas Servicio'!EE85+('Tablas Servicio'!EG84-'Tablas Servicio'!EE84),EE85/(1-IF(B85&lt;=10,Parámetros!$D$100,0))),2))</f>
        <v>0.45</v>
      </c>
      <c r="EH85" s="66">
        <f t="shared" si="109"/>
        <v>0</v>
      </c>
      <c r="EI85" s="66">
        <f t="shared" si="109"/>
        <v>0</v>
      </c>
      <c r="EJ85" s="66">
        <f>+IF($W85="","",ROUND((EG85*Parámetros!$G$85),2))</f>
        <v>0.02</v>
      </c>
      <c r="EK85" s="66">
        <f>+IF($W85="","",ROUND((EG85*(Parámetros!$G$86)),2))</f>
        <v>0</v>
      </c>
      <c r="EL85" s="66">
        <f t="shared" si="110"/>
        <v>0.47</v>
      </c>
    </row>
    <row r="86" spans="1:142" x14ac:dyDescent="0.25">
      <c r="A86">
        <f>+IF($C86="","",ROUND(VLOOKUP('Tablas Servicio'!B86,Parámetros!$H$100:$J$159,IF(Parámetros!$E$16="F",2,3),FALSE),2))</f>
        <v>150</v>
      </c>
      <c r="B86">
        <f t="shared" si="27"/>
        <v>4</v>
      </c>
      <c r="C86" s="57">
        <f>+IF(D86="","",'Tablas Servicio'!C85+1)</f>
        <v>45</v>
      </c>
      <c r="D86" s="56">
        <f>+IF(D85&lt;edadmaxtabla,D85+1/Parámetros!$E$25,"")</f>
        <v>43.77000000000011</v>
      </c>
      <c r="E86" s="57">
        <f t="shared" si="37"/>
        <v>43</v>
      </c>
      <c r="F86" s="59">
        <f t="shared" si="38"/>
        <v>100000</v>
      </c>
      <c r="G86" s="66">
        <f t="shared" si="39"/>
        <v>29.21</v>
      </c>
      <c r="H86" s="66">
        <f t="shared" si="28"/>
        <v>30.38</v>
      </c>
      <c r="I86" s="66">
        <f t="shared" si="112"/>
        <v>56.06</v>
      </c>
      <c r="J86" s="66">
        <f t="shared" si="29"/>
        <v>1.03</v>
      </c>
      <c r="K86" s="66">
        <f t="shared" si="30"/>
        <v>0.14000000000000001</v>
      </c>
      <c r="L86" s="66">
        <f t="shared" si="31"/>
        <v>0</v>
      </c>
      <c r="M86" s="66">
        <f t="shared" si="32"/>
        <v>0</v>
      </c>
      <c r="N86" s="66">
        <f>+IF(C86="","",ROUND(Parámetros!$D$23,2))</f>
        <v>94</v>
      </c>
      <c r="O86" s="66">
        <f t="shared" si="33"/>
        <v>14.3</v>
      </c>
      <c r="P86" s="66">
        <f>+IF($C86="","",ROUND(IF(B86&gt;Parámetros!$D$117,0,N86*Parámetros!$D$116-G86*Parámetros!$D$100),2))</f>
        <v>7.56</v>
      </c>
      <c r="Q86" s="75">
        <f t="shared" si="113"/>
        <v>3.5261896610749743E-2</v>
      </c>
      <c r="R86" s="75">
        <f t="shared" si="114"/>
        <v>4.7928791509756936E-3</v>
      </c>
      <c r="S86" s="117">
        <f>+IF($C86="","",ROUND((S85+I86)*(1+Parámetros!$D$91),2))</f>
        <v>2842.31</v>
      </c>
      <c r="T86" s="117">
        <f>+IF($C86="","",ROUND(S86*VLOOKUP(B86,Parámetros!$C$30:$D$39,2,TRUE),2))</f>
        <v>568.46</v>
      </c>
      <c r="U86" s="117">
        <f>+IF($C86="","",ROUND((U85+I86)*(1+Parámetros!$D$92),2))</f>
        <v>2869.94</v>
      </c>
      <c r="V86" s="117">
        <f>+IF($C86="","",ROUND(U86*VLOOKUP(B86,Parámetros!$C$30:$D$39,2,TRUE),2))</f>
        <v>573.99</v>
      </c>
      <c r="W86" s="57">
        <f t="shared" si="115"/>
        <v>45</v>
      </c>
      <c r="X86" t="str">
        <f t="shared" si="116"/>
        <v>00058</v>
      </c>
      <c r="Y86" t="str">
        <f t="shared" si="117"/>
        <v>MUERTE POR CUALQUIER CAUSA</v>
      </c>
      <c r="Z86" s="118">
        <f>+IF($W86="","",ROUND(IF(Parámetros!$D$25='TABLAS MORT'!$V$33,Z85,Parámetros!$D$21-'Tablas Servicio'!T85),0))</f>
        <v>100000</v>
      </c>
      <c r="AA86" s="118" t="str">
        <f t="shared" si="118"/>
        <v>P</v>
      </c>
      <c r="AB86" s="119">
        <f>+IF(W86="","",ROUND((VLOOKUP(ROUNDDOWN($D86-1/frec,0),qx_tabla,2,FALSE)*(1+i/frec)^-0.5*(1+Parámetros!$D$103)*(1+rec_fracc)/frec),6))</f>
        <v>1.3899999999999999E-4</v>
      </c>
      <c r="AC86" s="66">
        <f t="shared" si="46"/>
        <v>13.9</v>
      </c>
      <c r="AD86" s="119">
        <f t="shared" si="35"/>
        <v>2.8800000000000001E-4</v>
      </c>
      <c r="AE86" s="66">
        <f>+IF($W86="","",ROUND(IF($B86&gt;Parámetros!$D$107,'Tablas Servicio'!AC86+('Tablas Servicio'!AG85-'Tablas Servicio'!AC85),AC86/(1-IF(B86&lt;=10,Parámetros!$D$104,Parámetros!$D$105))),2))</f>
        <v>28.76</v>
      </c>
      <c r="AF86" s="66">
        <f>+IF($W86="","",ROUND(IF($B86&gt;Parámetros!$D$107,'Tablas Servicio'!AC86+('Tablas Servicio'!AG85-'Tablas Servicio'!AC85),(AC86+$A85/frec)/(1-IF(B86&lt;=Parámetros!$D$117,Parámetros!$D$100,0))),2))</f>
        <v>29.89</v>
      </c>
      <c r="AG86" s="66">
        <f t="shared" si="111"/>
        <v>28.76</v>
      </c>
      <c r="AH86" s="66">
        <f t="shared" si="47"/>
        <v>0</v>
      </c>
      <c r="AI86" s="66">
        <f t="shared" si="48"/>
        <v>0</v>
      </c>
      <c r="AJ86" s="66">
        <f>+IF($W86="","",ROUND((AG86*Parámetros!$G$85),2))</f>
        <v>1.01</v>
      </c>
      <c r="AK86" s="66">
        <f>+IF($W86="","",ROUND((AG86*(Parámetros!$G$86)),2))</f>
        <v>0.14000000000000001</v>
      </c>
      <c r="AL86" s="66">
        <f t="shared" si="36"/>
        <v>29.91</v>
      </c>
      <c r="AM86" t="str">
        <f t="shared" si="119"/>
        <v>00059</v>
      </c>
      <c r="AN86" t="str">
        <f t="shared" si="120"/>
        <v>Incapacidad Total y Permanente</v>
      </c>
      <c r="AO86" s="118">
        <f t="shared" si="121"/>
        <v>0</v>
      </c>
      <c r="AP86" s="118" t="str">
        <f t="shared" si="122"/>
        <v>A</v>
      </c>
      <c r="AQ86" s="119" t="str">
        <f>+IF(OR($W86="",AO86=0),"",ROUND((VLOOKUP(ROUNDDOWN($D86-1/frec,0),cob_adi,Z$40,FALSE)*(1+i/frec)^-0.5*(1+Parámetros!$D$103)*(1+rec_fracc)/frec),6))</f>
        <v/>
      </c>
      <c r="AR86" s="66">
        <f t="shared" si="53"/>
        <v>0</v>
      </c>
      <c r="AS86" s="119" t="str">
        <f t="shared" si="54"/>
        <v/>
      </c>
      <c r="AT86" s="66">
        <f>+IF($W86="","",ROUND(IF($B86&gt;Parámetros!$D$107,'Tablas Servicio'!AR86+('Tablas Servicio'!AT85-'Tablas Servicio'!AR85),AR86/(1-IF(B86&lt;=10,Parámetros!$D$100,0))),2))</f>
        <v>0</v>
      </c>
      <c r="AU86" s="66">
        <f t="shared" si="55"/>
        <v>0</v>
      </c>
      <c r="AV86" s="66">
        <f t="shared" si="55"/>
        <v>0</v>
      </c>
      <c r="AW86" s="66">
        <f>+IF($W86="","",ROUND((AT86*Parámetros!$G$85),2))</f>
        <v>0</v>
      </c>
      <c r="AX86" s="66">
        <f>+IF($W86="","",ROUND((AT86*(Parámetros!$G$86)),2))</f>
        <v>0</v>
      </c>
      <c r="AY86" s="66">
        <f t="shared" si="56"/>
        <v>0</v>
      </c>
      <c r="AZ86" t="str">
        <f t="shared" si="123"/>
        <v>00060</v>
      </c>
      <c r="BA86" t="str">
        <f t="shared" si="124"/>
        <v>Muerte Accidental</v>
      </c>
      <c r="BB86" s="118">
        <f t="shared" si="125"/>
        <v>0</v>
      </c>
      <c r="BC86" s="118" t="str">
        <f t="shared" si="126"/>
        <v>A</v>
      </c>
      <c r="BD86" s="119" t="str">
        <f>+IF(OR($W86="",BB86=0),"",ROUND((VLOOKUP(ROUNDDOWN($D86-1/frec,0),cob_adi,AO$40,FALSE)*(1+i/frec)^-0.5*(1+Parámetros!$D$103)*(1+rec_fracc)/frec),6))</f>
        <v/>
      </c>
      <c r="BE86" s="66">
        <f t="shared" si="61"/>
        <v>0</v>
      </c>
      <c r="BF86" s="119" t="str">
        <f t="shared" si="62"/>
        <v/>
      </c>
      <c r="BG86" s="66">
        <f>+IF($W86="","",ROUND(IF($B86&gt;Parámetros!$D$107,'Tablas Servicio'!BE86+('Tablas Servicio'!BG85-'Tablas Servicio'!BE85),BE86/(1-IF(B86&lt;=10,Parámetros!$D$100,0))),2))</f>
        <v>0</v>
      </c>
      <c r="BH86" s="66">
        <f t="shared" si="63"/>
        <v>0</v>
      </c>
      <c r="BI86" s="66">
        <f t="shared" si="64"/>
        <v>0</v>
      </c>
      <c r="BJ86" s="66">
        <f>+IF($W86="","",ROUND((BG86*Parámetros!$G$85),2))</f>
        <v>0</v>
      </c>
      <c r="BK86" s="66">
        <f>+IF($W86="","",ROUND((BG86*(Parámetros!$G$86)),2))</f>
        <v>0</v>
      </c>
      <c r="BL86" s="66">
        <f t="shared" si="65"/>
        <v>0</v>
      </c>
      <c r="BM86" t="str">
        <f t="shared" si="127"/>
        <v>00061</v>
      </c>
      <c r="BN86" t="str">
        <f t="shared" si="128"/>
        <v>Gastos de Entierro</v>
      </c>
      <c r="BO86" s="118">
        <f t="shared" si="129"/>
        <v>0</v>
      </c>
      <c r="BP86" s="118" t="str">
        <f t="shared" si="130"/>
        <v>A</v>
      </c>
      <c r="BQ86" s="119" t="str">
        <f>+IF(OR($W86="",BO86=0),"",ROUND((VLOOKUP(ROUNDDOWN($D86-1/frec,0),cob_adi,BB$40,FALSE)*(1+i/frec)^-0.5*(1+Parámetros!$D$103)*(1+rec_fracc)/frec),6))</f>
        <v/>
      </c>
      <c r="BR86" s="66">
        <f t="shared" si="70"/>
        <v>0</v>
      </c>
      <c r="BS86" s="119" t="str">
        <f t="shared" si="71"/>
        <v/>
      </c>
      <c r="BT86" s="66">
        <f>+IF($W86="","",ROUND(IF($B86&gt;Parámetros!$D$107,'Tablas Servicio'!BR86+('Tablas Servicio'!BT85-'Tablas Servicio'!BR85),BR86/(1-IF(B86&lt;=10,Parámetros!$D$100,0))),2))</f>
        <v>0</v>
      </c>
      <c r="BU86" s="66">
        <f t="shared" si="72"/>
        <v>0</v>
      </c>
      <c r="BV86" s="66">
        <f t="shared" si="72"/>
        <v>0</v>
      </c>
      <c r="BW86" s="66">
        <f>+IF($W86="","",ROUND((BT86*Parámetros!$G$85),2))</f>
        <v>0</v>
      </c>
      <c r="BX86" s="66">
        <f>+IF($W86="","",ROUND((BT86*(Parámetros!$G$86)),2))</f>
        <v>0</v>
      </c>
      <c r="BY86" s="66">
        <f t="shared" si="73"/>
        <v>0</v>
      </c>
      <c r="BZ86" t="str">
        <f t="shared" si="131"/>
        <v>00062</v>
      </c>
      <c r="CA86" t="str">
        <f t="shared" si="132"/>
        <v>Gastos médicos por accidente</v>
      </c>
      <c r="CB86" s="118">
        <f t="shared" si="133"/>
        <v>0</v>
      </c>
      <c r="CC86" s="118" t="str">
        <f t="shared" si="134"/>
        <v>A</v>
      </c>
      <c r="CD86" s="119" t="str">
        <f t="shared" si="78"/>
        <v/>
      </c>
      <c r="CE86" s="66">
        <f>+IF($W86="","",ROUND((VLOOKUP(ROUNDDOWN($D86-1/frec,0),cob_adi,BO$40,FALSE)*(1+i/frec)^-0.5*(1+Parámetros!$D$103)*(1+rec_fracc)/frec*'TABLAS ADI'!$BC$17),2))</f>
        <v>0</v>
      </c>
      <c r="CF86" s="119" t="str">
        <f t="shared" si="79"/>
        <v/>
      </c>
      <c r="CG86" s="66">
        <f>+IF($W86="","",ROUND(IF($B86&gt;Parámetros!$D$107,'Tablas Servicio'!CE86+('Tablas Servicio'!CG85-'Tablas Servicio'!CE85),CE86/(1-IF(B86&lt;=10,Parámetros!$D$100,0))),2))</f>
        <v>0</v>
      </c>
      <c r="CH86" s="66">
        <f t="shared" si="80"/>
        <v>0</v>
      </c>
      <c r="CI86" s="66">
        <f t="shared" si="80"/>
        <v>0</v>
      </c>
      <c r="CJ86" s="66">
        <f>+IF($W86="","",ROUND((CG86*Parámetros!$G$85),2))</f>
        <v>0</v>
      </c>
      <c r="CK86" s="66">
        <f>+IF($W86="","",ROUND((CG86*(Parámetros!$G$86)),2))</f>
        <v>0</v>
      </c>
      <c r="CL86" s="66">
        <f t="shared" si="81"/>
        <v>0</v>
      </c>
      <c r="CM86" t="str">
        <f t="shared" si="135"/>
        <v>00063</v>
      </c>
      <c r="CN86" s="118" t="str">
        <f t="shared" si="136"/>
        <v>Renta Diaria por Hospitalización</v>
      </c>
      <c r="CO86" s="118">
        <f t="shared" si="137"/>
        <v>0</v>
      </c>
      <c r="CP86" s="118" t="str">
        <f t="shared" si="138"/>
        <v>A</v>
      </c>
      <c r="CQ86" s="119" t="str">
        <f t="shared" si="86"/>
        <v/>
      </c>
      <c r="CR86" s="66">
        <f>+IF($W86="","",ROUND((VLOOKUP(Parámetros!$F$51,'COBERTURAS ADICIONALES'!$S$4:$T$32,2,FALSE)*(1+i/frec)^-0.5*(1+Parámetros!$D$103)*(1+rec_fracc)/frec*$CO$42),2))</f>
        <v>0</v>
      </c>
      <c r="CS86" s="119" t="str">
        <f t="shared" si="87"/>
        <v/>
      </c>
      <c r="CT86" s="66">
        <f>+IF($W86="","",ROUND(IF($B86&gt;Parámetros!$D$107,'Tablas Servicio'!CR86+('Tablas Servicio'!CT85-'Tablas Servicio'!CR85),CR86/(1-IF(B86&lt;=10,Parámetros!$D$100,0))),2))</f>
        <v>0</v>
      </c>
      <c r="CU86" s="66">
        <f t="shared" si="88"/>
        <v>0</v>
      </c>
      <c r="CV86" s="66">
        <f t="shared" si="88"/>
        <v>0</v>
      </c>
      <c r="CW86" s="66">
        <f>+IF($W86="","",ROUND((CT86*Parámetros!$G$85),2))</f>
        <v>0</v>
      </c>
      <c r="CX86" s="66">
        <f>+IF($W86="","",ROUND((CT86*(Parámetros!$G$86)),2))</f>
        <v>0</v>
      </c>
      <c r="CY86" s="66">
        <f t="shared" si="89"/>
        <v>0</v>
      </c>
      <c r="CZ86" t="str">
        <f t="shared" si="139"/>
        <v>00064</v>
      </c>
      <c r="DA86" s="118" t="str">
        <f t="shared" si="140"/>
        <v>Enfermedades Graves</v>
      </c>
      <c r="DB86" s="118">
        <f t="shared" si="141"/>
        <v>0</v>
      </c>
      <c r="DC86" s="118" t="str">
        <f t="shared" si="142"/>
        <v>A</v>
      </c>
      <c r="DD86" s="121" t="str">
        <f>+IF(OR($W86="",DB86=0),"",ROUND((VLOOKUP(ROUNDDOWN($D86-1/frec,0),cob_adi,CO$40,FALSE)*(1+i/frec)^-0.5*(1+Parámetros!$D$103)*(1+rec_fracc)/frec),6))</f>
        <v/>
      </c>
      <c r="DE86" s="66">
        <f t="shared" si="94"/>
        <v>0</v>
      </c>
      <c r="DF86" s="119" t="str">
        <f t="shared" si="95"/>
        <v/>
      </c>
      <c r="DG86" s="66">
        <f>+IF($W86="","",ROUND(IF($B86&gt;Parámetros!$D$107,'Tablas Servicio'!DE86+('Tablas Servicio'!DG85-'Tablas Servicio'!DE85),DE86/(1-IF(B86&lt;=10,Parámetros!$D$100,0))),2))</f>
        <v>0</v>
      </c>
      <c r="DH86" s="66">
        <f t="shared" si="96"/>
        <v>0</v>
      </c>
      <c r="DI86" s="66">
        <f t="shared" si="96"/>
        <v>0</v>
      </c>
      <c r="DJ86" s="66">
        <f>+IF($W86="","",ROUND((DG86*Parámetros!$G$85),2))</f>
        <v>0</v>
      </c>
      <c r="DK86" s="66">
        <f>+IF($W86="","",ROUND((DG86*(Parámetros!$G$86)),2))</f>
        <v>0</v>
      </c>
      <c r="DL86" s="66">
        <f t="shared" si="97"/>
        <v>0</v>
      </c>
      <c r="DM86" t="str">
        <f t="shared" si="143"/>
        <v>00065</v>
      </c>
      <c r="DN86" s="118" t="str">
        <f t="shared" si="144"/>
        <v>Exención pago de primas</v>
      </c>
      <c r="DO86" s="118">
        <f t="shared" si="145"/>
        <v>0</v>
      </c>
      <c r="DP86" s="118" t="str">
        <f t="shared" si="146"/>
        <v>A</v>
      </c>
      <c r="DQ86" s="122" t="str">
        <f>+IF(OR($W86="",DO86=0),"",ROUND((VLOOKUP(ROUNDDOWN($D86-1/frec,0),cob_adi,DB$40,FALSE)*(1+i/frec)^-0.5*(1+Parámetros!$D$103)*(1+rec_fracc)/frec),6))</f>
        <v/>
      </c>
      <c r="DR86" s="66">
        <f t="shared" si="102"/>
        <v>0</v>
      </c>
      <c r="DS86" s="68" t="str">
        <f t="shared" si="103"/>
        <v/>
      </c>
      <c r="DT86" s="66">
        <f>+IF($W86="","",ROUND(IF($B86&gt;Parámetros!$D$107,'Tablas Servicio'!DR86+('Tablas Servicio'!DT85-'Tablas Servicio'!DR85),DR86/(1-IF(B86&lt;=10,Parámetros!$D$100,0))),2))</f>
        <v>0</v>
      </c>
      <c r="DU86" s="66">
        <f t="shared" si="104"/>
        <v>0</v>
      </c>
      <c r="DV86" s="66">
        <f t="shared" si="104"/>
        <v>0</v>
      </c>
      <c r="DW86" s="66">
        <f>+IF($W86="","",ROUND((DT86*Parámetros!$G$85),2))</f>
        <v>0</v>
      </c>
      <c r="DX86" s="66">
        <f>+IF($W86="","",ROUND((DT86*(Parámetros!$G$86)),2))</f>
        <v>0</v>
      </c>
      <c r="DY86" s="66">
        <f t="shared" si="105"/>
        <v>0</v>
      </c>
      <c r="DZ86" t="str">
        <f t="shared" si="148"/>
        <v>00066</v>
      </c>
      <c r="EA86" s="118" t="str">
        <f t="shared" si="148"/>
        <v>Enfermedad terminal</v>
      </c>
      <c r="EB86" s="118">
        <f>+IF($W86="","",ROUND(IF(Parámetros!$D$25='TABLAS MORT'!$V$33,EB85,Z86/2),0))</f>
        <v>50000</v>
      </c>
      <c r="EC86" s="118" t="str">
        <f t="shared" si="148"/>
        <v>A</v>
      </c>
      <c r="ED86" s="122">
        <f>+IF(OR($W86="",EB86=0),"",ROUND((VLOOKUP(ROUNDDOWN($D86-1/frec,0),cob_adi,DO$40,FALSE)*(1+i/frec)^-0.5*(1+Parámetros!$D$103)*(1+rec_fracc)/frec),6))</f>
        <v>7.9999999999999996E-6</v>
      </c>
      <c r="EE86" s="66">
        <f t="shared" si="107"/>
        <v>0.4</v>
      </c>
      <c r="EF86" s="68">
        <f t="shared" si="108"/>
        <v>9.0000000000000002E-6</v>
      </c>
      <c r="EG86" s="66">
        <f>+IF($W86="","",ROUND(IF($B86&gt;Parámetros!$D$107,'Tablas Servicio'!EE86+('Tablas Servicio'!EG85-'Tablas Servicio'!EE85),EE86/(1-IF(B86&lt;=10,Parámetros!$D$100,0))),2))</f>
        <v>0.45</v>
      </c>
      <c r="EH86" s="66">
        <f t="shared" si="109"/>
        <v>0</v>
      </c>
      <c r="EI86" s="66">
        <f t="shared" si="109"/>
        <v>0</v>
      </c>
      <c r="EJ86" s="66">
        <f>+IF($W86="","",ROUND((EG86*Parámetros!$G$85),2))</f>
        <v>0.02</v>
      </c>
      <c r="EK86" s="66">
        <f>+IF($W86="","",ROUND((EG86*(Parámetros!$G$86)),2))</f>
        <v>0</v>
      </c>
      <c r="EL86" s="66">
        <f t="shared" si="110"/>
        <v>0.47</v>
      </c>
    </row>
    <row r="87" spans="1:142" x14ac:dyDescent="0.25">
      <c r="A87">
        <f>+IF($C87="","",ROUND(VLOOKUP('Tablas Servicio'!B87,Parámetros!$H$100:$J$159,IF(Parámetros!$E$16="F",2,3),FALSE),2))</f>
        <v>150</v>
      </c>
      <c r="B87">
        <f t="shared" si="27"/>
        <v>4</v>
      </c>
      <c r="C87" s="57">
        <f>+IF(D87="","",'Tablas Servicio'!C86+1)</f>
        <v>46</v>
      </c>
      <c r="D87" s="56">
        <f>+IF(D86&lt;edadmaxtabla,D86+1/Parámetros!$E$25,"")</f>
        <v>43.853333333333445</v>
      </c>
      <c r="E87" s="57">
        <f t="shared" si="37"/>
        <v>43</v>
      </c>
      <c r="F87" s="59">
        <f t="shared" si="38"/>
        <v>100000</v>
      </c>
      <c r="G87" s="66">
        <f t="shared" si="39"/>
        <v>29.21</v>
      </c>
      <c r="H87" s="66">
        <f t="shared" si="28"/>
        <v>30.38</v>
      </c>
      <c r="I87" s="66">
        <f t="shared" si="112"/>
        <v>56.06</v>
      </c>
      <c r="J87" s="66">
        <f t="shared" si="29"/>
        <v>1.03</v>
      </c>
      <c r="K87" s="66">
        <f t="shared" si="30"/>
        <v>0.14000000000000001</v>
      </c>
      <c r="L87" s="66">
        <f t="shared" si="31"/>
        <v>0</v>
      </c>
      <c r="M87" s="66">
        <f t="shared" si="32"/>
        <v>0</v>
      </c>
      <c r="N87" s="66">
        <f>+IF(C87="","",ROUND(Parámetros!$D$23,2))</f>
        <v>94</v>
      </c>
      <c r="O87" s="66">
        <f t="shared" si="33"/>
        <v>14.3</v>
      </c>
      <c r="P87" s="66">
        <f>+IF($C87="","",ROUND(IF(B87&gt;Parámetros!$D$117,0,N87*Parámetros!$D$116-G87*Parámetros!$D$100),2))</f>
        <v>7.56</v>
      </c>
      <c r="Q87" s="75">
        <f t="shared" si="113"/>
        <v>3.5261896610749743E-2</v>
      </c>
      <c r="R87" s="75">
        <f t="shared" si="114"/>
        <v>4.7928791509756936E-3</v>
      </c>
      <c r="S87" s="117">
        <f>+IF($C87="","",ROUND((S86+I87)*(1+Parámetros!$D$91),2))</f>
        <v>2906.59</v>
      </c>
      <c r="T87" s="117">
        <f>+IF($C87="","",ROUND(S87*VLOOKUP(B87,Parámetros!$C$30:$D$39,2,TRUE),2))</f>
        <v>581.32000000000005</v>
      </c>
      <c r="U87" s="117">
        <f>+IF($C87="","",ROUND((U86+I87)*(1+Parámetros!$D$92),2))</f>
        <v>2935.49</v>
      </c>
      <c r="V87" s="117">
        <f>+IF($C87="","",ROUND(U87*VLOOKUP(B87,Parámetros!$C$30:$D$39,2,TRUE),2))</f>
        <v>587.1</v>
      </c>
      <c r="W87" s="57">
        <f t="shared" si="115"/>
        <v>46</v>
      </c>
      <c r="X87" t="str">
        <f t="shared" si="116"/>
        <v>00058</v>
      </c>
      <c r="Y87" t="str">
        <f t="shared" si="117"/>
        <v>MUERTE POR CUALQUIER CAUSA</v>
      </c>
      <c r="Z87" s="118">
        <f>+IF($W87="","",ROUND(IF(Parámetros!$D$25='TABLAS MORT'!$V$33,Z86,Parámetros!$D$21-'Tablas Servicio'!T86),0))</f>
        <v>100000</v>
      </c>
      <c r="AA87" s="118" t="str">
        <f t="shared" si="118"/>
        <v>P</v>
      </c>
      <c r="AB87" s="119">
        <f>+IF(W87="","",ROUND((VLOOKUP(ROUNDDOWN($D87-1/frec,0),qx_tabla,2,FALSE)*(1+i/frec)^-0.5*(1+Parámetros!$D$103)*(1+rec_fracc)/frec),6))</f>
        <v>1.3899999999999999E-4</v>
      </c>
      <c r="AC87" s="66">
        <f t="shared" si="46"/>
        <v>13.9</v>
      </c>
      <c r="AD87" s="119">
        <f t="shared" si="35"/>
        <v>2.8800000000000001E-4</v>
      </c>
      <c r="AE87" s="66">
        <f>+IF($W87="","",ROUND(IF($B87&gt;Parámetros!$D$107,'Tablas Servicio'!AC87+('Tablas Servicio'!AG86-'Tablas Servicio'!AC86),AC87/(1-IF(B87&lt;=10,Parámetros!$D$104,Parámetros!$D$105))),2))</f>
        <v>28.76</v>
      </c>
      <c r="AF87" s="66">
        <f>+IF($W87="","",ROUND(IF($B87&gt;Parámetros!$D$107,'Tablas Servicio'!AC87+('Tablas Servicio'!AG86-'Tablas Servicio'!AC86),(AC87+$A86/frec)/(1-IF(B87&lt;=Parámetros!$D$117,Parámetros!$D$100,0))),2))</f>
        <v>29.89</v>
      </c>
      <c r="AG87" s="66">
        <f t="shared" si="111"/>
        <v>28.76</v>
      </c>
      <c r="AH87" s="66">
        <f t="shared" si="47"/>
        <v>0</v>
      </c>
      <c r="AI87" s="66">
        <f t="shared" si="48"/>
        <v>0</v>
      </c>
      <c r="AJ87" s="66">
        <f>+IF($W87="","",ROUND((AG87*Parámetros!$G$85),2))</f>
        <v>1.01</v>
      </c>
      <c r="AK87" s="66">
        <f>+IF($W87="","",ROUND((AG87*(Parámetros!$G$86)),2))</f>
        <v>0.14000000000000001</v>
      </c>
      <c r="AL87" s="66">
        <f t="shared" si="36"/>
        <v>29.91</v>
      </c>
      <c r="AM87" t="str">
        <f t="shared" si="119"/>
        <v>00059</v>
      </c>
      <c r="AN87" t="str">
        <f t="shared" si="120"/>
        <v>Incapacidad Total y Permanente</v>
      </c>
      <c r="AO87" s="118">
        <f t="shared" si="121"/>
        <v>0</v>
      </c>
      <c r="AP87" s="118" t="str">
        <f t="shared" si="122"/>
        <v>A</v>
      </c>
      <c r="AQ87" s="119" t="str">
        <f>+IF(OR($W87="",AO87=0),"",ROUND((VLOOKUP(ROUNDDOWN($D87-1/frec,0),cob_adi,Z$40,FALSE)*(1+i/frec)^-0.5*(1+Parámetros!$D$103)*(1+rec_fracc)/frec),6))</f>
        <v/>
      </c>
      <c r="AR87" s="66">
        <f t="shared" si="53"/>
        <v>0</v>
      </c>
      <c r="AS87" s="119" t="str">
        <f t="shared" si="54"/>
        <v/>
      </c>
      <c r="AT87" s="66">
        <f>+IF($W87="","",ROUND(IF($B87&gt;Parámetros!$D$107,'Tablas Servicio'!AR87+('Tablas Servicio'!AT86-'Tablas Servicio'!AR86),AR87/(1-IF(B87&lt;=10,Parámetros!$D$100,0))),2))</f>
        <v>0</v>
      </c>
      <c r="AU87" s="66">
        <f t="shared" si="55"/>
        <v>0</v>
      </c>
      <c r="AV87" s="66">
        <f t="shared" si="55"/>
        <v>0</v>
      </c>
      <c r="AW87" s="66">
        <f>+IF($W87="","",ROUND((AT87*Parámetros!$G$85),2))</f>
        <v>0</v>
      </c>
      <c r="AX87" s="66">
        <f>+IF($W87="","",ROUND((AT87*(Parámetros!$G$86)),2))</f>
        <v>0</v>
      </c>
      <c r="AY87" s="66">
        <f t="shared" si="56"/>
        <v>0</v>
      </c>
      <c r="AZ87" t="str">
        <f t="shared" si="123"/>
        <v>00060</v>
      </c>
      <c r="BA87" t="str">
        <f t="shared" si="124"/>
        <v>Muerte Accidental</v>
      </c>
      <c r="BB87" s="118">
        <f t="shared" si="125"/>
        <v>0</v>
      </c>
      <c r="BC87" s="118" t="str">
        <f t="shared" si="126"/>
        <v>A</v>
      </c>
      <c r="BD87" s="119" t="str">
        <f>+IF(OR($W87="",BB87=0),"",ROUND((VLOOKUP(ROUNDDOWN($D87-1/frec,0),cob_adi,AO$40,FALSE)*(1+i/frec)^-0.5*(1+Parámetros!$D$103)*(1+rec_fracc)/frec),6))</f>
        <v/>
      </c>
      <c r="BE87" s="66">
        <f t="shared" si="61"/>
        <v>0</v>
      </c>
      <c r="BF87" s="119" t="str">
        <f t="shared" si="62"/>
        <v/>
      </c>
      <c r="BG87" s="66">
        <f>+IF($W87="","",ROUND(IF($B87&gt;Parámetros!$D$107,'Tablas Servicio'!BE87+('Tablas Servicio'!BG86-'Tablas Servicio'!BE86),BE87/(1-IF(B87&lt;=10,Parámetros!$D$100,0))),2))</f>
        <v>0</v>
      </c>
      <c r="BH87" s="66">
        <f t="shared" si="63"/>
        <v>0</v>
      </c>
      <c r="BI87" s="66">
        <f t="shared" si="64"/>
        <v>0</v>
      </c>
      <c r="BJ87" s="66">
        <f>+IF($W87="","",ROUND((BG87*Parámetros!$G$85),2))</f>
        <v>0</v>
      </c>
      <c r="BK87" s="66">
        <f>+IF($W87="","",ROUND((BG87*(Parámetros!$G$86)),2))</f>
        <v>0</v>
      </c>
      <c r="BL87" s="66">
        <f t="shared" si="65"/>
        <v>0</v>
      </c>
      <c r="BM87" t="str">
        <f t="shared" si="127"/>
        <v>00061</v>
      </c>
      <c r="BN87" t="str">
        <f t="shared" si="128"/>
        <v>Gastos de Entierro</v>
      </c>
      <c r="BO87" s="118">
        <f t="shared" si="129"/>
        <v>0</v>
      </c>
      <c r="BP87" s="118" t="str">
        <f t="shared" si="130"/>
        <v>A</v>
      </c>
      <c r="BQ87" s="119" t="str">
        <f>+IF(OR($W87="",BO87=0),"",ROUND((VLOOKUP(ROUNDDOWN($D87-1/frec,0),cob_adi,BB$40,FALSE)*(1+i/frec)^-0.5*(1+Parámetros!$D$103)*(1+rec_fracc)/frec),6))</f>
        <v/>
      </c>
      <c r="BR87" s="66">
        <f t="shared" si="70"/>
        <v>0</v>
      </c>
      <c r="BS87" s="119" t="str">
        <f t="shared" si="71"/>
        <v/>
      </c>
      <c r="BT87" s="66">
        <f>+IF($W87="","",ROUND(IF($B87&gt;Parámetros!$D$107,'Tablas Servicio'!BR87+('Tablas Servicio'!BT86-'Tablas Servicio'!BR86),BR87/(1-IF(B87&lt;=10,Parámetros!$D$100,0))),2))</f>
        <v>0</v>
      </c>
      <c r="BU87" s="66">
        <f t="shared" si="72"/>
        <v>0</v>
      </c>
      <c r="BV87" s="66">
        <f t="shared" si="72"/>
        <v>0</v>
      </c>
      <c r="BW87" s="66">
        <f>+IF($W87="","",ROUND((BT87*Parámetros!$G$85),2))</f>
        <v>0</v>
      </c>
      <c r="BX87" s="66">
        <f>+IF($W87="","",ROUND((BT87*(Parámetros!$G$86)),2))</f>
        <v>0</v>
      </c>
      <c r="BY87" s="66">
        <f t="shared" si="73"/>
        <v>0</v>
      </c>
      <c r="BZ87" t="str">
        <f t="shared" si="131"/>
        <v>00062</v>
      </c>
      <c r="CA87" t="str">
        <f t="shared" si="132"/>
        <v>Gastos médicos por accidente</v>
      </c>
      <c r="CB87" s="118">
        <f t="shared" si="133"/>
        <v>0</v>
      </c>
      <c r="CC87" s="118" t="str">
        <f t="shared" si="134"/>
        <v>A</v>
      </c>
      <c r="CD87" s="119" t="str">
        <f t="shared" si="78"/>
        <v/>
      </c>
      <c r="CE87" s="66">
        <f>+IF($W87="","",ROUND((VLOOKUP(ROUNDDOWN($D87-1/frec,0),cob_adi,BO$40,FALSE)*(1+i/frec)^-0.5*(1+Parámetros!$D$103)*(1+rec_fracc)/frec*'TABLAS ADI'!$BC$17),2))</f>
        <v>0</v>
      </c>
      <c r="CF87" s="119" t="str">
        <f t="shared" si="79"/>
        <v/>
      </c>
      <c r="CG87" s="66">
        <f>+IF($W87="","",ROUND(IF($B87&gt;Parámetros!$D$107,'Tablas Servicio'!CE87+('Tablas Servicio'!CG86-'Tablas Servicio'!CE86),CE87/(1-IF(B87&lt;=10,Parámetros!$D$100,0))),2))</f>
        <v>0</v>
      </c>
      <c r="CH87" s="66">
        <f t="shared" si="80"/>
        <v>0</v>
      </c>
      <c r="CI87" s="66">
        <f t="shared" si="80"/>
        <v>0</v>
      </c>
      <c r="CJ87" s="66">
        <f>+IF($W87="","",ROUND((CG87*Parámetros!$G$85),2))</f>
        <v>0</v>
      </c>
      <c r="CK87" s="66">
        <f>+IF($W87="","",ROUND((CG87*(Parámetros!$G$86)),2))</f>
        <v>0</v>
      </c>
      <c r="CL87" s="66">
        <f t="shared" si="81"/>
        <v>0</v>
      </c>
      <c r="CM87" t="str">
        <f t="shared" si="135"/>
        <v>00063</v>
      </c>
      <c r="CN87" s="118" t="str">
        <f t="shared" si="136"/>
        <v>Renta Diaria por Hospitalización</v>
      </c>
      <c r="CO87" s="118">
        <f t="shared" si="137"/>
        <v>0</v>
      </c>
      <c r="CP87" s="118" t="str">
        <f t="shared" si="138"/>
        <v>A</v>
      </c>
      <c r="CQ87" s="119" t="str">
        <f t="shared" si="86"/>
        <v/>
      </c>
      <c r="CR87" s="66">
        <f>+IF($W87="","",ROUND((VLOOKUP(Parámetros!$F$51,'COBERTURAS ADICIONALES'!$S$4:$T$32,2,FALSE)*(1+i/frec)^-0.5*(1+Parámetros!$D$103)*(1+rec_fracc)/frec*$CO$42),2))</f>
        <v>0</v>
      </c>
      <c r="CS87" s="119" t="str">
        <f t="shared" si="87"/>
        <v/>
      </c>
      <c r="CT87" s="66">
        <f>+IF($W87="","",ROUND(IF($B87&gt;Parámetros!$D$107,'Tablas Servicio'!CR87+('Tablas Servicio'!CT86-'Tablas Servicio'!CR86),CR87/(1-IF(B87&lt;=10,Parámetros!$D$100,0))),2))</f>
        <v>0</v>
      </c>
      <c r="CU87" s="66">
        <f t="shared" si="88"/>
        <v>0</v>
      </c>
      <c r="CV87" s="66">
        <f t="shared" si="88"/>
        <v>0</v>
      </c>
      <c r="CW87" s="66">
        <f>+IF($W87="","",ROUND((CT87*Parámetros!$G$85),2))</f>
        <v>0</v>
      </c>
      <c r="CX87" s="66">
        <f>+IF($W87="","",ROUND((CT87*(Parámetros!$G$86)),2))</f>
        <v>0</v>
      </c>
      <c r="CY87" s="66">
        <f t="shared" si="89"/>
        <v>0</v>
      </c>
      <c r="CZ87" t="str">
        <f t="shared" si="139"/>
        <v>00064</v>
      </c>
      <c r="DA87" s="118" t="str">
        <f t="shared" si="140"/>
        <v>Enfermedades Graves</v>
      </c>
      <c r="DB87" s="118">
        <f t="shared" si="141"/>
        <v>0</v>
      </c>
      <c r="DC87" s="118" t="str">
        <f t="shared" si="142"/>
        <v>A</v>
      </c>
      <c r="DD87" s="121" t="str">
        <f>+IF(OR($W87="",DB87=0),"",ROUND((VLOOKUP(ROUNDDOWN($D87-1/frec,0),cob_adi,CO$40,FALSE)*(1+i/frec)^-0.5*(1+Parámetros!$D$103)*(1+rec_fracc)/frec),6))</f>
        <v/>
      </c>
      <c r="DE87" s="66">
        <f t="shared" si="94"/>
        <v>0</v>
      </c>
      <c r="DF87" s="119" t="str">
        <f t="shared" si="95"/>
        <v/>
      </c>
      <c r="DG87" s="66">
        <f>+IF($W87="","",ROUND(IF($B87&gt;Parámetros!$D$107,'Tablas Servicio'!DE87+('Tablas Servicio'!DG86-'Tablas Servicio'!DE86),DE87/(1-IF(B87&lt;=10,Parámetros!$D$100,0))),2))</f>
        <v>0</v>
      </c>
      <c r="DH87" s="66">
        <f t="shared" si="96"/>
        <v>0</v>
      </c>
      <c r="DI87" s="66">
        <f t="shared" si="96"/>
        <v>0</v>
      </c>
      <c r="DJ87" s="66">
        <f>+IF($W87="","",ROUND((DG87*Parámetros!$G$85),2))</f>
        <v>0</v>
      </c>
      <c r="DK87" s="66">
        <f>+IF($W87="","",ROUND((DG87*(Parámetros!$G$86)),2))</f>
        <v>0</v>
      </c>
      <c r="DL87" s="66">
        <f t="shared" si="97"/>
        <v>0</v>
      </c>
      <c r="DM87" t="str">
        <f t="shared" si="143"/>
        <v>00065</v>
      </c>
      <c r="DN87" s="118" t="str">
        <f t="shared" si="144"/>
        <v>Exención pago de primas</v>
      </c>
      <c r="DO87" s="118">
        <f t="shared" si="145"/>
        <v>0</v>
      </c>
      <c r="DP87" s="118" t="str">
        <f t="shared" si="146"/>
        <v>A</v>
      </c>
      <c r="DQ87" s="122" t="str">
        <f>+IF(OR($W87="",DO87=0),"",ROUND((VLOOKUP(ROUNDDOWN($D87-1/frec,0),cob_adi,DB$40,FALSE)*(1+i/frec)^-0.5*(1+Parámetros!$D$103)*(1+rec_fracc)/frec),6))</f>
        <v/>
      </c>
      <c r="DR87" s="66">
        <f t="shared" si="102"/>
        <v>0</v>
      </c>
      <c r="DS87" s="68" t="str">
        <f t="shared" si="103"/>
        <v/>
      </c>
      <c r="DT87" s="66">
        <f>+IF($W87="","",ROUND(IF($B87&gt;Parámetros!$D$107,'Tablas Servicio'!DR87+('Tablas Servicio'!DT86-'Tablas Servicio'!DR86),DR87/(1-IF(B87&lt;=10,Parámetros!$D$100,0))),2))</f>
        <v>0</v>
      </c>
      <c r="DU87" s="66">
        <f t="shared" si="104"/>
        <v>0</v>
      </c>
      <c r="DV87" s="66">
        <f t="shared" si="104"/>
        <v>0</v>
      </c>
      <c r="DW87" s="66">
        <f>+IF($W87="","",ROUND((DT87*Parámetros!$G$85),2))</f>
        <v>0</v>
      </c>
      <c r="DX87" s="66">
        <f>+IF($W87="","",ROUND((DT87*(Parámetros!$G$86)),2))</f>
        <v>0</v>
      </c>
      <c r="DY87" s="66">
        <f t="shared" si="105"/>
        <v>0</v>
      </c>
      <c r="DZ87" t="str">
        <f t="shared" si="148"/>
        <v>00066</v>
      </c>
      <c r="EA87" s="118" t="str">
        <f t="shared" si="148"/>
        <v>Enfermedad terminal</v>
      </c>
      <c r="EB87" s="118">
        <f>+IF($W87="","",ROUND(IF(Parámetros!$D$25='TABLAS MORT'!$V$33,EB86,Z87/2),0))</f>
        <v>50000</v>
      </c>
      <c r="EC87" s="118" t="str">
        <f t="shared" si="148"/>
        <v>A</v>
      </c>
      <c r="ED87" s="122">
        <f>+IF(OR($W87="",EB87=0),"",ROUND((VLOOKUP(ROUNDDOWN($D87-1/frec,0),cob_adi,DO$40,FALSE)*(1+i/frec)^-0.5*(1+Parámetros!$D$103)*(1+rec_fracc)/frec),6))</f>
        <v>7.9999999999999996E-6</v>
      </c>
      <c r="EE87" s="66">
        <f t="shared" si="107"/>
        <v>0.4</v>
      </c>
      <c r="EF87" s="68">
        <f t="shared" si="108"/>
        <v>9.0000000000000002E-6</v>
      </c>
      <c r="EG87" s="66">
        <f>+IF($W87="","",ROUND(IF($B87&gt;Parámetros!$D$107,'Tablas Servicio'!EE87+('Tablas Servicio'!EG86-'Tablas Servicio'!EE86),EE87/(1-IF(B87&lt;=10,Parámetros!$D$100,0))),2))</f>
        <v>0.45</v>
      </c>
      <c r="EH87" s="66">
        <f t="shared" si="109"/>
        <v>0</v>
      </c>
      <c r="EI87" s="66">
        <f t="shared" si="109"/>
        <v>0</v>
      </c>
      <c r="EJ87" s="66">
        <f>+IF($W87="","",ROUND((EG87*Parámetros!$G$85),2))</f>
        <v>0.02</v>
      </c>
      <c r="EK87" s="66">
        <f>+IF($W87="","",ROUND((EG87*(Parámetros!$G$86)),2))</f>
        <v>0</v>
      </c>
      <c r="EL87" s="66">
        <f t="shared" si="110"/>
        <v>0.47</v>
      </c>
    </row>
    <row r="88" spans="1:142" x14ac:dyDescent="0.25">
      <c r="A88">
        <f>+IF($C88="","",ROUND(VLOOKUP('Tablas Servicio'!B88,Parámetros!$H$100:$J$159,IF(Parámetros!$E$16="F",2,3),FALSE),2))</f>
        <v>150</v>
      </c>
      <c r="B88">
        <f t="shared" si="27"/>
        <v>4</v>
      </c>
      <c r="C88" s="57">
        <f>+IF(D88="","",'Tablas Servicio'!C87+1)</f>
        <v>47</v>
      </c>
      <c r="D88" s="56">
        <f>+IF(D87&lt;edadmaxtabla,D87+1/Parámetros!$E$25,"")</f>
        <v>43.936666666666781</v>
      </c>
      <c r="E88" s="57">
        <f t="shared" si="37"/>
        <v>43</v>
      </c>
      <c r="F88" s="59">
        <f t="shared" si="38"/>
        <v>100000</v>
      </c>
      <c r="G88" s="66">
        <f t="shared" si="39"/>
        <v>29.21</v>
      </c>
      <c r="H88" s="66">
        <f t="shared" si="28"/>
        <v>30.38</v>
      </c>
      <c r="I88" s="66">
        <f t="shared" si="112"/>
        <v>56.06</v>
      </c>
      <c r="J88" s="66">
        <f t="shared" si="29"/>
        <v>1.03</v>
      </c>
      <c r="K88" s="66">
        <f t="shared" si="30"/>
        <v>0.14000000000000001</v>
      </c>
      <c r="L88" s="66">
        <f t="shared" si="31"/>
        <v>0</v>
      </c>
      <c r="M88" s="66">
        <f t="shared" si="32"/>
        <v>0</v>
      </c>
      <c r="N88" s="66">
        <f>+IF(C88="","",ROUND(Parámetros!$D$23,2))</f>
        <v>94</v>
      </c>
      <c r="O88" s="66">
        <f t="shared" si="33"/>
        <v>14.3</v>
      </c>
      <c r="P88" s="66">
        <f>+IF($C88="","",ROUND(IF(B88&gt;Parámetros!$D$117,0,N88*Parámetros!$D$116-G88*Parámetros!$D$100),2))</f>
        <v>7.56</v>
      </c>
      <c r="Q88" s="75">
        <f t="shared" si="113"/>
        <v>3.5261896610749743E-2</v>
      </c>
      <c r="R88" s="75">
        <f t="shared" si="114"/>
        <v>4.7928791509756936E-3</v>
      </c>
      <c r="S88" s="117">
        <f>+IF($C88="","",ROUND((S87+I88)*(1+Parámetros!$D$91),2))</f>
        <v>2971.05</v>
      </c>
      <c r="T88" s="117">
        <f>+IF($C88="","",ROUND(S88*VLOOKUP(B88,Parámetros!$C$30:$D$39,2,TRUE),2))</f>
        <v>594.21</v>
      </c>
      <c r="U88" s="117">
        <f>+IF($C88="","",ROUND((U87+I88)*(1+Parámetros!$D$92),2))</f>
        <v>3001.25</v>
      </c>
      <c r="V88" s="117">
        <f>+IF($C88="","",ROUND(U88*VLOOKUP(B88,Parámetros!$C$30:$D$39,2,TRUE),2))</f>
        <v>600.25</v>
      </c>
      <c r="W88" s="57">
        <f t="shared" si="115"/>
        <v>47</v>
      </c>
      <c r="X88" t="str">
        <f t="shared" si="116"/>
        <v>00058</v>
      </c>
      <c r="Y88" t="str">
        <f t="shared" si="117"/>
        <v>MUERTE POR CUALQUIER CAUSA</v>
      </c>
      <c r="Z88" s="118">
        <f>+IF($W88="","",ROUND(IF(Parámetros!$D$25='TABLAS MORT'!$V$33,Z87,Parámetros!$D$21-'Tablas Servicio'!T87),0))</f>
        <v>100000</v>
      </c>
      <c r="AA88" s="118" t="str">
        <f t="shared" si="118"/>
        <v>P</v>
      </c>
      <c r="AB88" s="119">
        <f>+IF(W88="","",ROUND((VLOOKUP(ROUNDDOWN($D88-1/frec,0),qx_tabla,2,FALSE)*(1+i/frec)^-0.5*(1+Parámetros!$D$103)*(1+rec_fracc)/frec),6))</f>
        <v>1.3899999999999999E-4</v>
      </c>
      <c r="AC88" s="66">
        <f t="shared" si="46"/>
        <v>13.9</v>
      </c>
      <c r="AD88" s="119">
        <f t="shared" si="35"/>
        <v>2.8800000000000001E-4</v>
      </c>
      <c r="AE88" s="66">
        <f>+IF($W88="","",ROUND(IF($B88&gt;Parámetros!$D$107,'Tablas Servicio'!AC88+('Tablas Servicio'!AG87-'Tablas Servicio'!AC87),AC88/(1-IF(B88&lt;=10,Parámetros!$D$104,Parámetros!$D$105))),2))</f>
        <v>28.76</v>
      </c>
      <c r="AF88" s="66">
        <f>+IF($W88="","",ROUND(IF($B88&gt;Parámetros!$D$107,'Tablas Servicio'!AC88+('Tablas Servicio'!AG87-'Tablas Servicio'!AC87),(AC88+$A87/frec)/(1-IF(B88&lt;=Parámetros!$D$117,Parámetros!$D$100,0))),2))</f>
        <v>29.89</v>
      </c>
      <c r="AG88" s="66">
        <f t="shared" si="111"/>
        <v>28.76</v>
      </c>
      <c r="AH88" s="66">
        <f t="shared" si="47"/>
        <v>0</v>
      </c>
      <c r="AI88" s="66">
        <f t="shared" si="48"/>
        <v>0</v>
      </c>
      <c r="AJ88" s="66">
        <f>+IF($W88="","",ROUND((AG88*Parámetros!$G$85),2))</f>
        <v>1.01</v>
      </c>
      <c r="AK88" s="66">
        <f>+IF($W88="","",ROUND((AG88*(Parámetros!$G$86)),2))</f>
        <v>0.14000000000000001</v>
      </c>
      <c r="AL88" s="66">
        <f t="shared" si="36"/>
        <v>29.91</v>
      </c>
      <c r="AM88" t="str">
        <f t="shared" si="119"/>
        <v>00059</v>
      </c>
      <c r="AN88" t="str">
        <f t="shared" si="120"/>
        <v>Incapacidad Total y Permanente</v>
      </c>
      <c r="AO88" s="118">
        <f t="shared" si="121"/>
        <v>0</v>
      </c>
      <c r="AP88" s="118" t="str">
        <f t="shared" si="122"/>
        <v>A</v>
      </c>
      <c r="AQ88" s="119" t="str">
        <f>+IF(OR($W88="",AO88=0),"",ROUND((VLOOKUP(ROUNDDOWN($D88-1/frec,0),cob_adi,Z$40,FALSE)*(1+i/frec)^-0.5*(1+Parámetros!$D$103)*(1+rec_fracc)/frec),6))</f>
        <v/>
      </c>
      <c r="AR88" s="66">
        <f t="shared" si="53"/>
        <v>0</v>
      </c>
      <c r="AS88" s="119" t="str">
        <f t="shared" si="54"/>
        <v/>
      </c>
      <c r="AT88" s="66">
        <f>+IF($W88="","",ROUND(IF($B88&gt;Parámetros!$D$107,'Tablas Servicio'!AR88+('Tablas Servicio'!AT87-'Tablas Servicio'!AR87),AR88/(1-IF(B88&lt;=10,Parámetros!$D$100,0))),2))</f>
        <v>0</v>
      </c>
      <c r="AU88" s="66">
        <f t="shared" si="55"/>
        <v>0</v>
      </c>
      <c r="AV88" s="66">
        <f t="shared" si="55"/>
        <v>0</v>
      </c>
      <c r="AW88" s="66">
        <f>+IF($W88="","",ROUND((AT88*Parámetros!$G$85),2))</f>
        <v>0</v>
      </c>
      <c r="AX88" s="66">
        <f>+IF($W88="","",ROUND((AT88*(Parámetros!$G$86)),2))</f>
        <v>0</v>
      </c>
      <c r="AY88" s="66">
        <f t="shared" si="56"/>
        <v>0</v>
      </c>
      <c r="AZ88" t="str">
        <f t="shared" si="123"/>
        <v>00060</v>
      </c>
      <c r="BA88" t="str">
        <f t="shared" si="124"/>
        <v>Muerte Accidental</v>
      </c>
      <c r="BB88" s="118">
        <f t="shared" si="125"/>
        <v>0</v>
      </c>
      <c r="BC88" s="118" t="str">
        <f t="shared" si="126"/>
        <v>A</v>
      </c>
      <c r="BD88" s="119" t="str">
        <f>+IF(OR($W88="",BB88=0),"",ROUND((VLOOKUP(ROUNDDOWN($D88-1/frec,0),cob_adi,AO$40,FALSE)*(1+i/frec)^-0.5*(1+Parámetros!$D$103)*(1+rec_fracc)/frec),6))</f>
        <v/>
      </c>
      <c r="BE88" s="66">
        <f t="shared" si="61"/>
        <v>0</v>
      </c>
      <c r="BF88" s="119" t="str">
        <f t="shared" si="62"/>
        <v/>
      </c>
      <c r="BG88" s="66">
        <f>+IF($W88="","",ROUND(IF($B88&gt;Parámetros!$D$107,'Tablas Servicio'!BE88+('Tablas Servicio'!BG87-'Tablas Servicio'!BE87),BE88/(1-IF(B88&lt;=10,Parámetros!$D$100,0))),2))</f>
        <v>0</v>
      </c>
      <c r="BH88" s="66">
        <f t="shared" si="63"/>
        <v>0</v>
      </c>
      <c r="BI88" s="66">
        <f t="shared" si="64"/>
        <v>0</v>
      </c>
      <c r="BJ88" s="66">
        <f>+IF($W88="","",ROUND((BG88*Parámetros!$G$85),2))</f>
        <v>0</v>
      </c>
      <c r="BK88" s="66">
        <f>+IF($W88="","",ROUND((BG88*(Parámetros!$G$86)),2))</f>
        <v>0</v>
      </c>
      <c r="BL88" s="66">
        <f t="shared" si="65"/>
        <v>0</v>
      </c>
      <c r="BM88" t="str">
        <f t="shared" si="127"/>
        <v>00061</v>
      </c>
      <c r="BN88" t="str">
        <f t="shared" si="128"/>
        <v>Gastos de Entierro</v>
      </c>
      <c r="BO88" s="118">
        <f t="shared" si="129"/>
        <v>0</v>
      </c>
      <c r="BP88" s="118" t="str">
        <f t="shared" si="130"/>
        <v>A</v>
      </c>
      <c r="BQ88" s="119" t="str">
        <f>+IF(OR($W88="",BO88=0),"",ROUND((VLOOKUP(ROUNDDOWN($D88-1/frec,0),cob_adi,BB$40,FALSE)*(1+i/frec)^-0.5*(1+Parámetros!$D$103)*(1+rec_fracc)/frec),6))</f>
        <v/>
      </c>
      <c r="BR88" s="66">
        <f t="shared" si="70"/>
        <v>0</v>
      </c>
      <c r="BS88" s="119" t="str">
        <f t="shared" si="71"/>
        <v/>
      </c>
      <c r="BT88" s="66">
        <f>+IF($W88="","",ROUND(IF($B88&gt;Parámetros!$D$107,'Tablas Servicio'!BR88+('Tablas Servicio'!BT87-'Tablas Servicio'!BR87),BR88/(1-IF(B88&lt;=10,Parámetros!$D$100,0))),2))</f>
        <v>0</v>
      </c>
      <c r="BU88" s="66">
        <f t="shared" si="72"/>
        <v>0</v>
      </c>
      <c r="BV88" s="66">
        <f t="shared" si="72"/>
        <v>0</v>
      </c>
      <c r="BW88" s="66">
        <f>+IF($W88="","",ROUND((BT88*Parámetros!$G$85),2))</f>
        <v>0</v>
      </c>
      <c r="BX88" s="66">
        <f>+IF($W88="","",ROUND((BT88*(Parámetros!$G$86)),2))</f>
        <v>0</v>
      </c>
      <c r="BY88" s="66">
        <f t="shared" si="73"/>
        <v>0</v>
      </c>
      <c r="BZ88" t="str">
        <f t="shared" si="131"/>
        <v>00062</v>
      </c>
      <c r="CA88" t="str">
        <f t="shared" si="132"/>
        <v>Gastos médicos por accidente</v>
      </c>
      <c r="CB88" s="118">
        <f t="shared" si="133"/>
        <v>0</v>
      </c>
      <c r="CC88" s="118" t="str">
        <f t="shared" si="134"/>
        <v>A</v>
      </c>
      <c r="CD88" s="119" t="str">
        <f t="shared" si="78"/>
        <v/>
      </c>
      <c r="CE88" s="66">
        <f>+IF($W88="","",ROUND((VLOOKUP(ROUNDDOWN($D88-1/frec,0),cob_adi,BO$40,FALSE)*(1+i/frec)^-0.5*(1+Parámetros!$D$103)*(1+rec_fracc)/frec*'TABLAS ADI'!$BC$17),2))</f>
        <v>0</v>
      </c>
      <c r="CF88" s="119" t="str">
        <f t="shared" si="79"/>
        <v/>
      </c>
      <c r="CG88" s="66">
        <f>+IF($W88="","",ROUND(IF($B88&gt;Parámetros!$D$107,'Tablas Servicio'!CE88+('Tablas Servicio'!CG87-'Tablas Servicio'!CE87),CE88/(1-IF(B88&lt;=10,Parámetros!$D$100,0))),2))</f>
        <v>0</v>
      </c>
      <c r="CH88" s="66">
        <f t="shared" si="80"/>
        <v>0</v>
      </c>
      <c r="CI88" s="66">
        <f t="shared" si="80"/>
        <v>0</v>
      </c>
      <c r="CJ88" s="66">
        <f>+IF($W88="","",ROUND((CG88*Parámetros!$G$85),2))</f>
        <v>0</v>
      </c>
      <c r="CK88" s="66">
        <f>+IF($W88="","",ROUND((CG88*(Parámetros!$G$86)),2))</f>
        <v>0</v>
      </c>
      <c r="CL88" s="66">
        <f t="shared" si="81"/>
        <v>0</v>
      </c>
      <c r="CM88" t="str">
        <f t="shared" si="135"/>
        <v>00063</v>
      </c>
      <c r="CN88" s="118" t="str">
        <f t="shared" si="136"/>
        <v>Renta Diaria por Hospitalización</v>
      </c>
      <c r="CO88" s="118">
        <f t="shared" si="137"/>
        <v>0</v>
      </c>
      <c r="CP88" s="118" t="str">
        <f t="shared" si="138"/>
        <v>A</v>
      </c>
      <c r="CQ88" s="119" t="str">
        <f t="shared" si="86"/>
        <v/>
      </c>
      <c r="CR88" s="66">
        <f>+IF($W88="","",ROUND((VLOOKUP(Parámetros!$F$51,'COBERTURAS ADICIONALES'!$S$4:$T$32,2,FALSE)*(1+i/frec)^-0.5*(1+Parámetros!$D$103)*(1+rec_fracc)/frec*$CO$42),2))</f>
        <v>0</v>
      </c>
      <c r="CS88" s="119" t="str">
        <f t="shared" si="87"/>
        <v/>
      </c>
      <c r="CT88" s="66">
        <f>+IF($W88="","",ROUND(IF($B88&gt;Parámetros!$D$107,'Tablas Servicio'!CR88+('Tablas Servicio'!CT87-'Tablas Servicio'!CR87),CR88/(1-IF(B88&lt;=10,Parámetros!$D$100,0))),2))</f>
        <v>0</v>
      </c>
      <c r="CU88" s="66">
        <f t="shared" si="88"/>
        <v>0</v>
      </c>
      <c r="CV88" s="66">
        <f t="shared" si="88"/>
        <v>0</v>
      </c>
      <c r="CW88" s="66">
        <f>+IF($W88="","",ROUND((CT88*Parámetros!$G$85),2))</f>
        <v>0</v>
      </c>
      <c r="CX88" s="66">
        <f>+IF($W88="","",ROUND((CT88*(Parámetros!$G$86)),2))</f>
        <v>0</v>
      </c>
      <c r="CY88" s="66">
        <f t="shared" si="89"/>
        <v>0</v>
      </c>
      <c r="CZ88" t="str">
        <f t="shared" si="139"/>
        <v>00064</v>
      </c>
      <c r="DA88" s="118" t="str">
        <f t="shared" si="140"/>
        <v>Enfermedades Graves</v>
      </c>
      <c r="DB88" s="118">
        <f t="shared" si="141"/>
        <v>0</v>
      </c>
      <c r="DC88" s="118" t="str">
        <f t="shared" si="142"/>
        <v>A</v>
      </c>
      <c r="DD88" s="121" t="str">
        <f>+IF(OR($W88="",DB88=0),"",ROUND((VLOOKUP(ROUNDDOWN($D88-1/frec,0),cob_adi,CO$40,FALSE)*(1+i/frec)^-0.5*(1+Parámetros!$D$103)*(1+rec_fracc)/frec),6))</f>
        <v/>
      </c>
      <c r="DE88" s="66">
        <f t="shared" si="94"/>
        <v>0</v>
      </c>
      <c r="DF88" s="119" t="str">
        <f t="shared" si="95"/>
        <v/>
      </c>
      <c r="DG88" s="66">
        <f>+IF($W88="","",ROUND(IF($B88&gt;Parámetros!$D$107,'Tablas Servicio'!DE88+('Tablas Servicio'!DG87-'Tablas Servicio'!DE87),DE88/(1-IF(B88&lt;=10,Parámetros!$D$100,0))),2))</f>
        <v>0</v>
      </c>
      <c r="DH88" s="66">
        <f t="shared" si="96"/>
        <v>0</v>
      </c>
      <c r="DI88" s="66">
        <f t="shared" si="96"/>
        <v>0</v>
      </c>
      <c r="DJ88" s="66">
        <f>+IF($W88="","",ROUND((DG88*Parámetros!$G$85),2))</f>
        <v>0</v>
      </c>
      <c r="DK88" s="66">
        <f>+IF($W88="","",ROUND((DG88*(Parámetros!$G$86)),2))</f>
        <v>0</v>
      </c>
      <c r="DL88" s="66">
        <f t="shared" si="97"/>
        <v>0</v>
      </c>
      <c r="DM88" t="str">
        <f t="shared" si="143"/>
        <v>00065</v>
      </c>
      <c r="DN88" s="118" t="str">
        <f t="shared" si="144"/>
        <v>Exención pago de primas</v>
      </c>
      <c r="DO88" s="118">
        <f t="shared" si="145"/>
        <v>0</v>
      </c>
      <c r="DP88" s="118" t="str">
        <f t="shared" si="146"/>
        <v>A</v>
      </c>
      <c r="DQ88" s="122" t="str">
        <f>+IF(OR($W88="",DO88=0),"",ROUND((VLOOKUP(ROUNDDOWN($D88-1/frec,0),cob_adi,DB$40,FALSE)*(1+i/frec)^-0.5*(1+Parámetros!$D$103)*(1+rec_fracc)/frec),6))</f>
        <v/>
      </c>
      <c r="DR88" s="66">
        <f t="shared" si="102"/>
        <v>0</v>
      </c>
      <c r="DS88" s="68" t="str">
        <f t="shared" si="103"/>
        <v/>
      </c>
      <c r="DT88" s="66">
        <f>+IF($W88="","",ROUND(IF($B88&gt;Parámetros!$D$107,'Tablas Servicio'!DR88+('Tablas Servicio'!DT87-'Tablas Servicio'!DR87),DR88/(1-IF(B88&lt;=10,Parámetros!$D$100,0))),2))</f>
        <v>0</v>
      </c>
      <c r="DU88" s="66">
        <f t="shared" si="104"/>
        <v>0</v>
      </c>
      <c r="DV88" s="66">
        <f t="shared" si="104"/>
        <v>0</v>
      </c>
      <c r="DW88" s="66">
        <f>+IF($W88="","",ROUND((DT88*Parámetros!$G$85),2))</f>
        <v>0</v>
      </c>
      <c r="DX88" s="66">
        <f>+IF($W88="","",ROUND((DT88*(Parámetros!$G$86)),2))</f>
        <v>0</v>
      </c>
      <c r="DY88" s="66">
        <f t="shared" si="105"/>
        <v>0</v>
      </c>
      <c r="DZ88" t="str">
        <f t="shared" si="148"/>
        <v>00066</v>
      </c>
      <c r="EA88" s="118" t="str">
        <f t="shared" si="148"/>
        <v>Enfermedad terminal</v>
      </c>
      <c r="EB88" s="118">
        <f>+IF($W88="","",ROUND(IF(Parámetros!$D$25='TABLAS MORT'!$V$33,EB87,Z88/2),0))</f>
        <v>50000</v>
      </c>
      <c r="EC88" s="118" t="str">
        <f t="shared" si="148"/>
        <v>A</v>
      </c>
      <c r="ED88" s="122">
        <f>+IF(OR($W88="",EB88=0),"",ROUND((VLOOKUP(ROUNDDOWN($D88-1/frec,0),cob_adi,DO$40,FALSE)*(1+i/frec)^-0.5*(1+Parámetros!$D$103)*(1+rec_fracc)/frec),6))</f>
        <v>7.9999999999999996E-6</v>
      </c>
      <c r="EE88" s="66">
        <f t="shared" si="107"/>
        <v>0.4</v>
      </c>
      <c r="EF88" s="68">
        <f t="shared" si="108"/>
        <v>9.0000000000000002E-6</v>
      </c>
      <c r="EG88" s="66">
        <f>+IF($W88="","",ROUND(IF($B88&gt;Parámetros!$D$107,'Tablas Servicio'!EE88+('Tablas Servicio'!EG87-'Tablas Servicio'!EE87),EE88/(1-IF(B88&lt;=10,Parámetros!$D$100,0))),2))</f>
        <v>0.45</v>
      </c>
      <c r="EH88" s="66">
        <f t="shared" si="109"/>
        <v>0</v>
      </c>
      <c r="EI88" s="66">
        <f t="shared" si="109"/>
        <v>0</v>
      </c>
      <c r="EJ88" s="66">
        <f>+IF($W88="","",ROUND((EG88*Parámetros!$G$85),2))</f>
        <v>0.02</v>
      </c>
      <c r="EK88" s="66">
        <f>+IF($W88="","",ROUND((EG88*(Parámetros!$G$86)),2))</f>
        <v>0</v>
      </c>
      <c r="EL88" s="66">
        <f t="shared" si="110"/>
        <v>0.47</v>
      </c>
    </row>
    <row r="89" spans="1:142" x14ac:dyDescent="0.25">
      <c r="A89">
        <f>+IF($C89="","",ROUND(VLOOKUP('Tablas Servicio'!B89,Parámetros!$H$100:$J$159,IF(Parámetros!$E$16="F",2,3),FALSE),2))</f>
        <v>150</v>
      </c>
      <c r="B89">
        <f t="shared" si="27"/>
        <v>4</v>
      </c>
      <c r="C89" s="57">
        <f>+IF(D89="","",'Tablas Servicio'!C88+1)</f>
        <v>48</v>
      </c>
      <c r="D89" s="56">
        <f>+IF(D88&lt;edadmaxtabla,D88+1/Parámetros!$E$25,"")</f>
        <v>44.020000000000117</v>
      </c>
      <c r="E89" s="57">
        <f t="shared" si="37"/>
        <v>44</v>
      </c>
      <c r="F89" s="59">
        <f t="shared" si="38"/>
        <v>100000</v>
      </c>
      <c r="G89" s="66">
        <f t="shared" si="39"/>
        <v>29.21</v>
      </c>
      <c r="H89" s="66">
        <f t="shared" si="28"/>
        <v>30.38</v>
      </c>
      <c r="I89" s="66">
        <f t="shared" si="112"/>
        <v>56.06</v>
      </c>
      <c r="J89" s="66">
        <f t="shared" si="29"/>
        <v>1.03</v>
      </c>
      <c r="K89" s="66">
        <f t="shared" si="30"/>
        <v>0.14000000000000001</v>
      </c>
      <c r="L89" s="66">
        <f t="shared" si="31"/>
        <v>0</v>
      </c>
      <c r="M89" s="66">
        <f t="shared" si="32"/>
        <v>0</v>
      </c>
      <c r="N89" s="66">
        <f>+IF(C89="","",ROUND(Parámetros!$D$23,2))</f>
        <v>94</v>
      </c>
      <c r="O89" s="66">
        <f t="shared" si="33"/>
        <v>14.3</v>
      </c>
      <c r="P89" s="66">
        <f>+IF($C89="","",ROUND(IF(B89&gt;Parámetros!$D$117,0,N89*Parámetros!$D$116-G89*Parámetros!$D$100),2))</f>
        <v>7.56</v>
      </c>
      <c r="Q89" s="75">
        <f t="shared" si="113"/>
        <v>3.5261896610749743E-2</v>
      </c>
      <c r="R89" s="75">
        <f t="shared" si="114"/>
        <v>4.7928791509756936E-3</v>
      </c>
      <c r="S89" s="117">
        <f>+IF($C89="","",ROUND((S88+I89)*(1+Parámetros!$D$91),2))</f>
        <v>3035.7</v>
      </c>
      <c r="T89" s="117">
        <f>+IF($C89="","",ROUND(S89*VLOOKUP(B89,Parámetros!$C$30:$D$39,2,TRUE),2))</f>
        <v>607.14</v>
      </c>
      <c r="U89" s="117">
        <f>+IF($C89="","",ROUND((U88+I89)*(1+Parámetros!$D$92),2))</f>
        <v>3067.22</v>
      </c>
      <c r="V89" s="117">
        <f>+IF($C89="","",ROUND(U89*VLOOKUP(B89,Parámetros!$C$30:$D$39,2,TRUE),2))</f>
        <v>613.44000000000005</v>
      </c>
      <c r="W89" s="57">
        <f t="shared" si="115"/>
        <v>48</v>
      </c>
      <c r="X89" t="str">
        <f t="shared" si="116"/>
        <v>00058</v>
      </c>
      <c r="Y89" t="str">
        <f t="shared" si="117"/>
        <v>MUERTE POR CUALQUIER CAUSA</v>
      </c>
      <c r="Z89" s="118">
        <f>+IF($W89="","",ROUND(IF(Parámetros!$D$25='TABLAS MORT'!$V$33,Z88,Parámetros!$D$21-'Tablas Servicio'!T88),0))</f>
        <v>100000</v>
      </c>
      <c r="AA89" s="118" t="str">
        <f t="shared" si="118"/>
        <v>P</v>
      </c>
      <c r="AB89" s="119">
        <f>+IF(W89="","",ROUND((VLOOKUP(ROUNDDOWN($D89-1/frec,0),qx_tabla,2,FALSE)*(1+i/frec)^-0.5*(1+Parámetros!$D$103)*(1+rec_fracc)/frec),6))</f>
        <v>1.3899999999999999E-4</v>
      </c>
      <c r="AC89" s="66">
        <f t="shared" si="46"/>
        <v>13.9</v>
      </c>
      <c r="AD89" s="119">
        <f t="shared" si="35"/>
        <v>2.8800000000000001E-4</v>
      </c>
      <c r="AE89" s="66">
        <f>+IF($W89="","",ROUND(IF($B89&gt;Parámetros!$D$107,'Tablas Servicio'!AC89+('Tablas Servicio'!AG88-'Tablas Servicio'!AC88),AC89/(1-IF(B89&lt;=10,Parámetros!$D$104,Parámetros!$D$105))),2))</f>
        <v>28.76</v>
      </c>
      <c r="AF89" s="66">
        <f>+IF($W89="","",ROUND(IF($B89&gt;Parámetros!$D$107,'Tablas Servicio'!AC89+('Tablas Servicio'!AG88-'Tablas Servicio'!AC88),(AC89+$A88/frec)/(1-IF(B89&lt;=Parámetros!$D$117,Parámetros!$D$100,0))),2))</f>
        <v>29.89</v>
      </c>
      <c r="AG89" s="66">
        <f t="shared" si="111"/>
        <v>28.76</v>
      </c>
      <c r="AH89" s="66">
        <f t="shared" si="47"/>
        <v>0</v>
      </c>
      <c r="AI89" s="66">
        <f t="shared" si="48"/>
        <v>0</v>
      </c>
      <c r="AJ89" s="66">
        <f>+IF($W89="","",ROUND((AG89*Parámetros!$G$85),2))</f>
        <v>1.01</v>
      </c>
      <c r="AK89" s="66">
        <f>+IF($W89="","",ROUND((AG89*(Parámetros!$G$86)),2))</f>
        <v>0.14000000000000001</v>
      </c>
      <c r="AL89" s="66">
        <f t="shared" si="36"/>
        <v>29.91</v>
      </c>
      <c r="AM89" t="str">
        <f t="shared" si="119"/>
        <v>00059</v>
      </c>
      <c r="AN89" t="str">
        <f t="shared" si="120"/>
        <v>Incapacidad Total y Permanente</v>
      </c>
      <c r="AO89" s="118">
        <f t="shared" si="121"/>
        <v>0</v>
      </c>
      <c r="AP89" s="118" t="str">
        <f t="shared" si="122"/>
        <v>A</v>
      </c>
      <c r="AQ89" s="119" t="str">
        <f>+IF(OR($W89="",AO89=0),"",ROUND((VLOOKUP(ROUNDDOWN($D89-1/frec,0),cob_adi,Z$40,FALSE)*(1+i/frec)^-0.5*(1+Parámetros!$D$103)*(1+rec_fracc)/frec),6))</f>
        <v/>
      </c>
      <c r="AR89" s="66">
        <f t="shared" si="53"/>
        <v>0</v>
      </c>
      <c r="AS89" s="119" t="str">
        <f t="shared" si="54"/>
        <v/>
      </c>
      <c r="AT89" s="66">
        <f>+IF($W89="","",ROUND(IF($B89&gt;Parámetros!$D$107,'Tablas Servicio'!AR89+('Tablas Servicio'!AT88-'Tablas Servicio'!AR88),AR89/(1-IF(B89&lt;=10,Parámetros!$D$100,0))),2))</f>
        <v>0</v>
      </c>
      <c r="AU89" s="66">
        <f t="shared" si="55"/>
        <v>0</v>
      </c>
      <c r="AV89" s="66">
        <f t="shared" si="55"/>
        <v>0</v>
      </c>
      <c r="AW89" s="66">
        <f>+IF($W89="","",ROUND((AT89*Parámetros!$G$85),2))</f>
        <v>0</v>
      </c>
      <c r="AX89" s="66">
        <f>+IF($W89="","",ROUND((AT89*(Parámetros!$G$86)),2))</f>
        <v>0</v>
      </c>
      <c r="AY89" s="66">
        <f t="shared" si="56"/>
        <v>0</v>
      </c>
      <c r="AZ89" t="str">
        <f t="shared" si="123"/>
        <v>00060</v>
      </c>
      <c r="BA89" t="str">
        <f t="shared" si="124"/>
        <v>Muerte Accidental</v>
      </c>
      <c r="BB89" s="118">
        <f t="shared" si="125"/>
        <v>0</v>
      </c>
      <c r="BC89" s="118" t="str">
        <f t="shared" si="126"/>
        <v>A</v>
      </c>
      <c r="BD89" s="119" t="str">
        <f>+IF(OR($W89="",BB89=0),"",ROUND((VLOOKUP(ROUNDDOWN($D89-1/frec,0),cob_adi,AO$40,FALSE)*(1+i/frec)^-0.5*(1+Parámetros!$D$103)*(1+rec_fracc)/frec),6))</f>
        <v/>
      </c>
      <c r="BE89" s="66">
        <f t="shared" si="61"/>
        <v>0</v>
      </c>
      <c r="BF89" s="119" t="str">
        <f t="shared" si="62"/>
        <v/>
      </c>
      <c r="BG89" s="66">
        <f>+IF($W89="","",ROUND(IF($B89&gt;Parámetros!$D$107,'Tablas Servicio'!BE89+('Tablas Servicio'!BG88-'Tablas Servicio'!BE88),BE89/(1-IF(B89&lt;=10,Parámetros!$D$100,0))),2))</f>
        <v>0</v>
      </c>
      <c r="BH89" s="66">
        <f t="shared" si="63"/>
        <v>0</v>
      </c>
      <c r="BI89" s="66">
        <f t="shared" si="64"/>
        <v>0</v>
      </c>
      <c r="BJ89" s="66">
        <f>+IF($W89="","",ROUND((BG89*Parámetros!$G$85),2))</f>
        <v>0</v>
      </c>
      <c r="BK89" s="66">
        <f>+IF($W89="","",ROUND((BG89*(Parámetros!$G$86)),2))</f>
        <v>0</v>
      </c>
      <c r="BL89" s="66">
        <f t="shared" si="65"/>
        <v>0</v>
      </c>
      <c r="BM89" t="str">
        <f t="shared" si="127"/>
        <v>00061</v>
      </c>
      <c r="BN89" t="str">
        <f t="shared" si="128"/>
        <v>Gastos de Entierro</v>
      </c>
      <c r="BO89" s="118">
        <f t="shared" si="129"/>
        <v>0</v>
      </c>
      <c r="BP89" s="118" t="str">
        <f t="shared" si="130"/>
        <v>A</v>
      </c>
      <c r="BQ89" s="119" t="str">
        <f>+IF(OR($W89="",BO89=0),"",ROUND((VLOOKUP(ROUNDDOWN($D89-1/frec,0),cob_adi,BB$40,FALSE)*(1+i/frec)^-0.5*(1+Parámetros!$D$103)*(1+rec_fracc)/frec),6))</f>
        <v/>
      </c>
      <c r="BR89" s="66">
        <f t="shared" si="70"/>
        <v>0</v>
      </c>
      <c r="BS89" s="119" t="str">
        <f t="shared" si="71"/>
        <v/>
      </c>
      <c r="BT89" s="66">
        <f>+IF($W89="","",ROUND(IF($B89&gt;Parámetros!$D$107,'Tablas Servicio'!BR89+('Tablas Servicio'!BT88-'Tablas Servicio'!BR88),BR89/(1-IF(B89&lt;=10,Parámetros!$D$100,0))),2))</f>
        <v>0</v>
      </c>
      <c r="BU89" s="66">
        <f t="shared" si="72"/>
        <v>0</v>
      </c>
      <c r="BV89" s="66">
        <f t="shared" si="72"/>
        <v>0</v>
      </c>
      <c r="BW89" s="66">
        <f>+IF($W89="","",ROUND((BT89*Parámetros!$G$85),2))</f>
        <v>0</v>
      </c>
      <c r="BX89" s="66">
        <f>+IF($W89="","",ROUND((BT89*(Parámetros!$G$86)),2))</f>
        <v>0</v>
      </c>
      <c r="BY89" s="66">
        <f t="shared" si="73"/>
        <v>0</v>
      </c>
      <c r="BZ89" t="str">
        <f t="shared" si="131"/>
        <v>00062</v>
      </c>
      <c r="CA89" t="str">
        <f t="shared" si="132"/>
        <v>Gastos médicos por accidente</v>
      </c>
      <c r="CB89" s="118">
        <f t="shared" si="133"/>
        <v>0</v>
      </c>
      <c r="CC89" s="118" t="str">
        <f t="shared" si="134"/>
        <v>A</v>
      </c>
      <c r="CD89" s="119" t="str">
        <f t="shared" si="78"/>
        <v/>
      </c>
      <c r="CE89" s="66">
        <f>+IF($W89="","",ROUND((VLOOKUP(ROUNDDOWN($D89-1/frec,0),cob_adi,BO$40,FALSE)*(1+i/frec)^-0.5*(1+Parámetros!$D$103)*(1+rec_fracc)/frec*'TABLAS ADI'!$BC$17),2))</f>
        <v>0</v>
      </c>
      <c r="CF89" s="119" t="str">
        <f t="shared" si="79"/>
        <v/>
      </c>
      <c r="CG89" s="66">
        <f>+IF($W89="","",ROUND(IF($B89&gt;Parámetros!$D$107,'Tablas Servicio'!CE89+('Tablas Servicio'!CG88-'Tablas Servicio'!CE88),CE89/(1-IF(B89&lt;=10,Parámetros!$D$100,0))),2))</f>
        <v>0</v>
      </c>
      <c r="CH89" s="66">
        <f t="shared" si="80"/>
        <v>0</v>
      </c>
      <c r="CI89" s="66">
        <f t="shared" si="80"/>
        <v>0</v>
      </c>
      <c r="CJ89" s="66">
        <f>+IF($W89="","",ROUND((CG89*Parámetros!$G$85),2))</f>
        <v>0</v>
      </c>
      <c r="CK89" s="66">
        <f>+IF($W89="","",ROUND((CG89*(Parámetros!$G$86)),2))</f>
        <v>0</v>
      </c>
      <c r="CL89" s="66">
        <f t="shared" si="81"/>
        <v>0</v>
      </c>
      <c r="CM89" t="str">
        <f t="shared" si="135"/>
        <v>00063</v>
      </c>
      <c r="CN89" s="118" t="str">
        <f t="shared" si="136"/>
        <v>Renta Diaria por Hospitalización</v>
      </c>
      <c r="CO89" s="118">
        <f t="shared" si="137"/>
        <v>0</v>
      </c>
      <c r="CP89" s="118" t="str">
        <f t="shared" si="138"/>
        <v>A</v>
      </c>
      <c r="CQ89" s="119" t="str">
        <f t="shared" si="86"/>
        <v/>
      </c>
      <c r="CR89" s="66">
        <f>+IF($W89="","",ROUND((VLOOKUP(Parámetros!$F$51,'COBERTURAS ADICIONALES'!$S$4:$T$32,2,FALSE)*(1+i/frec)^-0.5*(1+Parámetros!$D$103)*(1+rec_fracc)/frec*$CO$42),2))</f>
        <v>0</v>
      </c>
      <c r="CS89" s="119" t="str">
        <f t="shared" si="87"/>
        <v/>
      </c>
      <c r="CT89" s="66">
        <f>+IF($W89="","",ROUND(IF($B89&gt;Parámetros!$D$107,'Tablas Servicio'!CR89+('Tablas Servicio'!CT88-'Tablas Servicio'!CR88),CR89/(1-IF(B89&lt;=10,Parámetros!$D$100,0))),2))</f>
        <v>0</v>
      </c>
      <c r="CU89" s="66">
        <f t="shared" si="88"/>
        <v>0</v>
      </c>
      <c r="CV89" s="66">
        <f t="shared" si="88"/>
        <v>0</v>
      </c>
      <c r="CW89" s="66">
        <f>+IF($W89="","",ROUND((CT89*Parámetros!$G$85),2))</f>
        <v>0</v>
      </c>
      <c r="CX89" s="66">
        <f>+IF($W89="","",ROUND((CT89*(Parámetros!$G$86)),2))</f>
        <v>0</v>
      </c>
      <c r="CY89" s="66">
        <f t="shared" si="89"/>
        <v>0</v>
      </c>
      <c r="CZ89" t="str">
        <f t="shared" si="139"/>
        <v>00064</v>
      </c>
      <c r="DA89" s="118" t="str">
        <f t="shared" si="140"/>
        <v>Enfermedades Graves</v>
      </c>
      <c r="DB89" s="118">
        <f t="shared" si="141"/>
        <v>0</v>
      </c>
      <c r="DC89" s="118" t="str">
        <f t="shared" si="142"/>
        <v>A</v>
      </c>
      <c r="DD89" s="121" t="str">
        <f>+IF(OR($W89="",DB89=0),"",ROUND((VLOOKUP(ROUNDDOWN($D89-1/frec,0),cob_adi,CO$40,FALSE)*(1+i/frec)^-0.5*(1+Parámetros!$D$103)*(1+rec_fracc)/frec),6))</f>
        <v/>
      </c>
      <c r="DE89" s="66">
        <f t="shared" si="94"/>
        <v>0</v>
      </c>
      <c r="DF89" s="119" t="str">
        <f t="shared" si="95"/>
        <v/>
      </c>
      <c r="DG89" s="66">
        <f>+IF($W89="","",ROUND(IF($B89&gt;Parámetros!$D$107,'Tablas Servicio'!DE89+('Tablas Servicio'!DG88-'Tablas Servicio'!DE88),DE89/(1-IF(B89&lt;=10,Parámetros!$D$100,0))),2))</f>
        <v>0</v>
      </c>
      <c r="DH89" s="66">
        <f t="shared" si="96"/>
        <v>0</v>
      </c>
      <c r="DI89" s="66">
        <f t="shared" si="96"/>
        <v>0</v>
      </c>
      <c r="DJ89" s="66">
        <f>+IF($W89="","",ROUND((DG89*Parámetros!$G$85),2))</f>
        <v>0</v>
      </c>
      <c r="DK89" s="66">
        <f>+IF($W89="","",ROUND((DG89*(Parámetros!$G$86)),2))</f>
        <v>0</v>
      </c>
      <c r="DL89" s="66">
        <f t="shared" si="97"/>
        <v>0</v>
      </c>
      <c r="DM89" t="str">
        <f t="shared" si="143"/>
        <v>00065</v>
      </c>
      <c r="DN89" s="118" t="str">
        <f t="shared" si="144"/>
        <v>Exención pago de primas</v>
      </c>
      <c r="DO89" s="118">
        <f t="shared" si="145"/>
        <v>0</v>
      </c>
      <c r="DP89" s="118" t="str">
        <f t="shared" si="146"/>
        <v>A</v>
      </c>
      <c r="DQ89" s="122" t="str">
        <f>+IF(OR($W89="",DO89=0),"",ROUND((VLOOKUP(ROUNDDOWN($D89-1/frec,0),cob_adi,DB$40,FALSE)*(1+i/frec)^-0.5*(1+Parámetros!$D$103)*(1+rec_fracc)/frec),6))</f>
        <v/>
      </c>
      <c r="DR89" s="66">
        <f t="shared" si="102"/>
        <v>0</v>
      </c>
      <c r="DS89" s="68" t="str">
        <f t="shared" si="103"/>
        <v/>
      </c>
      <c r="DT89" s="66">
        <f>+IF($W89="","",ROUND(IF($B89&gt;Parámetros!$D$107,'Tablas Servicio'!DR89+('Tablas Servicio'!DT88-'Tablas Servicio'!DR88),DR89/(1-IF(B89&lt;=10,Parámetros!$D$100,0))),2))</f>
        <v>0</v>
      </c>
      <c r="DU89" s="66">
        <f t="shared" si="104"/>
        <v>0</v>
      </c>
      <c r="DV89" s="66">
        <f t="shared" si="104"/>
        <v>0</v>
      </c>
      <c r="DW89" s="66">
        <f>+IF($W89="","",ROUND((DT89*Parámetros!$G$85),2))</f>
        <v>0</v>
      </c>
      <c r="DX89" s="66">
        <f>+IF($W89="","",ROUND((DT89*(Parámetros!$G$86)),2))</f>
        <v>0</v>
      </c>
      <c r="DY89" s="66">
        <f t="shared" si="105"/>
        <v>0</v>
      </c>
      <c r="DZ89" t="str">
        <f t="shared" si="148"/>
        <v>00066</v>
      </c>
      <c r="EA89" s="118" t="str">
        <f t="shared" si="148"/>
        <v>Enfermedad terminal</v>
      </c>
      <c r="EB89" s="118">
        <f>+IF($W89="","",ROUND(IF(Parámetros!$D$25='TABLAS MORT'!$V$33,EB88,Z89/2),0))</f>
        <v>50000</v>
      </c>
      <c r="EC89" s="118" t="str">
        <f t="shared" si="148"/>
        <v>A</v>
      </c>
      <c r="ED89" s="122">
        <f>+IF(OR($W89="",EB89=0),"",ROUND((VLOOKUP(ROUNDDOWN($D89-1/frec,0),cob_adi,DO$40,FALSE)*(1+i/frec)^-0.5*(1+Parámetros!$D$103)*(1+rec_fracc)/frec),6))</f>
        <v>7.9999999999999996E-6</v>
      </c>
      <c r="EE89" s="66">
        <f t="shared" si="107"/>
        <v>0.4</v>
      </c>
      <c r="EF89" s="68">
        <f t="shared" si="108"/>
        <v>9.0000000000000002E-6</v>
      </c>
      <c r="EG89" s="66">
        <f>+IF($W89="","",ROUND(IF($B89&gt;Parámetros!$D$107,'Tablas Servicio'!EE89+('Tablas Servicio'!EG88-'Tablas Servicio'!EE88),EE89/(1-IF(B89&lt;=10,Parámetros!$D$100,0))),2))</f>
        <v>0.45</v>
      </c>
      <c r="EH89" s="66">
        <f t="shared" si="109"/>
        <v>0</v>
      </c>
      <c r="EI89" s="66">
        <f t="shared" si="109"/>
        <v>0</v>
      </c>
      <c r="EJ89" s="66">
        <f>+IF($W89="","",ROUND((EG89*Parámetros!$G$85),2))</f>
        <v>0.02</v>
      </c>
      <c r="EK89" s="66">
        <f>+IF($W89="","",ROUND((EG89*(Parámetros!$G$86)),2))</f>
        <v>0</v>
      </c>
      <c r="EL89" s="66">
        <f t="shared" si="110"/>
        <v>0.47</v>
      </c>
    </row>
    <row r="90" spans="1:142" x14ac:dyDescent="0.25">
      <c r="A90">
        <f>+IF($C90="","",ROUND(VLOOKUP('Tablas Servicio'!B90,Parámetros!$H$100:$J$159,IF(Parámetros!$E$16="F",2,3),FALSE),2))</f>
        <v>150</v>
      </c>
      <c r="B90">
        <f t="shared" si="27"/>
        <v>5</v>
      </c>
      <c r="C90" s="57">
        <f>+IF(D90="","",'Tablas Servicio'!C89+1)</f>
        <v>49</v>
      </c>
      <c r="D90" s="56">
        <f>+IF(D89&lt;edadmaxtabla,D89+1/Parámetros!$E$25,"")</f>
        <v>44.103333333333453</v>
      </c>
      <c r="E90" s="57">
        <f t="shared" si="37"/>
        <v>44</v>
      </c>
      <c r="F90" s="59">
        <f t="shared" si="38"/>
        <v>100000</v>
      </c>
      <c r="G90" s="66">
        <f t="shared" si="39"/>
        <v>31.07</v>
      </c>
      <c r="H90" s="66">
        <f t="shared" si="28"/>
        <v>32.31</v>
      </c>
      <c r="I90" s="66">
        <f t="shared" si="112"/>
        <v>54.339999999999996</v>
      </c>
      <c r="J90" s="66">
        <f t="shared" si="29"/>
        <v>1.0900000000000001</v>
      </c>
      <c r="K90" s="66">
        <f t="shared" si="30"/>
        <v>0.15</v>
      </c>
      <c r="L90" s="66">
        <f t="shared" si="31"/>
        <v>0</v>
      </c>
      <c r="M90" s="66">
        <f t="shared" si="32"/>
        <v>0</v>
      </c>
      <c r="N90" s="66">
        <f>+IF(C90="","",ROUND(Parámetros!$D$23,2))</f>
        <v>94</v>
      </c>
      <c r="O90" s="66">
        <f t="shared" si="33"/>
        <v>15.200000000000001</v>
      </c>
      <c r="P90" s="66">
        <f>+IF($C90="","",ROUND(IF(B90&gt;Parámetros!$D$117,0,N90*Parámetros!$D$116-G90*Parámetros!$D$100),2))</f>
        <v>7.35</v>
      </c>
      <c r="Q90" s="75">
        <f t="shared" si="113"/>
        <v>3.5082072738976504E-2</v>
      </c>
      <c r="R90" s="75">
        <f t="shared" si="114"/>
        <v>4.8278081750885099E-3</v>
      </c>
      <c r="S90" s="117">
        <f>+IF($C90="","",ROUND((S89+I90)*(1+Parámetros!$D$91),2))</f>
        <v>3098.8</v>
      </c>
      <c r="T90" s="117">
        <f>+IF($C90="","",ROUND(S90*VLOOKUP(B90,Parámetros!$C$30:$D$39,2,TRUE),2))</f>
        <v>1239.52</v>
      </c>
      <c r="U90" s="117">
        <f>+IF($C90="","",ROUND((U89+I90)*(1+Parámetros!$D$92),2))</f>
        <v>3131.68</v>
      </c>
      <c r="V90" s="117">
        <f>+IF($C90="","",ROUND(U90*VLOOKUP(B90,Parámetros!$C$30:$D$39,2,TRUE),2))</f>
        <v>1252.67</v>
      </c>
      <c r="W90" s="57">
        <f t="shared" si="115"/>
        <v>49</v>
      </c>
      <c r="X90" t="str">
        <f t="shared" si="116"/>
        <v>00058</v>
      </c>
      <c r="Y90" t="str">
        <f t="shared" si="117"/>
        <v>MUERTE POR CUALQUIER CAUSA</v>
      </c>
      <c r="Z90" s="118">
        <f>+IF($W90="","",ROUND(IF(Parámetros!$D$25='TABLAS MORT'!$V$33,Z89,Parámetros!$D$21-'Tablas Servicio'!T89),0))</f>
        <v>100000</v>
      </c>
      <c r="AA90" s="118" t="str">
        <f t="shared" si="118"/>
        <v>P</v>
      </c>
      <c r="AB90" s="119">
        <f>+IF(W90="","",ROUND((VLOOKUP(ROUNDDOWN($D90-1/frec,0),qx_tabla,2,FALSE)*(1+i/frec)^-0.5*(1+Parámetros!$D$103)*(1+rec_fracc)/frec),6))</f>
        <v>1.4799999999999999E-4</v>
      </c>
      <c r="AC90" s="66">
        <f t="shared" si="46"/>
        <v>14.8</v>
      </c>
      <c r="AD90" s="119">
        <f t="shared" si="35"/>
        <v>3.0600000000000001E-4</v>
      </c>
      <c r="AE90" s="66">
        <f>+IF($W90="","",ROUND(IF($B90&gt;Parámetros!$D$107,'Tablas Servicio'!AC90+('Tablas Servicio'!AG89-'Tablas Servicio'!AC89),AC90/(1-IF(B90&lt;=10,Parámetros!$D$104,Parámetros!$D$105))),2))</f>
        <v>30.62</v>
      </c>
      <c r="AF90" s="66">
        <f>+IF($W90="","",ROUND(IF($B90&gt;Parámetros!$D$107,'Tablas Servicio'!AC90+('Tablas Servicio'!AG89-'Tablas Servicio'!AC89),(AC90+$A89/frec)/(1-IF(B90&lt;=Parámetros!$D$117,Parámetros!$D$100,0))),2))</f>
        <v>30.91</v>
      </c>
      <c r="AG90" s="66">
        <f t="shared" si="111"/>
        <v>30.62</v>
      </c>
      <c r="AH90" s="66">
        <f t="shared" si="47"/>
        <v>0</v>
      </c>
      <c r="AI90" s="66">
        <f t="shared" si="48"/>
        <v>0</v>
      </c>
      <c r="AJ90" s="66">
        <f>+IF($W90="","",ROUND((AG90*Parámetros!$G$85),2))</f>
        <v>1.07</v>
      </c>
      <c r="AK90" s="66">
        <f>+IF($W90="","",ROUND((AG90*(Parámetros!$G$86)),2))</f>
        <v>0.15</v>
      </c>
      <c r="AL90" s="66">
        <f t="shared" si="36"/>
        <v>31.84</v>
      </c>
      <c r="AM90" t="str">
        <f t="shared" si="119"/>
        <v>00059</v>
      </c>
      <c r="AN90" t="str">
        <f t="shared" si="120"/>
        <v>Incapacidad Total y Permanente</v>
      </c>
      <c r="AO90" s="118">
        <f t="shared" si="121"/>
        <v>0</v>
      </c>
      <c r="AP90" s="118" t="str">
        <f t="shared" si="122"/>
        <v>A</v>
      </c>
      <c r="AQ90" s="119" t="str">
        <f>+IF(OR($W90="",AO90=0),"",ROUND((VLOOKUP(ROUNDDOWN($D90-1/frec,0),cob_adi,Z$40,FALSE)*(1+i/frec)^-0.5*(1+Parámetros!$D$103)*(1+rec_fracc)/frec),6))</f>
        <v/>
      </c>
      <c r="AR90" s="66">
        <f t="shared" si="53"/>
        <v>0</v>
      </c>
      <c r="AS90" s="119" t="str">
        <f t="shared" si="54"/>
        <v/>
      </c>
      <c r="AT90" s="66">
        <f>+IF($W90="","",ROUND(IF($B90&gt;Parámetros!$D$107,'Tablas Servicio'!AR90+('Tablas Servicio'!AT89-'Tablas Servicio'!AR89),AR90/(1-IF(B90&lt;=10,Parámetros!$D$100,0))),2))</f>
        <v>0</v>
      </c>
      <c r="AU90" s="66">
        <f t="shared" si="55"/>
        <v>0</v>
      </c>
      <c r="AV90" s="66">
        <f t="shared" si="55"/>
        <v>0</v>
      </c>
      <c r="AW90" s="66">
        <f>+IF($W90="","",ROUND((AT90*Parámetros!$G$85),2))</f>
        <v>0</v>
      </c>
      <c r="AX90" s="66">
        <f>+IF($W90="","",ROUND((AT90*(Parámetros!$G$86)),2))</f>
        <v>0</v>
      </c>
      <c r="AY90" s="66">
        <f t="shared" si="56"/>
        <v>0</v>
      </c>
      <c r="AZ90" t="str">
        <f t="shared" si="123"/>
        <v>00060</v>
      </c>
      <c r="BA90" t="str">
        <f t="shared" si="124"/>
        <v>Muerte Accidental</v>
      </c>
      <c r="BB90" s="118">
        <f t="shared" si="125"/>
        <v>0</v>
      </c>
      <c r="BC90" s="118" t="str">
        <f t="shared" si="126"/>
        <v>A</v>
      </c>
      <c r="BD90" s="119" t="str">
        <f>+IF(OR($W90="",BB90=0),"",ROUND((VLOOKUP(ROUNDDOWN($D90-1/frec,0),cob_adi,AO$40,FALSE)*(1+i/frec)^-0.5*(1+Parámetros!$D$103)*(1+rec_fracc)/frec),6))</f>
        <v/>
      </c>
      <c r="BE90" s="66">
        <f t="shared" si="61"/>
        <v>0</v>
      </c>
      <c r="BF90" s="119" t="str">
        <f t="shared" si="62"/>
        <v/>
      </c>
      <c r="BG90" s="66">
        <f>+IF($W90="","",ROUND(IF($B90&gt;Parámetros!$D$107,'Tablas Servicio'!BE90+('Tablas Servicio'!BG89-'Tablas Servicio'!BE89),BE90/(1-IF(B90&lt;=10,Parámetros!$D$100,0))),2))</f>
        <v>0</v>
      </c>
      <c r="BH90" s="66">
        <f t="shared" si="63"/>
        <v>0</v>
      </c>
      <c r="BI90" s="66">
        <f t="shared" si="64"/>
        <v>0</v>
      </c>
      <c r="BJ90" s="66">
        <f>+IF($W90="","",ROUND((BG90*Parámetros!$G$85),2))</f>
        <v>0</v>
      </c>
      <c r="BK90" s="66">
        <f>+IF($W90="","",ROUND((BG90*(Parámetros!$G$86)),2))</f>
        <v>0</v>
      </c>
      <c r="BL90" s="66">
        <f t="shared" si="65"/>
        <v>0</v>
      </c>
      <c r="BM90" t="str">
        <f t="shared" si="127"/>
        <v>00061</v>
      </c>
      <c r="BN90" t="str">
        <f t="shared" si="128"/>
        <v>Gastos de Entierro</v>
      </c>
      <c r="BO90" s="118">
        <f t="shared" si="129"/>
        <v>0</v>
      </c>
      <c r="BP90" s="118" t="str">
        <f t="shared" si="130"/>
        <v>A</v>
      </c>
      <c r="BQ90" s="119" t="str">
        <f>+IF(OR($W90="",BO90=0),"",ROUND((VLOOKUP(ROUNDDOWN($D90-1/frec,0),cob_adi,BB$40,FALSE)*(1+i/frec)^-0.5*(1+Parámetros!$D$103)*(1+rec_fracc)/frec),6))</f>
        <v/>
      </c>
      <c r="BR90" s="66">
        <f t="shared" si="70"/>
        <v>0</v>
      </c>
      <c r="BS90" s="119" t="str">
        <f t="shared" si="71"/>
        <v/>
      </c>
      <c r="BT90" s="66">
        <f>+IF($W90="","",ROUND(IF($B90&gt;Parámetros!$D$107,'Tablas Servicio'!BR90+('Tablas Servicio'!BT89-'Tablas Servicio'!BR89),BR90/(1-IF(B90&lt;=10,Parámetros!$D$100,0))),2))</f>
        <v>0</v>
      </c>
      <c r="BU90" s="66">
        <f t="shared" si="72"/>
        <v>0</v>
      </c>
      <c r="BV90" s="66">
        <f t="shared" si="72"/>
        <v>0</v>
      </c>
      <c r="BW90" s="66">
        <f>+IF($W90="","",ROUND((BT90*Parámetros!$G$85),2))</f>
        <v>0</v>
      </c>
      <c r="BX90" s="66">
        <f>+IF($W90="","",ROUND((BT90*(Parámetros!$G$86)),2))</f>
        <v>0</v>
      </c>
      <c r="BY90" s="66">
        <f t="shared" si="73"/>
        <v>0</v>
      </c>
      <c r="BZ90" t="str">
        <f t="shared" si="131"/>
        <v>00062</v>
      </c>
      <c r="CA90" t="str">
        <f t="shared" si="132"/>
        <v>Gastos médicos por accidente</v>
      </c>
      <c r="CB90" s="118">
        <f t="shared" si="133"/>
        <v>0</v>
      </c>
      <c r="CC90" s="118" t="str">
        <f t="shared" si="134"/>
        <v>A</v>
      </c>
      <c r="CD90" s="119" t="str">
        <f t="shared" si="78"/>
        <v/>
      </c>
      <c r="CE90" s="66">
        <f>+IF($W90="","",ROUND((VLOOKUP(ROUNDDOWN($D90-1/frec,0),cob_adi,BO$40,FALSE)*(1+i/frec)^-0.5*(1+Parámetros!$D$103)*(1+rec_fracc)/frec*'TABLAS ADI'!$BC$17),2))</f>
        <v>0</v>
      </c>
      <c r="CF90" s="119" t="str">
        <f t="shared" si="79"/>
        <v/>
      </c>
      <c r="CG90" s="66">
        <f>+IF($W90="","",ROUND(IF($B90&gt;Parámetros!$D$107,'Tablas Servicio'!CE90+('Tablas Servicio'!CG89-'Tablas Servicio'!CE89),CE90/(1-IF(B90&lt;=10,Parámetros!$D$100,0))),2))</f>
        <v>0</v>
      </c>
      <c r="CH90" s="66">
        <f t="shared" si="80"/>
        <v>0</v>
      </c>
      <c r="CI90" s="66">
        <f t="shared" si="80"/>
        <v>0</v>
      </c>
      <c r="CJ90" s="66">
        <f>+IF($W90="","",ROUND((CG90*Parámetros!$G$85),2))</f>
        <v>0</v>
      </c>
      <c r="CK90" s="66">
        <f>+IF($W90="","",ROUND((CG90*(Parámetros!$G$86)),2))</f>
        <v>0</v>
      </c>
      <c r="CL90" s="66">
        <f t="shared" si="81"/>
        <v>0</v>
      </c>
      <c r="CM90" t="str">
        <f t="shared" si="135"/>
        <v>00063</v>
      </c>
      <c r="CN90" s="118" t="str">
        <f t="shared" si="136"/>
        <v>Renta Diaria por Hospitalización</v>
      </c>
      <c r="CO90" s="118">
        <f t="shared" si="137"/>
        <v>0</v>
      </c>
      <c r="CP90" s="118" t="str">
        <f t="shared" si="138"/>
        <v>A</v>
      </c>
      <c r="CQ90" s="119" t="str">
        <f t="shared" si="86"/>
        <v/>
      </c>
      <c r="CR90" s="66">
        <f>+IF($W90="","",ROUND((VLOOKUP(Parámetros!$F$51,'COBERTURAS ADICIONALES'!$S$4:$T$32,2,FALSE)*(1+i/frec)^-0.5*(1+Parámetros!$D$103)*(1+rec_fracc)/frec*$CO$42),2))</f>
        <v>0</v>
      </c>
      <c r="CS90" s="119" t="str">
        <f t="shared" si="87"/>
        <v/>
      </c>
      <c r="CT90" s="66">
        <f>+IF($W90="","",ROUND(IF($B90&gt;Parámetros!$D$107,'Tablas Servicio'!CR90+('Tablas Servicio'!CT89-'Tablas Servicio'!CR89),CR90/(1-IF(B90&lt;=10,Parámetros!$D$100,0))),2))</f>
        <v>0</v>
      </c>
      <c r="CU90" s="66">
        <f t="shared" si="88"/>
        <v>0</v>
      </c>
      <c r="CV90" s="66">
        <f t="shared" si="88"/>
        <v>0</v>
      </c>
      <c r="CW90" s="66">
        <f>+IF($W90="","",ROUND((CT90*Parámetros!$G$85),2))</f>
        <v>0</v>
      </c>
      <c r="CX90" s="66">
        <f>+IF($W90="","",ROUND((CT90*(Parámetros!$G$86)),2))</f>
        <v>0</v>
      </c>
      <c r="CY90" s="66">
        <f t="shared" si="89"/>
        <v>0</v>
      </c>
      <c r="CZ90" t="str">
        <f t="shared" si="139"/>
        <v>00064</v>
      </c>
      <c r="DA90" s="118" t="str">
        <f t="shared" si="140"/>
        <v>Enfermedades Graves</v>
      </c>
      <c r="DB90" s="118">
        <f t="shared" si="141"/>
        <v>0</v>
      </c>
      <c r="DC90" s="118" t="str">
        <f t="shared" si="142"/>
        <v>A</v>
      </c>
      <c r="DD90" s="121" t="str">
        <f>+IF(OR($W90="",DB90=0),"",ROUND((VLOOKUP(ROUNDDOWN($D90-1/frec,0),cob_adi,CO$40,FALSE)*(1+i/frec)^-0.5*(1+Parámetros!$D$103)*(1+rec_fracc)/frec),6))</f>
        <v/>
      </c>
      <c r="DE90" s="66">
        <f t="shared" si="94"/>
        <v>0</v>
      </c>
      <c r="DF90" s="119" t="str">
        <f t="shared" si="95"/>
        <v/>
      </c>
      <c r="DG90" s="66">
        <f>+IF($W90="","",ROUND(IF($B90&gt;Parámetros!$D$107,'Tablas Servicio'!DE90+('Tablas Servicio'!DG89-'Tablas Servicio'!DE89),DE90/(1-IF(B90&lt;=10,Parámetros!$D$100,0))),2))</f>
        <v>0</v>
      </c>
      <c r="DH90" s="66">
        <f t="shared" si="96"/>
        <v>0</v>
      </c>
      <c r="DI90" s="66">
        <f t="shared" si="96"/>
        <v>0</v>
      </c>
      <c r="DJ90" s="66">
        <f>+IF($W90="","",ROUND((DG90*Parámetros!$G$85),2))</f>
        <v>0</v>
      </c>
      <c r="DK90" s="66">
        <f>+IF($W90="","",ROUND((DG90*(Parámetros!$G$86)),2))</f>
        <v>0</v>
      </c>
      <c r="DL90" s="66">
        <f t="shared" si="97"/>
        <v>0</v>
      </c>
      <c r="DM90" t="str">
        <f t="shared" si="143"/>
        <v>00065</v>
      </c>
      <c r="DN90" s="118" t="str">
        <f t="shared" si="144"/>
        <v>Exención pago de primas</v>
      </c>
      <c r="DO90" s="118">
        <f t="shared" si="145"/>
        <v>0</v>
      </c>
      <c r="DP90" s="118" t="str">
        <f t="shared" si="146"/>
        <v>A</v>
      </c>
      <c r="DQ90" s="122" t="str">
        <f>+IF(OR($W90="",DO90=0),"",ROUND((VLOOKUP(ROUNDDOWN($D90-1/frec,0),cob_adi,DB$40,FALSE)*(1+i/frec)^-0.5*(1+Parámetros!$D$103)*(1+rec_fracc)/frec),6))</f>
        <v/>
      </c>
      <c r="DR90" s="66">
        <f t="shared" si="102"/>
        <v>0</v>
      </c>
      <c r="DS90" s="68" t="str">
        <f t="shared" si="103"/>
        <v/>
      </c>
      <c r="DT90" s="66">
        <f>+IF($W90="","",ROUND(IF($B90&gt;Parámetros!$D$107,'Tablas Servicio'!DR90+('Tablas Servicio'!DT89-'Tablas Servicio'!DR89),DR90/(1-IF(B90&lt;=10,Parámetros!$D$100,0))),2))</f>
        <v>0</v>
      </c>
      <c r="DU90" s="66">
        <f t="shared" si="104"/>
        <v>0</v>
      </c>
      <c r="DV90" s="66">
        <f t="shared" si="104"/>
        <v>0</v>
      </c>
      <c r="DW90" s="66">
        <f>+IF($W90="","",ROUND((DT90*Parámetros!$G$85),2))</f>
        <v>0</v>
      </c>
      <c r="DX90" s="66">
        <f>+IF($W90="","",ROUND((DT90*(Parámetros!$G$86)),2))</f>
        <v>0</v>
      </c>
      <c r="DY90" s="66">
        <f t="shared" si="105"/>
        <v>0</v>
      </c>
      <c r="DZ90" t="str">
        <f t="shared" si="148"/>
        <v>00066</v>
      </c>
      <c r="EA90" s="118" t="str">
        <f t="shared" si="148"/>
        <v>Enfermedad terminal</v>
      </c>
      <c r="EB90" s="118">
        <f>+IF($W90="","",ROUND(IF(Parámetros!$D$25='TABLAS MORT'!$V$33,EB89,Z90/2),0))</f>
        <v>50000</v>
      </c>
      <c r="EC90" s="118" t="str">
        <f t="shared" si="148"/>
        <v>A</v>
      </c>
      <c r="ED90" s="122">
        <f>+IF(OR($W90="",EB90=0),"",ROUND((VLOOKUP(ROUNDDOWN($D90-1/frec,0),cob_adi,DO$40,FALSE)*(1+i/frec)^-0.5*(1+Parámetros!$D$103)*(1+rec_fracc)/frec),6))</f>
        <v>7.9999999999999996E-6</v>
      </c>
      <c r="EE90" s="66">
        <f t="shared" si="107"/>
        <v>0.4</v>
      </c>
      <c r="EF90" s="68">
        <f t="shared" si="108"/>
        <v>9.0000000000000002E-6</v>
      </c>
      <c r="EG90" s="66">
        <f>+IF($W90="","",ROUND(IF($B90&gt;Parámetros!$D$107,'Tablas Servicio'!EE90+('Tablas Servicio'!EG89-'Tablas Servicio'!EE89),EE90/(1-IF(B90&lt;=10,Parámetros!$D$100,0))),2))</f>
        <v>0.45</v>
      </c>
      <c r="EH90" s="66">
        <f t="shared" si="109"/>
        <v>0</v>
      </c>
      <c r="EI90" s="66">
        <f t="shared" si="109"/>
        <v>0</v>
      </c>
      <c r="EJ90" s="66">
        <f>+IF($W90="","",ROUND((EG90*Parámetros!$G$85),2))</f>
        <v>0.02</v>
      </c>
      <c r="EK90" s="66">
        <f>+IF($W90="","",ROUND((EG90*(Parámetros!$G$86)),2))</f>
        <v>0</v>
      </c>
      <c r="EL90" s="66">
        <f t="shared" si="110"/>
        <v>0.47</v>
      </c>
    </row>
    <row r="91" spans="1:142" x14ac:dyDescent="0.25">
      <c r="A91">
        <f>+IF($C91="","",ROUND(VLOOKUP('Tablas Servicio'!B91,Parámetros!$H$100:$J$159,IF(Parámetros!$E$16="F",2,3),FALSE),2))</f>
        <v>150</v>
      </c>
      <c r="B91">
        <f t="shared" si="27"/>
        <v>5</v>
      </c>
      <c r="C91" s="57">
        <f>+IF(D91="","",'Tablas Servicio'!C90+1)</f>
        <v>50</v>
      </c>
      <c r="D91" s="56">
        <f>+IF(D90&lt;edadmaxtabla,D90+1/Parámetros!$E$25,"")</f>
        <v>44.186666666666788</v>
      </c>
      <c r="E91" s="57">
        <f t="shared" si="37"/>
        <v>44</v>
      </c>
      <c r="F91" s="59">
        <f t="shared" si="38"/>
        <v>100000</v>
      </c>
      <c r="G91" s="66">
        <f t="shared" si="39"/>
        <v>31.07</v>
      </c>
      <c r="H91" s="66">
        <f t="shared" si="28"/>
        <v>32.31</v>
      </c>
      <c r="I91" s="66">
        <f t="shared" si="112"/>
        <v>54.339999999999996</v>
      </c>
      <c r="J91" s="66">
        <f t="shared" si="29"/>
        <v>1.0900000000000001</v>
      </c>
      <c r="K91" s="66">
        <f t="shared" si="30"/>
        <v>0.15</v>
      </c>
      <c r="L91" s="66">
        <f t="shared" si="31"/>
        <v>0</v>
      </c>
      <c r="M91" s="66">
        <f t="shared" si="32"/>
        <v>0</v>
      </c>
      <c r="N91" s="66">
        <f>+IF(C91="","",ROUND(Parámetros!$D$23,2))</f>
        <v>94</v>
      </c>
      <c r="O91" s="66">
        <f t="shared" si="33"/>
        <v>15.200000000000001</v>
      </c>
      <c r="P91" s="66">
        <f>+IF($C91="","",ROUND(IF(B91&gt;Parámetros!$D$117,0,N91*Parámetros!$D$116-G91*Parámetros!$D$100),2))</f>
        <v>7.35</v>
      </c>
      <c r="Q91" s="75">
        <f t="shared" si="113"/>
        <v>3.5082072738976504E-2</v>
      </c>
      <c r="R91" s="75">
        <f t="shared" si="114"/>
        <v>4.8278081750885099E-3</v>
      </c>
      <c r="S91" s="117">
        <f>+IF($C91="","",ROUND((S90+I91)*(1+Parámetros!$D$91),2))</f>
        <v>3162.08</v>
      </c>
      <c r="T91" s="117">
        <f>+IF($C91="","",ROUND(S91*VLOOKUP(B91,Parámetros!$C$30:$D$39,2,TRUE),2))</f>
        <v>1264.83</v>
      </c>
      <c r="U91" s="117">
        <f>+IF($C91="","",ROUND((U90+I91)*(1+Parámetros!$D$92),2))</f>
        <v>3196.35</v>
      </c>
      <c r="V91" s="117">
        <f>+IF($C91="","",ROUND(U91*VLOOKUP(B91,Parámetros!$C$30:$D$39,2,TRUE),2))</f>
        <v>1278.54</v>
      </c>
      <c r="W91" s="57">
        <f t="shared" si="115"/>
        <v>50</v>
      </c>
      <c r="X91" t="str">
        <f t="shared" si="116"/>
        <v>00058</v>
      </c>
      <c r="Y91" t="str">
        <f t="shared" si="117"/>
        <v>MUERTE POR CUALQUIER CAUSA</v>
      </c>
      <c r="Z91" s="118">
        <f>+IF($W91="","",ROUND(IF(Parámetros!$D$25='TABLAS MORT'!$V$33,Z90,Parámetros!$D$21-'Tablas Servicio'!T90),0))</f>
        <v>100000</v>
      </c>
      <c r="AA91" s="118" t="str">
        <f t="shared" si="118"/>
        <v>P</v>
      </c>
      <c r="AB91" s="119">
        <f>+IF(W91="","",ROUND((VLOOKUP(ROUNDDOWN($D91-1/frec,0),qx_tabla,2,FALSE)*(1+i/frec)^-0.5*(1+Parámetros!$D$103)*(1+rec_fracc)/frec),6))</f>
        <v>1.4799999999999999E-4</v>
      </c>
      <c r="AC91" s="66">
        <f t="shared" si="46"/>
        <v>14.8</v>
      </c>
      <c r="AD91" s="119">
        <f t="shared" si="35"/>
        <v>3.0600000000000001E-4</v>
      </c>
      <c r="AE91" s="66">
        <f>+IF($W91="","",ROUND(IF($B91&gt;Parámetros!$D$107,'Tablas Servicio'!AC91+('Tablas Servicio'!AG90-'Tablas Servicio'!AC90),AC91/(1-IF(B91&lt;=10,Parámetros!$D$104,Parámetros!$D$105))),2))</f>
        <v>30.62</v>
      </c>
      <c r="AF91" s="66">
        <f>+IF($W91="","",ROUND(IF($B91&gt;Parámetros!$D$107,'Tablas Servicio'!AC91+('Tablas Servicio'!AG90-'Tablas Servicio'!AC90),(AC91+$A90/frec)/(1-IF(B91&lt;=Parámetros!$D$117,Parámetros!$D$100,0))),2))</f>
        <v>30.91</v>
      </c>
      <c r="AG91" s="66">
        <f t="shared" si="111"/>
        <v>30.62</v>
      </c>
      <c r="AH91" s="66">
        <f t="shared" si="47"/>
        <v>0</v>
      </c>
      <c r="AI91" s="66">
        <f t="shared" si="48"/>
        <v>0</v>
      </c>
      <c r="AJ91" s="66">
        <f>+IF($W91="","",ROUND((AG91*Parámetros!$G$85),2))</f>
        <v>1.07</v>
      </c>
      <c r="AK91" s="66">
        <f>+IF($W91="","",ROUND((AG91*(Parámetros!$G$86)),2))</f>
        <v>0.15</v>
      </c>
      <c r="AL91" s="66">
        <f t="shared" si="36"/>
        <v>31.84</v>
      </c>
      <c r="AM91" t="str">
        <f t="shared" si="119"/>
        <v>00059</v>
      </c>
      <c r="AN91" t="str">
        <f t="shared" si="120"/>
        <v>Incapacidad Total y Permanente</v>
      </c>
      <c r="AO91" s="118">
        <f t="shared" si="121"/>
        <v>0</v>
      </c>
      <c r="AP91" s="118" t="str">
        <f t="shared" si="122"/>
        <v>A</v>
      </c>
      <c r="AQ91" s="119" t="str">
        <f>+IF(OR($W91="",AO91=0),"",ROUND((VLOOKUP(ROUNDDOWN($D91-1/frec,0),cob_adi,Z$40,FALSE)*(1+i/frec)^-0.5*(1+Parámetros!$D$103)*(1+rec_fracc)/frec),6))</f>
        <v/>
      </c>
      <c r="AR91" s="66">
        <f t="shared" si="53"/>
        <v>0</v>
      </c>
      <c r="AS91" s="119" t="str">
        <f t="shared" si="54"/>
        <v/>
      </c>
      <c r="AT91" s="66">
        <f>+IF($W91="","",ROUND(IF($B91&gt;Parámetros!$D$107,'Tablas Servicio'!AR91+('Tablas Servicio'!AT90-'Tablas Servicio'!AR90),AR91/(1-IF(B91&lt;=10,Parámetros!$D$100,0))),2))</f>
        <v>0</v>
      </c>
      <c r="AU91" s="66">
        <f t="shared" si="55"/>
        <v>0</v>
      </c>
      <c r="AV91" s="66">
        <f t="shared" si="55"/>
        <v>0</v>
      </c>
      <c r="AW91" s="66">
        <f>+IF($W91="","",ROUND((AT91*Parámetros!$G$85),2))</f>
        <v>0</v>
      </c>
      <c r="AX91" s="66">
        <f>+IF($W91="","",ROUND((AT91*(Parámetros!$G$86)),2))</f>
        <v>0</v>
      </c>
      <c r="AY91" s="66">
        <f t="shared" si="56"/>
        <v>0</v>
      </c>
      <c r="AZ91" t="str">
        <f t="shared" si="123"/>
        <v>00060</v>
      </c>
      <c r="BA91" t="str">
        <f t="shared" si="124"/>
        <v>Muerte Accidental</v>
      </c>
      <c r="BB91" s="118">
        <f t="shared" si="125"/>
        <v>0</v>
      </c>
      <c r="BC91" s="118" t="str">
        <f t="shared" si="126"/>
        <v>A</v>
      </c>
      <c r="BD91" s="119" t="str">
        <f>+IF(OR($W91="",BB91=0),"",ROUND((VLOOKUP(ROUNDDOWN($D91-1/frec,0),cob_adi,AO$40,FALSE)*(1+i/frec)^-0.5*(1+Parámetros!$D$103)*(1+rec_fracc)/frec),6))</f>
        <v/>
      </c>
      <c r="BE91" s="66">
        <f t="shared" si="61"/>
        <v>0</v>
      </c>
      <c r="BF91" s="119" t="str">
        <f t="shared" si="62"/>
        <v/>
      </c>
      <c r="BG91" s="66">
        <f>+IF($W91="","",ROUND(IF($B91&gt;Parámetros!$D$107,'Tablas Servicio'!BE91+('Tablas Servicio'!BG90-'Tablas Servicio'!BE90),BE91/(1-IF(B91&lt;=10,Parámetros!$D$100,0))),2))</f>
        <v>0</v>
      </c>
      <c r="BH91" s="66">
        <f t="shared" si="63"/>
        <v>0</v>
      </c>
      <c r="BI91" s="66">
        <f t="shared" si="64"/>
        <v>0</v>
      </c>
      <c r="BJ91" s="66">
        <f>+IF($W91="","",ROUND((BG91*Parámetros!$G$85),2))</f>
        <v>0</v>
      </c>
      <c r="BK91" s="66">
        <f>+IF($W91="","",ROUND((BG91*(Parámetros!$G$86)),2))</f>
        <v>0</v>
      </c>
      <c r="BL91" s="66">
        <f t="shared" si="65"/>
        <v>0</v>
      </c>
      <c r="BM91" t="str">
        <f t="shared" si="127"/>
        <v>00061</v>
      </c>
      <c r="BN91" t="str">
        <f t="shared" si="128"/>
        <v>Gastos de Entierro</v>
      </c>
      <c r="BO91" s="118">
        <f t="shared" si="129"/>
        <v>0</v>
      </c>
      <c r="BP91" s="118" t="str">
        <f t="shared" si="130"/>
        <v>A</v>
      </c>
      <c r="BQ91" s="119" t="str">
        <f>+IF(OR($W91="",BO91=0),"",ROUND((VLOOKUP(ROUNDDOWN($D91-1/frec,0),cob_adi,BB$40,FALSE)*(1+i/frec)^-0.5*(1+Parámetros!$D$103)*(1+rec_fracc)/frec),6))</f>
        <v/>
      </c>
      <c r="BR91" s="66">
        <f t="shared" si="70"/>
        <v>0</v>
      </c>
      <c r="BS91" s="119" t="str">
        <f t="shared" si="71"/>
        <v/>
      </c>
      <c r="BT91" s="66">
        <f>+IF($W91="","",ROUND(IF($B91&gt;Parámetros!$D$107,'Tablas Servicio'!BR91+('Tablas Servicio'!BT90-'Tablas Servicio'!BR90),BR91/(1-IF(B91&lt;=10,Parámetros!$D$100,0))),2))</f>
        <v>0</v>
      </c>
      <c r="BU91" s="66">
        <f t="shared" si="72"/>
        <v>0</v>
      </c>
      <c r="BV91" s="66">
        <f t="shared" si="72"/>
        <v>0</v>
      </c>
      <c r="BW91" s="66">
        <f>+IF($W91="","",ROUND((BT91*Parámetros!$G$85),2))</f>
        <v>0</v>
      </c>
      <c r="BX91" s="66">
        <f>+IF($W91="","",ROUND((BT91*(Parámetros!$G$86)),2))</f>
        <v>0</v>
      </c>
      <c r="BY91" s="66">
        <f t="shared" si="73"/>
        <v>0</v>
      </c>
      <c r="BZ91" t="str">
        <f t="shared" si="131"/>
        <v>00062</v>
      </c>
      <c r="CA91" t="str">
        <f t="shared" si="132"/>
        <v>Gastos médicos por accidente</v>
      </c>
      <c r="CB91" s="118">
        <f t="shared" si="133"/>
        <v>0</v>
      </c>
      <c r="CC91" s="118" t="str">
        <f t="shared" si="134"/>
        <v>A</v>
      </c>
      <c r="CD91" s="119" t="str">
        <f t="shared" si="78"/>
        <v/>
      </c>
      <c r="CE91" s="66">
        <f>+IF($W91="","",ROUND((VLOOKUP(ROUNDDOWN($D91-1/frec,0),cob_adi,BO$40,FALSE)*(1+i/frec)^-0.5*(1+Parámetros!$D$103)*(1+rec_fracc)/frec*'TABLAS ADI'!$BC$17),2))</f>
        <v>0</v>
      </c>
      <c r="CF91" s="119" t="str">
        <f t="shared" si="79"/>
        <v/>
      </c>
      <c r="CG91" s="66">
        <f>+IF($W91="","",ROUND(IF($B91&gt;Parámetros!$D$107,'Tablas Servicio'!CE91+('Tablas Servicio'!CG90-'Tablas Servicio'!CE90),CE91/(1-IF(B91&lt;=10,Parámetros!$D$100,0))),2))</f>
        <v>0</v>
      </c>
      <c r="CH91" s="66">
        <f t="shared" si="80"/>
        <v>0</v>
      </c>
      <c r="CI91" s="66">
        <f t="shared" si="80"/>
        <v>0</v>
      </c>
      <c r="CJ91" s="66">
        <f>+IF($W91="","",ROUND((CG91*Parámetros!$G$85),2))</f>
        <v>0</v>
      </c>
      <c r="CK91" s="66">
        <f>+IF($W91="","",ROUND((CG91*(Parámetros!$G$86)),2))</f>
        <v>0</v>
      </c>
      <c r="CL91" s="66">
        <f t="shared" si="81"/>
        <v>0</v>
      </c>
      <c r="CM91" t="str">
        <f t="shared" si="135"/>
        <v>00063</v>
      </c>
      <c r="CN91" s="118" t="str">
        <f t="shared" si="136"/>
        <v>Renta Diaria por Hospitalización</v>
      </c>
      <c r="CO91" s="118">
        <f t="shared" si="137"/>
        <v>0</v>
      </c>
      <c r="CP91" s="118" t="str">
        <f t="shared" si="138"/>
        <v>A</v>
      </c>
      <c r="CQ91" s="119" t="str">
        <f t="shared" si="86"/>
        <v/>
      </c>
      <c r="CR91" s="66">
        <f>+IF($W91="","",ROUND((VLOOKUP(Parámetros!$F$51,'COBERTURAS ADICIONALES'!$S$4:$T$32,2,FALSE)*(1+i/frec)^-0.5*(1+Parámetros!$D$103)*(1+rec_fracc)/frec*$CO$42),2))</f>
        <v>0</v>
      </c>
      <c r="CS91" s="119" t="str">
        <f t="shared" si="87"/>
        <v/>
      </c>
      <c r="CT91" s="66">
        <f>+IF($W91="","",ROUND(IF($B91&gt;Parámetros!$D$107,'Tablas Servicio'!CR91+('Tablas Servicio'!CT90-'Tablas Servicio'!CR90),CR91/(1-IF(B91&lt;=10,Parámetros!$D$100,0))),2))</f>
        <v>0</v>
      </c>
      <c r="CU91" s="66">
        <f t="shared" si="88"/>
        <v>0</v>
      </c>
      <c r="CV91" s="66">
        <f t="shared" si="88"/>
        <v>0</v>
      </c>
      <c r="CW91" s="66">
        <f>+IF($W91="","",ROUND((CT91*Parámetros!$G$85),2))</f>
        <v>0</v>
      </c>
      <c r="CX91" s="66">
        <f>+IF($W91="","",ROUND((CT91*(Parámetros!$G$86)),2))</f>
        <v>0</v>
      </c>
      <c r="CY91" s="66">
        <f t="shared" si="89"/>
        <v>0</v>
      </c>
      <c r="CZ91" t="str">
        <f t="shared" si="139"/>
        <v>00064</v>
      </c>
      <c r="DA91" s="118" t="str">
        <f t="shared" si="140"/>
        <v>Enfermedades Graves</v>
      </c>
      <c r="DB91" s="118">
        <f t="shared" si="141"/>
        <v>0</v>
      </c>
      <c r="DC91" s="118" t="str">
        <f t="shared" si="142"/>
        <v>A</v>
      </c>
      <c r="DD91" s="121" t="str">
        <f>+IF(OR($W91="",DB91=0),"",ROUND((VLOOKUP(ROUNDDOWN($D91-1/frec,0),cob_adi,CO$40,FALSE)*(1+i/frec)^-0.5*(1+Parámetros!$D$103)*(1+rec_fracc)/frec),6))</f>
        <v/>
      </c>
      <c r="DE91" s="66">
        <f t="shared" si="94"/>
        <v>0</v>
      </c>
      <c r="DF91" s="119" t="str">
        <f t="shared" si="95"/>
        <v/>
      </c>
      <c r="DG91" s="66">
        <f>+IF($W91="","",ROUND(IF($B91&gt;Parámetros!$D$107,'Tablas Servicio'!DE91+('Tablas Servicio'!DG90-'Tablas Servicio'!DE90),DE91/(1-IF(B91&lt;=10,Parámetros!$D$100,0))),2))</f>
        <v>0</v>
      </c>
      <c r="DH91" s="66">
        <f t="shared" si="96"/>
        <v>0</v>
      </c>
      <c r="DI91" s="66">
        <f t="shared" si="96"/>
        <v>0</v>
      </c>
      <c r="DJ91" s="66">
        <f>+IF($W91="","",ROUND((DG91*Parámetros!$G$85),2))</f>
        <v>0</v>
      </c>
      <c r="DK91" s="66">
        <f>+IF($W91="","",ROUND((DG91*(Parámetros!$G$86)),2))</f>
        <v>0</v>
      </c>
      <c r="DL91" s="66">
        <f t="shared" si="97"/>
        <v>0</v>
      </c>
      <c r="DM91" t="str">
        <f t="shared" si="143"/>
        <v>00065</v>
      </c>
      <c r="DN91" s="118" t="str">
        <f t="shared" si="144"/>
        <v>Exención pago de primas</v>
      </c>
      <c r="DO91" s="118">
        <f t="shared" si="145"/>
        <v>0</v>
      </c>
      <c r="DP91" s="118" t="str">
        <f t="shared" si="146"/>
        <v>A</v>
      </c>
      <c r="DQ91" s="122" t="str">
        <f>+IF(OR($W91="",DO91=0),"",ROUND((VLOOKUP(ROUNDDOWN($D91-1/frec,0),cob_adi,DB$40,FALSE)*(1+i/frec)^-0.5*(1+Parámetros!$D$103)*(1+rec_fracc)/frec),6))</f>
        <v/>
      </c>
      <c r="DR91" s="66">
        <f t="shared" si="102"/>
        <v>0</v>
      </c>
      <c r="DS91" s="68" t="str">
        <f t="shared" si="103"/>
        <v/>
      </c>
      <c r="DT91" s="66">
        <f>+IF($W91="","",ROUND(IF($B91&gt;Parámetros!$D$107,'Tablas Servicio'!DR91+('Tablas Servicio'!DT90-'Tablas Servicio'!DR90),DR91/(1-IF(B91&lt;=10,Parámetros!$D$100,0))),2))</f>
        <v>0</v>
      </c>
      <c r="DU91" s="66">
        <f t="shared" si="104"/>
        <v>0</v>
      </c>
      <c r="DV91" s="66">
        <f t="shared" si="104"/>
        <v>0</v>
      </c>
      <c r="DW91" s="66">
        <f>+IF($W91="","",ROUND((DT91*Parámetros!$G$85),2))</f>
        <v>0</v>
      </c>
      <c r="DX91" s="66">
        <f>+IF($W91="","",ROUND((DT91*(Parámetros!$G$86)),2))</f>
        <v>0</v>
      </c>
      <c r="DY91" s="66">
        <f t="shared" si="105"/>
        <v>0</v>
      </c>
      <c r="DZ91" t="str">
        <f t="shared" ref="DZ91:EC106" si="149">+IF($W91="","",DZ90)</f>
        <v>00066</v>
      </c>
      <c r="EA91" s="118" t="str">
        <f t="shared" si="149"/>
        <v>Enfermedad terminal</v>
      </c>
      <c r="EB91" s="118">
        <f>+IF($W91="","",ROUND(IF(Parámetros!$D$25='TABLAS MORT'!$V$33,EB90,Z91/2),0))</f>
        <v>50000</v>
      </c>
      <c r="EC91" s="118" t="str">
        <f t="shared" si="149"/>
        <v>A</v>
      </c>
      <c r="ED91" s="122">
        <f>+IF(OR($W91="",EB91=0),"",ROUND((VLOOKUP(ROUNDDOWN($D91-1/frec,0),cob_adi,DO$40,FALSE)*(1+i/frec)^-0.5*(1+Parámetros!$D$103)*(1+rec_fracc)/frec),6))</f>
        <v>7.9999999999999996E-6</v>
      </c>
      <c r="EE91" s="66">
        <f t="shared" si="107"/>
        <v>0.4</v>
      </c>
      <c r="EF91" s="68">
        <f t="shared" si="108"/>
        <v>9.0000000000000002E-6</v>
      </c>
      <c r="EG91" s="66">
        <f>+IF($W91="","",ROUND(IF($B91&gt;Parámetros!$D$107,'Tablas Servicio'!EE91+('Tablas Servicio'!EG90-'Tablas Servicio'!EE90),EE91/(1-IF(B91&lt;=10,Parámetros!$D$100,0))),2))</f>
        <v>0.45</v>
      </c>
      <c r="EH91" s="66">
        <f t="shared" si="109"/>
        <v>0</v>
      </c>
      <c r="EI91" s="66">
        <f t="shared" si="109"/>
        <v>0</v>
      </c>
      <c r="EJ91" s="66">
        <f>+IF($W91="","",ROUND((EG91*Parámetros!$G$85),2))</f>
        <v>0.02</v>
      </c>
      <c r="EK91" s="66">
        <f>+IF($W91="","",ROUND((EG91*(Parámetros!$G$86)),2))</f>
        <v>0</v>
      </c>
      <c r="EL91" s="66">
        <f t="shared" si="110"/>
        <v>0.47</v>
      </c>
    </row>
    <row r="92" spans="1:142" x14ac:dyDescent="0.25">
      <c r="A92">
        <f>+IF($C92="","",ROUND(VLOOKUP('Tablas Servicio'!B92,Parámetros!$H$100:$J$159,IF(Parámetros!$E$16="F",2,3),FALSE),2))</f>
        <v>150</v>
      </c>
      <c r="B92">
        <f t="shared" si="27"/>
        <v>5</v>
      </c>
      <c r="C92" s="57">
        <f>+IF(D92="","",'Tablas Servicio'!C91+1)</f>
        <v>51</v>
      </c>
      <c r="D92" s="56">
        <f>+IF(D91&lt;edadmaxtabla,D91+1/Parámetros!$E$25,"")</f>
        <v>44.270000000000124</v>
      </c>
      <c r="E92" s="57">
        <f t="shared" si="37"/>
        <v>44</v>
      </c>
      <c r="F92" s="59">
        <f t="shared" si="38"/>
        <v>100000</v>
      </c>
      <c r="G92" s="66">
        <f t="shared" si="39"/>
        <v>31.07</v>
      </c>
      <c r="H92" s="66">
        <f t="shared" si="28"/>
        <v>32.31</v>
      </c>
      <c r="I92" s="66">
        <f t="shared" si="112"/>
        <v>54.339999999999996</v>
      </c>
      <c r="J92" s="66">
        <f t="shared" si="29"/>
        <v>1.0900000000000001</v>
      </c>
      <c r="K92" s="66">
        <f t="shared" si="30"/>
        <v>0.15</v>
      </c>
      <c r="L92" s="66">
        <f t="shared" si="31"/>
        <v>0</v>
      </c>
      <c r="M92" s="66">
        <f t="shared" si="32"/>
        <v>0</v>
      </c>
      <c r="N92" s="66">
        <f>+IF(C92="","",ROUND(Parámetros!$D$23,2))</f>
        <v>94</v>
      </c>
      <c r="O92" s="66">
        <f t="shared" si="33"/>
        <v>15.200000000000001</v>
      </c>
      <c r="P92" s="66">
        <f>+IF($C92="","",ROUND(IF(B92&gt;Parámetros!$D$117,0,N92*Parámetros!$D$116-G92*Parámetros!$D$100),2))</f>
        <v>7.35</v>
      </c>
      <c r="Q92" s="75">
        <f t="shared" si="113"/>
        <v>3.5082072738976504E-2</v>
      </c>
      <c r="R92" s="75">
        <f t="shared" si="114"/>
        <v>4.8278081750885099E-3</v>
      </c>
      <c r="S92" s="117">
        <f>+IF($C92="","",ROUND((S91+I92)*(1+Parámetros!$D$91),2))</f>
        <v>3225.54</v>
      </c>
      <c r="T92" s="117">
        <f>+IF($C92="","",ROUND(S92*VLOOKUP(B92,Parámetros!$C$30:$D$39,2,TRUE),2))</f>
        <v>1290.22</v>
      </c>
      <c r="U92" s="117">
        <f>+IF($C92="","",ROUND((U91+I92)*(1+Parámetros!$D$92),2))</f>
        <v>3261.23</v>
      </c>
      <c r="V92" s="117">
        <f>+IF($C92="","",ROUND(U92*VLOOKUP(B92,Parámetros!$C$30:$D$39,2,TRUE),2))</f>
        <v>1304.49</v>
      </c>
      <c r="W92" s="57">
        <f t="shared" si="115"/>
        <v>51</v>
      </c>
      <c r="X92" t="str">
        <f t="shared" si="116"/>
        <v>00058</v>
      </c>
      <c r="Y92" t="str">
        <f t="shared" si="117"/>
        <v>MUERTE POR CUALQUIER CAUSA</v>
      </c>
      <c r="Z92" s="118">
        <f>+IF($W92="","",ROUND(IF(Parámetros!$D$25='TABLAS MORT'!$V$33,Z91,Parámetros!$D$21-'Tablas Servicio'!T91),0))</f>
        <v>100000</v>
      </c>
      <c r="AA92" s="118" t="str">
        <f t="shared" si="118"/>
        <v>P</v>
      </c>
      <c r="AB92" s="119">
        <f>+IF(W92="","",ROUND((VLOOKUP(ROUNDDOWN($D92-1/frec,0),qx_tabla,2,FALSE)*(1+i/frec)^-0.5*(1+Parámetros!$D$103)*(1+rec_fracc)/frec),6))</f>
        <v>1.4799999999999999E-4</v>
      </c>
      <c r="AC92" s="66">
        <f t="shared" si="46"/>
        <v>14.8</v>
      </c>
      <c r="AD92" s="119">
        <f t="shared" si="35"/>
        <v>3.0600000000000001E-4</v>
      </c>
      <c r="AE92" s="66">
        <f>+IF($W92="","",ROUND(IF($B92&gt;Parámetros!$D$107,'Tablas Servicio'!AC92+('Tablas Servicio'!AG91-'Tablas Servicio'!AC91),AC92/(1-IF(B92&lt;=10,Parámetros!$D$104,Parámetros!$D$105))),2))</f>
        <v>30.62</v>
      </c>
      <c r="AF92" s="66">
        <f>+IF($W92="","",ROUND(IF($B92&gt;Parámetros!$D$107,'Tablas Servicio'!AC92+('Tablas Servicio'!AG91-'Tablas Servicio'!AC91),(AC92+$A91/frec)/(1-IF(B92&lt;=Parámetros!$D$117,Parámetros!$D$100,0))),2))</f>
        <v>30.91</v>
      </c>
      <c r="AG92" s="66">
        <f t="shared" si="111"/>
        <v>30.62</v>
      </c>
      <c r="AH92" s="66">
        <f t="shared" si="47"/>
        <v>0</v>
      </c>
      <c r="AI92" s="66">
        <f t="shared" si="48"/>
        <v>0</v>
      </c>
      <c r="AJ92" s="66">
        <f>+IF($W92="","",ROUND((AG92*Parámetros!$G$85),2))</f>
        <v>1.07</v>
      </c>
      <c r="AK92" s="66">
        <f>+IF($W92="","",ROUND((AG92*(Parámetros!$G$86)),2))</f>
        <v>0.15</v>
      </c>
      <c r="AL92" s="66">
        <f t="shared" si="36"/>
        <v>31.84</v>
      </c>
      <c r="AM92" t="str">
        <f t="shared" si="119"/>
        <v>00059</v>
      </c>
      <c r="AN92" t="str">
        <f t="shared" si="120"/>
        <v>Incapacidad Total y Permanente</v>
      </c>
      <c r="AO92" s="118">
        <f t="shared" si="121"/>
        <v>0</v>
      </c>
      <c r="AP92" s="118" t="str">
        <f t="shared" si="122"/>
        <v>A</v>
      </c>
      <c r="AQ92" s="119" t="str">
        <f>+IF(OR($W92="",AO92=0),"",ROUND((VLOOKUP(ROUNDDOWN($D92-1/frec,0),cob_adi,Z$40,FALSE)*(1+i/frec)^-0.5*(1+Parámetros!$D$103)*(1+rec_fracc)/frec),6))</f>
        <v/>
      </c>
      <c r="AR92" s="66">
        <f t="shared" si="53"/>
        <v>0</v>
      </c>
      <c r="AS92" s="119" t="str">
        <f t="shared" si="54"/>
        <v/>
      </c>
      <c r="AT92" s="66">
        <f>+IF($W92="","",ROUND(IF($B92&gt;Parámetros!$D$107,'Tablas Servicio'!AR92+('Tablas Servicio'!AT91-'Tablas Servicio'!AR91),AR92/(1-IF(B92&lt;=10,Parámetros!$D$100,0))),2))</f>
        <v>0</v>
      </c>
      <c r="AU92" s="66">
        <f t="shared" si="55"/>
        <v>0</v>
      </c>
      <c r="AV92" s="66">
        <f t="shared" si="55"/>
        <v>0</v>
      </c>
      <c r="AW92" s="66">
        <f>+IF($W92="","",ROUND((AT92*Parámetros!$G$85),2))</f>
        <v>0</v>
      </c>
      <c r="AX92" s="66">
        <f>+IF($W92="","",ROUND((AT92*(Parámetros!$G$86)),2))</f>
        <v>0</v>
      </c>
      <c r="AY92" s="66">
        <f t="shared" si="56"/>
        <v>0</v>
      </c>
      <c r="AZ92" t="str">
        <f t="shared" si="123"/>
        <v>00060</v>
      </c>
      <c r="BA92" t="str">
        <f t="shared" si="124"/>
        <v>Muerte Accidental</v>
      </c>
      <c r="BB92" s="118">
        <f t="shared" si="125"/>
        <v>0</v>
      </c>
      <c r="BC92" s="118" t="str">
        <f t="shared" si="126"/>
        <v>A</v>
      </c>
      <c r="BD92" s="119" t="str">
        <f>+IF(OR($W92="",BB92=0),"",ROUND((VLOOKUP(ROUNDDOWN($D92-1/frec,0),cob_adi,AO$40,FALSE)*(1+i/frec)^-0.5*(1+Parámetros!$D$103)*(1+rec_fracc)/frec),6))</f>
        <v/>
      </c>
      <c r="BE92" s="66">
        <f t="shared" si="61"/>
        <v>0</v>
      </c>
      <c r="BF92" s="119" t="str">
        <f t="shared" si="62"/>
        <v/>
      </c>
      <c r="BG92" s="66">
        <f>+IF($W92="","",ROUND(IF($B92&gt;Parámetros!$D$107,'Tablas Servicio'!BE92+('Tablas Servicio'!BG91-'Tablas Servicio'!BE91),BE92/(1-IF(B92&lt;=10,Parámetros!$D$100,0))),2))</f>
        <v>0</v>
      </c>
      <c r="BH92" s="66">
        <f t="shared" si="63"/>
        <v>0</v>
      </c>
      <c r="BI92" s="66">
        <f t="shared" si="64"/>
        <v>0</v>
      </c>
      <c r="BJ92" s="66">
        <f>+IF($W92="","",ROUND((BG92*Parámetros!$G$85),2))</f>
        <v>0</v>
      </c>
      <c r="BK92" s="66">
        <f>+IF($W92="","",ROUND((BG92*(Parámetros!$G$86)),2))</f>
        <v>0</v>
      </c>
      <c r="BL92" s="66">
        <f t="shared" si="65"/>
        <v>0</v>
      </c>
      <c r="BM92" t="str">
        <f t="shared" si="127"/>
        <v>00061</v>
      </c>
      <c r="BN92" t="str">
        <f t="shared" si="128"/>
        <v>Gastos de Entierro</v>
      </c>
      <c r="BO92" s="118">
        <f t="shared" si="129"/>
        <v>0</v>
      </c>
      <c r="BP92" s="118" t="str">
        <f t="shared" si="130"/>
        <v>A</v>
      </c>
      <c r="BQ92" s="119" t="str">
        <f>+IF(OR($W92="",BO92=0),"",ROUND((VLOOKUP(ROUNDDOWN($D92-1/frec,0),cob_adi,BB$40,FALSE)*(1+i/frec)^-0.5*(1+Parámetros!$D$103)*(1+rec_fracc)/frec),6))</f>
        <v/>
      </c>
      <c r="BR92" s="66">
        <f t="shared" si="70"/>
        <v>0</v>
      </c>
      <c r="BS92" s="119" t="str">
        <f t="shared" si="71"/>
        <v/>
      </c>
      <c r="BT92" s="66">
        <f>+IF($W92="","",ROUND(IF($B92&gt;Parámetros!$D$107,'Tablas Servicio'!BR92+('Tablas Servicio'!BT91-'Tablas Servicio'!BR91),BR92/(1-IF(B92&lt;=10,Parámetros!$D$100,0))),2))</f>
        <v>0</v>
      </c>
      <c r="BU92" s="66">
        <f t="shared" si="72"/>
        <v>0</v>
      </c>
      <c r="BV92" s="66">
        <f t="shared" si="72"/>
        <v>0</v>
      </c>
      <c r="BW92" s="66">
        <f>+IF($W92="","",ROUND((BT92*Parámetros!$G$85),2))</f>
        <v>0</v>
      </c>
      <c r="BX92" s="66">
        <f>+IF($W92="","",ROUND((BT92*(Parámetros!$G$86)),2))</f>
        <v>0</v>
      </c>
      <c r="BY92" s="66">
        <f t="shared" si="73"/>
        <v>0</v>
      </c>
      <c r="BZ92" t="str">
        <f t="shared" si="131"/>
        <v>00062</v>
      </c>
      <c r="CA92" t="str">
        <f t="shared" si="132"/>
        <v>Gastos médicos por accidente</v>
      </c>
      <c r="CB92" s="118">
        <f t="shared" si="133"/>
        <v>0</v>
      </c>
      <c r="CC92" s="118" t="str">
        <f t="shared" si="134"/>
        <v>A</v>
      </c>
      <c r="CD92" s="119" t="str">
        <f t="shared" si="78"/>
        <v/>
      </c>
      <c r="CE92" s="66">
        <f>+IF($W92="","",ROUND((VLOOKUP(ROUNDDOWN($D92-1/frec,0),cob_adi,BO$40,FALSE)*(1+i/frec)^-0.5*(1+Parámetros!$D$103)*(1+rec_fracc)/frec*'TABLAS ADI'!$BC$17),2))</f>
        <v>0</v>
      </c>
      <c r="CF92" s="119" t="str">
        <f t="shared" si="79"/>
        <v/>
      </c>
      <c r="CG92" s="66">
        <f>+IF($W92="","",ROUND(IF($B92&gt;Parámetros!$D$107,'Tablas Servicio'!CE92+('Tablas Servicio'!CG91-'Tablas Servicio'!CE91),CE92/(1-IF(B92&lt;=10,Parámetros!$D$100,0))),2))</f>
        <v>0</v>
      </c>
      <c r="CH92" s="66">
        <f t="shared" si="80"/>
        <v>0</v>
      </c>
      <c r="CI92" s="66">
        <f t="shared" si="80"/>
        <v>0</v>
      </c>
      <c r="CJ92" s="66">
        <f>+IF($W92="","",ROUND((CG92*Parámetros!$G$85),2))</f>
        <v>0</v>
      </c>
      <c r="CK92" s="66">
        <f>+IF($W92="","",ROUND((CG92*(Parámetros!$G$86)),2))</f>
        <v>0</v>
      </c>
      <c r="CL92" s="66">
        <f t="shared" si="81"/>
        <v>0</v>
      </c>
      <c r="CM92" t="str">
        <f t="shared" si="135"/>
        <v>00063</v>
      </c>
      <c r="CN92" s="118" t="str">
        <f t="shared" si="136"/>
        <v>Renta Diaria por Hospitalización</v>
      </c>
      <c r="CO92" s="118">
        <f t="shared" si="137"/>
        <v>0</v>
      </c>
      <c r="CP92" s="118" t="str">
        <f t="shared" si="138"/>
        <v>A</v>
      </c>
      <c r="CQ92" s="119" t="str">
        <f t="shared" si="86"/>
        <v/>
      </c>
      <c r="CR92" s="66">
        <f>+IF($W92="","",ROUND((VLOOKUP(Parámetros!$F$51,'COBERTURAS ADICIONALES'!$S$4:$T$32,2,FALSE)*(1+i/frec)^-0.5*(1+Parámetros!$D$103)*(1+rec_fracc)/frec*$CO$42),2))</f>
        <v>0</v>
      </c>
      <c r="CS92" s="119" t="str">
        <f t="shared" si="87"/>
        <v/>
      </c>
      <c r="CT92" s="66">
        <f>+IF($W92="","",ROUND(IF($B92&gt;Parámetros!$D$107,'Tablas Servicio'!CR92+('Tablas Servicio'!CT91-'Tablas Servicio'!CR91),CR92/(1-IF(B92&lt;=10,Parámetros!$D$100,0))),2))</f>
        <v>0</v>
      </c>
      <c r="CU92" s="66">
        <f t="shared" si="88"/>
        <v>0</v>
      </c>
      <c r="CV92" s="66">
        <f t="shared" si="88"/>
        <v>0</v>
      </c>
      <c r="CW92" s="66">
        <f>+IF($W92="","",ROUND((CT92*Parámetros!$G$85),2))</f>
        <v>0</v>
      </c>
      <c r="CX92" s="66">
        <f>+IF($W92="","",ROUND((CT92*(Parámetros!$G$86)),2))</f>
        <v>0</v>
      </c>
      <c r="CY92" s="66">
        <f t="shared" si="89"/>
        <v>0</v>
      </c>
      <c r="CZ92" t="str">
        <f t="shared" si="139"/>
        <v>00064</v>
      </c>
      <c r="DA92" s="118" t="str">
        <f t="shared" si="140"/>
        <v>Enfermedades Graves</v>
      </c>
      <c r="DB92" s="118">
        <f t="shared" si="141"/>
        <v>0</v>
      </c>
      <c r="DC92" s="118" t="str">
        <f t="shared" si="142"/>
        <v>A</v>
      </c>
      <c r="DD92" s="121" t="str">
        <f>+IF(OR($W92="",DB92=0),"",ROUND((VLOOKUP(ROUNDDOWN($D92-1/frec,0),cob_adi,CO$40,FALSE)*(1+i/frec)^-0.5*(1+Parámetros!$D$103)*(1+rec_fracc)/frec),6))</f>
        <v/>
      </c>
      <c r="DE92" s="66">
        <f t="shared" si="94"/>
        <v>0</v>
      </c>
      <c r="DF92" s="119" t="str">
        <f t="shared" si="95"/>
        <v/>
      </c>
      <c r="DG92" s="66">
        <f>+IF($W92="","",ROUND(IF($B92&gt;Parámetros!$D$107,'Tablas Servicio'!DE92+('Tablas Servicio'!DG91-'Tablas Servicio'!DE91),DE92/(1-IF(B92&lt;=10,Parámetros!$D$100,0))),2))</f>
        <v>0</v>
      </c>
      <c r="DH92" s="66">
        <f t="shared" si="96"/>
        <v>0</v>
      </c>
      <c r="DI92" s="66">
        <f t="shared" si="96"/>
        <v>0</v>
      </c>
      <c r="DJ92" s="66">
        <f>+IF($W92="","",ROUND((DG92*Parámetros!$G$85),2))</f>
        <v>0</v>
      </c>
      <c r="DK92" s="66">
        <f>+IF($W92="","",ROUND((DG92*(Parámetros!$G$86)),2))</f>
        <v>0</v>
      </c>
      <c r="DL92" s="66">
        <f t="shared" si="97"/>
        <v>0</v>
      </c>
      <c r="DM92" t="str">
        <f t="shared" si="143"/>
        <v>00065</v>
      </c>
      <c r="DN92" s="118" t="str">
        <f t="shared" si="144"/>
        <v>Exención pago de primas</v>
      </c>
      <c r="DO92" s="118">
        <f t="shared" si="145"/>
        <v>0</v>
      </c>
      <c r="DP92" s="118" t="str">
        <f t="shared" si="146"/>
        <v>A</v>
      </c>
      <c r="DQ92" s="122" t="str">
        <f>+IF(OR($W92="",DO92=0),"",ROUND((VLOOKUP(ROUNDDOWN($D92-1/frec,0),cob_adi,DB$40,FALSE)*(1+i/frec)^-0.5*(1+Parámetros!$D$103)*(1+rec_fracc)/frec),6))</f>
        <v/>
      </c>
      <c r="DR92" s="66">
        <f t="shared" si="102"/>
        <v>0</v>
      </c>
      <c r="DS92" s="68" t="str">
        <f t="shared" si="103"/>
        <v/>
      </c>
      <c r="DT92" s="66">
        <f>+IF($W92="","",ROUND(IF($B92&gt;Parámetros!$D$107,'Tablas Servicio'!DR92+('Tablas Servicio'!DT91-'Tablas Servicio'!DR91),DR92/(1-IF(B92&lt;=10,Parámetros!$D$100,0))),2))</f>
        <v>0</v>
      </c>
      <c r="DU92" s="66">
        <f t="shared" si="104"/>
        <v>0</v>
      </c>
      <c r="DV92" s="66">
        <f t="shared" si="104"/>
        <v>0</v>
      </c>
      <c r="DW92" s="66">
        <f>+IF($W92="","",ROUND((DT92*Parámetros!$G$85),2))</f>
        <v>0</v>
      </c>
      <c r="DX92" s="66">
        <f>+IF($W92="","",ROUND((DT92*(Parámetros!$G$86)),2))</f>
        <v>0</v>
      </c>
      <c r="DY92" s="66">
        <f t="shared" si="105"/>
        <v>0</v>
      </c>
      <c r="DZ92" t="str">
        <f t="shared" si="149"/>
        <v>00066</v>
      </c>
      <c r="EA92" s="118" t="str">
        <f t="shared" si="149"/>
        <v>Enfermedad terminal</v>
      </c>
      <c r="EB92" s="118">
        <f>+IF($W92="","",ROUND(IF(Parámetros!$D$25='TABLAS MORT'!$V$33,EB91,Z92/2),0))</f>
        <v>50000</v>
      </c>
      <c r="EC92" s="118" t="str">
        <f t="shared" si="149"/>
        <v>A</v>
      </c>
      <c r="ED92" s="122">
        <f>+IF(OR($W92="",EB92=0),"",ROUND((VLOOKUP(ROUNDDOWN($D92-1/frec,0),cob_adi,DO$40,FALSE)*(1+i/frec)^-0.5*(1+Parámetros!$D$103)*(1+rec_fracc)/frec),6))</f>
        <v>7.9999999999999996E-6</v>
      </c>
      <c r="EE92" s="66">
        <f t="shared" si="107"/>
        <v>0.4</v>
      </c>
      <c r="EF92" s="68">
        <f t="shared" si="108"/>
        <v>9.0000000000000002E-6</v>
      </c>
      <c r="EG92" s="66">
        <f>+IF($W92="","",ROUND(IF($B92&gt;Parámetros!$D$107,'Tablas Servicio'!EE92+('Tablas Servicio'!EG91-'Tablas Servicio'!EE91),EE92/(1-IF(B92&lt;=10,Parámetros!$D$100,0))),2))</f>
        <v>0.45</v>
      </c>
      <c r="EH92" s="66">
        <f t="shared" si="109"/>
        <v>0</v>
      </c>
      <c r="EI92" s="66">
        <f t="shared" si="109"/>
        <v>0</v>
      </c>
      <c r="EJ92" s="66">
        <f>+IF($W92="","",ROUND((EG92*Parámetros!$G$85),2))</f>
        <v>0.02</v>
      </c>
      <c r="EK92" s="66">
        <f>+IF($W92="","",ROUND((EG92*(Parámetros!$G$86)),2))</f>
        <v>0</v>
      </c>
      <c r="EL92" s="66">
        <f t="shared" si="110"/>
        <v>0.47</v>
      </c>
    </row>
    <row r="93" spans="1:142" x14ac:dyDescent="0.25">
      <c r="A93">
        <f>+IF($C93="","",ROUND(VLOOKUP('Tablas Servicio'!B93,Parámetros!$H$100:$J$159,IF(Parámetros!$E$16="F",2,3),FALSE),2))</f>
        <v>150</v>
      </c>
      <c r="B93">
        <f t="shared" si="27"/>
        <v>5</v>
      </c>
      <c r="C93" s="57">
        <f>+IF(D93="","",'Tablas Servicio'!C92+1)</f>
        <v>52</v>
      </c>
      <c r="D93" s="56">
        <f>+IF(D92&lt;edadmaxtabla,D92+1/Parámetros!$E$25,"")</f>
        <v>44.35333333333346</v>
      </c>
      <c r="E93" s="57">
        <f t="shared" si="37"/>
        <v>44</v>
      </c>
      <c r="F93" s="59">
        <f t="shared" si="38"/>
        <v>100000</v>
      </c>
      <c r="G93" s="66">
        <f t="shared" si="39"/>
        <v>31.07</v>
      </c>
      <c r="H93" s="66">
        <f t="shared" si="28"/>
        <v>32.31</v>
      </c>
      <c r="I93" s="66">
        <f t="shared" si="112"/>
        <v>54.339999999999996</v>
      </c>
      <c r="J93" s="66">
        <f t="shared" si="29"/>
        <v>1.0900000000000001</v>
      </c>
      <c r="K93" s="66">
        <f t="shared" si="30"/>
        <v>0.15</v>
      </c>
      <c r="L93" s="66">
        <f t="shared" si="31"/>
        <v>0</v>
      </c>
      <c r="M93" s="66">
        <f t="shared" si="32"/>
        <v>0</v>
      </c>
      <c r="N93" s="66">
        <f>+IF(C93="","",ROUND(Parámetros!$D$23,2))</f>
        <v>94</v>
      </c>
      <c r="O93" s="66">
        <f t="shared" si="33"/>
        <v>15.200000000000001</v>
      </c>
      <c r="P93" s="66">
        <f>+IF($C93="","",ROUND(IF(B93&gt;Parámetros!$D$117,0,N93*Parámetros!$D$116-G93*Parámetros!$D$100),2))</f>
        <v>7.35</v>
      </c>
      <c r="Q93" s="75">
        <f t="shared" si="113"/>
        <v>3.5082072738976504E-2</v>
      </c>
      <c r="R93" s="75">
        <f t="shared" si="114"/>
        <v>4.8278081750885099E-3</v>
      </c>
      <c r="S93" s="117">
        <f>+IF($C93="","",ROUND((S92+I93)*(1+Parámetros!$D$91),2))</f>
        <v>3289.18</v>
      </c>
      <c r="T93" s="117">
        <f>+IF($C93="","",ROUND(S93*VLOOKUP(B93,Parámetros!$C$30:$D$39,2,TRUE),2))</f>
        <v>1315.67</v>
      </c>
      <c r="U93" s="117">
        <f>+IF($C93="","",ROUND((U92+I93)*(1+Parámetros!$D$92),2))</f>
        <v>3326.32</v>
      </c>
      <c r="V93" s="117">
        <f>+IF($C93="","",ROUND(U93*VLOOKUP(B93,Parámetros!$C$30:$D$39,2,TRUE),2))</f>
        <v>1330.53</v>
      </c>
      <c r="W93" s="57">
        <f t="shared" si="115"/>
        <v>52</v>
      </c>
      <c r="X93" t="str">
        <f t="shared" si="116"/>
        <v>00058</v>
      </c>
      <c r="Y93" t="str">
        <f t="shared" si="117"/>
        <v>MUERTE POR CUALQUIER CAUSA</v>
      </c>
      <c r="Z93" s="118">
        <f>+IF($W93="","",ROUND(IF(Parámetros!$D$25='TABLAS MORT'!$V$33,Z92,Parámetros!$D$21-'Tablas Servicio'!T92),0))</f>
        <v>100000</v>
      </c>
      <c r="AA93" s="118" t="str">
        <f t="shared" si="118"/>
        <v>P</v>
      </c>
      <c r="AB93" s="119">
        <f>+IF(W93="","",ROUND((VLOOKUP(ROUNDDOWN($D93-1/frec,0),qx_tabla,2,FALSE)*(1+i/frec)^-0.5*(1+Parámetros!$D$103)*(1+rec_fracc)/frec),6))</f>
        <v>1.4799999999999999E-4</v>
      </c>
      <c r="AC93" s="66">
        <f t="shared" si="46"/>
        <v>14.8</v>
      </c>
      <c r="AD93" s="119">
        <f t="shared" si="35"/>
        <v>3.0600000000000001E-4</v>
      </c>
      <c r="AE93" s="66">
        <f>+IF($W93="","",ROUND(IF($B93&gt;Parámetros!$D$107,'Tablas Servicio'!AC93+('Tablas Servicio'!AG92-'Tablas Servicio'!AC92),AC93/(1-IF(B93&lt;=10,Parámetros!$D$104,Parámetros!$D$105))),2))</f>
        <v>30.62</v>
      </c>
      <c r="AF93" s="66">
        <f>+IF($W93="","",ROUND(IF($B93&gt;Parámetros!$D$107,'Tablas Servicio'!AC93+('Tablas Servicio'!AG92-'Tablas Servicio'!AC92),(AC93+$A92/frec)/(1-IF(B93&lt;=Parámetros!$D$117,Parámetros!$D$100,0))),2))</f>
        <v>30.91</v>
      </c>
      <c r="AG93" s="66">
        <f t="shared" si="111"/>
        <v>30.62</v>
      </c>
      <c r="AH93" s="66">
        <f t="shared" si="47"/>
        <v>0</v>
      </c>
      <c r="AI93" s="66">
        <f t="shared" si="48"/>
        <v>0</v>
      </c>
      <c r="AJ93" s="66">
        <f>+IF($W93="","",ROUND((AG93*Parámetros!$G$85),2))</f>
        <v>1.07</v>
      </c>
      <c r="AK93" s="66">
        <f>+IF($W93="","",ROUND((AG93*(Parámetros!$G$86)),2))</f>
        <v>0.15</v>
      </c>
      <c r="AL93" s="66">
        <f t="shared" si="36"/>
        <v>31.84</v>
      </c>
      <c r="AM93" t="str">
        <f t="shared" si="119"/>
        <v>00059</v>
      </c>
      <c r="AN93" t="str">
        <f t="shared" si="120"/>
        <v>Incapacidad Total y Permanente</v>
      </c>
      <c r="AO93" s="118">
        <f t="shared" si="121"/>
        <v>0</v>
      </c>
      <c r="AP93" s="118" t="str">
        <f t="shared" si="122"/>
        <v>A</v>
      </c>
      <c r="AQ93" s="119" t="str">
        <f>+IF(OR($W93="",AO93=0),"",ROUND((VLOOKUP(ROUNDDOWN($D93-1/frec,0),cob_adi,Z$40,FALSE)*(1+i/frec)^-0.5*(1+Parámetros!$D$103)*(1+rec_fracc)/frec),6))</f>
        <v/>
      </c>
      <c r="AR93" s="66">
        <f t="shared" si="53"/>
        <v>0</v>
      </c>
      <c r="AS93" s="119" t="str">
        <f t="shared" si="54"/>
        <v/>
      </c>
      <c r="AT93" s="66">
        <f>+IF($W93="","",ROUND(IF($B93&gt;Parámetros!$D$107,'Tablas Servicio'!AR93+('Tablas Servicio'!AT92-'Tablas Servicio'!AR92),AR93/(1-IF(B93&lt;=10,Parámetros!$D$100,0))),2))</f>
        <v>0</v>
      </c>
      <c r="AU93" s="66">
        <f t="shared" si="55"/>
        <v>0</v>
      </c>
      <c r="AV93" s="66">
        <f t="shared" si="55"/>
        <v>0</v>
      </c>
      <c r="AW93" s="66">
        <f>+IF($W93="","",ROUND((AT93*Parámetros!$G$85),2))</f>
        <v>0</v>
      </c>
      <c r="AX93" s="66">
        <f>+IF($W93="","",ROUND((AT93*(Parámetros!$G$86)),2))</f>
        <v>0</v>
      </c>
      <c r="AY93" s="66">
        <f t="shared" si="56"/>
        <v>0</v>
      </c>
      <c r="AZ93" t="str">
        <f t="shared" si="123"/>
        <v>00060</v>
      </c>
      <c r="BA93" t="str">
        <f t="shared" si="124"/>
        <v>Muerte Accidental</v>
      </c>
      <c r="BB93" s="118">
        <f t="shared" si="125"/>
        <v>0</v>
      </c>
      <c r="BC93" s="118" t="str">
        <f t="shared" si="126"/>
        <v>A</v>
      </c>
      <c r="BD93" s="119" t="str">
        <f>+IF(OR($W93="",BB93=0),"",ROUND((VLOOKUP(ROUNDDOWN($D93-1/frec,0),cob_adi,AO$40,FALSE)*(1+i/frec)^-0.5*(1+Parámetros!$D$103)*(1+rec_fracc)/frec),6))</f>
        <v/>
      </c>
      <c r="BE93" s="66">
        <f t="shared" si="61"/>
        <v>0</v>
      </c>
      <c r="BF93" s="119" t="str">
        <f t="shared" si="62"/>
        <v/>
      </c>
      <c r="BG93" s="66">
        <f>+IF($W93="","",ROUND(IF($B93&gt;Parámetros!$D$107,'Tablas Servicio'!BE93+('Tablas Servicio'!BG92-'Tablas Servicio'!BE92),BE93/(1-IF(B93&lt;=10,Parámetros!$D$100,0))),2))</f>
        <v>0</v>
      </c>
      <c r="BH93" s="66">
        <f t="shared" si="63"/>
        <v>0</v>
      </c>
      <c r="BI93" s="66">
        <f t="shared" si="64"/>
        <v>0</v>
      </c>
      <c r="BJ93" s="66">
        <f>+IF($W93="","",ROUND((BG93*Parámetros!$G$85),2))</f>
        <v>0</v>
      </c>
      <c r="BK93" s="66">
        <f>+IF($W93="","",ROUND((BG93*(Parámetros!$G$86)),2))</f>
        <v>0</v>
      </c>
      <c r="BL93" s="66">
        <f t="shared" si="65"/>
        <v>0</v>
      </c>
      <c r="BM93" t="str">
        <f t="shared" si="127"/>
        <v>00061</v>
      </c>
      <c r="BN93" t="str">
        <f t="shared" si="128"/>
        <v>Gastos de Entierro</v>
      </c>
      <c r="BO93" s="118">
        <f t="shared" si="129"/>
        <v>0</v>
      </c>
      <c r="BP93" s="118" t="str">
        <f t="shared" si="130"/>
        <v>A</v>
      </c>
      <c r="BQ93" s="119" t="str">
        <f>+IF(OR($W93="",BO93=0),"",ROUND((VLOOKUP(ROUNDDOWN($D93-1/frec,0),cob_adi,BB$40,FALSE)*(1+i/frec)^-0.5*(1+Parámetros!$D$103)*(1+rec_fracc)/frec),6))</f>
        <v/>
      </c>
      <c r="BR93" s="66">
        <f t="shared" si="70"/>
        <v>0</v>
      </c>
      <c r="BS93" s="119" t="str">
        <f t="shared" si="71"/>
        <v/>
      </c>
      <c r="BT93" s="66">
        <f>+IF($W93="","",ROUND(IF($B93&gt;Parámetros!$D$107,'Tablas Servicio'!BR93+('Tablas Servicio'!BT92-'Tablas Servicio'!BR92),BR93/(1-IF(B93&lt;=10,Parámetros!$D$100,0))),2))</f>
        <v>0</v>
      </c>
      <c r="BU93" s="66">
        <f t="shared" si="72"/>
        <v>0</v>
      </c>
      <c r="BV93" s="66">
        <f t="shared" si="72"/>
        <v>0</v>
      </c>
      <c r="BW93" s="66">
        <f>+IF($W93="","",ROUND((BT93*Parámetros!$G$85),2))</f>
        <v>0</v>
      </c>
      <c r="BX93" s="66">
        <f>+IF($W93="","",ROUND((BT93*(Parámetros!$G$86)),2))</f>
        <v>0</v>
      </c>
      <c r="BY93" s="66">
        <f t="shared" si="73"/>
        <v>0</v>
      </c>
      <c r="BZ93" t="str">
        <f t="shared" si="131"/>
        <v>00062</v>
      </c>
      <c r="CA93" t="str">
        <f t="shared" si="132"/>
        <v>Gastos médicos por accidente</v>
      </c>
      <c r="CB93" s="118">
        <f t="shared" si="133"/>
        <v>0</v>
      </c>
      <c r="CC93" s="118" t="str">
        <f t="shared" si="134"/>
        <v>A</v>
      </c>
      <c r="CD93" s="119" t="str">
        <f t="shared" si="78"/>
        <v/>
      </c>
      <c r="CE93" s="66">
        <f>+IF($W93="","",ROUND((VLOOKUP(ROUNDDOWN($D93-1/frec,0),cob_adi,BO$40,FALSE)*(1+i/frec)^-0.5*(1+Parámetros!$D$103)*(1+rec_fracc)/frec*'TABLAS ADI'!$BC$17),2))</f>
        <v>0</v>
      </c>
      <c r="CF93" s="119" t="str">
        <f t="shared" si="79"/>
        <v/>
      </c>
      <c r="CG93" s="66">
        <f>+IF($W93="","",ROUND(IF($B93&gt;Parámetros!$D$107,'Tablas Servicio'!CE93+('Tablas Servicio'!CG92-'Tablas Servicio'!CE92),CE93/(1-IF(B93&lt;=10,Parámetros!$D$100,0))),2))</f>
        <v>0</v>
      </c>
      <c r="CH93" s="66">
        <f t="shared" si="80"/>
        <v>0</v>
      </c>
      <c r="CI93" s="66">
        <f t="shared" si="80"/>
        <v>0</v>
      </c>
      <c r="CJ93" s="66">
        <f>+IF($W93="","",ROUND((CG93*Parámetros!$G$85),2))</f>
        <v>0</v>
      </c>
      <c r="CK93" s="66">
        <f>+IF($W93="","",ROUND((CG93*(Parámetros!$G$86)),2))</f>
        <v>0</v>
      </c>
      <c r="CL93" s="66">
        <f t="shared" si="81"/>
        <v>0</v>
      </c>
      <c r="CM93" t="str">
        <f t="shared" si="135"/>
        <v>00063</v>
      </c>
      <c r="CN93" s="118" t="str">
        <f t="shared" si="136"/>
        <v>Renta Diaria por Hospitalización</v>
      </c>
      <c r="CO93" s="118">
        <f t="shared" si="137"/>
        <v>0</v>
      </c>
      <c r="CP93" s="118" t="str">
        <f t="shared" si="138"/>
        <v>A</v>
      </c>
      <c r="CQ93" s="119" t="str">
        <f t="shared" si="86"/>
        <v/>
      </c>
      <c r="CR93" s="66">
        <f>+IF($W93="","",ROUND((VLOOKUP(Parámetros!$F$51,'COBERTURAS ADICIONALES'!$S$4:$T$32,2,FALSE)*(1+i/frec)^-0.5*(1+Parámetros!$D$103)*(1+rec_fracc)/frec*$CO$42),2))</f>
        <v>0</v>
      </c>
      <c r="CS93" s="119" t="str">
        <f t="shared" si="87"/>
        <v/>
      </c>
      <c r="CT93" s="66">
        <f>+IF($W93="","",ROUND(IF($B93&gt;Parámetros!$D$107,'Tablas Servicio'!CR93+('Tablas Servicio'!CT92-'Tablas Servicio'!CR92),CR93/(1-IF(B93&lt;=10,Parámetros!$D$100,0))),2))</f>
        <v>0</v>
      </c>
      <c r="CU93" s="66">
        <f t="shared" si="88"/>
        <v>0</v>
      </c>
      <c r="CV93" s="66">
        <f t="shared" si="88"/>
        <v>0</v>
      </c>
      <c r="CW93" s="66">
        <f>+IF($W93="","",ROUND((CT93*Parámetros!$G$85),2))</f>
        <v>0</v>
      </c>
      <c r="CX93" s="66">
        <f>+IF($W93="","",ROUND((CT93*(Parámetros!$G$86)),2))</f>
        <v>0</v>
      </c>
      <c r="CY93" s="66">
        <f t="shared" si="89"/>
        <v>0</v>
      </c>
      <c r="CZ93" t="str">
        <f t="shared" si="139"/>
        <v>00064</v>
      </c>
      <c r="DA93" s="118" t="str">
        <f t="shared" si="140"/>
        <v>Enfermedades Graves</v>
      </c>
      <c r="DB93" s="118">
        <f t="shared" si="141"/>
        <v>0</v>
      </c>
      <c r="DC93" s="118" t="str">
        <f t="shared" si="142"/>
        <v>A</v>
      </c>
      <c r="DD93" s="121" t="str">
        <f>+IF(OR($W93="",DB93=0),"",ROUND((VLOOKUP(ROUNDDOWN($D93-1/frec,0),cob_adi,CO$40,FALSE)*(1+i/frec)^-0.5*(1+Parámetros!$D$103)*(1+rec_fracc)/frec),6))</f>
        <v/>
      </c>
      <c r="DE93" s="66">
        <f t="shared" si="94"/>
        <v>0</v>
      </c>
      <c r="DF93" s="119" t="str">
        <f t="shared" si="95"/>
        <v/>
      </c>
      <c r="DG93" s="66">
        <f>+IF($W93="","",ROUND(IF($B93&gt;Parámetros!$D$107,'Tablas Servicio'!DE93+('Tablas Servicio'!DG92-'Tablas Servicio'!DE92),DE93/(1-IF(B93&lt;=10,Parámetros!$D$100,0))),2))</f>
        <v>0</v>
      </c>
      <c r="DH93" s="66">
        <f t="shared" si="96"/>
        <v>0</v>
      </c>
      <c r="DI93" s="66">
        <f t="shared" si="96"/>
        <v>0</v>
      </c>
      <c r="DJ93" s="66">
        <f>+IF($W93="","",ROUND((DG93*Parámetros!$G$85),2))</f>
        <v>0</v>
      </c>
      <c r="DK93" s="66">
        <f>+IF($W93="","",ROUND((DG93*(Parámetros!$G$86)),2))</f>
        <v>0</v>
      </c>
      <c r="DL93" s="66">
        <f t="shared" si="97"/>
        <v>0</v>
      </c>
      <c r="DM93" t="str">
        <f t="shared" si="143"/>
        <v>00065</v>
      </c>
      <c r="DN93" s="118" t="str">
        <f t="shared" si="144"/>
        <v>Exención pago de primas</v>
      </c>
      <c r="DO93" s="118">
        <f t="shared" si="145"/>
        <v>0</v>
      </c>
      <c r="DP93" s="118" t="str">
        <f t="shared" si="146"/>
        <v>A</v>
      </c>
      <c r="DQ93" s="122" t="str">
        <f>+IF(OR($W93="",DO93=0),"",ROUND((VLOOKUP(ROUNDDOWN($D93-1/frec,0),cob_adi,DB$40,FALSE)*(1+i/frec)^-0.5*(1+Parámetros!$D$103)*(1+rec_fracc)/frec),6))</f>
        <v/>
      </c>
      <c r="DR93" s="66">
        <f t="shared" si="102"/>
        <v>0</v>
      </c>
      <c r="DS93" s="68" t="str">
        <f t="shared" si="103"/>
        <v/>
      </c>
      <c r="DT93" s="66">
        <f>+IF($W93="","",ROUND(IF($B93&gt;Parámetros!$D$107,'Tablas Servicio'!DR93+('Tablas Servicio'!DT92-'Tablas Servicio'!DR92),DR93/(1-IF(B93&lt;=10,Parámetros!$D$100,0))),2))</f>
        <v>0</v>
      </c>
      <c r="DU93" s="66">
        <f t="shared" si="104"/>
        <v>0</v>
      </c>
      <c r="DV93" s="66">
        <f t="shared" si="104"/>
        <v>0</v>
      </c>
      <c r="DW93" s="66">
        <f>+IF($W93="","",ROUND((DT93*Parámetros!$G$85),2))</f>
        <v>0</v>
      </c>
      <c r="DX93" s="66">
        <f>+IF($W93="","",ROUND((DT93*(Parámetros!$G$86)),2))</f>
        <v>0</v>
      </c>
      <c r="DY93" s="66">
        <f t="shared" si="105"/>
        <v>0</v>
      </c>
      <c r="DZ93" t="str">
        <f t="shared" si="149"/>
        <v>00066</v>
      </c>
      <c r="EA93" s="118" t="str">
        <f t="shared" si="149"/>
        <v>Enfermedad terminal</v>
      </c>
      <c r="EB93" s="118">
        <f>+IF($W93="","",ROUND(IF(Parámetros!$D$25='TABLAS MORT'!$V$33,EB92,Z93/2),0))</f>
        <v>50000</v>
      </c>
      <c r="EC93" s="118" t="str">
        <f t="shared" si="149"/>
        <v>A</v>
      </c>
      <c r="ED93" s="122">
        <f>+IF(OR($W93="",EB93=0),"",ROUND((VLOOKUP(ROUNDDOWN($D93-1/frec,0),cob_adi,DO$40,FALSE)*(1+i/frec)^-0.5*(1+Parámetros!$D$103)*(1+rec_fracc)/frec),6))</f>
        <v>7.9999999999999996E-6</v>
      </c>
      <c r="EE93" s="66">
        <f t="shared" si="107"/>
        <v>0.4</v>
      </c>
      <c r="EF93" s="68">
        <f t="shared" si="108"/>
        <v>9.0000000000000002E-6</v>
      </c>
      <c r="EG93" s="66">
        <f>+IF($W93="","",ROUND(IF($B93&gt;Parámetros!$D$107,'Tablas Servicio'!EE93+('Tablas Servicio'!EG92-'Tablas Servicio'!EE92),EE93/(1-IF(B93&lt;=10,Parámetros!$D$100,0))),2))</f>
        <v>0.45</v>
      </c>
      <c r="EH93" s="66">
        <f t="shared" si="109"/>
        <v>0</v>
      </c>
      <c r="EI93" s="66">
        <f t="shared" si="109"/>
        <v>0</v>
      </c>
      <c r="EJ93" s="66">
        <f>+IF($W93="","",ROUND((EG93*Parámetros!$G$85),2))</f>
        <v>0.02</v>
      </c>
      <c r="EK93" s="66">
        <f>+IF($W93="","",ROUND((EG93*(Parámetros!$G$86)),2))</f>
        <v>0</v>
      </c>
      <c r="EL93" s="66">
        <f t="shared" si="110"/>
        <v>0.47</v>
      </c>
    </row>
    <row r="94" spans="1:142" x14ac:dyDescent="0.25">
      <c r="A94">
        <f>+IF($C94="","",ROUND(VLOOKUP('Tablas Servicio'!B94,Parámetros!$H$100:$J$159,IF(Parámetros!$E$16="F",2,3),FALSE),2))</f>
        <v>150</v>
      </c>
      <c r="B94">
        <f t="shared" si="27"/>
        <v>5</v>
      </c>
      <c r="C94" s="57">
        <f>+IF(D94="","",'Tablas Servicio'!C93+1)</f>
        <v>53</v>
      </c>
      <c r="D94" s="56">
        <f>+IF(D93&lt;edadmaxtabla,D93+1/Parámetros!$E$25,"")</f>
        <v>44.436666666666795</v>
      </c>
      <c r="E94" s="57">
        <f t="shared" si="37"/>
        <v>44</v>
      </c>
      <c r="F94" s="59">
        <f t="shared" si="38"/>
        <v>100000</v>
      </c>
      <c r="G94" s="66">
        <f t="shared" si="39"/>
        <v>31.07</v>
      </c>
      <c r="H94" s="66">
        <f t="shared" si="28"/>
        <v>32.31</v>
      </c>
      <c r="I94" s="66">
        <f t="shared" si="112"/>
        <v>54.339999999999996</v>
      </c>
      <c r="J94" s="66">
        <f t="shared" si="29"/>
        <v>1.0900000000000001</v>
      </c>
      <c r="K94" s="66">
        <f t="shared" si="30"/>
        <v>0.15</v>
      </c>
      <c r="L94" s="66">
        <f t="shared" si="31"/>
        <v>0</v>
      </c>
      <c r="M94" s="66">
        <f t="shared" si="32"/>
        <v>0</v>
      </c>
      <c r="N94" s="66">
        <f>+IF(C94="","",ROUND(Parámetros!$D$23,2))</f>
        <v>94</v>
      </c>
      <c r="O94" s="66">
        <f t="shared" si="33"/>
        <v>15.200000000000001</v>
      </c>
      <c r="P94" s="66">
        <f>+IF($C94="","",ROUND(IF(B94&gt;Parámetros!$D$117,0,N94*Parámetros!$D$116-G94*Parámetros!$D$100),2))</f>
        <v>7.35</v>
      </c>
      <c r="Q94" s="75">
        <f t="shared" si="113"/>
        <v>3.5082072738976504E-2</v>
      </c>
      <c r="R94" s="75">
        <f t="shared" si="114"/>
        <v>4.8278081750885099E-3</v>
      </c>
      <c r="S94" s="117">
        <f>+IF($C94="","",ROUND((S93+I94)*(1+Parámetros!$D$91),2))</f>
        <v>3353</v>
      </c>
      <c r="T94" s="117">
        <f>+IF($C94="","",ROUND(S94*VLOOKUP(B94,Parámetros!$C$30:$D$39,2,TRUE),2))</f>
        <v>1341.2</v>
      </c>
      <c r="U94" s="117">
        <f>+IF($C94="","",ROUND((U93+I94)*(1+Parámetros!$D$92),2))</f>
        <v>3391.62</v>
      </c>
      <c r="V94" s="117">
        <f>+IF($C94="","",ROUND(U94*VLOOKUP(B94,Parámetros!$C$30:$D$39,2,TRUE),2))</f>
        <v>1356.65</v>
      </c>
      <c r="W94" s="57">
        <f t="shared" si="115"/>
        <v>53</v>
      </c>
      <c r="X94" t="str">
        <f t="shared" si="116"/>
        <v>00058</v>
      </c>
      <c r="Y94" t="str">
        <f t="shared" si="117"/>
        <v>MUERTE POR CUALQUIER CAUSA</v>
      </c>
      <c r="Z94" s="118">
        <f>+IF($W94="","",ROUND(IF(Parámetros!$D$25='TABLAS MORT'!$V$33,Z93,Parámetros!$D$21-'Tablas Servicio'!T93),0))</f>
        <v>100000</v>
      </c>
      <c r="AA94" s="118" t="str">
        <f t="shared" si="118"/>
        <v>P</v>
      </c>
      <c r="AB94" s="119">
        <f>+IF(W94="","",ROUND((VLOOKUP(ROUNDDOWN($D94-1/frec,0),qx_tabla,2,FALSE)*(1+i/frec)^-0.5*(1+Parámetros!$D$103)*(1+rec_fracc)/frec),6))</f>
        <v>1.4799999999999999E-4</v>
      </c>
      <c r="AC94" s="66">
        <f t="shared" si="46"/>
        <v>14.8</v>
      </c>
      <c r="AD94" s="119">
        <f t="shared" si="35"/>
        <v>3.0600000000000001E-4</v>
      </c>
      <c r="AE94" s="66">
        <f>+IF($W94="","",ROUND(IF($B94&gt;Parámetros!$D$107,'Tablas Servicio'!AC94+('Tablas Servicio'!AG93-'Tablas Servicio'!AC93),AC94/(1-IF(B94&lt;=10,Parámetros!$D$104,Parámetros!$D$105))),2))</f>
        <v>30.62</v>
      </c>
      <c r="AF94" s="66">
        <f>+IF($W94="","",ROUND(IF($B94&gt;Parámetros!$D$107,'Tablas Servicio'!AC94+('Tablas Servicio'!AG93-'Tablas Servicio'!AC93),(AC94+$A93/frec)/(1-IF(B94&lt;=Parámetros!$D$117,Parámetros!$D$100,0))),2))</f>
        <v>30.91</v>
      </c>
      <c r="AG94" s="66">
        <f t="shared" si="111"/>
        <v>30.62</v>
      </c>
      <c r="AH94" s="66">
        <f t="shared" si="47"/>
        <v>0</v>
      </c>
      <c r="AI94" s="66">
        <f t="shared" si="48"/>
        <v>0</v>
      </c>
      <c r="AJ94" s="66">
        <f>+IF($W94="","",ROUND((AG94*Parámetros!$G$85),2))</f>
        <v>1.07</v>
      </c>
      <c r="AK94" s="66">
        <f>+IF($W94="","",ROUND((AG94*(Parámetros!$G$86)),2))</f>
        <v>0.15</v>
      </c>
      <c r="AL94" s="66">
        <f t="shared" si="36"/>
        <v>31.84</v>
      </c>
      <c r="AM94" t="str">
        <f t="shared" si="119"/>
        <v>00059</v>
      </c>
      <c r="AN94" t="str">
        <f t="shared" si="120"/>
        <v>Incapacidad Total y Permanente</v>
      </c>
      <c r="AO94" s="118">
        <f t="shared" si="121"/>
        <v>0</v>
      </c>
      <c r="AP94" s="118" t="str">
        <f t="shared" si="122"/>
        <v>A</v>
      </c>
      <c r="AQ94" s="119" t="str">
        <f>+IF(OR($W94="",AO94=0),"",ROUND((VLOOKUP(ROUNDDOWN($D94-1/frec,0),cob_adi,Z$40,FALSE)*(1+i/frec)^-0.5*(1+Parámetros!$D$103)*(1+rec_fracc)/frec),6))</f>
        <v/>
      </c>
      <c r="AR94" s="66">
        <f t="shared" si="53"/>
        <v>0</v>
      </c>
      <c r="AS94" s="119" t="str">
        <f t="shared" si="54"/>
        <v/>
      </c>
      <c r="AT94" s="66">
        <f>+IF($W94="","",ROUND(IF($B94&gt;Parámetros!$D$107,'Tablas Servicio'!AR94+('Tablas Servicio'!AT93-'Tablas Servicio'!AR93),AR94/(1-IF(B94&lt;=10,Parámetros!$D$100,0))),2))</f>
        <v>0</v>
      </c>
      <c r="AU94" s="66">
        <f t="shared" si="55"/>
        <v>0</v>
      </c>
      <c r="AV94" s="66">
        <f t="shared" si="55"/>
        <v>0</v>
      </c>
      <c r="AW94" s="66">
        <f>+IF($W94="","",ROUND((AT94*Parámetros!$G$85),2))</f>
        <v>0</v>
      </c>
      <c r="AX94" s="66">
        <f>+IF($W94="","",ROUND((AT94*(Parámetros!$G$86)),2))</f>
        <v>0</v>
      </c>
      <c r="AY94" s="66">
        <f t="shared" si="56"/>
        <v>0</v>
      </c>
      <c r="AZ94" t="str">
        <f t="shared" si="123"/>
        <v>00060</v>
      </c>
      <c r="BA94" t="str">
        <f t="shared" si="124"/>
        <v>Muerte Accidental</v>
      </c>
      <c r="BB94" s="118">
        <f t="shared" si="125"/>
        <v>0</v>
      </c>
      <c r="BC94" s="118" t="str">
        <f t="shared" si="126"/>
        <v>A</v>
      </c>
      <c r="BD94" s="119" t="str">
        <f>+IF(OR($W94="",BB94=0),"",ROUND((VLOOKUP(ROUNDDOWN($D94-1/frec,0),cob_adi,AO$40,FALSE)*(1+i/frec)^-0.5*(1+Parámetros!$D$103)*(1+rec_fracc)/frec),6))</f>
        <v/>
      </c>
      <c r="BE94" s="66">
        <f t="shared" si="61"/>
        <v>0</v>
      </c>
      <c r="BF94" s="119" t="str">
        <f t="shared" si="62"/>
        <v/>
      </c>
      <c r="BG94" s="66">
        <f>+IF($W94="","",ROUND(IF($B94&gt;Parámetros!$D$107,'Tablas Servicio'!BE94+('Tablas Servicio'!BG93-'Tablas Servicio'!BE93),BE94/(1-IF(B94&lt;=10,Parámetros!$D$100,0))),2))</f>
        <v>0</v>
      </c>
      <c r="BH94" s="66">
        <f t="shared" si="63"/>
        <v>0</v>
      </c>
      <c r="BI94" s="66">
        <f t="shared" si="64"/>
        <v>0</v>
      </c>
      <c r="BJ94" s="66">
        <f>+IF($W94="","",ROUND((BG94*Parámetros!$G$85),2))</f>
        <v>0</v>
      </c>
      <c r="BK94" s="66">
        <f>+IF($W94="","",ROUND((BG94*(Parámetros!$G$86)),2))</f>
        <v>0</v>
      </c>
      <c r="BL94" s="66">
        <f t="shared" si="65"/>
        <v>0</v>
      </c>
      <c r="BM94" t="str">
        <f t="shared" si="127"/>
        <v>00061</v>
      </c>
      <c r="BN94" t="str">
        <f t="shared" si="128"/>
        <v>Gastos de Entierro</v>
      </c>
      <c r="BO94" s="118">
        <f t="shared" si="129"/>
        <v>0</v>
      </c>
      <c r="BP94" s="118" t="str">
        <f t="shared" si="130"/>
        <v>A</v>
      </c>
      <c r="BQ94" s="119" t="str">
        <f>+IF(OR($W94="",BO94=0),"",ROUND((VLOOKUP(ROUNDDOWN($D94-1/frec,0),cob_adi,BB$40,FALSE)*(1+i/frec)^-0.5*(1+Parámetros!$D$103)*(1+rec_fracc)/frec),6))</f>
        <v/>
      </c>
      <c r="BR94" s="66">
        <f t="shared" si="70"/>
        <v>0</v>
      </c>
      <c r="BS94" s="119" t="str">
        <f t="shared" si="71"/>
        <v/>
      </c>
      <c r="BT94" s="66">
        <f>+IF($W94="","",ROUND(IF($B94&gt;Parámetros!$D$107,'Tablas Servicio'!BR94+('Tablas Servicio'!BT93-'Tablas Servicio'!BR93),BR94/(1-IF(B94&lt;=10,Parámetros!$D$100,0))),2))</f>
        <v>0</v>
      </c>
      <c r="BU94" s="66">
        <f t="shared" si="72"/>
        <v>0</v>
      </c>
      <c r="BV94" s="66">
        <f t="shared" si="72"/>
        <v>0</v>
      </c>
      <c r="BW94" s="66">
        <f>+IF($W94="","",ROUND((BT94*Parámetros!$G$85),2))</f>
        <v>0</v>
      </c>
      <c r="BX94" s="66">
        <f>+IF($W94="","",ROUND((BT94*(Parámetros!$G$86)),2))</f>
        <v>0</v>
      </c>
      <c r="BY94" s="66">
        <f t="shared" si="73"/>
        <v>0</v>
      </c>
      <c r="BZ94" t="str">
        <f t="shared" si="131"/>
        <v>00062</v>
      </c>
      <c r="CA94" t="str">
        <f t="shared" si="132"/>
        <v>Gastos médicos por accidente</v>
      </c>
      <c r="CB94" s="118">
        <f t="shared" si="133"/>
        <v>0</v>
      </c>
      <c r="CC94" s="118" t="str">
        <f t="shared" si="134"/>
        <v>A</v>
      </c>
      <c r="CD94" s="119" t="str">
        <f t="shared" si="78"/>
        <v/>
      </c>
      <c r="CE94" s="66">
        <f>+IF($W94="","",ROUND((VLOOKUP(ROUNDDOWN($D94-1/frec,0),cob_adi,BO$40,FALSE)*(1+i/frec)^-0.5*(1+Parámetros!$D$103)*(1+rec_fracc)/frec*'TABLAS ADI'!$BC$17),2))</f>
        <v>0</v>
      </c>
      <c r="CF94" s="119" t="str">
        <f t="shared" si="79"/>
        <v/>
      </c>
      <c r="CG94" s="66">
        <f>+IF($W94="","",ROUND(IF($B94&gt;Parámetros!$D$107,'Tablas Servicio'!CE94+('Tablas Servicio'!CG93-'Tablas Servicio'!CE93),CE94/(1-IF(B94&lt;=10,Parámetros!$D$100,0))),2))</f>
        <v>0</v>
      </c>
      <c r="CH94" s="66">
        <f t="shared" si="80"/>
        <v>0</v>
      </c>
      <c r="CI94" s="66">
        <f t="shared" si="80"/>
        <v>0</v>
      </c>
      <c r="CJ94" s="66">
        <f>+IF($W94="","",ROUND((CG94*Parámetros!$G$85),2))</f>
        <v>0</v>
      </c>
      <c r="CK94" s="66">
        <f>+IF($W94="","",ROUND((CG94*(Parámetros!$G$86)),2))</f>
        <v>0</v>
      </c>
      <c r="CL94" s="66">
        <f t="shared" si="81"/>
        <v>0</v>
      </c>
      <c r="CM94" t="str">
        <f t="shared" si="135"/>
        <v>00063</v>
      </c>
      <c r="CN94" s="118" t="str">
        <f t="shared" si="136"/>
        <v>Renta Diaria por Hospitalización</v>
      </c>
      <c r="CO94" s="118">
        <f t="shared" si="137"/>
        <v>0</v>
      </c>
      <c r="CP94" s="118" t="str">
        <f t="shared" si="138"/>
        <v>A</v>
      </c>
      <c r="CQ94" s="119" t="str">
        <f t="shared" si="86"/>
        <v/>
      </c>
      <c r="CR94" s="66">
        <f>+IF($W94="","",ROUND((VLOOKUP(Parámetros!$F$51,'COBERTURAS ADICIONALES'!$S$4:$T$32,2,FALSE)*(1+i/frec)^-0.5*(1+Parámetros!$D$103)*(1+rec_fracc)/frec*$CO$42),2))</f>
        <v>0</v>
      </c>
      <c r="CS94" s="119" t="str">
        <f t="shared" si="87"/>
        <v/>
      </c>
      <c r="CT94" s="66">
        <f>+IF($W94="","",ROUND(IF($B94&gt;Parámetros!$D$107,'Tablas Servicio'!CR94+('Tablas Servicio'!CT93-'Tablas Servicio'!CR93),CR94/(1-IF(B94&lt;=10,Parámetros!$D$100,0))),2))</f>
        <v>0</v>
      </c>
      <c r="CU94" s="66">
        <f t="shared" si="88"/>
        <v>0</v>
      </c>
      <c r="CV94" s="66">
        <f t="shared" si="88"/>
        <v>0</v>
      </c>
      <c r="CW94" s="66">
        <f>+IF($W94="","",ROUND((CT94*Parámetros!$G$85),2))</f>
        <v>0</v>
      </c>
      <c r="CX94" s="66">
        <f>+IF($W94="","",ROUND((CT94*(Parámetros!$G$86)),2))</f>
        <v>0</v>
      </c>
      <c r="CY94" s="66">
        <f t="shared" si="89"/>
        <v>0</v>
      </c>
      <c r="CZ94" t="str">
        <f t="shared" si="139"/>
        <v>00064</v>
      </c>
      <c r="DA94" s="118" t="str">
        <f t="shared" si="140"/>
        <v>Enfermedades Graves</v>
      </c>
      <c r="DB94" s="118">
        <f t="shared" si="141"/>
        <v>0</v>
      </c>
      <c r="DC94" s="118" t="str">
        <f t="shared" si="142"/>
        <v>A</v>
      </c>
      <c r="DD94" s="121" t="str">
        <f>+IF(OR($W94="",DB94=0),"",ROUND((VLOOKUP(ROUNDDOWN($D94-1/frec,0),cob_adi,CO$40,FALSE)*(1+i/frec)^-0.5*(1+Parámetros!$D$103)*(1+rec_fracc)/frec),6))</f>
        <v/>
      </c>
      <c r="DE94" s="66">
        <f t="shared" si="94"/>
        <v>0</v>
      </c>
      <c r="DF94" s="119" t="str">
        <f t="shared" si="95"/>
        <v/>
      </c>
      <c r="DG94" s="66">
        <f>+IF($W94="","",ROUND(IF($B94&gt;Parámetros!$D$107,'Tablas Servicio'!DE94+('Tablas Servicio'!DG93-'Tablas Servicio'!DE93),DE94/(1-IF(B94&lt;=10,Parámetros!$D$100,0))),2))</f>
        <v>0</v>
      </c>
      <c r="DH94" s="66">
        <f t="shared" si="96"/>
        <v>0</v>
      </c>
      <c r="DI94" s="66">
        <f t="shared" si="96"/>
        <v>0</v>
      </c>
      <c r="DJ94" s="66">
        <f>+IF($W94="","",ROUND((DG94*Parámetros!$G$85),2))</f>
        <v>0</v>
      </c>
      <c r="DK94" s="66">
        <f>+IF($W94="","",ROUND((DG94*(Parámetros!$G$86)),2))</f>
        <v>0</v>
      </c>
      <c r="DL94" s="66">
        <f t="shared" si="97"/>
        <v>0</v>
      </c>
      <c r="DM94" t="str">
        <f t="shared" si="143"/>
        <v>00065</v>
      </c>
      <c r="DN94" s="118" t="str">
        <f t="shared" si="144"/>
        <v>Exención pago de primas</v>
      </c>
      <c r="DO94" s="118">
        <f t="shared" si="145"/>
        <v>0</v>
      </c>
      <c r="DP94" s="118" t="str">
        <f t="shared" si="146"/>
        <v>A</v>
      </c>
      <c r="DQ94" s="122" t="str">
        <f>+IF(OR($W94="",DO94=0),"",ROUND((VLOOKUP(ROUNDDOWN($D94-1/frec,0),cob_adi,DB$40,FALSE)*(1+i/frec)^-0.5*(1+Parámetros!$D$103)*(1+rec_fracc)/frec),6))</f>
        <v/>
      </c>
      <c r="DR94" s="66">
        <f t="shared" si="102"/>
        <v>0</v>
      </c>
      <c r="DS94" s="68" t="str">
        <f t="shared" si="103"/>
        <v/>
      </c>
      <c r="DT94" s="66">
        <f>+IF($W94="","",ROUND(IF($B94&gt;Parámetros!$D$107,'Tablas Servicio'!DR94+('Tablas Servicio'!DT93-'Tablas Servicio'!DR93),DR94/(1-IF(B94&lt;=10,Parámetros!$D$100,0))),2))</f>
        <v>0</v>
      </c>
      <c r="DU94" s="66">
        <f t="shared" si="104"/>
        <v>0</v>
      </c>
      <c r="DV94" s="66">
        <f t="shared" si="104"/>
        <v>0</v>
      </c>
      <c r="DW94" s="66">
        <f>+IF($W94="","",ROUND((DT94*Parámetros!$G$85),2))</f>
        <v>0</v>
      </c>
      <c r="DX94" s="66">
        <f>+IF($W94="","",ROUND((DT94*(Parámetros!$G$86)),2))</f>
        <v>0</v>
      </c>
      <c r="DY94" s="66">
        <f t="shared" si="105"/>
        <v>0</v>
      </c>
      <c r="DZ94" t="str">
        <f t="shared" si="149"/>
        <v>00066</v>
      </c>
      <c r="EA94" s="118" t="str">
        <f t="shared" si="149"/>
        <v>Enfermedad terminal</v>
      </c>
      <c r="EB94" s="118">
        <f>+IF($W94="","",ROUND(IF(Parámetros!$D$25='TABLAS MORT'!$V$33,EB93,Z94/2),0))</f>
        <v>50000</v>
      </c>
      <c r="EC94" s="118" t="str">
        <f t="shared" si="149"/>
        <v>A</v>
      </c>
      <c r="ED94" s="122">
        <f>+IF(OR($W94="",EB94=0),"",ROUND((VLOOKUP(ROUNDDOWN($D94-1/frec,0),cob_adi,DO$40,FALSE)*(1+i/frec)^-0.5*(1+Parámetros!$D$103)*(1+rec_fracc)/frec),6))</f>
        <v>7.9999999999999996E-6</v>
      </c>
      <c r="EE94" s="66">
        <f t="shared" si="107"/>
        <v>0.4</v>
      </c>
      <c r="EF94" s="68">
        <f t="shared" si="108"/>
        <v>9.0000000000000002E-6</v>
      </c>
      <c r="EG94" s="66">
        <f>+IF($W94="","",ROUND(IF($B94&gt;Parámetros!$D$107,'Tablas Servicio'!EE94+('Tablas Servicio'!EG93-'Tablas Servicio'!EE93),EE94/(1-IF(B94&lt;=10,Parámetros!$D$100,0))),2))</f>
        <v>0.45</v>
      </c>
      <c r="EH94" s="66">
        <f t="shared" si="109"/>
        <v>0</v>
      </c>
      <c r="EI94" s="66">
        <f t="shared" si="109"/>
        <v>0</v>
      </c>
      <c r="EJ94" s="66">
        <f>+IF($W94="","",ROUND((EG94*Parámetros!$G$85),2))</f>
        <v>0.02</v>
      </c>
      <c r="EK94" s="66">
        <f>+IF($W94="","",ROUND((EG94*(Parámetros!$G$86)),2))</f>
        <v>0</v>
      </c>
      <c r="EL94" s="66">
        <f t="shared" si="110"/>
        <v>0.47</v>
      </c>
    </row>
    <row r="95" spans="1:142" x14ac:dyDescent="0.25">
      <c r="A95">
        <f>+IF($C95="","",ROUND(VLOOKUP('Tablas Servicio'!B95,Parámetros!$H$100:$J$159,IF(Parámetros!$E$16="F",2,3),FALSE),2))</f>
        <v>150</v>
      </c>
      <c r="B95">
        <f t="shared" si="27"/>
        <v>5</v>
      </c>
      <c r="C95" s="57">
        <f>+IF(D95="","",'Tablas Servicio'!C94+1)</f>
        <v>54</v>
      </c>
      <c r="D95" s="56">
        <f>+IF(D94&lt;edadmaxtabla,D94+1/Parámetros!$E$25,"")</f>
        <v>44.520000000000131</v>
      </c>
      <c r="E95" s="57">
        <f t="shared" si="37"/>
        <v>44</v>
      </c>
      <c r="F95" s="59">
        <f t="shared" si="38"/>
        <v>100000</v>
      </c>
      <c r="G95" s="66">
        <f t="shared" si="39"/>
        <v>31.07</v>
      </c>
      <c r="H95" s="66">
        <f t="shared" si="28"/>
        <v>32.31</v>
      </c>
      <c r="I95" s="66">
        <f t="shared" si="112"/>
        <v>54.339999999999996</v>
      </c>
      <c r="J95" s="66">
        <f t="shared" si="29"/>
        <v>1.0900000000000001</v>
      </c>
      <c r="K95" s="66">
        <f t="shared" si="30"/>
        <v>0.15</v>
      </c>
      <c r="L95" s="66">
        <f t="shared" si="31"/>
        <v>0</v>
      </c>
      <c r="M95" s="66">
        <f t="shared" si="32"/>
        <v>0</v>
      </c>
      <c r="N95" s="66">
        <f>+IF(C95="","",ROUND(Parámetros!$D$23,2))</f>
        <v>94</v>
      </c>
      <c r="O95" s="66">
        <f t="shared" si="33"/>
        <v>15.200000000000001</v>
      </c>
      <c r="P95" s="66">
        <f>+IF($C95="","",ROUND(IF(B95&gt;Parámetros!$D$117,0,N95*Parámetros!$D$116-G95*Parámetros!$D$100),2))</f>
        <v>7.35</v>
      </c>
      <c r="Q95" s="75">
        <f t="shared" si="113"/>
        <v>3.5082072738976504E-2</v>
      </c>
      <c r="R95" s="75">
        <f t="shared" si="114"/>
        <v>4.8278081750885099E-3</v>
      </c>
      <c r="S95" s="117">
        <f>+IF($C95="","",ROUND((S94+I95)*(1+Parámetros!$D$91),2))</f>
        <v>3417</v>
      </c>
      <c r="T95" s="117">
        <f>+IF($C95="","",ROUND(S95*VLOOKUP(B95,Parámetros!$C$30:$D$39,2,TRUE),2))</f>
        <v>1366.8</v>
      </c>
      <c r="U95" s="117">
        <f>+IF($C95="","",ROUND((U94+I95)*(1+Parámetros!$D$92),2))</f>
        <v>3457.13</v>
      </c>
      <c r="V95" s="117">
        <f>+IF($C95="","",ROUND(U95*VLOOKUP(B95,Parámetros!$C$30:$D$39,2,TRUE),2))</f>
        <v>1382.85</v>
      </c>
      <c r="W95" s="57">
        <f t="shared" si="115"/>
        <v>54</v>
      </c>
      <c r="X95" t="str">
        <f t="shared" si="116"/>
        <v>00058</v>
      </c>
      <c r="Y95" t="str">
        <f t="shared" si="117"/>
        <v>MUERTE POR CUALQUIER CAUSA</v>
      </c>
      <c r="Z95" s="118">
        <f>+IF($W95="","",ROUND(IF(Parámetros!$D$25='TABLAS MORT'!$V$33,Z94,Parámetros!$D$21-'Tablas Servicio'!T94),0))</f>
        <v>100000</v>
      </c>
      <c r="AA95" s="118" t="str">
        <f t="shared" si="118"/>
        <v>P</v>
      </c>
      <c r="AB95" s="119">
        <f>+IF(W95="","",ROUND((VLOOKUP(ROUNDDOWN($D95-1/frec,0),qx_tabla,2,FALSE)*(1+i/frec)^-0.5*(1+Parámetros!$D$103)*(1+rec_fracc)/frec),6))</f>
        <v>1.4799999999999999E-4</v>
      </c>
      <c r="AC95" s="66">
        <f t="shared" si="46"/>
        <v>14.8</v>
      </c>
      <c r="AD95" s="119">
        <f t="shared" si="35"/>
        <v>3.0600000000000001E-4</v>
      </c>
      <c r="AE95" s="66">
        <f>+IF($W95="","",ROUND(IF($B95&gt;Parámetros!$D$107,'Tablas Servicio'!AC95+('Tablas Servicio'!AG94-'Tablas Servicio'!AC94),AC95/(1-IF(B95&lt;=10,Parámetros!$D$104,Parámetros!$D$105))),2))</f>
        <v>30.62</v>
      </c>
      <c r="AF95" s="66">
        <f>+IF($W95="","",ROUND(IF($B95&gt;Parámetros!$D$107,'Tablas Servicio'!AC95+('Tablas Servicio'!AG94-'Tablas Servicio'!AC94),(AC95+$A94/frec)/(1-IF(B95&lt;=Parámetros!$D$117,Parámetros!$D$100,0))),2))</f>
        <v>30.91</v>
      </c>
      <c r="AG95" s="66">
        <f t="shared" si="111"/>
        <v>30.62</v>
      </c>
      <c r="AH95" s="66">
        <f t="shared" si="47"/>
        <v>0</v>
      </c>
      <c r="AI95" s="66">
        <f t="shared" si="48"/>
        <v>0</v>
      </c>
      <c r="AJ95" s="66">
        <f>+IF($W95="","",ROUND((AG95*Parámetros!$G$85),2))</f>
        <v>1.07</v>
      </c>
      <c r="AK95" s="66">
        <f>+IF($W95="","",ROUND((AG95*(Parámetros!$G$86)),2))</f>
        <v>0.15</v>
      </c>
      <c r="AL95" s="66">
        <f t="shared" si="36"/>
        <v>31.84</v>
      </c>
      <c r="AM95" t="str">
        <f t="shared" si="119"/>
        <v>00059</v>
      </c>
      <c r="AN95" t="str">
        <f t="shared" si="120"/>
        <v>Incapacidad Total y Permanente</v>
      </c>
      <c r="AO95" s="118">
        <f t="shared" si="121"/>
        <v>0</v>
      </c>
      <c r="AP95" s="118" t="str">
        <f t="shared" si="122"/>
        <v>A</v>
      </c>
      <c r="AQ95" s="119" t="str">
        <f>+IF(OR($W95="",AO95=0),"",ROUND((VLOOKUP(ROUNDDOWN($D95-1/frec,0),cob_adi,Z$40,FALSE)*(1+i/frec)^-0.5*(1+Parámetros!$D$103)*(1+rec_fracc)/frec),6))</f>
        <v/>
      </c>
      <c r="AR95" s="66">
        <f t="shared" si="53"/>
        <v>0</v>
      </c>
      <c r="AS95" s="119" t="str">
        <f t="shared" si="54"/>
        <v/>
      </c>
      <c r="AT95" s="66">
        <f>+IF($W95="","",ROUND(IF($B95&gt;Parámetros!$D$107,'Tablas Servicio'!AR95+('Tablas Servicio'!AT94-'Tablas Servicio'!AR94),AR95/(1-IF(B95&lt;=10,Parámetros!$D$100,0))),2))</f>
        <v>0</v>
      </c>
      <c r="AU95" s="66">
        <f t="shared" si="55"/>
        <v>0</v>
      </c>
      <c r="AV95" s="66">
        <f t="shared" si="55"/>
        <v>0</v>
      </c>
      <c r="AW95" s="66">
        <f>+IF($W95="","",ROUND((AT95*Parámetros!$G$85),2))</f>
        <v>0</v>
      </c>
      <c r="AX95" s="66">
        <f>+IF($W95="","",ROUND((AT95*(Parámetros!$G$86)),2))</f>
        <v>0</v>
      </c>
      <c r="AY95" s="66">
        <f t="shared" si="56"/>
        <v>0</v>
      </c>
      <c r="AZ95" t="str">
        <f t="shared" si="123"/>
        <v>00060</v>
      </c>
      <c r="BA95" t="str">
        <f t="shared" si="124"/>
        <v>Muerte Accidental</v>
      </c>
      <c r="BB95" s="118">
        <f t="shared" si="125"/>
        <v>0</v>
      </c>
      <c r="BC95" s="118" t="str">
        <f t="shared" si="126"/>
        <v>A</v>
      </c>
      <c r="BD95" s="119" t="str">
        <f>+IF(OR($W95="",BB95=0),"",ROUND((VLOOKUP(ROUNDDOWN($D95-1/frec,0),cob_adi,AO$40,FALSE)*(1+i/frec)^-0.5*(1+Parámetros!$D$103)*(1+rec_fracc)/frec),6))</f>
        <v/>
      </c>
      <c r="BE95" s="66">
        <f t="shared" si="61"/>
        <v>0</v>
      </c>
      <c r="BF95" s="119" t="str">
        <f t="shared" si="62"/>
        <v/>
      </c>
      <c r="BG95" s="66">
        <f>+IF($W95="","",ROUND(IF($B95&gt;Parámetros!$D$107,'Tablas Servicio'!BE95+('Tablas Servicio'!BG94-'Tablas Servicio'!BE94),BE95/(1-IF(B95&lt;=10,Parámetros!$D$100,0))),2))</f>
        <v>0</v>
      </c>
      <c r="BH95" s="66">
        <f t="shared" si="63"/>
        <v>0</v>
      </c>
      <c r="BI95" s="66">
        <f t="shared" si="64"/>
        <v>0</v>
      </c>
      <c r="BJ95" s="66">
        <f>+IF($W95="","",ROUND((BG95*Parámetros!$G$85),2))</f>
        <v>0</v>
      </c>
      <c r="BK95" s="66">
        <f>+IF($W95="","",ROUND((BG95*(Parámetros!$G$86)),2))</f>
        <v>0</v>
      </c>
      <c r="BL95" s="66">
        <f t="shared" si="65"/>
        <v>0</v>
      </c>
      <c r="BM95" t="str">
        <f t="shared" si="127"/>
        <v>00061</v>
      </c>
      <c r="BN95" t="str">
        <f t="shared" si="128"/>
        <v>Gastos de Entierro</v>
      </c>
      <c r="BO95" s="118">
        <f t="shared" si="129"/>
        <v>0</v>
      </c>
      <c r="BP95" s="118" t="str">
        <f t="shared" si="130"/>
        <v>A</v>
      </c>
      <c r="BQ95" s="119" t="str">
        <f>+IF(OR($W95="",BO95=0),"",ROUND((VLOOKUP(ROUNDDOWN($D95-1/frec,0),cob_adi,BB$40,FALSE)*(1+i/frec)^-0.5*(1+Parámetros!$D$103)*(1+rec_fracc)/frec),6))</f>
        <v/>
      </c>
      <c r="BR95" s="66">
        <f t="shared" si="70"/>
        <v>0</v>
      </c>
      <c r="BS95" s="119" t="str">
        <f t="shared" si="71"/>
        <v/>
      </c>
      <c r="BT95" s="66">
        <f>+IF($W95="","",ROUND(IF($B95&gt;Parámetros!$D$107,'Tablas Servicio'!BR95+('Tablas Servicio'!BT94-'Tablas Servicio'!BR94),BR95/(1-IF(B95&lt;=10,Parámetros!$D$100,0))),2))</f>
        <v>0</v>
      </c>
      <c r="BU95" s="66">
        <f t="shared" si="72"/>
        <v>0</v>
      </c>
      <c r="BV95" s="66">
        <f t="shared" si="72"/>
        <v>0</v>
      </c>
      <c r="BW95" s="66">
        <f>+IF($W95="","",ROUND((BT95*Parámetros!$G$85),2))</f>
        <v>0</v>
      </c>
      <c r="BX95" s="66">
        <f>+IF($W95="","",ROUND((BT95*(Parámetros!$G$86)),2))</f>
        <v>0</v>
      </c>
      <c r="BY95" s="66">
        <f t="shared" si="73"/>
        <v>0</v>
      </c>
      <c r="BZ95" t="str">
        <f t="shared" si="131"/>
        <v>00062</v>
      </c>
      <c r="CA95" t="str">
        <f t="shared" si="132"/>
        <v>Gastos médicos por accidente</v>
      </c>
      <c r="CB95" s="118">
        <f t="shared" si="133"/>
        <v>0</v>
      </c>
      <c r="CC95" s="118" t="str">
        <f t="shared" si="134"/>
        <v>A</v>
      </c>
      <c r="CD95" s="119" t="str">
        <f t="shared" si="78"/>
        <v/>
      </c>
      <c r="CE95" s="66">
        <f>+IF($W95="","",ROUND((VLOOKUP(ROUNDDOWN($D95-1/frec,0),cob_adi,BO$40,FALSE)*(1+i/frec)^-0.5*(1+Parámetros!$D$103)*(1+rec_fracc)/frec*'TABLAS ADI'!$BC$17),2))</f>
        <v>0</v>
      </c>
      <c r="CF95" s="119" t="str">
        <f t="shared" si="79"/>
        <v/>
      </c>
      <c r="CG95" s="66">
        <f>+IF($W95="","",ROUND(IF($B95&gt;Parámetros!$D$107,'Tablas Servicio'!CE95+('Tablas Servicio'!CG94-'Tablas Servicio'!CE94),CE95/(1-IF(B95&lt;=10,Parámetros!$D$100,0))),2))</f>
        <v>0</v>
      </c>
      <c r="CH95" s="66">
        <f t="shared" si="80"/>
        <v>0</v>
      </c>
      <c r="CI95" s="66">
        <f t="shared" si="80"/>
        <v>0</v>
      </c>
      <c r="CJ95" s="66">
        <f>+IF($W95="","",ROUND((CG95*Parámetros!$G$85),2))</f>
        <v>0</v>
      </c>
      <c r="CK95" s="66">
        <f>+IF($W95="","",ROUND((CG95*(Parámetros!$G$86)),2))</f>
        <v>0</v>
      </c>
      <c r="CL95" s="66">
        <f t="shared" si="81"/>
        <v>0</v>
      </c>
      <c r="CM95" t="str">
        <f t="shared" si="135"/>
        <v>00063</v>
      </c>
      <c r="CN95" s="118" t="str">
        <f t="shared" si="136"/>
        <v>Renta Diaria por Hospitalización</v>
      </c>
      <c r="CO95" s="118">
        <f t="shared" si="137"/>
        <v>0</v>
      </c>
      <c r="CP95" s="118" t="str">
        <f t="shared" si="138"/>
        <v>A</v>
      </c>
      <c r="CQ95" s="119" t="str">
        <f t="shared" si="86"/>
        <v/>
      </c>
      <c r="CR95" s="66">
        <f>+IF($W95="","",ROUND((VLOOKUP(Parámetros!$F$51,'COBERTURAS ADICIONALES'!$S$4:$T$32,2,FALSE)*(1+i/frec)^-0.5*(1+Parámetros!$D$103)*(1+rec_fracc)/frec*$CO$42),2))</f>
        <v>0</v>
      </c>
      <c r="CS95" s="119" t="str">
        <f t="shared" si="87"/>
        <v/>
      </c>
      <c r="CT95" s="66">
        <f>+IF($W95="","",ROUND(IF($B95&gt;Parámetros!$D$107,'Tablas Servicio'!CR95+('Tablas Servicio'!CT94-'Tablas Servicio'!CR94),CR95/(1-IF(B95&lt;=10,Parámetros!$D$100,0))),2))</f>
        <v>0</v>
      </c>
      <c r="CU95" s="66">
        <f t="shared" si="88"/>
        <v>0</v>
      </c>
      <c r="CV95" s="66">
        <f t="shared" si="88"/>
        <v>0</v>
      </c>
      <c r="CW95" s="66">
        <f>+IF($W95="","",ROUND((CT95*Parámetros!$G$85),2))</f>
        <v>0</v>
      </c>
      <c r="CX95" s="66">
        <f>+IF($W95="","",ROUND((CT95*(Parámetros!$G$86)),2))</f>
        <v>0</v>
      </c>
      <c r="CY95" s="66">
        <f t="shared" si="89"/>
        <v>0</v>
      </c>
      <c r="CZ95" t="str">
        <f t="shared" si="139"/>
        <v>00064</v>
      </c>
      <c r="DA95" s="118" t="str">
        <f t="shared" si="140"/>
        <v>Enfermedades Graves</v>
      </c>
      <c r="DB95" s="118">
        <f t="shared" si="141"/>
        <v>0</v>
      </c>
      <c r="DC95" s="118" t="str">
        <f t="shared" si="142"/>
        <v>A</v>
      </c>
      <c r="DD95" s="121" t="str">
        <f>+IF(OR($W95="",DB95=0),"",ROUND((VLOOKUP(ROUNDDOWN($D95-1/frec,0),cob_adi,CO$40,FALSE)*(1+i/frec)^-0.5*(1+Parámetros!$D$103)*(1+rec_fracc)/frec),6))</f>
        <v/>
      </c>
      <c r="DE95" s="66">
        <f t="shared" si="94"/>
        <v>0</v>
      </c>
      <c r="DF95" s="119" t="str">
        <f t="shared" si="95"/>
        <v/>
      </c>
      <c r="DG95" s="66">
        <f>+IF($W95="","",ROUND(IF($B95&gt;Parámetros!$D$107,'Tablas Servicio'!DE95+('Tablas Servicio'!DG94-'Tablas Servicio'!DE94),DE95/(1-IF(B95&lt;=10,Parámetros!$D$100,0))),2))</f>
        <v>0</v>
      </c>
      <c r="DH95" s="66">
        <f t="shared" si="96"/>
        <v>0</v>
      </c>
      <c r="DI95" s="66">
        <f t="shared" si="96"/>
        <v>0</v>
      </c>
      <c r="DJ95" s="66">
        <f>+IF($W95="","",ROUND((DG95*Parámetros!$G$85),2))</f>
        <v>0</v>
      </c>
      <c r="DK95" s="66">
        <f>+IF($W95="","",ROUND((DG95*(Parámetros!$G$86)),2))</f>
        <v>0</v>
      </c>
      <c r="DL95" s="66">
        <f t="shared" si="97"/>
        <v>0</v>
      </c>
      <c r="DM95" t="str">
        <f t="shared" si="143"/>
        <v>00065</v>
      </c>
      <c r="DN95" s="118" t="str">
        <f t="shared" si="144"/>
        <v>Exención pago de primas</v>
      </c>
      <c r="DO95" s="118">
        <f t="shared" si="145"/>
        <v>0</v>
      </c>
      <c r="DP95" s="118" t="str">
        <f t="shared" si="146"/>
        <v>A</v>
      </c>
      <c r="DQ95" s="122" t="str">
        <f>+IF(OR($W95="",DO95=0),"",ROUND((VLOOKUP(ROUNDDOWN($D95-1/frec,0),cob_adi,DB$40,FALSE)*(1+i/frec)^-0.5*(1+Parámetros!$D$103)*(1+rec_fracc)/frec),6))</f>
        <v/>
      </c>
      <c r="DR95" s="66">
        <f t="shared" si="102"/>
        <v>0</v>
      </c>
      <c r="DS95" s="68" t="str">
        <f t="shared" si="103"/>
        <v/>
      </c>
      <c r="DT95" s="66">
        <f>+IF($W95="","",ROUND(IF($B95&gt;Parámetros!$D$107,'Tablas Servicio'!DR95+('Tablas Servicio'!DT94-'Tablas Servicio'!DR94),DR95/(1-IF(B95&lt;=10,Parámetros!$D$100,0))),2))</f>
        <v>0</v>
      </c>
      <c r="DU95" s="66">
        <f t="shared" si="104"/>
        <v>0</v>
      </c>
      <c r="DV95" s="66">
        <f t="shared" si="104"/>
        <v>0</v>
      </c>
      <c r="DW95" s="66">
        <f>+IF($W95="","",ROUND((DT95*Parámetros!$G$85),2))</f>
        <v>0</v>
      </c>
      <c r="DX95" s="66">
        <f>+IF($W95="","",ROUND((DT95*(Parámetros!$G$86)),2))</f>
        <v>0</v>
      </c>
      <c r="DY95" s="66">
        <f t="shared" si="105"/>
        <v>0</v>
      </c>
      <c r="DZ95" t="str">
        <f t="shared" si="149"/>
        <v>00066</v>
      </c>
      <c r="EA95" s="118" t="str">
        <f t="shared" si="149"/>
        <v>Enfermedad terminal</v>
      </c>
      <c r="EB95" s="118">
        <f>+IF($W95="","",ROUND(IF(Parámetros!$D$25='TABLAS MORT'!$V$33,EB94,Z95/2),0))</f>
        <v>50000</v>
      </c>
      <c r="EC95" s="118" t="str">
        <f t="shared" si="149"/>
        <v>A</v>
      </c>
      <c r="ED95" s="122">
        <f>+IF(OR($W95="",EB95=0),"",ROUND((VLOOKUP(ROUNDDOWN($D95-1/frec,0),cob_adi,DO$40,FALSE)*(1+i/frec)^-0.5*(1+Parámetros!$D$103)*(1+rec_fracc)/frec),6))</f>
        <v>7.9999999999999996E-6</v>
      </c>
      <c r="EE95" s="66">
        <f t="shared" si="107"/>
        <v>0.4</v>
      </c>
      <c r="EF95" s="68">
        <f t="shared" si="108"/>
        <v>9.0000000000000002E-6</v>
      </c>
      <c r="EG95" s="66">
        <f>+IF($W95="","",ROUND(IF($B95&gt;Parámetros!$D$107,'Tablas Servicio'!EE95+('Tablas Servicio'!EG94-'Tablas Servicio'!EE94),EE95/(1-IF(B95&lt;=10,Parámetros!$D$100,0))),2))</f>
        <v>0.45</v>
      </c>
      <c r="EH95" s="66">
        <f t="shared" si="109"/>
        <v>0</v>
      </c>
      <c r="EI95" s="66">
        <f t="shared" si="109"/>
        <v>0</v>
      </c>
      <c r="EJ95" s="66">
        <f>+IF($W95="","",ROUND((EG95*Parámetros!$G$85),2))</f>
        <v>0.02</v>
      </c>
      <c r="EK95" s="66">
        <f>+IF($W95="","",ROUND((EG95*(Parámetros!$G$86)),2))</f>
        <v>0</v>
      </c>
      <c r="EL95" s="66">
        <f t="shared" si="110"/>
        <v>0.47</v>
      </c>
    </row>
    <row r="96" spans="1:142" x14ac:dyDescent="0.25">
      <c r="A96">
        <f>+IF($C96="","",ROUND(VLOOKUP('Tablas Servicio'!B96,Parámetros!$H$100:$J$159,IF(Parámetros!$E$16="F",2,3),FALSE),2))</f>
        <v>150</v>
      </c>
      <c r="B96">
        <f t="shared" si="27"/>
        <v>5</v>
      </c>
      <c r="C96" s="57">
        <f>+IF(D96="","",'Tablas Servicio'!C95+1)</f>
        <v>55</v>
      </c>
      <c r="D96" s="56">
        <f>+IF(D95&lt;edadmaxtabla,D95+1/Parámetros!$E$25,"")</f>
        <v>44.603333333333467</v>
      </c>
      <c r="E96" s="57">
        <f t="shared" si="37"/>
        <v>44</v>
      </c>
      <c r="F96" s="59">
        <f t="shared" si="38"/>
        <v>100000</v>
      </c>
      <c r="G96" s="66">
        <f t="shared" si="39"/>
        <v>31.07</v>
      </c>
      <c r="H96" s="66">
        <f t="shared" si="28"/>
        <v>32.31</v>
      </c>
      <c r="I96" s="66">
        <f t="shared" si="112"/>
        <v>54.339999999999996</v>
      </c>
      <c r="J96" s="66">
        <f t="shared" si="29"/>
        <v>1.0900000000000001</v>
      </c>
      <c r="K96" s="66">
        <f t="shared" si="30"/>
        <v>0.15</v>
      </c>
      <c r="L96" s="66">
        <f t="shared" si="31"/>
        <v>0</v>
      </c>
      <c r="M96" s="66">
        <f t="shared" si="32"/>
        <v>0</v>
      </c>
      <c r="N96" s="66">
        <f>+IF(C96="","",ROUND(Parámetros!$D$23,2))</f>
        <v>94</v>
      </c>
      <c r="O96" s="66">
        <f t="shared" si="33"/>
        <v>15.200000000000001</v>
      </c>
      <c r="P96" s="66">
        <f>+IF($C96="","",ROUND(IF(B96&gt;Parámetros!$D$117,0,N96*Parámetros!$D$116-G96*Parámetros!$D$100),2))</f>
        <v>7.35</v>
      </c>
      <c r="Q96" s="75">
        <f t="shared" si="113"/>
        <v>3.5082072738976504E-2</v>
      </c>
      <c r="R96" s="75">
        <f t="shared" si="114"/>
        <v>4.8278081750885099E-3</v>
      </c>
      <c r="S96" s="117">
        <f>+IF($C96="","",ROUND((S95+I96)*(1+Parámetros!$D$91),2))</f>
        <v>3481.19</v>
      </c>
      <c r="T96" s="117">
        <f>+IF($C96="","",ROUND(S96*VLOOKUP(B96,Parámetros!$C$30:$D$39,2,TRUE),2))</f>
        <v>1392.48</v>
      </c>
      <c r="U96" s="117">
        <f>+IF($C96="","",ROUND((U95+I96)*(1+Parámetros!$D$92),2))</f>
        <v>3522.85</v>
      </c>
      <c r="V96" s="117">
        <f>+IF($C96="","",ROUND(U96*VLOOKUP(B96,Parámetros!$C$30:$D$39,2,TRUE),2))</f>
        <v>1409.14</v>
      </c>
      <c r="W96" s="57">
        <f t="shared" si="115"/>
        <v>55</v>
      </c>
      <c r="X96" t="str">
        <f t="shared" si="116"/>
        <v>00058</v>
      </c>
      <c r="Y96" t="str">
        <f t="shared" si="117"/>
        <v>MUERTE POR CUALQUIER CAUSA</v>
      </c>
      <c r="Z96" s="118">
        <f>+IF($W96="","",ROUND(IF(Parámetros!$D$25='TABLAS MORT'!$V$33,Z95,Parámetros!$D$21-'Tablas Servicio'!T95),0))</f>
        <v>100000</v>
      </c>
      <c r="AA96" s="118" t="str">
        <f t="shared" si="118"/>
        <v>P</v>
      </c>
      <c r="AB96" s="119">
        <f>+IF(W96="","",ROUND((VLOOKUP(ROUNDDOWN($D96-1/frec,0),qx_tabla,2,FALSE)*(1+i/frec)^-0.5*(1+Parámetros!$D$103)*(1+rec_fracc)/frec),6))</f>
        <v>1.4799999999999999E-4</v>
      </c>
      <c r="AC96" s="66">
        <f t="shared" si="46"/>
        <v>14.8</v>
      </c>
      <c r="AD96" s="119">
        <f t="shared" si="35"/>
        <v>3.0600000000000001E-4</v>
      </c>
      <c r="AE96" s="66">
        <f>+IF($W96="","",ROUND(IF($B96&gt;Parámetros!$D$107,'Tablas Servicio'!AC96+('Tablas Servicio'!AG95-'Tablas Servicio'!AC95),AC96/(1-IF(B96&lt;=10,Parámetros!$D$104,Parámetros!$D$105))),2))</f>
        <v>30.62</v>
      </c>
      <c r="AF96" s="66">
        <f>+IF($W96="","",ROUND(IF($B96&gt;Parámetros!$D$107,'Tablas Servicio'!AC96+('Tablas Servicio'!AG95-'Tablas Servicio'!AC95),(AC96+$A95/frec)/(1-IF(B96&lt;=Parámetros!$D$117,Parámetros!$D$100,0))),2))</f>
        <v>30.91</v>
      </c>
      <c r="AG96" s="66">
        <f t="shared" si="111"/>
        <v>30.62</v>
      </c>
      <c r="AH96" s="66">
        <f t="shared" si="47"/>
        <v>0</v>
      </c>
      <c r="AI96" s="66">
        <f t="shared" si="48"/>
        <v>0</v>
      </c>
      <c r="AJ96" s="66">
        <f>+IF($W96="","",ROUND((AG96*Parámetros!$G$85),2))</f>
        <v>1.07</v>
      </c>
      <c r="AK96" s="66">
        <f>+IF($W96="","",ROUND((AG96*(Parámetros!$G$86)),2))</f>
        <v>0.15</v>
      </c>
      <c r="AL96" s="66">
        <f t="shared" si="36"/>
        <v>31.84</v>
      </c>
      <c r="AM96" t="str">
        <f t="shared" si="119"/>
        <v>00059</v>
      </c>
      <c r="AN96" t="str">
        <f t="shared" si="120"/>
        <v>Incapacidad Total y Permanente</v>
      </c>
      <c r="AO96" s="118">
        <f t="shared" si="121"/>
        <v>0</v>
      </c>
      <c r="AP96" s="118" t="str">
        <f t="shared" si="122"/>
        <v>A</v>
      </c>
      <c r="AQ96" s="119" t="str">
        <f>+IF(OR($W96="",AO96=0),"",ROUND((VLOOKUP(ROUNDDOWN($D96-1/frec,0),cob_adi,Z$40,FALSE)*(1+i/frec)^-0.5*(1+Parámetros!$D$103)*(1+rec_fracc)/frec),6))</f>
        <v/>
      </c>
      <c r="AR96" s="66">
        <f t="shared" si="53"/>
        <v>0</v>
      </c>
      <c r="AS96" s="119" t="str">
        <f t="shared" si="54"/>
        <v/>
      </c>
      <c r="AT96" s="66">
        <f>+IF($W96="","",ROUND(IF($B96&gt;Parámetros!$D$107,'Tablas Servicio'!AR96+('Tablas Servicio'!AT95-'Tablas Servicio'!AR95),AR96/(1-IF(B96&lt;=10,Parámetros!$D$100,0))),2))</f>
        <v>0</v>
      </c>
      <c r="AU96" s="66">
        <f t="shared" si="55"/>
        <v>0</v>
      </c>
      <c r="AV96" s="66">
        <f t="shared" si="55"/>
        <v>0</v>
      </c>
      <c r="AW96" s="66">
        <f>+IF($W96="","",ROUND((AT96*Parámetros!$G$85),2))</f>
        <v>0</v>
      </c>
      <c r="AX96" s="66">
        <f>+IF($W96="","",ROUND((AT96*(Parámetros!$G$86)),2))</f>
        <v>0</v>
      </c>
      <c r="AY96" s="66">
        <f t="shared" si="56"/>
        <v>0</v>
      </c>
      <c r="AZ96" t="str">
        <f t="shared" si="123"/>
        <v>00060</v>
      </c>
      <c r="BA96" t="str">
        <f t="shared" si="124"/>
        <v>Muerte Accidental</v>
      </c>
      <c r="BB96" s="118">
        <f t="shared" si="125"/>
        <v>0</v>
      </c>
      <c r="BC96" s="118" t="str">
        <f t="shared" si="126"/>
        <v>A</v>
      </c>
      <c r="BD96" s="119" t="str">
        <f>+IF(OR($W96="",BB96=0),"",ROUND((VLOOKUP(ROUNDDOWN($D96-1/frec,0),cob_adi,AO$40,FALSE)*(1+i/frec)^-0.5*(1+Parámetros!$D$103)*(1+rec_fracc)/frec),6))</f>
        <v/>
      </c>
      <c r="BE96" s="66">
        <f t="shared" si="61"/>
        <v>0</v>
      </c>
      <c r="BF96" s="119" t="str">
        <f t="shared" si="62"/>
        <v/>
      </c>
      <c r="BG96" s="66">
        <f>+IF($W96="","",ROUND(IF($B96&gt;Parámetros!$D$107,'Tablas Servicio'!BE96+('Tablas Servicio'!BG95-'Tablas Servicio'!BE95),BE96/(1-IF(B96&lt;=10,Parámetros!$D$100,0))),2))</f>
        <v>0</v>
      </c>
      <c r="BH96" s="66">
        <f t="shared" si="63"/>
        <v>0</v>
      </c>
      <c r="BI96" s="66">
        <f t="shared" si="64"/>
        <v>0</v>
      </c>
      <c r="BJ96" s="66">
        <f>+IF($W96="","",ROUND((BG96*Parámetros!$G$85),2))</f>
        <v>0</v>
      </c>
      <c r="BK96" s="66">
        <f>+IF($W96="","",ROUND((BG96*(Parámetros!$G$86)),2))</f>
        <v>0</v>
      </c>
      <c r="BL96" s="66">
        <f t="shared" si="65"/>
        <v>0</v>
      </c>
      <c r="BM96" t="str">
        <f t="shared" si="127"/>
        <v>00061</v>
      </c>
      <c r="BN96" t="str">
        <f t="shared" si="128"/>
        <v>Gastos de Entierro</v>
      </c>
      <c r="BO96" s="118">
        <f t="shared" si="129"/>
        <v>0</v>
      </c>
      <c r="BP96" s="118" t="str">
        <f t="shared" si="130"/>
        <v>A</v>
      </c>
      <c r="BQ96" s="119" t="str">
        <f>+IF(OR($W96="",BO96=0),"",ROUND((VLOOKUP(ROUNDDOWN($D96-1/frec,0),cob_adi,BB$40,FALSE)*(1+i/frec)^-0.5*(1+Parámetros!$D$103)*(1+rec_fracc)/frec),6))</f>
        <v/>
      </c>
      <c r="BR96" s="66">
        <f t="shared" si="70"/>
        <v>0</v>
      </c>
      <c r="BS96" s="119" t="str">
        <f t="shared" si="71"/>
        <v/>
      </c>
      <c r="BT96" s="66">
        <f>+IF($W96="","",ROUND(IF($B96&gt;Parámetros!$D$107,'Tablas Servicio'!BR96+('Tablas Servicio'!BT95-'Tablas Servicio'!BR95),BR96/(1-IF(B96&lt;=10,Parámetros!$D$100,0))),2))</f>
        <v>0</v>
      </c>
      <c r="BU96" s="66">
        <f t="shared" si="72"/>
        <v>0</v>
      </c>
      <c r="BV96" s="66">
        <f t="shared" si="72"/>
        <v>0</v>
      </c>
      <c r="BW96" s="66">
        <f>+IF($W96="","",ROUND((BT96*Parámetros!$G$85),2))</f>
        <v>0</v>
      </c>
      <c r="BX96" s="66">
        <f>+IF($W96="","",ROUND((BT96*(Parámetros!$G$86)),2))</f>
        <v>0</v>
      </c>
      <c r="BY96" s="66">
        <f t="shared" si="73"/>
        <v>0</v>
      </c>
      <c r="BZ96" t="str">
        <f t="shared" si="131"/>
        <v>00062</v>
      </c>
      <c r="CA96" t="str">
        <f t="shared" si="132"/>
        <v>Gastos médicos por accidente</v>
      </c>
      <c r="CB96" s="118">
        <f t="shared" si="133"/>
        <v>0</v>
      </c>
      <c r="CC96" s="118" t="str">
        <f t="shared" si="134"/>
        <v>A</v>
      </c>
      <c r="CD96" s="119" t="str">
        <f t="shared" si="78"/>
        <v/>
      </c>
      <c r="CE96" s="66">
        <f>+IF($W96="","",ROUND((VLOOKUP(ROUNDDOWN($D96-1/frec,0),cob_adi,BO$40,FALSE)*(1+i/frec)^-0.5*(1+Parámetros!$D$103)*(1+rec_fracc)/frec*'TABLAS ADI'!$BC$17),2))</f>
        <v>0</v>
      </c>
      <c r="CF96" s="119" t="str">
        <f t="shared" si="79"/>
        <v/>
      </c>
      <c r="CG96" s="66">
        <f>+IF($W96="","",ROUND(IF($B96&gt;Parámetros!$D$107,'Tablas Servicio'!CE96+('Tablas Servicio'!CG95-'Tablas Servicio'!CE95),CE96/(1-IF(B96&lt;=10,Parámetros!$D$100,0))),2))</f>
        <v>0</v>
      </c>
      <c r="CH96" s="66">
        <f t="shared" si="80"/>
        <v>0</v>
      </c>
      <c r="CI96" s="66">
        <f t="shared" si="80"/>
        <v>0</v>
      </c>
      <c r="CJ96" s="66">
        <f>+IF($W96="","",ROUND((CG96*Parámetros!$G$85),2))</f>
        <v>0</v>
      </c>
      <c r="CK96" s="66">
        <f>+IF($W96="","",ROUND((CG96*(Parámetros!$G$86)),2))</f>
        <v>0</v>
      </c>
      <c r="CL96" s="66">
        <f t="shared" si="81"/>
        <v>0</v>
      </c>
      <c r="CM96" t="str">
        <f t="shared" si="135"/>
        <v>00063</v>
      </c>
      <c r="CN96" s="118" t="str">
        <f t="shared" si="136"/>
        <v>Renta Diaria por Hospitalización</v>
      </c>
      <c r="CO96" s="118">
        <f t="shared" si="137"/>
        <v>0</v>
      </c>
      <c r="CP96" s="118" t="str">
        <f t="shared" si="138"/>
        <v>A</v>
      </c>
      <c r="CQ96" s="119" t="str">
        <f t="shared" si="86"/>
        <v/>
      </c>
      <c r="CR96" s="66">
        <f>+IF($W96="","",ROUND((VLOOKUP(Parámetros!$F$51,'COBERTURAS ADICIONALES'!$S$4:$T$32,2,FALSE)*(1+i/frec)^-0.5*(1+Parámetros!$D$103)*(1+rec_fracc)/frec*$CO$42),2))</f>
        <v>0</v>
      </c>
      <c r="CS96" s="119" t="str">
        <f t="shared" si="87"/>
        <v/>
      </c>
      <c r="CT96" s="66">
        <f>+IF($W96="","",ROUND(IF($B96&gt;Parámetros!$D$107,'Tablas Servicio'!CR96+('Tablas Servicio'!CT95-'Tablas Servicio'!CR95),CR96/(1-IF(B96&lt;=10,Parámetros!$D$100,0))),2))</f>
        <v>0</v>
      </c>
      <c r="CU96" s="66">
        <f t="shared" si="88"/>
        <v>0</v>
      </c>
      <c r="CV96" s="66">
        <f t="shared" si="88"/>
        <v>0</v>
      </c>
      <c r="CW96" s="66">
        <f>+IF($W96="","",ROUND((CT96*Parámetros!$G$85),2))</f>
        <v>0</v>
      </c>
      <c r="CX96" s="66">
        <f>+IF($W96="","",ROUND((CT96*(Parámetros!$G$86)),2))</f>
        <v>0</v>
      </c>
      <c r="CY96" s="66">
        <f t="shared" si="89"/>
        <v>0</v>
      </c>
      <c r="CZ96" t="str">
        <f t="shared" si="139"/>
        <v>00064</v>
      </c>
      <c r="DA96" s="118" t="str">
        <f t="shared" si="140"/>
        <v>Enfermedades Graves</v>
      </c>
      <c r="DB96" s="118">
        <f t="shared" si="141"/>
        <v>0</v>
      </c>
      <c r="DC96" s="118" t="str">
        <f t="shared" si="142"/>
        <v>A</v>
      </c>
      <c r="DD96" s="121" t="str">
        <f>+IF(OR($W96="",DB96=0),"",ROUND((VLOOKUP(ROUNDDOWN($D96-1/frec,0),cob_adi,CO$40,FALSE)*(1+i/frec)^-0.5*(1+Parámetros!$D$103)*(1+rec_fracc)/frec),6))</f>
        <v/>
      </c>
      <c r="DE96" s="66">
        <f t="shared" si="94"/>
        <v>0</v>
      </c>
      <c r="DF96" s="119" t="str">
        <f t="shared" si="95"/>
        <v/>
      </c>
      <c r="DG96" s="66">
        <f>+IF($W96="","",ROUND(IF($B96&gt;Parámetros!$D$107,'Tablas Servicio'!DE96+('Tablas Servicio'!DG95-'Tablas Servicio'!DE95),DE96/(1-IF(B96&lt;=10,Parámetros!$D$100,0))),2))</f>
        <v>0</v>
      </c>
      <c r="DH96" s="66">
        <f t="shared" si="96"/>
        <v>0</v>
      </c>
      <c r="DI96" s="66">
        <f t="shared" si="96"/>
        <v>0</v>
      </c>
      <c r="DJ96" s="66">
        <f>+IF($W96="","",ROUND((DG96*Parámetros!$G$85),2))</f>
        <v>0</v>
      </c>
      <c r="DK96" s="66">
        <f>+IF($W96="","",ROUND((DG96*(Parámetros!$G$86)),2))</f>
        <v>0</v>
      </c>
      <c r="DL96" s="66">
        <f t="shared" si="97"/>
        <v>0</v>
      </c>
      <c r="DM96" t="str">
        <f t="shared" si="143"/>
        <v>00065</v>
      </c>
      <c r="DN96" s="118" t="str">
        <f t="shared" si="144"/>
        <v>Exención pago de primas</v>
      </c>
      <c r="DO96" s="118">
        <f t="shared" si="145"/>
        <v>0</v>
      </c>
      <c r="DP96" s="118" t="str">
        <f t="shared" si="146"/>
        <v>A</v>
      </c>
      <c r="DQ96" s="122" t="str">
        <f>+IF(OR($W96="",DO96=0),"",ROUND((VLOOKUP(ROUNDDOWN($D96-1/frec,0),cob_adi,DB$40,FALSE)*(1+i/frec)^-0.5*(1+Parámetros!$D$103)*(1+rec_fracc)/frec),6))</f>
        <v/>
      </c>
      <c r="DR96" s="66">
        <f t="shared" si="102"/>
        <v>0</v>
      </c>
      <c r="DS96" s="68" t="str">
        <f t="shared" si="103"/>
        <v/>
      </c>
      <c r="DT96" s="66">
        <f>+IF($W96="","",ROUND(IF($B96&gt;Parámetros!$D$107,'Tablas Servicio'!DR96+('Tablas Servicio'!DT95-'Tablas Servicio'!DR95),DR96/(1-IF(B96&lt;=10,Parámetros!$D$100,0))),2))</f>
        <v>0</v>
      </c>
      <c r="DU96" s="66">
        <f t="shared" si="104"/>
        <v>0</v>
      </c>
      <c r="DV96" s="66">
        <f t="shared" si="104"/>
        <v>0</v>
      </c>
      <c r="DW96" s="66">
        <f>+IF($W96="","",ROUND((DT96*Parámetros!$G$85),2))</f>
        <v>0</v>
      </c>
      <c r="DX96" s="66">
        <f>+IF($W96="","",ROUND((DT96*(Parámetros!$G$86)),2))</f>
        <v>0</v>
      </c>
      <c r="DY96" s="66">
        <f t="shared" si="105"/>
        <v>0</v>
      </c>
      <c r="DZ96" t="str">
        <f t="shared" si="149"/>
        <v>00066</v>
      </c>
      <c r="EA96" s="118" t="str">
        <f t="shared" si="149"/>
        <v>Enfermedad terminal</v>
      </c>
      <c r="EB96" s="118">
        <f>+IF($W96="","",ROUND(IF(Parámetros!$D$25='TABLAS MORT'!$V$33,EB95,Z96/2),0))</f>
        <v>50000</v>
      </c>
      <c r="EC96" s="118" t="str">
        <f t="shared" si="149"/>
        <v>A</v>
      </c>
      <c r="ED96" s="122">
        <f>+IF(OR($W96="",EB96=0),"",ROUND((VLOOKUP(ROUNDDOWN($D96-1/frec,0),cob_adi,DO$40,FALSE)*(1+i/frec)^-0.5*(1+Parámetros!$D$103)*(1+rec_fracc)/frec),6))</f>
        <v>7.9999999999999996E-6</v>
      </c>
      <c r="EE96" s="66">
        <f t="shared" si="107"/>
        <v>0.4</v>
      </c>
      <c r="EF96" s="68">
        <f t="shared" si="108"/>
        <v>9.0000000000000002E-6</v>
      </c>
      <c r="EG96" s="66">
        <f>+IF($W96="","",ROUND(IF($B96&gt;Parámetros!$D$107,'Tablas Servicio'!EE96+('Tablas Servicio'!EG95-'Tablas Servicio'!EE95),EE96/(1-IF(B96&lt;=10,Parámetros!$D$100,0))),2))</f>
        <v>0.45</v>
      </c>
      <c r="EH96" s="66">
        <f t="shared" si="109"/>
        <v>0</v>
      </c>
      <c r="EI96" s="66">
        <f t="shared" si="109"/>
        <v>0</v>
      </c>
      <c r="EJ96" s="66">
        <f>+IF($W96="","",ROUND((EG96*Parámetros!$G$85),2))</f>
        <v>0.02</v>
      </c>
      <c r="EK96" s="66">
        <f>+IF($W96="","",ROUND((EG96*(Parámetros!$G$86)),2))</f>
        <v>0</v>
      </c>
      <c r="EL96" s="66">
        <f t="shared" si="110"/>
        <v>0.47</v>
      </c>
    </row>
    <row r="97" spans="1:142" x14ac:dyDescent="0.25">
      <c r="A97">
        <f>+IF($C97="","",ROUND(VLOOKUP('Tablas Servicio'!B97,Parámetros!$H$100:$J$159,IF(Parámetros!$E$16="F",2,3),FALSE),2))</f>
        <v>150</v>
      </c>
      <c r="B97">
        <f t="shared" si="27"/>
        <v>5</v>
      </c>
      <c r="C97" s="57">
        <f>+IF(D97="","",'Tablas Servicio'!C96+1)</f>
        <v>56</v>
      </c>
      <c r="D97" s="56">
        <f>+IF(D96&lt;edadmaxtabla,D96+1/Parámetros!$E$25,"")</f>
        <v>44.686666666666802</v>
      </c>
      <c r="E97" s="57">
        <f t="shared" si="37"/>
        <v>44</v>
      </c>
      <c r="F97" s="59">
        <f t="shared" si="38"/>
        <v>100000</v>
      </c>
      <c r="G97" s="66">
        <f t="shared" si="39"/>
        <v>31.07</v>
      </c>
      <c r="H97" s="66">
        <f t="shared" si="28"/>
        <v>32.31</v>
      </c>
      <c r="I97" s="66">
        <f t="shared" si="112"/>
        <v>54.339999999999996</v>
      </c>
      <c r="J97" s="66">
        <f t="shared" si="29"/>
        <v>1.0900000000000001</v>
      </c>
      <c r="K97" s="66">
        <f t="shared" si="30"/>
        <v>0.15</v>
      </c>
      <c r="L97" s="66">
        <f t="shared" si="31"/>
        <v>0</v>
      </c>
      <c r="M97" s="66">
        <f t="shared" si="32"/>
        <v>0</v>
      </c>
      <c r="N97" s="66">
        <f>+IF(C97="","",ROUND(Parámetros!$D$23,2))</f>
        <v>94</v>
      </c>
      <c r="O97" s="66">
        <f t="shared" si="33"/>
        <v>15.200000000000001</v>
      </c>
      <c r="P97" s="66">
        <f>+IF($C97="","",ROUND(IF(B97&gt;Parámetros!$D$117,0,N97*Parámetros!$D$116-G97*Parámetros!$D$100),2))</f>
        <v>7.35</v>
      </c>
      <c r="Q97" s="75">
        <f t="shared" si="113"/>
        <v>3.5082072738976504E-2</v>
      </c>
      <c r="R97" s="75">
        <f t="shared" si="114"/>
        <v>4.8278081750885099E-3</v>
      </c>
      <c r="S97" s="117">
        <f>+IF($C97="","",ROUND((S96+I97)*(1+Parámetros!$D$91),2))</f>
        <v>3545.56</v>
      </c>
      <c r="T97" s="117">
        <f>+IF($C97="","",ROUND(S97*VLOOKUP(B97,Parámetros!$C$30:$D$39,2,TRUE),2))</f>
        <v>1418.22</v>
      </c>
      <c r="U97" s="117">
        <f>+IF($C97="","",ROUND((U96+I97)*(1+Parámetros!$D$92),2))</f>
        <v>3588.79</v>
      </c>
      <c r="V97" s="117">
        <f>+IF($C97="","",ROUND(U97*VLOOKUP(B97,Parámetros!$C$30:$D$39,2,TRUE),2))</f>
        <v>1435.52</v>
      </c>
      <c r="W97" s="57">
        <f t="shared" si="115"/>
        <v>56</v>
      </c>
      <c r="X97" t="str">
        <f t="shared" si="116"/>
        <v>00058</v>
      </c>
      <c r="Y97" t="str">
        <f t="shared" si="117"/>
        <v>MUERTE POR CUALQUIER CAUSA</v>
      </c>
      <c r="Z97" s="118">
        <f>+IF($W97="","",ROUND(IF(Parámetros!$D$25='TABLAS MORT'!$V$33,Z96,Parámetros!$D$21-'Tablas Servicio'!T96),0))</f>
        <v>100000</v>
      </c>
      <c r="AA97" s="118" t="str">
        <f t="shared" si="118"/>
        <v>P</v>
      </c>
      <c r="AB97" s="119">
        <f>+IF(W97="","",ROUND((VLOOKUP(ROUNDDOWN($D97-1/frec,0),qx_tabla,2,FALSE)*(1+i/frec)^-0.5*(1+Parámetros!$D$103)*(1+rec_fracc)/frec),6))</f>
        <v>1.4799999999999999E-4</v>
      </c>
      <c r="AC97" s="66">
        <f t="shared" si="46"/>
        <v>14.8</v>
      </c>
      <c r="AD97" s="119">
        <f t="shared" si="35"/>
        <v>3.0600000000000001E-4</v>
      </c>
      <c r="AE97" s="66">
        <f>+IF($W97="","",ROUND(IF($B97&gt;Parámetros!$D$107,'Tablas Servicio'!AC97+('Tablas Servicio'!AG96-'Tablas Servicio'!AC96),AC97/(1-IF(B97&lt;=10,Parámetros!$D$104,Parámetros!$D$105))),2))</f>
        <v>30.62</v>
      </c>
      <c r="AF97" s="66">
        <f>+IF($W97="","",ROUND(IF($B97&gt;Parámetros!$D$107,'Tablas Servicio'!AC97+('Tablas Servicio'!AG96-'Tablas Servicio'!AC96),(AC97+$A96/frec)/(1-IF(B97&lt;=Parámetros!$D$117,Parámetros!$D$100,0))),2))</f>
        <v>30.91</v>
      </c>
      <c r="AG97" s="66">
        <f t="shared" si="111"/>
        <v>30.62</v>
      </c>
      <c r="AH97" s="66">
        <f t="shared" si="47"/>
        <v>0</v>
      </c>
      <c r="AI97" s="66">
        <f t="shared" si="48"/>
        <v>0</v>
      </c>
      <c r="AJ97" s="66">
        <f>+IF($W97="","",ROUND((AG97*Parámetros!$G$85),2))</f>
        <v>1.07</v>
      </c>
      <c r="AK97" s="66">
        <f>+IF($W97="","",ROUND((AG97*(Parámetros!$G$86)),2))</f>
        <v>0.15</v>
      </c>
      <c r="AL97" s="66">
        <f t="shared" si="36"/>
        <v>31.84</v>
      </c>
      <c r="AM97" t="str">
        <f t="shared" si="119"/>
        <v>00059</v>
      </c>
      <c r="AN97" t="str">
        <f t="shared" si="120"/>
        <v>Incapacidad Total y Permanente</v>
      </c>
      <c r="AO97" s="118">
        <f t="shared" si="121"/>
        <v>0</v>
      </c>
      <c r="AP97" s="118" t="str">
        <f t="shared" si="122"/>
        <v>A</v>
      </c>
      <c r="AQ97" s="119" t="str">
        <f>+IF(OR($W97="",AO97=0),"",ROUND((VLOOKUP(ROUNDDOWN($D97-1/frec,0),cob_adi,Z$40,FALSE)*(1+i/frec)^-0.5*(1+Parámetros!$D$103)*(1+rec_fracc)/frec),6))</f>
        <v/>
      </c>
      <c r="AR97" s="66">
        <f t="shared" si="53"/>
        <v>0</v>
      </c>
      <c r="AS97" s="119" t="str">
        <f t="shared" si="54"/>
        <v/>
      </c>
      <c r="AT97" s="66">
        <f>+IF($W97="","",ROUND(IF($B97&gt;Parámetros!$D$107,'Tablas Servicio'!AR97+('Tablas Servicio'!AT96-'Tablas Servicio'!AR96),AR97/(1-IF(B97&lt;=10,Parámetros!$D$100,0))),2))</f>
        <v>0</v>
      </c>
      <c r="AU97" s="66">
        <f t="shared" si="55"/>
        <v>0</v>
      </c>
      <c r="AV97" s="66">
        <f t="shared" si="55"/>
        <v>0</v>
      </c>
      <c r="AW97" s="66">
        <f>+IF($W97="","",ROUND((AT97*Parámetros!$G$85),2))</f>
        <v>0</v>
      </c>
      <c r="AX97" s="66">
        <f>+IF($W97="","",ROUND((AT97*(Parámetros!$G$86)),2))</f>
        <v>0</v>
      </c>
      <c r="AY97" s="66">
        <f t="shared" si="56"/>
        <v>0</v>
      </c>
      <c r="AZ97" t="str">
        <f t="shared" si="123"/>
        <v>00060</v>
      </c>
      <c r="BA97" t="str">
        <f t="shared" si="124"/>
        <v>Muerte Accidental</v>
      </c>
      <c r="BB97" s="118">
        <f t="shared" si="125"/>
        <v>0</v>
      </c>
      <c r="BC97" s="118" t="str">
        <f t="shared" si="126"/>
        <v>A</v>
      </c>
      <c r="BD97" s="119" t="str">
        <f>+IF(OR($W97="",BB97=0),"",ROUND((VLOOKUP(ROUNDDOWN($D97-1/frec,0),cob_adi,AO$40,FALSE)*(1+i/frec)^-0.5*(1+Parámetros!$D$103)*(1+rec_fracc)/frec),6))</f>
        <v/>
      </c>
      <c r="BE97" s="66">
        <f t="shared" si="61"/>
        <v>0</v>
      </c>
      <c r="BF97" s="119" t="str">
        <f t="shared" si="62"/>
        <v/>
      </c>
      <c r="BG97" s="66">
        <f>+IF($W97="","",ROUND(IF($B97&gt;Parámetros!$D$107,'Tablas Servicio'!BE97+('Tablas Servicio'!BG96-'Tablas Servicio'!BE96),BE97/(1-IF(B97&lt;=10,Parámetros!$D$100,0))),2))</f>
        <v>0</v>
      </c>
      <c r="BH97" s="66">
        <f t="shared" si="63"/>
        <v>0</v>
      </c>
      <c r="BI97" s="66">
        <f t="shared" si="64"/>
        <v>0</v>
      </c>
      <c r="BJ97" s="66">
        <f>+IF($W97="","",ROUND((BG97*Parámetros!$G$85),2))</f>
        <v>0</v>
      </c>
      <c r="BK97" s="66">
        <f>+IF($W97="","",ROUND((BG97*(Parámetros!$G$86)),2))</f>
        <v>0</v>
      </c>
      <c r="BL97" s="66">
        <f t="shared" si="65"/>
        <v>0</v>
      </c>
      <c r="BM97" t="str">
        <f t="shared" si="127"/>
        <v>00061</v>
      </c>
      <c r="BN97" t="str">
        <f t="shared" si="128"/>
        <v>Gastos de Entierro</v>
      </c>
      <c r="BO97" s="118">
        <f t="shared" si="129"/>
        <v>0</v>
      </c>
      <c r="BP97" s="118" t="str">
        <f t="shared" si="130"/>
        <v>A</v>
      </c>
      <c r="BQ97" s="119" t="str">
        <f>+IF(OR($W97="",BO97=0),"",ROUND((VLOOKUP(ROUNDDOWN($D97-1/frec,0),cob_adi,BB$40,FALSE)*(1+i/frec)^-0.5*(1+Parámetros!$D$103)*(1+rec_fracc)/frec),6))</f>
        <v/>
      </c>
      <c r="BR97" s="66">
        <f t="shared" si="70"/>
        <v>0</v>
      </c>
      <c r="BS97" s="119" t="str">
        <f t="shared" si="71"/>
        <v/>
      </c>
      <c r="BT97" s="66">
        <f>+IF($W97="","",ROUND(IF($B97&gt;Parámetros!$D$107,'Tablas Servicio'!BR97+('Tablas Servicio'!BT96-'Tablas Servicio'!BR96),BR97/(1-IF(B97&lt;=10,Parámetros!$D$100,0))),2))</f>
        <v>0</v>
      </c>
      <c r="BU97" s="66">
        <f t="shared" si="72"/>
        <v>0</v>
      </c>
      <c r="BV97" s="66">
        <f t="shared" si="72"/>
        <v>0</v>
      </c>
      <c r="BW97" s="66">
        <f>+IF($W97="","",ROUND((BT97*Parámetros!$G$85),2))</f>
        <v>0</v>
      </c>
      <c r="BX97" s="66">
        <f>+IF($W97="","",ROUND((BT97*(Parámetros!$G$86)),2))</f>
        <v>0</v>
      </c>
      <c r="BY97" s="66">
        <f t="shared" si="73"/>
        <v>0</v>
      </c>
      <c r="BZ97" t="str">
        <f t="shared" si="131"/>
        <v>00062</v>
      </c>
      <c r="CA97" t="str">
        <f t="shared" si="132"/>
        <v>Gastos médicos por accidente</v>
      </c>
      <c r="CB97" s="118">
        <f t="shared" si="133"/>
        <v>0</v>
      </c>
      <c r="CC97" s="118" t="str">
        <f t="shared" si="134"/>
        <v>A</v>
      </c>
      <c r="CD97" s="119" t="str">
        <f t="shared" si="78"/>
        <v/>
      </c>
      <c r="CE97" s="66">
        <f>+IF($W97="","",ROUND((VLOOKUP(ROUNDDOWN($D97-1/frec,0),cob_adi,BO$40,FALSE)*(1+i/frec)^-0.5*(1+Parámetros!$D$103)*(1+rec_fracc)/frec*'TABLAS ADI'!$BC$17),2))</f>
        <v>0</v>
      </c>
      <c r="CF97" s="119" t="str">
        <f t="shared" si="79"/>
        <v/>
      </c>
      <c r="CG97" s="66">
        <f>+IF($W97="","",ROUND(IF($B97&gt;Parámetros!$D$107,'Tablas Servicio'!CE97+('Tablas Servicio'!CG96-'Tablas Servicio'!CE96),CE97/(1-IF(B97&lt;=10,Parámetros!$D$100,0))),2))</f>
        <v>0</v>
      </c>
      <c r="CH97" s="66">
        <f t="shared" si="80"/>
        <v>0</v>
      </c>
      <c r="CI97" s="66">
        <f t="shared" si="80"/>
        <v>0</v>
      </c>
      <c r="CJ97" s="66">
        <f>+IF($W97="","",ROUND((CG97*Parámetros!$G$85),2))</f>
        <v>0</v>
      </c>
      <c r="CK97" s="66">
        <f>+IF($W97="","",ROUND((CG97*(Parámetros!$G$86)),2))</f>
        <v>0</v>
      </c>
      <c r="CL97" s="66">
        <f t="shared" si="81"/>
        <v>0</v>
      </c>
      <c r="CM97" t="str">
        <f t="shared" si="135"/>
        <v>00063</v>
      </c>
      <c r="CN97" s="118" t="str">
        <f t="shared" si="136"/>
        <v>Renta Diaria por Hospitalización</v>
      </c>
      <c r="CO97" s="118">
        <f t="shared" si="137"/>
        <v>0</v>
      </c>
      <c r="CP97" s="118" t="str">
        <f t="shared" si="138"/>
        <v>A</v>
      </c>
      <c r="CQ97" s="119" t="str">
        <f t="shared" si="86"/>
        <v/>
      </c>
      <c r="CR97" s="66">
        <f>+IF($W97="","",ROUND((VLOOKUP(Parámetros!$F$51,'COBERTURAS ADICIONALES'!$S$4:$T$32,2,FALSE)*(1+i/frec)^-0.5*(1+Parámetros!$D$103)*(1+rec_fracc)/frec*$CO$42),2))</f>
        <v>0</v>
      </c>
      <c r="CS97" s="119" t="str">
        <f t="shared" si="87"/>
        <v/>
      </c>
      <c r="CT97" s="66">
        <f>+IF($W97="","",ROUND(IF($B97&gt;Parámetros!$D$107,'Tablas Servicio'!CR97+('Tablas Servicio'!CT96-'Tablas Servicio'!CR96),CR97/(1-IF(B97&lt;=10,Parámetros!$D$100,0))),2))</f>
        <v>0</v>
      </c>
      <c r="CU97" s="66">
        <f t="shared" si="88"/>
        <v>0</v>
      </c>
      <c r="CV97" s="66">
        <f t="shared" si="88"/>
        <v>0</v>
      </c>
      <c r="CW97" s="66">
        <f>+IF($W97="","",ROUND((CT97*Parámetros!$G$85),2))</f>
        <v>0</v>
      </c>
      <c r="CX97" s="66">
        <f>+IF($W97="","",ROUND((CT97*(Parámetros!$G$86)),2))</f>
        <v>0</v>
      </c>
      <c r="CY97" s="66">
        <f t="shared" si="89"/>
        <v>0</v>
      </c>
      <c r="CZ97" t="str">
        <f t="shared" si="139"/>
        <v>00064</v>
      </c>
      <c r="DA97" s="118" t="str">
        <f t="shared" si="140"/>
        <v>Enfermedades Graves</v>
      </c>
      <c r="DB97" s="118">
        <f t="shared" si="141"/>
        <v>0</v>
      </c>
      <c r="DC97" s="118" t="str">
        <f t="shared" si="142"/>
        <v>A</v>
      </c>
      <c r="DD97" s="121" t="str">
        <f>+IF(OR($W97="",DB97=0),"",ROUND((VLOOKUP(ROUNDDOWN($D97-1/frec,0),cob_adi,CO$40,FALSE)*(1+i/frec)^-0.5*(1+Parámetros!$D$103)*(1+rec_fracc)/frec),6))</f>
        <v/>
      </c>
      <c r="DE97" s="66">
        <f t="shared" si="94"/>
        <v>0</v>
      </c>
      <c r="DF97" s="119" t="str">
        <f t="shared" si="95"/>
        <v/>
      </c>
      <c r="DG97" s="66">
        <f>+IF($W97="","",ROUND(IF($B97&gt;Parámetros!$D$107,'Tablas Servicio'!DE97+('Tablas Servicio'!DG96-'Tablas Servicio'!DE96),DE97/(1-IF(B97&lt;=10,Parámetros!$D$100,0))),2))</f>
        <v>0</v>
      </c>
      <c r="DH97" s="66">
        <f t="shared" si="96"/>
        <v>0</v>
      </c>
      <c r="DI97" s="66">
        <f t="shared" si="96"/>
        <v>0</v>
      </c>
      <c r="DJ97" s="66">
        <f>+IF($W97="","",ROUND((DG97*Parámetros!$G$85),2))</f>
        <v>0</v>
      </c>
      <c r="DK97" s="66">
        <f>+IF($W97="","",ROUND((DG97*(Parámetros!$G$86)),2))</f>
        <v>0</v>
      </c>
      <c r="DL97" s="66">
        <f t="shared" si="97"/>
        <v>0</v>
      </c>
      <c r="DM97" t="str">
        <f t="shared" si="143"/>
        <v>00065</v>
      </c>
      <c r="DN97" s="118" t="str">
        <f t="shared" si="144"/>
        <v>Exención pago de primas</v>
      </c>
      <c r="DO97" s="118">
        <f t="shared" si="145"/>
        <v>0</v>
      </c>
      <c r="DP97" s="118" t="str">
        <f t="shared" si="146"/>
        <v>A</v>
      </c>
      <c r="DQ97" s="122" t="str">
        <f>+IF(OR($W97="",DO97=0),"",ROUND((VLOOKUP(ROUNDDOWN($D97-1/frec,0),cob_adi,DB$40,FALSE)*(1+i/frec)^-0.5*(1+Parámetros!$D$103)*(1+rec_fracc)/frec),6))</f>
        <v/>
      </c>
      <c r="DR97" s="66">
        <f t="shared" si="102"/>
        <v>0</v>
      </c>
      <c r="DS97" s="68" t="str">
        <f t="shared" si="103"/>
        <v/>
      </c>
      <c r="DT97" s="66">
        <f>+IF($W97="","",ROUND(IF($B97&gt;Parámetros!$D$107,'Tablas Servicio'!DR97+('Tablas Servicio'!DT96-'Tablas Servicio'!DR96),DR97/(1-IF(B97&lt;=10,Parámetros!$D$100,0))),2))</f>
        <v>0</v>
      </c>
      <c r="DU97" s="66">
        <f t="shared" si="104"/>
        <v>0</v>
      </c>
      <c r="DV97" s="66">
        <f t="shared" si="104"/>
        <v>0</v>
      </c>
      <c r="DW97" s="66">
        <f>+IF($W97="","",ROUND((DT97*Parámetros!$G$85),2))</f>
        <v>0</v>
      </c>
      <c r="DX97" s="66">
        <f>+IF($W97="","",ROUND((DT97*(Parámetros!$G$86)),2))</f>
        <v>0</v>
      </c>
      <c r="DY97" s="66">
        <f t="shared" si="105"/>
        <v>0</v>
      </c>
      <c r="DZ97" t="str">
        <f t="shared" si="149"/>
        <v>00066</v>
      </c>
      <c r="EA97" s="118" t="str">
        <f t="shared" si="149"/>
        <v>Enfermedad terminal</v>
      </c>
      <c r="EB97" s="118">
        <f>+IF($W97="","",ROUND(IF(Parámetros!$D$25='TABLAS MORT'!$V$33,EB96,Z97/2),0))</f>
        <v>50000</v>
      </c>
      <c r="EC97" s="118" t="str">
        <f t="shared" si="149"/>
        <v>A</v>
      </c>
      <c r="ED97" s="122">
        <f>+IF(OR($W97="",EB97=0),"",ROUND((VLOOKUP(ROUNDDOWN($D97-1/frec,0),cob_adi,DO$40,FALSE)*(1+i/frec)^-0.5*(1+Parámetros!$D$103)*(1+rec_fracc)/frec),6))</f>
        <v>7.9999999999999996E-6</v>
      </c>
      <c r="EE97" s="66">
        <f t="shared" si="107"/>
        <v>0.4</v>
      </c>
      <c r="EF97" s="68">
        <f t="shared" si="108"/>
        <v>9.0000000000000002E-6</v>
      </c>
      <c r="EG97" s="66">
        <f>+IF($W97="","",ROUND(IF($B97&gt;Parámetros!$D$107,'Tablas Servicio'!EE97+('Tablas Servicio'!EG96-'Tablas Servicio'!EE96),EE97/(1-IF(B97&lt;=10,Parámetros!$D$100,0))),2))</f>
        <v>0.45</v>
      </c>
      <c r="EH97" s="66">
        <f t="shared" si="109"/>
        <v>0</v>
      </c>
      <c r="EI97" s="66">
        <f t="shared" si="109"/>
        <v>0</v>
      </c>
      <c r="EJ97" s="66">
        <f>+IF($W97="","",ROUND((EG97*Parámetros!$G$85),2))</f>
        <v>0.02</v>
      </c>
      <c r="EK97" s="66">
        <f>+IF($W97="","",ROUND((EG97*(Parámetros!$G$86)),2))</f>
        <v>0</v>
      </c>
      <c r="EL97" s="66">
        <f t="shared" si="110"/>
        <v>0.47</v>
      </c>
    </row>
    <row r="98" spans="1:142" x14ac:dyDescent="0.25">
      <c r="A98">
        <f>+IF($C98="","",ROUND(VLOOKUP('Tablas Servicio'!B98,Parámetros!$H$100:$J$159,IF(Parámetros!$E$16="F",2,3),FALSE),2))</f>
        <v>150</v>
      </c>
      <c r="B98">
        <f t="shared" si="27"/>
        <v>5</v>
      </c>
      <c r="C98" s="57">
        <f>+IF(D98="","",'Tablas Servicio'!C97+1)</f>
        <v>57</v>
      </c>
      <c r="D98" s="56">
        <f>+IF(D97&lt;edadmaxtabla,D97+1/Parámetros!$E$25,"")</f>
        <v>44.770000000000138</v>
      </c>
      <c r="E98" s="57">
        <f t="shared" si="37"/>
        <v>44</v>
      </c>
      <c r="F98" s="59">
        <f t="shared" si="38"/>
        <v>100000</v>
      </c>
      <c r="G98" s="66">
        <f t="shared" si="39"/>
        <v>31.07</v>
      </c>
      <c r="H98" s="66">
        <f t="shared" si="28"/>
        <v>32.31</v>
      </c>
      <c r="I98" s="66">
        <f t="shared" si="112"/>
        <v>54.339999999999996</v>
      </c>
      <c r="J98" s="66">
        <f t="shared" si="29"/>
        <v>1.0900000000000001</v>
      </c>
      <c r="K98" s="66">
        <f t="shared" si="30"/>
        <v>0.15</v>
      </c>
      <c r="L98" s="66">
        <f t="shared" si="31"/>
        <v>0</v>
      </c>
      <c r="M98" s="66">
        <f t="shared" si="32"/>
        <v>0</v>
      </c>
      <c r="N98" s="66">
        <f>+IF(C98="","",ROUND(Parámetros!$D$23,2))</f>
        <v>94</v>
      </c>
      <c r="O98" s="66">
        <f t="shared" si="33"/>
        <v>15.200000000000001</v>
      </c>
      <c r="P98" s="66">
        <f>+IF($C98="","",ROUND(IF(B98&gt;Parámetros!$D$117,0,N98*Parámetros!$D$116-G98*Parámetros!$D$100),2))</f>
        <v>7.35</v>
      </c>
      <c r="Q98" s="75">
        <f t="shared" si="113"/>
        <v>3.5082072738976504E-2</v>
      </c>
      <c r="R98" s="75">
        <f t="shared" si="114"/>
        <v>4.8278081750885099E-3</v>
      </c>
      <c r="S98" s="117">
        <f>+IF($C98="","",ROUND((S97+I98)*(1+Parámetros!$D$91),2))</f>
        <v>3610.11</v>
      </c>
      <c r="T98" s="117">
        <f>+IF($C98="","",ROUND(S98*VLOOKUP(B98,Parámetros!$C$30:$D$39,2,TRUE),2))</f>
        <v>1444.04</v>
      </c>
      <c r="U98" s="117">
        <f>+IF($C98="","",ROUND((U97+I98)*(1+Parámetros!$D$92),2))</f>
        <v>3654.94</v>
      </c>
      <c r="V98" s="117">
        <f>+IF($C98="","",ROUND(U98*VLOOKUP(B98,Parámetros!$C$30:$D$39,2,TRUE),2))</f>
        <v>1461.98</v>
      </c>
      <c r="W98" s="57">
        <f t="shared" si="115"/>
        <v>57</v>
      </c>
      <c r="X98" t="str">
        <f t="shared" si="116"/>
        <v>00058</v>
      </c>
      <c r="Y98" t="str">
        <f t="shared" si="117"/>
        <v>MUERTE POR CUALQUIER CAUSA</v>
      </c>
      <c r="Z98" s="118">
        <f>+IF($W98="","",ROUND(IF(Parámetros!$D$25='TABLAS MORT'!$V$33,Z97,Parámetros!$D$21-'Tablas Servicio'!T97),0))</f>
        <v>100000</v>
      </c>
      <c r="AA98" s="118" t="str">
        <f t="shared" si="118"/>
        <v>P</v>
      </c>
      <c r="AB98" s="119">
        <f>+IF(W98="","",ROUND((VLOOKUP(ROUNDDOWN($D98-1/frec,0),qx_tabla,2,FALSE)*(1+i/frec)^-0.5*(1+Parámetros!$D$103)*(1+rec_fracc)/frec),6))</f>
        <v>1.4799999999999999E-4</v>
      </c>
      <c r="AC98" s="66">
        <f t="shared" si="46"/>
        <v>14.8</v>
      </c>
      <c r="AD98" s="119">
        <f t="shared" si="35"/>
        <v>3.0600000000000001E-4</v>
      </c>
      <c r="AE98" s="66">
        <f>+IF($W98="","",ROUND(IF($B98&gt;Parámetros!$D$107,'Tablas Servicio'!AC98+('Tablas Servicio'!AG97-'Tablas Servicio'!AC97),AC98/(1-IF(B98&lt;=10,Parámetros!$D$104,Parámetros!$D$105))),2))</f>
        <v>30.62</v>
      </c>
      <c r="AF98" s="66">
        <f>+IF($W98="","",ROUND(IF($B98&gt;Parámetros!$D$107,'Tablas Servicio'!AC98+('Tablas Servicio'!AG97-'Tablas Servicio'!AC97),(AC98+$A97/frec)/(1-IF(B98&lt;=Parámetros!$D$117,Parámetros!$D$100,0))),2))</f>
        <v>30.91</v>
      </c>
      <c r="AG98" s="66">
        <f t="shared" si="111"/>
        <v>30.62</v>
      </c>
      <c r="AH98" s="66">
        <f t="shared" si="47"/>
        <v>0</v>
      </c>
      <c r="AI98" s="66">
        <f t="shared" si="48"/>
        <v>0</v>
      </c>
      <c r="AJ98" s="66">
        <f>+IF($W98="","",ROUND((AG98*Parámetros!$G$85),2))</f>
        <v>1.07</v>
      </c>
      <c r="AK98" s="66">
        <f>+IF($W98="","",ROUND((AG98*(Parámetros!$G$86)),2))</f>
        <v>0.15</v>
      </c>
      <c r="AL98" s="66">
        <f t="shared" si="36"/>
        <v>31.84</v>
      </c>
      <c r="AM98" t="str">
        <f t="shared" si="119"/>
        <v>00059</v>
      </c>
      <c r="AN98" t="str">
        <f t="shared" si="120"/>
        <v>Incapacidad Total y Permanente</v>
      </c>
      <c r="AO98" s="118">
        <f t="shared" si="121"/>
        <v>0</v>
      </c>
      <c r="AP98" s="118" t="str">
        <f t="shared" si="122"/>
        <v>A</v>
      </c>
      <c r="AQ98" s="119" t="str">
        <f>+IF(OR($W98="",AO98=0),"",ROUND((VLOOKUP(ROUNDDOWN($D98-1/frec,0),cob_adi,Z$40,FALSE)*(1+i/frec)^-0.5*(1+Parámetros!$D$103)*(1+rec_fracc)/frec),6))</f>
        <v/>
      </c>
      <c r="AR98" s="66">
        <f t="shared" si="53"/>
        <v>0</v>
      </c>
      <c r="AS98" s="119" t="str">
        <f t="shared" si="54"/>
        <v/>
      </c>
      <c r="AT98" s="66">
        <f>+IF($W98="","",ROUND(IF($B98&gt;Parámetros!$D$107,'Tablas Servicio'!AR98+('Tablas Servicio'!AT97-'Tablas Servicio'!AR97),AR98/(1-IF(B98&lt;=10,Parámetros!$D$100,0))),2))</f>
        <v>0</v>
      </c>
      <c r="AU98" s="66">
        <f t="shared" si="55"/>
        <v>0</v>
      </c>
      <c r="AV98" s="66">
        <f t="shared" si="55"/>
        <v>0</v>
      </c>
      <c r="AW98" s="66">
        <f>+IF($W98="","",ROUND((AT98*Parámetros!$G$85),2))</f>
        <v>0</v>
      </c>
      <c r="AX98" s="66">
        <f>+IF($W98="","",ROUND((AT98*(Parámetros!$G$86)),2))</f>
        <v>0</v>
      </c>
      <c r="AY98" s="66">
        <f t="shared" si="56"/>
        <v>0</v>
      </c>
      <c r="AZ98" t="str">
        <f t="shared" si="123"/>
        <v>00060</v>
      </c>
      <c r="BA98" t="str">
        <f t="shared" si="124"/>
        <v>Muerte Accidental</v>
      </c>
      <c r="BB98" s="118">
        <f t="shared" si="125"/>
        <v>0</v>
      </c>
      <c r="BC98" s="118" t="str">
        <f t="shared" si="126"/>
        <v>A</v>
      </c>
      <c r="BD98" s="119" t="str">
        <f>+IF(OR($W98="",BB98=0),"",ROUND((VLOOKUP(ROUNDDOWN($D98-1/frec,0),cob_adi,AO$40,FALSE)*(1+i/frec)^-0.5*(1+Parámetros!$D$103)*(1+rec_fracc)/frec),6))</f>
        <v/>
      </c>
      <c r="BE98" s="66">
        <f t="shared" si="61"/>
        <v>0</v>
      </c>
      <c r="BF98" s="119" t="str">
        <f t="shared" si="62"/>
        <v/>
      </c>
      <c r="BG98" s="66">
        <f>+IF($W98="","",ROUND(IF($B98&gt;Parámetros!$D$107,'Tablas Servicio'!BE98+('Tablas Servicio'!BG97-'Tablas Servicio'!BE97),BE98/(1-IF(B98&lt;=10,Parámetros!$D$100,0))),2))</f>
        <v>0</v>
      </c>
      <c r="BH98" s="66">
        <f t="shared" si="63"/>
        <v>0</v>
      </c>
      <c r="BI98" s="66">
        <f t="shared" si="64"/>
        <v>0</v>
      </c>
      <c r="BJ98" s="66">
        <f>+IF($W98="","",ROUND((BG98*Parámetros!$G$85),2))</f>
        <v>0</v>
      </c>
      <c r="BK98" s="66">
        <f>+IF($W98="","",ROUND((BG98*(Parámetros!$G$86)),2))</f>
        <v>0</v>
      </c>
      <c r="BL98" s="66">
        <f t="shared" si="65"/>
        <v>0</v>
      </c>
      <c r="BM98" t="str">
        <f t="shared" si="127"/>
        <v>00061</v>
      </c>
      <c r="BN98" t="str">
        <f t="shared" si="128"/>
        <v>Gastos de Entierro</v>
      </c>
      <c r="BO98" s="118">
        <f t="shared" si="129"/>
        <v>0</v>
      </c>
      <c r="BP98" s="118" t="str">
        <f t="shared" si="130"/>
        <v>A</v>
      </c>
      <c r="BQ98" s="119" t="str">
        <f>+IF(OR($W98="",BO98=0),"",ROUND((VLOOKUP(ROUNDDOWN($D98-1/frec,0),cob_adi,BB$40,FALSE)*(1+i/frec)^-0.5*(1+Parámetros!$D$103)*(1+rec_fracc)/frec),6))</f>
        <v/>
      </c>
      <c r="BR98" s="66">
        <f t="shared" si="70"/>
        <v>0</v>
      </c>
      <c r="BS98" s="119" t="str">
        <f t="shared" si="71"/>
        <v/>
      </c>
      <c r="BT98" s="66">
        <f>+IF($W98="","",ROUND(IF($B98&gt;Parámetros!$D$107,'Tablas Servicio'!BR98+('Tablas Servicio'!BT97-'Tablas Servicio'!BR97),BR98/(1-IF(B98&lt;=10,Parámetros!$D$100,0))),2))</f>
        <v>0</v>
      </c>
      <c r="BU98" s="66">
        <f t="shared" si="72"/>
        <v>0</v>
      </c>
      <c r="BV98" s="66">
        <f t="shared" si="72"/>
        <v>0</v>
      </c>
      <c r="BW98" s="66">
        <f>+IF($W98="","",ROUND((BT98*Parámetros!$G$85),2))</f>
        <v>0</v>
      </c>
      <c r="BX98" s="66">
        <f>+IF($W98="","",ROUND((BT98*(Parámetros!$G$86)),2))</f>
        <v>0</v>
      </c>
      <c r="BY98" s="66">
        <f t="shared" si="73"/>
        <v>0</v>
      </c>
      <c r="BZ98" t="str">
        <f t="shared" si="131"/>
        <v>00062</v>
      </c>
      <c r="CA98" t="str">
        <f t="shared" si="132"/>
        <v>Gastos médicos por accidente</v>
      </c>
      <c r="CB98" s="118">
        <f t="shared" si="133"/>
        <v>0</v>
      </c>
      <c r="CC98" s="118" t="str">
        <f t="shared" si="134"/>
        <v>A</v>
      </c>
      <c r="CD98" s="119" t="str">
        <f t="shared" si="78"/>
        <v/>
      </c>
      <c r="CE98" s="66">
        <f>+IF($W98="","",ROUND((VLOOKUP(ROUNDDOWN($D98-1/frec,0),cob_adi,BO$40,FALSE)*(1+i/frec)^-0.5*(1+Parámetros!$D$103)*(1+rec_fracc)/frec*'TABLAS ADI'!$BC$17),2))</f>
        <v>0</v>
      </c>
      <c r="CF98" s="119" t="str">
        <f t="shared" si="79"/>
        <v/>
      </c>
      <c r="CG98" s="66">
        <f>+IF($W98="","",ROUND(IF($B98&gt;Parámetros!$D$107,'Tablas Servicio'!CE98+('Tablas Servicio'!CG97-'Tablas Servicio'!CE97),CE98/(1-IF(B98&lt;=10,Parámetros!$D$100,0))),2))</f>
        <v>0</v>
      </c>
      <c r="CH98" s="66">
        <f t="shared" si="80"/>
        <v>0</v>
      </c>
      <c r="CI98" s="66">
        <f t="shared" si="80"/>
        <v>0</v>
      </c>
      <c r="CJ98" s="66">
        <f>+IF($W98="","",ROUND((CG98*Parámetros!$G$85),2))</f>
        <v>0</v>
      </c>
      <c r="CK98" s="66">
        <f>+IF($W98="","",ROUND((CG98*(Parámetros!$G$86)),2))</f>
        <v>0</v>
      </c>
      <c r="CL98" s="66">
        <f t="shared" si="81"/>
        <v>0</v>
      </c>
      <c r="CM98" t="str">
        <f t="shared" si="135"/>
        <v>00063</v>
      </c>
      <c r="CN98" s="118" t="str">
        <f t="shared" si="136"/>
        <v>Renta Diaria por Hospitalización</v>
      </c>
      <c r="CO98" s="118">
        <f t="shared" si="137"/>
        <v>0</v>
      </c>
      <c r="CP98" s="118" t="str">
        <f t="shared" si="138"/>
        <v>A</v>
      </c>
      <c r="CQ98" s="119" t="str">
        <f t="shared" si="86"/>
        <v/>
      </c>
      <c r="CR98" s="66">
        <f>+IF($W98="","",ROUND((VLOOKUP(Parámetros!$F$51,'COBERTURAS ADICIONALES'!$S$4:$T$32,2,FALSE)*(1+i/frec)^-0.5*(1+Parámetros!$D$103)*(1+rec_fracc)/frec*$CO$42),2))</f>
        <v>0</v>
      </c>
      <c r="CS98" s="119" t="str">
        <f t="shared" si="87"/>
        <v/>
      </c>
      <c r="CT98" s="66">
        <f>+IF($W98="","",ROUND(IF($B98&gt;Parámetros!$D$107,'Tablas Servicio'!CR98+('Tablas Servicio'!CT97-'Tablas Servicio'!CR97),CR98/(1-IF(B98&lt;=10,Parámetros!$D$100,0))),2))</f>
        <v>0</v>
      </c>
      <c r="CU98" s="66">
        <f t="shared" si="88"/>
        <v>0</v>
      </c>
      <c r="CV98" s="66">
        <f t="shared" si="88"/>
        <v>0</v>
      </c>
      <c r="CW98" s="66">
        <f>+IF($W98="","",ROUND((CT98*Parámetros!$G$85),2))</f>
        <v>0</v>
      </c>
      <c r="CX98" s="66">
        <f>+IF($W98="","",ROUND((CT98*(Parámetros!$G$86)),2))</f>
        <v>0</v>
      </c>
      <c r="CY98" s="66">
        <f t="shared" si="89"/>
        <v>0</v>
      </c>
      <c r="CZ98" t="str">
        <f t="shared" si="139"/>
        <v>00064</v>
      </c>
      <c r="DA98" s="118" t="str">
        <f t="shared" si="140"/>
        <v>Enfermedades Graves</v>
      </c>
      <c r="DB98" s="118">
        <f t="shared" si="141"/>
        <v>0</v>
      </c>
      <c r="DC98" s="118" t="str">
        <f t="shared" si="142"/>
        <v>A</v>
      </c>
      <c r="DD98" s="121" t="str">
        <f>+IF(OR($W98="",DB98=0),"",ROUND((VLOOKUP(ROUNDDOWN($D98-1/frec,0),cob_adi,CO$40,FALSE)*(1+i/frec)^-0.5*(1+Parámetros!$D$103)*(1+rec_fracc)/frec),6))</f>
        <v/>
      </c>
      <c r="DE98" s="66">
        <f t="shared" si="94"/>
        <v>0</v>
      </c>
      <c r="DF98" s="119" t="str">
        <f t="shared" si="95"/>
        <v/>
      </c>
      <c r="DG98" s="66">
        <f>+IF($W98="","",ROUND(IF($B98&gt;Parámetros!$D$107,'Tablas Servicio'!DE98+('Tablas Servicio'!DG97-'Tablas Servicio'!DE97),DE98/(1-IF(B98&lt;=10,Parámetros!$D$100,0))),2))</f>
        <v>0</v>
      </c>
      <c r="DH98" s="66">
        <f t="shared" si="96"/>
        <v>0</v>
      </c>
      <c r="DI98" s="66">
        <f t="shared" si="96"/>
        <v>0</v>
      </c>
      <c r="DJ98" s="66">
        <f>+IF($W98="","",ROUND((DG98*Parámetros!$G$85),2))</f>
        <v>0</v>
      </c>
      <c r="DK98" s="66">
        <f>+IF($W98="","",ROUND((DG98*(Parámetros!$G$86)),2))</f>
        <v>0</v>
      </c>
      <c r="DL98" s="66">
        <f t="shared" si="97"/>
        <v>0</v>
      </c>
      <c r="DM98" t="str">
        <f t="shared" si="143"/>
        <v>00065</v>
      </c>
      <c r="DN98" s="118" t="str">
        <f t="shared" si="144"/>
        <v>Exención pago de primas</v>
      </c>
      <c r="DO98" s="118">
        <f t="shared" si="145"/>
        <v>0</v>
      </c>
      <c r="DP98" s="118" t="str">
        <f t="shared" si="146"/>
        <v>A</v>
      </c>
      <c r="DQ98" s="122" t="str">
        <f>+IF(OR($W98="",DO98=0),"",ROUND((VLOOKUP(ROUNDDOWN($D98-1/frec,0),cob_adi,DB$40,FALSE)*(1+i/frec)^-0.5*(1+Parámetros!$D$103)*(1+rec_fracc)/frec),6))</f>
        <v/>
      </c>
      <c r="DR98" s="66">
        <f t="shared" si="102"/>
        <v>0</v>
      </c>
      <c r="DS98" s="68" t="str">
        <f t="shared" si="103"/>
        <v/>
      </c>
      <c r="DT98" s="66">
        <f>+IF($W98="","",ROUND(IF($B98&gt;Parámetros!$D$107,'Tablas Servicio'!DR98+('Tablas Servicio'!DT97-'Tablas Servicio'!DR97),DR98/(1-IF(B98&lt;=10,Parámetros!$D$100,0))),2))</f>
        <v>0</v>
      </c>
      <c r="DU98" s="66">
        <f t="shared" si="104"/>
        <v>0</v>
      </c>
      <c r="DV98" s="66">
        <f t="shared" si="104"/>
        <v>0</v>
      </c>
      <c r="DW98" s="66">
        <f>+IF($W98="","",ROUND((DT98*Parámetros!$G$85),2))</f>
        <v>0</v>
      </c>
      <c r="DX98" s="66">
        <f>+IF($W98="","",ROUND((DT98*(Parámetros!$G$86)),2))</f>
        <v>0</v>
      </c>
      <c r="DY98" s="66">
        <f t="shared" si="105"/>
        <v>0</v>
      </c>
      <c r="DZ98" t="str">
        <f t="shared" si="149"/>
        <v>00066</v>
      </c>
      <c r="EA98" s="118" t="str">
        <f t="shared" si="149"/>
        <v>Enfermedad terminal</v>
      </c>
      <c r="EB98" s="118">
        <f>+IF($W98="","",ROUND(IF(Parámetros!$D$25='TABLAS MORT'!$V$33,EB97,Z98/2),0))</f>
        <v>50000</v>
      </c>
      <c r="EC98" s="118" t="str">
        <f t="shared" si="149"/>
        <v>A</v>
      </c>
      <c r="ED98" s="122">
        <f>+IF(OR($W98="",EB98=0),"",ROUND((VLOOKUP(ROUNDDOWN($D98-1/frec,0),cob_adi,DO$40,FALSE)*(1+i/frec)^-0.5*(1+Parámetros!$D$103)*(1+rec_fracc)/frec),6))</f>
        <v>7.9999999999999996E-6</v>
      </c>
      <c r="EE98" s="66">
        <f t="shared" si="107"/>
        <v>0.4</v>
      </c>
      <c r="EF98" s="68">
        <f t="shared" si="108"/>
        <v>9.0000000000000002E-6</v>
      </c>
      <c r="EG98" s="66">
        <f>+IF($W98="","",ROUND(IF($B98&gt;Parámetros!$D$107,'Tablas Servicio'!EE98+('Tablas Servicio'!EG97-'Tablas Servicio'!EE97),EE98/(1-IF(B98&lt;=10,Parámetros!$D$100,0))),2))</f>
        <v>0.45</v>
      </c>
      <c r="EH98" s="66">
        <f t="shared" si="109"/>
        <v>0</v>
      </c>
      <c r="EI98" s="66">
        <f t="shared" si="109"/>
        <v>0</v>
      </c>
      <c r="EJ98" s="66">
        <f>+IF($W98="","",ROUND((EG98*Parámetros!$G$85),2))</f>
        <v>0.02</v>
      </c>
      <c r="EK98" s="66">
        <f>+IF($W98="","",ROUND((EG98*(Parámetros!$G$86)),2))</f>
        <v>0</v>
      </c>
      <c r="EL98" s="66">
        <f t="shared" si="110"/>
        <v>0.47</v>
      </c>
    </row>
    <row r="99" spans="1:142" x14ac:dyDescent="0.25">
      <c r="A99">
        <f>+IF($C99="","",ROUND(VLOOKUP('Tablas Servicio'!B99,Parámetros!$H$100:$J$159,IF(Parámetros!$E$16="F",2,3),FALSE),2))</f>
        <v>150</v>
      </c>
      <c r="B99">
        <f t="shared" si="27"/>
        <v>5</v>
      </c>
      <c r="C99" s="57">
        <f>+IF(D99="","",'Tablas Servicio'!C98+1)</f>
        <v>58</v>
      </c>
      <c r="D99" s="56">
        <f>+IF(D98&lt;edadmaxtabla,D98+1/Parámetros!$E$25,"")</f>
        <v>44.853333333333474</v>
      </c>
      <c r="E99" s="57">
        <f t="shared" si="37"/>
        <v>44</v>
      </c>
      <c r="F99" s="59">
        <f t="shared" si="38"/>
        <v>100000</v>
      </c>
      <c r="G99" s="66">
        <f t="shared" si="39"/>
        <v>31.07</v>
      </c>
      <c r="H99" s="66">
        <f t="shared" si="28"/>
        <v>32.31</v>
      </c>
      <c r="I99" s="66">
        <f t="shared" si="112"/>
        <v>54.339999999999996</v>
      </c>
      <c r="J99" s="66">
        <f t="shared" si="29"/>
        <v>1.0900000000000001</v>
      </c>
      <c r="K99" s="66">
        <f t="shared" si="30"/>
        <v>0.15</v>
      </c>
      <c r="L99" s="66">
        <f t="shared" si="31"/>
        <v>0</v>
      </c>
      <c r="M99" s="66">
        <f t="shared" si="32"/>
        <v>0</v>
      </c>
      <c r="N99" s="66">
        <f>+IF(C99="","",ROUND(Parámetros!$D$23,2))</f>
        <v>94</v>
      </c>
      <c r="O99" s="66">
        <f t="shared" si="33"/>
        <v>15.200000000000001</v>
      </c>
      <c r="P99" s="66">
        <f>+IF($C99="","",ROUND(IF(B99&gt;Parámetros!$D$117,0,N99*Parámetros!$D$116-G99*Parámetros!$D$100),2))</f>
        <v>7.35</v>
      </c>
      <c r="Q99" s="75">
        <f t="shared" si="113"/>
        <v>3.5082072738976504E-2</v>
      </c>
      <c r="R99" s="75">
        <f t="shared" si="114"/>
        <v>4.8278081750885099E-3</v>
      </c>
      <c r="S99" s="117">
        <f>+IF($C99="","",ROUND((S98+I99)*(1+Parámetros!$D$91),2))</f>
        <v>3674.84</v>
      </c>
      <c r="T99" s="117">
        <f>+IF($C99="","",ROUND(S99*VLOOKUP(B99,Parámetros!$C$30:$D$39,2,TRUE),2))</f>
        <v>1469.94</v>
      </c>
      <c r="U99" s="117">
        <f>+IF($C99="","",ROUND((U98+I99)*(1+Parámetros!$D$92),2))</f>
        <v>3721.3</v>
      </c>
      <c r="V99" s="117">
        <f>+IF($C99="","",ROUND(U99*VLOOKUP(B99,Parámetros!$C$30:$D$39,2,TRUE),2))</f>
        <v>1488.52</v>
      </c>
      <c r="W99" s="57">
        <f t="shared" si="115"/>
        <v>58</v>
      </c>
      <c r="X99" t="str">
        <f t="shared" si="116"/>
        <v>00058</v>
      </c>
      <c r="Y99" t="str">
        <f t="shared" si="117"/>
        <v>MUERTE POR CUALQUIER CAUSA</v>
      </c>
      <c r="Z99" s="118">
        <f>+IF($W99="","",ROUND(IF(Parámetros!$D$25='TABLAS MORT'!$V$33,Z98,Parámetros!$D$21-'Tablas Servicio'!T98),0))</f>
        <v>100000</v>
      </c>
      <c r="AA99" s="118" t="str">
        <f t="shared" si="118"/>
        <v>P</v>
      </c>
      <c r="AB99" s="119">
        <f>+IF(W99="","",ROUND((VLOOKUP(ROUNDDOWN($D99-1/frec,0),qx_tabla,2,FALSE)*(1+i/frec)^-0.5*(1+Parámetros!$D$103)*(1+rec_fracc)/frec),6))</f>
        <v>1.4799999999999999E-4</v>
      </c>
      <c r="AC99" s="66">
        <f t="shared" si="46"/>
        <v>14.8</v>
      </c>
      <c r="AD99" s="119">
        <f t="shared" si="35"/>
        <v>3.0600000000000001E-4</v>
      </c>
      <c r="AE99" s="66">
        <f>+IF($W99="","",ROUND(IF($B99&gt;Parámetros!$D$107,'Tablas Servicio'!AC99+('Tablas Servicio'!AG98-'Tablas Servicio'!AC98),AC99/(1-IF(B99&lt;=10,Parámetros!$D$104,Parámetros!$D$105))),2))</f>
        <v>30.62</v>
      </c>
      <c r="AF99" s="66">
        <f>+IF($W99="","",ROUND(IF($B99&gt;Parámetros!$D$107,'Tablas Servicio'!AC99+('Tablas Servicio'!AG98-'Tablas Servicio'!AC98),(AC99+$A98/frec)/(1-IF(B99&lt;=Parámetros!$D$117,Parámetros!$D$100,0))),2))</f>
        <v>30.91</v>
      </c>
      <c r="AG99" s="66">
        <f t="shared" si="111"/>
        <v>30.62</v>
      </c>
      <c r="AH99" s="66">
        <f t="shared" si="47"/>
        <v>0</v>
      </c>
      <c r="AI99" s="66">
        <f t="shared" si="48"/>
        <v>0</v>
      </c>
      <c r="AJ99" s="66">
        <f>+IF($W99="","",ROUND((AG99*Parámetros!$G$85),2))</f>
        <v>1.07</v>
      </c>
      <c r="AK99" s="66">
        <f>+IF($W99="","",ROUND((AG99*(Parámetros!$G$86)),2))</f>
        <v>0.15</v>
      </c>
      <c r="AL99" s="66">
        <f t="shared" si="36"/>
        <v>31.84</v>
      </c>
      <c r="AM99" t="str">
        <f t="shared" si="119"/>
        <v>00059</v>
      </c>
      <c r="AN99" t="str">
        <f t="shared" si="120"/>
        <v>Incapacidad Total y Permanente</v>
      </c>
      <c r="AO99" s="118">
        <f t="shared" si="121"/>
        <v>0</v>
      </c>
      <c r="AP99" s="118" t="str">
        <f t="shared" si="122"/>
        <v>A</v>
      </c>
      <c r="AQ99" s="119" t="str">
        <f>+IF(OR($W99="",AO99=0),"",ROUND((VLOOKUP(ROUNDDOWN($D99-1/frec,0),cob_adi,Z$40,FALSE)*(1+i/frec)^-0.5*(1+Parámetros!$D$103)*(1+rec_fracc)/frec),6))</f>
        <v/>
      </c>
      <c r="AR99" s="66">
        <f t="shared" si="53"/>
        <v>0</v>
      </c>
      <c r="AS99" s="119" t="str">
        <f t="shared" si="54"/>
        <v/>
      </c>
      <c r="AT99" s="66">
        <f>+IF($W99="","",ROUND(IF($B99&gt;Parámetros!$D$107,'Tablas Servicio'!AR99+('Tablas Servicio'!AT98-'Tablas Servicio'!AR98),AR99/(1-IF(B99&lt;=10,Parámetros!$D$100,0))),2))</f>
        <v>0</v>
      </c>
      <c r="AU99" s="66">
        <f t="shared" si="55"/>
        <v>0</v>
      </c>
      <c r="AV99" s="66">
        <f t="shared" si="55"/>
        <v>0</v>
      </c>
      <c r="AW99" s="66">
        <f>+IF($W99="","",ROUND((AT99*Parámetros!$G$85),2))</f>
        <v>0</v>
      </c>
      <c r="AX99" s="66">
        <f>+IF($W99="","",ROUND((AT99*(Parámetros!$G$86)),2))</f>
        <v>0</v>
      </c>
      <c r="AY99" s="66">
        <f t="shared" si="56"/>
        <v>0</v>
      </c>
      <c r="AZ99" t="str">
        <f t="shared" si="123"/>
        <v>00060</v>
      </c>
      <c r="BA99" t="str">
        <f t="shared" si="124"/>
        <v>Muerte Accidental</v>
      </c>
      <c r="BB99" s="118">
        <f t="shared" si="125"/>
        <v>0</v>
      </c>
      <c r="BC99" s="118" t="str">
        <f t="shared" si="126"/>
        <v>A</v>
      </c>
      <c r="BD99" s="119" t="str">
        <f>+IF(OR($W99="",BB99=0),"",ROUND((VLOOKUP(ROUNDDOWN($D99-1/frec,0),cob_adi,AO$40,FALSE)*(1+i/frec)^-0.5*(1+Parámetros!$D$103)*(1+rec_fracc)/frec),6))</f>
        <v/>
      </c>
      <c r="BE99" s="66">
        <f t="shared" si="61"/>
        <v>0</v>
      </c>
      <c r="BF99" s="119" t="str">
        <f t="shared" si="62"/>
        <v/>
      </c>
      <c r="BG99" s="66">
        <f>+IF($W99="","",ROUND(IF($B99&gt;Parámetros!$D$107,'Tablas Servicio'!BE99+('Tablas Servicio'!BG98-'Tablas Servicio'!BE98),BE99/(1-IF(B99&lt;=10,Parámetros!$D$100,0))),2))</f>
        <v>0</v>
      </c>
      <c r="BH99" s="66">
        <f t="shared" si="63"/>
        <v>0</v>
      </c>
      <c r="BI99" s="66">
        <f t="shared" si="64"/>
        <v>0</v>
      </c>
      <c r="BJ99" s="66">
        <f>+IF($W99="","",ROUND((BG99*Parámetros!$G$85),2))</f>
        <v>0</v>
      </c>
      <c r="BK99" s="66">
        <f>+IF($W99="","",ROUND((BG99*(Parámetros!$G$86)),2))</f>
        <v>0</v>
      </c>
      <c r="BL99" s="66">
        <f t="shared" si="65"/>
        <v>0</v>
      </c>
      <c r="BM99" t="str">
        <f t="shared" si="127"/>
        <v>00061</v>
      </c>
      <c r="BN99" t="str">
        <f t="shared" si="128"/>
        <v>Gastos de Entierro</v>
      </c>
      <c r="BO99" s="118">
        <f t="shared" si="129"/>
        <v>0</v>
      </c>
      <c r="BP99" s="118" t="str">
        <f t="shared" si="130"/>
        <v>A</v>
      </c>
      <c r="BQ99" s="119" t="str">
        <f>+IF(OR($W99="",BO99=0),"",ROUND((VLOOKUP(ROUNDDOWN($D99-1/frec,0),cob_adi,BB$40,FALSE)*(1+i/frec)^-0.5*(1+Parámetros!$D$103)*(1+rec_fracc)/frec),6))</f>
        <v/>
      </c>
      <c r="BR99" s="66">
        <f t="shared" si="70"/>
        <v>0</v>
      </c>
      <c r="BS99" s="119" t="str">
        <f t="shared" si="71"/>
        <v/>
      </c>
      <c r="BT99" s="66">
        <f>+IF($W99="","",ROUND(IF($B99&gt;Parámetros!$D$107,'Tablas Servicio'!BR99+('Tablas Servicio'!BT98-'Tablas Servicio'!BR98),BR99/(1-IF(B99&lt;=10,Parámetros!$D$100,0))),2))</f>
        <v>0</v>
      </c>
      <c r="BU99" s="66">
        <f t="shared" si="72"/>
        <v>0</v>
      </c>
      <c r="BV99" s="66">
        <f t="shared" si="72"/>
        <v>0</v>
      </c>
      <c r="BW99" s="66">
        <f>+IF($W99="","",ROUND((BT99*Parámetros!$G$85),2))</f>
        <v>0</v>
      </c>
      <c r="BX99" s="66">
        <f>+IF($W99="","",ROUND((BT99*(Parámetros!$G$86)),2))</f>
        <v>0</v>
      </c>
      <c r="BY99" s="66">
        <f t="shared" si="73"/>
        <v>0</v>
      </c>
      <c r="BZ99" t="str">
        <f t="shared" si="131"/>
        <v>00062</v>
      </c>
      <c r="CA99" t="str">
        <f t="shared" si="132"/>
        <v>Gastos médicos por accidente</v>
      </c>
      <c r="CB99" s="118">
        <f t="shared" si="133"/>
        <v>0</v>
      </c>
      <c r="CC99" s="118" t="str">
        <f t="shared" si="134"/>
        <v>A</v>
      </c>
      <c r="CD99" s="119" t="str">
        <f t="shared" si="78"/>
        <v/>
      </c>
      <c r="CE99" s="66">
        <f>+IF($W99="","",ROUND((VLOOKUP(ROUNDDOWN($D99-1/frec,0),cob_adi,BO$40,FALSE)*(1+i/frec)^-0.5*(1+Parámetros!$D$103)*(1+rec_fracc)/frec*'TABLAS ADI'!$BC$17),2))</f>
        <v>0</v>
      </c>
      <c r="CF99" s="119" t="str">
        <f t="shared" si="79"/>
        <v/>
      </c>
      <c r="CG99" s="66">
        <f>+IF($W99="","",ROUND(IF($B99&gt;Parámetros!$D$107,'Tablas Servicio'!CE99+('Tablas Servicio'!CG98-'Tablas Servicio'!CE98),CE99/(1-IF(B99&lt;=10,Parámetros!$D$100,0))),2))</f>
        <v>0</v>
      </c>
      <c r="CH99" s="66">
        <f t="shared" si="80"/>
        <v>0</v>
      </c>
      <c r="CI99" s="66">
        <f t="shared" si="80"/>
        <v>0</v>
      </c>
      <c r="CJ99" s="66">
        <f>+IF($W99="","",ROUND((CG99*Parámetros!$G$85),2))</f>
        <v>0</v>
      </c>
      <c r="CK99" s="66">
        <f>+IF($W99="","",ROUND((CG99*(Parámetros!$G$86)),2))</f>
        <v>0</v>
      </c>
      <c r="CL99" s="66">
        <f t="shared" si="81"/>
        <v>0</v>
      </c>
      <c r="CM99" t="str">
        <f t="shared" si="135"/>
        <v>00063</v>
      </c>
      <c r="CN99" s="118" t="str">
        <f t="shared" si="136"/>
        <v>Renta Diaria por Hospitalización</v>
      </c>
      <c r="CO99" s="118">
        <f t="shared" si="137"/>
        <v>0</v>
      </c>
      <c r="CP99" s="118" t="str">
        <f t="shared" si="138"/>
        <v>A</v>
      </c>
      <c r="CQ99" s="119" t="str">
        <f t="shared" si="86"/>
        <v/>
      </c>
      <c r="CR99" s="66">
        <f>+IF($W99="","",ROUND((VLOOKUP(Parámetros!$F$51,'COBERTURAS ADICIONALES'!$S$4:$T$32,2,FALSE)*(1+i/frec)^-0.5*(1+Parámetros!$D$103)*(1+rec_fracc)/frec*$CO$42),2))</f>
        <v>0</v>
      </c>
      <c r="CS99" s="119" t="str">
        <f t="shared" si="87"/>
        <v/>
      </c>
      <c r="CT99" s="66">
        <f>+IF($W99="","",ROUND(IF($B99&gt;Parámetros!$D$107,'Tablas Servicio'!CR99+('Tablas Servicio'!CT98-'Tablas Servicio'!CR98),CR99/(1-IF(B99&lt;=10,Parámetros!$D$100,0))),2))</f>
        <v>0</v>
      </c>
      <c r="CU99" s="66">
        <f t="shared" si="88"/>
        <v>0</v>
      </c>
      <c r="CV99" s="66">
        <f t="shared" si="88"/>
        <v>0</v>
      </c>
      <c r="CW99" s="66">
        <f>+IF($W99="","",ROUND((CT99*Parámetros!$G$85),2))</f>
        <v>0</v>
      </c>
      <c r="CX99" s="66">
        <f>+IF($W99="","",ROUND((CT99*(Parámetros!$G$86)),2))</f>
        <v>0</v>
      </c>
      <c r="CY99" s="66">
        <f t="shared" si="89"/>
        <v>0</v>
      </c>
      <c r="CZ99" t="str">
        <f t="shared" si="139"/>
        <v>00064</v>
      </c>
      <c r="DA99" s="118" t="str">
        <f t="shared" si="140"/>
        <v>Enfermedades Graves</v>
      </c>
      <c r="DB99" s="118">
        <f t="shared" si="141"/>
        <v>0</v>
      </c>
      <c r="DC99" s="118" t="str">
        <f t="shared" si="142"/>
        <v>A</v>
      </c>
      <c r="DD99" s="121" t="str">
        <f>+IF(OR($W99="",DB99=0),"",ROUND((VLOOKUP(ROUNDDOWN($D99-1/frec,0),cob_adi,CO$40,FALSE)*(1+i/frec)^-0.5*(1+Parámetros!$D$103)*(1+rec_fracc)/frec),6))</f>
        <v/>
      </c>
      <c r="DE99" s="66">
        <f t="shared" si="94"/>
        <v>0</v>
      </c>
      <c r="DF99" s="119" t="str">
        <f t="shared" si="95"/>
        <v/>
      </c>
      <c r="DG99" s="66">
        <f>+IF($W99="","",ROUND(IF($B99&gt;Parámetros!$D$107,'Tablas Servicio'!DE99+('Tablas Servicio'!DG98-'Tablas Servicio'!DE98),DE99/(1-IF(B99&lt;=10,Parámetros!$D$100,0))),2))</f>
        <v>0</v>
      </c>
      <c r="DH99" s="66">
        <f t="shared" si="96"/>
        <v>0</v>
      </c>
      <c r="DI99" s="66">
        <f t="shared" si="96"/>
        <v>0</v>
      </c>
      <c r="DJ99" s="66">
        <f>+IF($W99="","",ROUND((DG99*Parámetros!$G$85),2))</f>
        <v>0</v>
      </c>
      <c r="DK99" s="66">
        <f>+IF($W99="","",ROUND((DG99*(Parámetros!$G$86)),2))</f>
        <v>0</v>
      </c>
      <c r="DL99" s="66">
        <f t="shared" si="97"/>
        <v>0</v>
      </c>
      <c r="DM99" t="str">
        <f t="shared" si="143"/>
        <v>00065</v>
      </c>
      <c r="DN99" s="118" t="str">
        <f t="shared" si="144"/>
        <v>Exención pago de primas</v>
      </c>
      <c r="DO99" s="118">
        <f t="shared" si="145"/>
        <v>0</v>
      </c>
      <c r="DP99" s="118" t="str">
        <f t="shared" si="146"/>
        <v>A</v>
      </c>
      <c r="DQ99" s="122" t="str">
        <f>+IF(OR($W99="",DO99=0),"",ROUND((VLOOKUP(ROUNDDOWN($D99-1/frec,0),cob_adi,DB$40,FALSE)*(1+i/frec)^-0.5*(1+Parámetros!$D$103)*(1+rec_fracc)/frec),6))</f>
        <v/>
      </c>
      <c r="DR99" s="66">
        <f t="shared" si="102"/>
        <v>0</v>
      </c>
      <c r="DS99" s="68" t="str">
        <f t="shared" si="103"/>
        <v/>
      </c>
      <c r="DT99" s="66">
        <f>+IF($W99="","",ROUND(IF($B99&gt;Parámetros!$D$107,'Tablas Servicio'!DR99+('Tablas Servicio'!DT98-'Tablas Servicio'!DR98),DR99/(1-IF(B99&lt;=10,Parámetros!$D$100,0))),2))</f>
        <v>0</v>
      </c>
      <c r="DU99" s="66">
        <f t="shared" si="104"/>
        <v>0</v>
      </c>
      <c r="DV99" s="66">
        <f t="shared" si="104"/>
        <v>0</v>
      </c>
      <c r="DW99" s="66">
        <f>+IF($W99="","",ROUND((DT99*Parámetros!$G$85),2))</f>
        <v>0</v>
      </c>
      <c r="DX99" s="66">
        <f>+IF($W99="","",ROUND((DT99*(Parámetros!$G$86)),2))</f>
        <v>0</v>
      </c>
      <c r="DY99" s="66">
        <f t="shared" si="105"/>
        <v>0</v>
      </c>
      <c r="DZ99" t="str">
        <f t="shared" si="149"/>
        <v>00066</v>
      </c>
      <c r="EA99" s="118" t="str">
        <f t="shared" si="149"/>
        <v>Enfermedad terminal</v>
      </c>
      <c r="EB99" s="118">
        <f>+IF($W99="","",ROUND(IF(Parámetros!$D$25='TABLAS MORT'!$V$33,EB98,Z99/2),0))</f>
        <v>50000</v>
      </c>
      <c r="EC99" s="118" t="str">
        <f t="shared" si="149"/>
        <v>A</v>
      </c>
      <c r="ED99" s="122">
        <f>+IF(OR($W99="",EB99=0),"",ROUND((VLOOKUP(ROUNDDOWN($D99-1/frec,0),cob_adi,DO$40,FALSE)*(1+i/frec)^-0.5*(1+Parámetros!$D$103)*(1+rec_fracc)/frec),6))</f>
        <v>7.9999999999999996E-6</v>
      </c>
      <c r="EE99" s="66">
        <f t="shared" si="107"/>
        <v>0.4</v>
      </c>
      <c r="EF99" s="68">
        <f t="shared" si="108"/>
        <v>9.0000000000000002E-6</v>
      </c>
      <c r="EG99" s="66">
        <f>+IF($W99="","",ROUND(IF($B99&gt;Parámetros!$D$107,'Tablas Servicio'!EE99+('Tablas Servicio'!EG98-'Tablas Servicio'!EE98),EE99/(1-IF(B99&lt;=10,Parámetros!$D$100,0))),2))</f>
        <v>0.45</v>
      </c>
      <c r="EH99" s="66">
        <f t="shared" si="109"/>
        <v>0</v>
      </c>
      <c r="EI99" s="66">
        <f t="shared" si="109"/>
        <v>0</v>
      </c>
      <c r="EJ99" s="66">
        <f>+IF($W99="","",ROUND((EG99*Parámetros!$G$85),2))</f>
        <v>0.02</v>
      </c>
      <c r="EK99" s="66">
        <f>+IF($W99="","",ROUND((EG99*(Parámetros!$G$86)),2))</f>
        <v>0</v>
      </c>
      <c r="EL99" s="66">
        <f t="shared" si="110"/>
        <v>0.47</v>
      </c>
    </row>
    <row r="100" spans="1:142" x14ac:dyDescent="0.25">
      <c r="A100">
        <f>+IF($C100="","",ROUND(VLOOKUP('Tablas Servicio'!B100,Parámetros!$H$100:$J$159,IF(Parámetros!$E$16="F",2,3),FALSE),2))</f>
        <v>150</v>
      </c>
      <c r="B100">
        <f t="shared" si="27"/>
        <v>5</v>
      </c>
      <c r="C100" s="57">
        <f>+IF(D100="","",'Tablas Servicio'!C99+1)</f>
        <v>59</v>
      </c>
      <c r="D100" s="56">
        <f>+IF(D99&lt;edadmaxtabla,D99+1/Parámetros!$E$25,"")</f>
        <v>44.93666666666681</v>
      </c>
      <c r="E100" s="57">
        <f t="shared" si="37"/>
        <v>44</v>
      </c>
      <c r="F100" s="59">
        <f t="shared" si="38"/>
        <v>100000</v>
      </c>
      <c r="G100" s="66">
        <f t="shared" si="39"/>
        <v>31.07</v>
      </c>
      <c r="H100" s="66">
        <f t="shared" si="28"/>
        <v>32.31</v>
      </c>
      <c r="I100" s="66">
        <f t="shared" si="112"/>
        <v>54.339999999999996</v>
      </c>
      <c r="J100" s="66">
        <f t="shared" si="29"/>
        <v>1.0900000000000001</v>
      </c>
      <c r="K100" s="66">
        <f t="shared" si="30"/>
        <v>0.15</v>
      </c>
      <c r="L100" s="66">
        <f t="shared" si="31"/>
        <v>0</v>
      </c>
      <c r="M100" s="66">
        <f t="shared" si="32"/>
        <v>0</v>
      </c>
      <c r="N100" s="66">
        <f>+IF(C100="","",ROUND(Parámetros!$D$23,2))</f>
        <v>94</v>
      </c>
      <c r="O100" s="66">
        <f t="shared" si="33"/>
        <v>15.200000000000001</v>
      </c>
      <c r="P100" s="66">
        <f>+IF($C100="","",ROUND(IF(B100&gt;Parámetros!$D$117,0,N100*Parámetros!$D$116-G100*Parámetros!$D$100),2))</f>
        <v>7.35</v>
      </c>
      <c r="Q100" s="75">
        <f t="shared" si="113"/>
        <v>3.5082072738976504E-2</v>
      </c>
      <c r="R100" s="75">
        <f t="shared" si="114"/>
        <v>4.8278081750885099E-3</v>
      </c>
      <c r="S100" s="117">
        <f>+IF($C100="","",ROUND((S99+I100)*(1+Parámetros!$D$91),2))</f>
        <v>3739.76</v>
      </c>
      <c r="T100" s="117">
        <f>+IF($C100="","",ROUND(S100*VLOOKUP(B100,Parámetros!$C$30:$D$39,2,TRUE),2))</f>
        <v>1495.9</v>
      </c>
      <c r="U100" s="117">
        <f>+IF($C100="","",ROUND((U99+I100)*(1+Parámetros!$D$92),2))</f>
        <v>3787.88</v>
      </c>
      <c r="V100" s="117">
        <f>+IF($C100="","",ROUND(U100*VLOOKUP(B100,Parámetros!$C$30:$D$39,2,TRUE),2))</f>
        <v>1515.15</v>
      </c>
      <c r="W100" s="57">
        <f t="shared" si="115"/>
        <v>59</v>
      </c>
      <c r="X100" t="str">
        <f t="shared" si="116"/>
        <v>00058</v>
      </c>
      <c r="Y100" t="str">
        <f t="shared" si="117"/>
        <v>MUERTE POR CUALQUIER CAUSA</v>
      </c>
      <c r="Z100" s="118">
        <f>+IF($W100="","",ROUND(IF(Parámetros!$D$25='TABLAS MORT'!$V$33,Z99,Parámetros!$D$21-'Tablas Servicio'!T99),0))</f>
        <v>100000</v>
      </c>
      <c r="AA100" s="118" t="str">
        <f t="shared" si="118"/>
        <v>P</v>
      </c>
      <c r="AB100" s="119">
        <f>+IF(W100="","",ROUND((VLOOKUP(ROUNDDOWN($D100-1/frec,0),qx_tabla,2,FALSE)*(1+i/frec)^-0.5*(1+Parámetros!$D$103)*(1+rec_fracc)/frec),6))</f>
        <v>1.4799999999999999E-4</v>
      </c>
      <c r="AC100" s="66">
        <f t="shared" si="46"/>
        <v>14.8</v>
      </c>
      <c r="AD100" s="119">
        <f t="shared" si="35"/>
        <v>3.0600000000000001E-4</v>
      </c>
      <c r="AE100" s="66">
        <f>+IF($W100="","",ROUND(IF($B100&gt;Parámetros!$D$107,'Tablas Servicio'!AC100+('Tablas Servicio'!AG99-'Tablas Servicio'!AC99),AC100/(1-IF(B100&lt;=10,Parámetros!$D$104,Parámetros!$D$105))),2))</f>
        <v>30.62</v>
      </c>
      <c r="AF100" s="66">
        <f>+IF($W100="","",ROUND(IF($B100&gt;Parámetros!$D$107,'Tablas Servicio'!AC100+('Tablas Servicio'!AG99-'Tablas Servicio'!AC99),(AC100+$A99/frec)/(1-IF(B100&lt;=Parámetros!$D$117,Parámetros!$D$100,0))),2))</f>
        <v>30.91</v>
      </c>
      <c r="AG100" s="66">
        <f t="shared" si="111"/>
        <v>30.62</v>
      </c>
      <c r="AH100" s="66">
        <f t="shared" si="47"/>
        <v>0</v>
      </c>
      <c r="AI100" s="66">
        <f t="shared" si="48"/>
        <v>0</v>
      </c>
      <c r="AJ100" s="66">
        <f>+IF($W100="","",ROUND((AG100*Parámetros!$G$85),2))</f>
        <v>1.07</v>
      </c>
      <c r="AK100" s="66">
        <f>+IF($W100="","",ROUND((AG100*(Parámetros!$G$86)),2))</f>
        <v>0.15</v>
      </c>
      <c r="AL100" s="66">
        <f t="shared" si="36"/>
        <v>31.84</v>
      </c>
      <c r="AM100" t="str">
        <f t="shared" si="119"/>
        <v>00059</v>
      </c>
      <c r="AN100" t="str">
        <f t="shared" si="120"/>
        <v>Incapacidad Total y Permanente</v>
      </c>
      <c r="AO100" s="118">
        <f t="shared" si="121"/>
        <v>0</v>
      </c>
      <c r="AP100" s="118" t="str">
        <f t="shared" si="122"/>
        <v>A</v>
      </c>
      <c r="AQ100" s="119" t="str">
        <f>+IF(OR($W100="",AO100=0),"",ROUND((VLOOKUP(ROUNDDOWN($D100-1/frec,0),cob_adi,Z$40,FALSE)*(1+i/frec)^-0.5*(1+Parámetros!$D$103)*(1+rec_fracc)/frec),6))</f>
        <v/>
      </c>
      <c r="AR100" s="66">
        <f t="shared" si="53"/>
        <v>0</v>
      </c>
      <c r="AS100" s="119" t="str">
        <f t="shared" si="54"/>
        <v/>
      </c>
      <c r="AT100" s="66">
        <f>+IF($W100="","",ROUND(IF($B100&gt;Parámetros!$D$107,'Tablas Servicio'!AR100+('Tablas Servicio'!AT99-'Tablas Servicio'!AR99),AR100/(1-IF(B100&lt;=10,Parámetros!$D$100,0))),2))</f>
        <v>0</v>
      </c>
      <c r="AU100" s="66">
        <f t="shared" si="55"/>
        <v>0</v>
      </c>
      <c r="AV100" s="66">
        <f t="shared" si="55"/>
        <v>0</v>
      </c>
      <c r="AW100" s="66">
        <f>+IF($W100="","",ROUND((AT100*Parámetros!$G$85),2))</f>
        <v>0</v>
      </c>
      <c r="AX100" s="66">
        <f>+IF($W100="","",ROUND((AT100*(Parámetros!$G$86)),2))</f>
        <v>0</v>
      </c>
      <c r="AY100" s="66">
        <f t="shared" si="56"/>
        <v>0</v>
      </c>
      <c r="AZ100" t="str">
        <f t="shared" si="123"/>
        <v>00060</v>
      </c>
      <c r="BA100" t="str">
        <f t="shared" si="124"/>
        <v>Muerte Accidental</v>
      </c>
      <c r="BB100" s="118">
        <f t="shared" si="125"/>
        <v>0</v>
      </c>
      <c r="BC100" s="118" t="str">
        <f t="shared" si="126"/>
        <v>A</v>
      </c>
      <c r="BD100" s="119" t="str">
        <f>+IF(OR($W100="",BB100=0),"",ROUND((VLOOKUP(ROUNDDOWN($D100-1/frec,0),cob_adi,AO$40,FALSE)*(1+i/frec)^-0.5*(1+Parámetros!$D$103)*(1+rec_fracc)/frec),6))</f>
        <v/>
      </c>
      <c r="BE100" s="66">
        <f t="shared" si="61"/>
        <v>0</v>
      </c>
      <c r="BF100" s="119" t="str">
        <f t="shared" si="62"/>
        <v/>
      </c>
      <c r="BG100" s="66">
        <f>+IF($W100="","",ROUND(IF($B100&gt;Parámetros!$D$107,'Tablas Servicio'!BE100+('Tablas Servicio'!BG99-'Tablas Servicio'!BE99),BE100/(1-IF(B100&lt;=10,Parámetros!$D$100,0))),2))</f>
        <v>0</v>
      </c>
      <c r="BH100" s="66">
        <f t="shared" si="63"/>
        <v>0</v>
      </c>
      <c r="BI100" s="66">
        <f t="shared" si="64"/>
        <v>0</v>
      </c>
      <c r="BJ100" s="66">
        <f>+IF($W100="","",ROUND((BG100*Parámetros!$G$85),2))</f>
        <v>0</v>
      </c>
      <c r="BK100" s="66">
        <f>+IF($W100="","",ROUND((BG100*(Parámetros!$G$86)),2))</f>
        <v>0</v>
      </c>
      <c r="BL100" s="66">
        <f t="shared" si="65"/>
        <v>0</v>
      </c>
      <c r="BM100" t="str">
        <f t="shared" si="127"/>
        <v>00061</v>
      </c>
      <c r="BN100" t="str">
        <f t="shared" si="128"/>
        <v>Gastos de Entierro</v>
      </c>
      <c r="BO100" s="118">
        <f t="shared" si="129"/>
        <v>0</v>
      </c>
      <c r="BP100" s="118" t="str">
        <f t="shared" si="130"/>
        <v>A</v>
      </c>
      <c r="BQ100" s="119" t="str">
        <f>+IF(OR($W100="",BO100=0),"",ROUND((VLOOKUP(ROUNDDOWN($D100-1/frec,0),cob_adi,BB$40,FALSE)*(1+i/frec)^-0.5*(1+Parámetros!$D$103)*(1+rec_fracc)/frec),6))</f>
        <v/>
      </c>
      <c r="BR100" s="66">
        <f t="shared" si="70"/>
        <v>0</v>
      </c>
      <c r="BS100" s="119" t="str">
        <f t="shared" si="71"/>
        <v/>
      </c>
      <c r="BT100" s="66">
        <f>+IF($W100="","",ROUND(IF($B100&gt;Parámetros!$D$107,'Tablas Servicio'!BR100+('Tablas Servicio'!BT99-'Tablas Servicio'!BR99),BR100/(1-IF(B100&lt;=10,Parámetros!$D$100,0))),2))</f>
        <v>0</v>
      </c>
      <c r="BU100" s="66">
        <f t="shared" si="72"/>
        <v>0</v>
      </c>
      <c r="BV100" s="66">
        <f t="shared" si="72"/>
        <v>0</v>
      </c>
      <c r="BW100" s="66">
        <f>+IF($W100="","",ROUND((BT100*Parámetros!$G$85),2))</f>
        <v>0</v>
      </c>
      <c r="BX100" s="66">
        <f>+IF($W100="","",ROUND((BT100*(Parámetros!$G$86)),2))</f>
        <v>0</v>
      </c>
      <c r="BY100" s="66">
        <f t="shared" si="73"/>
        <v>0</v>
      </c>
      <c r="BZ100" t="str">
        <f t="shared" si="131"/>
        <v>00062</v>
      </c>
      <c r="CA100" t="str">
        <f t="shared" si="132"/>
        <v>Gastos médicos por accidente</v>
      </c>
      <c r="CB100" s="118">
        <f t="shared" si="133"/>
        <v>0</v>
      </c>
      <c r="CC100" s="118" t="str">
        <f t="shared" si="134"/>
        <v>A</v>
      </c>
      <c r="CD100" s="119" t="str">
        <f t="shared" si="78"/>
        <v/>
      </c>
      <c r="CE100" s="66">
        <f>+IF($W100="","",ROUND((VLOOKUP(ROUNDDOWN($D100-1/frec,0),cob_adi,BO$40,FALSE)*(1+i/frec)^-0.5*(1+Parámetros!$D$103)*(1+rec_fracc)/frec*'TABLAS ADI'!$BC$17),2))</f>
        <v>0</v>
      </c>
      <c r="CF100" s="119" t="str">
        <f t="shared" si="79"/>
        <v/>
      </c>
      <c r="CG100" s="66">
        <f>+IF($W100="","",ROUND(IF($B100&gt;Parámetros!$D$107,'Tablas Servicio'!CE100+('Tablas Servicio'!CG99-'Tablas Servicio'!CE99),CE100/(1-IF(B100&lt;=10,Parámetros!$D$100,0))),2))</f>
        <v>0</v>
      </c>
      <c r="CH100" s="66">
        <f t="shared" si="80"/>
        <v>0</v>
      </c>
      <c r="CI100" s="66">
        <f t="shared" si="80"/>
        <v>0</v>
      </c>
      <c r="CJ100" s="66">
        <f>+IF($W100="","",ROUND((CG100*Parámetros!$G$85),2))</f>
        <v>0</v>
      </c>
      <c r="CK100" s="66">
        <f>+IF($W100="","",ROUND((CG100*(Parámetros!$G$86)),2))</f>
        <v>0</v>
      </c>
      <c r="CL100" s="66">
        <f t="shared" si="81"/>
        <v>0</v>
      </c>
      <c r="CM100" t="str">
        <f t="shared" si="135"/>
        <v>00063</v>
      </c>
      <c r="CN100" s="118" t="str">
        <f t="shared" si="136"/>
        <v>Renta Diaria por Hospitalización</v>
      </c>
      <c r="CO100" s="118">
        <f t="shared" si="137"/>
        <v>0</v>
      </c>
      <c r="CP100" s="118" t="str">
        <f t="shared" si="138"/>
        <v>A</v>
      </c>
      <c r="CQ100" s="119" t="str">
        <f t="shared" si="86"/>
        <v/>
      </c>
      <c r="CR100" s="66">
        <f>+IF($W100="","",ROUND((VLOOKUP(Parámetros!$F$51,'COBERTURAS ADICIONALES'!$S$4:$T$32,2,FALSE)*(1+i/frec)^-0.5*(1+Parámetros!$D$103)*(1+rec_fracc)/frec*$CO$42),2))</f>
        <v>0</v>
      </c>
      <c r="CS100" s="119" t="str">
        <f t="shared" si="87"/>
        <v/>
      </c>
      <c r="CT100" s="66">
        <f>+IF($W100="","",ROUND(IF($B100&gt;Parámetros!$D$107,'Tablas Servicio'!CR100+('Tablas Servicio'!CT99-'Tablas Servicio'!CR99),CR100/(1-IF(B100&lt;=10,Parámetros!$D$100,0))),2))</f>
        <v>0</v>
      </c>
      <c r="CU100" s="66">
        <f t="shared" si="88"/>
        <v>0</v>
      </c>
      <c r="CV100" s="66">
        <f t="shared" si="88"/>
        <v>0</v>
      </c>
      <c r="CW100" s="66">
        <f>+IF($W100="","",ROUND((CT100*Parámetros!$G$85),2))</f>
        <v>0</v>
      </c>
      <c r="CX100" s="66">
        <f>+IF($W100="","",ROUND((CT100*(Parámetros!$G$86)),2))</f>
        <v>0</v>
      </c>
      <c r="CY100" s="66">
        <f t="shared" si="89"/>
        <v>0</v>
      </c>
      <c r="CZ100" t="str">
        <f t="shared" si="139"/>
        <v>00064</v>
      </c>
      <c r="DA100" s="118" t="str">
        <f t="shared" si="140"/>
        <v>Enfermedades Graves</v>
      </c>
      <c r="DB100" s="118">
        <f t="shared" si="141"/>
        <v>0</v>
      </c>
      <c r="DC100" s="118" t="str">
        <f t="shared" si="142"/>
        <v>A</v>
      </c>
      <c r="DD100" s="121" t="str">
        <f>+IF(OR($W100="",DB100=0),"",ROUND((VLOOKUP(ROUNDDOWN($D100-1/frec,0),cob_adi,CO$40,FALSE)*(1+i/frec)^-0.5*(1+Parámetros!$D$103)*(1+rec_fracc)/frec),6))</f>
        <v/>
      </c>
      <c r="DE100" s="66">
        <f t="shared" si="94"/>
        <v>0</v>
      </c>
      <c r="DF100" s="119" t="str">
        <f t="shared" si="95"/>
        <v/>
      </c>
      <c r="DG100" s="66">
        <f>+IF($W100="","",ROUND(IF($B100&gt;Parámetros!$D$107,'Tablas Servicio'!DE100+('Tablas Servicio'!DG99-'Tablas Servicio'!DE99),DE100/(1-IF(B100&lt;=10,Parámetros!$D$100,0))),2))</f>
        <v>0</v>
      </c>
      <c r="DH100" s="66">
        <f t="shared" si="96"/>
        <v>0</v>
      </c>
      <c r="DI100" s="66">
        <f t="shared" si="96"/>
        <v>0</v>
      </c>
      <c r="DJ100" s="66">
        <f>+IF($W100="","",ROUND((DG100*Parámetros!$G$85),2))</f>
        <v>0</v>
      </c>
      <c r="DK100" s="66">
        <f>+IF($W100="","",ROUND((DG100*(Parámetros!$G$86)),2))</f>
        <v>0</v>
      </c>
      <c r="DL100" s="66">
        <f t="shared" si="97"/>
        <v>0</v>
      </c>
      <c r="DM100" t="str">
        <f t="shared" si="143"/>
        <v>00065</v>
      </c>
      <c r="DN100" s="118" t="str">
        <f t="shared" si="144"/>
        <v>Exención pago de primas</v>
      </c>
      <c r="DO100" s="118">
        <f t="shared" si="145"/>
        <v>0</v>
      </c>
      <c r="DP100" s="118" t="str">
        <f t="shared" si="146"/>
        <v>A</v>
      </c>
      <c r="DQ100" s="122" t="str">
        <f>+IF(OR($W100="",DO100=0),"",ROUND((VLOOKUP(ROUNDDOWN($D100-1/frec,0),cob_adi,DB$40,FALSE)*(1+i/frec)^-0.5*(1+Parámetros!$D$103)*(1+rec_fracc)/frec),6))</f>
        <v/>
      </c>
      <c r="DR100" s="66">
        <f t="shared" si="102"/>
        <v>0</v>
      </c>
      <c r="DS100" s="68" t="str">
        <f t="shared" si="103"/>
        <v/>
      </c>
      <c r="DT100" s="66">
        <f>+IF($W100="","",ROUND(IF($B100&gt;Parámetros!$D$107,'Tablas Servicio'!DR100+('Tablas Servicio'!DT99-'Tablas Servicio'!DR99),DR100/(1-IF(B100&lt;=10,Parámetros!$D$100,0))),2))</f>
        <v>0</v>
      </c>
      <c r="DU100" s="66">
        <f t="shared" si="104"/>
        <v>0</v>
      </c>
      <c r="DV100" s="66">
        <f t="shared" si="104"/>
        <v>0</v>
      </c>
      <c r="DW100" s="66">
        <f>+IF($W100="","",ROUND((DT100*Parámetros!$G$85),2))</f>
        <v>0</v>
      </c>
      <c r="DX100" s="66">
        <f>+IF($W100="","",ROUND((DT100*(Parámetros!$G$86)),2))</f>
        <v>0</v>
      </c>
      <c r="DY100" s="66">
        <f t="shared" si="105"/>
        <v>0</v>
      </c>
      <c r="DZ100" t="str">
        <f t="shared" si="149"/>
        <v>00066</v>
      </c>
      <c r="EA100" s="118" t="str">
        <f t="shared" si="149"/>
        <v>Enfermedad terminal</v>
      </c>
      <c r="EB100" s="118">
        <f>+IF($W100="","",ROUND(IF(Parámetros!$D$25='TABLAS MORT'!$V$33,EB99,Z100/2),0))</f>
        <v>50000</v>
      </c>
      <c r="EC100" s="118" t="str">
        <f t="shared" si="149"/>
        <v>A</v>
      </c>
      <c r="ED100" s="122">
        <f>+IF(OR($W100="",EB100=0),"",ROUND((VLOOKUP(ROUNDDOWN($D100-1/frec,0),cob_adi,DO$40,FALSE)*(1+i/frec)^-0.5*(1+Parámetros!$D$103)*(1+rec_fracc)/frec),6))</f>
        <v>7.9999999999999996E-6</v>
      </c>
      <c r="EE100" s="66">
        <f t="shared" si="107"/>
        <v>0.4</v>
      </c>
      <c r="EF100" s="68">
        <f t="shared" si="108"/>
        <v>9.0000000000000002E-6</v>
      </c>
      <c r="EG100" s="66">
        <f>+IF($W100="","",ROUND(IF($B100&gt;Parámetros!$D$107,'Tablas Servicio'!EE100+('Tablas Servicio'!EG99-'Tablas Servicio'!EE99),EE100/(1-IF(B100&lt;=10,Parámetros!$D$100,0))),2))</f>
        <v>0.45</v>
      </c>
      <c r="EH100" s="66">
        <f t="shared" si="109"/>
        <v>0</v>
      </c>
      <c r="EI100" s="66">
        <f t="shared" si="109"/>
        <v>0</v>
      </c>
      <c r="EJ100" s="66">
        <f>+IF($W100="","",ROUND((EG100*Parámetros!$G$85),2))</f>
        <v>0.02</v>
      </c>
      <c r="EK100" s="66">
        <f>+IF($W100="","",ROUND((EG100*(Parámetros!$G$86)),2))</f>
        <v>0</v>
      </c>
      <c r="EL100" s="66">
        <f t="shared" si="110"/>
        <v>0.47</v>
      </c>
    </row>
    <row r="101" spans="1:142" x14ac:dyDescent="0.25">
      <c r="A101">
        <f>+IF($C101="","",ROUND(VLOOKUP('Tablas Servicio'!B101,Parámetros!$H$100:$J$159,IF(Parámetros!$E$16="F",2,3),FALSE),2))</f>
        <v>150</v>
      </c>
      <c r="B101">
        <f t="shared" si="27"/>
        <v>5</v>
      </c>
      <c r="C101" s="57">
        <f>+IF(D101="","",'Tablas Servicio'!C100+1)</f>
        <v>60</v>
      </c>
      <c r="D101" s="56">
        <f>+IF(D100&lt;edadmaxtabla,D100+1/Parámetros!$E$25,"")</f>
        <v>45.020000000000145</v>
      </c>
      <c r="E101" s="57">
        <f t="shared" si="37"/>
        <v>45</v>
      </c>
      <c r="F101" s="59">
        <f t="shared" si="38"/>
        <v>100000</v>
      </c>
      <c r="G101" s="66">
        <f t="shared" si="39"/>
        <v>31.07</v>
      </c>
      <c r="H101" s="66">
        <f t="shared" si="28"/>
        <v>32.31</v>
      </c>
      <c r="I101" s="66">
        <f t="shared" si="112"/>
        <v>54.339999999999996</v>
      </c>
      <c r="J101" s="66">
        <f t="shared" si="29"/>
        <v>1.0900000000000001</v>
      </c>
      <c r="K101" s="66">
        <f t="shared" si="30"/>
        <v>0.15</v>
      </c>
      <c r="L101" s="66">
        <f t="shared" si="31"/>
        <v>0</v>
      </c>
      <c r="M101" s="66">
        <f t="shared" si="32"/>
        <v>0</v>
      </c>
      <c r="N101" s="66">
        <f>+IF(C101="","",ROUND(Parámetros!$D$23,2))</f>
        <v>94</v>
      </c>
      <c r="O101" s="66">
        <f t="shared" si="33"/>
        <v>15.200000000000001</v>
      </c>
      <c r="P101" s="66">
        <f>+IF($C101="","",ROUND(IF(B101&gt;Parámetros!$D$117,0,N101*Parámetros!$D$116-G101*Parámetros!$D$100),2))</f>
        <v>7.35</v>
      </c>
      <c r="Q101" s="75">
        <f t="shared" si="113"/>
        <v>3.5082072738976504E-2</v>
      </c>
      <c r="R101" s="75">
        <f t="shared" si="114"/>
        <v>4.8278081750885099E-3</v>
      </c>
      <c r="S101" s="117">
        <f>+IF($C101="","",ROUND((S100+I101)*(1+Parámetros!$D$91),2))</f>
        <v>3804.86</v>
      </c>
      <c r="T101" s="117">
        <f>+IF($C101="","",ROUND(S101*VLOOKUP(B101,Parámetros!$C$30:$D$39,2,TRUE),2))</f>
        <v>1521.94</v>
      </c>
      <c r="U101" s="117">
        <f>+IF($C101="","",ROUND((U100+I101)*(1+Parámetros!$D$92),2))</f>
        <v>3854.68</v>
      </c>
      <c r="V101" s="117">
        <f>+IF($C101="","",ROUND(U101*VLOOKUP(B101,Parámetros!$C$30:$D$39,2,TRUE),2))</f>
        <v>1541.87</v>
      </c>
      <c r="W101" s="57">
        <f t="shared" si="115"/>
        <v>60</v>
      </c>
      <c r="X101" t="str">
        <f t="shared" si="116"/>
        <v>00058</v>
      </c>
      <c r="Y101" t="str">
        <f t="shared" si="117"/>
        <v>MUERTE POR CUALQUIER CAUSA</v>
      </c>
      <c r="Z101" s="118">
        <f>+IF($W101="","",ROUND(IF(Parámetros!$D$25='TABLAS MORT'!$V$33,Z100,Parámetros!$D$21-'Tablas Servicio'!T100),0))</f>
        <v>100000</v>
      </c>
      <c r="AA101" s="118" t="str">
        <f t="shared" si="118"/>
        <v>P</v>
      </c>
      <c r="AB101" s="119">
        <f>+IF(W101="","",ROUND((VLOOKUP(ROUNDDOWN($D101-1/frec,0),qx_tabla,2,FALSE)*(1+i/frec)^-0.5*(1+Parámetros!$D$103)*(1+rec_fracc)/frec),6))</f>
        <v>1.4799999999999999E-4</v>
      </c>
      <c r="AC101" s="66">
        <f t="shared" si="46"/>
        <v>14.8</v>
      </c>
      <c r="AD101" s="119">
        <f t="shared" si="35"/>
        <v>3.0600000000000001E-4</v>
      </c>
      <c r="AE101" s="66">
        <f>+IF($W101="","",ROUND(IF($B101&gt;Parámetros!$D$107,'Tablas Servicio'!AC101+('Tablas Servicio'!AG100-'Tablas Servicio'!AC100),AC101/(1-IF(B101&lt;=10,Parámetros!$D$104,Parámetros!$D$105))),2))</f>
        <v>30.62</v>
      </c>
      <c r="AF101" s="66">
        <f>+IF($W101="","",ROUND(IF($B101&gt;Parámetros!$D$107,'Tablas Servicio'!AC101+('Tablas Servicio'!AG100-'Tablas Servicio'!AC100),(AC101+$A100/frec)/(1-IF(B101&lt;=Parámetros!$D$117,Parámetros!$D$100,0))),2))</f>
        <v>30.91</v>
      </c>
      <c r="AG101" s="66">
        <f t="shared" si="111"/>
        <v>30.62</v>
      </c>
      <c r="AH101" s="66">
        <f t="shared" si="47"/>
        <v>0</v>
      </c>
      <c r="AI101" s="66">
        <f t="shared" si="48"/>
        <v>0</v>
      </c>
      <c r="AJ101" s="66">
        <f>+IF($W101="","",ROUND((AG101*Parámetros!$G$85),2))</f>
        <v>1.07</v>
      </c>
      <c r="AK101" s="66">
        <f>+IF($W101="","",ROUND((AG101*(Parámetros!$G$86)),2))</f>
        <v>0.15</v>
      </c>
      <c r="AL101" s="66">
        <f t="shared" si="36"/>
        <v>31.84</v>
      </c>
      <c r="AM101" t="str">
        <f t="shared" si="119"/>
        <v>00059</v>
      </c>
      <c r="AN101" t="str">
        <f t="shared" si="120"/>
        <v>Incapacidad Total y Permanente</v>
      </c>
      <c r="AO101" s="118">
        <f t="shared" si="121"/>
        <v>0</v>
      </c>
      <c r="AP101" s="118" t="str">
        <f t="shared" si="122"/>
        <v>A</v>
      </c>
      <c r="AQ101" s="119" t="str">
        <f>+IF(OR($W101="",AO101=0),"",ROUND((VLOOKUP(ROUNDDOWN($D101-1/frec,0),cob_adi,Z$40,FALSE)*(1+i/frec)^-0.5*(1+Parámetros!$D$103)*(1+rec_fracc)/frec),6))</f>
        <v/>
      </c>
      <c r="AR101" s="66">
        <f t="shared" si="53"/>
        <v>0</v>
      </c>
      <c r="AS101" s="119" t="str">
        <f t="shared" si="54"/>
        <v/>
      </c>
      <c r="AT101" s="66">
        <f>+IF($W101="","",ROUND(IF($B101&gt;Parámetros!$D$107,'Tablas Servicio'!AR101+('Tablas Servicio'!AT100-'Tablas Servicio'!AR100),AR101/(1-IF(B101&lt;=10,Parámetros!$D$100,0))),2))</f>
        <v>0</v>
      </c>
      <c r="AU101" s="66">
        <f t="shared" si="55"/>
        <v>0</v>
      </c>
      <c r="AV101" s="66">
        <f t="shared" si="55"/>
        <v>0</v>
      </c>
      <c r="AW101" s="66">
        <f>+IF($W101="","",ROUND((AT101*Parámetros!$G$85),2))</f>
        <v>0</v>
      </c>
      <c r="AX101" s="66">
        <f>+IF($W101="","",ROUND((AT101*(Parámetros!$G$86)),2))</f>
        <v>0</v>
      </c>
      <c r="AY101" s="66">
        <f t="shared" si="56"/>
        <v>0</v>
      </c>
      <c r="AZ101" t="str">
        <f t="shared" si="123"/>
        <v>00060</v>
      </c>
      <c r="BA101" t="str">
        <f t="shared" si="124"/>
        <v>Muerte Accidental</v>
      </c>
      <c r="BB101" s="118">
        <f t="shared" si="125"/>
        <v>0</v>
      </c>
      <c r="BC101" s="118" t="str">
        <f t="shared" si="126"/>
        <v>A</v>
      </c>
      <c r="BD101" s="119" t="str">
        <f>+IF(OR($W101="",BB101=0),"",ROUND((VLOOKUP(ROUNDDOWN($D101-1/frec,0),cob_adi,AO$40,FALSE)*(1+i/frec)^-0.5*(1+Parámetros!$D$103)*(1+rec_fracc)/frec),6))</f>
        <v/>
      </c>
      <c r="BE101" s="66">
        <f t="shared" si="61"/>
        <v>0</v>
      </c>
      <c r="BF101" s="119" t="str">
        <f t="shared" si="62"/>
        <v/>
      </c>
      <c r="BG101" s="66">
        <f>+IF($W101="","",ROUND(IF($B101&gt;Parámetros!$D$107,'Tablas Servicio'!BE101+('Tablas Servicio'!BG100-'Tablas Servicio'!BE100),BE101/(1-IF(B101&lt;=10,Parámetros!$D$100,0))),2))</f>
        <v>0</v>
      </c>
      <c r="BH101" s="66">
        <f t="shared" si="63"/>
        <v>0</v>
      </c>
      <c r="BI101" s="66">
        <f t="shared" si="64"/>
        <v>0</v>
      </c>
      <c r="BJ101" s="66">
        <f>+IF($W101="","",ROUND((BG101*Parámetros!$G$85),2))</f>
        <v>0</v>
      </c>
      <c r="BK101" s="66">
        <f>+IF($W101="","",ROUND((BG101*(Parámetros!$G$86)),2))</f>
        <v>0</v>
      </c>
      <c r="BL101" s="66">
        <f t="shared" si="65"/>
        <v>0</v>
      </c>
      <c r="BM101" t="str">
        <f t="shared" si="127"/>
        <v>00061</v>
      </c>
      <c r="BN101" t="str">
        <f t="shared" si="128"/>
        <v>Gastos de Entierro</v>
      </c>
      <c r="BO101" s="118">
        <f t="shared" si="129"/>
        <v>0</v>
      </c>
      <c r="BP101" s="118" t="str">
        <f t="shared" si="130"/>
        <v>A</v>
      </c>
      <c r="BQ101" s="119" t="str">
        <f>+IF(OR($W101="",BO101=0),"",ROUND((VLOOKUP(ROUNDDOWN($D101-1/frec,0),cob_adi,BB$40,FALSE)*(1+i/frec)^-0.5*(1+Parámetros!$D$103)*(1+rec_fracc)/frec),6))</f>
        <v/>
      </c>
      <c r="BR101" s="66">
        <f t="shared" si="70"/>
        <v>0</v>
      </c>
      <c r="BS101" s="119" t="str">
        <f t="shared" si="71"/>
        <v/>
      </c>
      <c r="BT101" s="66">
        <f>+IF($W101="","",ROUND(IF($B101&gt;Parámetros!$D$107,'Tablas Servicio'!BR101+('Tablas Servicio'!BT100-'Tablas Servicio'!BR100),BR101/(1-IF(B101&lt;=10,Parámetros!$D$100,0))),2))</f>
        <v>0</v>
      </c>
      <c r="BU101" s="66">
        <f t="shared" si="72"/>
        <v>0</v>
      </c>
      <c r="BV101" s="66">
        <f t="shared" si="72"/>
        <v>0</v>
      </c>
      <c r="BW101" s="66">
        <f>+IF($W101="","",ROUND((BT101*Parámetros!$G$85),2))</f>
        <v>0</v>
      </c>
      <c r="BX101" s="66">
        <f>+IF($W101="","",ROUND((BT101*(Parámetros!$G$86)),2))</f>
        <v>0</v>
      </c>
      <c r="BY101" s="66">
        <f t="shared" si="73"/>
        <v>0</v>
      </c>
      <c r="BZ101" t="str">
        <f t="shared" si="131"/>
        <v>00062</v>
      </c>
      <c r="CA101" t="str">
        <f t="shared" si="132"/>
        <v>Gastos médicos por accidente</v>
      </c>
      <c r="CB101" s="118">
        <f t="shared" si="133"/>
        <v>0</v>
      </c>
      <c r="CC101" s="118" t="str">
        <f t="shared" si="134"/>
        <v>A</v>
      </c>
      <c r="CD101" s="119" t="str">
        <f t="shared" si="78"/>
        <v/>
      </c>
      <c r="CE101" s="66">
        <f>+IF($W101="","",ROUND((VLOOKUP(ROUNDDOWN($D101-1/frec,0),cob_adi,BO$40,FALSE)*(1+i/frec)^-0.5*(1+Parámetros!$D$103)*(1+rec_fracc)/frec*'TABLAS ADI'!$BC$17),2))</f>
        <v>0</v>
      </c>
      <c r="CF101" s="119" t="str">
        <f t="shared" si="79"/>
        <v/>
      </c>
      <c r="CG101" s="66">
        <f>+IF($W101="","",ROUND(IF($B101&gt;Parámetros!$D$107,'Tablas Servicio'!CE101+('Tablas Servicio'!CG100-'Tablas Servicio'!CE100),CE101/(1-IF(B101&lt;=10,Parámetros!$D$100,0))),2))</f>
        <v>0</v>
      </c>
      <c r="CH101" s="66">
        <f t="shared" si="80"/>
        <v>0</v>
      </c>
      <c r="CI101" s="66">
        <f t="shared" si="80"/>
        <v>0</v>
      </c>
      <c r="CJ101" s="66">
        <f>+IF($W101="","",ROUND((CG101*Parámetros!$G$85),2))</f>
        <v>0</v>
      </c>
      <c r="CK101" s="66">
        <f>+IF($W101="","",ROUND((CG101*(Parámetros!$G$86)),2))</f>
        <v>0</v>
      </c>
      <c r="CL101" s="66">
        <f t="shared" si="81"/>
        <v>0</v>
      </c>
      <c r="CM101" t="str">
        <f t="shared" si="135"/>
        <v>00063</v>
      </c>
      <c r="CN101" s="118" t="str">
        <f t="shared" si="136"/>
        <v>Renta Diaria por Hospitalización</v>
      </c>
      <c r="CO101" s="118">
        <f t="shared" si="137"/>
        <v>0</v>
      </c>
      <c r="CP101" s="118" t="str">
        <f t="shared" si="138"/>
        <v>A</v>
      </c>
      <c r="CQ101" s="119" t="str">
        <f t="shared" si="86"/>
        <v/>
      </c>
      <c r="CR101" s="66">
        <f>+IF($W101="","",ROUND((VLOOKUP(Parámetros!$F$51,'COBERTURAS ADICIONALES'!$S$4:$T$32,2,FALSE)*(1+i/frec)^-0.5*(1+Parámetros!$D$103)*(1+rec_fracc)/frec*$CO$42),2))</f>
        <v>0</v>
      </c>
      <c r="CS101" s="119" t="str">
        <f t="shared" si="87"/>
        <v/>
      </c>
      <c r="CT101" s="66">
        <f>+IF($W101="","",ROUND(IF($B101&gt;Parámetros!$D$107,'Tablas Servicio'!CR101+('Tablas Servicio'!CT100-'Tablas Servicio'!CR100),CR101/(1-IF(B101&lt;=10,Parámetros!$D$100,0))),2))</f>
        <v>0</v>
      </c>
      <c r="CU101" s="66">
        <f t="shared" si="88"/>
        <v>0</v>
      </c>
      <c r="CV101" s="66">
        <f t="shared" si="88"/>
        <v>0</v>
      </c>
      <c r="CW101" s="66">
        <f>+IF($W101="","",ROUND((CT101*Parámetros!$G$85),2))</f>
        <v>0</v>
      </c>
      <c r="CX101" s="66">
        <f>+IF($W101="","",ROUND((CT101*(Parámetros!$G$86)),2))</f>
        <v>0</v>
      </c>
      <c r="CY101" s="66">
        <f t="shared" si="89"/>
        <v>0</v>
      </c>
      <c r="CZ101" t="str">
        <f t="shared" si="139"/>
        <v>00064</v>
      </c>
      <c r="DA101" s="118" t="str">
        <f t="shared" si="140"/>
        <v>Enfermedades Graves</v>
      </c>
      <c r="DB101" s="118">
        <f t="shared" si="141"/>
        <v>0</v>
      </c>
      <c r="DC101" s="118" t="str">
        <f t="shared" si="142"/>
        <v>A</v>
      </c>
      <c r="DD101" s="121" t="str">
        <f>+IF(OR($W101="",DB101=0),"",ROUND((VLOOKUP(ROUNDDOWN($D101-1/frec,0),cob_adi,CO$40,FALSE)*(1+i/frec)^-0.5*(1+Parámetros!$D$103)*(1+rec_fracc)/frec),6))</f>
        <v/>
      </c>
      <c r="DE101" s="66">
        <f t="shared" si="94"/>
        <v>0</v>
      </c>
      <c r="DF101" s="119" t="str">
        <f t="shared" si="95"/>
        <v/>
      </c>
      <c r="DG101" s="66">
        <f>+IF($W101="","",ROUND(IF($B101&gt;Parámetros!$D$107,'Tablas Servicio'!DE101+('Tablas Servicio'!DG100-'Tablas Servicio'!DE100),DE101/(1-IF(B101&lt;=10,Parámetros!$D$100,0))),2))</f>
        <v>0</v>
      </c>
      <c r="DH101" s="66">
        <f t="shared" si="96"/>
        <v>0</v>
      </c>
      <c r="DI101" s="66">
        <f t="shared" si="96"/>
        <v>0</v>
      </c>
      <c r="DJ101" s="66">
        <f>+IF($W101="","",ROUND((DG101*Parámetros!$G$85),2))</f>
        <v>0</v>
      </c>
      <c r="DK101" s="66">
        <f>+IF($W101="","",ROUND((DG101*(Parámetros!$G$86)),2))</f>
        <v>0</v>
      </c>
      <c r="DL101" s="66">
        <f t="shared" si="97"/>
        <v>0</v>
      </c>
      <c r="DM101" t="str">
        <f t="shared" si="143"/>
        <v>00065</v>
      </c>
      <c r="DN101" s="118" t="str">
        <f t="shared" si="144"/>
        <v>Exención pago de primas</v>
      </c>
      <c r="DO101" s="118">
        <f t="shared" si="145"/>
        <v>0</v>
      </c>
      <c r="DP101" s="118" t="str">
        <f t="shared" si="146"/>
        <v>A</v>
      </c>
      <c r="DQ101" s="122" t="str">
        <f>+IF(OR($W101="",DO101=0),"",ROUND((VLOOKUP(ROUNDDOWN($D101-1/frec,0),cob_adi,DB$40,FALSE)*(1+i/frec)^-0.5*(1+Parámetros!$D$103)*(1+rec_fracc)/frec),6))</f>
        <v/>
      </c>
      <c r="DR101" s="66">
        <f t="shared" si="102"/>
        <v>0</v>
      </c>
      <c r="DS101" s="68" t="str">
        <f t="shared" si="103"/>
        <v/>
      </c>
      <c r="DT101" s="66">
        <f>+IF($W101="","",ROUND(IF($B101&gt;Parámetros!$D$107,'Tablas Servicio'!DR101+('Tablas Servicio'!DT100-'Tablas Servicio'!DR100),DR101/(1-IF(B101&lt;=10,Parámetros!$D$100,0))),2))</f>
        <v>0</v>
      </c>
      <c r="DU101" s="66">
        <f t="shared" si="104"/>
        <v>0</v>
      </c>
      <c r="DV101" s="66">
        <f t="shared" si="104"/>
        <v>0</v>
      </c>
      <c r="DW101" s="66">
        <f>+IF($W101="","",ROUND((DT101*Parámetros!$G$85),2))</f>
        <v>0</v>
      </c>
      <c r="DX101" s="66">
        <f>+IF($W101="","",ROUND((DT101*(Parámetros!$G$86)),2))</f>
        <v>0</v>
      </c>
      <c r="DY101" s="66">
        <f t="shared" si="105"/>
        <v>0</v>
      </c>
      <c r="DZ101" t="str">
        <f t="shared" si="149"/>
        <v>00066</v>
      </c>
      <c r="EA101" s="118" t="str">
        <f t="shared" si="149"/>
        <v>Enfermedad terminal</v>
      </c>
      <c r="EB101" s="118">
        <f>+IF($W101="","",ROUND(IF(Parámetros!$D$25='TABLAS MORT'!$V$33,EB100,Z101/2),0))</f>
        <v>50000</v>
      </c>
      <c r="EC101" s="118" t="str">
        <f t="shared" si="149"/>
        <v>A</v>
      </c>
      <c r="ED101" s="122">
        <f>+IF(OR($W101="",EB101=0),"",ROUND((VLOOKUP(ROUNDDOWN($D101-1/frec,0),cob_adi,DO$40,FALSE)*(1+i/frec)^-0.5*(1+Parámetros!$D$103)*(1+rec_fracc)/frec),6))</f>
        <v>7.9999999999999996E-6</v>
      </c>
      <c r="EE101" s="66">
        <f t="shared" si="107"/>
        <v>0.4</v>
      </c>
      <c r="EF101" s="68">
        <f t="shared" si="108"/>
        <v>9.0000000000000002E-6</v>
      </c>
      <c r="EG101" s="66">
        <f>+IF($W101="","",ROUND(IF($B101&gt;Parámetros!$D$107,'Tablas Servicio'!EE101+('Tablas Servicio'!EG100-'Tablas Servicio'!EE100),EE101/(1-IF(B101&lt;=10,Parámetros!$D$100,0))),2))</f>
        <v>0.45</v>
      </c>
      <c r="EH101" s="66">
        <f t="shared" si="109"/>
        <v>0</v>
      </c>
      <c r="EI101" s="66">
        <f t="shared" si="109"/>
        <v>0</v>
      </c>
      <c r="EJ101" s="66">
        <f>+IF($W101="","",ROUND((EG101*Parámetros!$G$85),2))</f>
        <v>0.02</v>
      </c>
      <c r="EK101" s="66">
        <f>+IF($W101="","",ROUND((EG101*(Parámetros!$G$86)),2))</f>
        <v>0</v>
      </c>
      <c r="EL101" s="66">
        <f t="shared" si="110"/>
        <v>0.47</v>
      </c>
    </row>
    <row r="102" spans="1:142" x14ac:dyDescent="0.25">
      <c r="A102">
        <f>+IF($C102="","",ROUND(VLOOKUP('Tablas Servicio'!B102,Parámetros!$H$100:$J$159,IF(Parámetros!$E$16="F",2,3),FALSE),2))</f>
        <v>150</v>
      </c>
      <c r="B102">
        <f t="shared" si="27"/>
        <v>6</v>
      </c>
      <c r="C102" s="57">
        <f>+IF(D102="","",'Tablas Servicio'!C101+1)</f>
        <v>61</v>
      </c>
      <c r="D102" s="56">
        <f>+IF(D101&lt;edadmaxtabla,D101+1/Parámetros!$E$25,"")</f>
        <v>45.103333333333481</v>
      </c>
      <c r="E102" s="57">
        <f t="shared" si="37"/>
        <v>45</v>
      </c>
      <c r="F102" s="59">
        <f t="shared" si="38"/>
        <v>100000</v>
      </c>
      <c r="G102" s="66">
        <f t="shared" si="39"/>
        <v>32.72</v>
      </c>
      <c r="H102" s="66">
        <f t="shared" si="28"/>
        <v>34.020000000000003</v>
      </c>
      <c r="I102" s="66">
        <f t="shared" si="112"/>
        <v>52.83</v>
      </c>
      <c r="J102" s="66">
        <f t="shared" si="29"/>
        <v>1.1400000000000001</v>
      </c>
      <c r="K102" s="66">
        <f t="shared" si="30"/>
        <v>0.16</v>
      </c>
      <c r="L102" s="66">
        <f t="shared" si="31"/>
        <v>0</v>
      </c>
      <c r="M102" s="66">
        <f t="shared" si="32"/>
        <v>0</v>
      </c>
      <c r="N102" s="66">
        <f>+IF(C102="","",ROUND(Parámetros!$D$23,2))</f>
        <v>94</v>
      </c>
      <c r="O102" s="66">
        <f t="shared" si="33"/>
        <v>16.400000000000002</v>
      </c>
      <c r="P102" s="66">
        <f>+IF($C102="","",ROUND(IF(B102&gt;Parámetros!$D$117,0,N102*Parámetros!$D$116-G102*Parámetros!$D$100),2))</f>
        <v>7.15</v>
      </c>
      <c r="Q102" s="75">
        <f t="shared" si="113"/>
        <v>3.4841075794621035E-2</v>
      </c>
      <c r="R102" s="75">
        <f t="shared" si="114"/>
        <v>4.8899755501222494E-3</v>
      </c>
      <c r="S102" s="117">
        <f>+IF($C102="","",ROUND((S101+I102)*(1+Parámetros!$D$91),2))</f>
        <v>3868.63</v>
      </c>
      <c r="T102" s="117">
        <f>+IF($C102="","",ROUND(S102*VLOOKUP(B102,Parámetros!$C$30:$D$39,2,TRUE),2))</f>
        <v>2321.1799999999998</v>
      </c>
      <c r="U102" s="117">
        <f>+IF($C102="","",ROUND((U101+I102)*(1+Parámetros!$D$92),2))</f>
        <v>3920.18</v>
      </c>
      <c r="V102" s="117">
        <f>+IF($C102="","",ROUND(U102*VLOOKUP(B102,Parámetros!$C$30:$D$39,2,TRUE),2))</f>
        <v>2352.11</v>
      </c>
      <c r="W102" s="57">
        <f t="shared" si="115"/>
        <v>61</v>
      </c>
      <c r="X102" t="str">
        <f t="shared" si="116"/>
        <v>00058</v>
      </c>
      <c r="Y102" t="str">
        <f t="shared" si="117"/>
        <v>MUERTE POR CUALQUIER CAUSA</v>
      </c>
      <c r="Z102" s="118">
        <f>+IF($W102="","",ROUND(IF(Parámetros!$D$25='TABLAS MORT'!$V$33,Z101,Parámetros!$D$21-'Tablas Servicio'!T101),0))</f>
        <v>100000</v>
      </c>
      <c r="AA102" s="118" t="str">
        <f t="shared" si="118"/>
        <v>P</v>
      </c>
      <c r="AB102" s="119">
        <f>+IF(W102="","",ROUND((VLOOKUP(ROUNDDOWN($D102-1/frec,0),qx_tabla,2,FALSE)*(1+i/frec)^-0.5*(1+Parámetros!$D$103)*(1+rec_fracc)/frec),6))</f>
        <v>1.5799999999999999E-4</v>
      </c>
      <c r="AC102" s="66">
        <f t="shared" si="46"/>
        <v>15.8</v>
      </c>
      <c r="AD102" s="119">
        <f t="shared" si="35"/>
        <v>3.2000000000000003E-4</v>
      </c>
      <c r="AE102" s="66">
        <f>+IF($W102="","",ROUND(IF($B102&gt;Parámetros!$D$107,'Tablas Servicio'!AC102+('Tablas Servicio'!AG101-'Tablas Servicio'!AC101),AC102/(1-IF(B102&lt;=10,Parámetros!$D$104,Parámetros!$D$105))),2))</f>
        <v>32.69</v>
      </c>
      <c r="AF102" s="66">
        <f>+IF($W102="","",ROUND(IF($B102&gt;Parámetros!$D$107,'Tablas Servicio'!AC102+('Tablas Servicio'!AG101-'Tablas Servicio'!AC101),(AC102+$A101/frec)/(1-IF(B102&lt;=Parámetros!$D$117,Parámetros!$D$100,0))),2))</f>
        <v>32.04</v>
      </c>
      <c r="AG102" s="66">
        <f t="shared" si="111"/>
        <v>32.04</v>
      </c>
      <c r="AH102" s="66">
        <f t="shared" si="47"/>
        <v>0</v>
      </c>
      <c r="AI102" s="66">
        <f t="shared" si="48"/>
        <v>0</v>
      </c>
      <c r="AJ102" s="66">
        <f>+IF($W102="","",ROUND((AG102*Parámetros!$G$85),2))</f>
        <v>1.1200000000000001</v>
      </c>
      <c r="AK102" s="66">
        <f>+IF($W102="","",ROUND((AG102*(Parámetros!$G$86)),2))</f>
        <v>0.16</v>
      </c>
      <c r="AL102" s="66">
        <f t="shared" si="36"/>
        <v>33.32</v>
      </c>
      <c r="AM102" t="str">
        <f t="shared" si="119"/>
        <v>00059</v>
      </c>
      <c r="AN102" t="str">
        <f t="shared" si="120"/>
        <v>Incapacidad Total y Permanente</v>
      </c>
      <c r="AO102" s="118">
        <f t="shared" si="121"/>
        <v>0</v>
      </c>
      <c r="AP102" s="118" t="str">
        <f t="shared" si="122"/>
        <v>A</v>
      </c>
      <c r="AQ102" s="119" t="str">
        <f>+IF(OR($W102="",AO102=0),"",ROUND((VLOOKUP(ROUNDDOWN($D102-1/frec,0),cob_adi,Z$40,FALSE)*(1+i/frec)^-0.5*(1+Parámetros!$D$103)*(1+rec_fracc)/frec),6))</f>
        <v/>
      </c>
      <c r="AR102" s="66">
        <f t="shared" si="53"/>
        <v>0</v>
      </c>
      <c r="AS102" s="119" t="str">
        <f t="shared" si="54"/>
        <v/>
      </c>
      <c r="AT102" s="66">
        <f>+IF($W102="","",ROUND(IF($B102&gt;Parámetros!$D$107,'Tablas Servicio'!AR102+('Tablas Servicio'!AT101-'Tablas Servicio'!AR101),AR102/(1-IF(B102&lt;=10,Parámetros!$D$100,0))),2))</f>
        <v>0</v>
      </c>
      <c r="AU102" s="66">
        <f t="shared" si="55"/>
        <v>0</v>
      </c>
      <c r="AV102" s="66">
        <f t="shared" si="55"/>
        <v>0</v>
      </c>
      <c r="AW102" s="66">
        <f>+IF($W102="","",ROUND((AT102*Parámetros!$G$85),2))</f>
        <v>0</v>
      </c>
      <c r="AX102" s="66">
        <f>+IF($W102="","",ROUND((AT102*(Parámetros!$G$86)),2))</f>
        <v>0</v>
      </c>
      <c r="AY102" s="66">
        <f t="shared" si="56"/>
        <v>0</v>
      </c>
      <c r="AZ102" t="str">
        <f t="shared" si="123"/>
        <v>00060</v>
      </c>
      <c r="BA102" t="str">
        <f t="shared" si="124"/>
        <v>Muerte Accidental</v>
      </c>
      <c r="BB102" s="118">
        <f t="shared" si="125"/>
        <v>0</v>
      </c>
      <c r="BC102" s="118" t="str">
        <f t="shared" si="126"/>
        <v>A</v>
      </c>
      <c r="BD102" s="119" t="str">
        <f>+IF(OR($W102="",BB102=0),"",ROUND((VLOOKUP(ROUNDDOWN($D102-1/frec,0),cob_adi,AO$40,FALSE)*(1+i/frec)^-0.5*(1+Parámetros!$D$103)*(1+rec_fracc)/frec),6))</f>
        <v/>
      </c>
      <c r="BE102" s="66">
        <f t="shared" si="61"/>
        <v>0</v>
      </c>
      <c r="BF102" s="119" t="str">
        <f t="shared" si="62"/>
        <v/>
      </c>
      <c r="BG102" s="66">
        <f>+IF($W102="","",ROUND(IF($B102&gt;Parámetros!$D$107,'Tablas Servicio'!BE102+('Tablas Servicio'!BG101-'Tablas Servicio'!BE101),BE102/(1-IF(B102&lt;=10,Parámetros!$D$100,0))),2))</f>
        <v>0</v>
      </c>
      <c r="BH102" s="66">
        <f t="shared" si="63"/>
        <v>0</v>
      </c>
      <c r="BI102" s="66">
        <f t="shared" si="64"/>
        <v>0</v>
      </c>
      <c r="BJ102" s="66">
        <f>+IF($W102="","",ROUND((BG102*Parámetros!$G$85),2))</f>
        <v>0</v>
      </c>
      <c r="BK102" s="66">
        <f>+IF($W102="","",ROUND((BG102*(Parámetros!$G$86)),2))</f>
        <v>0</v>
      </c>
      <c r="BL102" s="66">
        <f t="shared" si="65"/>
        <v>0</v>
      </c>
      <c r="BM102" t="str">
        <f t="shared" si="127"/>
        <v>00061</v>
      </c>
      <c r="BN102" t="str">
        <f t="shared" si="128"/>
        <v>Gastos de Entierro</v>
      </c>
      <c r="BO102" s="118">
        <f t="shared" si="129"/>
        <v>0</v>
      </c>
      <c r="BP102" s="118" t="str">
        <f t="shared" si="130"/>
        <v>A</v>
      </c>
      <c r="BQ102" s="119" t="str">
        <f>+IF(OR($W102="",BO102=0),"",ROUND((VLOOKUP(ROUNDDOWN($D102-1/frec,0),cob_adi,BB$40,FALSE)*(1+i/frec)^-0.5*(1+Parámetros!$D$103)*(1+rec_fracc)/frec),6))</f>
        <v/>
      </c>
      <c r="BR102" s="66">
        <f t="shared" si="70"/>
        <v>0</v>
      </c>
      <c r="BS102" s="119" t="str">
        <f t="shared" si="71"/>
        <v/>
      </c>
      <c r="BT102" s="66">
        <f>+IF($W102="","",ROUND(IF($B102&gt;Parámetros!$D$107,'Tablas Servicio'!BR102+('Tablas Servicio'!BT101-'Tablas Servicio'!BR101),BR102/(1-IF(B102&lt;=10,Parámetros!$D$100,0))),2))</f>
        <v>0</v>
      </c>
      <c r="BU102" s="66">
        <f t="shared" si="72"/>
        <v>0</v>
      </c>
      <c r="BV102" s="66">
        <f t="shared" si="72"/>
        <v>0</v>
      </c>
      <c r="BW102" s="66">
        <f>+IF($W102="","",ROUND((BT102*Parámetros!$G$85),2))</f>
        <v>0</v>
      </c>
      <c r="BX102" s="66">
        <f>+IF($W102="","",ROUND((BT102*(Parámetros!$G$86)),2))</f>
        <v>0</v>
      </c>
      <c r="BY102" s="66">
        <f t="shared" si="73"/>
        <v>0</v>
      </c>
      <c r="BZ102" t="str">
        <f t="shared" si="131"/>
        <v>00062</v>
      </c>
      <c r="CA102" t="str">
        <f t="shared" si="132"/>
        <v>Gastos médicos por accidente</v>
      </c>
      <c r="CB102" s="118">
        <f t="shared" si="133"/>
        <v>0</v>
      </c>
      <c r="CC102" s="118" t="str">
        <f t="shared" si="134"/>
        <v>A</v>
      </c>
      <c r="CD102" s="119" t="str">
        <f t="shared" si="78"/>
        <v/>
      </c>
      <c r="CE102" s="66">
        <f>+IF($W102="","",ROUND((VLOOKUP(ROUNDDOWN($D102-1/frec,0),cob_adi,BO$40,FALSE)*(1+i/frec)^-0.5*(1+Parámetros!$D$103)*(1+rec_fracc)/frec*'TABLAS ADI'!$BC$17),2))</f>
        <v>0</v>
      </c>
      <c r="CF102" s="119" t="str">
        <f t="shared" si="79"/>
        <v/>
      </c>
      <c r="CG102" s="66">
        <f>+IF($W102="","",ROUND(IF($B102&gt;Parámetros!$D$107,'Tablas Servicio'!CE102+('Tablas Servicio'!CG101-'Tablas Servicio'!CE101),CE102/(1-IF(B102&lt;=10,Parámetros!$D$100,0))),2))</f>
        <v>0</v>
      </c>
      <c r="CH102" s="66">
        <f t="shared" si="80"/>
        <v>0</v>
      </c>
      <c r="CI102" s="66">
        <f t="shared" si="80"/>
        <v>0</v>
      </c>
      <c r="CJ102" s="66">
        <f>+IF($W102="","",ROUND((CG102*Parámetros!$G$85),2))</f>
        <v>0</v>
      </c>
      <c r="CK102" s="66">
        <f>+IF($W102="","",ROUND((CG102*(Parámetros!$G$86)),2))</f>
        <v>0</v>
      </c>
      <c r="CL102" s="66">
        <f t="shared" si="81"/>
        <v>0</v>
      </c>
      <c r="CM102" t="str">
        <f t="shared" si="135"/>
        <v>00063</v>
      </c>
      <c r="CN102" s="118" t="str">
        <f t="shared" si="136"/>
        <v>Renta Diaria por Hospitalización</v>
      </c>
      <c r="CO102" s="118">
        <f t="shared" si="137"/>
        <v>0</v>
      </c>
      <c r="CP102" s="118" t="str">
        <f t="shared" si="138"/>
        <v>A</v>
      </c>
      <c r="CQ102" s="119" t="str">
        <f t="shared" si="86"/>
        <v/>
      </c>
      <c r="CR102" s="66">
        <f>+IF($W102="","",ROUND((VLOOKUP(Parámetros!$F$51,'COBERTURAS ADICIONALES'!$S$4:$T$32,2,FALSE)*(1+i/frec)^-0.5*(1+Parámetros!$D$103)*(1+rec_fracc)/frec*$CO$42),2))</f>
        <v>0</v>
      </c>
      <c r="CS102" s="119" t="str">
        <f t="shared" si="87"/>
        <v/>
      </c>
      <c r="CT102" s="66">
        <f>+IF($W102="","",ROUND(IF($B102&gt;Parámetros!$D$107,'Tablas Servicio'!CR102+('Tablas Servicio'!CT101-'Tablas Servicio'!CR101),CR102/(1-IF(B102&lt;=10,Parámetros!$D$100,0))),2))</f>
        <v>0</v>
      </c>
      <c r="CU102" s="66">
        <f t="shared" si="88"/>
        <v>0</v>
      </c>
      <c r="CV102" s="66">
        <f t="shared" si="88"/>
        <v>0</v>
      </c>
      <c r="CW102" s="66">
        <f>+IF($W102="","",ROUND((CT102*Parámetros!$G$85),2))</f>
        <v>0</v>
      </c>
      <c r="CX102" s="66">
        <f>+IF($W102="","",ROUND((CT102*(Parámetros!$G$86)),2))</f>
        <v>0</v>
      </c>
      <c r="CY102" s="66">
        <f t="shared" si="89"/>
        <v>0</v>
      </c>
      <c r="CZ102" t="str">
        <f t="shared" si="139"/>
        <v>00064</v>
      </c>
      <c r="DA102" s="118" t="str">
        <f t="shared" si="140"/>
        <v>Enfermedades Graves</v>
      </c>
      <c r="DB102" s="118">
        <f t="shared" si="141"/>
        <v>0</v>
      </c>
      <c r="DC102" s="118" t="str">
        <f t="shared" si="142"/>
        <v>A</v>
      </c>
      <c r="DD102" s="121" t="str">
        <f>+IF(OR($W102="",DB102=0),"",ROUND((VLOOKUP(ROUNDDOWN($D102-1/frec,0),cob_adi,CO$40,FALSE)*(1+i/frec)^-0.5*(1+Parámetros!$D$103)*(1+rec_fracc)/frec),6))</f>
        <v/>
      </c>
      <c r="DE102" s="66">
        <f t="shared" si="94"/>
        <v>0</v>
      </c>
      <c r="DF102" s="119" t="str">
        <f t="shared" si="95"/>
        <v/>
      </c>
      <c r="DG102" s="66">
        <f>+IF($W102="","",ROUND(IF($B102&gt;Parámetros!$D$107,'Tablas Servicio'!DE102+('Tablas Servicio'!DG101-'Tablas Servicio'!DE101),DE102/(1-IF(B102&lt;=10,Parámetros!$D$100,0))),2))</f>
        <v>0</v>
      </c>
      <c r="DH102" s="66">
        <f t="shared" si="96"/>
        <v>0</v>
      </c>
      <c r="DI102" s="66">
        <f t="shared" si="96"/>
        <v>0</v>
      </c>
      <c r="DJ102" s="66">
        <f>+IF($W102="","",ROUND((DG102*Parámetros!$G$85),2))</f>
        <v>0</v>
      </c>
      <c r="DK102" s="66">
        <f>+IF($W102="","",ROUND((DG102*(Parámetros!$G$86)),2))</f>
        <v>0</v>
      </c>
      <c r="DL102" s="66">
        <f t="shared" si="97"/>
        <v>0</v>
      </c>
      <c r="DM102" t="str">
        <f t="shared" si="143"/>
        <v>00065</v>
      </c>
      <c r="DN102" s="118" t="str">
        <f t="shared" si="144"/>
        <v>Exención pago de primas</v>
      </c>
      <c r="DO102" s="118">
        <f t="shared" si="145"/>
        <v>0</v>
      </c>
      <c r="DP102" s="118" t="str">
        <f t="shared" si="146"/>
        <v>A</v>
      </c>
      <c r="DQ102" s="122" t="str">
        <f>+IF(OR($W102="",DO102=0),"",ROUND((VLOOKUP(ROUNDDOWN($D102-1/frec,0),cob_adi,DB$40,FALSE)*(1+i/frec)^-0.5*(1+Parámetros!$D$103)*(1+rec_fracc)/frec),6))</f>
        <v/>
      </c>
      <c r="DR102" s="66">
        <f t="shared" si="102"/>
        <v>0</v>
      </c>
      <c r="DS102" s="68" t="str">
        <f t="shared" si="103"/>
        <v/>
      </c>
      <c r="DT102" s="66">
        <f>+IF($W102="","",ROUND(IF($B102&gt;Parámetros!$D$107,'Tablas Servicio'!DR102+('Tablas Servicio'!DT101-'Tablas Servicio'!DR101),DR102/(1-IF(B102&lt;=10,Parámetros!$D$100,0))),2))</f>
        <v>0</v>
      </c>
      <c r="DU102" s="66">
        <f t="shared" si="104"/>
        <v>0</v>
      </c>
      <c r="DV102" s="66">
        <f t="shared" si="104"/>
        <v>0</v>
      </c>
      <c r="DW102" s="66">
        <f>+IF($W102="","",ROUND((DT102*Parámetros!$G$85),2))</f>
        <v>0</v>
      </c>
      <c r="DX102" s="66">
        <f>+IF($W102="","",ROUND((DT102*(Parámetros!$G$86)),2))</f>
        <v>0</v>
      </c>
      <c r="DY102" s="66">
        <f t="shared" si="105"/>
        <v>0</v>
      </c>
      <c r="DZ102" t="str">
        <f t="shared" si="149"/>
        <v>00066</v>
      </c>
      <c r="EA102" s="118" t="str">
        <f t="shared" si="149"/>
        <v>Enfermedad terminal</v>
      </c>
      <c r="EB102" s="118">
        <f>+IF($W102="","",ROUND(IF(Parámetros!$D$25='TABLAS MORT'!$V$33,EB101,Z102/2),0))</f>
        <v>50000</v>
      </c>
      <c r="EC102" s="118" t="str">
        <f t="shared" si="149"/>
        <v>A</v>
      </c>
      <c r="ED102" s="122">
        <f>+IF(OR($W102="",EB102=0),"",ROUND((VLOOKUP(ROUNDDOWN($D102-1/frec,0),cob_adi,DO$40,FALSE)*(1+i/frec)^-0.5*(1+Parámetros!$D$103)*(1+rec_fracc)/frec),6))</f>
        <v>1.2E-5</v>
      </c>
      <c r="EE102" s="66">
        <f t="shared" si="107"/>
        <v>0.6</v>
      </c>
      <c r="EF102" s="68">
        <f t="shared" si="108"/>
        <v>1.4E-5</v>
      </c>
      <c r="EG102" s="66">
        <f>+IF($W102="","",ROUND(IF($B102&gt;Parámetros!$D$107,'Tablas Servicio'!EE102+('Tablas Servicio'!EG101-'Tablas Servicio'!EE101),EE102/(1-IF(B102&lt;=10,Parámetros!$D$100,0))),2))</f>
        <v>0.68</v>
      </c>
      <c r="EH102" s="66">
        <f t="shared" si="109"/>
        <v>0</v>
      </c>
      <c r="EI102" s="66">
        <f t="shared" si="109"/>
        <v>0</v>
      </c>
      <c r="EJ102" s="66">
        <f>+IF($W102="","",ROUND((EG102*Parámetros!$G$85),2))</f>
        <v>0.02</v>
      </c>
      <c r="EK102" s="66">
        <f>+IF($W102="","",ROUND((EG102*(Parámetros!$G$86)),2))</f>
        <v>0</v>
      </c>
      <c r="EL102" s="66">
        <f t="shared" si="110"/>
        <v>0.7</v>
      </c>
    </row>
    <row r="103" spans="1:142" x14ac:dyDescent="0.25">
      <c r="A103">
        <f>+IF($C103="","",ROUND(VLOOKUP('Tablas Servicio'!B103,Parámetros!$H$100:$J$159,IF(Parámetros!$E$16="F",2,3),FALSE),2))</f>
        <v>150</v>
      </c>
      <c r="B103">
        <f t="shared" si="27"/>
        <v>6</v>
      </c>
      <c r="C103" s="57">
        <f>+IF(D103="","",'Tablas Servicio'!C102+1)</f>
        <v>62</v>
      </c>
      <c r="D103" s="56">
        <f>+IF(D102&lt;edadmaxtabla,D102+1/Parámetros!$E$25,"")</f>
        <v>45.186666666666817</v>
      </c>
      <c r="E103" s="57">
        <f t="shared" si="37"/>
        <v>45</v>
      </c>
      <c r="F103" s="59">
        <f t="shared" si="38"/>
        <v>100000</v>
      </c>
      <c r="G103" s="66">
        <f t="shared" si="39"/>
        <v>32.72</v>
      </c>
      <c r="H103" s="66">
        <f t="shared" si="28"/>
        <v>34.020000000000003</v>
      </c>
      <c r="I103" s="66">
        <f t="shared" si="112"/>
        <v>52.83</v>
      </c>
      <c r="J103" s="66">
        <f t="shared" si="29"/>
        <v>1.1400000000000001</v>
      </c>
      <c r="K103" s="66">
        <f t="shared" si="30"/>
        <v>0.16</v>
      </c>
      <c r="L103" s="66">
        <f t="shared" si="31"/>
        <v>0</v>
      </c>
      <c r="M103" s="66">
        <f t="shared" si="32"/>
        <v>0</v>
      </c>
      <c r="N103" s="66">
        <f>+IF(C103="","",ROUND(Parámetros!$D$23,2))</f>
        <v>94</v>
      </c>
      <c r="O103" s="66">
        <f t="shared" si="33"/>
        <v>16.400000000000002</v>
      </c>
      <c r="P103" s="66">
        <f>+IF($C103="","",ROUND(IF(B103&gt;Parámetros!$D$117,0,N103*Parámetros!$D$116-G103*Parámetros!$D$100),2))</f>
        <v>7.15</v>
      </c>
      <c r="Q103" s="75">
        <f t="shared" si="113"/>
        <v>3.4841075794621035E-2</v>
      </c>
      <c r="R103" s="75">
        <f t="shared" si="114"/>
        <v>4.8899755501222494E-3</v>
      </c>
      <c r="S103" s="117">
        <f>+IF($C103="","",ROUND((S102+I103)*(1+Parámetros!$D$91),2))</f>
        <v>3932.58</v>
      </c>
      <c r="T103" s="117">
        <f>+IF($C103="","",ROUND(S103*VLOOKUP(B103,Parámetros!$C$30:$D$39,2,TRUE),2))</f>
        <v>2359.5500000000002</v>
      </c>
      <c r="U103" s="117">
        <f>+IF($C103="","",ROUND((U102+I103)*(1+Parámetros!$D$92),2))</f>
        <v>3985.89</v>
      </c>
      <c r="V103" s="117">
        <f>+IF($C103="","",ROUND(U103*VLOOKUP(B103,Parámetros!$C$30:$D$39,2,TRUE),2))</f>
        <v>2391.5300000000002</v>
      </c>
      <c r="W103" s="57">
        <f t="shared" si="115"/>
        <v>62</v>
      </c>
      <c r="X103" t="str">
        <f t="shared" si="116"/>
        <v>00058</v>
      </c>
      <c r="Y103" t="str">
        <f t="shared" si="117"/>
        <v>MUERTE POR CUALQUIER CAUSA</v>
      </c>
      <c r="Z103" s="118">
        <f>+IF($W103="","",ROUND(IF(Parámetros!$D$25='TABLAS MORT'!$V$33,Z102,Parámetros!$D$21-'Tablas Servicio'!T102),0))</f>
        <v>100000</v>
      </c>
      <c r="AA103" s="118" t="str">
        <f t="shared" si="118"/>
        <v>P</v>
      </c>
      <c r="AB103" s="119">
        <f>+IF(W103="","",ROUND((VLOOKUP(ROUNDDOWN($D103-1/frec,0),qx_tabla,2,FALSE)*(1+i/frec)^-0.5*(1+Parámetros!$D$103)*(1+rec_fracc)/frec),6))</f>
        <v>1.5799999999999999E-4</v>
      </c>
      <c r="AC103" s="66">
        <f t="shared" si="46"/>
        <v>15.8</v>
      </c>
      <c r="AD103" s="119">
        <f t="shared" si="35"/>
        <v>3.2000000000000003E-4</v>
      </c>
      <c r="AE103" s="66">
        <f>+IF($W103="","",ROUND(IF($B103&gt;Parámetros!$D$107,'Tablas Servicio'!AC103+('Tablas Servicio'!AG102-'Tablas Servicio'!AC102),AC103/(1-IF(B103&lt;=10,Parámetros!$D$104,Parámetros!$D$105))),2))</f>
        <v>32.69</v>
      </c>
      <c r="AF103" s="66">
        <f>+IF($W103="","",ROUND(IF($B103&gt;Parámetros!$D$107,'Tablas Servicio'!AC103+('Tablas Servicio'!AG102-'Tablas Servicio'!AC102),(AC103+$A102/frec)/(1-IF(B103&lt;=Parámetros!$D$117,Parámetros!$D$100,0))),2))</f>
        <v>32.04</v>
      </c>
      <c r="AG103" s="66">
        <f t="shared" si="111"/>
        <v>32.04</v>
      </c>
      <c r="AH103" s="66">
        <f t="shared" si="47"/>
        <v>0</v>
      </c>
      <c r="AI103" s="66">
        <f t="shared" si="48"/>
        <v>0</v>
      </c>
      <c r="AJ103" s="66">
        <f>+IF($W103="","",ROUND((AG103*Parámetros!$G$85),2))</f>
        <v>1.1200000000000001</v>
      </c>
      <c r="AK103" s="66">
        <f>+IF($W103="","",ROUND((AG103*(Parámetros!$G$86)),2))</f>
        <v>0.16</v>
      </c>
      <c r="AL103" s="66">
        <f t="shared" si="36"/>
        <v>33.32</v>
      </c>
      <c r="AM103" t="str">
        <f t="shared" si="119"/>
        <v>00059</v>
      </c>
      <c r="AN103" t="str">
        <f t="shared" si="120"/>
        <v>Incapacidad Total y Permanente</v>
      </c>
      <c r="AO103" s="118">
        <f t="shared" si="121"/>
        <v>0</v>
      </c>
      <c r="AP103" s="118" t="str">
        <f t="shared" si="122"/>
        <v>A</v>
      </c>
      <c r="AQ103" s="119" t="str">
        <f>+IF(OR($W103="",AO103=0),"",ROUND((VLOOKUP(ROUNDDOWN($D103-1/frec,0),cob_adi,Z$40,FALSE)*(1+i/frec)^-0.5*(1+Parámetros!$D$103)*(1+rec_fracc)/frec),6))</f>
        <v/>
      </c>
      <c r="AR103" s="66">
        <f t="shared" si="53"/>
        <v>0</v>
      </c>
      <c r="AS103" s="119" t="str">
        <f t="shared" si="54"/>
        <v/>
      </c>
      <c r="AT103" s="66">
        <f>+IF($W103="","",ROUND(IF($B103&gt;Parámetros!$D$107,'Tablas Servicio'!AR103+('Tablas Servicio'!AT102-'Tablas Servicio'!AR102),AR103/(1-IF(B103&lt;=10,Parámetros!$D$100,0))),2))</f>
        <v>0</v>
      </c>
      <c r="AU103" s="66">
        <f t="shared" si="55"/>
        <v>0</v>
      </c>
      <c r="AV103" s="66">
        <f t="shared" si="55"/>
        <v>0</v>
      </c>
      <c r="AW103" s="66">
        <f>+IF($W103="","",ROUND((AT103*Parámetros!$G$85),2))</f>
        <v>0</v>
      </c>
      <c r="AX103" s="66">
        <f>+IF($W103="","",ROUND((AT103*(Parámetros!$G$86)),2))</f>
        <v>0</v>
      </c>
      <c r="AY103" s="66">
        <f t="shared" si="56"/>
        <v>0</v>
      </c>
      <c r="AZ103" t="str">
        <f t="shared" si="123"/>
        <v>00060</v>
      </c>
      <c r="BA103" t="str">
        <f t="shared" si="124"/>
        <v>Muerte Accidental</v>
      </c>
      <c r="BB103" s="118">
        <f t="shared" si="125"/>
        <v>0</v>
      </c>
      <c r="BC103" s="118" t="str">
        <f t="shared" si="126"/>
        <v>A</v>
      </c>
      <c r="BD103" s="119" t="str">
        <f>+IF(OR($W103="",BB103=0),"",ROUND((VLOOKUP(ROUNDDOWN($D103-1/frec,0),cob_adi,AO$40,FALSE)*(1+i/frec)^-0.5*(1+Parámetros!$D$103)*(1+rec_fracc)/frec),6))</f>
        <v/>
      </c>
      <c r="BE103" s="66">
        <f t="shared" si="61"/>
        <v>0</v>
      </c>
      <c r="BF103" s="119" t="str">
        <f t="shared" si="62"/>
        <v/>
      </c>
      <c r="BG103" s="66">
        <f>+IF($W103="","",ROUND(IF($B103&gt;Parámetros!$D$107,'Tablas Servicio'!BE103+('Tablas Servicio'!BG102-'Tablas Servicio'!BE102),BE103/(1-IF(B103&lt;=10,Parámetros!$D$100,0))),2))</f>
        <v>0</v>
      </c>
      <c r="BH103" s="66">
        <f t="shared" si="63"/>
        <v>0</v>
      </c>
      <c r="BI103" s="66">
        <f t="shared" si="64"/>
        <v>0</v>
      </c>
      <c r="BJ103" s="66">
        <f>+IF($W103="","",ROUND((BG103*Parámetros!$G$85),2))</f>
        <v>0</v>
      </c>
      <c r="BK103" s="66">
        <f>+IF($W103="","",ROUND((BG103*(Parámetros!$G$86)),2))</f>
        <v>0</v>
      </c>
      <c r="BL103" s="66">
        <f t="shared" si="65"/>
        <v>0</v>
      </c>
      <c r="BM103" t="str">
        <f t="shared" si="127"/>
        <v>00061</v>
      </c>
      <c r="BN103" t="str">
        <f t="shared" si="128"/>
        <v>Gastos de Entierro</v>
      </c>
      <c r="BO103" s="118">
        <f t="shared" si="129"/>
        <v>0</v>
      </c>
      <c r="BP103" s="118" t="str">
        <f t="shared" si="130"/>
        <v>A</v>
      </c>
      <c r="BQ103" s="119" t="str">
        <f>+IF(OR($W103="",BO103=0),"",ROUND((VLOOKUP(ROUNDDOWN($D103-1/frec,0),cob_adi,BB$40,FALSE)*(1+i/frec)^-0.5*(1+Parámetros!$D$103)*(1+rec_fracc)/frec),6))</f>
        <v/>
      </c>
      <c r="BR103" s="66">
        <f t="shared" si="70"/>
        <v>0</v>
      </c>
      <c r="BS103" s="119" t="str">
        <f t="shared" si="71"/>
        <v/>
      </c>
      <c r="BT103" s="66">
        <f>+IF($W103="","",ROUND(IF($B103&gt;Parámetros!$D$107,'Tablas Servicio'!BR103+('Tablas Servicio'!BT102-'Tablas Servicio'!BR102),BR103/(1-IF(B103&lt;=10,Parámetros!$D$100,0))),2))</f>
        <v>0</v>
      </c>
      <c r="BU103" s="66">
        <f t="shared" si="72"/>
        <v>0</v>
      </c>
      <c r="BV103" s="66">
        <f t="shared" si="72"/>
        <v>0</v>
      </c>
      <c r="BW103" s="66">
        <f>+IF($W103="","",ROUND((BT103*Parámetros!$G$85),2))</f>
        <v>0</v>
      </c>
      <c r="BX103" s="66">
        <f>+IF($W103="","",ROUND((BT103*(Parámetros!$G$86)),2))</f>
        <v>0</v>
      </c>
      <c r="BY103" s="66">
        <f t="shared" si="73"/>
        <v>0</v>
      </c>
      <c r="BZ103" t="str">
        <f t="shared" si="131"/>
        <v>00062</v>
      </c>
      <c r="CA103" t="str">
        <f t="shared" si="132"/>
        <v>Gastos médicos por accidente</v>
      </c>
      <c r="CB103" s="118">
        <f t="shared" si="133"/>
        <v>0</v>
      </c>
      <c r="CC103" s="118" t="str">
        <f t="shared" si="134"/>
        <v>A</v>
      </c>
      <c r="CD103" s="119" t="str">
        <f t="shared" si="78"/>
        <v/>
      </c>
      <c r="CE103" s="66">
        <f>+IF($W103="","",ROUND((VLOOKUP(ROUNDDOWN($D103-1/frec,0),cob_adi,BO$40,FALSE)*(1+i/frec)^-0.5*(1+Parámetros!$D$103)*(1+rec_fracc)/frec*'TABLAS ADI'!$BC$17),2))</f>
        <v>0</v>
      </c>
      <c r="CF103" s="119" t="str">
        <f t="shared" si="79"/>
        <v/>
      </c>
      <c r="CG103" s="66">
        <f>+IF($W103="","",ROUND(IF($B103&gt;Parámetros!$D$107,'Tablas Servicio'!CE103+('Tablas Servicio'!CG102-'Tablas Servicio'!CE102),CE103/(1-IF(B103&lt;=10,Parámetros!$D$100,0))),2))</f>
        <v>0</v>
      </c>
      <c r="CH103" s="66">
        <f t="shared" si="80"/>
        <v>0</v>
      </c>
      <c r="CI103" s="66">
        <f t="shared" si="80"/>
        <v>0</v>
      </c>
      <c r="CJ103" s="66">
        <f>+IF($W103="","",ROUND((CG103*Parámetros!$G$85),2))</f>
        <v>0</v>
      </c>
      <c r="CK103" s="66">
        <f>+IF($W103="","",ROUND((CG103*(Parámetros!$G$86)),2))</f>
        <v>0</v>
      </c>
      <c r="CL103" s="66">
        <f t="shared" si="81"/>
        <v>0</v>
      </c>
      <c r="CM103" t="str">
        <f t="shared" si="135"/>
        <v>00063</v>
      </c>
      <c r="CN103" s="118" t="str">
        <f t="shared" si="136"/>
        <v>Renta Diaria por Hospitalización</v>
      </c>
      <c r="CO103" s="118">
        <f t="shared" si="137"/>
        <v>0</v>
      </c>
      <c r="CP103" s="118" t="str">
        <f t="shared" si="138"/>
        <v>A</v>
      </c>
      <c r="CQ103" s="119" t="str">
        <f t="shared" si="86"/>
        <v/>
      </c>
      <c r="CR103" s="66">
        <f>+IF($W103="","",ROUND((VLOOKUP(Parámetros!$F$51,'COBERTURAS ADICIONALES'!$S$4:$T$32,2,FALSE)*(1+i/frec)^-0.5*(1+Parámetros!$D$103)*(1+rec_fracc)/frec*$CO$42),2))</f>
        <v>0</v>
      </c>
      <c r="CS103" s="119" t="str">
        <f t="shared" si="87"/>
        <v/>
      </c>
      <c r="CT103" s="66">
        <f>+IF($W103="","",ROUND(IF($B103&gt;Parámetros!$D$107,'Tablas Servicio'!CR103+('Tablas Servicio'!CT102-'Tablas Servicio'!CR102),CR103/(1-IF(B103&lt;=10,Parámetros!$D$100,0))),2))</f>
        <v>0</v>
      </c>
      <c r="CU103" s="66">
        <f t="shared" si="88"/>
        <v>0</v>
      </c>
      <c r="CV103" s="66">
        <f t="shared" si="88"/>
        <v>0</v>
      </c>
      <c r="CW103" s="66">
        <f>+IF($W103="","",ROUND((CT103*Parámetros!$G$85),2))</f>
        <v>0</v>
      </c>
      <c r="CX103" s="66">
        <f>+IF($W103="","",ROUND((CT103*(Parámetros!$G$86)),2))</f>
        <v>0</v>
      </c>
      <c r="CY103" s="66">
        <f t="shared" si="89"/>
        <v>0</v>
      </c>
      <c r="CZ103" t="str">
        <f t="shared" si="139"/>
        <v>00064</v>
      </c>
      <c r="DA103" s="118" t="str">
        <f t="shared" si="140"/>
        <v>Enfermedades Graves</v>
      </c>
      <c r="DB103" s="118">
        <f t="shared" si="141"/>
        <v>0</v>
      </c>
      <c r="DC103" s="118" t="str">
        <f t="shared" si="142"/>
        <v>A</v>
      </c>
      <c r="DD103" s="121" t="str">
        <f>+IF(OR($W103="",DB103=0),"",ROUND((VLOOKUP(ROUNDDOWN($D103-1/frec,0),cob_adi,CO$40,FALSE)*(1+i/frec)^-0.5*(1+Parámetros!$D$103)*(1+rec_fracc)/frec),6))</f>
        <v/>
      </c>
      <c r="DE103" s="66">
        <f t="shared" si="94"/>
        <v>0</v>
      </c>
      <c r="DF103" s="119" t="str">
        <f t="shared" si="95"/>
        <v/>
      </c>
      <c r="DG103" s="66">
        <f>+IF($W103="","",ROUND(IF($B103&gt;Parámetros!$D$107,'Tablas Servicio'!DE103+('Tablas Servicio'!DG102-'Tablas Servicio'!DE102),DE103/(1-IF(B103&lt;=10,Parámetros!$D$100,0))),2))</f>
        <v>0</v>
      </c>
      <c r="DH103" s="66">
        <f t="shared" si="96"/>
        <v>0</v>
      </c>
      <c r="DI103" s="66">
        <f t="shared" si="96"/>
        <v>0</v>
      </c>
      <c r="DJ103" s="66">
        <f>+IF($W103="","",ROUND((DG103*Parámetros!$G$85),2))</f>
        <v>0</v>
      </c>
      <c r="DK103" s="66">
        <f>+IF($W103="","",ROUND((DG103*(Parámetros!$G$86)),2))</f>
        <v>0</v>
      </c>
      <c r="DL103" s="66">
        <f t="shared" si="97"/>
        <v>0</v>
      </c>
      <c r="DM103" t="str">
        <f t="shared" si="143"/>
        <v>00065</v>
      </c>
      <c r="DN103" s="118" t="str">
        <f t="shared" si="144"/>
        <v>Exención pago de primas</v>
      </c>
      <c r="DO103" s="118">
        <f t="shared" si="145"/>
        <v>0</v>
      </c>
      <c r="DP103" s="118" t="str">
        <f t="shared" si="146"/>
        <v>A</v>
      </c>
      <c r="DQ103" s="122" t="str">
        <f>+IF(OR($W103="",DO103=0),"",ROUND((VLOOKUP(ROUNDDOWN($D103-1/frec,0),cob_adi,DB$40,FALSE)*(1+i/frec)^-0.5*(1+Parámetros!$D$103)*(1+rec_fracc)/frec),6))</f>
        <v/>
      </c>
      <c r="DR103" s="66">
        <f t="shared" si="102"/>
        <v>0</v>
      </c>
      <c r="DS103" s="68" t="str">
        <f t="shared" si="103"/>
        <v/>
      </c>
      <c r="DT103" s="66">
        <f>+IF($W103="","",ROUND(IF($B103&gt;Parámetros!$D$107,'Tablas Servicio'!DR103+('Tablas Servicio'!DT102-'Tablas Servicio'!DR102),DR103/(1-IF(B103&lt;=10,Parámetros!$D$100,0))),2))</f>
        <v>0</v>
      </c>
      <c r="DU103" s="66">
        <f t="shared" si="104"/>
        <v>0</v>
      </c>
      <c r="DV103" s="66">
        <f t="shared" si="104"/>
        <v>0</v>
      </c>
      <c r="DW103" s="66">
        <f>+IF($W103="","",ROUND((DT103*Parámetros!$G$85),2))</f>
        <v>0</v>
      </c>
      <c r="DX103" s="66">
        <f>+IF($W103="","",ROUND((DT103*(Parámetros!$G$86)),2))</f>
        <v>0</v>
      </c>
      <c r="DY103" s="66">
        <f t="shared" si="105"/>
        <v>0</v>
      </c>
      <c r="DZ103" t="str">
        <f t="shared" si="149"/>
        <v>00066</v>
      </c>
      <c r="EA103" s="118" t="str">
        <f t="shared" si="149"/>
        <v>Enfermedad terminal</v>
      </c>
      <c r="EB103" s="118">
        <f>+IF($W103="","",ROUND(IF(Parámetros!$D$25='TABLAS MORT'!$V$33,EB102,Z103/2),0))</f>
        <v>50000</v>
      </c>
      <c r="EC103" s="118" t="str">
        <f t="shared" si="149"/>
        <v>A</v>
      </c>
      <c r="ED103" s="122">
        <f>+IF(OR($W103="",EB103=0),"",ROUND((VLOOKUP(ROUNDDOWN($D103-1/frec,0),cob_adi,DO$40,FALSE)*(1+i/frec)^-0.5*(1+Parámetros!$D$103)*(1+rec_fracc)/frec),6))</f>
        <v>1.2E-5</v>
      </c>
      <c r="EE103" s="66">
        <f t="shared" si="107"/>
        <v>0.6</v>
      </c>
      <c r="EF103" s="68">
        <f t="shared" si="108"/>
        <v>1.4E-5</v>
      </c>
      <c r="EG103" s="66">
        <f>+IF($W103="","",ROUND(IF($B103&gt;Parámetros!$D$107,'Tablas Servicio'!EE103+('Tablas Servicio'!EG102-'Tablas Servicio'!EE102),EE103/(1-IF(B103&lt;=10,Parámetros!$D$100,0))),2))</f>
        <v>0.68</v>
      </c>
      <c r="EH103" s="66">
        <f t="shared" si="109"/>
        <v>0</v>
      </c>
      <c r="EI103" s="66">
        <f t="shared" si="109"/>
        <v>0</v>
      </c>
      <c r="EJ103" s="66">
        <f>+IF($W103="","",ROUND((EG103*Parámetros!$G$85),2))</f>
        <v>0.02</v>
      </c>
      <c r="EK103" s="66">
        <f>+IF($W103="","",ROUND((EG103*(Parámetros!$G$86)),2))</f>
        <v>0</v>
      </c>
      <c r="EL103" s="66">
        <f t="shared" si="110"/>
        <v>0.7</v>
      </c>
    </row>
    <row r="104" spans="1:142" x14ac:dyDescent="0.25">
      <c r="A104">
        <f>+IF($C104="","",ROUND(VLOOKUP('Tablas Servicio'!B104,Parámetros!$H$100:$J$159,IF(Parámetros!$E$16="F",2,3),FALSE),2))</f>
        <v>150</v>
      </c>
      <c r="B104">
        <f t="shared" si="27"/>
        <v>6</v>
      </c>
      <c r="C104" s="57">
        <f>+IF(D104="","",'Tablas Servicio'!C103+1)</f>
        <v>63</v>
      </c>
      <c r="D104" s="56">
        <f>+IF(D103&lt;edadmaxtabla,D103+1/Parámetros!$E$25,"")</f>
        <v>45.270000000000152</v>
      </c>
      <c r="E104" s="57">
        <f t="shared" si="37"/>
        <v>45</v>
      </c>
      <c r="F104" s="59">
        <f t="shared" si="38"/>
        <v>100000</v>
      </c>
      <c r="G104" s="66">
        <f t="shared" si="39"/>
        <v>32.72</v>
      </c>
      <c r="H104" s="66">
        <f t="shared" si="28"/>
        <v>34.020000000000003</v>
      </c>
      <c r="I104" s="66">
        <f t="shared" si="112"/>
        <v>52.83</v>
      </c>
      <c r="J104" s="66">
        <f t="shared" si="29"/>
        <v>1.1400000000000001</v>
      </c>
      <c r="K104" s="66">
        <f t="shared" si="30"/>
        <v>0.16</v>
      </c>
      <c r="L104" s="66">
        <f t="shared" si="31"/>
        <v>0</v>
      </c>
      <c r="M104" s="66">
        <f t="shared" si="32"/>
        <v>0</v>
      </c>
      <c r="N104" s="66">
        <f>+IF(C104="","",ROUND(Parámetros!$D$23,2))</f>
        <v>94</v>
      </c>
      <c r="O104" s="66">
        <f t="shared" si="33"/>
        <v>16.400000000000002</v>
      </c>
      <c r="P104" s="66">
        <f>+IF($C104="","",ROUND(IF(B104&gt;Parámetros!$D$117,0,N104*Parámetros!$D$116-G104*Parámetros!$D$100),2))</f>
        <v>7.15</v>
      </c>
      <c r="Q104" s="75">
        <f t="shared" si="113"/>
        <v>3.4841075794621035E-2</v>
      </c>
      <c r="R104" s="75">
        <f t="shared" si="114"/>
        <v>4.8899755501222494E-3</v>
      </c>
      <c r="S104" s="117">
        <f>+IF($C104="","",ROUND((S103+I104)*(1+Parámetros!$D$91),2))</f>
        <v>3996.71</v>
      </c>
      <c r="T104" s="117">
        <f>+IF($C104="","",ROUND(S104*VLOOKUP(B104,Parámetros!$C$30:$D$39,2,TRUE),2))</f>
        <v>2398.0300000000002</v>
      </c>
      <c r="U104" s="117">
        <f>+IF($C104="","",ROUND((U103+I104)*(1+Parámetros!$D$92),2))</f>
        <v>4051.81</v>
      </c>
      <c r="V104" s="117">
        <f>+IF($C104="","",ROUND(U104*VLOOKUP(B104,Parámetros!$C$30:$D$39,2,TRUE),2))</f>
        <v>2431.09</v>
      </c>
      <c r="W104" s="57">
        <f t="shared" si="115"/>
        <v>63</v>
      </c>
      <c r="X104" t="str">
        <f t="shared" si="116"/>
        <v>00058</v>
      </c>
      <c r="Y104" t="str">
        <f t="shared" si="117"/>
        <v>MUERTE POR CUALQUIER CAUSA</v>
      </c>
      <c r="Z104" s="118">
        <f>+IF($W104="","",ROUND(IF(Parámetros!$D$25='TABLAS MORT'!$V$33,Z103,Parámetros!$D$21-'Tablas Servicio'!T103),0))</f>
        <v>100000</v>
      </c>
      <c r="AA104" s="118" t="str">
        <f t="shared" si="118"/>
        <v>P</v>
      </c>
      <c r="AB104" s="119">
        <f>+IF(W104="","",ROUND((VLOOKUP(ROUNDDOWN($D104-1/frec,0),qx_tabla,2,FALSE)*(1+i/frec)^-0.5*(1+Parámetros!$D$103)*(1+rec_fracc)/frec),6))</f>
        <v>1.5799999999999999E-4</v>
      </c>
      <c r="AC104" s="66">
        <f t="shared" si="46"/>
        <v>15.8</v>
      </c>
      <c r="AD104" s="119">
        <f t="shared" si="35"/>
        <v>3.2000000000000003E-4</v>
      </c>
      <c r="AE104" s="66">
        <f>+IF($W104="","",ROUND(IF($B104&gt;Parámetros!$D$107,'Tablas Servicio'!AC104+('Tablas Servicio'!AG103-'Tablas Servicio'!AC103),AC104/(1-IF(B104&lt;=10,Parámetros!$D$104,Parámetros!$D$105))),2))</f>
        <v>32.69</v>
      </c>
      <c r="AF104" s="66">
        <f>+IF($W104="","",ROUND(IF($B104&gt;Parámetros!$D$107,'Tablas Servicio'!AC104+('Tablas Servicio'!AG103-'Tablas Servicio'!AC103),(AC104+$A103/frec)/(1-IF(B104&lt;=Parámetros!$D$117,Parámetros!$D$100,0))),2))</f>
        <v>32.04</v>
      </c>
      <c r="AG104" s="66">
        <f t="shared" si="111"/>
        <v>32.04</v>
      </c>
      <c r="AH104" s="66">
        <f t="shared" si="47"/>
        <v>0</v>
      </c>
      <c r="AI104" s="66">
        <f t="shared" si="48"/>
        <v>0</v>
      </c>
      <c r="AJ104" s="66">
        <f>+IF($W104="","",ROUND((AG104*Parámetros!$G$85),2))</f>
        <v>1.1200000000000001</v>
      </c>
      <c r="AK104" s="66">
        <f>+IF($W104="","",ROUND((AG104*(Parámetros!$G$86)),2))</f>
        <v>0.16</v>
      </c>
      <c r="AL104" s="66">
        <f t="shared" si="36"/>
        <v>33.32</v>
      </c>
      <c r="AM104" t="str">
        <f t="shared" si="119"/>
        <v>00059</v>
      </c>
      <c r="AN104" t="str">
        <f t="shared" si="120"/>
        <v>Incapacidad Total y Permanente</v>
      </c>
      <c r="AO104" s="118">
        <f t="shared" si="121"/>
        <v>0</v>
      </c>
      <c r="AP104" s="118" t="str">
        <f t="shared" si="122"/>
        <v>A</v>
      </c>
      <c r="AQ104" s="119" t="str">
        <f>+IF(OR($W104="",AO104=0),"",ROUND((VLOOKUP(ROUNDDOWN($D104-1/frec,0),cob_adi,Z$40,FALSE)*(1+i/frec)^-0.5*(1+Parámetros!$D$103)*(1+rec_fracc)/frec),6))</f>
        <v/>
      </c>
      <c r="AR104" s="66">
        <f t="shared" si="53"/>
        <v>0</v>
      </c>
      <c r="AS104" s="119" t="str">
        <f t="shared" si="54"/>
        <v/>
      </c>
      <c r="AT104" s="66">
        <f>+IF($W104="","",ROUND(IF($B104&gt;Parámetros!$D$107,'Tablas Servicio'!AR104+('Tablas Servicio'!AT103-'Tablas Servicio'!AR103),AR104/(1-IF(B104&lt;=10,Parámetros!$D$100,0))),2))</f>
        <v>0</v>
      </c>
      <c r="AU104" s="66">
        <f t="shared" si="55"/>
        <v>0</v>
      </c>
      <c r="AV104" s="66">
        <f t="shared" si="55"/>
        <v>0</v>
      </c>
      <c r="AW104" s="66">
        <f>+IF($W104="","",ROUND((AT104*Parámetros!$G$85),2))</f>
        <v>0</v>
      </c>
      <c r="AX104" s="66">
        <f>+IF($W104="","",ROUND((AT104*(Parámetros!$G$86)),2))</f>
        <v>0</v>
      </c>
      <c r="AY104" s="66">
        <f t="shared" si="56"/>
        <v>0</v>
      </c>
      <c r="AZ104" t="str">
        <f t="shared" si="123"/>
        <v>00060</v>
      </c>
      <c r="BA104" t="str">
        <f t="shared" si="124"/>
        <v>Muerte Accidental</v>
      </c>
      <c r="BB104" s="118">
        <f t="shared" si="125"/>
        <v>0</v>
      </c>
      <c r="BC104" s="118" t="str">
        <f t="shared" si="126"/>
        <v>A</v>
      </c>
      <c r="BD104" s="119" t="str">
        <f>+IF(OR($W104="",BB104=0),"",ROUND((VLOOKUP(ROUNDDOWN($D104-1/frec,0),cob_adi,AO$40,FALSE)*(1+i/frec)^-0.5*(1+Parámetros!$D$103)*(1+rec_fracc)/frec),6))</f>
        <v/>
      </c>
      <c r="BE104" s="66">
        <f t="shared" si="61"/>
        <v>0</v>
      </c>
      <c r="BF104" s="119" t="str">
        <f t="shared" si="62"/>
        <v/>
      </c>
      <c r="BG104" s="66">
        <f>+IF($W104="","",ROUND(IF($B104&gt;Parámetros!$D$107,'Tablas Servicio'!BE104+('Tablas Servicio'!BG103-'Tablas Servicio'!BE103),BE104/(1-IF(B104&lt;=10,Parámetros!$D$100,0))),2))</f>
        <v>0</v>
      </c>
      <c r="BH104" s="66">
        <f t="shared" si="63"/>
        <v>0</v>
      </c>
      <c r="BI104" s="66">
        <f t="shared" si="64"/>
        <v>0</v>
      </c>
      <c r="BJ104" s="66">
        <f>+IF($W104="","",ROUND((BG104*Parámetros!$G$85),2))</f>
        <v>0</v>
      </c>
      <c r="BK104" s="66">
        <f>+IF($W104="","",ROUND((BG104*(Parámetros!$G$86)),2))</f>
        <v>0</v>
      </c>
      <c r="BL104" s="66">
        <f t="shared" si="65"/>
        <v>0</v>
      </c>
      <c r="BM104" t="str">
        <f t="shared" si="127"/>
        <v>00061</v>
      </c>
      <c r="BN104" t="str">
        <f t="shared" si="128"/>
        <v>Gastos de Entierro</v>
      </c>
      <c r="BO104" s="118">
        <f t="shared" si="129"/>
        <v>0</v>
      </c>
      <c r="BP104" s="118" t="str">
        <f t="shared" si="130"/>
        <v>A</v>
      </c>
      <c r="BQ104" s="119" t="str">
        <f>+IF(OR($W104="",BO104=0),"",ROUND((VLOOKUP(ROUNDDOWN($D104-1/frec,0),cob_adi,BB$40,FALSE)*(1+i/frec)^-0.5*(1+Parámetros!$D$103)*(1+rec_fracc)/frec),6))</f>
        <v/>
      </c>
      <c r="BR104" s="66">
        <f t="shared" si="70"/>
        <v>0</v>
      </c>
      <c r="BS104" s="119" t="str">
        <f t="shared" si="71"/>
        <v/>
      </c>
      <c r="BT104" s="66">
        <f>+IF($W104="","",ROUND(IF($B104&gt;Parámetros!$D$107,'Tablas Servicio'!BR104+('Tablas Servicio'!BT103-'Tablas Servicio'!BR103),BR104/(1-IF(B104&lt;=10,Parámetros!$D$100,0))),2))</f>
        <v>0</v>
      </c>
      <c r="BU104" s="66">
        <f t="shared" si="72"/>
        <v>0</v>
      </c>
      <c r="BV104" s="66">
        <f t="shared" si="72"/>
        <v>0</v>
      </c>
      <c r="BW104" s="66">
        <f>+IF($W104="","",ROUND((BT104*Parámetros!$G$85),2))</f>
        <v>0</v>
      </c>
      <c r="BX104" s="66">
        <f>+IF($W104="","",ROUND((BT104*(Parámetros!$G$86)),2))</f>
        <v>0</v>
      </c>
      <c r="BY104" s="66">
        <f t="shared" si="73"/>
        <v>0</v>
      </c>
      <c r="BZ104" t="str">
        <f t="shared" si="131"/>
        <v>00062</v>
      </c>
      <c r="CA104" t="str">
        <f t="shared" si="132"/>
        <v>Gastos médicos por accidente</v>
      </c>
      <c r="CB104" s="118">
        <f t="shared" si="133"/>
        <v>0</v>
      </c>
      <c r="CC104" s="118" t="str">
        <f t="shared" si="134"/>
        <v>A</v>
      </c>
      <c r="CD104" s="119" t="str">
        <f t="shared" si="78"/>
        <v/>
      </c>
      <c r="CE104" s="66">
        <f>+IF($W104="","",ROUND((VLOOKUP(ROUNDDOWN($D104-1/frec,0),cob_adi,BO$40,FALSE)*(1+i/frec)^-0.5*(1+Parámetros!$D$103)*(1+rec_fracc)/frec*'TABLAS ADI'!$BC$17),2))</f>
        <v>0</v>
      </c>
      <c r="CF104" s="119" t="str">
        <f t="shared" si="79"/>
        <v/>
      </c>
      <c r="CG104" s="66">
        <f>+IF($W104="","",ROUND(IF($B104&gt;Parámetros!$D$107,'Tablas Servicio'!CE104+('Tablas Servicio'!CG103-'Tablas Servicio'!CE103),CE104/(1-IF(B104&lt;=10,Parámetros!$D$100,0))),2))</f>
        <v>0</v>
      </c>
      <c r="CH104" s="66">
        <f t="shared" si="80"/>
        <v>0</v>
      </c>
      <c r="CI104" s="66">
        <f t="shared" si="80"/>
        <v>0</v>
      </c>
      <c r="CJ104" s="66">
        <f>+IF($W104="","",ROUND((CG104*Parámetros!$G$85),2))</f>
        <v>0</v>
      </c>
      <c r="CK104" s="66">
        <f>+IF($W104="","",ROUND((CG104*(Parámetros!$G$86)),2))</f>
        <v>0</v>
      </c>
      <c r="CL104" s="66">
        <f t="shared" si="81"/>
        <v>0</v>
      </c>
      <c r="CM104" t="str">
        <f t="shared" si="135"/>
        <v>00063</v>
      </c>
      <c r="CN104" s="118" t="str">
        <f t="shared" si="136"/>
        <v>Renta Diaria por Hospitalización</v>
      </c>
      <c r="CO104" s="118">
        <f t="shared" si="137"/>
        <v>0</v>
      </c>
      <c r="CP104" s="118" t="str">
        <f t="shared" si="138"/>
        <v>A</v>
      </c>
      <c r="CQ104" s="119" t="str">
        <f t="shared" si="86"/>
        <v/>
      </c>
      <c r="CR104" s="66">
        <f>+IF($W104="","",ROUND((VLOOKUP(Parámetros!$F$51,'COBERTURAS ADICIONALES'!$S$4:$T$32,2,FALSE)*(1+i/frec)^-0.5*(1+Parámetros!$D$103)*(1+rec_fracc)/frec*$CO$42),2))</f>
        <v>0</v>
      </c>
      <c r="CS104" s="119" t="str">
        <f t="shared" si="87"/>
        <v/>
      </c>
      <c r="CT104" s="66">
        <f>+IF($W104="","",ROUND(IF($B104&gt;Parámetros!$D$107,'Tablas Servicio'!CR104+('Tablas Servicio'!CT103-'Tablas Servicio'!CR103),CR104/(1-IF(B104&lt;=10,Parámetros!$D$100,0))),2))</f>
        <v>0</v>
      </c>
      <c r="CU104" s="66">
        <f t="shared" si="88"/>
        <v>0</v>
      </c>
      <c r="CV104" s="66">
        <f t="shared" si="88"/>
        <v>0</v>
      </c>
      <c r="CW104" s="66">
        <f>+IF($W104="","",ROUND((CT104*Parámetros!$G$85),2))</f>
        <v>0</v>
      </c>
      <c r="CX104" s="66">
        <f>+IF($W104="","",ROUND((CT104*(Parámetros!$G$86)),2))</f>
        <v>0</v>
      </c>
      <c r="CY104" s="66">
        <f t="shared" si="89"/>
        <v>0</v>
      </c>
      <c r="CZ104" t="str">
        <f t="shared" si="139"/>
        <v>00064</v>
      </c>
      <c r="DA104" s="118" t="str">
        <f t="shared" si="140"/>
        <v>Enfermedades Graves</v>
      </c>
      <c r="DB104" s="118">
        <f t="shared" si="141"/>
        <v>0</v>
      </c>
      <c r="DC104" s="118" t="str">
        <f t="shared" si="142"/>
        <v>A</v>
      </c>
      <c r="DD104" s="121" t="str">
        <f>+IF(OR($W104="",DB104=0),"",ROUND((VLOOKUP(ROUNDDOWN($D104-1/frec,0),cob_adi,CO$40,FALSE)*(1+i/frec)^-0.5*(1+Parámetros!$D$103)*(1+rec_fracc)/frec),6))</f>
        <v/>
      </c>
      <c r="DE104" s="66">
        <f t="shared" si="94"/>
        <v>0</v>
      </c>
      <c r="DF104" s="119" t="str">
        <f t="shared" si="95"/>
        <v/>
      </c>
      <c r="DG104" s="66">
        <f>+IF($W104="","",ROUND(IF($B104&gt;Parámetros!$D$107,'Tablas Servicio'!DE104+('Tablas Servicio'!DG103-'Tablas Servicio'!DE103),DE104/(1-IF(B104&lt;=10,Parámetros!$D$100,0))),2))</f>
        <v>0</v>
      </c>
      <c r="DH104" s="66">
        <f t="shared" si="96"/>
        <v>0</v>
      </c>
      <c r="DI104" s="66">
        <f t="shared" si="96"/>
        <v>0</v>
      </c>
      <c r="DJ104" s="66">
        <f>+IF($W104="","",ROUND((DG104*Parámetros!$G$85),2))</f>
        <v>0</v>
      </c>
      <c r="DK104" s="66">
        <f>+IF($W104="","",ROUND((DG104*(Parámetros!$G$86)),2))</f>
        <v>0</v>
      </c>
      <c r="DL104" s="66">
        <f t="shared" si="97"/>
        <v>0</v>
      </c>
      <c r="DM104" t="str">
        <f t="shared" si="143"/>
        <v>00065</v>
      </c>
      <c r="DN104" s="118" t="str">
        <f t="shared" si="144"/>
        <v>Exención pago de primas</v>
      </c>
      <c r="DO104" s="118">
        <f t="shared" si="145"/>
        <v>0</v>
      </c>
      <c r="DP104" s="118" t="str">
        <f t="shared" si="146"/>
        <v>A</v>
      </c>
      <c r="DQ104" s="122" t="str">
        <f>+IF(OR($W104="",DO104=0),"",ROUND((VLOOKUP(ROUNDDOWN($D104-1/frec,0),cob_adi,DB$40,FALSE)*(1+i/frec)^-0.5*(1+Parámetros!$D$103)*(1+rec_fracc)/frec),6))</f>
        <v/>
      </c>
      <c r="DR104" s="66">
        <f t="shared" si="102"/>
        <v>0</v>
      </c>
      <c r="DS104" s="68" t="str">
        <f t="shared" si="103"/>
        <v/>
      </c>
      <c r="DT104" s="66">
        <f>+IF($W104="","",ROUND(IF($B104&gt;Parámetros!$D$107,'Tablas Servicio'!DR104+('Tablas Servicio'!DT103-'Tablas Servicio'!DR103),DR104/(1-IF(B104&lt;=10,Parámetros!$D$100,0))),2))</f>
        <v>0</v>
      </c>
      <c r="DU104" s="66">
        <f t="shared" si="104"/>
        <v>0</v>
      </c>
      <c r="DV104" s="66">
        <f t="shared" si="104"/>
        <v>0</v>
      </c>
      <c r="DW104" s="66">
        <f>+IF($W104="","",ROUND((DT104*Parámetros!$G$85),2))</f>
        <v>0</v>
      </c>
      <c r="DX104" s="66">
        <f>+IF($W104="","",ROUND((DT104*(Parámetros!$G$86)),2))</f>
        <v>0</v>
      </c>
      <c r="DY104" s="66">
        <f t="shared" si="105"/>
        <v>0</v>
      </c>
      <c r="DZ104" t="str">
        <f t="shared" si="149"/>
        <v>00066</v>
      </c>
      <c r="EA104" s="118" t="str">
        <f t="shared" si="149"/>
        <v>Enfermedad terminal</v>
      </c>
      <c r="EB104" s="118">
        <f>+IF($W104="","",ROUND(IF(Parámetros!$D$25='TABLAS MORT'!$V$33,EB103,Z104/2),0))</f>
        <v>50000</v>
      </c>
      <c r="EC104" s="118" t="str">
        <f t="shared" si="149"/>
        <v>A</v>
      </c>
      <c r="ED104" s="122">
        <f>+IF(OR($W104="",EB104=0),"",ROUND((VLOOKUP(ROUNDDOWN($D104-1/frec,0),cob_adi,DO$40,FALSE)*(1+i/frec)^-0.5*(1+Parámetros!$D$103)*(1+rec_fracc)/frec),6))</f>
        <v>1.2E-5</v>
      </c>
      <c r="EE104" s="66">
        <f t="shared" si="107"/>
        <v>0.6</v>
      </c>
      <c r="EF104" s="68">
        <f t="shared" si="108"/>
        <v>1.4E-5</v>
      </c>
      <c r="EG104" s="66">
        <f>+IF($W104="","",ROUND(IF($B104&gt;Parámetros!$D$107,'Tablas Servicio'!EE104+('Tablas Servicio'!EG103-'Tablas Servicio'!EE103),EE104/(1-IF(B104&lt;=10,Parámetros!$D$100,0))),2))</f>
        <v>0.68</v>
      </c>
      <c r="EH104" s="66">
        <f t="shared" si="109"/>
        <v>0</v>
      </c>
      <c r="EI104" s="66">
        <f t="shared" si="109"/>
        <v>0</v>
      </c>
      <c r="EJ104" s="66">
        <f>+IF($W104="","",ROUND((EG104*Parámetros!$G$85),2))</f>
        <v>0.02</v>
      </c>
      <c r="EK104" s="66">
        <f>+IF($W104="","",ROUND((EG104*(Parámetros!$G$86)),2))</f>
        <v>0</v>
      </c>
      <c r="EL104" s="66">
        <f t="shared" si="110"/>
        <v>0.7</v>
      </c>
    </row>
    <row r="105" spans="1:142" x14ac:dyDescent="0.25">
      <c r="A105">
        <f>+IF($C105="","",ROUND(VLOOKUP('Tablas Servicio'!B105,Parámetros!$H$100:$J$159,IF(Parámetros!$E$16="F",2,3),FALSE),2))</f>
        <v>150</v>
      </c>
      <c r="B105">
        <f t="shared" si="27"/>
        <v>6</v>
      </c>
      <c r="C105" s="57">
        <f>+IF(D105="","",'Tablas Servicio'!C104+1)</f>
        <v>64</v>
      </c>
      <c r="D105" s="56">
        <f>+IF(D104&lt;edadmaxtabla,D104+1/Parámetros!$E$25,"")</f>
        <v>45.353333333333488</v>
      </c>
      <c r="E105" s="57">
        <f t="shared" si="37"/>
        <v>45</v>
      </c>
      <c r="F105" s="59">
        <f t="shared" si="38"/>
        <v>100000</v>
      </c>
      <c r="G105" s="66">
        <f t="shared" si="39"/>
        <v>32.72</v>
      </c>
      <c r="H105" s="66">
        <f t="shared" si="28"/>
        <v>34.020000000000003</v>
      </c>
      <c r="I105" s="66">
        <f t="shared" si="112"/>
        <v>52.83</v>
      </c>
      <c r="J105" s="66">
        <f t="shared" si="29"/>
        <v>1.1400000000000001</v>
      </c>
      <c r="K105" s="66">
        <f t="shared" si="30"/>
        <v>0.16</v>
      </c>
      <c r="L105" s="66">
        <f t="shared" si="31"/>
        <v>0</v>
      </c>
      <c r="M105" s="66">
        <f t="shared" si="32"/>
        <v>0</v>
      </c>
      <c r="N105" s="66">
        <f>+IF(C105="","",ROUND(Parámetros!$D$23,2))</f>
        <v>94</v>
      </c>
      <c r="O105" s="66">
        <f t="shared" si="33"/>
        <v>16.400000000000002</v>
      </c>
      <c r="P105" s="66">
        <f>+IF($C105="","",ROUND(IF(B105&gt;Parámetros!$D$117,0,N105*Parámetros!$D$116-G105*Parámetros!$D$100),2))</f>
        <v>7.15</v>
      </c>
      <c r="Q105" s="75">
        <f t="shared" si="113"/>
        <v>3.4841075794621035E-2</v>
      </c>
      <c r="R105" s="75">
        <f t="shared" si="114"/>
        <v>4.8899755501222494E-3</v>
      </c>
      <c r="S105" s="117">
        <f>+IF($C105="","",ROUND((S104+I105)*(1+Parámetros!$D$91),2))</f>
        <v>4061.03</v>
      </c>
      <c r="T105" s="117">
        <f>+IF($C105="","",ROUND(S105*VLOOKUP(B105,Parámetros!$C$30:$D$39,2,TRUE),2))</f>
        <v>2436.62</v>
      </c>
      <c r="U105" s="117">
        <f>+IF($C105="","",ROUND((U104+I105)*(1+Parámetros!$D$92),2))</f>
        <v>4117.95</v>
      </c>
      <c r="V105" s="117">
        <f>+IF($C105="","",ROUND(U105*VLOOKUP(B105,Parámetros!$C$30:$D$39,2,TRUE),2))</f>
        <v>2470.77</v>
      </c>
      <c r="W105" s="57">
        <f t="shared" si="115"/>
        <v>64</v>
      </c>
      <c r="X105" t="str">
        <f t="shared" si="116"/>
        <v>00058</v>
      </c>
      <c r="Y105" t="str">
        <f t="shared" si="117"/>
        <v>MUERTE POR CUALQUIER CAUSA</v>
      </c>
      <c r="Z105" s="118">
        <f>+IF($W105="","",ROUND(IF(Parámetros!$D$25='TABLAS MORT'!$V$33,Z104,Parámetros!$D$21-'Tablas Servicio'!T104),0))</f>
        <v>100000</v>
      </c>
      <c r="AA105" s="118" t="str">
        <f t="shared" si="118"/>
        <v>P</v>
      </c>
      <c r="AB105" s="119">
        <f>+IF(W105="","",ROUND((VLOOKUP(ROUNDDOWN($D105-1/frec,0),qx_tabla,2,FALSE)*(1+i/frec)^-0.5*(1+Parámetros!$D$103)*(1+rec_fracc)/frec),6))</f>
        <v>1.5799999999999999E-4</v>
      </c>
      <c r="AC105" s="66">
        <f t="shared" si="46"/>
        <v>15.8</v>
      </c>
      <c r="AD105" s="119">
        <f t="shared" si="35"/>
        <v>3.2000000000000003E-4</v>
      </c>
      <c r="AE105" s="66">
        <f>+IF($W105="","",ROUND(IF($B105&gt;Parámetros!$D$107,'Tablas Servicio'!AC105+('Tablas Servicio'!AG104-'Tablas Servicio'!AC104),AC105/(1-IF(B105&lt;=10,Parámetros!$D$104,Parámetros!$D$105))),2))</f>
        <v>32.69</v>
      </c>
      <c r="AF105" s="66">
        <f>+IF($W105="","",ROUND(IF($B105&gt;Parámetros!$D$107,'Tablas Servicio'!AC105+('Tablas Servicio'!AG104-'Tablas Servicio'!AC104),(AC105+$A104/frec)/(1-IF(B105&lt;=Parámetros!$D$117,Parámetros!$D$100,0))),2))</f>
        <v>32.04</v>
      </c>
      <c r="AG105" s="66">
        <f t="shared" si="111"/>
        <v>32.04</v>
      </c>
      <c r="AH105" s="66">
        <f t="shared" si="47"/>
        <v>0</v>
      </c>
      <c r="AI105" s="66">
        <f t="shared" si="48"/>
        <v>0</v>
      </c>
      <c r="AJ105" s="66">
        <f>+IF($W105="","",ROUND((AG105*Parámetros!$G$85),2))</f>
        <v>1.1200000000000001</v>
      </c>
      <c r="AK105" s="66">
        <f>+IF($W105="","",ROUND((AG105*(Parámetros!$G$86)),2))</f>
        <v>0.16</v>
      </c>
      <c r="AL105" s="66">
        <f t="shared" si="36"/>
        <v>33.32</v>
      </c>
      <c r="AM105" t="str">
        <f t="shared" si="119"/>
        <v>00059</v>
      </c>
      <c r="AN105" t="str">
        <f t="shared" si="120"/>
        <v>Incapacidad Total y Permanente</v>
      </c>
      <c r="AO105" s="118">
        <f t="shared" si="121"/>
        <v>0</v>
      </c>
      <c r="AP105" s="118" t="str">
        <f t="shared" si="122"/>
        <v>A</v>
      </c>
      <c r="AQ105" s="119" t="str">
        <f>+IF(OR($W105="",AO105=0),"",ROUND((VLOOKUP(ROUNDDOWN($D105-1/frec,0),cob_adi,Z$40,FALSE)*(1+i/frec)^-0.5*(1+Parámetros!$D$103)*(1+rec_fracc)/frec),6))</f>
        <v/>
      </c>
      <c r="AR105" s="66">
        <f t="shared" si="53"/>
        <v>0</v>
      </c>
      <c r="AS105" s="119" t="str">
        <f t="shared" si="54"/>
        <v/>
      </c>
      <c r="AT105" s="66">
        <f>+IF($W105="","",ROUND(IF($B105&gt;Parámetros!$D$107,'Tablas Servicio'!AR105+('Tablas Servicio'!AT104-'Tablas Servicio'!AR104),AR105/(1-IF(B105&lt;=10,Parámetros!$D$100,0))),2))</f>
        <v>0</v>
      </c>
      <c r="AU105" s="66">
        <f t="shared" si="55"/>
        <v>0</v>
      </c>
      <c r="AV105" s="66">
        <f t="shared" si="55"/>
        <v>0</v>
      </c>
      <c r="AW105" s="66">
        <f>+IF($W105="","",ROUND((AT105*Parámetros!$G$85),2))</f>
        <v>0</v>
      </c>
      <c r="AX105" s="66">
        <f>+IF($W105="","",ROUND((AT105*(Parámetros!$G$86)),2))</f>
        <v>0</v>
      </c>
      <c r="AY105" s="66">
        <f t="shared" si="56"/>
        <v>0</v>
      </c>
      <c r="AZ105" t="str">
        <f t="shared" si="123"/>
        <v>00060</v>
      </c>
      <c r="BA105" t="str">
        <f t="shared" si="124"/>
        <v>Muerte Accidental</v>
      </c>
      <c r="BB105" s="118">
        <f t="shared" si="125"/>
        <v>0</v>
      </c>
      <c r="BC105" s="118" t="str">
        <f t="shared" si="126"/>
        <v>A</v>
      </c>
      <c r="BD105" s="119" t="str">
        <f>+IF(OR($W105="",BB105=0),"",ROUND((VLOOKUP(ROUNDDOWN($D105-1/frec,0),cob_adi,AO$40,FALSE)*(1+i/frec)^-0.5*(1+Parámetros!$D$103)*(1+rec_fracc)/frec),6))</f>
        <v/>
      </c>
      <c r="BE105" s="66">
        <f t="shared" si="61"/>
        <v>0</v>
      </c>
      <c r="BF105" s="119" t="str">
        <f t="shared" si="62"/>
        <v/>
      </c>
      <c r="BG105" s="66">
        <f>+IF($W105="","",ROUND(IF($B105&gt;Parámetros!$D$107,'Tablas Servicio'!BE105+('Tablas Servicio'!BG104-'Tablas Servicio'!BE104),BE105/(1-IF(B105&lt;=10,Parámetros!$D$100,0))),2))</f>
        <v>0</v>
      </c>
      <c r="BH105" s="66">
        <f t="shared" si="63"/>
        <v>0</v>
      </c>
      <c r="BI105" s="66">
        <f t="shared" si="64"/>
        <v>0</v>
      </c>
      <c r="BJ105" s="66">
        <f>+IF($W105="","",ROUND((BG105*Parámetros!$G$85),2))</f>
        <v>0</v>
      </c>
      <c r="BK105" s="66">
        <f>+IF($W105="","",ROUND((BG105*(Parámetros!$G$86)),2))</f>
        <v>0</v>
      </c>
      <c r="BL105" s="66">
        <f t="shared" si="65"/>
        <v>0</v>
      </c>
      <c r="BM105" t="str">
        <f t="shared" si="127"/>
        <v>00061</v>
      </c>
      <c r="BN105" t="str">
        <f t="shared" si="128"/>
        <v>Gastos de Entierro</v>
      </c>
      <c r="BO105" s="118">
        <f t="shared" si="129"/>
        <v>0</v>
      </c>
      <c r="BP105" s="118" t="str">
        <f t="shared" si="130"/>
        <v>A</v>
      </c>
      <c r="BQ105" s="119" t="str">
        <f>+IF(OR($W105="",BO105=0),"",ROUND((VLOOKUP(ROUNDDOWN($D105-1/frec,0),cob_adi,BB$40,FALSE)*(1+i/frec)^-0.5*(1+Parámetros!$D$103)*(1+rec_fracc)/frec),6))</f>
        <v/>
      </c>
      <c r="BR105" s="66">
        <f t="shared" si="70"/>
        <v>0</v>
      </c>
      <c r="BS105" s="119" t="str">
        <f t="shared" si="71"/>
        <v/>
      </c>
      <c r="BT105" s="66">
        <f>+IF($W105="","",ROUND(IF($B105&gt;Parámetros!$D$107,'Tablas Servicio'!BR105+('Tablas Servicio'!BT104-'Tablas Servicio'!BR104),BR105/(1-IF(B105&lt;=10,Parámetros!$D$100,0))),2))</f>
        <v>0</v>
      </c>
      <c r="BU105" s="66">
        <f t="shared" si="72"/>
        <v>0</v>
      </c>
      <c r="BV105" s="66">
        <f t="shared" si="72"/>
        <v>0</v>
      </c>
      <c r="BW105" s="66">
        <f>+IF($W105="","",ROUND((BT105*Parámetros!$G$85),2))</f>
        <v>0</v>
      </c>
      <c r="BX105" s="66">
        <f>+IF($W105="","",ROUND((BT105*(Parámetros!$G$86)),2))</f>
        <v>0</v>
      </c>
      <c r="BY105" s="66">
        <f t="shared" si="73"/>
        <v>0</v>
      </c>
      <c r="BZ105" t="str">
        <f t="shared" si="131"/>
        <v>00062</v>
      </c>
      <c r="CA105" t="str">
        <f t="shared" si="132"/>
        <v>Gastos médicos por accidente</v>
      </c>
      <c r="CB105" s="118">
        <f t="shared" si="133"/>
        <v>0</v>
      </c>
      <c r="CC105" s="118" t="str">
        <f t="shared" si="134"/>
        <v>A</v>
      </c>
      <c r="CD105" s="119" t="str">
        <f t="shared" si="78"/>
        <v/>
      </c>
      <c r="CE105" s="66">
        <f>+IF($W105="","",ROUND((VLOOKUP(ROUNDDOWN($D105-1/frec,0),cob_adi,BO$40,FALSE)*(1+i/frec)^-0.5*(1+Parámetros!$D$103)*(1+rec_fracc)/frec*'TABLAS ADI'!$BC$17),2))</f>
        <v>0</v>
      </c>
      <c r="CF105" s="119" t="str">
        <f t="shared" si="79"/>
        <v/>
      </c>
      <c r="CG105" s="66">
        <f>+IF($W105="","",ROUND(IF($B105&gt;Parámetros!$D$107,'Tablas Servicio'!CE105+('Tablas Servicio'!CG104-'Tablas Servicio'!CE104),CE105/(1-IF(B105&lt;=10,Parámetros!$D$100,0))),2))</f>
        <v>0</v>
      </c>
      <c r="CH105" s="66">
        <f t="shared" si="80"/>
        <v>0</v>
      </c>
      <c r="CI105" s="66">
        <f t="shared" si="80"/>
        <v>0</v>
      </c>
      <c r="CJ105" s="66">
        <f>+IF($W105="","",ROUND((CG105*Parámetros!$G$85),2))</f>
        <v>0</v>
      </c>
      <c r="CK105" s="66">
        <f>+IF($W105="","",ROUND((CG105*(Parámetros!$G$86)),2))</f>
        <v>0</v>
      </c>
      <c r="CL105" s="66">
        <f t="shared" si="81"/>
        <v>0</v>
      </c>
      <c r="CM105" t="str">
        <f t="shared" si="135"/>
        <v>00063</v>
      </c>
      <c r="CN105" s="118" t="str">
        <f t="shared" si="136"/>
        <v>Renta Diaria por Hospitalización</v>
      </c>
      <c r="CO105" s="118">
        <f t="shared" si="137"/>
        <v>0</v>
      </c>
      <c r="CP105" s="118" t="str">
        <f t="shared" si="138"/>
        <v>A</v>
      </c>
      <c r="CQ105" s="119" t="str">
        <f t="shared" si="86"/>
        <v/>
      </c>
      <c r="CR105" s="66">
        <f>+IF($W105="","",ROUND((VLOOKUP(Parámetros!$F$51,'COBERTURAS ADICIONALES'!$S$4:$T$32,2,FALSE)*(1+i/frec)^-0.5*(1+Parámetros!$D$103)*(1+rec_fracc)/frec*$CO$42),2))</f>
        <v>0</v>
      </c>
      <c r="CS105" s="119" t="str">
        <f t="shared" si="87"/>
        <v/>
      </c>
      <c r="CT105" s="66">
        <f>+IF($W105="","",ROUND(IF($B105&gt;Parámetros!$D$107,'Tablas Servicio'!CR105+('Tablas Servicio'!CT104-'Tablas Servicio'!CR104),CR105/(1-IF(B105&lt;=10,Parámetros!$D$100,0))),2))</f>
        <v>0</v>
      </c>
      <c r="CU105" s="66">
        <f t="shared" si="88"/>
        <v>0</v>
      </c>
      <c r="CV105" s="66">
        <f t="shared" si="88"/>
        <v>0</v>
      </c>
      <c r="CW105" s="66">
        <f>+IF($W105="","",ROUND((CT105*Parámetros!$G$85),2))</f>
        <v>0</v>
      </c>
      <c r="CX105" s="66">
        <f>+IF($W105="","",ROUND((CT105*(Parámetros!$G$86)),2))</f>
        <v>0</v>
      </c>
      <c r="CY105" s="66">
        <f t="shared" si="89"/>
        <v>0</v>
      </c>
      <c r="CZ105" t="str">
        <f t="shared" si="139"/>
        <v>00064</v>
      </c>
      <c r="DA105" s="118" t="str">
        <f t="shared" si="140"/>
        <v>Enfermedades Graves</v>
      </c>
      <c r="DB105" s="118">
        <f t="shared" si="141"/>
        <v>0</v>
      </c>
      <c r="DC105" s="118" t="str">
        <f t="shared" si="142"/>
        <v>A</v>
      </c>
      <c r="DD105" s="121" t="str">
        <f>+IF(OR($W105="",DB105=0),"",ROUND((VLOOKUP(ROUNDDOWN($D105-1/frec,0),cob_adi,CO$40,FALSE)*(1+i/frec)^-0.5*(1+Parámetros!$D$103)*(1+rec_fracc)/frec),6))</f>
        <v/>
      </c>
      <c r="DE105" s="66">
        <f t="shared" si="94"/>
        <v>0</v>
      </c>
      <c r="DF105" s="119" t="str">
        <f t="shared" si="95"/>
        <v/>
      </c>
      <c r="DG105" s="66">
        <f>+IF($W105="","",ROUND(IF($B105&gt;Parámetros!$D$107,'Tablas Servicio'!DE105+('Tablas Servicio'!DG104-'Tablas Servicio'!DE104),DE105/(1-IF(B105&lt;=10,Parámetros!$D$100,0))),2))</f>
        <v>0</v>
      </c>
      <c r="DH105" s="66">
        <f t="shared" si="96"/>
        <v>0</v>
      </c>
      <c r="DI105" s="66">
        <f t="shared" si="96"/>
        <v>0</v>
      </c>
      <c r="DJ105" s="66">
        <f>+IF($W105="","",ROUND((DG105*Parámetros!$G$85),2))</f>
        <v>0</v>
      </c>
      <c r="DK105" s="66">
        <f>+IF($W105="","",ROUND((DG105*(Parámetros!$G$86)),2))</f>
        <v>0</v>
      </c>
      <c r="DL105" s="66">
        <f t="shared" si="97"/>
        <v>0</v>
      </c>
      <c r="DM105" t="str">
        <f t="shared" si="143"/>
        <v>00065</v>
      </c>
      <c r="DN105" s="118" t="str">
        <f t="shared" si="144"/>
        <v>Exención pago de primas</v>
      </c>
      <c r="DO105" s="118">
        <f t="shared" si="145"/>
        <v>0</v>
      </c>
      <c r="DP105" s="118" t="str">
        <f t="shared" si="146"/>
        <v>A</v>
      </c>
      <c r="DQ105" s="122" t="str">
        <f>+IF(OR($W105="",DO105=0),"",ROUND((VLOOKUP(ROUNDDOWN($D105-1/frec,0),cob_adi,DB$40,FALSE)*(1+i/frec)^-0.5*(1+Parámetros!$D$103)*(1+rec_fracc)/frec),6))</f>
        <v/>
      </c>
      <c r="DR105" s="66">
        <f t="shared" si="102"/>
        <v>0</v>
      </c>
      <c r="DS105" s="68" t="str">
        <f t="shared" si="103"/>
        <v/>
      </c>
      <c r="DT105" s="66">
        <f>+IF($W105="","",ROUND(IF($B105&gt;Parámetros!$D$107,'Tablas Servicio'!DR105+('Tablas Servicio'!DT104-'Tablas Servicio'!DR104),DR105/(1-IF(B105&lt;=10,Parámetros!$D$100,0))),2))</f>
        <v>0</v>
      </c>
      <c r="DU105" s="66">
        <f t="shared" si="104"/>
        <v>0</v>
      </c>
      <c r="DV105" s="66">
        <f t="shared" si="104"/>
        <v>0</v>
      </c>
      <c r="DW105" s="66">
        <f>+IF($W105="","",ROUND((DT105*Parámetros!$G$85),2))</f>
        <v>0</v>
      </c>
      <c r="DX105" s="66">
        <f>+IF($W105="","",ROUND((DT105*(Parámetros!$G$86)),2))</f>
        <v>0</v>
      </c>
      <c r="DY105" s="66">
        <f t="shared" si="105"/>
        <v>0</v>
      </c>
      <c r="DZ105" t="str">
        <f t="shared" si="149"/>
        <v>00066</v>
      </c>
      <c r="EA105" s="118" t="str">
        <f t="shared" si="149"/>
        <v>Enfermedad terminal</v>
      </c>
      <c r="EB105" s="118">
        <f>+IF($W105="","",ROUND(IF(Parámetros!$D$25='TABLAS MORT'!$V$33,EB104,Z105/2),0))</f>
        <v>50000</v>
      </c>
      <c r="EC105" s="118" t="str">
        <f t="shared" si="149"/>
        <v>A</v>
      </c>
      <c r="ED105" s="122">
        <f>+IF(OR($W105="",EB105=0),"",ROUND((VLOOKUP(ROUNDDOWN($D105-1/frec,0),cob_adi,DO$40,FALSE)*(1+i/frec)^-0.5*(1+Parámetros!$D$103)*(1+rec_fracc)/frec),6))</f>
        <v>1.2E-5</v>
      </c>
      <c r="EE105" s="66">
        <f t="shared" si="107"/>
        <v>0.6</v>
      </c>
      <c r="EF105" s="68">
        <f t="shared" si="108"/>
        <v>1.4E-5</v>
      </c>
      <c r="EG105" s="66">
        <f>+IF($W105="","",ROUND(IF($B105&gt;Parámetros!$D$107,'Tablas Servicio'!EE105+('Tablas Servicio'!EG104-'Tablas Servicio'!EE104),EE105/(1-IF(B105&lt;=10,Parámetros!$D$100,0))),2))</f>
        <v>0.68</v>
      </c>
      <c r="EH105" s="66">
        <f t="shared" si="109"/>
        <v>0</v>
      </c>
      <c r="EI105" s="66">
        <f t="shared" si="109"/>
        <v>0</v>
      </c>
      <c r="EJ105" s="66">
        <f>+IF($W105="","",ROUND((EG105*Parámetros!$G$85),2))</f>
        <v>0.02</v>
      </c>
      <c r="EK105" s="66">
        <f>+IF($W105="","",ROUND((EG105*(Parámetros!$G$86)),2))</f>
        <v>0</v>
      </c>
      <c r="EL105" s="66">
        <f t="shared" si="110"/>
        <v>0.7</v>
      </c>
    </row>
    <row r="106" spans="1:142" x14ac:dyDescent="0.25">
      <c r="A106">
        <f>+IF($C106="","",ROUND(VLOOKUP('Tablas Servicio'!B106,Parámetros!$H$100:$J$159,IF(Parámetros!$E$16="F",2,3),FALSE),2))</f>
        <v>150</v>
      </c>
      <c r="B106">
        <f t="shared" ref="B106:B169" si="150">+IF(D106="","",ROUNDUP(C106/frec,0))</f>
        <v>6</v>
      </c>
      <c r="C106" s="57">
        <f>+IF(D106="","",'Tablas Servicio'!C105+1)</f>
        <v>65</v>
      </c>
      <c r="D106" s="56">
        <f>+IF(D105&lt;edadmaxtabla,D105+1/Parámetros!$E$25,"")</f>
        <v>45.436666666666824</v>
      </c>
      <c r="E106" s="57">
        <f t="shared" si="37"/>
        <v>45</v>
      </c>
      <c r="F106" s="59">
        <f t="shared" si="38"/>
        <v>100000</v>
      </c>
      <c r="G106" s="66">
        <f t="shared" ref="G106:G169" si="151">+IF($C106="","",AG106+AT106+BG106+BT106+CG106+CT106+DG106+DT106+EG106)</f>
        <v>32.72</v>
      </c>
      <c r="H106" s="66">
        <f t="shared" ref="H106:H169" si="152">+IF($C106="","",AL106+AY106+BL106+BY106+CL106+CY106+DL106+DY106+EL106)</f>
        <v>34.020000000000003</v>
      </c>
      <c r="I106" s="66">
        <f t="shared" si="112"/>
        <v>52.83</v>
      </c>
      <c r="J106" s="66">
        <f t="shared" ref="J106:J169" si="153">+IF($C106="","",AJ106+AW106+BJ106+BW106+CJ106+CW106+DJ106+DW106+EJ106)</f>
        <v>1.1400000000000001</v>
      </c>
      <c r="K106" s="66">
        <f t="shared" ref="K106:K169" si="154">+IF($C106="","",AK106+AX106+BK106+BX106+CK106+CX106+DK106+DX106+EK106)</f>
        <v>0.16</v>
      </c>
      <c r="L106" s="66">
        <f t="shared" ref="L106:L169" si="155">+IF($C106="","",AH106+AU106+BH106+BU106+CH106+CU106+DH106+DU106+EH106)</f>
        <v>0</v>
      </c>
      <c r="M106" s="66">
        <f t="shared" ref="M106:M169" si="156">+IF($C106="","",AI106+AV106+BI106+BV106+CI106+CV106+DI106+DV106+EI106)</f>
        <v>0</v>
      </c>
      <c r="N106" s="66">
        <f>+IF(C106="","",ROUND(Parámetros!$D$23,2))</f>
        <v>94</v>
      </c>
      <c r="O106" s="66">
        <f t="shared" ref="O106:O169" si="157">+IF($C106="","",AC106+AR106+BE106+BR106+CE106+CR106+DE106+DR106+EE106)</f>
        <v>16.400000000000002</v>
      </c>
      <c r="P106" s="66">
        <f>+IF($C106="","",ROUND(IF(B106&gt;Parámetros!$D$117,0,N106*Parámetros!$D$116-G106*Parámetros!$D$100),2))</f>
        <v>7.15</v>
      </c>
      <c r="Q106" s="75">
        <f t="shared" si="113"/>
        <v>3.4841075794621035E-2</v>
      </c>
      <c r="R106" s="75">
        <f t="shared" si="114"/>
        <v>4.8899755501222494E-3</v>
      </c>
      <c r="S106" s="117">
        <f>+IF($C106="","",ROUND((S105+I106)*(1+Parámetros!$D$91),2))</f>
        <v>4125.53</v>
      </c>
      <c r="T106" s="117">
        <f>+IF($C106="","",ROUND(S106*VLOOKUP(B106,Parámetros!$C$30:$D$39,2,TRUE),2))</f>
        <v>2475.3200000000002</v>
      </c>
      <c r="U106" s="117">
        <f>+IF($C106="","",ROUND((U105+I106)*(1+Parámetros!$D$92),2))</f>
        <v>4184.3</v>
      </c>
      <c r="V106" s="117">
        <f>+IF($C106="","",ROUND(U106*VLOOKUP(B106,Parámetros!$C$30:$D$39,2,TRUE),2))</f>
        <v>2510.58</v>
      </c>
      <c r="W106" s="57">
        <f t="shared" si="115"/>
        <v>65</v>
      </c>
      <c r="X106" t="str">
        <f t="shared" si="116"/>
        <v>00058</v>
      </c>
      <c r="Y106" t="str">
        <f t="shared" si="117"/>
        <v>MUERTE POR CUALQUIER CAUSA</v>
      </c>
      <c r="Z106" s="118">
        <f>+IF($W106="","",ROUND(IF(Parámetros!$D$25='TABLAS MORT'!$V$33,Z105,Parámetros!$D$21-'Tablas Servicio'!T105),0))</f>
        <v>100000</v>
      </c>
      <c r="AA106" s="118" t="str">
        <f t="shared" si="118"/>
        <v>P</v>
      </c>
      <c r="AB106" s="119">
        <f>+IF(W106="","",ROUND((VLOOKUP(ROUNDDOWN($D106-1/frec,0),qx_tabla,2,FALSE)*(1+i/frec)^-0.5*(1+Parámetros!$D$103)*(1+rec_fracc)/frec),6))</f>
        <v>1.5799999999999999E-4</v>
      </c>
      <c r="AC106" s="66">
        <f t="shared" si="46"/>
        <v>15.8</v>
      </c>
      <c r="AD106" s="119">
        <f t="shared" ref="AD106:AD169" si="158">+IF($W106="","",ROUND((AG106/Z106),6))</f>
        <v>3.2000000000000003E-4</v>
      </c>
      <c r="AE106" s="66">
        <f>+IF($W106="","",ROUND(IF($B106&gt;Parámetros!$D$107,'Tablas Servicio'!AC106+('Tablas Servicio'!AG105-'Tablas Servicio'!AC105),AC106/(1-IF(B106&lt;=10,Parámetros!$D$104,Parámetros!$D$105))),2))</f>
        <v>32.69</v>
      </c>
      <c r="AF106" s="66">
        <f>+IF($W106="","",ROUND(IF($B106&gt;Parámetros!$D$107,'Tablas Servicio'!AC106+('Tablas Servicio'!AG105-'Tablas Servicio'!AC105),(AC106+$A105/frec)/(1-IF(B106&lt;=Parámetros!$D$117,Parámetros!$D$100,0))),2))</f>
        <v>32.04</v>
      </c>
      <c r="AG106" s="66">
        <f t="shared" si="111"/>
        <v>32.04</v>
      </c>
      <c r="AH106" s="66">
        <f t="shared" si="47"/>
        <v>0</v>
      </c>
      <c r="AI106" s="66">
        <f t="shared" si="48"/>
        <v>0</v>
      </c>
      <c r="AJ106" s="66">
        <f>+IF($W106="","",ROUND((AG106*Parámetros!$G$85),2))</f>
        <v>1.1200000000000001</v>
      </c>
      <c r="AK106" s="66">
        <f>+IF($W106="","",ROUND((AG106*(Parámetros!$G$86)),2))</f>
        <v>0.16</v>
      </c>
      <c r="AL106" s="66">
        <f t="shared" ref="AL106:AL169" si="159">+IF($W106="","",ROUND((AG106+AJ106+AK106),2))</f>
        <v>33.32</v>
      </c>
      <c r="AM106" t="str">
        <f t="shared" si="119"/>
        <v>00059</v>
      </c>
      <c r="AN106" t="str">
        <f t="shared" si="120"/>
        <v>Incapacidad Total y Permanente</v>
      </c>
      <c r="AO106" s="118">
        <f t="shared" si="121"/>
        <v>0</v>
      </c>
      <c r="AP106" s="118" t="str">
        <f t="shared" si="122"/>
        <v>A</v>
      </c>
      <c r="AQ106" s="119" t="str">
        <f>+IF(OR($W106="",AO106=0),"",ROUND((VLOOKUP(ROUNDDOWN($D106-1/frec,0),cob_adi,Z$40,FALSE)*(1+i/frec)^-0.5*(1+Parámetros!$D$103)*(1+rec_fracc)/frec),6))</f>
        <v/>
      </c>
      <c r="AR106" s="66">
        <f t="shared" si="53"/>
        <v>0</v>
      </c>
      <c r="AS106" s="119" t="str">
        <f t="shared" si="54"/>
        <v/>
      </c>
      <c r="AT106" s="66">
        <f>+IF($W106="","",ROUND(IF($B106&gt;Parámetros!$D$107,'Tablas Servicio'!AR106+('Tablas Servicio'!AT105-'Tablas Servicio'!AR105),AR106/(1-IF(B106&lt;=10,Parámetros!$D$100,0))),2))</f>
        <v>0</v>
      </c>
      <c r="AU106" s="66">
        <f t="shared" si="55"/>
        <v>0</v>
      </c>
      <c r="AV106" s="66">
        <f t="shared" si="55"/>
        <v>0</v>
      </c>
      <c r="AW106" s="66">
        <f>+IF($W106="","",ROUND((AT106*Parámetros!$G$85),2))</f>
        <v>0</v>
      </c>
      <c r="AX106" s="66">
        <f>+IF($W106="","",ROUND((AT106*(Parámetros!$G$86)),2))</f>
        <v>0</v>
      </c>
      <c r="AY106" s="66">
        <f t="shared" si="56"/>
        <v>0</v>
      </c>
      <c r="AZ106" t="str">
        <f t="shared" si="123"/>
        <v>00060</v>
      </c>
      <c r="BA106" t="str">
        <f t="shared" si="124"/>
        <v>Muerte Accidental</v>
      </c>
      <c r="BB106" s="118">
        <f t="shared" si="125"/>
        <v>0</v>
      </c>
      <c r="BC106" s="118" t="str">
        <f t="shared" si="126"/>
        <v>A</v>
      </c>
      <c r="BD106" s="119" t="str">
        <f>+IF(OR($W106="",BB106=0),"",ROUND((VLOOKUP(ROUNDDOWN($D106-1/frec,0),cob_adi,AO$40,FALSE)*(1+i/frec)^-0.5*(1+Parámetros!$D$103)*(1+rec_fracc)/frec),6))</f>
        <v/>
      </c>
      <c r="BE106" s="66">
        <f t="shared" si="61"/>
        <v>0</v>
      </c>
      <c r="BF106" s="119" t="str">
        <f t="shared" si="62"/>
        <v/>
      </c>
      <c r="BG106" s="66">
        <f>+IF($W106="","",ROUND(IF($B106&gt;Parámetros!$D$107,'Tablas Servicio'!BE106+('Tablas Servicio'!BG105-'Tablas Servicio'!BE105),BE106/(1-IF(B106&lt;=10,Parámetros!$D$100,0))),2))</f>
        <v>0</v>
      </c>
      <c r="BH106" s="66">
        <f t="shared" si="63"/>
        <v>0</v>
      </c>
      <c r="BI106" s="66">
        <f t="shared" si="64"/>
        <v>0</v>
      </c>
      <c r="BJ106" s="66">
        <f>+IF($W106="","",ROUND((BG106*Parámetros!$G$85),2))</f>
        <v>0</v>
      </c>
      <c r="BK106" s="66">
        <f>+IF($W106="","",ROUND((BG106*(Parámetros!$G$86)),2))</f>
        <v>0</v>
      </c>
      <c r="BL106" s="66">
        <f t="shared" si="65"/>
        <v>0</v>
      </c>
      <c r="BM106" t="str">
        <f t="shared" si="127"/>
        <v>00061</v>
      </c>
      <c r="BN106" t="str">
        <f t="shared" si="128"/>
        <v>Gastos de Entierro</v>
      </c>
      <c r="BO106" s="118">
        <f t="shared" si="129"/>
        <v>0</v>
      </c>
      <c r="BP106" s="118" t="str">
        <f t="shared" si="130"/>
        <v>A</v>
      </c>
      <c r="BQ106" s="119" t="str">
        <f>+IF(OR($W106="",BO106=0),"",ROUND((VLOOKUP(ROUNDDOWN($D106-1/frec,0),cob_adi,BB$40,FALSE)*(1+i/frec)^-0.5*(1+Parámetros!$D$103)*(1+rec_fracc)/frec),6))</f>
        <v/>
      </c>
      <c r="BR106" s="66">
        <f t="shared" si="70"/>
        <v>0</v>
      </c>
      <c r="BS106" s="119" t="str">
        <f t="shared" si="71"/>
        <v/>
      </c>
      <c r="BT106" s="66">
        <f>+IF($W106="","",ROUND(IF($B106&gt;Parámetros!$D$107,'Tablas Servicio'!BR106+('Tablas Servicio'!BT105-'Tablas Servicio'!BR105),BR106/(1-IF(B106&lt;=10,Parámetros!$D$100,0))),2))</f>
        <v>0</v>
      </c>
      <c r="BU106" s="66">
        <f t="shared" si="72"/>
        <v>0</v>
      </c>
      <c r="BV106" s="66">
        <f t="shared" si="72"/>
        <v>0</v>
      </c>
      <c r="BW106" s="66">
        <f>+IF($W106="","",ROUND((BT106*Parámetros!$G$85),2))</f>
        <v>0</v>
      </c>
      <c r="BX106" s="66">
        <f>+IF($W106="","",ROUND((BT106*(Parámetros!$G$86)),2))</f>
        <v>0</v>
      </c>
      <c r="BY106" s="66">
        <f t="shared" si="73"/>
        <v>0</v>
      </c>
      <c r="BZ106" t="str">
        <f t="shared" si="131"/>
        <v>00062</v>
      </c>
      <c r="CA106" t="str">
        <f t="shared" si="132"/>
        <v>Gastos médicos por accidente</v>
      </c>
      <c r="CB106" s="118">
        <f t="shared" si="133"/>
        <v>0</v>
      </c>
      <c r="CC106" s="118" t="str">
        <f t="shared" si="134"/>
        <v>A</v>
      </c>
      <c r="CD106" s="119" t="str">
        <f t="shared" si="78"/>
        <v/>
      </c>
      <c r="CE106" s="66">
        <f>+IF($W106="","",ROUND((VLOOKUP(ROUNDDOWN($D106-1/frec,0),cob_adi,BO$40,FALSE)*(1+i/frec)^-0.5*(1+Parámetros!$D$103)*(1+rec_fracc)/frec*'TABLAS ADI'!$BC$17),2))</f>
        <v>0</v>
      </c>
      <c r="CF106" s="119" t="str">
        <f t="shared" si="79"/>
        <v/>
      </c>
      <c r="CG106" s="66">
        <f>+IF($W106="","",ROUND(IF($B106&gt;Parámetros!$D$107,'Tablas Servicio'!CE106+('Tablas Servicio'!CG105-'Tablas Servicio'!CE105),CE106/(1-IF(B106&lt;=10,Parámetros!$D$100,0))),2))</f>
        <v>0</v>
      </c>
      <c r="CH106" s="66">
        <f t="shared" si="80"/>
        <v>0</v>
      </c>
      <c r="CI106" s="66">
        <f t="shared" si="80"/>
        <v>0</v>
      </c>
      <c r="CJ106" s="66">
        <f>+IF($W106="","",ROUND((CG106*Parámetros!$G$85),2))</f>
        <v>0</v>
      </c>
      <c r="CK106" s="66">
        <f>+IF($W106="","",ROUND((CG106*(Parámetros!$G$86)),2))</f>
        <v>0</v>
      </c>
      <c r="CL106" s="66">
        <f t="shared" si="81"/>
        <v>0</v>
      </c>
      <c r="CM106" t="str">
        <f t="shared" si="135"/>
        <v>00063</v>
      </c>
      <c r="CN106" s="118" t="str">
        <f t="shared" si="136"/>
        <v>Renta Diaria por Hospitalización</v>
      </c>
      <c r="CO106" s="118">
        <f t="shared" si="137"/>
        <v>0</v>
      </c>
      <c r="CP106" s="118" t="str">
        <f t="shared" si="138"/>
        <v>A</v>
      </c>
      <c r="CQ106" s="119" t="str">
        <f t="shared" si="86"/>
        <v/>
      </c>
      <c r="CR106" s="66">
        <f>+IF($W106="","",ROUND((VLOOKUP(Parámetros!$F$51,'COBERTURAS ADICIONALES'!$S$4:$T$32,2,FALSE)*(1+i/frec)^-0.5*(1+Parámetros!$D$103)*(1+rec_fracc)/frec*$CO$42),2))</f>
        <v>0</v>
      </c>
      <c r="CS106" s="119" t="str">
        <f t="shared" si="87"/>
        <v/>
      </c>
      <c r="CT106" s="66">
        <f>+IF($W106="","",ROUND(IF($B106&gt;Parámetros!$D$107,'Tablas Servicio'!CR106+('Tablas Servicio'!CT105-'Tablas Servicio'!CR105),CR106/(1-IF(B106&lt;=10,Parámetros!$D$100,0))),2))</f>
        <v>0</v>
      </c>
      <c r="CU106" s="66">
        <f t="shared" si="88"/>
        <v>0</v>
      </c>
      <c r="CV106" s="66">
        <f t="shared" si="88"/>
        <v>0</v>
      </c>
      <c r="CW106" s="66">
        <f>+IF($W106="","",ROUND((CT106*Parámetros!$G$85),2))</f>
        <v>0</v>
      </c>
      <c r="CX106" s="66">
        <f>+IF($W106="","",ROUND((CT106*(Parámetros!$G$86)),2))</f>
        <v>0</v>
      </c>
      <c r="CY106" s="66">
        <f t="shared" si="89"/>
        <v>0</v>
      </c>
      <c r="CZ106" t="str">
        <f t="shared" si="139"/>
        <v>00064</v>
      </c>
      <c r="DA106" s="118" t="str">
        <f t="shared" si="140"/>
        <v>Enfermedades Graves</v>
      </c>
      <c r="DB106" s="118">
        <f t="shared" si="141"/>
        <v>0</v>
      </c>
      <c r="DC106" s="118" t="str">
        <f t="shared" si="142"/>
        <v>A</v>
      </c>
      <c r="DD106" s="121" t="str">
        <f>+IF(OR($W106="",DB106=0),"",ROUND((VLOOKUP(ROUNDDOWN($D106-1/frec,0),cob_adi,CO$40,FALSE)*(1+i/frec)^-0.5*(1+Parámetros!$D$103)*(1+rec_fracc)/frec),6))</f>
        <v/>
      </c>
      <c r="DE106" s="66">
        <f t="shared" si="94"/>
        <v>0</v>
      </c>
      <c r="DF106" s="119" t="str">
        <f t="shared" si="95"/>
        <v/>
      </c>
      <c r="DG106" s="66">
        <f>+IF($W106="","",ROUND(IF($B106&gt;Parámetros!$D$107,'Tablas Servicio'!DE106+('Tablas Servicio'!DG105-'Tablas Servicio'!DE105),DE106/(1-IF(B106&lt;=10,Parámetros!$D$100,0))),2))</f>
        <v>0</v>
      </c>
      <c r="DH106" s="66">
        <f t="shared" si="96"/>
        <v>0</v>
      </c>
      <c r="DI106" s="66">
        <f t="shared" si="96"/>
        <v>0</v>
      </c>
      <c r="DJ106" s="66">
        <f>+IF($W106="","",ROUND((DG106*Parámetros!$G$85),2))</f>
        <v>0</v>
      </c>
      <c r="DK106" s="66">
        <f>+IF($W106="","",ROUND((DG106*(Parámetros!$G$86)),2))</f>
        <v>0</v>
      </c>
      <c r="DL106" s="66">
        <f t="shared" si="97"/>
        <v>0</v>
      </c>
      <c r="DM106" t="str">
        <f t="shared" si="143"/>
        <v>00065</v>
      </c>
      <c r="DN106" s="118" t="str">
        <f t="shared" si="144"/>
        <v>Exención pago de primas</v>
      </c>
      <c r="DO106" s="118">
        <f t="shared" si="145"/>
        <v>0</v>
      </c>
      <c r="DP106" s="118" t="str">
        <f t="shared" si="146"/>
        <v>A</v>
      </c>
      <c r="DQ106" s="122" t="str">
        <f>+IF(OR($W106="",DO106=0),"",ROUND((VLOOKUP(ROUNDDOWN($D106-1/frec,0),cob_adi,DB$40,FALSE)*(1+i/frec)^-0.5*(1+Parámetros!$D$103)*(1+rec_fracc)/frec),6))</f>
        <v/>
      </c>
      <c r="DR106" s="66">
        <f t="shared" si="102"/>
        <v>0</v>
      </c>
      <c r="DS106" s="68" t="str">
        <f t="shared" si="103"/>
        <v/>
      </c>
      <c r="DT106" s="66">
        <f>+IF($W106="","",ROUND(IF($B106&gt;Parámetros!$D$107,'Tablas Servicio'!DR106+('Tablas Servicio'!DT105-'Tablas Servicio'!DR105),DR106/(1-IF(B106&lt;=10,Parámetros!$D$100,0))),2))</f>
        <v>0</v>
      </c>
      <c r="DU106" s="66">
        <f t="shared" si="104"/>
        <v>0</v>
      </c>
      <c r="DV106" s="66">
        <f t="shared" si="104"/>
        <v>0</v>
      </c>
      <c r="DW106" s="66">
        <f>+IF($W106="","",ROUND((DT106*Parámetros!$G$85),2))</f>
        <v>0</v>
      </c>
      <c r="DX106" s="66">
        <f>+IF($W106="","",ROUND((DT106*(Parámetros!$G$86)),2))</f>
        <v>0</v>
      </c>
      <c r="DY106" s="66">
        <f t="shared" si="105"/>
        <v>0</v>
      </c>
      <c r="DZ106" t="str">
        <f t="shared" si="149"/>
        <v>00066</v>
      </c>
      <c r="EA106" s="118" t="str">
        <f t="shared" si="149"/>
        <v>Enfermedad terminal</v>
      </c>
      <c r="EB106" s="118">
        <f>+IF($W106="","",ROUND(IF(Parámetros!$D$25='TABLAS MORT'!$V$33,EB105,Z106/2),0))</f>
        <v>50000</v>
      </c>
      <c r="EC106" s="118" t="str">
        <f t="shared" si="149"/>
        <v>A</v>
      </c>
      <c r="ED106" s="122">
        <f>+IF(OR($W106="",EB106=0),"",ROUND((VLOOKUP(ROUNDDOWN($D106-1/frec,0),cob_adi,DO$40,FALSE)*(1+i/frec)^-0.5*(1+Parámetros!$D$103)*(1+rec_fracc)/frec),6))</f>
        <v>1.2E-5</v>
      </c>
      <c r="EE106" s="66">
        <f t="shared" si="107"/>
        <v>0.6</v>
      </c>
      <c r="EF106" s="68">
        <f t="shared" si="108"/>
        <v>1.4E-5</v>
      </c>
      <c r="EG106" s="66">
        <f>+IF($W106="","",ROUND(IF($B106&gt;Parámetros!$D$107,'Tablas Servicio'!EE106+('Tablas Servicio'!EG105-'Tablas Servicio'!EE105),EE106/(1-IF(B106&lt;=10,Parámetros!$D$100,0))),2))</f>
        <v>0.68</v>
      </c>
      <c r="EH106" s="66">
        <f t="shared" si="109"/>
        <v>0</v>
      </c>
      <c r="EI106" s="66">
        <f t="shared" si="109"/>
        <v>0</v>
      </c>
      <c r="EJ106" s="66">
        <f>+IF($W106="","",ROUND((EG106*Parámetros!$G$85),2))</f>
        <v>0.02</v>
      </c>
      <c r="EK106" s="66">
        <f>+IF($W106="","",ROUND((EG106*(Parámetros!$G$86)),2))</f>
        <v>0</v>
      </c>
      <c r="EL106" s="66">
        <f t="shared" si="110"/>
        <v>0.7</v>
      </c>
    </row>
    <row r="107" spans="1:142" x14ac:dyDescent="0.25">
      <c r="A107">
        <f>+IF($C107="","",ROUND(VLOOKUP('Tablas Servicio'!B107,Parámetros!$H$100:$J$159,IF(Parámetros!$E$16="F",2,3),FALSE),2))</f>
        <v>150</v>
      </c>
      <c r="B107">
        <f t="shared" si="150"/>
        <v>6</v>
      </c>
      <c r="C107" s="57">
        <f>+IF(D107="","",'Tablas Servicio'!C106+1)</f>
        <v>66</v>
      </c>
      <c r="D107" s="56">
        <f>+IF(D106&lt;edadmaxtabla,D106+1/Parámetros!$E$25,"")</f>
        <v>45.520000000000159</v>
      </c>
      <c r="E107" s="57">
        <f t="shared" ref="E107:E170" si="160">+IF(D107="","",ROUNDDOWN(D107,0))</f>
        <v>45</v>
      </c>
      <c r="F107" s="59">
        <f t="shared" ref="F107:F170" si="161">+Z107</f>
        <v>100000</v>
      </c>
      <c r="G107" s="66">
        <f t="shared" si="151"/>
        <v>32.72</v>
      </c>
      <c r="H107" s="66">
        <f t="shared" si="152"/>
        <v>34.020000000000003</v>
      </c>
      <c r="I107" s="66">
        <f t="shared" si="112"/>
        <v>52.83</v>
      </c>
      <c r="J107" s="66">
        <f t="shared" si="153"/>
        <v>1.1400000000000001</v>
      </c>
      <c r="K107" s="66">
        <f t="shared" si="154"/>
        <v>0.16</v>
      </c>
      <c r="L107" s="66">
        <f t="shared" si="155"/>
        <v>0</v>
      </c>
      <c r="M107" s="66">
        <f t="shared" si="156"/>
        <v>0</v>
      </c>
      <c r="N107" s="66">
        <f>+IF(C107="","",ROUND(Parámetros!$D$23,2))</f>
        <v>94</v>
      </c>
      <c r="O107" s="66">
        <f t="shared" si="157"/>
        <v>16.400000000000002</v>
      </c>
      <c r="P107" s="66">
        <f>+IF($C107="","",ROUND(IF(B107&gt;Parámetros!$D$117,0,N107*Parámetros!$D$116-G107*Parámetros!$D$100),2))</f>
        <v>7.15</v>
      </c>
      <c r="Q107" s="75">
        <f t="shared" si="113"/>
        <v>3.4841075794621035E-2</v>
      </c>
      <c r="R107" s="75">
        <f t="shared" si="114"/>
        <v>4.8899755501222494E-3</v>
      </c>
      <c r="S107" s="117">
        <f>+IF($C107="","",ROUND((S106+I107)*(1+Parámetros!$D$91),2))</f>
        <v>4190.21</v>
      </c>
      <c r="T107" s="117">
        <f>+IF($C107="","",ROUND(S107*VLOOKUP(B107,Parámetros!$C$30:$D$39,2,TRUE),2))</f>
        <v>2514.13</v>
      </c>
      <c r="U107" s="117">
        <f>+IF($C107="","",ROUND((U106+I107)*(1+Parámetros!$D$92),2))</f>
        <v>4250.87</v>
      </c>
      <c r="V107" s="117">
        <f>+IF($C107="","",ROUND(U107*VLOOKUP(B107,Parámetros!$C$30:$D$39,2,TRUE),2))</f>
        <v>2550.52</v>
      </c>
      <c r="W107" s="57">
        <f t="shared" si="115"/>
        <v>66</v>
      </c>
      <c r="X107" t="str">
        <f t="shared" si="116"/>
        <v>00058</v>
      </c>
      <c r="Y107" t="str">
        <f t="shared" si="117"/>
        <v>MUERTE POR CUALQUIER CAUSA</v>
      </c>
      <c r="Z107" s="118">
        <f>+IF($W107="","",ROUND(IF(Parámetros!$D$25='TABLAS MORT'!$V$33,Z106,Parámetros!$D$21-'Tablas Servicio'!T106),0))</f>
        <v>100000</v>
      </c>
      <c r="AA107" s="118" t="str">
        <f t="shared" si="118"/>
        <v>P</v>
      </c>
      <c r="AB107" s="119">
        <f>+IF(W107="","",ROUND((VLOOKUP(ROUNDDOWN($D107-1/frec,0),qx_tabla,2,FALSE)*(1+i/frec)^-0.5*(1+Parámetros!$D$103)*(1+rec_fracc)/frec),6))</f>
        <v>1.5799999999999999E-4</v>
      </c>
      <c r="AC107" s="66">
        <f t="shared" ref="AC107:AC170" si="162">+IF($W107="","",ROUND((AB107*Z107),2))</f>
        <v>15.8</v>
      </c>
      <c r="AD107" s="119">
        <f t="shared" si="158"/>
        <v>3.2000000000000003E-4</v>
      </c>
      <c r="AE107" s="66">
        <f>+IF($W107="","",ROUND(IF($B107&gt;Parámetros!$D$107,'Tablas Servicio'!AC107+('Tablas Servicio'!AG106-'Tablas Servicio'!AC106),AC107/(1-IF(B107&lt;=10,Parámetros!$D$104,Parámetros!$D$105))),2))</f>
        <v>32.69</v>
      </c>
      <c r="AF107" s="66">
        <f>+IF($W107="","",ROUND(IF($B107&gt;Parámetros!$D$107,'Tablas Servicio'!AC107+('Tablas Servicio'!AG106-'Tablas Servicio'!AC106),(AC107+$A106/frec)/(1-IF(B107&lt;=Parámetros!$D$117,Parámetros!$D$100,0))),2))</f>
        <v>32.04</v>
      </c>
      <c r="AG107" s="66">
        <f t="shared" ref="AG107:AG170" si="163">+IF($W107="","",MIN(AE107,AF107))</f>
        <v>32.04</v>
      </c>
      <c r="AH107" s="66">
        <f t="shared" ref="AH107:AH170" si="164">+IF($W107="","",0)</f>
        <v>0</v>
      </c>
      <c r="AI107" s="66">
        <f t="shared" ref="AI107:AI170" si="165">IF($W107="","",0)</f>
        <v>0</v>
      </c>
      <c r="AJ107" s="66">
        <f>+IF($W107="","",ROUND((AG107*Parámetros!$G$85),2))</f>
        <v>1.1200000000000001</v>
      </c>
      <c r="AK107" s="66">
        <f>+IF($W107="","",ROUND((AG107*(Parámetros!$G$86)),2))</f>
        <v>0.16</v>
      </c>
      <c r="AL107" s="66">
        <f t="shared" si="159"/>
        <v>33.32</v>
      </c>
      <c r="AM107" t="str">
        <f t="shared" si="119"/>
        <v>00059</v>
      </c>
      <c r="AN107" t="str">
        <f t="shared" si="120"/>
        <v>Incapacidad Total y Permanente</v>
      </c>
      <c r="AO107" s="118">
        <f t="shared" si="121"/>
        <v>0</v>
      </c>
      <c r="AP107" s="118" t="str">
        <f t="shared" si="122"/>
        <v>A</v>
      </c>
      <c r="AQ107" s="119" t="str">
        <f>+IF(OR($W107="",AO107=0),"",ROUND((VLOOKUP(ROUNDDOWN($D107-1/frec,0),cob_adi,Z$40,FALSE)*(1+i/frec)^-0.5*(1+Parámetros!$D$103)*(1+rec_fracc)/frec),6))</f>
        <v/>
      </c>
      <c r="AR107" s="66">
        <f t="shared" ref="AR107:AR170" si="166">+IF(AO107=0,0,IF($W107="","",ROUND((AQ107*AO107),2)))</f>
        <v>0</v>
      </c>
      <c r="AS107" s="119" t="str">
        <f t="shared" ref="AS107:AS170" si="167">+IF(OR($W107="",AO107=0),"",ROUND((AT107/AO107),6))</f>
        <v/>
      </c>
      <c r="AT107" s="66">
        <f>+IF($W107="","",ROUND(IF($B107&gt;Parámetros!$D$107,'Tablas Servicio'!AR107+('Tablas Servicio'!AT106-'Tablas Servicio'!AR106),AR107/(1-IF(B107&lt;=10,Parámetros!$D$100,0))),2))</f>
        <v>0</v>
      </c>
      <c r="AU107" s="66">
        <f t="shared" ref="AU107:AV170" si="168">+IF($W107="","",0)</f>
        <v>0</v>
      </c>
      <c r="AV107" s="66">
        <f t="shared" si="168"/>
        <v>0</v>
      </c>
      <c r="AW107" s="66">
        <f>+IF($W107="","",ROUND((AT107*Parámetros!$G$85),2))</f>
        <v>0</v>
      </c>
      <c r="AX107" s="66">
        <f>+IF($W107="","",ROUND((AT107*(Parámetros!$G$86)),2))</f>
        <v>0</v>
      </c>
      <c r="AY107" s="66">
        <f t="shared" ref="AY107:AY170" si="169">+IF($W107="","",ROUND((AT107+AW107+AX107),2))</f>
        <v>0</v>
      </c>
      <c r="AZ107" t="str">
        <f t="shared" si="123"/>
        <v>00060</v>
      </c>
      <c r="BA107" t="str">
        <f t="shared" si="124"/>
        <v>Muerte Accidental</v>
      </c>
      <c r="BB107" s="118">
        <f t="shared" si="125"/>
        <v>0</v>
      </c>
      <c r="BC107" s="118" t="str">
        <f t="shared" si="126"/>
        <v>A</v>
      </c>
      <c r="BD107" s="119" t="str">
        <f>+IF(OR($W107="",BB107=0),"",ROUND((VLOOKUP(ROUNDDOWN($D107-1/frec,0),cob_adi,AO$40,FALSE)*(1+i/frec)^-0.5*(1+Parámetros!$D$103)*(1+rec_fracc)/frec),6))</f>
        <v/>
      </c>
      <c r="BE107" s="66">
        <f t="shared" ref="BE107:BE170" si="170">+IF(BB107=0,0,IF($W107="","",ROUND(((BD107*BB107)),2)))</f>
        <v>0</v>
      </c>
      <c r="BF107" s="119" t="str">
        <f t="shared" ref="BF107:BF170" si="171">+IF(OR($W107="",BB107=0),"",ROUND((BG107/BB107),6))</f>
        <v/>
      </c>
      <c r="BG107" s="66">
        <f>+IF($W107="","",ROUND(IF($B107&gt;Parámetros!$D$107,'Tablas Servicio'!BE107+('Tablas Servicio'!BG106-'Tablas Servicio'!BE106),BE107/(1-IF(B107&lt;=10,Parámetros!$D$100,0))),2))</f>
        <v>0</v>
      </c>
      <c r="BH107" s="66">
        <f t="shared" ref="BH107:BH170" si="172">IF($W107="","",0)</f>
        <v>0</v>
      </c>
      <c r="BI107" s="66">
        <f t="shared" ref="BI107:BI170" si="173">+IF($W107="","",0)</f>
        <v>0</v>
      </c>
      <c r="BJ107" s="66">
        <f>+IF($W107="","",ROUND((BG107*Parámetros!$G$85),2))</f>
        <v>0</v>
      </c>
      <c r="BK107" s="66">
        <f>+IF($W107="","",ROUND((BG107*(Parámetros!$G$86)),2))</f>
        <v>0</v>
      </c>
      <c r="BL107" s="66">
        <f t="shared" ref="BL107:BL170" si="174">+IF($W107="","",ROUND((BG107+BJ107+BK107),2))</f>
        <v>0</v>
      </c>
      <c r="BM107" t="str">
        <f t="shared" si="127"/>
        <v>00061</v>
      </c>
      <c r="BN107" t="str">
        <f t="shared" si="128"/>
        <v>Gastos de Entierro</v>
      </c>
      <c r="BO107" s="118">
        <f t="shared" si="129"/>
        <v>0</v>
      </c>
      <c r="BP107" s="118" t="str">
        <f t="shared" si="130"/>
        <v>A</v>
      </c>
      <c r="BQ107" s="119" t="str">
        <f>+IF(OR($W107="",BO107=0),"",ROUND((VLOOKUP(ROUNDDOWN($D107-1/frec,0),cob_adi,BB$40,FALSE)*(1+i/frec)^-0.5*(1+Parámetros!$D$103)*(1+rec_fracc)/frec),6))</f>
        <v/>
      </c>
      <c r="BR107" s="66">
        <f t="shared" ref="BR107:BR170" si="175">+IF(BO107=0,0,IF($W107="","",ROUND(((BQ107*BO107)),2)))</f>
        <v>0</v>
      </c>
      <c r="BS107" s="119" t="str">
        <f t="shared" ref="BS107:BS170" si="176">+IF(OR($W107="",BO107=0),"",ROUND((BT107/BO107),6))</f>
        <v/>
      </c>
      <c r="BT107" s="66">
        <f>+IF($W107="","",ROUND(IF($B107&gt;Parámetros!$D$107,'Tablas Servicio'!BR107+('Tablas Servicio'!BT106-'Tablas Servicio'!BR106),BR107/(1-IF(B107&lt;=10,Parámetros!$D$100,0))),2))</f>
        <v>0</v>
      </c>
      <c r="BU107" s="66">
        <f t="shared" ref="BU107:BV170" si="177">+IF($W107="","",0)</f>
        <v>0</v>
      </c>
      <c r="BV107" s="66">
        <f t="shared" si="177"/>
        <v>0</v>
      </c>
      <c r="BW107" s="66">
        <f>+IF($W107="","",ROUND((BT107*Parámetros!$G$85),2))</f>
        <v>0</v>
      </c>
      <c r="BX107" s="66">
        <f>+IF($W107="","",ROUND((BT107*(Parámetros!$G$86)),2))</f>
        <v>0</v>
      </c>
      <c r="BY107" s="66">
        <f t="shared" ref="BY107:BY170" si="178">+IF($W107="","",ROUND((BT107+BW107+BX107),2))</f>
        <v>0</v>
      </c>
      <c r="BZ107" t="str">
        <f t="shared" si="131"/>
        <v>00062</v>
      </c>
      <c r="CA107" t="str">
        <f t="shared" si="132"/>
        <v>Gastos médicos por accidente</v>
      </c>
      <c r="CB107" s="118">
        <f t="shared" si="133"/>
        <v>0</v>
      </c>
      <c r="CC107" s="118" t="str">
        <f t="shared" si="134"/>
        <v>A</v>
      </c>
      <c r="CD107" s="119" t="str">
        <f t="shared" ref="CD107:CD170" si="179">+IF(OR($W107="",CB107=0),"",ROUND((CE107/CB107),6))</f>
        <v/>
      </c>
      <c r="CE107" s="66">
        <f>+IF($W107="","",ROUND((VLOOKUP(ROUNDDOWN($D107-1/frec,0),cob_adi,BO$40,FALSE)*(1+i/frec)^-0.5*(1+Parámetros!$D$103)*(1+rec_fracc)/frec*'TABLAS ADI'!$BC$17),2))</f>
        <v>0</v>
      </c>
      <c r="CF107" s="119" t="str">
        <f t="shared" ref="CF107:CF170" si="180">+IF(OR($W107="",CB107=0),"",ROUND((CG107/CB107),6))</f>
        <v/>
      </c>
      <c r="CG107" s="66">
        <f>+IF($W107="","",ROUND(IF($B107&gt;Parámetros!$D$107,'Tablas Servicio'!CE107+('Tablas Servicio'!CG106-'Tablas Servicio'!CE106),CE107/(1-IF(B107&lt;=10,Parámetros!$D$100,0))),2))</f>
        <v>0</v>
      </c>
      <c r="CH107" s="66">
        <f t="shared" ref="CH107:CI170" si="181">+IF($W107="","",0)</f>
        <v>0</v>
      </c>
      <c r="CI107" s="66">
        <f t="shared" si="181"/>
        <v>0</v>
      </c>
      <c r="CJ107" s="66">
        <f>+IF($W107="","",ROUND((CG107*Parámetros!$G$85),2))</f>
        <v>0</v>
      </c>
      <c r="CK107" s="66">
        <f>+IF($W107="","",ROUND((CG107*(Parámetros!$G$86)),2))</f>
        <v>0</v>
      </c>
      <c r="CL107" s="66">
        <f t="shared" ref="CL107:CL170" si="182">+IF($W107="","",ROUND((CG107+CJ107+CK107),2))</f>
        <v>0</v>
      </c>
      <c r="CM107" t="str">
        <f t="shared" si="135"/>
        <v>00063</v>
      </c>
      <c r="CN107" s="118" t="str">
        <f t="shared" si="136"/>
        <v>Renta Diaria por Hospitalización</v>
      </c>
      <c r="CO107" s="118">
        <f t="shared" si="137"/>
        <v>0</v>
      </c>
      <c r="CP107" s="118" t="str">
        <f t="shared" si="138"/>
        <v>A</v>
      </c>
      <c r="CQ107" s="119" t="str">
        <f t="shared" ref="CQ107:CQ170" si="183">+IF(OR($W107="",CO107=0),"",ROUND((CR107/CO107),6))</f>
        <v/>
      </c>
      <c r="CR107" s="66">
        <f>+IF($W107="","",ROUND((VLOOKUP(Parámetros!$F$51,'COBERTURAS ADICIONALES'!$S$4:$T$32,2,FALSE)*(1+i/frec)^-0.5*(1+Parámetros!$D$103)*(1+rec_fracc)/frec*$CO$42),2))</f>
        <v>0</v>
      </c>
      <c r="CS107" s="119" t="str">
        <f t="shared" ref="CS107:CS170" si="184">+IF(OR($W107="",CO107=0),"",ROUND((CT107/CO107),6))</f>
        <v/>
      </c>
      <c r="CT107" s="66">
        <f>+IF($W107="","",ROUND(IF($B107&gt;Parámetros!$D$107,'Tablas Servicio'!CR107+('Tablas Servicio'!CT106-'Tablas Servicio'!CR106),CR107/(1-IF(B107&lt;=10,Parámetros!$D$100,0))),2))</f>
        <v>0</v>
      </c>
      <c r="CU107" s="66">
        <f t="shared" ref="CU107:CV170" si="185">+IF($W107="","",0)</f>
        <v>0</v>
      </c>
      <c r="CV107" s="66">
        <f t="shared" si="185"/>
        <v>0</v>
      </c>
      <c r="CW107" s="66">
        <f>+IF($W107="","",ROUND((CT107*Parámetros!$G$85),2))</f>
        <v>0</v>
      </c>
      <c r="CX107" s="66">
        <f>+IF($W107="","",ROUND((CT107*(Parámetros!$G$86)),2))</f>
        <v>0</v>
      </c>
      <c r="CY107" s="66">
        <f t="shared" ref="CY107:CY170" si="186">+IF($W107="","",ROUND((CT107+CW107+CX107),2))</f>
        <v>0</v>
      </c>
      <c r="CZ107" t="str">
        <f t="shared" si="139"/>
        <v>00064</v>
      </c>
      <c r="DA107" s="118" t="str">
        <f t="shared" si="140"/>
        <v>Enfermedades Graves</v>
      </c>
      <c r="DB107" s="118">
        <f t="shared" si="141"/>
        <v>0</v>
      </c>
      <c r="DC107" s="118" t="str">
        <f t="shared" si="142"/>
        <v>A</v>
      </c>
      <c r="DD107" s="121" t="str">
        <f>+IF(OR($W107="",DB107=0),"",ROUND((VLOOKUP(ROUNDDOWN($D107-1/frec,0),cob_adi,CO$40,FALSE)*(1+i/frec)^-0.5*(1+Parámetros!$D$103)*(1+rec_fracc)/frec),6))</f>
        <v/>
      </c>
      <c r="DE107" s="66">
        <f t="shared" ref="DE107:DE170" si="187">+IF(DB107=0,0,IF($W107="","",ROUND(((DD107*DB107)),2)))</f>
        <v>0</v>
      </c>
      <c r="DF107" s="119" t="str">
        <f t="shared" ref="DF107:DF170" si="188">+IF(OR($W107="",DB107=0),"",ROUND((DG107/DB107),6))</f>
        <v/>
      </c>
      <c r="DG107" s="66">
        <f>+IF($W107="","",ROUND(IF($B107&gt;Parámetros!$D$107,'Tablas Servicio'!DE107+('Tablas Servicio'!DG106-'Tablas Servicio'!DE106),DE107/(1-IF(B107&lt;=10,Parámetros!$D$100,0))),2))</f>
        <v>0</v>
      </c>
      <c r="DH107" s="66">
        <f t="shared" ref="DH107:DI170" si="189">+IF($W107="","",0)</f>
        <v>0</v>
      </c>
      <c r="DI107" s="66">
        <f t="shared" si="189"/>
        <v>0</v>
      </c>
      <c r="DJ107" s="66">
        <f>+IF($W107="","",ROUND((DG107*Parámetros!$G$85),2))</f>
        <v>0</v>
      </c>
      <c r="DK107" s="66">
        <f>+IF($W107="","",ROUND((DG107*(Parámetros!$G$86)),2))</f>
        <v>0</v>
      </c>
      <c r="DL107" s="66">
        <f t="shared" ref="DL107:DL170" si="190">+IF($W107="","",ROUND((DG107+DJ107+DK107),2))</f>
        <v>0</v>
      </c>
      <c r="DM107" t="str">
        <f t="shared" si="143"/>
        <v>00065</v>
      </c>
      <c r="DN107" s="118" t="str">
        <f t="shared" si="144"/>
        <v>Exención pago de primas</v>
      </c>
      <c r="DO107" s="118">
        <f t="shared" si="145"/>
        <v>0</v>
      </c>
      <c r="DP107" s="118" t="str">
        <f t="shared" si="146"/>
        <v>A</v>
      </c>
      <c r="DQ107" s="122" t="str">
        <f>+IF(OR($W107="",DO107=0),"",ROUND((VLOOKUP(ROUNDDOWN($D107-1/frec,0),cob_adi,DB$40,FALSE)*(1+i/frec)^-0.5*(1+Parámetros!$D$103)*(1+rec_fracc)/frec),6))</f>
        <v/>
      </c>
      <c r="DR107" s="66">
        <f t="shared" ref="DR107:DR170" si="191">+IF(DO107=0,0,IF($W107="","",ROUND(((DQ107*DO107)),2)))</f>
        <v>0</v>
      </c>
      <c r="DS107" s="68" t="str">
        <f t="shared" ref="DS107:DS170" si="192">+IF(OR($W107="",DO107=0),"",ROUND((DT107/DO107),6))</f>
        <v/>
      </c>
      <c r="DT107" s="66">
        <f>+IF($W107="","",ROUND(IF($B107&gt;Parámetros!$D$107,'Tablas Servicio'!DR107+('Tablas Servicio'!DT106-'Tablas Servicio'!DR106),DR107/(1-IF(B107&lt;=10,Parámetros!$D$100,0))),2))</f>
        <v>0</v>
      </c>
      <c r="DU107" s="66">
        <f t="shared" ref="DU107:DV170" si="193">+IF($W107="","",0)</f>
        <v>0</v>
      </c>
      <c r="DV107" s="66">
        <f t="shared" si="193"/>
        <v>0</v>
      </c>
      <c r="DW107" s="66">
        <f>+IF($W107="","",ROUND((DT107*Parámetros!$G$85),2))</f>
        <v>0</v>
      </c>
      <c r="DX107" s="66">
        <f>+IF($W107="","",ROUND((DT107*(Parámetros!$G$86)),2))</f>
        <v>0</v>
      </c>
      <c r="DY107" s="66">
        <f t="shared" ref="DY107:DY170" si="194">+IF($W107="","",ROUND((DT107+DW107+DX107),2))</f>
        <v>0</v>
      </c>
      <c r="DZ107" t="str">
        <f t="shared" ref="DZ107:EC122" si="195">+IF($W107="","",DZ106)</f>
        <v>00066</v>
      </c>
      <c r="EA107" s="118" t="str">
        <f t="shared" si="195"/>
        <v>Enfermedad terminal</v>
      </c>
      <c r="EB107" s="118">
        <f>+IF($W107="","",ROUND(IF(Parámetros!$D$25='TABLAS MORT'!$V$33,EB106,Z107/2),0))</f>
        <v>50000</v>
      </c>
      <c r="EC107" s="118" t="str">
        <f t="shared" si="195"/>
        <v>A</v>
      </c>
      <c r="ED107" s="122">
        <f>+IF(OR($W107="",EB107=0),"",ROUND((VLOOKUP(ROUNDDOWN($D107-1/frec,0),cob_adi,DO$40,FALSE)*(1+i/frec)^-0.5*(1+Parámetros!$D$103)*(1+rec_fracc)/frec),6))</f>
        <v>1.2E-5</v>
      </c>
      <c r="EE107" s="66">
        <f t="shared" ref="EE107:EE170" si="196">+IF(EB107=0,0,IF($W107="","",ROUND(((ED107*EB107)),2)))</f>
        <v>0.6</v>
      </c>
      <c r="EF107" s="68">
        <f t="shared" ref="EF107:EF170" si="197">+IF(OR($W107="",EB107=0),"",ROUND((EG107/EB107),6))</f>
        <v>1.4E-5</v>
      </c>
      <c r="EG107" s="66">
        <f>+IF($W107="","",ROUND(IF($B107&gt;Parámetros!$D$107,'Tablas Servicio'!EE107+('Tablas Servicio'!EG106-'Tablas Servicio'!EE106),EE107/(1-IF(B107&lt;=10,Parámetros!$D$100,0))),2))</f>
        <v>0.68</v>
      </c>
      <c r="EH107" s="66">
        <f t="shared" ref="EH107:EI170" si="198">+IF($W107="","",0)</f>
        <v>0</v>
      </c>
      <c r="EI107" s="66">
        <f t="shared" si="198"/>
        <v>0</v>
      </c>
      <c r="EJ107" s="66">
        <f>+IF($W107="","",ROUND((EG107*Parámetros!$G$85),2))</f>
        <v>0.02</v>
      </c>
      <c r="EK107" s="66">
        <f>+IF($W107="","",ROUND((EG107*(Parámetros!$G$86)),2))</f>
        <v>0</v>
      </c>
      <c r="EL107" s="66">
        <f t="shared" ref="EL107:EL170" si="199">+IF($W107="","",ROUND((EG107+EJ107+EK107),2))</f>
        <v>0.7</v>
      </c>
    </row>
    <row r="108" spans="1:142" x14ac:dyDescent="0.25">
      <c r="A108">
        <f>+IF($C108="","",ROUND(VLOOKUP('Tablas Servicio'!B108,Parámetros!$H$100:$J$159,IF(Parámetros!$E$16="F",2,3),FALSE),2))</f>
        <v>150</v>
      </c>
      <c r="B108">
        <f t="shared" si="150"/>
        <v>6</v>
      </c>
      <c r="C108" s="57">
        <f>+IF(D108="","",'Tablas Servicio'!C107+1)</f>
        <v>67</v>
      </c>
      <c r="D108" s="56">
        <f>+IF(D107&lt;edadmaxtabla,D107+1/Parámetros!$E$25,"")</f>
        <v>45.603333333333495</v>
      </c>
      <c r="E108" s="57">
        <f t="shared" si="160"/>
        <v>45</v>
      </c>
      <c r="F108" s="59">
        <f t="shared" si="161"/>
        <v>100000</v>
      </c>
      <c r="G108" s="66">
        <f t="shared" si="151"/>
        <v>32.72</v>
      </c>
      <c r="H108" s="66">
        <f t="shared" si="152"/>
        <v>34.020000000000003</v>
      </c>
      <c r="I108" s="66">
        <f t="shared" si="112"/>
        <v>52.83</v>
      </c>
      <c r="J108" s="66">
        <f t="shared" si="153"/>
        <v>1.1400000000000001</v>
      </c>
      <c r="K108" s="66">
        <f t="shared" si="154"/>
        <v>0.16</v>
      </c>
      <c r="L108" s="66">
        <f t="shared" si="155"/>
        <v>0</v>
      </c>
      <c r="M108" s="66">
        <f t="shared" si="156"/>
        <v>0</v>
      </c>
      <c r="N108" s="66">
        <f>+IF(C108="","",ROUND(Parámetros!$D$23,2))</f>
        <v>94</v>
      </c>
      <c r="O108" s="66">
        <f t="shared" si="157"/>
        <v>16.400000000000002</v>
      </c>
      <c r="P108" s="66">
        <f>+IF($C108="","",ROUND(IF(B108&gt;Parámetros!$D$117,0,N108*Parámetros!$D$116-G108*Parámetros!$D$100),2))</f>
        <v>7.15</v>
      </c>
      <c r="Q108" s="75">
        <f t="shared" si="113"/>
        <v>3.4841075794621035E-2</v>
      </c>
      <c r="R108" s="75">
        <f t="shared" si="114"/>
        <v>4.8899755501222494E-3</v>
      </c>
      <c r="S108" s="117">
        <f>+IF($C108="","",ROUND((S107+I108)*(1+Parámetros!$D$91),2))</f>
        <v>4255.08</v>
      </c>
      <c r="T108" s="117">
        <f>+IF($C108="","",ROUND(S108*VLOOKUP(B108,Parámetros!$C$30:$D$39,2,TRUE),2))</f>
        <v>2553.0500000000002</v>
      </c>
      <c r="U108" s="117">
        <f>+IF($C108="","",ROUND((U107+I108)*(1+Parámetros!$D$92),2))</f>
        <v>4317.6499999999996</v>
      </c>
      <c r="V108" s="117">
        <f>+IF($C108="","",ROUND(U108*VLOOKUP(B108,Parámetros!$C$30:$D$39,2,TRUE),2))</f>
        <v>2590.59</v>
      </c>
      <c r="W108" s="57">
        <f t="shared" si="115"/>
        <v>67</v>
      </c>
      <c r="X108" t="str">
        <f t="shared" si="116"/>
        <v>00058</v>
      </c>
      <c r="Y108" t="str">
        <f t="shared" si="117"/>
        <v>MUERTE POR CUALQUIER CAUSA</v>
      </c>
      <c r="Z108" s="118">
        <f>+IF($W108="","",ROUND(IF(Parámetros!$D$25='TABLAS MORT'!$V$33,Z107,Parámetros!$D$21-'Tablas Servicio'!T107),0))</f>
        <v>100000</v>
      </c>
      <c r="AA108" s="118" t="str">
        <f t="shared" si="118"/>
        <v>P</v>
      </c>
      <c r="AB108" s="119">
        <f>+IF(W108="","",ROUND((VLOOKUP(ROUNDDOWN($D108-1/frec,0),qx_tabla,2,FALSE)*(1+i/frec)^-0.5*(1+Parámetros!$D$103)*(1+rec_fracc)/frec),6))</f>
        <v>1.5799999999999999E-4</v>
      </c>
      <c r="AC108" s="66">
        <f t="shared" si="162"/>
        <v>15.8</v>
      </c>
      <c r="AD108" s="119">
        <f t="shared" si="158"/>
        <v>3.2000000000000003E-4</v>
      </c>
      <c r="AE108" s="66">
        <f>+IF($W108="","",ROUND(IF($B108&gt;Parámetros!$D$107,'Tablas Servicio'!AC108+('Tablas Servicio'!AG107-'Tablas Servicio'!AC107),AC108/(1-IF(B108&lt;=10,Parámetros!$D$104,Parámetros!$D$105))),2))</f>
        <v>32.69</v>
      </c>
      <c r="AF108" s="66">
        <f>+IF($W108="","",ROUND(IF($B108&gt;Parámetros!$D$107,'Tablas Servicio'!AC108+('Tablas Servicio'!AG107-'Tablas Servicio'!AC107),(AC108+$A107/frec)/(1-IF(B108&lt;=Parámetros!$D$117,Parámetros!$D$100,0))),2))</f>
        <v>32.04</v>
      </c>
      <c r="AG108" s="66">
        <f t="shared" si="163"/>
        <v>32.04</v>
      </c>
      <c r="AH108" s="66">
        <f t="shared" si="164"/>
        <v>0</v>
      </c>
      <c r="AI108" s="66">
        <f t="shared" si="165"/>
        <v>0</v>
      </c>
      <c r="AJ108" s="66">
        <f>+IF($W108="","",ROUND((AG108*Parámetros!$G$85),2))</f>
        <v>1.1200000000000001</v>
      </c>
      <c r="AK108" s="66">
        <f>+IF($W108="","",ROUND((AG108*(Parámetros!$G$86)),2))</f>
        <v>0.16</v>
      </c>
      <c r="AL108" s="66">
        <f t="shared" si="159"/>
        <v>33.32</v>
      </c>
      <c r="AM108" t="str">
        <f t="shared" si="119"/>
        <v>00059</v>
      </c>
      <c r="AN108" t="str">
        <f t="shared" si="120"/>
        <v>Incapacidad Total y Permanente</v>
      </c>
      <c r="AO108" s="118">
        <f t="shared" si="121"/>
        <v>0</v>
      </c>
      <c r="AP108" s="118" t="str">
        <f t="shared" si="122"/>
        <v>A</v>
      </c>
      <c r="AQ108" s="119" t="str">
        <f>+IF(OR($W108="",AO108=0),"",ROUND((VLOOKUP(ROUNDDOWN($D108-1/frec,0),cob_adi,Z$40,FALSE)*(1+i/frec)^-0.5*(1+Parámetros!$D$103)*(1+rec_fracc)/frec),6))</f>
        <v/>
      </c>
      <c r="AR108" s="66">
        <f t="shared" si="166"/>
        <v>0</v>
      </c>
      <c r="AS108" s="119" t="str">
        <f t="shared" si="167"/>
        <v/>
      </c>
      <c r="AT108" s="66">
        <f>+IF($W108="","",ROUND(IF($B108&gt;Parámetros!$D$107,'Tablas Servicio'!AR108+('Tablas Servicio'!AT107-'Tablas Servicio'!AR107),AR108/(1-IF(B108&lt;=10,Parámetros!$D$100,0))),2))</f>
        <v>0</v>
      </c>
      <c r="AU108" s="66">
        <f t="shared" si="168"/>
        <v>0</v>
      </c>
      <c r="AV108" s="66">
        <f t="shared" si="168"/>
        <v>0</v>
      </c>
      <c r="AW108" s="66">
        <f>+IF($W108="","",ROUND((AT108*Parámetros!$G$85),2))</f>
        <v>0</v>
      </c>
      <c r="AX108" s="66">
        <f>+IF($W108="","",ROUND((AT108*(Parámetros!$G$86)),2))</f>
        <v>0</v>
      </c>
      <c r="AY108" s="66">
        <f t="shared" si="169"/>
        <v>0</v>
      </c>
      <c r="AZ108" t="str">
        <f t="shared" si="123"/>
        <v>00060</v>
      </c>
      <c r="BA108" t="str">
        <f t="shared" si="124"/>
        <v>Muerte Accidental</v>
      </c>
      <c r="BB108" s="118">
        <f t="shared" si="125"/>
        <v>0</v>
      </c>
      <c r="BC108" s="118" t="str">
        <f t="shared" si="126"/>
        <v>A</v>
      </c>
      <c r="BD108" s="119" t="str">
        <f>+IF(OR($W108="",BB108=0),"",ROUND((VLOOKUP(ROUNDDOWN($D108-1/frec,0),cob_adi,AO$40,FALSE)*(1+i/frec)^-0.5*(1+Parámetros!$D$103)*(1+rec_fracc)/frec),6))</f>
        <v/>
      </c>
      <c r="BE108" s="66">
        <f t="shared" si="170"/>
        <v>0</v>
      </c>
      <c r="BF108" s="119" t="str">
        <f t="shared" si="171"/>
        <v/>
      </c>
      <c r="BG108" s="66">
        <f>+IF($W108="","",ROUND(IF($B108&gt;Parámetros!$D$107,'Tablas Servicio'!BE108+('Tablas Servicio'!BG107-'Tablas Servicio'!BE107),BE108/(1-IF(B108&lt;=10,Parámetros!$D$100,0))),2))</f>
        <v>0</v>
      </c>
      <c r="BH108" s="66">
        <f t="shared" si="172"/>
        <v>0</v>
      </c>
      <c r="BI108" s="66">
        <f t="shared" si="173"/>
        <v>0</v>
      </c>
      <c r="BJ108" s="66">
        <f>+IF($W108="","",ROUND((BG108*Parámetros!$G$85),2))</f>
        <v>0</v>
      </c>
      <c r="BK108" s="66">
        <f>+IF($W108="","",ROUND((BG108*(Parámetros!$G$86)),2))</f>
        <v>0</v>
      </c>
      <c r="BL108" s="66">
        <f t="shared" si="174"/>
        <v>0</v>
      </c>
      <c r="BM108" t="str">
        <f t="shared" si="127"/>
        <v>00061</v>
      </c>
      <c r="BN108" t="str">
        <f t="shared" si="128"/>
        <v>Gastos de Entierro</v>
      </c>
      <c r="BO108" s="118">
        <f t="shared" si="129"/>
        <v>0</v>
      </c>
      <c r="BP108" s="118" t="str">
        <f t="shared" si="130"/>
        <v>A</v>
      </c>
      <c r="BQ108" s="119" t="str">
        <f>+IF(OR($W108="",BO108=0),"",ROUND((VLOOKUP(ROUNDDOWN($D108-1/frec,0),cob_adi,BB$40,FALSE)*(1+i/frec)^-0.5*(1+Parámetros!$D$103)*(1+rec_fracc)/frec),6))</f>
        <v/>
      </c>
      <c r="BR108" s="66">
        <f t="shared" si="175"/>
        <v>0</v>
      </c>
      <c r="BS108" s="119" t="str">
        <f t="shared" si="176"/>
        <v/>
      </c>
      <c r="BT108" s="66">
        <f>+IF($W108="","",ROUND(IF($B108&gt;Parámetros!$D$107,'Tablas Servicio'!BR108+('Tablas Servicio'!BT107-'Tablas Servicio'!BR107),BR108/(1-IF(B108&lt;=10,Parámetros!$D$100,0))),2))</f>
        <v>0</v>
      </c>
      <c r="BU108" s="66">
        <f t="shared" si="177"/>
        <v>0</v>
      </c>
      <c r="BV108" s="66">
        <f t="shared" si="177"/>
        <v>0</v>
      </c>
      <c r="BW108" s="66">
        <f>+IF($W108="","",ROUND((BT108*Parámetros!$G$85),2))</f>
        <v>0</v>
      </c>
      <c r="BX108" s="66">
        <f>+IF($W108="","",ROUND((BT108*(Parámetros!$G$86)),2))</f>
        <v>0</v>
      </c>
      <c r="BY108" s="66">
        <f t="shared" si="178"/>
        <v>0</v>
      </c>
      <c r="BZ108" t="str">
        <f t="shared" si="131"/>
        <v>00062</v>
      </c>
      <c r="CA108" t="str">
        <f t="shared" si="132"/>
        <v>Gastos médicos por accidente</v>
      </c>
      <c r="CB108" s="118">
        <f t="shared" si="133"/>
        <v>0</v>
      </c>
      <c r="CC108" s="118" t="str">
        <f t="shared" si="134"/>
        <v>A</v>
      </c>
      <c r="CD108" s="119" t="str">
        <f t="shared" si="179"/>
        <v/>
      </c>
      <c r="CE108" s="66">
        <f>+IF($W108="","",ROUND((VLOOKUP(ROUNDDOWN($D108-1/frec,0),cob_adi,BO$40,FALSE)*(1+i/frec)^-0.5*(1+Parámetros!$D$103)*(1+rec_fracc)/frec*'TABLAS ADI'!$BC$17),2))</f>
        <v>0</v>
      </c>
      <c r="CF108" s="119" t="str">
        <f t="shared" si="180"/>
        <v/>
      </c>
      <c r="CG108" s="66">
        <f>+IF($W108="","",ROUND(IF($B108&gt;Parámetros!$D$107,'Tablas Servicio'!CE108+('Tablas Servicio'!CG107-'Tablas Servicio'!CE107),CE108/(1-IF(B108&lt;=10,Parámetros!$D$100,0))),2))</f>
        <v>0</v>
      </c>
      <c r="CH108" s="66">
        <f t="shared" si="181"/>
        <v>0</v>
      </c>
      <c r="CI108" s="66">
        <f t="shared" si="181"/>
        <v>0</v>
      </c>
      <c r="CJ108" s="66">
        <f>+IF($W108="","",ROUND((CG108*Parámetros!$G$85),2))</f>
        <v>0</v>
      </c>
      <c r="CK108" s="66">
        <f>+IF($W108="","",ROUND((CG108*(Parámetros!$G$86)),2))</f>
        <v>0</v>
      </c>
      <c r="CL108" s="66">
        <f t="shared" si="182"/>
        <v>0</v>
      </c>
      <c r="CM108" t="str">
        <f t="shared" si="135"/>
        <v>00063</v>
      </c>
      <c r="CN108" s="118" t="str">
        <f t="shared" si="136"/>
        <v>Renta Diaria por Hospitalización</v>
      </c>
      <c r="CO108" s="118">
        <f t="shared" si="137"/>
        <v>0</v>
      </c>
      <c r="CP108" s="118" t="str">
        <f t="shared" si="138"/>
        <v>A</v>
      </c>
      <c r="CQ108" s="119" t="str">
        <f t="shared" si="183"/>
        <v/>
      </c>
      <c r="CR108" s="66">
        <f>+IF($W108="","",ROUND((VLOOKUP(Parámetros!$F$51,'COBERTURAS ADICIONALES'!$S$4:$T$32,2,FALSE)*(1+i/frec)^-0.5*(1+Parámetros!$D$103)*(1+rec_fracc)/frec*$CO$42),2))</f>
        <v>0</v>
      </c>
      <c r="CS108" s="119" t="str">
        <f t="shared" si="184"/>
        <v/>
      </c>
      <c r="CT108" s="66">
        <f>+IF($W108="","",ROUND(IF($B108&gt;Parámetros!$D$107,'Tablas Servicio'!CR108+('Tablas Servicio'!CT107-'Tablas Servicio'!CR107),CR108/(1-IF(B108&lt;=10,Parámetros!$D$100,0))),2))</f>
        <v>0</v>
      </c>
      <c r="CU108" s="66">
        <f t="shared" si="185"/>
        <v>0</v>
      </c>
      <c r="CV108" s="66">
        <f t="shared" si="185"/>
        <v>0</v>
      </c>
      <c r="CW108" s="66">
        <f>+IF($W108="","",ROUND((CT108*Parámetros!$G$85),2))</f>
        <v>0</v>
      </c>
      <c r="CX108" s="66">
        <f>+IF($W108="","",ROUND((CT108*(Parámetros!$G$86)),2))</f>
        <v>0</v>
      </c>
      <c r="CY108" s="66">
        <f t="shared" si="186"/>
        <v>0</v>
      </c>
      <c r="CZ108" t="str">
        <f t="shared" si="139"/>
        <v>00064</v>
      </c>
      <c r="DA108" s="118" t="str">
        <f t="shared" si="140"/>
        <v>Enfermedades Graves</v>
      </c>
      <c r="DB108" s="118">
        <f t="shared" si="141"/>
        <v>0</v>
      </c>
      <c r="DC108" s="118" t="str">
        <f t="shared" si="142"/>
        <v>A</v>
      </c>
      <c r="DD108" s="121" t="str">
        <f>+IF(OR($W108="",DB108=0),"",ROUND((VLOOKUP(ROUNDDOWN($D108-1/frec,0),cob_adi,CO$40,FALSE)*(1+i/frec)^-0.5*(1+Parámetros!$D$103)*(1+rec_fracc)/frec),6))</f>
        <v/>
      </c>
      <c r="DE108" s="66">
        <f t="shared" si="187"/>
        <v>0</v>
      </c>
      <c r="DF108" s="119" t="str">
        <f t="shared" si="188"/>
        <v/>
      </c>
      <c r="DG108" s="66">
        <f>+IF($W108="","",ROUND(IF($B108&gt;Parámetros!$D$107,'Tablas Servicio'!DE108+('Tablas Servicio'!DG107-'Tablas Servicio'!DE107),DE108/(1-IF(B108&lt;=10,Parámetros!$D$100,0))),2))</f>
        <v>0</v>
      </c>
      <c r="DH108" s="66">
        <f t="shared" si="189"/>
        <v>0</v>
      </c>
      <c r="DI108" s="66">
        <f t="shared" si="189"/>
        <v>0</v>
      </c>
      <c r="DJ108" s="66">
        <f>+IF($W108="","",ROUND((DG108*Parámetros!$G$85),2))</f>
        <v>0</v>
      </c>
      <c r="DK108" s="66">
        <f>+IF($W108="","",ROUND((DG108*(Parámetros!$G$86)),2))</f>
        <v>0</v>
      </c>
      <c r="DL108" s="66">
        <f t="shared" si="190"/>
        <v>0</v>
      </c>
      <c r="DM108" t="str">
        <f t="shared" si="143"/>
        <v>00065</v>
      </c>
      <c r="DN108" s="118" t="str">
        <f t="shared" si="144"/>
        <v>Exención pago de primas</v>
      </c>
      <c r="DO108" s="118">
        <f t="shared" si="145"/>
        <v>0</v>
      </c>
      <c r="DP108" s="118" t="str">
        <f t="shared" si="146"/>
        <v>A</v>
      </c>
      <c r="DQ108" s="122" t="str">
        <f>+IF(OR($W108="",DO108=0),"",ROUND((VLOOKUP(ROUNDDOWN($D108-1/frec,0),cob_adi,DB$40,FALSE)*(1+i/frec)^-0.5*(1+Parámetros!$D$103)*(1+rec_fracc)/frec),6))</f>
        <v/>
      </c>
      <c r="DR108" s="66">
        <f t="shared" si="191"/>
        <v>0</v>
      </c>
      <c r="DS108" s="68" t="str">
        <f t="shared" si="192"/>
        <v/>
      </c>
      <c r="DT108" s="66">
        <f>+IF($W108="","",ROUND(IF($B108&gt;Parámetros!$D$107,'Tablas Servicio'!DR108+('Tablas Servicio'!DT107-'Tablas Servicio'!DR107),DR108/(1-IF(B108&lt;=10,Parámetros!$D$100,0))),2))</f>
        <v>0</v>
      </c>
      <c r="DU108" s="66">
        <f t="shared" si="193"/>
        <v>0</v>
      </c>
      <c r="DV108" s="66">
        <f t="shared" si="193"/>
        <v>0</v>
      </c>
      <c r="DW108" s="66">
        <f>+IF($W108="","",ROUND((DT108*Parámetros!$G$85),2))</f>
        <v>0</v>
      </c>
      <c r="DX108" s="66">
        <f>+IF($W108="","",ROUND((DT108*(Parámetros!$G$86)),2))</f>
        <v>0</v>
      </c>
      <c r="DY108" s="66">
        <f t="shared" si="194"/>
        <v>0</v>
      </c>
      <c r="DZ108" t="str">
        <f t="shared" si="195"/>
        <v>00066</v>
      </c>
      <c r="EA108" s="118" t="str">
        <f t="shared" si="195"/>
        <v>Enfermedad terminal</v>
      </c>
      <c r="EB108" s="118">
        <f>+IF($W108="","",ROUND(IF(Parámetros!$D$25='TABLAS MORT'!$V$33,EB107,Z108/2),0))</f>
        <v>50000</v>
      </c>
      <c r="EC108" s="118" t="str">
        <f t="shared" si="195"/>
        <v>A</v>
      </c>
      <c r="ED108" s="122">
        <f>+IF(OR($W108="",EB108=0),"",ROUND((VLOOKUP(ROUNDDOWN($D108-1/frec,0),cob_adi,DO$40,FALSE)*(1+i/frec)^-0.5*(1+Parámetros!$D$103)*(1+rec_fracc)/frec),6))</f>
        <v>1.2E-5</v>
      </c>
      <c r="EE108" s="66">
        <f t="shared" si="196"/>
        <v>0.6</v>
      </c>
      <c r="EF108" s="68">
        <f t="shared" si="197"/>
        <v>1.4E-5</v>
      </c>
      <c r="EG108" s="66">
        <f>+IF($W108="","",ROUND(IF($B108&gt;Parámetros!$D$107,'Tablas Servicio'!EE108+('Tablas Servicio'!EG107-'Tablas Servicio'!EE107),EE108/(1-IF(B108&lt;=10,Parámetros!$D$100,0))),2))</f>
        <v>0.68</v>
      </c>
      <c r="EH108" s="66">
        <f t="shared" si="198"/>
        <v>0</v>
      </c>
      <c r="EI108" s="66">
        <f t="shared" si="198"/>
        <v>0</v>
      </c>
      <c r="EJ108" s="66">
        <f>+IF($W108="","",ROUND((EG108*Parámetros!$G$85),2))</f>
        <v>0.02</v>
      </c>
      <c r="EK108" s="66">
        <f>+IF($W108="","",ROUND((EG108*(Parámetros!$G$86)),2))</f>
        <v>0</v>
      </c>
      <c r="EL108" s="66">
        <f t="shared" si="199"/>
        <v>0.7</v>
      </c>
    </row>
    <row r="109" spans="1:142" x14ac:dyDescent="0.25">
      <c r="A109">
        <f>+IF($C109="","",ROUND(VLOOKUP('Tablas Servicio'!B109,Parámetros!$H$100:$J$159,IF(Parámetros!$E$16="F",2,3),FALSE),2))</f>
        <v>150</v>
      </c>
      <c r="B109">
        <f t="shared" si="150"/>
        <v>6</v>
      </c>
      <c r="C109" s="57">
        <f>+IF(D109="","",'Tablas Servicio'!C108+1)</f>
        <v>68</v>
      </c>
      <c r="D109" s="56">
        <f>+IF(D108&lt;edadmaxtabla,D108+1/Parámetros!$E$25,"")</f>
        <v>45.686666666666831</v>
      </c>
      <c r="E109" s="57">
        <f t="shared" si="160"/>
        <v>45</v>
      </c>
      <c r="F109" s="59">
        <f t="shared" si="161"/>
        <v>100000</v>
      </c>
      <c r="G109" s="66">
        <f t="shared" si="151"/>
        <v>32.72</v>
      </c>
      <c r="H109" s="66">
        <f t="shared" si="152"/>
        <v>34.020000000000003</v>
      </c>
      <c r="I109" s="66">
        <f t="shared" si="112"/>
        <v>52.83</v>
      </c>
      <c r="J109" s="66">
        <f t="shared" si="153"/>
        <v>1.1400000000000001</v>
      </c>
      <c r="K109" s="66">
        <f t="shared" si="154"/>
        <v>0.16</v>
      </c>
      <c r="L109" s="66">
        <f t="shared" si="155"/>
        <v>0</v>
      </c>
      <c r="M109" s="66">
        <f t="shared" si="156"/>
        <v>0</v>
      </c>
      <c r="N109" s="66">
        <f>+IF(C109="","",ROUND(Parámetros!$D$23,2))</f>
        <v>94</v>
      </c>
      <c r="O109" s="66">
        <f t="shared" si="157"/>
        <v>16.400000000000002</v>
      </c>
      <c r="P109" s="66">
        <f>+IF($C109="","",ROUND(IF(B109&gt;Parámetros!$D$117,0,N109*Parámetros!$D$116-G109*Parámetros!$D$100),2))</f>
        <v>7.15</v>
      </c>
      <c r="Q109" s="75">
        <f t="shared" si="113"/>
        <v>3.4841075794621035E-2</v>
      </c>
      <c r="R109" s="75">
        <f t="shared" si="114"/>
        <v>4.8899755501222494E-3</v>
      </c>
      <c r="S109" s="117">
        <f>+IF($C109="","",ROUND((S108+I109)*(1+Parámetros!$D$91),2))</f>
        <v>4320.13</v>
      </c>
      <c r="T109" s="117">
        <f>+IF($C109="","",ROUND(S109*VLOOKUP(B109,Parámetros!$C$30:$D$39,2,TRUE),2))</f>
        <v>2592.08</v>
      </c>
      <c r="U109" s="117">
        <f>+IF($C109="","",ROUND((U108+I109)*(1+Parámetros!$D$92),2))</f>
        <v>4384.6499999999996</v>
      </c>
      <c r="V109" s="117">
        <f>+IF($C109="","",ROUND(U109*VLOOKUP(B109,Parámetros!$C$30:$D$39,2,TRUE),2))</f>
        <v>2630.79</v>
      </c>
      <c r="W109" s="57">
        <f t="shared" si="115"/>
        <v>68</v>
      </c>
      <c r="X109" t="str">
        <f t="shared" si="116"/>
        <v>00058</v>
      </c>
      <c r="Y109" t="str">
        <f t="shared" si="117"/>
        <v>MUERTE POR CUALQUIER CAUSA</v>
      </c>
      <c r="Z109" s="118">
        <f>+IF($W109="","",ROUND(IF(Parámetros!$D$25='TABLAS MORT'!$V$33,Z108,Parámetros!$D$21-'Tablas Servicio'!T108),0))</f>
        <v>100000</v>
      </c>
      <c r="AA109" s="118" t="str">
        <f t="shared" si="118"/>
        <v>P</v>
      </c>
      <c r="AB109" s="119">
        <f>+IF(W109="","",ROUND((VLOOKUP(ROUNDDOWN($D109-1/frec,0),qx_tabla,2,FALSE)*(1+i/frec)^-0.5*(1+Parámetros!$D$103)*(1+rec_fracc)/frec),6))</f>
        <v>1.5799999999999999E-4</v>
      </c>
      <c r="AC109" s="66">
        <f t="shared" si="162"/>
        <v>15.8</v>
      </c>
      <c r="AD109" s="119">
        <f t="shared" si="158"/>
        <v>3.2000000000000003E-4</v>
      </c>
      <c r="AE109" s="66">
        <f>+IF($W109="","",ROUND(IF($B109&gt;Parámetros!$D$107,'Tablas Servicio'!AC109+('Tablas Servicio'!AG108-'Tablas Servicio'!AC108),AC109/(1-IF(B109&lt;=10,Parámetros!$D$104,Parámetros!$D$105))),2))</f>
        <v>32.69</v>
      </c>
      <c r="AF109" s="66">
        <f>+IF($W109="","",ROUND(IF($B109&gt;Parámetros!$D$107,'Tablas Servicio'!AC109+('Tablas Servicio'!AG108-'Tablas Servicio'!AC108),(AC109+$A108/frec)/(1-IF(B109&lt;=Parámetros!$D$117,Parámetros!$D$100,0))),2))</f>
        <v>32.04</v>
      </c>
      <c r="AG109" s="66">
        <f t="shared" si="163"/>
        <v>32.04</v>
      </c>
      <c r="AH109" s="66">
        <f t="shared" si="164"/>
        <v>0</v>
      </c>
      <c r="AI109" s="66">
        <f t="shared" si="165"/>
        <v>0</v>
      </c>
      <c r="AJ109" s="66">
        <f>+IF($W109="","",ROUND((AG109*Parámetros!$G$85),2))</f>
        <v>1.1200000000000001</v>
      </c>
      <c r="AK109" s="66">
        <f>+IF($W109="","",ROUND((AG109*(Parámetros!$G$86)),2))</f>
        <v>0.16</v>
      </c>
      <c r="AL109" s="66">
        <f t="shared" si="159"/>
        <v>33.32</v>
      </c>
      <c r="AM109" t="str">
        <f t="shared" si="119"/>
        <v>00059</v>
      </c>
      <c r="AN109" t="str">
        <f t="shared" si="120"/>
        <v>Incapacidad Total y Permanente</v>
      </c>
      <c r="AO109" s="118">
        <f t="shared" si="121"/>
        <v>0</v>
      </c>
      <c r="AP109" s="118" t="str">
        <f t="shared" si="122"/>
        <v>A</v>
      </c>
      <c r="AQ109" s="119" t="str">
        <f>+IF(OR($W109="",AO109=0),"",ROUND((VLOOKUP(ROUNDDOWN($D109-1/frec,0),cob_adi,Z$40,FALSE)*(1+i/frec)^-0.5*(1+Parámetros!$D$103)*(1+rec_fracc)/frec),6))</f>
        <v/>
      </c>
      <c r="AR109" s="66">
        <f t="shared" si="166"/>
        <v>0</v>
      </c>
      <c r="AS109" s="119" t="str">
        <f t="shared" si="167"/>
        <v/>
      </c>
      <c r="AT109" s="66">
        <f>+IF($W109="","",ROUND(IF($B109&gt;Parámetros!$D$107,'Tablas Servicio'!AR109+('Tablas Servicio'!AT108-'Tablas Servicio'!AR108),AR109/(1-IF(B109&lt;=10,Parámetros!$D$100,0))),2))</f>
        <v>0</v>
      </c>
      <c r="AU109" s="66">
        <f t="shared" si="168"/>
        <v>0</v>
      </c>
      <c r="AV109" s="66">
        <f t="shared" si="168"/>
        <v>0</v>
      </c>
      <c r="AW109" s="66">
        <f>+IF($W109="","",ROUND((AT109*Parámetros!$G$85),2))</f>
        <v>0</v>
      </c>
      <c r="AX109" s="66">
        <f>+IF($W109="","",ROUND((AT109*(Parámetros!$G$86)),2))</f>
        <v>0</v>
      </c>
      <c r="AY109" s="66">
        <f t="shared" si="169"/>
        <v>0</v>
      </c>
      <c r="AZ109" t="str">
        <f t="shared" si="123"/>
        <v>00060</v>
      </c>
      <c r="BA109" t="str">
        <f t="shared" si="124"/>
        <v>Muerte Accidental</v>
      </c>
      <c r="BB109" s="118">
        <f t="shared" si="125"/>
        <v>0</v>
      </c>
      <c r="BC109" s="118" t="str">
        <f t="shared" si="126"/>
        <v>A</v>
      </c>
      <c r="BD109" s="119" t="str">
        <f>+IF(OR($W109="",BB109=0),"",ROUND((VLOOKUP(ROUNDDOWN($D109-1/frec,0),cob_adi,AO$40,FALSE)*(1+i/frec)^-0.5*(1+Parámetros!$D$103)*(1+rec_fracc)/frec),6))</f>
        <v/>
      </c>
      <c r="BE109" s="66">
        <f t="shared" si="170"/>
        <v>0</v>
      </c>
      <c r="BF109" s="119" t="str">
        <f t="shared" si="171"/>
        <v/>
      </c>
      <c r="BG109" s="66">
        <f>+IF($W109="","",ROUND(IF($B109&gt;Parámetros!$D$107,'Tablas Servicio'!BE109+('Tablas Servicio'!BG108-'Tablas Servicio'!BE108),BE109/(1-IF(B109&lt;=10,Parámetros!$D$100,0))),2))</f>
        <v>0</v>
      </c>
      <c r="BH109" s="66">
        <f t="shared" si="172"/>
        <v>0</v>
      </c>
      <c r="BI109" s="66">
        <f t="shared" si="173"/>
        <v>0</v>
      </c>
      <c r="BJ109" s="66">
        <f>+IF($W109="","",ROUND((BG109*Parámetros!$G$85),2))</f>
        <v>0</v>
      </c>
      <c r="BK109" s="66">
        <f>+IF($W109="","",ROUND((BG109*(Parámetros!$G$86)),2))</f>
        <v>0</v>
      </c>
      <c r="BL109" s="66">
        <f t="shared" si="174"/>
        <v>0</v>
      </c>
      <c r="BM109" t="str">
        <f t="shared" si="127"/>
        <v>00061</v>
      </c>
      <c r="BN109" t="str">
        <f t="shared" si="128"/>
        <v>Gastos de Entierro</v>
      </c>
      <c r="BO109" s="118">
        <f t="shared" si="129"/>
        <v>0</v>
      </c>
      <c r="BP109" s="118" t="str">
        <f t="shared" si="130"/>
        <v>A</v>
      </c>
      <c r="BQ109" s="119" t="str">
        <f>+IF(OR($W109="",BO109=0),"",ROUND((VLOOKUP(ROUNDDOWN($D109-1/frec,0),cob_adi,BB$40,FALSE)*(1+i/frec)^-0.5*(1+Parámetros!$D$103)*(1+rec_fracc)/frec),6))</f>
        <v/>
      </c>
      <c r="BR109" s="66">
        <f t="shared" si="175"/>
        <v>0</v>
      </c>
      <c r="BS109" s="119" t="str">
        <f t="shared" si="176"/>
        <v/>
      </c>
      <c r="BT109" s="66">
        <f>+IF($W109="","",ROUND(IF($B109&gt;Parámetros!$D$107,'Tablas Servicio'!BR109+('Tablas Servicio'!BT108-'Tablas Servicio'!BR108),BR109/(1-IF(B109&lt;=10,Parámetros!$D$100,0))),2))</f>
        <v>0</v>
      </c>
      <c r="BU109" s="66">
        <f t="shared" si="177"/>
        <v>0</v>
      </c>
      <c r="BV109" s="66">
        <f t="shared" si="177"/>
        <v>0</v>
      </c>
      <c r="BW109" s="66">
        <f>+IF($W109="","",ROUND((BT109*Parámetros!$G$85),2))</f>
        <v>0</v>
      </c>
      <c r="BX109" s="66">
        <f>+IF($W109="","",ROUND((BT109*(Parámetros!$G$86)),2))</f>
        <v>0</v>
      </c>
      <c r="BY109" s="66">
        <f t="shared" si="178"/>
        <v>0</v>
      </c>
      <c r="BZ109" t="str">
        <f t="shared" si="131"/>
        <v>00062</v>
      </c>
      <c r="CA109" t="str">
        <f t="shared" si="132"/>
        <v>Gastos médicos por accidente</v>
      </c>
      <c r="CB109" s="118">
        <f t="shared" si="133"/>
        <v>0</v>
      </c>
      <c r="CC109" s="118" t="str">
        <f t="shared" si="134"/>
        <v>A</v>
      </c>
      <c r="CD109" s="119" t="str">
        <f t="shared" si="179"/>
        <v/>
      </c>
      <c r="CE109" s="66">
        <f>+IF($W109="","",ROUND((VLOOKUP(ROUNDDOWN($D109-1/frec,0),cob_adi,BO$40,FALSE)*(1+i/frec)^-0.5*(1+Parámetros!$D$103)*(1+rec_fracc)/frec*'TABLAS ADI'!$BC$17),2))</f>
        <v>0</v>
      </c>
      <c r="CF109" s="119" t="str">
        <f t="shared" si="180"/>
        <v/>
      </c>
      <c r="CG109" s="66">
        <f>+IF($W109="","",ROUND(IF($B109&gt;Parámetros!$D$107,'Tablas Servicio'!CE109+('Tablas Servicio'!CG108-'Tablas Servicio'!CE108),CE109/(1-IF(B109&lt;=10,Parámetros!$D$100,0))),2))</f>
        <v>0</v>
      </c>
      <c r="CH109" s="66">
        <f t="shared" si="181"/>
        <v>0</v>
      </c>
      <c r="CI109" s="66">
        <f t="shared" si="181"/>
        <v>0</v>
      </c>
      <c r="CJ109" s="66">
        <f>+IF($W109="","",ROUND((CG109*Parámetros!$G$85),2))</f>
        <v>0</v>
      </c>
      <c r="CK109" s="66">
        <f>+IF($W109="","",ROUND((CG109*(Parámetros!$G$86)),2))</f>
        <v>0</v>
      </c>
      <c r="CL109" s="66">
        <f t="shared" si="182"/>
        <v>0</v>
      </c>
      <c r="CM109" t="str">
        <f t="shared" si="135"/>
        <v>00063</v>
      </c>
      <c r="CN109" s="118" t="str">
        <f t="shared" si="136"/>
        <v>Renta Diaria por Hospitalización</v>
      </c>
      <c r="CO109" s="118">
        <f t="shared" si="137"/>
        <v>0</v>
      </c>
      <c r="CP109" s="118" t="str">
        <f t="shared" si="138"/>
        <v>A</v>
      </c>
      <c r="CQ109" s="119" t="str">
        <f t="shared" si="183"/>
        <v/>
      </c>
      <c r="CR109" s="66">
        <f>+IF($W109="","",ROUND((VLOOKUP(Parámetros!$F$51,'COBERTURAS ADICIONALES'!$S$4:$T$32,2,FALSE)*(1+i/frec)^-0.5*(1+Parámetros!$D$103)*(1+rec_fracc)/frec*$CO$42),2))</f>
        <v>0</v>
      </c>
      <c r="CS109" s="119" t="str">
        <f t="shared" si="184"/>
        <v/>
      </c>
      <c r="CT109" s="66">
        <f>+IF($W109="","",ROUND(IF($B109&gt;Parámetros!$D$107,'Tablas Servicio'!CR109+('Tablas Servicio'!CT108-'Tablas Servicio'!CR108),CR109/(1-IF(B109&lt;=10,Parámetros!$D$100,0))),2))</f>
        <v>0</v>
      </c>
      <c r="CU109" s="66">
        <f t="shared" si="185"/>
        <v>0</v>
      </c>
      <c r="CV109" s="66">
        <f t="shared" si="185"/>
        <v>0</v>
      </c>
      <c r="CW109" s="66">
        <f>+IF($W109="","",ROUND((CT109*Parámetros!$G$85),2))</f>
        <v>0</v>
      </c>
      <c r="CX109" s="66">
        <f>+IF($W109="","",ROUND((CT109*(Parámetros!$G$86)),2))</f>
        <v>0</v>
      </c>
      <c r="CY109" s="66">
        <f t="shared" si="186"/>
        <v>0</v>
      </c>
      <c r="CZ109" t="str">
        <f t="shared" si="139"/>
        <v>00064</v>
      </c>
      <c r="DA109" s="118" t="str">
        <f t="shared" si="140"/>
        <v>Enfermedades Graves</v>
      </c>
      <c r="DB109" s="118">
        <f t="shared" si="141"/>
        <v>0</v>
      </c>
      <c r="DC109" s="118" t="str">
        <f t="shared" si="142"/>
        <v>A</v>
      </c>
      <c r="DD109" s="121" t="str">
        <f>+IF(OR($W109="",DB109=0),"",ROUND((VLOOKUP(ROUNDDOWN($D109-1/frec,0),cob_adi,CO$40,FALSE)*(1+i/frec)^-0.5*(1+Parámetros!$D$103)*(1+rec_fracc)/frec),6))</f>
        <v/>
      </c>
      <c r="DE109" s="66">
        <f t="shared" si="187"/>
        <v>0</v>
      </c>
      <c r="DF109" s="119" t="str">
        <f t="shared" si="188"/>
        <v/>
      </c>
      <c r="DG109" s="66">
        <f>+IF($W109="","",ROUND(IF($B109&gt;Parámetros!$D$107,'Tablas Servicio'!DE109+('Tablas Servicio'!DG108-'Tablas Servicio'!DE108),DE109/(1-IF(B109&lt;=10,Parámetros!$D$100,0))),2))</f>
        <v>0</v>
      </c>
      <c r="DH109" s="66">
        <f t="shared" si="189"/>
        <v>0</v>
      </c>
      <c r="DI109" s="66">
        <f t="shared" si="189"/>
        <v>0</v>
      </c>
      <c r="DJ109" s="66">
        <f>+IF($W109="","",ROUND((DG109*Parámetros!$G$85),2))</f>
        <v>0</v>
      </c>
      <c r="DK109" s="66">
        <f>+IF($W109="","",ROUND((DG109*(Parámetros!$G$86)),2))</f>
        <v>0</v>
      </c>
      <c r="DL109" s="66">
        <f t="shared" si="190"/>
        <v>0</v>
      </c>
      <c r="DM109" t="str">
        <f t="shared" si="143"/>
        <v>00065</v>
      </c>
      <c r="DN109" s="118" t="str">
        <f t="shared" si="144"/>
        <v>Exención pago de primas</v>
      </c>
      <c r="DO109" s="118">
        <f t="shared" si="145"/>
        <v>0</v>
      </c>
      <c r="DP109" s="118" t="str">
        <f t="shared" si="146"/>
        <v>A</v>
      </c>
      <c r="DQ109" s="122" t="str">
        <f>+IF(OR($W109="",DO109=0),"",ROUND((VLOOKUP(ROUNDDOWN($D109-1/frec,0),cob_adi,DB$40,FALSE)*(1+i/frec)^-0.5*(1+Parámetros!$D$103)*(1+rec_fracc)/frec),6))</f>
        <v/>
      </c>
      <c r="DR109" s="66">
        <f t="shared" si="191"/>
        <v>0</v>
      </c>
      <c r="DS109" s="68" t="str">
        <f t="shared" si="192"/>
        <v/>
      </c>
      <c r="DT109" s="66">
        <f>+IF($W109="","",ROUND(IF($B109&gt;Parámetros!$D$107,'Tablas Servicio'!DR109+('Tablas Servicio'!DT108-'Tablas Servicio'!DR108),DR109/(1-IF(B109&lt;=10,Parámetros!$D$100,0))),2))</f>
        <v>0</v>
      </c>
      <c r="DU109" s="66">
        <f t="shared" si="193"/>
        <v>0</v>
      </c>
      <c r="DV109" s="66">
        <f t="shared" si="193"/>
        <v>0</v>
      </c>
      <c r="DW109" s="66">
        <f>+IF($W109="","",ROUND((DT109*Parámetros!$G$85),2))</f>
        <v>0</v>
      </c>
      <c r="DX109" s="66">
        <f>+IF($W109="","",ROUND((DT109*(Parámetros!$G$86)),2))</f>
        <v>0</v>
      </c>
      <c r="DY109" s="66">
        <f t="shared" si="194"/>
        <v>0</v>
      </c>
      <c r="DZ109" t="str">
        <f t="shared" si="195"/>
        <v>00066</v>
      </c>
      <c r="EA109" s="118" t="str">
        <f t="shared" si="195"/>
        <v>Enfermedad terminal</v>
      </c>
      <c r="EB109" s="118">
        <f>+IF($W109="","",ROUND(IF(Parámetros!$D$25='TABLAS MORT'!$V$33,EB108,Z109/2),0))</f>
        <v>50000</v>
      </c>
      <c r="EC109" s="118" t="str">
        <f t="shared" si="195"/>
        <v>A</v>
      </c>
      <c r="ED109" s="122">
        <f>+IF(OR($W109="",EB109=0),"",ROUND((VLOOKUP(ROUNDDOWN($D109-1/frec,0),cob_adi,DO$40,FALSE)*(1+i/frec)^-0.5*(1+Parámetros!$D$103)*(1+rec_fracc)/frec),6))</f>
        <v>1.2E-5</v>
      </c>
      <c r="EE109" s="66">
        <f t="shared" si="196"/>
        <v>0.6</v>
      </c>
      <c r="EF109" s="68">
        <f t="shared" si="197"/>
        <v>1.4E-5</v>
      </c>
      <c r="EG109" s="66">
        <f>+IF($W109="","",ROUND(IF($B109&gt;Parámetros!$D$107,'Tablas Servicio'!EE109+('Tablas Servicio'!EG108-'Tablas Servicio'!EE108),EE109/(1-IF(B109&lt;=10,Parámetros!$D$100,0))),2))</f>
        <v>0.68</v>
      </c>
      <c r="EH109" s="66">
        <f t="shared" si="198"/>
        <v>0</v>
      </c>
      <c r="EI109" s="66">
        <f t="shared" si="198"/>
        <v>0</v>
      </c>
      <c r="EJ109" s="66">
        <f>+IF($W109="","",ROUND((EG109*Parámetros!$G$85),2))</f>
        <v>0.02</v>
      </c>
      <c r="EK109" s="66">
        <f>+IF($W109="","",ROUND((EG109*(Parámetros!$G$86)),2))</f>
        <v>0</v>
      </c>
      <c r="EL109" s="66">
        <f t="shared" si="199"/>
        <v>0.7</v>
      </c>
    </row>
    <row r="110" spans="1:142" x14ac:dyDescent="0.25">
      <c r="A110">
        <f>+IF($C110="","",ROUND(VLOOKUP('Tablas Servicio'!B110,Parámetros!$H$100:$J$159,IF(Parámetros!$E$16="F",2,3),FALSE),2))</f>
        <v>150</v>
      </c>
      <c r="B110">
        <f t="shared" si="150"/>
        <v>6</v>
      </c>
      <c r="C110" s="57">
        <f>+IF(D110="","",'Tablas Servicio'!C109+1)</f>
        <v>69</v>
      </c>
      <c r="D110" s="56">
        <f>+IF(D109&lt;edadmaxtabla,D109+1/Parámetros!$E$25,"")</f>
        <v>45.770000000000167</v>
      </c>
      <c r="E110" s="57">
        <f t="shared" si="160"/>
        <v>45</v>
      </c>
      <c r="F110" s="59">
        <f t="shared" si="161"/>
        <v>100000</v>
      </c>
      <c r="G110" s="66">
        <f t="shared" si="151"/>
        <v>32.72</v>
      </c>
      <c r="H110" s="66">
        <f t="shared" si="152"/>
        <v>34.020000000000003</v>
      </c>
      <c r="I110" s="66">
        <f t="shared" si="112"/>
        <v>52.83</v>
      </c>
      <c r="J110" s="66">
        <f t="shared" si="153"/>
        <v>1.1400000000000001</v>
      </c>
      <c r="K110" s="66">
        <f t="shared" si="154"/>
        <v>0.16</v>
      </c>
      <c r="L110" s="66">
        <f t="shared" si="155"/>
        <v>0</v>
      </c>
      <c r="M110" s="66">
        <f t="shared" si="156"/>
        <v>0</v>
      </c>
      <c r="N110" s="66">
        <f>+IF(C110="","",ROUND(Parámetros!$D$23,2))</f>
        <v>94</v>
      </c>
      <c r="O110" s="66">
        <f t="shared" si="157"/>
        <v>16.400000000000002</v>
      </c>
      <c r="P110" s="66">
        <f>+IF($C110="","",ROUND(IF(B110&gt;Parámetros!$D$117,0,N110*Parámetros!$D$116-G110*Parámetros!$D$100),2))</f>
        <v>7.15</v>
      </c>
      <c r="Q110" s="75">
        <f t="shared" si="113"/>
        <v>3.4841075794621035E-2</v>
      </c>
      <c r="R110" s="75">
        <f t="shared" si="114"/>
        <v>4.8899755501222494E-3</v>
      </c>
      <c r="S110" s="117">
        <f>+IF($C110="","",ROUND((S109+I110)*(1+Parámetros!$D$91),2))</f>
        <v>4385.3599999999997</v>
      </c>
      <c r="T110" s="117">
        <f>+IF($C110="","",ROUND(S110*VLOOKUP(B110,Parámetros!$C$30:$D$39,2,TRUE),2))</f>
        <v>2631.22</v>
      </c>
      <c r="U110" s="117">
        <f>+IF($C110="","",ROUND((U109+I110)*(1+Parámetros!$D$92),2))</f>
        <v>4451.8599999999997</v>
      </c>
      <c r="V110" s="117">
        <f>+IF($C110="","",ROUND(U110*VLOOKUP(B110,Parámetros!$C$30:$D$39,2,TRUE),2))</f>
        <v>2671.12</v>
      </c>
      <c r="W110" s="57">
        <f t="shared" si="115"/>
        <v>69</v>
      </c>
      <c r="X110" t="str">
        <f t="shared" si="116"/>
        <v>00058</v>
      </c>
      <c r="Y110" t="str">
        <f t="shared" si="117"/>
        <v>MUERTE POR CUALQUIER CAUSA</v>
      </c>
      <c r="Z110" s="118">
        <f>+IF($W110="","",ROUND(IF(Parámetros!$D$25='TABLAS MORT'!$V$33,Z109,Parámetros!$D$21-'Tablas Servicio'!T109),0))</f>
        <v>100000</v>
      </c>
      <c r="AA110" s="118" t="str">
        <f t="shared" si="118"/>
        <v>P</v>
      </c>
      <c r="AB110" s="119">
        <f>+IF(W110="","",ROUND((VLOOKUP(ROUNDDOWN($D110-1/frec,0),qx_tabla,2,FALSE)*(1+i/frec)^-0.5*(1+Parámetros!$D$103)*(1+rec_fracc)/frec),6))</f>
        <v>1.5799999999999999E-4</v>
      </c>
      <c r="AC110" s="66">
        <f t="shared" si="162"/>
        <v>15.8</v>
      </c>
      <c r="AD110" s="119">
        <f t="shared" si="158"/>
        <v>3.2000000000000003E-4</v>
      </c>
      <c r="AE110" s="66">
        <f>+IF($W110="","",ROUND(IF($B110&gt;Parámetros!$D$107,'Tablas Servicio'!AC110+('Tablas Servicio'!AG109-'Tablas Servicio'!AC109),AC110/(1-IF(B110&lt;=10,Parámetros!$D$104,Parámetros!$D$105))),2))</f>
        <v>32.69</v>
      </c>
      <c r="AF110" s="66">
        <f>+IF($W110="","",ROUND(IF($B110&gt;Parámetros!$D$107,'Tablas Servicio'!AC110+('Tablas Servicio'!AG109-'Tablas Servicio'!AC109),(AC110+$A109/frec)/(1-IF(B110&lt;=Parámetros!$D$117,Parámetros!$D$100,0))),2))</f>
        <v>32.04</v>
      </c>
      <c r="AG110" s="66">
        <f t="shared" si="163"/>
        <v>32.04</v>
      </c>
      <c r="AH110" s="66">
        <f t="shared" si="164"/>
        <v>0</v>
      </c>
      <c r="AI110" s="66">
        <f t="shared" si="165"/>
        <v>0</v>
      </c>
      <c r="AJ110" s="66">
        <f>+IF($W110="","",ROUND((AG110*Parámetros!$G$85),2))</f>
        <v>1.1200000000000001</v>
      </c>
      <c r="AK110" s="66">
        <f>+IF($W110="","",ROUND((AG110*(Parámetros!$G$86)),2))</f>
        <v>0.16</v>
      </c>
      <c r="AL110" s="66">
        <f t="shared" si="159"/>
        <v>33.32</v>
      </c>
      <c r="AM110" t="str">
        <f t="shared" si="119"/>
        <v>00059</v>
      </c>
      <c r="AN110" t="str">
        <f t="shared" si="120"/>
        <v>Incapacidad Total y Permanente</v>
      </c>
      <c r="AO110" s="118">
        <f t="shared" si="121"/>
        <v>0</v>
      </c>
      <c r="AP110" s="118" t="str">
        <f t="shared" si="122"/>
        <v>A</v>
      </c>
      <c r="AQ110" s="119" t="str">
        <f>+IF(OR($W110="",AO110=0),"",ROUND((VLOOKUP(ROUNDDOWN($D110-1/frec,0),cob_adi,Z$40,FALSE)*(1+i/frec)^-0.5*(1+Parámetros!$D$103)*(1+rec_fracc)/frec),6))</f>
        <v/>
      </c>
      <c r="AR110" s="66">
        <f t="shared" si="166"/>
        <v>0</v>
      </c>
      <c r="AS110" s="119" t="str">
        <f t="shared" si="167"/>
        <v/>
      </c>
      <c r="AT110" s="66">
        <f>+IF($W110="","",ROUND(IF($B110&gt;Parámetros!$D$107,'Tablas Servicio'!AR110+('Tablas Servicio'!AT109-'Tablas Servicio'!AR109),AR110/(1-IF(B110&lt;=10,Parámetros!$D$100,0))),2))</f>
        <v>0</v>
      </c>
      <c r="AU110" s="66">
        <f t="shared" si="168"/>
        <v>0</v>
      </c>
      <c r="AV110" s="66">
        <f t="shared" si="168"/>
        <v>0</v>
      </c>
      <c r="AW110" s="66">
        <f>+IF($W110="","",ROUND((AT110*Parámetros!$G$85),2))</f>
        <v>0</v>
      </c>
      <c r="AX110" s="66">
        <f>+IF($W110="","",ROUND((AT110*(Parámetros!$G$86)),2))</f>
        <v>0</v>
      </c>
      <c r="AY110" s="66">
        <f t="shared" si="169"/>
        <v>0</v>
      </c>
      <c r="AZ110" t="str">
        <f t="shared" si="123"/>
        <v>00060</v>
      </c>
      <c r="BA110" t="str">
        <f t="shared" si="124"/>
        <v>Muerte Accidental</v>
      </c>
      <c r="BB110" s="118">
        <f t="shared" si="125"/>
        <v>0</v>
      </c>
      <c r="BC110" s="118" t="str">
        <f t="shared" si="126"/>
        <v>A</v>
      </c>
      <c r="BD110" s="119" t="str">
        <f>+IF(OR($W110="",BB110=0),"",ROUND((VLOOKUP(ROUNDDOWN($D110-1/frec,0),cob_adi,AO$40,FALSE)*(1+i/frec)^-0.5*(1+Parámetros!$D$103)*(1+rec_fracc)/frec),6))</f>
        <v/>
      </c>
      <c r="BE110" s="66">
        <f t="shared" si="170"/>
        <v>0</v>
      </c>
      <c r="BF110" s="119" t="str">
        <f t="shared" si="171"/>
        <v/>
      </c>
      <c r="BG110" s="66">
        <f>+IF($W110="","",ROUND(IF($B110&gt;Parámetros!$D$107,'Tablas Servicio'!BE110+('Tablas Servicio'!BG109-'Tablas Servicio'!BE109),BE110/(1-IF(B110&lt;=10,Parámetros!$D$100,0))),2))</f>
        <v>0</v>
      </c>
      <c r="BH110" s="66">
        <f t="shared" si="172"/>
        <v>0</v>
      </c>
      <c r="BI110" s="66">
        <f t="shared" si="173"/>
        <v>0</v>
      </c>
      <c r="BJ110" s="66">
        <f>+IF($W110="","",ROUND((BG110*Parámetros!$G$85),2))</f>
        <v>0</v>
      </c>
      <c r="BK110" s="66">
        <f>+IF($W110="","",ROUND((BG110*(Parámetros!$G$86)),2))</f>
        <v>0</v>
      </c>
      <c r="BL110" s="66">
        <f t="shared" si="174"/>
        <v>0</v>
      </c>
      <c r="BM110" t="str">
        <f t="shared" si="127"/>
        <v>00061</v>
      </c>
      <c r="BN110" t="str">
        <f t="shared" si="128"/>
        <v>Gastos de Entierro</v>
      </c>
      <c r="BO110" s="118">
        <f t="shared" si="129"/>
        <v>0</v>
      </c>
      <c r="BP110" s="118" t="str">
        <f t="shared" si="130"/>
        <v>A</v>
      </c>
      <c r="BQ110" s="119" t="str">
        <f>+IF(OR($W110="",BO110=0),"",ROUND((VLOOKUP(ROUNDDOWN($D110-1/frec,0),cob_adi,BB$40,FALSE)*(1+i/frec)^-0.5*(1+Parámetros!$D$103)*(1+rec_fracc)/frec),6))</f>
        <v/>
      </c>
      <c r="BR110" s="66">
        <f t="shared" si="175"/>
        <v>0</v>
      </c>
      <c r="BS110" s="119" t="str">
        <f t="shared" si="176"/>
        <v/>
      </c>
      <c r="BT110" s="66">
        <f>+IF($W110="","",ROUND(IF($B110&gt;Parámetros!$D$107,'Tablas Servicio'!BR110+('Tablas Servicio'!BT109-'Tablas Servicio'!BR109),BR110/(1-IF(B110&lt;=10,Parámetros!$D$100,0))),2))</f>
        <v>0</v>
      </c>
      <c r="BU110" s="66">
        <f t="shared" si="177"/>
        <v>0</v>
      </c>
      <c r="BV110" s="66">
        <f t="shared" si="177"/>
        <v>0</v>
      </c>
      <c r="BW110" s="66">
        <f>+IF($W110="","",ROUND((BT110*Parámetros!$G$85),2))</f>
        <v>0</v>
      </c>
      <c r="BX110" s="66">
        <f>+IF($W110="","",ROUND((BT110*(Parámetros!$G$86)),2))</f>
        <v>0</v>
      </c>
      <c r="BY110" s="66">
        <f t="shared" si="178"/>
        <v>0</v>
      </c>
      <c r="BZ110" t="str">
        <f t="shared" si="131"/>
        <v>00062</v>
      </c>
      <c r="CA110" t="str">
        <f t="shared" si="132"/>
        <v>Gastos médicos por accidente</v>
      </c>
      <c r="CB110" s="118">
        <f t="shared" si="133"/>
        <v>0</v>
      </c>
      <c r="CC110" s="118" t="str">
        <f t="shared" si="134"/>
        <v>A</v>
      </c>
      <c r="CD110" s="119" t="str">
        <f t="shared" si="179"/>
        <v/>
      </c>
      <c r="CE110" s="66">
        <f>+IF($W110="","",ROUND((VLOOKUP(ROUNDDOWN($D110-1/frec,0),cob_adi,BO$40,FALSE)*(1+i/frec)^-0.5*(1+Parámetros!$D$103)*(1+rec_fracc)/frec*'TABLAS ADI'!$BC$17),2))</f>
        <v>0</v>
      </c>
      <c r="CF110" s="119" t="str">
        <f t="shared" si="180"/>
        <v/>
      </c>
      <c r="CG110" s="66">
        <f>+IF($W110="","",ROUND(IF($B110&gt;Parámetros!$D$107,'Tablas Servicio'!CE110+('Tablas Servicio'!CG109-'Tablas Servicio'!CE109),CE110/(1-IF(B110&lt;=10,Parámetros!$D$100,0))),2))</f>
        <v>0</v>
      </c>
      <c r="CH110" s="66">
        <f t="shared" si="181"/>
        <v>0</v>
      </c>
      <c r="CI110" s="66">
        <f t="shared" si="181"/>
        <v>0</v>
      </c>
      <c r="CJ110" s="66">
        <f>+IF($W110="","",ROUND((CG110*Parámetros!$G$85),2))</f>
        <v>0</v>
      </c>
      <c r="CK110" s="66">
        <f>+IF($W110="","",ROUND((CG110*(Parámetros!$G$86)),2))</f>
        <v>0</v>
      </c>
      <c r="CL110" s="66">
        <f t="shared" si="182"/>
        <v>0</v>
      </c>
      <c r="CM110" t="str">
        <f t="shared" si="135"/>
        <v>00063</v>
      </c>
      <c r="CN110" s="118" t="str">
        <f t="shared" si="136"/>
        <v>Renta Diaria por Hospitalización</v>
      </c>
      <c r="CO110" s="118">
        <f t="shared" si="137"/>
        <v>0</v>
      </c>
      <c r="CP110" s="118" t="str">
        <f t="shared" si="138"/>
        <v>A</v>
      </c>
      <c r="CQ110" s="119" t="str">
        <f t="shared" si="183"/>
        <v/>
      </c>
      <c r="CR110" s="66">
        <f>+IF($W110="","",ROUND((VLOOKUP(Parámetros!$F$51,'COBERTURAS ADICIONALES'!$S$4:$T$32,2,FALSE)*(1+i/frec)^-0.5*(1+Parámetros!$D$103)*(1+rec_fracc)/frec*$CO$42),2))</f>
        <v>0</v>
      </c>
      <c r="CS110" s="119" t="str">
        <f t="shared" si="184"/>
        <v/>
      </c>
      <c r="CT110" s="66">
        <f>+IF($W110="","",ROUND(IF($B110&gt;Parámetros!$D$107,'Tablas Servicio'!CR110+('Tablas Servicio'!CT109-'Tablas Servicio'!CR109),CR110/(1-IF(B110&lt;=10,Parámetros!$D$100,0))),2))</f>
        <v>0</v>
      </c>
      <c r="CU110" s="66">
        <f t="shared" si="185"/>
        <v>0</v>
      </c>
      <c r="CV110" s="66">
        <f t="shared" si="185"/>
        <v>0</v>
      </c>
      <c r="CW110" s="66">
        <f>+IF($W110="","",ROUND((CT110*Parámetros!$G$85),2))</f>
        <v>0</v>
      </c>
      <c r="CX110" s="66">
        <f>+IF($W110="","",ROUND((CT110*(Parámetros!$G$86)),2))</f>
        <v>0</v>
      </c>
      <c r="CY110" s="66">
        <f t="shared" si="186"/>
        <v>0</v>
      </c>
      <c r="CZ110" t="str">
        <f t="shared" si="139"/>
        <v>00064</v>
      </c>
      <c r="DA110" s="118" t="str">
        <f t="shared" si="140"/>
        <v>Enfermedades Graves</v>
      </c>
      <c r="DB110" s="118">
        <f t="shared" si="141"/>
        <v>0</v>
      </c>
      <c r="DC110" s="118" t="str">
        <f t="shared" si="142"/>
        <v>A</v>
      </c>
      <c r="DD110" s="121" t="str">
        <f>+IF(OR($W110="",DB110=0),"",ROUND((VLOOKUP(ROUNDDOWN($D110-1/frec,0),cob_adi,CO$40,FALSE)*(1+i/frec)^-0.5*(1+Parámetros!$D$103)*(1+rec_fracc)/frec),6))</f>
        <v/>
      </c>
      <c r="DE110" s="66">
        <f t="shared" si="187"/>
        <v>0</v>
      </c>
      <c r="DF110" s="119" t="str">
        <f t="shared" si="188"/>
        <v/>
      </c>
      <c r="DG110" s="66">
        <f>+IF($W110="","",ROUND(IF($B110&gt;Parámetros!$D$107,'Tablas Servicio'!DE110+('Tablas Servicio'!DG109-'Tablas Servicio'!DE109),DE110/(1-IF(B110&lt;=10,Parámetros!$D$100,0))),2))</f>
        <v>0</v>
      </c>
      <c r="DH110" s="66">
        <f t="shared" si="189"/>
        <v>0</v>
      </c>
      <c r="DI110" s="66">
        <f t="shared" si="189"/>
        <v>0</v>
      </c>
      <c r="DJ110" s="66">
        <f>+IF($W110="","",ROUND((DG110*Parámetros!$G$85),2))</f>
        <v>0</v>
      </c>
      <c r="DK110" s="66">
        <f>+IF($W110="","",ROUND((DG110*(Parámetros!$G$86)),2))</f>
        <v>0</v>
      </c>
      <c r="DL110" s="66">
        <f t="shared" si="190"/>
        <v>0</v>
      </c>
      <c r="DM110" t="str">
        <f t="shared" si="143"/>
        <v>00065</v>
      </c>
      <c r="DN110" s="118" t="str">
        <f t="shared" si="144"/>
        <v>Exención pago de primas</v>
      </c>
      <c r="DO110" s="118">
        <f t="shared" si="145"/>
        <v>0</v>
      </c>
      <c r="DP110" s="118" t="str">
        <f t="shared" si="146"/>
        <v>A</v>
      </c>
      <c r="DQ110" s="122" t="str">
        <f>+IF(OR($W110="",DO110=0),"",ROUND((VLOOKUP(ROUNDDOWN($D110-1/frec,0),cob_adi,DB$40,FALSE)*(1+i/frec)^-0.5*(1+Parámetros!$D$103)*(1+rec_fracc)/frec),6))</f>
        <v/>
      </c>
      <c r="DR110" s="66">
        <f t="shared" si="191"/>
        <v>0</v>
      </c>
      <c r="DS110" s="68" t="str">
        <f t="shared" si="192"/>
        <v/>
      </c>
      <c r="DT110" s="66">
        <f>+IF($W110="","",ROUND(IF($B110&gt;Parámetros!$D$107,'Tablas Servicio'!DR110+('Tablas Servicio'!DT109-'Tablas Servicio'!DR109),DR110/(1-IF(B110&lt;=10,Parámetros!$D$100,0))),2))</f>
        <v>0</v>
      </c>
      <c r="DU110" s="66">
        <f t="shared" si="193"/>
        <v>0</v>
      </c>
      <c r="DV110" s="66">
        <f t="shared" si="193"/>
        <v>0</v>
      </c>
      <c r="DW110" s="66">
        <f>+IF($W110="","",ROUND((DT110*Parámetros!$G$85),2))</f>
        <v>0</v>
      </c>
      <c r="DX110" s="66">
        <f>+IF($W110="","",ROUND((DT110*(Parámetros!$G$86)),2))</f>
        <v>0</v>
      </c>
      <c r="DY110" s="66">
        <f t="shared" si="194"/>
        <v>0</v>
      </c>
      <c r="DZ110" t="str">
        <f t="shared" si="195"/>
        <v>00066</v>
      </c>
      <c r="EA110" s="118" t="str">
        <f t="shared" si="195"/>
        <v>Enfermedad terminal</v>
      </c>
      <c r="EB110" s="118">
        <f>+IF($W110="","",ROUND(IF(Parámetros!$D$25='TABLAS MORT'!$V$33,EB109,Z110/2),0))</f>
        <v>50000</v>
      </c>
      <c r="EC110" s="118" t="str">
        <f t="shared" si="195"/>
        <v>A</v>
      </c>
      <c r="ED110" s="122">
        <f>+IF(OR($W110="",EB110=0),"",ROUND((VLOOKUP(ROUNDDOWN($D110-1/frec,0),cob_adi,DO$40,FALSE)*(1+i/frec)^-0.5*(1+Parámetros!$D$103)*(1+rec_fracc)/frec),6))</f>
        <v>1.2E-5</v>
      </c>
      <c r="EE110" s="66">
        <f t="shared" si="196"/>
        <v>0.6</v>
      </c>
      <c r="EF110" s="68">
        <f t="shared" si="197"/>
        <v>1.4E-5</v>
      </c>
      <c r="EG110" s="66">
        <f>+IF($W110="","",ROUND(IF($B110&gt;Parámetros!$D$107,'Tablas Servicio'!EE110+('Tablas Servicio'!EG109-'Tablas Servicio'!EE109),EE110/(1-IF(B110&lt;=10,Parámetros!$D$100,0))),2))</f>
        <v>0.68</v>
      </c>
      <c r="EH110" s="66">
        <f t="shared" si="198"/>
        <v>0</v>
      </c>
      <c r="EI110" s="66">
        <f t="shared" si="198"/>
        <v>0</v>
      </c>
      <c r="EJ110" s="66">
        <f>+IF($W110="","",ROUND((EG110*Parámetros!$G$85),2))</f>
        <v>0.02</v>
      </c>
      <c r="EK110" s="66">
        <f>+IF($W110="","",ROUND((EG110*(Parámetros!$G$86)),2))</f>
        <v>0</v>
      </c>
      <c r="EL110" s="66">
        <f t="shared" si="199"/>
        <v>0.7</v>
      </c>
    </row>
    <row r="111" spans="1:142" x14ac:dyDescent="0.25">
      <c r="A111">
        <f>+IF($C111="","",ROUND(VLOOKUP('Tablas Servicio'!B111,Parámetros!$H$100:$J$159,IF(Parámetros!$E$16="F",2,3),FALSE),2))</f>
        <v>150</v>
      </c>
      <c r="B111">
        <f t="shared" si="150"/>
        <v>6</v>
      </c>
      <c r="C111" s="57">
        <f>+IF(D111="","",'Tablas Servicio'!C110+1)</f>
        <v>70</v>
      </c>
      <c r="D111" s="56">
        <f>+IF(D110&lt;edadmaxtabla,D110+1/Parámetros!$E$25,"")</f>
        <v>45.853333333333502</v>
      </c>
      <c r="E111" s="57">
        <f t="shared" si="160"/>
        <v>45</v>
      </c>
      <c r="F111" s="59">
        <f t="shared" si="161"/>
        <v>100000</v>
      </c>
      <c r="G111" s="66">
        <f t="shared" si="151"/>
        <v>32.72</v>
      </c>
      <c r="H111" s="66">
        <f t="shared" si="152"/>
        <v>34.020000000000003</v>
      </c>
      <c r="I111" s="66">
        <f t="shared" si="112"/>
        <v>52.83</v>
      </c>
      <c r="J111" s="66">
        <f t="shared" si="153"/>
        <v>1.1400000000000001</v>
      </c>
      <c r="K111" s="66">
        <f t="shared" si="154"/>
        <v>0.16</v>
      </c>
      <c r="L111" s="66">
        <f t="shared" si="155"/>
        <v>0</v>
      </c>
      <c r="M111" s="66">
        <f t="shared" si="156"/>
        <v>0</v>
      </c>
      <c r="N111" s="66">
        <f>+IF(C111="","",ROUND(Parámetros!$D$23,2))</f>
        <v>94</v>
      </c>
      <c r="O111" s="66">
        <f t="shared" si="157"/>
        <v>16.400000000000002</v>
      </c>
      <c r="P111" s="66">
        <f>+IF($C111="","",ROUND(IF(B111&gt;Parámetros!$D$117,0,N111*Parámetros!$D$116-G111*Parámetros!$D$100),2))</f>
        <v>7.15</v>
      </c>
      <c r="Q111" s="75">
        <f t="shared" si="113"/>
        <v>3.4841075794621035E-2</v>
      </c>
      <c r="R111" s="75">
        <f t="shared" si="114"/>
        <v>4.8899755501222494E-3</v>
      </c>
      <c r="S111" s="117">
        <f>+IF($C111="","",ROUND((S110+I111)*(1+Parámetros!$D$91),2))</f>
        <v>4450.78</v>
      </c>
      <c r="T111" s="117">
        <f>+IF($C111="","",ROUND(S111*VLOOKUP(B111,Parámetros!$C$30:$D$39,2,TRUE),2))</f>
        <v>2670.47</v>
      </c>
      <c r="U111" s="117">
        <f>+IF($C111="","",ROUND((U110+I111)*(1+Parámetros!$D$92),2))</f>
        <v>4519.29</v>
      </c>
      <c r="V111" s="117">
        <f>+IF($C111="","",ROUND(U111*VLOOKUP(B111,Parámetros!$C$30:$D$39,2,TRUE),2))</f>
        <v>2711.57</v>
      </c>
      <c r="W111" s="57">
        <f t="shared" si="115"/>
        <v>70</v>
      </c>
      <c r="X111" t="str">
        <f t="shared" si="116"/>
        <v>00058</v>
      </c>
      <c r="Y111" t="str">
        <f t="shared" si="117"/>
        <v>MUERTE POR CUALQUIER CAUSA</v>
      </c>
      <c r="Z111" s="118">
        <f>+IF($W111="","",ROUND(IF(Parámetros!$D$25='TABLAS MORT'!$V$33,Z110,Parámetros!$D$21-'Tablas Servicio'!T110),0))</f>
        <v>100000</v>
      </c>
      <c r="AA111" s="118" t="str">
        <f t="shared" si="118"/>
        <v>P</v>
      </c>
      <c r="AB111" s="119">
        <f>+IF(W111="","",ROUND((VLOOKUP(ROUNDDOWN($D111-1/frec,0),qx_tabla,2,FALSE)*(1+i/frec)^-0.5*(1+Parámetros!$D$103)*(1+rec_fracc)/frec),6))</f>
        <v>1.5799999999999999E-4</v>
      </c>
      <c r="AC111" s="66">
        <f t="shared" si="162"/>
        <v>15.8</v>
      </c>
      <c r="AD111" s="119">
        <f t="shared" si="158"/>
        <v>3.2000000000000003E-4</v>
      </c>
      <c r="AE111" s="66">
        <f>+IF($W111="","",ROUND(IF($B111&gt;Parámetros!$D$107,'Tablas Servicio'!AC111+('Tablas Servicio'!AG110-'Tablas Servicio'!AC110),AC111/(1-IF(B111&lt;=10,Parámetros!$D$104,Parámetros!$D$105))),2))</f>
        <v>32.69</v>
      </c>
      <c r="AF111" s="66">
        <f>+IF($W111="","",ROUND(IF($B111&gt;Parámetros!$D$107,'Tablas Servicio'!AC111+('Tablas Servicio'!AG110-'Tablas Servicio'!AC110),(AC111+$A110/frec)/(1-IF(B111&lt;=Parámetros!$D$117,Parámetros!$D$100,0))),2))</f>
        <v>32.04</v>
      </c>
      <c r="AG111" s="66">
        <f t="shared" si="163"/>
        <v>32.04</v>
      </c>
      <c r="AH111" s="66">
        <f t="shared" si="164"/>
        <v>0</v>
      </c>
      <c r="AI111" s="66">
        <f t="shared" si="165"/>
        <v>0</v>
      </c>
      <c r="AJ111" s="66">
        <f>+IF($W111="","",ROUND((AG111*Parámetros!$G$85),2))</f>
        <v>1.1200000000000001</v>
      </c>
      <c r="AK111" s="66">
        <f>+IF($W111="","",ROUND((AG111*(Parámetros!$G$86)),2))</f>
        <v>0.16</v>
      </c>
      <c r="AL111" s="66">
        <f t="shared" si="159"/>
        <v>33.32</v>
      </c>
      <c r="AM111" t="str">
        <f t="shared" si="119"/>
        <v>00059</v>
      </c>
      <c r="AN111" t="str">
        <f t="shared" si="120"/>
        <v>Incapacidad Total y Permanente</v>
      </c>
      <c r="AO111" s="118">
        <f t="shared" si="121"/>
        <v>0</v>
      </c>
      <c r="AP111" s="118" t="str">
        <f t="shared" si="122"/>
        <v>A</v>
      </c>
      <c r="AQ111" s="119" t="str">
        <f>+IF(OR($W111="",AO111=0),"",ROUND((VLOOKUP(ROUNDDOWN($D111-1/frec,0),cob_adi,Z$40,FALSE)*(1+i/frec)^-0.5*(1+Parámetros!$D$103)*(1+rec_fracc)/frec),6))</f>
        <v/>
      </c>
      <c r="AR111" s="66">
        <f t="shared" si="166"/>
        <v>0</v>
      </c>
      <c r="AS111" s="119" t="str">
        <f t="shared" si="167"/>
        <v/>
      </c>
      <c r="AT111" s="66">
        <f>+IF($W111="","",ROUND(IF($B111&gt;Parámetros!$D$107,'Tablas Servicio'!AR111+('Tablas Servicio'!AT110-'Tablas Servicio'!AR110),AR111/(1-IF(B111&lt;=10,Parámetros!$D$100,0))),2))</f>
        <v>0</v>
      </c>
      <c r="AU111" s="66">
        <f t="shared" si="168"/>
        <v>0</v>
      </c>
      <c r="AV111" s="66">
        <f t="shared" si="168"/>
        <v>0</v>
      </c>
      <c r="AW111" s="66">
        <f>+IF($W111="","",ROUND((AT111*Parámetros!$G$85),2))</f>
        <v>0</v>
      </c>
      <c r="AX111" s="66">
        <f>+IF($W111="","",ROUND((AT111*(Parámetros!$G$86)),2))</f>
        <v>0</v>
      </c>
      <c r="AY111" s="66">
        <f t="shared" si="169"/>
        <v>0</v>
      </c>
      <c r="AZ111" t="str">
        <f t="shared" si="123"/>
        <v>00060</v>
      </c>
      <c r="BA111" t="str">
        <f t="shared" si="124"/>
        <v>Muerte Accidental</v>
      </c>
      <c r="BB111" s="118">
        <f t="shared" si="125"/>
        <v>0</v>
      </c>
      <c r="BC111" s="118" t="str">
        <f t="shared" si="126"/>
        <v>A</v>
      </c>
      <c r="BD111" s="119" t="str">
        <f>+IF(OR($W111="",BB111=0),"",ROUND((VLOOKUP(ROUNDDOWN($D111-1/frec,0),cob_adi,AO$40,FALSE)*(1+i/frec)^-0.5*(1+Parámetros!$D$103)*(1+rec_fracc)/frec),6))</f>
        <v/>
      </c>
      <c r="BE111" s="66">
        <f t="shared" si="170"/>
        <v>0</v>
      </c>
      <c r="BF111" s="119" t="str">
        <f t="shared" si="171"/>
        <v/>
      </c>
      <c r="BG111" s="66">
        <f>+IF($W111="","",ROUND(IF($B111&gt;Parámetros!$D$107,'Tablas Servicio'!BE111+('Tablas Servicio'!BG110-'Tablas Servicio'!BE110),BE111/(1-IF(B111&lt;=10,Parámetros!$D$100,0))),2))</f>
        <v>0</v>
      </c>
      <c r="BH111" s="66">
        <f t="shared" si="172"/>
        <v>0</v>
      </c>
      <c r="BI111" s="66">
        <f t="shared" si="173"/>
        <v>0</v>
      </c>
      <c r="BJ111" s="66">
        <f>+IF($W111="","",ROUND((BG111*Parámetros!$G$85),2))</f>
        <v>0</v>
      </c>
      <c r="BK111" s="66">
        <f>+IF($W111="","",ROUND((BG111*(Parámetros!$G$86)),2))</f>
        <v>0</v>
      </c>
      <c r="BL111" s="66">
        <f t="shared" si="174"/>
        <v>0</v>
      </c>
      <c r="BM111" t="str">
        <f t="shared" si="127"/>
        <v>00061</v>
      </c>
      <c r="BN111" t="str">
        <f t="shared" si="128"/>
        <v>Gastos de Entierro</v>
      </c>
      <c r="BO111" s="118">
        <f t="shared" si="129"/>
        <v>0</v>
      </c>
      <c r="BP111" s="118" t="str">
        <f t="shared" si="130"/>
        <v>A</v>
      </c>
      <c r="BQ111" s="119" t="str">
        <f>+IF(OR($W111="",BO111=0),"",ROUND((VLOOKUP(ROUNDDOWN($D111-1/frec,0),cob_adi,BB$40,FALSE)*(1+i/frec)^-0.5*(1+Parámetros!$D$103)*(1+rec_fracc)/frec),6))</f>
        <v/>
      </c>
      <c r="BR111" s="66">
        <f t="shared" si="175"/>
        <v>0</v>
      </c>
      <c r="BS111" s="119" t="str">
        <f t="shared" si="176"/>
        <v/>
      </c>
      <c r="BT111" s="66">
        <f>+IF($W111="","",ROUND(IF($B111&gt;Parámetros!$D$107,'Tablas Servicio'!BR111+('Tablas Servicio'!BT110-'Tablas Servicio'!BR110),BR111/(1-IF(B111&lt;=10,Parámetros!$D$100,0))),2))</f>
        <v>0</v>
      </c>
      <c r="BU111" s="66">
        <f t="shared" si="177"/>
        <v>0</v>
      </c>
      <c r="BV111" s="66">
        <f t="shared" si="177"/>
        <v>0</v>
      </c>
      <c r="BW111" s="66">
        <f>+IF($W111="","",ROUND((BT111*Parámetros!$G$85),2))</f>
        <v>0</v>
      </c>
      <c r="BX111" s="66">
        <f>+IF($W111="","",ROUND((BT111*(Parámetros!$G$86)),2))</f>
        <v>0</v>
      </c>
      <c r="BY111" s="66">
        <f t="shared" si="178"/>
        <v>0</v>
      </c>
      <c r="BZ111" t="str">
        <f t="shared" si="131"/>
        <v>00062</v>
      </c>
      <c r="CA111" t="str">
        <f t="shared" si="132"/>
        <v>Gastos médicos por accidente</v>
      </c>
      <c r="CB111" s="118">
        <f t="shared" si="133"/>
        <v>0</v>
      </c>
      <c r="CC111" s="118" t="str">
        <f t="shared" si="134"/>
        <v>A</v>
      </c>
      <c r="CD111" s="119" t="str">
        <f t="shared" si="179"/>
        <v/>
      </c>
      <c r="CE111" s="66">
        <f>+IF($W111="","",ROUND((VLOOKUP(ROUNDDOWN($D111-1/frec,0),cob_adi,BO$40,FALSE)*(1+i/frec)^-0.5*(1+Parámetros!$D$103)*(1+rec_fracc)/frec*'TABLAS ADI'!$BC$17),2))</f>
        <v>0</v>
      </c>
      <c r="CF111" s="119" t="str">
        <f t="shared" si="180"/>
        <v/>
      </c>
      <c r="CG111" s="66">
        <f>+IF($W111="","",ROUND(IF($B111&gt;Parámetros!$D$107,'Tablas Servicio'!CE111+('Tablas Servicio'!CG110-'Tablas Servicio'!CE110),CE111/(1-IF(B111&lt;=10,Parámetros!$D$100,0))),2))</f>
        <v>0</v>
      </c>
      <c r="CH111" s="66">
        <f t="shared" si="181"/>
        <v>0</v>
      </c>
      <c r="CI111" s="66">
        <f t="shared" si="181"/>
        <v>0</v>
      </c>
      <c r="CJ111" s="66">
        <f>+IF($W111="","",ROUND((CG111*Parámetros!$G$85),2))</f>
        <v>0</v>
      </c>
      <c r="CK111" s="66">
        <f>+IF($W111="","",ROUND((CG111*(Parámetros!$G$86)),2))</f>
        <v>0</v>
      </c>
      <c r="CL111" s="66">
        <f t="shared" si="182"/>
        <v>0</v>
      </c>
      <c r="CM111" t="str">
        <f t="shared" si="135"/>
        <v>00063</v>
      </c>
      <c r="CN111" s="118" t="str">
        <f t="shared" si="136"/>
        <v>Renta Diaria por Hospitalización</v>
      </c>
      <c r="CO111" s="118">
        <f t="shared" si="137"/>
        <v>0</v>
      </c>
      <c r="CP111" s="118" t="str">
        <f t="shared" si="138"/>
        <v>A</v>
      </c>
      <c r="CQ111" s="119" t="str">
        <f t="shared" si="183"/>
        <v/>
      </c>
      <c r="CR111" s="66">
        <f>+IF($W111="","",ROUND((VLOOKUP(Parámetros!$F$51,'COBERTURAS ADICIONALES'!$S$4:$T$32,2,FALSE)*(1+i/frec)^-0.5*(1+Parámetros!$D$103)*(1+rec_fracc)/frec*$CO$42),2))</f>
        <v>0</v>
      </c>
      <c r="CS111" s="119" t="str">
        <f t="shared" si="184"/>
        <v/>
      </c>
      <c r="CT111" s="66">
        <f>+IF($W111="","",ROUND(IF($B111&gt;Parámetros!$D$107,'Tablas Servicio'!CR111+('Tablas Servicio'!CT110-'Tablas Servicio'!CR110),CR111/(1-IF(B111&lt;=10,Parámetros!$D$100,0))),2))</f>
        <v>0</v>
      </c>
      <c r="CU111" s="66">
        <f t="shared" si="185"/>
        <v>0</v>
      </c>
      <c r="CV111" s="66">
        <f t="shared" si="185"/>
        <v>0</v>
      </c>
      <c r="CW111" s="66">
        <f>+IF($W111="","",ROUND((CT111*Parámetros!$G$85),2))</f>
        <v>0</v>
      </c>
      <c r="CX111" s="66">
        <f>+IF($W111="","",ROUND((CT111*(Parámetros!$G$86)),2))</f>
        <v>0</v>
      </c>
      <c r="CY111" s="66">
        <f t="shared" si="186"/>
        <v>0</v>
      </c>
      <c r="CZ111" t="str">
        <f t="shared" si="139"/>
        <v>00064</v>
      </c>
      <c r="DA111" s="118" t="str">
        <f t="shared" si="140"/>
        <v>Enfermedades Graves</v>
      </c>
      <c r="DB111" s="118">
        <f t="shared" si="141"/>
        <v>0</v>
      </c>
      <c r="DC111" s="118" t="str">
        <f t="shared" si="142"/>
        <v>A</v>
      </c>
      <c r="DD111" s="121" t="str">
        <f>+IF(OR($W111="",DB111=0),"",ROUND((VLOOKUP(ROUNDDOWN($D111-1/frec,0),cob_adi,CO$40,FALSE)*(1+i/frec)^-0.5*(1+Parámetros!$D$103)*(1+rec_fracc)/frec),6))</f>
        <v/>
      </c>
      <c r="DE111" s="66">
        <f t="shared" si="187"/>
        <v>0</v>
      </c>
      <c r="DF111" s="119" t="str">
        <f t="shared" si="188"/>
        <v/>
      </c>
      <c r="DG111" s="66">
        <f>+IF($W111="","",ROUND(IF($B111&gt;Parámetros!$D$107,'Tablas Servicio'!DE111+('Tablas Servicio'!DG110-'Tablas Servicio'!DE110),DE111/(1-IF(B111&lt;=10,Parámetros!$D$100,0))),2))</f>
        <v>0</v>
      </c>
      <c r="DH111" s="66">
        <f t="shared" si="189"/>
        <v>0</v>
      </c>
      <c r="DI111" s="66">
        <f t="shared" si="189"/>
        <v>0</v>
      </c>
      <c r="DJ111" s="66">
        <f>+IF($W111="","",ROUND((DG111*Parámetros!$G$85),2))</f>
        <v>0</v>
      </c>
      <c r="DK111" s="66">
        <f>+IF($W111="","",ROUND((DG111*(Parámetros!$G$86)),2))</f>
        <v>0</v>
      </c>
      <c r="DL111" s="66">
        <f t="shared" si="190"/>
        <v>0</v>
      </c>
      <c r="DM111" t="str">
        <f t="shared" si="143"/>
        <v>00065</v>
      </c>
      <c r="DN111" s="118" t="str">
        <f t="shared" si="144"/>
        <v>Exención pago de primas</v>
      </c>
      <c r="DO111" s="118">
        <f t="shared" si="145"/>
        <v>0</v>
      </c>
      <c r="DP111" s="118" t="str">
        <f t="shared" si="146"/>
        <v>A</v>
      </c>
      <c r="DQ111" s="122" t="str">
        <f>+IF(OR($W111="",DO111=0),"",ROUND((VLOOKUP(ROUNDDOWN($D111-1/frec,0),cob_adi,DB$40,FALSE)*(1+i/frec)^-0.5*(1+Parámetros!$D$103)*(1+rec_fracc)/frec),6))</f>
        <v/>
      </c>
      <c r="DR111" s="66">
        <f t="shared" si="191"/>
        <v>0</v>
      </c>
      <c r="DS111" s="68" t="str">
        <f t="shared" si="192"/>
        <v/>
      </c>
      <c r="DT111" s="66">
        <f>+IF($W111="","",ROUND(IF($B111&gt;Parámetros!$D$107,'Tablas Servicio'!DR111+('Tablas Servicio'!DT110-'Tablas Servicio'!DR110),DR111/(1-IF(B111&lt;=10,Parámetros!$D$100,0))),2))</f>
        <v>0</v>
      </c>
      <c r="DU111" s="66">
        <f t="shared" si="193"/>
        <v>0</v>
      </c>
      <c r="DV111" s="66">
        <f t="shared" si="193"/>
        <v>0</v>
      </c>
      <c r="DW111" s="66">
        <f>+IF($W111="","",ROUND((DT111*Parámetros!$G$85),2))</f>
        <v>0</v>
      </c>
      <c r="DX111" s="66">
        <f>+IF($W111="","",ROUND((DT111*(Parámetros!$G$86)),2))</f>
        <v>0</v>
      </c>
      <c r="DY111" s="66">
        <f t="shared" si="194"/>
        <v>0</v>
      </c>
      <c r="DZ111" t="str">
        <f t="shared" si="195"/>
        <v>00066</v>
      </c>
      <c r="EA111" s="118" t="str">
        <f t="shared" si="195"/>
        <v>Enfermedad terminal</v>
      </c>
      <c r="EB111" s="118">
        <f>+IF($W111="","",ROUND(IF(Parámetros!$D$25='TABLAS MORT'!$V$33,EB110,Z111/2),0))</f>
        <v>50000</v>
      </c>
      <c r="EC111" s="118" t="str">
        <f t="shared" si="195"/>
        <v>A</v>
      </c>
      <c r="ED111" s="122">
        <f>+IF(OR($W111="",EB111=0),"",ROUND((VLOOKUP(ROUNDDOWN($D111-1/frec,0),cob_adi,DO$40,FALSE)*(1+i/frec)^-0.5*(1+Parámetros!$D$103)*(1+rec_fracc)/frec),6))</f>
        <v>1.2E-5</v>
      </c>
      <c r="EE111" s="66">
        <f t="shared" si="196"/>
        <v>0.6</v>
      </c>
      <c r="EF111" s="68">
        <f t="shared" si="197"/>
        <v>1.4E-5</v>
      </c>
      <c r="EG111" s="66">
        <f>+IF($W111="","",ROUND(IF($B111&gt;Parámetros!$D$107,'Tablas Servicio'!EE111+('Tablas Servicio'!EG110-'Tablas Servicio'!EE110),EE111/(1-IF(B111&lt;=10,Parámetros!$D$100,0))),2))</f>
        <v>0.68</v>
      </c>
      <c r="EH111" s="66">
        <f t="shared" si="198"/>
        <v>0</v>
      </c>
      <c r="EI111" s="66">
        <f t="shared" si="198"/>
        <v>0</v>
      </c>
      <c r="EJ111" s="66">
        <f>+IF($W111="","",ROUND((EG111*Parámetros!$G$85),2))</f>
        <v>0.02</v>
      </c>
      <c r="EK111" s="66">
        <f>+IF($W111="","",ROUND((EG111*(Parámetros!$G$86)),2))</f>
        <v>0</v>
      </c>
      <c r="EL111" s="66">
        <f t="shared" si="199"/>
        <v>0.7</v>
      </c>
    </row>
    <row r="112" spans="1:142" x14ac:dyDescent="0.25">
      <c r="A112">
        <f>+IF($C112="","",ROUND(VLOOKUP('Tablas Servicio'!B112,Parámetros!$H$100:$J$159,IF(Parámetros!$E$16="F",2,3),FALSE),2))</f>
        <v>150</v>
      </c>
      <c r="B112">
        <f t="shared" si="150"/>
        <v>6</v>
      </c>
      <c r="C112" s="57">
        <f>+IF(D112="","",'Tablas Servicio'!C111+1)</f>
        <v>71</v>
      </c>
      <c r="D112" s="56">
        <f>+IF(D111&lt;edadmaxtabla,D111+1/Parámetros!$E$25,"")</f>
        <v>45.936666666666838</v>
      </c>
      <c r="E112" s="57">
        <f t="shared" si="160"/>
        <v>45</v>
      </c>
      <c r="F112" s="59">
        <f t="shared" si="161"/>
        <v>100000</v>
      </c>
      <c r="G112" s="66">
        <f t="shared" si="151"/>
        <v>32.72</v>
      </c>
      <c r="H112" s="66">
        <f t="shared" si="152"/>
        <v>34.020000000000003</v>
      </c>
      <c r="I112" s="66">
        <f t="shared" si="112"/>
        <v>52.83</v>
      </c>
      <c r="J112" s="66">
        <f t="shared" si="153"/>
        <v>1.1400000000000001</v>
      </c>
      <c r="K112" s="66">
        <f t="shared" si="154"/>
        <v>0.16</v>
      </c>
      <c r="L112" s="66">
        <f t="shared" si="155"/>
        <v>0</v>
      </c>
      <c r="M112" s="66">
        <f t="shared" si="156"/>
        <v>0</v>
      </c>
      <c r="N112" s="66">
        <f>+IF(C112="","",ROUND(Parámetros!$D$23,2))</f>
        <v>94</v>
      </c>
      <c r="O112" s="66">
        <f t="shared" si="157"/>
        <v>16.400000000000002</v>
      </c>
      <c r="P112" s="66">
        <f>+IF($C112="","",ROUND(IF(B112&gt;Parámetros!$D$117,0,N112*Parámetros!$D$116-G112*Parámetros!$D$100),2))</f>
        <v>7.15</v>
      </c>
      <c r="Q112" s="75">
        <f t="shared" si="113"/>
        <v>3.4841075794621035E-2</v>
      </c>
      <c r="R112" s="75">
        <f t="shared" si="114"/>
        <v>4.8899755501222494E-3</v>
      </c>
      <c r="S112" s="117">
        <f>+IF($C112="","",ROUND((S111+I112)*(1+Parámetros!$D$91),2))</f>
        <v>4516.38</v>
      </c>
      <c r="T112" s="117">
        <f>+IF($C112="","",ROUND(S112*VLOOKUP(B112,Parámetros!$C$30:$D$39,2,TRUE),2))</f>
        <v>2709.83</v>
      </c>
      <c r="U112" s="117">
        <f>+IF($C112="","",ROUND((U111+I112)*(1+Parámetros!$D$92),2))</f>
        <v>4586.9399999999996</v>
      </c>
      <c r="V112" s="117">
        <f>+IF($C112="","",ROUND(U112*VLOOKUP(B112,Parámetros!$C$30:$D$39,2,TRUE),2))</f>
        <v>2752.16</v>
      </c>
      <c r="W112" s="57">
        <f t="shared" si="115"/>
        <v>71</v>
      </c>
      <c r="X112" t="str">
        <f t="shared" si="116"/>
        <v>00058</v>
      </c>
      <c r="Y112" t="str">
        <f t="shared" si="117"/>
        <v>MUERTE POR CUALQUIER CAUSA</v>
      </c>
      <c r="Z112" s="118">
        <f>+IF($W112="","",ROUND(IF(Parámetros!$D$25='TABLAS MORT'!$V$33,Z111,Parámetros!$D$21-'Tablas Servicio'!T111),0))</f>
        <v>100000</v>
      </c>
      <c r="AA112" s="118" t="str">
        <f t="shared" si="118"/>
        <v>P</v>
      </c>
      <c r="AB112" s="119">
        <f>+IF(W112="","",ROUND((VLOOKUP(ROUNDDOWN($D112-1/frec,0),qx_tabla,2,FALSE)*(1+i/frec)^-0.5*(1+Parámetros!$D$103)*(1+rec_fracc)/frec),6))</f>
        <v>1.5799999999999999E-4</v>
      </c>
      <c r="AC112" s="66">
        <f t="shared" si="162"/>
        <v>15.8</v>
      </c>
      <c r="AD112" s="119">
        <f t="shared" si="158"/>
        <v>3.2000000000000003E-4</v>
      </c>
      <c r="AE112" s="66">
        <f>+IF($W112="","",ROUND(IF($B112&gt;Parámetros!$D$107,'Tablas Servicio'!AC112+('Tablas Servicio'!AG111-'Tablas Servicio'!AC111),AC112/(1-IF(B112&lt;=10,Parámetros!$D$104,Parámetros!$D$105))),2))</f>
        <v>32.69</v>
      </c>
      <c r="AF112" s="66">
        <f>+IF($W112="","",ROUND(IF($B112&gt;Parámetros!$D$107,'Tablas Servicio'!AC112+('Tablas Servicio'!AG111-'Tablas Servicio'!AC111),(AC112+$A111/frec)/(1-IF(B112&lt;=Parámetros!$D$117,Parámetros!$D$100,0))),2))</f>
        <v>32.04</v>
      </c>
      <c r="AG112" s="66">
        <f t="shared" si="163"/>
        <v>32.04</v>
      </c>
      <c r="AH112" s="66">
        <f t="shared" si="164"/>
        <v>0</v>
      </c>
      <c r="AI112" s="66">
        <f t="shared" si="165"/>
        <v>0</v>
      </c>
      <c r="AJ112" s="66">
        <f>+IF($W112="","",ROUND((AG112*Parámetros!$G$85),2))</f>
        <v>1.1200000000000001</v>
      </c>
      <c r="AK112" s="66">
        <f>+IF($W112="","",ROUND((AG112*(Parámetros!$G$86)),2))</f>
        <v>0.16</v>
      </c>
      <c r="AL112" s="66">
        <f t="shared" si="159"/>
        <v>33.32</v>
      </c>
      <c r="AM112" t="str">
        <f t="shared" si="119"/>
        <v>00059</v>
      </c>
      <c r="AN112" t="str">
        <f t="shared" si="120"/>
        <v>Incapacidad Total y Permanente</v>
      </c>
      <c r="AO112" s="118">
        <f t="shared" si="121"/>
        <v>0</v>
      </c>
      <c r="AP112" s="118" t="str">
        <f t="shared" si="122"/>
        <v>A</v>
      </c>
      <c r="AQ112" s="119" t="str">
        <f>+IF(OR($W112="",AO112=0),"",ROUND((VLOOKUP(ROUNDDOWN($D112-1/frec,0),cob_adi,Z$40,FALSE)*(1+i/frec)^-0.5*(1+Parámetros!$D$103)*(1+rec_fracc)/frec),6))</f>
        <v/>
      </c>
      <c r="AR112" s="66">
        <f t="shared" si="166"/>
        <v>0</v>
      </c>
      <c r="AS112" s="119" t="str">
        <f t="shared" si="167"/>
        <v/>
      </c>
      <c r="AT112" s="66">
        <f>+IF($W112="","",ROUND(IF($B112&gt;Parámetros!$D$107,'Tablas Servicio'!AR112+('Tablas Servicio'!AT111-'Tablas Servicio'!AR111),AR112/(1-IF(B112&lt;=10,Parámetros!$D$100,0))),2))</f>
        <v>0</v>
      </c>
      <c r="AU112" s="66">
        <f t="shared" si="168"/>
        <v>0</v>
      </c>
      <c r="AV112" s="66">
        <f t="shared" si="168"/>
        <v>0</v>
      </c>
      <c r="AW112" s="66">
        <f>+IF($W112="","",ROUND((AT112*Parámetros!$G$85),2))</f>
        <v>0</v>
      </c>
      <c r="AX112" s="66">
        <f>+IF($W112="","",ROUND((AT112*(Parámetros!$G$86)),2))</f>
        <v>0</v>
      </c>
      <c r="AY112" s="66">
        <f t="shared" si="169"/>
        <v>0</v>
      </c>
      <c r="AZ112" t="str">
        <f t="shared" si="123"/>
        <v>00060</v>
      </c>
      <c r="BA112" t="str">
        <f t="shared" si="124"/>
        <v>Muerte Accidental</v>
      </c>
      <c r="BB112" s="118">
        <f t="shared" si="125"/>
        <v>0</v>
      </c>
      <c r="BC112" s="118" t="str">
        <f t="shared" si="126"/>
        <v>A</v>
      </c>
      <c r="BD112" s="119" t="str">
        <f>+IF(OR($W112="",BB112=0),"",ROUND((VLOOKUP(ROUNDDOWN($D112-1/frec,0),cob_adi,AO$40,FALSE)*(1+i/frec)^-0.5*(1+Parámetros!$D$103)*(1+rec_fracc)/frec),6))</f>
        <v/>
      </c>
      <c r="BE112" s="66">
        <f t="shared" si="170"/>
        <v>0</v>
      </c>
      <c r="BF112" s="119" t="str">
        <f t="shared" si="171"/>
        <v/>
      </c>
      <c r="BG112" s="66">
        <f>+IF($W112="","",ROUND(IF($B112&gt;Parámetros!$D$107,'Tablas Servicio'!BE112+('Tablas Servicio'!BG111-'Tablas Servicio'!BE111),BE112/(1-IF(B112&lt;=10,Parámetros!$D$100,0))),2))</f>
        <v>0</v>
      </c>
      <c r="BH112" s="66">
        <f t="shared" si="172"/>
        <v>0</v>
      </c>
      <c r="BI112" s="66">
        <f t="shared" si="173"/>
        <v>0</v>
      </c>
      <c r="BJ112" s="66">
        <f>+IF($W112="","",ROUND((BG112*Parámetros!$G$85),2))</f>
        <v>0</v>
      </c>
      <c r="BK112" s="66">
        <f>+IF($W112="","",ROUND((BG112*(Parámetros!$G$86)),2))</f>
        <v>0</v>
      </c>
      <c r="BL112" s="66">
        <f t="shared" si="174"/>
        <v>0</v>
      </c>
      <c r="BM112" t="str">
        <f t="shared" si="127"/>
        <v>00061</v>
      </c>
      <c r="BN112" t="str">
        <f t="shared" si="128"/>
        <v>Gastos de Entierro</v>
      </c>
      <c r="BO112" s="118">
        <f t="shared" si="129"/>
        <v>0</v>
      </c>
      <c r="BP112" s="118" t="str">
        <f t="shared" si="130"/>
        <v>A</v>
      </c>
      <c r="BQ112" s="119" t="str">
        <f>+IF(OR($W112="",BO112=0),"",ROUND((VLOOKUP(ROUNDDOWN($D112-1/frec,0),cob_adi,BB$40,FALSE)*(1+i/frec)^-0.5*(1+Parámetros!$D$103)*(1+rec_fracc)/frec),6))</f>
        <v/>
      </c>
      <c r="BR112" s="66">
        <f t="shared" si="175"/>
        <v>0</v>
      </c>
      <c r="BS112" s="119" t="str">
        <f t="shared" si="176"/>
        <v/>
      </c>
      <c r="BT112" s="66">
        <f>+IF($W112="","",ROUND(IF($B112&gt;Parámetros!$D$107,'Tablas Servicio'!BR112+('Tablas Servicio'!BT111-'Tablas Servicio'!BR111),BR112/(1-IF(B112&lt;=10,Parámetros!$D$100,0))),2))</f>
        <v>0</v>
      </c>
      <c r="BU112" s="66">
        <f t="shared" si="177"/>
        <v>0</v>
      </c>
      <c r="BV112" s="66">
        <f t="shared" si="177"/>
        <v>0</v>
      </c>
      <c r="BW112" s="66">
        <f>+IF($W112="","",ROUND((BT112*Parámetros!$G$85),2))</f>
        <v>0</v>
      </c>
      <c r="BX112" s="66">
        <f>+IF($W112="","",ROUND((BT112*(Parámetros!$G$86)),2))</f>
        <v>0</v>
      </c>
      <c r="BY112" s="66">
        <f t="shared" si="178"/>
        <v>0</v>
      </c>
      <c r="BZ112" t="str">
        <f t="shared" si="131"/>
        <v>00062</v>
      </c>
      <c r="CA112" t="str">
        <f t="shared" si="132"/>
        <v>Gastos médicos por accidente</v>
      </c>
      <c r="CB112" s="118">
        <f t="shared" si="133"/>
        <v>0</v>
      </c>
      <c r="CC112" s="118" t="str">
        <f t="shared" si="134"/>
        <v>A</v>
      </c>
      <c r="CD112" s="119" t="str">
        <f t="shared" si="179"/>
        <v/>
      </c>
      <c r="CE112" s="66">
        <f>+IF($W112="","",ROUND((VLOOKUP(ROUNDDOWN($D112-1/frec,0),cob_adi,BO$40,FALSE)*(1+i/frec)^-0.5*(1+Parámetros!$D$103)*(1+rec_fracc)/frec*'TABLAS ADI'!$BC$17),2))</f>
        <v>0</v>
      </c>
      <c r="CF112" s="119" t="str">
        <f t="shared" si="180"/>
        <v/>
      </c>
      <c r="CG112" s="66">
        <f>+IF($W112="","",ROUND(IF($B112&gt;Parámetros!$D$107,'Tablas Servicio'!CE112+('Tablas Servicio'!CG111-'Tablas Servicio'!CE111),CE112/(1-IF(B112&lt;=10,Parámetros!$D$100,0))),2))</f>
        <v>0</v>
      </c>
      <c r="CH112" s="66">
        <f t="shared" si="181"/>
        <v>0</v>
      </c>
      <c r="CI112" s="66">
        <f t="shared" si="181"/>
        <v>0</v>
      </c>
      <c r="CJ112" s="66">
        <f>+IF($W112="","",ROUND((CG112*Parámetros!$G$85),2))</f>
        <v>0</v>
      </c>
      <c r="CK112" s="66">
        <f>+IF($W112="","",ROUND((CG112*(Parámetros!$G$86)),2))</f>
        <v>0</v>
      </c>
      <c r="CL112" s="66">
        <f t="shared" si="182"/>
        <v>0</v>
      </c>
      <c r="CM112" t="str">
        <f t="shared" si="135"/>
        <v>00063</v>
      </c>
      <c r="CN112" s="118" t="str">
        <f t="shared" si="136"/>
        <v>Renta Diaria por Hospitalización</v>
      </c>
      <c r="CO112" s="118">
        <f t="shared" si="137"/>
        <v>0</v>
      </c>
      <c r="CP112" s="118" t="str">
        <f t="shared" si="138"/>
        <v>A</v>
      </c>
      <c r="CQ112" s="119" t="str">
        <f t="shared" si="183"/>
        <v/>
      </c>
      <c r="CR112" s="66">
        <f>+IF($W112="","",ROUND((VLOOKUP(Parámetros!$F$51,'COBERTURAS ADICIONALES'!$S$4:$T$32,2,FALSE)*(1+i/frec)^-0.5*(1+Parámetros!$D$103)*(1+rec_fracc)/frec*$CO$42),2))</f>
        <v>0</v>
      </c>
      <c r="CS112" s="119" t="str">
        <f t="shared" si="184"/>
        <v/>
      </c>
      <c r="CT112" s="66">
        <f>+IF($W112="","",ROUND(IF($B112&gt;Parámetros!$D$107,'Tablas Servicio'!CR112+('Tablas Servicio'!CT111-'Tablas Servicio'!CR111),CR112/(1-IF(B112&lt;=10,Parámetros!$D$100,0))),2))</f>
        <v>0</v>
      </c>
      <c r="CU112" s="66">
        <f t="shared" si="185"/>
        <v>0</v>
      </c>
      <c r="CV112" s="66">
        <f t="shared" si="185"/>
        <v>0</v>
      </c>
      <c r="CW112" s="66">
        <f>+IF($W112="","",ROUND((CT112*Parámetros!$G$85),2))</f>
        <v>0</v>
      </c>
      <c r="CX112" s="66">
        <f>+IF($W112="","",ROUND((CT112*(Parámetros!$G$86)),2))</f>
        <v>0</v>
      </c>
      <c r="CY112" s="66">
        <f t="shared" si="186"/>
        <v>0</v>
      </c>
      <c r="CZ112" t="str">
        <f t="shared" si="139"/>
        <v>00064</v>
      </c>
      <c r="DA112" s="118" t="str">
        <f t="shared" si="140"/>
        <v>Enfermedades Graves</v>
      </c>
      <c r="DB112" s="118">
        <f t="shared" si="141"/>
        <v>0</v>
      </c>
      <c r="DC112" s="118" t="str">
        <f t="shared" si="142"/>
        <v>A</v>
      </c>
      <c r="DD112" s="121" t="str">
        <f>+IF(OR($W112="",DB112=0),"",ROUND((VLOOKUP(ROUNDDOWN($D112-1/frec,0),cob_adi,CO$40,FALSE)*(1+i/frec)^-0.5*(1+Parámetros!$D$103)*(1+rec_fracc)/frec),6))</f>
        <v/>
      </c>
      <c r="DE112" s="66">
        <f t="shared" si="187"/>
        <v>0</v>
      </c>
      <c r="DF112" s="119" t="str">
        <f t="shared" si="188"/>
        <v/>
      </c>
      <c r="DG112" s="66">
        <f>+IF($W112="","",ROUND(IF($B112&gt;Parámetros!$D$107,'Tablas Servicio'!DE112+('Tablas Servicio'!DG111-'Tablas Servicio'!DE111),DE112/(1-IF(B112&lt;=10,Parámetros!$D$100,0))),2))</f>
        <v>0</v>
      </c>
      <c r="DH112" s="66">
        <f t="shared" si="189"/>
        <v>0</v>
      </c>
      <c r="DI112" s="66">
        <f t="shared" si="189"/>
        <v>0</v>
      </c>
      <c r="DJ112" s="66">
        <f>+IF($W112="","",ROUND((DG112*Parámetros!$G$85),2))</f>
        <v>0</v>
      </c>
      <c r="DK112" s="66">
        <f>+IF($W112="","",ROUND((DG112*(Parámetros!$G$86)),2))</f>
        <v>0</v>
      </c>
      <c r="DL112" s="66">
        <f t="shared" si="190"/>
        <v>0</v>
      </c>
      <c r="DM112" t="str">
        <f t="shared" si="143"/>
        <v>00065</v>
      </c>
      <c r="DN112" s="118" t="str">
        <f t="shared" si="144"/>
        <v>Exención pago de primas</v>
      </c>
      <c r="DO112" s="118">
        <f t="shared" si="145"/>
        <v>0</v>
      </c>
      <c r="DP112" s="118" t="str">
        <f t="shared" si="146"/>
        <v>A</v>
      </c>
      <c r="DQ112" s="122" t="str">
        <f>+IF(OR($W112="",DO112=0),"",ROUND((VLOOKUP(ROUNDDOWN($D112-1/frec,0),cob_adi,DB$40,FALSE)*(1+i/frec)^-0.5*(1+Parámetros!$D$103)*(1+rec_fracc)/frec),6))</f>
        <v/>
      </c>
      <c r="DR112" s="66">
        <f t="shared" si="191"/>
        <v>0</v>
      </c>
      <c r="DS112" s="68" t="str">
        <f t="shared" si="192"/>
        <v/>
      </c>
      <c r="DT112" s="66">
        <f>+IF($W112="","",ROUND(IF($B112&gt;Parámetros!$D$107,'Tablas Servicio'!DR112+('Tablas Servicio'!DT111-'Tablas Servicio'!DR111),DR112/(1-IF(B112&lt;=10,Parámetros!$D$100,0))),2))</f>
        <v>0</v>
      </c>
      <c r="DU112" s="66">
        <f t="shared" si="193"/>
        <v>0</v>
      </c>
      <c r="DV112" s="66">
        <f t="shared" si="193"/>
        <v>0</v>
      </c>
      <c r="DW112" s="66">
        <f>+IF($W112="","",ROUND((DT112*Parámetros!$G$85),2))</f>
        <v>0</v>
      </c>
      <c r="DX112" s="66">
        <f>+IF($W112="","",ROUND((DT112*(Parámetros!$G$86)),2))</f>
        <v>0</v>
      </c>
      <c r="DY112" s="66">
        <f t="shared" si="194"/>
        <v>0</v>
      </c>
      <c r="DZ112" t="str">
        <f t="shared" si="195"/>
        <v>00066</v>
      </c>
      <c r="EA112" s="118" t="str">
        <f t="shared" si="195"/>
        <v>Enfermedad terminal</v>
      </c>
      <c r="EB112" s="118">
        <f>+IF($W112="","",ROUND(IF(Parámetros!$D$25='TABLAS MORT'!$V$33,EB111,Z112/2),0))</f>
        <v>50000</v>
      </c>
      <c r="EC112" s="118" t="str">
        <f t="shared" si="195"/>
        <v>A</v>
      </c>
      <c r="ED112" s="122">
        <f>+IF(OR($W112="",EB112=0),"",ROUND((VLOOKUP(ROUNDDOWN($D112-1/frec,0),cob_adi,DO$40,FALSE)*(1+i/frec)^-0.5*(1+Parámetros!$D$103)*(1+rec_fracc)/frec),6))</f>
        <v>1.2E-5</v>
      </c>
      <c r="EE112" s="66">
        <f t="shared" si="196"/>
        <v>0.6</v>
      </c>
      <c r="EF112" s="68">
        <f t="shared" si="197"/>
        <v>1.4E-5</v>
      </c>
      <c r="EG112" s="66">
        <f>+IF($W112="","",ROUND(IF($B112&gt;Parámetros!$D$107,'Tablas Servicio'!EE112+('Tablas Servicio'!EG111-'Tablas Servicio'!EE111),EE112/(1-IF(B112&lt;=10,Parámetros!$D$100,0))),2))</f>
        <v>0.68</v>
      </c>
      <c r="EH112" s="66">
        <f t="shared" si="198"/>
        <v>0</v>
      </c>
      <c r="EI112" s="66">
        <f t="shared" si="198"/>
        <v>0</v>
      </c>
      <c r="EJ112" s="66">
        <f>+IF($W112="","",ROUND((EG112*Parámetros!$G$85),2))</f>
        <v>0.02</v>
      </c>
      <c r="EK112" s="66">
        <f>+IF($W112="","",ROUND((EG112*(Parámetros!$G$86)),2))</f>
        <v>0</v>
      </c>
      <c r="EL112" s="66">
        <f t="shared" si="199"/>
        <v>0.7</v>
      </c>
    </row>
    <row r="113" spans="1:142" x14ac:dyDescent="0.25">
      <c r="A113">
        <f>+IF($C113="","",ROUND(VLOOKUP('Tablas Servicio'!B113,Parámetros!$H$100:$J$159,IF(Parámetros!$E$16="F",2,3),FALSE),2))</f>
        <v>150</v>
      </c>
      <c r="B113">
        <f t="shared" si="150"/>
        <v>6</v>
      </c>
      <c r="C113" s="57">
        <f>+IF(D113="","",'Tablas Servicio'!C112+1)</f>
        <v>72</v>
      </c>
      <c r="D113" s="56">
        <f>+IF(D112&lt;edadmaxtabla,D112+1/Parámetros!$E$25,"")</f>
        <v>46.020000000000174</v>
      </c>
      <c r="E113" s="57">
        <f t="shared" si="160"/>
        <v>46</v>
      </c>
      <c r="F113" s="59">
        <f t="shared" si="161"/>
        <v>100000</v>
      </c>
      <c r="G113" s="66">
        <f t="shared" si="151"/>
        <v>32.72</v>
      </c>
      <c r="H113" s="66">
        <f t="shared" si="152"/>
        <v>34.020000000000003</v>
      </c>
      <c r="I113" s="66">
        <f t="shared" si="112"/>
        <v>52.83</v>
      </c>
      <c r="J113" s="66">
        <f t="shared" si="153"/>
        <v>1.1400000000000001</v>
      </c>
      <c r="K113" s="66">
        <f t="shared" si="154"/>
        <v>0.16</v>
      </c>
      <c r="L113" s="66">
        <f t="shared" si="155"/>
        <v>0</v>
      </c>
      <c r="M113" s="66">
        <f t="shared" si="156"/>
        <v>0</v>
      </c>
      <c r="N113" s="66">
        <f>+IF(C113="","",ROUND(Parámetros!$D$23,2))</f>
        <v>94</v>
      </c>
      <c r="O113" s="66">
        <f t="shared" si="157"/>
        <v>16.400000000000002</v>
      </c>
      <c r="P113" s="66">
        <f>+IF($C113="","",ROUND(IF(B113&gt;Parámetros!$D$117,0,N113*Parámetros!$D$116-G113*Parámetros!$D$100),2))</f>
        <v>7.15</v>
      </c>
      <c r="Q113" s="75">
        <f t="shared" si="113"/>
        <v>3.4841075794621035E-2</v>
      </c>
      <c r="R113" s="75">
        <f t="shared" si="114"/>
        <v>4.8899755501222494E-3</v>
      </c>
      <c r="S113" s="117">
        <f>+IF($C113="","",ROUND((S112+I113)*(1+Parámetros!$D$91),2))</f>
        <v>4582.17</v>
      </c>
      <c r="T113" s="117">
        <f>+IF($C113="","",ROUND(S113*VLOOKUP(B113,Parámetros!$C$30:$D$39,2,TRUE),2))</f>
        <v>2749.3</v>
      </c>
      <c r="U113" s="117">
        <f>+IF($C113="","",ROUND((U112+I113)*(1+Parámetros!$D$92),2))</f>
        <v>4654.8100000000004</v>
      </c>
      <c r="V113" s="117">
        <f>+IF($C113="","",ROUND(U113*VLOOKUP(B113,Parámetros!$C$30:$D$39,2,TRUE),2))</f>
        <v>2792.89</v>
      </c>
      <c r="W113" s="57">
        <f t="shared" si="115"/>
        <v>72</v>
      </c>
      <c r="X113" t="str">
        <f t="shared" si="116"/>
        <v>00058</v>
      </c>
      <c r="Y113" t="str">
        <f t="shared" si="117"/>
        <v>MUERTE POR CUALQUIER CAUSA</v>
      </c>
      <c r="Z113" s="118">
        <f>+IF($W113="","",ROUND(IF(Parámetros!$D$25='TABLAS MORT'!$V$33,Z112,Parámetros!$D$21-'Tablas Servicio'!T112),0))</f>
        <v>100000</v>
      </c>
      <c r="AA113" s="118" t="str">
        <f t="shared" si="118"/>
        <v>P</v>
      </c>
      <c r="AB113" s="119">
        <f>+IF(W113="","",ROUND((VLOOKUP(ROUNDDOWN($D113-1/frec,0),qx_tabla,2,FALSE)*(1+i/frec)^-0.5*(1+Parámetros!$D$103)*(1+rec_fracc)/frec),6))</f>
        <v>1.5799999999999999E-4</v>
      </c>
      <c r="AC113" s="66">
        <f t="shared" si="162"/>
        <v>15.8</v>
      </c>
      <c r="AD113" s="119">
        <f t="shared" si="158"/>
        <v>3.2000000000000003E-4</v>
      </c>
      <c r="AE113" s="66">
        <f>+IF($W113="","",ROUND(IF($B113&gt;Parámetros!$D$107,'Tablas Servicio'!AC113+('Tablas Servicio'!AG112-'Tablas Servicio'!AC112),AC113/(1-IF(B113&lt;=10,Parámetros!$D$104,Parámetros!$D$105))),2))</f>
        <v>32.69</v>
      </c>
      <c r="AF113" s="66">
        <f>+IF($W113="","",ROUND(IF($B113&gt;Parámetros!$D$107,'Tablas Servicio'!AC113+('Tablas Servicio'!AG112-'Tablas Servicio'!AC112),(AC113+$A112/frec)/(1-IF(B113&lt;=Parámetros!$D$117,Parámetros!$D$100,0))),2))</f>
        <v>32.04</v>
      </c>
      <c r="AG113" s="66">
        <f t="shared" si="163"/>
        <v>32.04</v>
      </c>
      <c r="AH113" s="66">
        <f t="shared" si="164"/>
        <v>0</v>
      </c>
      <c r="AI113" s="66">
        <f t="shared" si="165"/>
        <v>0</v>
      </c>
      <c r="AJ113" s="66">
        <f>+IF($W113="","",ROUND((AG113*Parámetros!$G$85),2))</f>
        <v>1.1200000000000001</v>
      </c>
      <c r="AK113" s="66">
        <f>+IF($W113="","",ROUND((AG113*(Parámetros!$G$86)),2))</f>
        <v>0.16</v>
      </c>
      <c r="AL113" s="66">
        <f t="shared" si="159"/>
        <v>33.32</v>
      </c>
      <c r="AM113" t="str">
        <f t="shared" si="119"/>
        <v>00059</v>
      </c>
      <c r="AN113" t="str">
        <f t="shared" si="120"/>
        <v>Incapacidad Total y Permanente</v>
      </c>
      <c r="AO113" s="118">
        <f t="shared" si="121"/>
        <v>0</v>
      </c>
      <c r="AP113" s="118" t="str">
        <f t="shared" si="122"/>
        <v>A</v>
      </c>
      <c r="AQ113" s="119" t="str">
        <f>+IF(OR($W113="",AO113=0),"",ROUND((VLOOKUP(ROUNDDOWN($D113-1/frec,0),cob_adi,Z$40,FALSE)*(1+i/frec)^-0.5*(1+Parámetros!$D$103)*(1+rec_fracc)/frec),6))</f>
        <v/>
      </c>
      <c r="AR113" s="66">
        <f t="shared" si="166"/>
        <v>0</v>
      </c>
      <c r="AS113" s="119" t="str">
        <f t="shared" si="167"/>
        <v/>
      </c>
      <c r="AT113" s="66">
        <f>+IF($W113="","",ROUND(IF($B113&gt;Parámetros!$D$107,'Tablas Servicio'!AR113+('Tablas Servicio'!AT112-'Tablas Servicio'!AR112),AR113/(1-IF(B113&lt;=10,Parámetros!$D$100,0))),2))</f>
        <v>0</v>
      </c>
      <c r="AU113" s="66">
        <f t="shared" si="168"/>
        <v>0</v>
      </c>
      <c r="AV113" s="66">
        <f t="shared" si="168"/>
        <v>0</v>
      </c>
      <c r="AW113" s="66">
        <f>+IF($W113="","",ROUND((AT113*Parámetros!$G$85),2))</f>
        <v>0</v>
      </c>
      <c r="AX113" s="66">
        <f>+IF($W113="","",ROUND((AT113*(Parámetros!$G$86)),2))</f>
        <v>0</v>
      </c>
      <c r="AY113" s="66">
        <f t="shared" si="169"/>
        <v>0</v>
      </c>
      <c r="AZ113" t="str">
        <f t="shared" si="123"/>
        <v>00060</v>
      </c>
      <c r="BA113" t="str">
        <f t="shared" si="124"/>
        <v>Muerte Accidental</v>
      </c>
      <c r="BB113" s="118">
        <f t="shared" si="125"/>
        <v>0</v>
      </c>
      <c r="BC113" s="118" t="str">
        <f t="shared" si="126"/>
        <v>A</v>
      </c>
      <c r="BD113" s="119" t="str">
        <f>+IF(OR($W113="",BB113=0),"",ROUND((VLOOKUP(ROUNDDOWN($D113-1/frec,0),cob_adi,AO$40,FALSE)*(1+i/frec)^-0.5*(1+Parámetros!$D$103)*(1+rec_fracc)/frec),6))</f>
        <v/>
      </c>
      <c r="BE113" s="66">
        <f t="shared" si="170"/>
        <v>0</v>
      </c>
      <c r="BF113" s="119" t="str">
        <f t="shared" si="171"/>
        <v/>
      </c>
      <c r="BG113" s="66">
        <f>+IF($W113="","",ROUND(IF($B113&gt;Parámetros!$D$107,'Tablas Servicio'!BE113+('Tablas Servicio'!BG112-'Tablas Servicio'!BE112),BE113/(1-IF(B113&lt;=10,Parámetros!$D$100,0))),2))</f>
        <v>0</v>
      </c>
      <c r="BH113" s="66">
        <f t="shared" si="172"/>
        <v>0</v>
      </c>
      <c r="BI113" s="66">
        <f t="shared" si="173"/>
        <v>0</v>
      </c>
      <c r="BJ113" s="66">
        <f>+IF($W113="","",ROUND((BG113*Parámetros!$G$85),2))</f>
        <v>0</v>
      </c>
      <c r="BK113" s="66">
        <f>+IF($W113="","",ROUND((BG113*(Parámetros!$G$86)),2))</f>
        <v>0</v>
      </c>
      <c r="BL113" s="66">
        <f t="shared" si="174"/>
        <v>0</v>
      </c>
      <c r="BM113" t="str">
        <f t="shared" si="127"/>
        <v>00061</v>
      </c>
      <c r="BN113" t="str">
        <f t="shared" si="128"/>
        <v>Gastos de Entierro</v>
      </c>
      <c r="BO113" s="118">
        <f t="shared" si="129"/>
        <v>0</v>
      </c>
      <c r="BP113" s="118" t="str">
        <f t="shared" si="130"/>
        <v>A</v>
      </c>
      <c r="BQ113" s="119" t="str">
        <f>+IF(OR($W113="",BO113=0),"",ROUND((VLOOKUP(ROUNDDOWN($D113-1/frec,0),cob_adi,BB$40,FALSE)*(1+i/frec)^-0.5*(1+Parámetros!$D$103)*(1+rec_fracc)/frec),6))</f>
        <v/>
      </c>
      <c r="BR113" s="66">
        <f t="shared" si="175"/>
        <v>0</v>
      </c>
      <c r="BS113" s="119" t="str">
        <f t="shared" si="176"/>
        <v/>
      </c>
      <c r="BT113" s="66">
        <f>+IF($W113="","",ROUND(IF($B113&gt;Parámetros!$D$107,'Tablas Servicio'!BR113+('Tablas Servicio'!BT112-'Tablas Servicio'!BR112),BR113/(1-IF(B113&lt;=10,Parámetros!$D$100,0))),2))</f>
        <v>0</v>
      </c>
      <c r="BU113" s="66">
        <f t="shared" si="177"/>
        <v>0</v>
      </c>
      <c r="BV113" s="66">
        <f t="shared" si="177"/>
        <v>0</v>
      </c>
      <c r="BW113" s="66">
        <f>+IF($W113="","",ROUND((BT113*Parámetros!$G$85),2))</f>
        <v>0</v>
      </c>
      <c r="BX113" s="66">
        <f>+IF($W113="","",ROUND((BT113*(Parámetros!$G$86)),2))</f>
        <v>0</v>
      </c>
      <c r="BY113" s="66">
        <f t="shared" si="178"/>
        <v>0</v>
      </c>
      <c r="BZ113" t="str">
        <f t="shared" si="131"/>
        <v>00062</v>
      </c>
      <c r="CA113" t="str">
        <f t="shared" si="132"/>
        <v>Gastos médicos por accidente</v>
      </c>
      <c r="CB113" s="118">
        <f t="shared" si="133"/>
        <v>0</v>
      </c>
      <c r="CC113" s="118" t="str">
        <f t="shared" si="134"/>
        <v>A</v>
      </c>
      <c r="CD113" s="119" t="str">
        <f t="shared" si="179"/>
        <v/>
      </c>
      <c r="CE113" s="66">
        <f>+IF($W113="","",ROUND((VLOOKUP(ROUNDDOWN($D113-1/frec,0),cob_adi,BO$40,FALSE)*(1+i/frec)^-0.5*(1+Parámetros!$D$103)*(1+rec_fracc)/frec*'TABLAS ADI'!$BC$17),2))</f>
        <v>0</v>
      </c>
      <c r="CF113" s="119" t="str">
        <f t="shared" si="180"/>
        <v/>
      </c>
      <c r="CG113" s="66">
        <f>+IF($W113="","",ROUND(IF($B113&gt;Parámetros!$D$107,'Tablas Servicio'!CE113+('Tablas Servicio'!CG112-'Tablas Servicio'!CE112),CE113/(1-IF(B113&lt;=10,Parámetros!$D$100,0))),2))</f>
        <v>0</v>
      </c>
      <c r="CH113" s="66">
        <f t="shared" si="181"/>
        <v>0</v>
      </c>
      <c r="CI113" s="66">
        <f t="shared" si="181"/>
        <v>0</v>
      </c>
      <c r="CJ113" s="66">
        <f>+IF($W113="","",ROUND((CG113*Parámetros!$G$85),2))</f>
        <v>0</v>
      </c>
      <c r="CK113" s="66">
        <f>+IF($W113="","",ROUND((CG113*(Parámetros!$G$86)),2))</f>
        <v>0</v>
      </c>
      <c r="CL113" s="66">
        <f t="shared" si="182"/>
        <v>0</v>
      </c>
      <c r="CM113" t="str">
        <f t="shared" si="135"/>
        <v>00063</v>
      </c>
      <c r="CN113" s="118" t="str">
        <f t="shared" si="136"/>
        <v>Renta Diaria por Hospitalización</v>
      </c>
      <c r="CO113" s="118">
        <f t="shared" si="137"/>
        <v>0</v>
      </c>
      <c r="CP113" s="118" t="str">
        <f t="shared" si="138"/>
        <v>A</v>
      </c>
      <c r="CQ113" s="119" t="str">
        <f t="shared" si="183"/>
        <v/>
      </c>
      <c r="CR113" s="66">
        <f>+IF($W113="","",ROUND((VLOOKUP(Parámetros!$F$51,'COBERTURAS ADICIONALES'!$S$4:$T$32,2,FALSE)*(1+i/frec)^-0.5*(1+Parámetros!$D$103)*(1+rec_fracc)/frec*$CO$42),2))</f>
        <v>0</v>
      </c>
      <c r="CS113" s="119" t="str">
        <f t="shared" si="184"/>
        <v/>
      </c>
      <c r="CT113" s="66">
        <f>+IF($W113="","",ROUND(IF($B113&gt;Parámetros!$D$107,'Tablas Servicio'!CR113+('Tablas Servicio'!CT112-'Tablas Servicio'!CR112),CR113/(1-IF(B113&lt;=10,Parámetros!$D$100,0))),2))</f>
        <v>0</v>
      </c>
      <c r="CU113" s="66">
        <f t="shared" si="185"/>
        <v>0</v>
      </c>
      <c r="CV113" s="66">
        <f t="shared" si="185"/>
        <v>0</v>
      </c>
      <c r="CW113" s="66">
        <f>+IF($W113="","",ROUND((CT113*Parámetros!$G$85),2))</f>
        <v>0</v>
      </c>
      <c r="CX113" s="66">
        <f>+IF($W113="","",ROUND((CT113*(Parámetros!$G$86)),2))</f>
        <v>0</v>
      </c>
      <c r="CY113" s="66">
        <f t="shared" si="186"/>
        <v>0</v>
      </c>
      <c r="CZ113" t="str">
        <f t="shared" si="139"/>
        <v>00064</v>
      </c>
      <c r="DA113" s="118" t="str">
        <f t="shared" si="140"/>
        <v>Enfermedades Graves</v>
      </c>
      <c r="DB113" s="118">
        <f t="shared" si="141"/>
        <v>0</v>
      </c>
      <c r="DC113" s="118" t="str">
        <f t="shared" si="142"/>
        <v>A</v>
      </c>
      <c r="DD113" s="121" t="str">
        <f>+IF(OR($W113="",DB113=0),"",ROUND((VLOOKUP(ROUNDDOWN($D113-1/frec,0),cob_adi,CO$40,FALSE)*(1+i/frec)^-0.5*(1+Parámetros!$D$103)*(1+rec_fracc)/frec),6))</f>
        <v/>
      </c>
      <c r="DE113" s="66">
        <f t="shared" si="187"/>
        <v>0</v>
      </c>
      <c r="DF113" s="119" t="str">
        <f t="shared" si="188"/>
        <v/>
      </c>
      <c r="DG113" s="66">
        <f>+IF($W113="","",ROUND(IF($B113&gt;Parámetros!$D$107,'Tablas Servicio'!DE113+('Tablas Servicio'!DG112-'Tablas Servicio'!DE112),DE113/(1-IF(B113&lt;=10,Parámetros!$D$100,0))),2))</f>
        <v>0</v>
      </c>
      <c r="DH113" s="66">
        <f t="shared" si="189"/>
        <v>0</v>
      </c>
      <c r="DI113" s="66">
        <f t="shared" si="189"/>
        <v>0</v>
      </c>
      <c r="DJ113" s="66">
        <f>+IF($W113="","",ROUND((DG113*Parámetros!$G$85),2))</f>
        <v>0</v>
      </c>
      <c r="DK113" s="66">
        <f>+IF($W113="","",ROUND((DG113*(Parámetros!$G$86)),2))</f>
        <v>0</v>
      </c>
      <c r="DL113" s="66">
        <f t="shared" si="190"/>
        <v>0</v>
      </c>
      <c r="DM113" t="str">
        <f t="shared" si="143"/>
        <v>00065</v>
      </c>
      <c r="DN113" s="118" t="str">
        <f t="shared" si="144"/>
        <v>Exención pago de primas</v>
      </c>
      <c r="DO113" s="118">
        <f t="shared" si="145"/>
        <v>0</v>
      </c>
      <c r="DP113" s="118" t="str">
        <f t="shared" si="146"/>
        <v>A</v>
      </c>
      <c r="DQ113" s="122" t="str">
        <f>+IF(OR($W113="",DO113=0),"",ROUND((VLOOKUP(ROUNDDOWN($D113-1/frec,0),cob_adi,DB$40,FALSE)*(1+i/frec)^-0.5*(1+Parámetros!$D$103)*(1+rec_fracc)/frec),6))</f>
        <v/>
      </c>
      <c r="DR113" s="66">
        <f t="shared" si="191"/>
        <v>0</v>
      </c>
      <c r="DS113" s="68" t="str">
        <f t="shared" si="192"/>
        <v/>
      </c>
      <c r="DT113" s="66">
        <f>+IF($W113="","",ROUND(IF($B113&gt;Parámetros!$D$107,'Tablas Servicio'!DR113+('Tablas Servicio'!DT112-'Tablas Servicio'!DR112),DR113/(1-IF(B113&lt;=10,Parámetros!$D$100,0))),2))</f>
        <v>0</v>
      </c>
      <c r="DU113" s="66">
        <f t="shared" si="193"/>
        <v>0</v>
      </c>
      <c r="DV113" s="66">
        <f t="shared" si="193"/>
        <v>0</v>
      </c>
      <c r="DW113" s="66">
        <f>+IF($W113="","",ROUND((DT113*Parámetros!$G$85),2))</f>
        <v>0</v>
      </c>
      <c r="DX113" s="66">
        <f>+IF($W113="","",ROUND((DT113*(Parámetros!$G$86)),2))</f>
        <v>0</v>
      </c>
      <c r="DY113" s="66">
        <f t="shared" si="194"/>
        <v>0</v>
      </c>
      <c r="DZ113" t="str">
        <f t="shared" si="195"/>
        <v>00066</v>
      </c>
      <c r="EA113" s="118" t="str">
        <f t="shared" si="195"/>
        <v>Enfermedad terminal</v>
      </c>
      <c r="EB113" s="118">
        <f>+IF($W113="","",ROUND(IF(Parámetros!$D$25='TABLAS MORT'!$V$33,EB112,Z113/2),0))</f>
        <v>50000</v>
      </c>
      <c r="EC113" s="118" t="str">
        <f t="shared" si="195"/>
        <v>A</v>
      </c>
      <c r="ED113" s="122">
        <f>+IF(OR($W113="",EB113=0),"",ROUND((VLOOKUP(ROUNDDOWN($D113-1/frec,0),cob_adi,DO$40,FALSE)*(1+i/frec)^-0.5*(1+Parámetros!$D$103)*(1+rec_fracc)/frec),6))</f>
        <v>1.2E-5</v>
      </c>
      <c r="EE113" s="66">
        <f t="shared" si="196"/>
        <v>0.6</v>
      </c>
      <c r="EF113" s="68">
        <f t="shared" si="197"/>
        <v>1.4E-5</v>
      </c>
      <c r="EG113" s="66">
        <f>+IF($W113="","",ROUND(IF($B113&gt;Parámetros!$D$107,'Tablas Servicio'!EE113+('Tablas Servicio'!EG112-'Tablas Servicio'!EE112),EE113/(1-IF(B113&lt;=10,Parámetros!$D$100,0))),2))</f>
        <v>0.68</v>
      </c>
      <c r="EH113" s="66">
        <f t="shared" si="198"/>
        <v>0</v>
      </c>
      <c r="EI113" s="66">
        <f t="shared" si="198"/>
        <v>0</v>
      </c>
      <c r="EJ113" s="66">
        <f>+IF($W113="","",ROUND((EG113*Parámetros!$G$85),2))</f>
        <v>0.02</v>
      </c>
      <c r="EK113" s="66">
        <f>+IF($W113="","",ROUND((EG113*(Parámetros!$G$86)),2))</f>
        <v>0</v>
      </c>
      <c r="EL113" s="66">
        <f t="shared" si="199"/>
        <v>0.7</v>
      </c>
    </row>
    <row r="114" spans="1:142" x14ac:dyDescent="0.25">
      <c r="A114">
        <f>+IF($C114="","",ROUND(VLOOKUP('Tablas Servicio'!B114,Parámetros!$H$100:$J$159,IF(Parámetros!$E$16="F",2,3),FALSE),2))</f>
        <v>150</v>
      </c>
      <c r="B114">
        <f t="shared" si="150"/>
        <v>7</v>
      </c>
      <c r="C114" s="57">
        <f>+IF(D114="","",'Tablas Servicio'!C113+1)</f>
        <v>73</v>
      </c>
      <c r="D114" s="56">
        <f>+IF(D113&lt;edadmaxtabla,D113+1/Parámetros!$E$25,"")</f>
        <v>46.103333333333509</v>
      </c>
      <c r="E114" s="57">
        <f t="shared" si="160"/>
        <v>46</v>
      </c>
      <c r="F114" s="59">
        <f t="shared" si="161"/>
        <v>100000</v>
      </c>
      <c r="G114" s="66">
        <f t="shared" si="151"/>
        <v>33.96</v>
      </c>
      <c r="H114" s="66">
        <f t="shared" si="152"/>
        <v>35.31</v>
      </c>
      <c r="I114" s="66">
        <f t="shared" si="112"/>
        <v>51.68</v>
      </c>
      <c r="J114" s="66">
        <f t="shared" si="153"/>
        <v>1.18</v>
      </c>
      <c r="K114" s="66">
        <f t="shared" si="154"/>
        <v>0.17</v>
      </c>
      <c r="L114" s="66">
        <f t="shared" si="155"/>
        <v>0</v>
      </c>
      <c r="M114" s="66">
        <f t="shared" si="156"/>
        <v>0</v>
      </c>
      <c r="N114" s="66">
        <f>+IF(C114="","",ROUND(Parámetros!$D$23,2))</f>
        <v>94</v>
      </c>
      <c r="O114" s="66">
        <f t="shared" si="157"/>
        <v>17.5</v>
      </c>
      <c r="P114" s="66">
        <f>+IF($C114="","",ROUND(IF(B114&gt;Parámetros!$D$117,0,N114*Parámetros!$D$116-G114*Parámetros!$D$100),2))</f>
        <v>7.01</v>
      </c>
      <c r="Q114" s="75">
        <f t="shared" si="113"/>
        <v>3.4746760895170786E-2</v>
      </c>
      <c r="R114" s="75">
        <f t="shared" si="114"/>
        <v>5.0058892815076561E-3</v>
      </c>
      <c r="S114" s="117">
        <f>+IF($C114="","",ROUND((S113+I114)*(1+Parámetros!$D$91),2))</f>
        <v>4646.99</v>
      </c>
      <c r="T114" s="117">
        <f>+IF($C114="","",ROUND(S114*VLOOKUP(B114,Parámetros!$C$30:$D$39,2,TRUE),2))</f>
        <v>3485.24</v>
      </c>
      <c r="U114" s="117">
        <f>+IF($C114="","",ROUND((U113+I114)*(1+Parámetros!$D$92),2))</f>
        <v>4721.75</v>
      </c>
      <c r="V114" s="117">
        <f>+IF($C114="","",ROUND(U114*VLOOKUP(B114,Parámetros!$C$30:$D$39,2,TRUE),2))</f>
        <v>3541.31</v>
      </c>
      <c r="W114" s="57">
        <f t="shared" si="115"/>
        <v>73</v>
      </c>
      <c r="X114" t="str">
        <f t="shared" si="116"/>
        <v>00058</v>
      </c>
      <c r="Y114" t="str">
        <f t="shared" si="117"/>
        <v>MUERTE POR CUALQUIER CAUSA</v>
      </c>
      <c r="Z114" s="118">
        <f>+IF($W114="","",ROUND(IF(Parámetros!$D$25='TABLAS MORT'!$V$33,Z113,Parámetros!$D$21-'Tablas Servicio'!T113),0))</f>
        <v>100000</v>
      </c>
      <c r="AA114" s="118" t="str">
        <f t="shared" si="118"/>
        <v>P</v>
      </c>
      <c r="AB114" s="119">
        <f>+IF(W114="","",ROUND((VLOOKUP(ROUNDDOWN($D114-1/frec,0),qx_tabla,2,FALSE)*(1+i/frec)^-0.5*(1+Parámetros!$D$103)*(1+rec_fracc)/frec),6))</f>
        <v>1.6899999999999999E-4</v>
      </c>
      <c r="AC114" s="66">
        <f t="shared" si="162"/>
        <v>16.899999999999999</v>
      </c>
      <c r="AD114" s="119">
        <f t="shared" si="158"/>
        <v>3.3300000000000002E-4</v>
      </c>
      <c r="AE114" s="66">
        <f>+IF($W114="","",ROUND(IF($B114&gt;Parámetros!$D$107,'Tablas Servicio'!AC114+('Tablas Servicio'!AG113-'Tablas Servicio'!AC113),AC114/(1-IF(B114&lt;=10,Parámetros!$D$104,Parámetros!$D$105))),2))</f>
        <v>34.97</v>
      </c>
      <c r="AF114" s="66">
        <f>+IF($W114="","",ROUND(IF($B114&gt;Parámetros!$D$107,'Tablas Servicio'!AC114+('Tablas Servicio'!AG113-'Tablas Servicio'!AC113),(AC114+$A113/frec)/(1-IF(B114&lt;=Parámetros!$D$117,Parámetros!$D$100,0))),2))</f>
        <v>33.28</v>
      </c>
      <c r="AG114" s="66">
        <f t="shared" si="163"/>
        <v>33.28</v>
      </c>
      <c r="AH114" s="66">
        <f t="shared" si="164"/>
        <v>0</v>
      </c>
      <c r="AI114" s="66">
        <f t="shared" si="165"/>
        <v>0</v>
      </c>
      <c r="AJ114" s="66">
        <f>+IF($W114="","",ROUND((AG114*Parámetros!$G$85),2))</f>
        <v>1.1599999999999999</v>
      </c>
      <c r="AK114" s="66">
        <f>+IF($W114="","",ROUND((AG114*(Parámetros!$G$86)),2))</f>
        <v>0.17</v>
      </c>
      <c r="AL114" s="66">
        <f t="shared" si="159"/>
        <v>34.61</v>
      </c>
      <c r="AM114" t="str">
        <f t="shared" si="119"/>
        <v>00059</v>
      </c>
      <c r="AN114" t="str">
        <f t="shared" si="120"/>
        <v>Incapacidad Total y Permanente</v>
      </c>
      <c r="AO114" s="118">
        <f t="shared" si="121"/>
        <v>0</v>
      </c>
      <c r="AP114" s="118" t="str">
        <f t="shared" si="122"/>
        <v>A</v>
      </c>
      <c r="AQ114" s="119" t="str">
        <f>+IF(OR($W114="",AO114=0),"",ROUND((VLOOKUP(ROUNDDOWN($D114-1/frec,0),cob_adi,Z$40,FALSE)*(1+i/frec)^-0.5*(1+Parámetros!$D$103)*(1+rec_fracc)/frec),6))</f>
        <v/>
      </c>
      <c r="AR114" s="66">
        <f t="shared" si="166"/>
        <v>0</v>
      </c>
      <c r="AS114" s="119" t="str">
        <f t="shared" si="167"/>
        <v/>
      </c>
      <c r="AT114" s="66">
        <f>+IF($W114="","",ROUND(IF($B114&gt;Parámetros!$D$107,'Tablas Servicio'!AR114+('Tablas Servicio'!AT113-'Tablas Servicio'!AR113),AR114/(1-IF(B114&lt;=10,Parámetros!$D$100,0))),2))</f>
        <v>0</v>
      </c>
      <c r="AU114" s="66">
        <f t="shared" si="168"/>
        <v>0</v>
      </c>
      <c r="AV114" s="66">
        <f t="shared" si="168"/>
        <v>0</v>
      </c>
      <c r="AW114" s="66">
        <f>+IF($W114="","",ROUND((AT114*Parámetros!$G$85),2))</f>
        <v>0</v>
      </c>
      <c r="AX114" s="66">
        <f>+IF($W114="","",ROUND((AT114*(Parámetros!$G$86)),2))</f>
        <v>0</v>
      </c>
      <c r="AY114" s="66">
        <f t="shared" si="169"/>
        <v>0</v>
      </c>
      <c r="AZ114" t="str">
        <f t="shared" si="123"/>
        <v>00060</v>
      </c>
      <c r="BA114" t="str">
        <f t="shared" si="124"/>
        <v>Muerte Accidental</v>
      </c>
      <c r="BB114" s="118">
        <f t="shared" si="125"/>
        <v>0</v>
      </c>
      <c r="BC114" s="118" t="str">
        <f t="shared" si="126"/>
        <v>A</v>
      </c>
      <c r="BD114" s="119" t="str">
        <f>+IF(OR($W114="",BB114=0),"",ROUND((VLOOKUP(ROUNDDOWN($D114-1/frec,0),cob_adi,AO$40,FALSE)*(1+i/frec)^-0.5*(1+Parámetros!$D$103)*(1+rec_fracc)/frec),6))</f>
        <v/>
      </c>
      <c r="BE114" s="66">
        <f t="shared" si="170"/>
        <v>0</v>
      </c>
      <c r="BF114" s="119" t="str">
        <f t="shared" si="171"/>
        <v/>
      </c>
      <c r="BG114" s="66">
        <f>+IF($W114="","",ROUND(IF($B114&gt;Parámetros!$D$107,'Tablas Servicio'!BE114+('Tablas Servicio'!BG113-'Tablas Servicio'!BE113),BE114/(1-IF(B114&lt;=10,Parámetros!$D$100,0))),2))</f>
        <v>0</v>
      </c>
      <c r="BH114" s="66">
        <f t="shared" si="172"/>
        <v>0</v>
      </c>
      <c r="BI114" s="66">
        <f t="shared" si="173"/>
        <v>0</v>
      </c>
      <c r="BJ114" s="66">
        <f>+IF($W114="","",ROUND((BG114*Parámetros!$G$85),2))</f>
        <v>0</v>
      </c>
      <c r="BK114" s="66">
        <f>+IF($W114="","",ROUND((BG114*(Parámetros!$G$86)),2))</f>
        <v>0</v>
      </c>
      <c r="BL114" s="66">
        <f t="shared" si="174"/>
        <v>0</v>
      </c>
      <c r="BM114" t="str">
        <f t="shared" si="127"/>
        <v>00061</v>
      </c>
      <c r="BN114" t="str">
        <f t="shared" si="128"/>
        <v>Gastos de Entierro</v>
      </c>
      <c r="BO114" s="118">
        <f t="shared" si="129"/>
        <v>0</v>
      </c>
      <c r="BP114" s="118" t="str">
        <f t="shared" si="130"/>
        <v>A</v>
      </c>
      <c r="BQ114" s="119" t="str">
        <f>+IF(OR($W114="",BO114=0),"",ROUND((VLOOKUP(ROUNDDOWN($D114-1/frec,0),cob_adi,BB$40,FALSE)*(1+i/frec)^-0.5*(1+Parámetros!$D$103)*(1+rec_fracc)/frec),6))</f>
        <v/>
      </c>
      <c r="BR114" s="66">
        <f t="shared" si="175"/>
        <v>0</v>
      </c>
      <c r="BS114" s="119" t="str">
        <f t="shared" si="176"/>
        <v/>
      </c>
      <c r="BT114" s="66">
        <f>+IF($W114="","",ROUND(IF($B114&gt;Parámetros!$D$107,'Tablas Servicio'!BR114+('Tablas Servicio'!BT113-'Tablas Servicio'!BR113),BR114/(1-IF(B114&lt;=10,Parámetros!$D$100,0))),2))</f>
        <v>0</v>
      </c>
      <c r="BU114" s="66">
        <f t="shared" si="177"/>
        <v>0</v>
      </c>
      <c r="BV114" s="66">
        <f t="shared" si="177"/>
        <v>0</v>
      </c>
      <c r="BW114" s="66">
        <f>+IF($W114="","",ROUND((BT114*Parámetros!$G$85),2))</f>
        <v>0</v>
      </c>
      <c r="BX114" s="66">
        <f>+IF($W114="","",ROUND((BT114*(Parámetros!$G$86)),2))</f>
        <v>0</v>
      </c>
      <c r="BY114" s="66">
        <f t="shared" si="178"/>
        <v>0</v>
      </c>
      <c r="BZ114" t="str">
        <f t="shared" si="131"/>
        <v>00062</v>
      </c>
      <c r="CA114" t="str">
        <f t="shared" si="132"/>
        <v>Gastos médicos por accidente</v>
      </c>
      <c r="CB114" s="118">
        <f t="shared" si="133"/>
        <v>0</v>
      </c>
      <c r="CC114" s="118" t="str">
        <f t="shared" si="134"/>
        <v>A</v>
      </c>
      <c r="CD114" s="119" t="str">
        <f t="shared" si="179"/>
        <v/>
      </c>
      <c r="CE114" s="66">
        <f>+IF($W114="","",ROUND((VLOOKUP(ROUNDDOWN($D114-1/frec,0),cob_adi,BO$40,FALSE)*(1+i/frec)^-0.5*(1+Parámetros!$D$103)*(1+rec_fracc)/frec*'TABLAS ADI'!$BC$17),2))</f>
        <v>0</v>
      </c>
      <c r="CF114" s="119" t="str">
        <f t="shared" si="180"/>
        <v/>
      </c>
      <c r="CG114" s="66">
        <f>+IF($W114="","",ROUND(IF($B114&gt;Parámetros!$D$107,'Tablas Servicio'!CE114+('Tablas Servicio'!CG113-'Tablas Servicio'!CE113),CE114/(1-IF(B114&lt;=10,Parámetros!$D$100,0))),2))</f>
        <v>0</v>
      </c>
      <c r="CH114" s="66">
        <f t="shared" si="181"/>
        <v>0</v>
      </c>
      <c r="CI114" s="66">
        <f t="shared" si="181"/>
        <v>0</v>
      </c>
      <c r="CJ114" s="66">
        <f>+IF($W114="","",ROUND((CG114*Parámetros!$G$85),2))</f>
        <v>0</v>
      </c>
      <c r="CK114" s="66">
        <f>+IF($W114="","",ROUND((CG114*(Parámetros!$G$86)),2))</f>
        <v>0</v>
      </c>
      <c r="CL114" s="66">
        <f t="shared" si="182"/>
        <v>0</v>
      </c>
      <c r="CM114" t="str">
        <f t="shared" si="135"/>
        <v>00063</v>
      </c>
      <c r="CN114" s="118" t="str">
        <f t="shared" si="136"/>
        <v>Renta Diaria por Hospitalización</v>
      </c>
      <c r="CO114" s="118">
        <f t="shared" si="137"/>
        <v>0</v>
      </c>
      <c r="CP114" s="118" t="str">
        <f t="shared" si="138"/>
        <v>A</v>
      </c>
      <c r="CQ114" s="119" t="str">
        <f t="shared" si="183"/>
        <v/>
      </c>
      <c r="CR114" s="66">
        <f>+IF($W114="","",ROUND((VLOOKUP(Parámetros!$F$51,'COBERTURAS ADICIONALES'!$S$4:$T$32,2,FALSE)*(1+i/frec)^-0.5*(1+Parámetros!$D$103)*(1+rec_fracc)/frec*$CO$42),2))</f>
        <v>0</v>
      </c>
      <c r="CS114" s="119" t="str">
        <f t="shared" si="184"/>
        <v/>
      </c>
      <c r="CT114" s="66">
        <f>+IF($W114="","",ROUND(IF($B114&gt;Parámetros!$D$107,'Tablas Servicio'!CR114+('Tablas Servicio'!CT113-'Tablas Servicio'!CR113),CR114/(1-IF(B114&lt;=10,Parámetros!$D$100,0))),2))</f>
        <v>0</v>
      </c>
      <c r="CU114" s="66">
        <f t="shared" si="185"/>
        <v>0</v>
      </c>
      <c r="CV114" s="66">
        <f t="shared" si="185"/>
        <v>0</v>
      </c>
      <c r="CW114" s="66">
        <f>+IF($W114="","",ROUND((CT114*Parámetros!$G$85),2))</f>
        <v>0</v>
      </c>
      <c r="CX114" s="66">
        <f>+IF($W114="","",ROUND((CT114*(Parámetros!$G$86)),2))</f>
        <v>0</v>
      </c>
      <c r="CY114" s="66">
        <f t="shared" si="186"/>
        <v>0</v>
      </c>
      <c r="CZ114" t="str">
        <f t="shared" si="139"/>
        <v>00064</v>
      </c>
      <c r="DA114" s="118" t="str">
        <f t="shared" si="140"/>
        <v>Enfermedades Graves</v>
      </c>
      <c r="DB114" s="118">
        <f t="shared" si="141"/>
        <v>0</v>
      </c>
      <c r="DC114" s="118" t="str">
        <f t="shared" si="142"/>
        <v>A</v>
      </c>
      <c r="DD114" s="121" t="str">
        <f>+IF(OR($W114="",DB114=0),"",ROUND((VLOOKUP(ROUNDDOWN($D114-1/frec,0),cob_adi,CO$40,FALSE)*(1+i/frec)^-0.5*(1+Parámetros!$D$103)*(1+rec_fracc)/frec),6))</f>
        <v/>
      </c>
      <c r="DE114" s="66">
        <f t="shared" si="187"/>
        <v>0</v>
      </c>
      <c r="DF114" s="119" t="str">
        <f t="shared" si="188"/>
        <v/>
      </c>
      <c r="DG114" s="66">
        <f>+IF($W114="","",ROUND(IF($B114&gt;Parámetros!$D$107,'Tablas Servicio'!DE114+('Tablas Servicio'!DG113-'Tablas Servicio'!DE113),DE114/(1-IF(B114&lt;=10,Parámetros!$D$100,0))),2))</f>
        <v>0</v>
      </c>
      <c r="DH114" s="66">
        <f t="shared" si="189"/>
        <v>0</v>
      </c>
      <c r="DI114" s="66">
        <f t="shared" si="189"/>
        <v>0</v>
      </c>
      <c r="DJ114" s="66">
        <f>+IF($W114="","",ROUND((DG114*Parámetros!$G$85),2))</f>
        <v>0</v>
      </c>
      <c r="DK114" s="66">
        <f>+IF($W114="","",ROUND((DG114*(Parámetros!$G$86)),2))</f>
        <v>0</v>
      </c>
      <c r="DL114" s="66">
        <f t="shared" si="190"/>
        <v>0</v>
      </c>
      <c r="DM114" t="str">
        <f t="shared" si="143"/>
        <v>00065</v>
      </c>
      <c r="DN114" s="118" t="str">
        <f t="shared" si="144"/>
        <v>Exención pago de primas</v>
      </c>
      <c r="DO114" s="118">
        <f t="shared" si="145"/>
        <v>0</v>
      </c>
      <c r="DP114" s="118" t="str">
        <f t="shared" si="146"/>
        <v>A</v>
      </c>
      <c r="DQ114" s="122" t="str">
        <f>+IF(OR($W114="",DO114=0),"",ROUND((VLOOKUP(ROUNDDOWN($D114-1/frec,0),cob_adi,DB$40,FALSE)*(1+i/frec)^-0.5*(1+Parámetros!$D$103)*(1+rec_fracc)/frec),6))</f>
        <v/>
      </c>
      <c r="DR114" s="66">
        <f t="shared" si="191"/>
        <v>0</v>
      </c>
      <c r="DS114" s="68" t="str">
        <f t="shared" si="192"/>
        <v/>
      </c>
      <c r="DT114" s="66">
        <f>+IF($W114="","",ROUND(IF($B114&gt;Parámetros!$D$107,'Tablas Servicio'!DR114+('Tablas Servicio'!DT113-'Tablas Servicio'!DR113),DR114/(1-IF(B114&lt;=10,Parámetros!$D$100,0))),2))</f>
        <v>0</v>
      </c>
      <c r="DU114" s="66">
        <f t="shared" si="193"/>
        <v>0</v>
      </c>
      <c r="DV114" s="66">
        <f t="shared" si="193"/>
        <v>0</v>
      </c>
      <c r="DW114" s="66">
        <f>+IF($W114="","",ROUND((DT114*Parámetros!$G$85),2))</f>
        <v>0</v>
      </c>
      <c r="DX114" s="66">
        <f>+IF($W114="","",ROUND((DT114*(Parámetros!$G$86)),2))</f>
        <v>0</v>
      </c>
      <c r="DY114" s="66">
        <f t="shared" si="194"/>
        <v>0</v>
      </c>
      <c r="DZ114" t="str">
        <f t="shared" si="195"/>
        <v>00066</v>
      </c>
      <c r="EA114" s="118" t="str">
        <f t="shared" si="195"/>
        <v>Enfermedad terminal</v>
      </c>
      <c r="EB114" s="118">
        <f>+IF($W114="","",ROUND(IF(Parámetros!$D$25='TABLAS MORT'!$V$33,EB113,Z114/2),0))</f>
        <v>50000</v>
      </c>
      <c r="EC114" s="118" t="str">
        <f t="shared" si="195"/>
        <v>A</v>
      </c>
      <c r="ED114" s="122">
        <f>+IF(OR($W114="",EB114=0),"",ROUND((VLOOKUP(ROUNDDOWN($D114-1/frec,0),cob_adi,DO$40,FALSE)*(1+i/frec)^-0.5*(1+Parámetros!$D$103)*(1+rec_fracc)/frec),6))</f>
        <v>1.2E-5</v>
      </c>
      <c r="EE114" s="66">
        <f t="shared" si="196"/>
        <v>0.6</v>
      </c>
      <c r="EF114" s="68">
        <f t="shared" si="197"/>
        <v>1.4E-5</v>
      </c>
      <c r="EG114" s="66">
        <f>+IF($W114="","",ROUND(IF($B114&gt;Parámetros!$D$107,'Tablas Servicio'!EE114+('Tablas Servicio'!EG113-'Tablas Servicio'!EE113),EE114/(1-IF(B114&lt;=10,Parámetros!$D$100,0))),2))</f>
        <v>0.68</v>
      </c>
      <c r="EH114" s="66">
        <f t="shared" si="198"/>
        <v>0</v>
      </c>
      <c r="EI114" s="66">
        <f t="shared" si="198"/>
        <v>0</v>
      </c>
      <c r="EJ114" s="66">
        <f>+IF($W114="","",ROUND((EG114*Parámetros!$G$85),2))</f>
        <v>0.02</v>
      </c>
      <c r="EK114" s="66">
        <f>+IF($W114="","",ROUND((EG114*(Parámetros!$G$86)),2))</f>
        <v>0</v>
      </c>
      <c r="EL114" s="66">
        <f t="shared" si="199"/>
        <v>0.7</v>
      </c>
    </row>
    <row r="115" spans="1:142" x14ac:dyDescent="0.25">
      <c r="A115">
        <f>+IF($C115="","",ROUND(VLOOKUP('Tablas Servicio'!B115,Parámetros!$H$100:$J$159,IF(Parámetros!$E$16="F",2,3),FALSE),2))</f>
        <v>150</v>
      </c>
      <c r="B115">
        <f t="shared" si="150"/>
        <v>7</v>
      </c>
      <c r="C115" s="57">
        <f>+IF(D115="","",'Tablas Servicio'!C114+1)</f>
        <v>74</v>
      </c>
      <c r="D115" s="56">
        <f>+IF(D114&lt;edadmaxtabla,D114+1/Parámetros!$E$25,"")</f>
        <v>46.186666666666845</v>
      </c>
      <c r="E115" s="57">
        <f t="shared" si="160"/>
        <v>46</v>
      </c>
      <c r="F115" s="59">
        <f t="shared" si="161"/>
        <v>100000</v>
      </c>
      <c r="G115" s="66">
        <f t="shared" si="151"/>
        <v>33.96</v>
      </c>
      <c r="H115" s="66">
        <f t="shared" si="152"/>
        <v>35.31</v>
      </c>
      <c r="I115" s="66">
        <f t="shared" si="112"/>
        <v>51.68</v>
      </c>
      <c r="J115" s="66">
        <f t="shared" si="153"/>
        <v>1.18</v>
      </c>
      <c r="K115" s="66">
        <f t="shared" si="154"/>
        <v>0.17</v>
      </c>
      <c r="L115" s="66">
        <f t="shared" si="155"/>
        <v>0</v>
      </c>
      <c r="M115" s="66">
        <f t="shared" si="156"/>
        <v>0</v>
      </c>
      <c r="N115" s="66">
        <f>+IF(C115="","",ROUND(Parámetros!$D$23,2))</f>
        <v>94</v>
      </c>
      <c r="O115" s="66">
        <f t="shared" si="157"/>
        <v>17.5</v>
      </c>
      <c r="P115" s="66">
        <f>+IF($C115="","",ROUND(IF(B115&gt;Parámetros!$D$117,0,N115*Parámetros!$D$116-G115*Parámetros!$D$100),2))</f>
        <v>7.01</v>
      </c>
      <c r="Q115" s="75">
        <f t="shared" si="113"/>
        <v>3.4746760895170786E-2</v>
      </c>
      <c r="R115" s="75">
        <f t="shared" si="114"/>
        <v>5.0058892815076561E-3</v>
      </c>
      <c r="S115" s="117">
        <f>+IF($C115="","",ROUND((S114+I115)*(1+Parámetros!$D$91),2))</f>
        <v>4712</v>
      </c>
      <c r="T115" s="117">
        <f>+IF($C115="","",ROUND(S115*VLOOKUP(B115,Parámetros!$C$30:$D$39,2,TRUE),2))</f>
        <v>3534</v>
      </c>
      <c r="U115" s="117">
        <f>+IF($C115="","",ROUND((U114+I115)*(1+Parámetros!$D$92),2))</f>
        <v>4788.8999999999996</v>
      </c>
      <c r="V115" s="117">
        <f>+IF($C115="","",ROUND(U115*VLOOKUP(B115,Parámetros!$C$30:$D$39,2,TRUE),2))</f>
        <v>3591.68</v>
      </c>
      <c r="W115" s="57">
        <f t="shared" si="115"/>
        <v>74</v>
      </c>
      <c r="X115" t="str">
        <f t="shared" si="116"/>
        <v>00058</v>
      </c>
      <c r="Y115" t="str">
        <f t="shared" si="117"/>
        <v>MUERTE POR CUALQUIER CAUSA</v>
      </c>
      <c r="Z115" s="118">
        <f>+IF($W115="","",ROUND(IF(Parámetros!$D$25='TABLAS MORT'!$V$33,Z114,Parámetros!$D$21-'Tablas Servicio'!T114),0))</f>
        <v>100000</v>
      </c>
      <c r="AA115" s="118" t="str">
        <f t="shared" si="118"/>
        <v>P</v>
      </c>
      <c r="AB115" s="119">
        <f>+IF(W115="","",ROUND((VLOOKUP(ROUNDDOWN($D115-1/frec,0),qx_tabla,2,FALSE)*(1+i/frec)^-0.5*(1+Parámetros!$D$103)*(1+rec_fracc)/frec),6))</f>
        <v>1.6899999999999999E-4</v>
      </c>
      <c r="AC115" s="66">
        <f t="shared" si="162"/>
        <v>16.899999999999999</v>
      </c>
      <c r="AD115" s="119">
        <f t="shared" si="158"/>
        <v>3.3300000000000002E-4</v>
      </c>
      <c r="AE115" s="66">
        <f>+IF($W115="","",ROUND(IF($B115&gt;Parámetros!$D$107,'Tablas Servicio'!AC115+('Tablas Servicio'!AG114-'Tablas Servicio'!AC114),AC115/(1-IF(B115&lt;=10,Parámetros!$D$104,Parámetros!$D$105))),2))</f>
        <v>34.97</v>
      </c>
      <c r="AF115" s="66">
        <f>+IF($W115="","",ROUND(IF($B115&gt;Parámetros!$D$107,'Tablas Servicio'!AC115+('Tablas Servicio'!AG114-'Tablas Servicio'!AC114),(AC115+$A114/frec)/(1-IF(B115&lt;=Parámetros!$D$117,Parámetros!$D$100,0))),2))</f>
        <v>33.28</v>
      </c>
      <c r="AG115" s="66">
        <f t="shared" si="163"/>
        <v>33.28</v>
      </c>
      <c r="AH115" s="66">
        <f t="shared" si="164"/>
        <v>0</v>
      </c>
      <c r="AI115" s="66">
        <f t="shared" si="165"/>
        <v>0</v>
      </c>
      <c r="AJ115" s="66">
        <f>+IF($W115="","",ROUND((AG115*Parámetros!$G$85),2))</f>
        <v>1.1599999999999999</v>
      </c>
      <c r="AK115" s="66">
        <f>+IF($W115="","",ROUND((AG115*(Parámetros!$G$86)),2))</f>
        <v>0.17</v>
      </c>
      <c r="AL115" s="66">
        <f t="shared" si="159"/>
        <v>34.61</v>
      </c>
      <c r="AM115" t="str">
        <f t="shared" si="119"/>
        <v>00059</v>
      </c>
      <c r="AN115" t="str">
        <f t="shared" si="120"/>
        <v>Incapacidad Total y Permanente</v>
      </c>
      <c r="AO115" s="118">
        <f t="shared" si="121"/>
        <v>0</v>
      </c>
      <c r="AP115" s="118" t="str">
        <f t="shared" si="122"/>
        <v>A</v>
      </c>
      <c r="AQ115" s="119" t="str">
        <f>+IF(OR($W115="",AO115=0),"",ROUND((VLOOKUP(ROUNDDOWN($D115-1/frec,0),cob_adi,Z$40,FALSE)*(1+i/frec)^-0.5*(1+Parámetros!$D$103)*(1+rec_fracc)/frec),6))</f>
        <v/>
      </c>
      <c r="AR115" s="66">
        <f t="shared" si="166"/>
        <v>0</v>
      </c>
      <c r="AS115" s="119" t="str">
        <f t="shared" si="167"/>
        <v/>
      </c>
      <c r="AT115" s="66">
        <f>+IF($W115="","",ROUND(IF($B115&gt;Parámetros!$D$107,'Tablas Servicio'!AR115+('Tablas Servicio'!AT114-'Tablas Servicio'!AR114),AR115/(1-IF(B115&lt;=10,Parámetros!$D$100,0))),2))</f>
        <v>0</v>
      </c>
      <c r="AU115" s="66">
        <f t="shared" si="168"/>
        <v>0</v>
      </c>
      <c r="AV115" s="66">
        <f t="shared" si="168"/>
        <v>0</v>
      </c>
      <c r="AW115" s="66">
        <f>+IF($W115="","",ROUND((AT115*Parámetros!$G$85),2))</f>
        <v>0</v>
      </c>
      <c r="AX115" s="66">
        <f>+IF($W115="","",ROUND((AT115*(Parámetros!$G$86)),2))</f>
        <v>0</v>
      </c>
      <c r="AY115" s="66">
        <f t="shared" si="169"/>
        <v>0</v>
      </c>
      <c r="AZ115" t="str">
        <f t="shared" si="123"/>
        <v>00060</v>
      </c>
      <c r="BA115" t="str">
        <f t="shared" si="124"/>
        <v>Muerte Accidental</v>
      </c>
      <c r="BB115" s="118">
        <f t="shared" si="125"/>
        <v>0</v>
      </c>
      <c r="BC115" s="118" t="str">
        <f t="shared" si="126"/>
        <v>A</v>
      </c>
      <c r="BD115" s="119" t="str">
        <f>+IF(OR($W115="",BB115=0),"",ROUND((VLOOKUP(ROUNDDOWN($D115-1/frec,0),cob_adi,AO$40,FALSE)*(1+i/frec)^-0.5*(1+Parámetros!$D$103)*(1+rec_fracc)/frec),6))</f>
        <v/>
      </c>
      <c r="BE115" s="66">
        <f t="shared" si="170"/>
        <v>0</v>
      </c>
      <c r="BF115" s="119" t="str">
        <f t="shared" si="171"/>
        <v/>
      </c>
      <c r="BG115" s="66">
        <f>+IF($W115="","",ROUND(IF($B115&gt;Parámetros!$D$107,'Tablas Servicio'!BE115+('Tablas Servicio'!BG114-'Tablas Servicio'!BE114),BE115/(1-IF(B115&lt;=10,Parámetros!$D$100,0))),2))</f>
        <v>0</v>
      </c>
      <c r="BH115" s="66">
        <f t="shared" si="172"/>
        <v>0</v>
      </c>
      <c r="BI115" s="66">
        <f t="shared" si="173"/>
        <v>0</v>
      </c>
      <c r="BJ115" s="66">
        <f>+IF($W115="","",ROUND((BG115*Parámetros!$G$85),2))</f>
        <v>0</v>
      </c>
      <c r="BK115" s="66">
        <f>+IF($W115="","",ROUND((BG115*(Parámetros!$G$86)),2))</f>
        <v>0</v>
      </c>
      <c r="BL115" s="66">
        <f t="shared" si="174"/>
        <v>0</v>
      </c>
      <c r="BM115" t="str">
        <f t="shared" si="127"/>
        <v>00061</v>
      </c>
      <c r="BN115" t="str">
        <f t="shared" si="128"/>
        <v>Gastos de Entierro</v>
      </c>
      <c r="BO115" s="118">
        <f t="shared" si="129"/>
        <v>0</v>
      </c>
      <c r="BP115" s="118" t="str">
        <f t="shared" si="130"/>
        <v>A</v>
      </c>
      <c r="BQ115" s="119" t="str">
        <f>+IF(OR($W115="",BO115=0),"",ROUND((VLOOKUP(ROUNDDOWN($D115-1/frec,0),cob_adi,BB$40,FALSE)*(1+i/frec)^-0.5*(1+Parámetros!$D$103)*(1+rec_fracc)/frec),6))</f>
        <v/>
      </c>
      <c r="BR115" s="66">
        <f t="shared" si="175"/>
        <v>0</v>
      </c>
      <c r="BS115" s="119" t="str">
        <f t="shared" si="176"/>
        <v/>
      </c>
      <c r="BT115" s="66">
        <f>+IF($W115="","",ROUND(IF($B115&gt;Parámetros!$D$107,'Tablas Servicio'!BR115+('Tablas Servicio'!BT114-'Tablas Servicio'!BR114),BR115/(1-IF(B115&lt;=10,Parámetros!$D$100,0))),2))</f>
        <v>0</v>
      </c>
      <c r="BU115" s="66">
        <f t="shared" si="177"/>
        <v>0</v>
      </c>
      <c r="BV115" s="66">
        <f t="shared" si="177"/>
        <v>0</v>
      </c>
      <c r="BW115" s="66">
        <f>+IF($W115="","",ROUND((BT115*Parámetros!$G$85),2))</f>
        <v>0</v>
      </c>
      <c r="BX115" s="66">
        <f>+IF($W115="","",ROUND((BT115*(Parámetros!$G$86)),2))</f>
        <v>0</v>
      </c>
      <c r="BY115" s="66">
        <f t="shared" si="178"/>
        <v>0</v>
      </c>
      <c r="BZ115" t="str">
        <f t="shared" si="131"/>
        <v>00062</v>
      </c>
      <c r="CA115" t="str">
        <f t="shared" si="132"/>
        <v>Gastos médicos por accidente</v>
      </c>
      <c r="CB115" s="118">
        <f t="shared" si="133"/>
        <v>0</v>
      </c>
      <c r="CC115" s="118" t="str">
        <f t="shared" si="134"/>
        <v>A</v>
      </c>
      <c r="CD115" s="119" t="str">
        <f t="shared" si="179"/>
        <v/>
      </c>
      <c r="CE115" s="66">
        <f>+IF($W115="","",ROUND((VLOOKUP(ROUNDDOWN($D115-1/frec,0),cob_adi,BO$40,FALSE)*(1+i/frec)^-0.5*(1+Parámetros!$D$103)*(1+rec_fracc)/frec*'TABLAS ADI'!$BC$17),2))</f>
        <v>0</v>
      </c>
      <c r="CF115" s="119" t="str">
        <f t="shared" si="180"/>
        <v/>
      </c>
      <c r="CG115" s="66">
        <f>+IF($W115="","",ROUND(IF($B115&gt;Parámetros!$D$107,'Tablas Servicio'!CE115+('Tablas Servicio'!CG114-'Tablas Servicio'!CE114),CE115/(1-IF(B115&lt;=10,Parámetros!$D$100,0))),2))</f>
        <v>0</v>
      </c>
      <c r="CH115" s="66">
        <f t="shared" si="181"/>
        <v>0</v>
      </c>
      <c r="CI115" s="66">
        <f t="shared" si="181"/>
        <v>0</v>
      </c>
      <c r="CJ115" s="66">
        <f>+IF($W115="","",ROUND((CG115*Parámetros!$G$85),2))</f>
        <v>0</v>
      </c>
      <c r="CK115" s="66">
        <f>+IF($W115="","",ROUND((CG115*(Parámetros!$G$86)),2))</f>
        <v>0</v>
      </c>
      <c r="CL115" s="66">
        <f t="shared" si="182"/>
        <v>0</v>
      </c>
      <c r="CM115" t="str">
        <f t="shared" si="135"/>
        <v>00063</v>
      </c>
      <c r="CN115" s="118" t="str">
        <f t="shared" si="136"/>
        <v>Renta Diaria por Hospitalización</v>
      </c>
      <c r="CO115" s="118">
        <f t="shared" si="137"/>
        <v>0</v>
      </c>
      <c r="CP115" s="118" t="str">
        <f t="shared" si="138"/>
        <v>A</v>
      </c>
      <c r="CQ115" s="119" t="str">
        <f t="shared" si="183"/>
        <v/>
      </c>
      <c r="CR115" s="66">
        <f>+IF($W115="","",ROUND((VLOOKUP(Parámetros!$F$51,'COBERTURAS ADICIONALES'!$S$4:$T$32,2,FALSE)*(1+i/frec)^-0.5*(1+Parámetros!$D$103)*(1+rec_fracc)/frec*$CO$42),2))</f>
        <v>0</v>
      </c>
      <c r="CS115" s="119" t="str">
        <f t="shared" si="184"/>
        <v/>
      </c>
      <c r="CT115" s="66">
        <f>+IF($W115="","",ROUND(IF($B115&gt;Parámetros!$D$107,'Tablas Servicio'!CR115+('Tablas Servicio'!CT114-'Tablas Servicio'!CR114),CR115/(1-IF(B115&lt;=10,Parámetros!$D$100,0))),2))</f>
        <v>0</v>
      </c>
      <c r="CU115" s="66">
        <f t="shared" si="185"/>
        <v>0</v>
      </c>
      <c r="CV115" s="66">
        <f t="shared" si="185"/>
        <v>0</v>
      </c>
      <c r="CW115" s="66">
        <f>+IF($W115="","",ROUND((CT115*Parámetros!$G$85),2))</f>
        <v>0</v>
      </c>
      <c r="CX115" s="66">
        <f>+IF($W115="","",ROUND((CT115*(Parámetros!$G$86)),2))</f>
        <v>0</v>
      </c>
      <c r="CY115" s="66">
        <f t="shared" si="186"/>
        <v>0</v>
      </c>
      <c r="CZ115" t="str">
        <f t="shared" si="139"/>
        <v>00064</v>
      </c>
      <c r="DA115" s="118" t="str">
        <f t="shared" si="140"/>
        <v>Enfermedades Graves</v>
      </c>
      <c r="DB115" s="118">
        <f t="shared" si="141"/>
        <v>0</v>
      </c>
      <c r="DC115" s="118" t="str">
        <f t="shared" si="142"/>
        <v>A</v>
      </c>
      <c r="DD115" s="121" t="str">
        <f>+IF(OR($W115="",DB115=0),"",ROUND((VLOOKUP(ROUNDDOWN($D115-1/frec,0),cob_adi,CO$40,FALSE)*(1+i/frec)^-0.5*(1+Parámetros!$D$103)*(1+rec_fracc)/frec),6))</f>
        <v/>
      </c>
      <c r="DE115" s="66">
        <f t="shared" si="187"/>
        <v>0</v>
      </c>
      <c r="DF115" s="119" t="str">
        <f t="shared" si="188"/>
        <v/>
      </c>
      <c r="DG115" s="66">
        <f>+IF($W115="","",ROUND(IF($B115&gt;Parámetros!$D$107,'Tablas Servicio'!DE115+('Tablas Servicio'!DG114-'Tablas Servicio'!DE114),DE115/(1-IF(B115&lt;=10,Parámetros!$D$100,0))),2))</f>
        <v>0</v>
      </c>
      <c r="DH115" s="66">
        <f t="shared" si="189"/>
        <v>0</v>
      </c>
      <c r="DI115" s="66">
        <f t="shared" si="189"/>
        <v>0</v>
      </c>
      <c r="DJ115" s="66">
        <f>+IF($W115="","",ROUND((DG115*Parámetros!$G$85),2))</f>
        <v>0</v>
      </c>
      <c r="DK115" s="66">
        <f>+IF($W115="","",ROUND((DG115*(Parámetros!$G$86)),2))</f>
        <v>0</v>
      </c>
      <c r="DL115" s="66">
        <f t="shared" si="190"/>
        <v>0</v>
      </c>
      <c r="DM115" t="str">
        <f t="shared" si="143"/>
        <v>00065</v>
      </c>
      <c r="DN115" s="118" t="str">
        <f t="shared" si="144"/>
        <v>Exención pago de primas</v>
      </c>
      <c r="DO115" s="118">
        <f t="shared" si="145"/>
        <v>0</v>
      </c>
      <c r="DP115" s="118" t="str">
        <f t="shared" si="146"/>
        <v>A</v>
      </c>
      <c r="DQ115" s="122" t="str">
        <f>+IF(OR($W115="",DO115=0),"",ROUND((VLOOKUP(ROUNDDOWN($D115-1/frec,0),cob_adi,DB$40,FALSE)*(1+i/frec)^-0.5*(1+Parámetros!$D$103)*(1+rec_fracc)/frec),6))</f>
        <v/>
      </c>
      <c r="DR115" s="66">
        <f t="shared" si="191"/>
        <v>0</v>
      </c>
      <c r="DS115" s="68" t="str">
        <f t="shared" si="192"/>
        <v/>
      </c>
      <c r="DT115" s="66">
        <f>+IF($W115="","",ROUND(IF($B115&gt;Parámetros!$D$107,'Tablas Servicio'!DR115+('Tablas Servicio'!DT114-'Tablas Servicio'!DR114),DR115/(1-IF(B115&lt;=10,Parámetros!$D$100,0))),2))</f>
        <v>0</v>
      </c>
      <c r="DU115" s="66">
        <f t="shared" si="193"/>
        <v>0</v>
      </c>
      <c r="DV115" s="66">
        <f t="shared" si="193"/>
        <v>0</v>
      </c>
      <c r="DW115" s="66">
        <f>+IF($W115="","",ROUND((DT115*Parámetros!$G$85),2))</f>
        <v>0</v>
      </c>
      <c r="DX115" s="66">
        <f>+IF($W115="","",ROUND((DT115*(Parámetros!$G$86)),2))</f>
        <v>0</v>
      </c>
      <c r="DY115" s="66">
        <f t="shared" si="194"/>
        <v>0</v>
      </c>
      <c r="DZ115" t="str">
        <f t="shared" si="195"/>
        <v>00066</v>
      </c>
      <c r="EA115" s="118" t="str">
        <f t="shared" si="195"/>
        <v>Enfermedad terminal</v>
      </c>
      <c r="EB115" s="118">
        <f>+IF($W115="","",ROUND(IF(Parámetros!$D$25='TABLAS MORT'!$V$33,EB114,Z115/2),0))</f>
        <v>50000</v>
      </c>
      <c r="EC115" s="118" t="str">
        <f t="shared" si="195"/>
        <v>A</v>
      </c>
      <c r="ED115" s="122">
        <f>+IF(OR($W115="",EB115=0),"",ROUND((VLOOKUP(ROUNDDOWN($D115-1/frec,0),cob_adi,DO$40,FALSE)*(1+i/frec)^-0.5*(1+Parámetros!$D$103)*(1+rec_fracc)/frec),6))</f>
        <v>1.2E-5</v>
      </c>
      <c r="EE115" s="66">
        <f t="shared" si="196"/>
        <v>0.6</v>
      </c>
      <c r="EF115" s="68">
        <f t="shared" si="197"/>
        <v>1.4E-5</v>
      </c>
      <c r="EG115" s="66">
        <f>+IF($W115="","",ROUND(IF($B115&gt;Parámetros!$D$107,'Tablas Servicio'!EE115+('Tablas Servicio'!EG114-'Tablas Servicio'!EE114),EE115/(1-IF(B115&lt;=10,Parámetros!$D$100,0))),2))</f>
        <v>0.68</v>
      </c>
      <c r="EH115" s="66">
        <f t="shared" si="198"/>
        <v>0</v>
      </c>
      <c r="EI115" s="66">
        <f t="shared" si="198"/>
        <v>0</v>
      </c>
      <c r="EJ115" s="66">
        <f>+IF($W115="","",ROUND((EG115*Parámetros!$G$85),2))</f>
        <v>0.02</v>
      </c>
      <c r="EK115" s="66">
        <f>+IF($W115="","",ROUND((EG115*(Parámetros!$G$86)),2))</f>
        <v>0</v>
      </c>
      <c r="EL115" s="66">
        <f t="shared" si="199"/>
        <v>0.7</v>
      </c>
    </row>
    <row r="116" spans="1:142" x14ac:dyDescent="0.25">
      <c r="A116">
        <f>+IF($C116="","",ROUND(VLOOKUP('Tablas Servicio'!B116,Parámetros!$H$100:$J$159,IF(Parámetros!$E$16="F",2,3),FALSE),2))</f>
        <v>150</v>
      </c>
      <c r="B116">
        <f t="shared" si="150"/>
        <v>7</v>
      </c>
      <c r="C116" s="57">
        <f>+IF(D116="","",'Tablas Servicio'!C115+1)</f>
        <v>75</v>
      </c>
      <c r="D116" s="56">
        <f>+IF(D115&lt;edadmaxtabla,D115+1/Parámetros!$E$25,"")</f>
        <v>46.270000000000181</v>
      </c>
      <c r="E116" s="57">
        <f t="shared" si="160"/>
        <v>46</v>
      </c>
      <c r="F116" s="59">
        <f t="shared" si="161"/>
        <v>100000</v>
      </c>
      <c r="G116" s="66">
        <f t="shared" si="151"/>
        <v>33.96</v>
      </c>
      <c r="H116" s="66">
        <f t="shared" si="152"/>
        <v>35.31</v>
      </c>
      <c r="I116" s="66">
        <f t="shared" si="112"/>
        <v>51.68</v>
      </c>
      <c r="J116" s="66">
        <f t="shared" si="153"/>
        <v>1.18</v>
      </c>
      <c r="K116" s="66">
        <f t="shared" si="154"/>
        <v>0.17</v>
      </c>
      <c r="L116" s="66">
        <f t="shared" si="155"/>
        <v>0</v>
      </c>
      <c r="M116" s="66">
        <f t="shared" si="156"/>
        <v>0</v>
      </c>
      <c r="N116" s="66">
        <f>+IF(C116="","",ROUND(Parámetros!$D$23,2))</f>
        <v>94</v>
      </c>
      <c r="O116" s="66">
        <f t="shared" si="157"/>
        <v>17.5</v>
      </c>
      <c r="P116" s="66">
        <f>+IF($C116="","",ROUND(IF(B116&gt;Parámetros!$D$117,0,N116*Parámetros!$D$116-G116*Parámetros!$D$100),2))</f>
        <v>7.01</v>
      </c>
      <c r="Q116" s="75">
        <f t="shared" si="113"/>
        <v>3.4746760895170786E-2</v>
      </c>
      <c r="R116" s="75">
        <f t="shared" si="114"/>
        <v>5.0058892815076561E-3</v>
      </c>
      <c r="S116" s="117">
        <f>+IF($C116="","",ROUND((S115+I116)*(1+Parámetros!$D$91),2))</f>
        <v>4777.1899999999996</v>
      </c>
      <c r="T116" s="117">
        <f>+IF($C116="","",ROUND(S116*VLOOKUP(B116,Parámetros!$C$30:$D$39,2,TRUE),2))</f>
        <v>3582.89</v>
      </c>
      <c r="U116" s="117">
        <f>+IF($C116="","",ROUND((U115+I116)*(1+Parámetros!$D$92),2))</f>
        <v>4856.2700000000004</v>
      </c>
      <c r="V116" s="117">
        <f>+IF($C116="","",ROUND(U116*VLOOKUP(B116,Parámetros!$C$30:$D$39,2,TRUE),2))</f>
        <v>3642.2</v>
      </c>
      <c r="W116" s="57">
        <f t="shared" si="115"/>
        <v>75</v>
      </c>
      <c r="X116" t="str">
        <f t="shared" si="116"/>
        <v>00058</v>
      </c>
      <c r="Y116" t="str">
        <f t="shared" si="117"/>
        <v>MUERTE POR CUALQUIER CAUSA</v>
      </c>
      <c r="Z116" s="118">
        <f>+IF($W116="","",ROUND(IF(Parámetros!$D$25='TABLAS MORT'!$V$33,Z115,Parámetros!$D$21-'Tablas Servicio'!T115),0))</f>
        <v>100000</v>
      </c>
      <c r="AA116" s="118" t="str">
        <f t="shared" si="118"/>
        <v>P</v>
      </c>
      <c r="AB116" s="119">
        <f>+IF(W116="","",ROUND((VLOOKUP(ROUNDDOWN($D116-1/frec,0),qx_tabla,2,FALSE)*(1+i/frec)^-0.5*(1+Parámetros!$D$103)*(1+rec_fracc)/frec),6))</f>
        <v>1.6899999999999999E-4</v>
      </c>
      <c r="AC116" s="66">
        <f t="shared" si="162"/>
        <v>16.899999999999999</v>
      </c>
      <c r="AD116" s="119">
        <f t="shared" si="158"/>
        <v>3.3300000000000002E-4</v>
      </c>
      <c r="AE116" s="66">
        <f>+IF($W116="","",ROUND(IF($B116&gt;Parámetros!$D$107,'Tablas Servicio'!AC116+('Tablas Servicio'!AG115-'Tablas Servicio'!AC115),AC116/(1-IF(B116&lt;=10,Parámetros!$D$104,Parámetros!$D$105))),2))</f>
        <v>34.97</v>
      </c>
      <c r="AF116" s="66">
        <f>+IF($W116="","",ROUND(IF($B116&gt;Parámetros!$D$107,'Tablas Servicio'!AC116+('Tablas Servicio'!AG115-'Tablas Servicio'!AC115),(AC116+$A115/frec)/(1-IF(B116&lt;=Parámetros!$D$117,Parámetros!$D$100,0))),2))</f>
        <v>33.28</v>
      </c>
      <c r="AG116" s="66">
        <f t="shared" si="163"/>
        <v>33.28</v>
      </c>
      <c r="AH116" s="66">
        <f t="shared" si="164"/>
        <v>0</v>
      </c>
      <c r="AI116" s="66">
        <f t="shared" si="165"/>
        <v>0</v>
      </c>
      <c r="AJ116" s="66">
        <f>+IF($W116="","",ROUND((AG116*Parámetros!$G$85),2))</f>
        <v>1.1599999999999999</v>
      </c>
      <c r="AK116" s="66">
        <f>+IF($W116="","",ROUND((AG116*(Parámetros!$G$86)),2))</f>
        <v>0.17</v>
      </c>
      <c r="AL116" s="66">
        <f t="shared" si="159"/>
        <v>34.61</v>
      </c>
      <c r="AM116" t="str">
        <f t="shared" si="119"/>
        <v>00059</v>
      </c>
      <c r="AN116" t="str">
        <f t="shared" si="120"/>
        <v>Incapacidad Total y Permanente</v>
      </c>
      <c r="AO116" s="118">
        <f t="shared" si="121"/>
        <v>0</v>
      </c>
      <c r="AP116" s="118" t="str">
        <f t="shared" si="122"/>
        <v>A</v>
      </c>
      <c r="AQ116" s="119" t="str">
        <f>+IF(OR($W116="",AO116=0),"",ROUND((VLOOKUP(ROUNDDOWN($D116-1/frec,0),cob_adi,Z$40,FALSE)*(1+i/frec)^-0.5*(1+Parámetros!$D$103)*(1+rec_fracc)/frec),6))</f>
        <v/>
      </c>
      <c r="AR116" s="66">
        <f t="shared" si="166"/>
        <v>0</v>
      </c>
      <c r="AS116" s="119" t="str">
        <f t="shared" si="167"/>
        <v/>
      </c>
      <c r="AT116" s="66">
        <f>+IF($W116="","",ROUND(IF($B116&gt;Parámetros!$D$107,'Tablas Servicio'!AR116+('Tablas Servicio'!AT115-'Tablas Servicio'!AR115),AR116/(1-IF(B116&lt;=10,Parámetros!$D$100,0))),2))</f>
        <v>0</v>
      </c>
      <c r="AU116" s="66">
        <f t="shared" si="168"/>
        <v>0</v>
      </c>
      <c r="AV116" s="66">
        <f t="shared" si="168"/>
        <v>0</v>
      </c>
      <c r="AW116" s="66">
        <f>+IF($W116="","",ROUND((AT116*Parámetros!$G$85),2))</f>
        <v>0</v>
      </c>
      <c r="AX116" s="66">
        <f>+IF($W116="","",ROUND((AT116*(Parámetros!$G$86)),2))</f>
        <v>0</v>
      </c>
      <c r="AY116" s="66">
        <f t="shared" si="169"/>
        <v>0</v>
      </c>
      <c r="AZ116" t="str">
        <f t="shared" si="123"/>
        <v>00060</v>
      </c>
      <c r="BA116" t="str">
        <f t="shared" si="124"/>
        <v>Muerte Accidental</v>
      </c>
      <c r="BB116" s="118">
        <f t="shared" si="125"/>
        <v>0</v>
      </c>
      <c r="BC116" s="118" t="str">
        <f t="shared" si="126"/>
        <v>A</v>
      </c>
      <c r="BD116" s="119" t="str">
        <f>+IF(OR($W116="",BB116=0),"",ROUND((VLOOKUP(ROUNDDOWN($D116-1/frec,0),cob_adi,AO$40,FALSE)*(1+i/frec)^-0.5*(1+Parámetros!$D$103)*(1+rec_fracc)/frec),6))</f>
        <v/>
      </c>
      <c r="BE116" s="66">
        <f t="shared" si="170"/>
        <v>0</v>
      </c>
      <c r="BF116" s="119" t="str">
        <f t="shared" si="171"/>
        <v/>
      </c>
      <c r="BG116" s="66">
        <f>+IF($W116="","",ROUND(IF($B116&gt;Parámetros!$D$107,'Tablas Servicio'!BE116+('Tablas Servicio'!BG115-'Tablas Servicio'!BE115),BE116/(1-IF(B116&lt;=10,Parámetros!$D$100,0))),2))</f>
        <v>0</v>
      </c>
      <c r="BH116" s="66">
        <f t="shared" si="172"/>
        <v>0</v>
      </c>
      <c r="BI116" s="66">
        <f t="shared" si="173"/>
        <v>0</v>
      </c>
      <c r="BJ116" s="66">
        <f>+IF($W116="","",ROUND((BG116*Parámetros!$G$85),2))</f>
        <v>0</v>
      </c>
      <c r="BK116" s="66">
        <f>+IF($W116="","",ROUND((BG116*(Parámetros!$G$86)),2))</f>
        <v>0</v>
      </c>
      <c r="BL116" s="66">
        <f t="shared" si="174"/>
        <v>0</v>
      </c>
      <c r="BM116" t="str">
        <f t="shared" si="127"/>
        <v>00061</v>
      </c>
      <c r="BN116" t="str">
        <f t="shared" si="128"/>
        <v>Gastos de Entierro</v>
      </c>
      <c r="BO116" s="118">
        <f t="shared" si="129"/>
        <v>0</v>
      </c>
      <c r="BP116" s="118" t="str">
        <f t="shared" si="130"/>
        <v>A</v>
      </c>
      <c r="BQ116" s="119" t="str">
        <f>+IF(OR($W116="",BO116=0),"",ROUND((VLOOKUP(ROUNDDOWN($D116-1/frec,0),cob_adi,BB$40,FALSE)*(1+i/frec)^-0.5*(1+Parámetros!$D$103)*(1+rec_fracc)/frec),6))</f>
        <v/>
      </c>
      <c r="BR116" s="66">
        <f t="shared" si="175"/>
        <v>0</v>
      </c>
      <c r="BS116" s="119" t="str">
        <f t="shared" si="176"/>
        <v/>
      </c>
      <c r="BT116" s="66">
        <f>+IF($W116="","",ROUND(IF($B116&gt;Parámetros!$D$107,'Tablas Servicio'!BR116+('Tablas Servicio'!BT115-'Tablas Servicio'!BR115),BR116/(1-IF(B116&lt;=10,Parámetros!$D$100,0))),2))</f>
        <v>0</v>
      </c>
      <c r="BU116" s="66">
        <f t="shared" si="177"/>
        <v>0</v>
      </c>
      <c r="BV116" s="66">
        <f t="shared" si="177"/>
        <v>0</v>
      </c>
      <c r="BW116" s="66">
        <f>+IF($W116="","",ROUND((BT116*Parámetros!$G$85),2))</f>
        <v>0</v>
      </c>
      <c r="BX116" s="66">
        <f>+IF($W116="","",ROUND((BT116*(Parámetros!$G$86)),2))</f>
        <v>0</v>
      </c>
      <c r="BY116" s="66">
        <f t="shared" si="178"/>
        <v>0</v>
      </c>
      <c r="BZ116" t="str">
        <f t="shared" si="131"/>
        <v>00062</v>
      </c>
      <c r="CA116" t="str">
        <f t="shared" si="132"/>
        <v>Gastos médicos por accidente</v>
      </c>
      <c r="CB116" s="118">
        <f t="shared" si="133"/>
        <v>0</v>
      </c>
      <c r="CC116" s="118" t="str">
        <f t="shared" si="134"/>
        <v>A</v>
      </c>
      <c r="CD116" s="119" t="str">
        <f t="shared" si="179"/>
        <v/>
      </c>
      <c r="CE116" s="66">
        <f>+IF($W116="","",ROUND((VLOOKUP(ROUNDDOWN($D116-1/frec,0),cob_adi,BO$40,FALSE)*(1+i/frec)^-0.5*(1+Parámetros!$D$103)*(1+rec_fracc)/frec*'TABLAS ADI'!$BC$17),2))</f>
        <v>0</v>
      </c>
      <c r="CF116" s="119" t="str">
        <f t="shared" si="180"/>
        <v/>
      </c>
      <c r="CG116" s="66">
        <f>+IF($W116="","",ROUND(IF($B116&gt;Parámetros!$D$107,'Tablas Servicio'!CE116+('Tablas Servicio'!CG115-'Tablas Servicio'!CE115),CE116/(1-IF(B116&lt;=10,Parámetros!$D$100,0))),2))</f>
        <v>0</v>
      </c>
      <c r="CH116" s="66">
        <f t="shared" si="181"/>
        <v>0</v>
      </c>
      <c r="CI116" s="66">
        <f t="shared" si="181"/>
        <v>0</v>
      </c>
      <c r="CJ116" s="66">
        <f>+IF($W116="","",ROUND((CG116*Parámetros!$G$85),2))</f>
        <v>0</v>
      </c>
      <c r="CK116" s="66">
        <f>+IF($W116="","",ROUND((CG116*(Parámetros!$G$86)),2))</f>
        <v>0</v>
      </c>
      <c r="CL116" s="66">
        <f t="shared" si="182"/>
        <v>0</v>
      </c>
      <c r="CM116" t="str">
        <f t="shared" si="135"/>
        <v>00063</v>
      </c>
      <c r="CN116" s="118" t="str">
        <f t="shared" si="136"/>
        <v>Renta Diaria por Hospitalización</v>
      </c>
      <c r="CO116" s="118">
        <f t="shared" si="137"/>
        <v>0</v>
      </c>
      <c r="CP116" s="118" t="str">
        <f t="shared" si="138"/>
        <v>A</v>
      </c>
      <c r="CQ116" s="119" t="str">
        <f t="shared" si="183"/>
        <v/>
      </c>
      <c r="CR116" s="66">
        <f>+IF($W116="","",ROUND((VLOOKUP(Parámetros!$F$51,'COBERTURAS ADICIONALES'!$S$4:$T$32,2,FALSE)*(1+i/frec)^-0.5*(1+Parámetros!$D$103)*(1+rec_fracc)/frec*$CO$42),2))</f>
        <v>0</v>
      </c>
      <c r="CS116" s="119" t="str">
        <f t="shared" si="184"/>
        <v/>
      </c>
      <c r="CT116" s="66">
        <f>+IF($W116="","",ROUND(IF($B116&gt;Parámetros!$D$107,'Tablas Servicio'!CR116+('Tablas Servicio'!CT115-'Tablas Servicio'!CR115),CR116/(1-IF(B116&lt;=10,Parámetros!$D$100,0))),2))</f>
        <v>0</v>
      </c>
      <c r="CU116" s="66">
        <f t="shared" si="185"/>
        <v>0</v>
      </c>
      <c r="CV116" s="66">
        <f t="shared" si="185"/>
        <v>0</v>
      </c>
      <c r="CW116" s="66">
        <f>+IF($W116="","",ROUND((CT116*Parámetros!$G$85),2))</f>
        <v>0</v>
      </c>
      <c r="CX116" s="66">
        <f>+IF($W116="","",ROUND((CT116*(Parámetros!$G$86)),2))</f>
        <v>0</v>
      </c>
      <c r="CY116" s="66">
        <f t="shared" si="186"/>
        <v>0</v>
      </c>
      <c r="CZ116" t="str">
        <f t="shared" si="139"/>
        <v>00064</v>
      </c>
      <c r="DA116" s="118" t="str">
        <f t="shared" si="140"/>
        <v>Enfermedades Graves</v>
      </c>
      <c r="DB116" s="118">
        <f t="shared" si="141"/>
        <v>0</v>
      </c>
      <c r="DC116" s="118" t="str">
        <f t="shared" si="142"/>
        <v>A</v>
      </c>
      <c r="DD116" s="121" t="str">
        <f>+IF(OR($W116="",DB116=0),"",ROUND((VLOOKUP(ROUNDDOWN($D116-1/frec,0),cob_adi,CO$40,FALSE)*(1+i/frec)^-0.5*(1+Parámetros!$D$103)*(1+rec_fracc)/frec),6))</f>
        <v/>
      </c>
      <c r="DE116" s="66">
        <f t="shared" si="187"/>
        <v>0</v>
      </c>
      <c r="DF116" s="119" t="str">
        <f t="shared" si="188"/>
        <v/>
      </c>
      <c r="DG116" s="66">
        <f>+IF($W116="","",ROUND(IF($B116&gt;Parámetros!$D$107,'Tablas Servicio'!DE116+('Tablas Servicio'!DG115-'Tablas Servicio'!DE115),DE116/(1-IF(B116&lt;=10,Parámetros!$D$100,0))),2))</f>
        <v>0</v>
      </c>
      <c r="DH116" s="66">
        <f t="shared" si="189"/>
        <v>0</v>
      </c>
      <c r="DI116" s="66">
        <f t="shared" si="189"/>
        <v>0</v>
      </c>
      <c r="DJ116" s="66">
        <f>+IF($W116="","",ROUND((DG116*Parámetros!$G$85),2))</f>
        <v>0</v>
      </c>
      <c r="DK116" s="66">
        <f>+IF($W116="","",ROUND((DG116*(Parámetros!$G$86)),2))</f>
        <v>0</v>
      </c>
      <c r="DL116" s="66">
        <f t="shared" si="190"/>
        <v>0</v>
      </c>
      <c r="DM116" t="str">
        <f t="shared" si="143"/>
        <v>00065</v>
      </c>
      <c r="DN116" s="118" t="str">
        <f t="shared" si="144"/>
        <v>Exención pago de primas</v>
      </c>
      <c r="DO116" s="118">
        <f t="shared" si="145"/>
        <v>0</v>
      </c>
      <c r="DP116" s="118" t="str">
        <f t="shared" si="146"/>
        <v>A</v>
      </c>
      <c r="DQ116" s="122" t="str">
        <f>+IF(OR($W116="",DO116=0),"",ROUND((VLOOKUP(ROUNDDOWN($D116-1/frec,0),cob_adi,DB$40,FALSE)*(1+i/frec)^-0.5*(1+Parámetros!$D$103)*(1+rec_fracc)/frec),6))</f>
        <v/>
      </c>
      <c r="DR116" s="66">
        <f t="shared" si="191"/>
        <v>0</v>
      </c>
      <c r="DS116" s="68" t="str">
        <f t="shared" si="192"/>
        <v/>
      </c>
      <c r="DT116" s="66">
        <f>+IF($W116="","",ROUND(IF($B116&gt;Parámetros!$D$107,'Tablas Servicio'!DR116+('Tablas Servicio'!DT115-'Tablas Servicio'!DR115),DR116/(1-IF(B116&lt;=10,Parámetros!$D$100,0))),2))</f>
        <v>0</v>
      </c>
      <c r="DU116" s="66">
        <f t="shared" si="193"/>
        <v>0</v>
      </c>
      <c r="DV116" s="66">
        <f t="shared" si="193"/>
        <v>0</v>
      </c>
      <c r="DW116" s="66">
        <f>+IF($W116="","",ROUND((DT116*Parámetros!$G$85),2))</f>
        <v>0</v>
      </c>
      <c r="DX116" s="66">
        <f>+IF($W116="","",ROUND((DT116*(Parámetros!$G$86)),2))</f>
        <v>0</v>
      </c>
      <c r="DY116" s="66">
        <f t="shared" si="194"/>
        <v>0</v>
      </c>
      <c r="DZ116" t="str">
        <f t="shared" si="195"/>
        <v>00066</v>
      </c>
      <c r="EA116" s="118" t="str">
        <f t="shared" si="195"/>
        <v>Enfermedad terminal</v>
      </c>
      <c r="EB116" s="118">
        <f>+IF($W116="","",ROUND(IF(Parámetros!$D$25='TABLAS MORT'!$V$33,EB115,Z116/2),0))</f>
        <v>50000</v>
      </c>
      <c r="EC116" s="118" t="str">
        <f t="shared" si="195"/>
        <v>A</v>
      </c>
      <c r="ED116" s="122">
        <f>+IF(OR($W116="",EB116=0),"",ROUND((VLOOKUP(ROUNDDOWN($D116-1/frec,0),cob_adi,DO$40,FALSE)*(1+i/frec)^-0.5*(1+Parámetros!$D$103)*(1+rec_fracc)/frec),6))</f>
        <v>1.2E-5</v>
      </c>
      <c r="EE116" s="66">
        <f t="shared" si="196"/>
        <v>0.6</v>
      </c>
      <c r="EF116" s="68">
        <f t="shared" si="197"/>
        <v>1.4E-5</v>
      </c>
      <c r="EG116" s="66">
        <f>+IF($W116="","",ROUND(IF($B116&gt;Parámetros!$D$107,'Tablas Servicio'!EE116+('Tablas Servicio'!EG115-'Tablas Servicio'!EE115),EE116/(1-IF(B116&lt;=10,Parámetros!$D$100,0))),2))</f>
        <v>0.68</v>
      </c>
      <c r="EH116" s="66">
        <f t="shared" si="198"/>
        <v>0</v>
      </c>
      <c r="EI116" s="66">
        <f t="shared" si="198"/>
        <v>0</v>
      </c>
      <c r="EJ116" s="66">
        <f>+IF($W116="","",ROUND((EG116*Parámetros!$G$85),2))</f>
        <v>0.02</v>
      </c>
      <c r="EK116" s="66">
        <f>+IF($W116="","",ROUND((EG116*(Parámetros!$G$86)),2))</f>
        <v>0</v>
      </c>
      <c r="EL116" s="66">
        <f t="shared" si="199"/>
        <v>0.7</v>
      </c>
    </row>
    <row r="117" spans="1:142" x14ac:dyDescent="0.25">
      <c r="A117">
        <f>+IF($C117="","",ROUND(VLOOKUP('Tablas Servicio'!B117,Parámetros!$H$100:$J$159,IF(Parámetros!$E$16="F",2,3),FALSE),2))</f>
        <v>150</v>
      </c>
      <c r="B117">
        <f t="shared" si="150"/>
        <v>7</v>
      </c>
      <c r="C117" s="57">
        <f>+IF(D117="","",'Tablas Servicio'!C116+1)</f>
        <v>76</v>
      </c>
      <c r="D117" s="56">
        <f>+IF(D116&lt;edadmaxtabla,D116+1/Parámetros!$E$25,"")</f>
        <v>46.353333333333516</v>
      </c>
      <c r="E117" s="57">
        <f t="shared" si="160"/>
        <v>46</v>
      </c>
      <c r="F117" s="59">
        <f t="shared" si="161"/>
        <v>100000</v>
      </c>
      <c r="G117" s="66">
        <f t="shared" si="151"/>
        <v>33.96</v>
      </c>
      <c r="H117" s="66">
        <f t="shared" si="152"/>
        <v>35.31</v>
      </c>
      <c r="I117" s="66">
        <f t="shared" si="112"/>
        <v>51.68</v>
      </c>
      <c r="J117" s="66">
        <f t="shared" si="153"/>
        <v>1.18</v>
      </c>
      <c r="K117" s="66">
        <f t="shared" si="154"/>
        <v>0.17</v>
      </c>
      <c r="L117" s="66">
        <f t="shared" si="155"/>
        <v>0</v>
      </c>
      <c r="M117" s="66">
        <f t="shared" si="156"/>
        <v>0</v>
      </c>
      <c r="N117" s="66">
        <f>+IF(C117="","",ROUND(Parámetros!$D$23,2))</f>
        <v>94</v>
      </c>
      <c r="O117" s="66">
        <f t="shared" si="157"/>
        <v>17.5</v>
      </c>
      <c r="P117" s="66">
        <f>+IF($C117="","",ROUND(IF(B117&gt;Parámetros!$D$117,0,N117*Parámetros!$D$116-G117*Parámetros!$D$100),2))</f>
        <v>7.01</v>
      </c>
      <c r="Q117" s="75">
        <f t="shared" si="113"/>
        <v>3.4746760895170786E-2</v>
      </c>
      <c r="R117" s="75">
        <f t="shared" si="114"/>
        <v>5.0058892815076561E-3</v>
      </c>
      <c r="S117" s="117">
        <f>+IF($C117="","",ROUND((S116+I117)*(1+Parámetros!$D$91),2))</f>
        <v>4842.57</v>
      </c>
      <c r="T117" s="117">
        <f>+IF($C117="","",ROUND(S117*VLOOKUP(B117,Parámetros!$C$30:$D$39,2,TRUE),2))</f>
        <v>3631.93</v>
      </c>
      <c r="U117" s="117">
        <f>+IF($C117="","",ROUND((U116+I117)*(1+Parámetros!$D$92),2))</f>
        <v>4923.8599999999997</v>
      </c>
      <c r="V117" s="117">
        <f>+IF($C117="","",ROUND(U117*VLOOKUP(B117,Parámetros!$C$30:$D$39,2,TRUE),2))</f>
        <v>3692.9</v>
      </c>
      <c r="W117" s="57">
        <f t="shared" si="115"/>
        <v>76</v>
      </c>
      <c r="X117" t="str">
        <f t="shared" si="116"/>
        <v>00058</v>
      </c>
      <c r="Y117" t="str">
        <f t="shared" si="117"/>
        <v>MUERTE POR CUALQUIER CAUSA</v>
      </c>
      <c r="Z117" s="118">
        <f>+IF($W117="","",ROUND(IF(Parámetros!$D$25='TABLAS MORT'!$V$33,Z116,Parámetros!$D$21-'Tablas Servicio'!T116),0))</f>
        <v>100000</v>
      </c>
      <c r="AA117" s="118" t="str">
        <f t="shared" si="118"/>
        <v>P</v>
      </c>
      <c r="AB117" s="119">
        <f>+IF(W117="","",ROUND((VLOOKUP(ROUNDDOWN($D117-1/frec,0),qx_tabla,2,FALSE)*(1+i/frec)^-0.5*(1+Parámetros!$D$103)*(1+rec_fracc)/frec),6))</f>
        <v>1.6899999999999999E-4</v>
      </c>
      <c r="AC117" s="66">
        <f t="shared" si="162"/>
        <v>16.899999999999999</v>
      </c>
      <c r="AD117" s="119">
        <f t="shared" si="158"/>
        <v>3.3300000000000002E-4</v>
      </c>
      <c r="AE117" s="66">
        <f>+IF($W117="","",ROUND(IF($B117&gt;Parámetros!$D$107,'Tablas Servicio'!AC117+('Tablas Servicio'!AG116-'Tablas Servicio'!AC116),AC117/(1-IF(B117&lt;=10,Parámetros!$D$104,Parámetros!$D$105))),2))</f>
        <v>34.97</v>
      </c>
      <c r="AF117" s="66">
        <f>+IF($W117="","",ROUND(IF($B117&gt;Parámetros!$D$107,'Tablas Servicio'!AC117+('Tablas Servicio'!AG116-'Tablas Servicio'!AC116),(AC117+$A116/frec)/(1-IF(B117&lt;=Parámetros!$D$117,Parámetros!$D$100,0))),2))</f>
        <v>33.28</v>
      </c>
      <c r="AG117" s="66">
        <f t="shared" si="163"/>
        <v>33.28</v>
      </c>
      <c r="AH117" s="66">
        <f t="shared" si="164"/>
        <v>0</v>
      </c>
      <c r="AI117" s="66">
        <f t="shared" si="165"/>
        <v>0</v>
      </c>
      <c r="AJ117" s="66">
        <f>+IF($W117="","",ROUND((AG117*Parámetros!$G$85),2))</f>
        <v>1.1599999999999999</v>
      </c>
      <c r="AK117" s="66">
        <f>+IF($W117="","",ROUND((AG117*(Parámetros!$G$86)),2))</f>
        <v>0.17</v>
      </c>
      <c r="AL117" s="66">
        <f t="shared" si="159"/>
        <v>34.61</v>
      </c>
      <c r="AM117" t="str">
        <f t="shared" si="119"/>
        <v>00059</v>
      </c>
      <c r="AN117" t="str">
        <f t="shared" si="120"/>
        <v>Incapacidad Total y Permanente</v>
      </c>
      <c r="AO117" s="118">
        <f t="shared" si="121"/>
        <v>0</v>
      </c>
      <c r="AP117" s="118" t="str">
        <f t="shared" si="122"/>
        <v>A</v>
      </c>
      <c r="AQ117" s="119" t="str">
        <f>+IF(OR($W117="",AO117=0),"",ROUND((VLOOKUP(ROUNDDOWN($D117-1/frec,0),cob_adi,Z$40,FALSE)*(1+i/frec)^-0.5*(1+Parámetros!$D$103)*(1+rec_fracc)/frec),6))</f>
        <v/>
      </c>
      <c r="AR117" s="66">
        <f t="shared" si="166"/>
        <v>0</v>
      </c>
      <c r="AS117" s="119" t="str">
        <f t="shared" si="167"/>
        <v/>
      </c>
      <c r="AT117" s="66">
        <f>+IF($W117="","",ROUND(IF($B117&gt;Parámetros!$D$107,'Tablas Servicio'!AR117+('Tablas Servicio'!AT116-'Tablas Servicio'!AR116),AR117/(1-IF(B117&lt;=10,Parámetros!$D$100,0))),2))</f>
        <v>0</v>
      </c>
      <c r="AU117" s="66">
        <f t="shared" si="168"/>
        <v>0</v>
      </c>
      <c r="AV117" s="66">
        <f t="shared" si="168"/>
        <v>0</v>
      </c>
      <c r="AW117" s="66">
        <f>+IF($W117="","",ROUND((AT117*Parámetros!$G$85),2))</f>
        <v>0</v>
      </c>
      <c r="AX117" s="66">
        <f>+IF($W117="","",ROUND((AT117*(Parámetros!$G$86)),2))</f>
        <v>0</v>
      </c>
      <c r="AY117" s="66">
        <f t="shared" si="169"/>
        <v>0</v>
      </c>
      <c r="AZ117" t="str">
        <f t="shared" si="123"/>
        <v>00060</v>
      </c>
      <c r="BA117" t="str">
        <f t="shared" si="124"/>
        <v>Muerte Accidental</v>
      </c>
      <c r="BB117" s="118">
        <f t="shared" si="125"/>
        <v>0</v>
      </c>
      <c r="BC117" s="118" t="str">
        <f t="shared" si="126"/>
        <v>A</v>
      </c>
      <c r="BD117" s="119" t="str">
        <f>+IF(OR($W117="",BB117=0),"",ROUND((VLOOKUP(ROUNDDOWN($D117-1/frec,0),cob_adi,AO$40,FALSE)*(1+i/frec)^-0.5*(1+Parámetros!$D$103)*(1+rec_fracc)/frec),6))</f>
        <v/>
      </c>
      <c r="BE117" s="66">
        <f t="shared" si="170"/>
        <v>0</v>
      </c>
      <c r="BF117" s="119" t="str">
        <f t="shared" si="171"/>
        <v/>
      </c>
      <c r="BG117" s="66">
        <f>+IF($W117="","",ROUND(IF($B117&gt;Parámetros!$D$107,'Tablas Servicio'!BE117+('Tablas Servicio'!BG116-'Tablas Servicio'!BE116),BE117/(1-IF(B117&lt;=10,Parámetros!$D$100,0))),2))</f>
        <v>0</v>
      </c>
      <c r="BH117" s="66">
        <f t="shared" si="172"/>
        <v>0</v>
      </c>
      <c r="BI117" s="66">
        <f t="shared" si="173"/>
        <v>0</v>
      </c>
      <c r="BJ117" s="66">
        <f>+IF($W117="","",ROUND((BG117*Parámetros!$G$85),2))</f>
        <v>0</v>
      </c>
      <c r="BK117" s="66">
        <f>+IF($W117="","",ROUND((BG117*(Parámetros!$G$86)),2))</f>
        <v>0</v>
      </c>
      <c r="BL117" s="66">
        <f t="shared" si="174"/>
        <v>0</v>
      </c>
      <c r="BM117" t="str">
        <f t="shared" si="127"/>
        <v>00061</v>
      </c>
      <c r="BN117" t="str">
        <f t="shared" si="128"/>
        <v>Gastos de Entierro</v>
      </c>
      <c r="BO117" s="118">
        <f t="shared" si="129"/>
        <v>0</v>
      </c>
      <c r="BP117" s="118" t="str">
        <f t="shared" si="130"/>
        <v>A</v>
      </c>
      <c r="BQ117" s="119" t="str">
        <f>+IF(OR($W117="",BO117=0),"",ROUND((VLOOKUP(ROUNDDOWN($D117-1/frec,0),cob_adi,BB$40,FALSE)*(1+i/frec)^-0.5*(1+Parámetros!$D$103)*(1+rec_fracc)/frec),6))</f>
        <v/>
      </c>
      <c r="BR117" s="66">
        <f t="shared" si="175"/>
        <v>0</v>
      </c>
      <c r="BS117" s="119" t="str">
        <f t="shared" si="176"/>
        <v/>
      </c>
      <c r="BT117" s="66">
        <f>+IF($W117="","",ROUND(IF($B117&gt;Parámetros!$D$107,'Tablas Servicio'!BR117+('Tablas Servicio'!BT116-'Tablas Servicio'!BR116),BR117/(1-IF(B117&lt;=10,Parámetros!$D$100,0))),2))</f>
        <v>0</v>
      </c>
      <c r="BU117" s="66">
        <f t="shared" si="177"/>
        <v>0</v>
      </c>
      <c r="BV117" s="66">
        <f t="shared" si="177"/>
        <v>0</v>
      </c>
      <c r="BW117" s="66">
        <f>+IF($W117="","",ROUND((BT117*Parámetros!$G$85),2))</f>
        <v>0</v>
      </c>
      <c r="BX117" s="66">
        <f>+IF($W117="","",ROUND((BT117*(Parámetros!$G$86)),2))</f>
        <v>0</v>
      </c>
      <c r="BY117" s="66">
        <f t="shared" si="178"/>
        <v>0</v>
      </c>
      <c r="BZ117" t="str">
        <f t="shared" si="131"/>
        <v>00062</v>
      </c>
      <c r="CA117" t="str">
        <f t="shared" si="132"/>
        <v>Gastos médicos por accidente</v>
      </c>
      <c r="CB117" s="118">
        <f t="shared" si="133"/>
        <v>0</v>
      </c>
      <c r="CC117" s="118" t="str">
        <f t="shared" si="134"/>
        <v>A</v>
      </c>
      <c r="CD117" s="119" t="str">
        <f t="shared" si="179"/>
        <v/>
      </c>
      <c r="CE117" s="66">
        <f>+IF($W117="","",ROUND((VLOOKUP(ROUNDDOWN($D117-1/frec,0),cob_adi,BO$40,FALSE)*(1+i/frec)^-0.5*(1+Parámetros!$D$103)*(1+rec_fracc)/frec*'TABLAS ADI'!$BC$17),2))</f>
        <v>0</v>
      </c>
      <c r="CF117" s="119" t="str">
        <f t="shared" si="180"/>
        <v/>
      </c>
      <c r="CG117" s="66">
        <f>+IF($W117="","",ROUND(IF($B117&gt;Parámetros!$D$107,'Tablas Servicio'!CE117+('Tablas Servicio'!CG116-'Tablas Servicio'!CE116),CE117/(1-IF(B117&lt;=10,Parámetros!$D$100,0))),2))</f>
        <v>0</v>
      </c>
      <c r="CH117" s="66">
        <f t="shared" si="181"/>
        <v>0</v>
      </c>
      <c r="CI117" s="66">
        <f t="shared" si="181"/>
        <v>0</v>
      </c>
      <c r="CJ117" s="66">
        <f>+IF($W117="","",ROUND((CG117*Parámetros!$G$85),2))</f>
        <v>0</v>
      </c>
      <c r="CK117" s="66">
        <f>+IF($W117="","",ROUND((CG117*(Parámetros!$G$86)),2))</f>
        <v>0</v>
      </c>
      <c r="CL117" s="66">
        <f t="shared" si="182"/>
        <v>0</v>
      </c>
      <c r="CM117" t="str">
        <f t="shared" si="135"/>
        <v>00063</v>
      </c>
      <c r="CN117" s="118" t="str">
        <f t="shared" si="136"/>
        <v>Renta Diaria por Hospitalización</v>
      </c>
      <c r="CO117" s="118">
        <f t="shared" si="137"/>
        <v>0</v>
      </c>
      <c r="CP117" s="118" t="str">
        <f t="shared" si="138"/>
        <v>A</v>
      </c>
      <c r="CQ117" s="119" t="str">
        <f t="shared" si="183"/>
        <v/>
      </c>
      <c r="CR117" s="66">
        <f>+IF($W117="","",ROUND((VLOOKUP(Parámetros!$F$51,'COBERTURAS ADICIONALES'!$S$4:$T$32,2,FALSE)*(1+i/frec)^-0.5*(1+Parámetros!$D$103)*(1+rec_fracc)/frec*$CO$42),2))</f>
        <v>0</v>
      </c>
      <c r="CS117" s="119" t="str">
        <f t="shared" si="184"/>
        <v/>
      </c>
      <c r="CT117" s="66">
        <f>+IF($W117="","",ROUND(IF($B117&gt;Parámetros!$D$107,'Tablas Servicio'!CR117+('Tablas Servicio'!CT116-'Tablas Servicio'!CR116),CR117/(1-IF(B117&lt;=10,Parámetros!$D$100,0))),2))</f>
        <v>0</v>
      </c>
      <c r="CU117" s="66">
        <f t="shared" si="185"/>
        <v>0</v>
      </c>
      <c r="CV117" s="66">
        <f t="shared" si="185"/>
        <v>0</v>
      </c>
      <c r="CW117" s="66">
        <f>+IF($W117="","",ROUND((CT117*Parámetros!$G$85),2))</f>
        <v>0</v>
      </c>
      <c r="CX117" s="66">
        <f>+IF($W117="","",ROUND((CT117*(Parámetros!$G$86)),2))</f>
        <v>0</v>
      </c>
      <c r="CY117" s="66">
        <f t="shared" si="186"/>
        <v>0</v>
      </c>
      <c r="CZ117" t="str">
        <f t="shared" si="139"/>
        <v>00064</v>
      </c>
      <c r="DA117" s="118" t="str">
        <f t="shared" si="140"/>
        <v>Enfermedades Graves</v>
      </c>
      <c r="DB117" s="118">
        <f t="shared" si="141"/>
        <v>0</v>
      </c>
      <c r="DC117" s="118" t="str">
        <f t="shared" si="142"/>
        <v>A</v>
      </c>
      <c r="DD117" s="121" t="str">
        <f>+IF(OR($W117="",DB117=0),"",ROUND((VLOOKUP(ROUNDDOWN($D117-1/frec,0),cob_adi,CO$40,FALSE)*(1+i/frec)^-0.5*(1+Parámetros!$D$103)*(1+rec_fracc)/frec),6))</f>
        <v/>
      </c>
      <c r="DE117" s="66">
        <f t="shared" si="187"/>
        <v>0</v>
      </c>
      <c r="DF117" s="119" t="str">
        <f t="shared" si="188"/>
        <v/>
      </c>
      <c r="DG117" s="66">
        <f>+IF($W117="","",ROUND(IF($B117&gt;Parámetros!$D$107,'Tablas Servicio'!DE117+('Tablas Servicio'!DG116-'Tablas Servicio'!DE116),DE117/(1-IF(B117&lt;=10,Parámetros!$D$100,0))),2))</f>
        <v>0</v>
      </c>
      <c r="DH117" s="66">
        <f t="shared" si="189"/>
        <v>0</v>
      </c>
      <c r="DI117" s="66">
        <f t="shared" si="189"/>
        <v>0</v>
      </c>
      <c r="DJ117" s="66">
        <f>+IF($W117="","",ROUND((DG117*Parámetros!$G$85),2))</f>
        <v>0</v>
      </c>
      <c r="DK117" s="66">
        <f>+IF($W117="","",ROUND((DG117*(Parámetros!$G$86)),2))</f>
        <v>0</v>
      </c>
      <c r="DL117" s="66">
        <f t="shared" si="190"/>
        <v>0</v>
      </c>
      <c r="DM117" t="str">
        <f t="shared" si="143"/>
        <v>00065</v>
      </c>
      <c r="DN117" s="118" t="str">
        <f t="shared" si="144"/>
        <v>Exención pago de primas</v>
      </c>
      <c r="DO117" s="118">
        <f t="shared" si="145"/>
        <v>0</v>
      </c>
      <c r="DP117" s="118" t="str">
        <f t="shared" si="146"/>
        <v>A</v>
      </c>
      <c r="DQ117" s="122" t="str">
        <f>+IF(OR($W117="",DO117=0),"",ROUND((VLOOKUP(ROUNDDOWN($D117-1/frec,0),cob_adi,DB$40,FALSE)*(1+i/frec)^-0.5*(1+Parámetros!$D$103)*(1+rec_fracc)/frec),6))</f>
        <v/>
      </c>
      <c r="DR117" s="66">
        <f t="shared" si="191"/>
        <v>0</v>
      </c>
      <c r="DS117" s="68" t="str">
        <f t="shared" si="192"/>
        <v/>
      </c>
      <c r="DT117" s="66">
        <f>+IF($W117="","",ROUND(IF($B117&gt;Parámetros!$D$107,'Tablas Servicio'!DR117+('Tablas Servicio'!DT116-'Tablas Servicio'!DR116),DR117/(1-IF(B117&lt;=10,Parámetros!$D$100,0))),2))</f>
        <v>0</v>
      </c>
      <c r="DU117" s="66">
        <f t="shared" si="193"/>
        <v>0</v>
      </c>
      <c r="DV117" s="66">
        <f t="shared" si="193"/>
        <v>0</v>
      </c>
      <c r="DW117" s="66">
        <f>+IF($W117="","",ROUND((DT117*Parámetros!$G$85),2))</f>
        <v>0</v>
      </c>
      <c r="DX117" s="66">
        <f>+IF($W117="","",ROUND((DT117*(Parámetros!$G$86)),2))</f>
        <v>0</v>
      </c>
      <c r="DY117" s="66">
        <f t="shared" si="194"/>
        <v>0</v>
      </c>
      <c r="DZ117" t="str">
        <f t="shared" si="195"/>
        <v>00066</v>
      </c>
      <c r="EA117" s="118" t="str">
        <f t="shared" si="195"/>
        <v>Enfermedad terminal</v>
      </c>
      <c r="EB117" s="118">
        <f>+IF($W117="","",ROUND(IF(Parámetros!$D$25='TABLAS MORT'!$V$33,EB116,Z117/2),0))</f>
        <v>50000</v>
      </c>
      <c r="EC117" s="118" t="str">
        <f t="shared" si="195"/>
        <v>A</v>
      </c>
      <c r="ED117" s="122">
        <f>+IF(OR($W117="",EB117=0),"",ROUND((VLOOKUP(ROUNDDOWN($D117-1/frec,0),cob_adi,DO$40,FALSE)*(1+i/frec)^-0.5*(1+Parámetros!$D$103)*(1+rec_fracc)/frec),6))</f>
        <v>1.2E-5</v>
      </c>
      <c r="EE117" s="66">
        <f t="shared" si="196"/>
        <v>0.6</v>
      </c>
      <c r="EF117" s="68">
        <f t="shared" si="197"/>
        <v>1.4E-5</v>
      </c>
      <c r="EG117" s="66">
        <f>+IF($W117="","",ROUND(IF($B117&gt;Parámetros!$D$107,'Tablas Servicio'!EE117+('Tablas Servicio'!EG116-'Tablas Servicio'!EE116),EE117/(1-IF(B117&lt;=10,Parámetros!$D$100,0))),2))</f>
        <v>0.68</v>
      </c>
      <c r="EH117" s="66">
        <f t="shared" si="198"/>
        <v>0</v>
      </c>
      <c r="EI117" s="66">
        <f t="shared" si="198"/>
        <v>0</v>
      </c>
      <c r="EJ117" s="66">
        <f>+IF($W117="","",ROUND((EG117*Parámetros!$G$85),2))</f>
        <v>0.02</v>
      </c>
      <c r="EK117" s="66">
        <f>+IF($W117="","",ROUND((EG117*(Parámetros!$G$86)),2))</f>
        <v>0</v>
      </c>
      <c r="EL117" s="66">
        <f t="shared" si="199"/>
        <v>0.7</v>
      </c>
    </row>
    <row r="118" spans="1:142" x14ac:dyDescent="0.25">
      <c r="A118">
        <f>+IF($C118="","",ROUND(VLOOKUP('Tablas Servicio'!B118,Parámetros!$H$100:$J$159,IF(Parámetros!$E$16="F",2,3),FALSE),2))</f>
        <v>150</v>
      </c>
      <c r="B118">
        <f t="shared" si="150"/>
        <v>7</v>
      </c>
      <c r="C118" s="57">
        <f>+IF(D118="","",'Tablas Servicio'!C117+1)</f>
        <v>77</v>
      </c>
      <c r="D118" s="56">
        <f>+IF(D117&lt;edadmaxtabla,D117+1/Parámetros!$E$25,"")</f>
        <v>46.436666666666852</v>
      </c>
      <c r="E118" s="57">
        <f t="shared" si="160"/>
        <v>46</v>
      </c>
      <c r="F118" s="59">
        <f t="shared" si="161"/>
        <v>100000</v>
      </c>
      <c r="G118" s="66">
        <f t="shared" si="151"/>
        <v>33.96</v>
      </c>
      <c r="H118" s="66">
        <f t="shared" si="152"/>
        <v>35.31</v>
      </c>
      <c r="I118" s="66">
        <f t="shared" ref="I118:I181" si="200">+IF($C118="","",N118-H118-P118)</f>
        <v>51.68</v>
      </c>
      <c r="J118" s="66">
        <f t="shared" si="153"/>
        <v>1.18</v>
      </c>
      <c r="K118" s="66">
        <f t="shared" si="154"/>
        <v>0.17</v>
      </c>
      <c r="L118" s="66">
        <f t="shared" si="155"/>
        <v>0</v>
      </c>
      <c r="M118" s="66">
        <f t="shared" si="156"/>
        <v>0</v>
      </c>
      <c r="N118" s="66">
        <f>+IF(C118="","",ROUND(Parámetros!$D$23,2))</f>
        <v>94</v>
      </c>
      <c r="O118" s="66">
        <f t="shared" si="157"/>
        <v>17.5</v>
      </c>
      <c r="P118" s="66">
        <f>+IF($C118="","",ROUND(IF(B118&gt;Parámetros!$D$117,0,N118*Parámetros!$D$116-G118*Parámetros!$D$100),2))</f>
        <v>7.01</v>
      </c>
      <c r="Q118" s="75">
        <f t="shared" ref="Q118:Q181" si="201">+IF($C118="","",J118/$G118)</f>
        <v>3.4746760895170786E-2</v>
      </c>
      <c r="R118" s="75">
        <f t="shared" ref="R118:R181" si="202">+IF($C118="","",K118/$G118)</f>
        <v>5.0058892815076561E-3</v>
      </c>
      <c r="S118" s="117">
        <f>+IF($C118="","",ROUND((S117+I118)*(1+Parámetros!$D$91),2))</f>
        <v>4908.13</v>
      </c>
      <c r="T118" s="117">
        <f>+IF($C118="","",ROUND(S118*VLOOKUP(B118,Parámetros!$C$30:$D$39,2,TRUE),2))</f>
        <v>3681.1</v>
      </c>
      <c r="U118" s="117">
        <f>+IF($C118="","",ROUND((U117+I118)*(1+Parámetros!$D$92),2))</f>
        <v>4991.67</v>
      </c>
      <c r="V118" s="117">
        <f>+IF($C118="","",ROUND(U118*VLOOKUP(B118,Parámetros!$C$30:$D$39,2,TRUE),2))</f>
        <v>3743.75</v>
      </c>
      <c r="W118" s="57">
        <f t="shared" ref="W118:W181" si="203">+C118</f>
        <v>77</v>
      </c>
      <c r="X118" t="str">
        <f t="shared" ref="X118:X181" si="204">+IF($W118="","",X117)</f>
        <v>00058</v>
      </c>
      <c r="Y118" t="str">
        <f t="shared" ref="Y118:Y181" si="205">+IF($W118="","",Y117)</f>
        <v>MUERTE POR CUALQUIER CAUSA</v>
      </c>
      <c r="Z118" s="118">
        <f>+IF($W118="","",ROUND(IF(Parámetros!$D$25='TABLAS MORT'!$V$33,Z117,Parámetros!$D$21-'Tablas Servicio'!T117),0))</f>
        <v>100000</v>
      </c>
      <c r="AA118" s="118" t="str">
        <f t="shared" ref="AA118:AA181" si="206">+IF($W118="","",AA117)</f>
        <v>P</v>
      </c>
      <c r="AB118" s="119">
        <f>+IF(W118="","",ROUND((VLOOKUP(ROUNDDOWN($D118-1/frec,0),qx_tabla,2,FALSE)*(1+i/frec)^-0.5*(1+Parámetros!$D$103)*(1+rec_fracc)/frec),6))</f>
        <v>1.6899999999999999E-4</v>
      </c>
      <c r="AC118" s="66">
        <f t="shared" si="162"/>
        <v>16.899999999999999</v>
      </c>
      <c r="AD118" s="119">
        <f t="shared" si="158"/>
        <v>3.3300000000000002E-4</v>
      </c>
      <c r="AE118" s="66">
        <f>+IF($W118="","",ROUND(IF($B118&gt;Parámetros!$D$107,'Tablas Servicio'!AC118+('Tablas Servicio'!AG117-'Tablas Servicio'!AC117),AC118/(1-IF(B118&lt;=10,Parámetros!$D$104,Parámetros!$D$105))),2))</f>
        <v>34.97</v>
      </c>
      <c r="AF118" s="66">
        <f>+IF($W118="","",ROUND(IF($B118&gt;Parámetros!$D$107,'Tablas Servicio'!AC118+('Tablas Servicio'!AG117-'Tablas Servicio'!AC117),(AC118+$A117/frec)/(1-IF(B118&lt;=Parámetros!$D$117,Parámetros!$D$100,0))),2))</f>
        <v>33.28</v>
      </c>
      <c r="AG118" s="66">
        <f t="shared" si="163"/>
        <v>33.28</v>
      </c>
      <c r="AH118" s="66">
        <f t="shared" si="164"/>
        <v>0</v>
      </c>
      <c r="AI118" s="66">
        <f t="shared" si="165"/>
        <v>0</v>
      </c>
      <c r="AJ118" s="66">
        <f>+IF($W118="","",ROUND((AG118*Parámetros!$G$85),2))</f>
        <v>1.1599999999999999</v>
      </c>
      <c r="AK118" s="66">
        <f>+IF($W118="","",ROUND((AG118*(Parámetros!$G$86)),2))</f>
        <v>0.17</v>
      </c>
      <c r="AL118" s="66">
        <f t="shared" si="159"/>
        <v>34.61</v>
      </c>
      <c r="AM118" t="str">
        <f t="shared" ref="AM118:AM181" si="207">+IF($W118="","",AM117)</f>
        <v>00059</v>
      </c>
      <c r="AN118" t="str">
        <f t="shared" ref="AN118:AN181" si="208">+IF($W118="","",AN117)</f>
        <v>Incapacidad Total y Permanente</v>
      </c>
      <c r="AO118" s="118">
        <f t="shared" ref="AO118:AO181" si="209">+IF($W118="","",AO117)</f>
        <v>0</v>
      </c>
      <c r="AP118" s="118" t="str">
        <f t="shared" ref="AP118:AP181" si="210">+IF($W118="","",AP117)</f>
        <v>A</v>
      </c>
      <c r="AQ118" s="119" t="str">
        <f>+IF(OR($W118="",AO118=0),"",ROUND((VLOOKUP(ROUNDDOWN($D118-1/frec,0),cob_adi,Z$40,FALSE)*(1+i/frec)^-0.5*(1+Parámetros!$D$103)*(1+rec_fracc)/frec),6))</f>
        <v/>
      </c>
      <c r="AR118" s="66">
        <f t="shared" si="166"/>
        <v>0</v>
      </c>
      <c r="AS118" s="119" t="str">
        <f t="shared" si="167"/>
        <v/>
      </c>
      <c r="AT118" s="66">
        <f>+IF($W118="","",ROUND(IF($B118&gt;Parámetros!$D$107,'Tablas Servicio'!AR118+('Tablas Servicio'!AT117-'Tablas Servicio'!AR117),AR118/(1-IF(B118&lt;=10,Parámetros!$D$100,0))),2))</f>
        <v>0</v>
      </c>
      <c r="AU118" s="66">
        <f t="shared" si="168"/>
        <v>0</v>
      </c>
      <c r="AV118" s="66">
        <f t="shared" si="168"/>
        <v>0</v>
      </c>
      <c r="AW118" s="66">
        <f>+IF($W118="","",ROUND((AT118*Parámetros!$G$85),2))</f>
        <v>0</v>
      </c>
      <c r="AX118" s="66">
        <f>+IF($W118="","",ROUND((AT118*(Parámetros!$G$86)),2))</f>
        <v>0</v>
      </c>
      <c r="AY118" s="66">
        <f t="shared" si="169"/>
        <v>0</v>
      </c>
      <c r="AZ118" t="str">
        <f t="shared" ref="AZ118:AZ181" si="211">+IF($W118="","",AZ117)</f>
        <v>00060</v>
      </c>
      <c r="BA118" t="str">
        <f t="shared" ref="BA118:BA181" si="212">+IF($W118="","",BA117)</f>
        <v>Muerte Accidental</v>
      </c>
      <c r="BB118" s="118">
        <f t="shared" ref="BB118:BB181" si="213">+IF($W118="","",BB117)</f>
        <v>0</v>
      </c>
      <c r="BC118" s="118" t="str">
        <f t="shared" ref="BC118:BC181" si="214">+IF($W118="","",BC117)</f>
        <v>A</v>
      </c>
      <c r="BD118" s="119" t="str">
        <f>+IF(OR($W118="",BB118=0),"",ROUND((VLOOKUP(ROUNDDOWN($D118-1/frec,0),cob_adi,AO$40,FALSE)*(1+i/frec)^-0.5*(1+Parámetros!$D$103)*(1+rec_fracc)/frec),6))</f>
        <v/>
      </c>
      <c r="BE118" s="66">
        <f t="shared" si="170"/>
        <v>0</v>
      </c>
      <c r="BF118" s="119" t="str">
        <f t="shared" si="171"/>
        <v/>
      </c>
      <c r="BG118" s="66">
        <f>+IF($W118="","",ROUND(IF($B118&gt;Parámetros!$D$107,'Tablas Servicio'!BE118+('Tablas Servicio'!BG117-'Tablas Servicio'!BE117),BE118/(1-IF(B118&lt;=10,Parámetros!$D$100,0))),2))</f>
        <v>0</v>
      </c>
      <c r="BH118" s="66">
        <f t="shared" si="172"/>
        <v>0</v>
      </c>
      <c r="BI118" s="66">
        <f t="shared" si="173"/>
        <v>0</v>
      </c>
      <c r="BJ118" s="66">
        <f>+IF($W118="","",ROUND((BG118*Parámetros!$G$85),2))</f>
        <v>0</v>
      </c>
      <c r="BK118" s="66">
        <f>+IF($W118="","",ROUND((BG118*(Parámetros!$G$86)),2))</f>
        <v>0</v>
      </c>
      <c r="BL118" s="66">
        <f t="shared" si="174"/>
        <v>0</v>
      </c>
      <c r="BM118" t="str">
        <f t="shared" ref="BM118:BM181" si="215">+IF($W118="","",BM117)</f>
        <v>00061</v>
      </c>
      <c r="BN118" t="str">
        <f t="shared" ref="BN118:BN181" si="216">+IF($W118="","",BN117)</f>
        <v>Gastos de Entierro</v>
      </c>
      <c r="BO118" s="118">
        <f t="shared" ref="BO118:BO181" si="217">+IF($W118="","",BO117)</f>
        <v>0</v>
      </c>
      <c r="BP118" s="118" t="str">
        <f t="shared" ref="BP118:BP181" si="218">+IF($W118="","",BP117)</f>
        <v>A</v>
      </c>
      <c r="BQ118" s="119" t="str">
        <f>+IF(OR($W118="",BO118=0),"",ROUND((VLOOKUP(ROUNDDOWN($D118-1/frec,0),cob_adi,BB$40,FALSE)*(1+i/frec)^-0.5*(1+Parámetros!$D$103)*(1+rec_fracc)/frec),6))</f>
        <v/>
      </c>
      <c r="BR118" s="66">
        <f t="shared" si="175"/>
        <v>0</v>
      </c>
      <c r="BS118" s="119" t="str">
        <f t="shared" si="176"/>
        <v/>
      </c>
      <c r="BT118" s="66">
        <f>+IF($W118="","",ROUND(IF($B118&gt;Parámetros!$D$107,'Tablas Servicio'!BR118+('Tablas Servicio'!BT117-'Tablas Servicio'!BR117),BR118/(1-IF(B118&lt;=10,Parámetros!$D$100,0))),2))</f>
        <v>0</v>
      </c>
      <c r="BU118" s="66">
        <f t="shared" si="177"/>
        <v>0</v>
      </c>
      <c r="BV118" s="66">
        <f t="shared" si="177"/>
        <v>0</v>
      </c>
      <c r="BW118" s="66">
        <f>+IF($W118="","",ROUND((BT118*Parámetros!$G$85),2))</f>
        <v>0</v>
      </c>
      <c r="BX118" s="66">
        <f>+IF($W118="","",ROUND((BT118*(Parámetros!$G$86)),2))</f>
        <v>0</v>
      </c>
      <c r="BY118" s="66">
        <f t="shared" si="178"/>
        <v>0</v>
      </c>
      <c r="BZ118" t="str">
        <f t="shared" ref="BZ118:BZ181" si="219">+IF($W118="","",BZ117)</f>
        <v>00062</v>
      </c>
      <c r="CA118" t="str">
        <f t="shared" ref="CA118:CA181" si="220">+IF($W118="","",CA117)</f>
        <v>Gastos médicos por accidente</v>
      </c>
      <c r="CB118" s="118">
        <f t="shared" ref="CB118:CB181" si="221">+IF($W118="","",CB117)</f>
        <v>0</v>
      </c>
      <c r="CC118" s="118" t="str">
        <f t="shared" ref="CC118:CC181" si="222">+IF($W118="","",CC117)</f>
        <v>A</v>
      </c>
      <c r="CD118" s="119" t="str">
        <f t="shared" si="179"/>
        <v/>
      </c>
      <c r="CE118" s="66">
        <f>+IF($W118="","",ROUND((VLOOKUP(ROUNDDOWN($D118-1/frec,0),cob_adi,BO$40,FALSE)*(1+i/frec)^-0.5*(1+Parámetros!$D$103)*(1+rec_fracc)/frec*'TABLAS ADI'!$BC$17),2))</f>
        <v>0</v>
      </c>
      <c r="CF118" s="119" t="str">
        <f t="shared" si="180"/>
        <v/>
      </c>
      <c r="CG118" s="66">
        <f>+IF($W118="","",ROUND(IF($B118&gt;Parámetros!$D$107,'Tablas Servicio'!CE118+('Tablas Servicio'!CG117-'Tablas Servicio'!CE117),CE118/(1-IF(B118&lt;=10,Parámetros!$D$100,0))),2))</f>
        <v>0</v>
      </c>
      <c r="CH118" s="66">
        <f t="shared" si="181"/>
        <v>0</v>
      </c>
      <c r="CI118" s="66">
        <f t="shared" si="181"/>
        <v>0</v>
      </c>
      <c r="CJ118" s="66">
        <f>+IF($W118="","",ROUND((CG118*Parámetros!$G$85),2))</f>
        <v>0</v>
      </c>
      <c r="CK118" s="66">
        <f>+IF($W118="","",ROUND((CG118*(Parámetros!$G$86)),2))</f>
        <v>0</v>
      </c>
      <c r="CL118" s="66">
        <f t="shared" si="182"/>
        <v>0</v>
      </c>
      <c r="CM118" t="str">
        <f t="shared" ref="CM118:CM181" si="223">+IF($W118="","",CM117)</f>
        <v>00063</v>
      </c>
      <c r="CN118" s="118" t="str">
        <f t="shared" ref="CN118:CN181" si="224">+IF($W118="","",CN117)</f>
        <v>Renta Diaria por Hospitalización</v>
      </c>
      <c r="CO118" s="118">
        <f t="shared" ref="CO118:CO181" si="225">+IF($W118="","",CO117)</f>
        <v>0</v>
      </c>
      <c r="CP118" s="118" t="str">
        <f t="shared" ref="CP118:CP181" si="226">+IF($W118="","",CP117)</f>
        <v>A</v>
      </c>
      <c r="CQ118" s="119" t="str">
        <f t="shared" si="183"/>
        <v/>
      </c>
      <c r="CR118" s="66">
        <f>+IF($W118="","",ROUND((VLOOKUP(Parámetros!$F$51,'COBERTURAS ADICIONALES'!$S$4:$T$32,2,FALSE)*(1+i/frec)^-0.5*(1+Parámetros!$D$103)*(1+rec_fracc)/frec*$CO$42),2))</f>
        <v>0</v>
      </c>
      <c r="CS118" s="119" t="str">
        <f t="shared" si="184"/>
        <v/>
      </c>
      <c r="CT118" s="66">
        <f>+IF($W118="","",ROUND(IF($B118&gt;Parámetros!$D$107,'Tablas Servicio'!CR118+('Tablas Servicio'!CT117-'Tablas Servicio'!CR117),CR118/(1-IF(B118&lt;=10,Parámetros!$D$100,0))),2))</f>
        <v>0</v>
      </c>
      <c r="CU118" s="66">
        <f t="shared" si="185"/>
        <v>0</v>
      </c>
      <c r="CV118" s="66">
        <f t="shared" si="185"/>
        <v>0</v>
      </c>
      <c r="CW118" s="66">
        <f>+IF($W118="","",ROUND((CT118*Parámetros!$G$85),2))</f>
        <v>0</v>
      </c>
      <c r="CX118" s="66">
        <f>+IF($W118="","",ROUND((CT118*(Parámetros!$G$86)),2))</f>
        <v>0</v>
      </c>
      <c r="CY118" s="66">
        <f t="shared" si="186"/>
        <v>0</v>
      </c>
      <c r="CZ118" t="str">
        <f t="shared" ref="CZ118:CZ181" si="227">+IF($W118="","",CZ117)</f>
        <v>00064</v>
      </c>
      <c r="DA118" s="118" t="str">
        <f t="shared" ref="DA118:DA181" si="228">+IF($W118="","",DA117)</f>
        <v>Enfermedades Graves</v>
      </c>
      <c r="DB118" s="118">
        <f t="shared" ref="DB118:DB181" si="229">+IF($W118="","",DB117)</f>
        <v>0</v>
      </c>
      <c r="DC118" s="118" t="str">
        <f t="shared" ref="DC118:DC181" si="230">+IF($W118="","",DC117)</f>
        <v>A</v>
      </c>
      <c r="DD118" s="121" t="str">
        <f>+IF(OR($W118="",DB118=0),"",ROUND((VLOOKUP(ROUNDDOWN($D118-1/frec,0),cob_adi,CO$40,FALSE)*(1+i/frec)^-0.5*(1+Parámetros!$D$103)*(1+rec_fracc)/frec),6))</f>
        <v/>
      </c>
      <c r="DE118" s="66">
        <f t="shared" si="187"/>
        <v>0</v>
      </c>
      <c r="DF118" s="119" t="str">
        <f t="shared" si="188"/>
        <v/>
      </c>
      <c r="DG118" s="66">
        <f>+IF($W118="","",ROUND(IF($B118&gt;Parámetros!$D$107,'Tablas Servicio'!DE118+('Tablas Servicio'!DG117-'Tablas Servicio'!DE117),DE118/(1-IF(B118&lt;=10,Parámetros!$D$100,0))),2))</f>
        <v>0</v>
      </c>
      <c r="DH118" s="66">
        <f t="shared" si="189"/>
        <v>0</v>
      </c>
      <c r="DI118" s="66">
        <f t="shared" si="189"/>
        <v>0</v>
      </c>
      <c r="DJ118" s="66">
        <f>+IF($W118="","",ROUND((DG118*Parámetros!$G$85),2))</f>
        <v>0</v>
      </c>
      <c r="DK118" s="66">
        <f>+IF($W118="","",ROUND((DG118*(Parámetros!$G$86)),2))</f>
        <v>0</v>
      </c>
      <c r="DL118" s="66">
        <f t="shared" si="190"/>
        <v>0</v>
      </c>
      <c r="DM118" t="str">
        <f t="shared" ref="DM118:DM181" si="231">+IF($W118="","",DM117)</f>
        <v>00065</v>
      </c>
      <c r="DN118" s="118" t="str">
        <f t="shared" ref="DN118:DN181" si="232">+IF($W118="","",DN117)</f>
        <v>Exención pago de primas</v>
      </c>
      <c r="DO118" s="118">
        <f t="shared" ref="DO118:DO181" si="233">+IF($W118="","",DO117)</f>
        <v>0</v>
      </c>
      <c r="DP118" s="118" t="str">
        <f t="shared" ref="DP118:DP181" si="234">+IF($W118="","",DP117)</f>
        <v>A</v>
      </c>
      <c r="DQ118" s="122" t="str">
        <f>+IF(OR($W118="",DO118=0),"",ROUND((VLOOKUP(ROUNDDOWN($D118-1/frec,0),cob_adi,DB$40,FALSE)*(1+i/frec)^-0.5*(1+Parámetros!$D$103)*(1+rec_fracc)/frec),6))</f>
        <v/>
      </c>
      <c r="DR118" s="66">
        <f t="shared" si="191"/>
        <v>0</v>
      </c>
      <c r="DS118" s="68" t="str">
        <f t="shared" si="192"/>
        <v/>
      </c>
      <c r="DT118" s="66">
        <f>+IF($W118="","",ROUND(IF($B118&gt;Parámetros!$D$107,'Tablas Servicio'!DR118+('Tablas Servicio'!DT117-'Tablas Servicio'!DR117),DR118/(1-IF(B118&lt;=10,Parámetros!$D$100,0))),2))</f>
        <v>0</v>
      </c>
      <c r="DU118" s="66">
        <f t="shared" si="193"/>
        <v>0</v>
      </c>
      <c r="DV118" s="66">
        <f t="shared" si="193"/>
        <v>0</v>
      </c>
      <c r="DW118" s="66">
        <f>+IF($W118="","",ROUND((DT118*Parámetros!$G$85),2))</f>
        <v>0</v>
      </c>
      <c r="DX118" s="66">
        <f>+IF($W118="","",ROUND((DT118*(Parámetros!$G$86)),2))</f>
        <v>0</v>
      </c>
      <c r="DY118" s="66">
        <f t="shared" si="194"/>
        <v>0</v>
      </c>
      <c r="DZ118" t="str">
        <f t="shared" si="195"/>
        <v>00066</v>
      </c>
      <c r="EA118" s="118" t="str">
        <f t="shared" si="195"/>
        <v>Enfermedad terminal</v>
      </c>
      <c r="EB118" s="118">
        <f>+IF($W118="","",ROUND(IF(Parámetros!$D$25='TABLAS MORT'!$V$33,EB117,Z118/2),0))</f>
        <v>50000</v>
      </c>
      <c r="EC118" s="118" t="str">
        <f t="shared" si="195"/>
        <v>A</v>
      </c>
      <c r="ED118" s="122">
        <f>+IF(OR($W118="",EB118=0),"",ROUND((VLOOKUP(ROUNDDOWN($D118-1/frec,0),cob_adi,DO$40,FALSE)*(1+i/frec)^-0.5*(1+Parámetros!$D$103)*(1+rec_fracc)/frec),6))</f>
        <v>1.2E-5</v>
      </c>
      <c r="EE118" s="66">
        <f t="shared" si="196"/>
        <v>0.6</v>
      </c>
      <c r="EF118" s="68">
        <f t="shared" si="197"/>
        <v>1.4E-5</v>
      </c>
      <c r="EG118" s="66">
        <f>+IF($W118="","",ROUND(IF($B118&gt;Parámetros!$D$107,'Tablas Servicio'!EE118+('Tablas Servicio'!EG117-'Tablas Servicio'!EE117),EE118/(1-IF(B118&lt;=10,Parámetros!$D$100,0))),2))</f>
        <v>0.68</v>
      </c>
      <c r="EH118" s="66">
        <f t="shared" si="198"/>
        <v>0</v>
      </c>
      <c r="EI118" s="66">
        <f t="shared" si="198"/>
        <v>0</v>
      </c>
      <c r="EJ118" s="66">
        <f>+IF($W118="","",ROUND((EG118*Parámetros!$G$85),2))</f>
        <v>0.02</v>
      </c>
      <c r="EK118" s="66">
        <f>+IF($W118="","",ROUND((EG118*(Parámetros!$G$86)),2))</f>
        <v>0</v>
      </c>
      <c r="EL118" s="66">
        <f t="shared" si="199"/>
        <v>0.7</v>
      </c>
    </row>
    <row r="119" spans="1:142" x14ac:dyDescent="0.25">
      <c r="A119">
        <f>+IF($C119="","",ROUND(VLOOKUP('Tablas Servicio'!B119,Parámetros!$H$100:$J$159,IF(Parámetros!$E$16="F",2,3),FALSE),2))</f>
        <v>150</v>
      </c>
      <c r="B119">
        <f t="shared" si="150"/>
        <v>7</v>
      </c>
      <c r="C119" s="57">
        <f>+IF(D119="","",'Tablas Servicio'!C118+1)</f>
        <v>78</v>
      </c>
      <c r="D119" s="56">
        <f>+IF(D118&lt;edadmaxtabla,D118+1/Parámetros!$E$25,"")</f>
        <v>46.520000000000188</v>
      </c>
      <c r="E119" s="57">
        <f t="shared" si="160"/>
        <v>46</v>
      </c>
      <c r="F119" s="59">
        <f t="shared" si="161"/>
        <v>100000</v>
      </c>
      <c r="G119" s="66">
        <f t="shared" si="151"/>
        <v>33.96</v>
      </c>
      <c r="H119" s="66">
        <f t="shared" si="152"/>
        <v>35.31</v>
      </c>
      <c r="I119" s="66">
        <f t="shared" si="200"/>
        <v>51.68</v>
      </c>
      <c r="J119" s="66">
        <f t="shared" si="153"/>
        <v>1.18</v>
      </c>
      <c r="K119" s="66">
        <f t="shared" si="154"/>
        <v>0.17</v>
      </c>
      <c r="L119" s="66">
        <f t="shared" si="155"/>
        <v>0</v>
      </c>
      <c r="M119" s="66">
        <f t="shared" si="156"/>
        <v>0</v>
      </c>
      <c r="N119" s="66">
        <f>+IF(C119="","",ROUND(Parámetros!$D$23,2))</f>
        <v>94</v>
      </c>
      <c r="O119" s="66">
        <f t="shared" si="157"/>
        <v>17.5</v>
      </c>
      <c r="P119" s="66">
        <f>+IF($C119="","",ROUND(IF(B119&gt;Parámetros!$D$117,0,N119*Parámetros!$D$116-G119*Parámetros!$D$100),2))</f>
        <v>7.01</v>
      </c>
      <c r="Q119" s="75">
        <f t="shared" si="201"/>
        <v>3.4746760895170786E-2</v>
      </c>
      <c r="R119" s="75">
        <f t="shared" si="202"/>
        <v>5.0058892815076561E-3</v>
      </c>
      <c r="S119" s="117">
        <f>+IF($C119="","",ROUND((S118+I119)*(1+Parámetros!$D$91),2))</f>
        <v>4973.88</v>
      </c>
      <c r="T119" s="117">
        <f>+IF($C119="","",ROUND(S119*VLOOKUP(B119,Parámetros!$C$30:$D$39,2,TRUE),2))</f>
        <v>3730.41</v>
      </c>
      <c r="U119" s="117">
        <f>+IF($C119="","",ROUND((U118+I119)*(1+Parámetros!$D$92),2))</f>
        <v>5059.7</v>
      </c>
      <c r="V119" s="117">
        <f>+IF($C119="","",ROUND(U119*VLOOKUP(B119,Parámetros!$C$30:$D$39,2,TRUE),2))</f>
        <v>3794.78</v>
      </c>
      <c r="W119" s="57">
        <f t="shared" si="203"/>
        <v>78</v>
      </c>
      <c r="X119" t="str">
        <f t="shared" si="204"/>
        <v>00058</v>
      </c>
      <c r="Y119" t="str">
        <f t="shared" si="205"/>
        <v>MUERTE POR CUALQUIER CAUSA</v>
      </c>
      <c r="Z119" s="118">
        <f>+IF($W119="","",ROUND(IF(Parámetros!$D$25='TABLAS MORT'!$V$33,Z118,Parámetros!$D$21-'Tablas Servicio'!T118),0))</f>
        <v>100000</v>
      </c>
      <c r="AA119" s="118" t="str">
        <f t="shared" si="206"/>
        <v>P</v>
      </c>
      <c r="AB119" s="119">
        <f>+IF(W119="","",ROUND((VLOOKUP(ROUNDDOWN($D119-1/frec,0),qx_tabla,2,FALSE)*(1+i/frec)^-0.5*(1+Parámetros!$D$103)*(1+rec_fracc)/frec),6))</f>
        <v>1.6899999999999999E-4</v>
      </c>
      <c r="AC119" s="66">
        <f t="shared" si="162"/>
        <v>16.899999999999999</v>
      </c>
      <c r="AD119" s="119">
        <f t="shared" si="158"/>
        <v>3.3300000000000002E-4</v>
      </c>
      <c r="AE119" s="66">
        <f>+IF($W119="","",ROUND(IF($B119&gt;Parámetros!$D$107,'Tablas Servicio'!AC119+('Tablas Servicio'!AG118-'Tablas Servicio'!AC118),AC119/(1-IF(B119&lt;=10,Parámetros!$D$104,Parámetros!$D$105))),2))</f>
        <v>34.97</v>
      </c>
      <c r="AF119" s="66">
        <f>+IF($W119="","",ROUND(IF($B119&gt;Parámetros!$D$107,'Tablas Servicio'!AC119+('Tablas Servicio'!AG118-'Tablas Servicio'!AC118),(AC119+$A118/frec)/(1-IF(B119&lt;=Parámetros!$D$117,Parámetros!$D$100,0))),2))</f>
        <v>33.28</v>
      </c>
      <c r="AG119" s="66">
        <f t="shared" si="163"/>
        <v>33.28</v>
      </c>
      <c r="AH119" s="66">
        <f t="shared" si="164"/>
        <v>0</v>
      </c>
      <c r="AI119" s="66">
        <f t="shared" si="165"/>
        <v>0</v>
      </c>
      <c r="AJ119" s="66">
        <f>+IF($W119="","",ROUND((AG119*Parámetros!$G$85),2))</f>
        <v>1.1599999999999999</v>
      </c>
      <c r="AK119" s="66">
        <f>+IF($W119="","",ROUND((AG119*(Parámetros!$G$86)),2))</f>
        <v>0.17</v>
      </c>
      <c r="AL119" s="66">
        <f t="shared" si="159"/>
        <v>34.61</v>
      </c>
      <c r="AM119" t="str">
        <f t="shared" si="207"/>
        <v>00059</v>
      </c>
      <c r="AN119" t="str">
        <f t="shared" si="208"/>
        <v>Incapacidad Total y Permanente</v>
      </c>
      <c r="AO119" s="118">
        <f t="shared" si="209"/>
        <v>0</v>
      </c>
      <c r="AP119" s="118" t="str">
        <f t="shared" si="210"/>
        <v>A</v>
      </c>
      <c r="AQ119" s="119" t="str">
        <f>+IF(OR($W119="",AO119=0),"",ROUND((VLOOKUP(ROUNDDOWN($D119-1/frec,0),cob_adi,Z$40,FALSE)*(1+i/frec)^-0.5*(1+Parámetros!$D$103)*(1+rec_fracc)/frec),6))</f>
        <v/>
      </c>
      <c r="AR119" s="66">
        <f t="shared" si="166"/>
        <v>0</v>
      </c>
      <c r="AS119" s="119" t="str">
        <f t="shared" si="167"/>
        <v/>
      </c>
      <c r="AT119" s="66">
        <f>+IF($W119="","",ROUND(IF($B119&gt;Parámetros!$D$107,'Tablas Servicio'!AR119+('Tablas Servicio'!AT118-'Tablas Servicio'!AR118),AR119/(1-IF(B119&lt;=10,Parámetros!$D$100,0))),2))</f>
        <v>0</v>
      </c>
      <c r="AU119" s="66">
        <f t="shared" si="168"/>
        <v>0</v>
      </c>
      <c r="AV119" s="66">
        <f t="shared" si="168"/>
        <v>0</v>
      </c>
      <c r="AW119" s="66">
        <f>+IF($W119="","",ROUND((AT119*Parámetros!$G$85),2))</f>
        <v>0</v>
      </c>
      <c r="AX119" s="66">
        <f>+IF($W119="","",ROUND((AT119*(Parámetros!$G$86)),2))</f>
        <v>0</v>
      </c>
      <c r="AY119" s="66">
        <f t="shared" si="169"/>
        <v>0</v>
      </c>
      <c r="AZ119" t="str">
        <f t="shared" si="211"/>
        <v>00060</v>
      </c>
      <c r="BA119" t="str">
        <f t="shared" si="212"/>
        <v>Muerte Accidental</v>
      </c>
      <c r="BB119" s="118">
        <f t="shared" si="213"/>
        <v>0</v>
      </c>
      <c r="BC119" s="118" t="str">
        <f t="shared" si="214"/>
        <v>A</v>
      </c>
      <c r="BD119" s="119" t="str">
        <f>+IF(OR($W119="",BB119=0),"",ROUND((VLOOKUP(ROUNDDOWN($D119-1/frec,0),cob_adi,AO$40,FALSE)*(1+i/frec)^-0.5*(1+Parámetros!$D$103)*(1+rec_fracc)/frec),6))</f>
        <v/>
      </c>
      <c r="BE119" s="66">
        <f t="shared" si="170"/>
        <v>0</v>
      </c>
      <c r="BF119" s="119" t="str">
        <f t="shared" si="171"/>
        <v/>
      </c>
      <c r="BG119" s="66">
        <f>+IF($W119="","",ROUND(IF($B119&gt;Parámetros!$D$107,'Tablas Servicio'!BE119+('Tablas Servicio'!BG118-'Tablas Servicio'!BE118),BE119/(1-IF(B119&lt;=10,Parámetros!$D$100,0))),2))</f>
        <v>0</v>
      </c>
      <c r="BH119" s="66">
        <f t="shared" si="172"/>
        <v>0</v>
      </c>
      <c r="BI119" s="66">
        <f t="shared" si="173"/>
        <v>0</v>
      </c>
      <c r="BJ119" s="66">
        <f>+IF($W119="","",ROUND((BG119*Parámetros!$G$85),2))</f>
        <v>0</v>
      </c>
      <c r="BK119" s="66">
        <f>+IF($W119="","",ROUND((BG119*(Parámetros!$G$86)),2))</f>
        <v>0</v>
      </c>
      <c r="BL119" s="66">
        <f t="shared" si="174"/>
        <v>0</v>
      </c>
      <c r="BM119" t="str">
        <f t="shared" si="215"/>
        <v>00061</v>
      </c>
      <c r="BN119" t="str">
        <f t="shared" si="216"/>
        <v>Gastos de Entierro</v>
      </c>
      <c r="BO119" s="118">
        <f t="shared" si="217"/>
        <v>0</v>
      </c>
      <c r="BP119" s="118" t="str">
        <f t="shared" si="218"/>
        <v>A</v>
      </c>
      <c r="BQ119" s="119" t="str">
        <f>+IF(OR($W119="",BO119=0),"",ROUND((VLOOKUP(ROUNDDOWN($D119-1/frec,0),cob_adi,BB$40,FALSE)*(1+i/frec)^-0.5*(1+Parámetros!$D$103)*(1+rec_fracc)/frec),6))</f>
        <v/>
      </c>
      <c r="BR119" s="66">
        <f t="shared" si="175"/>
        <v>0</v>
      </c>
      <c r="BS119" s="119" t="str">
        <f t="shared" si="176"/>
        <v/>
      </c>
      <c r="BT119" s="66">
        <f>+IF($W119="","",ROUND(IF($B119&gt;Parámetros!$D$107,'Tablas Servicio'!BR119+('Tablas Servicio'!BT118-'Tablas Servicio'!BR118),BR119/(1-IF(B119&lt;=10,Parámetros!$D$100,0))),2))</f>
        <v>0</v>
      </c>
      <c r="BU119" s="66">
        <f t="shared" si="177"/>
        <v>0</v>
      </c>
      <c r="BV119" s="66">
        <f t="shared" si="177"/>
        <v>0</v>
      </c>
      <c r="BW119" s="66">
        <f>+IF($W119="","",ROUND((BT119*Parámetros!$G$85),2))</f>
        <v>0</v>
      </c>
      <c r="BX119" s="66">
        <f>+IF($W119="","",ROUND((BT119*(Parámetros!$G$86)),2))</f>
        <v>0</v>
      </c>
      <c r="BY119" s="66">
        <f t="shared" si="178"/>
        <v>0</v>
      </c>
      <c r="BZ119" t="str">
        <f t="shared" si="219"/>
        <v>00062</v>
      </c>
      <c r="CA119" t="str">
        <f t="shared" si="220"/>
        <v>Gastos médicos por accidente</v>
      </c>
      <c r="CB119" s="118">
        <f t="shared" si="221"/>
        <v>0</v>
      </c>
      <c r="CC119" s="118" t="str">
        <f t="shared" si="222"/>
        <v>A</v>
      </c>
      <c r="CD119" s="119" t="str">
        <f t="shared" si="179"/>
        <v/>
      </c>
      <c r="CE119" s="66">
        <f>+IF($W119="","",ROUND((VLOOKUP(ROUNDDOWN($D119-1/frec,0),cob_adi,BO$40,FALSE)*(1+i/frec)^-0.5*(1+Parámetros!$D$103)*(1+rec_fracc)/frec*'TABLAS ADI'!$BC$17),2))</f>
        <v>0</v>
      </c>
      <c r="CF119" s="119" t="str">
        <f t="shared" si="180"/>
        <v/>
      </c>
      <c r="CG119" s="66">
        <f>+IF($W119="","",ROUND(IF($B119&gt;Parámetros!$D$107,'Tablas Servicio'!CE119+('Tablas Servicio'!CG118-'Tablas Servicio'!CE118),CE119/(1-IF(B119&lt;=10,Parámetros!$D$100,0))),2))</f>
        <v>0</v>
      </c>
      <c r="CH119" s="66">
        <f t="shared" si="181"/>
        <v>0</v>
      </c>
      <c r="CI119" s="66">
        <f t="shared" si="181"/>
        <v>0</v>
      </c>
      <c r="CJ119" s="66">
        <f>+IF($W119="","",ROUND((CG119*Parámetros!$G$85),2))</f>
        <v>0</v>
      </c>
      <c r="CK119" s="66">
        <f>+IF($W119="","",ROUND((CG119*(Parámetros!$G$86)),2))</f>
        <v>0</v>
      </c>
      <c r="CL119" s="66">
        <f t="shared" si="182"/>
        <v>0</v>
      </c>
      <c r="CM119" t="str">
        <f t="shared" si="223"/>
        <v>00063</v>
      </c>
      <c r="CN119" s="118" t="str">
        <f t="shared" si="224"/>
        <v>Renta Diaria por Hospitalización</v>
      </c>
      <c r="CO119" s="118">
        <f t="shared" si="225"/>
        <v>0</v>
      </c>
      <c r="CP119" s="118" t="str">
        <f t="shared" si="226"/>
        <v>A</v>
      </c>
      <c r="CQ119" s="119" t="str">
        <f t="shared" si="183"/>
        <v/>
      </c>
      <c r="CR119" s="66">
        <f>+IF($W119="","",ROUND((VLOOKUP(Parámetros!$F$51,'COBERTURAS ADICIONALES'!$S$4:$T$32,2,FALSE)*(1+i/frec)^-0.5*(1+Parámetros!$D$103)*(1+rec_fracc)/frec*$CO$42),2))</f>
        <v>0</v>
      </c>
      <c r="CS119" s="119" t="str">
        <f t="shared" si="184"/>
        <v/>
      </c>
      <c r="CT119" s="66">
        <f>+IF($W119="","",ROUND(IF($B119&gt;Parámetros!$D$107,'Tablas Servicio'!CR119+('Tablas Servicio'!CT118-'Tablas Servicio'!CR118),CR119/(1-IF(B119&lt;=10,Parámetros!$D$100,0))),2))</f>
        <v>0</v>
      </c>
      <c r="CU119" s="66">
        <f t="shared" si="185"/>
        <v>0</v>
      </c>
      <c r="CV119" s="66">
        <f t="shared" si="185"/>
        <v>0</v>
      </c>
      <c r="CW119" s="66">
        <f>+IF($W119="","",ROUND((CT119*Parámetros!$G$85),2))</f>
        <v>0</v>
      </c>
      <c r="CX119" s="66">
        <f>+IF($W119="","",ROUND((CT119*(Parámetros!$G$86)),2))</f>
        <v>0</v>
      </c>
      <c r="CY119" s="66">
        <f t="shared" si="186"/>
        <v>0</v>
      </c>
      <c r="CZ119" t="str">
        <f t="shared" si="227"/>
        <v>00064</v>
      </c>
      <c r="DA119" s="118" t="str">
        <f t="shared" si="228"/>
        <v>Enfermedades Graves</v>
      </c>
      <c r="DB119" s="118">
        <f t="shared" si="229"/>
        <v>0</v>
      </c>
      <c r="DC119" s="118" t="str">
        <f t="shared" si="230"/>
        <v>A</v>
      </c>
      <c r="DD119" s="121" t="str">
        <f>+IF(OR($W119="",DB119=0),"",ROUND((VLOOKUP(ROUNDDOWN($D119-1/frec,0),cob_adi,CO$40,FALSE)*(1+i/frec)^-0.5*(1+Parámetros!$D$103)*(1+rec_fracc)/frec),6))</f>
        <v/>
      </c>
      <c r="DE119" s="66">
        <f t="shared" si="187"/>
        <v>0</v>
      </c>
      <c r="DF119" s="119" t="str">
        <f t="shared" si="188"/>
        <v/>
      </c>
      <c r="DG119" s="66">
        <f>+IF($W119="","",ROUND(IF($B119&gt;Parámetros!$D$107,'Tablas Servicio'!DE119+('Tablas Servicio'!DG118-'Tablas Servicio'!DE118),DE119/(1-IF(B119&lt;=10,Parámetros!$D$100,0))),2))</f>
        <v>0</v>
      </c>
      <c r="DH119" s="66">
        <f t="shared" si="189"/>
        <v>0</v>
      </c>
      <c r="DI119" s="66">
        <f t="shared" si="189"/>
        <v>0</v>
      </c>
      <c r="DJ119" s="66">
        <f>+IF($W119="","",ROUND((DG119*Parámetros!$G$85),2))</f>
        <v>0</v>
      </c>
      <c r="DK119" s="66">
        <f>+IF($W119="","",ROUND((DG119*(Parámetros!$G$86)),2))</f>
        <v>0</v>
      </c>
      <c r="DL119" s="66">
        <f t="shared" si="190"/>
        <v>0</v>
      </c>
      <c r="DM119" t="str">
        <f t="shared" si="231"/>
        <v>00065</v>
      </c>
      <c r="DN119" s="118" t="str">
        <f t="shared" si="232"/>
        <v>Exención pago de primas</v>
      </c>
      <c r="DO119" s="118">
        <f t="shared" si="233"/>
        <v>0</v>
      </c>
      <c r="DP119" s="118" t="str">
        <f t="shared" si="234"/>
        <v>A</v>
      </c>
      <c r="DQ119" s="122" t="str">
        <f>+IF(OR($W119="",DO119=0),"",ROUND((VLOOKUP(ROUNDDOWN($D119-1/frec,0),cob_adi,DB$40,FALSE)*(1+i/frec)^-0.5*(1+Parámetros!$D$103)*(1+rec_fracc)/frec),6))</f>
        <v/>
      </c>
      <c r="DR119" s="66">
        <f t="shared" si="191"/>
        <v>0</v>
      </c>
      <c r="DS119" s="68" t="str">
        <f t="shared" si="192"/>
        <v/>
      </c>
      <c r="DT119" s="66">
        <f>+IF($W119="","",ROUND(IF($B119&gt;Parámetros!$D$107,'Tablas Servicio'!DR119+('Tablas Servicio'!DT118-'Tablas Servicio'!DR118),DR119/(1-IF(B119&lt;=10,Parámetros!$D$100,0))),2))</f>
        <v>0</v>
      </c>
      <c r="DU119" s="66">
        <f t="shared" si="193"/>
        <v>0</v>
      </c>
      <c r="DV119" s="66">
        <f t="shared" si="193"/>
        <v>0</v>
      </c>
      <c r="DW119" s="66">
        <f>+IF($W119="","",ROUND((DT119*Parámetros!$G$85),2))</f>
        <v>0</v>
      </c>
      <c r="DX119" s="66">
        <f>+IF($W119="","",ROUND((DT119*(Parámetros!$G$86)),2))</f>
        <v>0</v>
      </c>
      <c r="DY119" s="66">
        <f t="shared" si="194"/>
        <v>0</v>
      </c>
      <c r="DZ119" t="str">
        <f t="shared" si="195"/>
        <v>00066</v>
      </c>
      <c r="EA119" s="118" t="str">
        <f t="shared" si="195"/>
        <v>Enfermedad terminal</v>
      </c>
      <c r="EB119" s="118">
        <f>+IF($W119="","",ROUND(IF(Parámetros!$D$25='TABLAS MORT'!$V$33,EB118,Z119/2),0))</f>
        <v>50000</v>
      </c>
      <c r="EC119" s="118" t="str">
        <f t="shared" si="195"/>
        <v>A</v>
      </c>
      <c r="ED119" s="122">
        <f>+IF(OR($W119="",EB119=0),"",ROUND((VLOOKUP(ROUNDDOWN($D119-1/frec,0),cob_adi,DO$40,FALSE)*(1+i/frec)^-0.5*(1+Parámetros!$D$103)*(1+rec_fracc)/frec),6))</f>
        <v>1.2E-5</v>
      </c>
      <c r="EE119" s="66">
        <f t="shared" si="196"/>
        <v>0.6</v>
      </c>
      <c r="EF119" s="68">
        <f t="shared" si="197"/>
        <v>1.4E-5</v>
      </c>
      <c r="EG119" s="66">
        <f>+IF($W119="","",ROUND(IF($B119&gt;Parámetros!$D$107,'Tablas Servicio'!EE119+('Tablas Servicio'!EG118-'Tablas Servicio'!EE118),EE119/(1-IF(B119&lt;=10,Parámetros!$D$100,0))),2))</f>
        <v>0.68</v>
      </c>
      <c r="EH119" s="66">
        <f t="shared" si="198"/>
        <v>0</v>
      </c>
      <c r="EI119" s="66">
        <f t="shared" si="198"/>
        <v>0</v>
      </c>
      <c r="EJ119" s="66">
        <f>+IF($W119="","",ROUND((EG119*Parámetros!$G$85),2))</f>
        <v>0.02</v>
      </c>
      <c r="EK119" s="66">
        <f>+IF($W119="","",ROUND((EG119*(Parámetros!$G$86)),2))</f>
        <v>0</v>
      </c>
      <c r="EL119" s="66">
        <f t="shared" si="199"/>
        <v>0.7</v>
      </c>
    </row>
    <row r="120" spans="1:142" x14ac:dyDescent="0.25">
      <c r="A120">
        <f>+IF($C120="","",ROUND(VLOOKUP('Tablas Servicio'!B120,Parámetros!$H$100:$J$159,IF(Parámetros!$E$16="F",2,3),FALSE),2))</f>
        <v>150</v>
      </c>
      <c r="B120">
        <f t="shared" si="150"/>
        <v>7</v>
      </c>
      <c r="C120" s="57">
        <f>+IF(D120="","",'Tablas Servicio'!C119+1)</f>
        <v>79</v>
      </c>
      <c r="D120" s="56">
        <f>+IF(D119&lt;edadmaxtabla,D119+1/Parámetros!$E$25,"")</f>
        <v>46.603333333333524</v>
      </c>
      <c r="E120" s="57">
        <f t="shared" si="160"/>
        <v>46</v>
      </c>
      <c r="F120" s="59">
        <f t="shared" si="161"/>
        <v>100000</v>
      </c>
      <c r="G120" s="66">
        <f t="shared" si="151"/>
        <v>33.96</v>
      </c>
      <c r="H120" s="66">
        <f t="shared" si="152"/>
        <v>35.31</v>
      </c>
      <c r="I120" s="66">
        <f t="shared" si="200"/>
        <v>51.68</v>
      </c>
      <c r="J120" s="66">
        <f t="shared" si="153"/>
        <v>1.18</v>
      </c>
      <c r="K120" s="66">
        <f t="shared" si="154"/>
        <v>0.17</v>
      </c>
      <c r="L120" s="66">
        <f t="shared" si="155"/>
        <v>0</v>
      </c>
      <c r="M120" s="66">
        <f t="shared" si="156"/>
        <v>0</v>
      </c>
      <c r="N120" s="66">
        <f>+IF(C120="","",ROUND(Parámetros!$D$23,2))</f>
        <v>94</v>
      </c>
      <c r="O120" s="66">
        <f t="shared" si="157"/>
        <v>17.5</v>
      </c>
      <c r="P120" s="66">
        <f>+IF($C120="","",ROUND(IF(B120&gt;Parámetros!$D$117,0,N120*Parámetros!$D$116-G120*Parámetros!$D$100),2))</f>
        <v>7.01</v>
      </c>
      <c r="Q120" s="75">
        <f t="shared" si="201"/>
        <v>3.4746760895170786E-2</v>
      </c>
      <c r="R120" s="75">
        <f t="shared" si="202"/>
        <v>5.0058892815076561E-3</v>
      </c>
      <c r="S120" s="117">
        <f>+IF($C120="","",ROUND((S119+I120)*(1+Parámetros!$D$91),2))</f>
        <v>5039.8100000000004</v>
      </c>
      <c r="T120" s="117">
        <f>+IF($C120="","",ROUND(S120*VLOOKUP(B120,Parámetros!$C$30:$D$39,2,TRUE),2))</f>
        <v>3779.86</v>
      </c>
      <c r="U120" s="117">
        <f>+IF($C120="","",ROUND((U119+I120)*(1+Parámetros!$D$92),2))</f>
        <v>5127.95</v>
      </c>
      <c r="V120" s="117">
        <f>+IF($C120="","",ROUND(U120*VLOOKUP(B120,Parámetros!$C$30:$D$39,2,TRUE),2))</f>
        <v>3845.96</v>
      </c>
      <c r="W120" s="57">
        <f t="shared" si="203"/>
        <v>79</v>
      </c>
      <c r="X120" t="str">
        <f t="shared" si="204"/>
        <v>00058</v>
      </c>
      <c r="Y120" t="str">
        <f t="shared" si="205"/>
        <v>MUERTE POR CUALQUIER CAUSA</v>
      </c>
      <c r="Z120" s="118">
        <f>+IF($W120="","",ROUND(IF(Parámetros!$D$25='TABLAS MORT'!$V$33,Z119,Parámetros!$D$21-'Tablas Servicio'!T119),0))</f>
        <v>100000</v>
      </c>
      <c r="AA120" s="118" t="str">
        <f t="shared" si="206"/>
        <v>P</v>
      </c>
      <c r="AB120" s="119">
        <f>+IF(W120="","",ROUND((VLOOKUP(ROUNDDOWN($D120-1/frec,0),qx_tabla,2,FALSE)*(1+i/frec)^-0.5*(1+Parámetros!$D$103)*(1+rec_fracc)/frec),6))</f>
        <v>1.6899999999999999E-4</v>
      </c>
      <c r="AC120" s="66">
        <f t="shared" si="162"/>
        <v>16.899999999999999</v>
      </c>
      <c r="AD120" s="119">
        <f t="shared" si="158"/>
        <v>3.3300000000000002E-4</v>
      </c>
      <c r="AE120" s="66">
        <f>+IF($W120="","",ROUND(IF($B120&gt;Parámetros!$D$107,'Tablas Servicio'!AC120+('Tablas Servicio'!AG119-'Tablas Servicio'!AC119),AC120/(1-IF(B120&lt;=10,Parámetros!$D$104,Parámetros!$D$105))),2))</f>
        <v>34.97</v>
      </c>
      <c r="AF120" s="66">
        <f>+IF($W120="","",ROUND(IF($B120&gt;Parámetros!$D$107,'Tablas Servicio'!AC120+('Tablas Servicio'!AG119-'Tablas Servicio'!AC119),(AC120+$A119/frec)/(1-IF(B120&lt;=Parámetros!$D$117,Parámetros!$D$100,0))),2))</f>
        <v>33.28</v>
      </c>
      <c r="AG120" s="66">
        <f t="shared" si="163"/>
        <v>33.28</v>
      </c>
      <c r="AH120" s="66">
        <f t="shared" si="164"/>
        <v>0</v>
      </c>
      <c r="AI120" s="66">
        <f t="shared" si="165"/>
        <v>0</v>
      </c>
      <c r="AJ120" s="66">
        <f>+IF($W120="","",ROUND((AG120*Parámetros!$G$85),2))</f>
        <v>1.1599999999999999</v>
      </c>
      <c r="AK120" s="66">
        <f>+IF($W120="","",ROUND((AG120*(Parámetros!$G$86)),2))</f>
        <v>0.17</v>
      </c>
      <c r="AL120" s="66">
        <f t="shared" si="159"/>
        <v>34.61</v>
      </c>
      <c r="AM120" t="str">
        <f t="shared" si="207"/>
        <v>00059</v>
      </c>
      <c r="AN120" t="str">
        <f t="shared" si="208"/>
        <v>Incapacidad Total y Permanente</v>
      </c>
      <c r="AO120" s="118">
        <f t="shared" si="209"/>
        <v>0</v>
      </c>
      <c r="AP120" s="118" t="str">
        <f t="shared" si="210"/>
        <v>A</v>
      </c>
      <c r="AQ120" s="119" t="str">
        <f>+IF(OR($W120="",AO120=0),"",ROUND((VLOOKUP(ROUNDDOWN($D120-1/frec,0),cob_adi,Z$40,FALSE)*(1+i/frec)^-0.5*(1+Parámetros!$D$103)*(1+rec_fracc)/frec),6))</f>
        <v/>
      </c>
      <c r="AR120" s="66">
        <f t="shared" si="166"/>
        <v>0</v>
      </c>
      <c r="AS120" s="119" t="str">
        <f t="shared" si="167"/>
        <v/>
      </c>
      <c r="AT120" s="66">
        <f>+IF($W120="","",ROUND(IF($B120&gt;Parámetros!$D$107,'Tablas Servicio'!AR120+('Tablas Servicio'!AT119-'Tablas Servicio'!AR119),AR120/(1-IF(B120&lt;=10,Parámetros!$D$100,0))),2))</f>
        <v>0</v>
      </c>
      <c r="AU120" s="66">
        <f t="shared" si="168"/>
        <v>0</v>
      </c>
      <c r="AV120" s="66">
        <f t="shared" si="168"/>
        <v>0</v>
      </c>
      <c r="AW120" s="66">
        <f>+IF($W120="","",ROUND((AT120*Parámetros!$G$85),2))</f>
        <v>0</v>
      </c>
      <c r="AX120" s="66">
        <f>+IF($W120="","",ROUND((AT120*(Parámetros!$G$86)),2))</f>
        <v>0</v>
      </c>
      <c r="AY120" s="66">
        <f t="shared" si="169"/>
        <v>0</v>
      </c>
      <c r="AZ120" t="str">
        <f t="shared" si="211"/>
        <v>00060</v>
      </c>
      <c r="BA120" t="str">
        <f t="shared" si="212"/>
        <v>Muerte Accidental</v>
      </c>
      <c r="BB120" s="118">
        <f t="shared" si="213"/>
        <v>0</v>
      </c>
      <c r="BC120" s="118" t="str">
        <f t="shared" si="214"/>
        <v>A</v>
      </c>
      <c r="BD120" s="119" t="str">
        <f>+IF(OR($W120="",BB120=0),"",ROUND((VLOOKUP(ROUNDDOWN($D120-1/frec,0),cob_adi,AO$40,FALSE)*(1+i/frec)^-0.5*(1+Parámetros!$D$103)*(1+rec_fracc)/frec),6))</f>
        <v/>
      </c>
      <c r="BE120" s="66">
        <f t="shared" si="170"/>
        <v>0</v>
      </c>
      <c r="BF120" s="119" t="str">
        <f t="shared" si="171"/>
        <v/>
      </c>
      <c r="BG120" s="66">
        <f>+IF($W120="","",ROUND(IF($B120&gt;Parámetros!$D$107,'Tablas Servicio'!BE120+('Tablas Servicio'!BG119-'Tablas Servicio'!BE119),BE120/(1-IF(B120&lt;=10,Parámetros!$D$100,0))),2))</f>
        <v>0</v>
      </c>
      <c r="BH120" s="66">
        <f t="shared" si="172"/>
        <v>0</v>
      </c>
      <c r="BI120" s="66">
        <f t="shared" si="173"/>
        <v>0</v>
      </c>
      <c r="BJ120" s="66">
        <f>+IF($W120="","",ROUND((BG120*Parámetros!$G$85),2))</f>
        <v>0</v>
      </c>
      <c r="BK120" s="66">
        <f>+IF($W120="","",ROUND((BG120*(Parámetros!$G$86)),2))</f>
        <v>0</v>
      </c>
      <c r="BL120" s="66">
        <f t="shared" si="174"/>
        <v>0</v>
      </c>
      <c r="BM120" t="str">
        <f t="shared" si="215"/>
        <v>00061</v>
      </c>
      <c r="BN120" t="str">
        <f t="shared" si="216"/>
        <v>Gastos de Entierro</v>
      </c>
      <c r="BO120" s="118">
        <f t="shared" si="217"/>
        <v>0</v>
      </c>
      <c r="BP120" s="118" t="str">
        <f t="shared" si="218"/>
        <v>A</v>
      </c>
      <c r="BQ120" s="119" t="str">
        <f>+IF(OR($W120="",BO120=0),"",ROUND((VLOOKUP(ROUNDDOWN($D120-1/frec,0),cob_adi,BB$40,FALSE)*(1+i/frec)^-0.5*(1+Parámetros!$D$103)*(1+rec_fracc)/frec),6))</f>
        <v/>
      </c>
      <c r="BR120" s="66">
        <f t="shared" si="175"/>
        <v>0</v>
      </c>
      <c r="BS120" s="119" t="str">
        <f t="shared" si="176"/>
        <v/>
      </c>
      <c r="BT120" s="66">
        <f>+IF($W120="","",ROUND(IF($B120&gt;Parámetros!$D$107,'Tablas Servicio'!BR120+('Tablas Servicio'!BT119-'Tablas Servicio'!BR119),BR120/(1-IF(B120&lt;=10,Parámetros!$D$100,0))),2))</f>
        <v>0</v>
      </c>
      <c r="BU120" s="66">
        <f t="shared" si="177"/>
        <v>0</v>
      </c>
      <c r="BV120" s="66">
        <f t="shared" si="177"/>
        <v>0</v>
      </c>
      <c r="BW120" s="66">
        <f>+IF($W120="","",ROUND((BT120*Parámetros!$G$85),2))</f>
        <v>0</v>
      </c>
      <c r="BX120" s="66">
        <f>+IF($W120="","",ROUND((BT120*(Parámetros!$G$86)),2))</f>
        <v>0</v>
      </c>
      <c r="BY120" s="66">
        <f t="shared" si="178"/>
        <v>0</v>
      </c>
      <c r="BZ120" t="str">
        <f t="shared" si="219"/>
        <v>00062</v>
      </c>
      <c r="CA120" t="str">
        <f t="shared" si="220"/>
        <v>Gastos médicos por accidente</v>
      </c>
      <c r="CB120" s="118">
        <f t="shared" si="221"/>
        <v>0</v>
      </c>
      <c r="CC120" s="118" t="str">
        <f t="shared" si="222"/>
        <v>A</v>
      </c>
      <c r="CD120" s="119" t="str">
        <f t="shared" si="179"/>
        <v/>
      </c>
      <c r="CE120" s="66">
        <f>+IF($W120="","",ROUND((VLOOKUP(ROUNDDOWN($D120-1/frec,0),cob_adi,BO$40,FALSE)*(1+i/frec)^-0.5*(1+Parámetros!$D$103)*(1+rec_fracc)/frec*'TABLAS ADI'!$BC$17),2))</f>
        <v>0</v>
      </c>
      <c r="CF120" s="119" t="str">
        <f t="shared" si="180"/>
        <v/>
      </c>
      <c r="CG120" s="66">
        <f>+IF($W120="","",ROUND(IF($B120&gt;Parámetros!$D$107,'Tablas Servicio'!CE120+('Tablas Servicio'!CG119-'Tablas Servicio'!CE119),CE120/(1-IF(B120&lt;=10,Parámetros!$D$100,0))),2))</f>
        <v>0</v>
      </c>
      <c r="CH120" s="66">
        <f t="shared" si="181"/>
        <v>0</v>
      </c>
      <c r="CI120" s="66">
        <f t="shared" si="181"/>
        <v>0</v>
      </c>
      <c r="CJ120" s="66">
        <f>+IF($W120="","",ROUND((CG120*Parámetros!$G$85),2))</f>
        <v>0</v>
      </c>
      <c r="CK120" s="66">
        <f>+IF($W120="","",ROUND((CG120*(Parámetros!$G$86)),2))</f>
        <v>0</v>
      </c>
      <c r="CL120" s="66">
        <f t="shared" si="182"/>
        <v>0</v>
      </c>
      <c r="CM120" t="str">
        <f t="shared" si="223"/>
        <v>00063</v>
      </c>
      <c r="CN120" s="118" t="str">
        <f t="shared" si="224"/>
        <v>Renta Diaria por Hospitalización</v>
      </c>
      <c r="CO120" s="118">
        <f t="shared" si="225"/>
        <v>0</v>
      </c>
      <c r="CP120" s="118" t="str">
        <f t="shared" si="226"/>
        <v>A</v>
      </c>
      <c r="CQ120" s="119" t="str">
        <f t="shared" si="183"/>
        <v/>
      </c>
      <c r="CR120" s="66">
        <f>+IF($W120="","",ROUND((VLOOKUP(Parámetros!$F$51,'COBERTURAS ADICIONALES'!$S$4:$T$32,2,FALSE)*(1+i/frec)^-0.5*(1+Parámetros!$D$103)*(1+rec_fracc)/frec*$CO$42),2))</f>
        <v>0</v>
      </c>
      <c r="CS120" s="119" t="str">
        <f t="shared" si="184"/>
        <v/>
      </c>
      <c r="CT120" s="66">
        <f>+IF($W120="","",ROUND(IF($B120&gt;Parámetros!$D$107,'Tablas Servicio'!CR120+('Tablas Servicio'!CT119-'Tablas Servicio'!CR119),CR120/(1-IF(B120&lt;=10,Parámetros!$D$100,0))),2))</f>
        <v>0</v>
      </c>
      <c r="CU120" s="66">
        <f t="shared" si="185"/>
        <v>0</v>
      </c>
      <c r="CV120" s="66">
        <f t="shared" si="185"/>
        <v>0</v>
      </c>
      <c r="CW120" s="66">
        <f>+IF($W120="","",ROUND((CT120*Parámetros!$G$85),2))</f>
        <v>0</v>
      </c>
      <c r="CX120" s="66">
        <f>+IF($W120="","",ROUND((CT120*(Parámetros!$G$86)),2))</f>
        <v>0</v>
      </c>
      <c r="CY120" s="66">
        <f t="shared" si="186"/>
        <v>0</v>
      </c>
      <c r="CZ120" t="str">
        <f t="shared" si="227"/>
        <v>00064</v>
      </c>
      <c r="DA120" s="118" t="str">
        <f t="shared" si="228"/>
        <v>Enfermedades Graves</v>
      </c>
      <c r="DB120" s="118">
        <f t="shared" si="229"/>
        <v>0</v>
      </c>
      <c r="DC120" s="118" t="str">
        <f t="shared" si="230"/>
        <v>A</v>
      </c>
      <c r="DD120" s="121" t="str">
        <f>+IF(OR($W120="",DB120=0),"",ROUND((VLOOKUP(ROUNDDOWN($D120-1/frec,0),cob_adi,CO$40,FALSE)*(1+i/frec)^-0.5*(1+Parámetros!$D$103)*(1+rec_fracc)/frec),6))</f>
        <v/>
      </c>
      <c r="DE120" s="66">
        <f t="shared" si="187"/>
        <v>0</v>
      </c>
      <c r="DF120" s="119" t="str">
        <f t="shared" si="188"/>
        <v/>
      </c>
      <c r="DG120" s="66">
        <f>+IF($W120="","",ROUND(IF($B120&gt;Parámetros!$D$107,'Tablas Servicio'!DE120+('Tablas Servicio'!DG119-'Tablas Servicio'!DE119),DE120/(1-IF(B120&lt;=10,Parámetros!$D$100,0))),2))</f>
        <v>0</v>
      </c>
      <c r="DH120" s="66">
        <f t="shared" si="189"/>
        <v>0</v>
      </c>
      <c r="DI120" s="66">
        <f t="shared" si="189"/>
        <v>0</v>
      </c>
      <c r="DJ120" s="66">
        <f>+IF($W120="","",ROUND((DG120*Parámetros!$G$85),2))</f>
        <v>0</v>
      </c>
      <c r="DK120" s="66">
        <f>+IF($W120="","",ROUND((DG120*(Parámetros!$G$86)),2))</f>
        <v>0</v>
      </c>
      <c r="DL120" s="66">
        <f t="shared" si="190"/>
        <v>0</v>
      </c>
      <c r="DM120" t="str">
        <f t="shared" si="231"/>
        <v>00065</v>
      </c>
      <c r="DN120" s="118" t="str">
        <f t="shared" si="232"/>
        <v>Exención pago de primas</v>
      </c>
      <c r="DO120" s="118">
        <f t="shared" si="233"/>
        <v>0</v>
      </c>
      <c r="DP120" s="118" t="str">
        <f t="shared" si="234"/>
        <v>A</v>
      </c>
      <c r="DQ120" s="122" t="str">
        <f>+IF(OR($W120="",DO120=0),"",ROUND((VLOOKUP(ROUNDDOWN($D120-1/frec,0),cob_adi,DB$40,FALSE)*(1+i/frec)^-0.5*(1+Parámetros!$D$103)*(1+rec_fracc)/frec),6))</f>
        <v/>
      </c>
      <c r="DR120" s="66">
        <f t="shared" si="191"/>
        <v>0</v>
      </c>
      <c r="DS120" s="68" t="str">
        <f t="shared" si="192"/>
        <v/>
      </c>
      <c r="DT120" s="66">
        <f>+IF($W120="","",ROUND(IF($B120&gt;Parámetros!$D$107,'Tablas Servicio'!DR120+('Tablas Servicio'!DT119-'Tablas Servicio'!DR119),DR120/(1-IF(B120&lt;=10,Parámetros!$D$100,0))),2))</f>
        <v>0</v>
      </c>
      <c r="DU120" s="66">
        <f t="shared" si="193"/>
        <v>0</v>
      </c>
      <c r="DV120" s="66">
        <f t="shared" si="193"/>
        <v>0</v>
      </c>
      <c r="DW120" s="66">
        <f>+IF($W120="","",ROUND((DT120*Parámetros!$G$85),2))</f>
        <v>0</v>
      </c>
      <c r="DX120" s="66">
        <f>+IF($W120="","",ROUND((DT120*(Parámetros!$G$86)),2))</f>
        <v>0</v>
      </c>
      <c r="DY120" s="66">
        <f t="shared" si="194"/>
        <v>0</v>
      </c>
      <c r="DZ120" t="str">
        <f t="shared" si="195"/>
        <v>00066</v>
      </c>
      <c r="EA120" s="118" t="str">
        <f t="shared" si="195"/>
        <v>Enfermedad terminal</v>
      </c>
      <c r="EB120" s="118">
        <f>+IF($W120="","",ROUND(IF(Parámetros!$D$25='TABLAS MORT'!$V$33,EB119,Z120/2),0))</f>
        <v>50000</v>
      </c>
      <c r="EC120" s="118" t="str">
        <f t="shared" si="195"/>
        <v>A</v>
      </c>
      <c r="ED120" s="122">
        <f>+IF(OR($W120="",EB120=0),"",ROUND((VLOOKUP(ROUNDDOWN($D120-1/frec,0),cob_adi,DO$40,FALSE)*(1+i/frec)^-0.5*(1+Parámetros!$D$103)*(1+rec_fracc)/frec),6))</f>
        <v>1.2E-5</v>
      </c>
      <c r="EE120" s="66">
        <f t="shared" si="196"/>
        <v>0.6</v>
      </c>
      <c r="EF120" s="68">
        <f t="shared" si="197"/>
        <v>1.4E-5</v>
      </c>
      <c r="EG120" s="66">
        <f>+IF($W120="","",ROUND(IF($B120&gt;Parámetros!$D$107,'Tablas Servicio'!EE120+('Tablas Servicio'!EG119-'Tablas Servicio'!EE119),EE120/(1-IF(B120&lt;=10,Parámetros!$D$100,0))),2))</f>
        <v>0.68</v>
      </c>
      <c r="EH120" s="66">
        <f t="shared" si="198"/>
        <v>0</v>
      </c>
      <c r="EI120" s="66">
        <f t="shared" si="198"/>
        <v>0</v>
      </c>
      <c r="EJ120" s="66">
        <f>+IF($W120="","",ROUND((EG120*Parámetros!$G$85),2))</f>
        <v>0.02</v>
      </c>
      <c r="EK120" s="66">
        <f>+IF($W120="","",ROUND((EG120*(Parámetros!$G$86)),2))</f>
        <v>0</v>
      </c>
      <c r="EL120" s="66">
        <f t="shared" si="199"/>
        <v>0.7</v>
      </c>
    </row>
    <row r="121" spans="1:142" x14ac:dyDescent="0.25">
      <c r="A121">
        <f>+IF($C121="","",ROUND(VLOOKUP('Tablas Servicio'!B121,Parámetros!$H$100:$J$159,IF(Parámetros!$E$16="F",2,3),FALSE),2))</f>
        <v>150</v>
      </c>
      <c r="B121">
        <f t="shared" si="150"/>
        <v>7</v>
      </c>
      <c r="C121" s="57">
        <f>+IF(D121="","",'Tablas Servicio'!C120+1)</f>
        <v>80</v>
      </c>
      <c r="D121" s="56">
        <f>+IF(D120&lt;edadmaxtabla,D120+1/Parámetros!$E$25,"")</f>
        <v>46.686666666666859</v>
      </c>
      <c r="E121" s="57">
        <f t="shared" si="160"/>
        <v>46</v>
      </c>
      <c r="F121" s="59">
        <f t="shared" si="161"/>
        <v>100000</v>
      </c>
      <c r="G121" s="66">
        <f t="shared" si="151"/>
        <v>33.96</v>
      </c>
      <c r="H121" s="66">
        <f t="shared" si="152"/>
        <v>35.31</v>
      </c>
      <c r="I121" s="66">
        <f t="shared" si="200"/>
        <v>51.68</v>
      </c>
      <c r="J121" s="66">
        <f t="shared" si="153"/>
        <v>1.18</v>
      </c>
      <c r="K121" s="66">
        <f t="shared" si="154"/>
        <v>0.17</v>
      </c>
      <c r="L121" s="66">
        <f t="shared" si="155"/>
        <v>0</v>
      </c>
      <c r="M121" s="66">
        <f t="shared" si="156"/>
        <v>0</v>
      </c>
      <c r="N121" s="66">
        <f>+IF(C121="","",ROUND(Parámetros!$D$23,2))</f>
        <v>94</v>
      </c>
      <c r="O121" s="66">
        <f t="shared" si="157"/>
        <v>17.5</v>
      </c>
      <c r="P121" s="66">
        <f>+IF($C121="","",ROUND(IF(B121&gt;Parámetros!$D$117,0,N121*Parámetros!$D$116-G121*Parámetros!$D$100),2))</f>
        <v>7.01</v>
      </c>
      <c r="Q121" s="75">
        <f t="shared" si="201"/>
        <v>3.4746760895170786E-2</v>
      </c>
      <c r="R121" s="75">
        <f t="shared" si="202"/>
        <v>5.0058892815076561E-3</v>
      </c>
      <c r="S121" s="117">
        <f>+IF($C121="","",ROUND((S120+I121)*(1+Parámetros!$D$91),2))</f>
        <v>5105.93</v>
      </c>
      <c r="T121" s="117">
        <f>+IF($C121="","",ROUND(S121*VLOOKUP(B121,Parámetros!$C$30:$D$39,2,TRUE),2))</f>
        <v>3829.45</v>
      </c>
      <c r="U121" s="117">
        <f>+IF($C121="","",ROUND((U120+I121)*(1+Parámetros!$D$92),2))</f>
        <v>5196.42</v>
      </c>
      <c r="V121" s="117">
        <f>+IF($C121="","",ROUND(U121*VLOOKUP(B121,Parámetros!$C$30:$D$39,2,TRUE),2))</f>
        <v>3897.32</v>
      </c>
      <c r="W121" s="57">
        <f t="shared" si="203"/>
        <v>80</v>
      </c>
      <c r="X121" t="str">
        <f t="shared" si="204"/>
        <v>00058</v>
      </c>
      <c r="Y121" t="str">
        <f t="shared" si="205"/>
        <v>MUERTE POR CUALQUIER CAUSA</v>
      </c>
      <c r="Z121" s="118">
        <f>+IF($W121="","",ROUND(IF(Parámetros!$D$25='TABLAS MORT'!$V$33,Z120,Parámetros!$D$21-'Tablas Servicio'!T120),0))</f>
        <v>100000</v>
      </c>
      <c r="AA121" s="118" t="str">
        <f t="shared" si="206"/>
        <v>P</v>
      </c>
      <c r="AB121" s="119">
        <f>+IF(W121="","",ROUND((VLOOKUP(ROUNDDOWN($D121-1/frec,0),qx_tabla,2,FALSE)*(1+i/frec)^-0.5*(1+Parámetros!$D$103)*(1+rec_fracc)/frec),6))</f>
        <v>1.6899999999999999E-4</v>
      </c>
      <c r="AC121" s="66">
        <f t="shared" si="162"/>
        <v>16.899999999999999</v>
      </c>
      <c r="AD121" s="119">
        <f t="shared" si="158"/>
        <v>3.3300000000000002E-4</v>
      </c>
      <c r="AE121" s="66">
        <f>+IF($W121="","",ROUND(IF($B121&gt;Parámetros!$D$107,'Tablas Servicio'!AC121+('Tablas Servicio'!AG120-'Tablas Servicio'!AC120),AC121/(1-IF(B121&lt;=10,Parámetros!$D$104,Parámetros!$D$105))),2))</f>
        <v>34.97</v>
      </c>
      <c r="AF121" s="66">
        <f>+IF($W121="","",ROUND(IF($B121&gt;Parámetros!$D$107,'Tablas Servicio'!AC121+('Tablas Servicio'!AG120-'Tablas Servicio'!AC120),(AC121+$A120/frec)/(1-IF(B121&lt;=Parámetros!$D$117,Parámetros!$D$100,0))),2))</f>
        <v>33.28</v>
      </c>
      <c r="AG121" s="66">
        <f t="shared" si="163"/>
        <v>33.28</v>
      </c>
      <c r="AH121" s="66">
        <f t="shared" si="164"/>
        <v>0</v>
      </c>
      <c r="AI121" s="66">
        <f t="shared" si="165"/>
        <v>0</v>
      </c>
      <c r="AJ121" s="66">
        <f>+IF($W121="","",ROUND((AG121*Parámetros!$G$85),2))</f>
        <v>1.1599999999999999</v>
      </c>
      <c r="AK121" s="66">
        <f>+IF($W121="","",ROUND((AG121*(Parámetros!$G$86)),2))</f>
        <v>0.17</v>
      </c>
      <c r="AL121" s="66">
        <f t="shared" si="159"/>
        <v>34.61</v>
      </c>
      <c r="AM121" t="str">
        <f t="shared" si="207"/>
        <v>00059</v>
      </c>
      <c r="AN121" t="str">
        <f t="shared" si="208"/>
        <v>Incapacidad Total y Permanente</v>
      </c>
      <c r="AO121" s="118">
        <f t="shared" si="209"/>
        <v>0</v>
      </c>
      <c r="AP121" s="118" t="str">
        <f t="shared" si="210"/>
        <v>A</v>
      </c>
      <c r="AQ121" s="119" t="str">
        <f>+IF(OR($W121="",AO121=0),"",ROUND((VLOOKUP(ROUNDDOWN($D121-1/frec,0),cob_adi,Z$40,FALSE)*(1+i/frec)^-0.5*(1+Parámetros!$D$103)*(1+rec_fracc)/frec),6))</f>
        <v/>
      </c>
      <c r="AR121" s="66">
        <f t="shared" si="166"/>
        <v>0</v>
      </c>
      <c r="AS121" s="119" t="str">
        <f t="shared" si="167"/>
        <v/>
      </c>
      <c r="AT121" s="66">
        <f>+IF($W121="","",ROUND(IF($B121&gt;Parámetros!$D$107,'Tablas Servicio'!AR121+('Tablas Servicio'!AT120-'Tablas Servicio'!AR120),AR121/(1-IF(B121&lt;=10,Parámetros!$D$100,0))),2))</f>
        <v>0</v>
      </c>
      <c r="AU121" s="66">
        <f t="shared" si="168"/>
        <v>0</v>
      </c>
      <c r="AV121" s="66">
        <f t="shared" si="168"/>
        <v>0</v>
      </c>
      <c r="AW121" s="66">
        <f>+IF($W121="","",ROUND((AT121*Parámetros!$G$85),2))</f>
        <v>0</v>
      </c>
      <c r="AX121" s="66">
        <f>+IF($W121="","",ROUND((AT121*(Parámetros!$G$86)),2))</f>
        <v>0</v>
      </c>
      <c r="AY121" s="66">
        <f t="shared" si="169"/>
        <v>0</v>
      </c>
      <c r="AZ121" t="str">
        <f t="shared" si="211"/>
        <v>00060</v>
      </c>
      <c r="BA121" t="str">
        <f t="shared" si="212"/>
        <v>Muerte Accidental</v>
      </c>
      <c r="BB121" s="118">
        <f t="shared" si="213"/>
        <v>0</v>
      </c>
      <c r="BC121" s="118" t="str">
        <f t="shared" si="214"/>
        <v>A</v>
      </c>
      <c r="BD121" s="119" t="str">
        <f>+IF(OR($W121="",BB121=0),"",ROUND((VLOOKUP(ROUNDDOWN($D121-1/frec,0),cob_adi,AO$40,FALSE)*(1+i/frec)^-0.5*(1+Parámetros!$D$103)*(1+rec_fracc)/frec),6))</f>
        <v/>
      </c>
      <c r="BE121" s="66">
        <f t="shared" si="170"/>
        <v>0</v>
      </c>
      <c r="BF121" s="119" t="str">
        <f t="shared" si="171"/>
        <v/>
      </c>
      <c r="BG121" s="66">
        <f>+IF($W121="","",ROUND(IF($B121&gt;Parámetros!$D$107,'Tablas Servicio'!BE121+('Tablas Servicio'!BG120-'Tablas Servicio'!BE120),BE121/(1-IF(B121&lt;=10,Parámetros!$D$100,0))),2))</f>
        <v>0</v>
      </c>
      <c r="BH121" s="66">
        <f t="shared" si="172"/>
        <v>0</v>
      </c>
      <c r="BI121" s="66">
        <f t="shared" si="173"/>
        <v>0</v>
      </c>
      <c r="BJ121" s="66">
        <f>+IF($W121="","",ROUND((BG121*Parámetros!$G$85),2))</f>
        <v>0</v>
      </c>
      <c r="BK121" s="66">
        <f>+IF($W121="","",ROUND((BG121*(Parámetros!$G$86)),2))</f>
        <v>0</v>
      </c>
      <c r="BL121" s="66">
        <f t="shared" si="174"/>
        <v>0</v>
      </c>
      <c r="BM121" t="str">
        <f t="shared" si="215"/>
        <v>00061</v>
      </c>
      <c r="BN121" t="str">
        <f t="shared" si="216"/>
        <v>Gastos de Entierro</v>
      </c>
      <c r="BO121" s="118">
        <f t="shared" si="217"/>
        <v>0</v>
      </c>
      <c r="BP121" s="118" t="str">
        <f t="shared" si="218"/>
        <v>A</v>
      </c>
      <c r="BQ121" s="119" t="str">
        <f>+IF(OR($W121="",BO121=0),"",ROUND((VLOOKUP(ROUNDDOWN($D121-1/frec,0),cob_adi,BB$40,FALSE)*(1+i/frec)^-0.5*(1+Parámetros!$D$103)*(1+rec_fracc)/frec),6))</f>
        <v/>
      </c>
      <c r="BR121" s="66">
        <f t="shared" si="175"/>
        <v>0</v>
      </c>
      <c r="BS121" s="119" t="str">
        <f t="shared" si="176"/>
        <v/>
      </c>
      <c r="BT121" s="66">
        <f>+IF($W121="","",ROUND(IF($B121&gt;Parámetros!$D$107,'Tablas Servicio'!BR121+('Tablas Servicio'!BT120-'Tablas Servicio'!BR120),BR121/(1-IF(B121&lt;=10,Parámetros!$D$100,0))),2))</f>
        <v>0</v>
      </c>
      <c r="BU121" s="66">
        <f t="shared" si="177"/>
        <v>0</v>
      </c>
      <c r="BV121" s="66">
        <f t="shared" si="177"/>
        <v>0</v>
      </c>
      <c r="BW121" s="66">
        <f>+IF($W121="","",ROUND((BT121*Parámetros!$G$85),2))</f>
        <v>0</v>
      </c>
      <c r="BX121" s="66">
        <f>+IF($W121="","",ROUND((BT121*(Parámetros!$G$86)),2))</f>
        <v>0</v>
      </c>
      <c r="BY121" s="66">
        <f t="shared" si="178"/>
        <v>0</v>
      </c>
      <c r="BZ121" t="str">
        <f t="shared" si="219"/>
        <v>00062</v>
      </c>
      <c r="CA121" t="str">
        <f t="shared" si="220"/>
        <v>Gastos médicos por accidente</v>
      </c>
      <c r="CB121" s="118">
        <f t="shared" si="221"/>
        <v>0</v>
      </c>
      <c r="CC121" s="118" t="str">
        <f t="shared" si="222"/>
        <v>A</v>
      </c>
      <c r="CD121" s="119" t="str">
        <f t="shared" si="179"/>
        <v/>
      </c>
      <c r="CE121" s="66">
        <f>+IF($W121="","",ROUND((VLOOKUP(ROUNDDOWN($D121-1/frec,0),cob_adi,BO$40,FALSE)*(1+i/frec)^-0.5*(1+Parámetros!$D$103)*(1+rec_fracc)/frec*'TABLAS ADI'!$BC$17),2))</f>
        <v>0</v>
      </c>
      <c r="CF121" s="119" t="str">
        <f t="shared" si="180"/>
        <v/>
      </c>
      <c r="CG121" s="66">
        <f>+IF($W121="","",ROUND(IF($B121&gt;Parámetros!$D$107,'Tablas Servicio'!CE121+('Tablas Servicio'!CG120-'Tablas Servicio'!CE120),CE121/(1-IF(B121&lt;=10,Parámetros!$D$100,0))),2))</f>
        <v>0</v>
      </c>
      <c r="CH121" s="66">
        <f t="shared" si="181"/>
        <v>0</v>
      </c>
      <c r="CI121" s="66">
        <f t="shared" si="181"/>
        <v>0</v>
      </c>
      <c r="CJ121" s="66">
        <f>+IF($W121="","",ROUND((CG121*Parámetros!$G$85),2))</f>
        <v>0</v>
      </c>
      <c r="CK121" s="66">
        <f>+IF($W121="","",ROUND((CG121*(Parámetros!$G$86)),2))</f>
        <v>0</v>
      </c>
      <c r="CL121" s="66">
        <f t="shared" si="182"/>
        <v>0</v>
      </c>
      <c r="CM121" t="str">
        <f t="shared" si="223"/>
        <v>00063</v>
      </c>
      <c r="CN121" s="118" t="str">
        <f t="shared" si="224"/>
        <v>Renta Diaria por Hospitalización</v>
      </c>
      <c r="CO121" s="118">
        <f t="shared" si="225"/>
        <v>0</v>
      </c>
      <c r="CP121" s="118" t="str">
        <f t="shared" si="226"/>
        <v>A</v>
      </c>
      <c r="CQ121" s="119" t="str">
        <f t="shared" si="183"/>
        <v/>
      </c>
      <c r="CR121" s="66">
        <f>+IF($W121="","",ROUND((VLOOKUP(Parámetros!$F$51,'COBERTURAS ADICIONALES'!$S$4:$T$32,2,FALSE)*(1+i/frec)^-0.5*(1+Parámetros!$D$103)*(1+rec_fracc)/frec*$CO$42),2))</f>
        <v>0</v>
      </c>
      <c r="CS121" s="119" t="str">
        <f t="shared" si="184"/>
        <v/>
      </c>
      <c r="CT121" s="66">
        <f>+IF($W121="","",ROUND(IF($B121&gt;Parámetros!$D$107,'Tablas Servicio'!CR121+('Tablas Servicio'!CT120-'Tablas Servicio'!CR120),CR121/(1-IF(B121&lt;=10,Parámetros!$D$100,0))),2))</f>
        <v>0</v>
      </c>
      <c r="CU121" s="66">
        <f t="shared" si="185"/>
        <v>0</v>
      </c>
      <c r="CV121" s="66">
        <f t="shared" si="185"/>
        <v>0</v>
      </c>
      <c r="CW121" s="66">
        <f>+IF($W121="","",ROUND((CT121*Parámetros!$G$85),2))</f>
        <v>0</v>
      </c>
      <c r="CX121" s="66">
        <f>+IF($W121="","",ROUND((CT121*(Parámetros!$G$86)),2))</f>
        <v>0</v>
      </c>
      <c r="CY121" s="66">
        <f t="shared" si="186"/>
        <v>0</v>
      </c>
      <c r="CZ121" t="str">
        <f t="shared" si="227"/>
        <v>00064</v>
      </c>
      <c r="DA121" s="118" t="str">
        <f t="shared" si="228"/>
        <v>Enfermedades Graves</v>
      </c>
      <c r="DB121" s="118">
        <f t="shared" si="229"/>
        <v>0</v>
      </c>
      <c r="DC121" s="118" t="str">
        <f t="shared" si="230"/>
        <v>A</v>
      </c>
      <c r="DD121" s="121" t="str">
        <f>+IF(OR($W121="",DB121=0),"",ROUND((VLOOKUP(ROUNDDOWN($D121-1/frec,0),cob_adi,CO$40,FALSE)*(1+i/frec)^-0.5*(1+Parámetros!$D$103)*(1+rec_fracc)/frec),6))</f>
        <v/>
      </c>
      <c r="DE121" s="66">
        <f t="shared" si="187"/>
        <v>0</v>
      </c>
      <c r="DF121" s="119" t="str">
        <f t="shared" si="188"/>
        <v/>
      </c>
      <c r="DG121" s="66">
        <f>+IF($W121="","",ROUND(IF($B121&gt;Parámetros!$D$107,'Tablas Servicio'!DE121+('Tablas Servicio'!DG120-'Tablas Servicio'!DE120),DE121/(1-IF(B121&lt;=10,Parámetros!$D$100,0))),2))</f>
        <v>0</v>
      </c>
      <c r="DH121" s="66">
        <f t="shared" si="189"/>
        <v>0</v>
      </c>
      <c r="DI121" s="66">
        <f t="shared" si="189"/>
        <v>0</v>
      </c>
      <c r="DJ121" s="66">
        <f>+IF($W121="","",ROUND((DG121*Parámetros!$G$85),2))</f>
        <v>0</v>
      </c>
      <c r="DK121" s="66">
        <f>+IF($W121="","",ROUND((DG121*(Parámetros!$G$86)),2))</f>
        <v>0</v>
      </c>
      <c r="DL121" s="66">
        <f t="shared" si="190"/>
        <v>0</v>
      </c>
      <c r="DM121" t="str">
        <f t="shared" si="231"/>
        <v>00065</v>
      </c>
      <c r="DN121" s="118" t="str">
        <f t="shared" si="232"/>
        <v>Exención pago de primas</v>
      </c>
      <c r="DO121" s="118">
        <f t="shared" si="233"/>
        <v>0</v>
      </c>
      <c r="DP121" s="118" t="str">
        <f t="shared" si="234"/>
        <v>A</v>
      </c>
      <c r="DQ121" s="122" t="str">
        <f>+IF(OR($W121="",DO121=0),"",ROUND((VLOOKUP(ROUNDDOWN($D121-1/frec,0),cob_adi,DB$40,FALSE)*(1+i/frec)^-0.5*(1+Parámetros!$D$103)*(1+rec_fracc)/frec),6))</f>
        <v/>
      </c>
      <c r="DR121" s="66">
        <f t="shared" si="191"/>
        <v>0</v>
      </c>
      <c r="DS121" s="68" t="str">
        <f t="shared" si="192"/>
        <v/>
      </c>
      <c r="DT121" s="66">
        <f>+IF($W121="","",ROUND(IF($B121&gt;Parámetros!$D$107,'Tablas Servicio'!DR121+('Tablas Servicio'!DT120-'Tablas Servicio'!DR120),DR121/(1-IF(B121&lt;=10,Parámetros!$D$100,0))),2))</f>
        <v>0</v>
      </c>
      <c r="DU121" s="66">
        <f t="shared" si="193"/>
        <v>0</v>
      </c>
      <c r="DV121" s="66">
        <f t="shared" si="193"/>
        <v>0</v>
      </c>
      <c r="DW121" s="66">
        <f>+IF($W121="","",ROUND((DT121*Parámetros!$G$85),2))</f>
        <v>0</v>
      </c>
      <c r="DX121" s="66">
        <f>+IF($W121="","",ROUND((DT121*(Parámetros!$G$86)),2))</f>
        <v>0</v>
      </c>
      <c r="DY121" s="66">
        <f t="shared" si="194"/>
        <v>0</v>
      </c>
      <c r="DZ121" t="str">
        <f t="shared" si="195"/>
        <v>00066</v>
      </c>
      <c r="EA121" s="118" t="str">
        <f t="shared" si="195"/>
        <v>Enfermedad terminal</v>
      </c>
      <c r="EB121" s="118">
        <f>+IF($W121="","",ROUND(IF(Parámetros!$D$25='TABLAS MORT'!$V$33,EB120,Z121/2),0))</f>
        <v>50000</v>
      </c>
      <c r="EC121" s="118" t="str">
        <f t="shared" si="195"/>
        <v>A</v>
      </c>
      <c r="ED121" s="122">
        <f>+IF(OR($W121="",EB121=0),"",ROUND((VLOOKUP(ROUNDDOWN($D121-1/frec,0),cob_adi,DO$40,FALSE)*(1+i/frec)^-0.5*(1+Parámetros!$D$103)*(1+rec_fracc)/frec),6))</f>
        <v>1.2E-5</v>
      </c>
      <c r="EE121" s="66">
        <f t="shared" si="196"/>
        <v>0.6</v>
      </c>
      <c r="EF121" s="68">
        <f t="shared" si="197"/>
        <v>1.4E-5</v>
      </c>
      <c r="EG121" s="66">
        <f>+IF($W121="","",ROUND(IF($B121&gt;Parámetros!$D$107,'Tablas Servicio'!EE121+('Tablas Servicio'!EG120-'Tablas Servicio'!EE120),EE121/(1-IF(B121&lt;=10,Parámetros!$D$100,0))),2))</f>
        <v>0.68</v>
      </c>
      <c r="EH121" s="66">
        <f t="shared" si="198"/>
        <v>0</v>
      </c>
      <c r="EI121" s="66">
        <f t="shared" si="198"/>
        <v>0</v>
      </c>
      <c r="EJ121" s="66">
        <f>+IF($W121="","",ROUND((EG121*Parámetros!$G$85),2))</f>
        <v>0.02</v>
      </c>
      <c r="EK121" s="66">
        <f>+IF($W121="","",ROUND((EG121*(Parámetros!$G$86)),2))</f>
        <v>0</v>
      </c>
      <c r="EL121" s="66">
        <f t="shared" si="199"/>
        <v>0.7</v>
      </c>
    </row>
    <row r="122" spans="1:142" x14ac:dyDescent="0.25">
      <c r="A122">
        <f>+IF($C122="","",ROUND(VLOOKUP('Tablas Servicio'!B122,Parámetros!$H$100:$J$159,IF(Parámetros!$E$16="F",2,3),FALSE),2))</f>
        <v>150</v>
      </c>
      <c r="B122">
        <f t="shared" si="150"/>
        <v>7</v>
      </c>
      <c r="C122" s="57">
        <f>+IF(D122="","",'Tablas Servicio'!C121+1)</f>
        <v>81</v>
      </c>
      <c r="D122" s="56">
        <f>+IF(D121&lt;edadmaxtabla,D121+1/Parámetros!$E$25,"")</f>
        <v>46.770000000000195</v>
      </c>
      <c r="E122" s="57">
        <f t="shared" si="160"/>
        <v>46</v>
      </c>
      <c r="F122" s="59">
        <f t="shared" si="161"/>
        <v>100000</v>
      </c>
      <c r="G122" s="66">
        <f t="shared" si="151"/>
        <v>33.96</v>
      </c>
      <c r="H122" s="66">
        <f t="shared" si="152"/>
        <v>35.31</v>
      </c>
      <c r="I122" s="66">
        <f t="shared" si="200"/>
        <v>51.68</v>
      </c>
      <c r="J122" s="66">
        <f t="shared" si="153"/>
        <v>1.18</v>
      </c>
      <c r="K122" s="66">
        <f t="shared" si="154"/>
        <v>0.17</v>
      </c>
      <c r="L122" s="66">
        <f t="shared" si="155"/>
        <v>0</v>
      </c>
      <c r="M122" s="66">
        <f t="shared" si="156"/>
        <v>0</v>
      </c>
      <c r="N122" s="66">
        <f>+IF(C122="","",ROUND(Parámetros!$D$23,2))</f>
        <v>94</v>
      </c>
      <c r="O122" s="66">
        <f t="shared" si="157"/>
        <v>17.5</v>
      </c>
      <c r="P122" s="66">
        <f>+IF($C122="","",ROUND(IF(B122&gt;Parámetros!$D$117,0,N122*Parámetros!$D$116-G122*Parámetros!$D$100),2))</f>
        <v>7.01</v>
      </c>
      <c r="Q122" s="75">
        <f t="shared" si="201"/>
        <v>3.4746760895170786E-2</v>
      </c>
      <c r="R122" s="75">
        <f t="shared" si="202"/>
        <v>5.0058892815076561E-3</v>
      </c>
      <c r="S122" s="117">
        <f>+IF($C122="","",ROUND((S121+I122)*(1+Parámetros!$D$91),2))</f>
        <v>5172.24</v>
      </c>
      <c r="T122" s="117">
        <f>+IF($C122="","",ROUND(S122*VLOOKUP(B122,Parámetros!$C$30:$D$39,2,TRUE),2))</f>
        <v>3879.18</v>
      </c>
      <c r="U122" s="117">
        <f>+IF($C122="","",ROUND((U121+I122)*(1+Parámetros!$D$92),2))</f>
        <v>5265.11</v>
      </c>
      <c r="V122" s="117">
        <f>+IF($C122="","",ROUND(U122*VLOOKUP(B122,Parámetros!$C$30:$D$39,2,TRUE),2))</f>
        <v>3948.83</v>
      </c>
      <c r="W122" s="57">
        <f t="shared" si="203"/>
        <v>81</v>
      </c>
      <c r="X122" t="str">
        <f t="shared" si="204"/>
        <v>00058</v>
      </c>
      <c r="Y122" t="str">
        <f t="shared" si="205"/>
        <v>MUERTE POR CUALQUIER CAUSA</v>
      </c>
      <c r="Z122" s="118">
        <f>+IF($W122="","",ROUND(IF(Parámetros!$D$25='TABLAS MORT'!$V$33,Z121,Parámetros!$D$21-'Tablas Servicio'!T121),0))</f>
        <v>100000</v>
      </c>
      <c r="AA122" s="118" t="str">
        <f t="shared" si="206"/>
        <v>P</v>
      </c>
      <c r="AB122" s="119">
        <f>+IF(W122="","",ROUND((VLOOKUP(ROUNDDOWN($D122-1/frec,0),qx_tabla,2,FALSE)*(1+i/frec)^-0.5*(1+Parámetros!$D$103)*(1+rec_fracc)/frec),6))</f>
        <v>1.6899999999999999E-4</v>
      </c>
      <c r="AC122" s="66">
        <f t="shared" si="162"/>
        <v>16.899999999999999</v>
      </c>
      <c r="AD122" s="119">
        <f t="shared" si="158"/>
        <v>3.3300000000000002E-4</v>
      </c>
      <c r="AE122" s="66">
        <f>+IF($W122="","",ROUND(IF($B122&gt;Parámetros!$D$107,'Tablas Servicio'!AC122+('Tablas Servicio'!AG121-'Tablas Servicio'!AC121),AC122/(1-IF(B122&lt;=10,Parámetros!$D$104,Parámetros!$D$105))),2))</f>
        <v>34.97</v>
      </c>
      <c r="AF122" s="66">
        <f>+IF($W122="","",ROUND(IF($B122&gt;Parámetros!$D$107,'Tablas Servicio'!AC122+('Tablas Servicio'!AG121-'Tablas Servicio'!AC121),(AC122+$A121/frec)/(1-IF(B122&lt;=Parámetros!$D$117,Parámetros!$D$100,0))),2))</f>
        <v>33.28</v>
      </c>
      <c r="AG122" s="66">
        <f t="shared" si="163"/>
        <v>33.28</v>
      </c>
      <c r="AH122" s="66">
        <f t="shared" si="164"/>
        <v>0</v>
      </c>
      <c r="AI122" s="66">
        <f t="shared" si="165"/>
        <v>0</v>
      </c>
      <c r="AJ122" s="66">
        <f>+IF($W122="","",ROUND((AG122*Parámetros!$G$85),2))</f>
        <v>1.1599999999999999</v>
      </c>
      <c r="AK122" s="66">
        <f>+IF($W122="","",ROUND((AG122*(Parámetros!$G$86)),2))</f>
        <v>0.17</v>
      </c>
      <c r="AL122" s="66">
        <f t="shared" si="159"/>
        <v>34.61</v>
      </c>
      <c r="AM122" t="str">
        <f t="shared" si="207"/>
        <v>00059</v>
      </c>
      <c r="AN122" t="str">
        <f t="shared" si="208"/>
        <v>Incapacidad Total y Permanente</v>
      </c>
      <c r="AO122" s="118">
        <f t="shared" si="209"/>
        <v>0</v>
      </c>
      <c r="AP122" s="118" t="str">
        <f t="shared" si="210"/>
        <v>A</v>
      </c>
      <c r="AQ122" s="119" t="str">
        <f>+IF(OR($W122="",AO122=0),"",ROUND((VLOOKUP(ROUNDDOWN($D122-1/frec,0),cob_adi,Z$40,FALSE)*(1+i/frec)^-0.5*(1+Parámetros!$D$103)*(1+rec_fracc)/frec),6))</f>
        <v/>
      </c>
      <c r="AR122" s="66">
        <f t="shared" si="166"/>
        <v>0</v>
      </c>
      <c r="AS122" s="119" t="str">
        <f t="shared" si="167"/>
        <v/>
      </c>
      <c r="AT122" s="66">
        <f>+IF($W122="","",ROUND(IF($B122&gt;Parámetros!$D$107,'Tablas Servicio'!AR122+('Tablas Servicio'!AT121-'Tablas Servicio'!AR121),AR122/(1-IF(B122&lt;=10,Parámetros!$D$100,0))),2))</f>
        <v>0</v>
      </c>
      <c r="AU122" s="66">
        <f t="shared" si="168"/>
        <v>0</v>
      </c>
      <c r="AV122" s="66">
        <f t="shared" si="168"/>
        <v>0</v>
      </c>
      <c r="AW122" s="66">
        <f>+IF($W122="","",ROUND((AT122*Parámetros!$G$85),2))</f>
        <v>0</v>
      </c>
      <c r="AX122" s="66">
        <f>+IF($W122="","",ROUND((AT122*(Parámetros!$G$86)),2))</f>
        <v>0</v>
      </c>
      <c r="AY122" s="66">
        <f t="shared" si="169"/>
        <v>0</v>
      </c>
      <c r="AZ122" t="str">
        <f t="shared" si="211"/>
        <v>00060</v>
      </c>
      <c r="BA122" t="str">
        <f t="shared" si="212"/>
        <v>Muerte Accidental</v>
      </c>
      <c r="BB122" s="118">
        <f t="shared" si="213"/>
        <v>0</v>
      </c>
      <c r="BC122" s="118" t="str">
        <f t="shared" si="214"/>
        <v>A</v>
      </c>
      <c r="BD122" s="119" t="str">
        <f>+IF(OR($W122="",BB122=0),"",ROUND((VLOOKUP(ROUNDDOWN($D122-1/frec,0),cob_adi,AO$40,FALSE)*(1+i/frec)^-0.5*(1+Parámetros!$D$103)*(1+rec_fracc)/frec),6))</f>
        <v/>
      </c>
      <c r="BE122" s="66">
        <f t="shared" si="170"/>
        <v>0</v>
      </c>
      <c r="BF122" s="119" t="str">
        <f t="shared" si="171"/>
        <v/>
      </c>
      <c r="BG122" s="66">
        <f>+IF($W122="","",ROUND(IF($B122&gt;Parámetros!$D$107,'Tablas Servicio'!BE122+('Tablas Servicio'!BG121-'Tablas Servicio'!BE121),BE122/(1-IF(B122&lt;=10,Parámetros!$D$100,0))),2))</f>
        <v>0</v>
      </c>
      <c r="BH122" s="66">
        <f t="shared" si="172"/>
        <v>0</v>
      </c>
      <c r="BI122" s="66">
        <f t="shared" si="173"/>
        <v>0</v>
      </c>
      <c r="BJ122" s="66">
        <f>+IF($W122="","",ROUND((BG122*Parámetros!$G$85),2))</f>
        <v>0</v>
      </c>
      <c r="BK122" s="66">
        <f>+IF($W122="","",ROUND((BG122*(Parámetros!$G$86)),2))</f>
        <v>0</v>
      </c>
      <c r="BL122" s="66">
        <f t="shared" si="174"/>
        <v>0</v>
      </c>
      <c r="BM122" t="str">
        <f t="shared" si="215"/>
        <v>00061</v>
      </c>
      <c r="BN122" t="str">
        <f t="shared" si="216"/>
        <v>Gastos de Entierro</v>
      </c>
      <c r="BO122" s="118">
        <f t="shared" si="217"/>
        <v>0</v>
      </c>
      <c r="BP122" s="118" t="str">
        <f t="shared" si="218"/>
        <v>A</v>
      </c>
      <c r="BQ122" s="119" t="str">
        <f>+IF(OR($W122="",BO122=0),"",ROUND((VLOOKUP(ROUNDDOWN($D122-1/frec,0),cob_adi,BB$40,FALSE)*(1+i/frec)^-0.5*(1+Parámetros!$D$103)*(1+rec_fracc)/frec),6))</f>
        <v/>
      </c>
      <c r="BR122" s="66">
        <f t="shared" si="175"/>
        <v>0</v>
      </c>
      <c r="BS122" s="119" t="str">
        <f t="shared" si="176"/>
        <v/>
      </c>
      <c r="BT122" s="66">
        <f>+IF($W122="","",ROUND(IF($B122&gt;Parámetros!$D$107,'Tablas Servicio'!BR122+('Tablas Servicio'!BT121-'Tablas Servicio'!BR121),BR122/(1-IF(B122&lt;=10,Parámetros!$D$100,0))),2))</f>
        <v>0</v>
      </c>
      <c r="BU122" s="66">
        <f t="shared" si="177"/>
        <v>0</v>
      </c>
      <c r="BV122" s="66">
        <f t="shared" si="177"/>
        <v>0</v>
      </c>
      <c r="BW122" s="66">
        <f>+IF($W122="","",ROUND((BT122*Parámetros!$G$85),2))</f>
        <v>0</v>
      </c>
      <c r="BX122" s="66">
        <f>+IF($W122="","",ROUND((BT122*(Parámetros!$G$86)),2))</f>
        <v>0</v>
      </c>
      <c r="BY122" s="66">
        <f t="shared" si="178"/>
        <v>0</v>
      </c>
      <c r="BZ122" t="str">
        <f t="shared" si="219"/>
        <v>00062</v>
      </c>
      <c r="CA122" t="str">
        <f t="shared" si="220"/>
        <v>Gastos médicos por accidente</v>
      </c>
      <c r="CB122" s="118">
        <f t="shared" si="221"/>
        <v>0</v>
      </c>
      <c r="CC122" s="118" t="str">
        <f t="shared" si="222"/>
        <v>A</v>
      </c>
      <c r="CD122" s="119" t="str">
        <f t="shared" si="179"/>
        <v/>
      </c>
      <c r="CE122" s="66">
        <f>+IF($W122="","",ROUND((VLOOKUP(ROUNDDOWN($D122-1/frec,0),cob_adi,BO$40,FALSE)*(1+i/frec)^-0.5*(1+Parámetros!$D$103)*(1+rec_fracc)/frec*'TABLAS ADI'!$BC$17),2))</f>
        <v>0</v>
      </c>
      <c r="CF122" s="119" t="str">
        <f t="shared" si="180"/>
        <v/>
      </c>
      <c r="CG122" s="66">
        <f>+IF($W122="","",ROUND(IF($B122&gt;Parámetros!$D$107,'Tablas Servicio'!CE122+('Tablas Servicio'!CG121-'Tablas Servicio'!CE121),CE122/(1-IF(B122&lt;=10,Parámetros!$D$100,0))),2))</f>
        <v>0</v>
      </c>
      <c r="CH122" s="66">
        <f t="shared" si="181"/>
        <v>0</v>
      </c>
      <c r="CI122" s="66">
        <f t="shared" si="181"/>
        <v>0</v>
      </c>
      <c r="CJ122" s="66">
        <f>+IF($W122="","",ROUND((CG122*Parámetros!$G$85),2))</f>
        <v>0</v>
      </c>
      <c r="CK122" s="66">
        <f>+IF($W122="","",ROUND((CG122*(Parámetros!$G$86)),2))</f>
        <v>0</v>
      </c>
      <c r="CL122" s="66">
        <f t="shared" si="182"/>
        <v>0</v>
      </c>
      <c r="CM122" t="str">
        <f t="shared" si="223"/>
        <v>00063</v>
      </c>
      <c r="CN122" s="118" t="str">
        <f t="shared" si="224"/>
        <v>Renta Diaria por Hospitalización</v>
      </c>
      <c r="CO122" s="118">
        <f t="shared" si="225"/>
        <v>0</v>
      </c>
      <c r="CP122" s="118" t="str">
        <f t="shared" si="226"/>
        <v>A</v>
      </c>
      <c r="CQ122" s="119" t="str">
        <f t="shared" si="183"/>
        <v/>
      </c>
      <c r="CR122" s="66">
        <f>+IF($W122="","",ROUND((VLOOKUP(Parámetros!$F$51,'COBERTURAS ADICIONALES'!$S$4:$T$32,2,FALSE)*(1+i/frec)^-0.5*(1+Parámetros!$D$103)*(1+rec_fracc)/frec*$CO$42),2))</f>
        <v>0</v>
      </c>
      <c r="CS122" s="119" t="str">
        <f t="shared" si="184"/>
        <v/>
      </c>
      <c r="CT122" s="66">
        <f>+IF($W122="","",ROUND(IF($B122&gt;Parámetros!$D$107,'Tablas Servicio'!CR122+('Tablas Servicio'!CT121-'Tablas Servicio'!CR121),CR122/(1-IF(B122&lt;=10,Parámetros!$D$100,0))),2))</f>
        <v>0</v>
      </c>
      <c r="CU122" s="66">
        <f t="shared" si="185"/>
        <v>0</v>
      </c>
      <c r="CV122" s="66">
        <f t="shared" si="185"/>
        <v>0</v>
      </c>
      <c r="CW122" s="66">
        <f>+IF($W122="","",ROUND((CT122*Parámetros!$G$85),2))</f>
        <v>0</v>
      </c>
      <c r="CX122" s="66">
        <f>+IF($W122="","",ROUND((CT122*(Parámetros!$G$86)),2))</f>
        <v>0</v>
      </c>
      <c r="CY122" s="66">
        <f t="shared" si="186"/>
        <v>0</v>
      </c>
      <c r="CZ122" t="str">
        <f t="shared" si="227"/>
        <v>00064</v>
      </c>
      <c r="DA122" s="118" t="str">
        <f t="shared" si="228"/>
        <v>Enfermedades Graves</v>
      </c>
      <c r="DB122" s="118">
        <f t="shared" si="229"/>
        <v>0</v>
      </c>
      <c r="DC122" s="118" t="str">
        <f t="shared" si="230"/>
        <v>A</v>
      </c>
      <c r="DD122" s="121" t="str">
        <f>+IF(OR($W122="",DB122=0),"",ROUND((VLOOKUP(ROUNDDOWN($D122-1/frec,0),cob_adi,CO$40,FALSE)*(1+i/frec)^-0.5*(1+Parámetros!$D$103)*(1+rec_fracc)/frec),6))</f>
        <v/>
      </c>
      <c r="DE122" s="66">
        <f t="shared" si="187"/>
        <v>0</v>
      </c>
      <c r="DF122" s="119" t="str">
        <f t="shared" si="188"/>
        <v/>
      </c>
      <c r="DG122" s="66">
        <f>+IF($W122="","",ROUND(IF($B122&gt;Parámetros!$D$107,'Tablas Servicio'!DE122+('Tablas Servicio'!DG121-'Tablas Servicio'!DE121),DE122/(1-IF(B122&lt;=10,Parámetros!$D$100,0))),2))</f>
        <v>0</v>
      </c>
      <c r="DH122" s="66">
        <f t="shared" si="189"/>
        <v>0</v>
      </c>
      <c r="DI122" s="66">
        <f t="shared" si="189"/>
        <v>0</v>
      </c>
      <c r="DJ122" s="66">
        <f>+IF($W122="","",ROUND((DG122*Parámetros!$G$85),2))</f>
        <v>0</v>
      </c>
      <c r="DK122" s="66">
        <f>+IF($W122="","",ROUND((DG122*(Parámetros!$G$86)),2))</f>
        <v>0</v>
      </c>
      <c r="DL122" s="66">
        <f t="shared" si="190"/>
        <v>0</v>
      </c>
      <c r="DM122" t="str">
        <f t="shared" si="231"/>
        <v>00065</v>
      </c>
      <c r="DN122" s="118" t="str">
        <f t="shared" si="232"/>
        <v>Exención pago de primas</v>
      </c>
      <c r="DO122" s="118">
        <f t="shared" si="233"/>
        <v>0</v>
      </c>
      <c r="DP122" s="118" t="str">
        <f t="shared" si="234"/>
        <v>A</v>
      </c>
      <c r="DQ122" s="122" t="str">
        <f>+IF(OR($W122="",DO122=0),"",ROUND((VLOOKUP(ROUNDDOWN($D122-1/frec,0),cob_adi,DB$40,FALSE)*(1+i/frec)^-0.5*(1+Parámetros!$D$103)*(1+rec_fracc)/frec),6))</f>
        <v/>
      </c>
      <c r="DR122" s="66">
        <f t="shared" si="191"/>
        <v>0</v>
      </c>
      <c r="DS122" s="68" t="str">
        <f t="shared" si="192"/>
        <v/>
      </c>
      <c r="DT122" s="66">
        <f>+IF($W122="","",ROUND(IF($B122&gt;Parámetros!$D$107,'Tablas Servicio'!DR122+('Tablas Servicio'!DT121-'Tablas Servicio'!DR121),DR122/(1-IF(B122&lt;=10,Parámetros!$D$100,0))),2))</f>
        <v>0</v>
      </c>
      <c r="DU122" s="66">
        <f t="shared" si="193"/>
        <v>0</v>
      </c>
      <c r="DV122" s="66">
        <f t="shared" si="193"/>
        <v>0</v>
      </c>
      <c r="DW122" s="66">
        <f>+IF($W122="","",ROUND((DT122*Parámetros!$G$85),2))</f>
        <v>0</v>
      </c>
      <c r="DX122" s="66">
        <f>+IF($W122="","",ROUND((DT122*(Parámetros!$G$86)),2))</f>
        <v>0</v>
      </c>
      <c r="DY122" s="66">
        <f t="shared" si="194"/>
        <v>0</v>
      </c>
      <c r="DZ122" t="str">
        <f t="shared" si="195"/>
        <v>00066</v>
      </c>
      <c r="EA122" s="118" t="str">
        <f t="shared" si="195"/>
        <v>Enfermedad terminal</v>
      </c>
      <c r="EB122" s="118">
        <f>+IF($W122="","",ROUND(IF(Parámetros!$D$25='TABLAS MORT'!$V$33,EB121,Z122/2),0))</f>
        <v>50000</v>
      </c>
      <c r="EC122" s="118" t="str">
        <f t="shared" si="195"/>
        <v>A</v>
      </c>
      <c r="ED122" s="122">
        <f>+IF(OR($W122="",EB122=0),"",ROUND((VLOOKUP(ROUNDDOWN($D122-1/frec,0),cob_adi,DO$40,FALSE)*(1+i/frec)^-0.5*(1+Parámetros!$D$103)*(1+rec_fracc)/frec),6))</f>
        <v>1.2E-5</v>
      </c>
      <c r="EE122" s="66">
        <f t="shared" si="196"/>
        <v>0.6</v>
      </c>
      <c r="EF122" s="68">
        <f t="shared" si="197"/>
        <v>1.4E-5</v>
      </c>
      <c r="EG122" s="66">
        <f>+IF($W122="","",ROUND(IF($B122&gt;Parámetros!$D$107,'Tablas Servicio'!EE122+('Tablas Servicio'!EG121-'Tablas Servicio'!EE121),EE122/(1-IF(B122&lt;=10,Parámetros!$D$100,0))),2))</f>
        <v>0.68</v>
      </c>
      <c r="EH122" s="66">
        <f t="shared" si="198"/>
        <v>0</v>
      </c>
      <c r="EI122" s="66">
        <f t="shared" si="198"/>
        <v>0</v>
      </c>
      <c r="EJ122" s="66">
        <f>+IF($W122="","",ROUND((EG122*Parámetros!$G$85),2))</f>
        <v>0.02</v>
      </c>
      <c r="EK122" s="66">
        <f>+IF($W122="","",ROUND((EG122*(Parámetros!$G$86)),2))</f>
        <v>0</v>
      </c>
      <c r="EL122" s="66">
        <f t="shared" si="199"/>
        <v>0.7</v>
      </c>
    </row>
    <row r="123" spans="1:142" x14ac:dyDescent="0.25">
      <c r="A123">
        <f>+IF($C123="","",ROUND(VLOOKUP('Tablas Servicio'!B123,Parámetros!$H$100:$J$159,IF(Parámetros!$E$16="F",2,3),FALSE),2))</f>
        <v>150</v>
      </c>
      <c r="B123">
        <f t="shared" si="150"/>
        <v>7</v>
      </c>
      <c r="C123" s="57">
        <f>+IF(D123="","",'Tablas Servicio'!C122+1)</f>
        <v>82</v>
      </c>
      <c r="D123" s="56">
        <f>+IF(D122&lt;edadmaxtabla,D122+1/Parámetros!$E$25,"")</f>
        <v>46.853333333333531</v>
      </c>
      <c r="E123" s="57">
        <f t="shared" si="160"/>
        <v>46</v>
      </c>
      <c r="F123" s="59">
        <f t="shared" si="161"/>
        <v>100000</v>
      </c>
      <c r="G123" s="66">
        <f t="shared" si="151"/>
        <v>33.96</v>
      </c>
      <c r="H123" s="66">
        <f t="shared" si="152"/>
        <v>35.31</v>
      </c>
      <c r="I123" s="66">
        <f t="shared" si="200"/>
        <v>51.68</v>
      </c>
      <c r="J123" s="66">
        <f t="shared" si="153"/>
        <v>1.18</v>
      </c>
      <c r="K123" s="66">
        <f t="shared" si="154"/>
        <v>0.17</v>
      </c>
      <c r="L123" s="66">
        <f t="shared" si="155"/>
        <v>0</v>
      </c>
      <c r="M123" s="66">
        <f t="shared" si="156"/>
        <v>0</v>
      </c>
      <c r="N123" s="66">
        <f>+IF(C123="","",ROUND(Parámetros!$D$23,2))</f>
        <v>94</v>
      </c>
      <c r="O123" s="66">
        <f t="shared" si="157"/>
        <v>17.5</v>
      </c>
      <c r="P123" s="66">
        <f>+IF($C123="","",ROUND(IF(B123&gt;Parámetros!$D$117,0,N123*Parámetros!$D$116-G123*Parámetros!$D$100),2))</f>
        <v>7.01</v>
      </c>
      <c r="Q123" s="75">
        <f t="shared" si="201"/>
        <v>3.4746760895170786E-2</v>
      </c>
      <c r="R123" s="75">
        <f t="shared" si="202"/>
        <v>5.0058892815076561E-3</v>
      </c>
      <c r="S123" s="117">
        <f>+IF($C123="","",ROUND((S122+I123)*(1+Parámetros!$D$91),2))</f>
        <v>5238.74</v>
      </c>
      <c r="T123" s="117">
        <f>+IF($C123="","",ROUND(S123*VLOOKUP(B123,Parámetros!$C$30:$D$39,2,TRUE),2))</f>
        <v>3929.06</v>
      </c>
      <c r="U123" s="117">
        <f>+IF($C123="","",ROUND((U122+I123)*(1+Parámetros!$D$92),2))</f>
        <v>5334.03</v>
      </c>
      <c r="V123" s="117">
        <f>+IF($C123="","",ROUND(U123*VLOOKUP(B123,Parámetros!$C$30:$D$39,2,TRUE),2))</f>
        <v>4000.52</v>
      </c>
      <c r="W123" s="57">
        <f t="shared" si="203"/>
        <v>82</v>
      </c>
      <c r="X123" t="str">
        <f t="shared" si="204"/>
        <v>00058</v>
      </c>
      <c r="Y123" t="str">
        <f t="shared" si="205"/>
        <v>MUERTE POR CUALQUIER CAUSA</v>
      </c>
      <c r="Z123" s="118">
        <f>+IF($W123="","",ROUND(IF(Parámetros!$D$25='TABLAS MORT'!$V$33,Z122,Parámetros!$D$21-'Tablas Servicio'!T122),0))</f>
        <v>100000</v>
      </c>
      <c r="AA123" s="118" t="str">
        <f t="shared" si="206"/>
        <v>P</v>
      </c>
      <c r="AB123" s="119">
        <f>+IF(W123="","",ROUND((VLOOKUP(ROUNDDOWN($D123-1/frec,0),qx_tabla,2,FALSE)*(1+i/frec)^-0.5*(1+Parámetros!$D$103)*(1+rec_fracc)/frec),6))</f>
        <v>1.6899999999999999E-4</v>
      </c>
      <c r="AC123" s="66">
        <f t="shared" si="162"/>
        <v>16.899999999999999</v>
      </c>
      <c r="AD123" s="119">
        <f t="shared" si="158"/>
        <v>3.3300000000000002E-4</v>
      </c>
      <c r="AE123" s="66">
        <f>+IF($W123="","",ROUND(IF($B123&gt;Parámetros!$D$107,'Tablas Servicio'!AC123+('Tablas Servicio'!AG122-'Tablas Servicio'!AC122),AC123/(1-IF(B123&lt;=10,Parámetros!$D$104,Parámetros!$D$105))),2))</f>
        <v>34.97</v>
      </c>
      <c r="AF123" s="66">
        <f>+IF($W123="","",ROUND(IF($B123&gt;Parámetros!$D$107,'Tablas Servicio'!AC123+('Tablas Servicio'!AG122-'Tablas Servicio'!AC122),(AC123+$A122/frec)/(1-IF(B123&lt;=Parámetros!$D$117,Parámetros!$D$100,0))),2))</f>
        <v>33.28</v>
      </c>
      <c r="AG123" s="66">
        <f t="shared" si="163"/>
        <v>33.28</v>
      </c>
      <c r="AH123" s="66">
        <f t="shared" si="164"/>
        <v>0</v>
      </c>
      <c r="AI123" s="66">
        <f t="shared" si="165"/>
        <v>0</v>
      </c>
      <c r="AJ123" s="66">
        <f>+IF($W123="","",ROUND((AG123*Parámetros!$G$85),2))</f>
        <v>1.1599999999999999</v>
      </c>
      <c r="AK123" s="66">
        <f>+IF($W123="","",ROUND((AG123*(Parámetros!$G$86)),2))</f>
        <v>0.17</v>
      </c>
      <c r="AL123" s="66">
        <f t="shared" si="159"/>
        <v>34.61</v>
      </c>
      <c r="AM123" t="str">
        <f t="shared" si="207"/>
        <v>00059</v>
      </c>
      <c r="AN123" t="str">
        <f t="shared" si="208"/>
        <v>Incapacidad Total y Permanente</v>
      </c>
      <c r="AO123" s="118">
        <f t="shared" si="209"/>
        <v>0</v>
      </c>
      <c r="AP123" s="118" t="str">
        <f t="shared" si="210"/>
        <v>A</v>
      </c>
      <c r="AQ123" s="119" t="str">
        <f>+IF(OR($W123="",AO123=0),"",ROUND((VLOOKUP(ROUNDDOWN($D123-1/frec,0),cob_adi,Z$40,FALSE)*(1+i/frec)^-0.5*(1+Parámetros!$D$103)*(1+rec_fracc)/frec),6))</f>
        <v/>
      </c>
      <c r="AR123" s="66">
        <f t="shared" si="166"/>
        <v>0</v>
      </c>
      <c r="AS123" s="119" t="str">
        <f t="shared" si="167"/>
        <v/>
      </c>
      <c r="AT123" s="66">
        <f>+IF($W123="","",ROUND(IF($B123&gt;Parámetros!$D$107,'Tablas Servicio'!AR123+('Tablas Servicio'!AT122-'Tablas Servicio'!AR122),AR123/(1-IF(B123&lt;=10,Parámetros!$D$100,0))),2))</f>
        <v>0</v>
      </c>
      <c r="AU123" s="66">
        <f t="shared" si="168"/>
        <v>0</v>
      </c>
      <c r="AV123" s="66">
        <f t="shared" si="168"/>
        <v>0</v>
      </c>
      <c r="AW123" s="66">
        <f>+IF($W123="","",ROUND((AT123*Parámetros!$G$85),2))</f>
        <v>0</v>
      </c>
      <c r="AX123" s="66">
        <f>+IF($W123="","",ROUND((AT123*(Parámetros!$G$86)),2))</f>
        <v>0</v>
      </c>
      <c r="AY123" s="66">
        <f t="shared" si="169"/>
        <v>0</v>
      </c>
      <c r="AZ123" t="str">
        <f t="shared" si="211"/>
        <v>00060</v>
      </c>
      <c r="BA123" t="str">
        <f t="shared" si="212"/>
        <v>Muerte Accidental</v>
      </c>
      <c r="BB123" s="118">
        <f t="shared" si="213"/>
        <v>0</v>
      </c>
      <c r="BC123" s="118" t="str">
        <f t="shared" si="214"/>
        <v>A</v>
      </c>
      <c r="BD123" s="119" t="str">
        <f>+IF(OR($W123="",BB123=0),"",ROUND((VLOOKUP(ROUNDDOWN($D123-1/frec,0),cob_adi,AO$40,FALSE)*(1+i/frec)^-0.5*(1+Parámetros!$D$103)*(1+rec_fracc)/frec),6))</f>
        <v/>
      </c>
      <c r="BE123" s="66">
        <f t="shared" si="170"/>
        <v>0</v>
      </c>
      <c r="BF123" s="119" t="str">
        <f t="shared" si="171"/>
        <v/>
      </c>
      <c r="BG123" s="66">
        <f>+IF($W123="","",ROUND(IF($B123&gt;Parámetros!$D$107,'Tablas Servicio'!BE123+('Tablas Servicio'!BG122-'Tablas Servicio'!BE122),BE123/(1-IF(B123&lt;=10,Parámetros!$D$100,0))),2))</f>
        <v>0</v>
      </c>
      <c r="BH123" s="66">
        <f t="shared" si="172"/>
        <v>0</v>
      </c>
      <c r="BI123" s="66">
        <f t="shared" si="173"/>
        <v>0</v>
      </c>
      <c r="BJ123" s="66">
        <f>+IF($W123="","",ROUND((BG123*Parámetros!$G$85),2))</f>
        <v>0</v>
      </c>
      <c r="BK123" s="66">
        <f>+IF($W123="","",ROUND((BG123*(Parámetros!$G$86)),2))</f>
        <v>0</v>
      </c>
      <c r="BL123" s="66">
        <f t="shared" si="174"/>
        <v>0</v>
      </c>
      <c r="BM123" t="str">
        <f t="shared" si="215"/>
        <v>00061</v>
      </c>
      <c r="BN123" t="str">
        <f t="shared" si="216"/>
        <v>Gastos de Entierro</v>
      </c>
      <c r="BO123" s="118">
        <f t="shared" si="217"/>
        <v>0</v>
      </c>
      <c r="BP123" s="118" t="str">
        <f t="shared" si="218"/>
        <v>A</v>
      </c>
      <c r="BQ123" s="119" t="str">
        <f>+IF(OR($W123="",BO123=0),"",ROUND((VLOOKUP(ROUNDDOWN($D123-1/frec,0),cob_adi,BB$40,FALSE)*(1+i/frec)^-0.5*(1+Parámetros!$D$103)*(1+rec_fracc)/frec),6))</f>
        <v/>
      </c>
      <c r="BR123" s="66">
        <f t="shared" si="175"/>
        <v>0</v>
      </c>
      <c r="BS123" s="119" t="str">
        <f t="shared" si="176"/>
        <v/>
      </c>
      <c r="BT123" s="66">
        <f>+IF($W123="","",ROUND(IF($B123&gt;Parámetros!$D$107,'Tablas Servicio'!BR123+('Tablas Servicio'!BT122-'Tablas Servicio'!BR122),BR123/(1-IF(B123&lt;=10,Parámetros!$D$100,0))),2))</f>
        <v>0</v>
      </c>
      <c r="BU123" s="66">
        <f t="shared" si="177"/>
        <v>0</v>
      </c>
      <c r="BV123" s="66">
        <f t="shared" si="177"/>
        <v>0</v>
      </c>
      <c r="BW123" s="66">
        <f>+IF($W123="","",ROUND((BT123*Parámetros!$G$85),2))</f>
        <v>0</v>
      </c>
      <c r="BX123" s="66">
        <f>+IF($W123="","",ROUND((BT123*(Parámetros!$G$86)),2))</f>
        <v>0</v>
      </c>
      <c r="BY123" s="66">
        <f t="shared" si="178"/>
        <v>0</v>
      </c>
      <c r="BZ123" t="str">
        <f t="shared" si="219"/>
        <v>00062</v>
      </c>
      <c r="CA123" t="str">
        <f t="shared" si="220"/>
        <v>Gastos médicos por accidente</v>
      </c>
      <c r="CB123" s="118">
        <f t="shared" si="221"/>
        <v>0</v>
      </c>
      <c r="CC123" s="118" t="str">
        <f t="shared" si="222"/>
        <v>A</v>
      </c>
      <c r="CD123" s="119" t="str">
        <f t="shared" si="179"/>
        <v/>
      </c>
      <c r="CE123" s="66">
        <f>+IF($W123="","",ROUND((VLOOKUP(ROUNDDOWN($D123-1/frec,0),cob_adi,BO$40,FALSE)*(1+i/frec)^-0.5*(1+Parámetros!$D$103)*(1+rec_fracc)/frec*'TABLAS ADI'!$BC$17),2))</f>
        <v>0</v>
      </c>
      <c r="CF123" s="119" t="str">
        <f t="shared" si="180"/>
        <v/>
      </c>
      <c r="CG123" s="66">
        <f>+IF($W123="","",ROUND(IF($B123&gt;Parámetros!$D$107,'Tablas Servicio'!CE123+('Tablas Servicio'!CG122-'Tablas Servicio'!CE122),CE123/(1-IF(B123&lt;=10,Parámetros!$D$100,0))),2))</f>
        <v>0</v>
      </c>
      <c r="CH123" s="66">
        <f t="shared" si="181"/>
        <v>0</v>
      </c>
      <c r="CI123" s="66">
        <f t="shared" si="181"/>
        <v>0</v>
      </c>
      <c r="CJ123" s="66">
        <f>+IF($W123="","",ROUND((CG123*Parámetros!$G$85),2))</f>
        <v>0</v>
      </c>
      <c r="CK123" s="66">
        <f>+IF($W123="","",ROUND((CG123*(Parámetros!$G$86)),2))</f>
        <v>0</v>
      </c>
      <c r="CL123" s="66">
        <f t="shared" si="182"/>
        <v>0</v>
      </c>
      <c r="CM123" t="str">
        <f t="shared" si="223"/>
        <v>00063</v>
      </c>
      <c r="CN123" s="118" t="str">
        <f t="shared" si="224"/>
        <v>Renta Diaria por Hospitalización</v>
      </c>
      <c r="CO123" s="118">
        <f t="shared" si="225"/>
        <v>0</v>
      </c>
      <c r="CP123" s="118" t="str">
        <f t="shared" si="226"/>
        <v>A</v>
      </c>
      <c r="CQ123" s="119" t="str">
        <f t="shared" si="183"/>
        <v/>
      </c>
      <c r="CR123" s="66">
        <f>+IF($W123="","",ROUND((VLOOKUP(Parámetros!$F$51,'COBERTURAS ADICIONALES'!$S$4:$T$32,2,FALSE)*(1+i/frec)^-0.5*(1+Parámetros!$D$103)*(1+rec_fracc)/frec*$CO$42),2))</f>
        <v>0</v>
      </c>
      <c r="CS123" s="119" t="str">
        <f t="shared" si="184"/>
        <v/>
      </c>
      <c r="CT123" s="66">
        <f>+IF($W123="","",ROUND(IF($B123&gt;Parámetros!$D$107,'Tablas Servicio'!CR123+('Tablas Servicio'!CT122-'Tablas Servicio'!CR122),CR123/(1-IF(B123&lt;=10,Parámetros!$D$100,0))),2))</f>
        <v>0</v>
      </c>
      <c r="CU123" s="66">
        <f t="shared" si="185"/>
        <v>0</v>
      </c>
      <c r="CV123" s="66">
        <f t="shared" si="185"/>
        <v>0</v>
      </c>
      <c r="CW123" s="66">
        <f>+IF($W123="","",ROUND((CT123*Parámetros!$G$85),2))</f>
        <v>0</v>
      </c>
      <c r="CX123" s="66">
        <f>+IF($W123="","",ROUND((CT123*(Parámetros!$G$86)),2))</f>
        <v>0</v>
      </c>
      <c r="CY123" s="66">
        <f t="shared" si="186"/>
        <v>0</v>
      </c>
      <c r="CZ123" t="str">
        <f t="shared" si="227"/>
        <v>00064</v>
      </c>
      <c r="DA123" s="118" t="str">
        <f t="shared" si="228"/>
        <v>Enfermedades Graves</v>
      </c>
      <c r="DB123" s="118">
        <f t="shared" si="229"/>
        <v>0</v>
      </c>
      <c r="DC123" s="118" t="str">
        <f t="shared" si="230"/>
        <v>A</v>
      </c>
      <c r="DD123" s="121" t="str">
        <f>+IF(OR($W123="",DB123=0),"",ROUND((VLOOKUP(ROUNDDOWN($D123-1/frec,0),cob_adi,CO$40,FALSE)*(1+i/frec)^-0.5*(1+Parámetros!$D$103)*(1+rec_fracc)/frec),6))</f>
        <v/>
      </c>
      <c r="DE123" s="66">
        <f t="shared" si="187"/>
        <v>0</v>
      </c>
      <c r="DF123" s="119" t="str">
        <f t="shared" si="188"/>
        <v/>
      </c>
      <c r="DG123" s="66">
        <f>+IF($W123="","",ROUND(IF($B123&gt;Parámetros!$D$107,'Tablas Servicio'!DE123+('Tablas Servicio'!DG122-'Tablas Servicio'!DE122),DE123/(1-IF(B123&lt;=10,Parámetros!$D$100,0))),2))</f>
        <v>0</v>
      </c>
      <c r="DH123" s="66">
        <f t="shared" si="189"/>
        <v>0</v>
      </c>
      <c r="DI123" s="66">
        <f t="shared" si="189"/>
        <v>0</v>
      </c>
      <c r="DJ123" s="66">
        <f>+IF($W123="","",ROUND((DG123*Parámetros!$G$85),2))</f>
        <v>0</v>
      </c>
      <c r="DK123" s="66">
        <f>+IF($W123="","",ROUND((DG123*(Parámetros!$G$86)),2))</f>
        <v>0</v>
      </c>
      <c r="DL123" s="66">
        <f t="shared" si="190"/>
        <v>0</v>
      </c>
      <c r="DM123" t="str">
        <f t="shared" si="231"/>
        <v>00065</v>
      </c>
      <c r="DN123" s="118" t="str">
        <f t="shared" si="232"/>
        <v>Exención pago de primas</v>
      </c>
      <c r="DO123" s="118">
        <f t="shared" si="233"/>
        <v>0</v>
      </c>
      <c r="DP123" s="118" t="str">
        <f t="shared" si="234"/>
        <v>A</v>
      </c>
      <c r="DQ123" s="122" t="str">
        <f>+IF(OR($W123="",DO123=0),"",ROUND((VLOOKUP(ROUNDDOWN($D123-1/frec,0),cob_adi,DB$40,FALSE)*(1+i/frec)^-0.5*(1+Parámetros!$D$103)*(1+rec_fracc)/frec),6))</f>
        <v/>
      </c>
      <c r="DR123" s="66">
        <f t="shared" si="191"/>
        <v>0</v>
      </c>
      <c r="DS123" s="68" t="str">
        <f t="shared" si="192"/>
        <v/>
      </c>
      <c r="DT123" s="66">
        <f>+IF($W123="","",ROUND(IF($B123&gt;Parámetros!$D$107,'Tablas Servicio'!DR123+('Tablas Servicio'!DT122-'Tablas Servicio'!DR122),DR123/(1-IF(B123&lt;=10,Parámetros!$D$100,0))),2))</f>
        <v>0</v>
      </c>
      <c r="DU123" s="66">
        <f t="shared" si="193"/>
        <v>0</v>
      </c>
      <c r="DV123" s="66">
        <f t="shared" si="193"/>
        <v>0</v>
      </c>
      <c r="DW123" s="66">
        <f>+IF($W123="","",ROUND((DT123*Parámetros!$G$85),2))</f>
        <v>0</v>
      </c>
      <c r="DX123" s="66">
        <f>+IF($W123="","",ROUND((DT123*(Parámetros!$G$86)),2))</f>
        <v>0</v>
      </c>
      <c r="DY123" s="66">
        <f t="shared" si="194"/>
        <v>0</v>
      </c>
      <c r="DZ123" t="str">
        <f t="shared" ref="DZ123:EC138" si="235">+IF($W123="","",DZ122)</f>
        <v>00066</v>
      </c>
      <c r="EA123" s="118" t="str">
        <f t="shared" si="235"/>
        <v>Enfermedad terminal</v>
      </c>
      <c r="EB123" s="118">
        <f>+IF($W123="","",ROUND(IF(Parámetros!$D$25='TABLAS MORT'!$V$33,EB122,Z123/2),0))</f>
        <v>50000</v>
      </c>
      <c r="EC123" s="118" t="str">
        <f t="shared" si="235"/>
        <v>A</v>
      </c>
      <c r="ED123" s="122">
        <f>+IF(OR($W123="",EB123=0),"",ROUND((VLOOKUP(ROUNDDOWN($D123-1/frec,0),cob_adi,DO$40,FALSE)*(1+i/frec)^-0.5*(1+Parámetros!$D$103)*(1+rec_fracc)/frec),6))</f>
        <v>1.2E-5</v>
      </c>
      <c r="EE123" s="66">
        <f t="shared" si="196"/>
        <v>0.6</v>
      </c>
      <c r="EF123" s="68">
        <f t="shared" si="197"/>
        <v>1.4E-5</v>
      </c>
      <c r="EG123" s="66">
        <f>+IF($W123="","",ROUND(IF($B123&gt;Parámetros!$D$107,'Tablas Servicio'!EE123+('Tablas Servicio'!EG122-'Tablas Servicio'!EE122),EE123/(1-IF(B123&lt;=10,Parámetros!$D$100,0))),2))</f>
        <v>0.68</v>
      </c>
      <c r="EH123" s="66">
        <f t="shared" si="198"/>
        <v>0</v>
      </c>
      <c r="EI123" s="66">
        <f t="shared" si="198"/>
        <v>0</v>
      </c>
      <c r="EJ123" s="66">
        <f>+IF($W123="","",ROUND((EG123*Parámetros!$G$85),2))</f>
        <v>0.02</v>
      </c>
      <c r="EK123" s="66">
        <f>+IF($W123="","",ROUND((EG123*(Parámetros!$G$86)),2))</f>
        <v>0</v>
      </c>
      <c r="EL123" s="66">
        <f t="shared" si="199"/>
        <v>0.7</v>
      </c>
    </row>
    <row r="124" spans="1:142" x14ac:dyDescent="0.25">
      <c r="A124">
        <f>+IF($C124="","",ROUND(VLOOKUP('Tablas Servicio'!B124,Parámetros!$H$100:$J$159,IF(Parámetros!$E$16="F",2,3),FALSE),2))</f>
        <v>150</v>
      </c>
      <c r="B124">
        <f t="shared" si="150"/>
        <v>7</v>
      </c>
      <c r="C124" s="57">
        <f>+IF(D124="","",'Tablas Servicio'!C123+1)</f>
        <v>83</v>
      </c>
      <c r="D124" s="56">
        <f>+IF(D123&lt;edadmaxtabla,D123+1/Parámetros!$E$25,"")</f>
        <v>46.936666666666866</v>
      </c>
      <c r="E124" s="57">
        <f t="shared" si="160"/>
        <v>46</v>
      </c>
      <c r="F124" s="59">
        <f t="shared" si="161"/>
        <v>100000</v>
      </c>
      <c r="G124" s="66">
        <f t="shared" si="151"/>
        <v>33.96</v>
      </c>
      <c r="H124" s="66">
        <f t="shared" si="152"/>
        <v>35.31</v>
      </c>
      <c r="I124" s="66">
        <f t="shared" si="200"/>
        <v>51.68</v>
      </c>
      <c r="J124" s="66">
        <f t="shared" si="153"/>
        <v>1.18</v>
      </c>
      <c r="K124" s="66">
        <f t="shared" si="154"/>
        <v>0.17</v>
      </c>
      <c r="L124" s="66">
        <f t="shared" si="155"/>
        <v>0</v>
      </c>
      <c r="M124" s="66">
        <f t="shared" si="156"/>
        <v>0</v>
      </c>
      <c r="N124" s="66">
        <f>+IF(C124="","",ROUND(Parámetros!$D$23,2))</f>
        <v>94</v>
      </c>
      <c r="O124" s="66">
        <f t="shared" si="157"/>
        <v>17.5</v>
      </c>
      <c r="P124" s="66">
        <f>+IF($C124="","",ROUND(IF(B124&gt;Parámetros!$D$117,0,N124*Parámetros!$D$116-G124*Parámetros!$D$100),2))</f>
        <v>7.01</v>
      </c>
      <c r="Q124" s="75">
        <f t="shared" si="201"/>
        <v>3.4746760895170786E-2</v>
      </c>
      <c r="R124" s="75">
        <f t="shared" si="202"/>
        <v>5.0058892815076561E-3</v>
      </c>
      <c r="S124" s="117">
        <f>+IF($C124="","",ROUND((S123+I124)*(1+Parámetros!$D$91),2))</f>
        <v>5305.43</v>
      </c>
      <c r="T124" s="117">
        <f>+IF($C124="","",ROUND(S124*VLOOKUP(B124,Parámetros!$C$30:$D$39,2,TRUE),2))</f>
        <v>3979.07</v>
      </c>
      <c r="U124" s="117">
        <f>+IF($C124="","",ROUND((U123+I124)*(1+Parámetros!$D$92),2))</f>
        <v>5403.17</v>
      </c>
      <c r="V124" s="117">
        <f>+IF($C124="","",ROUND(U124*VLOOKUP(B124,Parámetros!$C$30:$D$39,2,TRUE),2))</f>
        <v>4052.38</v>
      </c>
      <c r="W124" s="57">
        <f t="shared" si="203"/>
        <v>83</v>
      </c>
      <c r="X124" t="str">
        <f t="shared" si="204"/>
        <v>00058</v>
      </c>
      <c r="Y124" t="str">
        <f t="shared" si="205"/>
        <v>MUERTE POR CUALQUIER CAUSA</v>
      </c>
      <c r="Z124" s="118">
        <f>+IF($W124="","",ROUND(IF(Parámetros!$D$25='TABLAS MORT'!$V$33,Z123,Parámetros!$D$21-'Tablas Servicio'!T123),0))</f>
        <v>100000</v>
      </c>
      <c r="AA124" s="118" t="str">
        <f t="shared" si="206"/>
        <v>P</v>
      </c>
      <c r="AB124" s="119">
        <f>+IF(W124="","",ROUND((VLOOKUP(ROUNDDOWN($D124-1/frec,0),qx_tabla,2,FALSE)*(1+i/frec)^-0.5*(1+Parámetros!$D$103)*(1+rec_fracc)/frec),6))</f>
        <v>1.6899999999999999E-4</v>
      </c>
      <c r="AC124" s="66">
        <f t="shared" si="162"/>
        <v>16.899999999999999</v>
      </c>
      <c r="AD124" s="119">
        <f t="shared" si="158"/>
        <v>3.3300000000000002E-4</v>
      </c>
      <c r="AE124" s="66">
        <f>+IF($W124="","",ROUND(IF($B124&gt;Parámetros!$D$107,'Tablas Servicio'!AC124+('Tablas Servicio'!AG123-'Tablas Servicio'!AC123),AC124/(1-IF(B124&lt;=10,Parámetros!$D$104,Parámetros!$D$105))),2))</f>
        <v>34.97</v>
      </c>
      <c r="AF124" s="66">
        <f>+IF($W124="","",ROUND(IF($B124&gt;Parámetros!$D$107,'Tablas Servicio'!AC124+('Tablas Servicio'!AG123-'Tablas Servicio'!AC123),(AC124+$A123/frec)/(1-IF(B124&lt;=Parámetros!$D$117,Parámetros!$D$100,0))),2))</f>
        <v>33.28</v>
      </c>
      <c r="AG124" s="66">
        <f t="shared" si="163"/>
        <v>33.28</v>
      </c>
      <c r="AH124" s="66">
        <f t="shared" si="164"/>
        <v>0</v>
      </c>
      <c r="AI124" s="66">
        <f t="shared" si="165"/>
        <v>0</v>
      </c>
      <c r="AJ124" s="66">
        <f>+IF($W124="","",ROUND((AG124*Parámetros!$G$85),2))</f>
        <v>1.1599999999999999</v>
      </c>
      <c r="AK124" s="66">
        <f>+IF($W124="","",ROUND((AG124*(Parámetros!$G$86)),2))</f>
        <v>0.17</v>
      </c>
      <c r="AL124" s="66">
        <f t="shared" si="159"/>
        <v>34.61</v>
      </c>
      <c r="AM124" t="str">
        <f t="shared" si="207"/>
        <v>00059</v>
      </c>
      <c r="AN124" t="str">
        <f t="shared" si="208"/>
        <v>Incapacidad Total y Permanente</v>
      </c>
      <c r="AO124" s="118">
        <f t="shared" si="209"/>
        <v>0</v>
      </c>
      <c r="AP124" s="118" t="str">
        <f t="shared" si="210"/>
        <v>A</v>
      </c>
      <c r="AQ124" s="119" t="str">
        <f>+IF(OR($W124="",AO124=0),"",ROUND((VLOOKUP(ROUNDDOWN($D124-1/frec,0),cob_adi,Z$40,FALSE)*(1+i/frec)^-0.5*(1+Parámetros!$D$103)*(1+rec_fracc)/frec),6))</f>
        <v/>
      </c>
      <c r="AR124" s="66">
        <f t="shared" si="166"/>
        <v>0</v>
      </c>
      <c r="AS124" s="119" t="str">
        <f t="shared" si="167"/>
        <v/>
      </c>
      <c r="AT124" s="66">
        <f>+IF($W124="","",ROUND(IF($B124&gt;Parámetros!$D$107,'Tablas Servicio'!AR124+('Tablas Servicio'!AT123-'Tablas Servicio'!AR123),AR124/(1-IF(B124&lt;=10,Parámetros!$D$100,0))),2))</f>
        <v>0</v>
      </c>
      <c r="AU124" s="66">
        <f t="shared" si="168"/>
        <v>0</v>
      </c>
      <c r="AV124" s="66">
        <f t="shared" si="168"/>
        <v>0</v>
      </c>
      <c r="AW124" s="66">
        <f>+IF($W124="","",ROUND((AT124*Parámetros!$G$85),2))</f>
        <v>0</v>
      </c>
      <c r="AX124" s="66">
        <f>+IF($W124="","",ROUND((AT124*(Parámetros!$G$86)),2))</f>
        <v>0</v>
      </c>
      <c r="AY124" s="66">
        <f t="shared" si="169"/>
        <v>0</v>
      </c>
      <c r="AZ124" t="str">
        <f t="shared" si="211"/>
        <v>00060</v>
      </c>
      <c r="BA124" t="str">
        <f t="shared" si="212"/>
        <v>Muerte Accidental</v>
      </c>
      <c r="BB124" s="118">
        <f t="shared" si="213"/>
        <v>0</v>
      </c>
      <c r="BC124" s="118" t="str">
        <f t="shared" si="214"/>
        <v>A</v>
      </c>
      <c r="BD124" s="119" t="str">
        <f>+IF(OR($W124="",BB124=0),"",ROUND((VLOOKUP(ROUNDDOWN($D124-1/frec,0),cob_adi,AO$40,FALSE)*(1+i/frec)^-0.5*(1+Parámetros!$D$103)*(1+rec_fracc)/frec),6))</f>
        <v/>
      </c>
      <c r="BE124" s="66">
        <f t="shared" si="170"/>
        <v>0</v>
      </c>
      <c r="BF124" s="119" t="str">
        <f t="shared" si="171"/>
        <v/>
      </c>
      <c r="BG124" s="66">
        <f>+IF($W124="","",ROUND(IF($B124&gt;Parámetros!$D$107,'Tablas Servicio'!BE124+('Tablas Servicio'!BG123-'Tablas Servicio'!BE123),BE124/(1-IF(B124&lt;=10,Parámetros!$D$100,0))),2))</f>
        <v>0</v>
      </c>
      <c r="BH124" s="66">
        <f t="shared" si="172"/>
        <v>0</v>
      </c>
      <c r="BI124" s="66">
        <f t="shared" si="173"/>
        <v>0</v>
      </c>
      <c r="BJ124" s="66">
        <f>+IF($W124="","",ROUND((BG124*Parámetros!$G$85),2))</f>
        <v>0</v>
      </c>
      <c r="BK124" s="66">
        <f>+IF($W124="","",ROUND((BG124*(Parámetros!$G$86)),2))</f>
        <v>0</v>
      </c>
      <c r="BL124" s="66">
        <f t="shared" si="174"/>
        <v>0</v>
      </c>
      <c r="BM124" t="str">
        <f t="shared" si="215"/>
        <v>00061</v>
      </c>
      <c r="BN124" t="str">
        <f t="shared" si="216"/>
        <v>Gastos de Entierro</v>
      </c>
      <c r="BO124" s="118">
        <f t="shared" si="217"/>
        <v>0</v>
      </c>
      <c r="BP124" s="118" t="str">
        <f t="shared" si="218"/>
        <v>A</v>
      </c>
      <c r="BQ124" s="119" t="str">
        <f>+IF(OR($W124="",BO124=0),"",ROUND((VLOOKUP(ROUNDDOWN($D124-1/frec,0),cob_adi,BB$40,FALSE)*(1+i/frec)^-0.5*(1+Parámetros!$D$103)*(1+rec_fracc)/frec),6))</f>
        <v/>
      </c>
      <c r="BR124" s="66">
        <f t="shared" si="175"/>
        <v>0</v>
      </c>
      <c r="BS124" s="119" t="str">
        <f t="shared" si="176"/>
        <v/>
      </c>
      <c r="BT124" s="66">
        <f>+IF($W124="","",ROUND(IF($B124&gt;Parámetros!$D$107,'Tablas Servicio'!BR124+('Tablas Servicio'!BT123-'Tablas Servicio'!BR123),BR124/(1-IF(B124&lt;=10,Parámetros!$D$100,0))),2))</f>
        <v>0</v>
      </c>
      <c r="BU124" s="66">
        <f t="shared" si="177"/>
        <v>0</v>
      </c>
      <c r="BV124" s="66">
        <f t="shared" si="177"/>
        <v>0</v>
      </c>
      <c r="BW124" s="66">
        <f>+IF($W124="","",ROUND((BT124*Parámetros!$G$85),2))</f>
        <v>0</v>
      </c>
      <c r="BX124" s="66">
        <f>+IF($W124="","",ROUND((BT124*(Parámetros!$G$86)),2))</f>
        <v>0</v>
      </c>
      <c r="BY124" s="66">
        <f t="shared" si="178"/>
        <v>0</v>
      </c>
      <c r="BZ124" t="str">
        <f t="shared" si="219"/>
        <v>00062</v>
      </c>
      <c r="CA124" t="str">
        <f t="shared" si="220"/>
        <v>Gastos médicos por accidente</v>
      </c>
      <c r="CB124" s="118">
        <f t="shared" si="221"/>
        <v>0</v>
      </c>
      <c r="CC124" s="118" t="str">
        <f t="shared" si="222"/>
        <v>A</v>
      </c>
      <c r="CD124" s="119" t="str">
        <f t="shared" si="179"/>
        <v/>
      </c>
      <c r="CE124" s="66">
        <f>+IF($W124="","",ROUND((VLOOKUP(ROUNDDOWN($D124-1/frec,0),cob_adi,BO$40,FALSE)*(1+i/frec)^-0.5*(1+Parámetros!$D$103)*(1+rec_fracc)/frec*'TABLAS ADI'!$BC$17),2))</f>
        <v>0</v>
      </c>
      <c r="CF124" s="119" t="str">
        <f t="shared" si="180"/>
        <v/>
      </c>
      <c r="CG124" s="66">
        <f>+IF($W124="","",ROUND(IF($B124&gt;Parámetros!$D$107,'Tablas Servicio'!CE124+('Tablas Servicio'!CG123-'Tablas Servicio'!CE123),CE124/(1-IF(B124&lt;=10,Parámetros!$D$100,0))),2))</f>
        <v>0</v>
      </c>
      <c r="CH124" s="66">
        <f t="shared" si="181"/>
        <v>0</v>
      </c>
      <c r="CI124" s="66">
        <f t="shared" si="181"/>
        <v>0</v>
      </c>
      <c r="CJ124" s="66">
        <f>+IF($W124="","",ROUND((CG124*Parámetros!$G$85),2))</f>
        <v>0</v>
      </c>
      <c r="CK124" s="66">
        <f>+IF($W124="","",ROUND((CG124*(Parámetros!$G$86)),2))</f>
        <v>0</v>
      </c>
      <c r="CL124" s="66">
        <f t="shared" si="182"/>
        <v>0</v>
      </c>
      <c r="CM124" t="str">
        <f t="shared" si="223"/>
        <v>00063</v>
      </c>
      <c r="CN124" s="118" t="str">
        <f t="shared" si="224"/>
        <v>Renta Diaria por Hospitalización</v>
      </c>
      <c r="CO124" s="118">
        <f t="shared" si="225"/>
        <v>0</v>
      </c>
      <c r="CP124" s="118" t="str">
        <f t="shared" si="226"/>
        <v>A</v>
      </c>
      <c r="CQ124" s="119" t="str">
        <f t="shared" si="183"/>
        <v/>
      </c>
      <c r="CR124" s="66">
        <f>+IF($W124="","",ROUND((VLOOKUP(Parámetros!$F$51,'COBERTURAS ADICIONALES'!$S$4:$T$32,2,FALSE)*(1+i/frec)^-0.5*(1+Parámetros!$D$103)*(1+rec_fracc)/frec*$CO$42),2))</f>
        <v>0</v>
      </c>
      <c r="CS124" s="119" t="str">
        <f t="shared" si="184"/>
        <v/>
      </c>
      <c r="CT124" s="66">
        <f>+IF($W124="","",ROUND(IF($B124&gt;Parámetros!$D$107,'Tablas Servicio'!CR124+('Tablas Servicio'!CT123-'Tablas Servicio'!CR123),CR124/(1-IF(B124&lt;=10,Parámetros!$D$100,0))),2))</f>
        <v>0</v>
      </c>
      <c r="CU124" s="66">
        <f t="shared" si="185"/>
        <v>0</v>
      </c>
      <c r="CV124" s="66">
        <f t="shared" si="185"/>
        <v>0</v>
      </c>
      <c r="CW124" s="66">
        <f>+IF($W124="","",ROUND((CT124*Parámetros!$G$85),2))</f>
        <v>0</v>
      </c>
      <c r="CX124" s="66">
        <f>+IF($W124="","",ROUND((CT124*(Parámetros!$G$86)),2))</f>
        <v>0</v>
      </c>
      <c r="CY124" s="66">
        <f t="shared" si="186"/>
        <v>0</v>
      </c>
      <c r="CZ124" t="str">
        <f t="shared" si="227"/>
        <v>00064</v>
      </c>
      <c r="DA124" s="118" t="str">
        <f t="shared" si="228"/>
        <v>Enfermedades Graves</v>
      </c>
      <c r="DB124" s="118">
        <f t="shared" si="229"/>
        <v>0</v>
      </c>
      <c r="DC124" s="118" t="str">
        <f t="shared" si="230"/>
        <v>A</v>
      </c>
      <c r="DD124" s="121" t="str">
        <f>+IF(OR($W124="",DB124=0),"",ROUND((VLOOKUP(ROUNDDOWN($D124-1/frec,0),cob_adi,CO$40,FALSE)*(1+i/frec)^-0.5*(1+Parámetros!$D$103)*(1+rec_fracc)/frec),6))</f>
        <v/>
      </c>
      <c r="DE124" s="66">
        <f t="shared" si="187"/>
        <v>0</v>
      </c>
      <c r="DF124" s="119" t="str">
        <f t="shared" si="188"/>
        <v/>
      </c>
      <c r="DG124" s="66">
        <f>+IF($W124="","",ROUND(IF($B124&gt;Parámetros!$D$107,'Tablas Servicio'!DE124+('Tablas Servicio'!DG123-'Tablas Servicio'!DE123),DE124/(1-IF(B124&lt;=10,Parámetros!$D$100,0))),2))</f>
        <v>0</v>
      </c>
      <c r="DH124" s="66">
        <f t="shared" si="189"/>
        <v>0</v>
      </c>
      <c r="DI124" s="66">
        <f t="shared" si="189"/>
        <v>0</v>
      </c>
      <c r="DJ124" s="66">
        <f>+IF($W124="","",ROUND((DG124*Parámetros!$G$85),2))</f>
        <v>0</v>
      </c>
      <c r="DK124" s="66">
        <f>+IF($W124="","",ROUND((DG124*(Parámetros!$G$86)),2))</f>
        <v>0</v>
      </c>
      <c r="DL124" s="66">
        <f t="shared" si="190"/>
        <v>0</v>
      </c>
      <c r="DM124" t="str">
        <f t="shared" si="231"/>
        <v>00065</v>
      </c>
      <c r="DN124" s="118" t="str">
        <f t="shared" si="232"/>
        <v>Exención pago de primas</v>
      </c>
      <c r="DO124" s="118">
        <f t="shared" si="233"/>
        <v>0</v>
      </c>
      <c r="DP124" s="118" t="str">
        <f t="shared" si="234"/>
        <v>A</v>
      </c>
      <c r="DQ124" s="122" t="str">
        <f>+IF(OR($W124="",DO124=0),"",ROUND((VLOOKUP(ROUNDDOWN($D124-1/frec,0),cob_adi,DB$40,FALSE)*(1+i/frec)^-0.5*(1+Parámetros!$D$103)*(1+rec_fracc)/frec),6))</f>
        <v/>
      </c>
      <c r="DR124" s="66">
        <f t="shared" si="191"/>
        <v>0</v>
      </c>
      <c r="DS124" s="68" t="str">
        <f t="shared" si="192"/>
        <v/>
      </c>
      <c r="DT124" s="66">
        <f>+IF($W124="","",ROUND(IF($B124&gt;Parámetros!$D$107,'Tablas Servicio'!DR124+('Tablas Servicio'!DT123-'Tablas Servicio'!DR123),DR124/(1-IF(B124&lt;=10,Parámetros!$D$100,0))),2))</f>
        <v>0</v>
      </c>
      <c r="DU124" s="66">
        <f t="shared" si="193"/>
        <v>0</v>
      </c>
      <c r="DV124" s="66">
        <f t="shared" si="193"/>
        <v>0</v>
      </c>
      <c r="DW124" s="66">
        <f>+IF($W124="","",ROUND((DT124*Parámetros!$G$85),2))</f>
        <v>0</v>
      </c>
      <c r="DX124" s="66">
        <f>+IF($W124="","",ROUND((DT124*(Parámetros!$G$86)),2))</f>
        <v>0</v>
      </c>
      <c r="DY124" s="66">
        <f t="shared" si="194"/>
        <v>0</v>
      </c>
      <c r="DZ124" t="str">
        <f t="shared" si="235"/>
        <v>00066</v>
      </c>
      <c r="EA124" s="118" t="str">
        <f t="shared" si="235"/>
        <v>Enfermedad terminal</v>
      </c>
      <c r="EB124" s="118">
        <f>+IF($W124="","",ROUND(IF(Parámetros!$D$25='TABLAS MORT'!$V$33,EB123,Z124/2),0))</f>
        <v>50000</v>
      </c>
      <c r="EC124" s="118" t="str">
        <f t="shared" si="235"/>
        <v>A</v>
      </c>
      <c r="ED124" s="122">
        <f>+IF(OR($W124="",EB124=0),"",ROUND((VLOOKUP(ROUNDDOWN($D124-1/frec,0),cob_adi,DO$40,FALSE)*(1+i/frec)^-0.5*(1+Parámetros!$D$103)*(1+rec_fracc)/frec),6))</f>
        <v>1.2E-5</v>
      </c>
      <c r="EE124" s="66">
        <f t="shared" si="196"/>
        <v>0.6</v>
      </c>
      <c r="EF124" s="68">
        <f t="shared" si="197"/>
        <v>1.4E-5</v>
      </c>
      <c r="EG124" s="66">
        <f>+IF($W124="","",ROUND(IF($B124&gt;Parámetros!$D$107,'Tablas Servicio'!EE124+('Tablas Servicio'!EG123-'Tablas Servicio'!EE123),EE124/(1-IF(B124&lt;=10,Parámetros!$D$100,0))),2))</f>
        <v>0.68</v>
      </c>
      <c r="EH124" s="66">
        <f t="shared" si="198"/>
        <v>0</v>
      </c>
      <c r="EI124" s="66">
        <f t="shared" si="198"/>
        <v>0</v>
      </c>
      <c r="EJ124" s="66">
        <f>+IF($W124="","",ROUND((EG124*Parámetros!$G$85),2))</f>
        <v>0.02</v>
      </c>
      <c r="EK124" s="66">
        <f>+IF($W124="","",ROUND((EG124*(Parámetros!$G$86)),2))</f>
        <v>0</v>
      </c>
      <c r="EL124" s="66">
        <f t="shared" si="199"/>
        <v>0.7</v>
      </c>
    </row>
    <row r="125" spans="1:142" x14ac:dyDescent="0.25">
      <c r="A125">
        <f>+IF($C125="","",ROUND(VLOOKUP('Tablas Servicio'!B125,Parámetros!$H$100:$J$159,IF(Parámetros!$E$16="F",2,3),FALSE),2))</f>
        <v>150</v>
      </c>
      <c r="B125">
        <f t="shared" si="150"/>
        <v>7</v>
      </c>
      <c r="C125" s="57">
        <f>+IF(D125="","",'Tablas Servicio'!C124+1)</f>
        <v>84</v>
      </c>
      <c r="D125" s="56">
        <f>+IF(D124&lt;edadmaxtabla,D124+1/Parámetros!$E$25,"")</f>
        <v>47.020000000000202</v>
      </c>
      <c r="E125" s="57">
        <f t="shared" si="160"/>
        <v>47</v>
      </c>
      <c r="F125" s="59">
        <f t="shared" si="161"/>
        <v>100000</v>
      </c>
      <c r="G125" s="66">
        <f t="shared" si="151"/>
        <v>33.96</v>
      </c>
      <c r="H125" s="66">
        <f t="shared" si="152"/>
        <v>35.31</v>
      </c>
      <c r="I125" s="66">
        <f t="shared" si="200"/>
        <v>51.68</v>
      </c>
      <c r="J125" s="66">
        <f t="shared" si="153"/>
        <v>1.18</v>
      </c>
      <c r="K125" s="66">
        <f t="shared" si="154"/>
        <v>0.17</v>
      </c>
      <c r="L125" s="66">
        <f t="shared" si="155"/>
        <v>0</v>
      </c>
      <c r="M125" s="66">
        <f t="shared" si="156"/>
        <v>0</v>
      </c>
      <c r="N125" s="66">
        <f>+IF(C125="","",ROUND(Parámetros!$D$23,2))</f>
        <v>94</v>
      </c>
      <c r="O125" s="66">
        <f t="shared" si="157"/>
        <v>17.5</v>
      </c>
      <c r="P125" s="66">
        <f>+IF($C125="","",ROUND(IF(B125&gt;Parámetros!$D$117,0,N125*Parámetros!$D$116-G125*Parámetros!$D$100),2))</f>
        <v>7.01</v>
      </c>
      <c r="Q125" s="75">
        <f t="shared" si="201"/>
        <v>3.4746760895170786E-2</v>
      </c>
      <c r="R125" s="75">
        <f t="shared" si="202"/>
        <v>5.0058892815076561E-3</v>
      </c>
      <c r="S125" s="117">
        <f>+IF($C125="","",ROUND((S124+I125)*(1+Parámetros!$D$91),2))</f>
        <v>5372.31</v>
      </c>
      <c r="T125" s="117">
        <f>+IF($C125="","",ROUND(S125*VLOOKUP(B125,Parámetros!$C$30:$D$39,2,TRUE),2))</f>
        <v>4029.23</v>
      </c>
      <c r="U125" s="117">
        <f>+IF($C125="","",ROUND((U124+I125)*(1+Parámetros!$D$92),2))</f>
        <v>5472.53</v>
      </c>
      <c r="V125" s="117">
        <f>+IF($C125="","",ROUND(U125*VLOOKUP(B125,Parámetros!$C$30:$D$39,2,TRUE),2))</f>
        <v>4104.3999999999996</v>
      </c>
      <c r="W125" s="57">
        <f t="shared" si="203"/>
        <v>84</v>
      </c>
      <c r="X125" t="str">
        <f t="shared" si="204"/>
        <v>00058</v>
      </c>
      <c r="Y125" t="str">
        <f t="shared" si="205"/>
        <v>MUERTE POR CUALQUIER CAUSA</v>
      </c>
      <c r="Z125" s="118">
        <f>+IF($W125="","",ROUND(IF(Parámetros!$D$25='TABLAS MORT'!$V$33,Z124,Parámetros!$D$21-'Tablas Servicio'!T124),0))</f>
        <v>100000</v>
      </c>
      <c r="AA125" s="118" t="str">
        <f t="shared" si="206"/>
        <v>P</v>
      </c>
      <c r="AB125" s="119">
        <f>+IF(W125="","",ROUND((VLOOKUP(ROUNDDOWN($D125-1/frec,0),qx_tabla,2,FALSE)*(1+i/frec)^-0.5*(1+Parámetros!$D$103)*(1+rec_fracc)/frec),6))</f>
        <v>1.6899999999999999E-4</v>
      </c>
      <c r="AC125" s="66">
        <f t="shared" si="162"/>
        <v>16.899999999999999</v>
      </c>
      <c r="AD125" s="119">
        <f t="shared" si="158"/>
        <v>3.3300000000000002E-4</v>
      </c>
      <c r="AE125" s="66">
        <f>+IF($W125="","",ROUND(IF($B125&gt;Parámetros!$D$107,'Tablas Servicio'!AC125+('Tablas Servicio'!AG124-'Tablas Servicio'!AC124),AC125/(1-IF(B125&lt;=10,Parámetros!$D$104,Parámetros!$D$105))),2))</f>
        <v>34.97</v>
      </c>
      <c r="AF125" s="66">
        <f>+IF($W125="","",ROUND(IF($B125&gt;Parámetros!$D$107,'Tablas Servicio'!AC125+('Tablas Servicio'!AG124-'Tablas Servicio'!AC124),(AC125+$A124/frec)/(1-IF(B125&lt;=Parámetros!$D$117,Parámetros!$D$100,0))),2))</f>
        <v>33.28</v>
      </c>
      <c r="AG125" s="66">
        <f t="shared" si="163"/>
        <v>33.28</v>
      </c>
      <c r="AH125" s="66">
        <f t="shared" si="164"/>
        <v>0</v>
      </c>
      <c r="AI125" s="66">
        <f t="shared" si="165"/>
        <v>0</v>
      </c>
      <c r="AJ125" s="66">
        <f>+IF($W125="","",ROUND((AG125*Parámetros!$G$85),2))</f>
        <v>1.1599999999999999</v>
      </c>
      <c r="AK125" s="66">
        <f>+IF($W125="","",ROUND((AG125*(Parámetros!$G$86)),2))</f>
        <v>0.17</v>
      </c>
      <c r="AL125" s="66">
        <f t="shared" si="159"/>
        <v>34.61</v>
      </c>
      <c r="AM125" t="str">
        <f t="shared" si="207"/>
        <v>00059</v>
      </c>
      <c r="AN125" t="str">
        <f t="shared" si="208"/>
        <v>Incapacidad Total y Permanente</v>
      </c>
      <c r="AO125" s="118">
        <f t="shared" si="209"/>
        <v>0</v>
      </c>
      <c r="AP125" s="118" t="str">
        <f t="shared" si="210"/>
        <v>A</v>
      </c>
      <c r="AQ125" s="119" t="str">
        <f>+IF(OR($W125="",AO125=0),"",ROUND((VLOOKUP(ROUNDDOWN($D125-1/frec,0),cob_adi,Z$40,FALSE)*(1+i/frec)^-0.5*(1+Parámetros!$D$103)*(1+rec_fracc)/frec),6))</f>
        <v/>
      </c>
      <c r="AR125" s="66">
        <f t="shared" si="166"/>
        <v>0</v>
      </c>
      <c r="AS125" s="119" t="str">
        <f t="shared" si="167"/>
        <v/>
      </c>
      <c r="AT125" s="66">
        <f>+IF($W125="","",ROUND(IF($B125&gt;Parámetros!$D$107,'Tablas Servicio'!AR125+('Tablas Servicio'!AT124-'Tablas Servicio'!AR124),AR125/(1-IF(B125&lt;=10,Parámetros!$D$100,0))),2))</f>
        <v>0</v>
      </c>
      <c r="AU125" s="66">
        <f t="shared" si="168"/>
        <v>0</v>
      </c>
      <c r="AV125" s="66">
        <f t="shared" si="168"/>
        <v>0</v>
      </c>
      <c r="AW125" s="66">
        <f>+IF($W125="","",ROUND((AT125*Parámetros!$G$85),2))</f>
        <v>0</v>
      </c>
      <c r="AX125" s="66">
        <f>+IF($W125="","",ROUND((AT125*(Parámetros!$G$86)),2))</f>
        <v>0</v>
      </c>
      <c r="AY125" s="66">
        <f t="shared" si="169"/>
        <v>0</v>
      </c>
      <c r="AZ125" t="str">
        <f t="shared" si="211"/>
        <v>00060</v>
      </c>
      <c r="BA125" t="str">
        <f t="shared" si="212"/>
        <v>Muerte Accidental</v>
      </c>
      <c r="BB125" s="118">
        <f t="shared" si="213"/>
        <v>0</v>
      </c>
      <c r="BC125" s="118" t="str">
        <f t="shared" si="214"/>
        <v>A</v>
      </c>
      <c r="BD125" s="119" t="str">
        <f>+IF(OR($W125="",BB125=0),"",ROUND((VLOOKUP(ROUNDDOWN($D125-1/frec,0),cob_adi,AO$40,FALSE)*(1+i/frec)^-0.5*(1+Parámetros!$D$103)*(1+rec_fracc)/frec),6))</f>
        <v/>
      </c>
      <c r="BE125" s="66">
        <f t="shared" si="170"/>
        <v>0</v>
      </c>
      <c r="BF125" s="119" t="str">
        <f t="shared" si="171"/>
        <v/>
      </c>
      <c r="BG125" s="66">
        <f>+IF($W125="","",ROUND(IF($B125&gt;Parámetros!$D$107,'Tablas Servicio'!BE125+('Tablas Servicio'!BG124-'Tablas Servicio'!BE124),BE125/(1-IF(B125&lt;=10,Parámetros!$D$100,0))),2))</f>
        <v>0</v>
      </c>
      <c r="BH125" s="66">
        <f t="shared" si="172"/>
        <v>0</v>
      </c>
      <c r="BI125" s="66">
        <f t="shared" si="173"/>
        <v>0</v>
      </c>
      <c r="BJ125" s="66">
        <f>+IF($W125="","",ROUND((BG125*Parámetros!$G$85),2))</f>
        <v>0</v>
      </c>
      <c r="BK125" s="66">
        <f>+IF($W125="","",ROUND((BG125*(Parámetros!$G$86)),2))</f>
        <v>0</v>
      </c>
      <c r="BL125" s="66">
        <f t="shared" si="174"/>
        <v>0</v>
      </c>
      <c r="BM125" t="str">
        <f t="shared" si="215"/>
        <v>00061</v>
      </c>
      <c r="BN125" t="str">
        <f t="shared" si="216"/>
        <v>Gastos de Entierro</v>
      </c>
      <c r="BO125" s="118">
        <f t="shared" si="217"/>
        <v>0</v>
      </c>
      <c r="BP125" s="118" t="str">
        <f t="shared" si="218"/>
        <v>A</v>
      </c>
      <c r="BQ125" s="119" t="str">
        <f>+IF(OR($W125="",BO125=0),"",ROUND((VLOOKUP(ROUNDDOWN($D125-1/frec,0),cob_adi,BB$40,FALSE)*(1+i/frec)^-0.5*(1+Parámetros!$D$103)*(1+rec_fracc)/frec),6))</f>
        <v/>
      </c>
      <c r="BR125" s="66">
        <f t="shared" si="175"/>
        <v>0</v>
      </c>
      <c r="BS125" s="119" t="str">
        <f t="shared" si="176"/>
        <v/>
      </c>
      <c r="BT125" s="66">
        <f>+IF($W125="","",ROUND(IF($B125&gt;Parámetros!$D$107,'Tablas Servicio'!BR125+('Tablas Servicio'!BT124-'Tablas Servicio'!BR124),BR125/(1-IF(B125&lt;=10,Parámetros!$D$100,0))),2))</f>
        <v>0</v>
      </c>
      <c r="BU125" s="66">
        <f t="shared" si="177"/>
        <v>0</v>
      </c>
      <c r="BV125" s="66">
        <f t="shared" si="177"/>
        <v>0</v>
      </c>
      <c r="BW125" s="66">
        <f>+IF($W125="","",ROUND((BT125*Parámetros!$G$85),2))</f>
        <v>0</v>
      </c>
      <c r="BX125" s="66">
        <f>+IF($W125="","",ROUND((BT125*(Parámetros!$G$86)),2))</f>
        <v>0</v>
      </c>
      <c r="BY125" s="66">
        <f t="shared" si="178"/>
        <v>0</v>
      </c>
      <c r="BZ125" t="str">
        <f t="shared" si="219"/>
        <v>00062</v>
      </c>
      <c r="CA125" t="str">
        <f t="shared" si="220"/>
        <v>Gastos médicos por accidente</v>
      </c>
      <c r="CB125" s="118">
        <f t="shared" si="221"/>
        <v>0</v>
      </c>
      <c r="CC125" s="118" t="str">
        <f t="shared" si="222"/>
        <v>A</v>
      </c>
      <c r="CD125" s="119" t="str">
        <f t="shared" si="179"/>
        <v/>
      </c>
      <c r="CE125" s="66">
        <f>+IF($W125="","",ROUND((VLOOKUP(ROUNDDOWN($D125-1/frec,0),cob_adi,BO$40,FALSE)*(1+i/frec)^-0.5*(1+Parámetros!$D$103)*(1+rec_fracc)/frec*'TABLAS ADI'!$BC$17),2))</f>
        <v>0</v>
      </c>
      <c r="CF125" s="119" t="str">
        <f t="shared" si="180"/>
        <v/>
      </c>
      <c r="CG125" s="66">
        <f>+IF($W125="","",ROUND(IF($B125&gt;Parámetros!$D$107,'Tablas Servicio'!CE125+('Tablas Servicio'!CG124-'Tablas Servicio'!CE124),CE125/(1-IF(B125&lt;=10,Parámetros!$D$100,0))),2))</f>
        <v>0</v>
      </c>
      <c r="CH125" s="66">
        <f t="shared" si="181"/>
        <v>0</v>
      </c>
      <c r="CI125" s="66">
        <f t="shared" si="181"/>
        <v>0</v>
      </c>
      <c r="CJ125" s="66">
        <f>+IF($W125="","",ROUND((CG125*Parámetros!$G$85),2))</f>
        <v>0</v>
      </c>
      <c r="CK125" s="66">
        <f>+IF($W125="","",ROUND((CG125*(Parámetros!$G$86)),2))</f>
        <v>0</v>
      </c>
      <c r="CL125" s="66">
        <f t="shared" si="182"/>
        <v>0</v>
      </c>
      <c r="CM125" t="str">
        <f t="shared" si="223"/>
        <v>00063</v>
      </c>
      <c r="CN125" s="118" t="str">
        <f t="shared" si="224"/>
        <v>Renta Diaria por Hospitalización</v>
      </c>
      <c r="CO125" s="118">
        <f t="shared" si="225"/>
        <v>0</v>
      </c>
      <c r="CP125" s="118" t="str">
        <f t="shared" si="226"/>
        <v>A</v>
      </c>
      <c r="CQ125" s="119" t="str">
        <f t="shared" si="183"/>
        <v/>
      </c>
      <c r="CR125" s="66">
        <f>+IF($W125="","",ROUND((VLOOKUP(Parámetros!$F$51,'COBERTURAS ADICIONALES'!$S$4:$T$32,2,FALSE)*(1+i/frec)^-0.5*(1+Parámetros!$D$103)*(1+rec_fracc)/frec*$CO$42),2))</f>
        <v>0</v>
      </c>
      <c r="CS125" s="119" t="str">
        <f t="shared" si="184"/>
        <v/>
      </c>
      <c r="CT125" s="66">
        <f>+IF($W125="","",ROUND(IF($B125&gt;Parámetros!$D$107,'Tablas Servicio'!CR125+('Tablas Servicio'!CT124-'Tablas Servicio'!CR124),CR125/(1-IF(B125&lt;=10,Parámetros!$D$100,0))),2))</f>
        <v>0</v>
      </c>
      <c r="CU125" s="66">
        <f t="shared" si="185"/>
        <v>0</v>
      </c>
      <c r="CV125" s="66">
        <f t="shared" si="185"/>
        <v>0</v>
      </c>
      <c r="CW125" s="66">
        <f>+IF($W125="","",ROUND((CT125*Parámetros!$G$85),2))</f>
        <v>0</v>
      </c>
      <c r="CX125" s="66">
        <f>+IF($W125="","",ROUND((CT125*(Parámetros!$G$86)),2))</f>
        <v>0</v>
      </c>
      <c r="CY125" s="66">
        <f t="shared" si="186"/>
        <v>0</v>
      </c>
      <c r="CZ125" t="str">
        <f t="shared" si="227"/>
        <v>00064</v>
      </c>
      <c r="DA125" s="118" t="str">
        <f t="shared" si="228"/>
        <v>Enfermedades Graves</v>
      </c>
      <c r="DB125" s="118">
        <f t="shared" si="229"/>
        <v>0</v>
      </c>
      <c r="DC125" s="118" t="str">
        <f t="shared" si="230"/>
        <v>A</v>
      </c>
      <c r="DD125" s="121" t="str">
        <f>+IF(OR($W125="",DB125=0),"",ROUND((VLOOKUP(ROUNDDOWN($D125-1/frec,0),cob_adi,CO$40,FALSE)*(1+i/frec)^-0.5*(1+Parámetros!$D$103)*(1+rec_fracc)/frec),6))</f>
        <v/>
      </c>
      <c r="DE125" s="66">
        <f t="shared" si="187"/>
        <v>0</v>
      </c>
      <c r="DF125" s="119" t="str">
        <f t="shared" si="188"/>
        <v/>
      </c>
      <c r="DG125" s="66">
        <f>+IF($W125="","",ROUND(IF($B125&gt;Parámetros!$D$107,'Tablas Servicio'!DE125+('Tablas Servicio'!DG124-'Tablas Servicio'!DE124),DE125/(1-IF(B125&lt;=10,Parámetros!$D$100,0))),2))</f>
        <v>0</v>
      </c>
      <c r="DH125" s="66">
        <f t="shared" si="189"/>
        <v>0</v>
      </c>
      <c r="DI125" s="66">
        <f t="shared" si="189"/>
        <v>0</v>
      </c>
      <c r="DJ125" s="66">
        <f>+IF($W125="","",ROUND((DG125*Parámetros!$G$85),2))</f>
        <v>0</v>
      </c>
      <c r="DK125" s="66">
        <f>+IF($W125="","",ROUND((DG125*(Parámetros!$G$86)),2))</f>
        <v>0</v>
      </c>
      <c r="DL125" s="66">
        <f t="shared" si="190"/>
        <v>0</v>
      </c>
      <c r="DM125" t="str">
        <f t="shared" si="231"/>
        <v>00065</v>
      </c>
      <c r="DN125" s="118" t="str">
        <f t="shared" si="232"/>
        <v>Exención pago de primas</v>
      </c>
      <c r="DO125" s="118">
        <f t="shared" si="233"/>
        <v>0</v>
      </c>
      <c r="DP125" s="118" t="str">
        <f t="shared" si="234"/>
        <v>A</v>
      </c>
      <c r="DQ125" s="122" t="str">
        <f>+IF(OR($W125="",DO125=0),"",ROUND((VLOOKUP(ROUNDDOWN($D125-1/frec,0),cob_adi,DB$40,FALSE)*(1+i/frec)^-0.5*(1+Parámetros!$D$103)*(1+rec_fracc)/frec),6))</f>
        <v/>
      </c>
      <c r="DR125" s="66">
        <f t="shared" si="191"/>
        <v>0</v>
      </c>
      <c r="DS125" s="68" t="str">
        <f t="shared" si="192"/>
        <v/>
      </c>
      <c r="DT125" s="66">
        <f>+IF($W125="","",ROUND(IF($B125&gt;Parámetros!$D$107,'Tablas Servicio'!DR125+('Tablas Servicio'!DT124-'Tablas Servicio'!DR124),DR125/(1-IF(B125&lt;=10,Parámetros!$D$100,0))),2))</f>
        <v>0</v>
      </c>
      <c r="DU125" s="66">
        <f t="shared" si="193"/>
        <v>0</v>
      </c>
      <c r="DV125" s="66">
        <f t="shared" si="193"/>
        <v>0</v>
      </c>
      <c r="DW125" s="66">
        <f>+IF($W125="","",ROUND((DT125*Parámetros!$G$85),2))</f>
        <v>0</v>
      </c>
      <c r="DX125" s="66">
        <f>+IF($W125="","",ROUND((DT125*(Parámetros!$G$86)),2))</f>
        <v>0</v>
      </c>
      <c r="DY125" s="66">
        <f t="shared" si="194"/>
        <v>0</v>
      </c>
      <c r="DZ125" t="str">
        <f t="shared" si="235"/>
        <v>00066</v>
      </c>
      <c r="EA125" s="118" t="str">
        <f t="shared" si="235"/>
        <v>Enfermedad terminal</v>
      </c>
      <c r="EB125" s="118">
        <f>+IF($W125="","",ROUND(IF(Parámetros!$D$25='TABLAS MORT'!$V$33,EB124,Z125/2),0))</f>
        <v>50000</v>
      </c>
      <c r="EC125" s="118" t="str">
        <f t="shared" si="235"/>
        <v>A</v>
      </c>
      <c r="ED125" s="122">
        <f>+IF(OR($W125="",EB125=0),"",ROUND((VLOOKUP(ROUNDDOWN($D125-1/frec,0),cob_adi,DO$40,FALSE)*(1+i/frec)^-0.5*(1+Parámetros!$D$103)*(1+rec_fracc)/frec),6))</f>
        <v>1.2E-5</v>
      </c>
      <c r="EE125" s="66">
        <f t="shared" si="196"/>
        <v>0.6</v>
      </c>
      <c r="EF125" s="68">
        <f t="shared" si="197"/>
        <v>1.4E-5</v>
      </c>
      <c r="EG125" s="66">
        <f>+IF($W125="","",ROUND(IF($B125&gt;Parámetros!$D$107,'Tablas Servicio'!EE125+('Tablas Servicio'!EG124-'Tablas Servicio'!EE124),EE125/(1-IF(B125&lt;=10,Parámetros!$D$100,0))),2))</f>
        <v>0.68</v>
      </c>
      <c r="EH125" s="66">
        <f t="shared" si="198"/>
        <v>0</v>
      </c>
      <c r="EI125" s="66">
        <f t="shared" si="198"/>
        <v>0</v>
      </c>
      <c r="EJ125" s="66">
        <f>+IF($W125="","",ROUND((EG125*Parámetros!$G$85),2))</f>
        <v>0.02</v>
      </c>
      <c r="EK125" s="66">
        <f>+IF($W125="","",ROUND((EG125*(Parámetros!$G$86)),2))</f>
        <v>0</v>
      </c>
      <c r="EL125" s="66">
        <f t="shared" si="199"/>
        <v>0.7</v>
      </c>
    </row>
    <row r="126" spans="1:142" x14ac:dyDescent="0.25">
      <c r="A126">
        <f>+IF($C126="","",ROUND(VLOOKUP('Tablas Servicio'!B126,Parámetros!$H$100:$J$159,IF(Parámetros!$E$16="F",2,3),FALSE),2))</f>
        <v>150</v>
      </c>
      <c r="B126">
        <f t="shared" si="150"/>
        <v>8</v>
      </c>
      <c r="C126" s="57">
        <f>+IF(D126="","",'Tablas Servicio'!C125+1)</f>
        <v>85</v>
      </c>
      <c r="D126" s="56">
        <f>+IF(D125&lt;edadmaxtabla,D125+1/Parámetros!$E$25,"")</f>
        <v>47.103333333333538</v>
      </c>
      <c r="E126" s="57">
        <f t="shared" si="160"/>
        <v>47</v>
      </c>
      <c r="F126" s="59">
        <f t="shared" si="161"/>
        <v>100000</v>
      </c>
      <c r="G126" s="66">
        <f t="shared" si="151"/>
        <v>35.21</v>
      </c>
      <c r="H126" s="66">
        <f t="shared" si="152"/>
        <v>36.61</v>
      </c>
      <c r="I126" s="66">
        <f t="shared" si="200"/>
        <v>50.53</v>
      </c>
      <c r="J126" s="66">
        <f t="shared" si="153"/>
        <v>1.23</v>
      </c>
      <c r="K126" s="66">
        <f t="shared" si="154"/>
        <v>0.17</v>
      </c>
      <c r="L126" s="66">
        <f t="shared" si="155"/>
        <v>0</v>
      </c>
      <c r="M126" s="66">
        <f t="shared" si="156"/>
        <v>0</v>
      </c>
      <c r="N126" s="66">
        <f>+IF(C126="","",ROUND(Parámetros!$D$23,2))</f>
        <v>94</v>
      </c>
      <c r="O126" s="66">
        <f t="shared" si="157"/>
        <v>18.600000000000001</v>
      </c>
      <c r="P126" s="66">
        <f>+IF($C126="","",ROUND(IF(B126&gt;Parámetros!$D$117,0,N126*Parámetros!$D$116-G126*Parámetros!$D$100),2))</f>
        <v>6.86</v>
      </c>
      <c r="Q126" s="75">
        <f t="shared" si="201"/>
        <v>3.4933257597273504E-2</v>
      </c>
      <c r="R126" s="75">
        <f t="shared" si="202"/>
        <v>4.8281738142573133E-3</v>
      </c>
      <c r="S126" s="117">
        <f>+IF($C126="","",ROUND((S125+I126)*(1+Parámetros!$D$91),2))</f>
        <v>5438.22</v>
      </c>
      <c r="T126" s="117">
        <f>+IF($C126="","",ROUND(S126*VLOOKUP(B126,Parámetros!$C$30:$D$39,2,TRUE),2))</f>
        <v>4622.49</v>
      </c>
      <c r="U126" s="117">
        <f>+IF($C126="","",ROUND((U125+I126)*(1+Parámetros!$D$92),2))</f>
        <v>5540.96</v>
      </c>
      <c r="V126" s="117">
        <f>+IF($C126="","",ROUND(U126*VLOOKUP(B126,Parámetros!$C$30:$D$39,2,TRUE),2))</f>
        <v>4709.82</v>
      </c>
      <c r="W126" s="57">
        <f t="shared" si="203"/>
        <v>85</v>
      </c>
      <c r="X126" t="str">
        <f t="shared" si="204"/>
        <v>00058</v>
      </c>
      <c r="Y126" t="str">
        <f t="shared" si="205"/>
        <v>MUERTE POR CUALQUIER CAUSA</v>
      </c>
      <c r="Z126" s="118">
        <f>+IF($W126="","",ROUND(IF(Parámetros!$D$25='TABLAS MORT'!$V$33,Z125,Parámetros!$D$21-'Tablas Servicio'!T125),0))</f>
        <v>100000</v>
      </c>
      <c r="AA126" s="118" t="str">
        <f t="shared" si="206"/>
        <v>P</v>
      </c>
      <c r="AB126" s="119">
        <f>+IF(W126="","",ROUND((VLOOKUP(ROUNDDOWN($D126-1/frec,0),qx_tabla,2,FALSE)*(1+i/frec)^-0.5*(1+Parámetros!$D$103)*(1+rec_fracc)/frec),6))</f>
        <v>1.8000000000000001E-4</v>
      </c>
      <c r="AC126" s="66">
        <f t="shared" si="162"/>
        <v>18</v>
      </c>
      <c r="AD126" s="119">
        <f t="shared" si="158"/>
        <v>3.4499999999999998E-4</v>
      </c>
      <c r="AE126" s="66">
        <f>+IF($W126="","",ROUND(IF($B126&gt;Parámetros!$D$107,'Tablas Servicio'!AC126+('Tablas Servicio'!AG125-'Tablas Servicio'!AC125),AC126/(1-IF(B126&lt;=10,Parámetros!$D$104,Parámetros!$D$105))),2))</f>
        <v>37.25</v>
      </c>
      <c r="AF126" s="66">
        <f>+IF($W126="","",ROUND(IF($B126&gt;Parámetros!$D$107,'Tablas Servicio'!AC126+('Tablas Servicio'!AG125-'Tablas Servicio'!AC125),(AC126+$A125/frec)/(1-IF(B126&lt;=Parámetros!$D$117,Parámetros!$D$100,0))),2))</f>
        <v>34.53</v>
      </c>
      <c r="AG126" s="66">
        <f t="shared" si="163"/>
        <v>34.53</v>
      </c>
      <c r="AH126" s="66">
        <f t="shared" si="164"/>
        <v>0</v>
      </c>
      <c r="AI126" s="66">
        <f t="shared" si="165"/>
        <v>0</v>
      </c>
      <c r="AJ126" s="66">
        <f>+IF($W126="","",ROUND((AG126*Parámetros!$G$85),2))</f>
        <v>1.21</v>
      </c>
      <c r="AK126" s="66">
        <f>+IF($W126="","",ROUND((AG126*(Parámetros!$G$86)),2))</f>
        <v>0.17</v>
      </c>
      <c r="AL126" s="66">
        <f t="shared" si="159"/>
        <v>35.909999999999997</v>
      </c>
      <c r="AM126" t="str">
        <f t="shared" si="207"/>
        <v>00059</v>
      </c>
      <c r="AN126" t="str">
        <f t="shared" si="208"/>
        <v>Incapacidad Total y Permanente</v>
      </c>
      <c r="AO126" s="118">
        <f t="shared" si="209"/>
        <v>0</v>
      </c>
      <c r="AP126" s="118" t="str">
        <f t="shared" si="210"/>
        <v>A</v>
      </c>
      <c r="AQ126" s="119" t="str">
        <f>+IF(OR($W126="",AO126=0),"",ROUND((VLOOKUP(ROUNDDOWN($D126-1/frec,0),cob_adi,Z$40,FALSE)*(1+i/frec)^-0.5*(1+Parámetros!$D$103)*(1+rec_fracc)/frec),6))</f>
        <v/>
      </c>
      <c r="AR126" s="66">
        <f t="shared" si="166"/>
        <v>0</v>
      </c>
      <c r="AS126" s="119" t="str">
        <f t="shared" si="167"/>
        <v/>
      </c>
      <c r="AT126" s="66">
        <f>+IF($W126="","",ROUND(IF($B126&gt;Parámetros!$D$107,'Tablas Servicio'!AR126+('Tablas Servicio'!AT125-'Tablas Servicio'!AR125),AR126/(1-IF(B126&lt;=10,Parámetros!$D$100,0))),2))</f>
        <v>0</v>
      </c>
      <c r="AU126" s="66">
        <f t="shared" si="168"/>
        <v>0</v>
      </c>
      <c r="AV126" s="66">
        <f t="shared" si="168"/>
        <v>0</v>
      </c>
      <c r="AW126" s="66">
        <f>+IF($W126="","",ROUND((AT126*Parámetros!$G$85),2))</f>
        <v>0</v>
      </c>
      <c r="AX126" s="66">
        <f>+IF($W126="","",ROUND((AT126*(Parámetros!$G$86)),2))</f>
        <v>0</v>
      </c>
      <c r="AY126" s="66">
        <f t="shared" si="169"/>
        <v>0</v>
      </c>
      <c r="AZ126" t="str">
        <f t="shared" si="211"/>
        <v>00060</v>
      </c>
      <c r="BA126" t="str">
        <f t="shared" si="212"/>
        <v>Muerte Accidental</v>
      </c>
      <c r="BB126" s="118">
        <f t="shared" si="213"/>
        <v>0</v>
      </c>
      <c r="BC126" s="118" t="str">
        <f t="shared" si="214"/>
        <v>A</v>
      </c>
      <c r="BD126" s="119" t="str">
        <f>+IF(OR($W126="",BB126=0),"",ROUND((VLOOKUP(ROUNDDOWN($D126-1/frec,0),cob_adi,AO$40,FALSE)*(1+i/frec)^-0.5*(1+Parámetros!$D$103)*(1+rec_fracc)/frec),6))</f>
        <v/>
      </c>
      <c r="BE126" s="66">
        <f t="shared" si="170"/>
        <v>0</v>
      </c>
      <c r="BF126" s="119" t="str">
        <f t="shared" si="171"/>
        <v/>
      </c>
      <c r="BG126" s="66">
        <f>+IF($W126="","",ROUND(IF($B126&gt;Parámetros!$D$107,'Tablas Servicio'!BE126+('Tablas Servicio'!BG125-'Tablas Servicio'!BE125),BE126/(1-IF(B126&lt;=10,Parámetros!$D$100,0))),2))</f>
        <v>0</v>
      </c>
      <c r="BH126" s="66">
        <f t="shared" si="172"/>
        <v>0</v>
      </c>
      <c r="BI126" s="66">
        <f t="shared" si="173"/>
        <v>0</v>
      </c>
      <c r="BJ126" s="66">
        <f>+IF($W126="","",ROUND((BG126*Parámetros!$G$85),2))</f>
        <v>0</v>
      </c>
      <c r="BK126" s="66">
        <f>+IF($W126="","",ROUND((BG126*(Parámetros!$G$86)),2))</f>
        <v>0</v>
      </c>
      <c r="BL126" s="66">
        <f t="shared" si="174"/>
        <v>0</v>
      </c>
      <c r="BM126" t="str">
        <f t="shared" si="215"/>
        <v>00061</v>
      </c>
      <c r="BN126" t="str">
        <f t="shared" si="216"/>
        <v>Gastos de Entierro</v>
      </c>
      <c r="BO126" s="118">
        <f t="shared" si="217"/>
        <v>0</v>
      </c>
      <c r="BP126" s="118" t="str">
        <f t="shared" si="218"/>
        <v>A</v>
      </c>
      <c r="BQ126" s="119" t="str">
        <f>+IF(OR($W126="",BO126=0),"",ROUND((VLOOKUP(ROUNDDOWN($D126-1/frec,0),cob_adi,BB$40,FALSE)*(1+i/frec)^-0.5*(1+Parámetros!$D$103)*(1+rec_fracc)/frec),6))</f>
        <v/>
      </c>
      <c r="BR126" s="66">
        <f t="shared" si="175"/>
        <v>0</v>
      </c>
      <c r="BS126" s="119" t="str">
        <f t="shared" si="176"/>
        <v/>
      </c>
      <c r="BT126" s="66">
        <f>+IF($W126="","",ROUND(IF($B126&gt;Parámetros!$D$107,'Tablas Servicio'!BR126+('Tablas Servicio'!BT125-'Tablas Servicio'!BR125),BR126/(1-IF(B126&lt;=10,Parámetros!$D$100,0))),2))</f>
        <v>0</v>
      </c>
      <c r="BU126" s="66">
        <f t="shared" si="177"/>
        <v>0</v>
      </c>
      <c r="BV126" s="66">
        <f t="shared" si="177"/>
        <v>0</v>
      </c>
      <c r="BW126" s="66">
        <f>+IF($W126="","",ROUND((BT126*Parámetros!$G$85),2))</f>
        <v>0</v>
      </c>
      <c r="BX126" s="66">
        <f>+IF($W126="","",ROUND((BT126*(Parámetros!$G$86)),2))</f>
        <v>0</v>
      </c>
      <c r="BY126" s="66">
        <f t="shared" si="178"/>
        <v>0</v>
      </c>
      <c r="BZ126" t="str">
        <f t="shared" si="219"/>
        <v>00062</v>
      </c>
      <c r="CA126" t="str">
        <f t="shared" si="220"/>
        <v>Gastos médicos por accidente</v>
      </c>
      <c r="CB126" s="118">
        <f t="shared" si="221"/>
        <v>0</v>
      </c>
      <c r="CC126" s="118" t="str">
        <f t="shared" si="222"/>
        <v>A</v>
      </c>
      <c r="CD126" s="119" t="str">
        <f t="shared" si="179"/>
        <v/>
      </c>
      <c r="CE126" s="66">
        <f>+IF($W126="","",ROUND((VLOOKUP(ROUNDDOWN($D126-1/frec,0),cob_adi,BO$40,FALSE)*(1+i/frec)^-0.5*(1+Parámetros!$D$103)*(1+rec_fracc)/frec*'TABLAS ADI'!$BC$17),2))</f>
        <v>0</v>
      </c>
      <c r="CF126" s="119" t="str">
        <f t="shared" si="180"/>
        <v/>
      </c>
      <c r="CG126" s="66">
        <f>+IF($W126="","",ROUND(IF($B126&gt;Parámetros!$D$107,'Tablas Servicio'!CE126+('Tablas Servicio'!CG125-'Tablas Servicio'!CE125),CE126/(1-IF(B126&lt;=10,Parámetros!$D$100,0))),2))</f>
        <v>0</v>
      </c>
      <c r="CH126" s="66">
        <f t="shared" si="181"/>
        <v>0</v>
      </c>
      <c r="CI126" s="66">
        <f t="shared" si="181"/>
        <v>0</v>
      </c>
      <c r="CJ126" s="66">
        <f>+IF($W126="","",ROUND((CG126*Parámetros!$G$85),2))</f>
        <v>0</v>
      </c>
      <c r="CK126" s="66">
        <f>+IF($W126="","",ROUND((CG126*(Parámetros!$G$86)),2))</f>
        <v>0</v>
      </c>
      <c r="CL126" s="66">
        <f t="shared" si="182"/>
        <v>0</v>
      </c>
      <c r="CM126" t="str">
        <f t="shared" si="223"/>
        <v>00063</v>
      </c>
      <c r="CN126" s="118" t="str">
        <f t="shared" si="224"/>
        <v>Renta Diaria por Hospitalización</v>
      </c>
      <c r="CO126" s="118">
        <f t="shared" si="225"/>
        <v>0</v>
      </c>
      <c r="CP126" s="118" t="str">
        <f t="shared" si="226"/>
        <v>A</v>
      </c>
      <c r="CQ126" s="119" t="str">
        <f t="shared" si="183"/>
        <v/>
      </c>
      <c r="CR126" s="66">
        <f>+IF($W126="","",ROUND((VLOOKUP(Parámetros!$F$51,'COBERTURAS ADICIONALES'!$S$4:$T$32,2,FALSE)*(1+i/frec)^-0.5*(1+Parámetros!$D$103)*(1+rec_fracc)/frec*$CO$42),2))</f>
        <v>0</v>
      </c>
      <c r="CS126" s="119" t="str">
        <f t="shared" si="184"/>
        <v/>
      </c>
      <c r="CT126" s="66">
        <f>+IF($W126="","",ROUND(IF($B126&gt;Parámetros!$D$107,'Tablas Servicio'!CR126+('Tablas Servicio'!CT125-'Tablas Servicio'!CR125),CR126/(1-IF(B126&lt;=10,Parámetros!$D$100,0))),2))</f>
        <v>0</v>
      </c>
      <c r="CU126" s="66">
        <f t="shared" si="185"/>
        <v>0</v>
      </c>
      <c r="CV126" s="66">
        <f t="shared" si="185"/>
        <v>0</v>
      </c>
      <c r="CW126" s="66">
        <f>+IF($W126="","",ROUND((CT126*Parámetros!$G$85),2))</f>
        <v>0</v>
      </c>
      <c r="CX126" s="66">
        <f>+IF($W126="","",ROUND((CT126*(Parámetros!$G$86)),2))</f>
        <v>0</v>
      </c>
      <c r="CY126" s="66">
        <f t="shared" si="186"/>
        <v>0</v>
      </c>
      <c r="CZ126" t="str">
        <f t="shared" si="227"/>
        <v>00064</v>
      </c>
      <c r="DA126" s="118" t="str">
        <f t="shared" si="228"/>
        <v>Enfermedades Graves</v>
      </c>
      <c r="DB126" s="118">
        <f t="shared" si="229"/>
        <v>0</v>
      </c>
      <c r="DC126" s="118" t="str">
        <f t="shared" si="230"/>
        <v>A</v>
      </c>
      <c r="DD126" s="121" t="str">
        <f>+IF(OR($W126="",DB126=0),"",ROUND((VLOOKUP(ROUNDDOWN($D126-1/frec,0),cob_adi,CO$40,FALSE)*(1+i/frec)^-0.5*(1+Parámetros!$D$103)*(1+rec_fracc)/frec),6))</f>
        <v/>
      </c>
      <c r="DE126" s="66">
        <f t="shared" si="187"/>
        <v>0</v>
      </c>
      <c r="DF126" s="119" t="str">
        <f t="shared" si="188"/>
        <v/>
      </c>
      <c r="DG126" s="66">
        <f>+IF($W126="","",ROUND(IF($B126&gt;Parámetros!$D$107,'Tablas Servicio'!DE126+('Tablas Servicio'!DG125-'Tablas Servicio'!DE125),DE126/(1-IF(B126&lt;=10,Parámetros!$D$100,0))),2))</f>
        <v>0</v>
      </c>
      <c r="DH126" s="66">
        <f t="shared" si="189"/>
        <v>0</v>
      </c>
      <c r="DI126" s="66">
        <f t="shared" si="189"/>
        <v>0</v>
      </c>
      <c r="DJ126" s="66">
        <f>+IF($W126="","",ROUND((DG126*Parámetros!$G$85),2))</f>
        <v>0</v>
      </c>
      <c r="DK126" s="66">
        <f>+IF($W126="","",ROUND((DG126*(Parámetros!$G$86)),2))</f>
        <v>0</v>
      </c>
      <c r="DL126" s="66">
        <f t="shared" si="190"/>
        <v>0</v>
      </c>
      <c r="DM126" t="str">
        <f t="shared" si="231"/>
        <v>00065</v>
      </c>
      <c r="DN126" s="118" t="str">
        <f t="shared" si="232"/>
        <v>Exención pago de primas</v>
      </c>
      <c r="DO126" s="118">
        <f t="shared" si="233"/>
        <v>0</v>
      </c>
      <c r="DP126" s="118" t="str">
        <f t="shared" si="234"/>
        <v>A</v>
      </c>
      <c r="DQ126" s="122" t="str">
        <f>+IF(OR($W126="",DO126=0),"",ROUND((VLOOKUP(ROUNDDOWN($D126-1/frec,0),cob_adi,DB$40,FALSE)*(1+i/frec)^-0.5*(1+Parámetros!$D$103)*(1+rec_fracc)/frec),6))</f>
        <v/>
      </c>
      <c r="DR126" s="66">
        <f t="shared" si="191"/>
        <v>0</v>
      </c>
      <c r="DS126" s="68" t="str">
        <f t="shared" si="192"/>
        <v/>
      </c>
      <c r="DT126" s="66">
        <f>+IF($W126="","",ROUND(IF($B126&gt;Parámetros!$D$107,'Tablas Servicio'!DR126+('Tablas Servicio'!DT125-'Tablas Servicio'!DR125),DR126/(1-IF(B126&lt;=10,Parámetros!$D$100,0))),2))</f>
        <v>0</v>
      </c>
      <c r="DU126" s="66">
        <f t="shared" si="193"/>
        <v>0</v>
      </c>
      <c r="DV126" s="66">
        <f t="shared" si="193"/>
        <v>0</v>
      </c>
      <c r="DW126" s="66">
        <f>+IF($W126="","",ROUND((DT126*Parámetros!$G$85),2))</f>
        <v>0</v>
      </c>
      <c r="DX126" s="66">
        <f>+IF($W126="","",ROUND((DT126*(Parámetros!$G$86)),2))</f>
        <v>0</v>
      </c>
      <c r="DY126" s="66">
        <f t="shared" si="194"/>
        <v>0</v>
      </c>
      <c r="DZ126" t="str">
        <f t="shared" si="235"/>
        <v>00066</v>
      </c>
      <c r="EA126" s="118" t="str">
        <f t="shared" si="235"/>
        <v>Enfermedad terminal</v>
      </c>
      <c r="EB126" s="118">
        <f>+IF($W126="","",ROUND(IF(Parámetros!$D$25='TABLAS MORT'!$V$33,EB125,Z126/2),0))</f>
        <v>50000</v>
      </c>
      <c r="EC126" s="118" t="str">
        <f t="shared" si="235"/>
        <v>A</v>
      </c>
      <c r="ED126" s="122">
        <f>+IF(OR($W126="",EB126=0),"",ROUND((VLOOKUP(ROUNDDOWN($D126-1/frec,0),cob_adi,DO$40,FALSE)*(1+i/frec)^-0.5*(1+Parámetros!$D$103)*(1+rec_fracc)/frec),6))</f>
        <v>1.2E-5</v>
      </c>
      <c r="EE126" s="66">
        <f t="shared" si="196"/>
        <v>0.6</v>
      </c>
      <c r="EF126" s="68">
        <f t="shared" si="197"/>
        <v>1.4E-5</v>
      </c>
      <c r="EG126" s="66">
        <f>+IF($W126="","",ROUND(IF($B126&gt;Parámetros!$D$107,'Tablas Servicio'!EE126+('Tablas Servicio'!EG125-'Tablas Servicio'!EE125),EE126/(1-IF(B126&lt;=10,Parámetros!$D$100,0))),2))</f>
        <v>0.68</v>
      </c>
      <c r="EH126" s="66">
        <f t="shared" si="198"/>
        <v>0</v>
      </c>
      <c r="EI126" s="66">
        <f t="shared" si="198"/>
        <v>0</v>
      </c>
      <c r="EJ126" s="66">
        <f>+IF($W126="","",ROUND((EG126*Parámetros!$G$85),2))</f>
        <v>0.02</v>
      </c>
      <c r="EK126" s="66">
        <f>+IF($W126="","",ROUND((EG126*(Parámetros!$G$86)),2))</f>
        <v>0</v>
      </c>
      <c r="EL126" s="66">
        <f t="shared" si="199"/>
        <v>0.7</v>
      </c>
    </row>
    <row r="127" spans="1:142" x14ac:dyDescent="0.25">
      <c r="A127">
        <f>+IF($C127="","",ROUND(VLOOKUP('Tablas Servicio'!B127,Parámetros!$H$100:$J$159,IF(Parámetros!$E$16="F",2,3),FALSE),2))</f>
        <v>150</v>
      </c>
      <c r="B127">
        <f t="shared" si="150"/>
        <v>8</v>
      </c>
      <c r="C127" s="57">
        <f>+IF(D127="","",'Tablas Servicio'!C126+1)</f>
        <v>86</v>
      </c>
      <c r="D127" s="56">
        <f>+IF(D126&lt;edadmaxtabla,D126+1/Parámetros!$E$25,"")</f>
        <v>47.186666666666873</v>
      </c>
      <c r="E127" s="57">
        <f t="shared" si="160"/>
        <v>47</v>
      </c>
      <c r="F127" s="59">
        <f t="shared" si="161"/>
        <v>100000</v>
      </c>
      <c r="G127" s="66">
        <f t="shared" si="151"/>
        <v>35.21</v>
      </c>
      <c r="H127" s="66">
        <f t="shared" si="152"/>
        <v>36.61</v>
      </c>
      <c r="I127" s="66">
        <f t="shared" si="200"/>
        <v>50.53</v>
      </c>
      <c r="J127" s="66">
        <f t="shared" si="153"/>
        <v>1.23</v>
      </c>
      <c r="K127" s="66">
        <f t="shared" si="154"/>
        <v>0.17</v>
      </c>
      <c r="L127" s="66">
        <f t="shared" si="155"/>
        <v>0</v>
      </c>
      <c r="M127" s="66">
        <f t="shared" si="156"/>
        <v>0</v>
      </c>
      <c r="N127" s="66">
        <f>+IF(C127="","",ROUND(Parámetros!$D$23,2))</f>
        <v>94</v>
      </c>
      <c r="O127" s="66">
        <f t="shared" si="157"/>
        <v>18.600000000000001</v>
      </c>
      <c r="P127" s="66">
        <f>+IF($C127="","",ROUND(IF(B127&gt;Parámetros!$D$117,0,N127*Parámetros!$D$116-G127*Parámetros!$D$100),2))</f>
        <v>6.86</v>
      </c>
      <c r="Q127" s="75">
        <f t="shared" si="201"/>
        <v>3.4933257597273504E-2</v>
      </c>
      <c r="R127" s="75">
        <f t="shared" si="202"/>
        <v>4.8281738142573133E-3</v>
      </c>
      <c r="S127" s="117">
        <f>+IF($C127="","",ROUND((S126+I127)*(1+Parámetros!$D$91),2))</f>
        <v>5504.32</v>
      </c>
      <c r="T127" s="117">
        <f>+IF($C127="","",ROUND(S127*VLOOKUP(B127,Parámetros!$C$30:$D$39,2,TRUE),2))</f>
        <v>4678.67</v>
      </c>
      <c r="U127" s="117">
        <f>+IF($C127="","",ROUND((U126+I127)*(1+Parámetros!$D$92),2))</f>
        <v>5609.62</v>
      </c>
      <c r="V127" s="117">
        <f>+IF($C127="","",ROUND(U127*VLOOKUP(B127,Parámetros!$C$30:$D$39,2,TRUE),2))</f>
        <v>4768.18</v>
      </c>
      <c r="W127" s="57">
        <f t="shared" si="203"/>
        <v>86</v>
      </c>
      <c r="X127" t="str">
        <f t="shared" si="204"/>
        <v>00058</v>
      </c>
      <c r="Y127" t="str">
        <f t="shared" si="205"/>
        <v>MUERTE POR CUALQUIER CAUSA</v>
      </c>
      <c r="Z127" s="118">
        <f>+IF($W127="","",ROUND(IF(Parámetros!$D$25='TABLAS MORT'!$V$33,Z126,Parámetros!$D$21-'Tablas Servicio'!T126),0))</f>
        <v>100000</v>
      </c>
      <c r="AA127" s="118" t="str">
        <f t="shared" si="206"/>
        <v>P</v>
      </c>
      <c r="AB127" s="119">
        <f>+IF(W127="","",ROUND((VLOOKUP(ROUNDDOWN($D127-1/frec,0),qx_tabla,2,FALSE)*(1+i/frec)^-0.5*(1+Parámetros!$D$103)*(1+rec_fracc)/frec),6))</f>
        <v>1.8000000000000001E-4</v>
      </c>
      <c r="AC127" s="66">
        <f t="shared" si="162"/>
        <v>18</v>
      </c>
      <c r="AD127" s="119">
        <f t="shared" si="158"/>
        <v>3.4499999999999998E-4</v>
      </c>
      <c r="AE127" s="66">
        <f>+IF($W127="","",ROUND(IF($B127&gt;Parámetros!$D$107,'Tablas Servicio'!AC127+('Tablas Servicio'!AG126-'Tablas Servicio'!AC126),AC127/(1-IF(B127&lt;=10,Parámetros!$D$104,Parámetros!$D$105))),2))</f>
        <v>37.25</v>
      </c>
      <c r="AF127" s="66">
        <f>+IF($W127="","",ROUND(IF($B127&gt;Parámetros!$D$107,'Tablas Servicio'!AC127+('Tablas Servicio'!AG126-'Tablas Servicio'!AC126),(AC127+$A126/frec)/(1-IF(B127&lt;=Parámetros!$D$117,Parámetros!$D$100,0))),2))</f>
        <v>34.53</v>
      </c>
      <c r="AG127" s="66">
        <f t="shared" si="163"/>
        <v>34.53</v>
      </c>
      <c r="AH127" s="66">
        <f t="shared" si="164"/>
        <v>0</v>
      </c>
      <c r="AI127" s="66">
        <f t="shared" si="165"/>
        <v>0</v>
      </c>
      <c r="AJ127" s="66">
        <f>+IF($W127="","",ROUND((AG127*Parámetros!$G$85),2))</f>
        <v>1.21</v>
      </c>
      <c r="AK127" s="66">
        <f>+IF($W127="","",ROUND((AG127*(Parámetros!$G$86)),2))</f>
        <v>0.17</v>
      </c>
      <c r="AL127" s="66">
        <f t="shared" si="159"/>
        <v>35.909999999999997</v>
      </c>
      <c r="AM127" t="str">
        <f t="shared" si="207"/>
        <v>00059</v>
      </c>
      <c r="AN127" t="str">
        <f t="shared" si="208"/>
        <v>Incapacidad Total y Permanente</v>
      </c>
      <c r="AO127" s="118">
        <f t="shared" si="209"/>
        <v>0</v>
      </c>
      <c r="AP127" s="118" t="str">
        <f t="shared" si="210"/>
        <v>A</v>
      </c>
      <c r="AQ127" s="119" t="str">
        <f>+IF(OR($W127="",AO127=0),"",ROUND((VLOOKUP(ROUNDDOWN($D127-1/frec,0),cob_adi,Z$40,FALSE)*(1+i/frec)^-0.5*(1+Parámetros!$D$103)*(1+rec_fracc)/frec),6))</f>
        <v/>
      </c>
      <c r="AR127" s="66">
        <f t="shared" si="166"/>
        <v>0</v>
      </c>
      <c r="AS127" s="119" t="str">
        <f t="shared" si="167"/>
        <v/>
      </c>
      <c r="AT127" s="66">
        <f>+IF($W127="","",ROUND(IF($B127&gt;Parámetros!$D$107,'Tablas Servicio'!AR127+('Tablas Servicio'!AT126-'Tablas Servicio'!AR126),AR127/(1-IF(B127&lt;=10,Parámetros!$D$100,0))),2))</f>
        <v>0</v>
      </c>
      <c r="AU127" s="66">
        <f t="shared" si="168"/>
        <v>0</v>
      </c>
      <c r="AV127" s="66">
        <f t="shared" si="168"/>
        <v>0</v>
      </c>
      <c r="AW127" s="66">
        <f>+IF($W127="","",ROUND((AT127*Parámetros!$G$85),2))</f>
        <v>0</v>
      </c>
      <c r="AX127" s="66">
        <f>+IF($W127="","",ROUND((AT127*(Parámetros!$G$86)),2))</f>
        <v>0</v>
      </c>
      <c r="AY127" s="66">
        <f t="shared" si="169"/>
        <v>0</v>
      </c>
      <c r="AZ127" t="str">
        <f t="shared" si="211"/>
        <v>00060</v>
      </c>
      <c r="BA127" t="str">
        <f t="shared" si="212"/>
        <v>Muerte Accidental</v>
      </c>
      <c r="BB127" s="118">
        <f t="shared" si="213"/>
        <v>0</v>
      </c>
      <c r="BC127" s="118" t="str">
        <f t="shared" si="214"/>
        <v>A</v>
      </c>
      <c r="BD127" s="119" t="str">
        <f>+IF(OR($W127="",BB127=0),"",ROUND((VLOOKUP(ROUNDDOWN($D127-1/frec,0),cob_adi,AO$40,FALSE)*(1+i/frec)^-0.5*(1+Parámetros!$D$103)*(1+rec_fracc)/frec),6))</f>
        <v/>
      </c>
      <c r="BE127" s="66">
        <f t="shared" si="170"/>
        <v>0</v>
      </c>
      <c r="BF127" s="119" t="str">
        <f t="shared" si="171"/>
        <v/>
      </c>
      <c r="BG127" s="66">
        <f>+IF($W127="","",ROUND(IF($B127&gt;Parámetros!$D$107,'Tablas Servicio'!BE127+('Tablas Servicio'!BG126-'Tablas Servicio'!BE126),BE127/(1-IF(B127&lt;=10,Parámetros!$D$100,0))),2))</f>
        <v>0</v>
      </c>
      <c r="BH127" s="66">
        <f t="shared" si="172"/>
        <v>0</v>
      </c>
      <c r="BI127" s="66">
        <f t="shared" si="173"/>
        <v>0</v>
      </c>
      <c r="BJ127" s="66">
        <f>+IF($W127="","",ROUND((BG127*Parámetros!$G$85),2))</f>
        <v>0</v>
      </c>
      <c r="BK127" s="66">
        <f>+IF($W127="","",ROUND((BG127*(Parámetros!$G$86)),2))</f>
        <v>0</v>
      </c>
      <c r="BL127" s="66">
        <f t="shared" si="174"/>
        <v>0</v>
      </c>
      <c r="BM127" t="str">
        <f t="shared" si="215"/>
        <v>00061</v>
      </c>
      <c r="BN127" t="str">
        <f t="shared" si="216"/>
        <v>Gastos de Entierro</v>
      </c>
      <c r="BO127" s="118">
        <f t="shared" si="217"/>
        <v>0</v>
      </c>
      <c r="BP127" s="118" t="str">
        <f t="shared" si="218"/>
        <v>A</v>
      </c>
      <c r="BQ127" s="119" t="str">
        <f>+IF(OR($W127="",BO127=0),"",ROUND((VLOOKUP(ROUNDDOWN($D127-1/frec,0),cob_adi,BB$40,FALSE)*(1+i/frec)^-0.5*(1+Parámetros!$D$103)*(1+rec_fracc)/frec),6))</f>
        <v/>
      </c>
      <c r="BR127" s="66">
        <f t="shared" si="175"/>
        <v>0</v>
      </c>
      <c r="BS127" s="119" t="str">
        <f t="shared" si="176"/>
        <v/>
      </c>
      <c r="BT127" s="66">
        <f>+IF($W127="","",ROUND(IF($B127&gt;Parámetros!$D$107,'Tablas Servicio'!BR127+('Tablas Servicio'!BT126-'Tablas Servicio'!BR126),BR127/(1-IF(B127&lt;=10,Parámetros!$D$100,0))),2))</f>
        <v>0</v>
      </c>
      <c r="BU127" s="66">
        <f t="shared" si="177"/>
        <v>0</v>
      </c>
      <c r="BV127" s="66">
        <f t="shared" si="177"/>
        <v>0</v>
      </c>
      <c r="BW127" s="66">
        <f>+IF($W127="","",ROUND((BT127*Parámetros!$G$85),2))</f>
        <v>0</v>
      </c>
      <c r="BX127" s="66">
        <f>+IF($W127="","",ROUND((BT127*(Parámetros!$G$86)),2))</f>
        <v>0</v>
      </c>
      <c r="BY127" s="66">
        <f t="shared" si="178"/>
        <v>0</v>
      </c>
      <c r="BZ127" t="str">
        <f t="shared" si="219"/>
        <v>00062</v>
      </c>
      <c r="CA127" t="str">
        <f t="shared" si="220"/>
        <v>Gastos médicos por accidente</v>
      </c>
      <c r="CB127" s="118">
        <f t="shared" si="221"/>
        <v>0</v>
      </c>
      <c r="CC127" s="118" t="str">
        <f t="shared" si="222"/>
        <v>A</v>
      </c>
      <c r="CD127" s="119" t="str">
        <f t="shared" si="179"/>
        <v/>
      </c>
      <c r="CE127" s="66">
        <f>+IF($W127="","",ROUND((VLOOKUP(ROUNDDOWN($D127-1/frec,0),cob_adi,BO$40,FALSE)*(1+i/frec)^-0.5*(1+Parámetros!$D$103)*(1+rec_fracc)/frec*'TABLAS ADI'!$BC$17),2))</f>
        <v>0</v>
      </c>
      <c r="CF127" s="119" t="str">
        <f t="shared" si="180"/>
        <v/>
      </c>
      <c r="CG127" s="66">
        <f>+IF($W127="","",ROUND(IF($B127&gt;Parámetros!$D$107,'Tablas Servicio'!CE127+('Tablas Servicio'!CG126-'Tablas Servicio'!CE126),CE127/(1-IF(B127&lt;=10,Parámetros!$D$100,0))),2))</f>
        <v>0</v>
      </c>
      <c r="CH127" s="66">
        <f t="shared" si="181"/>
        <v>0</v>
      </c>
      <c r="CI127" s="66">
        <f t="shared" si="181"/>
        <v>0</v>
      </c>
      <c r="CJ127" s="66">
        <f>+IF($W127="","",ROUND((CG127*Parámetros!$G$85),2))</f>
        <v>0</v>
      </c>
      <c r="CK127" s="66">
        <f>+IF($W127="","",ROUND((CG127*(Parámetros!$G$86)),2))</f>
        <v>0</v>
      </c>
      <c r="CL127" s="66">
        <f t="shared" si="182"/>
        <v>0</v>
      </c>
      <c r="CM127" t="str">
        <f t="shared" si="223"/>
        <v>00063</v>
      </c>
      <c r="CN127" s="118" t="str">
        <f t="shared" si="224"/>
        <v>Renta Diaria por Hospitalización</v>
      </c>
      <c r="CO127" s="118">
        <f t="shared" si="225"/>
        <v>0</v>
      </c>
      <c r="CP127" s="118" t="str">
        <f t="shared" si="226"/>
        <v>A</v>
      </c>
      <c r="CQ127" s="119" t="str">
        <f t="shared" si="183"/>
        <v/>
      </c>
      <c r="CR127" s="66">
        <f>+IF($W127="","",ROUND((VLOOKUP(Parámetros!$F$51,'COBERTURAS ADICIONALES'!$S$4:$T$32,2,FALSE)*(1+i/frec)^-0.5*(1+Parámetros!$D$103)*(1+rec_fracc)/frec*$CO$42),2))</f>
        <v>0</v>
      </c>
      <c r="CS127" s="119" t="str">
        <f t="shared" si="184"/>
        <v/>
      </c>
      <c r="CT127" s="66">
        <f>+IF($W127="","",ROUND(IF($B127&gt;Parámetros!$D$107,'Tablas Servicio'!CR127+('Tablas Servicio'!CT126-'Tablas Servicio'!CR126),CR127/(1-IF(B127&lt;=10,Parámetros!$D$100,0))),2))</f>
        <v>0</v>
      </c>
      <c r="CU127" s="66">
        <f t="shared" si="185"/>
        <v>0</v>
      </c>
      <c r="CV127" s="66">
        <f t="shared" si="185"/>
        <v>0</v>
      </c>
      <c r="CW127" s="66">
        <f>+IF($W127="","",ROUND((CT127*Parámetros!$G$85),2))</f>
        <v>0</v>
      </c>
      <c r="CX127" s="66">
        <f>+IF($W127="","",ROUND((CT127*(Parámetros!$G$86)),2))</f>
        <v>0</v>
      </c>
      <c r="CY127" s="66">
        <f t="shared" si="186"/>
        <v>0</v>
      </c>
      <c r="CZ127" t="str">
        <f t="shared" si="227"/>
        <v>00064</v>
      </c>
      <c r="DA127" s="118" t="str">
        <f t="shared" si="228"/>
        <v>Enfermedades Graves</v>
      </c>
      <c r="DB127" s="118">
        <f t="shared" si="229"/>
        <v>0</v>
      </c>
      <c r="DC127" s="118" t="str">
        <f t="shared" si="230"/>
        <v>A</v>
      </c>
      <c r="DD127" s="121" t="str">
        <f>+IF(OR($W127="",DB127=0),"",ROUND((VLOOKUP(ROUNDDOWN($D127-1/frec,0),cob_adi,CO$40,FALSE)*(1+i/frec)^-0.5*(1+Parámetros!$D$103)*(1+rec_fracc)/frec),6))</f>
        <v/>
      </c>
      <c r="DE127" s="66">
        <f t="shared" si="187"/>
        <v>0</v>
      </c>
      <c r="DF127" s="119" t="str">
        <f t="shared" si="188"/>
        <v/>
      </c>
      <c r="DG127" s="66">
        <f>+IF($W127="","",ROUND(IF($B127&gt;Parámetros!$D$107,'Tablas Servicio'!DE127+('Tablas Servicio'!DG126-'Tablas Servicio'!DE126),DE127/(1-IF(B127&lt;=10,Parámetros!$D$100,0))),2))</f>
        <v>0</v>
      </c>
      <c r="DH127" s="66">
        <f t="shared" si="189"/>
        <v>0</v>
      </c>
      <c r="DI127" s="66">
        <f t="shared" si="189"/>
        <v>0</v>
      </c>
      <c r="DJ127" s="66">
        <f>+IF($W127="","",ROUND((DG127*Parámetros!$G$85),2))</f>
        <v>0</v>
      </c>
      <c r="DK127" s="66">
        <f>+IF($W127="","",ROUND((DG127*(Parámetros!$G$86)),2))</f>
        <v>0</v>
      </c>
      <c r="DL127" s="66">
        <f t="shared" si="190"/>
        <v>0</v>
      </c>
      <c r="DM127" t="str">
        <f t="shared" si="231"/>
        <v>00065</v>
      </c>
      <c r="DN127" s="118" t="str">
        <f t="shared" si="232"/>
        <v>Exención pago de primas</v>
      </c>
      <c r="DO127" s="118">
        <f t="shared" si="233"/>
        <v>0</v>
      </c>
      <c r="DP127" s="118" t="str">
        <f t="shared" si="234"/>
        <v>A</v>
      </c>
      <c r="DQ127" s="122" t="str">
        <f>+IF(OR($W127="",DO127=0),"",ROUND((VLOOKUP(ROUNDDOWN($D127-1/frec,0),cob_adi,DB$40,FALSE)*(1+i/frec)^-0.5*(1+Parámetros!$D$103)*(1+rec_fracc)/frec),6))</f>
        <v/>
      </c>
      <c r="DR127" s="66">
        <f t="shared" si="191"/>
        <v>0</v>
      </c>
      <c r="DS127" s="68" t="str">
        <f t="shared" si="192"/>
        <v/>
      </c>
      <c r="DT127" s="66">
        <f>+IF($W127="","",ROUND(IF($B127&gt;Parámetros!$D$107,'Tablas Servicio'!DR127+('Tablas Servicio'!DT126-'Tablas Servicio'!DR126),DR127/(1-IF(B127&lt;=10,Parámetros!$D$100,0))),2))</f>
        <v>0</v>
      </c>
      <c r="DU127" s="66">
        <f t="shared" si="193"/>
        <v>0</v>
      </c>
      <c r="DV127" s="66">
        <f t="shared" si="193"/>
        <v>0</v>
      </c>
      <c r="DW127" s="66">
        <f>+IF($W127="","",ROUND((DT127*Parámetros!$G$85),2))</f>
        <v>0</v>
      </c>
      <c r="DX127" s="66">
        <f>+IF($W127="","",ROUND((DT127*(Parámetros!$G$86)),2))</f>
        <v>0</v>
      </c>
      <c r="DY127" s="66">
        <f t="shared" si="194"/>
        <v>0</v>
      </c>
      <c r="DZ127" t="str">
        <f t="shared" si="235"/>
        <v>00066</v>
      </c>
      <c r="EA127" s="118" t="str">
        <f t="shared" si="235"/>
        <v>Enfermedad terminal</v>
      </c>
      <c r="EB127" s="118">
        <f>+IF($W127="","",ROUND(IF(Parámetros!$D$25='TABLAS MORT'!$V$33,EB126,Z127/2),0))</f>
        <v>50000</v>
      </c>
      <c r="EC127" s="118" t="str">
        <f t="shared" si="235"/>
        <v>A</v>
      </c>
      <c r="ED127" s="122">
        <f>+IF(OR($W127="",EB127=0),"",ROUND((VLOOKUP(ROUNDDOWN($D127-1/frec,0),cob_adi,DO$40,FALSE)*(1+i/frec)^-0.5*(1+Parámetros!$D$103)*(1+rec_fracc)/frec),6))</f>
        <v>1.2E-5</v>
      </c>
      <c r="EE127" s="66">
        <f t="shared" si="196"/>
        <v>0.6</v>
      </c>
      <c r="EF127" s="68">
        <f t="shared" si="197"/>
        <v>1.4E-5</v>
      </c>
      <c r="EG127" s="66">
        <f>+IF($W127="","",ROUND(IF($B127&gt;Parámetros!$D$107,'Tablas Servicio'!EE127+('Tablas Servicio'!EG126-'Tablas Servicio'!EE126),EE127/(1-IF(B127&lt;=10,Parámetros!$D$100,0))),2))</f>
        <v>0.68</v>
      </c>
      <c r="EH127" s="66">
        <f t="shared" si="198"/>
        <v>0</v>
      </c>
      <c r="EI127" s="66">
        <f t="shared" si="198"/>
        <v>0</v>
      </c>
      <c r="EJ127" s="66">
        <f>+IF($W127="","",ROUND((EG127*Parámetros!$G$85),2))</f>
        <v>0.02</v>
      </c>
      <c r="EK127" s="66">
        <f>+IF($W127="","",ROUND((EG127*(Parámetros!$G$86)),2))</f>
        <v>0</v>
      </c>
      <c r="EL127" s="66">
        <f t="shared" si="199"/>
        <v>0.7</v>
      </c>
    </row>
    <row r="128" spans="1:142" x14ac:dyDescent="0.25">
      <c r="A128">
        <f>+IF($C128="","",ROUND(VLOOKUP('Tablas Servicio'!B128,Parámetros!$H$100:$J$159,IF(Parámetros!$E$16="F",2,3),FALSE),2))</f>
        <v>150</v>
      </c>
      <c r="B128">
        <f t="shared" si="150"/>
        <v>8</v>
      </c>
      <c r="C128" s="57">
        <f>+IF(D128="","",'Tablas Servicio'!C127+1)</f>
        <v>87</v>
      </c>
      <c r="D128" s="56">
        <f>+IF(D127&lt;edadmaxtabla,D127+1/Parámetros!$E$25,"")</f>
        <v>47.270000000000209</v>
      </c>
      <c r="E128" s="57">
        <f t="shared" si="160"/>
        <v>47</v>
      </c>
      <c r="F128" s="59">
        <f t="shared" si="161"/>
        <v>100000</v>
      </c>
      <c r="G128" s="66">
        <f t="shared" si="151"/>
        <v>35.21</v>
      </c>
      <c r="H128" s="66">
        <f t="shared" si="152"/>
        <v>36.61</v>
      </c>
      <c r="I128" s="66">
        <f t="shared" si="200"/>
        <v>50.53</v>
      </c>
      <c r="J128" s="66">
        <f t="shared" si="153"/>
        <v>1.23</v>
      </c>
      <c r="K128" s="66">
        <f t="shared" si="154"/>
        <v>0.17</v>
      </c>
      <c r="L128" s="66">
        <f t="shared" si="155"/>
        <v>0</v>
      </c>
      <c r="M128" s="66">
        <f t="shared" si="156"/>
        <v>0</v>
      </c>
      <c r="N128" s="66">
        <f>+IF(C128="","",ROUND(Parámetros!$D$23,2))</f>
        <v>94</v>
      </c>
      <c r="O128" s="66">
        <f t="shared" si="157"/>
        <v>18.600000000000001</v>
      </c>
      <c r="P128" s="66">
        <f>+IF($C128="","",ROUND(IF(B128&gt;Parámetros!$D$117,0,N128*Parámetros!$D$116-G128*Parámetros!$D$100),2))</f>
        <v>6.86</v>
      </c>
      <c r="Q128" s="75">
        <f t="shared" si="201"/>
        <v>3.4933257597273504E-2</v>
      </c>
      <c r="R128" s="75">
        <f t="shared" si="202"/>
        <v>4.8281738142573133E-3</v>
      </c>
      <c r="S128" s="117">
        <f>+IF($C128="","",ROUND((S127+I128)*(1+Parámetros!$D$91),2))</f>
        <v>5570.61</v>
      </c>
      <c r="T128" s="117">
        <f>+IF($C128="","",ROUND(S128*VLOOKUP(B128,Parámetros!$C$30:$D$39,2,TRUE),2))</f>
        <v>4735.0200000000004</v>
      </c>
      <c r="U128" s="117">
        <f>+IF($C128="","",ROUND((U127+I128)*(1+Parámetros!$D$92),2))</f>
        <v>5678.5</v>
      </c>
      <c r="V128" s="117">
        <f>+IF($C128="","",ROUND(U128*VLOOKUP(B128,Parámetros!$C$30:$D$39,2,TRUE),2))</f>
        <v>4826.7299999999996</v>
      </c>
      <c r="W128" s="57">
        <f t="shared" si="203"/>
        <v>87</v>
      </c>
      <c r="X128" t="str">
        <f t="shared" si="204"/>
        <v>00058</v>
      </c>
      <c r="Y128" t="str">
        <f t="shared" si="205"/>
        <v>MUERTE POR CUALQUIER CAUSA</v>
      </c>
      <c r="Z128" s="118">
        <f>+IF($W128="","",ROUND(IF(Parámetros!$D$25='TABLAS MORT'!$V$33,Z127,Parámetros!$D$21-'Tablas Servicio'!T127),0))</f>
        <v>100000</v>
      </c>
      <c r="AA128" s="118" t="str">
        <f t="shared" si="206"/>
        <v>P</v>
      </c>
      <c r="AB128" s="119">
        <f>+IF(W128="","",ROUND((VLOOKUP(ROUNDDOWN($D128-1/frec,0),qx_tabla,2,FALSE)*(1+i/frec)^-0.5*(1+Parámetros!$D$103)*(1+rec_fracc)/frec),6))</f>
        <v>1.8000000000000001E-4</v>
      </c>
      <c r="AC128" s="66">
        <f t="shared" si="162"/>
        <v>18</v>
      </c>
      <c r="AD128" s="119">
        <f t="shared" si="158"/>
        <v>3.4499999999999998E-4</v>
      </c>
      <c r="AE128" s="66">
        <f>+IF($W128="","",ROUND(IF($B128&gt;Parámetros!$D$107,'Tablas Servicio'!AC128+('Tablas Servicio'!AG127-'Tablas Servicio'!AC127),AC128/(1-IF(B128&lt;=10,Parámetros!$D$104,Parámetros!$D$105))),2))</f>
        <v>37.25</v>
      </c>
      <c r="AF128" s="66">
        <f>+IF($W128="","",ROUND(IF($B128&gt;Parámetros!$D$107,'Tablas Servicio'!AC128+('Tablas Servicio'!AG127-'Tablas Servicio'!AC127),(AC128+$A127/frec)/(1-IF(B128&lt;=Parámetros!$D$117,Parámetros!$D$100,0))),2))</f>
        <v>34.53</v>
      </c>
      <c r="AG128" s="66">
        <f t="shared" si="163"/>
        <v>34.53</v>
      </c>
      <c r="AH128" s="66">
        <f t="shared" si="164"/>
        <v>0</v>
      </c>
      <c r="AI128" s="66">
        <f t="shared" si="165"/>
        <v>0</v>
      </c>
      <c r="AJ128" s="66">
        <f>+IF($W128="","",ROUND((AG128*Parámetros!$G$85),2))</f>
        <v>1.21</v>
      </c>
      <c r="AK128" s="66">
        <f>+IF($W128="","",ROUND((AG128*(Parámetros!$G$86)),2))</f>
        <v>0.17</v>
      </c>
      <c r="AL128" s="66">
        <f t="shared" si="159"/>
        <v>35.909999999999997</v>
      </c>
      <c r="AM128" t="str">
        <f t="shared" si="207"/>
        <v>00059</v>
      </c>
      <c r="AN128" t="str">
        <f t="shared" si="208"/>
        <v>Incapacidad Total y Permanente</v>
      </c>
      <c r="AO128" s="118">
        <f t="shared" si="209"/>
        <v>0</v>
      </c>
      <c r="AP128" s="118" t="str">
        <f t="shared" si="210"/>
        <v>A</v>
      </c>
      <c r="AQ128" s="119" t="str">
        <f>+IF(OR($W128="",AO128=0),"",ROUND((VLOOKUP(ROUNDDOWN($D128-1/frec,0),cob_adi,Z$40,FALSE)*(1+i/frec)^-0.5*(1+Parámetros!$D$103)*(1+rec_fracc)/frec),6))</f>
        <v/>
      </c>
      <c r="AR128" s="66">
        <f t="shared" si="166"/>
        <v>0</v>
      </c>
      <c r="AS128" s="119" t="str">
        <f t="shared" si="167"/>
        <v/>
      </c>
      <c r="AT128" s="66">
        <f>+IF($W128="","",ROUND(IF($B128&gt;Parámetros!$D$107,'Tablas Servicio'!AR128+('Tablas Servicio'!AT127-'Tablas Servicio'!AR127),AR128/(1-IF(B128&lt;=10,Parámetros!$D$100,0))),2))</f>
        <v>0</v>
      </c>
      <c r="AU128" s="66">
        <f t="shared" si="168"/>
        <v>0</v>
      </c>
      <c r="AV128" s="66">
        <f t="shared" si="168"/>
        <v>0</v>
      </c>
      <c r="AW128" s="66">
        <f>+IF($W128="","",ROUND((AT128*Parámetros!$G$85),2))</f>
        <v>0</v>
      </c>
      <c r="AX128" s="66">
        <f>+IF($W128="","",ROUND((AT128*(Parámetros!$G$86)),2))</f>
        <v>0</v>
      </c>
      <c r="AY128" s="66">
        <f t="shared" si="169"/>
        <v>0</v>
      </c>
      <c r="AZ128" t="str">
        <f t="shared" si="211"/>
        <v>00060</v>
      </c>
      <c r="BA128" t="str">
        <f t="shared" si="212"/>
        <v>Muerte Accidental</v>
      </c>
      <c r="BB128" s="118">
        <f t="shared" si="213"/>
        <v>0</v>
      </c>
      <c r="BC128" s="118" t="str">
        <f t="shared" si="214"/>
        <v>A</v>
      </c>
      <c r="BD128" s="119" t="str">
        <f>+IF(OR($W128="",BB128=0),"",ROUND((VLOOKUP(ROUNDDOWN($D128-1/frec,0),cob_adi,AO$40,FALSE)*(1+i/frec)^-0.5*(1+Parámetros!$D$103)*(1+rec_fracc)/frec),6))</f>
        <v/>
      </c>
      <c r="BE128" s="66">
        <f t="shared" si="170"/>
        <v>0</v>
      </c>
      <c r="BF128" s="119" t="str">
        <f t="shared" si="171"/>
        <v/>
      </c>
      <c r="BG128" s="66">
        <f>+IF($W128="","",ROUND(IF($B128&gt;Parámetros!$D$107,'Tablas Servicio'!BE128+('Tablas Servicio'!BG127-'Tablas Servicio'!BE127),BE128/(1-IF(B128&lt;=10,Parámetros!$D$100,0))),2))</f>
        <v>0</v>
      </c>
      <c r="BH128" s="66">
        <f t="shared" si="172"/>
        <v>0</v>
      </c>
      <c r="BI128" s="66">
        <f t="shared" si="173"/>
        <v>0</v>
      </c>
      <c r="BJ128" s="66">
        <f>+IF($W128="","",ROUND((BG128*Parámetros!$G$85),2))</f>
        <v>0</v>
      </c>
      <c r="BK128" s="66">
        <f>+IF($W128="","",ROUND((BG128*(Parámetros!$G$86)),2))</f>
        <v>0</v>
      </c>
      <c r="BL128" s="66">
        <f t="shared" si="174"/>
        <v>0</v>
      </c>
      <c r="BM128" t="str">
        <f t="shared" si="215"/>
        <v>00061</v>
      </c>
      <c r="BN128" t="str">
        <f t="shared" si="216"/>
        <v>Gastos de Entierro</v>
      </c>
      <c r="BO128" s="118">
        <f t="shared" si="217"/>
        <v>0</v>
      </c>
      <c r="BP128" s="118" t="str">
        <f t="shared" si="218"/>
        <v>A</v>
      </c>
      <c r="BQ128" s="119" t="str">
        <f>+IF(OR($W128="",BO128=0),"",ROUND((VLOOKUP(ROUNDDOWN($D128-1/frec,0),cob_adi,BB$40,FALSE)*(1+i/frec)^-0.5*(1+Parámetros!$D$103)*(1+rec_fracc)/frec),6))</f>
        <v/>
      </c>
      <c r="BR128" s="66">
        <f t="shared" si="175"/>
        <v>0</v>
      </c>
      <c r="BS128" s="119" t="str">
        <f t="shared" si="176"/>
        <v/>
      </c>
      <c r="BT128" s="66">
        <f>+IF($W128="","",ROUND(IF($B128&gt;Parámetros!$D$107,'Tablas Servicio'!BR128+('Tablas Servicio'!BT127-'Tablas Servicio'!BR127),BR128/(1-IF(B128&lt;=10,Parámetros!$D$100,0))),2))</f>
        <v>0</v>
      </c>
      <c r="BU128" s="66">
        <f t="shared" si="177"/>
        <v>0</v>
      </c>
      <c r="BV128" s="66">
        <f t="shared" si="177"/>
        <v>0</v>
      </c>
      <c r="BW128" s="66">
        <f>+IF($W128="","",ROUND((BT128*Parámetros!$G$85),2))</f>
        <v>0</v>
      </c>
      <c r="BX128" s="66">
        <f>+IF($W128="","",ROUND((BT128*(Parámetros!$G$86)),2))</f>
        <v>0</v>
      </c>
      <c r="BY128" s="66">
        <f t="shared" si="178"/>
        <v>0</v>
      </c>
      <c r="BZ128" t="str">
        <f t="shared" si="219"/>
        <v>00062</v>
      </c>
      <c r="CA128" t="str">
        <f t="shared" si="220"/>
        <v>Gastos médicos por accidente</v>
      </c>
      <c r="CB128" s="118">
        <f t="shared" si="221"/>
        <v>0</v>
      </c>
      <c r="CC128" s="118" t="str">
        <f t="shared" si="222"/>
        <v>A</v>
      </c>
      <c r="CD128" s="119" t="str">
        <f t="shared" si="179"/>
        <v/>
      </c>
      <c r="CE128" s="66">
        <f>+IF($W128="","",ROUND((VLOOKUP(ROUNDDOWN($D128-1/frec,0),cob_adi,BO$40,FALSE)*(1+i/frec)^-0.5*(1+Parámetros!$D$103)*(1+rec_fracc)/frec*'TABLAS ADI'!$BC$17),2))</f>
        <v>0</v>
      </c>
      <c r="CF128" s="119" t="str">
        <f t="shared" si="180"/>
        <v/>
      </c>
      <c r="CG128" s="66">
        <f>+IF($W128="","",ROUND(IF($B128&gt;Parámetros!$D$107,'Tablas Servicio'!CE128+('Tablas Servicio'!CG127-'Tablas Servicio'!CE127),CE128/(1-IF(B128&lt;=10,Parámetros!$D$100,0))),2))</f>
        <v>0</v>
      </c>
      <c r="CH128" s="66">
        <f t="shared" si="181"/>
        <v>0</v>
      </c>
      <c r="CI128" s="66">
        <f t="shared" si="181"/>
        <v>0</v>
      </c>
      <c r="CJ128" s="66">
        <f>+IF($W128="","",ROUND((CG128*Parámetros!$G$85),2))</f>
        <v>0</v>
      </c>
      <c r="CK128" s="66">
        <f>+IF($W128="","",ROUND((CG128*(Parámetros!$G$86)),2))</f>
        <v>0</v>
      </c>
      <c r="CL128" s="66">
        <f t="shared" si="182"/>
        <v>0</v>
      </c>
      <c r="CM128" t="str">
        <f t="shared" si="223"/>
        <v>00063</v>
      </c>
      <c r="CN128" s="118" t="str">
        <f t="shared" si="224"/>
        <v>Renta Diaria por Hospitalización</v>
      </c>
      <c r="CO128" s="118">
        <f t="shared" si="225"/>
        <v>0</v>
      </c>
      <c r="CP128" s="118" t="str">
        <f t="shared" si="226"/>
        <v>A</v>
      </c>
      <c r="CQ128" s="119" t="str">
        <f t="shared" si="183"/>
        <v/>
      </c>
      <c r="CR128" s="66">
        <f>+IF($W128="","",ROUND((VLOOKUP(Parámetros!$F$51,'COBERTURAS ADICIONALES'!$S$4:$T$32,2,FALSE)*(1+i/frec)^-0.5*(1+Parámetros!$D$103)*(1+rec_fracc)/frec*$CO$42),2))</f>
        <v>0</v>
      </c>
      <c r="CS128" s="119" t="str">
        <f t="shared" si="184"/>
        <v/>
      </c>
      <c r="CT128" s="66">
        <f>+IF($W128="","",ROUND(IF($B128&gt;Parámetros!$D$107,'Tablas Servicio'!CR128+('Tablas Servicio'!CT127-'Tablas Servicio'!CR127),CR128/(1-IF(B128&lt;=10,Parámetros!$D$100,0))),2))</f>
        <v>0</v>
      </c>
      <c r="CU128" s="66">
        <f t="shared" si="185"/>
        <v>0</v>
      </c>
      <c r="CV128" s="66">
        <f t="shared" si="185"/>
        <v>0</v>
      </c>
      <c r="CW128" s="66">
        <f>+IF($W128="","",ROUND((CT128*Parámetros!$G$85),2))</f>
        <v>0</v>
      </c>
      <c r="CX128" s="66">
        <f>+IF($W128="","",ROUND((CT128*(Parámetros!$G$86)),2))</f>
        <v>0</v>
      </c>
      <c r="CY128" s="66">
        <f t="shared" si="186"/>
        <v>0</v>
      </c>
      <c r="CZ128" t="str">
        <f t="shared" si="227"/>
        <v>00064</v>
      </c>
      <c r="DA128" s="118" t="str">
        <f t="shared" si="228"/>
        <v>Enfermedades Graves</v>
      </c>
      <c r="DB128" s="118">
        <f t="shared" si="229"/>
        <v>0</v>
      </c>
      <c r="DC128" s="118" t="str">
        <f t="shared" si="230"/>
        <v>A</v>
      </c>
      <c r="DD128" s="121" t="str">
        <f>+IF(OR($W128="",DB128=0),"",ROUND((VLOOKUP(ROUNDDOWN($D128-1/frec,0),cob_adi,CO$40,FALSE)*(1+i/frec)^-0.5*(1+Parámetros!$D$103)*(1+rec_fracc)/frec),6))</f>
        <v/>
      </c>
      <c r="DE128" s="66">
        <f t="shared" si="187"/>
        <v>0</v>
      </c>
      <c r="DF128" s="119" t="str">
        <f t="shared" si="188"/>
        <v/>
      </c>
      <c r="DG128" s="66">
        <f>+IF($W128="","",ROUND(IF($B128&gt;Parámetros!$D$107,'Tablas Servicio'!DE128+('Tablas Servicio'!DG127-'Tablas Servicio'!DE127),DE128/(1-IF(B128&lt;=10,Parámetros!$D$100,0))),2))</f>
        <v>0</v>
      </c>
      <c r="DH128" s="66">
        <f t="shared" si="189"/>
        <v>0</v>
      </c>
      <c r="DI128" s="66">
        <f t="shared" si="189"/>
        <v>0</v>
      </c>
      <c r="DJ128" s="66">
        <f>+IF($W128="","",ROUND((DG128*Parámetros!$G$85),2))</f>
        <v>0</v>
      </c>
      <c r="DK128" s="66">
        <f>+IF($W128="","",ROUND((DG128*(Parámetros!$G$86)),2))</f>
        <v>0</v>
      </c>
      <c r="DL128" s="66">
        <f t="shared" si="190"/>
        <v>0</v>
      </c>
      <c r="DM128" t="str">
        <f t="shared" si="231"/>
        <v>00065</v>
      </c>
      <c r="DN128" s="118" t="str">
        <f t="shared" si="232"/>
        <v>Exención pago de primas</v>
      </c>
      <c r="DO128" s="118">
        <f t="shared" si="233"/>
        <v>0</v>
      </c>
      <c r="DP128" s="118" t="str">
        <f t="shared" si="234"/>
        <v>A</v>
      </c>
      <c r="DQ128" s="122" t="str">
        <f>+IF(OR($W128="",DO128=0),"",ROUND((VLOOKUP(ROUNDDOWN($D128-1/frec,0),cob_adi,DB$40,FALSE)*(1+i/frec)^-0.5*(1+Parámetros!$D$103)*(1+rec_fracc)/frec),6))</f>
        <v/>
      </c>
      <c r="DR128" s="66">
        <f t="shared" si="191"/>
        <v>0</v>
      </c>
      <c r="DS128" s="68" t="str">
        <f t="shared" si="192"/>
        <v/>
      </c>
      <c r="DT128" s="66">
        <f>+IF($W128="","",ROUND(IF($B128&gt;Parámetros!$D$107,'Tablas Servicio'!DR128+('Tablas Servicio'!DT127-'Tablas Servicio'!DR127),DR128/(1-IF(B128&lt;=10,Parámetros!$D$100,0))),2))</f>
        <v>0</v>
      </c>
      <c r="DU128" s="66">
        <f t="shared" si="193"/>
        <v>0</v>
      </c>
      <c r="DV128" s="66">
        <f t="shared" si="193"/>
        <v>0</v>
      </c>
      <c r="DW128" s="66">
        <f>+IF($W128="","",ROUND((DT128*Parámetros!$G$85),2))</f>
        <v>0</v>
      </c>
      <c r="DX128" s="66">
        <f>+IF($W128="","",ROUND((DT128*(Parámetros!$G$86)),2))</f>
        <v>0</v>
      </c>
      <c r="DY128" s="66">
        <f t="shared" si="194"/>
        <v>0</v>
      </c>
      <c r="DZ128" t="str">
        <f t="shared" si="235"/>
        <v>00066</v>
      </c>
      <c r="EA128" s="118" t="str">
        <f t="shared" si="235"/>
        <v>Enfermedad terminal</v>
      </c>
      <c r="EB128" s="118">
        <f>+IF($W128="","",ROUND(IF(Parámetros!$D$25='TABLAS MORT'!$V$33,EB127,Z128/2),0))</f>
        <v>50000</v>
      </c>
      <c r="EC128" s="118" t="str">
        <f t="shared" si="235"/>
        <v>A</v>
      </c>
      <c r="ED128" s="122">
        <f>+IF(OR($W128="",EB128=0),"",ROUND((VLOOKUP(ROUNDDOWN($D128-1/frec,0),cob_adi,DO$40,FALSE)*(1+i/frec)^-0.5*(1+Parámetros!$D$103)*(1+rec_fracc)/frec),6))</f>
        <v>1.2E-5</v>
      </c>
      <c r="EE128" s="66">
        <f t="shared" si="196"/>
        <v>0.6</v>
      </c>
      <c r="EF128" s="68">
        <f t="shared" si="197"/>
        <v>1.4E-5</v>
      </c>
      <c r="EG128" s="66">
        <f>+IF($W128="","",ROUND(IF($B128&gt;Parámetros!$D$107,'Tablas Servicio'!EE128+('Tablas Servicio'!EG127-'Tablas Servicio'!EE127),EE128/(1-IF(B128&lt;=10,Parámetros!$D$100,0))),2))</f>
        <v>0.68</v>
      </c>
      <c r="EH128" s="66">
        <f t="shared" si="198"/>
        <v>0</v>
      </c>
      <c r="EI128" s="66">
        <f t="shared" si="198"/>
        <v>0</v>
      </c>
      <c r="EJ128" s="66">
        <f>+IF($W128="","",ROUND((EG128*Parámetros!$G$85),2))</f>
        <v>0.02</v>
      </c>
      <c r="EK128" s="66">
        <f>+IF($W128="","",ROUND((EG128*(Parámetros!$G$86)),2))</f>
        <v>0</v>
      </c>
      <c r="EL128" s="66">
        <f t="shared" si="199"/>
        <v>0.7</v>
      </c>
    </row>
    <row r="129" spans="1:142" x14ac:dyDescent="0.25">
      <c r="A129">
        <f>+IF($C129="","",ROUND(VLOOKUP('Tablas Servicio'!B129,Parámetros!$H$100:$J$159,IF(Parámetros!$E$16="F",2,3),FALSE),2))</f>
        <v>150</v>
      </c>
      <c r="B129">
        <f t="shared" si="150"/>
        <v>8</v>
      </c>
      <c r="C129" s="57">
        <f>+IF(D129="","",'Tablas Servicio'!C128+1)</f>
        <v>88</v>
      </c>
      <c r="D129" s="56">
        <f>+IF(D128&lt;edadmaxtabla,D128+1/Parámetros!$E$25,"")</f>
        <v>47.353333333333545</v>
      </c>
      <c r="E129" s="57">
        <f t="shared" si="160"/>
        <v>47</v>
      </c>
      <c r="F129" s="59">
        <f t="shared" si="161"/>
        <v>100000</v>
      </c>
      <c r="G129" s="66">
        <f t="shared" si="151"/>
        <v>35.21</v>
      </c>
      <c r="H129" s="66">
        <f t="shared" si="152"/>
        <v>36.61</v>
      </c>
      <c r="I129" s="66">
        <f t="shared" si="200"/>
        <v>50.53</v>
      </c>
      <c r="J129" s="66">
        <f t="shared" si="153"/>
        <v>1.23</v>
      </c>
      <c r="K129" s="66">
        <f t="shared" si="154"/>
        <v>0.17</v>
      </c>
      <c r="L129" s="66">
        <f t="shared" si="155"/>
        <v>0</v>
      </c>
      <c r="M129" s="66">
        <f t="shared" si="156"/>
        <v>0</v>
      </c>
      <c r="N129" s="66">
        <f>+IF(C129="","",ROUND(Parámetros!$D$23,2))</f>
        <v>94</v>
      </c>
      <c r="O129" s="66">
        <f t="shared" si="157"/>
        <v>18.600000000000001</v>
      </c>
      <c r="P129" s="66">
        <f>+IF($C129="","",ROUND(IF(B129&gt;Parámetros!$D$117,0,N129*Parámetros!$D$116-G129*Parámetros!$D$100),2))</f>
        <v>6.86</v>
      </c>
      <c r="Q129" s="75">
        <f t="shared" si="201"/>
        <v>3.4933257597273504E-2</v>
      </c>
      <c r="R129" s="75">
        <f t="shared" si="202"/>
        <v>4.8281738142573133E-3</v>
      </c>
      <c r="S129" s="117">
        <f>+IF($C129="","",ROUND((S128+I129)*(1+Parámetros!$D$91),2))</f>
        <v>5637.08</v>
      </c>
      <c r="T129" s="117">
        <f>+IF($C129="","",ROUND(S129*VLOOKUP(B129,Parámetros!$C$30:$D$39,2,TRUE),2))</f>
        <v>4791.5200000000004</v>
      </c>
      <c r="U129" s="117">
        <f>+IF($C129="","",ROUND((U128+I129)*(1+Parámetros!$D$92),2))</f>
        <v>5747.6</v>
      </c>
      <c r="V129" s="117">
        <f>+IF($C129="","",ROUND(U129*VLOOKUP(B129,Parámetros!$C$30:$D$39,2,TRUE),2))</f>
        <v>4885.46</v>
      </c>
      <c r="W129" s="57">
        <f t="shared" si="203"/>
        <v>88</v>
      </c>
      <c r="X129" t="str">
        <f t="shared" si="204"/>
        <v>00058</v>
      </c>
      <c r="Y129" t="str">
        <f t="shared" si="205"/>
        <v>MUERTE POR CUALQUIER CAUSA</v>
      </c>
      <c r="Z129" s="118">
        <f>+IF($W129="","",ROUND(IF(Parámetros!$D$25='TABLAS MORT'!$V$33,Z128,Parámetros!$D$21-'Tablas Servicio'!T128),0))</f>
        <v>100000</v>
      </c>
      <c r="AA129" s="118" t="str">
        <f t="shared" si="206"/>
        <v>P</v>
      </c>
      <c r="AB129" s="119">
        <f>+IF(W129="","",ROUND((VLOOKUP(ROUNDDOWN($D129-1/frec,0),qx_tabla,2,FALSE)*(1+i/frec)^-0.5*(1+Parámetros!$D$103)*(1+rec_fracc)/frec),6))</f>
        <v>1.8000000000000001E-4</v>
      </c>
      <c r="AC129" s="66">
        <f t="shared" si="162"/>
        <v>18</v>
      </c>
      <c r="AD129" s="119">
        <f t="shared" si="158"/>
        <v>3.4499999999999998E-4</v>
      </c>
      <c r="AE129" s="66">
        <f>+IF($W129="","",ROUND(IF($B129&gt;Parámetros!$D$107,'Tablas Servicio'!AC129+('Tablas Servicio'!AG128-'Tablas Servicio'!AC128),AC129/(1-IF(B129&lt;=10,Parámetros!$D$104,Parámetros!$D$105))),2))</f>
        <v>37.25</v>
      </c>
      <c r="AF129" s="66">
        <f>+IF($W129="","",ROUND(IF($B129&gt;Parámetros!$D$107,'Tablas Servicio'!AC129+('Tablas Servicio'!AG128-'Tablas Servicio'!AC128),(AC129+$A128/frec)/(1-IF(B129&lt;=Parámetros!$D$117,Parámetros!$D$100,0))),2))</f>
        <v>34.53</v>
      </c>
      <c r="AG129" s="66">
        <f t="shared" si="163"/>
        <v>34.53</v>
      </c>
      <c r="AH129" s="66">
        <f t="shared" si="164"/>
        <v>0</v>
      </c>
      <c r="AI129" s="66">
        <f t="shared" si="165"/>
        <v>0</v>
      </c>
      <c r="AJ129" s="66">
        <f>+IF($W129="","",ROUND((AG129*Parámetros!$G$85),2))</f>
        <v>1.21</v>
      </c>
      <c r="AK129" s="66">
        <f>+IF($W129="","",ROUND((AG129*(Parámetros!$G$86)),2))</f>
        <v>0.17</v>
      </c>
      <c r="AL129" s="66">
        <f t="shared" si="159"/>
        <v>35.909999999999997</v>
      </c>
      <c r="AM129" t="str">
        <f t="shared" si="207"/>
        <v>00059</v>
      </c>
      <c r="AN129" t="str">
        <f t="shared" si="208"/>
        <v>Incapacidad Total y Permanente</v>
      </c>
      <c r="AO129" s="118">
        <f t="shared" si="209"/>
        <v>0</v>
      </c>
      <c r="AP129" s="118" t="str">
        <f t="shared" si="210"/>
        <v>A</v>
      </c>
      <c r="AQ129" s="119" t="str">
        <f>+IF(OR($W129="",AO129=0),"",ROUND((VLOOKUP(ROUNDDOWN($D129-1/frec,0),cob_adi,Z$40,FALSE)*(1+i/frec)^-0.5*(1+Parámetros!$D$103)*(1+rec_fracc)/frec),6))</f>
        <v/>
      </c>
      <c r="AR129" s="66">
        <f t="shared" si="166"/>
        <v>0</v>
      </c>
      <c r="AS129" s="119" t="str">
        <f t="shared" si="167"/>
        <v/>
      </c>
      <c r="AT129" s="66">
        <f>+IF($W129="","",ROUND(IF($B129&gt;Parámetros!$D$107,'Tablas Servicio'!AR129+('Tablas Servicio'!AT128-'Tablas Servicio'!AR128),AR129/(1-IF(B129&lt;=10,Parámetros!$D$100,0))),2))</f>
        <v>0</v>
      </c>
      <c r="AU129" s="66">
        <f t="shared" si="168"/>
        <v>0</v>
      </c>
      <c r="AV129" s="66">
        <f t="shared" si="168"/>
        <v>0</v>
      </c>
      <c r="AW129" s="66">
        <f>+IF($W129="","",ROUND((AT129*Parámetros!$G$85),2))</f>
        <v>0</v>
      </c>
      <c r="AX129" s="66">
        <f>+IF($W129="","",ROUND((AT129*(Parámetros!$G$86)),2))</f>
        <v>0</v>
      </c>
      <c r="AY129" s="66">
        <f t="shared" si="169"/>
        <v>0</v>
      </c>
      <c r="AZ129" t="str">
        <f t="shared" si="211"/>
        <v>00060</v>
      </c>
      <c r="BA129" t="str">
        <f t="shared" si="212"/>
        <v>Muerte Accidental</v>
      </c>
      <c r="BB129" s="118">
        <f t="shared" si="213"/>
        <v>0</v>
      </c>
      <c r="BC129" s="118" t="str">
        <f t="shared" si="214"/>
        <v>A</v>
      </c>
      <c r="BD129" s="119" t="str">
        <f>+IF(OR($W129="",BB129=0),"",ROUND((VLOOKUP(ROUNDDOWN($D129-1/frec,0),cob_adi,AO$40,FALSE)*(1+i/frec)^-0.5*(1+Parámetros!$D$103)*(1+rec_fracc)/frec),6))</f>
        <v/>
      </c>
      <c r="BE129" s="66">
        <f t="shared" si="170"/>
        <v>0</v>
      </c>
      <c r="BF129" s="119" t="str">
        <f t="shared" si="171"/>
        <v/>
      </c>
      <c r="BG129" s="66">
        <f>+IF($W129="","",ROUND(IF($B129&gt;Parámetros!$D$107,'Tablas Servicio'!BE129+('Tablas Servicio'!BG128-'Tablas Servicio'!BE128),BE129/(1-IF(B129&lt;=10,Parámetros!$D$100,0))),2))</f>
        <v>0</v>
      </c>
      <c r="BH129" s="66">
        <f t="shared" si="172"/>
        <v>0</v>
      </c>
      <c r="BI129" s="66">
        <f t="shared" si="173"/>
        <v>0</v>
      </c>
      <c r="BJ129" s="66">
        <f>+IF($W129="","",ROUND((BG129*Parámetros!$G$85),2))</f>
        <v>0</v>
      </c>
      <c r="BK129" s="66">
        <f>+IF($W129="","",ROUND((BG129*(Parámetros!$G$86)),2))</f>
        <v>0</v>
      </c>
      <c r="BL129" s="66">
        <f t="shared" si="174"/>
        <v>0</v>
      </c>
      <c r="BM129" t="str">
        <f t="shared" si="215"/>
        <v>00061</v>
      </c>
      <c r="BN129" t="str">
        <f t="shared" si="216"/>
        <v>Gastos de Entierro</v>
      </c>
      <c r="BO129" s="118">
        <f t="shared" si="217"/>
        <v>0</v>
      </c>
      <c r="BP129" s="118" t="str">
        <f t="shared" si="218"/>
        <v>A</v>
      </c>
      <c r="BQ129" s="119" t="str">
        <f>+IF(OR($W129="",BO129=0),"",ROUND((VLOOKUP(ROUNDDOWN($D129-1/frec,0),cob_adi,BB$40,FALSE)*(1+i/frec)^-0.5*(1+Parámetros!$D$103)*(1+rec_fracc)/frec),6))</f>
        <v/>
      </c>
      <c r="BR129" s="66">
        <f t="shared" si="175"/>
        <v>0</v>
      </c>
      <c r="BS129" s="119" t="str">
        <f t="shared" si="176"/>
        <v/>
      </c>
      <c r="BT129" s="66">
        <f>+IF($W129="","",ROUND(IF($B129&gt;Parámetros!$D$107,'Tablas Servicio'!BR129+('Tablas Servicio'!BT128-'Tablas Servicio'!BR128),BR129/(1-IF(B129&lt;=10,Parámetros!$D$100,0))),2))</f>
        <v>0</v>
      </c>
      <c r="BU129" s="66">
        <f t="shared" si="177"/>
        <v>0</v>
      </c>
      <c r="BV129" s="66">
        <f t="shared" si="177"/>
        <v>0</v>
      </c>
      <c r="BW129" s="66">
        <f>+IF($W129="","",ROUND((BT129*Parámetros!$G$85),2))</f>
        <v>0</v>
      </c>
      <c r="BX129" s="66">
        <f>+IF($W129="","",ROUND((BT129*(Parámetros!$G$86)),2))</f>
        <v>0</v>
      </c>
      <c r="BY129" s="66">
        <f t="shared" si="178"/>
        <v>0</v>
      </c>
      <c r="BZ129" t="str">
        <f t="shared" si="219"/>
        <v>00062</v>
      </c>
      <c r="CA129" t="str">
        <f t="shared" si="220"/>
        <v>Gastos médicos por accidente</v>
      </c>
      <c r="CB129" s="118">
        <f t="shared" si="221"/>
        <v>0</v>
      </c>
      <c r="CC129" s="118" t="str">
        <f t="shared" si="222"/>
        <v>A</v>
      </c>
      <c r="CD129" s="119" t="str">
        <f t="shared" si="179"/>
        <v/>
      </c>
      <c r="CE129" s="66">
        <f>+IF($W129="","",ROUND((VLOOKUP(ROUNDDOWN($D129-1/frec,0),cob_adi,BO$40,FALSE)*(1+i/frec)^-0.5*(1+Parámetros!$D$103)*(1+rec_fracc)/frec*'TABLAS ADI'!$BC$17),2))</f>
        <v>0</v>
      </c>
      <c r="CF129" s="119" t="str">
        <f t="shared" si="180"/>
        <v/>
      </c>
      <c r="CG129" s="66">
        <f>+IF($W129="","",ROUND(IF($B129&gt;Parámetros!$D$107,'Tablas Servicio'!CE129+('Tablas Servicio'!CG128-'Tablas Servicio'!CE128),CE129/(1-IF(B129&lt;=10,Parámetros!$D$100,0))),2))</f>
        <v>0</v>
      </c>
      <c r="CH129" s="66">
        <f t="shared" si="181"/>
        <v>0</v>
      </c>
      <c r="CI129" s="66">
        <f t="shared" si="181"/>
        <v>0</v>
      </c>
      <c r="CJ129" s="66">
        <f>+IF($W129="","",ROUND((CG129*Parámetros!$G$85),2))</f>
        <v>0</v>
      </c>
      <c r="CK129" s="66">
        <f>+IF($W129="","",ROUND((CG129*(Parámetros!$G$86)),2))</f>
        <v>0</v>
      </c>
      <c r="CL129" s="66">
        <f t="shared" si="182"/>
        <v>0</v>
      </c>
      <c r="CM129" t="str">
        <f t="shared" si="223"/>
        <v>00063</v>
      </c>
      <c r="CN129" s="118" t="str">
        <f t="shared" si="224"/>
        <v>Renta Diaria por Hospitalización</v>
      </c>
      <c r="CO129" s="118">
        <f t="shared" si="225"/>
        <v>0</v>
      </c>
      <c r="CP129" s="118" t="str">
        <f t="shared" si="226"/>
        <v>A</v>
      </c>
      <c r="CQ129" s="119" t="str">
        <f t="shared" si="183"/>
        <v/>
      </c>
      <c r="CR129" s="66">
        <f>+IF($W129="","",ROUND((VLOOKUP(Parámetros!$F$51,'COBERTURAS ADICIONALES'!$S$4:$T$32,2,FALSE)*(1+i/frec)^-0.5*(1+Parámetros!$D$103)*(1+rec_fracc)/frec*$CO$42),2))</f>
        <v>0</v>
      </c>
      <c r="CS129" s="119" t="str">
        <f t="shared" si="184"/>
        <v/>
      </c>
      <c r="CT129" s="66">
        <f>+IF($W129="","",ROUND(IF($B129&gt;Parámetros!$D$107,'Tablas Servicio'!CR129+('Tablas Servicio'!CT128-'Tablas Servicio'!CR128),CR129/(1-IF(B129&lt;=10,Parámetros!$D$100,0))),2))</f>
        <v>0</v>
      </c>
      <c r="CU129" s="66">
        <f t="shared" si="185"/>
        <v>0</v>
      </c>
      <c r="CV129" s="66">
        <f t="shared" si="185"/>
        <v>0</v>
      </c>
      <c r="CW129" s="66">
        <f>+IF($W129="","",ROUND((CT129*Parámetros!$G$85),2))</f>
        <v>0</v>
      </c>
      <c r="CX129" s="66">
        <f>+IF($W129="","",ROUND((CT129*(Parámetros!$G$86)),2))</f>
        <v>0</v>
      </c>
      <c r="CY129" s="66">
        <f t="shared" si="186"/>
        <v>0</v>
      </c>
      <c r="CZ129" t="str">
        <f t="shared" si="227"/>
        <v>00064</v>
      </c>
      <c r="DA129" s="118" t="str">
        <f t="shared" si="228"/>
        <v>Enfermedades Graves</v>
      </c>
      <c r="DB129" s="118">
        <f t="shared" si="229"/>
        <v>0</v>
      </c>
      <c r="DC129" s="118" t="str">
        <f t="shared" si="230"/>
        <v>A</v>
      </c>
      <c r="DD129" s="121" t="str">
        <f>+IF(OR($W129="",DB129=0),"",ROUND((VLOOKUP(ROUNDDOWN($D129-1/frec,0),cob_adi,CO$40,FALSE)*(1+i/frec)^-0.5*(1+Parámetros!$D$103)*(1+rec_fracc)/frec),6))</f>
        <v/>
      </c>
      <c r="DE129" s="66">
        <f t="shared" si="187"/>
        <v>0</v>
      </c>
      <c r="DF129" s="119" t="str">
        <f t="shared" si="188"/>
        <v/>
      </c>
      <c r="DG129" s="66">
        <f>+IF($W129="","",ROUND(IF($B129&gt;Parámetros!$D$107,'Tablas Servicio'!DE129+('Tablas Servicio'!DG128-'Tablas Servicio'!DE128),DE129/(1-IF(B129&lt;=10,Parámetros!$D$100,0))),2))</f>
        <v>0</v>
      </c>
      <c r="DH129" s="66">
        <f t="shared" si="189"/>
        <v>0</v>
      </c>
      <c r="DI129" s="66">
        <f t="shared" si="189"/>
        <v>0</v>
      </c>
      <c r="DJ129" s="66">
        <f>+IF($W129="","",ROUND((DG129*Parámetros!$G$85),2))</f>
        <v>0</v>
      </c>
      <c r="DK129" s="66">
        <f>+IF($W129="","",ROUND((DG129*(Parámetros!$G$86)),2))</f>
        <v>0</v>
      </c>
      <c r="DL129" s="66">
        <f t="shared" si="190"/>
        <v>0</v>
      </c>
      <c r="DM129" t="str">
        <f t="shared" si="231"/>
        <v>00065</v>
      </c>
      <c r="DN129" s="118" t="str">
        <f t="shared" si="232"/>
        <v>Exención pago de primas</v>
      </c>
      <c r="DO129" s="118">
        <f t="shared" si="233"/>
        <v>0</v>
      </c>
      <c r="DP129" s="118" t="str">
        <f t="shared" si="234"/>
        <v>A</v>
      </c>
      <c r="DQ129" s="122" t="str">
        <f>+IF(OR($W129="",DO129=0),"",ROUND((VLOOKUP(ROUNDDOWN($D129-1/frec,0),cob_adi,DB$40,FALSE)*(1+i/frec)^-0.5*(1+Parámetros!$D$103)*(1+rec_fracc)/frec),6))</f>
        <v/>
      </c>
      <c r="DR129" s="66">
        <f t="shared" si="191"/>
        <v>0</v>
      </c>
      <c r="DS129" s="68" t="str">
        <f t="shared" si="192"/>
        <v/>
      </c>
      <c r="DT129" s="66">
        <f>+IF($W129="","",ROUND(IF($B129&gt;Parámetros!$D$107,'Tablas Servicio'!DR129+('Tablas Servicio'!DT128-'Tablas Servicio'!DR128),DR129/(1-IF(B129&lt;=10,Parámetros!$D$100,0))),2))</f>
        <v>0</v>
      </c>
      <c r="DU129" s="66">
        <f t="shared" si="193"/>
        <v>0</v>
      </c>
      <c r="DV129" s="66">
        <f t="shared" si="193"/>
        <v>0</v>
      </c>
      <c r="DW129" s="66">
        <f>+IF($W129="","",ROUND((DT129*Parámetros!$G$85),2))</f>
        <v>0</v>
      </c>
      <c r="DX129" s="66">
        <f>+IF($W129="","",ROUND((DT129*(Parámetros!$G$86)),2))</f>
        <v>0</v>
      </c>
      <c r="DY129" s="66">
        <f t="shared" si="194"/>
        <v>0</v>
      </c>
      <c r="DZ129" t="str">
        <f t="shared" si="235"/>
        <v>00066</v>
      </c>
      <c r="EA129" s="118" t="str">
        <f t="shared" si="235"/>
        <v>Enfermedad terminal</v>
      </c>
      <c r="EB129" s="118">
        <f>+IF($W129="","",ROUND(IF(Parámetros!$D$25='TABLAS MORT'!$V$33,EB128,Z129/2),0))</f>
        <v>50000</v>
      </c>
      <c r="EC129" s="118" t="str">
        <f t="shared" si="235"/>
        <v>A</v>
      </c>
      <c r="ED129" s="122">
        <f>+IF(OR($W129="",EB129=0),"",ROUND((VLOOKUP(ROUNDDOWN($D129-1/frec,0),cob_adi,DO$40,FALSE)*(1+i/frec)^-0.5*(1+Parámetros!$D$103)*(1+rec_fracc)/frec),6))</f>
        <v>1.2E-5</v>
      </c>
      <c r="EE129" s="66">
        <f t="shared" si="196"/>
        <v>0.6</v>
      </c>
      <c r="EF129" s="68">
        <f t="shared" si="197"/>
        <v>1.4E-5</v>
      </c>
      <c r="EG129" s="66">
        <f>+IF($W129="","",ROUND(IF($B129&gt;Parámetros!$D$107,'Tablas Servicio'!EE129+('Tablas Servicio'!EG128-'Tablas Servicio'!EE128),EE129/(1-IF(B129&lt;=10,Parámetros!$D$100,0))),2))</f>
        <v>0.68</v>
      </c>
      <c r="EH129" s="66">
        <f t="shared" si="198"/>
        <v>0</v>
      </c>
      <c r="EI129" s="66">
        <f t="shared" si="198"/>
        <v>0</v>
      </c>
      <c r="EJ129" s="66">
        <f>+IF($W129="","",ROUND((EG129*Parámetros!$G$85),2))</f>
        <v>0.02</v>
      </c>
      <c r="EK129" s="66">
        <f>+IF($W129="","",ROUND((EG129*(Parámetros!$G$86)),2))</f>
        <v>0</v>
      </c>
      <c r="EL129" s="66">
        <f t="shared" si="199"/>
        <v>0.7</v>
      </c>
    </row>
    <row r="130" spans="1:142" x14ac:dyDescent="0.25">
      <c r="A130">
        <f>+IF($C130="","",ROUND(VLOOKUP('Tablas Servicio'!B130,Parámetros!$H$100:$J$159,IF(Parámetros!$E$16="F",2,3),FALSE),2))</f>
        <v>150</v>
      </c>
      <c r="B130">
        <f t="shared" si="150"/>
        <v>8</v>
      </c>
      <c r="C130" s="57">
        <f>+IF(D130="","",'Tablas Servicio'!C129+1)</f>
        <v>89</v>
      </c>
      <c r="D130" s="56">
        <f>+IF(D129&lt;edadmaxtabla,D129+1/Parámetros!$E$25,"")</f>
        <v>47.436666666666881</v>
      </c>
      <c r="E130" s="57">
        <f t="shared" si="160"/>
        <v>47</v>
      </c>
      <c r="F130" s="59">
        <f t="shared" si="161"/>
        <v>100000</v>
      </c>
      <c r="G130" s="66">
        <f t="shared" si="151"/>
        <v>35.21</v>
      </c>
      <c r="H130" s="66">
        <f t="shared" si="152"/>
        <v>36.61</v>
      </c>
      <c r="I130" s="66">
        <f t="shared" si="200"/>
        <v>50.53</v>
      </c>
      <c r="J130" s="66">
        <f t="shared" si="153"/>
        <v>1.23</v>
      </c>
      <c r="K130" s="66">
        <f t="shared" si="154"/>
        <v>0.17</v>
      </c>
      <c r="L130" s="66">
        <f t="shared" si="155"/>
        <v>0</v>
      </c>
      <c r="M130" s="66">
        <f t="shared" si="156"/>
        <v>0</v>
      </c>
      <c r="N130" s="66">
        <f>+IF(C130="","",ROUND(Parámetros!$D$23,2))</f>
        <v>94</v>
      </c>
      <c r="O130" s="66">
        <f t="shared" si="157"/>
        <v>18.600000000000001</v>
      </c>
      <c r="P130" s="66">
        <f>+IF($C130="","",ROUND(IF(B130&gt;Parámetros!$D$117,0,N130*Parámetros!$D$116-G130*Parámetros!$D$100),2))</f>
        <v>6.86</v>
      </c>
      <c r="Q130" s="75">
        <f t="shared" si="201"/>
        <v>3.4933257597273504E-2</v>
      </c>
      <c r="R130" s="75">
        <f t="shared" si="202"/>
        <v>4.8281738142573133E-3</v>
      </c>
      <c r="S130" s="117">
        <f>+IF($C130="","",ROUND((S129+I130)*(1+Parámetros!$D$91),2))</f>
        <v>5703.74</v>
      </c>
      <c r="T130" s="117">
        <f>+IF($C130="","",ROUND(S130*VLOOKUP(B130,Parámetros!$C$30:$D$39,2,TRUE),2))</f>
        <v>4848.18</v>
      </c>
      <c r="U130" s="117">
        <f>+IF($C130="","",ROUND((U129+I130)*(1+Parámetros!$D$92),2))</f>
        <v>5816.93</v>
      </c>
      <c r="V130" s="117">
        <f>+IF($C130="","",ROUND(U130*VLOOKUP(B130,Parámetros!$C$30:$D$39,2,TRUE),2))</f>
        <v>4944.3900000000003</v>
      </c>
      <c r="W130" s="57">
        <f t="shared" si="203"/>
        <v>89</v>
      </c>
      <c r="X130" t="str">
        <f t="shared" si="204"/>
        <v>00058</v>
      </c>
      <c r="Y130" t="str">
        <f t="shared" si="205"/>
        <v>MUERTE POR CUALQUIER CAUSA</v>
      </c>
      <c r="Z130" s="118">
        <f>+IF($W130="","",ROUND(IF(Parámetros!$D$25='TABLAS MORT'!$V$33,Z129,Parámetros!$D$21-'Tablas Servicio'!T129),0))</f>
        <v>100000</v>
      </c>
      <c r="AA130" s="118" t="str">
        <f t="shared" si="206"/>
        <v>P</v>
      </c>
      <c r="AB130" s="119">
        <f>+IF(W130="","",ROUND((VLOOKUP(ROUNDDOWN($D130-1/frec,0),qx_tabla,2,FALSE)*(1+i/frec)^-0.5*(1+Parámetros!$D$103)*(1+rec_fracc)/frec),6))</f>
        <v>1.8000000000000001E-4</v>
      </c>
      <c r="AC130" s="66">
        <f t="shared" si="162"/>
        <v>18</v>
      </c>
      <c r="AD130" s="119">
        <f t="shared" si="158"/>
        <v>3.4499999999999998E-4</v>
      </c>
      <c r="AE130" s="66">
        <f>+IF($W130="","",ROUND(IF($B130&gt;Parámetros!$D$107,'Tablas Servicio'!AC130+('Tablas Servicio'!AG129-'Tablas Servicio'!AC129),AC130/(1-IF(B130&lt;=10,Parámetros!$D$104,Parámetros!$D$105))),2))</f>
        <v>37.25</v>
      </c>
      <c r="AF130" s="66">
        <f>+IF($W130="","",ROUND(IF($B130&gt;Parámetros!$D$107,'Tablas Servicio'!AC130+('Tablas Servicio'!AG129-'Tablas Servicio'!AC129),(AC130+$A129/frec)/(1-IF(B130&lt;=Parámetros!$D$117,Parámetros!$D$100,0))),2))</f>
        <v>34.53</v>
      </c>
      <c r="AG130" s="66">
        <f t="shared" si="163"/>
        <v>34.53</v>
      </c>
      <c r="AH130" s="66">
        <f t="shared" si="164"/>
        <v>0</v>
      </c>
      <c r="AI130" s="66">
        <f t="shared" si="165"/>
        <v>0</v>
      </c>
      <c r="AJ130" s="66">
        <f>+IF($W130="","",ROUND((AG130*Parámetros!$G$85),2))</f>
        <v>1.21</v>
      </c>
      <c r="AK130" s="66">
        <f>+IF($W130="","",ROUND((AG130*(Parámetros!$G$86)),2))</f>
        <v>0.17</v>
      </c>
      <c r="AL130" s="66">
        <f t="shared" si="159"/>
        <v>35.909999999999997</v>
      </c>
      <c r="AM130" t="str">
        <f t="shared" si="207"/>
        <v>00059</v>
      </c>
      <c r="AN130" t="str">
        <f t="shared" si="208"/>
        <v>Incapacidad Total y Permanente</v>
      </c>
      <c r="AO130" s="118">
        <f t="shared" si="209"/>
        <v>0</v>
      </c>
      <c r="AP130" s="118" t="str">
        <f t="shared" si="210"/>
        <v>A</v>
      </c>
      <c r="AQ130" s="119" t="str">
        <f>+IF(OR($W130="",AO130=0),"",ROUND((VLOOKUP(ROUNDDOWN($D130-1/frec,0),cob_adi,Z$40,FALSE)*(1+i/frec)^-0.5*(1+Parámetros!$D$103)*(1+rec_fracc)/frec),6))</f>
        <v/>
      </c>
      <c r="AR130" s="66">
        <f t="shared" si="166"/>
        <v>0</v>
      </c>
      <c r="AS130" s="119" t="str">
        <f t="shared" si="167"/>
        <v/>
      </c>
      <c r="AT130" s="66">
        <f>+IF($W130="","",ROUND(IF($B130&gt;Parámetros!$D$107,'Tablas Servicio'!AR130+('Tablas Servicio'!AT129-'Tablas Servicio'!AR129),AR130/(1-IF(B130&lt;=10,Parámetros!$D$100,0))),2))</f>
        <v>0</v>
      </c>
      <c r="AU130" s="66">
        <f t="shared" si="168"/>
        <v>0</v>
      </c>
      <c r="AV130" s="66">
        <f t="shared" si="168"/>
        <v>0</v>
      </c>
      <c r="AW130" s="66">
        <f>+IF($W130="","",ROUND((AT130*Parámetros!$G$85),2))</f>
        <v>0</v>
      </c>
      <c r="AX130" s="66">
        <f>+IF($W130="","",ROUND((AT130*(Parámetros!$G$86)),2))</f>
        <v>0</v>
      </c>
      <c r="AY130" s="66">
        <f t="shared" si="169"/>
        <v>0</v>
      </c>
      <c r="AZ130" t="str">
        <f t="shared" si="211"/>
        <v>00060</v>
      </c>
      <c r="BA130" t="str">
        <f t="shared" si="212"/>
        <v>Muerte Accidental</v>
      </c>
      <c r="BB130" s="118">
        <f t="shared" si="213"/>
        <v>0</v>
      </c>
      <c r="BC130" s="118" t="str">
        <f t="shared" si="214"/>
        <v>A</v>
      </c>
      <c r="BD130" s="119" t="str">
        <f>+IF(OR($W130="",BB130=0),"",ROUND((VLOOKUP(ROUNDDOWN($D130-1/frec,0),cob_adi,AO$40,FALSE)*(1+i/frec)^-0.5*(1+Parámetros!$D$103)*(1+rec_fracc)/frec),6))</f>
        <v/>
      </c>
      <c r="BE130" s="66">
        <f t="shared" si="170"/>
        <v>0</v>
      </c>
      <c r="BF130" s="119" t="str">
        <f t="shared" si="171"/>
        <v/>
      </c>
      <c r="BG130" s="66">
        <f>+IF($W130="","",ROUND(IF($B130&gt;Parámetros!$D$107,'Tablas Servicio'!BE130+('Tablas Servicio'!BG129-'Tablas Servicio'!BE129),BE130/(1-IF(B130&lt;=10,Parámetros!$D$100,0))),2))</f>
        <v>0</v>
      </c>
      <c r="BH130" s="66">
        <f t="shared" si="172"/>
        <v>0</v>
      </c>
      <c r="BI130" s="66">
        <f t="shared" si="173"/>
        <v>0</v>
      </c>
      <c r="BJ130" s="66">
        <f>+IF($W130="","",ROUND((BG130*Parámetros!$G$85),2))</f>
        <v>0</v>
      </c>
      <c r="BK130" s="66">
        <f>+IF($W130="","",ROUND((BG130*(Parámetros!$G$86)),2))</f>
        <v>0</v>
      </c>
      <c r="BL130" s="66">
        <f t="shared" si="174"/>
        <v>0</v>
      </c>
      <c r="BM130" t="str">
        <f t="shared" si="215"/>
        <v>00061</v>
      </c>
      <c r="BN130" t="str">
        <f t="shared" si="216"/>
        <v>Gastos de Entierro</v>
      </c>
      <c r="BO130" s="118">
        <f t="shared" si="217"/>
        <v>0</v>
      </c>
      <c r="BP130" s="118" t="str">
        <f t="shared" si="218"/>
        <v>A</v>
      </c>
      <c r="BQ130" s="119" t="str">
        <f>+IF(OR($W130="",BO130=0),"",ROUND((VLOOKUP(ROUNDDOWN($D130-1/frec,0),cob_adi,BB$40,FALSE)*(1+i/frec)^-0.5*(1+Parámetros!$D$103)*(1+rec_fracc)/frec),6))</f>
        <v/>
      </c>
      <c r="BR130" s="66">
        <f t="shared" si="175"/>
        <v>0</v>
      </c>
      <c r="BS130" s="119" t="str">
        <f t="shared" si="176"/>
        <v/>
      </c>
      <c r="BT130" s="66">
        <f>+IF($W130="","",ROUND(IF($B130&gt;Parámetros!$D$107,'Tablas Servicio'!BR130+('Tablas Servicio'!BT129-'Tablas Servicio'!BR129),BR130/(1-IF(B130&lt;=10,Parámetros!$D$100,0))),2))</f>
        <v>0</v>
      </c>
      <c r="BU130" s="66">
        <f t="shared" si="177"/>
        <v>0</v>
      </c>
      <c r="BV130" s="66">
        <f t="shared" si="177"/>
        <v>0</v>
      </c>
      <c r="BW130" s="66">
        <f>+IF($W130="","",ROUND((BT130*Parámetros!$G$85),2))</f>
        <v>0</v>
      </c>
      <c r="BX130" s="66">
        <f>+IF($W130="","",ROUND((BT130*(Parámetros!$G$86)),2))</f>
        <v>0</v>
      </c>
      <c r="BY130" s="66">
        <f t="shared" si="178"/>
        <v>0</v>
      </c>
      <c r="BZ130" t="str">
        <f t="shared" si="219"/>
        <v>00062</v>
      </c>
      <c r="CA130" t="str">
        <f t="shared" si="220"/>
        <v>Gastos médicos por accidente</v>
      </c>
      <c r="CB130" s="118">
        <f t="shared" si="221"/>
        <v>0</v>
      </c>
      <c r="CC130" s="118" t="str">
        <f t="shared" si="222"/>
        <v>A</v>
      </c>
      <c r="CD130" s="119" t="str">
        <f t="shared" si="179"/>
        <v/>
      </c>
      <c r="CE130" s="66">
        <f>+IF($W130="","",ROUND((VLOOKUP(ROUNDDOWN($D130-1/frec,0),cob_adi,BO$40,FALSE)*(1+i/frec)^-0.5*(1+Parámetros!$D$103)*(1+rec_fracc)/frec*'TABLAS ADI'!$BC$17),2))</f>
        <v>0</v>
      </c>
      <c r="CF130" s="119" t="str">
        <f t="shared" si="180"/>
        <v/>
      </c>
      <c r="CG130" s="66">
        <f>+IF($W130="","",ROUND(IF($B130&gt;Parámetros!$D$107,'Tablas Servicio'!CE130+('Tablas Servicio'!CG129-'Tablas Servicio'!CE129),CE130/(1-IF(B130&lt;=10,Parámetros!$D$100,0))),2))</f>
        <v>0</v>
      </c>
      <c r="CH130" s="66">
        <f t="shared" si="181"/>
        <v>0</v>
      </c>
      <c r="CI130" s="66">
        <f t="shared" si="181"/>
        <v>0</v>
      </c>
      <c r="CJ130" s="66">
        <f>+IF($W130="","",ROUND((CG130*Parámetros!$G$85),2))</f>
        <v>0</v>
      </c>
      <c r="CK130" s="66">
        <f>+IF($W130="","",ROUND((CG130*(Parámetros!$G$86)),2))</f>
        <v>0</v>
      </c>
      <c r="CL130" s="66">
        <f t="shared" si="182"/>
        <v>0</v>
      </c>
      <c r="CM130" t="str">
        <f t="shared" si="223"/>
        <v>00063</v>
      </c>
      <c r="CN130" s="118" t="str">
        <f t="shared" si="224"/>
        <v>Renta Diaria por Hospitalización</v>
      </c>
      <c r="CO130" s="118">
        <f t="shared" si="225"/>
        <v>0</v>
      </c>
      <c r="CP130" s="118" t="str">
        <f t="shared" si="226"/>
        <v>A</v>
      </c>
      <c r="CQ130" s="119" t="str">
        <f t="shared" si="183"/>
        <v/>
      </c>
      <c r="CR130" s="66">
        <f>+IF($W130="","",ROUND((VLOOKUP(Parámetros!$F$51,'COBERTURAS ADICIONALES'!$S$4:$T$32,2,FALSE)*(1+i/frec)^-0.5*(1+Parámetros!$D$103)*(1+rec_fracc)/frec*$CO$42),2))</f>
        <v>0</v>
      </c>
      <c r="CS130" s="119" t="str">
        <f t="shared" si="184"/>
        <v/>
      </c>
      <c r="CT130" s="66">
        <f>+IF($W130="","",ROUND(IF($B130&gt;Parámetros!$D$107,'Tablas Servicio'!CR130+('Tablas Servicio'!CT129-'Tablas Servicio'!CR129),CR130/(1-IF(B130&lt;=10,Parámetros!$D$100,0))),2))</f>
        <v>0</v>
      </c>
      <c r="CU130" s="66">
        <f t="shared" si="185"/>
        <v>0</v>
      </c>
      <c r="CV130" s="66">
        <f t="shared" si="185"/>
        <v>0</v>
      </c>
      <c r="CW130" s="66">
        <f>+IF($W130="","",ROUND((CT130*Parámetros!$G$85),2))</f>
        <v>0</v>
      </c>
      <c r="CX130" s="66">
        <f>+IF($W130="","",ROUND((CT130*(Parámetros!$G$86)),2))</f>
        <v>0</v>
      </c>
      <c r="CY130" s="66">
        <f t="shared" si="186"/>
        <v>0</v>
      </c>
      <c r="CZ130" t="str">
        <f t="shared" si="227"/>
        <v>00064</v>
      </c>
      <c r="DA130" s="118" t="str">
        <f t="shared" si="228"/>
        <v>Enfermedades Graves</v>
      </c>
      <c r="DB130" s="118">
        <f t="shared" si="229"/>
        <v>0</v>
      </c>
      <c r="DC130" s="118" t="str">
        <f t="shared" si="230"/>
        <v>A</v>
      </c>
      <c r="DD130" s="121" t="str">
        <f>+IF(OR($W130="",DB130=0),"",ROUND((VLOOKUP(ROUNDDOWN($D130-1/frec,0),cob_adi,CO$40,FALSE)*(1+i/frec)^-0.5*(1+Parámetros!$D$103)*(1+rec_fracc)/frec),6))</f>
        <v/>
      </c>
      <c r="DE130" s="66">
        <f t="shared" si="187"/>
        <v>0</v>
      </c>
      <c r="DF130" s="119" t="str">
        <f t="shared" si="188"/>
        <v/>
      </c>
      <c r="DG130" s="66">
        <f>+IF($W130="","",ROUND(IF($B130&gt;Parámetros!$D$107,'Tablas Servicio'!DE130+('Tablas Servicio'!DG129-'Tablas Servicio'!DE129),DE130/(1-IF(B130&lt;=10,Parámetros!$D$100,0))),2))</f>
        <v>0</v>
      </c>
      <c r="DH130" s="66">
        <f t="shared" si="189"/>
        <v>0</v>
      </c>
      <c r="DI130" s="66">
        <f t="shared" si="189"/>
        <v>0</v>
      </c>
      <c r="DJ130" s="66">
        <f>+IF($W130="","",ROUND((DG130*Parámetros!$G$85),2))</f>
        <v>0</v>
      </c>
      <c r="DK130" s="66">
        <f>+IF($W130="","",ROUND((DG130*(Parámetros!$G$86)),2))</f>
        <v>0</v>
      </c>
      <c r="DL130" s="66">
        <f t="shared" si="190"/>
        <v>0</v>
      </c>
      <c r="DM130" t="str">
        <f t="shared" si="231"/>
        <v>00065</v>
      </c>
      <c r="DN130" s="118" t="str">
        <f t="shared" si="232"/>
        <v>Exención pago de primas</v>
      </c>
      <c r="DO130" s="118">
        <f t="shared" si="233"/>
        <v>0</v>
      </c>
      <c r="DP130" s="118" t="str">
        <f t="shared" si="234"/>
        <v>A</v>
      </c>
      <c r="DQ130" s="122" t="str">
        <f>+IF(OR($W130="",DO130=0),"",ROUND((VLOOKUP(ROUNDDOWN($D130-1/frec,0),cob_adi,DB$40,FALSE)*(1+i/frec)^-0.5*(1+Parámetros!$D$103)*(1+rec_fracc)/frec),6))</f>
        <v/>
      </c>
      <c r="DR130" s="66">
        <f t="shared" si="191"/>
        <v>0</v>
      </c>
      <c r="DS130" s="68" t="str">
        <f t="shared" si="192"/>
        <v/>
      </c>
      <c r="DT130" s="66">
        <f>+IF($W130="","",ROUND(IF($B130&gt;Parámetros!$D$107,'Tablas Servicio'!DR130+('Tablas Servicio'!DT129-'Tablas Servicio'!DR129),DR130/(1-IF(B130&lt;=10,Parámetros!$D$100,0))),2))</f>
        <v>0</v>
      </c>
      <c r="DU130" s="66">
        <f t="shared" si="193"/>
        <v>0</v>
      </c>
      <c r="DV130" s="66">
        <f t="shared" si="193"/>
        <v>0</v>
      </c>
      <c r="DW130" s="66">
        <f>+IF($W130="","",ROUND((DT130*Parámetros!$G$85),2))</f>
        <v>0</v>
      </c>
      <c r="DX130" s="66">
        <f>+IF($W130="","",ROUND((DT130*(Parámetros!$G$86)),2))</f>
        <v>0</v>
      </c>
      <c r="DY130" s="66">
        <f t="shared" si="194"/>
        <v>0</v>
      </c>
      <c r="DZ130" t="str">
        <f t="shared" si="235"/>
        <v>00066</v>
      </c>
      <c r="EA130" s="118" t="str">
        <f t="shared" si="235"/>
        <v>Enfermedad terminal</v>
      </c>
      <c r="EB130" s="118">
        <f>+IF($W130="","",ROUND(IF(Parámetros!$D$25='TABLAS MORT'!$V$33,EB129,Z130/2),0))</f>
        <v>50000</v>
      </c>
      <c r="EC130" s="118" t="str">
        <f t="shared" si="235"/>
        <v>A</v>
      </c>
      <c r="ED130" s="122">
        <f>+IF(OR($W130="",EB130=0),"",ROUND((VLOOKUP(ROUNDDOWN($D130-1/frec,0),cob_adi,DO$40,FALSE)*(1+i/frec)^-0.5*(1+Parámetros!$D$103)*(1+rec_fracc)/frec),6))</f>
        <v>1.2E-5</v>
      </c>
      <c r="EE130" s="66">
        <f t="shared" si="196"/>
        <v>0.6</v>
      </c>
      <c r="EF130" s="68">
        <f t="shared" si="197"/>
        <v>1.4E-5</v>
      </c>
      <c r="EG130" s="66">
        <f>+IF($W130="","",ROUND(IF($B130&gt;Parámetros!$D$107,'Tablas Servicio'!EE130+('Tablas Servicio'!EG129-'Tablas Servicio'!EE129),EE130/(1-IF(B130&lt;=10,Parámetros!$D$100,0))),2))</f>
        <v>0.68</v>
      </c>
      <c r="EH130" s="66">
        <f t="shared" si="198"/>
        <v>0</v>
      </c>
      <c r="EI130" s="66">
        <f t="shared" si="198"/>
        <v>0</v>
      </c>
      <c r="EJ130" s="66">
        <f>+IF($W130="","",ROUND((EG130*Parámetros!$G$85),2))</f>
        <v>0.02</v>
      </c>
      <c r="EK130" s="66">
        <f>+IF($W130="","",ROUND((EG130*(Parámetros!$G$86)),2))</f>
        <v>0</v>
      </c>
      <c r="EL130" s="66">
        <f t="shared" si="199"/>
        <v>0.7</v>
      </c>
    </row>
    <row r="131" spans="1:142" x14ac:dyDescent="0.25">
      <c r="A131">
        <f>+IF($C131="","",ROUND(VLOOKUP('Tablas Servicio'!B131,Parámetros!$H$100:$J$159,IF(Parámetros!$E$16="F",2,3),FALSE),2))</f>
        <v>150</v>
      </c>
      <c r="B131">
        <f t="shared" si="150"/>
        <v>8</v>
      </c>
      <c r="C131" s="57">
        <f>+IF(D131="","",'Tablas Servicio'!C130+1)</f>
        <v>90</v>
      </c>
      <c r="D131" s="56">
        <f>+IF(D130&lt;edadmaxtabla,D130+1/Parámetros!$E$25,"")</f>
        <v>47.520000000000216</v>
      </c>
      <c r="E131" s="57">
        <f t="shared" si="160"/>
        <v>47</v>
      </c>
      <c r="F131" s="59">
        <f t="shared" si="161"/>
        <v>100000</v>
      </c>
      <c r="G131" s="66">
        <f t="shared" si="151"/>
        <v>35.21</v>
      </c>
      <c r="H131" s="66">
        <f t="shared" si="152"/>
        <v>36.61</v>
      </c>
      <c r="I131" s="66">
        <f t="shared" si="200"/>
        <v>50.53</v>
      </c>
      <c r="J131" s="66">
        <f t="shared" si="153"/>
        <v>1.23</v>
      </c>
      <c r="K131" s="66">
        <f t="shared" si="154"/>
        <v>0.17</v>
      </c>
      <c r="L131" s="66">
        <f t="shared" si="155"/>
        <v>0</v>
      </c>
      <c r="M131" s="66">
        <f t="shared" si="156"/>
        <v>0</v>
      </c>
      <c r="N131" s="66">
        <f>+IF(C131="","",ROUND(Parámetros!$D$23,2))</f>
        <v>94</v>
      </c>
      <c r="O131" s="66">
        <f t="shared" si="157"/>
        <v>18.600000000000001</v>
      </c>
      <c r="P131" s="66">
        <f>+IF($C131="","",ROUND(IF(B131&gt;Parámetros!$D$117,0,N131*Parámetros!$D$116-G131*Parámetros!$D$100),2))</f>
        <v>6.86</v>
      </c>
      <c r="Q131" s="75">
        <f t="shared" si="201"/>
        <v>3.4933257597273504E-2</v>
      </c>
      <c r="R131" s="75">
        <f t="shared" si="202"/>
        <v>4.8281738142573133E-3</v>
      </c>
      <c r="S131" s="117">
        <f>+IF($C131="","",ROUND((S130+I131)*(1+Parámetros!$D$91),2))</f>
        <v>5770.59</v>
      </c>
      <c r="T131" s="117">
        <f>+IF($C131="","",ROUND(S131*VLOOKUP(B131,Parámetros!$C$30:$D$39,2,TRUE),2))</f>
        <v>4905</v>
      </c>
      <c r="U131" s="117">
        <f>+IF($C131="","",ROUND((U130+I131)*(1+Parámetros!$D$92),2))</f>
        <v>5886.48</v>
      </c>
      <c r="V131" s="117">
        <f>+IF($C131="","",ROUND(U131*VLOOKUP(B131,Parámetros!$C$30:$D$39,2,TRUE),2))</f>
        <v>5003.51</v>
      </c>
      <c r="W131" s="57">
        <f t="shared" si="203"/>
        <v>90</v>
      </c>
      <c r="X131" t="str">
        <f t="shared" si="204"/>
        <v>00058</v>
      </c>
      <c r="Y131" t="str">
        <f t="shared" si="205"/>
        <v>MUERTE POR CUALQUIER CAUSA</v>
      </c>
      <c r="Z131" s="118">
        <f>+IF($W131="","",ROUND(IF(Parámetros!$D$25='TABLAS MORT'!$V$33,Z130,Parámetros!$D$21-'Tablas Servicio'!T130),0))</f>
        <v>100000</v>
      </c>
      <c r="AA131" s="118" t="str">
        <f t="shared" si="206"/>
        <v>P</v>
      </c>
      <c r="AB131" s="119">
        <f>+IF(W131="","",ROUND((VLOOKUP(ROUNDDOWN($D131-1/frec,0),qx_tabla,2,FALSE)*(1+i/frec)^-0.5*(1+Parámetros!$D$103)*(1+rec_fracc)/frec),6))</f>
        <v>1.8000000000000001E-4</v>
      </c>
      <c r="AC131" s="66">
        <f t="shared" si="162"/>
        <v>18</v>
      </c>
      <c r="AD131" s="119">
        <f t="shared" si="158"/>
        <v>3.4499999999999998E-4</v>
      </c>
      <c r="AE131" s="66">
        <f>+IF($W131="","",ROUND(IF($B131&gt;Parámetros!$D$107,'Tablas Servicio'!AC131+('Tablas Servicio'!AG130-'Tablas Servicio'!AC130),AC131/(1-IF(B131&lt;=10,Parámetros!$D$104,Parámetros!$D$105))),2))</f>
        <v>37.25</v>
      </c>
      <c r="AF131" s="66">
        <f>+IF($W131="","",ROUND(IF($B131&gt;Parámetros!$D$107,'Tablas Servicio'!AC131+('Tablas Servicio'!AG130-'Tablas Servicio'!AC130),(AC131+$A130/frec)/(1-IF(B131&lt;=Parámetros!$D$117,Parámetros!$D$100,0))),2))</f>
        <v>34.53</v>
      </c>
      <c r="AG131" s="66">
        <f t="shared" si="163"/>
        <v>34.53</v>
      </c>
      <c r="AH131" s="66">
        <f t="shared" si="164"/>
        <v>0</v>
      </c>
      <c r="AI131" s="66">
        <f t="shared" si="165"/>
        <v>0</v>
      </c>
      <c r="AJ131" s="66">
        <f>+IF($W131="","",ROUND((AG131*Parámetros!$G$85),2))</f>
        <v>1.21</v>
      </c>
      <c r="AK131" s="66">
        <f>+IF($W131="","",ROUND((AG131*(Parámetros!$G$86)),2))</f>
        <v>0.17</v>
      </c>
      <c r="AL131" s="66">
        <f t="shared" si="159"/>
        <v>35.909999999999997</v>
      </c>
      <c r="AM131" t="str">
        <f t="shared" si="207"/>
        <v>00059</v>
      </c>
      <c r="AN131" t="str">
        <f t="shared" si="208"/>
        <v>Incapacidad Total y Permanente</v>
      </c>
      <c r="AO131" s="118">
        <f t="shared" si="209"/>
        <v>0</v>
      </c>
      <c r="AP131" s="118" t="str">
        <f t="shared" si="210"/>
        <v>A</v>
      </c>
      <c r="AQ131" s="119" t="str">
        <f>+IF(OR($W131="",AO131=0),"",ROUND((VLOOKUP(ROUNDDOWN($D131-1/frec,0),cob_adi,Z$40,FALSE)*(1+i/frec)^-0.5*(1+Parámetros!$D$103)*(1+rec_fracc)/frec),6))</f>
        <v/>
      </c>
      <c r="AR131" s="66">
        <f t="shared" si="166"/>
        <v>0</v>
      </c>
      <c r="AS131" s="119" t="str">
        <f t="shared" si="167"/>
        <v/>
      </c>
      <c r="AT131" s="66">
        <f>+IF($W131="","",ROUND(IF($B131&gt;Parámetros!$D$107,'Tablas Servicio'!AR131+('Tablas Servicio'!AT130-'Tablas Servicio'!AR130),AR131/(1-IF(B131&lt;=10,Parámetros!$D$100,0))),2))</f>
        <v>0</v>
      </c>
      <c r="AU131" s="66">
        <f t="shared" si="168"/>
        <v>0</v>
      </c>
      <c r="AV131" s="66">
        <f t="shared" si="168"/>
        <v>0</v>
      </c>
      <c r="AW131" s="66">
        <f>+IF($W131="","",ROUND((AT131*Parámetros!$G$85),2))</f>
        <v>0</v>
      </c>
      <c r="AX131" s="66">
        <f>+IF($W131="","",ROUND((AT131*(Parámetros!$G$86)),2))</f>
        <v>0</v>
      </c>
      <c r="AY131" s="66">
        <f t="shared" si="169"/>
        <v>0</v>
      </c>
      <c r="AZ131" t="str">
        <f t="shared" si="211"/>
        <v>00060</v>
      </c>
      <c r="BA131" t="str">
        <f t="shared" si="212"/>
        <v>Muerte Accidental</v>
      </c>
      <c r="BB131" s="118">
        <f t="shared" si="213"/>
        <v>0</v>
      </c>
      <c r="BC131" s="118" t="str">
        <f t="shared" si="214"/>
        <v>A</v>
      </c>
      <c r="BD131" s="119" t="str">
        <f>+IF(OR($W131="",BB131=0),"",ROUND((VLOOKUP(ROUNDDOWN($D131-1/frec,0),cob_adi,AO$40,FALSE)*(1+i/frec)^-0.5*(1+Parámetros!$D$103)*(1+rec_fracc)/frec),6))</f>
        <v/>
      </c>
      <c r="BE131" s="66">
        <f t="shared" si="170"/>
        <v>0</v>
      </c>
      <c r="BF131" s="119" t="str">
        <f t="shared" si="171"/>
        <v/>
      </c>
      <c r="BG131" s="66">
        <f>+IF($W131="","",ROUND(IF($B131&gt;Parámetros!$D$107,'Tablas Servicio'!BE131+('Tablas Servicio'!BG130-'Tablas Servicio'!BE130),BE131/(1-IF(B131&lt;=10,Parámetros!$D$100,0))),2))</f>
        <v>0</v>
      </c>
      <c r="BH131" s="66">
        <f t="shared" si="172"/>
        <v>0</v>
      </c>
      <c r="BI131" s="66">
        <f t="shared" si="173"/>
        <v>0</v>
      </c>
      <c r="BJ131" s="66">
        <f>+IF($W131="","",ROUND((BG131*Parámetros!$G$85),2))</f>
        <v>0</v>
      </c>
      <c r="BK131" s="66">
        <f>+IF($W131="","",ROUND((BG131*(Parámetros!$G$86)),2))</f>
        <v>0</v>
      </c>
      <c r="BL131" s="66">
        <f t="shared" si="174"/>
        <v>0</v>
      </c>
      <c r="BM131" t="str">
        <f t="shared" si="215"/>
        <v>00061</v>
      </c>
      <c r="BN131" t="str">
        <f t="shared" si="216"/>
        <v>Gastos de Entierro</v>
      </c>
      <c r="BO131" s="118">
        <f t="shared" si="217"/>
        <v>0</v>
      </c>
      <c r="BP131" s="118" t="str">
        <f t="shared" si="218"/>
        <v>A</v>
      </c>
      <c r="BQ131" s="119" t="str">
        <f>+IF(OR($W131="",BO131=0),"",ROUND((VLOOKUP(ROUNDDOWN($D131-1/frec,0),cob_adi,BB$40,FALSE)*(1+i/frec)^-0.5*(1+Parámetros!$D$103)*(1+rec_fracc)/frec),6))</f>
        <v/>
      </c>
      <c r="BR131" s="66">
        <f t="shared" si="175"/>
        <v>0</v>
      </c>
      <c r="BS131" s="119" t="str">
        <f t="shared" si="176"/>
        <v/>
      </c>
      <c r="BT131" s="66">
        <f>+IF($W131="","",ROUND(IF($B131&gt;Parámetros!$D$107,'Tablas Servicio'!BR131+('Tablas Servicio'!BT130-'Tablas Servicio'!BR130),BR131/(1-IF(B131&lt;=10,Parámetros!$D$100,0))),2))</f>
        <v>0</v>
      </c>
      <c r="BU131" s="66">
        <f t="shared" si="177"/>
        <v>0</v>
      </c>
      <c r="BV131" s="66">
        <f t="shared" si="177"/>
        <v>0</v>
      </c>
      <c r="BW131" s="66">
        <f>+IF($W131="","",ROUND((BT131*Parámetros!$G$85),2))</f>
        <v>0</v>
      </c>
      <c r="BX131" s="66">
        <f>+IF($W131="","",ROUND((BT131*(Parámetros!$G$86)),2))</f>
        <v>0</v>
      </c>
      <c r="BY131" s="66">
        <f t="shared" si="178"/>
        <v>0</v>
      </c>
      <c r="BZ131" t="str">
        <f t="shared" si="219"/>
        <v>00062</v>
      </c>
      <c r="CA131" t="str">
        <f t="shared" si="220"/>
        <v>Gastos médicos por accidente</v>
      </c>
      <c r="CB131" s="118">
        <f t="shared" si="221"/>
        <v>0</v>
      </c>
      <c r="CC131" s="118" t="str">
        <f t="shared" si="222"/>
        <v>A</v>
      </c>
      <c r="CD131" s="119" t="str">
        <f t="shared" si="179"/>
        <v/>
      </c>
      <c r="CE131" s="66">
        <f>+IF($W131="","",ROUND((VLOOKUP(ROUNDDOWN($D131-1/frec,0),cob_adi,BO$40,FALSE)*(1+i/frec)^-0.5*(1+Parámetros!$D$103)*(1+rec_fracc)/frec*'TABLAS ADI'!$BC$17),2))</f>
        <v>0</v>
      </c>
      <c r="CF131" s="119" t="str">
        <f t="shared" si="180"/>
        <v/>
      </c>
      <c r="CG131" s="66">
        <f>+IF($W131="","",ROUND(IF($B131&gt;Parámetros!$D$107,'Tablas Servicio'!CE131+('Tablas Servicio'!CG130-'Tablas Servicio'!CE130),CE131/(1-IF(B131&lt;=10,Parámetros!$D$100,0))),2))</f>
        <v>0</v>
      </c>
      <c r="CH131" s="66">
        <f t="shared" si="181"/>
        <v>0</v>
      </c>
      <c r="CI131" s="66">
        <f t="shared" si="181"/>
        <v>0</v>
      </c>
      <c r="CJ131" s="66">
        <f>+IF($W131="","",ROUND((CG131*Parámetros!$G$85),2))</f>
        <v>0</v>
      </c>
      <c r="CK131" s="66">
        <f>+IF($W131="","",ROUND((CG131*(Parámetros!$G$86)),2))</f>
        <v>0</v>
      </c>
      <c r="CL131" s="66">
        <f t="shared" si="182"/>
        <v>0</v>
      </c>
      <c r="CM131" t="str">
        <f t="shared" si="223"/>
        <v>00063</v>
      </c>
      <c r="CN131" s="118" t="str">
        <f t="shared" si="224"/>
        <v>Renta Diaria por Hospitalización</v>
      </c>
      <c r="CO131" s="118">
        <f t="shared" si="225"/>
        <v>0</v>
      </c>
      <c r="CP131" s="118" t="str">
        <f t="shared" si="226"/>
        <v>A</v>
      </c>
      <c r="CQ131" s="119" t="str">
        <f t="shared" si="183"/>
        <v/>
      </c>
      <c r="CR131" s="66">
        <f>+IF($W131="","",ROUND((VLOOKUP(Parámetros!$F$51,'COBERTURAS ADICIONALES'!$S$4:$T$32,2,FALSE)*(1+i/frec)^-0.5*(1+Parámetros!$D$103)*(1+rec_fracc)/frec*$CO$42),2))</f>
        <v>0</v>
      </c>
      <c r="CS131" s="119" t="str">
        <f t="shared" si="184"/>
        <v/>
      </c>
      <c r="CT131" s="66">
        <f>+IF($W131="","",ROUND(IF($B131&gt;Parámetros!$D$107,'Tablas Servicio'!CR131+('Tablas Servicio'!CT130-'Tablas Servicio'!CR130),CR131/(1-IF(B131&lt;=10,Parámetros!$D$100,0))),2))</f>
        <v>0</v>
      </c>
      <c r="CU131" s="66">
        <f t="shared" si="185"/>
        <v>0</v>
      </c>
      <c r="CV131" s="66">
        <f t="shared" si="185"/>
        <v>0</v>
      </c>
      <c r="CW131" s="66">
        <f>+IF($W131="","",ROUND((CT131*Parámetros!$G$85),2))</f>
        <v>0</v>
      </c>
      <c r="CX131" s="66">
        <f>+IF($W131="","",ROUND((CT131*(Parámetros!$G$86)),2))</f>
        <v>0</v>
      </c>
      <c r="CY131" s="66">
        <f t="shared" si="186"/>
        <v>0</v>
      </c>
      <c r="CZ131" t="str">
        <f t="shared" si="227"/>
        <v>00064</v>
      </c>
      <c r="DA131" s="118" t="str">
        <f t="shared" si="228"/>
        <v>Enfermedades Graves</v>
      </c>
      <c r="DB131" s="118">
        <f t="shared" si="229"/>
        <v>0</v>
      </c>
      <c r="DC131" s="118" t="str">
        <f t="shared" si="230"/>
        <v>A</v>
      </c>
      <c r="DD131" s="121" t="str">
        <f>+IF(OR($W131="",DB131=0),"",ROUND((VLOOKUP(ROUNDDOWN($D131-1/frec,0),cob_adi,CO$40,FALSE)*(1+i/frec)^-0.5*(1+Parámetros!$D$103)*(1+rec_fracc)/frec),6))</f>
        <v/>
      </c>
      <c r="DE131" s="66">
        <f t="shared" si="187"/>
        <v>0</v>
      </c>
      <c r="DF131" s="119" t="str">
        <f t="shared" si="188"/>
        <v/>
      </c>
      <c r="DG131" s="66">
        <f>+IF($W131="","",ROUND(IF($B131&gt;Parámetros!$D$107,'Tablas Servicio'!DE131+('Tablas Servicio'!DG130-'Tablas Servicio'!DE130),DE131/(1-IF(B131&lt;=10,Parámetros!$D$100,0))),2))</f>
        <v>0</v>
      </c>
      <c r="DH131" s="66">
        <f t="shared" si="189"/>
        <v>0</v>
      </c>
      <c r="DI131" s="66">
        <f t="shared" si="189"/>
        <v>0</v>
      </c>
      <c r="DJ131" s="66">
        <f>+IF($W131="","",ROUND((DG131*Parámetros!$G$85),2))</f>
        <v>0</v>
      </c>
      <c r="DK131" s="66">
        <f>+IF($W131="","",ROUND((DG131*(Parámetros!$G$86)),2))</f>
        <v>0</v>
      </c>
      <c r="DL131" s="66">
        <f t="shared" si="190"/>
        <v>0</v>
      </c>
      <c r="DM131" t="str">
        <f t="shared" si="231"/>
        <v>00065</v>
      </c>
      <c r="DN131" s="118" t="str">
        <f t="shared" si="232"/>
        <v>Exención pago de primas</v>
      </c>
      <c r="DO131" s="118">
        <f t="shared" si="233"/>
        <v>0</v>
      </c>
      <c r="DP131" s="118" t="str">
        <f t="shared" si="234"/>
        <v>A</v>
      </c>
      <c r="DQ131" s="122" t="str">
        <f>+IF(OR($W131="",DO131=0),"",ROUND((VLOOKUP(ROUNDDOWN($D131-1/frec,0),cob_adi,DB$40,FALSE)*(1+i/frec)^-0.5*(1+Parámetros!$D$103)*(1+rec_fracc)/frec),6))</f>
        <v/>
      </c>
      <c r="DR131" s="66">
        <f t="shared" si="191"/>
        <v>0</v>
      </c>
      <c r="DS131" s="68" t="str">
        <f t="shared" si="192"/>
        <v/>
      </c>
      <c r="DT131" s="66">
        <f>+IF($W131="","",ROUND(IF($B131&gt;Parámetros!$D$107,'Tablas Servicio'!DR131+('Tablas Servicio'!DT130-'Tablas Servicio'!DR130),DR131/(1-IF(B131&lt;=10,Parámetros!$D$100,0))),2))</f>
        <v>0</v>
      </c>
      <c r="DU131" s="66">
        <f t="shared" si="193"/>
        <v>0</v>
      </c>
      <c r="DV131" s="66">
        <f t="shared" si="193"/>
        <v>0</v>
      </c>
      <c r="DW131" s="66">
        <f>+IF($W131="","",ROUND((DT131*Parámetros!$G$85),2))</f>
        <v>0</v>
      </c>
      <c r="DX131" s="66">
        <f>+IF($W131="","",ROUND((DT131*(Parámetros!$G$86)),2))</f>
        <v>0</v>
      </c>
      <c r="DY131" s="66">
        <f t="shared" si="194"/>
        <v>0</v>
      </c>
      <c r="DZ131" t="str">
        <f t="shared" si="235"/>
        <v>00066</v>
      </c>
      <c r="EA131" s="118" t="str">
        <f t="shared" si="235"/>
        <v>Enfermedad terminal</v>
      </c>
      <c r="EB131" s="118">
        <f>+IF($W131="","",ROUND(IF(Parámetros!$D$25='TABLAS MORT'!$V$33,EB130,Z131/2),0))</f>
        <v>50000</v>
      </c>
      <c r="EC131" s="118" t="str">
        <f t="shared" si="235"/>
        <v>A</v>
      </c>
      <c r="ED131" s="122">
        <f>+IF(OR($W131="",EB131=0),"",ROUND((VLOOKUP(ROUNDDOWN($D131-1/frec,0),cob_adi,DO$40,FALSE)*(1+i/frec)^-0.5*(1+Parámetros!$D$103)*(1+rec_fracc)/frec),6))</f>
        <v>1.2E-5</v>
      </c>
      <c r="EE131" s="66">
        <f t="shared" si="196"/>
        <v>0.6</v>
      </c>
      <c r="EF131" s="68">
        <f t="shared" si="197"/>
        <v>1.4E-5</v>
      </c>
      <c r="EG131" s="66">
        <f>+IF($W131="","",ROUND(IF($B131&gt;Parámetros!$D$107,'Tablas Servicio'!EE131+('Tablas Servicio'!EG130-'Tablas Servicio'!EE130),EE131/(1-IF(B131&lt;=10,Parámetros!$D$100,0))),2))</f>
        <v>0.68</v>
      </c>
      <c r="EH131" s="66">
        <f t="shared" si="198"/>
        <v>0</v>
      </c>
      <c r="EI131" s="66">
        <f t="shared" si="198"/>
        <v>0</v>
      </c>
      <c r="EJ131" s="66">
        <f>+IF($W131="","",ROUND((EG131*Parámetros!$G$85),2))</f>
        <v>0.02</v>
      </c>
      <c r="EK131" s="66">
        <f>+IF($W131="","",ROUND((EG131*(Parámetros!$G$86)),2))</f>
        <v>0</v>
      </c>
      <c r="EL131" s="66">
        <f t="shared" si="199"/>
        <v>0.7</v>
      </c>
    </row>
    <row r="132" spans="1:142" x14ac:dyDescent="0.25">
      <c r="A132">
        <f>+IF($C132="","",ROUND(VLOOKUP('Tablas Servicio'!B132,Parámetros!$H$100:$J$159,IF(Parámetros!$E$16="F",2,3),FALSE),2))</f>
        <v>150</v>
      </c>
      <c r="B132">
        <f t="shared" si="150"/>
        <v>8</v>
      </c>
      <c r="C132" s="57">
        <f>+IF(D132="","",'Tablas Servicio'!C131+1)</f>
        <v>91</v>
      </c>
      <c r="D132" s="56">
        <f>+IF(D131&lt;edadmaxtabla,D131+1/Parámetros!$E$25,"")</f>
        <v>47.603333333333552</v>
      </c>
      <c r="E132" s="57">
        <f t="shared" si="160"/>
        <v>47</v>
      </c>
      <c r="F132" s="59">
        <f t="shared" si="161"/>
        <v>100000</v>
      </c>
      <c r="G132" s="66">
        <f t="shared" si="151"/>
        <v>35.21</v>
      </c>
      <c r="H132" s="66">
        <f t="shared" si="152"/>
        <v>36.61</v>
      </c>
      <c r="I132" s="66">
        <f t="shared" si="200"/>
        <v>50.53</v>
      </c>
      <c r="J132" s="66">
        <f t="shared" si="153"/>
        <v>1.23</v>
      </c>
      <c r="K132" s="66">
        <f t="shared" si="154"/>
        <v>0.17</v>
      </c>
      <c r="L132" s="66">
        <f t="shared" si="155"/>
        <v>0</v>
      </c>
      <c r="M132" s="66">
        <f t="shared" si="156"/>
        <v>0</v>
      </c>
      <c r="N132" s="66">
        <f>+IF(C132="","",ROUND(Parámetros!$D$23,2))</f>
        <v>94</v>
      </c>
      <c r="O132" s="66">
        <f t="shared" si="157"/>
        <v>18.600000000000001</v>
      </c>
      <c r="P132" s="66">
        <f>+IF($C132="","",ROUND(IF(B132&gt;Parámetros!$D$117,0,N132*Parámetros!$D$116-G132*Parámetros!$D$100),2))</f>
        <v>6.86</v>
      </c>
      <c r="Q132" s="75">
        <f t="shared" si="201"/>
        <v>3.4933257597273504E-2</v>
      </c>
      <c r="R132" s="75">
        <f t="shared" si="202"/>
        <v>4.8281738142573133E-3</v>
      </c>
      <c r="S132" s="117">
        <f>+IF($C132="","",ROUND((S131+I132)*(1+Parámetros!$D$91),2))</f>
        <v>5837.63</v>
      </c>
      <c r="T132" s="117">
        <f>+IF($C132="","",ROUND(S132*VLOOKUP(B132,Parámetros!$C$30:$D$39,2,TRUE),2))</f>
        <v>4961.99</v>
      </c>
      <c r="U132" s="117">
        <f>+IF($C132="","",ROUND((U131+I132)*(1+Parámetros!$D$92),2))</f>
        <v>5956.26</v>
      </c>
      <c r="V132" s="117">
        <f>+IF($C132="","",ROUND(U132*VLOOKUP(B132,Parámetros!$C$30:$D$39,2,TRUE),2))</f>
        <v>5062.82</v>
      </c>
      <c r="W132" s="57">
        <f t="shared" si="203"/>
        <v>91</v>
      </c>
      <c r="X132" t="str">
        <f t="shared" si="204"/>
        <v>00058</v>
      </c>
      <c r="Y132" t="str">
        <f t="shared" si="205"/>
        <v>MUERTE POR CUALQUIER CAUSA</v>
      </c>
      <c r="Z132" s="118">
        <f>+IF($W132="","",ROUND(IF(Parámetros!$D$25='TABLAS MORT'!$V$33,Z131,Parámetros!$D$21-'Tablas Servicio'!T131),0))</f>
        <v>100000</v>
      </c>
      <c r="AA132" s="118" t="str">
        <f t="shared" si="206"/>
        <v>P</v>
      </c>
      <c r="AB132" s="119">
        <f>+IF(W132="","",ROUND((VLOOKUP(ROUNDDOWN($D132-1/frec,0),qx_tabla,2,FALSE)*(1+i/frec)^-0.5*(1+Parámetros!$D$103)*(1+rec_fracc)/frec),6))</f>
        <v>1.8000000000000001E-4</v>
      </c>
      <c r="AC132" s="66">
        <f t="shared" si="162"/>
        <v>18</v>
      </c>
      <c r="AD132" s="119">
        <f t="shared" si="158"/>
        <v>3.4499999999999998E-4</v>
      </c>
      <c r="AE132" s="66">
        <f>+IF($W132="","",ROUND(IF($B132&gt;Parámetros!$D$107,'Tablas Servicio'!AC132+('Tablas Servicio'!AG131-'Tablas Servicio'!AC131),AC132/(1-IF(B132&lt;=10,Parámetros!$D$104,Parámetros!$D$105))),2))</f>
        <v>37.25</v>
      </c>
      <c r="AF132" s="66">
        <f>+IF($W132="","",ROUND(IF($B132&gt;Parámetros!$D$107,'Tablas Servicio'!AC132+('Tablas Servicio'!AG131-'Tablas Servicio'!AC131),(AC132+$A131/frec)/(1-IF(B132&lt;=Parámetros!$D$117,Parámetros!$D$100,0))),2))</f>
        <v>34.53</v>
      </c>
      <c r="AG132" s="66">
        <f t="shared" si="163"/>
        <v>34.53</v>
      </c>
      <c r="AH132" s="66">
        <f t="shared" si="164"/>
        <v>0</v>
      </c>
      <c r="AI132" s="66">
        <f t="shared" si="165"/>
        <v>0</v>
      </c>
      <c r="AJ132" s="66">
        <f>+IF($W132="","",ROUND((AG132*Parámetros!$G$85),2))</f>
        <v>1.21</v>
      </c>
      <c r="AK132" s="66">
        <f>+IF($W132="","",ROUND((AG132*(Parámetros!$G$86)),2))</f>
        <v>0.17</v>
      </c>
      <c r="AL132" s="66">
        <f t="shared" si="159"/>
        <v>35.909999999999997</v>
      </c>
      <c r="AM132" t="str">
        <f t="shared" si="207"/>
        <v>00059</v>
      </c>
      <c r="AN132" t="str">
        <f t="shared" si="208"/>
        <v>Incapacidad Total y Permanente</v>
      </c>
      <c r="AO132" s="118">
        <f t="shared" si="209"/>
        <v>0</v>
      </c>
      <c r="AP132" s="118" t="str">
        <f t="shared" si="210"/>
        <v>A</v>
      </c>
      <c r="AQ132" s="119" t="str">
        <f>+IF(OR($W132="",AO132=0),"",ROUND((VLOOKUP(ROUNDDOWN($D132-1/frec,0),cob_adi,Z$40,FALSE)*(1+i/frec)^-0.5*(1+Parámetros!$D$103)*(1+rec_fracc)/frec),6))</f>
        <v/>
      </c>
      <c r="AR132" s="66">
        <f t="shared" si="166"/>
        <v>0</v>
      </c>
      <c r="AS132" s="119" t="str">
        <f t="shared" si="167"/>
        <v/>
      </c>
      <c r="AT132" s="66">
        <f>+IF($W132="","",ROUND(IF($B132&gt;Parámetros!$D$107,'Tablas Servicio'!AR132+('Tablas Servicio'!AT131-'Tablas Servicio'!AR131),AR132/(1-IF(B132&lt;=10,Parámetros!$D$100,0))),2))</f>
        <v>0</v>
      </c>
      <c r="AU132" s="66">
        <f t="shared" si="168"/>
        <v>0</v>
      </c>
      <c r="AV132" s="66">
        <f t="shared" si="168"/>
        <v>0</v>
      </c>
      <c r="AW132" s="66">
        <f>+IF($W132="","",ROUND((AT132*Parámetros!$G$85),2))</f>
        <v>0</v>
      </c>
      <c r="AX132" s="66">
        <f>+IF($W132="","",ROUND((AT132*(Parámetros!$G$86)),2))</f>
        <v>0</v>
      </c>
      <c r="AY132" s="66">
        <f t="shared" si="169"/>
        <v>0</v>
      </c>
      <c r="AZ132" t="str">
        <f t="shared" si="211"/>
        <v>00060</v>
      </c>
      <c r="BA132" t="str">
        <f t="shared" si="212"/>
        <v>Muerte Accidental</v>
      </c>
      <c r="BB132" s="118">
        <f t="shared" si="213"/>
        <v>0</v>
      </c>
      <c r="BC132" s="118" t="str">
        <f t="shared" si="214"/>
        <v>A</v>
      </c>
      <c r="BD132" s="119" t="str">
        <f>+IF(OR($W132="",BB132=0),"",ROUND((VLOOKUP(ROUNDDOWN($D132-1/frec,0),cob_adi,AO$40,FALSE)*(1+i/frec)^-0.5*(1+Parámetros!$D$103)*(1+rec_fracc)/frec),6))</f>
        <v/>
      </c>
      <c r="BE132" s="66">
        <f t="shared" si="170"/>
        <v>0</v>
      </c>
      <c r="BF132" s="119" t="str">
        <f t="shared" si="171"/>
        <v/>
      </c>
      <c r="BG132" s="66">
        <f>+IF($W132="","",ROUND(IF($B132&gt;Parámetros!$D$107,'Tablas Servicio'!BE132+('Tablas Servicio'!BG131-'Tablas Servicio'!BE131),BE132/(1-IF(B132&lt;=10,Parámetros!$D$100,0))),2))</f>
        <v>0</v>
      </c>
      <c r="BH132" s="66">
        <f t="shared" si="172"/>
        <v>0</v>
      </c>
      <c r="BI132" s="66">
        <f t="shared" si="173"/>
        <v>0</v>
      </c>
      <c r="BJ132" s="66">
        <f>+IF($W132="","",ROUND((BG132*Parámetros!$G$85),2))</f>
        <v>0</v>
      </c>
      <c r="BK132" s="66">
        <f>+IF($W132="","",ROUND((BG132*(Parámetros!$G$86)),2))</f>
        <v>0</v>
      </c>
      <c r="BL132" s="66">
        <f t="shared" si="174"/>
        <v>0</v>
      </c>
      <c r="BM132" t="str">
        <f t="shared" si="215"/>
        <v>00061</v>
      </c>
      <c r="BN132" t="str">
        <f t="shared" si="216"/>
        <v>Gastos de Entierro</v>
      </c>
      <c r="BO132" s="118">
        <f t="shared" si="217"/>
        <v>0</v>
      </c>
      <c r="BP132" s="118" t="str">
        <f t="shared" si="218"/>
        <v>A</v>
      </c>
      <c r="BQ132" s="119" t="str">
        <f>+IF(OR($W132="",BO132=0),"",ROUND((VLOOKUP(ROUNDDOWN($D132-1/frec,0),cob_adi,BB$40,FALSE)*(1+i/frec)^-0.5*(1+Parámetros!$D$103)*(1+rec_fracc)/frec),6))</f>
        <v/>
      </c>
      <c r="BR132" s="66">
        <f t="shared" si="175"/>
        <v>0</v>
      </c>
      <c r="BS132" s="119" t="str">
        <f t="shared" si="176"/>
        <v/>
      </c>
      <c r="BT132" s="66">
        <f>+IF($W132="","",ROUND(IF($B132&gt;Parámetros!$D$107,'Tablas Servicio'!BR132+('Tablas Servicio'!BT131-'Tablas Servicio'!BR131),BR132/(1-IF(B132&lt;=10,Parámetros!$D$100,0))),2))</f>
        <v>0</v>
      </c>
      <c r="BU132" s="66">
        <f t="shared" si="177"/>
        <v>0</v>
      </c>
      <c r="BV132" s="66">
        <f t="shared" si="177"/>
        <v>0</v>
      </c>
      <c r="BW132" s="66">
        <f>+IF($W132="","",ROUND((BT132*Parámetros!$G$85),2))</f>
        <v>0</v>
      </c>
      <c r="BX132" s="66">
        <f>+IF($W132="","",ROUND((BT132*(Parámetros!$G$86)),2))</f>
        <v>0</v>
      </c>
      <c r="BY132" s="66">
        <f t="shared" si="178"/>
        <v>0</v>
      </c>
      <c r="BZ132" t="str">
        <f t="shared" si="219"/>
        <v>00062</v>
      </c>
      <c r="CA132" t="str">
        <f t="shared" si="220"/>
        <v>Gastos médicos por accidente</v>
      </c>
      <c r="CB132" s="118">
        <f t="shared" si="221"/>
        <v>0</v>
      </c>
      <c r="CC132" s="118" t="str">
        <f t="shared" si="222"/>
        <v>A</v>
      </c>
      <c r="CD132" s="119" t="str">
        <f t="shared" si="179"/>
        <v/>
      </c>
      <c r="CE132" s="66">
        <f>+IF($W132="","",ROUND((VLOOKUP(ROUNDDOWN($D132-1/frec,0),cob_adi,BO$40,FALSE)*(1+i/frec)^-0.5*(1+Parámetros!$D$103)*(1+rec_fracc)/frec*'TABLAS ADI'!$BC$17),2))</f>
        <v>0</v>
      </c>
      <c r="CF132" s="119" t="str">
        <f t="shared" si="180"/>
        <v/>
      </c>
      <c r="CG132" s="66">
        <f>+IF($W132="","",ROUND(IF($B132&gt;Parámetros!$D$107,'Tablas Servicio'!CE132+('Tablas Servicio'!CG131-'Tablas Servicio'!CE131),CE132/(1-IF(B132&lt;=10,Parámetros!$D$100,0))),2))</f>
        <v>0</v>
      </c>
      <c r="CH132" s="66">
        <f t="shared" si="181"/>
        <v>0</v>
      </c>
      <c r="CI132" s="66">
        <f t="shared" si="181"/>
        <v>0</v>
      </c>
      <c r="CJ132" s="66">
        <f>+IF($W132="","",ROUND((CG132*Parámetros!$G$85),2))</f>
        <v>0</v>
      </c>
      <c r="CK132" s="66">
        <f>+IF($W132="","",ROUND((CG132*(Parámetros!$G$86)),2))</f>
        <v>0</v>
      </c>
      <c r="CL132" s="66">
        <f t="shared" si="182"/>
        <v>0</v>
      </c>
      <c r="CM132" t="str">
        <f t="shared" si="223"/>
        <v>00063</v>
      </c>
      <c r="CN132" s="118" t="str">
        <f t="shared" si="224"/>
        <v>Renta Diaria por Hospitalización</v>
      </c>
      <c r="CO132" s="118">
        <f t="shared" si="225"/>
        <v>0</v>
      </c>
      <c r="CP132" s="118" t="str">
        <f t="shared" si="226"/>
        <v>A</v>
      </c>
      <c r="CQ132" s="119" t="str">
        <f t="shared" si="183"/>
        <v/>
      </c>
      <c r="CR132" s="66">
        <f>+IF($W132="","",ROUND((VLOOKUP(Parámetros!$F$51,'COBERTURAS ADICIONALES'!$S$4:$T$32,2,FALSE)*(1+i/frec)^-0.5*(1+Parámetros!$D$103)*(1+rec_fracc)/frec*$CO$42),2))</f>
        <v>0</v>
      </c>
      <c r="CS132" s="119" t="str">
        <f t="shared" si="184"/>
        <v/>
      </c>
      <c r="CT132" s="66">
        <f>+IF($W132="","",ROUND(IF($B132&gt;Parámetros!$D$107,'Tablas Servicio'!CR132+('Tablas Servicio'!CT131-'Tablas Servicio'!CR131),CR132/(1-IF(B132&lt;=10,Parámetros!$D$100,0))),2))</f>
        <v>0</v>
      </c>
      <c r="CU132" s="66">
        <f t="shared" si="185"/>
        <v>0</v>
      </c>
      <c r="CV132" s="66">
        <f t="shared" si="185"/>
        <v>0</v>
      </c>
      <c r="CW132" s="66">
        <f>+IF($W132="","",ROUND((CT132*Parámetros!$G$85),2))</f>
        <v>0</v>
      </c>
      <c r="CX132" s="66">
        <f>+IF($W132="","",ROUND((CT132*(Parámetros!$G$86)),2))</f>
        <v>0</v>
      </c>
      <c r="CY132" s="66">
        <f t="shared" si="186"/>
        <v>0</v>
      </c>
      <c r="CZ132" t="str">
        <f t="shared" si="227"/>
        <v>00064</v>
      </c>
      <c r="DA132" s="118" t="str">
        <f t="shared" si="228"/>
        <v>Enfermedades Graves</v>
      </c>
      <c r="DB132" s="118">
        <f t="shared" si="229"/>
        <v>0</v>
      </c>
      <c r="DC132" s="118" t="str">
        <f t="shared" si="230"/>
        <v>A</v>
      </c>
      <c r="DD132" s="121" t="str">
        <f>+IF(OR($W132="",DB132=0),"",ROUND((VLOOKUP(ROUNDDOWN($D132-1/frec,0),cob_adi,CO$40,FALSE)*(1+i/frec)^-0.5*(1+Parámetros!$D$103)*(1+rec_fracc)/frec),6))</f>
        <v/>
      </c>
      <c r="DE132" s="66">
        <f t="shared" si="187"/>
        <v>0</v>
      </c>
      <c r="DF132" s="119" t="str">
        <f t="shared" si="188"/>
        <v/>
      </c>
      <c r="DG132" s="66">
        <f>+IF($W132="","",ROUND(IF($B132&gt;Parámetros!$D$107,'Tablas Servicio'!DE132+('Tablas Servicio'!DG131-'Tablas Servicio'!DE131),DE132/(1-IF(B132&lt;=10,Parámetros!$D$100,0))),2))</f>
        <v>0</v>
      </c>
      <c r="DH132" s="66">
        <f t="shared" si="189"/>
        <v>0</v>
      </c>
      <c r="DI132" s="66">
        <f t="shared" si="189"/>
        <v>0</v>
      </c>
      <c r="DJ132" s="66">
        <f>+IF($W132="","",ROUND((DG132*Parámetros!$G$85),2))</f>
        <v>0</v>
      </c>
      <c r="DK132" s="66">
        <f>+IF($W132="","",ROUND((DG132*(Parámetros!$G$86)),2))</f>
        <v>0</v>
      </c>
      <c r="DL132" s="66">
        <f t="shared" si="190"/>
        <v>0</v>
      </c>
      <c r="DM132" t="str">
        <f t="shared" si="231"/>
        <v>00065</v>
      </c>
      <c r="DN132" s="118" t="str">
        <f t="shared" si="232"/>
        <v>Exención pago de primas</v>
      </c>
      <c r="DO132" s="118">
        <f t="shared" si="233"/>
        <v>0</v>
      </c>
      <c r="DP132" s="118" t="str">
        <f t="shared" si="234"/>
        <v>A</v>
      </c>
      <c r="DQ132" s="122" t="str">
        <f>+IF(OR($W132="",DO132=0),"",ROUND((VLOOKUP(ROUNDDOWN($D132-1/frec,0),cob_adi,DB$40,FALSE)*(1+i/frec)^-0.5*(1+Parámetros!$D$103)*(1+rec_fracc)/frec),6))</f>
        <v/>
      </c>
      <c r="DR132" s="66">
        <f t="shared" si="191"/>
        <v>0</v>
      </c>
      <c r="DS132" s="68" t="str">
        <f t="shared" si="192"/>
        <v/>
      </c>
      <c r="DT132" s="66">
        <f>+IF($W132="","",ROUND(IF($B132&gt;Parámetros!$D$107,'Tablas Servicio'!DR132+('Tablas Servicio'!DT131-'Tablas Servicio'!DR131),DR132/(1-IF(B132&lt;=10,Parámetros!$D$100,0))),2))</f>
        <v>0</v>
      </c>
      <c r="DU132" s="66">
        <f t="shared" si="193"/>
        <v>0</v>
      </c>
      <c r="DV132" s="66">
        <f t="shared" si="193"/>
        <v>0</v>
      </c>
      <c r="DW132" s="66">
        <f>+IF($W132="","",ROUND((DT132*Parámetros!$G$85),2))</f>
        <v>0</v>
      </c>
      <c r="DX132" s="66">
        <f>+IF($W132="","",ROUND((DT132*(Parámetros!$G$86)),2))</f>
        <v>0</v>
      </c>
      <c r="DY132" s="66">
        <f t="shared" si="194"/>
        <v>0</v>
      </c>
      <c r="DZ132" t="str">
        <f t="shared" si="235"/>
        <v>00066</v>
      </c>
      <c r="EA132" s="118" t="str">
        <f t="shared" si="235"/>
        <v>Enfermedad terminal</v>
      </c>
      <c r="EB132" s="118">
        <f>+IF($W132="","",ROUND(IF(Parámetros!$D$25='TABLAS MORT'!$V$33,EB131,Z132/2),0))</f>
        <v>50000</v>
      </c>
      <c r="EC132" s="118" t="str">
        <f t="shared" si="235"/>
        <v>A</v>
      </c>
      <c r="ED132" s="122">
        <f>+IF(OR($W132="",EB132=0),"",ROUND((VLOOKUP(ROUNDDOWN($D132-1/frec,0),cob_adi,DO$40,FALSE)*(1+i/frec)^-0.5*(1+Parámetros!$D$103)*(1+rec_fracc)/frec),6))</f>
        <v>1.2E-5</v>
      </c>
      <c r="EE132" s="66">
        <f t="shared" si="196"/>
        <v>0.6</v>
      </c>
      <c r="EF132" s="68">
        <f t="shared" si="197"/>
        <v>1.4E-5</v>
      </c>
      <c r="EG132" s="66">
        <f>+IF($W132="","",ROUND(IF($B132&gt;Parámetros!$D$107,'Tablas Servicio'!EE132+('Tablas Servicio'!EG131-'Tablas Servicio'!EE131),EE132/(1-IF(B132&lt;=10,Parámetros!$D$100,0))),2))</f>
        <v>0.68</v>
      </c>
      <c r="EH132" s="66">
        <f t="shared" si="198"/>
        <v>0</v>
      </c>
      <c r="EI132" s="66">
        <f t="shared" si="198"/>
        <v>0</v>
      </c>
      <c r="EJ132" s="66">
        <f>+IF($W132="","",ROUND((EG132*Parámetros!$G$85),2))</f>
        <v>0.02</v>
      </c>
      <c r="EK132" s="66">
        <f>+IF($W132="","",ROUND((EG132*(Parámetros!$G$86)),2))</f>
        <v>0</v>
      </c>
      <c r="EL132" s="66">
        <f t="shared" si="199"/>
        <v>0.7</v>
      </c>
    </row>
    <row r="133" spans="1:142" x14ac:dyDescent="0.25">
      <c r="A133">
        <f>+IF($C133="","",ROUND(VLOOKUP('Tablas Servicio'!B133,Parámetros!$H$100:$J$159,IF(Parámetros!$E$16="F",2,3),FALSE),2))</f>
        <v>150</v>
      </c>
      <c r="B133">
        <f t="shared" si="150"/>
        <v>8</v>
      </c>
      <c r="C133" s="57">
        <f>+IF(D133="","",'Tablas Servicio'!C132+1)</f>
        <v>92</v>
      </c>
      <c r="D133" s="56">
        <f>+IF(D132&lt;edadmaxtabla,D132+1/Parámetros!$E$25,"")</f>
        <v>47.686666666666888</v>
      </c>
      <c r="E133" s="57">
        <f t="shared" si="160"/>
        <v>47</v>
      </c>
      <c r="F133" s="59">
        <f t="shared" si="161"/>
        <v>100000</v>
      </c>
      <c r="G133" s="66">
        <f t="shared" si="151"/>
        <v>35.21</v>
      </c>
      <c r="H133" s="66">
        <f t="shared" si="152"/>
        <v>36.61</v>
      </c>
      <c r="I133" s="66">
        <f t="shared" si="200"/>
        <v>50.53</v>
      </c>
      <c r="J133" s="66">
        <f t="shared" si="153"/>
        <v>1.23</v>
      </c>
      <c r="K133" s="66">
        <f t="shared" si="154"/>
        <v>0.17</v>
      </c>
      <c r="L133" s="66">
        <f t="shared" si="155"/>
        <v>0</v>
      </c>
      <c r="M133" s="66">
        <f t="shared" si="156"/>
        <v>0</v>
      </c>
      <c r="N133" s="66">
        <f>+IF(C133="","",ROUND(Parámetros!$D$23,2))</f>
        <v>94</v>
      </c>
      <c r="O133" s="66">
        <f t="shared" si="157"/>
        <v>18.600000000000001</v>
      </c>
      <c r="P133" s="66">
        <f>+IF($C133="","",ROUND(IF(B133&gt;Parámetros!$D$117,0,N133*Parámetros!$D$116-G133*Parámetros!$D$100),2))</f>
        <v>6.86</v>
      </c>
      <c r="Q133" s="75">
        <f t="shared" si="201"/>
        <v>3.4933257597273504E-2</v>
      </c>
      <c r="R133" s="75">
        <f t="shared" si="202"/>
        <v>4.8281738142573133E-3</v>
      </c>
      <c r="S133" s="117">
        <f>+IF($C133="","",ROUND((S132+I133)*(1+Parámetros!$D$91),2))</f>
        <v>5904.86</v>
      </c>
      <c r="T133" s="117">
        <f>+IF($C133="","",ROUND(S133*VLOOKUP(B133,Parámetros!$C$30:$D$39,2,TRUE),2))</f>
        <v>5019.13</v>
      </c>
      <c r="U133" s="117">
        <f>+IF($C133="","",ROUND((U132+I133)*(1+Parámetros!$D$92),2))</f>
        <v>6026.26</v>
      </c>
      <c r="V133" s="117">
        <f>+IF($C133="","",ROUND(U133*VLOOKUP(B133,Parámetros!$C$30:$D$39,2,TRUE),2))</f>
        <v>5122.32</v>
      </c>
      <c r="W133" s="57">
        <f t="shared" si="203"/>
        <v>92</v>
      </c>
      <c r="X133" t="str">
        <f t="shared" si="204"/>
        <v>00058</v>
      </c>
      <c r="Y133" t="str">
        <f t="shared" si="205"/>
        <v>MUERTE POR CUALQUIER CAUSA</v>
      </c>
      <c r="Z133" s="118">
        <f>+IF($W133="","",ROUND(IF(Parámetros!$D$25='TABLAS MORT'!$V$33,Z132,Parámetros!$D$21-'Tablas Servicio'!T132),0))</f>
        <v>100000</v>
      </c>
      <c r="AA133" s="118" t="str">
        <f t="shared" si="206"/>
        <v>P</v>
      </c>
      <c r="AB133" s="119">
        <f>+IF(W133="","",ROUND((VLOOKUP(ROUNDDOWN($D133-1/frec,0),qx_tabla,2,FALSE)*(1+i/frec)^-0.5*(1+Parámetros!$D$103)*(1+rec_fracc)/frec),6))</f>
        <v>1.8000000000000001E-4</v>
      </c>
      <c r="AC133" s="66">
        <f t="shared" si="162"/>
        <v>18</v>
      </c>
      <c r="AD133" s="119">
        <f t="shared" si="158"/>
        <v>3.4499999999999998E-4</v>
      </c>
      <c r="AE133" s="66">
        <f>+IF($W133="","",ROUND(IF($B133&gt;Parámetros!$D$107,'Tablas Servicio'!AC133+('Tablas Servicio'!AG132-'Tablas Servicio'!AC132),AC133/(1-IF(B133&lt;=10,Parámetros!$D$104,Parámetros!$D$105))),2))</f>
        <v>37.25</v>
      </c>
      <c r="AF133" s="66">
        <f>+IF($W133="","",ROUND(IF($B133&gt;Parámetros!$D$107,'Tablas Servicio'!AC133+('Tablas Servicio'!AG132-'Tablas Servicio'!AC132),(AC133+$A132/frec)/(1-IF(B133&lt;=Parámetros!$D$117,Parámetros!$D$100,0))),2))</f>
        <v>34.53</v>
      </c>
      <c r="AG133" s="66">
        <f t="shared" si="163"/>
        <v>34.53</v>
      </c>
      <c r="AH133" s="66">
        <f t="shared" si="164"/>
        <v>0</v>
      </c>
      <c r="AI133" s="66">
        <f t="shared" si="165"/>
        <v>0</v>
      </c>
      <c r="AJ133" s="66">
        <f>+IF($W133="","",ROUND((AG133*Parámetros!$G$85),2))</f>
        <v>1.21</v>
      </c>
      <c r="AK133" s="66">
        <f>+IF($W133="","",ROUND((AG133*(Parámetros!$G$86)),2))</f>
        <v>0.17</v>
      </c>
      <c r="AL133" s="66">
        <f t="shared" si="159"/>
        <v>35.909999999999997</v>
      </c>
      <c r="AM133" t="str">
        <f t="shared" si="207"/>
        <v>00059</v>
      </c>
      <c r="AN133" t="str">
        <f t="shared" si="208"/>
        <v>Incapacidad Total y Permanente</v>
      </c>
      <c r="AO133" s="118">
        <f t="shared" si="209"/>
        <v>0</v>
      </c>
      <c r="AP133" s="118" t="str">
        <f t="shared" si="210"/>
        <v>A</v>
      </c>
      <c r="AQ133" s="119" t="str">
        <f>+IF(OR($W133="",AO133=0),"",ROUND((VLOOKUP(ROUNDDOWN($D133-1/frec,0),cob_adi,Z$40,FALSE)*(1+i/frec)^-0.5*(1+Parámetros!$D$103)*(1+rec_fracc)/frec),6))</f>
        <v/>
      </c>
      <c r="AR133" s="66">
        <f t="shared" si="166"/>
        <v>0</v>
      </c>
      <c r="AS133" s="119" t="str">
        <f t="shared" si="167"/>
        <v/>
      </c>
      <c r="AT133" s="66">
        <f>+IF($W133="","",ROUND(IF($B133&gt;Parámetros!$D$107,'Tablas Servicio'!AR133+('Tablas Servicio'!AT132-'Tablas Servicio'!AR132),AR133/(1-IF(B133&lt;=10,Parámetros!$D$100,0))),2))</f>
        <v>0</v>
      </c>
      <c r="AU133" s="66">
        <f t="shared" si="168"/>
        <v>0</v>
      </c>
      <c r="AV133" s="66">
        <f t="shared" si="168"/>
        <v>0</v>
      </c>
      <c r="AW133" s="66">
        <f>+IF($W133="","",ROUND((AT133*Parámetros!$G$85),2))</f>
        <v>0</v>
      </c>
      <c r="AX133" s="66">
        <f>+IF($W133="","",ROUND((AT133*(Parámetros!$G$86)),2))</f>
        <v>0</v>
      </c>
      <c r="AY133" s="66">
        <f t="shared" si="169"/>
        <v>0</v>
      </c>
      <c r="AZ133" t="str">
        <f t="shared" si="211"/>
        <v>00060</v>
      </c>
      <c r="BA133" t="str">
        <f t="shared" si="212"/>
        <v>Muerte Accidental</v>
      </c>
      <c r="BB133" s="118">
        <f t="shared" si="213"/>
        <v>0</v>
      </c>
      <c r="BC133" s="118" t="str">
        <f t="shared" si="214"/>
        <v>A</v>
      </c>
      <c r="BD133" s="119" t="str">
        <f>+IF(OR($W133="",BB133=0),"",ROUND((VLOOKUP(ROUNDDOWN($D133-1/frec,0),cob_adi,AO$40,FALSE)*(1+i/frec)^-0.5*(1+Parámetros!$D$103)*(1+rec_fracc)/frec),6))</f>
        <v/>
      </c>
      <c r="BE133" s="66">
        <f t="shared" si="170"/>
        <v>0</v>
      </c>
      <c r="BF133" s="119" t="str">
        <f t="shared" si="171"/>
        <v/>
      </c>
      <c r="BG133" s="66">
        <f>+IF($W133="","",ROUND(IF($B133&gt;Parámetros!$D$107,'Tablas Servicio'!BE133+('Tablas Servicio'!BG132-'Tablas Servicio'!BE132),BE133/(1-IF(B133&lt;=10,Parámetros!$D$100,0))),2))</f>
        <v>0</v>
      </c>
      <c r="BH133" s="66">
        <f t="shared" si="172"/>
        <v>0</v>
      </c>
      <c r="BI133" s="66">
        <f t="shared" si="173"/>
        <v>0</v>
      </c>
      <c r="BJ133" s="66">
        <f>+IF($W133="","",ROUND((BG133*Parámetros!$G$85),2))</f>
        <v>0</v>
      </c>
      <c r="BK133" s="66">
        <f>+IF($W133="","",ROUND((BG133*(Parámetros!$G$86)),2))</f>
        <v>0</v>
      </c>
      <c r="BL133" s="66">
        <f t="shared" si="174"/>
        <v>0</v>
      </c>
      <c r="BM133" t="str">
        <f t="shared" si="215"/>
        <v>00061</v>
      </c>
      <c r="BN133" t="str">
        <f t="shared" si="216"/>
        <v>Gastos de Entierro</v>
      </c>
      <c r="BO133" s="118">
        <f t="shared" si="217"/>
        <v>0</v>
      </c>
      <c r="BP133" s="118" t="str">
        <f t="shared" si="218"/>
        <v>A</v>
      </c>
      <c r="BQ133" s="119" t="str">
        <f>+IF(OR($W133="",BO133=0),"",ROUND((VLOOKUP(ROUNDDOWN($D133-1/frec,0),cob_adi,BB$40,FALSE)*(1+i/frec)^-0.5*(1+Parámetros!$D$103)*(1+rec_fracc)/frec),6))</f>
        <v/>
      </c>
      <c r="BR133" s="66">
        <f t="shared" si="175"/>
        <v>0</v>
      </c>
      <c r="BS133" s="119" t="str">
        <f t="shared" si="176"/>
        <v/>
      </c>
      <c r="BT133" s="66">
        <f>+IF($W133="","",ROUND(IF($B133&gt;Parámetros!$D$107,'Tablas Servicio'!BR133+('Tablas Servicio'!BT132-'Tablas Servicio'!BR132),BR133/(1-IF(B133&lt;=10,Parámetros!$D$100,0))),2))</f>
        <v>0</v>
      </c>
      <c r="BU133" s="66">
        <f t="shared" si="177"/>
        <v>0</v>
      </c>
      <c r="BV133" s="66">
        <f t="shared" si="177"/>
        <v>0</v>
      </c>
      <c r="BW133" s="66">
        <f>+IF($W133="","",ROUND((BT133*Parámetros!$G$85),2))</f>
        <v>0</v>
      </c>
      <c r="BX133" s="66">
        <f>+IF($W133="","",ROUND((BT133*(Parámetros!$G$86)),2))</f>
        <v>0</v>
      </c>
      <c r="BY133" s="66">
        <f t="shared" si="178"/>
        <v>0</v>
      </c>
      <c r="BZ133" t="str">
        <f t="shared" si="219"/>
        <v>00062</v>
      </c>
      <c r="CA133" t="str">
        <f t="shared" si="220"/>
        <v>Gastos médicos por accidente</v>
      </c>
      <c r="CB133" s="118">
        <f t="shared" si="221"/>
        <v>0</v>
      </c>
      <c r="CC133" s="118" t="str">
        <f t="shared" si="222"/>
        <v>A</v>
      </c>
      <c r="CD133" s="119" t="str">
        <f t="shared" si="179"/>
        <v/>
      </c>
      <c r="CE133" s="66">
        <f>+IF($W133="","",ROUND((VLOOKUP(ROUNDDOWN($D133-1/frec,0),cob_adi,BO$40,FALSE)*(1+i/frec)^-0.5*(1+Parámetros!$D$103)*(1+rec_fracc)/frec*'TABLAS ADI'!$BC$17),2))</f>
        <v>0</v>
      </c>
      <c r="CF133" s="119" t="str">
        <f t="shared" si="180"/>
        <v/>
      </c>
      <c r="CG133" s="66">
        <f>+IF($W133="","",ROUND(IF($B133&gt;Parámetros!$D$107,'Tablas Servicio'!CE133+('Tablas Servicio'!CG132-'Tablas Servicio'!CE132),CE133/(1-IF(B133&lt;=10,Parámetros!$D$100,0))),2))</f>
        <v>0</v>
      </c>
      <c r="CH133" s="66">
        <f t="shared" si="181"/>
        <v>0</v>
      </c>
      <c r="CI133" s="66">
        <f t="shared" si="181"/>
        <v>0</v>
      </c>
      <c r="CJ133" s="66">
        <f>+IF($W133="","",ROUND((CG133*Parámetros!$G$85),2))</f>
        <v>0</v>
      </c>
      <c r="CK133" s="66">
        <f>+IF($W133="","",ROUND((CG133*(Parámetros!$G$86)),2))</f>
        <v>0</v>
      </c>
      <c r="CL133" s="66">
        <f t="shared" si="182"/>
        <v>0</v>
      </c>
      <c r="CM133" t="str">
        <f t="shared" si="223"/>
        <v>00063</v>
      </c>
      <c r="CN133" s="118" t="str">
        <f t="shared" si="224"/>
        <v>Renta Diaria por Hospitalización</v>
      </c>
      <c r="CO133" s="118">
        <f t="shared" si="225"/>
        <v>0</v>
      </c>
      <c r="CP133" s="118" t="str">
        <f t="shared" si="226"/>
        <v>A</v>
      </c>
      <c r="CQ133" s="119" t="str">
        <f t="shared" si="183"/>
        <v/>
      </c>
      <c r="CR133" s="66">
        <f>+IF($W133="","",ROUND((VLOOKUP(Parámetros!$F$51,'COBERTURAS ADICIONALES'!$S$4:$T$32,2,FALSE)*(1+i/frec)^-0.5*(1+Parámetros!$D$103)*(1+rec_fracc)/frec*$CO$42),2))</f>
        <v>0</v>
      </c>
      <c r="CS133" s="119" t="str">
        <f t="shared" si="184"/>
        <v/>
      </c>
      <c r="CT133" s="66">
        <f>+IF($W133="","",ROUND(IF($B133&gt;Parámetros!$D$107,'Tablas Servicio'!CR133+('Tablas Servicio'!CT132-'Tablas Servicio'!CR132),CR133/(1-IF(B133&lt;=10,Parámetros!$D$100,0))),2))</f>
        <v>0</v>
      </c>
      <c r="CU133" s="66">
        <f t="shared" si="185"/>
        <v>0</v>
      </c>
      <c r="CV133" s="66">
        <f t="shared" si="185"/>
        <v>0</v>
      </c>
      <c r="CW133" s="66">
        <f>+IF($W133="","",ROUND((CT133*Parámetros!$G$85),2))</f>
        <v>0</v>
      </c>
      <c r="CX133" s="66">
        <f>+IF($W133="","",ROUND((CT133*(Parámetros!$G$86)),2))</f>
        <v>0</v>
      </c>
      <c r="CY133" s="66">
        <f t="shared" si="186"/>
        <v>0</v>
      </c>
      <c r="CZ133" t="str">
        <f t="shared" si="227"/>
        <v>00064</v>
      </c>
      <c r="DA133" s="118" t="str">
        <f t="shared" si="228"/>
        <v>Enfermedades Graves</v>
      </c>
      <c r="DB133" s="118">
        <f t="shared" si="229"/>
        <v>0</v>
      </c>
      <c r="DC133" s="118" t="str">
        <f t="shared" si="230"/>
        <v>A</v>
      </c>
      <c r="DD133" s="121" t="str">
        <f>+IF(OR($W133="",DB133=0),"",ROUND((VLOOKUP(ROUNDDOWN($D133-1/frec,0),cob_adi,CO$40,FALSE)*(1+i/frec)^-0.5*(1+Parámetros!$D$103)*(1+rec_fracc)/frec),6))</f>
        <v/>
      </c>
      <c r="DE133" s="66">
        <f t="shared" si="187"/>
        <v>0</v>
      </c>
      <c r="DF133" s="119" t="str">
        <f t="shared" si="188"/>
        <v/>
      </c>
      <c r="DG133" s="66">
        <f>+IF($W133="","",ROUND(IF($B133&gt;Parámetros!$D$107,'Tablas Servicio'!DE133+('Tablas Servicio'!DG132-'Tablas Servicio'!DE132),DE133/(1-IF(B133&lt;=10,Parámetros!$D$100,0))),2))</f>
        <v>0</v>
      </c>
      <c r="DH133" s="66">
        <f t="shared" si="189"/>
        <v>0</v>
      </c>
      <c r="DI133" s="66">
        <f t="shared" si="189"/>
        <v>0</v>
      </c>
      <c r="DJ133" s="66">
        <f>+IF($W133="","",ROUND((DG133*Parámetros!$G$85),2))</f>
        <v>0</v>
      </c>
      <c r="DK133" s="66">
        <f>+IF($W133="","",ROUND((DG133*(Parámetros!$G$86)),2))</f>
        <v>0</v>
      </c>
      <c r="DL133" s="66">
        <f t="shared" si="190"/>
        <v>0</v>
      </c>
      <c r="DM133" t="str">
        <f t="shared" si="231"/>
        <v>00065</v>
      </c>
      <c r="DN133" s="118" t="str">
        <f t="shared" si="232"/>
        <v>Exención pago de primas</v>
      </c>
      <c r="DO133" s="118">
        <f t="shared" si="233"/>
        <v>0</v>
      </c>
      <c r="DP133" s="118" t="str">
        <f t="shared" si="234"/>
        <v>A</v>
      </c>
      <c r="DQ133" s="122" t="str">
        <f>+IF(OR($W133="",DO133=0),"",ROUND((VLOOKUP(ROUNDDOWN($D133-1/frec,0),cob_adi,DB$40,FALSE)*(1+i/frec)^-0.5*(1+Parámetros!$D$103)*(1+rec_fracc)/frec),6))</f>
        <v/>
      </c>
      <c r="DR133" s="66">
        <f t="shared" si="191"/>
        <v>0</v>
      </c>
      <c r="DS133" s="68" t="str">
        <f t="shared" si="192"/>
        <v/>
      </c>
      <c r="DT133" s="66">
        <f>+IF($W133="","",ROUND(IF($B133&gt;Parámetros!$D$107,'Tablas Servicio'!DR133+('Tablas Servicio'!DT132-'Tablas Servicio'!DR132),DR133/(1-IF(B133&lt;=10,Parámetros!$D$100,0))),2))</f>
        <v>0</v>
      </c>
      <c r="DU133" s="66">
        <f t="shared" si="193"/>
        <v>0</v>
      </c>
      <c r="DV133" s="66">
        <f t="shared" si="193"/>
        <v>0</v>
      </c>
      <c r="DW133" s="66">
        <f>+IF($W133="","",ROUND((DT133*Parámetros!$G$85),2))</f>
        <v>0</v>
      </c>
      <c r="DX133" s="66">
        <f>+IF($W133="","",ROUND((DT133*(Parámetros!$G$86)),2))</f>
        <v>0</v>
      </c>
      <c r="DY133" s="66">
        <f t="shared" si="194"/>
        <v>0</v>
      </c>
      <c r="DZ133" t="str">
        <f t="shared" si="235"/>
        <v>00066</v>
      </c>
      <c r="EA133" s="118" t="str">
        <f t="shared" si="235"/>
        <v>Enfermedad terminal</v>
      </c>
      <c r="EB133" s="118">
        <f>+IF($W133="","",ROUND(IF(Parámetros!$D$25='TABLAS MORT'!$V$33,EB132,Z133/2),0))</f>
        <v>50000</v>
      </c>
      <c r="EC133" s="118" t="str">
        <f t="shared" si="235"/>
        <v>A</v>
      </c>
      <c r="ED133" s="122">
        <f>+IF(OR($W133="",EB133=0),"",ROUND((VLOOKUP(ROUNDDOWN($D133-1/frec,0),cob_adi,DO$40,FALSE)*(1+i/frec)^-0.5*(1+Parámetros!$D$103)*(1+rec_fracc)/frec),6))</f>
        <v>1.2E-5</v>
      </c>
      <c r="EE133" s="66">
        <f t="shared" si="196"/>
        <v>0.6</v>
      </c>
      <c r="EF133" s="68">
        <f t="shared" si="197"/>
        <v>1.4E-5</v>
      </c>
      <c r="EG133" s="66">
        <f>+IF($W133="","",ROUND(IF($B133&gt;Parámetros!$D$107,'Tablas Servicio'!EE133+('Tablas Servicio'!EG132-'Tablas Servicio'!EE132),EE133/(1-IF(B133&lt;=10,Parámetros!$D$100,0))),2))</f>
        <v>0.68</v>
      </c>
      <c r="EH133" s="66">
        <f t="shared" si="198"/>
        <v>0</v>
      </c>
      <c r="EI133" s="66">
        <f t="shared" si="198"/>
        <v>0</v>
      </c>
      <c r="EJ133" s="66">
        <f>+IF($W133="","",ROUND((EG133*Parámetros!$G$85),2))</f>
        <v>0.02</v>
      </c>
      <c r="EK133" s="66">
        <f>+IF($W133="","",ROUND((EG133*(Parámetros!$G$86)),2))</f>
        <v>0</v>
      </c>
      <c r="EL133" s="66">
        <f t="shared" si="199"/>
        <v>0.7</v>
      </c>
    </row>
    <row r="134" spans="1:142" x14ac:dyDescent="0.25">
      <c r="A134">
        <f>+IF($C134="","",ROUND(VLOOKUP('Tablas Servicio'!B134,Parámetros!$H$100:$J$159,IF(Parámetros!$E$16="F",2,3),FALSE),2))</f>
        <v>150</v>
      </c>
      <c r="B134">
        <f t="shared" si="150"/>
        <v>8</v>
      </c>
      <c r="C134" s="57">
        <f>+IF(D134="","",'Tablas Servicio'!C133+1)</f>
        <v>93</v>
      </c>
      <c r="D134" s="56">
        <f>+IF(D133&lt;edadmaxtabla,D133+1/Parámetros!$E$25,"")</f>
        <v>47.770000000000223</v>
      </c>
      <c r="E134" s="57">
        <f t="shared" si="160"/>
        <v>47</v>
      </c>
      <c r="F134" s="59">
        <f t="shared" si="161"/>
        <v>100000</v>
      </c>
      <c r="G134" s="66">
        <f t="shared" si="151"/>
        <v>35.21</v>
      </c>
      <c r="H134" s="66">
        <f t="shared" si="152"/>
        <v>36.61</v>
      </c>
      <c r="I134" s="66">
        <f t="shared" si="200"/>
        <v>50.53</v>
      </c>
      <c r="J134" s="66">
        <f t="shared" si="153"/>
        <v>1.23</v>
      </c>
      <c r="K134" s="66">
        <f t="shared" si="154"/>
        <v>0.17</v>
      </c>
      <c r="L134" s="66">
        <f t="shared" si="155"/>
        <v>0</v>
      </c>
      <c r="M134" s="66">
        <f t="shared" si="156"/>
        <v>0</v>
      </c>
      <c r="N134" s="66">
        <f>+IF(C134="","",ROUND(Parámetros!$D$23,2))</f>
        <v>94</v>
      </c>
      <c r="O134" s="66">
        <f t="shared" si="157"/>
        <v>18.600000000000001</v>
      </c>
      <c r="P134" s="66">
        <f>+IF($C134="","",ROUND(IF(B134&gt;Parámetros!$D$117,0,N134*Parámetros!$D$116-G134*Parámetros!$D$100),2))</f>
        <v>6.86</v>
      </c>
      <c r="Q134" s="75">
        <f t="shared" si="201"/>
        <v>3.4933257597273504E-2</v>
      </c>
      <c r="R134" s="75">
        <f t="shared" si="202"/>
        <v>4.8281738142573133E-3</v>
      </c>
      <c r="S134" s="117">
        <f>+IF($C134="","",ROUND((S133+I134)*(1+Parámetros!$D$91),2))</f>
        <v>5972.28</v>
      </c>
      <c r="T134" s="117">
        <f>+IF($C134="","",ROUND(S134*VLOOKUP(B134,Parámetros!$C$30:$D$39,2,TRUE),2))</f>
        <v>5076.4399999999996</v>
      </c>
      <c r="U134" s="117">
        <f>+IF($C134="","",ROUND((U133+I134)*(1+Parámetros!$D$92),2))</f>
        <v>6096.49</v>
      </c>
      <c r="V134" s="117">
        <f>+IF($C134="","",ROUND(U134*VLOOKUP(B134,Parámetros!$C$30:$D$39,2,TRUE),2))</f>
        <v>5182.0200000000004</v>
      </c>
      <c r="W134" s="57">
        <f t="shared" si="203"/>
        <v>93</v>
      </c>
      <c r="X134" t="str">
        <f t="shared" si="204"/>
        <v>00058</v>
      </c>
      <c r="Y134" t="str">
        <f t="shared" si="205"/>
        <v>MUERTE POR CUALQUIER CAUSA</v>
      </c>
      <c r="Z134" s="118">
        <f>+IF($W134="","",ROUND(IF(Parámetros!$D$25='TABLAS MORT'!$V$33,Z133,Parámetros!$D$21-'Tablas Servicio'!T133),0))</f>
        <v>100000</v>
      </c>
      <c r="AA134" s="118" t="str">
        <f t="shared" si="206"/>
        <v>P</v>
      </c>
      <c r="AB134" s="119">
        <f>+IF(W134="","",ROUND((VLOOKUP(ROUNDDOWN($D134-1/frec,0),qx_tabla,2,FALSE)*(1+i/frec)^-0.5*(1+Parámetros!$D$103)*(1+rec_fracc)/frec),6))</f>
        <v>1.8000000000000001E-4</v>
      </c>
      <c r="AC134" s="66">
        <f t="shared" si="162"/>
        <v>18</v>
      </c>
      <c r="AD134" s="119">
        <f t="shared" si="158"/>
        <v>3.4499999999999998E-4</v>
      </c>
      <c r="AE134" s="66">
        <f>+IF($W134="","",ROUND(IF($B134&gt;Parámetros!$D$107,'Tablas Servicio'!AC134+('Tablas Servicio'!AG133-'Tablas Servicio'!AC133),AC134/(1-IF(B134&lt;=10,Parámetros!$D$104,Parámetros!$D$105))),2))</f>
        <v>37.25</v>
      </c>
      <c r="AF134" s="66">
        <f>+IF($W134="","",ROUND(IF($B134&gt;Parámetros!$D$107,'Tablas Servicio'!AC134+('Tablas Servicio'!AG133-'Tablas Servicio'!AC133),(AC134+$A133/frec)/(1-IF(B134&lt;=Parámetros!$D$117,Parámetros!$D$100,0))),2))</f>
        <v>34.53</v>
      </c>
      <c r="AG134" s="66">
        <f t="shared" si="163"/>
        <v>34.53</v>
      </c>
      <c r="AH134" s="66">
        <f t="shared" si="164"/>
        <v>0</v>
      </c>
      <c r="AI134" s="66">
        <f t="shared" si="165"/>
        <v>0</v>
      </c>
      <c r="AJ134" s="66">
        <f>+IF($W134="","",ROUND((AG134*Parámetros!$G$85),2))</f>
        <v>1.21</v>
      </c>
      <c r="AK134" s="66">
        <f>+IF($W134="","",ROUND((AG134*(Parámetros!$G$86)),2))</f>
        <v>0.17</v>
      </c>
      <c r="AL134" s="66">
        <f t="shared" si="159"/>
        <v>35.909999999999997</v>
      </c>
      <c r="AM134" t="str">
        <f t="shared" si="207"/>
        <v>00059</v>
      </c>
      <c r="AN134" t="str">
        <f t="shared" si="208"/>
        <v>Incapacidad Total y Permanente</v>
      </c>
      <c r="AO134" s="118">
        <f t="shared" si="209"/>
        <v>0</v>
      </c>
      <c r="AP134" s="118" t="str">
        <f t="shared" si="210"/>
        <v>A</v>
      </c>
      <c r="AQ134" s="119" t="str">
        <f>+IF(OR($W134="",AO134=0),"",ROUND((VLOOKUP(ROUNDDOWN($D134-1/frec,0),cob_adi,Z$40,FALSE)*(1+i/frec)^-0.5*(1+Parámetros!$D$103)*(1+rec_fracc)/frec),6))</f>
        <v/>
      </c>
      <c r="AR134" s="66">
        <f t="shared" si="166"/>
        <v>0</v>
      </c>
      <c r="AS134" s="119" t="str">
        <f t="shared" si="167"/>
        <v/>
      </c>
      <c r="AT134" s="66">
        <f>+IF($W134="","",ROUND(IF($B134&gt;Parámetros!$D$107,'Tablas Servicio'!AR134+('Tablas Servicio'!AT133-'Tablas Servicio'!AR133),AR134/(1-IF(B134&lt;=10,Parámetros!$D$100,0))),2))</f>
        <v>0</v>
      </c>
      <c r="AU134" s="66">
        <f t="shared" si="168"/>
        <v>0</v>
      </c>
      <c r="AV134" s="66">
        <f t="shared" si="168"/>
        <v>0</v>
      </c>
      <c r="AW134" s="66">
        <f>+IF($W134="","",ROUND((AT134*Parámetros!$G$85),2))</f>
        <v>0</v>
      </c>
      <c r="AX134" s="66">
        <f>+IF($W134="","",ROUND((AT134*(Parámetros!$G$86)),2))</f>
        <v>0</v>
      </c>
      <c r="AY134" s="66">
        <f t="shared" si="169"/>
        <v>0</v>
      </c>
      <c r="AZ134" t="str">
        <f t="shared" si="211"/>
        <v>00060</v>
      </c>
      <c r="BA134" t="str">
        <f t="shared" si="212"/>
        <v>Muerte Accidental</v>
      </c>
      <c r="BB134" s="118">
        <f t="shared" si="213"/>
        <v>0</v>
      </c>
      <c r="BC134" s="118" t="str">
        <f t="shared" si="214"/>
        <v>A</v>
      </c>
      <c r="BD134" s="119" t="str">
        <f>+IF(OR($W134="",BB134=0),"",ROUND((VLOOKUP(ROUNDDOWN($D134-1/frec,0),cob_adi,AO$40,FALSE)*(1+i/frec)^-0.5*(1+Parámetros!$D$103)*(1+rec_fracc)/frec),6))</f>
        <v/>
      </c>
      <c r="BE134" s="66">
        <f t="shared" si="170"/>
        <v>0</v>
      </c>
      <c r="BF134" s="119" t="str">
        <f t="shared" si="171"/>
        <v/>
      </c>
      <c r="BG134" s="66">
        <f>+IF($W134="","",ROUND(IF($B134&gt;Parámetros!$D$107,'Tablas Servicio'!BE134+('Tablas Servicio'!BG133-'Tablas Servicio'!BE133),BE134/(1-IF(B134&lt;=10,Parámetros!$D$100,0))),2))</f>
        <v>0</v>
      </c>
      <c r="BH134" s="66">
        <f t="shared" si="172"/>
        <v>0</v>
      </c>
      <c r="BI134" s="66">
        <f t="shared" si="173"/>
        <v>0</v>
      </c>
      <c r="BJ134" s="66">
        <f>+IF($W134="","",ROUND((BG134*Parámetros!$G$85),2))</f>
        <v>0</v>
      </c>
      <c r="BK134" s="66">
        <f>+IF($W134="","",ROUND((BG134*(Parámetros!$G$86)),2))</f>
        <v>0</v>
      </c>
      <c r="BL134" s="66">
        <f t="shared" si="174"/>
        <v>0</v>
      </c>
      <c r="BM134" t="str">
        <f t="shared" si="215"/>
        <v>00061</v>
      </c>
      <c r="BN134" t="str">
        <f t="shared" si="216"/>
        <v>Gastos de Entierro</v>
      </c>
      <c r="BO134" s="118">
        <f t="shared" si="217"/>
        <v>0</v>
      </c>
      <c r="BP134" s="118" t="str">
        <f t="shared" si="218"/>
        <v>A</v>
      </c>
      <c r="BQ134" s="119" t="str">
        <f>+IF(OR($W134="",BO134=0),"",ROUND((VLOOKUP(ROUNDDOWN($D134-1/frec,0),cob_adi,BB$40,FALSE)*(1+i/frec)^-0.5*(1+Parámetros!$D$103)*(1+rec_fracc)/frec),6))</f>
        <v/>
      </c>
      <c r="BR134" s="66">
        <f t="shared" si="175"/>
        <v>0</v>
      </c>
      <c r="BS134" s="119" t="str">
        <f t="shared" si="176"/>
        <v/>
      </c>
      <c r="BT134" s="66">
        <f>+IF($W134="","",ROUND(IF($B134&gt;Parámetros!$D$107,'Tablas Servicio'!BR134+('Tablas Servicio'!BT133-'Tablas Servicio'!BR133),BR134/(1-IF(B134&lt;=10,Parámetros!$D$100,0))),2))</f>
        <v>0</v>
      </c>
      <c r="BU134" s="66">
        <f t="shared" si="177"/>
        <v>0</v>
      </c>
      <c r="BV134" s="66">
        <f t="shared" si="177"/>
        <v>0</v>
      </c>
      <c r="BW134" s="66">
        <f>+IF($W134="","",ROUND((BT134*Parámetros!$G$85),2))</f>
        <v>0</v>
      </c>
      <c r="BX134" s="66">
        <f>+IF($W134="","",ROUND((BT134*(Parámetros!$G$86)),2))</f>
        <v>0</v>
      </c>
      <c r="BY134" s="66">
        <f t="shared" si="178"/>
        <v>0</v>
      </c>
      <c r="BZ134" t="str">
        <f t="shared" si="219"/>
        <v>00062</v>
      </c>
      <c r="CA134" t="str">
        <f t="shared" si="220"/>
        <v>Gastos médicos por accidente</v>
      </c>
      <c r="CB134" s="118">
        <f t="shared" si="221"/>
        <v>0</v>
      </c>
      <c r="CC134" s="118" t="str">
        <f t="shared" si="222"/>
        <v>A</v>
      </c>
      <c r="CD134" s="119" t="str">
        <f t="shared" si="179"/>
        <v/>
      </c>
      <c r="CE134" s="66">
        <f>+IF($W134="","",ROUND((VLOOKUP(ROUNDDOWN($D134-1/frec,0),cob_adi,BO$40,FALSE)*(1+i/frec)^-0.5*(1+Parámetros!$D$103)*(1+rec_fracc)/frec*'TABLAS ADI'!$BC$17),2))</f>
        <v>0</v>
      </c>
      <c r="CF134" s="119" t="str">
        <f t="shared" si="180"/>
        <v/>
      </c>
      <c r="CG134" s="66">
        <f>+IF($W134="","",ROUND(IF($B134&gt;Parámetros!$D$107,'Tablas Servicio'!CE134+('Tablas Servicio'!CG133-'Tablas Servicio'!CE133),CE134/(1-IF(B134&lt;=10,Parámetros!$D$100,0))),2))</f>
        <v>0</v>
      </c>
      <c r="CH134" s="66">
        <f t="shared" si="181"/>
        <v>0</v>
      </c>
      <c r="CI134" s="66">
        <f t="shared" si="181"/>
        <v>0</v>
      </c>
      <c r="CJ134" s="66">
        <f>+IF($W134="","",ROUND((CG134*Parámetros!$G$85),2))</f>
        <v>0</v>
      </c>
      <c r="CK134" s="66">
        <f>+IF($W134="","",ROUND((CG134*(Parámetros!$G$86)),2))</f>
        <v>0</v>
      </c>
      <c r="CL134" s="66">
        <f t="shared" si="182"/>
        <v>0</v>
      </c>
      <c r="CM134" t="str">
        <f t="shared" si="223"/>
        <v>00063</v>
      </c>
      <c r="CN134" s="118" t="str">
        <f t="shared" si="224"/>
        <v>Renta Diaria por Hospitalización</v>
      </c>
      <c r="CO134" s="118">
        <f t="shared" si="225"/>
        <v>0</v>
      </c>
      <c r="CP134" s="118" t="str">
        <f t="shared" si="226"/>
        <v>A</v>
      </c>
      <c r="CQ134" s="119" t="str">
        <f t="shared" si="183"/>
        <v/>
      </c>
      <c r="CR134" s="66">
        <f>+IF($W134="","",ROUND((VLOOKUP(Parámetros!$F$51,'COBERTURAS ADICIONALES'!$S$4:$T$32,2,FALSE)*(1+i/frec)^-0.5*(1+Parámetros!$D$103)*(1+rec_fracc)/frec*$CO$42),2))</f>
        <v>0</v>
      </c>
      <c r="CS134" s="119" t="str">
        <f t="shared" si="184"/>
        <v/>
      </c>
      <c r="CT134" s="66">
        <f>+IF($W134="","",ROUND(IF($B134&gt;Parámetros!$D$107,'Tablas Servicio'!CR134+('Tablas Servicio'!CT133-'Tablas Servicio'!CR133),CR134/(1-IF(B134&lt;=10,Parámetros!$D$100,0))),2))</f>
        <v>0</v>
      </c>
      <c r="CU134" s="66">
        <f t="shared" si="185"/>
        <v>0</v>
      </c>
      <c r="CV134" s="66">
        <f t="shared" si="185"/>
        <v>0</v>
      </c>
      <c r="CW134" s="66">
        <f>+IF($W134="","",ROUND((CT134*Parámetros!$G$85),2))</f>
        <v>0</v>
      </c>
      <c r="CX134" s="66">
        <f>+IF($W134="","",ROUND((CT134*(Parámetros!$G$86)),2))</f>
        <v>0</v>
      </c>
      <c r="CY134" s="66">
        <f t="shared" si="186"/>
        <v>0</v>
      </c>
      <c r="CZ134" t="str">
        <f t="shared" si="227"/>
        <v>00064</v>
      </c>
      <c r="DA134" s="118" t="str">
        <f t="shared" si="228"/>
        <v>Enfermedades Graves</v>
      </c>
      <c r="DB134" s="118">
        <f t="shared" si="229"/>
        <v>0</v>
      </c>
      <c r="DC134" s="118" t="str">
        <f t="shared" si="230"/>
        <v>A</v>
      </c>
      <c r="DD134" s="121" t="str">
        <f>+IF(OR($W134="",DB134=0),"",ROUND((VLOOKUP(ROUNDDOWN($D134-1/frec,0),cob_adi,CO$40,FALSE)*(1+i/frec)^-0.5*(1+Parámetros!$D$103)*(1+rec_fracc)/frec),6))</f>
        <v/>
      </c>
      <c r="DE134" s="66">
        <f t="shared" si="187"/>
        <v>0</v>
      </c>
      <c r="DF134" s="119" t="str">
        <f t="shared" si="188"/>
        <v/>
      </c>
      <c r="DG134" s="66">
        <f>+IF($W134="","",ROUND(IF($B134&gt;Parámetros!$D$107,'Tablas Servicio'!DE134+('Tablas Servicio'!DG133-'Tablas Servicio'!DE133),DE134/(1-IF(B134&lt;=10,Parámetros!$D$100,0))),2))</f>
        <v>0</v>
      </c>
      <c r="DH134" s="66">
        <f t="shared" si="189"/>
        <v>0</v>
      </c>
      <c r="DI134" s="66">
        <f t="shared" si="189"/>
        <v>0</v>
      </c>
      <c r="DJ134" s="66">
        <f>+IF($W134="","",ROUND((DG134*Parámetros!$G$85),2))</f>
        <v>0</v>
      </c>
      <c r="DK134" s="66">
        <f>+IF($W134="","",ROUND((DG134*(Parámetros!$G$86)),2))</f>
        <v>0</v>
      </c>
      <c r="DL134" s="66">
        <f t="shared" si="190"/>
        <v>0</v>
      </c>
      <c r="DM134" t="str">
        <f t="shared" si="231"/>
        <v>00065</v>
      </c>
      <c r="DN134" s="118" t="str">
        <f t="shared" si="232"/>
        <v>Exención pago de primas</v>
      </c>
      <c r="DO134" s="118">
        <f t="shared" si="233"/>
        <v>0</v>
      </c>
      <c r="DP134" s="118" t="str">
        <f t="shared" si="234"/>
        <v>A</v>
      </c>
      <c r="DQ134" s="122" t="str">
        <f>+IF(OR($W134="",DO134=0),"",ROUND((VLOOKUP(ROUNDDOWN($D134-1/frec,0),cob_adi,DB$40,FALSE)*(1+i/frec)^-0.5*(1+Parámetros!$D$103)*(1+rec_fracc)/frec),6))</f>
        <v/>
      </c>
      <c r="DR134" s="66">
        <f t="shared" si="191"/>
        <v>0</v>
      </c>
      <c r="DS134" s="68" t="str">
        <f t="shared" si="192"/>
        <v/>
      </c>
      <c r="DT134" s="66">
        <f>+IF($W134="","",ROUND(IF($B134&gt;Parámetros!$D$107,'Tablas Servicio'!DR134+('Tablas Servicio'!DT133-'Tablas Servicio'!DR133),DR134/(1-IF(B134&lt;=10,Parámetros!$D$100,0))),2))</f>
        <v>0</v>
      </c>
      <c r="DU134" s="66">
        <f t="shared" si="193"/>
        <v>0</v>
      </c>
      <c r="DV134" s="66">
        <f t="shared" si="193"/>
        <v>0</v>
      </c>
      <c r="DW134" s="66">
        <f>+IF($W134="","",ROUND((DT134*Parámetros!$G$85),2))</f>
        <v>0</v>
      </c>
      <c r="DX134" s="66">
        <f>+IF($W134="","",ROUND((DT134*(Parámetros!$G$86)),2))</f>
        <v>0</v>
      </c>
      <c r="DY134" s="66">
        <f t="shared" si="194"/>
        <v>0</v>
      </c>
      <c r="DZ134" t="str">
        <f t="shared" si="235"/>
        <v>00066</v>
      </c>
      <c r="EA134" s="118" t="str">
        <f t="shared" si="235"/>
        <v>Enfermedad terminal</v>
      </c>
      <c r="EB134" s="118">
        <f>+IF($W134="","",ROUND(IF(Parámetros!$D$25='TABLAS MORT'!$V$33,EB133,Z134/2),0))</f>
        <v>50000</v>
      </c>
      <c r="EC134" s="118" t="str">
        <f t="shared" si="235"/>
        <v>A</v>
      </c>
      <c r="ED134" s="122">
        <f>+IF(OR($W134="",EB134=0),"",ROUND((VLOOKUP(ROUNDDOWN($D134-1/frec,0),cob_adi,DO$40,FALSE)*(1+i/frec)^-0.5*(1+Parámetros!$D$103)*(1+rec_fracc)/frec),6))</f>
        <v>1.2E-5</v>
      </c>
      <c r="EE134" s="66">
        <f t="shared" si="196"/>
        <v>0.6</v>
      </c>
      <c r="EF134" s="68">
        <f t="shared" si="197"/>
        <v>1.4E-5</v>
      </c>
      <c r="EG134" s="66">
        <f>+IF($W134="","",ROUND(IF($B134&gt;Parámetros!$D$107,'Tablas Servicio'!EE134+('Tablas Servicio'!EG133-'Tablas Servicio'!EE133),EE134/(1-IF(B134&lt;=10,Parámetros!$D$100,0))),2))</f>
        <v>0.68</v>
      </c>
      <c r="EH134" s="66">
        <f t="shared" si="198"/>
        <v>0</v>
      </c>
      <c r="EI134" s="66">
        <f t="shared" si="198"/>
        <v>0</v>
      </c>
      <c r="EJ134" s="66">
        <f>+IF($W134="","",ROUND((EG134*Parámetros!$G$85),2))</f>
        <v>0.02</v>
      </c>
      <c r="EK134" s="66">
        <f>+IF($W134="","",ROUND((EG134*(Parámetros!$G$86)),2))</f>
        <v>0</v>
      </c>
      <c r="EL134" s="66">
        <f t="shared" si="199"/>
        <v>0.7</v>
      </c>
    </row>
    <row r="135" spans="1:142" x14ac:dyDescent="0.25">
      <c r="A135">
        <f>+IF($C135="","",ROUND(VLOOKUP('Tablas Servicio'!B135,Parámetros!$H$100:$J$159,IF(Parámetros!$E$16="F",2,3),FALSE),2))</f>
        <v>150</v>
      </c>
      <c r="B135">
        <f t="shared" si="150"/>
        <v>8</v>
      </c>
      <c r="C135" s="57">
        <f>+IF(D135="","",'Tablas Servicio'!C134+1)</f>
        <v>94</v>
      </c>
      <c r="D135" s="56">
        <f>+IF(D134&lt;edadmaxtabla,D134+1/Parámetros!$E$25,"")</f>
        <v>47.853333333333559</v>
      </c>
      <c r="E135" s="57">
        <f t="shared" si="160"/>
        <v>47</v>
      </c>
      <c r="F135" s="59">
        <f t="shared" si="161"/>
        <v>100000</v>
      </c>
      <c r="G135" s="66">
        <f t="shared" si="151"/>
        <v>35.21</v>
      </c>
      <c r="H135" s="66">
        <f t="shared" si="152"/>
        <v>36.61</v>
      </c>
      <c r="I135" s="66">
        <f t="shared" si="200"/>
        <v>50.53</v>
      </c>
      <c r="J135" s="66">
        <f t="shared" si="153"/>
        <v>1.23</v>
      </c>
      <c r="K135" s="66">
        <f t="shared" si="154"/>
        <v>0.17</v>
      </c>
      <c r="L135" s="66">
        <f t="shared" si="155"/>
        <v>0</v>
      </c>
      <c r="M135" s="66">
        <f t="shared" si="156"/>
        <v>0</v>
      </c>
      <c r="N135" s="66">
        <f>+IF(C135="","",ROUND(Parámetros!$D$23,2))</f>
        <v>94</v>
      </c>
      <c r="O135" s="66">
        <f t="shared" si="157"/>
        <v>18.600000000000001</v>
      </c>
      <c r="P135" s="66">
        <f>+IF($C135="","",ROUND(IF(B135&gt;Parámetros!$D$117,0,N135*Parámetros!$D$116-G135*Parámetros!$D$100),2))</f>
        <v>6.86</v>
      </c>
      <c r="Q135" s="75">
        <f t="shared" si="201"/>
        <v>3.4933257597273504E-2</v>
      </c>
      <c r="R135" s="75">
        <f t="shared" si="202"/>
        <v>4.8281738142573133E-3</v>
      </c>
      <c r="S135" s="117">
        <f>+IF($C135="","",ROUND((S134+I135)*(1+Parámetros!$D$91),2))</f>
        <v>6039.89</v>
      </c>
      <c r="T135" s="117">
        <f>+IF($C135="","",ROUND(S135*VLOOKUP(B135,Parámetros!$C$30:$D$39,2,TRUE),2))</f>
        <v>5133.91</v>
      </c>
      <c r="U135" s="117">
        <f>+IF($C135="","",ROUND((U134+I135)*(1+Parámetros!$D$92),2))</f>
        <v>6166.95</v>
      </c>
      <c r="V135" s="117">
        <f>+IF($C135="","",ROUND(U135*VLOOKUP(B135,Parámetros!$C$30:$D$39,2,TRUE),2))</f>
        <v>5241.91</v>
      </c>
      <c r="W135" s="57">
        <f t="shared" si="203"/>
        <v>94</v>
      </c>
      <c r="X135" t="str">
        <f t="shared" si="204"/>
        <v>00058</v>
      </c>
      <c r="Y135" t="str">
        <f t="shared" si="205"/>
        <v>MUERTE POR CUALQUIER CAUSA</v>
      </c>
      <c r="Z135" s="118">
        <f>+IF($W135="","",ROUND(IF(Parámetros!$D$25='TABLAS MORT'!$V$33,Z134,Parámetros!$D$21-'Tablas Servicio'!T134),0))</f>
        <v>100000</v>
      </c>
      <c r="AA135" s="118" t="str">
        <f t="shared" si="206"/>
        <v>P</v>
      </c>
      <c r="AB135" s="119">
        <f>+IF(W135="","",ROUND((VLOOKUP(ROUNDDOWN($D135-1/frec,0),qx_tabla,2,FALSE)*(1+i/frec)^-0.5*(1+Parámetros!$D$103)*(1+rec_fracc)/frec),6))</f>
        <v>1.8000000000000001E-4</v>
      </c>
      <c r="AC135" s="66">
        <f t="shared" si="162"/>
        <v>18</v>
      </c>
      <c r="AD135" s="119">
        <f t="shared" si="158"/>
        <v>3.4499999999999998E-4</v>
      </c>
      <c r="AE135" s="66">
        <f>+IF($W135="","",ROUND(IF($B135&gt;Parámetros!$D$107,'Tablas Servicio'!AC135+('Tablas Servicio'!AG134-'Tablas Servicio'!AC134),AC135/(1-IF(B135&lt;=10,Parámetros!$D$104,Parámetros!$D$105))),2))</f>
        <v>37.25</v>
      </c>
      <c r="AF135" s="66">
        <f>+IF($W135="","",ROUND(IF($B135&gt;Parámetros!$D$107,'Tablas Servicio'!AC135+('Tablas Servicio'!AG134-'Tablas Servicio'!AC134),(AC135+$A134/frec)/(1-IF(B135&lt;=Parámetros!$D$117,Parámetros!$D$100,0))),2))</f>
        <v>34.53</v>
      </c>
      <c r="AG135" s="66">
        <f t="shared" si="163"/>
        <v>34.53</v>
      </c>
      <c r="AH135" s="66">
        <f t="shared" si="164"/>
        <v>0</v>
      </c>
      <c r="AI135" s="66">
        <f t="shared" si="165"/>
        <v>0</v>
      </c>
      <c r="AJ135" s="66">
        <f>+IF($W135="","",ROUND((AG135*Parámetros!$G$85),2))</f>
        <v>1.21</v>
      </c>
      <c r="AK135" s="66">
        <f>+IF($W135="","",ROUND((AG135*(Parámetros!$G$86)),2))</f>
        <v>0.17</v>
      </c>
      <c r="AL135" s="66">
        <f t="shared" si="159"/>
        <v>35.909999999999997</v>
      </c>
      <c r="AM135" t="str">
        <f t="shared" si="207"/>
        <v>00059</v>
      </c>
      <c r="AN135" t="str">
        <f t="shared" si="208"/>
        <v>Incapacidad Total y Permanente</v>
      </c>
      <c r="AO135" s="118">
        <f t="shared" si="209"/>
        <v>0</v>
      </c>
      <c r="AP135" s="118" t="str">
        <f t="shared" si="210"/>
        <v>A</v>
      </c>
      <c r="AQ135" s="119" t="str">
        <f>+IF(OR($W135="",AO135=0),"",ROUND((VLOOKUP(ROUNDDOWN($D135-1/frec,0),cob_adi,Z$40,FALSE)*(1+i/frec)^-0.5*(1+Parámetros!$D$103)*(1+rec_fracc)/frec),6))</f>
        <v/>
      </c>
      <c r="AR135" s="66">
        <f t="shared" si="166"/>
        <v>0</v>
      </c>
      <c r="AS135" s="119" t="str">
        <f t="shared" si="167"/>
        <v/>
      </c>
      <c r="AT135" s="66">
        <f>+IF($W135="","",ROUND(IF($B135&gt;Parámetros!$D$107,'Tablas Servicio'!AR135+('Tablas Servicio'!AT134-'Tablas Servicio'!AR134),AR135/(1-IF(B135&lt;=10,Parámetros!$D$100,0))),2))</f>
        <v>0</v>
      </c>
      <c r="AU135" s="66">
        <f t="shared" si="168"/>
        <v>0</v>
      </c>
      <c r="AV135" s="66">
        <f t="shared" si="168"/>
        <v>0</v>
      </c>
      <c r="AW135" s="66">
        <f>+IF($W135="","",ROUND((AT135*Parámetros!$G$85),2))</f>
        <v>0</v>
      </c>
      <c r="AX135" s="66">
        <f>+IF($W135="","",ROUND((AT135*(Parámetros!$G$86)),2))</f>
        <v>0</v>
      </c>
      <c r="AY135" s="66">
        <f t="shared" si="169"/>
        <v>0</v>
      </c>
      <c r="AZ135" t="str">
        <f t="shared" si="211"/>
        <v>00060</v>
      </c>
      <c r="BA135" t="str">
        <f t="shared" si="212"/>
        <v>Muerte Accidental</v>
      </c>
      <c r="BB135" s="118">
        <f t="shared" si="213"/>
        <v>0</v>
      </c>
      <c r="BC135" s="118" t="str">
        <f t="shared" si="214"/>
        <v>A</v>
      </c>
      <c r="BD135" s="119" t="str">
        <f>+IF(OR($W135="",BB135=0),"",ROUND((VLOOKUP(ROUNDDOWN($D135-1/frec,0),cob_adi,AO$40,FALSE)*(1+i/frec)^-0.5*(1+Parámetros!$D$103)*(1+rec_fracc)/frec),6))</f>
        <v/>
      </c>
      <c r="BE135" s="66">
        <f t="shared" si="170"/>
        <v>0</v>
      </c>
      <c r="BF135" s="119" t="str">
        <f t="shared" si="171"/>
        <v/>
      </c>
      <c r="BG135" s="66">
        <f>+IF($W135="","",ROUND(IF($B135&gt;Parámetros!$D$107,'Tablas Servicio'!BE135+('Tablas Servicio'!BG134-'Tablas Servicio'!BE134),BE135/(1-IF(B135&lt;=10,Parámetros!$D$100,0))),2))</f>
        <v>0</v>
      </c>
      <c r="BH135" s="66">
        <f t="shared" si="172"/>
        <v>0</v>
      </c>
      <c r="BI135" s="66">
        <f t="shared" si="173"/>
        <v>0</v>
      </c>
      <c r="BJ135" s="66">
        <f>+IF($W135="","",ROUND((BG135*Parámetros!$G$85),2))</f>
        <v>0</v>
      </c>
      <c r="BK135" s="66">
        <f>+IF($W135="","",ROUND((BG135*(Parámetros!$G$86)),2))</f>
        <v>0</v>
      </c>
      <c r="BL135" s="66">
        <f t="shared" si="174"/>
        <v>0</v>
      </c>
      <c r="BM135" t="str">
        <f t="shared" si="215"/>
        <v>00061</v>
      </c>
      <c r="BN135" t="str">
        <f t="shared" si="216"/>
        <v>Gastos de Entierro</v>
      </c>
      <c r="BO135" s="118">
        <f t="shared" si="217"/>
        <v>0</v>
      </c>
      <c r="BP135" s="118" t="str">
        <f t="shared" si="218"/>
        <v>A</v>
      </c>
      <c r="BQ135" s="119" t="str">
        <f>+IF(OR($W135="",BO135=0),"",ROUND((VLOOKUP(ROUNDDOWN($D135-1/frec,0),cob_adi,BB$40,FALSE)*(1+i/frec)^-0.5*(1+Parámetros!$D$103)*(1+rec_fracc)/frec),6))</f>
        <v/>
      </c>
      <c r="BR135" s="66">
        <f t="shared" si="175"/>
        <v>0</v>
      </c>
      <c r="BS135" s="119" t="str">
        <f t="shared" si="176"/>
        <v/>
      </c>
      <c r="BT135" s="66">
        <f>+IF($W135="","",ROUND(IF($B135&gt;Parámetros!$D$107,'Tablas Servicio'!BR135+('Tablas Servicio'!BT134-'Tablas Servicio'!BR134),BR135/(1-IF(B135&lt;=10,Parámetros!$D$100,0))),2))</f>
        <v>0</v>
      </c>
      <c r="BU135" s="66">
        <f t="shared" si="177"/>
        <v>0</v>
      </c>
      <c r="BV135" s="66">
        <f t="shared" si="177"/>
        <v>0</v>
      </c>
      <c r="BW135" s="66">
        <f>+IF($W135="","",ROUND((BT135*Parámetros!$G$85),2))</f>
        <v>0</v>
      </c>
      <c r="BX135" s="66">
        <f>+IF($W135="","",ROUND((BT135*(Parámetros!$G$86)),2))</f>
        <v>0</v>
      </c>
      <c r="BY135" s="66">
        <f t="shared" si="178"/>
        <v>0</v>
      </c>
      <c r="BZ135" t="str">
        <f t="shared" si="219"/>
        <v>00062</v>
      </c>
      <c r="CA135" t="str">
        <f t="shared" si="220"/>
        <v>Gastos médicos por accidente</v>
      </c>
      <c r="CB135" s="118">
        <f t="shared" si="221"/>
        <v>0</v>
      </c>
      <c r="CC135" s="118" t="str">
        <f t="shared" si="222"/>
        <v>A</v>
      </c>
      <c r="CD135" s="119" t="str">
        <f t="shared" si="179"/>
        <v/>
      </c>
      <c r="CE135" s="66">
        <f>+IF($W135="","",ROUND((VLOOKUP(ROUNDDOWN($D135-1/frec,0),cob_adi,BO$40,FALSE)*(1+i/frec)^-0.5*(1+Parámetros!$D$103)*(1+rec_fracc)/frec*'TABLAS ADI'!$BC$17),2))</f>
        <v>0</v>
      </c>
      <c r="CF135" s="119" t="str">
        <f t="shared" si="180"/>
        <v/>
      </c>
      <c r="CG135" s="66">
        <f>+IF($W135="","",ROUND(IF($B135&gt;Parámetros!$D$107,'Tablas Servicio'!CE135+('Tablas Servicio'!CG134-'Tablas Servicio'!CE134),CE135/(1-IF(B135&lt;=10,Parámetros!$D$100,0))),2))</f>
        <v>0</v>
      </c>
      <c r="CH135" s="66">
        <f t="shared" si="181"/>
        <v>0</v>
      </c>
      <c r="CI135" s="66">
        <f t="shared" si="181"/>
        <v>0</v>
      </c>
      <c r="CJ135" s="66">
        <f>+IF($W135="","",ROUND((CG135*Parámetros!$G$85),2))</f>
        <v>0</v>
      </c>
      <c r="CK135" s="66">
        <f>+IF($W135="","",ROUND((CG135*(Parámetros!$G$86)),2))</f>
        <v>0</v>
      </c>
      <c r="CL135" s="66">
        <f t="shared" si="182"/>
        <v>0</v>
      </c>
      <c r="CM135" t="str">
        <f t="shared" si="223"/>
        <v>00063</v>
      </c>
      <c r="CN135" s="118" t="str">
        <f t="shared" si="224"/>
        <v>Renta Diaria por Hospitalización</v>
      </c>
      <c r="CO135" s="118">
        <f t="shared" si="225"/>
        <v>0</v>
      </c>
      <c r="CP135" s="118" t="str">
        <f t="shared" si="226"/>
        <v>A</v>
      </c>
      <c r="CQ135" s="119" t="str">
        <f t="shared" si="183"/>
        <v/>
      </c>
      <c r="CR135" s="66">
        <f>+IF($W135="","",ROUND((VLOOKUP(Parámetros!$F$51,'COBERTURAS ADICIONALES'!$S$4:$T$32,2,FALSE)*(1+i/frec)^-0.5*(1+Parámetros!$D$103)*(1+rec_fracc)/frec*$CO$42),2))</f>
        <v>0</v>
      </c>
      <c r="CS135" s="119" t="str">
        <f t="shared" si="184"/>
        <v/>
      </c>
      <c r="CT135" s="66">
        <f>+IF($W135="","",ROUND(IF($B135&gt;Parámetros!$D$107,'Tablas Servicio'!CR135+('Tablas Servicio'!CT134-'Tablas Servicio'!CR134),CR135/(1-IF(B135&lt;=10,Parámetros!$D$100,0))),2))</f>
        <v>0</v>
      </c>
      <c r="CU135" s="66">
        <f t="shared" si="185"/>
        <v>0</v>
      </c>
      <c r="CV135" s="66">
        <f t="shared" si="185"/>
        <v>0</v>
      </c>
      <c r="CW135" s="66">
        <f>+IF($W135="","",ROUND((CT135*Parámetros!$G$85),2))</f>
        <v>0</v>
      </c>
      <c r="CX135" s="66">
        <f>+IF($W135="","",ROUND((CT135*(Parámetros!$G$86)),2))</f>
        <v>0</v>
      </c>
      <c r="CY135" s="66">
        <f t="shared" si="186"/>
        <v>0</v>
      </c>
      <c r="CZ135" t="str">
        <f t="shared" si="227"/>
        <v>00064</v>
      </c>
      <c r="DA135" s="118" t="str">
        <f t="shared" si="228"/>
        <v>Enfermedades Graves</v>
      </c>
      <c r="DB135" s="118">
        <f t="shared" si="229"/>
        <v>0</v>
      </c>
      <c r="DC135" s="118" t="str">
        <f t="shared" si="230"/>
        <v>A</v>
      </c>
      <c r="DD135" s="121" t="str">
        <f>+IF(OR($W135="",DB135=0),"",ROUND((VLOOKUP(ROUNDDOWN($D135-1/frec,0),cob_adi,CO$40,FALSE)*(1+i/frec)^-0.5*(1+Parámetros!$D$103)*(1+rec_fracc)/frec),6))</f>
        <v/>
      </c>
      <c r="DE135" s="66">
        <f t="shared" si="187"/>
        <v>0</v>
      </c>
      <c r="DF135" s="119" t="str">
        <f t="shared" si="188"/>
        <v/>
      </c>
      <c r="DG135" s="66">
        <f>+IF($W135="","",ROUND(IF($B135&gt;Parámetros!$D$107,'Tablas Servicio'!DE135+('Tablas Servicio'!DG134-'Tablas Servicio'!DE134),DE135/(1-IF(B135&lt;=10,Parámetros!$D$100,0))),2))</f>
        <v>0</v>
      </c>
      <c r="DH135" s="66">
        <f t="shared" si="189"/>
        <v>0</v>
      </c>
      <c r="DI135" s="66">
        <f t="shared" si="189"/>
        <v>0</v>
      </c>
      <c r="DJ135" s="66">
        <f>+IF($W135="","",ROUND((DG135*Parámetros!$G$85),2))</f>
        <v>0</v>
      </c>
      <c r="DK135" s="66">
        <f>+IF($W135="","",ROUND((DG135*(Parámetros!$G$86)),2))</f>
        <v>0</v>
      </c>
      <c r="DL135" s="66">
        <f t="shared" si="190"/>
        <v>0</v>
      </c>
      <c r="DM135" t="str">
        <f t="shared" si="231"/>
        <v>00065</v>
      </c>
      <c r="DN135" s="118" t="str">
        <f t="shared" si="232"/>
        <v>Exención pago de primas</v>
      </c>
      <c r="DO135" s="118">
        <f t="shared" si="233"/>
        <v>0</v>
      </c>
      <c r="DP135" s="118" t="str">
        <f t="shared" si="234"/>
        <v>A</v>
      </c>
      <c r="DQ135" s="122" t="str">
        <f>+IF(OR($W135="",DO135=0),"",ROUND((VLOOKUP(ROUNDDOWN($D135-1/frec,0),cob_adi,DB$40,FALSE)*(1+i/frec)^-0.5*(1+Parámetros!$D$103)*(1+rec_fracc)/frec),6))</f>
        <v/>
      </c>
      <c r="DR135" s="66">
        <f t="shared" si="191"/>
        <v>0</v>
      </c>
      <c r="DS135" s="68" t="str">
        <f t="shared" si="192"/>
        <v/>
      </c>
      <c r="DT135" s="66">
        <f>+IF($W135="","",ROUND(IF($B135&gt;Parámetros!$D$107,'Tablas Servicio'!DR135+('Tablas Servicio'!DT134-'Tablas Servicio'!DR134),DR135/(1-IF(B135&lt;=10,Parámetros!$D$100,0))),2))</f>
        <v>0</v>
      </c>
      <c r="DU135" s="66">
        <f t="shared" si="193"/>
        <v>0</v>
      </c>
      <c r="DV135" s="66">
        <f t="shared" si="193"/>
        <v>0</v>
      </c>
      <c r="DW135" s="66">
        <f>+IF($W135="","",ROUND((DT135*Parámetros!$G$85),2))</f>
        <v>0</v>
      </c>
      <c r="DX135" s="66">
        <f>+IF($W135="","",ROUND((DT135*(Parámetros!$G$86)),2))</f>
        <v>0</v>
      </c>
      <c r="DY135" s="66">
        <f t="shared" si="194"/>
        <v>0</v>
      </c>
      <c r="DZ135" t="str">
        <f t="shared" si="235"/>
        <v>00066</v>
      </c>
      <c r="EA135" s="118" t="str">
        <f t="shared" si="235"/>
        <v>Enfermedad terminal</v>
      </c>
      <c r="EB135" s="118">
        <f>+IF($W135="","",ROUND(IF(Parámetros!$D$25='TABLAS MORT'!$V$33,EB134,Z135/2),0))</f>
        <v>50000</v>
      </c>
      <c r="EC135" s="118" t="str">
        <f t="shared" si="235"/>
        <v>A</v>
      </c>
      <c r="ED135" s="122">
        <f>+IF(OR($W135="",EB135=0),"",ROUND((VLOOKUP(ROUNDDOWN($D135-1/frec,0),cob_adi,DO$40,FALSE)*(1+i/frec)^-0.5*(1+Parámetros!$D$103)*(1+rec_fracc)/frec),6))</f>
        <v>1.2E-5</v>
      </c>
      <c r="EE135" s="66">
        <f t="shared" si="196"/>
        <v>0.6</v>
      </c>
      <c r="EF135" s="68">
        <f t="shared" si="197"/>
        <v>1.4E-5</v>
      </c>
      <c r="EG135" s="66">
        <f>+IF($W135="","",ROUND(IF($B135&gt;Parámetros!$D$107,'Tablas Servicio'!EE135+('Tablas Servicio'!EG134-'Tablas Servicio'!EE134),EE135/(1-IF(B135&lt;=10,Parámetros!$D$100,0))),2))</f>
        <v>0.68</v>
      </c>
      <c r="EH135" s="66">
        <f t="shared" si="198"/>
        <v>0</v>
      </c>
      <c r="EI135" s="66">
        <f t="shared" si="198"/>
        <v>0</v>
      </c>
      <c r="EJ135" s="66">
        <f>+IF($W135="","",ROUND((EG135*Parámetros!$G$85),2))</f>
        <v>0.02</v>
      </c>
      <c r="EK135" s="66">
        <f>+IF($W135="","",ROUND((EG135*(Parámetros!$G$86)),2))</f>
        <v>0</v>
      </c>
      <c r="EL135" s="66">
        <f t="shared" si="199"/>
        <v>0.7</v>
      </c>
    </row>
    <row r="136" spans="1:142" x14ac:dyDescent="0.25">
      <c r="A136">
        <f>+IF($C136="","",ROUND(VLOOKUP('Tablas Servicio'!B136,Parámetros!$H$100:$J$159,IF(Parámetros!$E$16="F",2,3),FALSE),2))</f>
        <v>150</v>
      </c>
      <c r="B136">
        <f t="shared" si="150"/>
        <v>8</v>
      </c>
      <c r="C136" s="57">
        <f>+IF(D136="","",'Tablas Servicio'!C135+1)</f>
        <v>95</v>
      </c>
      <c r="D136" s="56">
        <f>+IF(D135&lt;edadmaxtabla,D135+1/Parámetros!$E$25,"")</f>
        <v>47.936666666666895</v>
      </c>
      <c r="E136" s="57">
        <f t="shared" si="160"/>
        <v>47</v>
      </c>
      <c r="F136" s="59">
        <f t="shared" si="161"/>
        <v>100000</v>
      </c>
      <c r="G136" s="66">
        <f t="shared" si="151"/>
        <v>35.21</v>
      </c>
      <c r="H136" s="66">
        <f t="shared" si="152"/>
        <v>36.61</v>
      </c>
      <c r="I136" s="66">
        <f t="shared" si="200"/>
        <v>50.53</v>
      </c>
      <c r="J136" s="66">
        <f t="shared" si="153"/>
        <v>1.23</v>
      </c>
      <c r="K136" s="66">
        <f t="shared" si="154"/>
        <v>0.17</v>
      </c>
      <c r="L136" s="66">
        <f t="shared" si="155"/>
        <v>0</v>
      </c>
      <c r="M136" s="66">
        <f t="shared" si="156"/>
        <v>0</v>
      </c>
      <c r="N136" s="66">
        <f>+IF(C136="","",ROUND(Parámetros!$D$23,2))</f>
        <v>94</v>
      </c>
      <c r="O136" s="66">
        <f t="shared" si="157"/>
        <v>18.600000000000001</v>
      </c>
      <c r="P136" s="66">
        <f>+IF($C136="","",ROUND(IF(B136&gt;Parámetros!$D$117,0,N136*Parámetros!$D$116-G136*Parámetros!$D$100),2))</f>
        <v>6.86</v>
      </c>
      <c r="Q136" s="75">
        <f t="shared" si="201"/>
        <v>3.4933257597273504E-2</v>
      </c>
      <c r="R136" s="75">
        <f t="shared" si="202"/>
        <v>4.8281738142573133E-3</v>
      </c>
      <c r="S136" s="117">
        <f>+IF($C136="","",ROUND((S135+I136)*(1+Parámetros!$D$91),2))</f>
        <v>6107.7</v>
      </c>
      <c r="T136" s="117">
        <f>+IF($C136="","",ROUND(S136*VLOOKUP(B136,Parámetros!$C$30:$D$39,2,TRUE),2))</f>
        <v>5191.55</v>
      </c>
      <c r="U136" s="117">
        <f>+IF($C136="","",ROUND((U135+I136)*(1+Parámetros!$D$92),2))</f>
        <v>6237.63</v>
      </c>
      <c r="V136" s="117">
        <f>+IF($C136="","",ROUND(U136*VLOOKUP(B136,Parámetros!$C$30:$D$39,2,TRUE),2))</f>
        <v>5301.99</v>
      </c>
      <c r="W136" s="57">
        <f t="shared" si="203"/>
        <v>95</v>
      </c>
      <c r="X136" t="str">
        <f t="shared" si="204"/>
        <v>00058</v>
      </c>
      <c r="Y136" t="str">
        <f t="shared" si="205"/>
        <v>MUERTE POR CUALQUIER CAUSA</v>
      </c>
      <c r="Z136" s="118">
        <f>+IF($W136="","",ROUND(IF(Parámetros!$D$25='TABLAS MORT'!$V$33,Z135,Parámetros!$D$21-'Tablas Servicio'!T135),0))</f>
        <v>100000</v>
      </c>
      <c r="AA136" s="118" t="str">
        <f t="shared" si="206"/>
        <v>P</v>
      </c>
      <c r="AB136" s="119">
        <f>+IF(W136="","",ROUND((VLOOKUP(ROUNDDOWN($D136-1/frec,0),qx_tabla,2,FALSE)*(1+i/frec)^-0.5*(1+Parámetros!$D$103)*(1+rec_fracc)/frec),6))</f>
        <v>1.8000000000000001E-4</v>
      </c>
      <c r="AC136" s="66">
        <f t="shared" si="162"/>
        <v>18</v>
      </c>
      <c r="AD136" s="119">
        <f t="shared" si="158"/>
        <v>3.4499999999999998E-4</v>
      </c>
      <c r="AE136" s="66">
        <f>+IF($W136="","",ROUND(IF($B136&gt;Parámetros!$D$107,'Tablas Servicio'!AC136+('Tablas Servicio'!AG135-'Tablas Servicio'!AC135),AC136/(1-IF(B136&lt;=10,Parámetros!$D$104,Parámetros!$D$105))),2))</f>
        <v>37.25</v>
      </c>
      <c r="AF136" s="66">
        <f>+IF($W136="","",ROUND(IF($B136&gt;Parámetros!$D$107,'Tablas Servicio'!AC136+('Tablas Servicio'!AG135-'Tablas Servicio'!AC135),(AC136+$A135/frec)/(1-IF(B136&lt;=Parámetros!$D$117,Parámetros!$D$100,0))),2))</f>
        <v>34.53</v>
      </c>
      <c r="AG136" s="66">
        <f t="shared" si="163"/>
        <v>34.53</v>
      </c>
      <c r="AH136" s="66">
        <f t="shared" si="164"/>
        <v>0</v>
      </c>
      <c r="AI136" s="66">
        <f t="shared" si="165"/>
        <v>0</v>
      </c>
      <c r="AJ136" s="66">
        <f>+IF($W136="","",ROUND((AG136*Parámetros!$G$85),2))</f>
        <v>1.21</v>
      </c>
      <c r="AK136" s="66">
        <f>+IF($W136="","",ROUND((AG136*(Parámetros!$G$86)),2))</f>
        <v>0.17</v>
      </c>
      <c r="AL136" s="66">
        <f t="shared" si="159"/>
        <v>35.909999999999997</v>
      </c>
      <c r="AM136" t="str">
        <f t="shared" si="207"/>
        <v>00059</v>
      </c>
      <c r="AN136" t="str">
        <f t="shared" si="208"/>
        <v>Incapacidad Total y Permanente</v>
      </c>
      <c r="AO136" s="118">
        <f t="shared" si="209"/>
        <v>0</v>
      </c>
      <c r="AP136" s="118" t="str">
        <f t="shared" si="210"/>
        <v>A</v>
      </c>
      <c r="AQ136" s="119" t="str">
        <f>+IF(OR($W136="",AO136=0),"",ROUND((VLOOKUP(ROUNDDOWN($D136-1/frec,0),cob_adi,Z$40,FALSE)*(1+i/frec)^-0.5*(1+Parámetros!$D$103)*(1+rec_fracc)/frec),6))</f>
        <v/>
      </c>
      <c r="AR136" s="66">
        <f t="shared" si="166"/>
        <v>0</v>
      </c>
      <c r="AS136" s="119" t="str">
        <f t="shared" si="167"/>
        <v/>
      </c>
      <c r="AT136" s="66">
        <f>+IF($W136="","",ROUND(IF($B136&gt;Parámetros!$D$107,'Tablas Servicio'!AR136+('Tablas Servicio'!AT135-'Tablas Servicio'!AR135),AR136/(1-IF(B136&lt;=10,Parámetros!$D$100,0))),2))</f>
        <v>0</v>
      </c>
      <c r="AU136" s="66">
        <f t="shared" si="168"/>
        <v>0</v>
      </c>
      <c r="AV136" s="66">
        <f t="shared" si="168"/>
        <v>0</v>
      </c>
      <c r="AW136" s="66">
        <f>+IF($W136="","",ROUND((AT136*Parámetros!$G$85),2))</f>
        <v>0</v>
      </c>
      <c r="AX136" s="66">
        <f>+IF($W136="","",ROUND((AT136*(Parámetros!$G$86)),2))</f>
        <v>0</v>
      </c>
      <c r="AY136" s="66">
        <f t="shared" si="169"/>
        <v>0</v>
      </c>
      <c r="AZ136" t="str">
        <f t="shared" si="211"/>
        <v>00060</v>
      </c>
      <c r="BA136" t="str">
        <f t="shared" si="212"/>
        <v>Muerte Accidental</v>
      </c>
      <c r="BB136" s="118">
        <f t="shared" si="213"/>
        <v>0</v>
      </c>
      <c r="BC136" s="118" t="str">
        <f t="shared" si="214"/>
        <v>A</v>
      </c>
      <c r="BD136" s="119" t="str">
        <f>+IF(OR($W136="",BB136=0),"",ROUND((VLOOKUP(ROUNDDOWN($D136-1/frec,0),cob_adi,AO$40,FALSE)*(1+i/frec)^-0.5*(1+Parámetros!$D$103)*(1+rec_fracc)/frec),6))</f>
        <v/>
      </c>
      <c r="BE136" s="66">
        <f t="shared" si="170"/>
        <v>0</v>
      </c>
      <c r="BF136" s="119" t="str">
        <f t="shared" si="171"/>
        <v/>
      </c>
      <c r="BG136" s="66">
        <f>+IF($W136="","",ROUND(IF($B136&gt;Parámetros!$D$107,'Tablas Servicio'!BE136+('Tablas Servicio'!BG135-'Tablas Servicio'!BE135),BE136/(1-IF(B136&lt;=10,Parámetros!$D$100,0))),2))</f>
        <v>0</v>
      </c>
      <c r="BH136" s="66">
        <f t="shared" si="172"/>
        <v>0</v>
      </c>
      <c r="BI136" s="66">
        <f t="shared" si="173"/>
        <v>0</v>
      </c>
      <c r="BJ136" s="66">
        <f>+IF($W136="","",ROUND((BG136*Parámetros!$G$85),2))</f>
        <v>0</v>
      </c>
      <c r="BK136" s="66">
        <f>+IF($W136="","",ROUND((BG136*(Parámetros!$G$86)),2))</f>
        <v>0</v>
      </c>
      <c r="BL136" s="66">
        <f t="shared" si="174"/>
        <v>0</v>
      </c>
      <c r="BM136" t="str">
        <f t="shared" si="215"/>
        <v>00061</v>
      </c>
      <c r="BN136" t="str">
        <f t="shared" si="216"/>
        <v>Gastos de Entierro</v>
      </c>
      <c r="BO136" s="118">
        <f t="shared" si="217"/>
        <v>0</v>
      </c>
      <c r="BP136" s="118" t="str">
        <f t="shared" si="218"/>
        <v>A</v>
      </c>
      <c r="BQ136" s="119" t="str">
        <f>+IF(OR($W136="",BO136=0),"",ROUND((VLOOKUP(ROUNDDOWN($D136-1/frec,0),cob_adi,BB$40,FALSE)*(1+i/frec)^-0.5*(1+Parámetros!$D$103)*(1+rec_fracc)/frec),6))</f>
        <v/>
      </c>
      <c r="BR136" s="66">
        <f t="shared" si="175"/>
        <v>0</v>
      </c>
      <c r="BS136" s="119" t="str">
        <f t="shared" si="176"/>
        <v/>
      </c>
      <c r="BT136" s="66">
        <f>+IF($W136="","",ROUND(IF($B136&gt;Parámetros!$D$107,'Tablas Servicio'!BR136+('Tablas Servicio'!BT135-'Tablas Servicio'!BR135),BR136/(1-IF(B136&lt;=10,Parámetros!$D$100,0))),2))</f>
        <v>0</v>
      </c>
      <c r="BU136" s="66">
        <f t="shared" si="177"/>
        <v>0</v>
      </c>
      <c r="BV136" s="66">
        <f t="shared" si="177"/>
        <v>0</v>
      </c>
      <c r="BW136" s="66">
        <f>+IF($W136="","",ROUND((BT136*Parámetros!$G$85),2))</f>
        <v>0</v>
      </c>
      <c r="BX136" s="66">
        <f>+IF($W136="","",ROUND((BT136*(Parámetros!$G$86)),2))</f>
        <v>0</v>
      </c>
      <c r="BY136" s="66">
        <f t="shared" si="178"/>
        <v>0</v>
      </c>
      <c r="BZ136" t="str">
        <f t="shared" si="219"/>
        <v>00062</v>
      </c>
      <c r="CA136" t="str">
        <f t="shared" si="220"/>
        <v>Gastos médicos por accidente</v>
      </c>
      <c r="CB136" s="118">
        <f t="shared" si="221"/>
        <v>0</v>
      </c>
      <c r="CC136" s="118" t="str">
        <f t="shared" si="222"/>
        <v>A</v>
      </c>
      <c r="CD136" s="119" t="str">
        <f t="shared" si="179"/>
        <v/>
      </c>
      <c r="CE136" s="66">
        <f>+IF($W136="","",ROUND((VLOOKUP(ROUNDDOWN($D136-1/frec,0),cob_adi,BO$40,FALSE)*(1+i/frec)^-0.5*(1+Parámetros!$D$103)*(1+rec_fracc)/frec*'TABLAS ADI'!$BC$17),2))</f>
        <v>0</v>
      </c>
      <c r="CF136" s="119" t="str">
        <f t="shared" si="180"/>
        <v/>
      </c>
      <c r="CG136" s="66">
        <f>+IF($W136="","",ROUND(IF($B136&gt;Parámetros!$D$107,'Tablas Servicio'!CE136+('Tablas Servicio'!CG135-'Tablas Servicio'!CE135),CE136/(1-IF(B136&lt;=10,Parámetros!$D$100,0))),2))</f>
        <v>0</v>
      </c>
      <c r="CH136" s="66">
        <f t="shared" si="181"/>
        <v>0</v>
      </c>
      <c r="CI136" s="66">
        <f t="shared" si="181"/>
        <v>0</v>
      </c>
      <c r="CJ136" s="66">
        <f>+IF($W136="","",ROUND((CG136*Parámetros!$G$85),2))</f>
        <v>0</v>
      </c>
      <c r="CK136" s="66">
        <f>+IF($W136="","",ROUND((CG136*(Parámetros!$G$86)),2))</f>
        <v>0</v>
      </c>
      <c r="CL136" s="66">
        <f t="shared" si="182"/>
        <v>0</v>
      </c>
      <c r="CM136" t="str">
        <f t="shared" si="223"/>
        <v>00063</v>
      </c>
      <c r="CN136" s="118" t="str">
        <f t="shared" si="224"/>
        <v>Renta Diaria por Hospitalización</v>
      </c>
      <c r="CO136" s="118">
        <f t="shared" si="225"/>
        <v>0</v>
      </c>
      <c r="CP136" s="118" t="str">
        <f t="shared" si="226"/>
        <v>A</v>
      </c>
      <c r="CQ136" s="119" t="str">
        <f t="shared" si="183"/>
        <v/>
      </c>
      <c r="CR136" s="66">
        <f>+IF($W136="","",ROUND((VLOOKUP(Parámetros!$F$51,'COBERTURAS ADICIONALES'!$S$4:$T$32,2,FALSE)*(1+i/frec)^-0.5*(1+Parámetros!$D$103)*(1+rec_fracc)/frec*$CO$42),2))</f>
        <v>0</v>
      </c>
      <c r="CS136" s="119" t="str">
        <f t="shared" si="184"/>
        <v/>
      </c>
      <c r="CT136" s="66">
        <f>+IF($W136="","",ROUND(IF($B136&gt;Parámetros!$D$107,'Tablas Servicio'!CR136+('Tablas Servicio'!CT135-'Tablas Servicio'!CR135),CR136/(1-IF(B136&lt;=10,Parámetros!$D$100,0))),2))</f>
        <v>0</v>
      </c>
      <c r="CU136" s="66">
        <f t="shared" si="185"/>
        <v>0</v>
      </c>
      <c r="CV136" s="66">
        <f t="shared" si="185"/>
        <v>0</v>
      </c>
      <c r="CW136" s="66">
        <f>+IF($W136="","",ROUND((CT136*Parámetros!$G$85),2))</f>
        <v>0</v>
      </c>
      <c r="CX136" s="66">
        <f>+IF($W136="","",ROUND((CT136*(Parámetros!$G$86)),2))</f>
        <v>0</v>
      </c>
      <c r="CY136" s="66">
        <f t="shared" si="186"/>
        <v>0</v>
      </c>
      <c r="CZ136" t="str">
        <f t="shared" si="227"/>
        <v>00064</v>
      </c>
      <c r="DA136" s="118" t="str">
        <f t="shared" si="228"/>
        <v>Enfermedades Graves</v>
      </c>
      <c r="DB136" s="118">
        <f t="shared" si="229"/>
        <v>0</v>
      </c>
      <c r="DC136" s="118" t="str">
        <f t="shared" si="230"/>
        <v>A</v>
      </c>
      <c r="DD136" s="121" t="str">
        <f>+IF(OR($W136="",DB136=0),"",ROUND((VLOOKUP(ROUNDDOWN($D136-1/frec,0),cob_adi,CO$40,FALSE)*(1+i/frec)^-0.5*(1+Parámetros!$D$103)*(1+rec_fracc)/frec),6))</f>
        <v/>
      </c>
      <c r="DE136" s="66">
        <f t="shared" si="187"/>
        <v>0</v>
      </c>
      <c r="DF136" s="119" t="str">
        <f t="shared" si="188"/>
        <v/>
      </c>
      <c r="DG136" s="66">
        <f>+IF($W136="","",ROUND(IF($B136&gt;Parámetros!$D$107,'Tablas Servicio'!DE136+('Tablas Servicio'!DG135-'Tablas Servicio'!DE135),DE136/(1-IF(B136&lt;=10,Parámetros!$D$100,0))),2))</f>
        <v>0</v>
      </c>
      <c r="DH136" s="66">
        <f t="shared" si="189"/>
        <v>0</v>
      </c>
      <c r="DI136" s="66">
        <f t="shared" si="189"/>
        <v>0</v>
      </c>
      <c r="DJ136" s="66">
        <f>+IF($W136="","",ROUND((DG136*Parámetros!$G$85),2))</f>
        <v>0</v>
      </c>
      <c r="DK136" s="66">
        <f>+IF($W136="","",ROUND((DG136*(Parámetros!$G$86)),2))</f>
        <v>0</v>
      </c>
      <c r="DL136" s="66">
        <f t="shared" si="190"/>
        <v>0</v>
      </c>
      <c r="DM136" t="str">
        <f t="shared" si="231"/>
        <v>00065</v>
      </c>
      <c r="DN136" s="118" t="str">
        <f t="shared" si="232"/>
        <v>Exención pago de primas</v>
      </c>
      <c r="DO136" s="118">
        <f t="shared" si="233"/>
        <v>0</v>
      </c>
      <c r="DP136" s="118" t="str">
        <f t="shared" si="234"/>
        <v>A</v>
      </c>
      <c r="DQ136" s="122" t="str">
        <f>+IF(OR($W136="",DO136=0),"",ROUND((VLOOKUP(ROUNDDOWN($D136-1/frec,0),cob_adi,DB$40,FALSE)*(1+i/frec)^-0.5*(1+Parámetros!$D$103)*(1+rec_fracc)/frec),6))</f>
        <v/>
      </c>
      <c r="DR136" s="66">
        <f t="shared" si="191"/>
        <v>0</v>
      </c>
      <c r="DS136" s="68" t="str">
        <f t="shared" si="192"/>
        <v/>
      </c>
      <c r="DT136" s="66">
        <f>+IF($W136="","",ROUND(IF($B136&gt;Parámetros!$D$107,'Tablas Servicio'!DR136+('Tablas Servicio'!DT135-'Tablas Servicio'!DR135),DR136/(1-IF(B136&lt;=10,Parámetros!$D$100,0))),2))</f>
        <v>0</v>
      </c>
      <c r="DU136" s="66">
        <f t="shared" si="193"/>
        <v>0</v>
      </c>
      <c r="DV136" s="66">
        <f t="shared" si="193"/>
        <v>0</v>
      </c>
      <c r="DW136" s="66">
        <f>+IF($W136="","",ROUND((DT136*Parámetros!$G$85),2))</f>
        <v>0</v>
      </c>
      <c r="DX136" s="66">
        <f>+IF($W136="","",ROUND((DT136*(Parámetros!$G$86)),2))</f>
        <v>0</v>
      </c>
      <c r="DY136" s="66">
        <f t="shared" si="194"/>
        <v>0</v>
      </c>
      <c r="DZ136" t="str">
        <f t="shared" si="235"/>
        <v>00066</v>
      </c>
      <c r="EA136" s="118" t="str">
        <f t="shared" si="235"/>
        <v>Enfermedad terminal</v>
      </c>
      <c r="EB136" s="118">
        <f>+IF($W136="","",ROUND(IF(Parámetros!$D$25='TABLAS MORT'!$V$33,EB135,Z136/2),0))</f>
        <v>50000</v>
      </c>
      <c r="EC136" s="118" t="str">
        <f t="shared" si="235"/>
        <v>A</v>
      </c>
      <c r="ED136" s="122">
        <f>+IF(OR($W136="",EB136=0),"",ROUND((VLOOKUP(ROUNDDOWN($D136-1/frec,0),cob_adi,DO$40,FALSE)*(1+i/frec)^-0.5*(1+Parámetros!$D$103)*(1+rec_fracc)/frec),6))</f>
        <v>1.2E-5</v>
      </c>
      <c r="EE136" s="66">
        <f t="shared" si="196"/>
        <v>0.6</v>
      </c>
      <c r="EF136" s="68">
        <f t="shared" si="197"/>
        <v>1.4E-5</v>
      </c>
      <c r="EG136" s="66">
        <f>+IF($W136="","",ROUND(IF($B136&gt;Parámetros!$D$107,'Tablas Servicio'!EE136+('Tablas Servicio'!EG135-'Tablas Servicio'!EE135),EE136/(1-IF(B136&lt;=10,Parámetros!$D$100,0))),2))</f>
        <v>0.68</v>
      </c>
      <c r="EH136" s="66">
        <f t="shared" si="198"/>
        <v>0</v>
      </c>
      <c r="EI136" s="66">
        <f t="shared" si="198"/>
        <v>0</v>
      </c>
      <c r="EJ136" s="66">
        <f>+IF($W136="","",ROUND((EG136*Parámetros!$G$85),2))</f>
        <v>0.02</v>
      </c>
      <c r="EK136" s="66">
        <f>+IF($W136="","",ROUND((EG136*(Parámetros!$G$86)),2))</f>
        <v>0</v>
      </c>
      <c r="EL136" s="66">
        <f t="shared" si="199"/>
        <v>0.7</v>
      </c>
    </row>
    <row r="137" spans="1:142" x14ac:dyDescent="0.25">
      <c r="A137">
        <f>+IF($C137="","",ROUND(VLOOKUP('Tablas Servicio'!B137,Parámetros!$H$100:$J$159,IF(Parámetros!$E$16="F",2,3),FALSE),2))</f>
        <v>150</v>
      </c>
      <c r="B137">
        <f t="shared" si="150"/>
        <v>8</v>
      </c>
      <c r="C137" s="57">
        <f>+IF(D137="","",'Tablas Servicio'!C136+1)</f>
        <v>96</v>
      </c>
      <c r="D137" s="56">
        <f>+IF(D136&lt;edadmaxtabla,D136+1/Parámetros!$E$25,"")</f>
        <v>48.020000000000231</v>
      </c>
      <c r="E137" s="57">
        <f t="shared" si="160"/>
        <v>48</v>
      </c>
      <c r="F137" s="59">
        <f t="shared" si="161"/>
        <v>100000</v>
      </c>
      <c r="G137" s="66">
        <f t="shared" si="151"/>
        <v>35.21</v>
      </c>
      <c r="H137" s="66">
        <f t="shared" si="152"/>
        <v>36.61</v>
      </c>
      <c r="I137" s="66">
        <f t="shared" si="200"/>
        <v>50.53</v>
      </c>
      <c r="J137" s="66">
        <f t="shared" si="153"/>
        <v>1.23</v>
      </c>
      <c r="K137" s="66">
        <f t="shared" si="154"/>
        <v>0.17</v>
      </c>
      <c r="L137" s="66">
        <f t="shared" si="155"/>
        <v>0</v>
      </c>
      <c r="M137" s="66">
        <f t="shared" si="156"/>
        <v>0</v>
      </c>
      <c r="N137" s="66">
        <f>+IF(C137="","",ROUND(Parámetros!$D$23,2))</f>
        <v>94</v>
      </c>
      <c r="O137" s="66">
        <f t="shared" si="157"/>
        <v>18.600000000000001</v>
      </c>
      <c r="P137" s="66">
        <f>+IF($C137="","",ROUND(IF(B137&gt;Parámetros!$D$117,0,N137*Parámetros!$D$116-G137*Parámetros!$D$100),2))</f>
        <v>6.86</v>
      </c>
      <c r="Q137" s="75">
        <f t="shared" si="201"/>
        <v>3.4933257597273504E-2</v>
      </c>
      <c r="R137" s="75">
        <f t="shared" si="202"/>
        <v>4.8281738142573133E-3</v>
      </c>
      <c r="S137" s="117">
        <f>+IF($C137="","",ROUND((S136+I137)*(1+Parámetros!$D$91),2))</f>
        <v>6175.7</v>
      </c>
      <c r="T137" s="117">
        <f>+IF($C137="","",ROUND(S137*VLOOKUP(B137,Parámetros!$C$30:$D$39,2,TRUE),2))</f>
        <v>5249.35</v>
      </c>
      <c r="U137" s="117">
        <f>+IF($C137="","",ROUND((U136+I137)*(1+Parámetros!$D$92),2))</f>
        <v>6308.54</v>
      </c>
      <c r="V137" s="117">
        <f>+IF($C137="","",ROUND(U137*VLOOKUP(B137,Parámetros!$C$30:$D$39,2,TRUE),2))</f>
        <v>5362.26</v>
      </c>
      <c r="W137" s="57">
        <f t="shared" si="203"/>
        <v>96</v>
      </c>
      <c r="X137" t="str">
        <f t="shared" si="204"/>
        <v>00058</v>
      </c>
      <c r="Y137" t="str">
        <f t="shared" si="205"/>
        <v>MUERTE POR CUALQUIER CAUSA</v>
      </c>
      <c r="Z137" s="118">
        <f>+IF($W137="","",ROUND(IF(Parámetros!$D$25='TABLAS MORT'!$V$33,Z136,Parámetros!$D$21-'Tablas Servicio'!T136),0))</f>
        <v>100000</v>
      </c>
      <c r="AA137" s="118" t="str">
        <f t="shared" si="206"/>
        <v>P</v>
      </c>
      <c r="AB137" s="119">
        <f>+IF(W137="","",ROUND((VLOOKUP(ROUNDDOWN($D137-1/frec,0),qx_tabla,2,FALSE)*(1+i/frec)^-0.5*(1+Parámetros!$D$103)*(1+rec_fracc)/frec),6))</f>
        <v>1.8000000000000001E-4</v>
      </c>
      <c r="AC137" s="66">
        <f t="shared" si="162"/>
        <v>18</v>
      </c>
      <c r="AD137" s="119">
        <f t="shared" si="158"/>
        <v>3.4499999999999998E-4</v>
      </c>
      <c r="AE137" s="66">
        <f>+IF($W137="","",ROUND(IF($B137&gt;Parámetros!$D$107,'Tablas Servicio'!AC137+('Tablas Servicio'!AG136-'Tablas Servicio'!AC136),AC137/(1-IF(B137&lt;=10,Parámetros!$D$104,Parámetros!$D$105))),2))</f>
        <v>37.25</v>
      </c>
      <c r="AF137" s="66">
        <f>+IF($W137="","",ROUND(IF($B137&gt;Parámetros!$D$107,'Tablas Servicio'!AC137+('Tablas Servicio'!AG136-'Tablas Servicio'!AC136),(AC137+$A136/frec)/(1-IF(B137&lt;=Parámetros!$D$117,Parámetros!$D$100,0))),2))</f>
        <v>34.53</v>
      </c>
      <c r="AG137" s="66">
        <f t="shared" si="163"/>
        <v>34.53</v>
      </c>
      <c r="AH137" s="66">
        <f t="shared" si="164"/>
        <v>0</v>
      </c>
      <c r="AI137" s="66">
        <f t="shared" si="165"/>
        <v>0</v>
      </c>
      <c r="AJ137" s="66">
        <f>+IF($W137="","",ROUND((AG137*Parámetros!$G$85),2))</f>
        <v>1.21</v>
      </c>
      <c r="AK137" s="66">
        <f>+IF($W137="","",ROUND((AG137*(Parámetros!$G$86)),2))</f>
        <v>0.17</v>
      </c>
      <c r="AL137" s="66">
        <f t="shared" si="159"/>
        <v>35.909999999999997</v>
      </c>
      <c r="AM137" t="str">
        <f t="shared" si="207"/>
        <v>00059</v>
      </c>
      <c r="AN137" t="str">
        <f t="shared" si="208"/>
        <v>Incapacidad Total y Permanente</v>
      </c>
      <c r="AO137" s="118">
        <f t="shared" si="209"/>
        <v>0</v>
      </c>
      <c r="AP137" s="118" t="str">
        <f t="shared" si="210"/>
        <v>A</v>
      </c>
      <c r="AQ137" s="119" t="str">
        <f>+IF(OR($W137="",AO137=0),"",ROUND((VLOOKUP(ROUNDDOWN($D137-1/frec,0),cob_adi,Z$40,FALSE)*(1+i/frec)^-0.5*(1+Parámetros!$D$103)*(1+rec_fracc)/frec),6))</f>
        <v/>
      </c>
      <c r="AR137" s="66">
        <f t="shared" si="166"/>
        <v>0</v>
      </c>
      <c r="AS137" s="119" t="str">
        <f t="shared" si="167"/>
        <v/>
      </c>
      <c r="AT137" s="66">
        <f>+IF($W137="","",ROUND(IF($B137&gt;Parámetros!$D$107,'Tablas Servicio'!AR137+('Tablas Servicio'!AT136-'Tablas Servicio'!AR136),AR137/(1-IF(B137&lt;=10,Parámetros!$D$100,0))),2))</f>
        <v>0</v>
      </c>
      <c r="AU137" s="66">
        <f t="shared" si="168"/>
        <v>0</v>
      </c>
      <c r="AV137" s="66">
        <f t="shared" si="168"/>
        <v>0</v>
      </c>
      <c r="AW137" s="66">
        <f>+IF($W137="","",ROUND((AT137*Parámetros!$G$85),2))</f>
        <v>0</v>
      </c>
      <c r="AX137" s="66">
        <f>+IF($W137="","",ROUND((AT137*(Parámetros!$G$86)),2))</f>
        <v>0</v>
      </c>
      <c r="AY137" s="66">
        <f t="shared" si="169"/>
        <v>0</v>
      </c>
      <c r="AZ137" t="str">
        <f t="shared" si="211"/>
        <v>00060</v>
      </c>
      <c r="BA137" t="str">
        <f t="shared" si="212"/>
        <v>Muerte Accidental</v>
      </c>
      <c r="BB137" s="118">
        <f t="shared" si="213"/>
        <v>0</v>
      </c>
      <c r="BC137" s="118" t="str">
        <f t="shared" si="214"/>
        <v>A</v>
      </c>
      <c r="BD137" s="119" t="str">
        <f>+IF(OR($W137="",BB137=0),"",ROUND((VLOOKUP(ROUNDDOWN($D137-1/frec,0),cob_adi,AO$40,FALSE)*(1+i/frec)^-0.5*(1+Parámetros!$D$103)*(1+rec_fracc)/frec),6))</f>
        <v/>
      </c>
      <c r="BE137" s="66">
        <f t="shared" si="170"/>
        <v>0</v>
      </c>
      <c r="BF137" s="119" t="str">
        <f t="shared" si="171"/>
        <v/>
      </c>
      <c r="BG137" s="66">
        <f>+IF($W137="","",ROUND(IF($B137&gt;Parámetros!$D$107,'Tablas Servicio'!BE137+('Tablas Servicio'!BG136-'Tablas Servicio'!BE136),BE137/(1-IF(B137&lt;=10,Parámetros!$D$100,0))),2))</f>
        <v>0</v>
      </c>
      <c r="BH137" s="66">
        <f t="shared" si="172"/>
        <v>0</v>
      </c>
      <c r="BI137" s="66">
        <f t="shared" si="173"/>
        <v>0</v>
      </c>
      <c r="BJ137" s="66">
        <f>+IF($W137="","",ROUND((BG137*Parámetros!$G$85),2))</f>
        <v>0</v>
      </c>
      <c r="BK137" s="66">
        <f>+IF($W137="","",ROUND((BG137*(Parámetros!$G$86)),2))</f>
        <v>0</v>
      </c>
      <c r="BL137" s="66">
        <f t="shared" si="174"/>
        <v>0</v>
      </c>
      <c r="BM137" t="str">
        <f t="shared" si="215"/>
        <v>00061</v>
      </c>
      <c r="BN137" t="str">
        <f t="shared" si="216"/>
        <v>Gastos de Entierro</v>
      </c>
      <c r="BO137" s="118">
        <f t="shared" si="217"/>
        <v>0</v>
      </c>
      <c r="BP137" s="118" t="str">
        <f t="shared" si="218"/>
        <v>A</v>
      </c>
      <c r="BQ137" s="119" t="str">
        <f>+IF(OR($W137="",BO137=0),"",ROUND((VLOOKUP(ROUNDDOWN($D137-1/frec,0),cob_adi,BB$40,FALSE)*(1+i/frec)^-0.5*(1+Parámetros!$D$103)*(1+rec_fracc)/frec),6))</f>
        <v/>
      </c>
      <c r="BR137" s="66">
        <f t="shared" si="175"/>
        <v>0</v>
      </c>
      <c r="BS137" s="119" t="str">
        <f t="shared" si="176"/>
        <v/>
      </c>
      <c r="BT137" s="66">
        <f>+IF($W137="","",ROUND(IF($B137&gt;Parámetros!$D$107,'Tablas Servicio'!BR137+('Tablas Servicio'!BT136-'Tablas Servicio'!BR136),BR137/(1-IF(B137&lt;=10,Parámetros!$D$100,0))),2))</f>
        <v>0</v>
      </c>
      <c r="BU137" s="66">
        <f t="shared" si="177"/>
        <v>0</v>
      </c>
      <c r="BV137" s="66">
        <f t="shared" si="177"/>
        <v>0</v>
      </c>
      <c r="BW137" s="66">
        <f>+IF($W137="","",ROUND((BT137*Parámetros!$G$85),2))</f>
        <v>0</v>
      </c>
      <c r="BX137" s="66">
        <f>+IF($W137="","",ROUND((BT137*(Parámetros!$G$86)),2))</f>
        <v>0</v>
      </c>
      <c r="BY137" s="66">
        <f t="shared" si="178"/>
        <v>0</v>
      </c>
      <c r="BZ137" t="str">
        <f t="shared" si="219"/>
        <v>00062</v>
      </c>
      <c r="CA137" t="str">
        <f t="shared" si="220"/>
        <v>Gastos médicos por accidente</v>
      </c>
      <c r="CB137" s="118">
        <f t="shared" si="221"/>
        <v>0</v>
      </c>
      <c r="CC137" s="118" t="str">
        <f t="shared" si="222"/>
        <v>A</v>
      </c>
      <c r="CD137" s="119" t="str">
        <f t="shared" si="179"/>
        <v/>
      </c>
      <c r="CE137" s="66">
        <f>+IF($W137="","",ROUND((VLOOKUP(ROUNDDOWN($D137-1/frec,0),cob_adi,BO$40,FALSE)*(1+i/frec)^-0.5*(1+Parámetros!$D$103)*(1+rec_fracc)/frec*'TABLAS ADI'!$BC$17),2))</f>
        <v>0</v>
      </c>
      <c r="CF137" s="119" t="str">
        <f t="shared" si="180"/>
        <v/>
      </c>
      <c r="CG137" s="66">
        <f>+IF($W137="","",ROUND(IF($B137&gt;Parámetros!$D$107,'Tablas Servicio'!CE137+('Tablas Servicio'!CG136-'Tablas Servicio'!CE136),CE137/(1-IF(B137&lt;=10,Parámetros!$D$100,0))),2))</f>
        <v>0</v>
      </c>
      <c r="CH137" s="66">
        <f t="shared" si="181"/>
        <v>0</v>
      </c>
      <c r="CI137" s="66">
        <f t="shared" si="181"/>
        <v>0</v>
      </c>
      <c r="CJ137" s="66">
        <f>+IF($W137="","",ROUND((CG137*Parámetros!$G$85),2))</f>
        <v>0</v>
      </c>
      <c r="CK137" s="66">
        <f>+IF($W137="","",ROUND((CG137*(Parámetros!$G$86)),2))</f>
        <v>0</v>
      </c>
      <c r="CL137" s="66">
        <f t="shared" si="182"/>
        <v>0</v>
      </c>
      <c r="CM137" t="str">
        <f t="shared" si="223"/>
        <v>00063</v>
      </c>
      <c r="CN137" s="118" t="str">
        <f t="shared" si="224"/>
        <v>Renta Diaria por Hospitalización</v>
      </c>
      <c r="CO137" s="118">
        <f t="shared" si="225"/>
        <v>0</v>
      </c>
      <c r="CP137" s="118" t="str">
        <f t="shared" si="226"/>
        <v>A</v>
      </c>
      <c r="CQ137" s="119" t="str">
        <f t="shared" si="183"/>
        <v/>
      </c>
      <c r="CR137" s="66">
        <f>+IF($W137="","",ROUND((VLOOKUP(Parámetros!$F$51,'COBERTURAS ADICIONALES'!$S$4:$T$32,2,FALSE)*(1+i/frec)^-0.5*(1+Parámetros!$D$103)*(1+rec_fracc)/frec*$CO$42),2))</f>
        <v>0</v>
      </c>
      <c r="CS137" s="119" t="str">
        <f t="shared" si="184"/>
        <v/>
      </c>
      <c r="CT137" s="66">
        <f>+IF($W137="","",ROUND(IF($B137&gt;Parámetros!$D$107,'Tablas Servicio'!CR137+('Tablas Servicio'!CT136-'Tablas Servicio'!CR136),CR137/(1-IF(B137&lt;=10,Parámetros!$D$100,0))),2))</f>
        <v>0</v>
      </c>
      <c r="CU137" s="66">
        <f t="shared" si="185"/>
        <v>0</v>
      </c>
      <c r="CV137" s="66">
        <f t="shared" si="185"/>
        <v>0</v>
      </c>
      <c r="CW137" s="66">
        <f>+IF($W137="","",ROUND((CT137*Parámetros!$G$85),2))</f>
        <v>0</v>
      </c>
      <c r="CX137" s="66">
        <f>+IF($W137="","",ROUND((CT137*(Parámetros!$G$86)),2))</f>
        <v>0</v>
      </c>
      <c r="CY137" s="66">
        <f t="shared" si="186"/>
        <v>0</v>
      </c>
      <c r="CZ137" t="str">
        <f t="shared" si="227"/>
        <v>00064</v>
      </c>
      <c r="DA137" s="118" t="str">
        <f t="shared" si="228"/>
        <v>Enfermedades Graves</v>
      </c>
      <c r="DB137" s="118">
        <f t="shared" si="229"/>
        <v>0</v>
      </c>
      <c r="DC137" s="118" t="str">
        <f t="shared" si="230"/>
        <v>A</v>
      </c>
      <c r="DD137" s="121" t="str">
        <f>+IF(OR($W137="",DB137=0),"",ROUND((VLOOKUP(ROUNDDOWN($D137-1/frec,0),cob_adi,CO$40,FALSE)*(1+i/frec)^-0.5*(1+Parámetros!$D$103)*(1+rec_fracc)/frec),6))</f>
        <v/>
      </c>
      <c r="DE137" s="66">
        <f t="shared" si="187"/>
        <v>0</v>
      </c>
      <c r="DF137" s="119" t="str">
        <f t="shared" si="188"/>
        <v/>
      </c>
      <c r="DG137" s="66">
        <f>+IF($W137="","",ROUND(IF($B137&gt;Parámetros!$D$107,'Tablas Servicio'!DE137+('Tablas Servicio'!DG136-'Tablas Servicio'!DE136),DE137/(1-IF(B137&lt;=10,Parámetros!$D$100,0))),2))</f>
        <v>0</v>
      </c>
      <c r="DH137" s="66">
        <f t="shared" si="189"/>
        <v>0</v>
      </c>
      <c r="DI137" s="66">
        <f t="shared" si="189"/>
        <v>0</v>
      </c>
      <c r="DJ137" s="66">
        <f>+IF($W137="","",ROUND((DG137*Parámetros!$G$85),2))</f>
        <v>0</v>
      </c>
      <c r="DK137" s="66">
        <f>+IF($W137="","",ROUND((DG137*(Parámetros!$G$86)),2))</f>
        <v>0</v>
      </c>
      <c r="DL137" s="66">
        <f t="shared" si="190"/>
        <v>0</v>
      </c>
      <c r="DM137" t="str">
        <f t="shared" si="231"/>
        <v>00065</v>
      </c>
      <c r="DN137" s="118" t="str">
        <f t="shared" si="232"/>
        <v>Exención pago de primas</v>
      </c>
      <c r="DO137" s="118">
        <f t="shared" si="233"/>
        <v>0</v>
      </c>
      <c r="DP137" s="118" t="str">
        <f t="shared" si="234"/>
        <v>A</v>
      </c>
      <c r="DQ137" s="122" t="str">
        <f>+IF(OR($W137="",DO137=0),"",ROUND((VLOOKUP(ROUNDDOWN($D137-1/frec,0),cob_adi,DB$40,FALSE)*(1+i/frec)^-0.5*(1+Parámetros!$D$103)*(1+rec_fracc)/frec),6))</f>
        <v/>
      </c>
      <c r="DR137" s="66">
        <f t="shared" si="191"/>
        <v>0</v>
      </c>
      <c r="DS137" s="68" t="str">
        <f t="shared" si="192"/>
        <v/>
      </c>
      <c r="DT137" s="66">
        <f>+IF($W137="","",ROUND(IF($B137&gt;Parámetros!$D$107,'Tablas Servicio'!DR137+('Tablas Servicio'!DT136-'Tablas Servicio'!DR136),DR137/(1-IF(B137&lt;=10,Parámetros!$D$100,0))),2))</f>
        <v>0</v>
      </c>
      <c r="DU137" s="66">
        <f t="shared" si="193"/>
        <v>0</v>
      </c>
      <c r="DV137" s="66">
        <f t="shared" si="193"/>
        <v>0</v>
      </c>
      <c r="DW137" s="66">
        <f>+IF($W137="","",ROUND((DT137*Parámetros!$G$85),2))</f>
        <v>0</v>
      </c>
      <c r="DX137" s="66">
        <f>+IF($W137="","",ROUND((DT137*(Parámetros!$G$86)),2))</f>
        <v>0</v>
      </c>
      <c r="DY137" s="66">
        <f t="shared" si="194"/>
        <v>0</v>
      </c>
      <c r="DZ137" t="str">
        <f t="shared" si="235"/>
        <v>00066</v>
      </c>
      <c r="EA137" s="118" t="str">
        <f t="shared" si="235"/>
        <v>Enfermedad terminal</v>
      </c>
      <c r="EB137" s="118">
        <f>+IF($W137="","",ROUND(IF(Parámetros!$D$25='TABLAS MORT'!$V$33,EB136,Z137/2),0))</f>
        <v>50000</v>
      </c>
      <c r="EC137" s="118" t="str">
        <f t="shared" si="235"/>
        <v>A</v>
      </c>
      <c r="ED137" s="122">
        <f>+IF(OR($W137="",EB137=0),"",ROUND((VLOOKUP(ROUNDDOWN($D137-1/frec,0),cob_adi,DO$40,FALSE)*(1+i/frec)^-0.5*(1+Parámetros!$D$103)*(1+rec_fracc)/frec),6))</f>
        <v>1.2E-5</v>
      </c>
      <c r="EE137" s="66">
        <f t="shared" si="196"/>
        <v>0.6</v>
      </c>
      <c r="EF137" s="68">
        <f t="shared" si="197"/>
        <v>1.4E-5</v>
      </c>
      <c r="EG137" s="66">
        <f>+IF($W137="","",ROUND(IF($B137&gt;Parámetros!$D$107,'Tablas Servicio'!EE137+('Tablas Servicio'!EG136-'Tablas Servicio'!EE136),EE137/(1-IF(B137&lt;=10,Parámetros!$D$100,0))),2))</f>
        <v>0.68</v>
      </c>
      <c r="EH137" s="66">
        <f t="shared" si="198"/>
        <v>0</v>
      </c>
      <c r="EI137" s="66">
        <f t="shared" si="198"/>
        <v>0</v>
      </c>
      <c r="EJ137" s="66">
        <f>+IF($W137="","",ROUND((EG137*Parámetros!$G$85),2))</f>
        <v>0.02</v>
      </c>
      <c r="EK137" s="66">
        <f>+IF($W137="","",ROUND((EG137*(Parámetros!$G$86)),2))</f>
        <v>0</v>
      </c>
      <c r="EL137" s="66">
        <f t="shared" si="199"/>
        <v>0.7</v>
      </c>
    </row>
    <row r="138" spans="1:142" x14ac:dyDescent="0.25">
      <c r="A138">
        <f>+IF($C138="","",ROUND(VLOOKUP('Tablas Servicio'!B138,Parámetros!$H$100:$J$159,IF(Parámetros!$E$16="F",2,3),FALSE),2))</f>
        <v>150</v>
      </c>
      <c r="B138">
        <f t="shared" si="150"/>
        <v>9</v>
      </c>
      <c r="C138" s="57">
        <f>+IF(D138="","",'Tablas Servicio'!C137+1)</f>
        <v>97</v>
      </c>
      <c r="D138" s="56">
        <f>+IF(D137&lt;edadmaxtabla,D137+1/Parámetros!$E$25,"")</f>
        <v>48.103333333333566</v>
      </c>
      <c r="E138" s="57">
        <f t="shared" si="160"/>
        <v>48</v>
      </c>
      <c r="F138" s="59">
        <f t="shared" si="161"/>
        <v>100000</v>
      </c>
      <c r="G138" s="66">
        <f t="shared" si="151"/>
        <v>36.68</v>
      </c>
      <c r="H138" s="66">
        <f t="shared" si="152"/>
        <v>38.14</v>
      </c>
      <c r="I138" s="66">
        <f t="shared" si="200"/>
        <v>49.17</v>
      </c>
      <c r="J138" s="66">
        <f t="shared" si="153"/>
        <v>1.28</v>
      </c>
      <c r="K138" s="66">
        <f t="shared" si="154"/>
        <v>0.18</v>
      </c>
      <c r="L138" s="66">
        <f t="shared" si="155"/>
        <v>0</v>
      </c>
      <c r="M138" s="66">
        <f t="shared" si="156"/>
        <v>0</v>
      </c>
      <c r="N138" s="66">
        <f>+IF(C138="","",ROUND(Parámetros!$D$23,2))</f>
        <v>94</v>
      </c>
      <c r="O138" s="66">
        <f t="shared" si="157"/>
        <v>19.900000000000002</v>
      </c>
      <c r="P138" s="66">
        <f>+IF($C138="","",ROUND(IF(B138&gt;Parámetros!$D$117,0,N138*Parámetros!$D$116-G138*Parámetros!$D$100),2))</f>
        <v>6.69</v>
      </c>
      <c r="Q138" s="75">
        <f t="shared" si="201"/>
        <v>3.4896401308615051E-2</v>
      </c>
      <c r="R138" s="75">
        <f t="shared" si="202"/>
        <v>4.9073064340239914E-3</v>
      </c>
      <c r="S138" s="117">
        <f>+IF($C138="","",ROUND((S137+I138)*(1+Parámetros!$D$91),2))</f>
        <v>6242.53</v>
      </c>
      <c r="T138" s="117">
        <f>+IF($C138="","",ROUND(S138*VLOOKUP(B138,Parámetros!$C$30:$D$39,2,TRUE),2))</f>
        <v>5930.4</v>
      </c>
      <c r="U138" s="117">
        <f>+IF($C138="","",ROUND((U137+I138)*(1+Parámetros!$D$92),2))</f>
        <v>6378.32</v>
      </c>
      <c r="V138" s="117">
        <f>+IF($C138="","",ROUND(U138*VLOOKUP(B138,Parámetros!$C$30:$D$39,2,TRUE),2))</f>
        <v>6059.4</v>
      </c>
      <c r="W138" s="57">
        <f t="shared" si="203"/>
        <v>97</v>
      </c>
      <c r="X138" t="str">
        <f t="shared" si="204"/>
        <v>00058</v>
      </c>
      <c r="Y138" t="str">
        <f t="shared" si="205"/>
        <v>MUERTE POR CUALQUIER CAUSA</v>
      </c>
      <c r="Z138" s="118">
        <f>+IF($W138="","",ROUND(IF(Parámetros!$D$25='TABLAS MORT'!$V$33,Z137,Parámetros!$D$21-'Tablas Servicio'!T137),0))</f>
        <v>100000</v>
      </c>
      <c r="AA138" s="118" t="str">
        <f t="shared" si="206"/>
        <v>P</v>
      </c>
      <c r="AB138" s="119">
        <f>+IF(W138="","",ROUND((VLOOKUP(ROUNDDOWN($D138-1/frec,0),qx_tabla,2,FALSE)*(1+i/frec)^-0.5*(1+Parámetros!$D$103)*(1+rec_fracc)/frec),6))</f>
        <v>1.93E-4</v>
      </c>
      <c r="AC138" s="66">
        <f t="shared" si="162"/>
        <v>19.3</v>
      </c>
      <c r="AD138" s="119">
        <f t="shared" si="158"/>
        <v>3.6000000000000002E-4</v>
      </c>
      <c r="AE138" s="66">
        <f>+IF($W138="","",ROUND(IF($B138&gt;Parámetros!$D$107,'Tablas Servicio'!AC138+('Tablas Servicio'!AG137-'Tablas Servicio'!AC137),AC138/(1-IF(B138&lt;=10,Parámetros!$D$104,Parámetros!$D$105))),2))</f>
        <v>39.94</v>
      </c>
      <c r="AF138" s="66">
        <f>+IF($W138="","",ROUND(IF($B138&gt;Parámetros!$D$107,'Tablas Servicio'!AC138+('Tablas Servicio'!AG137-'Tablas Servicio'!AC137),(AC138+$A137/frec)/(1-IF(B138&lt;=Parámetros!$D$117,Parámetros!$D$100,0))),2))</f>
        <v>36</v>
      </c>
      <c r="AG138" s="66">
        <f t="shared" si="163"/>
        <v>36</v>
      </c>
      <c r="AH138" s="66">
        <f t="shared" si="164"/>
        <v>0</v>
      </c>
      <c r="AI138" s="66">
        <f t="shared" si="165"/>
        <v>0</v>
      </c>
      <c r="AJ138" s="66">
        <f>+IF($W138="","",ROUND((AG138*Parámetros!$G$85),2))</f>
        <v>1.26</v>
      </c>
      <c r="AK138" s="66">
        <f>+IF($W138="","",ROUND((AG138*(Parámetros!$G$86)),2))</f>
        <v>0.18</v>
      </c>
      <c r="AL138" s="66">
        <f t="shared" si="159"/>
        <v>37.44</v>
      </c>
      <c r="AM138" t="str">
        <f t="shared" si="207"/>
        <v>00059</v>
      </c>
      <c r="AN138" t="str">
        <f t="shared" si="208"/>
        <v>Incapacidad Total y Permanente</v>
      </c>
      <c r="AO138" s="118">
        <f t="shared" si="209"/>
        <v>0</v>
      </c>
      <c r="AP138" s="118" t="str">
        <f t="shared" si="210"/>
        <v>A</v>
      </c>
      <c r="AQ138" s="119" t="str">
        <f>+IF(OR($W138="",AO138=0),"",ROUND((VLOOKUP(ROUNDDOWN($D138-1/frec,0),cob_adi,Z$40,FALSE)*(1+i/frec)^-0.5*(1+Parámetros!$D$103)*(1+rec_fracc)/frec),6))</f>
        <v/>
      </c>
      <c r="AR138" s="66">
        <f t="shared" si="166"/>
        <v>0</v>
      </c>
      <c r="AS138" s="119" t="str">
        <f t="shared" si="167"/>
        <v/>
      </c>
      <c r="AT138" s="66">
        <f>+IF($W138="","",ROUND(IF($B138&gt;Parámetros!$D$107,'Tablas Servicio'!AR138+('Tablas Servicio'!AT137-'Tablas Servicio'!AR137),AR138/(1-IF(B138&lt;=10,Parámetros!$D$100,0))),2))</f>
        <v>0</v>
      </c>
      <c r="AU138" s="66">
        <f t="shared" si="168"/>
        <v>0</v>
      </c>
      <c r="AV138" s="66">
        <f t="shared" si="168"/>
        <v>0</v>
      </c>
      <c r="AW138" s="66">
        <f>+IF($W138="","",ROUND((AT138*Parámetros!$G$85),2))</f>
        <v>0</v>
      </c>
      <c r="AX138" s="66">
        <f>+IF($W138="","",ROUND((AT138*(Parámetros!$G$86)),2))</f>
        <v>0</v>
      </c>
      <c r="AY138" s="66">
        <f t="shared" si="169"/>
        <v>0</v>
      </c>
      <c r="AZ138" t="str">
        <f t="shared" si="211"/>
        <v>00060</v>
      </c>
      <c r="BA138" t="str">
        <f t="shared" si="212"/>
        <v>Muerte Accidental</v>
      </c>
      <c r="BB138" s="118">
        <f t="shared" si="213"/>
        <v>0</v>
      </c>
      <c r="BC138" s="118" t="str">
        <f t="shared" si="214"/>
        <v>A</v>
      </c>
      <c r="BD138" s="119" t="str">
        <f>+IF(OR($W138="",BB138=0),"",ROUND((VLOOKUP(ROUNDDOWN($D138-1/frec,0),cob_adi,AO$40,FALSE)*(1+i/frec)^-0.5*(1+Parámetros!$D$103)*(1+rec_fracc)/frec),6))</f>
        <v/>
      </c>
      <c r="BE138" s="66">
        <f t="shared" si="170"/>
        <v>0</v>
      </c>
      <c r="BF138" s="119" t="str">
        <f t="shared" si="171"/>
        <v/>
      </c>
      <c r="BG138" s="66">
        <f>+IF($W138="","",ROUND(IF($B138&gt;Parámetros!$D$107,'Tablas Servicio'!BE138+('Tablas Servicio'!BG137-'Tablas Servicio'!BE137),BE138/(1-IF(B138&lt;=10,Parámetros!$D$100,0))),2))</f>
        <v>0</v>
      </c>
      <c r="BH138" s="66">
        <f t="shared" si="172"/>
        <v>0</v>
      </c>
      <c r="BI138" s="66">
        <f t="shared" si="173"/>
        <v>0</v>
      </c>
      <c r="BJ138" s="66">
        <f>+IF($W138="","",ROUND((BG138*Parámetros!$G$85),2))</f>
        <v>0</v>
      </c>
      <c r="BK138" s="66">
        <f>+IF($W138="","",ROUND((BG138*(Parámetros!$G$86)),2))</f>
        <v>0</v>
      </c>
      <c r="BL138" s="66">
        <f t="shared" si="174"/>
        <v>0</v>
      </c>
      <c r="BM138" t="str">
        <f t="shared" si="215"/>
        <v>00061</v>
      </c>
      <c r="BN138" t="str">
        <f t="shared" si="216"/>
        <v>Gastos de Entierro</v>
      </c>
      <c r="BO138" s="118">
        <f t="shared" si="217"/>
        <v>0</v>
      </c>
      <c r="BP138" s="118" t="str">
        <f t="shared" si="218"/>
        <v>A</v>
      </c>
      <c r="BQ138" s="119" t="str">
        <f>+IF(OR($W138="",BO138=0),"",ROUND((VLOOKUP(ROUNDDOWN($D138-1/frec,0),cob_adi,BB$40,FALSE)*(1+i/frec)^-0.5*(1+Parámetros!$D$103)*(1+rec_fracc)/frec),6))</f>
        <v/>
      </c>
      <c r="BR138" s="66">
        <f t="shared" si="175"/>
        <v>0</v>
      </c>
      <c r="BS138" s="119" t="str">
        <f t="shared" si="176"/>
        <v/>
      </c>
      <c r="BT138" s="66">
        <f>+IF($W138="","",ROUND(IF($B138&gt;Parámetros!$D$107,'Tablas Servicio'!BR138+('Tablas Servicio'!BT137-'Tablas Servicio'!BR137),BR138/(1-IF(B138&lt;=10,Parámetros!$D$100,0))),2))</f>
        <v>0</v>
      </c>
      <c r="BU138" s="66">
        <f t="shared" si="177"/>
        <v>0</v>
      </c>
      <c r="BV138" s="66">
        <f t="shared" si="177"/>
        <v>0</v>
      </c>
      <c r="BW138" s="66">
        <f>+IF($W138="","",ROUND((BT138*Parámetros!$G$85),2))</f>
        <v>0</v>
      </c>
      <c r="BX138" s="66">
        <f>+IF($W138="","",ROUND((BT138*(Parámetros!$G$86)),2))</f>
        <v>0</v>
      </c>
      <c r="BY138" s="66">
        <f t="shared" si="178"/>
        <v>0</v>
      </c>
      <c r="BZ138" t="str">
        <f t="shared" si="219"/>
        <v>00062</v>
      </c>
      <c r="CA138" t="str">
        <f t="shared" si="220"/>
        <v>Gastos médicos por accidente</v>
      </c>
      <c r="CB138" s="118">
        <f t="shared" si="221"/>
        <v>0</v>
      </c>
      <c r="CC138" s="118" t="str">
        <f t="shared" si="222"/>
        <v>A</v>
      </c>
      <c r="CD138" s="119" t="str">
        <f t="shared" si="179"/>
        <v/>
      </c>
      <c r="CE138" s="66">
        <f>+IF($W138="","",ROUND((VLOOKUP(ROUNDDOWN($D138-1/frec,0),cob_adi,BO$40,FALSE)*(1+i/frec)^-0.5*(1+Parámetros!$D$103)*(1+rec_fracc)/frec*'TABLAS ADI'!$BC$17),2))</f>
        <v>0</v>
      </c>
      <c r="CF138" s="119" t="str">
        <f t="shared" si="180"/>
        <v/>
      </c>
      <c r="CG138" s="66">
        <f>+IF($W138="","",ROUND(IF($B138&gt;Parámetros!$D$107,'Tablas Servicio'!CE138+('Tablas Servicio'!CG137-'Tablas Servicio'!CE137),CE138/(1-IF(B138&lt;=10,Parámetros!$D$100,0))),2))</f>
        <v>0</v>
      </c>
      <c r="CH138" s="66">
        <f t="shared" si="181"/>
        <v>0</v>
      </c>
      <c r="CI138" s="66">
        <f t="shared" si="181"/>
        <v>0</v>
      </c>
      <c r="CJ138" s="66">
        <f>+IF($W138="","",ROUND((CG138*Parámetros!$G$85),2))</f>
        <v>0</v>
      </c>
      <c r="CK138" s="66">
        <f>+IF($W138="","",ROUND((CG138*(Parámetros!$G$86)),2))</f>
        <v>0</v>
      </c>
      <c r="CL138" s="66">
        <f t="shared" si="182"/>
        <v>0</v>
      </c>
      <c r="CM138" t="str">
        <f t="shared" si="223"/>
        <v>00063</v>
      </c>
      <c r="CN138" s="118" t="str">
        <f t="shared" si="224"/>
        <v>Renta Diaria por Hospitalización</v>
      </c>
      <c r="CO138" s="118">
        <f t="shared" si="225"/>
        <v>0</v>
      </c>
      <c r="CP138" s="118" t="str">
        <f t="shared" si="226"/>
        <v>A</v>
      </c>
      <c r="CQ138" s="119" t="str">
        <f t="shared" si="183"/>
        <v/>
      </c>
      <c r="CR138" s="66">
        <f>+IF($W138="","",ROUND((VLOOKUP(Parámetros!$F$51,'COBERTURAS ADICIONALES'!$S$4:$T$32,2,FALSE)*(1+i/frec)^-0.5*(1+Parámetros!$D$103)*(1+rec_fracc)/frec*$CO$42),2))</f>
        <v>0</v>
      </c>
      <c r="CS138" s="119" t="str">
        <f t="shared" si="184"/>
        <v/>
      </c>
      <c r="CT138" s="66">
        <f>+IF($W138="","",ROUND(IF($B138&gt;Parámetros!$D$107,'Tablas Servicio'!CR138+('Tablas Servicio'!CT137-'Tablas Servicio'!CR137),CR138/(1-IF(B138&lt;=10,Parámetros!$D$100,0))),2))</f>
        <v>0</v>
      </c>
      <c r="CU138" s="66">
        <f t="shared" si="185"/>
        <v>0</v>
      </c>
      <c r="CV138" s="66">
        <f t="shared" si="185"/>
        <v>0</v>
      </c>
      <c r="CW138" s="66">
        <f>+IF($W138="","",ROUND((CT138*Parámetros!$G$85),2))</f>
        <v>0</v>
      </c>
      <c r="CX138" s="66">
        <f>+IF($W138="","",ROUND((CT138*(Parámetros!$G$86)),2))</f>
        <v>0</v>
      </c>
      <c r="CY138" s="66">
        <f t="shared" si="186"/>
        <v>0</v>
      </c>
      <c r="CZ138" t="str">
        <f t="shared" si="227"/>
        <v>00064</v>
      </c>
      <c r="DA138" s="118" t="str">
        <f t="shared" si="228"/>
        <v>Enfermedades Graves</v>
      </c>
      <c r="DB138" s="118">
        <f t="shared" si="229"/>
        <v>0</v>
      </c>
      <c r="DC138" s="118" t="str">
        <f t="shared" si="230"/>
        <v>A</v>
      </c>
      <c r="DD138" s="121" t="str">
        <f>+IF(OR($W138="",DB138=0),"",ROUND((VLOOKUP(ROUNDDOWN($D138-1/frec,0),cob_adi,CO$40,FALSE)*(1+i/frec)^-0.5*(1+Parámetros!$D$103)*(1+rec_fracc)/frec),6))</f>
        <v/>
      </c>
      <c r="DE138" s="66">
        <f t="shared" si="187"/>
        <v>0</v>
      </c>
      <c r="DF138" s="119" t="str">
        <f t="shared" si="188"/>
        <v/>
      </c>
      <c r="DG138" s="66">
        <f>+IF($W138="","",ROUND(IF($B138&gt;Parámetros!$D$107,'Tablas Servicio'!DE138+('Tablas Servicio'!DG137-'Tablas Servicio'!DE137),DE138/(1-IF(B138&lt;=10,Parámetros!$D$100,0))),2))</f>
        <v>0</v>
      </c>
      <c r="DH138" s="66">
        <f t="shared" si="189"/>
        <v>0</v>
      </c>
      <c r="DI138" s="66">
        <f t="shared" si="189"/>
        <v>0</v>
      </c>
      <c r="DJ138" s="66">
        <f>+IF($W138="","",ROUND((DG138*Parámetros!$G$85),2))</f>
        <v>0</v>
      </c>
      <c r="DK138" s="66">
        <f>+IF($W138="","",ROUND((DG138*(Parámetros!$G$86)),2))</f>
        <v>0</v>
      </c>
      <c r="DL138" s="66">
        <f t="shared" si="190"/>
        <v>0</v>
      </c>
      <c r="DM138" t="str">
        <f t="shared" si="231"/>
        <v>00065</v>
      </c>
      <c r="DN138" s="118" t="str">
        <f t="shared" si="232"/>
        <v>Exención pago de primas</v>
      </c>
      <c r="DO138" s="118">
        <f t="shared" si="233"/>
        <v>0</v>
      </c>
      <c r="DP138" s="118" t="str">
        <f t="shared" si="234"/>
        <v>A</v>
      </c>
      <c r="DQ138" s="122" t="str">
        <f>+IF(OR($W138="",DO138=0),"",ROUND((VLOOKUP(ROUNDDOWN($D138-1/frec,0),cob_adi,DB$40,FALSE)*(1+i/frec)^-0.5*(1+Parámetros!$D$103)*(1+rec_fracc)/frec),6))</f>
        <v/>
      </c>
      <c r="DR138" s="66">
        <f t="shared" si="191"/>
        <v>0</v>
      </c>
      <c r="DS138" s="68" t="str">
        <f t="shared" si="192"/>
        <v/>
      </c>
      <c r="DT138" s="66">
        <f>+IF($W138="","",ROUND(IF($B138&gt;Parámetros!$D$107,'Tablas Servicio'!DR138+('Tablas Servicio'!DT137-'Tablas Servicio'!DR137),DR138/(1-IF(B138&lt;=10,Parámetros!$D$100,0))),2))</f>
        <v>0</v>
      </c>
      <c r="DU138" s="66">
        <f t="shared" si="193"/>
        <v>0</v>
      </c>
      <c r="DV138" s="66">
        <f t="shared" si="193"/>
        <v>0</v>
      </c>
      <c r="DW138" s="66">
        <f>+IF($W138="","",ROUND((DT138*Parámetros!$G$85),2))</f>
        <v>0</v>
      </c>
      <c r="DX138" s="66">
        <f>+IF($W138="","",ROUND((DT138*(Parámetros!$G$86)),2))</f>
        <v>0</v>
      </c>
      <c r="DY138" s="66">
        <f t="shared" si="194"/>
        <v>0</v>
      </c>
      <c r="DZ138" t="str">
        <f t="shared" si="235"/>
        <v>00066</v>
      </c>
      <c r="EA138" s="118" t="str">
        <f t="shared" si="235"/>
        <v>Enfermedad terminal</v>
      </c>
      <c r="EB138" s="118">
        <f>+IF($W138="","",ROUND(IF(Parámetros!$D$25='TABLAS MORT'!$V$33,EB137,Z138/2),0))</f>
        <v>50000</v>
      </c>
      <c r="EC138" s="118" t="str">
        <f t="shared" si="235"/>
        <v>A</v>
      </c>
      <c r="ED138" s="122">
        <f>+IF(OR($W138="",EB138=0),"",ROUND((VLOOKUP(ROUNDDOWN($D138-1/frec,0),cob_adi,DO$40,FALSE)*(1+i/frec)^-0.5*(1+Parámetros!$D$103)*(1+rec_fracc)/frec),6))</f>
        <v>1.2E-5</v>
      </c>
      <c r="EE138" s="66">
        <f t="shared" si="196"/>
        <v>0.6</v>
      </c>
      <c r="EF138" s="68">
        <f t="shared" si="197"/>
        <v>1.4E-5</v>
      </c>
      <c r="EG138" s="66">
        <f>+IF($W138="","",ROUND(IF($B138&gt;Parámetros!$D$107,'Tablas Servicio'!EE138+('Tablas Servicio'!EG137-'Tablas Servicio'!EE137),EE138/(1-IF(B138&lt;=10,Parámetros!$D$100,0))),2))</f>
        <v>0.68</v>
      </c>
      <c r="EH138" s="66">
        <f t="shared" si="198"/>
        <v>0</v>
      </c>
      <c r="EI138" s="66">
        <f t="shared" si="198"/>
        <v>0</v>
      </c>
      <c r="EJ138" s="66">
        <f>+IF($W138="","",ROUND((EG138*Parámetros!$G$85),2))</f>
        <v>0.02</v>
      </c>
      <c r="EK138" s="66">
        <f>+IF($W138="","",ROUND((EG138*(Parámetros!$G$86)),2))</f>
        <v>0</v>
      </c>
      <c r="EL138" s="66">
        <f t="shared" si="199"/>
        <v>0.7</v>
      </c>
    </row>
    <row r="139" spans="1:142" x14ac:dyDescent="0.25">
      <c r="A139">
        <f>+IF($C139="","",ROUND(VLOOKUP('Tablas Servicio'!B139,Parámetros!$H$100:$J$159,IF(Parámetros!$E$16="F",2,3),FALSE),2))</f>
        <v>150</v>
      </c>
      <c r="B139">
        <f t="shared" si="150"/>
        <v>9</v>
      </c>
      <c r="C139" s="57">
        <f>+IF(D139="","",'Tablas Servicio'!C138+1)</f>
        <v>98</v>
      </c>
      <c r="D139" s="56">
        <f>+IF(D138&lt;edadmaxtabla,D138+1/Parámetros!$E$25,"")</f>
        <v>48.186666666666902</v>
      </c>
      <c r="E139" s="57">
        <f t="shared" si="160"/>
        <v>48</v>
      </c>
      <c r="F139" s="59">
        <f t="shared" si="161"/>
        <v>100000</v>
      </c>
      <c r="G139" s="66">
        <f t="shared" si="151"/>
        <v>36.68</v>
      </c>
      <c r="H139" s="66">
        <f t="shared" si="152"/>
        <v>38.14</v>
      </c>
      <c r="I139" s="66">
        <f t="shared" si="200"/>
        <v>49.17</v>
      </c>
      <c r="J139" s="66">
        <f t="shared" si="153"/>
        <v>1.28</v>
      </c>
      <c r="K139" s="66">
        <f t="shared" si="154"/>
        <v>0.18</v>
      </c>
      <c r="L139" s="66">
        <f t="shared" si="155"/>
        <v>0</v>
      </c>
      <c r="M139" s="66">
        <f t="shared" si="156"/>
        <v>0</v>
      </c>
      <c r="N139" s="66">
        <f>+IF(C139="","",ROUND(Parámetros!$D$23,2))</f>
        <v>94</v>
      </c>
      <c r="O139" s="66">
        <f t="shared" si="157"/>
        <v>19.900000000000002</v>
      </c>
      <c r="P139" s="66">
        <f>+IF($C139="","",ROUND(IF(B139&gt;Parámetros!$D$117,0,N139*Parámetros!$D$116-G139*Parámetros!$D$100),2))</f>
        <v>6.69</v>
      </c>
      <c r="Q139" s="75">
        <f t="shared" si="201"/>
        <v>3.4896401308615051E-2</v>
      </c>
      <c r="R139" s="75">
        <f t="shared" si="202"/>
        <v>4.9073064340239914E-3</v>
      </c>
      <c r="S139" s="117">
        <f>+IF($C139="","",ROUND((S138+I139)*(1+Parámetros!$D$91),2))</f>
        <v>6309.55</v>
      </c>
      <c r="T139" s="117">
        <f>+IF($C139="","",ROUND(S139*VLOOKUP(B139,Parámetros!$C$30:$D$39,2,TRUE),2))</f>
        <v>5994.07</v>
      </c>
      <c r="U139" s="117">
        <f>+IF($C139="","",ROUND((U138+I139)*(1+Parámetros!$D$92),2))</f>
        <v>6448.33</v>
      </c>
      <c r="V139" s="117">
        <f>+IF($C139="","",ROUND(U139*VLOOKUP(B139,Parámetros!$C$30:$D$39,2,TRUE),2))</f>
        <v>6125.91</v>
      </c>
      <c r="W139" s="57">
        <f t="shared" si="203"/>
        <v>98</v>
      </c>
      <c r="X139" t="str">
        <f t="shared" si="204"/>
        <v>00058</v>
      </c>
      <c r="Y139" t="str">
        <f t="shared" si="205"/>
        <v>MUERTE POR CUALQUIER CAUSA</v>
      </c>
      <c r="Z139" s="118">
        <f>+IF($W139="","",ROUND(IF(Parámetros!$D$25='TABLAS MORT'!$V$33,Z138,Parámetros!$D$21-'Tablas Servicio'!T138),0))</f>
        <v>100000</v>
      </c>
      <c r="AA139" s="118" t="str">
        <f t="shared" si="206"/>
        <v>P</v>
      </c>
      <c r="AB139" s="119">
        <f>+IF(W139="","",ROUND((VLOOKUP(ROUNDDOWN($D139-1/frec,0),qx_tabla,2,FALSE)*(1+i/frec)^-0.5*(1+Parámetros!$D$103)*(1+rec_fracc)/frec),6))</f>
        <v>1.93E-4</v>
      </c>
      <c r="AC139" s="66">
        <f t="shared" si="162"/>
        <v>19.3</v>
      </c>
      <c r="AD139" s="119">
        <f t="shared" si="158"/>
        <v>3.6000000000000002E-4</v>
      </c>
      <c r="AE139" s="66">
        <f>+IF($W139="","",ROUND(IF($B139&gt;Parámetros!$D$107,'Tablas Servicio'!AC139+('Tablas Servicio'!AG138-'Tablas Servicio'!AC138),AC139/(1-IF(B139&lt;=10,Parámetros!$D$104,Parámetros!$D$105))),2))</f>
        <v>39.94</v>
      </c>
      <c r="AF139" s="66">
        <f>+IF($W139="","",ROUND(IF($B139&gt;Parámetros!$D$107,'Tablas Servicio'!AC139+('Tablas Servicio'!AG138-'Tablas Servicio'!AC138),(AC139+$A138/frec)/(1-IF(B139&lt;=Parámetros!$D$117,Parámetros!$D$100,0))),2))</f>
        <v>36</v>
      </c>
      <c r="AG139" s="66">
        <f t="shared" si="163"/>
        <v>36</v>
      </c>
      <c r="AH139" s="66">
        <f t="shared" si="164"/>
        <v>0</v>
      </c>
      <c r="AI139" s="66">
        <f t="shared" si="165"/>
        <v>0</v>
      </c>
      <c r="AJ139" s="66">
        <f>+IF($W139="","",ROUND((AG139*Parámetros!$G$85),2))</f>
        <v>1.26</v>
      </c>
      <c r="AK139" s="66">
        <f>+IF($W139="","",ROUND((AG139*(Parámetros!$G$86)),2))</f>
        <v>0.18</v>
      </c>
      <c r="AL139" s="66">
        <f t="shared" si="159"/>
        <v>37.44</v>
      </c>
      <c r="AM139" t="str">
        <f t="shared" si="207"/>
        <v>00059</v>
      </c>
      <c r="AN139" t="str">
        <f t="shared" si="208"/>
        <v>Incapacidad Total y Permanente</v>
      </c>
      <c r="AO139" s="118">
        <f t="shared" si="209"/>
        <v>0</v>
      </c>
      <c r="AP139" s="118" t="str">
        <f t="shared" si="210"/>
        <v>A</v>
      </c>
      <c r="AQ139" s="119" t="str">
        <f>+IF(OR($W139="",AO139=0),"",ROUND((VLOOKUP(ROUNDDOWN($D139-1/frec,0),cob_adi,Z$40,FALSE)*(1+i/frec)^-0.5*(1+Parámetros!$D$103)*(1+rec_fracc)/frec),6))</f>
        <v/>
      </c>
      <c r="AR139" s="66">
        <f t="shared" si="166"/>
        <v>0</v>
      </c>
      <c r="AS139" s="119" t="str">
        <f t="shared" si="167"/>
        <v/>
      </c>
      <c r="AT139" s="66">
        <f>+IF($W139="","",ROUND(IF($B139&gt;Parámetros!$D$107,'Tablas Servicio'!AR139+('Tablas Servicio'!AT138-'Tablas Servicio'!AR138),AR139/(1-IF(B139&lt;=10,Parámetros!$D$100,0))),2))</f>
        <v>0</v>
      </c>
      <c r="AU139" s="66">
        <f t="shared" si="168"/>
        <v>0</v>
      </c>
      <c r="AV139" s="66">
        <f t="shared" si="168"/>
        <v>0</v>
      </c>
      <c r="AW139" s="66">
        <f>+IF($W139="","",ROUND((AT139*Parámetros!$G$85),2))</f>
        <v>0</v>
      </c>
      <c r="AX139" s="66">
        <f>+IF($W139="","",ROUND((AT139*(Parámetros!$G$86)),2))</f>
        <v>0</v>
      </c>
      <c r="AY139" s="66">
        <f t="shared" si="169"/>
        <v>0</v>
      </c>
      <c r="AZ139" t="str">
        <f t="shared" si="211"/>
        <v>00060</v>
      </c>
      <c r="BA139" t="str">
        <f t="shared" si="212"/>
        <v>Muerte Accidental</v>
      </c>
      <c r="BB139" s="118">
        <f t="shared" si="213"/>
        <v>0</v>
      </c>
      <c r="BC139" s="118" t="str">
        <f t="shared" si="214"/>
        <v>A</v>
      </c>
      <c r="BD139" s="119" t="str">
        <f>+IF(OR($W139="",BB139=0),"",ROUND((VLOOKUP(ROUNDDOWN($D139-1/frec,0),cob_adi,AO$40,FALSE)*(1+i/frec)^-0.5*(1+Parámetros!$D$103)*(1+rec_fracc)/frec),6))</f>
        <v/>
      </c>
      <c r="BE139" s="66">
        <f t="shared" si="170"/>
        <v>0</v>
      </c>
      <c r="BF139" s="119" t="str">
        <f t="shared" si="171"/>
        <v/>
      </c>
      <c r="BG139" s="66">
        <f>+IF($W139="","",ROUND(IF($B139&gt;Parámetros!$D$107,'Tablas Servicio'!BE139+('Tablas Servicio'!BG138-'Tablas Servicio'!BE138),BE139/(1-IF(B139&lt;=10,Parámetros!$D$100,0))),2))</f>
        <v>0</v>
      </c>
      <c r="BH139" s="66">
        <f t="shared" si="172"/>
        <v>0</v>
      </c>
      <c r="BI139" s="66">
        <f t="shared" si="173"/>
        <v>0</v>
      </c>
      <c r="BJ139" s="66">
        <f>+IF($W139="","",ROUND((BG139*Parámetros!$G$85),2))</f>
        <v>0</v>
      </c>
      <c r="BK139" s="66">
        <f>+IF($W139="","",ROUND((BG139*(Parámetros!$G$86)),2))</f>
        <v>0</v>
      </c>
      <c r="BL139" s="66">
        <f t="shared" si="174"/>
        <v>0</v>
      </c>
      <c r="BM139" t="str">
        <f t="shared" si="215"/>
        <v>00061</v>
      </c>
      <c r="BN139" t="str">
        <f t="shared" si="216"/>
        <v>Gastos de Entierro</v>
      </c>
      <c r="BO139" s="118">
        <f t="shared" si="217"/>
        <v>0</v>
      </c>
      <c r="BP139" s="118" t="str">
        <f t="shared" si="218"/>
        <v>A</v>
      </c>
      <c r="BQ139" s="119" t="str">
        <f>+IF(OR($W139="",BO139=0),"",ROUND((VLOOKUP(ROUNDDOWN($D139-1/frec,0),cob_adi,BB$40,FALSE)*(1+i/frec)^-0.5*(1+Parámetros!$D$103)*(1+rec_fracc)/frec),6))</f>
        <v/>
      </c>
      <c r="BR139" s="66">
        <f t="shared" si="175"/>
        <v>0</v>
      </c>
      <c r="BS139" s="119" t="str">
        <f t="shared" si="176"/>
        <v/>
      </c>
      <c r="BT139" s="66">
        <f>+IF($W139="","",ROUND(IF($B139&gt;Parámetros!$D$107,'Tablas Servicio'!BR139+('Tablas Servicio'!BT138-'Tablas Servicio'!BR138),BR139/(1-IF(B139&lt;=10,Parámetros!$D$100,0))),2))</f>
        <v>0</v>
      </c>
      <c r="BU139" s="66">
        <f t="shared" si="177"/>
        <v>0</v>
      </c>
      <c r="BV139" s="66">
        <f t="shared" si="177"/>
        <v>0</v>
      </c>
      <c r="BW139" s="66">
        <f>+IF($W139="","",ROUND((BT139*Parámetros!$G$85),2))</f>
        <v>0</v>
      </c>
      <c r="BX139" s="66">
        <f>+IF($W139="","",ROUND((BT139*(Parámetros!$G$86)),2))</f>
        <v>0</v>
      </c>
      <c r="BY139" s="66">
        <f t="shared" si="178"/>
        <v>0</v>
      </c>
      <c r="BZ139" t="str">
        <f t="shared" si="219"/>
        <v>00062</v>
      </c>
      <c r="CA139" t="str">
        <f t="shared" si="220"/>
        <v>Gastos médicos por accidente</v>
      </c>
      <c r="CB139" s="118">
        <f t="shared" si="221"/>
        <v>0</v>
      </c>
      <c r="CC139" s="118" t="str">
        <f t="shared" si="222"/>
        <v>A</v>
      </c>
      <c r="CD139" s="119" t="str">
        <f t="shared" si="179"/>
        <v/>
      </c>
      <c r="CE139" s="66">
        <f>+IF($W139="","",ROUND((VLOOKUP(ROUNDDOWN($D139-1/frec,0),cob_adi,BO$40,FALSE)*(1+i/frec)^-0.5*(1+Parámetros!$D$103)*(1+rec_fracc)/frec*'TABLAS ADI'!$BC$17),2))</f>
        <v>0</v>
      </c>
      <c r="CF139" s="119" t="str">
        <f t="shared" si="180"/>
        <v/>
      </c>
      <c r="CG139" s="66">
        <f>+IF($W139="","",ROUND(IF($B139&gt;Parámetros!$D$107,'Tablas Servicio'!CE139+('Tablas Servicio'!CG138-'Tablas Servicio'!CE138),CE139/(1-IF(B139&lt;=10,Parámetros!$D$100,0))),2))</f>
        <v>0</v>
      </c>
      <c r="CH139" s="66">
        <f t="shared" si="181"/>
        <v>0</v>
      </c>
      <c r="CI139" s="66">
        <f t="shared" si="181"/>
        <v>0</v>
      </c>
      <c r="CJ139" s="66">
        <f>+IF($W139="","",ROUND((CG139*Parámetros!$G$85),2))</f>
        <v>0</v>
      </c>
      <c r="CK139" s="66">
        <f>+IF($W139="","",ROUND((CG139*(Parámetros!$G$86)),2))</f>
        <v>0</v>
      </c>
      <c r="CL139" s="66">
        <f t="shared" si="182"/>
        <v>0</v>
      </c>
      <c r="CM139" t="str">
        <f t="shared" si="223"/>
        <v>00063</v>
      </c>
      <c r="CN139" s="118" t="str">
        <f t="shared" si="224"/>
        <v>Renta Diaria por Hospitalización</v>
      </c>
      <c r="CO139" s="118">
        <f t="shared" si="225"/>
        <v>0</v>
      </c>
      <c r="CP139" s="118" t="str">
        <f t="shared" si="226"/>
        <v>A</v>
      </c>
      <c r="CQ139" s="119" t="str">
        <f t="shared" si="183"/>
        <v/>
      </c>
      <c r="CR139" s="66">
        <f>+IF($W139="","",ROUND((VLOOKUP(Parámetros!$F$51,'COBERTURAS ADICIONALES'!$S$4:$T$32,2,FALSE)*(1+i/frec)^-0.5*(1+Parámetros!$D$103)*(1+rec_fracc)/frec*$CO$42),2))</f>
        <v>0</v>
      </c>
      <c r="CS139" s="119" t="str">
        <f t="shared" si="184"/>
        <v/>
      </c>
      <c r="CT139" s="66">
        <f>+IF($W139="","",ROUND(IF($B139&gt;Parámetros!$D$107,'Tablas Servicio'!CR139+('Tablas Servicio'!CT138-'Tablas Servicio'!CR138),CR139/(1-IF(B139&lt;=10,Parámetros!$D$100,0))),2))</f>
        <v>0</v>
      </c>
      <c r="CU139" s="66">
        <f t="shared" si="185"/>
        <v>0</v>
      </c>
      <c r="CV139" s="66">
        <f t="shared" si="185"/>
        <v>0</v>
      </c>
      <c r="CW139" s="66">
        <f>+IF($W139="","",ROUND((CT139*Parámetros!$G$85),2))</f>
        <v>0</v>
      </c>
      <c r="CX139" s="66">
        <f>+IF($W139="","",ROUND((CT139*(Parámetros!$G$86)),2))</f>
        <v>0</v>
      </c>
      <c r="CY139" s="66">
        <f t="shared" si="186"/>
        <v>0</v>
      </c>
      <c r="CZ139" t="str">
        <f t="shared" si="227"/>
        <v>00064</v>
      </c>
      <c r="DA139" s="118" t="str">
        <f t="shared" si="228"/>
        <v>Enfermedades Graves</v>
      </c>
      <c r="DB139" s="118">
        <f t="shared" si="229"/>
        <v>0</v>
      </c>
      <c r="DC139" s="118" t="str">
        <f t="shared" si="230"/>
        <v>A</v>
      </c>
      <c r="DD139" s="121" t="str">
        <f>+IF(OR($W139="",DB139=0),"",ROUND((VLOOKUP(ROUNDDOWN($D139-1/frec,0),cob_adi,CO$40,FALSE)*(1+i/frec)^-0.5*(1+Parámetros!$D$103)*(1+rec_fracc)/frec),6))</f>
        <v/>
      </c>
      <c r="DE139" s="66">
        <f t="shared" si="187"/>
        <v>0</v>
      </c>
      <c r="DF139" s="119" t="str">
        <f t="shared" si="188"/>
        <v/>
      </c>
      <c r="DG139" s="66">
        <f>+IF($W139="","",ROUND(IF($B139&gt;Parámetros!$D$107,'Tablas Servicio'!DE139+('Tablas Servicio'!DG138-'Tablas Servicio'!DE138),DE139/(1-IF(B139&lt;=10,Parámetros!$D$100,0))),2))</f>
        <v>0</v>
      </c>
      <c r="DH139" s="66">
        <f t="shared" si="189"/>
        <v>0</v>
      </c>
      <c r="DI139" s="66">
        <f t="shared" si="189"/>
        <v>0</v>
      </c>
      <c r="DJ139" s="66">
        <f>+IF($W139="","",ROUND((DG139*Parámetros!$G$85),2))</f>
        <v>0</v>
      </c>
      <c r="DK139" s="66">
        <f>+IF($W139="","",ROUND((DG139*(Parámetros!$G$86)),2))</f>
        <v>0</v>
      </c>
      <c r="DL139" s="66">
        <f t="shared" si="190"/>
        <v>0</v>
      </c>
      <c r="DM139" t="str">
        <f t="shared" si="231"/>
        <v>00065</v>
      </c>
      <c r="DN139" s="118" t="str">
        <f t="shared" si="232"/>
        <v>Exención pago de primas</v>
      </c>
      <c r="DO139" s="118">
        <f t="shared" si="233"/>
        <v>0</v>
      </c>
      <c r="DP139" s="118" t="str">
        <f t="shared" si="234"/>
        <v>A</v>
      </c>
      <c r="DQ139" s="122" t="str">
        <f>+IF(OR($W139="",DO139=0),"",ROUND((VLOOKUP(ROUNDDOWN($D139-1/frec,0),cob_adi,DB$40,FALSE)*(1+i/frec)^-0.5*(1+Parámetros!$D$103)*(1+rec_fracc)/frec),6))</f>
        <v/>
      </c>
      <c r="DR139" s="66">
        <f t="shared" si="191"/>
        <v>0</v>
      </c>
      <c r="DS139" s="68" t="str">
        <f t="shared" si="192"/>
        <v/>
      </c>
      <c r="DT139" s="66">
        <f>+IF($W139="","",ROUND(IF($B139&gt;Parámetros!$D$107,'Tablas Servicio'!DR139+('Tablas Servicio'!DT138-'Tablas Servicio'!DR138),DR139/(1-IF(B139&lt;=10,Parámetros!$D$100,0))),2))</f>
        <v>0</v>
      </c>
      <c r="DU139" s="66">
        <f t="shared" si="193"/>
        <v>0</v>
      </c>
      <c r="DV139" s="66">
        <f t="shared" si="193"/>
        <v>0</v>
      </c>
      <c r="DW139" s="66">
        <f>+IF($W139="","",ROUND((DT139*Parámetros!$G$85),2))</f>
        <v>0</v>
      </c>
      <c r="DX139" s="66">
        <f>+IF($W139="","",ROUND((DT139*(Parámetros!$G$86)),2))</f>
        <v>0</v>
      </c>
      <c r="DY139" s="66">
        <f t="shared" si="194"/>
        <v>0</v>
      </c>
      <c r="DZ139" t="str">
        <f t="shared" ref="DZ139:EC154" si="236">+IF($W139="","",DZ138)</f>
        <v>00066</v>
      </c>
      <c r="EA139" s="118" t="str">
        <f t="shared" si="236"/>
        <v>Enfermedad terminal</v>
      </c>
      <c r="EB139" s="118">
        <f>+IF($W139="","",ROUND(IF(Parámetros!$D$25='TABLAS MORT'!$V$33,EB138,Z139/2),0))</f>
        <v>50000</v>
      </c>
      <c r="EC139" s="118" t="str">
        <f t="shared" si="236"/>
        <v>A</v>
      </c>
      <c r="ED139" s="122">
        <f>+IF(OR($W139="",EB139=0),"",ROUND((VLOOKUP(ROUNDDOWN($D139-1/frec,0),cob_adi,DO$40,FALSE)*(1+i/frec)^-0.5*(1+Parámetros!$D$103)*(1+rec_fracc)/frec),6))</f>
        <v>1.2E-5</v>
      </c>
      <c r="EE139" s="66">
        <f t="shared" si="196"/>
        <v>0.6</v>
      </c>
      <c r="EF139" s="68">
        <f t="shared" si="197"/>
        <v>1.4E-5</v>
      </c>
      <c r="EG139" s="66">
        <f>+IF($W139="","",ROUND(IF($B139&gt;Parámetros!$D$107,'Tablas Servicio'!EE139+('Tablas Servicio'!EG138-'Tablas Servicio'!EE138),EE139/(1-IF(B139&lt;=10,Parámetros!$D$100,0))),2))</f>
        <v>0.68</v>
      </c>
      <c r="EH139" s="66">
        <f t="shared" si="198"/>
        <v>0</v>
      </c>
      <c r="EI139" s="66">
        <f t="shared" si="198"/>
        <v>0</v>
      </c>
      <c r="EJ139" s="66">
        <f>+IF($W139="","",ROUND((EG139*Parámetros!$G$85),2))</f>
        <v>0.02</v>
      </c>
      <c r="EK139" s="66">
        <f>+IF($W139="","",ROUND((EG139*(Parámetros!$G$86)),2))</f>
        <v>0</v>
      </c>
      <c r="EL139" s="66">
        <f t="shared" si="199"/>
        <v>0.7</v>
      </c>
    </row>
    <row r="140" spans="1:142" x14ac:dyDescent="0.25">
      <c r="A140">
        <f>+IF($C140="","",ROUND(VLOOKUP('Tablas Servicio'!B140,Parámetros!$H$100:$J$159,IF(Parámetros!$E$16="F",2,3),FALSE),2))</f>
        <v>150</v>
      </c>
      <c r="B140">
        <f t="shared" si="150"/>
        <v>9</v>
      </c>
      <c r="C140" s="57">
        <f>+IF(D140="","",'Tablas Servicio'!C139+1)</f>
        <v>99</v>
      </c>
      <c r="D140" s="56">
        <f>+IF(D139&lt;edadmaxtabla,D139+1/Parámetros!$E$25,"")</f>
        <v>48.270000000000238</v>
      </c>
      <c r="E140" s="57">
        <f t="shared" si="160"/>
        <v>48</v>
      </c>
      <c r="F140" s="59">
        <f t="shared" si="161"/>
        <v>100000</v>
      </c>
      <c r="G140" s="66">
        <f t="shared" si="151"/>
        <v>36.68</v>
      </c>
      <c r="H140" s="66">
        <f t="shared" si="152"/>
        <v>38.14</v>
      </c>
      <c r="I140" s="66">
        <f t="shared" si="200"/>
        <v>49.17</v>
      </c>
      <c r="J140" s="66">
        <f t="shared" si="153"/>
        <v>1.28</v>
      </c>
      <c r="K140" s="66">
        <f t="shared" si="154"/>
        <v>0.18</v>
      </c>
      <c r="L140" s="66">
        <f t="shared" si="155"/>
        <v>0</v>
      </c>
      <c r="M140" s="66">
        <f t="shared" si="156"/>
        <v>0</v>
      </c>
      <c r="N140" s="66">
        <f>+IF(C140="","",ROUND(Parámetros!$D$23,2))</f>
        <v>94</v>
      </c>
      <c r="O140" s="66">
        <f t="shared" si="157"/>
        <v>19.900000000000002</v>
      </c>
      <c r="P140" s="66">
        <f>+IF($C140="","",ROUND(IF(B140&gt;Parámetros!$D$117,0,N140*Parámetros!$D$116-G140*Parámetros!$D$100),2))</f>
        <v>6.69</v>
      </c>
      <c r="Q140" s="75">
        <f t="shared" si="201"/>
        <v>3.4896401308615051E-2</v>
      </c>
      <c r="R140" s="75">
        <f t="shared" si="202"/>
        <v>4.9073064340239914E-3</v>
      </c>
      <c r="S140" s="117">
        <f>+IF($C140="","",ROUND((S139+I140)*(1+Parámetros!$D$91),2))</f>
        <v>6376.76</v>
      </c>
      <c r="T140" s="117">
        <f>+IF($C140="","",ROUND(S140*VLOOKUP(B140,Parámetros!$C$30:$D$39,2,TRUE),2))</f>
        <v>6057.92</v>
      </c>
      <c r="U140" s="117">
        <f>+IF($C140="","",ROUND((U139+I140)*(1+Parámetros!$D$92),2))</f>
        <v>6518.56</v>
      </c>
      <c r="V140" s="117">
        <f>+IF($C140="","",ROUND(U140*VLOOKUP(B140,Parámetros!$C$30:$D$39,2,TRUE),2))</f>
        <v>6192.63</v>
      </c>
      <c r="W140" s="57">
        <f t="shared" si="203"/>
        <v>99</v>
      </c>
      <c r="X140" t="str">
        <f t="shared" si="204"/>
        <v>00058</v>
      </c>
      <c r="Y140" t="str">
        <f t="shared" si="205"/>
        <v>MUERTE POR CUALQUIER CAUSA</v>
      </c>
      <c r="Z140" s="118">
        <f>+IF($W140="","",ROUND(IF(Parámetros!$D$25='TABLAS MORT'!$V$33,Z139,Parámetros!$D$21-'Tablas Servicio'!T139),0))</f>
        <v>100000</v>
      </c>
      <c r="AA140" s="118" t="str">
        <f t="shared" si="206"/>
        <v>P</v>
      </c>
      <c r="AB140" s="119">
        <f>+IF(W140="","",ROUND((VLOOKUP(ROUNDDOWN($D140-1/frec,0),qx_tabla,2,FALSE)*(1+i/frec)^-0.5*(1+Parámetros!$D$103)*(1+rec_fracc)/frec),6))</f>
        <v>1.93E-4</v>
      </c>
      <c r="AC140" s="66">
        <f t="shared" si="162"/>
        <v>19.3</v>
      </c>
      <c r="AD140" s="119">
        <f t="shared" si="158"/>
        <v>3.6000000000000002E-4</v>
      </c>
      <c r="AE140" s="66">
        <f>+IF($W140="","",ROUND(IF($B140&gt;Parámetros!$D$107,'Tablas Servicio'!AC140+('Tablas Servicio'!AG139-'Tablas Servicio'!AC139),AC140/(1-IF(B140&lt;=10,Parámetros!$D$104,Parámetros!$D$105))),2))</f>
        <v>39.94</v>
      </c>
      <c r="AF140" s="66">
        <f>+IF($W140="","",ROUND(IF($B140&gt;Parámetros!$D$107,'Tablas Servicio'!AC140+('Tablas Servicio'!AG139-'Tablas Servicio'!AC139),(AC140+$A139/frec)/(1-IF(B140&lt;=Parámetros!$D$117,Parámetros!$D$100,0))),2))</f>
        <v>36</v>
      </c>
      <c r="AG140" s="66">
        <f t="shared" si="163"/>
        <v>36</v>
      </c>
      <c r="AH140" s="66">
        <f t="shared" si="164"/>
        <v>0</v>
      </c>
      <c r="AI140" s="66">
        <f t="shared" si="165"/>
        <v>0</v>
      </c>
      <c r="AJ140" s="66">
        <f>+IF($W140="","",ROUND((AG140*Parámetros!$G$85),2))</f>
        <v>1.26</v>
      </c>
      <c r="AK140" s="66">
        <f>+IF($W140="","",ROUND((AG140*(Parámetros!$G$86)),2))</f>
        <v>0.18</v>
      </c>
      <c r="AL140" s="66">
        <f t="shared" si="159"/>
        <v>37.44</v>
      </c>
      <c r="AM140" t="str">
        <f t="shared" si="207"/>
        <v>00059</v>
      </c>
      <c r="AN140" t="str">
        <f t="shared" si="208"/>
        <v>Incapacidad Total y Permanente</v>
      </c>
      <c r="AO140" s="118">
        <f t="shared" si="209"/>
        <v>0</v>
      </c>
      <c r="AP140" s="118" t="str">
        <f t="shared" si="210"/>
        <v>A</v>
      </c>
      <c r="AQ140" s="119" t="str">
        <f>+IF(OR($W140="",AO140=0),"",ROUND((VLOOKUP(ROUNDDOWN($D140-1/frec,0),cob_adi,Z$40,FALSE)*(1+i/frec)^-0.5*(1+Parámetros!$D$103)*(1+rec_fracc)/frec),6))</f>
        <v/>
      </c>
      <c r="AR140" s="66">
        <f t="shared" si="166"/>
        <v>0</v>
      </c>
      <c r="AS140" s="119" t="str">
        <f t="shared" si="167"/>
        <v/>
      </c>
      <c r="AT140" s="66">
        <f>+IF($W140="","",ROUND(IF($B140&gt;Parámetros!$D$107,'Tablas Servicio'!AR140+('Tablas Servicio'!AT139-'Tablas Servicio'!AR139),AR140/(1-IF(B140&lt;=10,Parámetros!$D$100,0))),2))</f>
        <v>0</v>
      </c>
      <c r="AU140" s="66">
        <f t="shared" si="168"/>
        <v>0</v>
      </c>
      <c r="AV140" s="66">
        <f t="shared" si="168"/>
        <v>0</v>
      </c>
      <c r="AW140" s="66">
        <f>+IF($W140="","",ROUND((AT140*Parámetros!$G$85),2))</f>
        <v>0</v>
      </c>
      <c r="AX140" s="66">
        <f>+IF($W140="","",ROUND((AT140*(Parámetros!$G$86)),2))</f>
        <v>0</v>
      </c>
      <c r="AY140" s="66">
        <f t="shared" si="169"/>
        <v>0</v>
      </c>
      <c r="AZ140" t="str">
        <f t="shared" si="211"/>
        <v>00060</v>
      </c>
      <c r="BA140" t="str">
        <f t="shared" si="212"/>
        <v>Muerte Accidental</v>
      </c>
      <c r="BB140" s="118">
        <f t="shared" si="213"/>
        <v>0</v>
      </c>
      <c r="BC140" s="118" t="str">
        <f t="shared" si="214"/>
        <v>A</v>
      </c>
      <c r="BD140" s="119" t="str">
        <f>+IF(OR($W140="",BB140=0),"",ROUND((VLOOKUP(ROUNDDOWN($D140-1/frec,0),cob_adi,AO$40,FALSE)*(1+i/frec)^-0.5*(1+Parámetros!$D$103)*(1+rec_fracc)/frec),6))</f>
        <v/>
      </c>
      <c r="BE140" s="66">
        <f t="shared" si="170"/>
        <v>0</v>
      </c>
      <c r="BF140" s="119" t="str">
        <f t="shared" si="171"/>
        <v/>
      </c>
      <c r="BG140" s="66">
        <f>+IF($W140="","",ROUND(IF($B140&gt;Parámetros!$D$107,'Tablas Servicio'!BE140+('Tablas Servicio'!BG139-'Tablas Servicio'!BE139),BE140/(1-IF(B140&lt;=10,Parámetros!$D$100,0))),2))</f>
        <v>0</v>
      </c>
      <c r="BH140" s="66">
        <f t="shared" si="172"/>
        <v>0</v>
      </c>
      <c r="BI140" s="66">
        <f t="shared" si="173"/>
        <v>0</v>
      </c>
      <c r="BJ140" s="66">
        <f>+IF($W140="","",ROUND((BG140*Parámetros!$G$85),2))</f>
        <v>0</v>
      </c>
      <c r="BK140" s="66">
        <f>+IF($W140="","",ROUND((BG140*(Parámetros!$G$86)),2))</f>
        <v>0</v>
      </c>
      <c r="BL140" s="66">
        <f t="shared" si="174"/>
        <v>0</v>
      </c>
      <c r="BM140" t="str">
        <f t="shared" si="215"/>
        <v>00061</v>
      </c>
      <c r="BN140" t="str">
        <f t="shared" si="216"/>
        <v>Gastos de Entierro</v>
      </c>
      <c r="BO140" s="118">
        <f t="shared" si="217"/>
        <v>0</v>
      </c>
      <c r="BP140" s="118" t="str">
        <f t="shared" si="218"/>
        <v>A</v>
      </c>
      <c r="BQ140" s="119" t="str">
        <f>+IF(OR($W140="",BO140=0),"",ROUND((VLOOKUP(ROUNDDOWN($D140-1/frec,0),cob_adi,BB$40,FALSE)*(1+i/frec)^-0.5*(1+Parámetros!$D$103)*(1+rec_fracc)/frec),6))</f>
        <v/>
      </c>
      <c r="BR140" s="66">
        <f t="shared" si="175"/>
        <v>0</v>
      </c>
      <c r="BS140" s="119" t="str">
        <f t="shared" si="176"/>
        <v/>
      </c>
      <c r="BT140" s="66">
        <f>+IF($W140="","",ROUND(IF($B140&gt;Parámetros!$D$107,'Tablas Servicio'!BR140+('Tablas Servicio'!BT139-'Tablas Servicio'!BR139),BR140/(1-IF(B140&lt;=10,Parámetros!$D$100,0))),2))</f>
        <v>0</v>
      </c>
      <c r="BU140" s="66">
        <f t="shared" si="177"/>
        <v>0</v>
      </c>
      <c r="BV140" s="66">
        <f t="shared" si="177"/>
        <v>0</v>
      </c>
      <c r="BW140" s="66">
        <f>+IF($W140="","",ROUND((BT140*Parámetros!$G$85),2))</f>
        <v>0</v>
      </c>
      <c r="BX140" s="66">
        <f>+IF($W140="","",ROUND((BT140*(Parámetros!$G$86)),2))</f>
        <v>0</v>
      </c>
      <c r="BY140" s="66">
        <f t="shared" si="178"/>
        <v>0</v>
      </c>
      <c r="BZ140" t="str">
        <f t="shared" si="219"/>
        <v>00062</v>
      </c>
      <c r="CA140" t="str">
        <f t="shared" si="220"/>
        <v>Gastos médicos por accidente</v>
      </c>
      <c r="CB140" s="118">
        <f t="shared" si="221"/>
        <v>0</v>
      </c>
      <c r="CC140" s="118" t="str">
        <f t="shared" si="222"/>
        <v>A</v>
      </c>
      <c r="CD140" s="119" t="str">
        <f t="shared" si="179"/>
        <v/>
      </c>
      <c r="CE140" s="66">
        <f>+IF($W140="","",ROUND((VLOOKUP(ROUNDDOWN($D140-1/frec,0),cob_adi,BO$40,FALSE)*(1+i/frec)^-0.5*(1+Parámetros!$D$103)*(1+rec_fracc)/frec*'TABLAS ADI'!$BC$17),2))</f>
        <v>0</v>
      </c>
      <c r="CF140" s="119" t="str">
        <f t="shared" si="180"/>
        <v/>
      </c>
      <c r="CG140" s="66">
        <f>+IF($W140="","",ROUND(IF($B140&gt;Parámetros!$D$107,'Tablas Servicio'!CE140+('Tablas Servicio'!CG139-'Tablas Servicio'!CE139),CE140/(1-IF(B140&lt;=10,Parámetros!$D$100,0))),2))</f>
        <v>0</v>
      </c>
      <c r="CH140" s="66">
        <f t="shared" si="181"/>
        <v>0</v>
      </c>
      <c r="CI140" s="66">
        <f t="shared" si="181"/>
        <v>0</v>
      </c>
      <c r="CJ140" s="66">
        <f>+IF($W140="","",ROUND((CG140*Parámetros!$G$85),2))</f>
        <v>0</v>
      </c>
      <c r="CK140" s="66">
        <f>+IF($W140="","",ROUND((CG140*(Parámetros!$G$86)),2))</f>
        <v>0</v>
      </c>
      <c r="CL140" s="66">
        <f t="shared" si="182"/>
        <v>0</v>
      </c>
      <c r="CM140" t="str">
        <f t="shared" si="223"/>
        <v>00063</v>
      </c>
      <c r="CN140" s="118" t="str">
        <f t="shared" si="224"/>
        <v>Renta Diaria por Hospitalización</v>
      </c>
      <c r="CO140" s="118">
        <f t="shared" si="225"/>
        <v>0</v>
      </c>
      <c r="CP140" s="118" t="str">
        <f t="shared" si="226"/>
        <v>A</v>
      </c>
      <c r="CQ140" s="119" t="str">
        <f t="shared" si="183"/>
        <v/>
      </c>
      <c r="CR140" s="66">
        <f>+IF($W140="","",ROUND((VLOOKUP(Parámetros!$F$51,'COBERTURAS ADICIONALES'!$S$4:$T$32,2,FALSE)*(1+i/frec)^-0.5*(1+Parámetros!$D$103)*(1+rec_fracc)/frec*$CO$42),2))</f>
        <v>0</v>
      </c>
      <c r="CS140" s="119" t="str">
        <f t="shared" si="184"/>
        <v/>
      </c>
      <c r="CT140" s="66">
        <f>+IF($W140="","",ROUND(IF($B140&gt;Parámetros!$D$107,'Tablas Servicio'!CR140+('Tablas Servicio'!CT139-'Tablas Servicio'!CR139),CR140/(1-IF(B140&lt;=10,Parámetros!$D$100,0))),2))</f>
        <v>0</v>
      </c>
      <c r="CU140" s="66">
        <f t="shared" si="185"/>
        <v>0</v>
      </c>
      <c r="CV140" s="66">
        <f t="shared" si="185"/>
        <v>0</v>
      </c>
      <c r="CW140" s="66">
        <f>+IF($W140="","",ROUND((CT140*Parámetros!$G$85),2))</f>
        <v>0</v>
      </c>
      <c r="CX140" s="66">
        <f>+IF($W140="","",ROUND((CT140*(Parámetros!$G$86)),2))</f>
        <v>0</v>
      </c>
      <c r="CY140" s="66">
        <f t="shared" si="186"/>
        <v>0</v>
      </c>
      <c r="CZ140" t="str">
        <f t="shared" si="227"/>
        <v>00064</v>
      </c>
      <c r="DA140" s="118" t="str">
        <f t="shared" si="228"/>
        <v>Enfermedades Graves</v>
      </c>
      <c r="DB140" s="118">
        <f t="shared" si="229"/>
        <v>0</v>
      </c>
      <c r="DC140" s="118" t="str">
        <f t="shared" si="230"/>
        <v>A</v>
      </c>
      <c r="DD140" s="121" t="str">
        <f>+IF(OR($W140="",DB140=0),"",ROUND((VLOOKUP(ROUNDDOWN($D140-1/frec,0),cob_adi,CO$40,FALSE)*(1+i/frec)^-0.5*(1+Parámetros!$D$103)*(1+rec_fracc)/frec),6))</f>
        <v/>
      </c>
      <c r="DE140" s="66">
        <f t="shared" si="187"/>
        <v>0</v>
      </c>
      <c r="DF140" s="119" t="str">
        <f t="shared" si="188"/>
        <v/>
      </c>
      <c r="DG140" s="66">
        <f>+IF($W140="","",ROUND(IF($B140&gt;Parámetros!$D$107,'Tablas Servicio'!DE140+('Tablas Servicio'!DG139-'Tablas Servicio'!DE139),DE140/(1-IF(B140&lt;=10,Parámetros!$D$100,0))),2))</f>
        <v>0</v>
      </c>
      <c r="DH140" s="66">
        <f t="shared" si="189"/>
        <v>0</v>
      </c>
      <c r="DI140" s="66">
        <f t="shared" si="189"/>
        <v>0</v>
      </c>
      <c r="DJ140" s="66">
        <f>+IF($W140="","",ROUND((DG140*Parámetros!$G$85),2))</f>
        <v>0</v>
      </c>
      <c r="DK140" s="66">
        <f>+IF($W140="","",ROUND((DG140*(Parámetros!$G$86)),2))</f>
        <v>0</v>
      </c>
      <c r="DL140" s="66">
        <f t="shared" si="190"/>
        <v>0</v>
      </c>
      <c r="DM140" t="str">
        <f t="shared" si="231"/>
        <v>00065</v>
      </c>
      <c r="DN140" s="118" t="str">
        <f t="shared" si="232"/>
        <v>Exención pago de primas</v>
      </c>
      <c r="DO140" s="118">
        <f t="shared" si="233"/>
        <v>0</v>
      </c>
      <c r="DP140" s="118" t="str">
        <f t="shared" si="234"/>
        <v>A</v>
      </c>
      <c r="DQ140" s="122" t="str">
        <f>+IF(OR($W140="",DO140=0),"",ROUND((VLOOKUP(ROUNDDOWN($D140-1/frec,0),cob_adi,DB$40,FALSE)*(1+i/frec)^-0.5*(1+Parámetros!$D$103)*(1+rec_fracc)/frec),6))</f>
        <v/>
      </c>
      <c r="DR140" s="66">
        <f t="shared" si="191"/>
        <v>0</v>
      </c>
      <c r="DS140" s="68" t="str">
        <f t="shared" si="192"/>
        <v/>
      </c>
      <c r="DT140" s="66">
        <f>+IF($W140="","",ROUND(IF($B140&gt;Parámetros!$D$107,'Tablas Servicio'!DR140+('Tablas Servicio'!DT139-'Tablas Servicio'!DR139),DR140/(1-IF(B140&lt;=10,Parámetros!$D$100,0))),2))</f>
        <v>0</v>
      </c>
      <c r="DU140" s="66">
        <f t="shared" si="193"/>
        <v>0</v>
      </c>
      <c r="DV140" s="66">
        <f t="shared" si="193"/>
        <v>0</v>
      </c>
      <c r="DW140" s="66">
        <f>+IF($W140="","",ROUND((DT140*Parámetros!$G$85),2))</f>
        <v>0</v>
      </c>
      <c r="DX140" s="66">
        <f>+IF($W140="","",ROUND((DT140*(Parámetros!$G$86)),2))</f>
        <v>0</v>
      </c>
      <c r="DY140" s="66">
        <f t="shared" si="194"/>
        <v>0</v>
      </c>
      <c r="DZ140" t="str">
        <f t="shared" si="236"/>
        <v>00066</v>
      </c>
      <c r="EA140" s="118" t="str">
        <f t="shared" si="236"/>
        <v>Enfermedad terminal</v>
      </c>
      <c r="EB140" s="118">
        <f>+IF($W140="","",ROUND(IF(Parámetros!$D$25='TABLAS MORT'!$V$33,EB139,Z140/2),0))</f>
        <v>50000</v>
      </c>
      <c r="EC140" s="118" t="str">
        <f t="shared" si="236"/>
        <v>A</v>
      </c>
      <c r="ED140" s="122">
        <f>+IF(OR($W140="",EB140=0),"",ROUND((VLOOKUP(ROUNDDOWN($D140-1/frec,0),cob_adi,DO$40,FALSE)*(1+i/frec)^-0.5*(1+Parámetros!$D$103)*(1+rec_fracc)/frec),6))</f>
        <v>1.2E-5</v>
      </c>
      <c r="EE140" s="66">
        <f t="shared" si="196"/>
        <v>0.6</v>
      </c>
      <c r="EF140" s="68">
        <f t="shared" si="197"/>
        <v>1.4E-5</v>
      </c>
      <c r="EG140" s="66">
        <f>+IF($W140="","",ROUND(IF($B140&gt;Parámetros!$D$107,'Tablas Servicio'!EE140+('Tablas Servicio'!EG139-'Tablas Servicio'!EE139),EE140/(1-IF(B140&lt;=10,Parámetros!$D$100,0))),2))</f>
        <v>0.68</v>
      </c>
      <c r="EH140" s="66">
        <f t="shared" si="198"/>
        <v>0</v>
      </c>
      <c r="EI140" s="66">
        <f t="shared" si="198"/>
        <v>0</v>
      </c>
      <c r="EJ140" s="66">
        <f>+IF($W140="","",ROUND((EG140*Parámetros!$G$85),2))</f>
        <v>0.02</v>
      </c>
      <c r="EK140" s="66">
        <f>+IF($W140="","",ROUND((EG140*(Parámetros!$G$86)),2))</f>
        <v>0</v>
      </c>
      <c r="EL140" s="66">
        <f t="shared" si="199"/>
        <v>0.7</v>
      </c>
    </row>
    <row r="141" spans="1:142" x14ac:dyDescent="0.25">
      <c r="A141">
        <f>+IF($C141="","",ROUND(VLOOKUP('Tablas Servicio'!B141,Parámetros!$H$100:$J$159,IF(Parámetros!$E$16="F",2,3),FALSE),2))</f>
        <v>150</v>
      </c>
      <c r="B141">
        <f t="shared" si="150"/>
        <v>9</v>
      </c>
      <c r="C141" s="57">
        <f>+IF(D141="","",'Tablas Servicio'!C140+1)</f>
        <v>100</v>
      </c>
      <c r="D141" s="56">
        <f>+IF(D140&lt;edadmaxtabla,D140+1/Parámetros!$E$25,"")</f>
        <v>48.353333333333573</v>
      </c>
      <c r="E141" s="57">
        <f t="shared" si="160"/>
        <v>48</v>
      </c>
      <c r="F141" s="59">
        <f t="shared" si="161"/>
        <v>100000</v>
      </c>
      <c r="G141" s="66">
        <f t="shared" si="151"/>
        <v>36.68</v>
      </c>
      <c r="H141" s="66">
        <f t="shared" si="152"/>
        <v>38.14</v>
      </c>
      <c r="I141" s="66">
        <f t="shared" si="200"/>
        <v>49.17</v>
      </c>
      <c r="J141" s="66">
        <f t="shared" si="153"/>
        <v>1.28</v>
      </c>
      <c r="K141" s="66">
        <f t="shared" si="154"/>
        <v>0.18</v>
      </c>
      <c r="L141" s="66">
        <f t="shared" si="155"/>
        <v>0</v>
      </c>
      <c r="M141" s="66">
        <f t="shared" si="156"/>
        <v>0</v>
      </c>
      <c r="N141" s="66">
        <f>+IF(C141="","",ROUND(Parámetros!$D$23,2))</f>
        <v>94</v>
      </c>
      <c r="O141" s="66">
        <f t="shared" si="157"/>
        <v>19.900000000000002</v>
      </c>
      <c r="P141" s="66">
        <f>+IF($C141="","",ROUND(IF(B141&gt;Parámetros!$D$117,0,N141*Parámetros!$D$116-G141*Parámetros!$D$100),2))</f>
        <v>6.69</v>
      </c>
      <c r="Q141" s="75">
        <f t="shared" si="201"/>
        <v>3.4896401308615051E-2</v>
      </c>
      <c r="R141" s="75">
        <f t="shared" si="202"/>
        <v>4.9073064340239914E-3</v>
      </c>
      <c r="S141" s="117">
        <f>+IF($C141="","",ROUND((S140+I141)*(1+Parámetros!$D$91),2))</f>
        <v>6444.16</v>
      </c>
      <c r="T141" s="117">
        <f>+IF($C141="","",ROUND(S141*VLOOKUP(B141,Parámetros!$C$30:$D$39,2,TRUE),2))</f>
        <v>6121.95</v>
      </c>
      <c r="U141" s="117">
        <f>+IF($C141="","",ROUND((U140+I141)*(1+Parámetros!$D$92),2))</f>
        <v>6589.02</v>
      </c>
      <c r="V141" s="117">
        <f>+IF($C141="","",ROUND(U141*VLOOKUP(B141,Parámetros!$C$30:$D$39,2,TRUE),2))</f>
        <v>6259.57</v>
      </c>
      <c r="W141" s="57">
        <f t="shared" si="203"/>
        <v>100</v>
      </c>
      <c r="X141" t="str">
        <f t="shared" si="204"/>
        <v>00058</v>
      </c>
      <c r="Y141" t="str">
        <f t="shared" si="205"/>
        <v>MUERTE POR CUALQUIER CAUSA</v>
      </c>
      <c r="Z141" s="118">
        <f>+IF($W141="","",ROUND(IF(Parámetros!$D$25='TABLAS MORT'!$V$33,Z140,Parámetros!$D$21-'Tablas Servicio'!T140),0))</f>
        <v>100000</v>
      </c>
      <c r="AA141" s="118" t="str">
        <f t="shared" si="206"/>
        <v>P</v>
      </c>
      <c r="AB141" s="119">
        <f>+IF(W141="","",ROUND((VLOOKUP(ROUNDDOWN($D141-1/frec,0),qx_tabla,2,FALSE)*(1+i/frec)^-0.5*(1+Parámetros!$D$103)*(1+rec_fracc)/frec),6))</f>
        <v>1.93E-4</v>
      </c>
      <c r="AC141" s="66">
        <f t="shared" si="162"/>
        <v>19.3</v>
      </c>
      <c r="AD141" s="119">
        <f t="shared" si="158"/>
        <v>3.6000000000000002E-4</v>
      </c>
      <c r="AE141" s="66">
        <f>+IF($W141="","",ROUND(IF($B141&gt;Parámetros!$D$107,'Tablas Servicio'!AC141+('Tablas Servicio'!AG140-'Tablas Servicio'!AC140),AC141/(1-IF(B141&lt;=10,Parámetros!$D$104,Parámetros!$D$105))),2))</f>
        <v>39.94</v>
      </c>
      <c r="AF141" s="66">
        <f>+IF($W141="","",ROUND(IF($B141&gt;Parámetros!$D$107,'Tablas Servicio'!AC141+('Tablas Servicio'!AG140-'Tablas Servicio'!AC140),(AC141+$A140/frec)/(1-IF(B141&lt;=Parámetros!$D$117,Parámetros!$D$100,0))),2))</f>
        <v>36</v>
      </c>
      <c r="AG141" s="66">
        <f t="shared" si="163"/>
        <v>36</v>
      </c>
      <c r="AH141" s="66">
        <f t="shared" si="164"/>
        <v>0</v>
      </c>
      <c r="AI141" s="66">
        <f t="shared" si="165"/>
        <v>0</v>
      </c>
      <c r="AJ141" s="66">
        <f>+IF($W141="","",ROUND((AG141*Parámetros!$G$85),2))</f>
        <v>1.26</v>
      </c>
      <c r="AK141" s="66">
        <f>+IF($W141="","",ROUND((AG141*(Parámetros!$G$86)),2))</f>
        <v>0.18</v>
      </c>
      <c r="AL141" s="66">
        <f t="shared" si="159"/>
        <v>37.44</v>
      </c>
      <c r="AM141" t="str">
        <f t="shared" si="207"/>
        <v>00059</v>
      </c>
      <c r="AN141" t="str">
        <f t="shared" si="208"/>
        <v>Incapacidad Total y Permanente</v>
      </c>
      <c r="AO141" s="118">
        <f t="shared" si="209"/>
        <v>0</v>
      </c>
      <c r="AP141" s="118" t="str">
        <f t="shared" si="210"/>
        <v>A</v>
      </c>
      <c r="AQ141" s="119" t="str">
        <f>+IF(OR($W141="",AO141=0),"",ROUND((VLOOKUP(ROUNDDOWN($D141-1/frec,0),cob_adi,Z$40,FALSE)*(1+i/frec)^-0.5*(1+Parámetros!$D$103)*(1+rec_fracc)/frec),6))</f>
        <v/>
      </c>
      <c r="AR141" s="66">
        <f t="shared" si="166"/>
        <v>0</v>
      </c>
      <c r="AS141" s="119" t="str">
        <f t="shared" si="167"/>
        <v/>
      </c>
      <c r="AT141" s="66">
        <f>+IF($W141="","",ROUND(IF($B141&gt;Parámetros!$D$107,'Tablas Servicio'!AR141+('Tablas Servicio'!AT140-'Tablas Servicio'!AR140),AR141/(1-IF(B141&lt;=10,Parámetros!$D$100,0))),2))</f>
        <v>0</v>
      </c>
      <c r="AU141" s="66">
        <f t="shared" si="168"/>
        <v>0</v>
      </c>
      <c r="AV141" s="66">
        <f t="shared" si="168"/>
        <v>0</v>
      </c>
      <c r="AW141" s="66">
        <f>+IF($W141="","",ROUND((AT141*Parámetros!$G$85),2))</f>
        <v>0</v>
      </c>
      <c r="AX141" s="66">
        <f>+IF($W141="","",ROUND((AT141*(Parámetros!$G$86)),2))</f>
        <v>0</v>
      </c>
      <c r="AY141" s="66">
        <f t="shared" si="169"/>
        <v>0</v>
      </c>
      <c r="AZ141" t="str">
        <f t="shared" si="211"/>
        <v>00060</v>
      </c>
      <c r="BA141" t="str">
        <f t="shared" si="212"/>
        <v>Muerte Accidental</v>
      </c>
      <c r="BB141" s="118">
        <f t="shared" si="213"/>
        <v>0</v>
      </c>
      <c r="BC141" s="118" t="str">
        <f t="shared" si="214"/>
        <v>A</v>
      </c>
      <c r="BD141" s="119" t="str">
        <f>+IF(OR($W141="",BB141=0),"",ROUND((VLOOKUP(ROUNDDOWN($D141-1/frec,0),cob_adi,AO$40,FALSE)*(1+i/frec)^-0.5*(1+Parámetros!$D$103)*(1+rec_fracc)/frec),6))</f>
        <v/>
      </c>
      <c r="BE141" s="66">
        <f t="shared" si="170"/>
        <v>0</v>
      </c>
      <c r="BF141" s="119" t="str">
        <f t="shared" si="171"/>
        <v/>
      </c>
      <c r="BG141" s="66">
        <f>+IF($W141="","",ROUND(IF($B141&gt;Parámetros!$D$107,'Tablas Servicio'!BE141+('Tablas Servicio'!BG140-'Tablas Servicio'!BE140),BE141/(1-IF(B141&lt;=10,Parámetros!$D$100,0))),2))</f>
        <v>0</v>
      </c>
      <c r="BH141" s="66">
        <f t="shared" si="172"/>
        <v>0</v>
      </c>
      <c r="BI141" s="66">
        <f t="shared" si="173"/>
        <v>0</v>
      </c>
      <c r="BJ141" s="66">
        <f>+IF($W141="","",ROUND((BG141*Parámetros!$G$85),2))</f>
        <v>0</v>
      </c>
      <c r="BK141" s="66">
        <f>+IF($W141="","",ROUND((BG141*(Parámetros!$G$86)),2))</f>
        <v>0</v>
      </c>
      <c r="BL141" s="66">
        <f t="shared" si="174"/>
        <v>0</v>
      </c>
      <c r="BM141" t="str">
        <f t="shared" si="215"/>
        <v>00061</v>
      </c>
      <c r="BN141" t="str">
        <f t="shared" si="216"/>
        <v>Gastos de Entierro</v>
      </c>
      <c r="BO141" s="118">
        <f t="shared" si="217"/>
        <v>0</v>
      </c>
      <c r="BP141" s="118" t="str">
        <f t="shared" si="218"/>
        <v>A</v>
      </c>
      <c r="BQ141" s="119" t="str">
        <f>+IF(OR($W141="",BO141=0),"",ROUND((VLOOKUP(ROUNDDOWN($D141-1/frec,0),cob_adi,BB$40,FALSE)*(1+i/frec)^-0.5*(1+Parámetros!$D$103)*(1+rec_fracc)/frec),6))</f>
        <v/>
      </c>
      <c r="BR141" s="66">
        <f t="shared" si="175"/>
        <v>0</v>
      </c>
      <c r="BS141" s="119" t="str">
        <f t="shared" si="176"/>
        <v/>
      </c>
      <c r="BT141" s="66">
        <f>+IF($W141="","",ROUND(IF($B141&gt;Parámetros!$D$107,'Tablas Servicio'!BR141+('Tablas Servicio'!BT140-'Tablas Servicio'!BR140),BR141/(1-IF(B141&lt;=10,Parámetros!$D$100,0))),2))</f>
        <v>0</v>
      </c>
      <c r="BU141" s="66">
        <f t="shared" si="177"/>
        <v>0</v>
      </c>
      <c r="BV141" s="66">
        <f t="shared" si="177"/>
        <v>0</v>
      </c>
      <c r="BW141" s="66">
        <f>+IF($W141="","",ROUND((BT141*Parámetros!$G$85),2))</f>
        <v>0</v>
      </c>
      <c r="BX141" s="66">
        <f>+IF($W141="","",ROUND((BT141*(Parámetros!$G$86)),2))</f>
        <v>0</v>
      </c>
      <c r="BY141" s="66">
        <f t="shared" si="178"/>
        <v>0</v>
      </c>
      <c r="BZ141" t="str">
        <f t="shared" si="219"/>
        <v>00062</v>
      </c>
      <c r="CA141" t="str">
        <f t="shared" si="220"/>
        <v>Gastos médicos por accidente</v>
      </c>
      <c r="CB141" s="118">
        <f t="shared" si="221"/>
        <v>0</v>
      </c>
      <c r="CC141" s="118" t="str">
        <f t="shared" si="222"/>
        <v>A</v>
      </c>
      <c r="CD141" s="119" t="str">
        <f t="shared" si="179"/>
        <v/>
      </c>
      <c r="CE141" s="66">
        <f>+IF($W141="","",ROUND((VLOOKUP(ROUNDDOWN($D141-1/frec,0),cob_adi,BO$40,FALSE)*(1+i/frec)^-0.5*(1+Parámetros!$D$103)*(1+rec_fracc)/frec*'TABLAS ADI'!$BC$17),2))</f>
        <v>0</v>
      </c>
      <c r="CF141" s="119" t="str">
        <f t="shared" si="180"/>
        <v/>
      </c>
      <c r="CG141" s="66">
        <f>+IF($W141="","",ROUND(IF($B141&gt;Parámetros!$D$107,'Tablas Servicio'!CE141+('Tablas Servicio'!CG140-'Tablas Servicio'!CE140),CE141/(1-IF(B141&lt;=10,Parámetros!$D$100,0))),2))</f>
        <v>0</v>
      </c>
      <c r="CH141" s="66">
        <f t="shared" si="181"/>
        <v>0</v>
      </c>
      <c r="CI141" s="66">
        <f t="shared" si="181"/>
        <v>0</v>
      </c>
      <c r="CJ141" s="66">
        <f>+IF($W141="","",ROUND((CG141*Parámetros!$G$85),2))</f>
        <v>0</v>
      </c>
      <c r="CK141" s="66">
        <f>+IF($W141="","",ROUND((CG141*(Parámetros!$G$86)),2))</f>
        <v>0</v>
      </c>
      <c r="CL141" s="66">
        <f t="shared" si="182"/>
        <v>0</v>
      </c>
      <c r="CM141" t="str">
        <f t="shared" si="223"/>
        <v>00063</v>
      </c>
      <c r="CN141" s="118" t="str">
        <f t="shared" si="224"/>
        <v>Renta Diaria por Hospitalización</v>
      </c>
      <c r="CO141" s="118">
        <f t="shared" si="225"/>
        <v>0</v>
      </c>
      <c r="CP141" s="118" t="str">
        <f t="shared" si="226"/>
        <v>A</v>
      </c>
      <c r="CQ141" s="119" t="str">
        <f t="shared" si="183"/>
        <v/>
      </c>
      <c r="CR141" s="66">
        <f>+IF($W141="","",ROUND((VLOOKUP(Parámetros!$F$51,'COBERTURAS ADICIONALES'!$S$4:$T$32,2,FALSE)*(1+i/frec)^-0.5*(1+Parámetros!$D$103)*(1+rec_fracc)/frec*$CO$42),2))</f>
        <v>0</v>
      </c>
      <c r="CS141" s="119" t="str">
        <f t="shared" si="184"/>
        <v/>
      </c>
      <c r="CT141" s="66">
        <f>+IF($W141="","",ROUND(IF($B141&gt;Parámetros!$D$107,'Tablas Servicio'!CR141+('Tablas Servicio'!CT140-'Tablas Servicio'!CR140),CR141/(1-IF(B141&lt;=10,Parámetros!$D$100,0))),2))</f>
        <v>0</v>
      </c>
      <c r="CU141" s="66">
        <f t="shared" si="185"/>
        <v>0</v>
      </c>
      <c r="CV141" s="66">
        <f t="shared" si="185"/>
        <v>0</v>
      </c>
      <c r="CW141" s="66">
        <f>+IF($W141="","",ROUND((CT141*Parámetros!$G$85),2))</f>
        <v>0</v>
      </c>
      <c r="CX141" s="66">
        <f>+IF($W141="","",ROUND((CT141*(Parámetros!$G$86)),2))</f>
        <v>0</v>
      </c>
      <c r="CY141" s="66">
        <f t="shared" si="186"/>
        <v>0</v>
      </c>
      <c r="CZ141" t="str">
        <f t="shared" si="227"/>
        <v>00064</v>
      </c>
      <c r="DA141" s="118" t="str">
        <f t="shared" si="228"/>
        <v>Enfermedades Graves</v>
      </c>
      <c r="DB141" s="118">
        <f t="shared" si="229"/>
        <v>0</v>
      </c>
      <c r="DC141" s="118" t="str">
        <f t="shared" si="230"/>
        <v>A</v>
      </c>
      <c r="DD141" s="121" t="str">
        <f>+IF(OR($W141="",DB141=0),"",ROUND((VLOOKUP(ROUNDDOWN($D141-1/frec,0),cob_adi,CO$40,FALSE)*(1+i/frec)^-0.5*(1+Parámetros!$D$103)*(1+rec_fracc)/frec),6))</f>
        <v/>
      </c>
      <c r="DE141" s="66">
        <f t="shared" si="187"/>
        <v>0</v>
      </c>
      <c r="DF141" s="119" t="str">
        <f t="shared" si="188"/>
        <v/>
      </c>
      <c r="DG141" s="66">
        <f>+IF($W141="","",ROUND(IF($B141&gt;Parámetros!$D$107,'Tablas Servicio'!DE141+('Tablas Servicio'!DG140-'Tablas Servicio'!DE140),DE141/(1-IF(B141&lt;=10,Parámetros!$D$100,0))),2))</f>
        <v>0</v>
      </c>
      <c r="DH141" s="66">
        <f t="shared" si="189"/>
        <v>0</v>
      </c>
      <c r="DI141" s="66">
        <f t="shared" si="189"/>
        <v>0</v>
      </c>
      <c r="DJ141" s="66">
        <f>+IF($W141="","",ROUND((DG141*Parámetros!$G$85),2))</f>
        <v>0</v>
      </c>
      <c r="DK141" s="66">
        <f>+IF($W141="","",ROUND((DG141*(Parámetros!$G$86)),2))</f>
        <v>0</v>
      </c>
      <c r="DL141" s="66">
        <f t="shared" si="190"/>
        <v>0</v>
      </c>
      <c r="DM141" t="str">
        <f t="shared" si="231"/>
        <v>00065</v>
      </c>
      <c r="DN141" s="118" t="str">
        <f t="shared" si="232"/>
        <v>Exención pago de primas</v>
      </c>
      <c r="DO141" s="118">
        <f t="shared" si="233"/>
        <v>0</v>
      </c>
      <c r="DP141" s="118" t="str">
        <f t="shared" si="234"/>
        <v>A</v>
      </c>
      <c r="DQ141" s="122" t="str">
        <f>+IF(OR($W141="",DO141=0),"",ROUND((VLOOKUP(ROUNDDOWN($D141-1/frec,0),cob_adi,DB$40,FALSE)*(1+i/frec)^-0.5*(1+Parámetros!$D$103)*(1+rec_fracc)/frec),6))</f>
        <v/>
      </c>
      <c r="DR141" s="66">
        <f t="shared" si="191"/>
        <v>0</v>
      </c>
      <c r="DS141" s="68" t="str">
        <f t="shared" si="192"/>
        <v/>
      </c>
      <c r="DT141" s="66">
        <f>+IF($W141="","",ROUND(IF($B141&gt;Parámetros!$D$107,'Tablas Servicio'!DR141+('Tablas Servicio'!DT140-'Tablas Servicio'!DR140),DR141/(1-IF(B141&lt;=10,Parámetros!$D$100,0))),2))</f>
        <v>0</v>
      </c>
      <c r="DU141" s="66">
        <f t="shared" si="193"/>
        <v>0</v>
      </c>
      <c r="DV141" s="66">
        <f t="shared" si="193"/>
        <v>0</v>
      </c>
      <c r="DW141" s="66">
        <f>+IF($W141="","",ROUND((DT141*Parámetros!$G$85),2))</f>
        <v>0</v>
      </c>
      <c r="DX141" s="66">
        <f>+IF($W141="","",ROUND((DT141*(Parámetros!$G$86)),2))</f>
        <v>0</v>
      </c>
      <c r="DY141" s="66">
        <f t="shared" si="194"/>
        <v>0</v>
      </c>
      <c r="DZ141" t="str">
        <f t="shared" si="236"/>
        <v>00066</v>
      </c>
      <c r="EA141" s="118" t="str">
        <f t="shared" si="236"/>
        <v>Enfermedad terminal</v>
      </c>
      <c r="EB141" s="118">
        <f>+IF($W141="","",ROUND(IF(Parámetros!$D$25='TABLAS MORT'!$V$33,EB140,Z141/2),0))</f>
        <v>50000</v>
      </c>
      <c r="EC141" s="118" t="str">
        <f t="shared" si="236"/>
        <v>A</v>
      </c>
      <c r="ED141" s="122">
        <f>+IF(OR($W141="",EB141=0),"",ROUND((VLOOKUP(ROUNDDOWN($D141-1/frec,0),cob_adi,DO$40,FALSE)*(1+i/frec)^-0.5*(1+Parámetros!$D$103)*(1+rec_fracc)/frec),6))</f>
        <v>1.2E-5</v>
      </c>
      <c r="EE141" s="66">
        <f t="shared" si="196"/>
        <v>0.6</v>
      </c>
      <c r="EF141" s="68">
        <f t="shared" si="197"/>
        <v>1.4E-5</v>
      </c>
      <c r="EG141" s="66">
        <f>+IF($W141="","",ROUND(IF($B141&gt;Parámetros!$D$107,'Tablas Servicio'!EE141+('Tablas Servicio'!EG140-'Tablas Servicio'!EE140),EE141/(1-IF(B141&lt;=10,Parámetros!$D$100,0))),2))</f>
        <v>0.68</v>
      </c>
      <c r="EH141" s="66">
        <f t="shared" si="198"/>
        <v>0</v>
      </c>
      <c r="EI141" s="66">
        <f t="shared" si="198"/>
        <v>0</v>
      </c>
      <c r="EJ141" s="66">
        <f>+IF($W141="","",ROUND((EG141*Parámetros!$G$85),2))</f>
        <v>0.02</v>
      </c>
      <c r="EK141" s="66">
        <f>+IF($W141="","",ROUND((EG141*(Parámetros!$G$86)),2))</f>
        <v>0</v>
      </c>
      <c r="EL141" s="66">
        <f t="shared" si="199"/>
        <v>0.7</v>
      </c>
    </row>
    <row r="142" spans="1:142" x14ac:dyDescent="0.25">
      <c r="A142">
        <f>+IF($C142="","",ROUND(VLOOKUP('Tablas Servicio'!B142,Parámetros!$H$100:$J$159,IF(Parámetros!$E$16="F",2,3),FALSE),2))</f>
        <v>150</v>
      </c>
      <c r="B142">
        <f t="shared" si="150"/>
        <v>9</v>
      </c>
      <c r="C142" s="57">
        <f>+IF(D142="","",'Tablas Servicio'!C141+1)</f>
        <v>101</v>
      </c>
      <c r="D142" s="56">
        <f>+IF(D141&lt;edadmaxtabla,D141+1/Parámetros!$E$25,"")</f>
        <v>48.436666666666909</v>
      </c>
      <c r="E142" s="57">
        <f t="shared" si="160"/>
        <v>48</v>
      </c>
      <c r="F142" s="59">
        <f t="shared" si="161"/>
        <v>100000</v>
      </c>
      <c r="G142" s="66">
        <f t="shared" si="151"/>
        <v>36.68</v>
      </c>
      <c r="H142" s="66">
        <f t="shared" si="152"/>
        <v>38.14</v>
      </c>
      <c r="I142" s="66">
        <f t="shared" si="200"/>
        <v>49.17</v>
      </c>
      <c r="J142" s="66">
        <f t="shared" si="153"/>
        <v>1.28</v>
      </c>
      <c r="K142" s="66">
        <f t="shared" si="154"/>
        <v>0.18</v>
      </c>
      <c r="L142" s="66">
        <f t="shared" si="155"/>
        <v>0</v>
      </c>
      <c r="M142" s="66">
        <f t="shared" si="156"/>
        <v>0</v>
      </c>
      <c r="N142" s="66">
        <f>+IF(C142="","",ROUND(Parámetros!$D$23,2))</f>
        <v>94</v>
      </c>
      <c r="O142" s="66">
        <f t="shared" si="157"/>
        <v>19.900000000000002</v>
      </c>
      <c r="P142" s="66">
        <f>+IF($C142="","",ROUND(IF(B142&gt;Parámetros!$D$117,0,N142*Parámetros!$D$116-G142*Parámetros!$D$100),2))</f>
        <v>6.69</v>
      </c>
      <c r="Q142" s="75">
        <f t="shared" si="201"/>
        <v>3.4896401308615051E-2</v>
      </c>
      <c r="R142" s="75">
        <f t="shared" si="202"/>
        <v>4.9073064340239914E-3</v>
      </c>
      <c r="S142" s="117">
        <f>+IF($C142="","",ROUND((S141+I142)*(1+Parámetros!$D$91),2))</f>
        <v>6511.75</v>
      </c>
      <c r="T142" s="117">
        <f>+IF($C142="","",ROUND(S142*VLOOKUP(B142,Parámetros!$C$30:$D$39,2,TRUE),2))</f>
        <v>6186.16</v>
      </c>
      <c r="U142" s="117">
        <f>+IF($C142="","",ROUND((U141+I142)*(1+Parámetros!$D$92),2))</f>
        <v>6659.71</v>
      </c>
      <c r="V142" s="117">
        <f>+IF($C142="","",ROUND(U142*VLOOKUP(B142,Parámetros!$C$30:$D$39,2,TRUE),2))</f>
        <v>6326.72</v>
      </c>
      <c r="W142" s="57">
        <f t="shared" si="203"/>
        <v>101</v>
      </c>
      <c r="X142" t="str">
        <f t="shared" si="204"/>
        <v>00058</v>
      </c>
      <c r="Y142" t="str">
        <f t="shared" si="205"/>
        <v>MUERTE POR CUALQUIER CAUSA</v>
      </c>
      <c r="Z142" s="118">
        <f>+IF($W142="","",ROUND(IF(Parámetros!$D$25='TABLAS MORT'!$V$33,Z141,Parámetros!$D$21-'Tablas Servicio'!T141),0))</f>
        <v>100000</v>
      </c>
      <c r="AA142" s="118" t="str">
        <f t="shared" si="206"/>
        <v>P</v>
      </c>
      <c r="AB142" s="119">
        <f>+IF(W142="","",ROUND((VLOOKUP(ROUNDDOWN($D142-1/frec,0),qx_tabla,2,FALSE)*(1+i/frec)^-0.5*(1+Parámetros!$D$103)*(1+rec_fracc)/frec),6))</f>
        <v>1.93E-4</v>
      </c>
      <c r="AC142" s="66">
        <f t="shared" si="162"/>
        <v>19.3</v>
      </c>
      <c r="AD142" s="119">
        <f t="shared" si="158"/>
        <v>3.6000000000000002E-4</v>
      </c>
      <c r="AE142" s="66">
        <f>+IF($W142="","",ROUND(IF($B142&gt;Parámetros!$D$107,'Tablas Servicio'!AC142+('Tablas Servicio'!AG141-'Tablas Servicio'!AC141),AC142/(1-IF(B142&lt;=10,Parámetros!$D$104,Parámetros!$D$105))),2))</f>
        <v>39.94</v>
      </c>
      <c r="AF142" s="66">
        <f>+IF($W142="","",ROUND(IF($B142&gt;Parámetros!$D$107,'Tablas Servicio'!AC142+('Tablas Servicio'!AG141-'Tablas Servicio'!AC141),(AC142+$A141/frec)/(1-IF(B142&lt;=Parámetros!$D$117,Parámetros!$D$100,0))),2))</f>
        <v>36</v>
      </c>
      <c r="AG142" s="66">
        <f t="shared" si="163"/>
        <v>36</v>
      </c>
      <c r="AH142" s="66">
        <f t="shared" si="164"/>
        <v>0</v>
      </c>
      <c r="AI142" s="66">
        <f t="shared" si="165"/>
        <v>0</v>
      </c>
      <c r="AJ142" s="66">
        <f>+IF($W142="","",ROUND((AG142*Parámetros!$G$85),2))</f>
        <v>1.26</v>
      </c>
      <c r="AK142" s="66">
        <f>+IF($W142="","",ROUND((AG142*(Parámetros!$G$86)),2))</f>
        <v>0.18</v>
      </c>
      <c r="AL142" s="66">
        <f t="shared" si="159"/>
        <v>37.44</v>
      </c>
      <c r="AM142" t="str">
        <f t="shared" si="207"/>
        <v>00059</v>
      </c>
      <c r="AN142" t="str">
        <f t="shared" si="208"/>
        <v>Incapacidad Total y Permanente</v>
      </c>
      <c r="AO142" s="118">
        <f t="shared" si="209"/>
        <v>0</v>
      </c>
      <c r="AP142" s="118" t="str">
        <f t="shared" si="210"/>
        <v>A</v>
      </c>
      <c r="AQ142" s="119" t="str">
        <f>+IF(OR($W142="",AO142=0),"",ROUND((VLOOKUP(ROUNDDOWN($D142-1/frec,0),cob_adi,Z$40,FALSE)*(1+i/frec)^-0.5*(1+Parámetros!$D$103)*(1+rec_fracc)/frec),6))</f>
        <v/>
      </c>
      <c r="AR142" s="66">
        <f t="shared" si="166"/>
        <v>0</v>
      </c>
      <c r="AS142" s="119" t="str">
        <f t="shared" si="167"/>
        <v/>
      </c>
      <c r="AT142" s="66">
        <f>+IF($W142="","",ROUND(IF($B142&gt;Parámetros!$D$107,'Tablas Servicio'!AR142+('Tablas Servicio'!AT141-'Tablas Servicio'!AR141),AR142/(1-IF(B142&lt;=10,Parámetros!$D$100,0))),2))</f>
        <v>0</v>
      </c>
      <c r="AU142" s="66">
        <f t="shared" si="168"/>
        <v>0</v>
      </c>
      <c r="AV142" s="66">
        <f t="shared" si="168"/>
        <v>0</v>
      </c>
      <c r="AW142" s="66">
        <f>+IF($W142="","",ROUND((AT142*Parámetros!$G$85),2))</f>
        <v>0</v>
      </c>
      <c r="AX142" s="66">
        <f>+IF($W142="","",ROUND((AT142*(Parámetros!$G$86)),2))</f>
        <v>0</v>
      </c>
      <c r="AY142" s="66">
        <f t="shared" si="169"/>
        <v>0</v>
      </c>
      <c r="AZ142" t="str">
        <f t="shared" si="211"/>
        <v>00060</v>
      </c>
      <c r="BA142" t="str">
        <f t="shared" si="212"/>
        <v>Muerte Accidental</v>
      </c>
      <c r="BB142" s="118">
        <f t="shared" si="213"/>
        <v>0</v>
      </c>
      <c r="BC142" s="118" t="str">
        <f t="shared" si="214"/>
        <v>A</v>
      </c>
      <c r="BD142" s="119" t="str">
        <f>+IF(OR($W142="",BB142=0),"",ROUND((VLOOKUP(ROUNDDOWN($D142-1/frec,0),cob_adi,AO$40,FALSE)*(1+i/frec)^-0.5*(1+Parámetros!$D$103)*(1+rec_fracc)/frec),6))</f>
        <v/>
      </c>
      <c r="BE142" s="66">
        <f t="shared" si="170"/>
        <v>0</v>
      </c>
      <c r="BF142" s="119" t="str">
        <f t="shared" si="171"/>
        <v/>
      </c>
      <c r="BG142" s="66">
        <f>+IF($W142="","",ROUND(IF($B142&gt;Parámetros!$D$107,'Tablas Servicio'!BE142+('Tablas Servicio'!BG141-'Tablas Servicio'!BE141),BE142/(1-IF(B142&lt;=10,Parámetros!$D$100,0))),2))</f>
        <v>0</v>
      </c>
      <c r="BH142" s="66">
        <f t="shared" si="172"/>
        <v>0</v>
      </c>
      <c r="BI142" s="66">
        <f t="shared" si="173"/>
        <v>0</v>
      </c>
      <c r="BJ142" s="66">
        <f>+IF($W142="","",ROUND((BG142*Parámetros!$G$85),2))</f>
        <v>0</v>
      </c>
      <c r="BK142" s="66">
        <f>+IF($W142="","",ROUND((BG142*(Parámetros!$G$86)),2))</f>
        <v>0</v>
      </c>
      <c r="BL142" s="66">
        <f t="shared" si="174"/>
        <v>0</v>
      </c>
      <c r="BM142" t="str">
        <f t="shared" si="215"/>
        <v>00061</v>
      </c>
      <c r="BN142" t="str">
        <f t="shared" si="216"/>
        <v>Gastos de Entierro</v>
      </c>
      <c r="BO142" s="118">
        <f t="shared" si="217"/>
        <v>0</v>
      </c>
      <c r="BP142" s="118" t="str">
        <f t="shared" si="218"/>
        <v>A</v>
      </c>
      <c r="BQ142" s="119" t="str">
        <f>+IF(OR($W142="",BO142=0),"",ROUND((VLOOKUP(ROUNDDOWN($D142-1/frec,0),cob_adi,BB$40,FALSE)*(1+i/frec)^-0.5*(1+Parámetros!$D$103)*(1+rec_fracc)/frec),6))</f>
        <v/>
      </c>
      <c r="BR142" s="66">
        <f t="shared" si="175"/>
        <v>0</v>
      </c>
      <c r="BS142" s="119" t="str">
        <f t="shared" si="176"/>
        <v/>
      </c>
      <c r="BT142" s="66">
        <f>+IF($W142="","",ROUND(IF($B142&gt;Parámetros!$D$107,'Tablas Servicio'!BR142+('Tablas Servicio'!BT141-'Tablas Servicio'!BR141),BR142/(1-IF(B142&lt;=10,Parámetros!$D$100,0))),2))</f>
        <v>0</v>
      </c>
      <c r="BU142" s="66">
        <f t="shared" si="177"/>
        <v>0</v>
      </c>
      <c r="BV142" s="66">
        <f t="shared" si="177"/>
        <v>0</v>
      </c>
      <c r="BW142" s="66">
        <f>+IF($W142="","",ROUND((BT142*Parámetros!$G$85),2))</f>
        <v>0</v>
      </c>
      <c r="BX142" s="66">
        <f>+IF($W142="","",ROUND((BT142*(Parámetros!$G$86)),2))</f>
        <v>0</v>
      </c>
      <c r="BY142" s="66">
        <f t="shared" si="178"/>
        <v>0</v>
      </c>
      <c r="BZ142" t="str">
        <f t="shared" si="219"/>
        <v>00062</v>
      </c>
      <c r="CA142" t="str">
        <f t="shared" si="220"/>
        <v>Gastos médicos por accidente</v>
      </c>
      <c r="CB142" s="118">
        <f t="shared" si="221"/>
        <v>0</v>
      </c>
      <c r="CC142" s="118" t="str">
        <f t="shared" si="222"/>
        <v>A</v>
      </c>
      <c r="CD142" s="119" t="str">
        <f t="shared" si="179"/>
        <v/>
      </c>
      <c r="CE142" s="66">
        <f>+IF($W142="","",ROUND((VLOOKUP(ROUNDDOWN($D142-1/frec,0),cob_adi,BO$40,FALSE)*(1+i/frec)^-0.5*(1+Parámetros!$D$103)*(1+rec_fracc)/frec*'TABLAS ADI'!$BC$17),2))</f>
        <v>0</v>
      </c>
      <c r="CF142" s="119" t="str">
        <f t="shared" si="180"/>
        <v/>
      </c>
      <c r="CG142" s="66">
        <f>+IF($W142="","",ROUND(IF($B142&gt;Parámetros!$D$107,'Tablas Servicio'!CE142+('Tablas Servicio'!CG141-'Tablas Servicio'!CE141),CE142/(1-IF(B142&lt;=10,Parámetros!$D$100,0))),2))</f>
        <v>0</v>
      </c>
      <c r="CH142" s="66">
        <f t="shared" si="181"/>
        <v>0</v>
      </c>
      <c r="CI142" s="66">
        <f t="shared" si="181"/>
        <v>0</v>
      </c>
      <c r="CJ142" s="66">
        <f>+IF($W142="","",ROUND((CG142*Parámetros!$G$85),2))</f>
        <v>0</v>
      </c>
      <c r="CK142" s="66">
        <f>+IF($W142="","",ROUND((CG142*(Parámetros!$G$86)),2))</f>
        <v>0</v>
      </c>
      <c r="CL142" s="66">
        <f t="shared" si="182"/>
        <v>0</v>
      </c>
      <c r="CM142" t="str">
        <f t="shared" si="223"/>
        <v>00063</v>
      </c>
      <c r="CN142" s="118" t="str">
        <f t="shared" si="224"/>
        <v>Renta Diaria por Hospitalización</v>
      </c>
      <c r="CO142" s="118">
        <f t="shared" si="225"/>
        <v>0</v>
      </c>
      <c r="CP142" s="118" t="str">
        <f t="shared" si="226"/>
        <v>A</v>
      </c>
      <c r="CQ142" s="119" t="str">
        <f t="shared" si="183"/>
        <v/>
      </c>
      <c r="CR142" s="66">
        <f>+IF($W142="","",ROUND((VLOOKUP(Parámetros!$F$51,'COBERTURAS ADICIONALES'!$S$4:$T$32,2,FALSE)*(1+i/frec)^-0.5*(1+Parámetros!$D$103)*(1+rec_fracc)/frec*$CO$42),2))</f>
        <v>0</v>
      </c>
      <c r="CS142" s="119" t="str">
        <f t="shared" si="184"/>
        <v/>
      </c>
      <c r="CT142" s="66">
        <f>+IF($W142="","",ROUND(IF($B142&gt;Parámetros!$D$107,'Tablas Servicio'!CR142+('Tablas Servicio'!CT141-'Tablas Servicio'!CR141),CR142/(1-IF(B142&lt;=10,Parámetros!$D$100,0))),2))</f>
        <v>0</v>
      </c>
      <c r="CU142" s="66">
        <f t="shared" si="185"/>
        <v>0</v>
      </c>
      <c r="CV142" s="66">
        <f t="shared" si="185"/>
        <v>0</v>
      </c>
      <c r="CW142" s="66">
        <f>+IF($W142="","",ROUND((CT142*Parámetros!$G$85),2))</f>
        <v>0</v>
      </c>
      <c r="CX142" s="66">
        <f>+IF($W142="","",ROUND((CT142*(Parámetros!$G$86)),2))</f>
        <v>0</v>
      </c>
      <c r="CY142" s="66">
        <f t="shared" si="186"/>
        <v>0</v>
      </c>
      <c r="CZ142" t="str">
        <f t="shared" si="227"/>
        <v>00064</v>
      </c>
      <c r="DA142" s="118" t="str">
        <f t="shared" si="228"/>
        <v>Enfermedades Graves</v>
      </c>
      <c r="DB142" s="118">
        <f t="shared" si="229"/>
        <v>0</v>
      </c>
      <c r="DC142" s="118" t="str">
        <f t="shared" si="230"/>
        <v>A</v>
      </c>
      <c r="DD142" s="121" t="str">
        <f>+IF(OR($W142="",DB142=0),"",ROUND((VLOOKUP(ROUNDDOWN($D142-1/frec,0),cob_adi,CO$40,FALSE)*(1+i/frec)^-0.5*(1+Parámetros!$D$103)*(1+rec_fracc)/frec),6))</f>
        <v/>
      </c>
      <c r="DE142" s="66">
        <f t="shared" si="187"/>
        <v>0</v>
      </c>
      <c r="DF142" s="119" t="str">
        <f t="shared" si="188"/>
        <v/>
      </c>
      <c r="DG142" s="66">
        <f>+IF($W142="","",ROUND(IF($B142&gt;Parámetros!$D$107,'Tablas Servicio'!DE142+('Tablas Servicio'!DG141-'Tablas Servicio'!DE141),DE142/(1-IF(B142&lt;=10,Parámetros!$D$100,0))),2))</f>
        <v>0</v>
      </c>
      <c r="DH142" s="66">
        <f t="shared" si="189"/>
        <v>0</v>
      </c>
      <c r="DI142" s="66">
        <f t="shared" si="189"/>
        <v>0</v>
      </c>
      <c r="DJ142" s="66">
        <f>+IF($W142="","",ROUND((DG142*Parámetros!$G$85),2))</f>
        <v>0</v>
      </c>
      <c r="DK142" s="66">
        <f>+IF($W142="","",ROUND((DG142*(Parámetros!$G$86)),2))</f>
        <v>0</v>
      </c>
      <c r="DL142" s="66">
        <f t="shared" si="190"/>
        <v>0</v>
      </c>
      <c r="DM142" t="str">
        <f t="shared" si="231"/>
        <v>00065</v>
      </c>
      <c r="DN142" s="118" t="str">
        <f t="shared" si="232"/>
        <v>Exención pago de primas</v>
      </c>
      <c r="DO142" s="118">
        <f t="shared" si="233"/>
        <v>0</v>
      </c>
      <c r="DP142" s="118" t="str">
        <f t="shared" si="234"/>
        <v>A</v>
      </c>
      <c r="DQ142" s="122" t="str">
        <f>+IF(OR($W142="",DO142=0),"",ROUND((VLOOKUP(ROUNDDOWN($D142-1/frec,0),cob_adi,DB$40,FALSE)*(1+i/frec)^-0.5*(1+Parámetros!$D$103)*(1+rec_fracc)/frec),6))</f>
        <v/>
      </c>
      <c r="DR142" s="66">
        <f t="shared" si="191"/>
        <v>0</v>
      </c>
      <c r="DS142" s="68" t="str">
        <f t="shared" si="192"/>
        <v/>
      </c>
      <c r="DT142" s="66">
        <f>+IF($W142="","",ROUND(IF($B142&gt;Parámetros!$D$107,'Tablas Servicio'!DR142+('Tablas Servicio'!DT141-'Tablas Servicio'!DR141),DR142/(1-IF(B142&lt;=10,Parámetros!$D$100,0))),2))</f>
        <v>0</v>
      </c>
      <c r="DU142" s="66">
        <f t="shared" si="193"/>
        <v>0</v>
      </c>
      <c r="DV142" s="66">
        <f t="shared" si="193"/>
        <v>0</v>
      </c>
      <c r="DW142" s="66">
        <f>+IF($W142="","",ROUND((DT142*Parámetros!$G$85),2))</f>
        <v>0</v>
      </c>
      <c r="DX142" s="66">
        <f>+IF($W142="","",ROUND((DT142*(Parámetros!$G$86)),2))</f>
        <v>0</v>
      </c>
      <c r="DY142" s="66">
        <f t="shared" si="194"/>
        <v>0</v>
      </c>
      <c r="DZ142" t="str">
        <f t="shared" si="236"/>
        <v>00066</v>
      </c>
      <c r="EA142" s="118" t="str">
        <f t="shared" si="236"/>
        <v>Enfermedad terminal</v>
      </c>
      <c r="EB142" s="118">
        <f>+IF($W142="","",ROUND(IF(Parámetros!$D$25='TABLAS MORT'!$V$33,EB141,Z142/2),0))</f>
        <v>50000</v>
      </c>
      <c r="EC142" s="118" t="str">
        <f t="shared" si="236"/>
        <v>A</v>
      </c>
      <c r="ED142" s="122">
        <f>+IF(OR($W142="",EB142=0),"",ROUND((VLOOKUP(ROUNDDOWN($D142-1/frec,0),cob_adi,DO$40,FALSE)*(1+i/frec)^-0.5*(1+Parámetros!$D$103)*(1+rec_fracc)/frec),6))</f>
        <v>1.2E-5</v>
      </c>
      <c r="EE142" s="66">
        <f t="shared" si="196"/>
        <v>0.6</v>
      </c>
      <c r="EF142" s="68">
        <f t="shared" si="197"/>
        <v>1.4E-5</v>
      </c>
      <c r="EG142" s="66">
        <f>+IF($W142="","",ROUND(IF($B142&gt;Parámetros!$D$107,'Tablas Servicio'!EE142+('Tablas Servicio'!EG141-'Tablas Servicio'!EE141),EE142/(1-IF(B142&lt;=10,Parámetros!$D$100,0))),2))</f>
        <v>0.68</v>
      </c>
      <c r="EH142" s="66">
        <f t="shared" si="198"/>
        <v>0</v>
      </c>
      <c r="EI142" s="66">
        <f t="shared" si="198"/>
        <v>0</v>
      </c>
      <c r="EJ142" s="66">
        <f>+IF($W142="","",ROUND((EG142*Parámetros!$G$85),2))</f>
        <v>0.02</v>
      </c>
      <c r="EK142" s="66">
        <f>+IF($W142="","",ROUND((EG142*(Parámetros!$G$86)),2))</f>
        <v>0</v>
      </c>
      <c r="EL142" s="66">
        <f t="shared" si="199"/>
        <v>0.7</v>
      </c>
    </row>
    <row r="143" spans="1:142" x14ac:dyDescent="0.25">
      <c r="A143">
        <f>+IF($C143="","",ROUND(VLOOKUP('Tablas Servicio'!B143,Parámetros!$H$100:$J$159,IF(Parámetros!$E$16="F",2,3),FALSE),2))</f>
        <v>150</v>
      </c>
      <c r="B143">
        <f t="shared" si="150"/>
        <v>9</v>
      </c>
      <c r="C143" s="57">
        <f>+IF(D143="","",'Tablas Servicio'!C142+1)</f>
        <v>102</v>
      </c>
      <c r="D143" s="56">
        <f>+IF(D142&lt;edadmaxtabla,D142+1/Parámetros!$E$25,"")</f>
        <v>48.520000000000245</v>
      </c>
      <c r="E143" s="57">
        <f t="shared" si="160"/>
        <v>48</v>
      </c>
      <c r="F143" s="59">
        <f t="shared" si="161"/>
        <v>100000</v>
      </c>
      <c r="G143" s="66">
        <f t="shared" si="151"/>
        <v>36.68</v>
      </c>
      <c r="H143" s="66">
        <f t="shared" si="152"/>
        <v>38.14</v>
      </c>
      <c r="I143" s="66">
        <f t="shared" si="200"/>
        <v>49.17</v>
      </c>
      <c r="J143" s="66">
        <f t="shared" si="153"/>
        <v>1.28</v>
      </c>
      <c r="K143" s="66">
        <f t="shared" si="154"/>
        <v>0.18</v>
      </c>
      <c r="L143" s="66">
        <f t="shared" si="155"/>
        <v>0</v>
      </c>
      <c r="M143" s="66">
        <f t="shared" si="156"/>
        <v>0</v>
      </c>
      <c r="N143" s="66">
        <f>+IF(C143="","",ROUND(Parámetros!$D$23,2))</f>
        <v>94</v>
      </c>
      <c r="O143" s="66">
        <f t="shared" si="157"/>
        <v>19.900000000000002</v>
      </c>
      <c r="P143" s="66">
        <f>+IF($C143="","",ROUND(IF(B143&gt;Parámetros!$D$117,0,N143*Parámetros!$D$116-G143*Parámetros!$D$100),2))</f>
        <v>6.69</v>
      </c>
      <c r="Q143" s="75">
        <f t="shared" si="201"/>
        <v>3.4896401308615051E-2</v>
      </c>
      <c r="R143" s="75">
        <f t="shared" si="202"/>
        <v>4.9073064340239914E-3</v>
      </c>
      <c r="S143" s="117">
        <f>+IF($C143="","",ROUND((S142+I143)*(1+Parámetros!$D$91),2))</f>
        <v>6579.53</v>
      </c>
      <c r="T143" s="117">
        <f>+IF($C143="","",ROUND(S143*VLOOKUP(B143,Parámetros!$C$30:$D$39,2,TRUE),2))</f>
        <v>6250.55</v>
      </c>
      <c r="U143" s="117">
        <f>+IF($C143="","",ROUND((U142+I143)*(1+Parámetros!$D$92),2))</f>
        <v>6730.63</v>
      </c>
      <c r="V143" s="117">
        <f>+IF($C143="","",ROUND(U143*VLOOKUP(B143,Parámetros!$C$30:$D$39,2,TRUE),2))</f>
        <v>6394.1</v>
      </c>
      <c r="W143" s="57">
        <f t="shared" si="203"/>
        <v>102</v>
      </c>
      <c r="X143" t="str">
        <f t="shared" si="204"/>
        <v>00058</v>
      </c>
      <c r="Y143" t="str">
        <f t="shared" si="205"/>
        <v>MUERTE POR CUALQUIER CAUSA</v>
      </c>
      <c r="Z143" s="118">
        <f>+IF($W143="","",ROUND(IF(Parámetros!$D$25='TABLAS MORT'!$V$33,Z142,Parámetros!$D$21-'Tablas Servicio'!T142),0))</f>
        <v>100000</v>
      </c>
      <c r="AA143" s="118" t="str">
        <f t="shared" si="206"/>
        <v>P</v>
      </c>
      <c r="AB143" s="119">
        <f>+IF(W143="","",ROUND((VLOOKUP(ROUNDDOWN($D143-1/frec,0),qx_tabla,2,FALSE)*(1+i/frec)^-0.5*(1+Parámetros!$D$103)*(1+rec_fracc)/frec),6))</f>
        <v>1.93E-4</v>
      </c>
      <c r="AC143" s="66">
        <f t="shared" si="162"/>
        <v>19.3</v>
      </c>
      <c r="AD143" s="119">
        <f t="shared" si="158"/>
        <v>3.6000000000000002E-4</v>
      </c>
      <c r="AE143" s="66">
        <f>+IF($W143="","",ROUND(IF($B143&gt;Parámetros!$D$107,'Tablas Servicio'!AC143+('Tablas Servicio'!AG142-'Tablas Servicio'!AC142),AC143/(1-IF(B143&lt;=10,Parámetros!$D$104,Parámetros!$D$105))),2))</f>
        <v>39.94</v>
      </c>
      <c r="AF143" s="66">
        <f>+IF($W143="","",ROUND(IF($B143&gt;Parámetros!$D$107,'Tablas Servicio'!AC143+('Tablas Servicio'!AG142-'Tablas Servicio'!AC142),(AC143+$A142/frec)/(1-IF(B143&lt;=Parámetros!$D$117,Parámetros!$D$100,0))),2))</f>
        <v>36</v>
      </c>
      <c r="AG143" s="66">
        <f t="shared" si="163"/>
        <v>36</v>
      </c>
      <c r="AH143" s="66">
        <f t="shared" si="164"/>
        <v>0</v>
      </c>
      <c r="AI143" s="66">
        <f t="shared" si="165"/>
        <v>0</v>
      </c>
      <c r="AJ143" s="66">
        <f>+IF($W143="","",ROUND((AG143*Parámetros!$G$85),2))</f>
        <v>1.26</v>
      </c>
      <c r="AK143" s="66">
        <f>+IF($W143="","",ROUND((AG143*(Parámetros!$G$86)),2))</f>
        <v>0.18</v>
      </c>
      <c r="AL143" s="66">
        <f t="shared" si="159"/>
        <v>37.44</v>
      </c>
      <c r="AM143" t="str">
        <f t="shared" si="207"/>
        <v>00059</v>
      </c>
      <c r="AN143" t="str">
        <f t="shared" si="208"/>
        <v>Incapacidad Total y Permanente</v>
      </c>
      <c r="AO143" s="118">
        <f t="shared" si="209"/>
        <v>0</v>
      </c>
      <c r="AP143" s="118" t="str">
        <f t="shared" si="210"/>
        <v>A</v>
      </c>
      <c r="AQ143" s="119" t="str">
        <f>+IF(OR($W143="",AO143=0),"",ROUND((VLOOKUP(ROUNDDOWN($D143-1/frec,0),cob_adi,Z$40,FALSE)*(1+i/frec)^-0.5*(1+Parámetros!$D$103)*(1+rec_fracc)/frec),6))</f>
        <v/>
      </c>
      <c r="AR143" s="66">
        <f t="shared" si="166"/>
        <v>0</v>
      </c>
      <c r="AS143" s="119" t="str">
        <f t="shared" si="167"/>
        <v/>
      </c>
      <c r="AT143" s="66">
        <f>+IF($W143="","",ROUND(IF($B143&gt;Parámetros!$D$107,'Tablas Servicio'!AR143+('Tablas Servicio'!AT142-'Tablas Servicio'!AR142),AR143/(1-IF(B143&lt;=10,Parámetros!$D$100,0))),2))</f>
        <v>0</v>
      </c>
      <c r="AU143" s="66">
        <f t="shared" si="168"/>
        <v>0</v>
      </c>
      <c r="AV143" s="66">
        <f t="shared" si="168"/>
        <v>0</v>
      </c>
      <c r="AW143" s="66">
        <f>+IF($W143="","",ROUND((AT143*Parámetros!$G$85),2))</f>
        <v>0</v>
      </c>
      <c r="AX143" s="66">
        <f>+IF($W143="","",ROUND((AT143*(Parámetros!$G$86)),2))</f>
        <v>0</v>
      </c>
      <c r="AY143" s="66">
        <f t="shared" si="169"/>
        <v>0</v>
      </c>
      <c r="AZ143" t="str">
        <f t="shared" si="211"/>
        <v>00060</v>
      </c>
      <c r="BA143" t="str">
        <f t="shared" si="212"/>
        <v>Muerte Accidental</v>
      </c>
      <c r="BB143" s="118">
        <f t="shared" si="213"/>
        <v>0</v>
      </c>
      <c r="BC143" s="118" t="str">
        <f t="shared" si="214"/>
        <v>A</v>
      </c>
      <c r="BD143" s="119" t="str">
        <f>+IF(OR($W143="",BB143=0),"",ROUND((VLOOKUP(ROUNDDOWN($D143-1/frec,0),cob_adi,AO$40,FALSE)*(1+i/frec)^-0.5*(1+Parámetros!$D$103)*(1+rec_fracc)/frec),6))</f>
        <v/>
      </c>
      <c r="BE143" s="66">
        <f t="shared" si="170"/>
        <v>0</v>
      </c>
      <c r="BF143" s="119" t="str">
        <f t="shared" si="171"/>
        <v/>
      </c>
      <c r="BG143" s="66">
        <f>+IF($W143="","",ROUND(IF($B143&gt;Parámetros!$D$107,'Tablas Servicio'!BE143+('Tablas Servicio'!BG142-'Tablas Servicio'!BE142),BE143/(1-IF(B143&lt;=10,Parámetros!$D$100,0))),2))</f>
        <v>0</v>
      </c>
      <c r="BH143" s="66">
        <f t="shared" si="172"/>
        <v>0</v>
      </c>
      <c r="BI143" s="66">
        <f t="shared" si="173"/>
        <v>0</v>
      </c>
      <c r="BJ143" s="66">
        <f>+IF($W143="","",ROUND((BG143*Parámetros!$G$85),2))</f>
        <v>0</v>
      </c>
      <c r="BK143" s="66">
        <f>+IF($W143="","",ROUND((BG143*(Parámetros!$G$86)),2))</f>
        <v>0</v>
      </c>
      <c r="BL143" s="66">
        <f t="shared" si="174"/>
        <v>0</v>
      </c>
      <c r="BM143" t="str">
        <f t="shared" si="215"/>
        <v>00061</v>
      </c>
      <c r="BN143" t="str">
        <f t="shared" si="216"/>
        <v>Gastos de Entierro</v>
      </c>
      <c r="BO143" s="118">
        <f t="shared" si="217"/>
        <v>0</v>
      </c>
      <c r="BP143" s="118" t="str">
        <f t="shared" si="218"/>
        <v>A</v>
      </c>
      <c r="BQ143" s="119" t="str">
        <f>+IF(OR($W143="",BO143=0),"",ROUND((VLOOKUP(ROUNDDOWN($D143-1/frec,0),cob_adi,BB$40,FALSE)*(1+i/frec)^-0.5*(1+Parámetros!$D$103)*(1+rec_fracc)/frec),6))</f>
        <v/>
      </c>
      <c r="BR143" s="66">
        <f t="shared" si="175"/>
        <v>0</v>
      </c>
      <c r="BS143" s="119" t="str">
        <f t="shared" si="176"/>
        <v/>
      </c>
      <c r="BT143" s="66">
        <f>+IF($W143="","",ROUND(IF($B143&gt;Parámetros!$D$107,'Tablas Servicio'!BR143+('Tablas Servicio'!BT142-'Tablas Servicio'!BR142),BR143/(1-IF(B143&lt;=10,Parámetros!$D$100,0))),2))</f>
        <v>0</v>
      </c>
      <c r="BU143" s="66">
        <f t="shared" si="177"/>
        <v>0</v>
      </c>
      <c r="BV143" s="66">
        <f t="shared" si="177"/>
        <v>0</v>
      </c>
      <c r="BW143" s="66">
        <f>+IF($W143="","",ROUND((BT143*Parámetros!$G$85),2))</f>
        <v>0</v>
      </c>
      <c r="BX143" s="66">
        <f>+IF($W143="","",ROUND((BT143*(Parámetros!$G$86)),2))</f>
        <v>0</v>
      </c>
      <c r="BY143" s="66">
        <f t="shared" si="178"/>
        <v>0</v>
      </c>
      <c r="BZ143" t="str">
        <f t="shared" si="219"/>
        <v>00062</v>
      </c>
      <c r="CA143" t="str">
        <f t="shared" si="220"/>
        <v>Gastos médicos por accidente</v>
      </c>
      <c r="CB143" s="118">
        <f t="shared" si="221"/>
        <v>0</v>
      </c>
      <c r="CC143" s="118" t="str">
        <f t="shared" si="222"/>
        <v>A</v>
      </c>
      <c r="CD143" s="119" t="str">
        <f t="shared" si="179"/>
        <v/>
      </c>
      <c r="CE143" s="66">
        <f>+IF($W143="","",ROUND((VLOOKUP(ROUNDDOWN($D143-1/frec,0),cob_adi,BO$40,FALSE)*(1+i/frec)^-0.5*(1+Parámetros!$D$103)*(1+rec_fracc)/frec*'TABLAS ADI'!$BC$17),2))</f>
        <v>0</v>
      </c>
      <c r="CF143" s="119" t="str">
        <f t="shared" si="180"/>
        <v/>
      </c>
      <c r="CG143" s="66">
        <f>+IF($W143="","",ROUND(IF($B143&gt;Parámetros!$D$107,'Tablas Servicio'!CE143+('Tablas Servicio'!CG142-'Tablas Servicio'!CE142),CE143/(1-IF(B143&lt;=10,Parámetros!$D$100,0))),2))</f>
        <v>0</v>
      </c>
      <c r="CH143" s="66">
        <f t="shared" si="181"/>
        <v>0</v>
      </c>
      <c r="CI143" s="66">
        <f t="shared" si="181"/>
        <v>0</v>
      </c>
      <c r="CJ143" s="66">
        <f>+IF($W143="","",ROUND((CG143*Parámetros!$G$85),2))</f>
        <v>0</v>
      </c>
      <c r="CK143" s="66">
        <f>+IF($W143="","",ROUND((CG143*(Parámetros!$G$86)),2))</f>
        <v>0</v>
      </c>
      <c r="CL143" s="66">
        <f t="shared" si="182"/>
        <v>0</v>
      </c>
      <c r="CM143" t="str">
        <f t="shared" si="223"/>
        <v>00063</v>
      </c>
      <c r="CN143" s="118" t="str">
        <f t="shared" si="224"/>
        <v>Renta Diaria por Hospitalización</v>
      </c>
      <c r="CO143" s="118">
        <f t="shared" si="225"/>
        <v>0</v>
      </c>
      <c r="CP143" s="118" t="str">
        <f t="shared" si="226"/>
        <v>A</v>
      </c>
      <c r="CQ143" s="119" t="str">
        <f t="shared" si="183"/>
        <v/>
      </c>
      <c r="CR143" s="66">
        <f>+IF($W143="","",ROUND((VLOOKUP(Parámetros!$F$51,'COBERTURAS ADICIONALES'!$S$4:$T$32,2,FALSE)*(1+i/frec)^-0.5*(1+Parámetros!$D$103)*(1+rec_fracc)/frec*$CO$42),2))</f>
        <v>0</v>
      </c>
      <c r="CS143" s="119" t="str">
        <f t="shared" si="184"/>
        <v/>
      </c>
      <c r="CT143" s="66">
        <f>+IF($W143="","",ROUND(IF($B143&gt;Parámetros!$D$107,'Tablas Servicio'!CR143+('Tablas Servicio'!CT142-'Tablas Servicio'!CR142),CR143/(1-IF(B143&lt;=10,Parámetros!$D$100,0))),2))</f>
        <v>0</v>
      </c>
      <c r="CU143" s="66">
        <f t="shared" si="185"/>
        <v>0</v>
      </c>
      <c r="CV143" s="66">
        <f t="shared" si="185"/>
        <v>0</v>
      </c>
      <c r="CW143" s="66">
        <f>+IF($W143="","",ROUND((CT143*Parámetros!$G$85),2))</f>
        <v>0</v>
      </c>
      <c r="CX143" s="66">
        <f>+IF($W143="","",ROUND((CT143*(Parámetros!$G$86)),2))</f>
        <v>0</v>
      </c>
      <c r="CY143" s="66">
        <f t="shared" si="186"/>
        <v>0</v>
      </c>
      <c r="CZ143" t="str">
        <f t="shared" si="227"/>
        <v>00064</v>
      </c>
      <c r="DA143" s="118" t="str">
        <f t="shared" si="228"/>
        <v>Enfermedades Graves</v>
      </c>
      <c r="DB143" s="118">
        <f t="shared" si="229"/>
        <v>0</v>
      </c>
      <c r="DC143" s="118" t="str">
        <f t="shared" si="230"/>
        <v>A</v>
      </c>
      <c r="DD143" s="121" t="str">
        <f>+IF(OR($W143="",DB143=0),"",ROUND((VLOOKUP(ROUNDDOWN($D143-1/frec,0),cob_adi,CO$40,FALSE)*(1+i/frec)^-0.5*(1+Parámetros!$D$103)*(1+rec_fracc)/frec),6))</f>
        <v/>
      </c>
      <c r="DE143" s="66">
        <f t="shared" si="187"/>
        <v>0</v>
      </c>
      <c r="DF143" s="119" t="str">
        <f t="shared" si="188"/>
        <v/>
      </c>
      <c r="DG143" s="66">
        <f>+IF($W143="","",ROUND(IF($B143&gt;Parámetros!$D$107,'Tablas Servicio'!DE143+('Tablas Servicio'!DG142-'Tablas Servicio'!DE142),DE143/(1-IF(B143&lt;=10,Parámetros!$D$100,0))),2))</f>
        <v>0</v>
      </c>
      <c r="DH143" s="66">
        <f t="shared" si="189"/>
        <v>0</v>
      </c>
      <c r="DI143" s="66">
        <f t="shared" si="189"/>
        <v>0</v>
      </c>
      <c r="DJ143" s="66">
        <f>+IF($W143="","",ROUND((DG143*Parámetros!$G$85),2))</f>
        <v>0</v>
      </c>
      <c r="DK143" s="66">
        <f>+IF($W143="","",ROUND((DG143*(Parámetros!$G$86)),2))</f>
        <v>0</v>
      </c>
      <c r="DL143" s="66">
        <f t="shared" si="190"/>
        <v>0</v>
      </c>
      <c r="DM143" t="str">
        <f t="shared" si="231"/>
        <v>00065</v>
      </c>
      <c r="DN143" s="118" t="str">
        <f t="shared" si="232"/>
        <v>Exención pago de primas</v>
      </c>
      <c r="DO143" s="118">
        <f t="shared" si="233"/>
        <v>0</v>
      </c>
      <c r="DP143" s="118" t="str">
        <f t="shared" si="234"/>
        <v>A</v>
      </c>
      <c r="DQ143" s="122" t="str">
        <f>+IF(OR($W143="",DO143=0),"",ROUND((VLOOKUP(ROUNDDOWN($D143-1/frec,0),cob_adi,DB$40,FALSE)*(1+i/frec)^-0.5*(1+Parámetros!$D$103)*(1+rec_fracc)/frec),6))</f>
        <v/>
      </c>
      <c r="DR143" s="66">
        <f t="shared" si="191"/>
        <v>0</v>
      </c>
      <c r="DS143" s="68" t="str">
        <f t="shared" si="192"/>
        <v/>
      </c>
      <c r="DT143" s="66">
        <f>+IF($W143="","",ROUND(IF($B143&gt;Parámetros!$D$107,'Tablas Servicio'!DR143+('Tablas Servicio'!DT142-'Tablas Servicio'!DR142),DR143/(1-IF(B143&lt;=10,Parámetros!$D$100,0))),2))</f>
        <v>0</v>
      </c>
      <c r="DU143" s="66">
        <f t="shared" si="193"/>
        <v>0</v>
      </c>
      <c r="DV143" s="66">
        <f t="shared" si="193"/>
        <v>0</v>
      </c>
      <c r="DW143" s="66">
        <f>+IF($W143="","",ROUND((DT143*Parámetros!$G$85),2))</f>
        <v>0</v>
      </c>
      <c r="DX143" s="66">
        <f>+IF($W143="","",ROUND((DT143*(Parámetros!$G$86)),2))</f>
        <v>0</v>
      </c>
      <c r="DY143" s="66">
        <f t="shared" si="194"/>
        <v>0</v>
      </c>
      <c r="DZ143" t="str">
        <f t="shared" si="236"/>
        <v>00066</v>
      </c>
      <c r="EA143" s="118" t="str">
        <f t="shared" si="236"/>
        <v>Enfermedad terminal</v>
      </c>
      <c r="EB143" s="118">
        <f>+IF($W143="","",ROUND(IF(Parámetros!$D$25='TABLAS MORT'!$V$33,EB142,Z143/2),0))</f>
        <v>50000</v>
      </c>
      <c r="EC143" s="118" t="str">
        <f t="shared" si="236"/>
        <v>A</v>
      </c>
      <c r="ED143" s="122">
        <f>+IF(OR($W143="",EB143=0),"",ROUND((VLOOKUP(ROUNDDOWN($D143-1/frec,0),cob_adi,DO$40,FALSE)*(1+i/frec)^-0.5*(1+Parámetros!$D$103)*(1+rec_fracc)/frec),6))</f>
        <v>1.2E-5</v>
      </c>
      <c r="EE143" s="66">
        <f t="shared" si="196"/>
        <v>0.6</v>
      </c>
      <c r="EF143" s="68">
        <f t="shared" si="197"/>
        <v>1.4E-5</v>
      </c>
      <c r="EG143" s="66">
        <f>+IF($W143="","",ROUND(IF($B143&gt;Parámetros!$D$107,'Tablas Servicio'!EE143+('Tablas Servicio'!EG142-'Tablas Servicio'!EE142),EE143/(1-IF(B143&lt;=10,Parámetros!$D$100,0))),2))</f>
        <v>0.68</v>
      </c>
      <c r="EH143" s="66">
        <f t="shared" si="198"/>
        <v>0</v>
      </c>
      <c r="EI143" s="66">
        <f t="shared" si="198"/>
        <v>0</v>
      </c>
      <c r="EJ143" s="66">
        <f>+IF($W143="","",ROUND((EG143*Parámetros!$G$85),2))</f>
        <v>0.02</v>
      </c>
      <c r="EK143" s="66">
        <f>+IF($W143="","",ROUND((EG143*(Parámetros!$G$86)),2))</f>
        <v>0</v>
      </c>
      <c r="EL143" s="66">
        <f t="shared" si="199"/>
        <v>0.7</v>
      </c>
    </row>
    <row r="144" spans="1:142" x14ac:dyDescent="0.25">
      <c r="A144">
        <f>+IF($C144="","",ROUND(VLOOKUP('Tablas Servicio'!B144,Parámetros!$H$100:$J$159,IF(Parámetros!$E$16="F",2,3),FALSE),2))</f>
        <v>150</v>
      </c>
      <c r="B144">
        <f t="shared" si="150"/>
        <v>9</v>
      </c>
      <c r="C144" s="57">
        <f>+IF(D144="","",'Tablas Servicio'!C143+1)</f>
        <v>103</v>
      </c>
      <c r="D144" s="56">
        <f>+IF(D143&lt;edadmaxtabla,D143+1/Parámetros!$E$25,"")</f>
        <v>48.60333333333358</v>
      </c>
      <c r="E144" s="57">
        <f t="shared" si="160"/>
        <v>48</v>
      </c>
      <c r="F144" s="59">
        <f t="shared" si="161"/>
        <v>100000</v>
      </c>
      <c r="G144" s="66">
        <f t="shared" si="151"/>
        <v>36.68</v>
      </c>
      <c r="H144" s="66">
        <f t="shared" si="152"/>
        <v>38.14</v>
      </c>
      <c r="I144" s="66">
        <f t="shared" si="200"/>
        <v>49.17</v>
      </c>
      <c r="J144" s="66">
        <f t="shared" si="153"/>
        <v>1.28</v>
      </c>
      <c r="K144" s="66">
        <f t="shared" si="154"/>
        <v>0.18</v>
      </c>
      <c r="L144" s="66">
        <f t="shared" si="155"/>
        <v>0</v>
      </c>
      <c r="M144" s="66">
        <f t="shared" si="156"/>
        <v>0</v>
      </c>
      <c r="N144" s="66">
        <f>+IF(C144="","",ROUND(Parámetros!$D$23,2))</f>
        <v>94</v>
      </c>
      <c r="O144" s="66">
        <f t="shared" si="157"/>
        <v>19.900000000000002</v>
      </c>
      <c r="P144" s="66">
        <f>+IF($C144="","",ROUND(IF(B144&gt;Parámetros!$D$117,0,N144*Parámetros!$D$116-G144*Parámetros!$D$100),2))</f>
        <v>6.69</v>
      </c>
      <c r="Q144" s="75">
        <f t="shared" si="201"/>
        <v>3.4896401308615051E-2</v>
      </c>
      <c r="R144" s="75">
        <f t="shared" si="202"/>
        <v>4.9073064340239914E-3</v>
      </c>
      <c r="S144" s="117">
        <f>+IF($C144="","",ROUND((S143+I144)*(1+Parámetros!$D$91),2))</f>
        <v>6647.5</v>
      </c>
      <c r="T144" s="117">
        <f>+IF($C144="","",ROUND(S144*VLOOKUP(B144,Parámetros!$C$30:$D$39,2,TRUE),2))</f>
        <v>6315.13</v>
      </c>
      <c r="U144" s="117">
        <f>+IF($C144="","",ROUND((U143+I144)*(1+Parámetros!$D$92),2))</f>
        <v>6801.78</v>
      </c>
      <c r="V144" s="117">
        <f>+IF($C144="","",ROUND(U144*VLOOKUP(B144,Parámetros!$C$30:$D$39,2,TRUE),2))</f>
        <v>6461.69</v>
      </c>
      <c r="W144" s="57">
        <f t="shared" si="203"/>
        <v>103</v>
      </c>
      <c r="X144" t="str">
        <f t="shared" si="204"/>
        <v>00058</v>
      </c>
      <c r="Y144" t="str">
        <f t="shared" si="205"/>
        <v>MUERTE POR CUALQUIER CAUSA</v>
      </c>
      <c r="Z144" s="118">
        <f>+IF($W144="","",ROUND(IF(Parámetros!$D$25='TABLAS MORT'!$V$33,Z143,Parámetros!$D$21-'Tablas Servicio'!T143),0))</f>
        <v>100000</v>
      </c>
      <c r="AA144" s="118" t="str">
        <f t="shared" si="206"/>
        <v>P</v>
      </c>
      <c r="AB144" s="119">
        <f>+IF(W144="","",ROUND((VLOOKUP(ROUNDDOWN($D144-1/frec,0),qx_tabla,2,FALSE)*(1+i/frec)^-0.5*(1+Parámetros!$D$103)*(1+rec_fracc)/frec),6))</f>
        <v>1.93E-4</v>
      </c>
      <c r="AC144" s="66">
        <f t="shared" si="162"/>
        <v>19.3</v>
      </c>
      <c r="AD144" s="119">
        <f t="shared" si="158"/>
        <v>3.6000000000000002E-4</v>
      </c>
      <c r="AE144" s="66">
        <f>+IF($W144="","",ROUND(IF($B144&gt;Parámetros!$D$107,'Tablas Servicio'!AC144+('Tablas Servicio'!AG143-'Tablas Servicio'!AC143),AC144/(1-IF(B144&lt;=10,Parámetros!$D$104,Parámetros!$D$105))),2))</f>
        <v>39.94</v>
      </c>
      <c r="AF144" s="66">
        <f>+IF($W144="","",ROUND(IF($B144&gt;Parámetros!$D$107,'Tablas Servicio'!AC144+('Tablas Servicio'!AG143-'Tablas Servicio'!AC143),(AC144+$A143/frec)/(1-IF(B144&lt;=Parámetros!$D$117,Parámetros!$D$100,0))),2))</f>
        <v>36</v>
      </c>
      <c r="AG144" s="66">
        <f t="shared" si="163"/>
        <v>36</v>
      </c>
      <c r="AH144" s="66">
        <f t="shared" si="164"/>
        <v>0</v>
      </c>
      <c r="AI144" s="66">
        <f t="shared" si="165"/>
        <v>0</v>
      </c>
      <c r="AJ144" s="66">
        <f>+IF($W144="","",ROUND((AG144*Parámetros!$G$85),2))</f>
        <v>1.26</v>
      </c>
      <c r="AK144" s="66">
        <f>+IF($W144="","",ROUND((AG144*(Parámetros!$G$86)),2))</f>
        <v>0.18</v>
      </c>
      <c r="AL144" s="66">
        <f t="shared" si="159"/>
        <v>37.44</v>
      </c>
      <c r="AM144" t="str">
        <f t="shared" si="207"/>
        <v>00059</v>
      </c>
      <c r="AN144" t="str">
        <f t="shared" si="208"/>
        <v>Incapacidad Total y Permanente</v>
      </c>
      <c r="AO144" s="118">
        <f t="shared" si="209"/>
        <v>0</v>
      </c>
      <c r="AP144" s="118" t="str">
        <f t="shared" si="210"/>
        <v>A</v>
      </c>
      <c r="AQ144" s="119" t="str">
        <f>+IF(OR($W144="",AO144=0),"",ROUND((VLOOKUP(ROUNDDOWN($D144-1/frec,0),cob_adi,Z$40,FALSE)*(1+i/frec)^-0.5*(1+Parámetros!$D$103)*(1+rec_fracc)/frec),6))</f>
        <v/>
      </c>
      <c r="AR144" s="66">
        <f t="shared" si="166"/>
        <v>0</v>
      </c>
      <c r="AS144" s="119" t="str">
        <f t="shared" si="167"/>
        <v/>
      </c>
      <c r="AT144" s="66">
        <f>+IF($W144="","",ROUND(IF($B144&gt;Parámetros!$D$107,'Tablas Servicio'!AR144+('Tablas Servicio'!AT143-'Tablas Servicio'!AR143),AR144/(1-IF(B144&lt;=10,Parámetros!$D$100,0))),2))</f>
        <v>0</v>
      </c>
      <c r="AU144" s="66">
        <f t="shared" si="168"/>
        <v>0</v>
      </c>
      <c r="AV144" s="66">
        <f t="shared" si="168"/>
        <v>0</v>
      </c>
      <c r="AW144" s="66">
        <f>+IF($W144="","",ROUND((AT144*Parámetros!$G$85),2))</f>
        <v>0</v>
      </c>
      <c r="AX144" s="66">
        <f>+IF($W144="","",ROUND((AT144*(Parámetros!$G$86)),2))</f>
        <v>0</v>
      </c>
      <c r="AY144" s="66">
        <f t="shared" si="169"/>
        <v>0</v>
      </c>
      <c r="AZ144" t="str">
        <f t="shared" si="211"/>
        <v>00060</v>
      </c>
      <c r="BA144" t="str">
        <f t="shared" si="212"/>
        <v>Muerte Accidental</v>
      </c>
      <c r="BB144" s="118">
        <f t="shared" si="213"/>
        <v>0</v>
      </c>
      <c r="BC144" s="118" t="str">
        <f t="shared" si="214"/>
        <v>A</v>
      </c>
      <c r="BD144" s="119" t="str">
        <f>+IF(OR($W144="",BB144=0),"",ROUND((VLOOKUP(ROUNDDOWN($D144-1/frec,0),cob_adi,AO$40,FALSE)*(1+i/frec)^-0.5*(1+Parámetros!$D$103)*(1+rec_fracc)/frec),6))</f>
        <v/>
      </c>
      <c r="BE144" s="66">
        <f t="shared" si="170"/>
        <v>0</v>
      </c>
      <c r="BF144" s="119" t="str">
        <f t="shared" si="171"/>
        <v/>
      </c>
      <c r="BG144" s="66">
        <f>+IF($W144="","",ROUND(IF($B144&gt;Parámetros!$D$107,'Tablas Servicio'!BE144+('Tablas Servicio'!BG143-'Tablas Servicio'!BE143),BE144/(1-IF(B144&lt;=10,Parámetros!$D$100,0))),2))</f>
        <v>0</v>
      </c>
      <c r="BH144" s="66">
        <f t="shared" si="172"/>
        <v>0</v>
      </c>
      <c r="BI144" s="66">
        <f t="shared" si="173"/>
        <v>0</v>
      </c>
      <c r="BJ144" s="66">
        <f>+IF($W144="","",ROUND((BG144*Parámetros!$G$85),2))</f>
        <v>0</v>
      </c>
      <c r="BK144" s="66">
        <f>+IF($W144="","",ROUND((BG144*(Parámetros!$G$86)),2))</f>
        <v>0</v>
      </c>
      <c r="BL144" s="66">
        <f t="shared" si="174"/>
        <v>0</v>
      </c>
      <c r="BM144" t="str">
        <f t="shared" si="215"/>
        <v>00061</v>
      </c>
      <c r="BN144" t="str">
        <f t="shared" si="216"/>
        <v>Gastos de Entierro</v>
      </c>
      <c r="BO144" s="118">
        <f t="shared" si="217"/>
        <v>0</v>
      </c>
      <c r="BP144" s="118" t="str">
        <f t="shared" si="218"/>
        <v>A</v>
      </c>
      <c r="BQ144" s="119" t="str">
        <f>+IF(OR($W144="",BO144=0),"",ROUND((VLOOKUP(ROUNDDOWN($D144-1/frec,0),cob_adi,BB$40,FALSE)*(1+i/frec)^-0.5*(1+Parámetros!$D$103)*(1+rec_fracc)/frec),6))</f>
        <v/>
      </c>
      <c r="BR144" s="66">
        <f t="shared" si="175"/>
        <v>0</v>
      </c>
      <c r="BS144" s="119" t="str">
        <f t="shared" si="176"/>
        <v/>
      </c>
      <c r="BT144" s="66">
        <f>+IF($W144="","",ROUND(IF($B144&gt;Parámetros!$D$107,'Tablas Servicio'!BR144+('Tablas Servicio'!BT143-'Tablas Servicio'!BR143),BR144/(1-IF(B144&lt;=10,Parámetros!$D$100,0))),2))</f>
        <v>0</v>
      </c>
      <c r="BU144" s="66">
        <f t="shared" si="177"/>
        <v>0</v>
      </c>
      <c r="BV144" s="66">
        <f t="shared" si="177"/>
        <v>0</v>
      </c>
      <c r="BW144" s="66">
        <f>+IF($W144="","",ROUND((BT144*Parámetros!$G$85),2))</f>
        <v>0</v>
      </c>
      <c r="BX144" s="66">
        <f>+IF($W144="","",ROUND((BT144*(Parámetros!$G$86)),2))</f>
        <v>0</v>
      </c>
      <c r="BY144" s="66">
        <f t="shared" si="178"/>
        <v>0</v>
      </c>
      <c r="BZ144" t="str">
        <f t="shared" si="219"/>
        <v>00062</v>
      </c>
      <c r="CA144" t="str">
        <f t="shared" si="220"/>
        <v>Gastos médicos por accidente</v>
      </c>
      <c r="CB144" s="118">
        <f t="shared" si="221"/>
        <v>0</v>
      </c>
      <c r="CC144" s="118" t="str">
        <f t="shared" si="222"/>
        <v>A</v>
      </c>
      <c r="CD144" s="119" t="str">
        <f t="shared" si="179"/>
        <v/>
      </c>
      <c r="CE144" s="66">
        <f>+IF($W144="","",ROUND((VLOOKUP(ROUNDDOWN($D144-1/frec,0),cob_adi,BO$40,FALSE)*(1+i/frec)^-0.5*(1+Parámetros!$D$103)*(1+rec_fracc)/frec*'TABLAS ADI'!$BC$17),2))</f>
        <v>0</v>
      </c>
      <c r="CF144" s="119" t="str">
        <f t="shared" si="180"/>
        <v/>
      </c>
      <c r="CG144" s="66">
        <f>+IF($W144="","",ROUND(IF($B144&gt;Parámetros!$D$107,'Tablas Servicio'!CE144+('Tablas Servicio'!CG143-'Tablas Servicio'!CE143),CE144/(1-IF(B144&lt;=10,Parámetros!$D$100,0))),2))</f>
        <v>0</v>
      </c>
      <c r="CH144" s="66">
        <f t="shared" si="181"/>
        <v>0</v>
      </c>
      <c r="CI144" s="66">
        <f t="shared" si="181"/>
        <v>0</v>
      </c>
      <c r="CJ144" s="66">
        <f>+IF($W144="","",ROUND((CG144*Parámetros!$G$85),2))</f>
        <v>0</v>
      </c>
      <c r="CK144" s="66">
        <f>+IF($W144="","",ROUND((CG144*(Parámetros!$G$86)),2))</f>
        <v>0</v>
      </c>
      <c r="CL144" s="66">
        <f t="shared" si="182"/>
        <v>0</v>
      </c>
      <c r="CM144" t="str">
        <f t="shared" si="223"/>
        <v>00063</v>
      </c>
      <c r="CN144" s="118" t="str">
        <f t="shared" si="224"/>
        <v>Renta Diaria por Hospitalización</v>
      </c>
      <c r="CO144" s="118">
        <f t="shared" si="225"/>
        <v>0</v>
      </c>
      <c r="CP144" s="118" t="str">
        <f t="shared" si="226"/>
        <v>A</v>
      </c>
      <c r="CQ144" s="119" t="str">
        <f t="shared" si="183"/>
        <v/>
      </c>
      <c r="CR144" s="66">
        <f>+IF($W144="","",ROUND((VLOOKUP(Parámetros!$F$51,'COBERTURAS ADICIONALES'!$S$4:$T$32,2,FALSE)*(1+i/frec)^-0.5*(1+Parámetros!$D$103)*(1+rec_fracc)/frec*$CO$42),2))</f>
        <v>0</v>
      </c>
      <c r="CS144" s="119" t="str">
        <f t="shared" si="184"/>
        <v/>
      </c>
      <c r="CT144" s="66">
        <f>+IF($W144="","",ROUND(IF($B144&gt;Parámetros!$D$107,'Tablas Servicio'!CR144+('Tablas Servicio'!CT143-'Tablas Servicio'!CR143),CR144/(1-IF(B144&lt;=10,Parámetros!$D$100,0))),2))</f>
        <v>0</v>
      </c>
      <c r="CU144" s="66">
        <f t="shared" si="185"/>
        <v>0</v>
      </c>
      <c r="CV144" s="66">
        <f t="shared" si="185"/>
        <v>0</v>
      </c>
      <c r="CW144" s="66">
        <f>+IF($W144="","",ROUND((CT144*Parámetros!$G$85),2))</f>
        <v>0</v>
      </c>
      <c r="CX144" s="66">
        <f>+IF($W144="","",ROUND((CT144*(Parámetros!$G$86)),2))</f>
        <v>0</v>
      </c>
      <c r="CY144" s="66">
        <f t="shared" si="186"/>
        <v>0</v>
      </c>
      <c r="CZ144" t="str">
        <f t="shared" si="227"/>
        <v>00064</v>
      </c>
      <c r="DA144" s="118" t="str">
        <f t="shared" si="228"/>
        <v>Enfermedades Graves</v>
      </c>
      <c r="DB144" s="118">
        <f t="shared" si="229"/>
        <v>0</v>
      </c>
      <c r="DC144" s="118" t="str">
        <f t="shared" si="230"/>
        <v>A</v>
      </c>
      <c r="DD144" s="121" t="str">
        <f>+IF(OR($W144="",DB144=0),"",ROUND((VLOOKUP(ROUNDDOWN($D144-1/frec,0),cob_adi,CO$40,FALSE)*(1+i/frec)^-0.5*(1+Parámetros!$D$103)*(1+rec_fracc)/frec),6))</f>
        <v/>
      </c>
      <c r="DE144" s="66">
        <f t="shared" si="187"/>
        <v>0</v>
      </c>
      <c r="DF144" s="119" t="str">
        <f t="shared" si="188"/>
        <v/>
      </c>
      <c r="DG144" s="66">
        <f>+IF($W144="","",ROUND(IF($B144&gt;Parámetros!$D$107,'Tablas Servicio'!DE144+('Tablas Servicio'!DG143-'Tablas Servicio'!DE143),DE144/(1-IF(B144&lt;=10,Parámetros!$D$100,0))),2))</f>
        <v>0</v>
      </c>
      <c r="DH144" s="66">
        <f t="shared" si="189"/>
        <v>0</v>
      </c>
      <c r="DI144" s="66">
        <f t="shared" si="189"/>
        <v>0</v>
      </c>
      <c r="DJ144" s="66">
        <f>+IF($W144="","",ROUND((DG144*Parámetros!$G$85),2))</f>
        <v>0</v>
      </c>
      <c r="DK144" s="66">
        <f>+IF($W144="","",ROUND((DG144*(Parámetros!$G$86)),2))</f>
        <v>0</v>
      </c>
      <c r="DL144" s="66">
        <f t="shared" si="190"/>
        <v>0</v>
      </c>
      <c r="DM144" t="str">
        <f t="shared" si="231"/>
        <v>00065</v>
      </c>
      <c r="DN144" s="118" t="str">
        <f t="shared" si="232"/>
        <v>Exención pago de primas</v>
      </c>
      <c r="DO144" s="118">
        <f t="shared" si="233"/>
        <v>0</v>
      </c>
      <c r="DP144" s="118" t="str">
        <f t="shared" si="234"/>
        <v>A</v>
      </c>
      <c r="DQ144" s="122" t="str">
        <f>+IF(OR($W144="",DO144=0),"",ROUND((VLOOKUP(ROUNDDOWN($D144-1/frec,0),cob_adi,DB$40,FALSE)*(1+i/frec)^-0.5*(1+Parámetros!$D$103)*(1+rec_fracc)/frec),6))</f>
        <v/>
      </c>
      <c r="DR144" s="66">
        <f t="shared" si="191"/>
        <v>0</v>
      </c>
      <c r="DS144" s="68" t="str">
        <f t="shared" si="192"/>
        <v/>
      </c>
      <c r="DT144" s="66">
        <f>+IF($W144="","",ROUND(IF($B144&gt;Parámetros!$D$107,'Tablas Servicio'!DR144+('Tablas Servicio'!DT143-'Tablas Servicio'!DR143),DR144/(1-IF(B144&lt;=10,Parámetros!$D$100,0))),2))</f>
        <v>0</v>
      </c>
      <c r="DU144" s="66">
        <f t="shared" si="193"/>
        <v>0</v>
      </c>
      <c r="DV144" s="66">
        <f t="shared" si="193"/>
        <v>0</v>
      </c>
      <c r="DW144" s="66">
        <f>+IF($W144="","",ROUND((DT144*Parámetros!$G$85),2))</f>
        <v>0</v>
      </c>
      <c r="DX144" s="66">
        <f>+IF($W144="","",ROUND((DT144*(Parámetros!$G$86)),2))</f>
        <v>0</v>
      </c>
      <c r="DY144" s="66">
        <f t="shared" si="194"/>
        <v>0</v>
      </c>
      <c r="DZ144" t="str">
        <f t="shared" si="236"/>
        <v>00066</v>
      </c>
      <c r="EA144" s="118" t="str">
        <f t="shared" si="236"/>
        <v>Enfermedad terminal</v>
      </c>
      <c r="EB144" s="118">
        <f>+IF($W144="","",ROUND(IF(Parámetros!$D$25='TABLAS MORT'!$V$33,EB143,Z144/2),0))</f>
        <v>50000</v>
      </c>
      <c r="EC144" s="118" t="str">
        <f t="shared" si="236"/>
        <v>A</v>
      </c>
      <c r="ED144" s="122">
        <f>+IF(OR($W144="",EB144=0),"",ROUND((VLOOKUP(ROUNDDOWN($D144-1/frec,0),cob_adi,DO$40,FALSE)*(1+i/frec)^-0.5*(1+Parámetros!$D$103)*(1+rec_fracc)/frec),6))</f>
        <v>1.2E-5</v>
      </c>
      <c r="EE144" s="66">
        <f t="shared" si="196"/>
        <v>0.6</v>
      </c>
      <c r="EF144" s="68">
        <f t="shared" si="197"/>
        <v>1.4E-5</v>
      </c>
      <c r="EG144" s="66">
        <f>+IF($W144="","",ROUND(IF($B144&gt;Parámetros!$D$107,'Tablas Servicio'!EE144+('Tablas Servicio'!EG143-'Tablas Servicio'!EE143),EE144/(1-IF(B144&lt;=10,Parámetros!$D$100,0))),2))</f>
        <v>0.68</v>
      </c>
      <c r="EH144" s="66">
        <f t="shared" si="198"/>
        <v>0</v>
      </c>
      <c r="EI144" s="66">
        <f t="shared" si="198"/>
        <v>0</v>
      </c>
      <c r="EJ144" s="66">
        <f>+IF($W144="","",ROUND((EG144*Parámetros!$G$85),2))</f>
        <v>0.02</v>
      </c>
      <c r="EK144" s="66">
        <f>+IF($W144="","",ROUND((EG144*(Parámetros!$G$86)),2))</f>
        <v>0</v>
      </c>
      <c r="EL144" s="66">
        <f t="shared" si="199"/>
        <v>0.7</v>
      </c>
    </row>
    <row r="145" spans="1:142" x14ac:dyDescent="0.25">
      <c r="A145">
        <f>+IF($C145="","",ROUND(VLOOKUP('Tablas Servicio'!B145,Parámetros!$H$100:$J$159,IF(Parámetros!$E$16="F",2,3),FALSE),2))</f>
        <v>150</v>
      </c>
      <c r="B145">
        <f t="shared" si="150"/>
        <v>9</v>
      </c>
      <c r="C145" s="57">
        <f>+IF(D145="","",'Tablas Servicio'!C144+1)</f>
        <v>104</v>
      </c>
      <c r="D145" s="56">
        <f>+IF(D144&lt;edadmaxtabla,D144+1/Parámetros!$E$25,"")</f>
        <v>48.686666666666916</v>
      </c>
      <c r="E145" s="57">
        <f t="shared" si="160"/>
        <v>48</v>
      </c>
      <c r="F145" s="59">
        <f t="shared" si="161"/>
        <v>100000</v>
      </c>
      <c r="G145" s="66">
        <f t="shared" si="151"/>
        <v>36.68</v>
      </c>
      <c r="H145" s="66">
        <f t="shared" si="152"/>
        <v>38.14</v>
      </c>
      <c r="I145" s="66">
        <f t="shared" si="200"/>
        <v>49.17</v>
      </c>
      <c r="J145" s="66">
        <f t="shared" si="153"/>
        <v>1.28</v>
      </c>
      <c r="K145" s="66">
        <f t="shared" si="154"/>
        <v>0.18</v>
      </c>
      <c r="L145" s="66">
        <f t="shared" si="155"/>
        <v>0</v>
      </c>
      <c r="M145" s="66">
        <f t="shared" si="156"/>
        <v>0</v>
      </c>
      <c r="N145" s="66">
        <f>+IF(C145="","",ROUND(Parámetros!$D$23,2))</f>
        <v>94</v>
      </c>
      <c r="O145" s="66">
        <f t="shared" si="157"/>
        <v>19.900000000000002</v>
      </c>
      <c r="P145" s="66">
        <f>+IF($C145="","",ROUND(IF(B145&gt;Parámetros!$D$117,0,N145*Parámetros!$D$116-G145*Parámetros!$D$100),2))</f>
        <v>6.69</v>
      </c>
      <c r="Q145" s="75">
        <f t="shared" si="201"/>
        <v>3.4896401308615051E-2</v>
      </c>
      <c r="R145" s="75">
        <f t="shared" si="202"/>
        <v>4.9073064340239914E-3</v>
      </c>
      <c r="S145" s="117">
        <f>+IF($C145="","",ROUND((S144+I145)*(1+Parámetros!$D$91),2))</f>
        <v>6715.66</v>
      </c>
      <c r="T145" s="117">
        <f>+IF($C145="","",ROUND(S145*VLOOKUP(B145,Parámetros!$C$30:$D$39,2,TRUE),2))</f>
        <v>6379.88</v>
      </c>
      <c r="U145" s="117">
        <f>+IF($C145="","",ROUND((U144+I145)*(1+Parámetros!$D$92),2))</f>
        <v>6873.16</v>
      </c>
      <c r="V145" s="117">
        <f>+IF($C145="","",ROUND(U145*VLOOKUP(B145,Parámetros!$C$30:$D$39,2,TRUE),2))</f>
        <v>6529.5</v>
      </c>
      <c r="W145" s="57">
        <f t="shared" si="203"/>
        <v>104</v>
      </c>
      <c r="X145" t="str">
        <f t="shared" si="204"/>
        <v>00058</v>
      </c>
      <c r="Y145" t="str">
        <f t="shared" si="205"/>
        <v>MUERTE POR CUALQUIER CAUSA</v>
      </c>
      <c r="Z145" s="118">
        <f>+IF($W145="","",ROUND(IF(Parámetros!$D$25='TABLAS MORT'!$V$33,Z144,Parámetros!$D$21-'Tablas Servicio'!T144),0))</f>
        <v>100000</v>
      </c>
      <c r="AA145" s="118" t="str">
        <f t="shared" si="206"/>
        <v>P</v>
      </c>
      <c r="AB145" s="119">
        <f>+IF(W145="","",ROUND((VLOOKUP(ROUNDDOWN($D145-1/frec,0),qx_tabla,2,FALSE)*(1+i/frec)^-0.5*(1+Parámetros!$D$103)*(1+rec_fracc)/frec),6))</f>
        <v>1.93E-4</v>
      </c>
      <c r="AC145" s="66">
        <f t="shared" si="162"/>
        <v>19.3</v>
      </c>
      <c r="AD145" s="119">
        <f t="shared" si="158"/>
        <v>3.6000000000000002E-4</v>
      </c>
      <c r="AE145" s="66">
        <f>+IF($W145="","",ROUND(IF($B145&gt;Parámetros!$D$107,'Tablas Servicio'!AC145+('Tablas Servicio'!AG144-'Tablas Servicio'!AC144),AC145/(1-IF(B145&lt;=10,Parámetros!$D$104,Parámetros!$D$105))),2))</f>
        <v>39.94</v>
      </c>
      <c r="AF145" s="66">
        <f>+IF($W145="","",ROUND(IF($B145&gt;Parámetros!$D$107,'Tablas Servicio'!AC145+('Tablas Servicio'!AG144-'Tablas Servicio'!AC144),(AC145+$A144/frec)/(1-IF(B145&lt;=Parámetros!$D$117,Parámetros!$D$100,0))),2))</f>
        <v>36</v>
      </c>
      <c r="AG145" s="66">
        <f t="shared" si="163"/>
        <v>36</v>
      </c>
      <c r="AH145" s="66">
        <f t="shared" si="164"/>
        <v>0</v>
      </c>
      <c r="AI145" s="66">
        <f t="shared" si="165"/>
        <v>0</v>
      </c>
      <c r="AJ145" s="66">
        <f>+IF($W145="","",ROUND((AG145*Parámetros!$G$85),2))</f>
        <v>1.26</v>
      </c>
      <c r="AK145" s="66">
        <f>+IF($W145="","",ROUND((AG145*(Parámetros!$G$86)),2))</f>
        <v>0.18</v>
      </c>
      <c r="AL145" s="66">
        <f t="shared" si="159"/>
        <v>37.44</v>
      </c>
      <c r="AM145" t="str">
        <f t="shared" si="207"/>
        <v>00059</v>
      </c>
      <c r="AN145" t="str">
        <f t="shared" si="208"/>
        <v>Incapacidad Total y Permanente</v>
      </c>
      <c r="AO145" s="118">
        <f t="shared" si="209"/>
        <v>0</v>
      </c>
      <c r="AP145" s="118" t="str">
        <f t="shared" si="210"/>
        <v>A</v>
      </c>
      <c r="AQ145" s="119" t="str">
        <f>+IF(OR($W145="",AO145=0),"",ROUND((VLOOKUP(ROUNDDOWN($D145-1/frec,0),cob_adi,Z$40,FALSE)*(1+i/frec)^-0.5*(1+Parámetros!$D$103)*(1+rec_fracc)/frec),6))</f>
        <v/>
      </c>
      <c r="AR145" s="66">
        <f t="shared" si="166"/>
        <v>0</v>
      </c>
      <c r="AS145" s="119" t="str">
        <f t="shared" si="167"/>
        <v/>
      </c>
      <c r="AT145" s="66">
        <f>+IF($W145="","",ROUND(IF($B145&gt;Parámetros!$D$107,'Tablas Servicio'!AR145+('Tablas Servicio'!AT144-'Tablas Servicio'!AR144),AR145/(1-IF(B145&lt;=10,Parámetros!$D$100,0))),2))</f>
        <v>0</v>
      </c>
      <c r="AU145" s="66">
        <f t="shared" si="168"/>
        <v>0</v>
      </c>
      <c r="AV145" s="66">
        <f t="shared" si="168"/>
        <v>0</v>
      </c>
      <c r="AW145" s="66">
        <f>+IF($W145="","",ROUND((AT145*Parámetros!$G$85),2))</f>
        <v>0</v>
      </c>
      <c r="AX145" s="66">
        <f>+IF($W145="","",ROUND((AT145*(Parámetros!$G$86)),2))</f>
        <v>0</v>
      </c>
      <c r="AY145" s="66">
        <f t="shared" si="169"/>
        <v>0</v>
      </c>
      <c r="AZ145" t="str">
        <f t="shared" si="211"/>
        <v>00060</v>
      </c>
      <c r="BA145" t="str">
        <f t="shared" si="212"/>
        <v>Muerte Accidental</v>
      </c>
      <c r="BB145" s="118">
        <f t="shared" si="213"/>
        <v>0</v>
      </c>
      <c r="BC145" s="118" t="str">
        <f t="shared" si="214"/>
        <v>A</v>
      </c>
      <c r="BD145" s="119" t="str">
        <f>+IF(OR($W145="",BB145=0),"",ROUND((VLOOKUP(ROUNDDOWN($D145-1/frec,0),cob_adi,AO$40,FALSE)*(1+i/frec)^-0.5*(1+Parámetros!$D$103)*(1+rec_fracc)/frec),6))</f>
        <v/>
      </c>
      <c r="BE145" s="66">
        <f t="shared" si="170"/>
        <v>0</v>
      </c>
      <c r="BF145" s="119" t="str">
        <f t="shared" si="171"/>
        <v/>
      </c>
      <c r="BG145" s="66">
        <f>+IF($W145="","",ROUND(IF($B145&gt;Parámetros!$D$107,'Tablas Servicio'!BE145+('Tablas Servicio'!BG144-'Tablas Servicio'!BE144),BE145/(1-IF(B145&lt;=10,Parámetros!$D$100,0))),2))</f>
        <v>0</v>
      </c>
      <c r="BH145" s="66">
        <f t="shared" si="172"/>
        <v>0</v>
      </c>
      <c r="BI145" s="66">
        <f t="shared" si="173"/>
        <v>0</v>
      </c>
      <c r="BJ145" s="66">
        <f>+IF($W145="","",ROUND((BG145*Parámetros!$G$85),2))</f>
        <v>0</v>
      </c>
      <c r="BK145" s="66">
        <f>+IF($W145="","",ROUND((BG145*(Parámetros!$G$86)),2))</f>
        <v>0</v>
      </c>
      <c r="BL145" s="66">
        <f t="shared" si="174"/>
        <v>0</v>
      </c>
      <c r="BM145" t="str">
        <f t="shared" si="215"/>
        <v>00061</v>
      </c>
      <c r="BN145" t="str">
        <f t="shared" si="216"/>
        <v>Gastos de Entierro</v>
      </c>
      <c r="BO145" s="118">
        <f t="shared" si="217"/>
        <v>0</v>
      </c>
      <c r="BP145" s="118" t="str">
        <f t="shared" si="218"/>
        <v>A</v>
      </c>
      <c r="BQ145" s="119" t="str">
        <f>+IF(OR($W145="",BO145=0),"",ROUND((VLOOKUP(ROUNDDOWN($D145-1/frec,0),cob_adi,BB$40,FALSE)*(1+i/frec)^-0.5*(1+Parámetros!$D$103)*(1+rec_fracc)/frec),6))</f>
        <v/>
      </c>
      <c r="BR145" s="66">
        <f t="shared" si="175"/>
        <v>0</v>
      </c>
      <c r="BS145" s="119" t="str">
        <f t="shared" si="176"/>
        <v/>
      </c>
      <c r="BT145" s="66">
        <f>+IF($W145="","",ROUND(IF($B145&gt;Parámetros!$D$107,'Tablas Servicio'!BR145+('Tablas Servicio'!BT144-'Tablas Servicio'!BR144),BR145/(1-IF(B145&lt;=10,Parámetros!$D$100,0))),2))</f>
        <v>0</v>
      </c>
      <c r="BU145" s="66">
        <f t="shared" si="177"/>
        <v>0</v>
      </c>
      <c r="BV145" s="66">
        <f t="shared" si="177"/>
        <v>0</v>
      </c>
      <c r="BW145" s="66">
        <f>+IF($W145="","",ROUND((BT145*Parámetros!$G$85),2))</f>
        <v>0</v>
      </c>
      <c r="BX145" s="66">
        <f>+IF($W145="","",ROUND((BT145*(Parámetros!$G$86)),2))</f>
        <v>0</v>
      </c>
      <c r="BY145" s="66">
        <f t="shared" si="178"/>
        <v>0</v>
      </c>
      <c r="BZ145" t="str">
        <f t="shared" si="219"/>
        <v>00062</v>
      </c>
      <c r="CA145" t="str">
        <f t="shared" si="220"/>
        <v>Gastos médicos por accidente</v>
      </c>
      <c r="CB145" s="118">
        <f t="shared" si="221"/>
        <v>0</v>
      </c>
      <c r="CC145" s="118" t="str">
        <f t="shared" si="222"/>
        <v>A</v>
      </c>
      <c r="CD145" s="119" t="str">
        <f t="shared" si="179"/>
        <v/>
      </c>
      <c r="CE145" s="66">
        <f>+IF($W145="","",ROUND((VLOOKUP(ROUNDDOWN($D145-1/frec,0),cob_adi,BO$40,FALSE)*(1+i/frec)^-0.5*(1+Parámetros!$D$103)*(1+rec_fracc)/frec*'TABLAS ADI'!$BC$17),2))</f>
        <v>0</v>
      </c>
      <c r="CF145" s="119" t="str">
        <f t="shared" si="180"/>
        <v/>
      </c>
      <c r="CG145" s="66">
        <f>+IF($W145="","",ROUND(IF($B145&gt;Parámetros!$D$107,'Tablas Servicio'!CE145+('Tablas Servicio'!CG144-'Tablas Servicio'!CE144),CE145/(1-IF(B145&lt;=10,Parámetros!$D$100,0))),2))</f>
        <v>0</v>
      </c>
      <c r="CH145" s="66">
        <f t="shared" si="181"/>
        <v>0</v>
      </c>
      <c r="CI145" s="66">
        <f t="shared" si="181"/>
        <v>0</v>
      </c>
      <c r="CJ145" s="66">
        <f>+IF($W145="","",ROUND((CG145*Parámetros!$G$85),2))</f>
        <v>0</v>
      </c>
      <c r="CK145" s="66">
        <f>+IF($W145="","",ROUND((CG145*(Parámetros!$G$86)),2))</f>
        <v>0</v>
      </c>
      <c r="CL145" s="66">
        <f t="shared" si="182"/>
        <v>0</v>
      </c>
      <c r="CM145" t="str">
        <f t="shared" si="223"/>
        <v>00063</v>
      </c>
      <c r="CN145" s="118" t="str">
        <f t="shared" si="224"/>
        <v>Renta Diaria por Hospitalización</v>
      </c>
      <c r="CO145" s="118">
        <f t="shared" si="225"/>
        <v>0</v>
      </c>
      <c r="CP145" s="118" t="str">
        <f t="shared" si="226"/>
        <v>A</v>
      </c>
      <c r="CQ145" s="119" t="str">
        <f t="shared" si="183"/>
        <v/>
      </c>
      <c r="CR145" s="66">
        <f>+IF($W145="","",ROUND((VLOOKUP(Parámetros!$F$51,'COBERTURAS ADICIONALES'!$S$4:$T$32,2,FALSE)*(1+i/frec)^-0.5*(1+Parámetros!$D$103)*(1+rec_fracc)/frec*$CO$42),2))</f>
        <v>0</v>
      </c>
      <c r="CS145" s="119" t="str">
        <f t="shared" si="184"/>
        <v/>
      </c>
      <c r="CT145" s="66">
        <f>+IF($W145="","",ROUND(IF($B145&gt;Parámetros!$D$107,'Tablas Servicio'!CR145+('Tablas Servicio'!CT144-'Tablas Servicio'!CR144),CR145/(1-IF(B145&lt;=10,Parámetros!$D$100,0))),2))</f>
        <v>0</v>
      </c>
      <c r="CU145" s="66">
        <f t="shared" si="185"/>
        <v>0</v>
      </c>
      <c r="CV145" s="66">
        <f t="shared" si="185"/>
        <v>0</v>
      </c>
      <c r="CW145" s="66">
        <f>+IF($W145="","",ROUND((CT145*Parámetros!$G$85),2))</f>
        <v>0</v>
      </c>
      <c r="CX145" s="66">
        <f>+IF($W145="","",ROUND((CT145*(Parámetros!$G$86)),2))</f>
        <v>0</v>
      </c>
      <c r="CY145" s="66">
        <f t="shared" si="186"/>
        <v>0</v>
      </c>
      <c r="CZ145" t="str">
        <f t="shared" si="227"/>
        <v>00064</v>
      </c>
      <c r="DA145" s="118" t="str">
        <f t="shared" si="228"/>
        <v>Enfermedades Graves</v>
      </c>
      <c r="DB145" s="118">
        <f t="shared" si="229"/>
        <v>0</v>
      </c>
      <c r="DC145" s="118" t="str">
        <f t="shared" si="230"/>
        <v>A</v>
      </c>
      <c r="DD145" s="121" t="str">
        <f>+IF(OR($W145="",DB145=0),"",ROUND((VLOOKUP(ROUNDDOWN($D145-1/frec,0),cob_adi,CO$40,FALSE)*(1+i/frec)^-0.5*(1+Parámetros!$D$103)*(1+rec_fracc)/frec),6))</f>
        <v/>
      </c>
      <c r="DE145" s="66">
        <f t="shared" si="187"/>
        <v>0</v>
      </c>
      <c r="DF145" s="119" t="str">
        <f t="shared" si="188"/>
        <v/>
      </c>
      <c r="DG145" s="66">
        <f>+IF($W145="","",ROUND(IF($B145&gt;Parámetros!$D$107,'Tablas Servicio'!DE145+('Tablas Servicio'!DG144-'Tablas Servicio'!DE144),DE145/(1-IF(B145&lt;=10,Parámetros!$D$100,0))),2))</f>
        <v>0</v>
      </c>
      <c r="DH145" s="66">
        <f t="shared" si="189"/>
        <v>0</v>
      </c>
      <c r="DI145" s="66">
        <f t="shared" si="189"/>
        <v>0</v>
      </c>
      <c r="DJ145" s="66">
        <f>+IF($W145="","",ROUND((DG145*Parámetros!$G$85),2))</f>
        <v>0</v>
      </c>
      <c r="DK145" s="66">
        <f>+IF($W145="","",ROUND((DG145*(Parámetros!$G$86)),2))</f>
        <v>0</v>
      </c>
      <c r="DL145" s="66">
        <f t="shared" si="190"/>
        <v>0</v>
      </c>
      <c r="DM145" t="str">
        <f t="shared" si="231"/>
        <v>00065</v>
      </c>
      <c r="DN145" s="118" t="str">
        <f t="shared" si="232"/>
        <v>Exención pago de primas</v>
      </c>
      <c r="DO145" s="118">
        <f t="shared" si="233"/>
        <v>0</v>
      </c>
      <c r="DP145" s="118" t="str">
        <f t="shared" si="234"/>
        <v>A</v>
      </c>
      <c r="DQ145" s="122" t="str">
        <f>+IF(OR($W145="",DO145=0),"",ROUND((VLOOKUP(ROUNDDOWN($D145-1/frec,0),cob_adi,DB$40,FALSE)*(1+i/frec)^-0.5*(1+Parámetros!$D$103)*(1+rec_fracc)/frec),6))</f>
        <v/>
      </c>
      <c r="DR145" s="66">
        <f t="shared" si="191"/>
        <v>0</v>
      </c>
      <c r="DS145" s="68" t="str">
        <f t="shared" si="192"/>
        <v/>
      </c>
      <c r="DT145" s="66">
        <f>+IF($W145="","",ROUND(IF($B145&gt;Parámetros!$D$107,'Tablas Servicio'!DR145+('Tablas Servicio'!DT144-'Tablas Servicio'!DR144),DR145/(1-IF(B145&lt;=10,Parámetros!$D$100,0))),2))</f>
        <v>0</v>
      </c>
      <c r="DU145" s="66">
        <f t="shared" si="193"/>
        <v>0</v>
      </c>
      <c r="DV145" s="66">
        <f t="shared" si="193"/>
        <v>0</v>
      </c>
      <c r="DW145" s="66">
        <f>+IF($W145="","",ROUND((DT145*Parámetros!$G$85),2))</f>
        <v>0</v>
      </c>
      <c r="DX145" s="66">
        <f>+IF($W145="","",ROUND((DT145*(Parámetros!$G$86)),2))</f>
        <v>0</v>
      </c>
      <c r="DY145" s="66">
        <f t="shared" si="194"/>
        <v>0</v>
      </c>
      <c r="DZ145" t="str">
        <f t="shared" si="236"/>
        <v>00066</v>
      </c>
      <c r="EA145" s="118" t="str">
        <f t="shared" si="236"/>
        <v>Enfermedad terminal</v>
      </c>
      <c r="EB145" s="118">
        <f>+IF($W145="","",ROUND(IF(Parámetros!$D$25='TABLAS MORT'!$V$33,EB144,Z145/2),0))</f>
        <v>50000</v>
      </c>
      <c r="EC145" s="118" t="str">
        <f t="shared" si="236"/>
        <v>A</v>
      </c>
      <c r="ED145" s="122">
        <f>+IF(OR($W145="",EB145=0),"",ROUND((VLOOKUP(ROUNDDOWN($D145-1/frec,0),cob_adi,DO$40,FALSE)*(1+i/frec)^-0.5*(1+Parámetros!$D$103)*(1+rec_fracc)/frec),6))</f>
        <v>1.2E-5</v>
      </c>
      <c r="EE145" s="66">
        <f t="shared" si="196"/>
        <v>0.6</v>
      </c>
      <c r="EF145" s="68">
        <f t="shared" si="197"/>
        <v>1.4E-5</v>
      </c>
      <c r="EG145" s="66">
        <f>+IF($W145="","",ROUND(IF($B145&gt;Parámetros!$D$107,'Tablas Servicio'!EE145+('Tablas Servicio'!EG144-'Tablas Servicio'!EE144),EE145/(1-IF(B145&lt;=10,Parámetros!$D$100,0))),2))</f>
        <v>0.68</v>
      </c>
      <c r="EH145" s="66">
        <f t="shared" si="198"/>
        <v>0</v>
      </c>
      <c r="EI145" s="66">
        <f t="shared" si="198"/>
        <v>0</v>
      </c>
      <c r="EJ145" s="66">
        <f>+IF($W145="","",ROUND((EG145*Parámetros!$G$85),2))</f>
        <v>0.02</v>
      </c>
      <c r="EK145" s="66">
        <f>+IF($W145="","",ROUND((EG145*(Parámetros!$G$86)),2))</f>
        <v>0</v>
      </c>
      <c r="EL145" s="66">
        <f t="shared" si="199"/>
        <v>0.7</v>
      </c>
    </row>
    <row r="146" spans="1:142" x14ac:dyDescent="0.25">
      <c r="A146">
        <f>+IF($C146="","",ROUND(VLOOKUP('Tablas Servicio'!B146,Parámetros!$H$100:$J$159,IF(Parámetros!$E$16="F",2,3),FALSE),2))</f>
        <v>150</v>
      </c>
      <c r="B146">
        <f t="shared" si="150"/>
        <v>9</v>
      </c>
      <c r="C146" s="57">
        <f>+IF(D146="","",'Tablas Servicio'!C145+1)</f>
        <v>105</v>
      </c>
      <c r="D146" s="56">
        <f>+IF(D145&lt;edadmaxtabla,D145+1/Parámetros!$E$25,"")</f>
        <v>48.770000000000252</v>
      </c>
      <c r="E146" s="57">
        <f t="shared" si="160"/>
        <v>48</v>
      </c>
      <c r="F146" s="59">
        <f t="shared" si="161"/>
        <v>100000</v>
      </c>
      <c r="G146" s="66">
        <f t="shared" si="151"/>
        <v>36.68</v>
      </c>
      <c r="H146" s="66">
        <f t="shared" si="152"/>
        <v>38.14</v>
      </c>
      <c r="I146" s="66">
        <f t="shared" si="200"/>
        <v>49.17</v>
      </c>
      <c r="J146" s="66">
        <f t="shared" si="153"/>
        <v>1.28</v>
      </c>
      <c r="K146" s="66">
        <f t="shared" si="154"/>
        <v>0.18</v>
      </c>
      <c r="L146" s="66">
        <f t="shared" si="155"/>
        <v>0</v>
      </c>
      <c r="M146" s="66">
        <f t="shared" si="156"/>
        <v>0</v>
      </c>
      <c r="N146" s="66">
        <f>+IF(C146="","",ROUND(Parámetros!$D$23,2))</f>
        <v>94</v>
      </c>
      <c r="O146" s="66">
        <f t="shared" si="157"/>
        <v>19.900000000000002</v>
      </c>
      <c r="P146" s="66">
        <f>+IF($C146="","",ROUND(IF(B146&gt;Parámetros!$D$117,0,N146*Parámetros!$D$116-G146*Parámetros!$D$100),2))</f>
        <v>6.69</v>
      </c>
      <c r="Q146" s="75">
        <f t="shared" si="201"/>
        <v>3.4896401308615051E-2</v>
      </c>
      <c r="R146" s="75">
        <f t="shared" si="202"/>
        <v>4.9073064340239914E-3</v>
      </c>
      <c r="S146" s="117">
        <f>+IF($C146="","",ROUND((S145+I146)*(1+Parámetros!$D$91),2))</f>
        <v>6784.02</v>
      </c>
      <c r="T146" s="117">
        <f>+IF($C146="","",ROUND(S146*VLOOKUP(B146,Parámetros!$C$30:$D$39,2,TRUE),2))</f>
        <v>6444.82</v>
      </c>
      <c r="U146" s="117">
        <f>+IF($C146="","",ROUND((U145+I146)*(1+Parámetros!$D$92),2))</f>
        <v>6944.77</v>
      </c>
      <c r="V146" s="117">
        <f>+IF($C146="","",ROUND(U146*VLOOKUP(B146,Parámetros!$C$30:$D$39,2,TRUE),2))</f>
        <v>6597.53</v>
      </c>
      <c r="W146" s="57">
        <f t="shared" si="203"/>
        <v>105</v>
      </c>
      <c r="X146" t="str">
        <f t="shared" si="204"/>
        <v>00058</v>
      </c>
      <c r="Y146" t="str">
        <f t="shared" si="205"/>
        <v>MUERTE POR CUALQUIER CAUSA</v>
      </c>
      <c r="Z146" s="118">
        <f>+IF($W146="","",ROUND(IF(Parámetros!$D$25='TABLAS MORT'!$V$33,Z145,Parámetros!$D$21-'Tablas Servicio'!T145),0))</f>
        <v>100000</v>
      </c>
      <c r="AA146" s="118" t="str">
        <f t="shared" si="206"/>
        <v>P</v>
      </c>
      <c r="AB146" s="119">
        <f>+IF(W146="","",ROUND((VLOOKUP(ROUNDDOWN($D146-1/frec,0),qx_tabla,2,FALSE)*(1+i/frec)^-0.5*(1+Parámetros!$D$103)*(1+rec_fracc)/frec),6))</f>
        <v>1.93E-4</v>
      </c>
      <c r="AC146" s="66">
        <f t="shared" si="162"/>
        <v>19.3</v>
      </c>
      <c r="AD146" s="119">
        <f t="shared" si="158"/>
        <v>3.6000000000000002E-4</v>
      </c>
      <c r="AE146" s="66">
        <f>+IF($W146="","",ROUND(IF($B146&gt;Parámetros!$D$107,'Tablas Servicio'!AC146+('Tablas Servicio'!AG145-'Tablas Servicio'!AC145),AC146/(1-IF(B146&lt;=10,Parámetros!$D$104,Parámetros!$D$105))),2))</f>
        <v>39.94</v>
      </c>
      <c r="AF146" s="66">
        <f>+IF($W146="","",ROUND(IF($B146&gt;Parámetros!$D$107,'Tablas Servicio'!AC146+('Tablas Servicio'!AG145-'Tablas Servicio'!AC145),(AC146+$A145/frec)/(1-IF(B146&lt;=Parámetros!$D$117,Parámetros!$D$100,0))),2))</f>
        <v>36</v>
      </c>
      <c r="AG146" s="66">
        <f t="shared" si="163"/>
        <v>36</v>
      </c>
      <c r="AH146" s="66">
        <f t="shared" si="164"/>
        <v>0</v>
      </c>
      <c r="AI146" s="66">
        <f t="shared" si="165"/>
        <v>0</v>
      </c>
      <c r="AJ146" s="66">
        <f>+IF($W146="","",ROUND((AG146*Parámetros!$G$85),2))</f>
        <v>1.26</v>
      </c>
      <c r="AK146" s="66">
        <f>+IF($W146="","",ROUND((AG146*(Parámetros!$G$86)),2))</f>
        <v>0.18</v>
      </c>
      <c r="AL146" s="66">
        <f t="shared" si="159"/>
        <v>37.44</v>
      </c>
      <c r="AM146" t="str">
        <f t="shared" si="207"/>
        <v>00059</v>
      </c>
      <c r="AN146" t="str">
        <f t="shared" si="208"/>
        <v>Incapacidad Total y Permanente</v>
      </c>
      <c r="AO146" s="118">
        <f t="shared" si="209"/>
        <v>0</v>
      </c>
      <c r="AP146" s="118" t="str">
        <f t="shared" si="210"/>
        <v>A</v>
      </c>
      <c r="AQ146" s="119" t="str">
        <f>+IF(OR($W146="",AO146=0),"",ROUND((VLOOKUP(ROUNDDOWN($D146-1/frec,0),cob_adi,Z$40,FALSE)*(1+i/frec)^-0.5*(1+Parámetros!$D$103)*(1+rec_fracc)/frec),6))</f>
        <v/>
      </c>
      <c r="AR146" s="66">
        <f t="shared" si="166"/>
        <v>0</v>
      </c>
      <c r="AS146" s="119" t="str">
        <f t="shared" si="167"/>
        <v/>
      </c>
      <c r="AT146" s="66">
        <f>+IF($W146="","",ROUND(IF($B146&gt;Parámetros!$D$107,'Tablas Servicio'!AR146+('Tablas Servicio'!AT145-'Tablas Servicio'!AR145),AR146/(1-IF(B146&lt;=10,Parámetros!$D$100,0))),2))</f>
        <v>0</v>
      </c>
      <c r="AU146" s="66">
        <f t="shared" si="168"/>
        <v>0</v>
      </c>
      <c r="AV146" s="66">
        <f t="shared" si="168"/>
        <v>0</v>
      </c>
      <c r="AW146" s="66">
        <f>+IF($W146="","",ROUND((AT146*Parámetros!$G$85),2))</f>
        <v>0</v>
      </c>
      <c r="AX146" s="66">
        <f>+IF($W146="","",ROUND((AT146*(Parámetros!$G$86)),2))</f>
        <v>0</v>
      </c>
      <c r="AY146" s="66">
        <f t="shared" si="169"/>
        <v>0</v>
      </c>
      <c r="AZ146" t="str">
        <f t="shared" si="211"/>
        <v>00060</v>
      </c>
      <c r="BA146" t="str">
        <f t="shared" si="212"/>
        <v>Muerte Accidental</v>
      </c>
      <c r="BB146" s="118">
        <f t="shared" si="213"/>
        <v>0</v>
      </c>
      <c r="BC146" s="118" t="str">
        <f t="shared" si="214"/>
        <v>A</v>
      </c>
      <c r="BD146" s="119" t="str">
        <f>+IF(OR($W146="",BB146=0),"",ROUND((VLOOKUP(ROUNDDOWN($D146-1/frec,0),cob_adi,AO$40,FALSE)*(1+i/frec)^-0.5*(1+Parámetros!$D$103)*(1+rec_fracc)/frec),6))</f>
        <v/>
      </c>
      <c r="BE146" s="66">
        <f t="shared" si="170"/>
        <v>0</v>
      </c>
      <c r="BF146" s="119" t="str">
        <f t="shared" si="171"/>
        <v/>
      </c>
      <c r="BG146" s="66">
        <f>+IF($W146="","",ROUND(IF($B146&gt;Parámetros!$D$107,'Tablas Servicio'!BE146+('Tablas Servicio'!BG145-'Tablas Servicio'!BE145),BE146/(1-IF(B146&lt;=10,Parámetros!$D$100,0))),2))</f>
        <v>0</v>
      </c>
      <c r="BH146" s="66">
        <f t="shared" si="172"/>
        <v>0</v>
      </c>
      <c r="BI146" s="66">
        <f t="shared" si="173"/>
        <v>0</v>
      </c>
      <c r="BJ146" s="66">
        <f>+IF($W146="","",ROUND((BG146*Parámetros!$G$85),2))</f>
        <v>0</v>
      </c>
      <c r="BK146" s="66">
        <f>+IF($W146="","",ROUND((BG146*(Parámetros!$G$86)),2))</f>
        <v>0</v>
      </c>
      <c r="BL146" s="66">
        <f t="shared" si="174"/>
        <v>0</v>
      </c>
      <c r="BM146" t="str">
        <f t="shared" si="215"/>
        <v>00061</v>
      </c>
      <c r="BN146" t="str">
        <f t="shared" si="216"/>
        <v>Gastos de Entierro</v>
      </c>
      <c r="BO146" s="118">
        <f t="shared" si="217"/>
        <v>0</v>
      </c>
      <c r="BP146" s="118" t="str">
        <f t="shared" si="218"/>
        <v>A</v>
      </c>
      <c r="BQ146" s="119" t="str">
        <f>+IF(OR($W146="",BO146=0),"",ROUND((VLOOKUP(ROUNDDOWN($D146-1/frec,0),cob_adi,BB$40,FALSE)*(1+i/frec)^-0.5*(1+Parámetros!$D$103)*(1+rec_fracc)/frec),6))</f>
        <v/>
      </c>
      <c r="BR146" s="66">
        <f t="shared" si="175"/>
        <v>0</v>
      </c>
      <c r="BS146" s="119" t="str">
        <f t="shared" si="176"/>
        <v/>
      </c>
      <c r="BT146" s="66">
        <f>+IF($W146="","",ROUND(IF($B146&gt;Parámetros!$D$107,'Tablas Servicio'!BR146+('Tablas Servicio'!BT145-'Tablas Servicio'!BR145),BR146/(1-IF(B146&lt;=10,Parámetros!$D$100,0))),2))</f>
        <v>0</v>
      </c>
      <c r="BU146" s="66">
        <f t="shared" si="177"/>
        <v>0</v>
      </c>
      <c r="BV146" s="66">
        <f t="shared" si="177"/>
        <v>0</v>
      </c>
      <c r="BW146" s="66">
        <f>+IF($W146="","",ROUND((BT146*Parámetros!$G$85),2))</f>
        <v>0</v>
      </c>
      <c r="BX146" s="66">
        <f>+IF($W146="","",ROUND((BT146*(Parámetros!$G$86)),2))</f>
        <v>0</v>
      </c>
      <c r="BY146" s="66">
        <f t="shared" si="178"/>
        <v>0</v>
      </c>
      <c r="BZ146" t="str">
        <f t="shared" si="219"/>
        <v>00062</v>
      </c>
      <c r="CA146" t="str">
        <f t="shared" si="220"/>
        <v>Gastos médicos por accidente</v>
      </c>
      <c r="CB146" s="118">
        <f t="shared" si="221"/>
        <v>0</v>
      </c>
      <c r="CC146" s="118" t="str">
        <f t="shared" si="222"/>
        <v>A</v>
      </c>
      <c r="CD146" s="119" t="str">
        <f t="shared" si="179"/>
        <v/>
      </c>
      <c r="CE146" s="66">
        <f>+IF($W146="","",ROUND((VLOOKUP(ROUNDDOWN($D146-1/frec,0),cob_adi,BO$40,FALSE)*(1+i/frec)^-0.5*(1+Parámetros!$D$103)*(1+rec_fracc)/frec*'TABLAS ADI'!$BC$17),2))</f>
        <v>0</v>
      </c>
      <c r="CF146" s="119" t="str">
        <f t="shared" si="180"/>
        <v/>
      </c>
      <c r="CG146" s="66">
        <f>+IF($W146="","",ROUND(IF($B146&gt;Parámetros!$D$107,'Tablas Servicio'!CE146+('Tablas Servicio'!CG145-'Tablas Servicio'!CE145),CE146/(1-IF(B146&lt;=10,Parámetros!$D$100,0))),2))</f>
        <v>0</v>
      </c>
      <c r="CH146" s="66">
        <f t="shared" si="181"/>
        <v>0</v>
      </c>
      <c r="CI146" s="66">
        <f t="shared" si="181"/>
        <v>0</v>
      </c>
      <c r="CJ146" s="66">
        <f>+IF($W146="","",ROUND((CG146*Parámetros!$G$85),2))</f>
        <v>0</v>
      </c>
      <c r="CK146" s="66">
        <f>+IF($W146="","",ROUND((CG146*(Parámetros!$G$86)),2))</f>
        <v>0</v>
      </c>
      <c r="CL146" s="66">
        <f t="shared" si="182"/>
        <v>0</v>
      </c>
      <c r="CM146" t="str">
        <f t="shared" si="223"/>
        <v>00063</v>
      </c>
      <c r="CN146" s="118" t="str">
        <f t="shared" si="224"/>
        <v>Renta Diaria por Hospitalización</v>
      </c>
      <c r="CO146" s="118">
        <f t="shared" si="225"/>
        <v>0</v>
      </c>
      <c r="CP146" s="118" t="str">
        <f t="shared" si="226"/>
        <v>A</v>
      </c>
      <c r="CQ146" s="119" t="str">
        <f t="shared" si="183"/>
        <v/>
      </c>
      <c r="CR146" s="66">
        <f>+IF($W146="","",ROUND((VLOOKUP(Parámetros!$F$51,'COBERTURAS ADICIONALES'!$S$4:$T$32,2,FALSE)*(1+i/frec)^-0.5*(1+Parámetros!$D$103)*(1+rec_fracc)/frec*$CO$42),2))</f>
        <v>0</v>
      </c>
      <c r="CS146" s="119" t="str">
        <f t="shared" si="184"/>
        <v/>
      </c>
      <c r="CT146" s="66">
        <f>+IF($W146="","",ROUND(IF($B146&gt;Parámetros!$D$107,'Tablas Servicio'!CR146+('Tablas Servicio'!CT145-'Tablas Servicio'!CR145),CR146/(1-IF(B146&lt;=10,Parámetros!$D$100,0))),2))</f>
        <v>0</v>
      </c>
      <c r="CU146" s="66">
        <f t="shared" si="185"/>
        <v>0</v>
      </c>
      <c r="CV146" s="66">
        <f t="shared" si="185"/>
        <v>0</v>
      </c>
      <c r="CW146" s="66">
        <f>+IF($W146="","",ROUND((CT146*Parámetros!$G$85),2))</f>
        <v>0</v>
      </c>
      <c r="CX146" s="66">
        <f>+IF($W146="","",ROUND((CT146*(Parámetros!$G$86)),2))</f>
        <v>0</v>
      </c>
      <c r="CY146" s="66">
        <f t="shared" si="186"/>
        <v>0</v>
      </c>
      <c r="CZ146" t="str">
        <f t="shared" si="227"/>
        <v>00064</v>
      </c>
      <c r="DA146" s="118" t="str">
        <f t="shared" si="228"/>
        <v>Enfermedades Graves</v>
      </c>
      <c r="DB146" s="118">
        <f t="shared" si="229"/>
        <v>0</v>
      </c>
      <c r="DC146" s="118" t="str">
        <f t="shared" si="230"/>
        <v>A</v>
      </c>
      <c r="DD146" s="121" t="str">
        <f>+IF(OR($W146="",DB146=0),"",ROUND((VLOOKUP(ROUNDDOWN($D146-1/frec,0),cob_adi,CO$40,FALSE)*(1+i/frec)^-0.5*(1+Parámetros!$D$103)*(1+rec_fracc)/frec),6))</f>
        <v/>
      </c>
      <c r="DE146" s="66">
        <f t="shared" si="187"/>
        <v>0</v>
      </c>
      <c r="DF146" s="119" t="str">
        <f t="shared" si="188"/>
        <v/>
      </c>
      <c r="DG146" s="66">
        <f>+IF($W146="","",ROUND(IF($B146&gt;Parámetros!$D$107,'Tablas Servicio'!DE146+('Tablas Servicio'!DG145-'Tablas Servicio'!DE145),DE146/(1-IF(B146&lt;=10,Parámetros!$D$100,0))),2))</f>
        <v>0</v>
      </c>
      <c r="DH146" s="66">
        <f t="shared" si="189"/>
        <v>0</v>
      </c>
      <c r="DI146" s="66">
        <f t="shared" si="189"/>
        <v>0</v>
      </c>
      <c r="DJ146" s="66">
        <f>+IF($W146="","",ROUND((DG146*Parámetros!$G$85),2))</f>
        <v>0</v>
      </c>
      <c r="DK146" s="66">
        <f>+IF($W146="","",ROUND((DG146*(Parámetros!$G$86)),2))</f>
        <v>0</v>
      </c>
      <c r="DL146" s="66">
        <f t="shared" si="190"/>
        <v>0</v>
      </c>
      <c r="DM146" t="str">
        <f t="shared" si="231"/>
        <v>00065</v>
      </c>
      <c r="DN146" s="118" t="str">
        <f t="shared" si="232"/>
        <v>Exención pago de primas</v>
      </c>
      <c r="DO146" s="118">
        <f t="shared" si="233"/>
        <v>0</v>
      </c>
      <c r="DP146" s="118" t="str">
        <f t="shared" si="234"/>
        <v>A</v>
      </c>
      <c r="DQ146" s="122" t="str">
        <f>+IF(OR($W146="",DO146=0),"",ROUND((VLOOKUP(ROUNDDOWN($D146-1/frec,0),cob_adi,DB$40,FALSE)*(1+i/frec)^-0.5*(1+Parámetros!$D$103)*(1+rec_fracc)/frec),6))</f>
        <v/>
      </c>
      <c r="DR146" s="66">
        <f t="shared" si="191"/>
        <v>0</v>
      </c>
      <c r="DS146" s="68" t="str">
        <f t="shared" si="192"/>
        <v/>
      </c>
      <c r="DT146" s="66">
        <f>+IF($W146="","",ROUND(IF($B146&gt;Parámetros!$D$107,'Tablas Servicio'!DR146+('Tablas Servicio'!DT145-'Tablas Servicio'!DR145),DR146/(1-IF(B146&lt;=10,Parámetros!$D$100,0))),2))</f>
        <v>0</v>
      </c>
      <c r="DU146" s="66">
        <f t="shared" si="193"/>
        <v>0</v>
      </c>
      <c r="DV146" s="66">
        <f t="shared" si="193"/>
        <v>0</v>
      </c>
      <c r="DW146" s="66">
        <f>+IF($W146="","",ROUND((DT146*Parámetros!$G$85),2))</f>
        <v>0</v>
      </c>
      <c r="DX146" s="66">
        <f>+IF($W146="","",ROUND((DT146*(Parámetros!$G$86)),2))</f>
        <v>0</v>
      </c>
      <c r="DY146" s="66">
        <f t="shared" si="194"/>
        <v>0</v>
      </c>
      <c r="DZ146" t="str">
        <f t="shared" si="236"/>
        <v>00066</v>
      </c>
      <c r="EA146" s="118" t="str">
        <f t="shared" si="236"/>
        <v>Enfermedad terminal</v>
      </c>
      <c r="EB146" s="118">
        <f>+IF($W146="","",ROUND(IF(Parámetros!$D$25='TABLAS MORT'!$V$33,EB145,Z146/2),0))</f>
        <v>50000</v>
      </c>
      <c r="EC146" s="118" t="str">
        <f t="shared" si="236"/>
        <v>A</v>
      </c>
      <c r="ED146" s="122">
        <f>+IF(OR($W146="",EB146=0),"",ROUND((VLOOKUP(ROUNDDOWN($D146-1/frec,0),cob_adi,DO$40,FALSE)*(1+i/frec)^-0.5*(1+Parámetros!$D$103)*(1+rec_fracc)/frec),6))</f>
        <v>1.2E-5</v>
      </c>
      <c r="EE146" s="66">
        <f t="shared" si="196"/>
        <v>0.6</v>
      </c>
      <c r="EF146" s="68">
        <f t="shared" si="197"/>
        <v>1.4E-5</v>
      </c>
      <c r="EG146" s="66">
        <f>+IF($W146="","",ROUND(IF($B146&gt;Parámetros!$D$107,'Tablas Servicio'!EE146+('Tablas Servicio'!EG145-'Tablas Servicio'!EE145),EE146/(1-IF(B146&lt;=10,Parámetros!$D$100,0))),2))</f>
        <v>0.68</v>
      </c>
      <c r="EH146" s="66">
        <f t="shared" si="198"/>
        <v>0</v>
      </c>
      <c r="EI146" s="66">
        <f t="shared" si="198"/>
        <v>0</v>
      </c>
      <c r="EJ146" s="66">
        <f>+IF($W146="","",ROUND((EG146*Parámetros!$G$85),2))</f>
        <v>0.02</v>
      </c>
      <c r="EK146" s="66">
        <f>+IF($W146="","",ROUND((EG146*(Parámetros!$G$86)),2))</f>
        <v>0</v>
      </c>
      <c r="EL146" s="66">
        <f t="shared" si="199"/>
        <v>0.7</v>
      </c>
    </row>
    <row r="147" spans="1:142" x14ac:dyDescent="0.25">
      <c r="A147">
        <f>+IF($C147="","",ROUND(VLOOKUP('Tablas Servicio'!B147,Parámetros!$H$100:$J$159,IF(Parámetros!$E$16="F",2,3),FALSE),2))</f>
        <v>150</v>
      </c>
      <c r="B147">
        <f t="shared" si="150"/>
        <v>9</v>
      </c>
      <c r="C147" s="57">
        <f>+IF(D147="","",'Tablas Servicio'!C146+1)</f>
        <v>106</v>
      </c>
      <c r="D147" s="56">
        <f>+IF(D146&lt;edadmaxtabla,D146+1/Parámetros!$E$25,"")</f>
        <v>48.853333333333588</v>
      </c>
      <c r="E147" s="57">
        <f t="shared" si="160"/>
        <v>48</v>
      </c>
      <c r="F147" s="59">
        <f t="shared" si="161"/>
        <v>100000</v>
      </c>
      <c r="G147" s="66">
        <f t="shared" si="151"/>
        <v>36.68</v>
      </c>
      <c r="H147" s="66">
        <f t="shared" si="152"/>
        <v>38.14</v>
      </c>
      <c r="I147" s="66">
        <f t="shared" si="200"/>
        <v>49.17</v>
      </c>
      <c r="J147" s="66">
        <f t="shared" si="153"/>
        <v>1.28</v>
      </c>
      <c r="K147" s="66">
        <f t="shared" si="154"/>
        <v>0.18</v>
      </c>
      <c r="L147" s="66">
        <f t="shared" si="155"/>
        <v>0</v>
      </c>
      <c r="M147" s="66">
        <f t="shared" si="156"/>
        <v>0</v>
      </c>
      <c r="N147" s="66">
        <f>+IF(C147="","",ROUND(Parámetros!$D$23,2))</f>
        <v>94</v>
      </c>
      <c r="O147" s="66">
        <f t="shared" si="157"/>
        <v>19.900000000000002</v>
      </c>
      <c r="P147" s="66">
        <f>+IF($C147="","",ROUND(IF(B147&gt;Parámetros!$D$117,0,N147*Parámetros!$D$116-G147*Parámetros!$D$100),2))</f>
        <v>6.69</v>
      </c>
      <c r="Q147" s="75">
        <f t="shared" si="201"/>
        <v>3.4896401308615051E-2</v>
      </c>
      <c r="R147" s="75">
        <f t="shared" si="202"/>
        <v>4.9073064340239914E-3</v>
      </c>
      <c r="S147" s="117">
        <f>+IF($C147="","",ROUND((S146+I147)*(1+Parámetros!$D$91),2))</f>
        <v>6852.57</v>
      </c>
      <c r="T147" s="117">
        <f>+IF($C147="","",ROUND(S147*VLOOKUP(B147,Parámetros!$C$30:$D$39,2,TRUE),2))</f>
        <v>6509.94</v>
      </c>
      <c r="U147" s="117">
        <f>+IF($C147="","",ROUND((U146+I147)*(1+Parámetros!$D$92),2))</f>
        <v>7016.61</v>
      </c>
      <c r="V147" s="117">
        <f>+IF($C147="","",ROUND(U147*VLOOKUP(B147,Parámetros!$C$30:$D$39,2,TRUE),2))</f>
        <v>6665.78</v>
      </c>
      <c r="W147" s="57">
        <f t="shared" si="203"/>
        <v>106</v>
      </c>
      <c r="X147" t="str">
        <f t="shared" si="204"/>
        <v>00058</v>
      </c>
      <c r="Y147" t="str">
        <f t="shared" si="205"/>
        <v>MUERTE POR CUALQUIER CAUSA</v>
      </c>
      <c r="Z147" s="118">
        <f>+IF($W147="","",ROUND(IF(Parámetros!$D$25='TABLAS MORT'!$V$33,Z146,Parámetros!$D$21-'Tablas Servicio'!T146),0))</f>
        <v>100000</v>
      </c>
      <c r="AA147" s="118" t="str">
        <f t="shared" si="206"/>
        <v>P</v>
      </c>
      <c r="AB147" s="119">
        <f>+IF(W147="","",ROUND((VLOOKUP(ROUNDDOWN($D147-1/frec,0),qx_tabla,2,FALSE)*(1+i/frec)^-0.5*(1+Parámetros!$D$103)*(1+rec_fracc)/frec),6))</f>
        <v>1.93E-4</v>
      </c>
      <c r="AC147" s="66">
        <f t="shared" si="162"/>
        <v>19.3</v>
      </c>
      <c r="AD147" s="119">
        <f t="shared" si="158"/>
        <v>3.6000000000000002E-4</v>
      </c>
      <c r="AE147" s="66">
        <f>+IF($W147="","",ROUND(IF($B147&gt;Parámetros!$D$107,'Tablas Servicio'!AC147+('Tablas Servicio'!AG146-'Tablas Servicio'!AC146),AC147/(1-IF(B147&lt;=10,Parámetros!$D$104,Parámetros!$D$105))),2))</f>
        <v>39.94</v>
      </c>
      <c r="AF147" s="66">
        <f>+IF($W147="","",ROUND(IF($B147&gt;Parámetros!$D$107,'Tablas Servicio'!AC147+('Tablas Servicio'!AG146-'Tablas Servicio'!AC146),(AC147+$A146/frec)/(1-IF(B147&lt;=Parámetros!$D$117,Parámetros!$D$100,0))),2))</f>
        <v>36</v>
      </c>
      <c r="AG147" s="66">
        <f t="shared" si="163"/>
        <v>36</v>
      </c>
      <c r="AH147" s="66">
        <f t="shared" si="164"/>
        <v>0</v>
      </c>
      <c r="AI147" s="66">
        <f t="shared" si="165"/>
        <v>0</v>
      </c>
      <c r="AJ147" s="66">
        <f>+IF($W147="","",ROUND((AG147*Parámetros!$G$85),2))</f>
        <v>1.26</v>
      </c>
      <c r="AK147" s="66">
        <f>+IF($W147="","",ROUND((AG147*(Parámetros!$G$86)),2))</f>
        <v>0.18</v>
      </c>
      <c r="AL147" s="66">
        <f t="shared" si="159"/>
        <v>37.44</v>
      </c>
      <c r="AM147" t="str">
        <f t="shared" si="207"/>
        <v>00059</v>
      </c>
      <c r="AN147" t="str">
        <f t="shared" si="208"/>
        <v>Incapacidad Total y Permanente</v>
      </c>
      <c r="AO147" s="118">
        <f t="shared" si="209"/>
        <v>0</v>
      </c>
      <c r="AP147" s="118" t="str">
        <f t="shared" si="210"/>
        <v>A</v>
      </c>
      <c r="AQ147" s="119" t="str">
        <f>+IF(OR($W147="",AO147=0),"",ROUND((VLOOKUP(ROUNDDOWN($D147-1/frec,0),cob_adi,Z$40,FALSE)*(1+i/frec)^-0.5*(1+Parámetros!$D$103)*(1+rec_fracc)/frec),6))</f>
        <v/>
      </c>
      <c r="AR147" s="66">
        <f t="shared" si="166"/>
        <v>0</v>
      </c>
      <c r="AS147" s="119" t="str">
        <f t="shared" si="167"/>
        <v/>
      </c>
      <c r="AT147" s="66">
        <f>+IF($W147="","",ROUND(IF($B147&gt;Parámetros!$D$107,'Tablas Servicio'!AR147+('Tablas Servicio'!AT146-'Tablas Servicio'!AR146),AR147/(1-IF(B147&lt;=10,Parámetros!$D$100,0))),2))</f>
        <v>0</v>
      </c>
      <c r="AU147" s="66">
        <f t="shared" si="168"/>
        <v>0</v>
      </c>
      <c r="AV147" s="66">
        <f t="shared" si="168"/>
        <v>0</v>
      </c>
      <c r="AW147" s="66">
        <f>+IF($W147="","",ROUND((AT147*Parámetros!$G$85),2))</f>
        <v>0</v>
      </c>
      <c r="AX147" s="66">
        <f>+IF($W147="","",ROUND((AT147*(Parámetros!$G$86)),2))</f>
        <v>0</v>
      </c>
      <c r="AY147" s="66">
        <f t="shared" si="169"/>
        <v>0</v>
      </c>
      <c r="AZ147" t="str">
        <f t="shared" si="211"/>
        <v>00060</v>
      </c>
      <c r="BA147" t="str">
        <f t="shared" si="212"/>
        <v>Muerte Accidental</v>
      </c>
      <c r="BB147" s="118">
        <f t="shared" si="213"/>
        <v>0</v>
      </c>
      <c r="BC147" s="118" t="str">
        <f t="shared" si="214"/>
        <v>A</v>
      </c>
      <c r="BD147" s="119" t="str">
        <f>+IF(OR($W147="",BB147=0),"",ROUND((VLOOKUP(ROUNDDOWN($D147-1/frec,0),cob_adi,AO$40,FALSE)*(1+i/frec)^-0.5*(1+Parámetros!$D$103)*(1+rec_fracc)/frec),6))</f>
        <v/>
      </c>
      <c r="BE147" s="66">
        <f t="shared" si="170"/>
        <v>0</v>
      </c>
      <c r="BF147" s="119" t="str">
        <f t="shared" si="171"/>
        <v/>
      </c>
      <c r="BG147" s="66">
        <f>+IF($W147="","",ROUND(IF($B147&gt;Parámetros!$D$107,'Tablas Servicio'!BE147+('Tablas Servicio'!BG146-'Tablas Servicio'!BE146),BE147/(1-IF(B147&lt;=10,Parámetros!$D$100,0))),2))</f>
        <v>0</v>
      </c>
      <c r="BH147" s="66">
        <f t="shared" si="172"/>
        <v>0</v>
      </c>
      <c r="BI147" s="66">
        <f t="shared" si="173"/>
        <v>0</v>
      </c>
      <c r="BJ147" s="66">
        <f>+IF($W147="","",ROUND((BG147*Parámetros!$G$85),2))</f>
        <v>0</v>
      </c>
      <c r="BK147" s="66">
        <f>+IF($W147="","",ROUND((BG147*(Parámetros!$G$86)),2))</f>
        <v>0</v>
      </c>
      <c r="BL147" s="66">
        <f t="shared" si="174"/>
        <v>0</v>
      </c>
      <c r="BM147" t="str">
        <f t="shared" si="215"/>
        <v>00061</v>
      </c>
      <c r="BN147" t="str">
        <f t="shared" si="216"/>
        <v>Gastos de Entierro</v>
      </c>
      <c r="BO147" s="118">
        <f t="shared" si="217"/>
        <v>0</v>
      </c>
      <c r="BP147" s="118" t="str">
        <f t="shared" si="218"/>
        <v>A</v>
      </c>
      <c r="BQ147" s="119" t="str">
        <f>+IF(OR($W147="",BO147=0),"",ROUND((VLOOKUP(ROUNDDOWN($D147-1/frec,0),cob_adi,BB$40,FALSE)*(1+i/frec)^-0.5*(1+Parámetros!$D$103)*(1+rec_fracc)/frec),6))</f>
        <v/>
      </c>
      <c r="BR147" s="66">
        <f t="shared" si="175"/>
        <v>0</v>
      </c>
      <c r="BS147" s="119" t="str">
        <f t="shared" si="176"/>
        <v/>
      </c>
      <c r="BT147" s="66">
        <f>+IF($W147="","",ROUND(IF($B147&gt;Parámetros!$D$107,'Tablas Servicio'!BR147+('Tablas Servicio'!BT146-'Tablas Servicio'!BR146),BR147/(1-IF(B147&lt;=10,Parámetros!$D$100,0))),2))</f>
        <v>0</v>
      </c>
      <c r="BU147" s="66">
        <f t="shared" si="177"/>
        <v>0</v>
      </c>
      <c r="BV147" s="66">
        <f t="shared" si="177"/>
        <v>0</v>
      </c>
      <c r="BW147" s="66">
        <f>+IF($W147="","",ROUND((BT147*Parámetros!$G$85),2))</f>
        <v>0</v>
      </c>
      <c r="BX147" s="66">
        <f>+IF($W147="","",ROUND((BT147*(Parámetros!$G$86)),2))</f>
        <v>0</v>
      </c>
      <c r="BY147" s="66">
        <f t="shared" si="178"/>
        <v>0</v>
      </c>
      <c r="BZ147" t="str">
        <f t="shared" si="219"/>
        <v>00062</v>
      </c>
      <c r="CA147" t="str">
        <f t="shared" si="220"/>
        <v>Gastos médicos por accidente</v>
      </c>
      <c r="CB147" s="118">
        <f t="shared" si="221"/>
        <v>0</v>
      </c>
      <c r="CC147" s="118" t="str">
        <f t="shared" si="222"/>
        <v>A</v>
      </c>
      <c r="CD147" s="119" t="str">
        <f t="shared" si="179"/>
        <v/>
      </c>
      <c r="CE147" s="66">
        <f>+IF($W147="","",ROUND((VLOOKUP(ROUNDDOWN($D147-1/frec,0),cob_adi,BO$40,FALSE)*(1+i/frec)^-0.5*(1+Parámetros!$D$103)*(1+rec_fracc)/frec*'TABLAS ADI'!$BC$17),2))</f>
        <v>0</v>
      </c>
      <c r="CF147" s="119" t="str">
        <f t="shared" si="180"/>
        <v/>
      </c>
      <c r="CG147" s="66">
        <f>+IF($W147="","",ROUND(IF($B147&gt;Parámetros!$D$107,'Tablas Servicio'!CE147+('Tablas Servicio'!CG146-'Tablas Servicio'!CE146),CE147/(1-IF(B147&lt;=10,Parámetros!$D$100,0))),2))</f>
        <v>0</v>
      </c>
      <c r="CH147" s="66">
        <f t="shared" si="181"/>
        <v>0</v>
      </c>
      <c r="CI147" s="66">
        <f t="shared" si="181"/>
        <v>0</v>
      </c>
      <c r="CJ147" s="66">
        <f>+IF($W147="","",ROUND((CG147*Parámetros!$G$85),2))</f>
        <v>0</v>
      </c>
      <c r="CK147" s="66">
        <f>+IF($W147="","",ROUND((CG147*(Parámetros!$G$86)),2))</f>
        <v>0</v>
      </c>
      <c r="CL147" s="66">
        <f t="shared" si="182"/>
        <v>0</v>
      </c>
      <c r="CM147" t="str">
        <f t="shared" si="223"/>
        <v>00063</v>
      </c>
      <c r="CN147" s="118" t="str">
        <f t="shared" si="224"/>
        <v>Renta Diaria por Hospitalización</v>
      </c>
      <c r="CO147" s="118">
        <f t="shared" si="225"/>
        <v>0</v>
      </c>
      <c r="CP147" s="118" t="str">
        <f t="shared" si="226"/>
        <v>A</v>
      </c>
      <c r="CQ147" s="119" t="str">
        <f t="shared" si="183"/>
        <v/>
      </c>
      <c r="CR147" s="66">
        <f>+IF($W147="","",ROUND((VLOOKUP(Parámetros!$F$51,'COBERTURAS ADICIONALES'!$S$4:$T$32,2,FALSE)*(1+i/frec)^-0.5*(1+Parámetros!$D$103)*(1+rec_fracc)/frec*$CO$42),2))</f>
        <v>0</v>
      </c>
      <c r="CS147" s="119" t="str">
        <f t="shared" si="184"/>
        <v/>
      </c>
      <c r="CT147" s="66">
        <f>+IF($W147="","",ROUND(IF($B147&gt;Parámetros!$D$107,'Tablas Servicio'!CR147+('Tablas Servicio'!CT146-'Tablas Servicio'!CR146),CR147/(1-IF(B147&lt;=10,Parámetros!$D$100,0))),2))</f>
        <v>0</v>
      </c>
      <c r="CU147" s="66">
        <f t="shared" si="185"/>
        <v>0</v>
      </c>
      <c r="CV147" s="66">
        <f t="shared" si="185"/>
        <v>0</v>
      </c>
      <c r="CW147" s="66">
        <f>+IF($W147="","",ROUND((CT147*Parámetros!$G$85),2))</f>
        <v>0</v>
      </c>
      <c r="CX147" s="66">
        <f>+IF($W147="","",ROUND((CT147*(Parámetros!$G$86)),2))</f>
        <v>0</v>
      </c>
      <c r="CY147" s="66">
        <f t="shared" si="186"/>
        <v>0</v>
      </c>
      <c r="CZ147" t="str">
        <f t="shared" si="227"/>
        <v>00064</v>
      </c>
      <c r="DA147" s="118" t="str">
        <f t="shared" si="228"/>
        <v>Enfermedades Graves</v>
      </c>
      <c r="DB147" s="118">
        <f t="shared" si="229"/>
        <v>0</v>
      </c>
      <c r="DC147" s="118" t="str">
        <f t="shared" si="230"/>
        <v>A</v>
      </c>
      <c r="DD147" s="121" t="str">
        <f>+IF(OR($W147="",DB147=0),"",ROUND((VLOOKUP(ROUNDDOWN($D147-1/frec,0),cob_adi,CO$40,FALSE)*(1+i/frec)^-0.5*(1+Parámetros!$D$103)*(1+rec_fracc)/frec),6))</f>
        <v/>
      </c>
      <c r="DE147" s="66">
        <f t="shared" si="187"/>
        <v>0</v>
      </c>
      <c r="DF147" s="119" t="str">
        <f t="shared" si="188"/>
        <v/>
      </c>
      <c r="DG147" s="66">
        <f>+IF($W147="","",ROUND(IF($B147&gt;Parámetros!$D$107,'Tablas Servicio'!DE147+('Tablas Servicio'!DG146-'Tablas Servicio'!DE146),DE147/(1-IF(B147&lt;=10,Parámetros!$D$100,0))),2))</f>
        <v>0</v>
      </c>
      <c r="DH147" s="66">
        <f t="shared" si="189"/>
        <v>0</v>
      </c>
      <c r="DI147" s="66">
        <f t="shared" si="189"/>
        <v>0</v>
      </c>
      <c r="DJ147" s="66">
        <f>+IF($W147="","",ROUND((DG147*Parámetros!$G$85),2))</f>
        <v>0</v>
      </c>
      <c r="DK147" s="66">
        <f>+IF($W147="","",ROUND((DG147*(Parámetros!$G$86)),2))</f>
        <v>0</v>
      </c>
      <c r="DL147" s="66">
        <f t="shared" si="190"/>
        <v>0</v>
      </c>
      <c r="DM147" t="str">
        <f t="shared" si="231"/>
        <v>00065</v>
      </c>
      <c r="DN147" s="118" t="str">
        <f t="shared" si="232"/>
        <v>Exención pago de primas</v>
      </c>
      <c r="DO147" s="118">
        <f t="shared" si="233"/>
        <v>0</v>
      </c>
      <c r="DP147" s="118" t="str">
        <f t="shared" si="234"/>
        <v>A</v>
      </c>
      <c r="DQ147" s="122" t="str">
        <f>+IF(OR($W147="",DO147=0),"",ROUND((VLOOKUP(ROUNDDOWN($D147-1/frec,0),cob_adi,DB$40,FALSE)*(1+i/frec)^-0.5*(1+Parámetros!$D$103)*(1+rec_fracc)/frec),6))</f>
        <v/>
      </c>
      <c r="DR147" s="66">
        <f t="shared" si="191"/>
        <v>0</v>
      </c>
      <c r="DS147" s="68" t="str">
        <f t="shared" si="192"/>
        <v/>
      </c>
      <c r="DT147" s="66">
        <f>+IF($W147="","",ROUND(IF($B147&gt;Parámetros!$D$107,'Tablas Servicio'!DR147+('Tablas Servicio'!DT146-'Tablas Servicio'!DR146),DR147/(1-IF(B147&lt;=10,Parámetros!$D$100,0))),2))</f>
        <v>0</v>
      </c>
      <c r="DU147" s="66">
        <f t="shared" si="193"/>
        <v>0</v>
      </c>
      <c r="DV147" s="66">
        <f t="shared" si="193"/>
        <v>0</v>
      </c>
      <c r="DW147" s="66">
        <f>+IF($W147="","",ROUND((DT147*Parámetros!$G$85),2))</f>
        <v>0</v>
      </c>
      <c r="DX147" s="66">
        <f>+IF($W147="","",ROUND((DT147*(Parámetros!$G$86)),2))</f>
        <v>0</v>
      </c>
      <c r="DY147" s="66">
        <f t="shared" si="194"/>
        <v>0</v>
      </c>
      <c r="DZ147" t="str">
        <f t="shared" si="236"/>
        <v>00066</v>
      </c>
      <c r="EA147" s="118" t="str">
        <f t="shared" si="236"/>
        <v>Enfermedad terminal</v>
      </c>
      <c r="EB147" s="118">
        <f>+IF($W147="","",ROUND(IF(Parámetros!$D$25='TABLAS MORT'!$V$33,EB146,Z147/2),0))</f>
        <v>50000</v>
      </c>
      <c r="EC147" s="118" t="str">
        <f t="shared" si="236"/>
        <v>A</v>
      </c>
      <c r="ED147" s="122">
        <f>+IF(OR($W147="",EB147=0),"",ROUND((VLOOKUP(ROUNDDOWN($D147-1/frec,0),cob_adi,DO$40,FALSE)*(1+i/frec)^-0.5*(1+Parámetros!$D$103)*(1+rec_fracc)/frec),6))</f>
        <v>1.2E-5</v>
      </c>
      <c r="EE147" s="66">
        <f t="shared" si="196"/>
        <v>0.6</v>
      </c>
      <c r="EF147" s="68">
        <f t="shared" si="197"/>
        <v>1.4E-5</v>
      </c>
      <c r="EG147" s="66">
        <f>+IF($W147="","",ROUND(IF($B147&gt;Parámetros!$D$107,'Tablas Servicio'!EE147+('Tablas Servicio'!EG146-'Tablas Servicio'!EE146),EE147/(1-IF(B147&lt;=10,Parámetros!$D$100,0))),2))</f>
        <v>0.68</v>
      </c>
      <c r="EH147" s="66">
        <f t="shared" si="198"/>
        <v>0</v>
      </c>
      <c r="EI147" s="66">
        <f t="shared" si="198"/>
        <v>0</v>
      </c>
      <c r="EJ147" s="66">
        <f>+IF($W147="","",ROUND((EG147*Parámetros!$G$85),2))</f>
        <v>0.02</v>
      </c>
      <c r="EK147" s="66">
        <f>+IF($W147="","",ROUND((EG147*(Parámetros!$G$86)),2))</f>
        <v>0</v>
      </c>
      <c r="EL147" s="66">
        <f t="shared" si="199"/>
        <v>0.7</v>
      </c>
    </row>
    <row r="148" spans="1:142" x14ac:dyDescent="0.25">
      <c r="A148">
        <f>+IF($C148="","",ROUND(VLOOKUP('Tablas Servicio'!B148,Parámetros!$H$100:$J$159,IF(Parámetros!$E$16="F",2,3),FALSE),2))</f>
        <v>150</v>
      </c>
      <c r="B148">
        <f t="shared" si="150"/>
        <v>9</v>
      </c>
      <c r="C148" s="57">
        <f>+IF(D148="","",'Tablas Servicio'!C147+1)</f>
        <v>107</v>
      </c>
      <c r="D148" s="56">
        <f>+IF(D147&lt;edadmaxtabla,D147+1/Parámetros!$E$25,"")</f>
        <v>48.936666666666923</v>
      </c>
      <c r="E148" s="57">
        <f t="shared" si="160"/>
        <v>48</v>
      </c>
      <c r="F148" s="59">
        <f t="shared" si="161"/>
        <v>100000</v>
      </c>
      <c r="G148" s="66">
        <f t="shared" si="151"/>
        <v>36.68</v>
      </c>
      <c r="H148" s="66">
        <f t="shared" si="152"/>
        <v>38.14</v>
      </c>
      <c r="I148" s="66">
        <f t="shared" si="200"/>
        <v>49.17</v>
      </c>
      <c r="J148" s="66">
        <f t="shared" si="153"/>
        <v>1.28</v>
      </c>
      <c r="K148" s="66">
        <f t="shared" si="154"/>
        <v>0.18</v>
      </c>
      <c r="L148" s="66">
        <f t="shared" si="155"/>
        <v>0</v>
      </c>
      <c r="M148" s="66">
        <f t="shared" si="156"/>
        <v>0</v>
      </c>
      <c r="N148" s="66">
        <f>+IF(C148="","",ROUND(Parámetros!$D$23,2))</f>
        <v>94</v>
      </c>
      <c r="O148" s="66">
        <f t="shared" si="157"/>
        <v>19.900000000000002</v>
      </c>
      <c r="P148" s="66">
        <f>+IF($C148="","",ROUND(IF(B148&gt;Parámetros!$D$117,0,N148*Parámetros!$D$116-G148*Parámetros!$D$100),2))</f>
        <v>6.69</v>
      </c>
      <c r="Q148" s="75">
        <f t="shared" si="201"/>
        <v>3.4896401308615051E-2</v>
      </c>
      <c r="R148" s="75">
        <f t="shared" si="202"/>
        <v>4.9073064340239914E-3</v>
      </c>
      <c r="S148" s="117">
        <f>+IF($C148="","",ROUND((S147+I148)*(1+Parámetros!$D$91),2))</f>
        <v>6921.32</v>
      </c>
      <c r="T148" s="117">
        <f>+IF($C148="","",ROUND(S148*VLOOKUP(B148,Parámetros!$C$30:$D$39,2,TRUE),2))</f>
        <v>6575.25</v>
      </c>
      <c r="U148" s="117">
        <f>+IF($C148="","",ROUND((U147+I148)*(1+Parámetros!$D$92),2))</f>
        <v>7088.68</v>
      </c>
      <c r="V148" s="117">
        <f>+IF($C148="","",ROUND(U148*VLOOKUP(B148,Parámetros!$C$30:$D$39,2,TRUE),2))</f>
        <v>6734.25</v>
      </c>
      <c r="W148" s="57">
        <f t="shared" si="203"/>
        <v>107</v>
      </c>
      <c r="X148" t="str">
        <f t="shared" si="204"/>
        <v>00058</v>
      </c>
      <c r="Y148" t="str">
        <f t="shared" si="205"/>
        <v>MUERTE POR CUALQUIER CAUSA</v>
      </c>
      <c r="Z148" s="118">
        <f>+IF($W148="","",ROUND(IF(Parámetros!$D$25='TABLAS MORT'!$V$33,Z147,Parámetros!$D$21-'Tablas Servicio'!T147),0))</f>
        <v>100000</v>
      </c>
      <c r="AA148" s="118" t="str">
        <f t="shared" si="206"/>
        <v>P</v>
      </c>
      <c r="AB148" s="119">
        <f>+IF(W148="","",ROUND((VLOOKUP(ROUNDDOWN($D148-1/frec,0),qx_tabla,2,FALSE)*(1+i/frec)^-0.5*(1+Parámetros!$D$103)*(1+rec_fracc)/frec),6))</f>
        <v>1.93E-4</v>
      </c>
      <c r="AC148" s="66">
        <f t="shared" si="162"/>
        <v>19.3</v>
      </c>
      <c r="AD148" s="119">
        <f t="shared" si="158"/>
        <v>3.6000000000000002E-4</v>
      </c>
      <c r="AE148" s="66">
        <f>+IF($W148="","",ROUND(IF($B148&gt;Parámetros!$D$107,'Tablas Servicio'!AC148+('Tablas Servicio'!AG147-'Tablas Servicio'!AC147),AC148/(1-IF(B148&lt;=10,Parámetros!$D$104,Parámetros!$D$105))),2))</f>
        <v>39.94</v>
      </c>
      <c r="AF148" s="66">
        <f>+IF($W148="","",ROUND(IF($B148&gt;Parámetros!$D$107,'Tablas Servicio'!AC148+('Tablas Servicio'!AG147-'Tablas Servicio'!AC147),(AC148+$A147/frec)/(1-IF(B148&lt;=Parámetros!$D$117,Parámetros!$D$100,0))),2))</f>
        <v>36</v>
      </c>
      <c r="AG148" s="66">
        <f t="shared" si="163"/>
        <v>36</v>
      </c>
      <c r="AH148" s="66">
        <f t="shared" si="164"/>
        <v>0</v>
      </c>
      <c r="AI148" s="66">
        <f t="shared" si="165"/>
        <v>0</v>
      </c>
      <c r="AJ148" s="66">
        <f>+IF($W148="","",ROUND((AG148*Parámetros!$G$85),2))</f>
        <v>1.26</v>
      </c>
      <c r="AK148" s="66">
        <f>+IF($W148="","",ROUND((AG148*(Parámetros!$G$86)),2))</f>
        <v>0.18</v>
      </c>
      <c r="AL148" s="66">
        <f t="shared" si="159"/>
        <v>37.44</v>
      </c>
      <c r="AM148" t="str">
        <f t="shared" si="207"/>
        <v>00059</v>
      </c>
      <c r="AN148" t="str">
        <f t="shared" si="208"/>
        <v>Incapacidad Total y Permanente</v>
      </c>
      <c r="AO148" s="118">
        <f t="shared" si="209"/>
        <v>0</v>
      </c>
      <c r="AP148" s="118" t="str">
        <f t="shared" si="210"/>
        <v>A</v>
      </c>
      <c r="AQ148" s="119" t="str">
        <f>+IF(OR($W148="",AO148=0),"",ROUND((VLOOKUP(ROUNDDOWN($D148-1/frec,0),cob_adi,Z$40,FALSE)*(1+i/frec)^-0.5*(1+Parámetros!$D$103)*(1+rec_fracc)/frec),6))</f>
        <v/>
      </c>
      <c r="AR148" s="66">
        <f t="shared" si="166"/>
        <v>0</v>
      </c>
      <c r="AS148" s="119" t="str">
        <f t="shared" si="167"/>
        <v/>
      </c>
      <c r="AT148" s="66">
        <f>+IF($W148="","",ROUND(IF($B148&gt;Parámetros!$D$107,'Tablas Servicio'!AR148+('Tablas Servicio'!AT147-'Tablas Servicio'!AR147),AR148/(1-IF(B148&lt;=10,Parámetros!$D$100,0))),2))</f>
        <v>0</v>
      </c>
      <c r="AU148" s="66">
        <f t="shared" si="168"/>
        <v>0</v>
      </c>
      <c r="AV148" s="66">
        <f t="shared" si="168"/>
        <v>0</v>
      </c>
      <c r="AW148" s="66">
        <f>+IF($W148="","",ROUND((AT148*Parámetros!$G$85),2))</f>
        <v>0</v>
      </c>
      <c r="AX148" s="66">
        <f>+IF($W148="","",ROUND((AT148*(Parámetros!$G$86)),2))</f>
        <v>0</v>
      </c>
      <c r="AY148" s="66">
        <f t="shared" si="169"/>
        <v>0</v>
      </c>
      <c r="AZ148" t="str">
        <f t="shared" si="211"/>
        <v>00060</v>
      </c>
      <c r="BA148" t="str">
        <f t="shared" si="212"/>
        <v>Muerte Accidental</v>
      </c>
      <c r="BB148" s="118">
        <f t="shared" si="213"/>
        <v>0</v>
      </c>
      <c r="BC148" s="118" t="str">
        <f t="shared" si="214"/>
        <v>A</v>
      </c>
      <c r="BD148" s="119" t="str">
        <f>+IF(OR($W148="",BB148=0),"",ROUND((VLOOKUP(ROUNDDOWN($D148-1/frec,0),cob_adi,AO$40,FALSE)*(1+i/frec)^-0.5*(1+Parámetros!$D$103)*(1+rec_fracc)/frec),6))</f>
        <v/>
      </c>
      <c r="BE148" s="66">
        <f t="shared" si="170"/>
        <v>0</v>
      </c>
      <c r="BF148" s="119" t="str">
        <f t="shared" si="171"/>
        <v/>
      </c>
      <c r="BG148" s="66">
        <f>+IF($W148="","",ROUND(IF($B148&gt;Parámetros!$D$107,'Tablas Servicio'!BE148+('Tablas Servicio'!BG147-'Tablas Servicio'!BE147),BE148/(1-IF(B148&lt;=10,Parámetros!$D$100,0))),2))</f>
        <v>0</v>
      </c>
      <c r="BH148" s="66">
        <f t="shared" si="172"/>
        <v>0</v>
      </c>
      <c r="BI148" s="66">
        <f t="shared" si="173"/>
        <v>0</v>
      </c>
      <c r="BJ148" s="66">
        <f>+IF($W148="","",ROUND((BG148*Parámetros!$G$85),2))</f>
        <v>0</v>
      </c>
      <c r="BK148" s="66">
        <f>+IF($W148="","",ROUND((BG148*(Parámetros!$G$86)),2))</f>
        <v>0</v>
      </c>
      <c r="BL148" s="66">
        <f t="shared" si="174"/>
        <v>0</v>
      </c>
      <c r="BM148" t="str">
        <f t="shared" si="215"/>
        <v>00061</v>
      </c>
      <c r="BN148" t="str">
        <f t="shared" si="216"/>
        <v>Gastos de Entierro</v>
      </c>
      <c r="BO148" s="118">
        <f t="shared" si="217"/>
        <v>0</v>
      </c>
      <c r="BP148" s="118" t="str">
        <f t="shared" si="218"/>
        <v>A</v>
      </c>
      <c r="BQ148" s="119" t="str">
        <f>+IF(OR($W148="",BO148=0),"",ROUND((VLOOKUP(ROUNDDOWN($D148-1/frec,0),cob_adi,BB$40,FALSE)*(1+i/frec)^-0.5*(1+Parámetros!$D$103)*(1+rec_fracc)/frec),6))</f>
        <v/>
      </c>
      <c r="BR148" s="66">
        <f t="shared" si="175"/>
        <v>0</v>
      </c>
      <c r="BS148" s="119" t="str">
        <f t="shared" si="176"/>
        <v/>
      </c>
      <c r="BT148" s="66">
        <f>+IF($W148="","",ROUND(IF($B148&gt;Parámetros!$D$107,'Tablas Servicio'!BR148+('Tablas Servicio'!BT147-'Tablas Servicio'!BR147),BR148/(1-IF(B148&lt;=10,Parámetros!$D$100,0))),2))</f>
        <v>0</v>
      </c>
      <c r="BU148" s="66">
        <f t="shared" si="177"/>
        <v>0</v>
      </c>
      <c r="BV148" s="66">
        <f t="shared" si="177"/>
        <v>0</v>
      </c>
      <c r="BW148" s="66">
        <f>+IF($W148="","",ROUND((BT148*Parámetros!$G$85),2))</f>
        <v>0</v>
      </c>
      <c r="BX148" s="66">
        <f>+IF($W148="","",ROUND((BT148*(Parámetros!$G$86)),2))</f>
        <v>0</v>
      </c>
      <c r="BY148" s="66">
        <f t="shared" si="178"/>
        <v>0</v>
      </c>
      <c r="BZ148" t="str">
        <f t="shared" si="219"/>
        <v>00062</v>
      </c>
      <c r="CA148" t="str">
        <f t="shared" si="220"/>
        <v>Gastos médicos por accidente</v>
      </c>
      <c r="CB148" s="118">
        <f t="shared" si="221"/>
        <v>0</v>
      </c>
      <c r="CC148" s="118" t="str">
        <f t="shared" si="222"/>
        <v>A</v>
      </c>
      <c r="CD148" s="119" t="str">
        <f t="shared" si="179"/>
        <v/>
      </c>
      <c r="CE148" s="66">
        <f>+IF($W148="","",ROUND((VLOOKUP(ROUNDDOWN($D148-1/frec,0),cob_adi,BO$40,FALSE)*(1+i/frec)^-0.5*(1+Parámetros!$D$103)*(1+rec_fracc)/frec*'TABLAS ADI'!$BC$17),2))</f>
        <v>0</v>
      </c>
      <c r="CF148" s="119" t="str">
        <f t="shared" si="180"/>
        <v/>
      </c>
      <c r="CG148" s="66">
        <f>+IF($W148="","",ROUND(IF($B148&gt;Parámetros!$D$107,'Tablas Servicio'!CE148+('Tablas Servicio'!CG147-'Tablas Servicio'!CE147),CE148/(1-IF(B148&lt;=10,Parámetros!$D$100,0))),2))</f>
        <v>0</v>
      </c>
      <c r="CH148" s="66">
        <f t="shared" si="181"/>
        <v>0</v>
      </c>
      <c r="CI148" s="66">
        <f t="shared" si="181"/>
        <v>0</v>
      </c>
      <c r="CJ148" s="66">
        <f>+IF($W148="","",ROUND((CG148*Parámetros!$G$85),2))</f>
        <v>0</v>
      </c>
      <c r="CK148" s="66">
        <f>+IF($W148="","",ROUND((CG148*(Parámetros!$G$86)),2))</f>
        <v>0</v>
      </c>
      <c r="CL148" s="66">
        <f t="shared" si="182"/>
        <v>0</v>
      </c>
      <c r="CM148" t="str">
        <f t="shared" si="223"/>
        <v>00063</v>
      </c>
      <c r="CN148" s="118" t="str">
        <f t="shared" si="224"/>
        <v>Renta Diaria por Hospitalización</v>
      </c>
      <c r="CO148" s="118">
        <f t="shared" si="225"/>
        <v>0</v>
      </c>
      <c r="CP148" s="118" t="str">
        <f t="shared" si="226"/>
        <v>A</v>
      </c>
      <c r="CQ148" s="119" t="str">
        <f t="shared" si="183"/>
        <v/>
      </c>
      <c r="CR148" s="66">
        <f>+IF($W148="","",ROUND((VLOOKUP(Parámetros!$F$51,'COBERTURAS ADICIONALES'!$S$4:$T$32,2,FALSE)*(1+i/frec)^-0.5*(1+Parámetros!$D$103)*(1+rec_fracc)/frec*$CO$42),2))</f>
        <v>0</v>
      </c>
      <c r="CS148" s="119" t="str">
        <f t="shared" si="184"/>
        <v/>
      </c>
      <c r="CT148" s="66">
        <f>+IF($W148="","",ROUND(IF($B148&gt;Parámetros!$D$107,'Tablas Servicio'!CR148+('Tablas Servicio'!CT147-'Tablas Servicio'!CR147),CR148/(1-IF(B148&lt;=10,Parámetros!$D$100,0))),2))</f>
        <v>0</v>
      </c>
      <c r="CU148" s="66">
        <f t="shared" si="185"/>
        <v>0</v>
      </c>
      <c r="CV148" s="66">
        <f t="shared" si="185"/>
        <v>0</v>
      </c>
      <c r="CW148" s="66">
        <f>+IF($W148="","",ROUND((CT148*Parámetros!$G$85),2))</f>
        <v>0</v>
      </c>
      <c r="CX148" s="66">
        <f>+IF($W148="","",ROUND((CT148*(Parámetros!$G$86)),2))</f>
        <v>0</v>
      </c>
      <c r="CY148" s="66">
        <f t="shared" si="186"/>
        <v>0</v>
      </c>
      <c r="CZ148" t="str">
        <f t="shared" si="227"/>
        <v>00064</v>
      </c>
      <c r="DA148" s="118" t="str">
        <f t="shared" si="228"/>
        <v>Enfermedades Graves</v>
      </c>
      <c r="DB148" s="118">
        <f t="shared" si="229"/>
        <v>0</v>
      </c>
      <c r="DC148" s="118" t="str">
        <f t="shared" si="230"/>
        <v>A</v>
      </c>
      <c r="DD148" s="121" t="str">
        <f>+IF(OR($W148="",DB148=0),"",ROUND((VLOOKUP(ROUNDDOWN($D148-1/frec,0),cob_adi,CO$40,FALSE)*(1+i/frec)^-0.5*(1+Parámetros!$D$103)*(1+rec_fracc)/frec),6))</f>
        <v/>
      </c>
      <c r="DE148" s="66">
        <f t="shared" si="187"/>
        <v>0</v>
      </c>
      <c r="DF148" s="119" t="str">
        <f t="shared" si="188"/>
        <v/>
      </c>
      <c r="DG148" s="66">
        <f>+IF($W148="","",ROUND(IF($B148&gt;Parámetros!$D$107,'Tablas Servicio'!DE148+('Tablas Servicio'!DG147-'Tablas Servicio'!DE147),DE148/(1-IF(B148&lt;=10,Parámetros!$D$100,0))),2))</f>
        <v>0</v>
      </c>
      <c r="DH148" s="66">
        <f t="shared" si="189"/>
        <v>0</v>
      </c>
      <c r="DI148" s="66">
        <f t="shared" si="189"/>
        <v>0</v>
      </c>
      <c r="DJ148" s="66">
        <f>+IF($W148="","",ROUND((DG148*Parámetros!$G$85),2))</f>
        <v>0</v>
      </c>
      <c r="DK148" s="66">
        <f>+IF($W148="","",ROUND((DG148*(Parámetros!$G$86)),2))</f>
        <v>0</v>
      </c>
      <c r="DL148" s="66">
        <f t="shared" si="190"/>
        <v>0</v>
      </c>
      <c r="DM148" t="str">
        <f t="shared" si="231"/>
        <v>00065</v>
      </c>
      <c r="DN148" s="118" t="str">
        <f t="shared" si="232"/>
        <v>Exención pago de primas</v>
      </c>
      <c r="DO148" s="118">
        <f t="shared" si="233"/>
        <v>0</v>
      </c>
      <c r="DP148" s="118" t="str">
        <f t="shared" si="234"/>
        <v>A</v>
      </c>
      <c r="DQ148" s="122" t="str">
        <f>+IF(OR($W148="",DO148=0),"",ROUND((VLOOKUP(ROUNDDOWN($D148-1/frec,0),cob_adi,DB$40,FALSE)*(1+i/frec)^-0.5*(1+Parámetros!$D$103)*(1+rec_fracc)/frec),6))</f>
        <v/>
      </c>
      <c r="DR148" s="66">
        <f t="shared" si="191"/>
        <v>0</v>
      </c>
      <c r="DS148" s="68" t="str">
        <f t="shared" si="192"/>
        <v/>
      </c>
      <c r="DT148" s="66">
        <f>+IF($W148="","",ROUND(IF($B148&gt;Parámetros!$D$107,'Tablas Servicio'!DR148+('Tablas Servicio'!DT147-'Tablas Servicio'!DR147),DR148/(1-IF(B148&lt;=10,Parámetros!$D$100,0))),2))</f>
        <v>0</v>
      </c>
      <c r="DU148" s="66">
        <f t="shared" si="193"/>
        <v>0</v>
      </c>
      <c r="DV148" s="66">
        <f t="shared" si="193"/>
        <v>0</v>
      </c>
      <c r="DW148" s="66">
        <f>+IF($W148="","",ROUND((DT148*Parámetros!$G$85),2))</f>
        <v>0</v>
      </c>
      <c r="DX148" s="66">
        <f>+IF($W148="","",ROUND((DT148*(Parámetros!$G$86)),2))</f>
        <v>0</v>
      </c>
      <c r="DY148" s="66">
        <f t="shared" si="194"/>
        <v>0</v>
      </c>
      <c r="DZ148" t="str">
        <f t="shared" si="236"/>
        <v>00066</v>
      </c>
      <c r="EA148" s="118" t="str">
        <f t="shared" si="236"/>
        <v>Enfermedad terminal</v>
      </c>
      <c r="EB148" s="118">
        <f>+IF($W148="","",ROUND(IF(Parámetros!$D$25='TABLAS MORT'!$V$33,EB147,Z148/2),0))</f>
        <v>50000</v>
      </c>
      <c r="EC148" s="118" t="str">
        <f t="shared" si="236"/>
        <v>A</v>
      </c>
      <c r="ED148" s="122">
        <f>+IF(OR($W148="",EB148=0),"",ROUND((VLOOKUP(ROUNDDOWN($D148-1/frec,0),cob_adi,DO$40,FALSE)*(1+i/frec)^-0.5*(1+Parámetros!$D$103)*(1+rec_fracc)/frec),6))</f>
        <v>1.2E-5</v>
      </c>
      <c r="EE148" s="66">
        <f t="shared" si="196"/>
        <v>0.6</v>
      </c>
      <c r="EF148" s="68">
        <f t="shared" si="197"/>
        <v>1.4E-5</v>
      </c>
      <c r="EG148" s="66">
        <f>+IF($W148="","",ROUND(IF($B148&gt;Parámetros!$D$107,'Tablas Servicio'!EE148+('Tablas Servicio'!EG147-'Tablas Servicio'!EE147),EE148/(1-IF(B148&lt;=10,Parámetros!$D$100,0))),2))</f>
        <v>0.68</v>
      </c>
      <c r="EH148" s="66">
        <f t="shared" si="198"/>
        <v>0</v>
      </c>
      <c r="EI148" s="66">
        <f t="shared" si="198"/>
        <v>0</v>
      </c>
      <c r="EJ148" s="66">
        <f>+IF($W148="","",ROUND((EG148*Parámetros!$G$85),2))</f>
        <v>0.02</v>
      </c>
      <c r="EK148" s="66">
        <f>+IF($W148="","",ROUND((EG148*(Parámetros!$G$86)),2))</f>
        <v>0</v>
      </c>
      <c r="EL148" s="66">
        <f t="shared" si="199"/>
        <v>0.7</v>
      </c>
    </row>
    <row r="149" spans="1:142" x14ac:dyDescent="0.25">
      <c r="A149">
        <f>+IF($C149="","",ROUND(VLOOKUP('Tablas Servicio'!B149,Parámetros!$H$100:$J$159,IF(Parámetros!$E$16="F",2,3),FALSE),2))</f>
        <v>150</v>
      </c>
      <c r="B149">
        <f t="shared" si="150"/>
        <v>9</v>
      </c>
      <c r="C149" s="57">
        <f>+IF(D149="","",'Tablas Servicio'!C148+1)</f>
        <v>108</v>
      </c>
      <c r="D149" s="56">
        <f>+IF(D148&lt;edadmaxtabla,D148+1/Parámetros!$E$25,"")</f>
        <v>49.020000000000259</v>
      </c>
      <c r="E149" s="57">
        <f t="shared" si="160"/>
        <v>49</v>
      </c>
      <c r="F149" s="59">
        <f t="shared" si="161"/>
        <v>100000</v>
      </c>
      <c r="G149" s="66">
        <f t="shared" si="151"/>
        <v>36.68</v>
      </c>
      <c r="H149" s="66">
        <f t="shared" si="152"/>
        <v>38.14</v>
      </c>
      <c r="I149" s="66">
        <f t="shared" si="200"/>
        <v>49.17</v>
      </c>
      <c r="J149" s="66">
        <f t="shared" si="153"/>
        <v>1.28</v>
      </c>
      <c r="K149" s="66">
        <f t="shared" si="154"/>
        <v>0.18</v>
      </c>
      <c r="L149" s="66">
        <f t="shared" si="155"/>
        <v>0</v>
      </c>
      <c r="M149" s="66">
        <f t="shared" si="156"/>
        <v>0</v>
      </c>
      <c r="N149" s="66">
        <f>+IF(C149="","",ROUND(Parámetros!$D$23,2))</f>
        <v>94</v>
      </c>
      <c r="O149" s="66">
        <f t="shared" si="157"/>
        <v>19.900000000000002</v>
      </c>
      <c r="P149" s="66">
        <f>+IF($C149="","",ROUND(IF(B149&gt;Parámetros!$D$117,0,N149*Parámetros!$D$116-G149*Parámetros!$D$100),2))</f>
        <v>6.69</v>
      </c>
      <c r="Q149" s="75">
        <f t="shared" si="201"/>
        <v>3.4896401308615051E-2</v>
      </c>
      <c r="R149" s="75">
        <f t="shared" si="202"/>
        <v>4.9073064340239914E-3</v>
      </c>
      <c r="S149" s="117">
        <f>+IF($C149="","",ROUND((S148+I149)*(1+Parámetros!$D$91),2))</f>
        <v>6990.26</v>
      </c>
      <c r="T149" s="117">
        <f>+IF($C149="","",ROUND(S149*VLOOKUP(B149,Parámetros!$C$30:$D$39,2,TRUE),2))</f>
        <v>6640.75</v>
      </c>
      <c r="U149" s="117">
        <f>+IF($C149="","",ROUND((U148+I149)*(1+Parámetros!$D$92),2))</f>
        <v>7160.99</v>
      </c>
      <c r="V149" s="117">
        <f>+IF($C149="","",ROUND(U149*VLOOKUP(B149,Parámetros!$C$30:$D$39,2,TRUE),2))</f>
        <v>6802.94</v>
      </c>
      <c r="W149" s="57">
        <f t="shared" si="203"/>
        <v>108</v>
      </c>
      <c r="X149" t="str">
        <f t="shared" si="204"/>
        <v>00058</v>
      </c>
      <c r="Y149" t="str">
        <f t="shared" si="205"/>
        <v>MUERTE POR CUALQUIER CAUSA</v>
      </c>
      <c r="Z149" s="118">
        <f>+IF($W149="","",ROUND(IF(Parámetros!$D$25='TABLAS MORT'!$V$33,Z148,Parámetros!$D$21-'Tablas Servicio'!T148),0))</f>
        <v>100000</v>
      </c>
      <c r="AA149" s="118" t="str">
        <f t="shared" si="206"/>
        <v>P</v>
      </c>
      <c r="AB149" s="119">
        <f>+IF(W149="","",ROUND((VLOOKUP(ROUNDDOWN($D149-1/frec,0),qx_tabla,2,FALSE)*(1+i/frec)^-0.5*(1+Parámetros!$D$103)*(1+rec_fracc)/frec),6))</f>
        <v>1.93E-4</v>
      </c>
      <c r="AC149" s="66">
        <f t="shared" si="162"/>
        <v>19.3</v>
      </c>
      <c r="AD149" s="119">
        <f t="shared" si="158"/>
        <v>3.6000000000000002E-4</v>
      </c>
      <c r="AE149" s="66">
        <f>+IF($W149="","",ROUND(IF($B149&gt;Parámetros!$D$107,'Tablas Servicio'!AC149+('Tablas Servicio'!AG148-'Tablas Servicio'!AC148),AC149/(1-IF(B149&lt;=10,Parámetros!$D$104,Parámetros!$D$105))),2))</f>
        <v>39.94</v>
      </c>
      <c r="AF149" s="66">
        <f>+IF($W149="","",ROUND(IF($B149&gt;Parámetros!$D$107,'Tablas Servicio'!AC149+('Tablas Servicio'!AG148-'Tablas Servicio'!AC148),(AC149+$A148/frec)/(1-IF(B149&lt;=Parámetros!$D$117,Parámetros!$D$100,0))),2))</f>
        <v>36</v>
      </c>
      <c r="AG149" s="66">
        <f t="shared" si="163"/>
        <v>36</v>
      </c>
      <c r="AH149" s="66">
        <f t="shared" si="164"/>
        <v>0</v>
      </c>
      <c r="AI149" s="66">
        <f t="shared" si="165"/>
        <v>0</v>
      </c>
      <c r="AJ149" s="66">
        <f>+IF($W149="","",ROUND((AG149*Parámetros!$G$85),2))</f>
        <v>1.26</v>
      </c>
      <c r="AK149" s="66">
        <f>+IF($W149="","",ROUND((AG149*(Parámetros!$G$86)),2))</f>
        <v>0.18</v>
      </c>
      <c r="AL149" s="66">
        <f t="shared" si="159"/>
        <v>37.44</v>
      </c>
      <c r="AM149" t="str">
        <f t="shared" si="207"/>
        <v>00059</v>
      </c>
      <c r="AN149" t="str">
        <f t="shared" si="208"/>
        <v>Incapacidad Total y Permanente</v>
      </c>
      <c r="AO149" s="118">
        <f t="shared" si="209"/>
        <v>0</v>
      </c>
      <c r="AP149" s="118" t="str">
        <f t="shared" si="210"/>
        <v>A</v>
      </c>
      <c r="AQ149" s="119" t="str">
        <f>+IF(OR($W149="",AO149=0),"",ROUND((VLOOKUP(ROUNDDOWN($D149-1/frec,0),cob_adi,Z$40,FALSE)*(1+i/frec)^-0.5*(1+Parámetros!$D$103)*(1+rec_fracc)/frec),6))</f>
        <v/>
      </c>
      <c r="AR149" s="66">
        <f t="shared" si="166"/>
        <v>0</v>
      </c>
      <c r="AS149" s="119" t="str">
        <f t="shared" si="167"/>
        <v/>
      </c>
      <c r="AT149" s="66">
        <f>+IF($W149="","",ROUND(IF($B149&gt;Parámetros!$D$107,'Tablas Servicio'!AR149+('Tablas Servicio'!AT148-'Tablas Servicio'!AR148),AR149/(1-IF(B149&lt;=10,Parámetros!$D$100,0))),2))</f>
        <v>0</v>
      </c>
      <c r="AU149" s="66">
        <f t="shared" si="168"/>
        <v>0</v>
      </c>
      <c r="AV149" s="66">
        <f t="shared" si="168"/>
        <v>0</v>
      </c>
      <c r="AW149" s="66">
        <f>+IF($W149="","",ROUND((AT149*Parámetros!$G$85),2))</f>
        <v>0</v>
      </c>
      <c r="AX149" s="66">
        <f>+IF($W149="","",ROUND((AT149*(Parámetros!$G$86)),2))</f>
        <v>0</v>
      </c>
      <c r="AY149" s="66">
        <f t="shared" si="169"/>
        <v>0</v>
      </c>
      <c r="AZ149" t="str">
        <f t="shared" si="211"/>
        <v>00060</v>
      </c>
      <c r="BA149" t="str">
        <f t="shared" si="212"/>
        <v>Muerte Accidental</v>
      </c>
      <c r="BB149" s="118">
        <f t="shared" si="213"/>
        <v>0</v>
      </c>
      <c r="BC149" s="118" t="str">
        <f t="shared" si="214"/>
        <v>A</v>
      </c>
      <c r="BD149" s="119" t="str">
        <f>+IF(OR($W149="",BB149=0),"",ROUND((VLOOKUP(ROUNDDOWN($D149-1/frec,0),cob_adi,AO$40,FALSE)*(1+i/frec)^-0.5*(1+Parámetros!$D$103)*(1+rec_fracc)/frec),6))</f>
        <v/>
      </c>
      <c r="BE149" s="66">
        <f t="shared" si="170"/>
        <v>0</v>
      </c>
      <c r="BF149" s="119" t="str">
        <f t="shared" si="171"/>
        <v/>
      </c>
      <c r="BG149" s="66">
        <f>+IF($W149="","",ROUND(IF($B149&gt;Parámetros!$D$107,'Tablas Servicio'!BE149+('Tablas Servicio'!BG148-'Tablas Servicio'!BE148),BE149/(1-IF(B149&lt;=10,Parámetros!$D$100,0))),2))</f>
        <v>0</v>
      </c>
      <c r="BH149" s="66">
        <f t="shared" si="172"/>
        <v>0</v>
      </c>
      <c r="BI149" s="66">
        <f t="shared" si="173"/>
        <v>0</v>
      </c>
      <c r="BJ149" s="66">
        <f>+IF($W149="","",ROUND((BG149*Parámetros!$G$85),2))</f>
        <v>0</v>
      </c>
      <c r="BK149" s="66">
        <f>+IF($W149="","",ROUND((BG149*(Parámetros!$G$86)),2))</f>
        <v>0</v>
      </c>
      <c r="BL149" s="66">
        <f t="shared" si="174"/>
        <v>0</v>
      </c>
      <c r="BM149" t="str">
        <f t="shared" si="215"/>
        <v>00061</v>
      </c>
      <c r="BN149" t="str">
        <f t="shared" si="216"/>
        <v>Gastos de Entierro</v>
      </c>
      <c r="BO149" s="118">
        <f t="shared" si="217"/>
        <v>0</v>
      </c>
      <c r="BP149" s="118" t="str">
        <f t="shared" si="218"/>
        <v>A</v>
      </c>
      <c r="BQ149" s="119" t="str">
        <f>+IF(OR($W149="",BO149=0),"",ROUND((VLOOKUP(ROUNDDOWN($D149-1/frec,0),cob_adi,BB$40,FALSE)*(1+i/frec)^-0.5*(1+Parámetros!$D$103)*(1+rec_fracc)/frec),6))</f>
        <v/>
      </c>
      <c r="BR149" s="66">
        <f t="shared" si="175"/>
        <v>0</v>
      </c>
      <c r="BS149" s="119" t="str">
        <f t="shared" si="176"/>
        <v/>
      </c>
      <c r="BT149" s="66">
        <f>+IF($W149="","",ROUND(IF($B149&gt;Parámetros!$D$107,'Tablas Servicio'!BR149+('Tablas Servicio'!BT148-'Tablas Servicio'!BR148),BR149/(1-IF(B149&lt;=10,Parámetros!$D$100,0))),2))</f>
        <v>0</v>
      </c>
      <c r="BU149" s="66">
        <f t="shared" si="177"/>
        <v>0</v>
      </c>
      <c r="BV149" s="66">
        <f t="shared" si="177"/>
        <v>0</v>
      </c>
      <c r="BW149" s="66">
        <f>+IF($W149="","",ROUND((BT149*Parámetros!$G$85),2))</f>
        <v>0</v>
      </c>
      <c r="BX149" s="66">
        <f>+IF($W149="","",ROUND((BT149*(Parámetros!$G$86)),2))</f>
        <v>0</v>
      </c>
      <c r="BY149" s="66">
        <f t="shared" si="178"/>
        <v>0</v>
      </c>
      <c r="BZ149" t="str">
        <f t="shared" si="219"/>
        <v>00062</v>
      </c>
      <c r="CA149" t="str">
        <f t="shared" si="220"/>
        <v>Gastos médicos por accidente</v>
      </c>
      <c r="CB149" s="118">
        <f t="shared" si="221"/>
        <v>0</v>
      </c>
      <c r="CC149" s="118" t="str">
        <f t="shared" si="222"/>
        <v>A</v>
      </c>
      <c r="CD149" s="119" t="str">
        <f t="shared" si="179"/>
        <v/>
      </c>
      <c r="CE149" s="66">
        <f>+IF($W149="","",ROUND((VLOOKUP(ROUNDDOWN($D149-1/frec,0),cob_adi,BO$40,FALSE)*(1+i/frec)^-0.5*(1+Parámetros!$D$103)*(1+rec_fracc)/frec*'TABLAS ADI'!$BC$17),2))</f>
        <v>0</v>
      </c>
      <c r="CF149" s="119" t="str">
        <f t="shared" si="180"/>
        <v/>
      </c>
      <c r="CG149" s="66">
        <f>+IF($W149="","",ROUND(IF($B149&gt;Parámetros!$D$107,'Tablas Servicio'!CE149+('Tablas Servicio'!CG148-'Tablas Servicio'!CE148),CE149/(1-IF(B149&lt;=10,Parámetros!$D$100,0))),2))</f>
        <v>0</v>
      </c>
      <c r="CH149" s="66">
        <f t="shared" si="181"/>
        <v>0</v>
      </c>
      <c r="CI149" s="66">
        <f t="shared" si="181"/>
        <v>0</v>
      </c>
      <c r="CJ149" s="66">
        <f>+IF($W149="","",ROUND((CG149*Parámetros!$G$85),2))</f>
        <v>0</v>
      </c>
      <c r="CK149" s="66">
        <f>+IF($W149="","",ROUND((CG149*(Parámetros!$G$86)),2))</f>
        <v>0</v>
      </c>
      <c r="CL149" s="66">
        <f t="shared" si="182"/>
        <v>0</v>
      </c>
      <c r="CM149" t="str">
        <f t="shared" si="223"/>
        <v>00063</v>
      </c>
      <c r="CN149" s="118" t="str">
        <f t="shared" si="224"/>
        <v>Renta Diaria por Hospitalización</v>
      </c>
      <c r="CO149" s="118">
        <f t="shared" si="225"/>
        <v>0</v>
      </c>
      <c r="CP149" s="118" t="str">
        <f t="shared" si="226"/>
        <v>A</v>
      </c>
      <c r="CQ149" s="119" t="str">
        <f t="shared" si="183"/>
        <v/>
      </c>
      <c r="CR149" s="66">
        <f>+IF($W149="","",ROUND((VLOOKUP(Parámetros!$F$51,'COBERTURAS ADICIONALES'!$S$4:$T$32,2,FALSE)*(1+i/frec)^-0.5*(1+Parámetros!$D$103)*(1+rec_fracc)/frec*$CO$42),2))</f>
        <v>0</v>
      </c>
      <c r="CS149" s="119" t="str">
        <f t="shared" si="184"/>
        <v/>
      </c>
      <c r="CT149" s="66">
        <f>+IF($W149="","",ROUND(IF($B149&gt;Parámetros!$D$107,'Tablas Servicio'!CR149+('Tablas Servicio'!CT148-'Tablas Servicio'!CR148),CR149/(1-IF(B149&lt;=10,Parámetros!$D$100,0))),2))</f>
        <v>0</v>
      </c>
      <c r="CU149" s="66">
        <f t="shared" si="185"/>
        <v>0</v>
      </c>
      <c r="CV149" s="66">
        <f t="shared" si="185"/>
        <v>0</v>
      </c>
      <c r="CW149" s="66">
        <f>+IF($W149="","",ROUND((CT149*Parámetros!$G$85),2))</f>
        <v>0</v>
      </c>
      <c r="CX149" s="66">
        <f>+IF($W149="","",ROUND((CT149*(Parámetros!$G$86)),2))</f>
        <v>0</v>
      </c>
      <c r="CY149" s="66">
        <f t="shared" si="186"/>
        <v>0</v>
      </c>
      <c r="CZ149" t="str">
        <f t="shared" si="227"/>
        <v>00064</v>
      </c>
      <c r="DA149" s="118" t="str">
        <f t="shared" si="228"/>
        <v>Enfermedades Graves</v>
      </c>
      <c r="DB149" s="118">
        <f t="shared" si="229"/>
        <v>0</v>
      </c>
      <c r="DC149" s="118" t="str">
        <f t="shared" si="230"/>
        <v>A</v>
      </c>
      <c r="DD149" s="121" t="str">
        <f>+IF(OR($W149="",DB149=0),"",ROUND((VLOOKUP(ROUNDDOWN($D149-1/frec,0),cob_adi,CO$40,FALSE)*(1+i/frec)^-0.5*(1+Parámetros!$D$103)*(1+rec_fracc)/frec),6))</f>
        <v/>
      </c>
      <c r="DE149" s="66">
        <f t="shared" si="187"/>
        <v>0</v>
      </c>
      <c r="DF149" s="119" t="str">
        <f t="shared" si="188"/>
        <v/>
      </c>
      <c r="DG149" s="66">
        <f>+IF($W149="","",ROUND(IF($B149&gt;Parámetros!$D$107,'Tablas Servicio'!DE149+('Tablas Servicio'!DG148-'Tablas Servicio'!DE148),DE149/(1-IF(B149&lt;=10,Parámetros!$D$100,0))),2))</f>
        <v>0</v>
      </c>
      <c r="DH149" s="66">
        <f t="shared" si="189"/>
        <v>0</v>
      </c>
      <c r="DI149" s="66">
        <f t="shared" si="189"/>
        <v>0</v>
      </c>
      <c r="DJ149" s="66">
        <f>+IF($W149="","",ROUND((DG149*Parámetros!$G$85),2))</f>
        <v>0</v>
      </c>
      <c r="DK149" s="66">
        <f>+IF($W149="","",ROUND((DG149*(Parámetros!$G$86)),2))</f>
        <v>0</v>
      </c>
      <c r="DL149" s="66">
        <f t="shared" si="190"/>
        <v>0</v>
      </c>
      <c r="DM149" t="str">
        <f t="shared" si="231"/>
        <v>00065</v>
      </c>
      <c r="DN149" s="118" t="str">
        <f t="shared" si="232"/>
        <v>Exención pago de primas</v>
      </c>
      <c r="DO149" s="118">
        <f t="shared" si="233"/>
        <v>0</v>
      </c>
      <c r="DP149" s="118" t="str">
        <f t="shared" si="234"/>
        <v>A</v>
      </c>
      <c r="DQ149" s="122" t="str">
        <f>+IF(OR($W149="",DO149=0),"",ROUND((VLOOKUP(ROUNDDOWN($D149-1/frec,0),cob_adi,DB$40,FALSE)*(1+i/frec)^-0.5*(1+Parámetros!$D$103)*(1+rec_fracc)/frec),6))</f>
        <v/>
      </c>
      <c r="DR149" s="66">
        <f t="shared" si="191"/>
        <v>0</v>
      </c>
      <c r="DS149" s="68" t="str">
        <f t="shared" si="192"/>
        <v/>
      </c>
      <c r="DT149" s="66">
        <f>+IF($W149="","",ROUND(IF($B149&gt;Parámetros!$D$107,'Tablas Servicio'!DR149+('Tablas Servicio'!DT148-'Tablas Servicio'!DR148),DR149/(1-IF(B149&lt;=10,Parámetros!$D$100,0))),2))</f>
        <v>0</v>
      </c>
      <c r="DU149" s="66">
        <f t="shared" si="193"/>
        <v>0</v>
      </c>
      <c r="DV149" s="66">
        <f t="shared" si="193"/>
        <v>0</v>
      </c>
      <c r="DW149" s="66">
        <f>+IF($W149="","",ROUND((DT149*Parámetros!$G$85),2))</f>
        <v>0</v>
      </c>
      <c r="DX149" s="66">
        <f>+IF($W149="","",ROUND((DT149*(Parámetros!$G$86)),2))</f>
        <v>0</v>
      </c>
      <c r="DY149" s="66">
        <f t="shared" si="194"/>
        <v>0</v>
      </c>
      <c r="DZ149" t="str">
        <f t="shared" si="236"/>
        <v>00066</v>
      </c>
      <c r="EA149" s="118" t="str">
        <f t="shared" si="236"/>
        <v>Enfermedad terminal</v>
      </c>
      <c r="EB149" s="118">
        <f>+IF($W149="","",ROUND(IF(Parámetros!$D$25='TABLAS MORT'!$V$33,EB148,Z149/2),0))</f>
        <v>50000</v>
      </c>
      <c r="EC149" s="118" t="str">
        <f t="shared" si="236"/>
        <v>A</v>
      </c>
      <c r="ED149" s="122">
        <f>+IF(OR($W149="",EB149=0),"",ROUND((VLOOKUP(ROUNDDOWN($D149-1/frec,0),cob_adi,DO$40,FALSE)*(1+i/frec)^-0.5*(1+Parámetros!$D$103)*(1+rec_fracc)/frec),6))</f>
        <v>1.2E-5</v>
      </c>
      <c r="EE149" s="66">
        <f t="shared" si="196"/>
        <v>0.6</v>
      </c>
      <c r="EF149" s="68">
        <f t="shared" si="197"/>
        <v>1.4E-5</v>
      </c>
      <c r="EG149" s="66">
        <f>+IF($W149="","",ROUND(IF($B149&gt;Parámetros!$D$107,'Tablas Servicio'!EE149+('Tablas Servicio'!EG148-'Tablas Servicio'!EE148),EE149/(1-IF(B149&lt;=10,Parámetros!$D$100,0))),2))</f>
        <v>0.68</v>
      </c>
      <c r="EH149" s="66">
        <f t="shared" si="198"/>
        <v>0</v>
      </c>
      <c r="EI149" s="66">
        <f t="shared" si="198"/>
        <v>0</v>
      </c>
      <c r="EJ149" s="66">
        <f>+IF($W149="","",ROUND((EG149*Parámetros!$G$85),2))</f>
        <v>0.02</v>
      </c>
      <c r="EK149" s="66">
        <f>+IF($W149="","",ROUND((EG149*(Parámetros!$G$86)),2))</f>
        <v>0</v>
      </c>
      <c r="EL149" s="66">
        <f t="shared" si="199"/>
        <v>0.7</v>
      </c>
    </row>
    <row r="150" spans="1:142" x14ac:dyDescent="0.25">
      <c r="A150">
        <f>+IF($C150="","",ROUND(VLOOKUP('Tablas Servicio'!B150,Parámetros!$H$100:$J$159,IF(Parámetros!$E$16="F",2,3),FALSE),2))</f>
        <v>150</v>
      </c>
      <c r="B150">
        <f t="shared" si="150"/>
        <v>10</v>
      </c>
      <c r="C150" s="57">
        <f>+IF(D150="","",'Tablas Servicio'!C149+1)</f>
        <v>109</v>
      </c>
      <c r="D150" s="56">
        <f>+IF(D149&lt;edadmaxtabla,D149+1/Parámetros!$E$25,"")</f>
        <v>49.103333333333595</v>
      </c>
      <c r="E150" s="57">
        <f t="shared" si="160"/>
        <v>49</v>
      </c>
      <c r="F150" s="59">
        <f t="shared" si="161"/>
        <v>100000</v>
      </c>
      <c r="G150" s="66">
        <f t="shared" si="151"/>
        <v>38.15</v>
      </c>
      <c r="H150" s="66">
        <f t="shared" si="152"/>
        <v>39.67</v>
      </c>
      <c r="I150" s="66">
        <f t="shared" si="200"/>
        <v>47.81</v>
      </c>
      <c r="J150" s="66">
        <f t="shared" si="153"/>
        <v>1.33</v>
      </c>
      <c r="K150" s="66">
        <f t="shared" si="154"/>
        <v>0.19</v>
      </c>
      <c r="L150" s="66">
        <f t="shared" si="155"/>
        <v>0</v>
      </c>
      <c r="M150" s="66">
        <f t="shared" si="156"/>
        <v>0</v>
      </c>
      <c r="N150" s="66">
        <f>+IF(C150="","",ROUND(Parámetros!$D$23,2))</f>
        <v>94</v>
      </c>
      <c r="O150" s="66">
        <f t="shared" si="157"/>
        <v>21.200000000000003</v>
      </c>
      <c r="P150" s="66">
        <f>+IF($C150="","",ROUND(IF(B150&gt;Parámetros!$D$117,0,N150*Parámetros!$D$116-G150*Parámetros!$D$100),2))</f>
        <v>6.52</v>
      </c>
      <c r="Q150" s="75">
        <f t="shared" si="201"/>
        <v>3.4862385321100919E-2</v>
      </c>
      <c r="R150" s="75">
        <f t="shared" si="202"/>
        <v>4.9803407601572746E-3</v>
      </c>
      <c r="S150" s="117">
        <f>+IF($C150="","",ROUND((S149+I150)*(1+Parámetros!$D$91),2))</f>
        <v>7058.03</v>
      </c>
      <c r="T150" s="117">
        <f>+IF($C150="","",ROUND(S150*VLOOKUP(B150,Parámetros!$C$30:$D$39,2,TRUE),2))</f>
        <v>7058.03</v>
      </c>
      <c r="U150" s="117">
        <f>+IF($C150="","",ROUND((U149+I150)*(1+Parámetros!$D$92),2))</f>
        <v>7232.17</v>
      </c>
      <c r="V150" s="117">
        <f>+IF($C150="","",ROUND(U150*VLOOKUP(B150,Parámetros!$C$30:$D$39,2,TRUE),2))</f>
        <v>7232.17</v>
      </c>
      <c r="W150" s="57">
        <f t="shared" si="203"/>
        <v>109</v>
      </c>
      <c r="X150" t="str">
        <f t="shared" si="204"/>
        <v>00058</v>
      </c>
      <c r="Y150" t="str">
        <f t="shared" si="205"/>
        <v>MUERTE POR CUALQUIER CAUSA</v>
      </c>
      <c r="Z150" s="118">
        <f>+IF($W150="","",ROUND(IF(Parámetros!$D$25='TABLAS MORT'!$V$33,Z149,Parámetros!$D$21-'Tablas Servicio'!T149),0))</f>
        <v>100000</v>
      </c>
      <c r="AA150" s="118" t="str">
        <f t="shared" si="206"/>
        <v>P</v>
      </c>
      <c r="AB150" s="119">
        <f>+IF(W150="","",ROUND((VLOOKUP(ROUNDDOWN($D150-1/frec,0),qx_tabla,2,FALSE)*(1+i/frec)^-0.5*(1+Parámetros!$D$103)*(1+rec_fracc)/frec),6))</f>
        <v>2.0599999999999999E-4</v>
      </c>
      <c r="AC150" s="66">
        <f t="shared" si="162"/>
        <v>20.6</v>
      </c>
      <c r="AD150" s="119">
        <f t="shared" si="158"/>
        <v>3.7500000000000001E-4</v>
      </c>
      <c r="AE150" s="66">
        <f>+IF($W150="","",ROUND(IF($B150&gt;Parámetros!$D$107,'Tablas Servicio'!AC150+('Tablas Servicio'!AG149-'Tablas Servicio'!AC149),AC150/(1-IF(B150&lt;=10,Parámetros!$D$104,Parámetros!$D$105))),2))</f>
        <v>42.63</v>
      </c>
      <c r="AF150" s="66">
        <f>+IF($W150="","",ROUND(IF($B150&gt;Parámetros!$D$107,'Tablas Servicio'!AC150+('Tablas Servicio'!AG149-'Tablas Servicio'!AC149),(AC150+$A149/frec)/(1-IF(B150&lt;=Parámetros!$D$117,Parámetros!$D$100,0))),2))</f>
        <v>37.47</v>
      </c>
      <c r="AG150" s="66">
        <f t="shared" si="163"/>
        <v>37.47</v>
      </c>
      <c r="AH150" s="66">
        <f t="shared" si="164"/>
        <v>0</v>
      </c>
      <c r="AI150" s="66">
        <f t="shared" si="165"/>
        <v>0</v>
      </c>
      <c r="AJ150" s="66">
        <f>+IF($W150="","",ROUND((AG150*Parámetros!$G$85),2))</f>
        <v>1.31</v>
      </c>
      <c r="AK150" s="66">
        <f>+IF($W150="","",ROUND((AG150*(Parámetros!$G$86)),2))</f>
        <v>0.19</v>
      </c>
      <c r="AL150" s="66">
        <f t="shared" si="159"/>
        <v>38.97</v>
      </c>
      <c r="AM150" t="str">
        <f t="shared" si="207"/>
        <v>00059</v>
      </c>
      <c r="AN150" t="str">
        <f t="shared" si="208"/>
        <v>Incapacidad Total y Permanente</v>
      </c>
      <c r="AO150" s="118">
        <f t="shared" si="209"/>
        <v>0</v>
      </c>
      <c r="AP150" s="118" t="str">
        <f t="shared" si="210"/>
        <v>A</v>
      </c>
      <c r="AQ150" s="119" t="str">
        <f>+IF(OR($W150="",AO150=0),"",ROUND((VLOOKUP(ROUNDDOWN($D150-1/frec,0),cob_adi,Z$40,FALSE)*(1+i/frec)^-0.5*(1+Parámetros!$D$103)*(1+rec_fracc)/frec),6))</f>
        <v/>
      </c>
      <c r="AR150" s="66">
        <f t="shared" si="166"/>
        <v>0</v>
      </c>
      <c r="AS150" s="119" t="str">
        <f t="shared" si="167"/>
        <v/>
      </c>
      <c r="AT150" s="66">
        <f>+IF($W150="","",ROUND(IF($B150&gt;Parámetros!$D$107,'Tablas Servicio'!AR150+('Tablas Servicio'!AT149-'Tablas Servicio'!AR149),AR150/(1-IF(B150&lt;=10,Parámetros!$D$100,0))),2))</f>
        <v>0</v>
      </c>
      <c r="AU150" s="66">
        <f t="shared" si="168"/>
        <v>0</v>
      </c>
      <c r="AV150" s="66">
        <f t="shared" si="168"/>
        <v>0</v>
      </c>
      <c r="AW150" s="66">
        <f>+IF($W150="","",ROUND((AT150*Parámetros!$G$85),2))</f>
        <v>0</v>
      </c>
      <c r="AX150" s="66">
        <f>+IF($W150="","",ROUND((AT150*(Parámetros!$G$86)),2))</f>
        <v>0</v>
      </c>
      <c r="AY150" s="66">
        <f t="shared" si="169"/>
        <v>0</v>
      </c>
      <c r="AZ150" t="str">
        <f t="shared" si="211"/>
        <v>00060</v>
      </c>
      <c r="BA150" t="str">
        <f t="shared" si="212"/>
        <v>Muerte Accidental</v>
      </c>
      <c r="BB150" s="118">
        <f t="shared" si="213"/>
        <v>0</v>
      </c>
      <c r="BC150" s="118" t="str">
        <f t="shared" si="214"/>
        <v>A</v>
      </c>
      <c r="BD150" s="119" t="str">
        <f>+IF(OR($W150="",BB150=0),"",ROUND((VLOOKUP(ROUNDDOWN($D150-1/frec,0),cob_adi,AO$40,FALSE)*(1+i/frec)^-0.5*(1+Parámetros!$D$103)*(1+rec_fracc)/frec),6))</f>
        <v/>
      </c>
      <c r="BE150" s="66">
        <f t="shared" si="170"/>
        <v>0</v>
      </c>
      <c r="BF150" s="119" t="str">
        <f t="shared" si="171"/>
        <v/>
      </c>
      <c r="BG150" s="66">
        <f>+IF($W150="","",ROUND(IF($B150&gt;Parámetros!$D$107,'Tablas Servicio'!BE150+('Tablas Servicio'!BG149-'Tablas Servicio'!BE149),BE150/(1-IF(B150&lt;=10,Parámetros!$D$100,0))),2))</f>
        <v>0</v>
      </c>
      <c r="BH150" s="66">
        <f t="shared" si="172"/>
        <v>0</v>
      </c>
      <c r="BI150" s="66">
        <f t="shared" si="173"/>
        <v>0</v>
      </c>
      <c r="BJ150" s="66">
        <f>+IF($W150="","",ROUND((BG150*Parámetros!$G$85),2))</f>
        <v>0</v>
      </c>
      <c r="BK150" s="66">
        <f>+IF($W150="","",ROUND((BG150*(Parámetros!$G$86)),2))</f>
        <v>0</v>
      </c>
      <c r="BL150" s="66">
        <f t="shared" si="174"/>
        <v>0</v>
      </c>
      <c r="BM150" t="str">
        <f t="shared" si="215"/>
        <v>00061</v>
      </c>
      <c r="BN150" t="str">
        <f t="shared" si="216"/>
        <v>Gastos de Entierro</v>
      </c>
      <c r="BO150" s="118">
        <f t="shared" si="217"/>
        <v>0</v>
      </c>
      <c r="BP150" s="118" t="str">
        <f t="shared" si="218"/>
        <v>A</v>
      </c>
      <c r="BQ150" s="119" t="str">
        <f>+IF(OR($W150="",BO150=0),"",ROUND((VLOOKUP(ROUNDDOWN($D150-1/frec,0),cob_adi,BB$40,FALSE)*(1+i/frec)^-0.5*(1+Parámetros!$D$103)*(1+rec_fracc)/frec),6))</f>
        <v/>
      </c>
      <c r="BR150" s="66">
        <f t="shared" si="175"/>
        <v>0</v>
      </c>
      <c r="BS150" s="119" t="str">
        <f t="shared" si="176"/>
        <v/>
      </c>
      <c r="BT150" s="66">
        <f>+IF($W150="","",ROUND(IF($B150&gt;Parámetros!$D$107,'Tablas Servicio'!BR150+('Tablas Servicio'!BT149-'Tablas Servicio'!BR149),BR150/(1-IF(B150&lt;=10,Parámetros!$D$100,0))),2))</f>
        <v>0</v>
      </c>
      <c r="BU150" s="66">
        <f t="shared" si="177"/>
        <v>0</v>
      </c>
      <c r="BV150" s="66">
        <f t="shared" si="177"/>
        <v>0</v>
      </c>
      <c r="BW150" s="66">
        <f>+IF($W150="","",ROUND((BT150*Parámetros!$G$85),2))</f>
        <v>0</v>
      </c>
      <c r="BX150" s="66">
        <f>+IF($W150="","",ROUND((BT150*(Parámetros!$G$86)),2))</f>
        <v>0</v>
      </c>
      <c r="BY150" s="66">
        <f t="shared" si="178"/>
        <v>0</v>
      </c>
      <c r="BZ150" t="str">
        <f t="shared" si="219"/>
        <v>00062</v>
      </c>
      <c r="CA150" t="str">
        <f t="shared" si="220"/>
        <v>Gastos médicos por accidente</v>
      </c>
      <c r="CB150" s="118">
        <f t="shared" si="221"/>
        <v>0</v>
      </c>
      <c r="CC150" s="118" t="str">
        <f t="shared" si="222"/>
        <v>A</v>
      </c>
      <c r="CD150" s="119" t="str">
        <f t="shared" si="179"/>
        <v/>
      </c>
      <c r="CE150" s="66">
        <f>+IF($W150="","",ROUND((VLOOKUP(ROUNDDOWN($D150-1/frec,0),cob_adi,BO$40,FALSE)*(1+i/frec)^-0.5*(1+Parámetros!$D$103)*(1+rec_fracc)/frec*'TABLAS ADI'!$BC$17),2))</f>
        <v>0</v>
      </c>
      <c r="CF150" s="119" t="str">
        <f t="shared" si="180"/>
        <v/>
      </c>
      <c r="CG150" s="66">
        <f>+IF($W150="","",ROUND(IF($B150&gt;Parámetros!$D$107,'Tablas Servicio'!CE150+('Tablas Servicio'!CG149-'Tablas Servicio'!CE149),CE150/(1-IF(B150&lt;=10,Parámetros!$D$100,0))),2))</f>
        <v>0</v>
      </c>
      <c r="CH150" s="66">
        <f t="shared" si="181"/>
        <v>0</v>
      </c>
      <c r="CI150" s="66">
        <f t="shared" si="181"/>
        <v>0</v>
      </c>
      <c r="CJ150" s="66">
        <f>+IF($W150="","",ROUND((CG150*Parámetros!$G$85),2))</f>
        <v>0</v>
      </c>
      <c r="CK150" s="66">
        <f>+IF($W150="","",ROUND((CG150*(Parámetros!$G$86)),2))</f>
        <v>0</v>
      </c>
      <c r="CL150" s="66">
        <f t="shared" si="182"/>
        <v>0</v>
      </c>
      <c r="CM150" t="str">
        <f t="shared" si="223"/>
        <v>00063</v>
      </c>
      <c r="CN150" s="118" t="str">
        <f t="shared" si="224"/>
        <v>Renta Diaria por Hospitalización</v>
      </c>
      <c r="CO150" s="118">
        <f t="shared" si="225"/>
        <v>0</v>
      </c>
      <c r="CP150" s="118" t="str">
        <f t="shared" si="226"/>
        <v>A</v>
      </c>
      <c r="CQ150" s="119" t="str">
        <f t="shared" si="183"/>
        <v/>
      </c>
      <c r="CR150" s="66">
        <f>+IF($W150="","",ROUND((VLOOKUP(Parámetros!$F$51,'COBERTURAS ADICIONALES'!$S$4:$T$32,2,FALSE)*(1+i/frec)^-0.5*(1+Parámetros!$D$103)*(1+rec_fracc)/frec*$CO$42),2))</f>
        <v>0</v>
      </c>
      <c r="CS150" s="119" t="str">
        <f t="shared" si="184"/>
        <v/>
      </c>
      <c r="CT150" s="66">
        <f>+IF($W150="","",ROUND(IF($B150&gt;Parámetros!$D$107,'Tablas Servicio'!CR150+('Tablas Servicio'!CT149-'Tablas Servicio'!CR149),CR150/(1-IF(B150&lt;=10,Parámetros!$D$100,0))),2))</f>
        <v>0</v>
      </c>
      <c r="CU150" s="66">
        <f t="shared" si="185"/>
        <v>0</v>
      </c>
      <c r="CV150" s="66">
        <f t="shared" si="185"/>
        <v>0</v>
      </c>
      <c r="CW150" s="66">
        <f>+IF($W150="","",ROUND((CT150*Parámetros!$G$85),2))</f>
        <v>0</v>
      </c>
      <c r="CX150" s="66">
        <f>+IF($W150="","",ROUND((CT150*(Parámetros!$G$86)),2))</f>
        <v>0</v>
      </c>
      <c r="CY150" s="66">
        <f t="shared" si="186"/>
        <v>0</v>
      </c>
      <c r="CZ150" t="str">
        <f t="shared" si="227"/>
        <v>00064</v>
      </c>
      <c r="DA150" s="118" t="str">
        <f t="shared" si="228"/>
        <v>Enfermedades Graves</v>
      </c>
      <c r="DB150" s="118">
        <f t="shared" si="229"/>
        <v>0</v>
      </c>
      <c r="DC150" s="118" t="str">
        <f t="shared" si="230"/>
        <v>A</v>
      </c>
      <c r="DD150" s="121" t="str">
        <f>+IF(OR($W150="",DB150=0),"",ROUND((VLOOKUP(ROUNDDOWN($D150-1/frec,0),cob_adi,CO$40,FALSE)*(1+i/frec)^-0.5*(1+Parámetros!$D$103)*(1+rec_fracc)/frec),6))</f>
        <v/>
      </c>
      <c r="DE150" s="66">
        <f t="shared" si="187"/>
        <v>0</v>
      </c>
      <c r="DF150" s="119" t="str">
        <f t="shared" si="188"/>
        <v/>
      </c>
      <c r="DG150" s="66">
        <f>+IF($W150="","",ROUND(IF($B150&gt;Parámetros!$D$107,'Tablas Servicio'!DE150+('Tablas Servicio'!DG149-'Tablas Servicio'!DE149),DE150/(1-IF(B150&lt;=10,Parámetros!$D$100,0))),2))</f>
        <v>0</v>
      </c>
      <c r="DH150" s="66">
        <f t="shared" si="189"/>
        <v>0</v>
      </c>
      <c r="DI150" s="66">
        <f t="shared" si="189"/>
        <v>0</v>
      </c>
      <c r="DJ150" s="66">
        <f>+IF($W150="","",ROUND((DG150*Parámetros!$G$85),2))</f>
        <v>0</v>
      </c>
      <c r="DK150" s="66">
        <f>+IF($W150="","",ROUND((DG150*(Parámetros!$G$86)),2))</f>
        <v>0</v>
      </c>
      <c r="DL150" s="66">
        <f t="shared" si="190"/>
        <v>0</v>
      </c>
      <c r="DM150" t="str">
        <f t="shared" si="231"/>
        <v>00065</v>
      </c>
      <c r="DN150" s="118" t="str">
        <f t="shared" si="232"/>
        <v>Exención pago de primas</v>
      </c>
      <c r="DO150" s="118">
        <f t="shared" si="233"/>
        <v>0</v>
      </c>
      <c r="DP150" s="118" t="str">
        <f t="shared" si="234"/>
        <v>A</v>
      </c>
      <c r="DQ150" s="122" t="str">
        <f>+IF(OR($W150="",DO150=0),"",ROUND((VLOOKUP(ROUNDDOWN($D150-1/frec,0),cob_adi,DB$40,FALSE)*(1+i/frec)^-0.5*(1+Parámetros!$D$103)*(1+rec_fracc)/frec),6))</f>
        <v/>
      </c>
      <c r="DR150" s="66">
        <f t="shared" si="191"/>
        <v>0</v>
      </c>
      <c r="DS150" s="68" t="str">
        <f t="shared" si="192"/>
        <v/>
      </c>
      <c r="DT150" s="66">
        <f>+IF($W150="","",ROUND(IF($B150&gt;Parámetros!$D$107,'Tablas Servicio'!DR150+('Tablas Servicio'!DT149-'Tablas Servicio'!DR149),DR150/(1-IF(B150&lt;=10,Parámetros!$D$100,0))),2))</f>
        <v>0</v>
      </c>
      <c r="DU150" s="66">
        <f t="shared" si="193"/>
        <v>0</v>
      </c>
      <c r="DV150" s="66">
        <f t="shared" si="193"/>
        <v>0</v>
      </c>
      <c r="DW150" s="66">
        <f>+IF($W150="","",ROUND((DT150*Parámetros!$G$85),2))</f>
        <v>0</v>
      </c>
      <c r="DX150" s="66">
        <f>+IF($W150="","",ROUND((DT150*(Parámetros!$G$86)),2))</f>
        <v>0</v>
      </c>
      <c r="DY150" s="66">
        <f t="shared" si="194"/>
        <v>0</v>
      </c>
      <c r="DZ150" t="str">
        <f t="shared" si="236"/>
        <v>00066</v>
      </c>
      <c r="EA150" s="118" t="str">
        <f t="shared" si="236"/>
        <v>Enfermedad terminal</v>
      </c>
      <c r="EB150" s="118">
        <f>+IF($W150="","",ROUND(IF(Parámetros!$D$25='TABLAS MORT'!$V$33,EB149,Z150/2),0))</f>
        <v>50000</v>
      </c>
      <c r="EC150" s="118" t="str">
        <f t="shared" si="236"/>
        <v>A</v>
      </c>
      <c r="ED150" s="122">
        <f>+IF(OR($W150="",EB150=0),"",ROUND((VLOOKUP(ROUNDDOWN($D150-1/frec,0),cob_adi,DO$40,FALSE)*(1+i/frec)^-0.5*(1+Parámetros!$D$103)*(1+rec_fracc)/frec),6))</f>
        <v>1.2E-5</v>
      </c>
      <c r="EE150" s="66">
        <f t="shared" si="196"/>
        <v>0.6</v>
      </c>
      <c r="EF150" s="68">
        <f t="shared" si="197"/>
        <v>1.4E-5</v>
      </c>
      <c r="EG150" s="66">
        <f>+IF($W150="","",ROUND(IF($B150&gt;Parámetros!$D$107,'Tablas Servicio'!EE150+('Tablas Servicio'!EG149-'Tablas Servicio'!EE149),EE150/(1-IF(B150&lt;=10,Parámetros!$D$100,0))),2))</f>
        <v>0.68</v>
      </c>
      <c r="EH150" s="66">
        <f t="shared" si="198"/>
        <v>0</v>
      </c>
      <c r="EI150" s="66">
        <f t="shared" si="198"/>
        <v>0</v>
      </c>
      <c r="EJ150" s="66">
        <f>+IF($W150="","",ROUND((EG150*Parámetros!$G$85),2))</f>
        <v>0.02</v>
      </c>
      <c r="EK150" s="66">
        <f>+IF($W150="","",ROUND((EG150*(Parámetros!$G$86)),2))</f>
        <v>0</v>
      </c>
      <c r="EL150" s="66">
        <f t="shared" si="199"/>
        <v>0.7</v>
      </c>
    </row>
    <row r="151" spans="1:142" x14ac:dyDescent="0.25">
      <c r="A151">
        <f>+IF($C151="","",ROUND(VLOOKUP('Tablas Servicio'!B151,Parámetros!$H$100:$J$159,IF(Parámetros!$E$16="F",2,3),FALSE),2))</f>
        <v>150</v>
      </c>
      <c r="B151">
        <f t="shared" si="150"/>
        <v>10</v>
      </c>
      <c r="C151" s="57">
        <f>+IF(D151="","",'Tablas Servicio'!C150+1)</f>
        <v>110</v>
      </c>
      <c r="D151" s="56">
        <f>+IF(D150&lt;edadmaxtabla,D150+1/Parámetros!$E$25,"")</f>
        <v>49.18666666666693</v>
      </c>
      <c r="E151" s="57">
        <f t="shared" si="160"/>
        <v>49</v>
      </c>
      <c r="F151" s="59">
        <f t="shared" si="161"/>
        <v>100000</v>
      </c>
      <c r="G151" s="66">
        <f t="shared" si="151"/>
        <v>38.15</v>
      </c>
      <c r="H151" s="66">
        <f t="shared" si="152"/>
        <v>39.67</v>
      </c>
      <c r="I151" s="66">
        <f t="shared" si="200"/>
        <v>47.81</v>
      </c>
      <c r="J151" s="66">
        <f t="shared" si="153"/>
        <v>1.33</v>
      </c>
      <c r="K151" s="66">
        <f t="shared" si="154"/>
        <v>0.19</v>
      </c>
      <c r="L151" s="66">
        <f t="shared" si="155"/>
        <v>0</v>
      </c>
      <c r="M151" s="66">
        <f t="shared" si="156"/>
        <v>0</v>
      </c>
      <c r="N151" s="66">
        <f>+IF(C151="","",ROUND(Parámetros!$D$23,2))</f>
        <v>94</v>
      </c>
      <c r="O151" s="66">
        <f t="shared" si="157"/>
        <v>21.200000000000003</v>
      </c>
      <c r="P151" s="66">
        <f>+IF($C151="","",ROUND(IF(B151&gt;Parámetros!$D$117,0,N151*Parámetros!$D$116-G151*Parámetros!$D$100),2))</f>
        <v>6.52</v>
      </c>
      <c r="Q151" s="75">
        <f t="shared" si="201"/>
        <v>3.4862385321100919E-2</v>
      </c>
      <c r="R151" s="75">
        <f t="shared" si="202"/>
        <v>4.9803407601572746E-3</v>
      </c>
      <c r="S151" s="117">
        <f>+IF($C151="","",ROUND((S150+I151)*(1+Parámetros!$D$91),2))</f>
        <v>7126</v>
      </c>
      <c r="T151" s="117">
        <f>+IF($C151="","",ROUND(S151*VLOOKUP(B151,Parámetros!$C$30:$D$39,2,TRUE),2))</f>
        <v>7126</v>
      </c>
      <c r="U151" s="117">
        <f>+IF($C151="","",ROUND((U150+I151)*(1+Parámetros!$D$92),2))</f>
        <v>7303.58</v>
      </c>
      <c r="V151" s="117">
        <f>+IF($C151="","",ROUND(U151*VLOOKUP(B151,Parámetros!$C$30:$D$39,2,TRUE),2))</f>
        <v>7303.58</v>
      </c>
      <c r="W151" s="57">
        <f t="shared" si="203"/>
        <v>110</v>
      </c>
      <c r="X151" t="str">
        <f t="shared" si="204"/>
        <v>00058</v>
      </c>
      <c r="Y151" t="str">
        <f t="shared" si="205"/>
        <v>MUERTE POR CUALQUIER CAUSA</v>
      </c>
      <c r="Z151" s="118">
        <f>+IF($W151="","",ROUND(IF(Parámetros!$D$25='TABLAS MORT'!$V$33,Z150,Parámetros!$D$21-'Tablas Servicio'!T150),0))</f>
        <v>100000</v>
      </c>
      <c r="AA151" s="118" t="str">
        <f t="shared" si="206"/>
        <v>P</v>
      </c>
      <c r="AB151" s="119">
        <f>+IF(W151="","",ROUND((VLOOKUP(ROUNDDOWN($D151-1/frec,0),qx_tabla,2,FALSE)*(1+i/frec)^-0.5*(1+Parámetros!$D$103)*(1+rec_fracc)/frec),6))</f>
        <v>2.0599999999999999E-4</v>
      </c>
      <c r="AC151" s="66">
        <f t="shared" si="162"/>
        <v>20.6</v>
      </c>
      <c r="AD151" s="119">
        <f t="shared" si="158"/>
        <v>3.7500000000000001E-4</v>
      </c>
      <c r="AE151" s="66">
        <f>+IF($W151="","",ROUND(IF($B151&gt;Parámetros!$D$107,'Tablas Servicio'!AC151+('Tablas Servicio'!AG150-'Tablas Servicio'!AC150),AC151/(1-IF(B151&lt;=10,Parámetros!$D$104,Parámetros!$D$105))),2))</f>
        <v>42.63</v>
      </c>
      <c r="AF151" s="66">
        <f>+IF($W151="","",ROUND(IF($B151&gt;Parámetros!$D$107,'Tablas Servicio'!AC151+('Tablas Servicio'!AG150-'Tablas Servicio'!AC150),(AC151+$A150/frec)/(1-IF(B151&lt;=Parámetros!$D$117,Parámetros!$D$100,0))),2))</f>
        <v>37.47</v>
      </c>
      <c r="AG151" s="66">
        <f t="shared" si="163"/>
        <v>37.47</v>
      </c>
      <c r="AH151" s="66">
        <f t="shared" si="164"/>
        <v>0</v>
      </c>
      <c r="AI151" s="66">
        <f t="shared" si="165"/>
        <v>0</v>
      </c>
      <c r="AJ151" s="66">
        <f>+IF($W151="","",ROUND((AG151*Parámetros!$G$85),2))</f>
        <v>1.31</v>
      </c>
      <c r="AK151" s="66">
        <f>+IF($W151="","",ROUND((AG151*(Parámetros!$G$86)),2))</f>
        <v>0.19</v>
      </c>
      <c r="AL151" s="66">
        <f t="shared" si="159"/>
        <v>38.97</v>
      </c>
      <c r="AM151" t="str">
        <f t="shared" si="207"/>
        <v>00059</v>
      </c>
      <c r="AN151" t="str">
        <f t="shared" si="208"/>
        <v>Incapacidad Total y Permanente</v>
      </c>
      <c r="AO151" s="118">
        <f t="shared" si="209"/>
        <v>0</v>
      </c>
      <c r="AP151" s="118" t="str">
        <f t="shared" si="210"/>
        <v>A</v>
      </c>
      <c r="AQ151" s="119" t="str">
        <f>+IF(OR($W151="",AO151=0),"",ROUND((VLOOKUP(ROUNDDOWN($D151-1/frec,0),cob_adi,Z$40,FALSE)*(1+i/frec)^-0.5*(1+Parámetros!$D$103)*(1+rec_fracc)/frec),6))</f>
        <v/>
      </c>
      <c r="AR151" s="66">
        <f t="shared" si="166"/>
        <v>0</v>
      </c>
      <c r="AS151" s="119" t="str">
        <f t="shared" si="167"/>
        <v/>
      </c>
      <c r="AT151" s="66">
        <f>+IF($W151="","",ROUND(IF($B151&gt;Parámetros!$D$107,'Tablas Servicio'!AR151+('Tablas Servicio'!AT150-'Tablas Servicio'!AR150),AR151/(1-IF(B151&lt;=10,Parámetros!$D$100,0))),2))</f>
        <v>0</v>
      </c>
      <c r="AU151" s="66">
        <f t="shared" si="168"/>
        <v>0</v>
      </c>
      <c r="AV151" s="66">
        <f t="shared" si="168"/>
        <v>0</v>
      </c>
      <c r="AW151" s="66">
        <f>+IF($W151="","",ROUND((AT151*Parámetros!$G$85),2))</f>
        <v>0</v>
      </c>
      <c r="AX151" s="66">
        <f>+IF($W151="","",ROUND((AT151*(Parámetros!$G$86)),2))</f>
        <v>0</v>
      </c>
      <c r="AY151" s="66">
        <f t="shared" si="169"/>
        <v>0</v>
      </c>
      <c r="AZ151" t="str">
        <f t="shared" si="211"/>
        <v>00060</v>
      </c>
      <c r="BA151" t="str">
        <f t="shared" si="212"/>
        <v>Muerte Accidental</v>
      </c>
      <c r="BB151" s="118">
        <f t="shared" si="213"/>
        <v>0</v>
      </c>
      <c r="BC151" s="118" t="str">
        <f t="shared" si="214"/>
        <v>A</v>
      </c>
      <c r="BD151" s="119" t="str">
        <f>+IF(OR($W151="",BB151=0),"",ROUND((VLOOKUP(ROUNDDOWN($D151-1/frec,0),cob_adi,AO$40,FALSE)*(1+i/frec)^-0.5*(1+Parámetros!$D$103)*(1+rec_fracc)/frec),6))</f>
        <v/>
      </c>
      <c r="BE151" s="66">
        <f t="shared" si="170"/>
        <v>0</v>
      </c>
      <c r="BF151" s="119" t="str">
        <f t="shared" si="171"/>
        <v/>
      </c>
      <c r="BG151" s="66">
        <f>+IF($W151="","",ROUND(IF($B151&gt;Parámetros!$D$107,'Tablas Servicio'!BE151+('Tablas Servicio'!BG150-'Tablas Servicio'!BE150),BE151/(1-IF(B151&lt;=10,Parámetros!$D$100,0))),2))</f>
        <v>0</v>
      </c>
      <c r="BH151" s="66">
        <f t="shared" si="172"/>
        <v>0</v>
      </c>
      <c r="BI151" s="66">
        <f t="shared" si="173"/>
        <v>0</v>
      </c>
      <c r="BJ151" s="66">
        <f>+IF($W151="","",ROUND((BG151*Parámetros!$G$85),2))</f>
        <v>0</v>
      </c>
      <c r="BK151" s="66">
        <f>+IF($W151="","",ROUND((BG151*(Parámetros!$G$86)),2))</f>
        <v>0</v>
      </c>
      <c r="BL151" s="66">
        <f t="shared" si="174"/>
        <v>0</v>
      </c>
      <c r="BM151" t="str">
        <f t="shared" si="215"/>
        <v>00061</v>
      </c>
      <c r="BN151" t="str">
        <f t="shared" si="216"/>
        <v>Gastos de Entierro</v>
      </c>
      <c r="BO151" s="118">
        <f t="shared" si="217"/>
        <v>0</v>
      </c>
      <c r="BP151" s="118" t="str">
        <f t="shared" si="218"/>
        <v>A</v>
      </c>
      <c r="BQ151" s="119" t="str">
        <f>+IF(OR($W151="",BO151=0),"",ROUND((VLOOKUP(ROUNDDOWN($D151-1/frec,0),cob_adi,BB$40,FALSE)*(1+i/frec)^-0.5*(1+Parámetros!$D$103)*(1+rec_fracc)/frec),6))</f>
        <v/>
      </c>
      <c r="BR151" s="66">
        <f t="shared" si="175"/>
        <v>0</v>
      </c>
      <c r="BS151" s="119" t="str">
        <f t="shared" si="176"/>
        <v/>
      </c>
      <c r="BT151" s="66">
        <f>+IF($W151="","",ROUND(IF($B151&gt;Parámetros!$D$107,'Tablas Servicio'!BR151+('Tablas Servicio'!BT150-'Tablas Servicio'!BR150),BR151/(1-IF(B151&lt;=10,Parámetros!$D$100,0))),2))</f>
        <v>0</v>
      </c>
      <c r="BU151" s="66">
        <f t="shared" si="177"/>
        <v>0</v>
      </c>
      <c r="BV151" s="66">
        <f t="shared" si="177"/>
        <v>0</v>
      </c>
      <c r="BW151" s="66">
        <f>+IF($W151="","",ROUND((BT151*Parámetros!$G$85),2))</f>
        <v>0</v>
      </c>
      <c r="BX151" s="66">
        <f>+IF($W151="","",ROUND((BT151*(Parámetros!$G$86)),2))</f>
        <v>0</v>
      </c>
      <c r="BY151" s="66">
        <f t="shared" si="178"/>
        <v>0</v>
      </c>
      <c r="BZ151" t="str">
        <f t="shared" si="219"/>
        <v>00062</v>
      </c>
      <c r="CA151" t="str">
        <f t="shared" si="220"/>
        <v>Gastos médicos por accidente</v>
      </c>
      <c r="CB151" s="118">
        <f t="shared" si="221"/>
        <v>0</v>
      </c>
      <c r="CC151" s="118" t="str">
        <f t="shared" si="222"/>
        <v>A</v>
      </c>
      <c r="CD151" s="119" t="str">
        <f t="shared" si="179"/>
        <v/>
      </c>
      <c r="CE151" s="66">
        <f>+IF($W151="","",ROUND((VLOOKUP(ROUNDDOWN($D151-1/frec,0),cob_adi,BO$40,FALSE)*(1+i/frec)^-0.5*(1+Parámetros!$D$103)*(1+rec_fracc)/frec*'TABLAS ADI'!$BC$17),2))</f>
        <v>0</v>
      </c>
      <c r="CF151" s="119" t="str">
        <f t="shared" si="180"/>
        <v/>
      </c>
      <c r="CG151" s="66">
        <f>+IF($W151="","",ROUND(IF($B151&gt;Parámetros!$D$107,'Tablas Servicio'!CE151+('Tablas Servicio'!CG150-'Tablas Servicio'!CE150),CE151/(1-IF(B151&lt;=10,Parámetros!$D$100,0))),2))</f>
        <v>0</v>
      </c>
      <c r="CH151" s="66">
        <f t="shared" si="181"/>
        <v>0</v>
      </c>
      <c r="CI151" s="66">
        <f t="shared" si="181"/>
        <v>0</v>
      </c>
      <c r="CJ151" s="66">
        <f>+IF($W151="","",ROUND((CG151*Parámetros!$G$85),2))</f>
        <v>0</v>
      </c>
      <c r="CK151" s="66">
        <f>+IF($W151="","",ROUND((CG151*(Parámetros!$G$86)),2))</f>
        <v>0</v>
      </c>
      <c r="CL151" s="66">
        <f t="shared" si="182"/>
        <v>0</v>
      </c>
      <c r="CM151" t="str">
        <f t="shared" si="223"/>
        <v>00063</v>
      </c>
      <c r="CN151" s="118" t="str">
        <f t="shared" si="224"/>
        <v>Renta Diaria por Hospitalización</v>
      </c>
      <c r="CO151" s="118">
        <f t="shared" si="225"/>
        <v>0</v>
      </c>
      <c r="CP151" s="118" t="str">
        <f t="shared" si="226"/>
        <v>A</v>
      </c>
      <c r="CQ151" s="119" t="str">
        <f t="shared" si="183"/>
        <v/>
      </c>
      <c r="CR151" s="66">
        <f>+IF($W151="","",ROUND((VLOOKUP(Parámetros!$F$51,'COBERTURAS ADICIONALES'!$S$4:$T$32,2,FALSE)*(1+i/frec)^-0.5*(1+Parámetros!$D$103)*(1+rec_fracc)/frec*$CO$42),2))</f>
        <v>0</v>
      </c>
      <c r="CS151" s="119" t="str">
        <f t="shared" si="184"/>
        <v/>
      </c>
      <c r="CT151" s="66">
        <f>+IF($W151="","",ROUND(IF($B151&gt;Parámetros!$D$107,'Tablas Servicio'!CR151+('Tablas Servicio'!CT150-'Tablas Servicio'!CR150),CR151/(1-IF(B151&lt;=10,Parámetros!$D$100,0))),2))</f>
        <v>0</v>
      </c>
      <c r="CU151" s="66">
        <f t="shared" si="185"/>
        <v>0</v>
      </c>
      <c r="CV151" s="66">
        <f t="shared" si="185"/>
        <v>0</v>
      </c>
      <c r="CW151" s="66">
        <f>+IF($W151="","",ROUND((CT151*Parámetros!$G$85),2))</f>
        <v>0</v>
      </c>
      <c r="CX151" s="66">
        <f>+IF($W151="","",ROUND((CT151*(Parámetros!$G$86)),2))</f>
        <v>0</v>
      </c>
      <c r="CY151" s="66">
        <f t="shared" si="186"/>
        <v>0</v>
      </c>
      <c r="CZ151" t="str">
        <f t="shared" si="227"/>
        <v>00064</v>
      </c>
      <c r="DA151" s="118" t="str">
        <f t="shared" si="228"/>
        <v>Enfermedades Graves</v>
      </c>
      <c r="DB151" s="118">
        <f t="shared" si="229"/>
        <v>0</v>
      </c>
      <c r="DC151" s="118" t="str">
        <f t="shared" si="230"/>
        <v>A</v>
      </c>
      <c r="DD151" s="121" t="str">
        <f>+IF(OR($W151="",DB151=0),"",ROUND((VLOOKUP(ROUNDDOWN($D151-1/frec,0),cob_adi,CO$40,FALSE)*(1+i/frec)^-0.5*(1+Parámetros!$D$103)*(1+rec_fracc)/frec),6))</f>
        <v/>
      </c>
      <c r="DE151" s="66">
        <f t="shared" si="187"/>
        <v>0</v>
      </c>
      <c r="DF151" s="119" t="str">
        <f t="shared" si="188"/>
        <v/>
      </c>
      <c r="DG151" s="66">
        <f>+IF($W151="","",ROUND(IF($B151&gt;Parámetros!$D$107,'Tablas Servicio'!DE151+('Tablas Servicio'!DG150-'Tablas Servicio'!DE150),DE151/(1-IF(B151&lt;=10,Parámetros!$D$100,0))),2))</f>
        <v>0</v>
      </c>
      <c r="DH151" s="66">
        <f t="shared" si="189"/>
        <v>0</v>
      </c>
      <c r="DI151" s="66">
        <f t="shared" si="189"/>
        <v>0</v>
      </c>
      <c r="DJ151" s="66">
        <f>+IF($W151="","",ROUND((DG151*Parámetros!$G$85),2))</f>
        <v>0</v>
      </c>
      <c r="DK151" s="66">
        <f>+IF($W151="","",ROUND((DG151*(Parámetros!$G$86)),2))</f>
        <v>0</v>
      </c>
      <c r="DL151" s="66">
        <f t="shared" si="190"/>
        <v>0</v>
      </c>
      <c r="DM151" t="str">
        <f t="shared" si="231"/>
        <v>00065</v>
      </c>
      <c r="DN151" s="118" t="str">
        <f t="shared" si="232"/>
        <v>Exención pago de primas</v>
      </c>
      <c r="DO151" s="118">
        <f t="shared" si="233"/>
        <v>0</v>
      </c>
      <c r="DP151" s="118" t="str">
        <f t="shared" si="234"/>
        <v>A</v>
      </c>
      <c r="DQ151" s="122" t="str">
        <f>+IF(OR($W151="",DO151=0),"",ROUND((VLOOKUP(ROUNDDOWN($D151-1/frec,0),cob_adi,DB$40,FALSE)*(1+i/frec)^-0.5*(1+Parámetros!$D$103)*(1+rec_fracc)/frec),6))</f>
        <v/>
      </c>
      <c r="DR151" s="66">
        <f t="shared" si="191"/>
        <v>0</v>
      </c>
      <c r="DS151" s="68" t="str">
        <f t="shared" si="192"/>
        <v/>
      </c>
      <c r="DT151" s="66">
        <f>+IF($W151="","",ROUND(IF($B151&gt;Parámetros!$D$107,'Tablas Servicio'!DR151+('Tablas Servicio'!DT150-'Tablas Servicio'!DR150),DR151/(1-IF(B151&lt;=10,Parámetros!$D$100,0))),2))</f>
        <v>0</v>
      </c>
      <c r="DU151" s="66">
        <f t="shared" si="193"/>
        <v>0</v>
      </c>
      <c r="DV151" s="66">
        <f t="shared" si="193"/>
        <v>0</v>
      </c>
      <c r="DW151" s="66">
        <f>+IF($W151="","",ROUND((DT151*Parámetros!$G$85),2))</f>
        <v>0</v>
      </c>
      <c r="DX151" s="66">
        <f>+IF($W151="","",ROUND((DT151*(Parámetros!$G$86)),2))</f>
        <v>0</v>
      </c>
      <c r="DY151" s="66">
        <f t="shared" si="194"/>
        <v>0</v>
      </c>
      <c r="DZ151" t="str">
        <f t="shared" si="236"/>
        <v>00066</v>
      </c>
      <c r="EA151" s="118" t="str">
        <f t="shared" si="236"/>
        <v>Enfermedad terminal</v>
      </c>
      <c r="EB151" s="118">
        <f>+IF($W151="","",ROUND(IF(Parámetros!$D$25='TABLAS MORT'!$V$33,EB150,Z151/2),0))</f>
        <v>50000</v>
      </c>
      <c r="EC151" s="118" t="str">
        <f t="shared" si="236"/>
        <v>A</v>
      </c>
      <c r="ED151" s="122">
        <f>+IF(OR($W151="",EB151=0),"",ROUND((VLOOKUP(ROUNDDOWN($D151-1/frec,0),cob_adi,DO$40,FALSE)*(1+i/frec)^-0.5*(1+Parámetros!$D$103)*(1+rec_fracc)/frec),6))</f>
        <v>1.2E-5</v>
      </c>
      <c r="EE151" s="66">
        <f t="shared" si="196"/>
        <v>0.6</v>
      </c>
      <c r="EF151" s="68">
        <f t="shared" si="197"/>
        <v>1.4E-5</v>
      </c>
      <c r="EG151" s="66">
        <f>+IF($W151="","",ROUND(IF($B151&gt;Parámetros!$D$107,'Tablas Servicio'!EE151+('Tablas Servicio'!EG150-'Tablas Servicio'!EE150),EE151/(1-IF(B151&lt;=10,Parámetros!$D$100,0))),2))</f>
        <v>0.68</v>
      </c>
      <c r="EH151" s="66">
        <f t="shared" si="198"/>
        <v>0</v>
      </c>
      <c r="EI151" s="66">
        <f t="shared" si="198"/>
        <v>0</v>
      </c>
      <c r="EJ151" s="66">
        <f>+IF($W151="","",ROUND((EG151*Parámetros!$G$85),2))</f>
        <v>0.02</v>
      </c>
      <c r="EK151" s="66">
        <f>+IF($W151="","",ROUND((EG151*(Parámetros!$G$86)),2))</f>
        <v>0</v>
      </c>
      <c r="EL151" s="66">
        <f t="shared" si="199"/>
        <v>0.7</v>
      </c>
    </row>
    <row r="152" spans="1:142" x14ac:dyDescent="0.25">
      <c r="A152">
        <f>+IF($C152="","",ROUND(VLOOKUP('Tablas Servicio'!B152,Parámetros!$H$100:$J$159,IF(Parámetros!$E$16="F",2,3),FALSE),2))</f>
        <v>150</v>
      </c>
      <c r="B152">
        <f t="shared" si="150"/>
        <v>10</v>
      </c>
      <c r="C152" s="57">
        <f>+IF(D152="","",'Tablas Servicio'!C151+1)</f>
        <v>111</v>
      </c>
      <c r="D152" s="56">
        <f>+IF(D151&lt;edadmaxtabla,D151+1/Parámetros!$E$25,"")</f>
        <v>49.270000000000266</v>
      </c>
      <c r="E152" s="57">
        <f t="shared" si="160"/>
        <v>49</v>
      </c>
      <c r="F152" s="59">
        <f t="shared" si="161"/>
        <v>100000</v>
      </c>
      <c r="G152" s="66">
        <f t="shared" si="151"/>
        <v>38.15</v>
      </c>
      <c r="H152" s="66">
        <f t="shared" si="152"/>
        <v>39.67</v>
      </c>
      <c r="I152" s="66">
        <f t="shared" si="200"/>
        <v>47.81</v>
      </c>
      <c r="J152" s="66">
        <f t="shared" si="153"/>
        <v>1.33</v>
      </c>
      <c r="K152" s="66">
        <f t="shared" si="154"/>
        <v>0.19</v>
      </c>
      <c r="L152" s="66">
        <f t="shared" si="155"/>
        <v>0</v>
      </c>
      <c r="M152" s="66">
        <f t="shared" si="156"/>
        <v>0</v>
      </c>
      <c r="N152" s="66">
        <f>+IF(C152="","",ROUND(Parámetros!$D$23,2))</f>
        <v>94</v>
      </c>
      <c r="O152" s="66">
        <f t="shared" si="157"/>
        <v>21.200000000000003</v>
      </c>
      <c r="P152" s="66">
        <f>+IF($C152="","",ROUND(IF(B152&gt;Parámetros!$D$117,0,N152*Parámetros!$D$116-G152*Parámetros!$D$100),2))</f>
        <v>6.52</v>
      </c>
      <c r="Q152" s="75">
        <f t="shared" si="201"/>
        <v>3.4862385321100919E-2</v>
      </c>
      <c r="R152" s="75">
        <f t="shared" si="202"/>
        <v>4.9803407601572746E-3</v>
      </c>
      <c r="S152" s="117">
        <f>+IF($C152="","",ROUND((S151+I152)*(1+Parámetros!$D$91),2))</f>
        <v>7194.16</v>
      </c>
      <c r="T152" s="117">
        <f>+IF($C152="","",ROUND(S152*VLOOKUP(B152,Parámetros!$C$30:$D$39,2,TRUE),2))</f>
        <v>7194.16</v>
      </c>
      <c r="U152" s="117">
        <f>+IF($C152="","",ROUND((U151+I152)*(1+Parámetros!$D$92),2))</f>
        <v>7375.22</v>
      </c>
      <c r="V152" s="117">
        <f>+IF($C152="","",ROUND(U152*VLOOKUP(B152,Parámetros!$C$30:$D$39,2,TRUE),2))</f>
        <v>7375.22</v>
      </c>
      <c r="W152" s="57">
        <f t="shared" si="203"/>
        <v>111</v>
      </c>
      <c r="X152" t="str">
        <f t="shared" si="204"/>
        <v>00058</v>
      </c>
      <c r="Y152" t="str">
        <f t="shared" si="205"/>
        <v>MUERTE POR CUALQUIER CAUSA</v>
      </c>
      <c r="Z152" s="118">
        <f>+IF($W152="","",ROUND(IF(Parámetros!$D$25='TABLAS MORT'!$V$33,Z151,Parámetros!$D$21-'Tablas Servicio'!T151),0))</f>
        <v>100000</v>
      </c>
      <c r="AA152" s="118" t="str">
        <f t="shared" si="206"/>
        <v>P</v>
      </c>
      <c r="AB152" s="119">
        <f>+IF(W152="","",ROUND((VLOOKUP(ROUNDDOWN($D152-1/frec,0),qx_tabla,2,FALSE)*(1+i/frec)^-0.5*(1+Parámetros!$D$103)*(1+rec_fracc)/frec),6))</f>
        <v>2.0599999999999999E-4</v>
      </c>
      <c r="AC152" s="66">
        <f t="shared" si="162"/>
        <v>20.6</v>
      </c>
      <c r="AD152" s="119">
        <f t="shared" si="158"/>
        <v>3.7500000000000001E-4</v>
      </c>
      <c r="AE152" s="66">
        <f>+IF($W152="","",ROUND(IF($B152&gt;Parámetros!$D$107,'Tablas Servicio'!AC152+('Tablas Servicio'!AG151-'Tablas Servicio'!AC151),AC152/(1-IF(B152&lt;=10,Parámetros!$D$104,Parámetros!$D$105))),2))</f>
        <v>42.63</v>
      </c>
      <c r="AF152" s="66">
        <f>+IF($W152="","",ROUND(IF($B152&gt;Parámetros!$D$107,'Tablas Servicio'!AC152+('Tablas Servicio'!AG151-'Tablas Servicio'!AC151),(AC152+$A151/frec)/(1-IF(B152&lt;=Parámetros!$D$117,Parámetros!$D$100,0))),2))</f>
        <v>37.47</v>
      </c>
      <c r="AG152" s="66">
        <f t="shared" si="163"/>
        <v>37.47</v>
      </c>
      <c r="AH152" s="66">
        <f t="shared" si="164"/>
        <v>0</v>
      </c>
      <c r="AI152" s="66">
        <f t="shared" si="165"/>
        <v>0</v>
      </c>
      <c r="AJ152" s="66">
        <f>+IF($W152="","",ROUND((AG152*Parámetros!$G$85),2))</f>
        <v>1.31</v>
      </c>
      <c r="AK152" s="66">
        <f>+IF($W152="","",ROUND((AG152*(Parámetros!$G$86)),2))</f>
        <v>0.19</v>
      </c>
      <c r="AL152" s="66">
        <f t="shared" si="159"/>
        <v>38.97</v>
      </c>
      <c r="AM152" t="str">
        <f t="shared" si="207"/>
        <v>00059</v>
      </c>
      <c r="AN152" t="str">
        <f t="shared" si="208"/>
        <v>Incapacidad Total y Permanente</v>
      </c>
      <c r="AO152" s="118">
        <f t="shared" si="209"/>
        <v>0</v>
      </c>
      <c r="AP152" s="118" t="str">
        <f t="shared" si="210"/>
        <v>A</v>
      </c>
      <c r="AQ152" s="119" t="str">
        <f>+IF(OR($W152="",AO152=0),"",ROUND((VLOOKUP(ROUNDDOWN($D152-1/frec,0),cob_adi,Z$40,FALSE)*(1+i/frec)^-0.5*(1+Parámetros!$D$103)*(1+rec_fracc)/frec),6))</f>
        <v/>
      </c>
      <c r="AR152" s="66">
        <f t="shared" si="166"/>
        <v>0</v>
      </c>
      <c r="AS152" s="119" t="str">
        <f t="shared" si="167"/>
        <v/>
      </c>
      <c r="AT152" s="66">
        <f>+IF($W152="","",ROUND(IF($B152&gt;Parámetros!$D$107,'Tablas Servicio'!AR152+('Tablas Servicio'!AT151-'Tablas Servicio'!AR151),AR152/(1-IF(B152&lt;=10,Parámetros!$D$100,0))),2))</f>
        <v>0</v>
      </c>
      <c r="AU152" s="66">
        <f t="shared" si="168"/>
        <v>0</v>
      </c>
      <c r="AV152" s="66">
        <f t="shared" si="168"/>
        <v>0</v>
      </c>
      <c r="AW152" s="66">
        <f>+IF($W152="","",ROUND((AT152*Parámetros!$G$85),2))</f>
        <v>0</v>
      </c>
      <c r="AX152" s="66">
        <f>+IF($W152="","",ROUND((AT152*(Parámetros!$G$86)),2))</f>
        <v>0</v>
      </c>
      <c r="AY152" s="66">
        <f t="shared" si="169"/>
        <v>0</v>
      </c>
      <c r="AZ152" t="str">
        <f t="shared" si="211"/>
        <v>00060</v>
      </c>
      <c r="BA152" t="str">
        <f t="shared" si="212"/>
        <v>Muerte Accidental</v>
      </c>
      <c r="BB152" s="118">
        <f t="shared" si="213"/>
        <v>0</v>
      </c>
      <c r="BC152" s="118" t="str">
        <f t="shared" si="214"/>
        <v>A</v>
      </c>
      <c r="BD152" s="119" t="str">
        <f>+IF(OR($W152="",BB152=0),"",ROUND((VLOOKUP(ROUNDDOWN($D152-1/frec,0),cob_adi,AO$40,FALSE)*(1+i/frec)^-0.5*(1+Parámetros!$D$103)*(1+rec_fracc)/frec),6))</f>
        <v/>
      </c>
      <c r="BE152" s="66">
        <f t="shared" si="170"/>
        <v>0</v>
      </c>
      <c r="BF152" s="119" t="str">
        <f t="shared" si="171"/>
        <v/>
      </c>
      <c r="BG152" s="66">
        <f>+IF($W152="","",ROUND(IF($B152&gt;Parámetros!$D$107,'Tablas Servicio'!BE152+('Tablas Servicio'!BG151-'Tablas Servicio'!BE151),BE152/(1-IF(B152&lt;=10,Parámetros!$D$100,0))),2))</f>
        <v>0</v>
      </c>
      <c r="BH152" s="66">
        <f t="shared" si="172"/>
        <v>0</v>
      </c>
      <c r="BI152" s="66">
        <f t="shared" si="173"/>
        <v>0</v>
      </c>
      <c r="BJ152" s="66">
        <f>+IF($W152="","",ROUND((BG152*Parámetros!$G$85),2))</f>
        <v>0</v>
      </c>
      <c r="BK152" s="66">
        <f>+IF($W152="","",ROUND((BG152*(Parámetros!$G$86)),2))</f>
        <v>0</v>
      </c>
      <c r="BL152" s="66">
        <f t="shared" si="174"/>
        <v>0</v>
      </c>
      <c r="BM152" t="str">
        <f t="shared" si="215"/>
        <v>00061</v>
      </c>
      <c r="BN152" t="str">
        <f t="shared" si="216"/>
        <v>Gastos de Entierro</v>
      </c>
      <c r="BO152" s="118">
        <f t="shared" si="217"/>
        <v>0</v>
      </c>
      <c r="BP152" s="118" t="str">
        <f t="shared" si="218"/>
        <v>A</v>
      </c>
      <c r="BQ152" s="119" t="str">
        <f>+IF(OR($W152="",BO152=0),"",ROUND((VLOOKUP(ROUNDDOWN($D152-1/frec,0),cob_adi,BB$40,FALSE)*(1+i/frec)^-0.5*(1+Parámetros!$D$103)*(1+rec_fracc)/frec),6))</f>
        <v/>
      </c>
      <c r="BR152" s="66">
        <f t="shared" si="175"/>
        <v>0</v>
      </c>
      <c r="BS152" s="119" t="str">
        <f t="shared" si="176"/>
        <v/>
      </c>
      <c r="BT152" s="66">
        <f>+IF($W152="","",ROUND(IF($B152&gt;Parámetros!$D$107,'Tablas Servicio'!BR152+('Tablas Servicio'!BT151-'Tablas Servicio'!BR151),BR152/(1-IF(B152&lt;=10,Parámetros!$D$100,0))),2))</f>
        <v>0</v>
      </c>
      <c r="BU152" s="66">
        <f t="shared" si="177"/>
        <v>0</v>
      </c>
      <c r="BV152" s="66">
        <f t="shared" si="177"/>
        <v>0</v>
      </c>
      <c r="BW152" s="66">
        <f>+IF($W152="","",ROUND((BT152*Parámetros!$G$85),2))</f>
        <v>0</v>
      </c>
      <c r="BX152" s="66">
        <f>+IF($W152="","",ROUND((BT152*(Parámetros!$G$86)),2))</f>
        <v>0</v>
      </c>
      <c r="BY152" s="66">
        <f t="shared" si="178"/>
        <v>0</v>
      </c>
      <c r="BZ152" t="str">
        <f t="shared" si="219"/>
        <v>00062</v>
      </c>
      <c r="CA152" t="str">
        <f t="shared" si="220"/>
        <v>Gastos médicos por accidente</v>
      </c>
      <c r="CB152" s="118">
        <f t="shared" si="221"/>
        <v>0</v>
      </c>
      <c r="CC152" s="118" t="str">
        <f t="shared" si="222"/>
        <v>A</v>
      </c>
      <c r="CD152" s="119" t="str">
        <f t="shared" si="179"/>
        <v/>
      </c>
      <c r="CE152" s="66">
        <f>+IF($W152="","",ROUND((VLOOKUP(ROUNDDOWN($D152-1/frec,0),cob_adi,BO$40,FALSE)*(1+i/frec)^-0.5*(1+Parámetros!$D$103)*(1+rec_fracc)/frec*'TABLAS ADI'!$BC$17),2))</f>
        <v>0</v>
      </c>
      <c r="CF152" s="119" t="str">
        <f t="shared" si="180"/>
        <v/>
      </c>
      <c r="CG152" s="66">
        <f>+IF($W152="","",ROUND(IF($B152&gt;Parámetros!$D$107,'Tablas Servicio'!CE152+('Tablas Servicio'!CG151-'Tablas Servicio'!CE151),CE152/(1-IF(B152&lt;=10,Parámetros!$D$100,0))),2))</f>
        <v>0</v>
      </c>
      <c r="CH152" s="66">
        <f t="shared" si="181"/>
        <v>0</v>
      </c>
      <c r="CI152" s="66">
        <f t="shared" si="181"/>
        <v>0</v>
      </c>
      <c r="CJ152" s="66">
        <f>+IF($W152="","",ROUND((CG152*Parámetros!$G$85),2))</f>
        <v>0</v>
      </c>
      <c r="CK152" s="66">
        <f>+IF($W152="","",ROUND((CG152*(Parámetros!$G$86)),2))</f>
        <v>0</v>
      </c>
      <c r="CL152" s="66">
        <f t="shared" si="182"/>
        <v>0</v>
      </c>
      <c r="CM152" t="str">
        <f t="shared" si="223"/>
        <v>00063</v>
      </c>
      <c r="CN152" s="118" t="str">
        <f t="shared" si="224"/>
        <v>Renta Diaria por Hospitalización</v>
      </c>
      <c r="CO152" s="118">
        <f t="shared" si="225"/>
        <v>0</v>
      </c>
      <c r="CP152" s="118" t="str">
        <f t="shared" si="226"/>
        <v>A</v>
      </c>
      <c r="CQ152" s="119" t="str">
        <f t="shared" si="183"/>
        <v/>
      </c>
      <c r="CR152" s="66">
        <f>+IF($W152="","",ROUND((VLOOKUP(Parámetros!$F$51,'COBERTURAS ADICIONALES'!$S$4:$T$32,2,FALSE)*(1+i/frec)^-0.5*(1+Parámetros!$D$103)*(1+rec_fracc)/frec*$CO$42),2))</f>
        <v>0</v>
      </c>
      <c r="CS152" s="119" t="str">
        <f t="shared" si="184"/>
        <v/>
      </c>
      <c r="CT152" s="66">
        <f>+IF($W152="","",ROUND(IF($B152&gt;Parámetros!$D$107,'Tablas Servicio'!CR152+('Tablas Servicio'!CT151-'Tablas Servicio'!CR151),CR152/(1-IF(B152&lt;=10,Parámetros!$D$100,0))),2))</f>
        <v>0</v>
      </c>
      <c r="CU152" s="66">
        <f t="shared" si="185"/>
        <v>0</v>
      </c>
      <c r="CV152" s="66">
        <f t="shared" si="185"/>
        <v>0</v>
      </c>
      <c r="CW152" s="66">
        <f>+IF($W152="","",ROUND((CT152*Parámetros!$G$85),2))</f>
        <v>0</v>
      </c>
      <c r="CX152" s="66">
        <f>+IF($W152="","",ROUND((CT152*(Parámetros!$G$86)),2))</f>
        <v>0</v>
      </c>
      <c r="CY152" s="66">
        <f t="shared" si="186"/>
        <v>0</v>
      </c>
      <c r="CZ152" t="str">
        <f t="shared" si="227"/>
        <v>00064</v>
      </c>
      <c r="DA152" s="118" t="str">
        <f t="shared" si="228"/>
        <v>Enfermedades Graves</v>
      </c>
      <c r="DB152" s="118">
        <f t="shared" si="229"/>
        <v>0</v>
      </c>
      <c r="DC152" s="118" t="str">
        <f t="shared" si="230"/>
        <v>A</v>
      </c>
      <c r="DD152" s="121" t="str">
        <f>+IF(OR($W152="",DB152=0),"",ROUND((VLOOKUP(ROUNDDOWN($D152-1/frec,0),cob_adi,CO$40,FALSE)*(1+i/frec)^-0.5*(1+Parámetros!$D$103)*(1+rec_fracc)/frec),6))</f>
        <v/>
      </c>
      <c r="DE152" s="66">
        <f t="shared" si="187"/>
        <v>0</v>
      </c>
      <c r="DF152" s="119" t="str">
        <f t="shared" si="188"/>
        <v/>
      </c>
      <c r="DG152" s="66">
        <f>+IF($W152="","",ROUND(IF($B152&gt;Parámetros!$D$107,'Tablas Servicio'!DE152+('Tablas Servicio'!DG151-'Tablas Servicio'!DE151),DE152/(1-IF(B152&lt;=10,Parámetros!$D$100,0))),2))</f>
        <v>0</v>
      </c>
      <c r="DH152" s="66">
        <f t="shared" si="189"/>
        <v>0</v>
      </c>
      <c r="DI152" s="66">
        <f t="shared" si="189"/>
        <v>0</v>
      </c>
      <c r="DJ152" s="66">
        <f>+IF($W152="","",ROUND((DG152*Parámetros!$G$85),2))</f>
        <v>0</v>
      </c>
      <c r="DK152" s="66">
        <f>+IF($W152="","",ROUND((DG152*(Parámetros!$G$86)),2))</f>
        <v>0</v>
      </c>
      <c r="DL152" s="66">
        <f t="shared" si="190"/>
        <v>0</v>
      </c>
      <c r="DM152" t="str">
        <f t="shared" si="231"/>
        <v>00065</v>
      </c>
      <c r="DN152" s="118" t="str">
        <f t="shared" si="232"/>
        <v>Exención pago de primas</v>
      </c>
      <c r="DO152" s="118">
        <f t="shared" si="233"/>
        <v>0</v>
      </c>
      <c r="DP152" s="118" t="str">
        <f t="shared" si="234"/>
        <v>A</v>
      </c>
      <c r="DQ152" s="122" t="str">
        <f>+IF(OR($W152="",DO152=0),"",ROUND((VLOOKUP(ROUNDDOWN($D152-1/frec,0),cob_adi,DB$40,FALSE)*(1+i/frec)^-0.5*(1+Parámetros!$D$103)*(1+rec_fracc)/frec),6))</f>
        <v/>
      </c>
      <c r="DR152" s="66">
        <f t="shared" si="191"/>
        <v>0</v>
      </c>
      <c r="DS152" s="68" t="str">
        <f t="shared" si="192"/>
        <v/>
      </c>
      <c r="DT152" s="66">
        <f>+IF($W152="","",ROUND(IF($B152&gt;Parámetros!$D$107,'Tablas Servicio'!DR152+('Tablas Servicio'!DT151-'Tablas Servicio'!DR151),DR152/(1-IF(B152&lt;=10,Parámetros!$D$100,0))),2))</f>
        <v>0</v>
      </c>
      <c r="DU152" s="66">
        <f t="shared" si="193"/>
        <v>0</v>
      </c>
      <c r="DV152" s="66">
        <f t="shared" si="193"/>
        <v>0</v>
      </c>
      <c r="DW152" s="66">
        <f>+IF($W152="","",ROUND((DT152*Parámetros!$G$85),2))</f>
        <v>0</v>
      </c>
      <c r="DX152" s="66">
        <f>+IF($W152="","",ROUND((DT152*(Parámetros!$G$86)),2))</f>
        <v>0</v>
      </c>
      <c r="DY152" s="66">
        <f t="shared" si="194"/>
        <v>0</v>
      </c>
      <c r="DZ152" t="str">
        <f t="shared" si="236"/>
        <v>00066</v>
      </c>
      <c r="EA152" s="118" t="str">
        <f t="shared" si="236"/>
        <v>Enfermedad terminal</v>
      </c>
      <c r="EB152" s="118">
        <f>+IF($W152="","",ROUND(IF(Parámetros!$D$25='TABLAS MORT'!$V$33,EB151,Z152/2),0))</f>
        <v>50000</v>
      </c>
      <c r="EC152" s="118" t="str">
        <f t="shared" si="236"/>
        <v>A</v>
      </c>
      <c r="ED152" s="122">
        <f>+IF(OR($W152="",EB152=0),"",ROUND((VLOOKUP(ROUNDDOWN($D152-1/frec,0),cob_adi,DO$40,FALSE)*(1+i/frec)^-0.5*(1+Parámetros!$D$103)*(1+rec_fracc)/frec),6))</f>
        <v>1.2E-5</v>
      </c>
      <c r="EE152" s="66">
        <f t="shared" si="196"/>
        <v>0.6</v>
      </c>
      <c r="EF152" s="68">
        <f t="shared" si="197"/>
        <v>1.4E-5</v>
      </c>
      <c r="EG152" s="66">
        <f>+IF($W152="","",ROUND(IF($B152&gt;Parámetros!$D$107,'Tablas Servicio'!EE152+('Tablas Servicio'!EG151-'Tablas Servicio'!EE151),EE152/(1-IF(B152&lt;=10,Parámetros!$D$100,0))),2))</f>
        <v>0.68</v>
      </c>
      <c r="EH152" s="66">
        <f t="shared" si="198"/>
        <v>0</v>
      </c>
      <c r="EI152" s="66">
        <f t="shared" si="198"/>
        <v>0</v>
      </c>
      <c r="EJ152" s="66">
        <f>+IF($W152="","",ROUND((EG152*Parámetros!$G$85),2))</f>
        <v>0.02</v>
      </c>
      <c r="EK152" s="66">
        <f>+IF($W152="","",ROUND((EG152*(Parámetros!$G$86)),2))</f>
        <v>0</v>
      </c>
      <c r="EL152" s="66">
        <f t="shared" si="199"/>
        <v>0.7</v>
      </c>
    </row>
    <row r="153" spans="1:142" x14ac:dyDescent="0.25">
      <c r="A153">
        <f>+IF($C153="","",ROUND(VLOOKUP('Tablas Servicio'!B153,Parámetros!$H$100:$J$159,IF(Parámetros!$E$16="F",2,3),FALSE),2))</f>
        <v>150</v>
      </c>
      <c r="B153">
        <f t="shared" si="150"/>
        <v>10</v>
      </c>
      <c r="C153" s="57">
        <f>+IF(D153="","",'Tablas Servicio'!C152+1)</f>
        <v>112</v>
      </c>
      <c r="D153" s="56">
        <f>+IF(D152&lt;edadmaxtabla,D152+1/Parámetros!$E$25,"")</f>
        <v>49.353333333333602</v>
      </c>
      <c r="E153" s="57">
        <f t="shared" si="160"/>
        <v>49</v>
      </c>
      <c r="F153" s="59">
        <f t="shared" si="161"/>
        <v>100000</v>
      </c>
      <c r="G153" s="66">
        <f t="shared" si="151"/>
        <v>38.15</v>
      </c>
      <c r="H153" s="66">
        <f t="shared" si="152"/>
        <v>39.67</v>
      </c>
      <c r="I153" s="66">
        <f t="shared" si="200"/>
        <v>47.81</v>
      </c>
      <c r="J153" s="66">
        <f t="shared" si="153"/>
        <v>1.33</v>
      </c>
      <c r="K153" s="66">
        <f t="shared" si="154"/>
        <v>0.19</v>
      </c>
      <c r="L153" s="66">
        <f t="shared" si="155"/>
        <v>0</v>
      </c>
      <c r="M153" s="66">
        <f t="shared" si="156"/>
        <v>0</v>
      </c>
      <c r="N153" s="66">
        <f>+IF(C153="","",ROUND(Parámetros!$D$23,2))</f>
        <v>94</v>
      </c>
      <c r="O153" s="66">
        <f t="shared" si="157"/>
        <v>21.200000000000003</v>
      </c>
      <c r="P153" s="66">
        <f>+IF($C153="","",ROUND(IF(B153&gt;Parámetros!$D$117,0,N153*Parámetros!$D$116-G153*Parámetros!$D$100),2))</f>
        <v>6.52</v>
      </c>
      <c r="Q153" s="75">
        <f t="shared" si="201"/>
        <v>3.4862385321100919E-2</v>
      </c>
      <c r="R153" s="75">
        <f t="shared" si="202"/>
        <v>4.9803407601572746E-3</v>
      </c>
      <c r="S153" s="117">
        <f>+IF($C153="","",ROUND((S152+I153)*(1+Parámetros!$D$91),2))</f>
        <v>7262.51</v>
      </c>
      <c r="T153" s="117">
        <f>+IF($C153="","",ROUND(S153*VLOOKUP(B153,Parámetros!$C$30:$D$39,2,TRUE),2))</f>
        <v>7262.51</v>
      </c>
      <c r="U153" s="117">
        <f>+IF($C153="","",ROUND((U152+I153)*(1+Parámetros!$D$92),2))</f>
        <v>7447.09</v>
      </c>
      <c r="V153" s="117">
        <f>+IF($C153="","",ROUND(U153*VLOOKUP(B153,Parámetros!$C$30:$D$39,2,TRUE),2))</f>
        <v>7447.09</v>
      </c>
      <c r="W153" s="57">
        <f t="shared" si="203"/>
        <v>112</v>
      </c>
      <c r="X153" t="str">
        <f t="shared" si="204"/>
        <v>00058</v>
      </c>
      <c r="Y153" t="str">
        <f t="shared" si="205"/>
        <v>MUERTE POR CUALQUIER CAUSA</v>
      </c>
      <c r="Z153" s="118">
        <f>+IF($W153="","",ROUND(IF(Parámetros!$D$25='TABLAS MORT'!$V$33,Z152,Parámetros!$D$21-'Tablas Servicio'!T152),0))</f>
        <v>100000</v>
      </c>
      <c r="AA153" s="118" t="str">
        <f t="shared" si="206"/>
        <v>P</v>
      </c>
      <c r="AB153" s="119">
        <f>+IF(W153="","",ROUND((VLOOKUP(ROUNDDOWN($D153-1/frec,0),qx_tabla,2,FALSE)*(1+i/frec)^-0.5*(1+Parámetros!$D$103)*(1+rec_fracc)/frec),6))</f>
        <v>2.0599999999999999E-4</v>
      </c>
      <c r="AC153" s="66">
        <f t="shared" si="162"/>
        <v>20.6</v>
      </c>
      <c r="AD153" s="119">
        <f t="shared" si="158"/>
        <v>3.7500000000000001E-4</v>
      </c>
      <c r="AE153" s="66">
        <f>+IF($W153="","",ROUND(IF($B153&gt;Parámetros!$D$107,'Tablas Servicio'!AC153+('Tablas Servicio'!AG152-'Tablas Servicio'!AC152),AC153/(1-IF(B153&lt;=10,Parámetros!$D$104,Parámetros!$D$105))),2))</f>
        <v>42.63</v>
      </c>
      <c r="AF153" s="66">
        <f>+IF($W153="","",ROUND(IF($B153&gt;Parámetros!$D$107,'Tablas Servicio'!AC153+('Tablas Servicio'!AG152-'Tablas Servicio'!AC152),(AC153+$A152/frec)/(1-IF(B153&lt;=Parámetros!$D$117,Parámetros!$D$100,0))),2))</f>
        <v>37.47</v>
      </c>
      <c r="AG153" s="66">
        <f t="shared" si="163"/>
        <v>37.47</v>
      </c>
      <c r="AH153" s="66">
        <f t="shared" si="164"/>
        <v>0</v>
      </c>
      <c r="AI153" s="66">
        <f t="shared" si="165"/>
        <v>0</v>
      </c>
      <c r="AJ153" s="66">
        <f>+IF($W153="","",ROUND((AG153*Parámetros!$G$85),2))</f>
        <v>1.31</v>
      </c>
      <c r="AK153" s="66">
        <f>+IF($W153="","",ROUND((AG153*(Parámetros!$G$86)),2))</f>
        <v>0.19</v>
      </c>
      <c r="AL153" s="66">
        <f t="shared" si="159"/>
        <v>38.97</v>
      </c>
      <c r="AM153" t="str">
        <f t="shared" si="207"/>
        <v>00059</v>
      </c>
      <c r="AN153" t="str">
        <f t="shared" si="208"/>
        <v>Incapacidad Total y Permanente</v>
      </c>
      <c r="AO153" s="118">
        <f t="shared" si="209"/>
        <v>0</v>
      </c>
      <c r="AP153" s="118" t="str">
        <f t="shared" si="210"/>
        <v>A</v>
      </c>
      <c r="AQ153" s="119" t="str">
        <f>+IF(OR($W153="",AO153=0),"",ROUND((VLOOKUP(ROUNDDOWN($D153-1/frec,0),cob_adi,Z$40,FALSE)*(1+i/frec)^-0.5*(1+Parámetros!$D$103)*(1+rec_fracc)/frec),6))</f>
        <v/>
      </c>
      <c r="AR153" s="66">
        <f t="shared" si="166"/>
        <v>0</v>
      </c>
      <c r="AS153" s="119" t="str">
        <f t="shared" si="167"/>
        <v/>
      </c>
      <c r="AT153" s="66">
        <f>+IF($W153="","",ROUND(IF($B153&gt;Parámetros!$D$107,'Tablas Servicio'!AR153+('Tablas Servicio'!AT152-'Tablas Servicio'!AR152),AR153/(1-IF(B153&lt;=10,Parámetros!$D$100,0))),2))</f>
        <v>0</v>
      </c>
      <c r="AU153" s="66">
        <f t="shared" si="168"/>
        <v>0</v>
      </c>
      <c r="AV153" s="66">
        <f t="shared" si="168"/>
        <v>0</v>
      </c>
      <c r="AW153" s="66">
        <f>+IF($W153="","",ROUND((AT153*Parámetros!$G$85),2))</f>
        <v>0</v>
      </c>
      <c r="AX153" s="66">
        <f>+IF($W153="","",ROUND((AT153*(Parámetros!$G$86)),2))</f>
        <v>0</v>
      </c>
      <c r="AY153" s="66">
        <f t="shared" si="169"/>
        <v>0</v>
      </c>
      <c r="AZ153" t="str">
        <f t="shared" si="211"/>
        <v>00060</v>
      </c>
      <c r="BA153" t="str">
        <f t="shared" si="212"/>
        <v>Muerte Accidental</v>
      </c>
      <c r="BB153" s="118">
        <f t="shared" si="213"/>
        <v>0</v>
      </c>
      <c r="BC153" s="118" t="str">
        <f t="shared" si="214"/>
        <v>A</v>
      </c>
      <c r="BD153" s="119" t="str">
        <f>+IF(OR($W153="",BB153=0),"",ROUND((VLOOKUP(ROUNDDOWN($D153-1/frec,0),cob_adi,AO$40,FALSE)*(1+i/frec)^-0.5*(1+Parámetros!$D$103)*(1+rec_fracc)/frec),6))</f>
        <v/>
      </c>
      <c r="BE153" s="66">
        <f t="shared" si="170"/>
        <v>0</v>
      </c>
      <c r="BF153" s="119" t="str">
        <f t="shared" si="171"/>
        <v/>
      </c>
      <c r="BG153" s="66">
        <f>+IF($W153="","",ROUND(IF($B153&gt;Parámetros!$D$107,'Tablas Servicio'!BE153+('Tablas Servicio'!BG152-'Tablas Servicio'!BE152),BE153/(1-IF(B153&lt;=10,Parámetros!$D$100,0))),2))</f>
        <v>0</v>
      </c>
      <c r="BH153" s="66">
        <f t="shared" si="172"/>
        <v>0</v>
      </c>
      <c r="BI153" s="66">
        <f t="shared" si="173"/>
        <v>0</v>
      </c>
      <c r="BJ153" s="66">
        <f>+IF($W153="","",ROUND((BG153*Parámetros!$G$85),2))</f>
        <v>0</v>
      </c>
      <c r="BK153" s="66">
        <f>+IF($W153="","",ROUND((BG153*(Parámetros!$G$86)),2))</f>
        <v>0</v>
      </c>
      <c r="BL153" s="66">
        <f t="shared" si="174"/>
        <v>0</v>
      </c>
      <c r="BM153" t="str">
        <f t="shared" si="215"/>
        <v>00061</v>
      </c>
      <c r="BN153" t="str">
        <f t="shared" si="216"/>
        <v>Gastos de Entierro</v>
      </c>
      <c r="BO153" s="118">
        <f t="shared" si="217"/>
        <v>0</v>
      </c>
      <c r="BP153" s="118" t="str">
        <f t="shared" si="218"/>
        <v>A</v>
      </c>
      <c r="BQ153" s="119" t="str">
        <f>+IF(OR($W153="",BO153=0),"",ROUND((VLOOKUP(ROUNDDOWN($D153-1/frec,0),cob_adi,BB$40,FALSE)*(1+i/frec)^-0.5*(1+Parámetros!$D$103)*(1+rec_fracc)/frec),6))</f>
        <v/>
      </c>
      <c r="BR153" s="66">
        <f t="shared" si="175"/>
        <v>0</v>
      </c>
      <c r="BS153" s="119" t="str">
        <f t="shared" si="176"/>
        <v/>
      </c>
      <c r="BT153" s="66">
        <f>+IF($W153="","",ROUND(IF($B153&gt;Parámetros!$D$107,'Tablas Servicio'!BR153+('Tablas Servicio'!BT152-'Tablas Servicio'!BR152),BR153/(1-IF(B153&lt;=10,Parámetros!$D$100,0))),2))</f>
        <v>0</v>
      </c>
      <c r="BU153" s="66">
        <f t="shared" si="177"/>
        <v>0</v>
      </c>
      <c r="BV153" s="66">
        <f t="shared" si="177"/>
        <v>0</v>
      </c>
      <c r="BW153" s="66">
        <f>+IF($W153="","",ROUND((BT153*Parámetros!$G$85),2))</f>
        <v>0</v>
      </c>
      <c r="BX153" s="66">
        <f>+IF($W153="","",ROUND((BT153*(Parámetros!$G$86)),2))</f>
        <v>0</v>
      </c>
      <c r="BY153" s="66">
        <f t="shared" si="178"/>
        <v>0</v>
      </c>
      <c r="BZ153" t="str">
        <f t="shared" si="219"/>
        <v>00062</v>
      </c>
      <c r="CA153" t="str">
        <f t="shared" si="220"/>
        <v>Gastos médicos por accidente</v>
      </c>
      <c r="CB153" s="118">
        <f t="shared" si="221"/>
        <v>0</v>
      </c>
      <c r="CC153" s="118" t="str">
        <f t="shared" si="222"/>
        <v>A</v>
      </c>
      <c r="CD153" s="119" t="str">
        <f t="shared" si="179"/>
        <v/>
      </c>
      <c r="CE153" s="66">
        <f>+IF($W153="","",ROUND((VLOOKUP(ROUNDDOWN($D153-1/frec,0),cob_adi,BO$40,FALSE)*(1+i/frec)^-0.5*(1+Parámetros!$D$103)*(1+rec_fracc)/frec*'TABLAS ADI'!$BC$17),2))</f>
        <v>0</v>
      </c>
      <c r="CF153" s="119" t="str">
        <f t="shared" si="180"/>
        <v/>
      </c>
      <c r="CG153" s="66">
        <f>+IF($W153="","",ROUND(IF($B153&gt;Parámetros!$D$107,'Tablas Servicio'!CE153+('Tablas Servicio'!CG152-'Tablas Servicio'!CE152),CE153/(1-IF(B153&lt;=10,Parámetros!$D$100,0))),2))</f>
        <v>0</v>
      </c>
      <c r="CH153" s="66">
        <f t="shared" si="181"/>
        <v>0</v>
      </c>
      <c r="CI153" s="66">
        <f t="shared" si="181"/>
        <v>0</v>
      </c>
      <c r="CJ153" s="66">
        <f>+IF($W153="","",ROUND((CG153*Parámetros!$G$85),2))</f>
        <v>0</v>
      </c>
      <c r="CK153" s="66">
        <f>+IF($W153="","",ROUND((CG153*(Parámetros!$G$86)),2))</f>
        <v>0</v>
      </c>
      <c r="CL153" s="66">
        <f t="shared" si="182"/>
        <v>0</v>
      </c>
      <c r="CM153" t="str">
        <f t="shared" si="223"/>
        <v>00063</v>
      </c>
      <c r="CN153" s="118" t="str">
        <f t="shared" si="224"/>
        <v>Renta Diaria por Hospitalización</v>
      </c>
      <c r="CO153" s="118">
        <f t="shared" si="225"/>
        <v>0</v>
      </c>
      <c r="CP153" s="118" t="str">
        <f t="shared" si="226"/>
        <v>A</v>
      </c>
      <c r="CQ153" s="119" t="str">
        <f t="shared" si="183"/>
        <v/>
      </c>
      <c r="CR153" s="66">
        <f>+IF($W153="","",ROUND((VLOOKUP(Parámetros!$F$51,'COBERTURAS ADICIONALES'!$S$4:$T$32,2,FALSE)*(1+i/frec)^-0.5*(1+Parámetros!$D$103)*(1+rec_fracc)/frec*$CO$42),2))</f>
        <v>0</v>
      </c>
      <c r="CS153" s="119" t="str">
        <f t="shared" si="184"/>
        <v/>
      </c>
      <c r="CT153" s="66">
        <f>+IF($W153="","",ROUND(IF($B153&gt;Parámetros!$D$107,'Tablas Servicio'!CR153+('Tablas Servicio'!CT152-'Tablas Servicio'!CR152),CR153/(1-IF(B153&lt;=10,Parámetros!$D$100,0))),2))</f>
        <v>0</v>
      </c>
      <c r="CU153" s="66">
        <f t="shared" si="185"/>
        <v>0</v>
      </c>
      <c r="CV153" s="66">
        <f t="shared" si="185"/>
        <v>0</v>
      </c>
      <c r="CW153" s="66">
        <f>+IF($W153="","",ROUND((CT153*Parámetros!$G$85),2))</f>
        <v>0</v>
      </c>
      <c r="CX153" s="66">
        <f>+IF($W153="","",ROUND((CT153*(Parámetros!$G$86)),2))</f>
        <v>0</v>
      </c>
      <c r="CY153" s="66">
        <f t="shared" si="186"/>
        <v>0</v>
      </c>
      <c r="CZ153" t="str">
        <f t="shared" si="227"/>
        <v>00064</v>
      </c>
      <c r="DA153" s="118" t="str">
        <f t="shared" si="228"/>
        <v>Enfermedades Graves</v>
      </c>
      <c r="DB153" s="118">
        <f t="shared" si="229"/>
        <v>0</v>
      </c>
      <c r="DC153" s="118" t="str">
        <f t="shared" si="230"/>
        <v>A</v>
      </c>
      <c r="DD153" s="121" t="str">
        <f>+IF(OR($W153="",DB153=0),"",ROUND((VLOOKUP(ROUNDDOWN($D153-1/frec,0),cob_adi,CO$40,FALSE)*(1+i/frec)^-0.5*(1+Parámetros!$D$103)*(1+rec_fracc)/frec),6))</f>
        <v/>
      </c>
      <c r="DE153" s="66">
        <f t="shared" si="187"/>
        <v>0</v>
      </c>
      <c r="DF153" s="119" t="str">
        <f t="shared" si="188"/>
        <v/>
      </c>
      <c r="DG153" s="66">
        <f>+IF($W153="","",ROUND(IF($B153&gt;Parámetros!$D$107,'Tablas Servicio'!DE153+('Tablas Servicio'!DG152-'Tablas Servicio'!DE152),DE153/(1-IF(B153&lt;=10,Parámetros!$D$100,0))),2))</f>
        <v>0</v>
      </c>
      <c r="DH153" s="66">
        <f t="shared" si="189"/>
        <v>0</v>
      </c>
      <c r="DI153" s="66">
        <f t="shared" si="189"/>
        <v>0</v>
      </c>
      <c r="DJ153" s="66">
        <f>+IF($W153="","",ROUND((DG153*Parámetros!$G$85),2))</f>
        <v>0</v>
      </c>
      <c r="DK153" s="66">
        <f>+IF($W153="","",ROUND((DG153*(Parámetros!$G$86)),2))</f>
        <v>0</v>
      </c>
      <c r="DL153" s="66">
        <f t="shared" si="190"/>
        <v>0</v>
      </c>
      <c r="DM153" t="str">
        <f t="shared" si="231"/>
        <v>00065</v>
      </c>
      <c r="DN153" s="118" t="str">
        <f t="shared" si="232"/>
        <v>Exención pago de primas</v>
      </c>
      <c r="DO153" s="118">
        <f t="shared" si="233"/>
        <v>0</v>
      </c>
      <c r="DP153" s="118" t="str">
        <f t="shared" si="234"/>
        <v>A</v>
      </c>
      <c r="DQ153" s="122" t="str">
        <f>+IF(OR($W153="",DO153=0),"",ROUND((VLOOKUP(ROUNDDOWN($D153-1/frec,0),cob_adi,DB$40,FALSE)*(1+i/frec)^-0.5*(1+Parámetros!$D$103)*(1+rec_fracc)/frec),6))</f>
        <v/>
      </c>
      <c r="DR153" s="66">
        <f t="shared" si="191"/>
        <v>0</v>
      </c>
      <c r="DS153" s="68" t="str">
        <f t="shared" si="192"/>
        <v/>
      </c>
      <c r="DT153" s="66">
        <f>+IF($W153="","",ROUND(IF($B153&gt;Parámetros!$D$107,'Tablas Servicio'!DR153+('Tablas Servicio'!DT152-'Tablas Servicio'!DR152),DR153/(1-IF(B153&lt;=10,Parámetros!$D$100,0))),2))</f>
        <v>0</v>
      </c>
      <c r="DU153" s="66">
        <f t="shared" si="193"/>
        <v>0</v>
      </c>
      <c r="DV153" s="66">
        <f t="shared" si="193"/>
        <v>0</v>
      </c>
      <c r="DW153" s="66">
        <f>+IF($W153="","",ROUND((DT153*Parámetros!$G$85),2))</f>
        <v>0</v>
      </c>
      <c r="DX153" s="66">
        <f>+IF($W153="","",ROUND((DT153*(Parámetros!$G$86)),2))</f>
        <v>0</v>
      </c>
      <c r="DY153" s="66">
        <f t="shared" si="194"/>
        <v>0</v>
      </c>
      <c r="DZ153" t="str">
        <f t="shared" si="236"/>
        <v>00066</v>
      </c>
      <c r="EA153" s="118" t="str">
        <f t="shared" si="236"/>
        <v>Enfermedad terminal</v>
      </c>
      <c r="EB153" s="118">
        <f>+IF($W153="","",ROUND(IF(Parámetros!$D$25='TABLAS MORT'!$V$33,EB152,Z153/2),0))</f>
        <v>50000</v>
      </c>
      <c r="EC153" s="118" t="str">
        <f t="shared" si="236"/>
        <v>A</v>
      </c>
      <c r="ED153" s="122">
        <f>+IF(OR($W153="",EB153=0),"",ROUND((VLOOKUP(ROUNDDOWN($D153-1/frec,0),cob_adi,DO$40,FALSE)*(1+i/frec)^-0.5*(1+Parámetros!$D$103)*(1+rec_fracc)/frec),6))</f>
        <v>1.2E-5</v>
      </c>
      <c r="EE153" s="66">
        <f t="shared" si="196"/>
        <v>0.6</v>
      </c>
      <c r="EF153" s="68">
        <f t="shared" si="197"/>
        <v>1.4E-5</v>
      </c>
      <c r="EG153" s="66">
        <f>+IF($W153="","",ROUND(IF($B153&gt;Parámetros!$D$107,'Tablas Servicio'!EE153+('Tablas Servicio'!EG152-'Tablas Servicio'!EE152),EE153/(1-IF(B153&lt;=10,Parámetros!$D$100,0))),2))</f>
        <v>0.68</v>
      </c>
      <c r="EH153" s="66">
        <f t="shared" si="198"/>
        <v>0</v>
      </c>
      <c r="EI153" s="66">
        <f t="shared" si="198"/>
        <v>0</v>
      </c>
      <c r="EJ153" s="66">
        <f>+IF($W153="","",ROUND((EG153*Parámetros!$G$85),2))</f>
        <v>0.02</v>
      </c>
      <c r="EK153" s="66">
        <f>+IF($W153="","",ROUND((EG153*(Parámetros!$G$86)),2))</f>
        <v>0</v>
      </c>
      <c r="EL153" s="66">
        <f t="shared" si="199"/>
        <v>0.7</v>
      </c>
    </row>
    <row r="154" spans="1:142" x14ac:dyDescent="0.25">
      <c r="A154">
        <f>+IF($C154="","",ROUND(VLOOKUP('Tablas Servicio'!B154,Parámetros!$H$100:$J$159,IF(Parámetros!$E$16="F",2,3),FALSE),2))</f>
        <v>150</v>
      </c>
      <c r="B154">
        <f t="shared" si="150"/>
        <v>10</v>
      </c>
      <c r="C154" s="57">
        <f>+IF(D154="","",'Tablas Servicio'!C153+1)</f>
        <v>113</v>
      </c>
      <c r="D154" s="56">
        <f>+IF(D153&lt;edadmaxtabla,D153+1/Parámetros!$E$25,"")</f>
        <v>49.436666666666937</v>
      </c>
      <c r="E154" s="57">
        <f t="shared" si="160"/>
        <v>49</v>
      </c>
      <c r="F154" s="59">
        <f t="shared" si="161"/>
        <v>100000</v>
      </c>
      <c r="G154" s="66">
        <f t="shared" si="151"/>
        <v>38.15</v>
      </c>
      <c r="H154" s="66">
        <f t="shared" si="152"/>
        <v>39.67</v>
      </c>
      <c r="I154" s="66">
        <f t="shared" si="200"/>
        <v>47.81</v>
      </c>
      <c r="J154" s="66">
        <f t="shared" si="153"/>
        <v>1.33</v>
      </c>
      <c r="K154" s="66">
        <f t="shared" si="154"/>
        <v>0.19</v>
      </c>
      <c r="L154" s="66">
        <f t="shared" si="155"/>
        <v>0</v>
      </c>
      <c r="M154" s="66">
        <f t="shared" si="156"/>
        <v>0</v>
      </c>
      <c r="N154" s="66">
        <f>+IF(C154="","",ROUND(Parámetros!$D$23,2))</f>
        <v>94</v>
      </c>
      <c r="O154" s="66">
        <f t="shared" si="157"/>
        <v>21.200000000000003</v>
      </c>
      <c r="P154" s="66">
        <f>+IF($C154="","",ROUND(IF(B154&gt;Parámetros!$D$117,0,N154*Parámetros!$D$116-G154*Parámetros!$D$100),2))</f>
        <v>6.52</v>
      </c>
      <c r="Q154" s="75">
        <f t="shared" si="201"/>
        <v>3.4862385321100919E-2</v>
      </c>
      <c r="R154" s="75">
        <f t="shared" si="202"/>
        <v>4.9803407601572746E-3</v>
      </c>
      <c r="S154" s="117">
        <f>+IF($C154="","",ROUND((S153+I154)*(1+Parámetros!$D$91),2))</f>
        <v>7331.06</v>
      </c>
      <c r="T154" s="117">
        <f>+IF($C154="","",ROUND(S154*VLOOKUP(B154,Parámetros!$C$30:$D$39,2,TRUE),2))</f>
        <v>7331.06</v>
      </c>
      <c r="U154" s="117">
        <f>+IF($C154="","",ROUND((U153+I154)*(1+Parámetros!$D$92),2))</f>
        <v>7519.2</v>
      </c>
      <c r="V154" s="117">
        <f>+IF($C154="","",ROUND(U154*VLOOKUP(B154,Parámetros!$C$30:$D$39,2,TRUE),2))</f>
        <v>7519.2</v>
      </c>
      <c r="W154" s="57">
        <f t="shared" si="203"/>
        <v>113</v>
      </c>
      <c r="X154" t="str">
        <f t="shared" si="204"/>
        <v>00058</v>
      </c>
      <c r="Y154" t="str">
        <f t="shared" si="205"/>
        <v>MUERTE POR CUALQUIER CAUSA</v>
      </c>
      <c r="Z154" s="118">
        <f>+IF($W154="","",ROUND(IF(Parámetros!$D$25='TABLAS MORT'!$V$33,Z153,Parámetros!$D$21-'Tablas Servicio'!T153),0))</f>
        <v>100000</v>
      </c>
      <c r="AA154" s="118" t="str">
        <f t="shared" si="206"/>
        <v>P</v>
      </c>
      <c r="AB154" s="119">
        <f>+IF(W154="","",ROUND((VLOOKUP(ROUNDDOWN($D154-1/frec,0),qx_tabla,2,FALSE)*(1+i/frec)^-0.5*(1+Parámetros!$D$103)*(1+rec_fracc)/frec),6))</f>
        <v>2.0599999999999999E-4</v>
      </c>
      <c r="AC154" s="66">
        <f t="shared" si="162"/>
        <v>20.6</v>
      </c>
      <c r="AD154" s="119">
        <f t="shared" si="158"/>
        <v>3.7500000000000001E-4</v>
      </c>
      <c r="AE154" s="66">
        <f>+IF($W154="","",ROUND(IF($B154&gt;Parámetros!$D$107,'Tablas Servicio'!AC154+('Tablas Servicio'!AG153-'Tablas Servicio'!AC153),AC154/(1-IF(B154&lt;=10,Parámetros!$D$104,Parámetros!$D$105))),2))</f>
        <v>42.63</v>
      </c>
      <c r="AF154" s="66">
        <f>+IF($W154="","",ROUND(IF($B154&gt;Parámetros!$D$107,'Tablas Servicio'!AC154+('Tablas Servicio'!AG153-'Tablas Servicio'!AC153),(AC154+$A153/frec)/(1-IF(B154&lt;=Parámetros!$D$117,Parámetros!$D$100,0))),2))</f>
        <v>37.47</v>
      </c>
      <c r="AG154" s="66">
        <f t="shared" si="163"/>
        <v>37.47</v>
      </c>
      <c r="AH154" s="66">
        <f t="shared" si="164"/>
        <v>0</v>
      </c>
      <c r="AI154" s="66">
        <f t="shared" si="165"/>
        <v>0</v>
      </c>
      <c r="AJ154" s="66">
        <f>+IF($W154="","",ROUND((AG154*Parámetros!$G$85),2))</f>
        <v>1.31</v>
      </c>
      <c r="AK154" s="66">
        <f>+IF($W154="","",ROUND((AG154*(Parámetros!$G$86)),2))</f>
        <v>0.19</v>
      </c>
      <c r="AL154" s="66">
        <f t="shared" si="159"/>
        <v>38.97</v>
      </c>
      <c r="AM154" t="str">
        <f t="shared" si="207"/>
        <v>00059</v>
      </c>
      <c r="AN154" t="str">
        <f t="shared" si="208"/>
        <v>Incapacidad Total y Permanente</v>
      </c>
      <c r="AO154" s="118">
        <f t="shared" si="209"/>
        <v>0</v>
      </c>
      <c r="AP154" s="118" t="str">
        <f t="shared" si="210"/>
        <v>A</v>
      </c>
      <c r="AQ154" s="119" t="str">
        <f>+IF(OR($W154="",AO154=0),"",ROUND((VLOOKUP(ROUNDDOWN($D154-1/frec,0),cob_adi,Z$40,FALSE)*(1+i/frec)^-0.5*(1+Parámetros!$D$103)*(1+rec_fracc)/frec),6))</f>
        <v/>
      </c>
      <c r="AR154" s="66">
        <f t="shared" si="166"/>
        <v>0</v>
      </c>
      <c r="AS154" s="119" t="str">
        <f t="shared" si="167"/>
        <v/>
      </c>
      <c r="AT154" s="66">
        <f>+IF($W154="","",ROUND(IF($B154&gt;Parámetros!$D$107,'Tablas Servicio'!AR154+('Tablas Servicio'!AT153-'Tablas Servicio'!AR153),AR154/(1-IF(B154&lt;=10,Parámetros!$D$100,0))),2))</f>
        <v>0</v>
      </c>
      <c r="AU154" s="66">
        <f t="shared" si="168"/>
        <v>0</v>
      </c>
      <c r="AV154" s="66">
        <f t="shared" si="168"/>
        <v>0</v>
      </c>
      <c r="AW154" s="66">
        <f>+IF($W154="","",ROUND((AT154*Parámetros!$G$85),2))</f>
        <v>0</v>
      </c>
      <c r="AX154" s="66">
        <f>+IF($W154="","",ROUND((AT154*(Parámetros!$G$86)),2))</f>
        <v>0</v>
      </c>
      <c r="AY154" s="66">
        <f t="shared" si="169"/>
        <v>0</v>
      </c>
      <c r="AZ154" t="str">
        <f t="shared" si="211"/>
        <v>00060</v>
      </c>
      <c r="BA154" t="str">
        <f t="shared" si="212"/>
        <v>Muerte Accidental</v>
      </c>
      <c r="BB154" s="118">
        <f t="shared" si="213"/>
        <v>0</v>
      </c>
      <c r="BC154" s="118" t="str">
        <f t="shared" si="214"/>
        <v>A</v>
      </c>
      <c r="BD154" s="119" t="str">
        <f>+IF(OR($W154="",BB154=0),"",ROUND((VLOOKUP(ROUNDDOWN($D154-1/frec,0),cob_adi,AO$40,FALSE)*(1+i/frec)^-0.5*(1+Parámetros!$D$103)*(1+rec_fracc)/frec),6))</f>
        <v/>
      </c>
      <c r="BE154" s="66">
        <f t="shared" si="170"/>
        <v>0</v>
      </c>
      <c r="BF154" s="119" t="str">
        <f t="shared" si="171"/>
        <v/>
      </c>
      <c r="BG154" s="66">
        <f>+IF($W154="","",ROUND(IF($B154&gt;Parámetros!$D$107,'Tablas Servicio'!BE154+('Tablas Servicio'!BG153-'Tablas Servicio'!BE153),BE154/(1-IF(B154&lt;=10,Parámetros!$D$100,0))),2))</f>
        <v>0</v>
      </c>
      <c r="BH154" s="66">
        <f t="shared" si="172"/>
        <v>0</v>
      </c>
      <c r="BI154" s="66">
        <f t="shared" si="173"/>
        <v>0</v>
      </c>
      <c r="BJ154" s="66">
        <f>+IF($W154="","",ROUND((BG154*Parámetros!$G$85),2))</f>
        <v>0</v>
      </c>
      <c r="BK154" s="66">
        <f>+IF($W154="","",ROUND((BG154*(Parámetros!$G$86)),2))</f>
        <v>0</v>
      </c>
      <c r="BL154" s="66">
        <f t="shared" si="174"/>
        <v>0</v>
      </c>
      <c r="BM154" t="str">
        <f t="shared" si="215"/>
        <v>00061</v>
      </c>
      <c r="BN154" t="str">
        <f t="shared" si="216"/>
        <v>Gastos de Entierro</v>
      </c>
      <c r="BO154" s="118">
        <f t="shared" si="217"/>
        <v>0</v>
      </c>
      <c r="BP154" s="118" t="str">
        <f t="shared" si="218"/>
        <v>A</v>
      </c>
      <c r="BQ154" s="119" t="str">
        <f>+IF(OR($W154="",BO154=0),"",ROUND((VLOOKUP(ROUNDDOWN($D154-1/frec,0),cob_adi,BB$40,FALSE)*(1+i/frec)^-0.5*(1+Parámetros!$D$103)*(1+rec_fracc)/frec),6))</f>
        <v/>
      </c>
      <c r="BR154" s="66">
        <f t="shared" si="175"/>
        <v>0</v>
      </c>
      <c r="BS154" s="119" t="str">
        <f t="shared" si="176"/>
        <v/>
      </c>
      <c r="BT154" s="66">
        <f>+IF($W154="","",ROUND(IF($B154&gt;Parámetros!$D$107,'Tablas Servicio'!BR154+('Tablas Servicio'!BT153-'Tablas Servicio'!BR153),BR154/(1-IF(B154&lt;=10,Parámetros!$D$100,0))),2))</f>
        <v>0</v>
      </c>
      <c r="BU154" s="66">
        <f t="shared" si="177"/>
        <v>0</v>
      </c>
      <c r="BV154" s="66">
        <f t="shared" si="177"/>
        <v>0</v>
      </c>
      <c r="BW154" s="66">
        <f>+IF($W154="","",ROUND((BT154*Parámetros!$G$85),2))</f>
        <v>0</v>
      </c>
      <c r="BX154" s="66">
        <f>+IF($W154="","",ROUND((BT154*(Parámetros!$G$86)),2))</f>
        <v>0</v>
      </c>
      <c r="BY154" s="66">
        <f t="shared" si="178"/>
        <v>0</v>
      </c>
      <c r="BZ154" t="str">
        <f t="shared" si="219"/>
        <v>00062</v>
      </c>
      <c r="CA154" t="str">
        <f t="shared" si="220"/>
        <v>Gastos médicos por accidente</v>
      </c>
      <c r="CB154" s="118">
        <f t="shared" si="221"/>
        <v>0</v>
      </c>
      <c r="CC154" s="118" t="str">
        <f t="shared" si="222"/>
        <v>A</v>
      </c>
      <c r="CD154" s="119" t="str">
        <f t="shared" si="179"/>
        <v/>
      </c>
      <c r="CE154" s="66">
        <f>+IF($W154="","",ROUND((VLOOKUP(ROUNDDOWN($D154-1/frec,0),cob_adi,BO$40,FALSE)*(1+i/frec)^-0.5*(1+Parámetros!$D$103)*(1+rec_fracc)/frec*'TABLAS ADI'!$BC$17),2))</f>
        <v>0</v>
      </c>
      <c r="CF154" s="119" t="str">
        <f t="shared" si="180"/>
        <v/>
      </c>
      <c r="CG154" s="66">
        <f>+IF($W154="","",ROUND(IF($B154&gt;Parámetros!$D$107,'Tablas Servicio'!CE154+('Tablas Servicio'!CG153-'Tablas Servicio'!CE153),CE154/(1-IF(B154&lt;=10,Parámetros!$D$100,0))),2))</f>
        <v>0</v>
      </c>
      <c r="CH154" s="66">
        <f t="shared" si="181"/>
        <v>0</v>
      </c>
      <c r="CI154" s="66">
        <f t="shared" si="181"/>
        <v>0</v>
      </c>
      <c r="CJ154" s="66">
        <f>+IF($W154="","",ROUND((CG154*Parámetros!$G$85),2))</f>
        <v>0</v>
      </c>
      <c r="CK154" s="66">
        <f>+IF($W154="","",ROUND((CG154*(Parámetros!$G$86)),2))</f>
        <v>0</v>
      </c>
      <c r="CL154" s="66">
        <f t="shared" si="182"/>
        <v>0</v>
      </c>
      <c r="CM154" t="str">
        <f t="shared" si="223"/>
        <v>00063</v>
      </c>
      <c r="CN154" s="118" t="str">
        <f t="shared" si="224"/>
        <v>Renta Diaria por Hospitalización</v>
      </c>
      <c r="CO154" s="118">
        <f t="shared" si="225"/>
        <v>0</v>
      </c>
      <c r="CP154" s="118" t="str">
        <f t="shared" si="226"/>
        <v>A</v>
      </c>
      <c r="CQ154" s="119" t="str">
        <f t="shared" si="183"/>
        <v/>
      </c>
      <c r="CR154" s="66">
        <f>+IF($W154="","",ROUND((VLOOKUP(Parámetros!$F$51,'COBERTURAS ADICIONALES'!$S$4:$T$32,2,FALSE)*(1+i/frec)^-0.5*(1+Parámetros!$D$103)*(1+rec_fracc)/frec*$CO$42),2))</f>
        <v>0</v>
      </c>
      <c r="CS154" s="119" t="str">
        <f t="shared" si="184"/>
        <v/>
      </c>
      <c r="CT154" s="66">
        <f>+IF($W154="","",ROUND(IF($B154&gt;Parámetros!$D$107,'Tablas Servicio'!CR154+('Tablas Servicio'!CT153-'Tablas Servicio'!CR153),CR154/(1-IF(B154&lt;=10,Parámetros!$D$100,0))),2))</f>
        <v>0</v>
      </c>
      <c r="CU154" s="66">
        <f t="shared" si="185"/>
        <v>0</v>
      </c>
      <c r="CV154" s="66">
        <f t="shared" si="185"/>
        <v>0</v>
      </c>
      <c r="CW154" s="66">
        <f>+IF($W154="","",ROUND((CT154*Parámetros!$G$85),2))</f>
        <v>0</v>
      </c>
      <c r="CX154" s="66">
        <f>+IF($W154="","",ROUND((CT154*(Parámetros!$G$86)),2))</f>
        <v>0</v>
      </c>
      <c r="CY154" s="66">
        <f t="shared" si="186"/>
        <v>0</v>
      </c>
      <c r="CZ154" t="str">
        <f t="shared" si="227"/>
        <v>00064</v>
      </c>
      <c r="DA154" s="118" t="str">
        <f t="shared" si="228"/>
        <v>Enfermedades Graves</v>
      </c>
      <c r="DB154" s="118">
        <f t="shared" si="229"/>
        <v>0</v>
      </c>
      <c r="DC154" s="118" t="str">
        <f t="shared" si="230"/>
        <v>A</v>
      </c>
      <c r="DD154" s="121" t="str">
        <f>+IF(OR($W154="",DB154=0),"",ROUND((VLOOKUP(ROUNDDOWN($D154-1/frec,0),cob_adi,CO$40,FALSE)*(1+i/frec)^-0.5*(1+Parámetros!$D$103)*(1+rec_fracc)/frec),6))</f>
        <v/>
      </c>
      <c r="DE154" s="66">
        <f t="shared" si="187"/>
        <v>0</v>
      </c>
      <c r="DF154" s="119" t="str">
        <f t="shared" si="188"/>
        <v/>
      </c>
      <c r="DG154" s="66">
        <f>+IF($W154="","",ROUND(IF($B154&gt;Parámetros!$D$107,'Tablas Servicio'!DE154+('Tablas Servicio'!DG153-'Tablas Servicio'!DE153),DE154/(1-IF(B154&lt;=10,Parámetros!$D$100,0))),2))</f>
        <v>0</v>
      </c>
      <c r="DH154" s="66">
        <f t="shared" si="189"/>
        <v>0</v>
      </c>
      <c r="DI154" s="66">
        <f t="shared" si="189"/>
        <v>0</v>
      </c>
      <c r="DJ154" s="66">
        <f>+IF($W154="","",ROUND((DG154*Parámetros!$G$85),2))</f>
        <v>0</v>
      </c>
      <c r="DK154" s="66">
        <f>+IF($W154="","",ROUND((DG154*(Parámetros!$G$86)),2))</f>
        <v>0</v>
      </c>
      <c r="DL154" s="66">
        <f t="shared" si="190"/>
        <v>0</v>
      </c>
      <c r="DM154" t="str">
        <f t="shared" si="231"/>
        <v>00065</v>
      </c>
      <c r="DN154" s="118" t="str">
        <f t="shared" si="232"/>
        <v>Exención pago de primas</v>
      </c>
      <c r="DO154" s="118">
        <f t="shared" si="233"/>
        <v>0</v>
      </c>
      <c r="DP154" s="118" t="str">
        <f t="shared" si="234"/>
        <v>A</v>
      </c>
      <c r="DQ154" s="122" t="str">
        <f>+IF(OR($W154="",DO154=0),"",ROUND((VLOOKUP(ROUNDDOWN($D154-1/frec,0),cob_adi,DB$40,FALSE)*(1+i/frec)^-0.5*(1+Parámetros!$D$103)*(1+rec_fracc)/frec),6))</f>
        <v/>
      </c>
      <c r="DR154" s="66">
        <f t="shared" si="191"/>
        <v>0</v>
      </c>
      <c r="DS154" s="68" t="str">
        <f t="shared" si="192"/>
        <v/>
      </c>
      <c r="DT154" s="66">
        <f>+IF($W154="","",ROUND(IF($B154&gt;Parámetros!$D$107,'Tablas Servicio'!DR154+('Tablas Servicio'!DT153-'Tablas Servicio'!DR153),DR154/(1-IF(B154&lt;=10,Parámetros!$D$100,0))),2))</f>
        <v>0</v>
      </c>
      <c r="DU154" s="66">
        <f t="shared" si="193"/>
        <v>0</v>
      </c>
      <c r="DV154" s="66">
        <f t="shared" si="193"/>
        <v>0</v>
      </c>
      <c r="DW154" s="66">
        <f>+IF($W154="","",ROUND((DT154*Parámetros!$G$85),2))</f>
        <v>0</v>
      </c>
      <c r="DX154" s="66">
        <f>+IF($W154="","",ROUND((DT154*(Parámetros!$G$86)),2))</f>
        <v>0</v>
      </c>
      <c r="DY154" s="66">
        <f t="shared" si="194"/>
        <v>0</v>
      </c>
      <c r="DZ154" t="str">
        <f t="shared" si="236"/>
        <v>00066</v>
      </c>
      <c r="EA154" s="118" t="str">
        <f t="shared" si="236"/>
        <v>Enfermedad terminal</v>
      </c>
      <c r="EB154" s="118">
        <f>+IF($W154="","",ROUND(IF(Parámetros!$D$25='TABLAS MORT'!$V$33,EB153,Z154/2),0))</f>
        <v>50000</v>
      </c>
      <c r="EC154" s="118" t="str">
        <f t="shared" si="236"/>
        <v>A</v>
      </c>
      <c r="ED154" s="122">
        <f>+IF(OR($W154="",EB154=0),"",ROUND((VLOOKUP(ROUNDDOWN($D154-1/frec,0),cob_adi,DO$40,FALSE)*(1+i/frec)^-0.5*(1+Parámetros!$D$103)*(1+rec_fracc)/frec),6))</f>
        <v>1.2E-5</v>
      </c>
      <c r="EE154" s="66">
        <f t="shared" si="196"/>
        <v>0.6</v>
      </c>
      <c r="EF154" s="68">
        <f t="shared" si="197"/>
        <v>1.4E-5</v>
      </c>
      <c r="EG154" s="66">
        <f>+IF($W154="","",ROUND(IF($B154&gt;Parámetros!$D$107,'Tablas Servicio'!EE154+('Tablas Servicio'!EG153-'Tablas Servicio'!EE153),EE154/(1-IF(B154&lt;=10,Parámetros!$D$100,0))),2))</f>
        <v>0.68</v>
      </c>
      <c r="EH154" s="66">
        <f t="shared" si="198"/>
        <v>0</v>
      </c>
      <c r="EI154" s="66">
        <f t="shared" si="198"/>
        <v>0</v>
      </c>
      <c r="EJ154" s="66">
        <f>+IF($W154="","",ROUND((EG154*Parámetros!$G$85),2))</f>
        <v>0.02</v>
      </c>
      <c r="EK154" s="66">
        <f>+IF($W154="","",ROUND((EG154*(Parámetros!$G$86)),2))</f>
        <v>0</v>
      </c>
      <c r="EL154" s="66">
        <f t="shared" si="199"/>
        <v>0.7</v>
      </c>
    </row>
    <row r="155" spans="1:142" x14ac:dyDescent="0.25">
      <c r="A155">
        <f>+IF($C155="","",ROUND(VLOOKUP('Tablas Servicio'!B155,Parámetros!$H$100:$J$159,IF(Parámetros!$E$16="F",2,3),FALSE),2))</f>
        <v>150</v>
      </c>
      <c r="B155">
        <f t="shared" si="150"/>
        <v>10</v>
      </c>
      <c r="C155" s="57">
        <f>+IF(D155="","",'Tablas Servicio'!C154+1)</f>
        <v>114</v>
      </c>
      <c r="D155" s="56">
        <f>+IF(D154&lt;edadmaxtabla,D154+1/Parámetros!$E$25,"")</f>
        <v>49.520000000000273</v>
      </c>
      <c r="E155" s="57">
        <f t="shared" si="160"/>
        <v>49</v>
      </c>
      <c r="F155" s="59">
        <f t="shared" si="161"/>
        <v>100000</v>
      </c>
      <c r="G155" s="66">
        <f t="shared" si="151"/>
        <v>38.15</v>
      </c>
      <c r="H155" s="66">
        <f t="shared" si="152"/>
        <v>39.67</v>
      </c>
      <c r="I155" s="66">
        <f t="shared" si="200"/>
        <v>47.81</v>
      </c>
      <c r="J155" s="66">
        <f t="shared" si="153"/>
        <v>1.33</v>
      </c>
      <c r="K155" s="66">
        <f t="shared" si="154"/>
        <v>0.19</v>
      </c>
      <c r="L155" s="66">
        <f t="shared" si="155"/>
        <v>0</v>
      </c>
      <c r="M155" s="66">
        <f t="shared" si="156"/>
        <v>0</v>
      </c>
      <c r="N155" s="66">
        <f>+IF(C155="","",ROUND(Parámetros!$D$23,2))</f>
        <v>94</v>
      </c>
      <c r="O155" s="66">
        <f t="shared" si="157"/>
        <v>21.200000000000003</v>
      </c>
      <c r="P155" s="66">
        <f>+IF($C155="","",ROUND(IF(B155&gt;Parámetros!$D$117,0,N155*Parámetros!$D$116-G155*Parámetros!$D$100),2))</f>
        <v>6.52</v>
      </c>
      <c r="Q155" s="75">
        <f t="shared" si="201"/>
        <v>3.4862385321100919E-2</v>
      </c>
      <c r="R155" s="75">
        <f t="shared" si="202"/>
        <v>4.9803407601572746E-3</v>
      </c>
      <c r="S155" s="117">
        <f>+IF($C155="","",ROUND((S154+I155)*(1+Parámetros!$D$91),2))</f>
        <v>7399.8</v>
      </c>
      <c r="T155" s="117">
        <f>+IF($C155="","",ROUND(S155*VLOOKUP(B155,Parámetros!$C$30:$D$39,2,TRUE),2))</f>
        <v>7399.8</v>
      </c>
      <c r="U155" s="117">
        <f>+IF($C155="","",ROUND((U154+I155)*(1+Parámetros!$D$92),2))</f>
        <v>7591.54</v>
      </c>
      <c r="V155" s="117">
        <f>+IF($C155="","",ROUND(U155*VLOOKUP(B155,Parámetros!$C$30:$D$39,2,TRUE),2))</f>
        <v>7591.54</v>
      </c>
      <c r="W155" s="57">
        <f t="shared" si="203"/>
        <v>114</v>
      </c>
      <c r="X155" t="str">
        <f t="shared" si="204"/>
        <v>00058</v>
      </c>
      <c r="Y155" t="str">
        <f t="shared" si="205"/>
        <v>MUERTE POR CUALQUIER CAUSA</v>
      </c>
      <c r="Z155" s="118">
        <f>+IF($W155="","",ROUND(IF(Parámetros!$D$25='TABLAS MORT'!$V$33,Z154,Parámetros!$D$21-'Tablas Servicio'!T154),0))</f>
        <v>100000</v>
      </c>
      <c r="AA155" s="118" t="str">
        <f t="shared" si="206"/>
        <v>P</v>
      </c>
      <c r="AB155" s="119">
        <f>+IF(W155="","",ROUND((VLOOKUP(ROUNDDOWN($D155-1/frec,0),qx_tabla,2,FALSE)*(1+i/frec)^-0.5*(1+Parámetros!$D$103)*(1+rec_fracc)/frec),6))</f>
        <v>2.0599999999999999E-4</v>
      </c>
      <c r="AC155" s="66">
        <f t="shared" si="162"/>
        <v>20.6</v>
      </c>
      <c r="AD155" s="119">
        <f t="shared" si="158"/>
        <v>3.7500000000000001E-4</v>
      </c>
      <c r="AE155" s="66">
        <f>+IF($W155="","",ROUND(IF($B155&gt;Parámetros!$D$107,'Tablas Servicio'!AC155+('Tablas Servicio'!AG154-'Tablas Servicio'!AC154),AC155/(1-IF(B155&lt;=10,Parámetros!$D$104,Parámetros!$D$105))),2))</f>
        <v>42.63</v>
      </c>
      <c r="AF155" s="66">
        <f>+IF($W155="","",ROUND(IF($B155&gt;Parámetros!$D$107,'Tablas Servicio'!AC155+('Tablas Servicio'!AG154-'Tablas Servicio'!AC154),(AC155+$A154/frec)/(1-IF(B155&lt;=Parámetros!$D$117,Parámetros!$D$100,0))),2))</f>
        <v>37.47</v>
      </c>
      <c r="AG155" s="66">
        <f t="shared" si="163"/>
        <v>37.47</v>
      </c>
      <c r="AH155" s="66">
        <f t="shared" si="164"/>
        <v>0</v>
      </c>
      <c r="AI155" s="66">
        <f t="shared" si="165"/>
        <v>0</v>
      </c>
      <c r="AJ155" s="66">
        <f>+IF($W155="","",ROUND((AG155*Parámetros!$G$85),2))</f>
        <v>1.31</v>
      </c>
      <c r="AK155" s="66">
        <f>+IF($W155="","",ROUND((AG155*(Parámetros!$G$86)),2))</f>
        <v>0.19</v>
      </c>
      <c r="AL155" s="66">
        <f t="shared" si="159"/>
        <v>38.97</v>
      </c>
      <c r="AM155" t="str">
        <f t="shared" si="207"/>
        <v>00059</v>
      </c>
      <c r="AN155" t="str">
        <f t="shared" si="208"/>
        <v>Incapacidad Total y Permanente</v>
      </c>
      <c r="AO155" s="118">
        <f t="shared" si="209"/>
        <v>0</v>
      </c>
      <c r="AP155" s="118" t="str">
        <f t="shared" si="210"/>
        <v>A</v>
      </c>
      <c r="AQ155" s="119" t="str">
        <f>+IF(OR($W155="",AO155=0),"",ROUND((VLOOKUP(ROUNDDOWN($D155-1/frec,0),cob_adi,Z$40,FALSE)*(1+i/frec)^-0.5*(1+Parámetros!$D$103)*(1+rec_fracc)/frec),6))</f>
        <v/>
      </c>
      <c r="AR155" s="66">
        <f t="shared" si="166"/>
        <v>0</v>
      </c>
      <c r="AS155" s="119" t="str">
        <f t="shared" si="167"/>
        <v/>
      </c>
      <c r="AT155" s="66">
        <f>+IF($W155="","",ROUND(IF($B155&gt;Parámetros!$D$107,'Tablas Servicio'!AR155+('Tablas Servicio'!AT154-'Tablas Servicio'!AR154),AR155/(1-IF(B155&lt;=10,Parámetros!$D$100,0))),2))</f>
        <v>0</v>
      </c>
      <c r="AU155" s="66">
        <f t="shared" si="168"/>
        <v>0</v>
      </c>
      <c r="AV155" s="66">
        <f t="shared" si="168"/>
        <v>0</v>
      </c>
      <c r="AW155" s="66">
        <f>+IF($W155="","",ROUND((AT155*Parámetros!$G$85),2))</f>
        <v>0</v>
      </c>
      <c r="AX155" s="66">
        <f>+IF($W155="","",ROUND((AT155*(Parámetros!$G$86)),2))</f>
        <v>0</v>
      </c>
      <c r="AY155" s="66">
        <f t="shared" si="169"/>
        <v>0</v>
      </c>
      <c r="AZ155" t="str">
        <f t="shared" si="211"/>
        <v>00060</v>
      </c>
      <c r="BA155" t="str">
        <f t="shared" si="212"/>
        <v>Muerte Accidental</v>
      </c>
      <c r="BB155" s="118">
        <f t="shared" si="213"/>
        <v>0</v>
      </c>
      <c r="BC155" s="118" t="str">
        <f t="shared" si="214"/>
        <v>A</v>
      </c>
      <c r="BD155" s="119" t="str">
        <f>+IF(OR($W155="",BB155=0),"",ROUND((VLOOKUP(ROUNDDOWN($D155-1/frec,0),cob_adi,AO$40,FALSE)*(1+i/frec)^-0.5*(1+Parámetros!$D$103)*(1+rec_fracc)/frec),6))</f>
        <v/>
      </c>
      <c r="BE155" s="66">
        <f t="shared" si="170"/>
        <v>0</v>
      </c>
      <c r="BF155" s="119" t="str">
        <f t="shared" si="171"/>
        <v/>
      </c>
      <c r="BG155" s="66">
        <f>+IF($W155="","",ROUND(IF($B155&gt;Parámetros!$D$107,'Tablas Servicio'!BE155+('Tablas Servicio'!BG154-'Tablas Servicio'!BE154),BE155/(1-IF(B155&lt;=10,Parámetros!$D$100,0))),2))</f>
        <v>0</v>
      </c>
      <c r="BH155" s="66">
        <f t="shared" si="172"/>
        <v>0</v>
      </c>
      <c r="BI155" s="66">
        <f t="shared" si="173"/>
        <v>0</v>
      </c>
      <c r="BJ155" s="66">
        <f>+IF($W155="","",ROUND((BG155*Parámetros!$G$85),2))</f>
        <v>0</v>
      </c>
      <c r="BK155" s="66">
        <f>+IF($W155="","",ROUND((BG155*(Parámetros!$G$86)),2))</f>
        <v>0</v>
      </c>
      <c r="BL155" s="66">
        <f t="shared" si="174"/>
        <v>0</v>
      </c>
      <c r="BM155" t="str">
        <f t="shared" si="215"/>
        <v>00061</v>
      </c>
      <c r="BN155" t="str">
        <f t="shared" si="216"/>
        <v>Gastos de Entierro</v>
      </c>
      <c r="BO155" s="118">
        <f t="shared" si="217"/>
        <v>0</v>
      </c>
      <c r="BP155" s="118" t="str">
        <f t="shared" si="218"/>
        <v>A</v>
      </c>
      <c r="BQ155" s="119" t="str">
        <f>+IF(OR($W155="",BO155=0),"",ROUND((VLOOKUP(ROUNDDOWN($D155-1/frec,0),cob_adi,BB$40,FALSE)*(1+i/frec)^-0.5*(1+Parámetros!$D$103)*(1+rec_fracc)/frec),6))</f>
        <v/>
      </c>
      <c r="BR155" s="66">
        <f t="shared" si="175"/>
        <v>0</v>
      </c>
      <c r="BS155" s="119" t="str">
        <f t="shared" si="176"/>
        <v/>
      </c>
      <c r="BT155" s="66">
        <f>+IF($W155="","",ROUND(IF($B155&gt;Parámetros!$D$107,'Tablas Servicio'!BR155+('Tablas Servicio'!BT154-'Tablas Servicio'!BR154),BR155/(1-IF(B155&lt;=10,Parámetros!$D$100,0))),2))</f>
        <v>0</v>
      </c>
      <c r="BU155" s="66">
        <f t="shared" si="177"/>
        <v>0</v>
      </c>
      <c r="BV155" s="66">
        <f t="shared" si="177"/>
        <v>0</v>
      </c>
      <c r="BW155" s="66">
        <f>+IF($W155="","",ROUND((BT155*Parámetros!$G$85),2))</f>
        <v>0</v>
      </c>
      <c r="BX155" s="66">
        <f>+IF($W155="","",ROUND((BT155*(Parámetros!$G$86)),2))</f>
        <v>0</v>
      </c>
      <c r="BY155" s="66">
        <f t="shared" si="178"/>
        <v>0</v>
      </c>
      <c r="BZ155" t="str">
        <f t="shared" si="219"/>
        <v>00062</v>
      </c>
      <c r="CA155" t="str">
        <f t="shared" si="220"/>
        <v>Gastos médicos por accidente</v>
      </c>
      <c r="CB155" s="118">
        <f t="shared" si="221"/>
        <v>0</v>
      </c>
      <c r="CC155" s="118" t="str">
        <f t="shared" si="222"/>
        <v>A</v>
      </c>
      <c r="CD155" s="119" t="str">
        <f t="shared" si="179"/>
        <v/>
      </c>
      <c r="CE155" s="66">
        <f>+IF($W155="","",ROUND((VLOOKUP(ROUNDDOWN($D155-1/frec,0),cob_adi,BO$40,FALSE)*(1+i/frec)^-0.5*(1+Parámetros!$D$103)*(1+rec_fracc)/frec*'TABLAS ADI'!$BC$17),2))</f>
        <v>0</v>
      </c>
      <c r="CF155" s="119" t="str">
        <f t="shared" si="180"/>
        <v/>
      </c>
      <c r="CG155" s="66">
        <f>+IF($W155="","",ROUND(IF($B155&gt;Parámetros!$D$107,'Tablas Servicio'!CE155+('Tablas Servicio'!CG154-'Tablas Servicio'!CE154),CE155/(1-IF(B155&lt;=10,Parámetros!$D$100,0))),2))</f>
        <v>0</v>
      </c>
      <c r="CH155" s="66">
        <f t="shared" si="181"/>
        <v>0</v>
      </c>
      <c r="CI155" s="66">
        <f t="shared" si="181"/>
        <v>0</v>
      </c>
      <c r="CJ155" s="66">
        <f>+IF($W155="","",ROUND((CG155*Parámetros!$G$85),2))</f>
        <v>0</v>
      </c>
      <c r="CK155" s="66">
        <f>+IF($W155="","",ROUND((CG155*(Parámetros!$G$86)),2))</f>
        <v>0</v>
      </c>
      <c r="CL155" s="66">
        <f t="shared" si="182"/>
        <v>0</v>
      </c>
      <c r="CM155" t="str">
        <f t="shared" si="223"/>
        <v>00063</v>
      </c>
      <c r="CN155" s="118" t="str">
        <f t="shared" si="224"/>
        <v>Renta Diaria por Hospitalización</v>
      </c>
      <c r="CO155" s="118">
        <f t="shared" si="225"/>
        <v>0</v>
      </c>
      <c r="CP155" s="118" t="str">
        <f t="shared" si="226"/>
        <v>A</v>
      </c>
      <c r="CQ155" s="119" t="str">
        <f t="shared" si="183"/>
        <v/>
      </c>
      <c r="CR155" s="66">
        <f>+IF($W155="","",ROUND((VLOOKUP(Parámetros!$F$51,'COBERTURAS ADICIONALES'!$S$4:$T$32,2,FALSE)*(1+i/frec)^-0.5*(1+Parámetros!$D$103)*(1+rec_fracc)/frec*$CO$42),2))</f>
        <v>0</v>
      </c>
      <c r="CS155" s="119" t="str">
        <f t="shared" si="184"/>
        <v/>
      </c>
      <c r="CT155" s="66">
        <f>+IF($W155="","",ROUND(IF($B155&gt;Parámetros!$D$107,'Tablas Servicio'!CR155+('Tablas Servicio'!CT154-'Tablas Servicio'!CR154),CR155/(1-IF(B155&lt;=10,Parámetros!$D$100,0))),2))</f>
        <v>0</v>
      </c>
      <c r="CU155" s="66">
        <f t="shared" si="185"/>
        <v>0</v>
      </c>
      <c r="CV155" s="66">
        <f t="shared" si="185"/>
        <v>0</v>
      </c>
      <c r="CW155" s="66">
        <f>+IF($W155="","",ROUND((CT155*Parámetros!$G$85),2))</f>
        <v>0</v>
      </c>
      <c r="CX155" s="66">
        <f>+IF($W155="","",ROUND((CT155*(Parámetros!$G$86)),2))</f>
        <v>0</v>
      </c>
      <c r="CY155" s="66">
        <f t="shared" si="186"/>
        <v>0</v>
      </c>
      <c r="CZ155" t="str">
        <f t="shared" si="227"/>
        <v>00064</v>
      </c>
      <c r="DA155" s="118" t="str">
        <f t="shared" si="228"/>
        <v>Enfermedades Graves</v>
      </c>
      <c r="DB155" s="118">
        <f t="shared" si="229"/>
        <v>0</v>
      </c>
      <c r="DC155" s="118" t="str">
        <f t="shared" si="230"/>
        <v>A</v>
      </c>
      <c r="DD155" s="121" t="str">
        <f>+IF(OR($W155="",DB155=0),"",ROUND((VLOOKUP(ROUNDDOWN($D155-1/frec,0),cob_adi,CO$40,FALSE)*(1+i/frec)^-0.5*(1+Parámetros!$D$103)*(1+rec_fracc)/frec),6))</f>
        <v/>
      </c>
      <c r="DE155" s="66">
        <f t="shared" si="187"/>
        <v>0</v>
      </c>
      <c r="DF155" s="119" t="str">
        <f t="shared" si="188"/>
        <v/>
      </c>
      <c r="DG155" s="66">
        <f>+IF($W155="","",ROUND(IF($B155&gt;Parámetros!$D$107,'Tablas Servicio'!DE155+('Tablas Servicio'!DG154-'Tablas Servicio'!DE154),DE155/(1-IF(B155&lt;=10,Parámetros!$D$100,0))),2))</f>
        <v>0</v>
      </c>
      <c r="DH155" s="66">
        <f t="shared" si="189"/>
        <v>0</v>
      </c>
      <c r="DI155" s="66">
        <f t="shared" si="189"/>
        <v>0</v>
      </c>
      <c r="DJ155" s="66">
        <f>+IF($W155="","",ROUND((DG155*Parámetros!$G$85),2))</f>
        <v>0</v>
      </c>
      <c r="DK155" s="66">
        <f>+IF($W155="","",ROUND((DG155*(Parámetros!$G$86)),2))</f>
        <v>0</v>
      </c>
      <c r="DL155" s="66">
        <f t="shared" si="190"/>
        <v>0</v>
      </c>
      <c r="DM155" t="str">
        <f t="shared" si="231"/>
        <v>00065</v>
      </c>
      <c r="DN155" s="118" t="str">
        <f t="shared" si="232"/>
        <v>Exención pago de primas</v>
      </c>
      <c r="DO155" s="118">
        <f t="shared" si="233"/>
        <v>0</v>
      </c>
      <c r="DP155" s="118" t="str">
        <f t="shared" si="234"/>
        <v>A</v>
      </c>
      <c r="DQ155" s="122" t="str">
        <f>+IF(OR($W155="",DO155=0),"",ROUND((VLOOKUP(ROUNDDOWN($D155-1/frec,0),cob_adi,DB$40,FALSE)*(1+i/frec)^-0.5*(1+Parámetros!$D$103)*(1+rec_fracc)/frec),6))</f>
        <v/>
      </c>
      <c r="DR155" s="66">
        <f t="shared" si="191"/>
        <v>0</v>
      </c>
      <c r="DS155" s="68" t="str">
        <f t="shared" si="192"/>
        <v/>
      </c>
      <c r="DT155" s="66">
        <f>+IF($W155="","",ROUND(IF($B155&gt;Parámetros!$D$107,'Tablas Servicio'!DR155+('Tablas Servicio'!DT154-'Tablas Servicio'!DR154),DR155/(1-IF(B155&lt;=10,Parámetros!$D$100,0))),2))</f>
        <v>0</v>
      </c>
      <c r="DU155" s="66">
        <f t="shared" si="193"/>
        <v>0</v>
      </c>
      <c r="DV155" s="66">
        <f t="shared" si="193"/>
        <v>0</v>
      </c>
      <c r="DW155" s="66">
        <f>+IF($W155="","",ROUND((DT155*Parámetros!$G$85),2))</f>
        <v>0</v>
      </c>
      <c r="DX155" s="66">
        <f>+IF($W155="","",ROUND((DT155*(Parámetros!$G$86)),2))</f>
        <v>0</v>
      </c>
      <c r="DY155" s="66">
        <f t="shared" si="194"/>
        <v>0</v>
      </c>
      <c r="DZ155" t="str">
        <f t="shared" ref="DZ155:EC170" si="237">+IF($W155="","",DZ154)</f>
        <v>00066</v>
      </c>
      <c r="EA155" s="118" t="str">
        <f t="shared" si="237"/>
        <v>Enfermedad terminal</v>
      </c>
      <c r="EB155" s="118">
        <f>+IF($W155="","",ROUND(IF(Parámetros!$D$25='TABLAS MORT'!$V$33,EB154,Z155/2),0))</f>
        <v>50000</v>
      </c>
      <c r="EC155" s="118" t="str">
        <f t="shared" si="237"/>
        <v>A</v>
      </c>
      <c r="ED155" s="122">
        <f>+IF(OR($W155="",EB155=0),"",ROUND((VLOOKUP(ROUNDDOWN($D155-1/frec,0),cob_adi,DO$40,FALSE)*(1+i/frec)^-0.5*(1+Parámetros!$D$103)*(1+rec_fracc)/frec),6))</f>
        <v>1.2E-5</v>
      </c>
      <c r="EE155" s="66">
        <f t="shared" si="196"/>
        <v>0.6</v>
      </c>
      <c r="EF155" s="68">
        <f t="shared" si="197"/>
        <v>1.4E-5</v>
      </c>
      <c r="EG155" s="66">
        <f>+IF($W155="","",ROUND(IF($B155&gt;Parámetros!$D$107,'Tablas Servicio'!EE155+('Tablas Servicio'!EG154-'Tablas Servicio'!EE154),EE155/(1-IF(B155&lt;=10,Parámetros!$D$100,0))),2))</f>
        <v>0.68</v>
      </c>
      <c r="EH155" s="66">
        <f t="shared" si="198"/>
        <v>0</v>
      </c>
      <c r="EI155" s="66">
        <f t="shared" si="198"/>
        <v>0</v>
      </c>
      <c r="EJ155" s="66">
        <f>+IF($W155="","",ROUND((EG155*Parámetros!$G$85),2))</f>
        <v>0.02</v>
      </c>
      <c r="EK155" s="66">
        <f>+IF($W155="","",ROUND((EG155*(Parámetros!$G$86)),2))</f>
        <v>0</v>
      </c>
      <c r="EL155" s="66">
        <f t="shared" si="199"/>
        <v>0.7</v>
      </c>
    </row>
    <row r="156" spans="1:142" x14ac:dyDescent="0.25">
      <c r="A156">
        <f>+IF($C156="","",ROUND(VLOOKUP('Tablas Servicio'!B156,Parámetros!$H$100:$J$159,IF(Parámetros!$E$16="F",2,3),FALSE),2))</f>
        <v>150</v>
      </c>
      <c r="B156">
        <f t="shared" si="150"/>
        <v>10</v>
      </c>
      <c r="C156" s="57">
        <f>+IF(D156="","",'Tablas Servicio'!C155+1)</f>
        <v>115</v>
      </c>
      <c r="D156" s="56">
        <f>+IF(D155&lt;edadmaxtabla,D155+1/Parámetros!$E$25,"")</f>
        <v>49.603333333333609</v>
      </c>
      <c r="E156" s="57">
        <f t="shared" si="160"/>
        <v>49</v>
      </c>
      <c r="F156" s="59">
        <f t="shared" si="161"/>
        <v>100000</v>
      </c>
      <c r="G156" s="66">
        <f t="shared" si="151"/>
        <v>38.15</v>
      </c>
      <c r="H156" s="66">
        <f t="shared" si="152"/>
        <v>39.67</v>
      </c>
      <c r="I156" s="66">
        <f t="shared" si="200"/>
        <v>47.81</v>
      </c>
      <c r="J156" s="66">
        <f t="shared" si="153"/>
        <v>1.33</v>
      </c>
      <c r="K156" s="66">
        <f t="shared" si="154"/>
        <v>0.19</v>
      </c>
      <c r="L156" s="66">
        <f t="shared" si="155"/>
        <v>0</v>
      </c>
      <c r="M156" s="66">
        <f t="shared" si="156"/>
        <v>0</v>
      </c>
      <c r="N156" s="66">
        <f>+IF(C156="","",ROUND(Parámetros!$D$23,2))</f>
        <v>94</v>
      </c>
      <c r="O156" s="66">
        <f t="shared" si="157"/>
        <v>21.200000000000003</v>
      </c>
      <c r="P156" s="66">
        <f>+IF($C156="","",ROUND(IF(B156&gt;Parámetros!$D$117,0,N156*Parámetros!$D$116-G156*Parámetros!$D$100),2))</f>
        <v>6.52</v>
      </c>
      <c r="Q156" s="75">
        <f t="shared" si="201"/>
        <v>3.4862385321100919E-2</v>
      </c>
      <c r="R156" s="75">
        <f t="shared" si="202"/>
        <v>4.9803407601572746E-3</v>
      </c>
      <c r="S156" s="117">
        <f>+IF($C156="","",ROUND((S155+I156)*(1+Parámetros!$D$91),2))</f>
        <v>7468.73</v>
      </c>
      <c r="T156" s="117">
        <f>+IF($C156="","",ROUND(S156*VLOOKUP(B156,Parámetros!$C$30:$D$39,2,TRUE),2))</f>
        <v>7468.73</v>
      </c>
      <c r="U156" s="117">
        <f>+IF($C156="","",ROUND((U155+I156)*(1+Parámetros!$D$92),2))</f>
        <v>7664.11</v>
      </c>
      <c r="V156" s="117">
        <f>+IF($C156="","",ROUND(U156*VLOOKUP(B156,Parámetros!$C$30:$D$39,2,TRUE),2))</f>
        <v>7664.11</v>
      </c>
      <c r="W156" s="57">
        <f t="shared" si="203"/>
        <v>115</v>
      </c>
      <c r="X156" t="str">
        <f t="shared" si="204"/>
        <v>00058</v>
      </c>
      <c r="Y156" t="str">
        <f t="shared" si="205"/>
        <v>MUERTE POR CUALQUIER CAUSA</v>
      </c>
      <c r="Z156" s="118">
        <f>+IF($W156="","",ROUND(IF(Parámetros!$D$25='TABLAS MORT'!$V$33,Z155,Parámetros!$D$21-'Tablas Servicio'!T155),0))</f>
        <v>100000</v>
      </c>
      <c r="AA156" s="118" t="str">
        <f t="shared" si="206"/>
        <v>P</v>
      </c>
      <c r="AB156" s="119">
        <f>+IF(W156="","",ROUND((VLOOKUP(ROUNDDOWN($D156-1/frec,0),qx_tabla,2,FALSE)*(1+i/frec)^-0.5*(1+Parámetros!$D$103)*(1+rec_fracc)/frec),6))</f>
        <v>2.0599999999999999E-4</v>
      </c>
      <c r="AC156" s="66">
        <f t="shared" si="162"/>
        <v>20.6</v>
      </c>
      <c r="AD156" s="119">
        <f t="shared" si="158"/>
        <v>3.7500000000000001E-4</v>
      </c>
      <c r="AE156" s="66">
        <f>+IF($W156="","",ROUND(IF($B156&gt;Parámetros!$D$107,'Tablas Servicio'!AC156+('Tablas Servicio'!AG155-'Tablas Servicio'!AC155),AC156/(1-IF(B156&lt;=10,Parámetros!$D$104,Parámetros!$D$105))),2))</f>
        <v>42.63</v>
      </c>
      <c r="AF156" s="66">
        <f>+IF($W156="","",ROUND(IF($B156&gt;Parámetros!$D$107,'Tablas Servicio'!AC156+('Tablas Servicio'!AG155-'Tablas Servicio'!AC155),(AC156+$A155/frec)/(1-IF(B156&lt;=Parámetros!$D$117,Parámetros!$D$100,0))),2))</f>
        <v>37.47</v>
      </c>
      <c r="AG156" s="66">
        <f t="shared" si="163"/>
        <v>37.47</v>
      </c>
      <c r="AH156" s="66">
        <f t="shared" si="164"/>
        <v>0</v>
      </c>
      <c r="AI156" s="66">
        <f t="shared" si="165"/>
        <v>0</v>
      </c>
      <c r="AJ156" s="66">
        <f>+IF($W156="","",ROUND((AG156*Parámetros!$G$85),2))</f>
        <v>1.31</v>
      </c>
      <c r="AK156" s="66">
        <f>+IF($W156="","",ROUND((AG156*(Parámetros!$G$86)),2))</f>
        <v>0.19</v>
      </c>
      <c r="AL156" s="66">
        <f t="shared" si="159"/>
        <v>38.97</v>
      </c>
      <c r="AM156" t="str">
        <f t="shared" si="207"/>
        <v>00059</v>
      </c>
      <c r="AN156" t="str">
        <f t="shared" si="208"/>
        <v>Incapacidad Total y Permanente</v>
      </c>
      <c r="AO156" s="118">
        <f t="shared" si="209"/>
        <v>0</v>
      </c>
      <c r="AP156" s="118" t="str">
        <f t="shared" si="210"/>
        <v>A</v>
      </c>
      <c r="AQ156" s="119" t="str">
        <f>+IF(OR($W156="",AO156=0),"",ROUND((VLOOKUP(ROUNDDOWN($D156-1/frec,0),cob_adi,Z$40,FALSE)*(1+i/frec)^-0.5*(1+Parámetros!$D$103)*(1+rec_fracc)/frec),6))</f>
        <v/>
      </c>
      <c r="AR156" s="66">
        <f t="shared" si="166"/>
        <v>0</v>
      </c>
      <c r="AS156" s="119" t="str">
        <f t="shared" si="167"/>
        <v/>
      </c>
      <c r="AT156" s="66">
        <f>+IF($W156="","",ROUND(IF($B156&gt;Parámetros!$D$107,'Tablas Servicio'!AR156+('Tablas Servicio'!AT155-'Tablas Servicio'!AR155),AR156/(1-IF(B156&lt;=10,Parámetros!$D$100,0))),2))</f>
        <v>0</v>
      </c>
      <c r="AU156" s="66">
        <f t="shared" si="168"/>
        <v>0</v>
      </c>
      <c r="AV156" s="66">
        <f t="shared" si="168"/>
        <v>0</v>
      </c>
      <c r="AW156" s="66">
        <f>+IF($W156="","",ROUND((AT156*Parámetros!$G$85),2))</f>
        <v>0</v>
      </c>
      <c r="AX156" s="66">
        <f>+IF($W156="","",ROUND((AT156*(Parámetros!$G$86)),2))</f>
        <v>0</v>
      </c>
      <c r="AY156" s="66">
        <f t="shared" si="169"/>
        <v>0</v>
      </c>
      <c r="AZ156" t="str">
        <f t="shared" si="211"/>
        <v>00060</v>
      </c>
      <c r="BA156" t="str">
        <f t="shared" si="212"/>
        <v>Muerte Accidental</v>
      </c>
      <c r="BB156" s="118">
        <f t="shared" si="213"/>
        <v>0</v>
      </c>
      <c r="BC156" s="118" t="str">
        <f t="shared" si="214"/>
        <v>A</v>
      </c>
      <c r="BD156" s="119" t="str">
        <f>+IF(OR($W156="",BB156=0),"",ROUND((VLOOKUP(ROUNDDOWN($D156-1/frec,0),cob_adi,AO$40,FALSE)*(1+i/frec)^-0.5*(1+Parámetros!$D$103)*(1+rec_fracc)/frec),6))</f>
        <v/>
      </c>
      <c r="BE156" s="66">
        <f t="shared" si="170"/>
        <v>0</v>
      </c>
      <c r="BF156" s="119" t="str">
        <f t="shared" si="171"/>
        <v/>
      </c>
      <c r="BG156" s="66">
        <f>+IF($W156="","",ROUND(IF($B156&gt;Parámetros!$D$107,'Tablas Servicio'!BE156+('Tablas Servicio'!BG155-'Tablas Servicio'!BE155),BE156/(1-IF(B156&lt;=10,Parámetros!$D$100,0))),2))</f>
        <v>0</v>
      </c>
      <c r="BH156" s="66">
        <f t="shared" si="172"/>
        <v>0</v>
      </c>
      <c r="BI156" s="66">
        <f t="shared" si="173"/>
        <v>0</v>
      </c>
      <c r="BJ156" s="66">
        <f>+IF($W156="","",ROUND((BG156*Parámetros!$G$85),2))</f>
        <v>0</v>
      </c>
      <c r="BK156" s="66">
        <f>+IF($W156="","",ROUND((BG156*(Parámetros!$G$86)),2))</f>
        <v>0</v>
      </c>
      <c r="BL156" s="66">
        <f t="shared" si="174"/>
        <v>0</v>
      </c>
      <c r="BM156" t="str">
        <f t="shared" si="215"/>
        <v>00061</v>
      </c>
      <c r="BN156" t="str">
        <f t="shared" si="216"/>
        <v>Gastos de Entierro</v>
      </c>
      <c r="BO156" s="118">
        <f t="shared" si="217"/>
        <v>0</v>
      </c>
      <c r="BP156" s="118" t="str">
        <f t="shared" si="218"/>
        <v>A</v>
      </c>
      <c r="BQ156" s="119" t="str">
        <f>+IF(OR($W156="",BO156=0),"",ROUND((VLOOKUP(ROUNDDOWN($D156-1/frec,0),cob_adi,BB$40,FALSE)*(1+i/frec)^-0.5*(1+Parámetros!$D$103)*(1+rec_fracc)/frec),6))</f>
        <v/>
      </c>
      <c r="BR156" s="66">
        <f t="shared" si="175"/>
        <v>0</v>
      </c>
      <c r="BS156" s="119" t="str">
        <f t="shared" si="176"/>
        <v/>
      </c>
      <c r="BT156" s="66">
        <f>+IF($W156="","",ROUND(IF($B156&gt;Parámetros!$D$107,'Tablas Servicio'!BR156+('Tablas Servicio'!BT155-'Tablas Servicio'!BR155),BR156/(1-IF(B156&lt;=10,Parámetros!$D$100,0))),2))</f>
        <v>0</v>
      </c>
      <c r="BU156" s="66">
        <f t="shared" si="177"/>
        <v>0</v>
      </c>
      <c r="BV156" s="66">
        <f t="shared" si="177"/>
        <v>0</v>
      </c>
      <c r="BW156" s="66">
        <f>+IF($W156="","",ROUND((BT156*Parámetros!$G$85),2))</f>
        <v>0</v>
      </c>
      <c r="BX156" s="66">
        <f>+IF($W156="","",ROUND((BT156*(Parámetros!$G$86)),2))</f>
        <v>0</v>
      </c>
      <c r="BY156" s="66">
        <f t="shared" si="178"/>
        <v>0</v>
      </c>
      <c r="BZ156" t="str">
        <f t="shared" si="219"/>
        <v>00062</v>
      </c>
      <c r="CA156" t="str">
        <f t="shared" si="220"/>
        <v>Gastos médicos por accidente</v>
      </c>
      <c r="CB156" s="118">
        <f t="shared" si="221"/>
        <v>0</v>
      </c>
      <c r="CC156" s="118" t="str">
        <f t="shared" si="222"/>
        <v>A</v>
      </c>
      <c r="CD156" s="119" t="str">
        <f t="shared" si="179"/>
        <v/>
      </c>
      <c r="CE156" s="66">
        <f>+IF($W156="","",ROUND((VLOOKUP(ROUNDDOWN($D156-1/frec,0),cob_adi,BO$40,FALSE)*(1+i/frec)^-0.5*(1+Parámetros!$D$103)*(1+rec_fracc)/frec*'TABLAS ADI'!$BC$17),2))</f>
        <v>0</v>
      </c>
      <c r="CF156" s="119" t="str">
        <f t="shared" si="180"/>
        <v/>
      </c>
      <c r="CG156" s="66">
        <f>+IF($W156="","",ROUND(IF($B156&gt;Parámetros!$D$107,'Tablas Servicio'!CE156+('Tablas Servicio'!CG155-'Tablas Servicio'!CE155),CE156/(1-IF(B156&lt;=10,Parámetros!$D$100,0))),2))</f>
        <v>0</v>
      </c>
      <c r="CH156" s="66">
        <f t="shared" si="181"/>
        <v>0</v>
      </c>
      <c r="CI156" s="66">
        <f t="shared" si="181"/>
        <v>0</v>
      </c>
      <c r="CJ156" s="66">
        <f>+IF($W156="","",ROUND((CG156*Parámetros!$G$85),2))</f>
        <v>0</v>
      </c>
      <c r="CK156" s="66">
        <f>+IF($W156="","",ROUND((CG156*(Parámetros!$G$86)),2))</f>
        <v>0</v>
      </c>
      <c r="CL156" s="66">
        <f t="shared" si="182"/>
        <v>0</v>
      </c>
      <c r="CM156" t="str">
        <f t="shared" si="223"/>
        <v>00063</v>
      </c>
      <c r="CN156" s="118" t="str">
        <f t="shared" si="224"/>
        <v>Renta Diaria por Hospitalización</v>
      </c>
      <c r="CO156" s="118">
        <f t="shared" si="225"/>
        <v>0</v>
      </c>
      <c r="CP156" s="118" t="str">
        <f t="shared" si="226"/>
        <v>A</v>
      </c>
      <c r="CQ156" s="119" t="str">
        <f t="shared" si="183"/>
        <v/>
      </c>
      <c r="CR156" s="66">
        <f>+IF($W156="","",ROUND((VLOOKUP(Parámetros!$F$51,'COBERTURAS ADICIONALES'!$S$4:$T$32,2,FALSE)*(1+i/frec)^-0.5*(1+Parámetros!$D$103)*(1+rec_fracc)/frec*$CO$42),2))</f>
        <v>0</v>
      </c>
      <c r="CS156" s="119" t="str">
        <f t="shared" si="184"/>
        <v/>
      </c>
      <c r="CT156" s="66">
        <f>+IF($W156="","",ROUND(IF($B156&gt;Parámetros!$D$107,'Tablas Servicio'!CR156+('Tablas Servicio'!CT155-'Tablas Servicio'!CR155),CR156/(1-IF(B156&lt;=10,Parámetros!$D$100,0))),2))</f>
        <v>0</v>
      </c>
      <c r="CU156" s="66">
        <f t="shared" si="185"/>
        <v>0</v>
      </c>
      <c r="CV156" s="66">
        <f t="shared" si="185"/>
        <v>0</v>
      </c>
      <c r="CW156" s="66">
        <f>+IF($W156="","",ROUND((CT156*Parámetros!$G$85),2))</f>
        <v>0</v>
      </c>
      <c r="CX156" s="66">
        <f>+IF($W156="","",ROUND((CT156*(Parámetros!$G$86)),2))</f>
        <v>0</v>
      </c>
      <c r="CY156" s="66">
        <f t="shared" si="186"/>
        <v>0</v>
      </c>
      <c r="CZ156" t="str">
        <f t="shared" si="227"/>
        <v>00064</v>
      </c>
      <c r="DA156" s="118" t="str">
        <f t="shared" si="228"/>
        <v>Enfermedades Graves</v>
      </c>
      <c r="DB156" s="118">
        <f t="shared" si="229"/>
        <v>0</v>
      </c>
      <c r="DC156" s="118" t="str">
        <f t="shared" si="230"/>
        <v>A</v>
      </c>
      <c r="DD156" s="121" t="str">
        <f>+IF(OR($W156="",DB156=0),"",ROUND((VLOOKUP(ROUNDDOWN($D156-1/frec,0),cob_adi,CO$40,FALSE)*(1+i/frec)^-0.5*(1+Parámetros!$D$103)*(1+rec_fracc)/frec),6))</f>
        <v/>
      </c>
      <c r="DE156" s="66">
        <f t="shared" si="187"/>
        <v>0</v>
      </c>
      <c r="DF156" s="119" t="str">
        <f t="shared" si="188"/>
        <v/>
      </c>
      <c r="DG156" s="66">
        <f>+IF($W156="","",ROUND(IF($B156&gt;Parámetros!$D$107,'Tablas Servicio'!DE156+('Tablas Servicio'!DG155-'Tablas Servicio'!DE155),DE156/(1-IF(B156&lt;=10,Parámetros!$D$100,0))),2))</f>
        <v>0</v>
      </c>
      <c r="DH156" s="66">
        <f t="shared" si="189"/>
        <v>0</v>
      </c>
      <c r="DI156" s="66">
        <f t="shared" si="189"/>
        <v>0</v>
      </c>
      <c r="DJ156" s="66">
        <f>+IF($W156="","",ROUND((DG156*Parámetros!$G$85),2))</f>
        <v>0</v>
      </c>
      <c r="DK156" s="66">
        <f>+IF($W156="","",ROUND((DG156*(Parámetros!$G$86)),2))</f>
        <v>0</v>
      </c>
      <c r="DL156" s="66">
        <f t="shared" si="190"/>
        <v>0</v>
      </c>
      <c r="DM156" t="str">
        <f t="shared" si="231"/>
        <v>00065</v>
      </c>
      <c r="DN156" s="118" t="str">
        <f t="shared" si="232"/>
        <v>Exención pago de primas</v>
      </c>
      <c r="DO156" s="118">
        <f t="shared" si="233"/>
        <v>0</v>
      </c>
      <c r="DP156" s="118" t="str">
        <f t="shared" si="234"/>
        <v>A</v>
      </c>
      <c r="DQ156" s="122" t="str">
        <f>+IF(OR($W156="",DO156=0),"",ROUND((VLOOKUP(ROUNDDOWN($D156-1/frec,0),cob_adi,DB$40,FALSE)*(1+i/frec)^-0.5*(1+Parámetros!$D$103)*(1+rec_fracc)/frec),6))</f>
        <v/>
      </c>
      <c r="DR156" s="66">
        <f t="shared" si="191"/>
        <v>0</v>
      </c>
      <c r="DS156" s="68" t="str">
        <f t="shared" si="192"/>
        <v/>
      </c>
      <c r="DT156" s="66">
        <f>+IF($W156="","",ROUND(IF($B156&gt;Parámetros!$D$107,'Tablas Servicio'!DR156+('Tablas Servicio'!DT155-'Tablas Servicio'!DR155),DR156/(1-IF(B156&lt;=10,Parámetros!$D$100,0))),2))</f>
        <v>0</v>
      </c>
      <c r="DU156" s="66">
        <f t="shared" si="193"/>
        <v>0</v>
      </c>
      <c r="DV156" s="66">
        <f t="shared" si="193"/>
        <v>0</v>
      </c>
      <c r="DW156" s="66">
        <f>+IF($W156="","",ROUND((DT156*Parámetros!$G$85),2))</f>
        <v>0</v>
      </c>
      <c r="DX156" s="66">
        <f>+IF($W156="","",ROUND((DT156*(Parámetros!$G$86)),2))</f>
        <v>0</v>
      </c>
      <c r="DY156" s="66">
        <f t="shared" si="194"/>
        <v>0</v>
      </c>
      <c r="DZ156" t="str">
        <f t="shared" si="237"/>
        <v>00066</v>
      </c>
      <c r="EA156" s="118" t="str">
        <f t="shared" si="237"/>
        <v>Enfermedad terminal</v>
      </c>
      <c r="EB156" s="118">
        <f>+IF($W156="","",ROUND(IF(Parámetros!$D$25='TABLAS MORT'!$V$33,EB155,Z156/2),0))</f>
        <v>50000</v>
      </c>
      <c r="EC156" s="118" t="str">
        <f t="shared" si="237"/>
        <v>A</v>
      </c>
      <c r="ED156" s="122">
        <f>+IF(OR($W156="",EB156=0),"",ROUND((VLOOKUP(ROUNDDOWN($D156-1/frec,0),cob_adi,DO$40,FALSE)*(1+i/frec)^-0.5*(1+Parámetros!$D$103)*(1+rec_fracc)/frec),6))</f>
        <v>1.2E-5</v>
      </c>
      <c r="EE156" s="66">
        <f t="shared" si="196"/>
        <v>0.6</v>
      </c>
      <c r="EF156" s="68">
        <f t="shared" si="197"/>
        <v>1.4E-5</v>
      </c>
      <c r="EG156" s="66">
        <f>+IF($W156="","",ROUND(IF($B156&gt;Parámetros!$D$107,'Tablas Servicio'!EE156+('Tablas Servicio'!EG155-'Tablas Servicio'!EE155),EE156/(1-IF(B156&lt;=10,Parámetros!$D$100,0))),2))</f>
        <v>0.68</v>
      </c>
      <c r="EH156" s="66">
        <f t="shared" si="198"/>
        <v>0</v>
      </c>
      <c r="EI156" s="66">
        <f t="shared" si="198"/>
        <v>0</v>
      </c>
      <c r="EJ156" s="66">
        <f>+IF($W156="","",ROUND((EG156*Parámetros!$G$85),2))</f>
        <v>0.02</v>
      </c>
      <c r="EK156" s="66">
        <f>+IF($W156="","",ROUND((EG156*(Parámetros!$G$86)),2))</f>
        <v>0</v>
      </c>
      <c r="EL156" s="66">
        <f t="shared" si="199"/>
        <v>0.7</v>
      </c>
    </row>
    <row r="157" spans="1:142" x14ac:dyDescent="0.25">
      <c r="A157">
        <f>+IF($C157="","",ROUND(VLOOKUP('Tablas Servicio'!B157,Parámetros!$H$100:$J$159,IF(Parámetros!$E$16="F",2,3),FALSE),2))</f>
        <v>150</v>
      </c>
      <c r="B157">
        <f t="shared" si="150"/>
        <v>10</v>
      </c>
      <c r="C157" s="57">
        <f>+IF(D157="","",'Tablas Servicio'!C156+1)</f>
        <v>116</v>
      </c>
      <c r="D157" s="56">
        <f>+IF(D156&lt;edadmaxtabla,D156+1/Parámetros!$E$25,"")</f>
        <v>49.686666666666945</v>
      </c>
      <c r="E157" s="57">
        <f t="shared" si="160"/>
        <v>49</v>
      </c>
      <c r="F157" s="59">
        <f t="shared" si="161"/>
        <v>100000</v>
      </c>
      <c r="G157" s="66">
        <f t="shared" si="151"/>
        <v>38.15</v>
      </c>
      <c r="H157" s="66">
        <f t="shared" si="152"/>
        <v>39.67</v>
      </c>
      <c r="I157" s="66">
        <f t="shared" si="200"/>
        <v>47.81</v>
      </c>
      <c r="J157" s="66">
        <f t="shared" si="153"/>
        <v>1.33</v>
      </c>
      <c r="K157" s="66">
        <f t="shared" si="154"/>
        <v>0.19</v>
      </c>
      <c r="L157" s="66">
        <f t="shared" si="155"/>
        <v>0</v>
      </c>
      <c r="M157" s="66">
        <f t="shared" si="156"/>
        <v>0</v>
      </c>
      <c r="N157" s="66">
        <f>+IF(C157="","",ROUND(Parámetros!$D$23,2))</f>
        <v>94</v>
      </c>
      <c r="O157" s="66">
        <f t="shared" si="157"/>
        <v>21.200000000000003</v>
      </c>
      <c r="P157" s="66">
        <f>+IF($C157="","",ROUND(IF(B157&gt;Parámetros!$D$117,0,N157*Parámetros!$D$116-G157*Parámetros!$D$100),2))</f>
        <v>6.52</v>
      </c>
      <c r="Q157" s="75">
        <f t="shared" si="201"/>
        <v>3.4862385321100919E-2</v>
      </c>
      <c r="R157" s="75">
        <f t="shared" si="202"/>
        <v>4.9803407601572746E-3</v>
      </c>
      <c r="S157" s="117">
        <f>+IF($C157="","",ROUND((S156+I157)*(1+Parámetros!$D$91),2))</f>
        <v>7537.86</v>
      </c>
      <c r="T157" s="117">
        <f>+IF($C157="","",ROUND(S157*VLOOKUP(B157,Parámetros!$C$30:$D$39,2,TRUE),2))</f>
        <v>7537.86</v>
      </c>
      <c r="U157" s="117">
        <f>+IF($C157="","",ROUND((U156+I157)*(1+Parámetros!$D$92),2))</f>
        <v>7736.92</v>
      </c>
      <c r="V157" s="117">
        <f>+IF($C157="","",ROUND(U157*VLOOKUP(B157,Parámetros!$C$30:$D$39,2,TRUE),2))</f>
        <v>7736.92</v>
      </c>
      <c r="W157" s="57">
        <f t="shared" si="203"/>
        <v>116</v>
      </c>
      <c r="X157" t="str">
        <f t="shared" si="204"/>
        <v>00058</v>
      </c>
      <c r="Y157" t="str">
        <f t="shared" si="205"/>
        <v>MUERTE POR CUALQUIER CAUSA</v>
      </c>
      <c r="Z157" s="118">
        <f>+IF($W157="","",ROUND(IF(Parámetros!$D$25='TABLAS MORT'!$V$33,Z156,Parámetros!$D$21-'Tablas Servicio'!T156),0))</f>
        <v>100000</v>
      </c>
      <c r="AA157" s="118" t="str">
        <f t="shared" si="206"/>
        <v>P</v>
      </c>
      <c r="AB157" s="119">
        <f>+IF(W157="","",ROUND((VLOOKUP(ROUNDDOWN($D157-1/frec,0),qx_tabla,2,FALSE)*(1+i/frec)^-0.5*(1+Parámetros!$D$103)*(1+rec_fracc)/frec),6))</f>
        <v>2.0599999999999999E-4</v>
      </c>
      <c r="AC157" s="66">
        <f t="shared" si="162"/>
        <v>20.6</v>
      </c>
      <c r="AD157" s="119">
        <f t="shared" si="158"/>
        <v>3.7500000000000001E-4</v>
      </c>
      <c r="AE157" s="66">
        <f>+IF($W157="","",ROUND(IF($B157&gt;Parámetros!$D$107,'Tablas Servicio'!AC157+('Tablas Servicio'!AG156-'Tablas Servicio'!AC156),AC157/(1-IF(B157&lt;=10,Parámetros!$D$104,Parámetros!$D$105))),2))</f>
        <v>42.63</v>
      </c>
      <c r="AF157" s="66">
        <f>+IF($W157="","",ROUND(IF($B157&gt;Parámetros!$D$107,'Tablas Servicio'!AC157+('Tablas Servicio'!AG156-'Tablas Servicio'!AC156),(AC157+$A156/frec)/(1-IF(B157&lt;=Parámetros!$D$117,Parámetros!$D$100,0))),2))</f>
        <v>37.47</v>
      </c>
      <c r="AG157" s="66">
        <f t="shared" si="163"/>
        <v>37.47</v>
      </c>
      <c r="AH157" s="66">
        <f t="shared" si="164"/>
        <v>0</v>
      </c>
      <c r="AI157" s="66">
        <f t="shared" si="165"/>
        <v>0</v>
      </c>
      <c r="AJ157" s="66">
        <f>+IF($W157="","",ROUND((AG157*Parámetros!$G$85),2))</f>
        <v>1.31</v>
      </c>
      <c r="AK157" s="66">
        <f>+IF($W157="","",ROUND((AG157*(Parámetros!$G$86)),2))</f>
        <v>0.19</v>
      </c>
      <c r="AL157" s="66">
        <f t="shared" si="159"/>
        <v>38.97</v>
      </c>
      <c r="AM157" t="str">
        <f t="shared" si="207"/>
        <v>00059</v>
      </c>
      <c r="AN157" t="str">
        <f t="shared" si="208"/>
        <v>Incapacidad Total y Permanente</v>
      </c>
      <c r="AO157" s="118">
        <f t="shared" si="209"/>
        <v>0</v>
      </c>
      <c r="AP157" s="118" t="str">
        <f t="shared" si="210"/>
        <v>A</v>
      </c>
      <c r="AQ157" s="119" t="str">
        <f>+IF(OR($W157="",AO157=0),"",ROUND((VLOOKUP(ROUNDDOWN($D157-1/frec,0),cob_adi,Z$40,FALSE)*(1+i/frec)^-0.5*(1+Parámetros!$D$103)*(1+rec_fracc)/frec),6))</f>
        <v/>
      </c>
      <c r="AR157" s="66">
        <f t="shared" si="166"/>
        <v>0</v>
      </c>
      <c r="AS157" s="119" t="str">
        <f t="shared" si="167"/>
        <v/>
      </c>
      <c r="AT157" s="66">
        <f>+IF($W157="","",ROUND(IF($B157&gt;Parámetros!$D$107,'Tablas Servicio'!AR157+('Tablas Servicio'!AT156-'Tablas Servicio'!AR156),AR157/(1-IF(B157&lt;=10,Parámetros!$D$100,0))),2))</f>
        <v>0</v>
      </c>
      <c r="AU157" s="66">
        <f t="shared" si="168"/>
        <v>0</v>
      </c>
      <c r="AV157" s="66">
        <f t="shared" si="168"/>
        <v>0</v>
      </c>
      <c r="AW157" s="66">
        <f>+IF($W157="","",ROUND((AT157*Parámetros!$G$85),2))</f>
        <v>0</v>
      </c>
      <c r="AX157" s="66">
        <f>+IF($W157="","",ROUND((AT157*(Parámetros!$G$86)),2))</f>
        <v>0</v>
      </c>
      <c r="AY157" s="66">
        <f t="shared" si="169"/>
        <v>0</v>
      </c>
      <c r="AZ157" t="str">
        <f t="shared" si="211"/>
        <v>00060</v>
      </c>
      <c r="BA157" t="str">
        <f t="shared" si="212"/>
        <v>Muerte Accidental</v>
      </c>
      <c r="BB157" s="118">
        <f t="shared" si="213"/>
        <v>0</v>
      </c>
      <c r="BC157" s="118" t="str">
        <f t="shared" si="214"/>
        <v>A</v>
      </c>
      <c r="BD157" s="119" t="str">
        <f>+IF(OR($W157="",BB157=0),"",ROUND((VLOOKUP(ROUNDDOWN($D157-1/frec,0),cob_adi,AO$40,FALSE)*(1+i/frec)^-0.5*(1+Parámetros!$D$103)*(1+rec_fracc)/frec),6))</f>
        <v/>
      </c>
      <c r="BE157" s="66">
        <f t="shared" si="170"/>
        <v>0</v>
      </c>
      <c r="BF157" s="119" t="str">
        <f t="shared" si="171"/>
        <v/>
      </c>
      <c r="BG157" s="66">
        <f>+IF($W157="","",ROUND(IF($B157&gt;Parámetros!$D$107,'Tablas Servicio'!BE157+('Tablas Servicio'!BG156-'Tablas Servicio'!BE156),BE157/(1-IF(B157&lt;=10,Parámetros!$D$100,0))),2))</f>
        <v>0</v>
      </c>
      <c r="BH157" s="66">
        <f t="shared" si="172"/>
        <v>0</v>
      </c>
      <c r="BI157" s="66">
        <f t="shared" si="173"/>
        <v>0</v>
      </c>
      <c r="BJ157" s="66">
        <f>+IF($W157="","",ROUND((BG157*Parámetros!$G$85),2))</f>
        <v>0</v>
      </c>
      <c r="BK157" s="66">
        <f>+IF($W157="","",ROUND((BG157*(Parámetros!$G$86)),2))</f>
        <v>0</v>
      </c>
      <c r="BL157" s="66">
        <f t="shared" si="174"/>
        <v>0</v>
      </c>
      <c r="BM157" t="str">
        <f t="shared" si="215"/>
        <v>00061</v>
      </c>
      <c r="BN157" t="str">
        <f t="shared" si="216"/>
        <v>Gastos de Entierro</v>
      </c>
      <c r="BO157" s="118">
        <f t="shared" si="217"/>
        <v>0</v>
      </c>
      <c r="BP157" s="118" t="str">
        <f t="shared" si="218"/>
        <v>A</v>
      </c>
      <c r="BQ157" s="119" t="str">
        <f>+IF(OR($W157="",BO157=0),"",ROUND((VLOOKUP(ROUNDDOWN($D157-1/frec,0),cob_adi,BB$40,FALSE)*(1+i/frec)^-0.5*(1+Parámetros!$D$103)*(1+rec_fracc)/frec),6))</f>
        <v/>
      </c>
      <c r="BR157" s="66">
        <f t="shared" si="175"/>
        <v>0</v>
      </c>
      <c r="BS157" s="119" t="str">
        <f t="shared" si="176"/>
        <v/>
      </c>
      <c r="BT157" s="66">
        <f>+IF($W157="","",ROUND(IF($B157&gt;Parámetros!$D$107,'Tablas Servicio'!BR157+('Tablas Servicio'!BT156-'Tablas Servicio'!BR156),BR157/(1-IF(B157&lt;=10,Parámetros!$D$100,0))),2))</f>
        <v>0</v>
      </c>
      <c r="BU157" s="66">
        <f t="shared" si="177"/>
        <v>0</v>
      </c>
      <c r="BV157" s="66">
        <f t="shared" si="177"/>
        <v>0</v>
      </c>
      <c r="BW157" s="66">
        <f>+IF($W157="","",ROUND((BT157*Parámetros!$G$85),2))</f>
        <v>0</v>
      </c>
      <c r="BX157" s="66">
        <f>+IF($W157="","",ROUND((BT157*(Parámetros!$G$86)),2))</f>
        <v>0</v>
      </c>
      <c r="BY157" s="66">
        <f t="shared" si="178"/>
        <v>0</v>
      </c>
      <c r="BZ157" t="str">
        <f t="shared" si="219"/>
        <v>00062</v>
      </c>
      <c r="CA157" t="str">
        <f t="shared" si="220"/>
        <v>Gastos médicos por accidente</v>
      </c>
      <c r="CB157" s="118">
        <f t="shared" si="221"/>
        <v>0</v>
      </c>
      <c r="CC157" s="118" t="str">
        <f t="shared" si="222"/>
        <v>A</v>
      </c>
      <c r="CD157" s="119" t="str">
        <f t="shared" si="179"/>
        <v/>
      </c>
      <c r="CE157" s="66">
        <f>+IF($W157="","",ROUND((VLOOKUP(ROUNDDOWN($D157-1/frec,0),cob_adi,BO$40,FALSE)*(1+i/frec)^-0.5*(1+Parámetros!$D$103)*(1+rec_fracc)/frec*'TABLAS ADI'!$BC$17),2))</f>
        <v>0</v>
      </c>
      <c r="CF157" s="119" t="str">
        <f t="shared" si="180"/>
        <v/>
      </c>
      <c r="CG157" s="66">
        <f>+IF($W157="","",ROUND(IF($B157&gt;Parámetros!$D$107,'Tablas Servicio'!CE157+('Tablas Servicio'!CG156-'Tablas Servicio'!CE156),CE157/(1-IF(B157&lt;=10,Parámetros!$D$100,0))),2))</f>
        <v>0</v>
      </c>
      <c r="CH157" s="66">
        <f t="shared" si="181"/>
        <v>0</v>
      </c>
      <c r="CI157" s="66">
        <f t="shared" si="181"/>
        <v>0</v>
      </c>
      <c r="CJ157" s="66">
        <f>+IF($W157="","",ROUND((CG157*Parámetros!$G$85),2))</f>
        <v>0</v>
      </c>
      <c r="CK157" s="66">
        <f>+IF($W157="","",ROUND((CG157*(Parámetros!$G$86)),2))</f>
        <v>0</v>
      </c>
      <c r="CL157" s="66">
        <f t="shared" si="182"/>
        <v>0</v>
      </c>
      <c r="CM157" t="str">
        <f t="shared" si="223"/>
        <v>00063</v>
      </c>
      <c r="CN157" s="118" t="str">
        <f t="shared" si="224"/>
        <v>Renta Diaria por Hospitalización</v>
      </c>
      <c r="CO157" s="118">
        <f t="shared" si="225"/>
        <v>0</v>
      </c>
      <c r="CP157" s="118" t="str">
        <f t="shared" si="226"/>
        <v>A</v>
      </c>
      <c r="CQ157" s="119" t="str">
        <f t="shared" si="183"/>
        <v/>
      </c>
      <c r="CR157" s="66">
        <f>+IF($W157="","",ROUND((VLOOKUP(Parámetros!$F$51,'COBERTURAS ADICIONALES'!$S$4:$T$32,2,FALSE)*(1+i/frec)^-0.5*(1+Parámetros!$D$103)*(1+rec_fracc)/frec*$CO$42),2))</f>
        <v>0</v>
      </c>
      <c r="CS157" s="119" t="str">
        <f t="shared" si="184"/>
        <v/>
      </c>
      <c r="CT157" s="66">
        <f>+IF($W157="","",ROUND(IF($B157&gt;Parámetros!$D$107,'Tablas Servicio'!CR157+('Tablas Servicio'!CT156-'Tablas Servicio'!CR156),CR157/(1-IF(B157&lt;=10,Parámetros!$D$100,0))),2))</f>
        <v>0</v>
      </c>
      <c r="CU157" s="66">
        <f t="shared" si="185"/>
        <v>0</v>
      </c>
      <c r="CV157" s="66">
        <f t="shared" si="185"/>
        <v>0</v>
      </c>
      <c r="CW157" s="66">
        <f>+IF($W157="","",ROUND((CT157*Parámetros!$G$85),2))</f>
        <v>0</v>
      </c>
      <c r="CX157" s="66">
        <f>+IF($W157="","",ROUND((CT157*(Parámetros!$G$86)),2))</f>
        <v>0</v>
      </c>
      <c r="CY157" s="66">
        <f t="shared" si="186"/>
        <v>0</v>
      </c>
      <c r="CZ157" t="str">
        <f t="shared" si="227"/>
        <v>00064</v>
      </c>
      <c r="DA157" s="118" t="str">
        <f t="shared" si="228"/>
        <v>Enfermedades Graves</v>
      </c>
      <c r="DB157" s="118">
        <f t="shared" si="229"/>
        <v>0</v>
      </c>
      <c r="DC157" s="118" t="str">
        <f t="shared" si="230"/>
        <v>A</v>
      </c>
      <c r="DD157" s="121" t="str">
        <f>+IF(OR($W157="",DB157=0),"",ROUND((VLOOKUP(ROUNDDOWN($D157-1/frec,0),cob_adi,CO$40,FALSE)*(1+i/frec)^-0.5*(1+Parámetros!$D$103)*(1+rec_fracc)/frec),6))</f>
        <v/>
      </c>
      <c r="DE157" s="66">
        <f t="shared" si="187"/>
        <v>0</v>
      </c>
      <c r="DF157" s="119" t="str">
        <f t="shared" si="188"/>
        <v/>
      </c>
      <c r="DG157" s="66">
        <f>+IF($W157="","",ROUND(IF($B157&gt;Parámetros!$D$107,'Tablas Servicio'!DE157+('Tablas Servicio'!DG156-'Tablas Servicio'!DE156),DE157/(1-IF(B157&lt;=10,Parámetros!$D$100,0))),2))</f>
        <v>0</v>
      </c>
      <c r="DH157" s="66">
        <f t="shared" si="189"/>
        <v>0</v>
      </c>
      <c r="DI157" s="66">
        <f t="shared" si="189"/>
        <v>0</v>
      </c>
      <c r="DJ157" s="66">
        <f>+IF($W157="","",ROUND((DG157*Parámetros!$G$85),2))</f>
        <v>0</v>
      </c>
      <c r="DK157" s="66">
        <f>+IF($W157="","",ROUND((DG157*(Parámetros!$G$86)),2))</f>
        <v>0</v>
      </c>
      <c r="DL157" s="66">
        <f t="shared" si="190"/>
        <v>0</v>
      </c>
      <c r="DM157" t="str">
        <f t="shared" si="231"/>
        <v>00065</v>
      </c>
      <c r="DN157" s="118" t="str">
        <f t="shared" si="232"/>
        <v>Exención pago de primas</v>
      </c>
      <c r="DO157" s="118">
        <f t="shared" si="233"/>
        <v>0</v>
      </c>
      <c r="DP157" s="118" t="str">
        <f t="shared" si="234"/>
        <v>A</v>
      </c>
      <c r="DQ157" s="122" t="str">
        <f>+IF(OR($W157="",DO157=0),"",ROUND((VLOOKUP(ROUNDDOWN($D157-1/frec,0),cob_adi,DB$40,FALSE)*(1+i/frec)^-0.5*(1+Parámetros!$D$103)*(1+rec_fracc)/frec),6))</f>
        <v/>
      </c>
      <c r="DR157" s="66">
        <f t="shared" si="191"/>
        <v>0</v>
      </c>
      <c r="DS157" s="68" t="str">
        <f t="shared" si="192"/>
        <v/>
      </c>
      <c r="DT157" s="66">
        <f>+IF($W157="","",ROUND(IF($B157&gt;Parámetros!$D$107,'Tablas Servicio'!DR157+('Tablas Servicio'!DT156-'Tablas Servicio'!DR156),DR157/(1-IF(B157&lt;=10,Parámetros!$D$100,0))),2))</f>
        <v>0</v>
      </c>
      <c r="DU157" s="66">
        <f t="shared" si="193"/>
        <v>0</v>
      </c>
      <c r="DV157" s="66">
        <f t="shared" si="193"/>
        <v>0</v>
      </c>
      <c r="DW157" s="66">
        <f>+IF($W157="","",ROUND((DT157*Parámetros!$G$85),2))</f>
        <v>0</v>
      </c>
      <c r="DX157" s="66">
        <f>+IF($W157="","",ROUND((DT157*(Parámetros!$G$86)),2))</f>
        <v>0</v>
      </c>
      <c r="DY157" s="66">
        <f t="shared" si="194"/>
        <v>0</v>
      </c>
      <c r="DZ157" t="str">
        <f t="shared" si="237"/>
        <v>00066</v>
      </c>
      <c r="EA157" s="118" t="str">
        <f t="shared" si="237"/>
        <v>Enfermedad terminal</v>
      </c>
      <c r="EB157" s="118">
        <f>+IF($W157="","",ROUND(IF(Parámetros!$D$25='TABLAS MORT'!$V$33,EB156,Z157/2),0))</f>
        <v>50000</v>
      </c>
      <c r="EC157" s="118" t="str">
        <f t="shared" si="237"/>
        <v>A</v>
      </c>
      <c r="ED157" s="122">
        <f>+IF(OR($W157="",EB157=0),"",ROUND((VLOOKUP(ROUNDDOWN($D157-1/frec,0),cob_adi,DO$40,FALSE)*(1+i/frec)^-0.5*(1+Parámetros!$D$103)*(1+rec_fracc)/frec),6))</f>
        <v>1.2E-5</v>
      </c>
      <c r="EE157" s="66">
        <f t="shared" si="196"/>
        <v>0.6</v>
      </c>
      <c r="EF157" s="68">
        <f t="shared" si="197"/>
        <v>1.4E-5</v>
      </c>
      <c r="EG157" s="66">
        <f>+IF($W157="","",ROUND(IF($B157&gt;Parámetros!$D$107,'Tablas Servicio'!EE157+('Tablas Servicio'!EG156-'Tablas Servicio'!EE156),EE157/(1-IF(B157&lt;=10,Parámetros!$D$100,0))),2))</f>
        <v>0.68</v>
      </c>
      <c r="EH157" s="66">
        <f t="shared" si="198"/>
        <v>0</v>
      </c>
      <c r="EI157" s="66">
        <f t="shared" si="198"/>
        <v>0</v>
      </c>
      <c r="EJ157" s="66">
        <f>+IF($W157="","",ROUND((EG157*Parámetros!$G$85),2))</f>
        <v>0.02</v>
      </c>
      <c r="EK157" s="66">
        <f>+IF($W157="","",ROUND((EG157*(Parámetros!$G$86)),2))</f>
        <v>0</v>
      </c>
      <c r="EL157" s="66">
        <f t="shared" si="199"/>
        <v>0.7</v>
      </c>
    </row>
    <row r="158" spans="1:142" x14ac:dyDescent="0.25">
      <c r="A158">
        <f>+IF($C158="","",ROUND(VLOOKUP('Tablas Servicio'!B158,Parámetros!$H$100:$J$159,IF(Parámetros!$E$16="F",2,3),FALSE),2))</f>
        <v>150</v>
      </c>
      <c r="B158">
        <f t="shared" si="150"/>
        <v>10</v>
      </c>
      <c r="C158" s="57">
        <f>+IF(D158="","",'Tablas Servicio'!C157+1)</f>
        <v>117</v>
      </c>
      <c r="D158" s="56">
        <f>+IF(D157&lt;edadmaxtabla,D157+1/Parámetros!$E$25,"")</f>
        <v>49.77000000000028</v>
      </c>
      <c r="E158" s="57">
        <f t="shared" si="160"/>
        <v>49</v>
      </c>
      <c r="F158" s="59">
        <f t="shared" si="161"/>
        <v>100000</v>
      </c>
      <c r="G158" s="66">
        <f t="shared" si="151"/>
        <v>38.15</v>
      </c>
      <c r="H158" s="66">
        <f t="shared" si="152"/>
        <v>39.67</v>
      </c>
      <c r="I158" s="66">
        <f t="shared" si="200"/>
        <v>47.81</v>
      </c>
      <c r="J158" s="66">
        <f t="shared" si="153"/>
        <v>1.33</v>
      </c>
      <c r="K158" s="66">
        <f t="shared" si="154"/>
        <v>0.19</v>
      </c>
      <c r="L158" s="66">
        <f t="shared" si="155"/>
        <v>0</v>
      </c>
      <c r="M158" s="66">
        <f t="shared" si="156"/>
        <v>0</v>
      </c>
      <c r="N158" s="66">
        <f>+IF(C158="","",ROUND(Parámetros!$D$23,2))</f>
        <v>94</v>
      </c>
      <c r="O158" s="66">
        <f t="shared" si="157"/>
        <v>21.200000000000003</v>
      </c>
      <c r="P158" s="66">
        <f>+IF($C158="","",ROUND(IF(B158&gt;Parámetros!$D$117,0,N158*Parámetros!$D$116-G158*Parámetros!$D$100),2))</f>
        <v>6.52</v>
      </c>
      <c r="Q158" s="75">
        <f t="shared" si="201"/>
        <v>3.4862385321100919E-2</v>
      </c>
      <c r="R158" s="75">
        <f t="shared" si="202"/>
        <v>4.9803407601572746E-3</v>
      </c>
      <c r="S158" s="117">
        <f>+IF($C158="","",ROUND((S157+I158)*(1+Parámetros!$D$91),2))</f>
        <v>7607.19</v>
      </c>
      <c r="T158" s="117">
        <f>+IF($C158="","",ROUND(S158*VLOOKUP(B158,Parámetros!$C$30:$D$39,2,TRUE),2))</f>
        <v>7607.19</v>
      </c>
      <c r="U158" s="117">
        <f>+IF($C158="","",ROUND((U157+I158)*(1+Parámetros!$D$92),2))</f>
        <v>7809.97</v>
      </c>
      <c r="V158" s="117">
        <f>+IF($C158="","",ROUND(U158*VLOOKUP(B158,Parámetros!$C$30:$D$39,2,TRUE),2))</f>
        <v>7809.97</v>
      </c>
      <c r="W158" s="57">
        <f t="shared" si="203"/>
        <v>117</v>
      </c>
      <c r="X158" t="str">
        <f t="shared" si="204"/>
        <v>00058</v>
      </c>
      <c r="Y158" t="str">
        <f t="shared" si="205"/>
        <v>MUERTE POR CUALQUIER CAUSA</v>
      </c>
      <c r="Z158" s="118">
        <f>+IF($W158="","",ROUND(IF(Parámetros!$D$25='TABLAS MORT'!$V$33,Z157,Parámetros!$D$21-'Tablas Servicio'!T157),0))</f>
        <v>100000</v>
      </c>
      <c r="AA158" s="118" t="str">
        <f t="shared" si="206"/>
        <v>P</v>
      </c>
      <c r="AB158" s="119">
        <f>+IF(W158="","",ROUND((VLOOKUP(ROUNDDOWN($D158-1/frec,0),qx_tabla,2,FALSE)*(1+i/frec)^-0.5*(1+Parámetros!$D$103)*(1+rec_fracc)/frec),6))</f>
        <v>2.0599999999999999E-4</v>
      </c>
      <c r="AC158" s="66">
        <f t="shared" si="162"/>
        <v>20.6</v>
      </c>
      <c r="AD158" s="119">
        <f t="shared" si="158"/>
        <v>3.7500000000000001E-4</v>
      </c>
      <c r="AE158" s="66">
        <f>+IF($W158="","",ROUND(IF($B158&gt;Parámetros!$D$107,'Tablas Servicio'!AC158+('Tablas Servicio'!AG157-'Tablas Servicio'!AC157),AC158/(1-IF(B158&lt;=10,Parámetros!$D$104,Parámetros!$D$105))),2))</f>
        <v>42.63</v>
      </c>
      <c r="AF158" s="66">
        <f>+IF($W158="","",ROUND(IF($B158&gt;Parámetros!$D$107,'Tablas Servicio'!AC158+('Tablas Servicio'!AG157-'Tablas Servicio'!AC157),(AC158+$A157/frec)/(1-IF(B158&lt;=Parámetros!$D$117,Parámetros!$D$100,0))),2))</f>
        <v>37.47</v>
      </c>
      <c r="AG158" s="66">
        <f t="shared" si="163"/>
        <v>37.47</v>
      </c>
      <c r="AH158" s="66">
        <f t="shared" si="164"/>
        <v>0</v>
      </c>
      <c r="AI158" s="66">
        <f t="shared" si="165"/>
        <v>0</v>
      </c>
      <c r="AJ158" s="66">
        <f>+IF($W158="","",ROUND((AG158*Parámetros!$G$85),2))</f>
        <v>1.31</v>
      </c>
      <c r="AK158" s="66">
        <f>+IF($W158="","",ROUND((AG158*(Parámetros!$G$86)),2))</f>
        <v>0.19</v>
      </c>
      <c r="AL158" s="66">
        <f t="shared" si="159"/>
        <v>38.97</v>
      </c>
      <c r="AM158" t="str">
        <f t="shared" si="207"/>
        <v>00059</v>
      </c>
      <c r="AN158" t="str">
        <f t="shared" si="208"/>
        <v>Incapacidad Total y Permanente</v>
      </c>
      <c r="AO158" s="118">
        <f t="shared" si="209"/>
        <v>0</v>
      </c>
      <c r="AP158" s="118" t="str">
        <f t="shared" si="210"/>
        <v>A</v>
      </c>
      <c r="AQ158" s="119" t="str">
        <f>+IF(OR($W158="",AO158=0),"",ROUND((VLOOKUP(ROUNDDOWN($D158-1/frec,0),cob_adi,Z$40,FALSE)*(1+i/frec)^-0.5*(1+Parámetros!$D$103)*(1+rec_fracc)/frec),6))</f>
        <v/>
      </c>
      <c r="AR158" s="66">
        <f t="shared" si="166"/>
        <v>0</v>
      </c>
      <c r="AS158" s="119" t="str">
        <f t="shared" si="167"/>
        <v/>
      </c>
      <c r="AT158" s="66">
        <f>+IF($W158="","",ROUND(IF($B158&gt;Parámetros!$D$107,'Tablas Servicio'!AR158+('Tablas Servicio'!AT157-'Tablas Servicio'!AR157),AR158/(1-IF(B158&lt;=10,Parámetros!$D$100,0))),2))</f>
        <v>0</v>
      </c>
      <c r="AU158" s="66">
        <f t="shared" si="168"/>
        <v>0</v>
      </c>
      <c r="AV158" s="66">
        <f t="shared" si="168"/>
        <v>0</v>
      </c>
      <c r="AW158" s="66">
        <f>+IF($W158="","",ROUND((AT158*Parámetros!$G$85),2))</f>
        <v>0</v>
      </c>
      <c r="AX158" s="66">
        <f>+IF($W158="","",ROUND((AT158*(Parámetros!$G$86)),2))</f>
        <v>0</v>
      </c>
      <c r="AY158" s="66">
        <f t="shared" si="169"/>
        <v>0</v>
      </c>
      <c r="AZ158" t="str">
        <f t="shared" si="211"/>
        <v>00060</v>
      </c>
      <c r="BA158" t="str">
        <f t="shared" si="212"/>
        <v>Muerte Accidental</v>
      </c>
      <c r="BB158" s="118">
        <f t="shared" si="213"/>
        <v>0</v>
      </c>
      <c r="BC158" s="118" t="str">
        <f t="shared" si="214"/>
        <v>A</v>
      </c>
      <c r="BD158" s="119" t="str">
        <f>+IF(OR($W158="",BB158=0),"",ROUND((VLOOKUP(ROUNDDOWN($D158-1/frec,0),cob_adi,AO$40,FALSE)*(1+i/frec)^-0.5*(1+Parámetros!$D$103)*(1+rec_fracc)/frec),6))</f>
        <v/>
      </c>
      <c r="BE158" s="66">
        <f t="shared" si="170"/>
        <v>0</v>
      </c>
      <c r="BF158" s="119" t="str">
        <f t="shared" si="171"/>
        <v/>
      </c>
      <c r="BG158" s="66">
        <f>+IF($W158="","",ROUND(IF($B158&gt;Parámetros!$D$107,'Tablas Servicio'!BE158+('Tablas Servicio'!BG157-'Tablas Servicio'!BE157),BE158/(1-IF(B158&lt;=10,Parámetros!$D$100,0))),2))</f>
        <v>0</v>
      </c>
      <c r="BH158" s="66">
        <f t="shared" si="172"/>
        <v>0</v>
      </c>
      <c r="BI158" s="66">
        <f t="shared" si="173"/>
        <v>0</v>
      </c>
      <c r="BJ158" s="66">
        <f>+IF($W158="","",ROUND((BG158*Parámetros!$G$85),2))</f>
        <v>0</v>
      </c>
      <c r="BK158" s="66">
        <f>+IF($W158="","",ROUND((BG158*(Parámetros!$G$86)),2))</f>
        <v>0</v>
      </c>
      <c r="BL158" s="66">
        <f t="shared" si="174"/>
        <v>0</v>
      </c>
      <c r="BM158" t="str">
        <f t="shared" si="215"/>
        <v>00061</v>
      </c>
      <c r="BN158" t="str">
        <f t="shared" si="216"/>
        <v>Gastos de Entierro</v>
      </c>
      <c r="BO158" s="118">
        <f t="shared" si="217"/>
        <v>0</v>
      </c>
      <c r="BP158" s="118" t="str">
        <f t="shared" si="218"/>
        <v>A</v>
      </c>
      <c r="BQ158" s="119" t="str">
        <f>+IF(OR($W158="",BO158=0),"",ROUND((VLOOKUP(ROUNDDOWN($D158-1/frec,0),cob_adi,BB$40,FALSE)*(1+i/frec)^-0.5*(1+Parámetros!$D$103)*(1+rec_fracc)/frec),6))</f>
        <v/>
      </c>
      <c r="BR158" s="66">
        <f t="shared" si="175"/>
        <v>0</v>
      </c>
      <c r="BS158" s="119" t="str">
        <f t="shared" si="176"/>
        <v/>
      </c>
      <c r="BT158" s="66">
        <f>+IF($W158="","",ROUND(IF($B158&gt;Parámetros!$D$107,'Tablas Servicio'!BR158+('Tablas Servicio'!BT157-'Tablas Servicio'!BR157),BR158/(1-IF(B158&lt;=10,Parámetros!$D$100,0))),2))</f>
        <v>0</v>
      </c>
      <c r="BU158" s="66">
        <f t="shared" si="177"/>
        <v>0</v>
      </c>
      <c r="BV158" s="66">
        <f t="shared" si="177"/>
        <v>0</v>
      </c>
      <c r="BW158" s="66">
        <f>+IF($W158="","",ROUND((BT158*Parámetros!$G$85),2))</f>
        <v>0</v>
      </c>
      <c r="BX158" s="66">
        <f>+IF($W158="","",ROUND((BT158*(Parámetros!$G$86)),2))</f>
        <v>0</v>
      </c>
      <c r="BY158" s="66">
        <f t="shared" si="178"/>
        <v>0</v>
      </c>
      <c r="BZ158" t="str">
        <f t="shared" si="219"/>
        <v>00062</v>
      </c>
      <c r="CA158" t="str">
        <f t="shared" si="220"/>
        <v>Gastos médicos por accidente</v>
      </c>
      <c r="CB158" s="118">
        <f t="shared" si="221"/>
        <v>0</v>
      </c>
      <c r="CC158" s="118" t="str">
        <f t="shared" si="222"/>
        <v>A</v>
      </c>
      <c r="CD158" s="119" t="str">
        <f t="shared" si="179"/>
        <v/>
      </c>
      <c r="CE158" s="66">
        <f>+IF($W158="","",ROUND((VLOOKUP(ROUNDDOWN($D158-1/frec,0),cob_adi,BO$40,FALSE)*(1+i/frec)^-0.5*(1+Parámetros!$D$103)*(1+rec_fracc)/frec*'TABLAS ADI'!$BC$17),2))</f>
        <v>0</v>
      </c>
      <c r="CF158" s="119" t="str">
        <f t="shared" si="180"/>
        <v/>
      </c>
      <c r="CG158" s="66">
        <f>+IF($W158="","",ROUND(IF($B158&gt;Parámetros!$D$107,'Tablas Servicio'!CE158+('Tablas Servicio'!CG157-'Tablas Servicio'!CE157),CE158/(1-IF(B158&lt;=10,Parámetros!$D$100,0))),2))</f>
        <v>0</v>
      </c>
      <c r="CH158" s="66">
        <f t="shared" si="181"/>
        <v>0</v>
      </c>
      <c r="CI158" s="66">
        <f t="shared" si="181"/>
        <v>0</v>
      </c>
      <c r="CJ158" s="66">
        <f>+IF($W158="","",ROUND((CG158*Parámetros!$G$85),2))</f>
        <v>0</v>
      </c>
      <c r="CK158" s="66">
        <f>+IF($W158="","",ROUND((CG158*(Parámetros!$G$86)),2))</f>
        <v>0</v>
      </c>
      <c r="CL158" s="66">
        <f t="shared" si="182"/>
        <v>0</v>
      </c>
      <c r="CM158" t="str">
        <f t="shared" si="223"/>
        <v>00063</v>
      </c>
      <c r="CN158" s="118" t="str">
        <f t="shared" si="224"/>
        <v>Renta Diaria por Hospitalización</v>
      </c>
      <c r="CO158" s="118">
        <f t="shared" si="225"/>
        <v>0</v>
      </c>
      <c r="CP158" s="118" t="str">
        <f t="shared" si="226"/>
        <v>A</v>
      </c>
      <c r="CQ158" s="119" t="str">
        <f t="shared" si="183"/>
        <v/>
      </c>
      <c r="CR158" s="66">
        <f>+IF($W158="","",ROUND((VLOOKUP(Parámetros!$F$51,'COBERTURAS ADICIONALES'!$S$4:$T$32,2,FALSE)*(1+i/frec)^-0.5*(1+Parámetros!$D$103)*(1+rec_fracc)/frec*$CO$42),2))</f>
        <v>0</v>
      </c>
      <c r="CS158" s="119" t="str">
        <f t="shared" si="184"/>
        <v/>
      </c>
      <c r="CT158" s="66">
        <f>+IF($W158="","",ROUND(IF($B158&gt;Parámetros!$D$107,'Tablas Servicio'!CR158+('Tablas Servicio'!CT157-'Tablas Servicio'!CR157),CR158/(1-IF(B158&lt;=10,Parámetros!$D$100,0))),2))</f>
        <v>0</v>
      </c>
      <c r="CU158" s="66">
        <f t="shared" si="185"/>
        <v>0</v>
      </c>
      <c r="CV158" s="66">
        <f t="shared" si="185"/>
        <v>0</v>
      </c>
      <c r="CW158" s="66">
        <f>+IF($W158="","",ROUND((CT158*Parámetros!$G$85),2))</f>
        <v>0</v>
      </c>
      <c r="CX158" s="66">
        <f>+IF($W158="","",ROUND((CT158*(Parámetros!$G$86)),2))</f>
        <v>0</v>
      </c>
      <c r="CY158" s="66">
        <f t="shared" si="186"/>
        <v>0</v>
      </c>
      <c r="CZ158" t="str">
        <f t="shared" si="227"/>
        <v>00064</v>
      </c>
      <c r="DA158" s="118" t="str">
        <f t="shared" si="228"/>
        <v>Enfermedades Graves</v>
      </c>
      <c r="DB158" s="118">
        <f t="shared" si="229"/>
        <v>0</v>
      </c>
      <c r="DC158" s="118" t="str">
        <f t="shared" si="230"/>
        <v>A</v>
      </c>
      <c r="DD158" s="121" t="str">
        <f>+IF(OR($W158="",DB158=0),"",ROUND((VLOOKUP(ROUNDDOWN($D158-1/frec,0),cob_adi,CO$40,FALSE)*(1+i/frec)^-0.5*(1+Parámetros!$D$103)*(1+rec_fracc)/frec),6))</f>
        <v/>
      </c>
      <c r="DE158" s="66">
        <f t="shared" si="187"/>
        <v>0</v>
      </c>
      <c r="DF158" s="119" t="str">
        <f t="shared" si="188"/>
        <v/>
      </c>
      <c r="DG158" s="66">
        <f>+IF($W158="","",ROUND(IF($B158&gt;Parámetros!$D$107,'Tablas Servicio'!DE158+('Tablas Servicio'!DG157-'Tablas Servicio'!DE157),DE158/(1-IF(B158&lt;=10,Parámetros!$D$100,0))),2))</f>
        <v>0</v>
      </c>
      <c r="DH158" s="66">
        <f t="shared" si="189"/>
        <v>0</v>
      </c>
      <c r="DI158" s="66">
        <f t="shared" si="189"/>
        <v>0</v>
      </c>
      <c r="DJ158" s="66">
        <f>+IF($W158="","",ROUND((DG158*Parámetros!$G$85),2))</f>
        <v>0</v>
      </c>
      <c r="DK158" s="66">
        <f>+IF($W158="","",ROUND((DG158*(Parámetros!$G$86)),2))</f>
        <v>0</v>
      </c>
      <c r="DL158" s="66">
        <f t="shared" si="190"/>
        <v>0</v>
      </c>
      <c r="DM158" t="str">
        <f t="shared" si="231"/>
        <v>00065</v>
      </c>
      <c r="DN158" s="118" t="str">
        <f t="shared" si="232"/>
        <v>Exención pago de primas</v>
      </c>
      <c r="DO158" s="118">
        <f t="shared" si="233"/>
        <v>0</v>
      </c>
      <c r="DP158" s="118" t="str">
        <f t="shared" si="234"/>
        <v>A</v>
      </c>
      <c r="DQ158" s="122" t="str">
        <f>+IF(OR($W158="",DO158=0),"",ROUND((VLOOKUP(ROUNDDOWN($D158-1/frec,0),cob_adi,DB$40,FALSE)*(1+i/frec)^-0.5*(1+Parámetros!$D$103)*(1+rec_fracc)/frec),6))</f>
        <v/>
      </c>
      <c r="DR158" s="66">
        <f t="shared" si="191"/>
        <v>0</v>
      </c>
      <c r="DS158" s="68" t="str">
        <f t="shared" si="192"/>
        <v/>
      </c>
      <c r="DT158" s="66">
        <f>+IF($W158="","",ROUND(IF($B158&gt;Parámetros!$D$107,'Tablas Servicio'!DR158+('Tablas Servicio'!DT157-'Tablas Servicio'!DR157),DR158/(1-IF(B158&lt;=10,Parámetros!$D$100,0))),2))</f>
        <v>0</v>
      </c>
      <c r="DU158" s="66">
        <f t="shared" si="193"/>
        <v>0</v>
      </c>
      <c r="DV158" s="66">
        <f t="shared" si="193"/>
        <v>0</v>
      </c>
      <c r="DW158" s="66">
        <f>+IF($W158="","",ROUND((DT158*Parámetros!$G$85),2))</f>
        <v>0</v>
      </c>
      <c r="DX158" s="66">
        <f>+IF($W158="","",ROUND((DT158*(Parámetros!$G$86)),2))</f>
        <v>0</v>
      </c>
      <c r="DY158" s="66">
        <f t="shared" si="194"/>
        <v>0</v>
      </c>
      <c r="DZ158" t="str">
        <f t="shared" si="237"/>
        <v>00066</v>
      </c>
      <c r="EA158" s="118" t="str">
        <f t="shared" si="237"/>
        <v>Enfermedad terminal</v>
      </c>
      <c r="EB158" s="118">
        <f>+IF($W158="","",ROUND(IF(Parámetros!$D$25='TABLAS MORT'!$V$33,EB157,Z158/2),0))</f>
        <v>50000</v>
      </c>
      <c r="EC158" s="118" t="str">
        <f t="shared" si="237"/>
        <v>A</v>
      </c>
      <c r="ED158" s="122">
        <f>+IF(OR($W158="",EB158=0),"",ROUND((VLOOKUP(ROUNDDOWN($D158-1/frec,0),cob_adi,DO$40,FALSE)*(1+i/frec)^-0.5*(1+Parámetros!$D$103)*(1+rec_fracc)/frec),6))</f>
        <v>1.2E-5</v>
      </c>
      <c r="EE158" s="66">
        <f t="shared" si="196"/>
        <v>0.6</v>
      </c>
      <c r="EF158" s="68">
        <f t="shared" si="197"/>
        <v>1.4E-5</v>
      </c>
      <c r="EG158" s="66">
        <f>+IF($W158="","",ROUND(IF($B158&gt;Parámetros!$D$107,'Tablas Servicio'!EE158+('Tablas Servicio'!EG157-'Tablas Servicio'!EE157),EE158/(1-IF(B158&lt;=10,Parámetros!$D$100,0))),2))</f>
        <v>0.68</v>
      </c>
      <c r="EH158" s="66">
        <f t="shared" si="198"/>
        <v>0</v>
      </c>
      <c r="EI158" s="66">
        <f t="shared" si="198"/>
        <v>0</v>
      </c>
      <c r="EJ158" s="66">
        <f>+IF($W158="","",ROUND((EG158*Parámetros!$G$85),2))</f>
        <v>0.02</v>
      </c>
      <c r="EK158" s="66">
        <f>+IF($W158="","",ROUND((EG158*(Parámetros!$G$86)),2))</f>
        <v>0</v>
      </c>
      <c r="EL158" s="66">
        <f t="shared" si="199"/>
        <v>0.7</v>
      </c>
    </row>
    <row r="159" spans="1:142" x14ac:dyDescent="0.25">
      <c r="A159">
        <f>+IF($C159="","",ROUND(VLOOKUP('Tablas Servicio'!B159,Parámetros!$H$100:$J$159,IF(Parámetros!$E$16="F",2,3),FALSE),2))</f>
        <v>150</v>
      </c>
      <c r="B159">
        <f t="shared" si="150"/>
        <v>10</v>
      </c>
      <c r="C159" s="57">
        <f>+IF(D159="","",'Tablas Servicio'!C158+1)</f>
        <v>118</v>
      </c>
      <c r="D159" s="56">
        <f>+IF(D158&lt;edadmaxtabla,D158+1/Parámetros!$E$25,"")</f>
        <v>49.853333333333616</v>
      </c>
      <c r="E159" s="57">
        <f t="shared" si="160"/>
        <v>49</v>
      </c>
      <c r="F159" s="59">
        <f t="shared" si="161"/>
        <v>100000</v>
      </c>
      <c r="G159" s="66">
        <f t="shared" si="151"/>
        <v>38.15</v>
      </c>
      <c r="H159" s="66">
        <f t="shared" si="152"/>
        <v>39.67</v>
      </c>
      <c r="I159" s="66">
        <f t="shared" si="200"/>
        <v>47.81</v>
      </c>
      <c r="J159" s="66">
        <f t="shared" si="153"/>
        <v>1.33</v>
      </c>
      <c r="K159" s="66">
        <f t="shared" si="154"/>
        <v>0.19</v>
      </c>
      <c r="L159" s="66">
        <f t="shared" si="155"/>
        <v>0</v>
      </c>
      <c r="M159" s="66">
        <f t="shared" si="156"/>
        <v>0</v>
      </c>
      <c r="N159" s="66">
        <f>+IF(C159="","",ROUND(Parámetros!$D$23,2))</f>
        <v>94</v>
      </c>
      <c r="O159" s="66">
        <f t="shared" si="157"/>
        <v>21.200000000000003</v>
      </c>
      <c r="P159" s="66">
        <f>+IF($C159="","",ROUND(IF(B159&gt;Parámetros!$D$117,0,N159*Parámetros!$D$116-G159*Parámetros!$D$100),2))</f>
        <v>6.52</v>
      </c>
      <c r="Q159" s="75">
        <f t="shared" si="201"/>
        <v>3.4862385321100919E-2</v>
      </c>
      <c r="R159" s="75">
        <f t="shared" si="202"/>
        <v>4.9803407601572746E-3</v>
      </c>
      <c r="S159" s="117">
        <f>+IF($C159="","",ROUND((S158+I159)*(1+Parámetros!$D$91),2))</f>
        <v>7676.71</v>
      </c>
      <c r="T159" s="117">
        <f>+IF($C159="","",ROUND(S159*VLOOKUP(B159,Parámetros!$C$30:$D$39,2,TRUE),2))</f>
        <v>7676.71</v>
      </c>
      <c r="U159" s="117">
        <f>+IF($C159="","",ROUND((U158+I159)*(1+Parámetros!$D$92),2))</f>
        <v>7883.25</v>
      </c>
      <c r="V159" s="117">
        <f>+IF($C159="","",ROUND(U159*VLOOKUP(B159,Parámetros!$C$30:$D$39,2,TRUE),2))</f>
        <v>7883.25</v>
      </c>
      <c r="W159" s="57">
        <f t="shared" si="203"/>
        <v>118</v>
      </c>
      <c r="X159" t="str">
        <f t="shared" si="204"/>
        <v>00058</v>
      </c>
      <c r="Y159" t="str">
        <f t="shared" si="205"/>
        <v>MUERTE POR CUALQUIER CAUSA</v>
      </c>
      <c r="Z159" s="118">
        <f>+IF($W159="","",ROUND(IF(Parámetros!$D$25='TABLAS MORT'!$V$33,Z158,Parámetros!$D$21-'Tablas Servicio'!T158),0))</f>
        <v>100000</v>
      </c>
      <c r="AA159" s="118" t="str">
        <f t="shared" si="206"/>
        <v>P</v>
      </c>
      <c r="AB159" s="119">
        <f>+IF(W159="","",ROUND((VLOOKUP(ROUNDDOWN($D159-1/frec,0),qx_tabla,2,FALSE)*(1+i/frec)^-0.5*(1+Parámetros!$D$103)*(1+rec_fracc)/frec),6))</f>
        <v>2.0599999999999999E-4</v>
      </c>
      <c r="AC159" s="66">
        <f t="shared" si="162"/>
        <v>20.6</v>
      </c>
      <c r="AD159" s="119">
        <f t="shared" si="158"/>
        <v>3.7500000000000001E-4</v>
      </c>
      <c r="AE159" s="66">
        <f>+IF($W159="","",ROUND(IF($B159&gt;Parámetros!$D$107,'Tablas Servicio'!AC159+('Tablas Servicio'!AG158-'Tablas Servicio'!AC158),AC159/(1-IF(B159&lt;=10,Parámetros!$D$104,Parámetros!$D$105))),2))</f>
        <v>42.63</v>
      </c>
      <c r="AF159" s="66">
        <f>+IF($W159="","",ROUND(IF($B159&gt;Parámetros!$D$107,'Tablas Servicio'!AC159+('Tablas Servicio'!AG158-'Tablas Servicio'!AC158),(AC159+$A158/frec)/(1-IF(B159&lt;=Parámetros!$D$117,Parámetros!$D$100,0))),2))</f>
        <v>37.47</v>
      </c>
      <c r="AG159" s="66">
        <f t="shared" si="163"/>
        <v>37.47</v>
      </c>
      <c r="AH159" s="66">
        <f t="shared" si="164"/>
        <v>0</v>
      </c>
      <c r="AI159" s="66">
        <f t="shared" si="165"/>
        <v>0</v>
      </c>
      <c r="AJ159" s="66">
        <f>+IF($W159="","",ROUND((AG159*Parámetros!$G$85),2))</f>
        <v>1.31</v>
      </c>
      <c r="AK159" s="66">
        <f>+IF($W159="","",ROUND((AG159*(Parámetros!$G$86)),2))</f>
        <v>0.19</v>
      </c>
      <c r="AL159" s="66">
        <f t="shared" si="159"/>
        <v>38.97</v>
      </c>
      <c r="AM159" t="str">
        <f t="shared" si="207"/>
        <v>00059</v>
      </c>
      <c r="AN159" t="str">
        <f t="shared" si="208"/>
        <v>Incapacidad Total y Permanente</v>
      </c>
      <c r="AO159" s="118">
        <f t="shared" si="209"/>
        <v>0</v>
      </c>
      <c r="AP159" s="118" t="str">
        <f t="shared" si="210"/>
        <v>A</v>
      </c>
      <c r="AQ159" s="119" t="str">
        <f>+IF(OR($W159="",AO159=0),"",ROUND((VLOOKUP(ROUNDDOWN($D159-1/frec,0),cob_adi,Z$40,FALSE)*(1+i/frec)^-0.5*(1+Parámetros!$D$103)*(1+rec_fracc)/frec),6))</f>
        <v/>
      </c>
      <c r="AR159" s="66">
        <f t="shared" si="166"/>
        <v>0</v>
      </c>
      <c r="AS159" s="119" t="str">
        <f t="shared" si="167"/>
        <v/>
      </c>
      <c r="AT159" s="66">
        <f>+IF($W159="","",ROUND(IF($B159&gt;Parámetros!$D$107,'Tablas Servicio'!AR159+('Tablas Servicio'!AT158-'Tablas Servicio'!AR158),AR159/(1-IF(B159&lt;=10,Parámetros!$D$100,0))),2))</f>
        <v>0</v>
      </c>
      <c r="AU159" s="66">
        <f t="shared" si="168"/>
        <v>0</v>
      </c>
      <c r="AV159" s="66">
        <f t="shared" si="168"/>
        <v>0</v>
      </c>
      <c r="AW159" s="66">
        <f>+IF($W159="","",ROUND((AT159*Parámetros!$G$85),2))</f>
        <v>0</v>
      </c>
      <c r="AX159" s="66">
        <f>+IF($W159="","",ROUND((AT159*(Parámetros!$G$86)),2))</f>
        <v>0</v>
      </c>
      <c r="AY159" s="66">
        <f t="shared" si="169"/>
        <v>0</v>
      </c>
      <c r="AZ159" t="str">
        <f t="shared" si="211"/>
        <v>00060</v>
      </c>
      <c r="BA159" t="str">
        <f t="shared" si="212"/>
        <v>Muerte Accidental</v>
      </c>
      <c r="BB159" s="118">
        <f t="shared" si="213"/>
        <v>0</v>
      </c>
      <c r="BC159" s="118" t="str">
        <f t="shared" si="214"/>
        <v>A</v>
      </c>
      <c r="BD159" s="119" t="str">
        <f>+IF(OR($W159="",BB159=0),"",ROUND((VLOOKUP(ROUNDDOWN($D159-1/frec,0),cob_adi,AO$40,FALSE)*(1+i/frec)^-0.5*(1+Parámetros!$D$103)*(1+rec_fracc)/frec),6))</f>
        <v/>
      </c>
      <c r="BE159" s="66">
        <f t="shared" si="170"/>
        <v>0</v>
      </c>
      <c r="BF159" s="119" t="str">
        <f t="shared" si="171"/>
        <v/>
      </c>
      <c r="BG159" s="66">
        <f>+IF($W159="","",ROUND(IF($B159&gt;Parámetros!$D$107,'Tablas Servicio'!BE159+('Tablas Servicio'!BG158-'Tablas Servicio'!BE158),BE159/(1-IF(B159&lt;=10,Parámetros!$D$100,0))),2))</f>
        <v>0</v>
      </c>
      <c r="BH159" s="66">
        <f t="shared" si="172"/>
        <v>0</v>
      </c>
      <c r="BI159" s="66">
        <f t="shared" si="173"/>
        <v>0</v>
      </c>
      <c r="BJ159" s="66">
        <f>+IF($W159="","",ROUND((BG159*Parámetros!$G$85),2))</f>
        <v>0</v>
      </c>
      <c r="BK159" s="66">
        <f>+IF($W159="","",ROUND((BG159*(Parámetros!$G$86)),2))</f>
        <v>0</v>
      </c>
      <c r="BL159" s="66">
        <f t="shared" si="174"/>
        <v>0</v>
      </c>
      <c r="BM159" t="str">
        <f t="shared" si="215"/>
        <v>00061</v>
      </c>
      <c r="BN159" t="str">
        <f t="shared" si="216"/>
        <v>Gastos de Entierro</v>
      </c>
      <c r="BO159" s="118">
        <f t="shared" si="217"/>
        <v>0</v>
      </c>
      <c r="BP159" s="118" t="str">
        <f t="shared" si="218"/>
        <v>A</v>
      </c>
      <c r="BQ159" s="119" t="str">
        <f>+IF(OR($W159="",BO159=0),"",ROUND((VLOOKUP(ROUNDDOWN($D159-1/frec,0),cob_adi,BB$40,FALSE)*(1+i/frec)^-0.5*(1+Parámetros!$D$103)*(1+rec_fracc)/frec),6))</f>
        <v/>
      </c>
      <c r="BR159" s="66">
        <f t="shared" si="175"/>
        <v>0</v>
      </c>
      <c r="BS159" s="119" t="str">
        <f t="shared" si="176"/>
        <v/>
      </c>
      <c r="BT159" s="66">
        <f>+IF($W159="","",ROUND(IF($B159&gt;Parámetros!$D$107,'Tablas Servicio'!BR159+('Tablas Servicio'!BT158-'Tablas Servicio'!BR158),BR159/(1-IF(B159&lt;=10,Parámetros!$D$100,0))),2))</f>
        <v>0</v>
      </c>
      <c r="BU159" s="66">
        <f t="shared" si="177"/>
        <v>0</v>
      </c>
      <c r="BV159" s="66">
        <f t="shared" si="177"/>
        <v>0</v>
      </c>
      <c r="BW159" s="66">
        <f>+IF($W159="","",ROUND((BT159*Parámetros!$G$85),2))</f>
        <v>0</v>
      </c>
      <c r="BX159" s="66">
        <f>+IF($W159="","",ROUND((BT159*(Parámetros!$G$86)),2))</f>
        <v>0</v>
      </c>
      <c r="BY159" s="66">
        <f t="shared" si="178"/>
        <v>0</v>
      </c>
      <c r="BZ159" t="str">
        <f t="shared" si="219"/>
        <v>00062</v>
      </c>
      <c r="CA159" t="str">
        <f t="shared" si="220"/>
        <v>Gastos médicos por accidente</v>
      </c>
      <c r="CB159" s="118">
        <f t="shared" si="221"/>
        <v>0</v>
      </c>
      <c r="CC159" s="118" t="str">
        <f t="shared" si="222"/>
        <v>A</v>
      </c>
      <c r="CD159" s="119" t="str">
        <f t="shared" si="179"/>
        <v/>
      </c>
      <c r="CE159" s="66">
        <f>+IF($W159="","",ROUND((VLOOKUP(ROUNDDOWN($D159-1/frec,0),cob_adi,BO$40,FALSE)*(1+i/frec)^-0.5*(1+Parámetros!$D$103)*(1+rec_fracc)/frec*'TABLAS ADI'!$BC$17),2))</f>
        <v>0</v>
      </c>
      <c r="CF159" s="119" t="str">
        <f t="shared" si="180"/>
        <v/>
      </c>
      <c r="CG159" s="66">
        <f>+IF($W159="","",ROUND(IF($B159&gt;Parámetros!$D$107,'Tablas Servicio'!CE159+('Tablas Servicio'!CG158-'Tablas Servicio'!CE158),CE159/(1-IF(B159&lt;=10,Parámetros!$D$100,0))),2))</f>
        <v>0</v>
      </c>
      <c r="CH159" s="66">
        <f t="shared" si="181"/>
        <v>0</v>
      </c>
      <c r="CI159" s="66">
        <f t="shared" si="181"/>
        <v>0</v>
      </c>
      <c r="CJ159" s="66">
        <f>+IF($W159="","",ROUND((CG159*Parámetros!$G$85),2))</f>
        <v>0</v>
      </c>
      <c r="CK159" s="66">
        <f>+IF($W159="","",ROUND((CG159*(Parámetros!$G$86)),2))</f>
        <v>0</v>
      </c>
      <c r="CL159" s="66">
        <f t="shared" si="182"/>
        <v>0</v>
      </c>
      <c r="CM159" t="str">
        <f t="shared" si="223"/>
        <v>00063</v>
      </c>
      <c r="CN159" s="118" t="str">
        <f t="shared" si="224"/>
        <v>Renta Diaria por Hospitalización</v>
      </c>
      <c r="CO159" s="118">
        <f t="shared" si="225"/>
        <v>0</v>
      </c>
      <c r="CP159" s="118" t="str">
        <f t="shared" si="226"/>
        <v>A</v>
      </c>
      <c r="CQ159" s="119" t="str">
        <f t="shared" si="183"/>
        <v/>
      </c>
      <c r="CR159" s="66">
        <f>+IF($W159="","",ROUND((VLOOKUP(Parámetros!$F$51,'COBERTURAS ADICIONALES'!$S$4:$T$32,2,FALSE)*(1+i/frec)^-0.5*(1+Parámetros!$D$103)*(1+rec_fracc)/frec*$CO$42),2))</f>
        <v>0</v>
      </c>
      <c r="CS159" s="119" t="str">
        <f t="shared" si="184"/>
        <v/>
      </c>
      <c r="CT159" s="66">
        <f>+IF($W159="","",ROUND(IF($B159&gt;Parámetros!$D$107,'Tablas Servicio'!CR159+('Tablas Servicio'!CT158-'Tablas Servicio'!CR158),CR159/(1-IF(B159&lt;=10,Parámetros!$D$100,0))),2))</f>
        <v>0</v>
      </c>
      <c r="CU159" s="66">
        <f t="shared" si="185"/>
        <v>0</v>
      </c>
      <c r="CV159" s="66">
        <f t="shared" si="185"/>
        <v>0</v>
      </c>
      <c r="CW159" s="66">
        <f>+IF($W159="","",ROUND((CT159*Parámetros!$G$85),2))</f>
        <v>0</v>
      </c>
      <c r="CX159" s="66">
        <f>+IF($W159="","",ROUND((CT159*(Parámetros!$G$86)),2))</f>
        <v>0</v>
      </c>
      <c r="CY159" s="66">
        <f t="shared" si="186"/>
        <v>0</v>
      </c>
      <c r="CZ159" t="str">
        <f t="shared" si="227"/>
        <v>00064</v>
      </c>
      <c r="DA159" s="118" t="str">
        <f t="shared" si="228"/>
        <v>Enfermedades Graves</v>
      </c>
      <c r="DB159" s="118">
        <f t="shared" si="229"/>
        <v>0</v>
      </c>
      <c r="DC159" s="118" t="str">
        <f t="shared" si="230"/>
        <v>A</v>
      </c>
      <c r="DD159" s="121" t="str">
        <f>+IF(OR($W159="",DB159=0),"",ROUND((VLOOKUP(ROUNDDOWN($D159-1/frec,0),cob_adi,CO$40,FALSE)*(1+i/frec)^-0.5*(1+Parámetros!$D$103)*(1+rec_fracc)/frec),6))</f>
        <v/>
      </c>
      <c r="DE159" s="66">
        <f t="shared" si="187"/>
        <v>0</v>
      </c>
      <c r="DF159" s="119" t="str">
        <f t="shared" si="188"/>
        <v/>
      </c>
      <c r="DG159" s="66">
        <f>+IF($W159="","",ROUND(IF($B159&gt;Parámetros!$D$107,'Tablas Servicio'!DE159+('Tablas Servicio'!DG158-'Tablas Servicio'!DE158),DE159/(1-IF(B159&lt;=10,Parámetros!$D$100,0))),2))</f>
        <v>0</v>
      </c>
      <c r="DH159" s="66">
        <f t="shared" si="189"/>
        <v>0</v>
      </c>
      <c r="DI159" s="66">
        <f t="shared" si="189"/>
        <v>0</v>
      </c>
      <c r="DJ159" s="66">
        <f>+IF($W159="","",ROUND((DG159*Parámetros!$G$85),2))</f>
        <v>0</v>
      </c>
      <c r="DK159" s="66">
        <f>+IF($W159="","",ROUND((DG159*(Parámetros!$G$86)),2))</f>
        <v>0</v>
      </c>
      <c r="DL159" s="66">
        <f t="shared" si="190"/>
        <v>0</v>
      </c>
      <c r="DM159" t="str">
        <f t="shared" si="231"/>
        <v>00065</v>
      </c>
      <c r="DN159" s="118" t="str">
        <f t="shared" si="232"/>
        <v>Exención pago de primas</v>
      </c>
      <c r="DO159" s="118">
        <f t="shared" si="233"/>
        <v>0</v>
      </c>
      <c r="DP159" s="118" t="str">
        <f t="shared" si="234"/>
        <v>A</v>
      </c>
      <c r="DQ159" s="122" t="str">
        <f>+IF(OR($W159="",DO159=0),"",ROUND((VLOOKUP(ROUNDDOWN($D159-1/frec,0),cob_adi,DB$40,FALSE)*(1+i/frec)^-0.5*(1+Parámetros!$D$103)*(1+rec_fracc)/frec),6))</f>
        <v/>
      </c>
      <c r="DR159" s="66">
        <f t="shared" si="191"/>
        <v>0</v>
      </c>
      <c r="DS159" s="68" t="str">
        <f t="shared" si="192"/>
        <v/>
      </c>
      <c r="DT159" s="66">
        <f>+IF($W159="","",ROUND(IF($B159&gt;Parámetros!$D$107,'Tablas Servicio'!DR159+('Tablas Servicio'!DT158-'Tablas Servicio'!DR158),DR159/(1-IF(B159&lt;=10,Parámetros!$D$100,0))),2))</f>
        <v>0</v>
      </c>
      <c r="DU159" s="66">
        <f t="shared" si="193"/>
        <v>0</v>
      </c>
      <c r="DV159" s="66">
        <f t="shared" si="193"/>
        <v>0</v>
      </c>
      <c r="DW159" s="66">
        <f>+IF($W159="","",ROUND((DT159*Parámetros!$G$85),2))</f>
        <v>0</v>
      </c>
      <c r="DX159" s="66">
        <f>+IF($W159="","",ROUND((DT159*(Parámetros!$G$86)),2))</f>
        <v>0</v>
      </c>
      <c r="DY159" s="66">
        <f t="shared" si="194"/>
        <v>0</v>
      </c>
      <c r="DZ159" t="str">
        <f t="shared" si="237"/>
        <v>00066</v>
      </c>
      <c r="EA159" s="118" t="str">
        <f t="shared" si="237"/>
        <v>Enfermedad terminal</v>
      </c>
      <c r="EB159" s="118">
        <f>+IF($W159="","",ROUND(IF(Parámetros!$D$25='TABLAS MORT'!$V$33,EB158,Z159/2),0))</f>
        <v>50000</v>
      </c>
      <c r="EC159" s="118" t="str">
        <f t="shared" si="237"/>
        <v>A</v>
      </c>
      <c r="ED159" s="122">
        <f>+IF(OR($W159="",EB159=0),"",ROUND((VLOOKUP(ROUNDDOWN($D159-1/frec,0),cob_adi,DO$40,FALSE)*(1+i/frec)^-0.5*(1+Parámetros!$D$103)*(1+rec_fracc)/frec),6))</f>
        <v>1.2E-5</v>
      </c>
      <c r="EE159" s="66">
        <f t="shared" si="196"/>
        <v>0.6</v>
      </c>
      <c r="EF159" s="68">
        <f t="shared" si="197"/>
        <v>1.4E-5</v>
      </c>
      <c r="EG159" s="66">
        <f>+IF($W159="","",ROUND(IF($B159&gt;Parámetros!$D$107,'Tablas Servicio'!EE159+('Tablas Servicio'!EG158-'Tablas Servicio'!EE158),EE159/(1-IF(B159&lt;=10,Parámetros!$D$100,0))),2))</f>
        <v>0.68</v>
      </c>
      <c r="EH159" s="66">
        <f t="shared" si="198"/>
        <v>0</v>
      </c>
      <c r="EI159" s="66">
        <f t="shared" si="198"/>
        <v>0</v>
      </c>
      <c r="EJ159" s="66">
        <f>+IF($W159="","",ROUND((EG159*Parámetros!$G$85),2))</f>
        <v>0.02</v>
      </c>
      <c r="EK159" s="66">
        <f>+IF($W159="","",ROUND((EG159*(Parámetros!$G$86)),2))</f>
        <v>0</v>
      </c>
      <c r="EL159" s="66">
        <f t="shared" si="199"/>
        <v>0.7</v>
      </c>
    </row>
    <row r="160" spans="1:142" x14ac:dyDescent="0.25">
      <c r="A160">
        <f>+IF($C160="","",ROUND(VLOOKUP('Tablas Servicio'!B160,Parámetros!$H$100:$J$159,IF(Parámetros!$E$16="F",2,3),FALSE),2))</f>
        <v>150</v>
      </c>
      <c r="B160">
        <f t="shared" si="150"/>
        <v>10</v>
      </c>
      <c r="C160" s="57">
        <f>+IF(D160="","",'Tablas Servicio'!C159+1)</f>
        <v>119</v>
      </c>
      <c r="D160" s="56">
        <f>+IF(D159&lt;edadmaxtabla,D159+1/Parámetros!$E$25,"")</f>
        <v>49.936666666666952</v>
      </c>
      <c r="E160" s="57">
        <f t="shared" si="160"/>
        <v>49</v>
      </c>
      <c r="F160" s="59">
        <f t="shared" si="161"/>
        <v>100000</v>
      </c>
      <c r="G160" s="66">
        <f t="shared" si="151"/>
        <v>38.15</v>
      </c>
      <c r="H160" s="66">
        <f t="shared" si="152"/>
        <v>39.67</v>
      </c>
      <c r="I160" s="66">
        <f t="shared" si="200"/>
        <v>47.81</v>
      </c>
      <c r="J160" s="66">
        <f t="shared" si="153"/>
        <v>1.33</v>
      </c>
      <c r="K160" s="66">
        <f t="shared" si="154"/>
        <v>0.19</v>
      </c>
      <c r="L160" s="66">
        <f t="shared" si="155"/>
        <v>0</v>
      </c>
      <c r="M160" s="66">
        <f t="shared" si="156"/>
        <v>0</v>
      </c>
      <c r="N160" s="66">
        <f>+IF(C160="","",ROUND(Parámetros!$D$23,2))</f>
        <v>94</v>
      </c>
      <c r="O160" s="66">
        <f t="shared" si="157"/>
        <v>21.200000000000003</v>
      </c>
      <c r="P160" s="66">
        <f>+IF($C160="","",ROUND(IF(B160&gt;Parámetros!$D$117,0,N160*Parámetros!$D$116-G160*Parámetros!$D$100),2))</f>
        <v>6.52</v>
      </c>
      <c r="Q160" s="75">
        <f t="shared" si="201"/>
        <v>3.4862385321100919E-2</v>
      </c>
      <c r="R160" s="75">
        <f t="shared" si="202"/>
        <v>4.9803407601572746E-3</v>
      </c>
      <c r="S160" s="117">
        <f>+IF($C160="","",ROUND((S159+I160)*(1+Parámetros!$D$91),2))</f>
        <v>7746.43</v>
      </c>
      <c r="T160" s="117">
        <f>+IF($C160="","",ROUND(S160*VLOOKUP(B160,Parámetros!$C$30:$D$39,2,TRUE),2))</f>
        <v>7746.43</v>
      </c>
      <c r="U160" s="117">
        <f>+IF($C160="","",ROUND((U159+I160)*(1+Parámetros!$D$92),2))</f>
        <v>7956.77</v>
      </c>
      <c r="V160" s="117">
        <f>+IF($C160="","",ROUND(U160*VLOOKUP(B160,Parámetros!$C$30:$D$39,2,TRUE),2))</f>
        <v>7956.77</v>
      </c>
      <c r="W160" s="57">
        <f t="shared" si="203"/>
        <v>119</v>
      </c>
      <c r="X160" t="str">
        <f t="shared" si="204"/>
        <v>00058</v>
      </c>
      <c r="Y160" t="str">
        <f t="shared" si="205"/>
        <v>MUERTE POR CUALQUIER CAUSA</v>
      </c>
      <c r="Z160" s="118">
        <f>+IF($W160="","",ROUND(IF(Parámetros!$D$25='TABLAS MORT'!$V$33,Z159,Parámetros!$D$21-'Tablas Servicio'!T159),0))</f>
        <v>100000</v>
      </c>
      <c r="AA160" s="118" t="str">
        <f t="shared" si="206"/>
        <v>P</v>
      </c>
      <c r="AB160" s="119">
        <f>+IF(W160="","",ROUND((VLOOKUP(ROUNDDOWN($D160-1/frec,0),qx_tabla,2,FALSE)*(1+i/frec)^-0.5*(1+Parámetros!$D$103)*(1+rec_fracc)/frec),6))</f>
        <v>2.0599999999999999E-4</v>
      </c>
      <c r="AC160" s="66">
        <f t="shared" si="162"/>
        <v>20.6</v>
      </c>
      <c r="AD160" s="119">
        <f t="shared" si="158"/>
        <v>3.7500000000000001E-4</v>
      </c>
      <c r="AE160" s="66">
        <f>+IF($W160="","",ROUND(IF($B160&gt;Parámetros!$D$107,'Tablas Servicio'!AC160+('Tablas Servicio'!AG159-'Tablas Servicio'!AC159),AC160/(1-IF(B160&lt;=10,Parámetros!$D$104,Parámetros!$D$105))),2))</f>
        <v>42.63</v>
      </c>
      <c r="AF160" s="66">
        <f>+IF($W160="","",ROUND(IF($B160&gt;Parámetros!$D$107,'Tablas Servicio'!AC160+('Tablas Servicio'!AG159-'Tablas Servicio'!AC159),(AC160+$A159/frec)/(1-IF(B160&lt;=Parámetros!$D$117,Parámetros!$D$100,0))),2))</f>
        <v>37.47</v>
      </c>
      <c r="AG160" s="66">
        <f t="shared" si="163"/>
        <v>37.47</v>
      </c>
      <c r="AH160" s="66">
        <f t="shared" si="164"/>
        <v>0</v>
      </c>
      <c r="AI160" s="66">
        <f t="shared" si="165"/>
        <v>0</v>
      </c>
      <c r="AJ160" s="66">
        <f>+IF($W160="","",ROUND((AG160*Parámetros!$G$85),2))</f>
        <v>1.31</v>
      </c>
      <c r="AK160" s="66">
        <f>+IF($W160="","",ROUND((AG160*(Parámetros!$G$86)),2))</f>
        <v>0.19</v>
      </c>
      <c r="AL160" s="66">
        <f t="shared" si="159"/>
        <v>38.97</v>
      </c>
      <c r="AM160" t="str">
        <f t="shared" si="207"/>
        <v>00059</v>
      </c>
      <c r="AN160" t="str">
        <f t="shared" si="208"/>
        <v>Incapacidad Total y Permanente</v>
      </c>
      <c r="AO160" s="118">
        <f t="shared" si="209"/>
        <v>0</v>
      </c>
      <c r="AP160" s="118" t="str">
        <f t="shared" si="210"/>
        <v>A</v>
      </c>
      <c r="AQ160" s="119" t="str">
        <f>+IF(OR($W160="",AO160=0),"",ROUND((VLOOKUP(ROUNDDOWN($D160-1/frec,0),cob_adi,Z$40,FALSE)*(1+i/frec)^-0.5*(1+Parámetros!$D$103)*(1+rec_fracc)/frec),6))</f>
        <v/>
      </c>
      <c r="AR160" s="66">
        <f t="shared" si="166"/>
        <v>0</v>
      </c>
      <c r="AS160" s="119" t="str">
        <f t="shared" si="167"/>
        <v/>
      </c>
      <c r="AT160" s="66">
        <f>+IF($W160="","",ROUND(IF($B160&gt;Parámetros!$D$107,'Tablas Servicio'!AR160+('Tablas Servicio'!AT159-'Tablas Servicio'!AR159),AR160/(1-IF(B160&lt;=10,Parámetros!$D$100,0))),2))</f>
        <v>0</v>
      </c>
      <c r="AU160" s="66">
        <f t="shared" si="168"/>
        <v>0</v>
      </c>
      <c r="AV160" s="66">
        <f t="shared" si="168"/>
        <v>0</v>
      </c>
      <c r="AW160" s="66">
        <f>+IF($W160="","",ROUND((AT160*Parámetros!$G$85),2))</f>
        <v>0</v>
      </c>
      <c r="AX160" s="66">
        <f>+IF($W160="","",ROUND((AT160*(Parámetros!$G$86)),2))</f>
        <v>0</v>
      </c>
      <c r="AY160" s="66">
        <f t="shared" si="169"/>
        <v>0</v>
      </c>
      <c r="AZ160" t="str">
        <f t="shared" si="211"/>
        <v>00060</v>
      </c>
      <c r="BA160" t="str">
        <f t="shared" si="212"/>
        <v>Muerte Accidental</v>
      </c>
      <c r="BB160" s="118">
        <f t="shared" si="213"/>
        <v>0</v>
      </c>
      <c r="BC160" s="118" t="str">
        <f t="shared" si="214"/>
        <v>A</v>
      </c>
      <c r="BD160" s="119" t="str">
        <f>+IF(OR($W160="",BB160=0),"",ROUND((VLOOKUP(ROUNDDOWN($D160-1/frec,0),cob_adi,AO$40,FALSE)*(1+i/frec)^-0.5*(1+Parámetros!$D$103)*(1+rec_fracc)/frec),6))</f>
        <v/>
      </c>
      <c r="BE160" s="66">
        <f t="shared" si="170"/>
        <v>0</v>
      </c>
      <c r="BF160" s="119" t="str">
        <f t="shared" si="171"/>
        <v/>
      </c>
      <c r="BG160" s="66">
        <f>+IF($W160="","",ROUND(IF($B160&gt;Parámetros!$D$107,'Tablas Servicio'!BE160+('Tablas Servicio'!BG159-'Tablas Servicio'!BE159),BE160/(1-IF(B160&lt;=10,Parámetros!$D$100,0))),2))</f>
        <v>0</v>
      </c>
      <c r="BH160" s="66">
        <f t="shared" si="172"/>
        <v>0</v>
      </c>
      <c r="BI160" s="66">
        <f t="shared" si="173"/>
        <v>0</v>
      </c>
      <c r="BJ160" s="66">
        <f>+IF($W160="","",ROUND((BG160*Parámetros!$G$85),2))</f>
        <v>0</v>
      </c>
      <c r="BK160" s="66">
        <f>+IF($W160="","",ROUND((BG160*(Parámetros!$G$86)),2))</f>
        <v>0</v>
      </c>
      <c r="BL160" s="66">
        <f t="shared" si="174"/>
        <v>0</v>
      </c>
      <c r="BM160" t="str">
        <f t="shared" si="215"/>
        <v>00061</v>
      </c>
      <c r="BN160" t="str">
        <f t="shared" si="216"/>
        <v>Gastos de Entierro</v>
      </c>
      <c r="BO160" s="118">
        <f t="shared" si="217"/>
        <v>0</v>
      </c>
      <c r="BP160" s="118" t="str">
        <f t="shared" si="218"/>
        <v>A</v>
      </c>
      <c r="BQ160" s="119" t="str">
        <f>+IF(OR($W160="",BO160=0),"",ROUND((VLOOKUP(ROUNDDOWN($D160-1/frec,0),cob_adi,BB$40,FALSE)*(1+i/frec)^-0.5*(1+Parámetros!$D$103)*(1+rec_fracc)/frec),6))</f>
        <v/>
      </c>
      <c r="BR160" s="66">
        <f t="shared" si="175"/>
        <v>0</v>
      </c>
      <c r="BS160" s="119" t="str">
        <f t="shared" si="176"/>
        <v/>
      </c>
      <c r="BT160" s="66">
        <f>+IF($W160="","",ROUND(IF($B160&gt;Parámetros!$D$107,'Tablas Servicio'!BR160+('Tablas Servicio'!BT159-'Tablas Servicio'!BR159),BR160/(1-IF(B160&lt;=10,Parámetros!$D$100,0))),2))</f>
        <v>0</v>
      </c>
      <c r="BU160" s="66">
        <f t="shared" si="177"/>
        <v>0</v>
      </c>
      <c r="BV160" s="66">
        <f t="shared" si="177"/>
        <v>0</v>
      </c>
      <c r="BW160" s="66">
        <f>+IF($W160="","",ROUND((BT160*Parámetros!$G$85),2))</f>
        <v>0</v>
      </c>
      <c r="BX160" s="66">
        <f>+IF($W160="","",ROUND((BT160*(Parámetros!$G$86)),2))</f>
        <v>0</v>
      </c>
      <c r="BY160" s="66">
        <f t="shared" si="178"/>
        <v>0</v>
      </c>
      <c r="BZ160" t="str">
        <f t="shared" si="219"/>
        <v>00062</v>
      </c>
      <c r="CA160" t="str">
        <f t="shared" si="220"/>
        <v>Gastos médicos por accidente</v>
      </c>
      <c r="CB160" s="118">
        <f t="shared" si="221"/>
        <v>0</v>
      </c>
      <c r="CC160" s="118" t="str">
        <f t="shared" si="222"/>
        <v>A</v>
      </c>
      <c r="CD160" s="119" t="str">
        <f t="shared" si="179"/>
        <v/>
      </c>
      <c r="CE160" s="66">
        <f>+IF($W160="","",ROUND((VLOOKUP(ROUNDDOWN($D160-1/frec,0),cob_adi,BO$40,FALSE)*(1+i/frec)^-0.5*(1+Parámetros!$D$103)*(1+rec_fracc)/frec*'TABLAS ADI'!$BC$17),2))</f>
        <v>0</v>
      </c>
      <c r="CF160" s="119" t="str">
        <f t="shared" si="180"/>
        <v/>
      </c>
      <c r="CG160" s="66">
        <f>+IF($W160="","",ROUND(IF($B160&gt;Parámetros!$D$107,'Tablas Servicio'!CE160+('Tablas Servicio'!CG159-'Tablas Servicio'!CE159),CE160/(1-IF(B160&lt;=10,Parámetros!$D$100,0))),2))</f>
        <v>0</v>
      </c>
      <c r="CH160" s="66">
        <f t="shared" si="181"/>
        <v>0</v>
      </c>
      <c r="CI160" s="66">
        <f t="shared" si="181"/>
        <v>0</v>
      </c>
      <c r="CJ160" s="66">
        <f>+IF($W160="","",ROUND((CG160*Parámetros!$G$85),2))</f>
        <v>0</v>
      </c>
      <c r="CK160" s="66">
        <f>+IF($W160="","",ROUND((CG160*(Parámetros!$G$86)),2))</f>
        <v>0</v>
      </c>
      <c r="CL160" s="66">
        <f t="shared" si="182"/>
        <v>0</v>
      </c>
      <c r="CM160" t="str">
        <f t="shared" si="223"/>
        <v>00063</v>
      </c>
      <c r="CN160" s="118" t="str">
        <f t="shared" si="224"/>
        <v>Renta Diaria por Hospitalización</v>
      </c>
      <c r="CO160" s="118">
        <f t="shared" si="225"/>
        <v>0</v>
      </c>
      <c r="CP160" s="118" t="str">
        <f t="shared" si="226"/>
        <v>A</v>
      </c>
      <c r="CQ160" s="119" t="str">
        <f t="shared" si="183"/>
        <v/>
      </c>
      <c r="CR160" s="66">
        <f>+IF($W160="","",ROUND((VLOOKUP(Parámetros!$F$51,'COBERTURAS ADICIONALES'!$S$4:$T$32,2,FALSE)*(1+i/frec)^-0.5*(1+Parámetros!$D$103)*(1+rec_fracc)/frec*$CO$42),2))</f>
        <v>0</v>
      </c>
      <c r="CS160" s="119" t="str">
        <f t="shared" si="184"/>
        <v/>
      </c>
      <c r="CT160" s="66">
        <f>+IF($W160="","",ROUND(IF($B160&gt;Parámetros!$D$107,'Tablas Servicio'!CR160+('Tablas Servicio'!CT159-'Tablas Servicio'!CR159),CR160/(1-IF(B160&lt;=10,Parámetros!$D$100,0))),2))</f>
        <v>0</v>
      </c>
      <c r="CU160" s="66">
        <f t="shared" si="185"/>
        <v>0</v>
      </c>
      <c r="CV160" s="66">
        <f t="shared" si="185"/>
        <v>0</v>
      </c>
      <c r="CW160" s="66">
        <f>+IF($W160="","",ROUND((CT160*Parámetros!$G$85),2))</f>
        <v>0</v>
      </c>
      <c r="CX160" s="66">
        <f>+IF($W160="","",ROUND((CT160*(Parámetros!$G$86)),2))</f>
        <v>0</v>
      </c>
      <c r="CY160" s="66">
        <f t="shared" si="186"/>
        <v>0</v>
      </c>
      <c r="CZ160" t="str">
        <f t="shared" si="227"/>
        <v>00064</v>
      </c>
      <c r="DA160" s="118" t="str">
        <f t="shared" si="228"/>
        <v>Enfermedades Graves</v>
      </c>
      <c r="DB160" s="118">
        <f t="shared" si="229"/>
        <v>0</v>
      </c>
      <c r="DC160" s="118" t="str">
        <f t="shared" si="230"/>
        <v>A</v>
      </c>
      <c r="DD160" s="121" t="str">
        <f>+IF(OR($W160="",DB160=0),"",ROUND((VLOOKUP(ROUNDDOWN($D160-1/frec,0),cob_adi,CO$40,FALSE)*(1+i/frec)^-0.5*(1+Parámetros!$D$103)*(1+rec_fracc)/frec),6))</f>
        <v/>
      </c>
      <c r="DE160" s="66">
        <f t="shared" si="187"/>
        <v>0</v>
      </c>
      <c r="DF160" s="119" t="str">
        <f t="shared" si="188"/>
        <v/>
      </c>
      <c r="DG160" s="66">
        <f>+IF($W160="","",ROUND(IF($B160&gt;Parámetros!$D$107,'Tablas Servicio'!DE160+('Tablas Servicio'!DG159-'Tablas Servicio'!DE159),DE160/(1-IF(B160&lt;=10,Parámetros!$D$100,0))),2))</f>
        <v>0</v>
      </c>
      <c r="DH160" s="66">
        <f t="shared" si="189"/>
        <v>0</v>
      </c>
      <c r="DI160" s="66">
        <f t="shared" si="189"/>
        <v>0</v>
      </c>
      <c r="DJ160" s="66">
        <f>+IF($W160="","",ROUND((DG160*Parámetros!$G$85),2))</f>
        <v>0</v>
      </c>
      <c r="DK160" s="66">
        <f>+IF($W160="","",ROUND((DG160*(Parámetros!$G$86)),2))</f>
        <v>0</v>
      </c>
      <c r="DL160" s="66">
        <f t="shared" si="190"/>
        <v>0</v>
      </c>
      <c r="DM160" t="str">
        <f t="shared" si="231"/>
        <v>00065</v>
      </c>
      <c r="DN160" s="118" t="str">
        <f t="shared" si="232"/>
        <v>Exención pago de primas</v>
      </c>
      <c r="DO160" s="118">
        <f t="shared" si="233"/>
        <v>0</v>
      </c>
      <c r="DP160" s="118" t="str">
        <f t="shared" si="234"/>
        <v>A</v>
      </c>
      <c r="DQ160" s="122" t="str">
        <f>+IF(OR($W160="",DO160=0),"",ROUND((VLOOKUP(ROUNDDOWN($D160-1/frec,0),cob_adi,DB$40,FALSE)*(1+i/frec)^-0.5*(1+Parámetros!$D$103)*(1+rec_fracc)/frec),6))</f>
        <v/>
      </c>
      <c r="DR160" s="66">
        <f t="shared" si="191"/>
        <v>0</v>
      </c>
      <c r="DS160" s="68" t="str">
        <f t="shared" si="192"/>
        <v/>
      </c>
      <c r="DT160" s="66">
        <f>+IF($W160="","",ROUND(IF($B160&gt;Parámetros!$D$107,'Tablas Servicio'!DR160+('Tablas Servicio'!DT159-'Tablas Servicio'!DR159),DR160/(1-IF(B160&lt;=10,Parámetros!$D$100,0))),2))</f>
        <v>0</v>
      </c>
      <c r="DU160" s="66">
        <f t="shared" si="193"/>
        <v>0</v>
      </c>
      <c r="DV160" s="66">
        <f t="shared" si="193"/>
        <v>0</v>
      </c>
      <c r="DW160" s="66">
        <f>+IF($W160="","",ROUND((DT160*Parámetros!$G$85),2))</f>
        <v>0</v>
      </c>
      <c r="DX160" s="66">
        <f>+IF($W160="","",ROUND((DT160*(Parámetros!$G$86)),2))</f>
        <v>0</v>
      </c>
      <c r="DY160" s="66">
        <f t="shared" si="194"/>
        <v>0</v>
      </c>
      <c r="DZ160" t="str">
        <f t="shared" si="237"/>
        <v>00066</v>
      </c>
      <c r="EA160" s="118" t="str">
        <f t="shared" si="237"/>
        <v>Enfermedad terminal</v>
      </c>
      <c r="EB160" s="118">
        <f>+IF($W160="","",ROUND(IF(Parámetros!$D$25='TABLAS MORT'!$V$33,EB159,Z160/2),0))</f>
        <v>50000</v>
      </c>
      <c r="EC160" s="118" t="str">
        <f t="shared" si="237"/>
        <v>A</v>
      </c>
      <c r="ED160" s="122">
        <f>+IF(OR($W160="",EB160=0),"",ROUND((VLOOKUP(ROUNDDOWN($D160-1/frec,0),cob_adi,DO$40,FALSE)*(1+i/frec)^-0.5*(1+Parámetros!$D$103)*(1+rec_fracc)/frec),6))</f>
        <v>1.2E-5</v>
      </c>
      <c r="EE160" s="66">
        <f t="shared" si="196"/>
        <v>0.6</v>
      </c>
      <c r="EF160" s="68">
        <f t="shared" si="197"/>
        <v>1.4E-5</v>
      </c>
      <c r="EG160" s="66">
        <f>+IF($W160="","",ROUND(IF($B160&gt;Parámetros!$D$107,'Tablas Servicio'!EE160+('Tablas Servicio'!EG159-'Tablas Servicio'!EE159),EE160/(1-IF(B160&lt;=10,Parámetros!$D$100,0))),2))</f>
        <v>0.68</v>
      </c>
      <c r="EH160" s="66">
        <f t="shared" si="198"/>
        <v>0</v>
      </c>
      <c r="EI160" s="66">
        <f t="shared" si="198"/>
        <v>0</v>
      </c>
      <c r="EJ160" s="66">
        <f>+IF($W160="","",ROUND((EG160*Parámetros!$G$85),2))</f>
        <v>0.02</v>
      </c>
      <c r="EK160" s="66">
        <f>+IF($W160="","",ROUND((EG160*(Parámetros!$G$86)),2))</f>
        <v>0</v>
      </c>
      <c r="EL160" s="66">
        <f t="shared" si="199"/>
        <v>0.7</v>
      </c>
    </row>
    <row r="161" spans="1:142" x14ac:dyDescent="0.25">
      <c r="A161">
        <f>+IF($C161="","",ROUND(VLOOKUP('Tablas Servicio'!B161,Parámetros!$H$100:$J$159,IF(Parámetros!$E$16="F",2,3),FALSE),2))</f>
        <v>150</v>
      </c>
      <c r="B161">
        <f t="shared" si="150"/>
        <v>10</v>
      </c>
      <c r="C161" s="57">
        <f>+IF(D161="","",'Tablas Servicio'!C160+1)</f>
        <v>120</v>
      </c>
      <c r="D161" s="56">
        <f>+IF(D160&lt;edadmaxtabla,D160+1/Parámetros!$E$25,"")</f>
        <v>50.020000000000287</v>
      </c>
      <c r="E161" s="57">
        <f t="shared" si="160"/>
        <v>50</v>
      </c>
      <c r="F161" s="59">
        <f t="shared" si="161"/>
        <v>100000</v>
      </c>
      <c r="G161" s="66">
        <f t="shared" si="151"/>
        <v>38.15</v>
      </c>
      <c r="H161" s="66">
        <f t="shared" si="152"/>
        <v>39.67</v>
      </c>
      <c r="I161" s="66">
        <f t="shared" si="200"/>
        <v>47.81</v>
      </c>
      <c r="J161" s="66">
        <f t="shared" si="153"/>
        <v>1.33</v>
      </c>
      <c r="K161" s="66">
        <f t="shared" si="154"/>
        <v>0.19</v>
      </c>
      <c r="L161" s="66">
        <f t="shared" si="155"/>
        <v>0</v>
      </c>
      <c r="M161" s="66">
        <f t="shared" si="156"/>
        <v>0</v>
      </c>
      <c r="N161" s="66">
        <f>+IF(C161="","",ROUND(Parámetros!$D$23,2))</f>
        <v>94</v>
      </c>
      <c r="O161" s="66">
        <f t="shared" si="157"/>
        <v>21.200000000000003</v>
      </c>
      <c r="P161" s="66">
        <f>+IF($C161="","",ROUND(IF(B161&gt;Parámetros!$D$117,0,N161*Parámetros!$D$116-G161*Parámetros!$D$100),2))</f>
        <v>6.52</v>
      </c>
      <c r="Q161" s="75">
        <f t="shared" si="201"/>
        <v>3.4862385321100919E-2</v>
      </c>
      <c r="R161" s="75">
        <f t="shared" si="202"/>
        <v>4.9803407601572746E-3</v>
      </c>
      <c r="S161" s="117">
        <f>+IF($C161="","",ROUND((S160+I161)*(1+Parámetros!$D$91),2))</f>
        <v>7816.35</v>
      </c>
      <c r="T161" s="117">
        <f>+IF($C161="","",ROUND(S161*VLOOKUP(B161,Parámetros!$C$30:$D$39,2,TRUE),2))</f>
        <v>7816.35</v>
      </c>
      <c r="U161" s="117">
        <f>+IF($C161="","",ROUND((U160+I161)*(1+Parámetros!$D$92),2))</f>
        <v>8030.53</v>
      </c>
      <c r="V161" s="117">
        <f>+IF($C161="","",ROUND(U161*VLOOKUP(B161,Parámetros!$C$30:$D$39,2,TRUE),2))</f>
        <v>8030.53</v>
      </c>
      <c r="W161" s="57">
        <f t="shared" si="203"/>
        <v>120</v>
      </c>
      <c r="X161" t="str">
        <f t="shared" si="204"/>
        <v>00058</v>
      </c>
      <c r="Y161" t="str">
        <f t="shared" si="205"/>
        <v>MUERTE POR CUALQUIER CAUSA</v>
      </c>
      <c r="Z161" s="118">
        <f>+IF($W161="","",ROUND(IF(Parámetros!$D$25='TABLAS MORT'!$V$33,Z160,Parámetros!$D$21-'Tablas Servicio'!T160),0))</f>
        <v>100000</v>
      </c>
      <c r="AA161" s="118" t="str">
        <f t="shared" si="206"/>
        <v>P</v>
      </c>
      <c r="AB161" s="119">
        <f>+IF(W161="","",ROUND((VLOOKUP(ROUNDDOWN($D161-1/frec,0),qx_tabla,2,FALSE)*(1+i/frec)^-0.5*(1+Parámetros!$D$103)*(1+rec_fracc)/frec),6))</f>
        <v>2.0599999999999999E-4</v>
      </c>
      <c r="AC161" s="66">
        <f t="shared" si="162"/>
        <v>20.6</v>
      </c>
      <c r="AD161" s="119">
        <f t="shared" si="158"/>
        <v>3.7500000000000001E-4</v>
      </c>
      <c r="AE161" s="66">
        <f>+IF($W161="","",ROUND(IF($B161&gt;Parámetros!$D$107,'Tablas Servicio'!AC161+('Tablas Servicio'!AG160-'Tablas Servicio'!AC160),AC161/(1-IF(B161&lt;=10,Parámetros!$D$104,Parámetros!$D$105))),2))</f>
        <v>42.63</v>
      </c>
      <c r="AF161" s="66">
        <f>+IF($W161="","",ROUND(IF($B161&gt;Parámetros!$D$107,'Tablas Servicio'!AC161+('Tablas Servicio'!AG160-'Tablas Servicio'!AC160),(AC161+$A160/frec)/(1-IF(B161&lt;=Parámetros!$D$117,Parámetros!$D$100,0))),2))</f>
        <v>37.47</v>
      </c>
      <c r="AG161" s="66">
        <f t="shared" si="163"/>
        <v>37.47</v>
      </c>
      <c r="AH161" s="66">
        <f t="shared" si="164"/>
        <v>0</v>
      </c>
      <c r="AI161" s="66">
        <f t="shared" si="165"/>
        <v>0</v>
      </c>
      <c r="AJ161" s="66">
        <f>+IF($W161="","",ROUND((AG161*Parámetros!$G$85),2))</f>
        <v>1.31</v>
      </c>
      <c r="AK161" s="66">
        <f>+IF($W161="","",ROUND((AG161*(Parámetros!$G$86)),2))</f>
        <v>0.19</v>
      </c>
      <c r="AL161" s="66">
        <f t="shared" si="159"/>
        <v>38.97</v>
      </c>
      <c r="AM161" t="str">
        <f t="shared" si="207"/>
        <v>00059</v>
      </c>
      <c r="AN161" t="str">
        <f t="shared" si="208"/>
        <v>Incapacidad Total y Permanente</v>
      </c>
      <c r="AO161" s="118">
        <f t="shared" si="209"/>
        <v>0</v>
      </c>
      <c r="AP161" s="118" t="str">
        <f t="shared" si="210"/>
        <v>A</v>
      </c>
      <c r="AQ161" s="119" t="str">
        <f>+IF(OR($W161="",AO161=0),"",ROUND((VLOOKUP(ROUNDDOWN($D161-1/frec,0),cob_adi,Z$40,FALSE)*(1+i/frec)^-0.5*(1+Parámetros!$D$103)*(1+rec_fracc)/frec),6))</f>
        <v/>
      </c>
      <c r="AR161" s="66">
        <f t="shared" si="166"/>
        <v>0</v>
      </c>
      <c r="AS161" s="119" t="str">
        <f t="shared" si="167"/>
        <v/>
      </c>
      <c r="AT161" s="66">
        <f>+IF($W161="","",ROUND(IF($B161&gt;Parámetros!$D$107,'Tablas Servicio'!AR161+('Tablas Servicio'!AT160-'Tablas Servicio'!AR160),AR161/(1-IF(B161&lt;=10,Parámetros!$D$100,0))),2))</f>
        <v>0</v>
      </c>
      <c r="AU161" s="66">
        <f t="shared" si="168"/>
        <v>0</v>
      </c>
      <c r="AV161" s="66">
        <f t="shared" si="168"/>
        <v>0</v>
      </c>
      <c r="AW161" s="66">
        <f>+IF($W161="","",ROUND((AT161*Parámetros!$G$85),2))</f>
        <v>0</v>
      </c>
      <c r="AX161" s="66">
        <f>+IF($W161="","",ROUND((AT161*(Parámetros!$G$86)),2))</f>
        <v>0</v>
      </c>
      <c r="AY161" s="66">
        <f t="shared" si="169"/>
        <v>0</v>
      </c>
      <c r="AZ161" t="str">
        <f t="shared" si="211"/>
        <v>00060</v>
      </c>
      <c r="BA161" t="str">
        <f t="shared" si="212"/>
        <v>Muerte Accidental</v>
      </c>
      <c r="BB161" s="118">
        <f t="shared" si="213"/>
        <v>0</v>
      </c>
      <c r="BC161" s="118" t="str">
        <f t="shared" si="214"/>
        <v>A</v>
      </c>
      <c r="BD161" s="119" t="str">
        <f>+IF(OR($W161="",BB161=0),"",ROUND((VLOOKUP(ROUNDDOWN($D161-1/frec,0),cob_adi,AO$40,FALSE)*(1+i/frec)^-0.5*(1+Parámetros!$D$103)*(1+rec_fracc)/frec),6))</f>
        <v/>
      </c>
      <c r="BE161" s="66">
        <f t="shared" si="170"/>
        <v>0</v>
      </c>
      <c r="BF161" s="119" t="str">
        <f t="shared" si="171"/>
        <v/>
      </c>
      <c r="BG161" s="66">
        <f>+IF($W161="","",ROUND(IF($B161&gt;Parámetros!$D$107,'Tablas Servicio'!BE161+('Tablas Servicio'!BG160-'Tablas Servicio'!BE160),BE161/(1-IF(B161&lt;=10,Parámetros!$D$100,0))),2))</f>
        <v>0</v>
      </c>
      <c r="BH161" s="66">
        <f t="shared" si="172"/>
        <v>0</v>
      </c>
      <c r="BI161" s="66">
        <f t="shared" si="173"/>
        <v>0</v>
      </c>
      <c r="BJ161" s="66">
        <f>+IF($W161="","",ROUND((BG161*Parámetros!$G$85),2))</f>
        <v>0</v>
      </c>
      <c r="BK161" s="66">
        <f>+IF($W161="","",ROUND((BG161*(Parámetros!$G$86)),2))</f>
        <v>0</v>
      </c>
      <c r="BL161" s="66">
        <f t="shared" si="174"/>
        <v>0</v>
      </c>
      <c r="BM161" t="str">
        <f t="shared" si="215"/>
        <v>00061</v>
      </c>
      <c r="BN161" t="str">
        <f t="shared" si="216"/>
        <v>Gastos de Entierro</v>
      </c>
      <c r="BO161" s="118">
        <f t="shared" si="217"/>
        <v>0</v>
      </c>
      <c r="BP161" s="118" t="str">
        <f t="shared" si="218"/>
        <v>A</v>
      </c>
      <c r="BQ161" s="119" t="str">
        <f>+IF(OR($W161="",BO161=0),"",ROUND((VLOOKUP(ROUNDDOWN($D161-1/frec,0),cob_adi,BB$40,FALSE)*(1+i/frec)^-0.5*(1+Parámetros!$D$103)*(1+rec_fracc)/frec),6))</f>
        <v/>
      </c>
      <c r="BR161" s="66">
        <f t="shared" si="175"/>
        <v>0</v>
      </c>
      <c r="BS161" s="119" t="str">
        <f t="shared" si="176"/>
        <v/>
      </c>
      <c r="BT161" s="66">
        <f>+IF($W161="","",ROUND(IF($B161&gt;Parámetros!$D$107,'Tablas Servicio'!BR161+('Tablas Servicio'!BT160-'Tablas Servicio'!BR160),BR161/(1-IF(B161&lt;=10,Parámetros!$D$100,0))),2))</f>
        <v>0</v>
      </c>
      <c r="BU161" s="66">
        <f t="shared" si="177"/>
        <v>0</v>
      </c>
      <c r="BV161" s="66">
        <f t="shared" si="177"/>
        <v>0</v>
      </c>
      <c r="BW161" s="66">
        <f>+IF($W161="","",ROUND((BT161*Parámetros!$G$85),2))</f>
        <v>0</v>
      </c>
      <c r="BX161" s="66">
        <f>+IF($W161="","",ROUND((BT161*(Parámetros!$G$86)),2))</f>
        <v>0</v>
      </c>
      <c r="BY161" s="66">
        <f t="shared" si="178"/>
        <v>0</v>
      </c>
      <c r="BZ161" t="str">
        <f t="shared" si="219"/>
        <v>00062</v>
      </c>
      <c r="CA161" t="str">
        <f t="shared" si="220"/>
        <v>Gastos médicos por accidente</v>
      </c>
      <c r="CB161" s="118">
        <f t="shared" si="221"/>
        <v>0</v>
      </c>
      <c r="CC161" s="118" t="str">
        <f t="shared" si="222"/>
        <v>A</v>
      </c>
      <c r="CD161" s="119" t="str">
        <f t="shared" si="179"/>
        <v/>
      </c>
      <c r="CE161" s="66">
        <f>+IF($W161="","",ROUND((VLOOKUP(ROUNDDOWN($D161-1/frec,0),cob_adi,BO$40,FALSE)*(1+i/frec)^-0.5*(1+Parámetros!$D$103)*(1+rec_fracc)/frec*'TABLAS ADI'!$BC$17),2))</f>
        <v>0</v>
      </c>
      <c r="CF161" s="119" t="str">
        <f t="shared" si="180"/>
        <v/>
      </c>
      <c r="CG161" s="66">
        <f>+IF($W161="","",ROUND(IF($B161&gt;Parámetros!$D$107,'Tablas Servicio'!CE161+('Tablas Servicio'!CG160-'Tablas Servicio'!CE160),CE161/(1-IF(B161&lt;=10,Parámetros!$D$100,0))),2))</f>
        <v>0</v>
      </c>
      <c r="CH161" s="66">
        <f t="shared" si="181"/>
        <v>0</v>
      </c>
      <c r="CI161" s="66">
        <f t="shared" si="181"/>
        <v>0</v>
      </c>
      <c r="CJ161" s="66">
        <f>+IF($W161="","",ROUND((CG161*Parámetros!$G$85),2))</f>
        <v>0</v>
      </c>
      <c r="CK161" s="66">
        <f>+IF($W161="","",ROUND((CG161*(Parámetros!$G$86)),2))</f>
        <v>0</v>
      </c>
      <c r="CL161" s="66">
        <f t="shared" si="182"/>
        <v>0</v>
      </c>
      <c r="CM161" t="str">
        <f t="shared" si="223"/>
        <v>00063</v>
      </c>
      <c r="CN161" s="118" t="str">
        <f t="shared" si="224"/>
        <v>Renta Diaria por Hospitalización</v>
      </c>
      <c r="CO161" s="118">
        <f t="shared" si="225"/>
        <v>0</v>
      </c>
      <c r="CP161" s="118" t="str">
        <f t="shared" si="226"/>
        <v>A</v>
      </c>
      <c r="CQ161" s="119" t="str">
        <f t="shared" si="183"/>
        <v/>
      </c>
      <c r="CR161" s="66">
        <f>+IF($W161="","",ROUND((VLOOKUP(Parámetros!$F$51,'COBERTURAS ADICIONALES'!$S$4:$T$32,2,FALSE)*(1+i/frec)^-0.5*(1+Parámetros!$D$103)*(1+rec_fracc)/frec*$CO$42),2))</f>
        <v>0</v>
      </c>
      <c r="CS161" s="119" t="str">
        <f t="shared" si="184"/>
        <v/>
      </c>
      <c r="CT161" s="66">
        <f>+IF($W161="","",ROUND(IF($B161&gt;Parámetros!$D$107,'Tablas Servicio'!CR161+('Tablas Servicio'!CT160-'Tablas Servicio'!CR160),CR161/(1-IF(B161&lt;=10,Parámetros!$D$100,0))),2))</f>
        <v>0</v>
      </c>
      <c r="CU161" s="66">
        <f t="shared" si="185"/>
        <v>0</v>
      </c>
      <c r="CV161" s="66">
        <f t="shared" si="185"/>
        <v>0</v>
      </c>
      <c r="CW161" s="66">
        <f>+IF($W161="","",ROUND((CT161*Parámetros!$G$85),2))</f>
        <v>0</v>
      </c>
      <c r="CX161" s="66">
        <f>+IF($W161="","",ROUND((CT161*(Parámetros!$G$86)),2))</f>
        <v>0</v>
      </c>
      <c r="CY161" s="66">
        <f t="shared" si="186"/>
        <v>0</v>
      </c>
      <c r="CZ161" t="str">
        <f t="shared" si="227"/>
        <v>00064</v>
      </c>
      <c r="DA161" s="118" t="str">
        <f t="shared" si="228"/>
        <v>Enfermedades Graves</v>
      </c>
      <c r="DB161" s="118">
        <f t="shared" si="229"/>
        <v>0</v>
      </c>
      <c r="DC161" s="118" t="str">
        <f t="shared" si="230"/>
        <v>A</v>
      </c>
      <c r="DD161" s="121" t="str">
        <f>+IF(OR($W161="",DB161=0),"",ROUND((VLOOKUP(ROUNDDOWN($D161-1/frec,0),cob_adi,CO$40,FALSE)*(1+i/frec)^-0.5*(1+Parámetros!$D$103)*(1+rec_fracc)/frec),6))</f>
        <v/>
      </c>
      <c r="DE161" s="66">
        <f t="shared" si="187"/>
        <v>0</v>
      </c>
      <c r="DF161" s="119" t="str">
        <f t="shared" si="188"/>
        <v/>
      </c>
      <c r="DG161" s="66">
        <f>+IF($W161="","",ROUND(IF($B161&gt;Parámetros!$D$107,'Tablas Servicio'!DE161+('Tablas Servicio'!DG160-'Tablas Servicio'!DE160),DE161/(1-IF(B161&lt;=10,Parámetros!$D$100,0))),2))</f>
        <v>0</v>
      </c>
      <c r="DH161" s="66">
        <f t="shared" si="189"/>
        <v>0</v>
      </c>
      <c r="DI161" s="66">
        <f t="shared" si="189"/>
        <v>0</v>
      </c>
      <c r="DJ161" s="66">
        <f>+IF($W161="","",ROUND((DG161*Parámetros!$G$85),2))</f>
        <v>0</v>
      </c>
      <c r="DK161" s="66">
        <f>+IF($W161="","",ROUND((DG161*(Parámetros!$G$86)),2))</f>
        <v>0</v>
      </c>
      <c r="DL161" s="66">
        <f t="shared" si="190"/>
        <v>0</v>
      </c>
      <c r="DM161" t="str">
        <f t="shared" si="231"/>
        <v>00065</v>
      </c>
      <c r="DN161" s="118" t="str">
        <f t="shared" si="232"/>
        <v>Exención pago de primas</v>
      </c>
      <c r="DO161" s="118">
        <f t="shared" si="233"/>
        <v>0</v>
      </c>
      <c r="DP161" s="118" t="str">
        <f t="shared" si="234"/>
        <v>A</v>
      </c>
      <c r="DQ161" s="122" t="str">
        <f>+IF(OR($W161="",DO161=0),"",ROUND((VLOOKUP(ROUNDDOWN($D161-1/frec,0),cob_adi,DB$40,FALSE)*(1+i/frec)^-0.5*(1+Parámetros!$D$103)*(1+rec_fracc)/frec),6))</f>
        <v/>
      </c>
      <c r="DR161" s="66">
        <f t="shared" si="191"/>
        <v>0</v>
      </c>
      <c r="DS161" s="68" t="str">
        <f t="shared" si="192"/>
        <v/>
      </c>
      <c r="DT161" s="66">
        <f>+IF($W161="","",ROUND(IF($B161&gt;Parámetros!$D$107,'Tablas Servicio'!DR161+('Tablas Servicio'!DT160-'Tablas Servicio'!DR160),DR161/(1-IF(B161&lt;=10,Parámetros!$D$100,0))),2))</f>
        <v>0</v>
      </c>
      <c r="DU161" s="66">
        <f t="shared" si="193"/>
        <v>0</v>
      </c>
      <c r="DV161" s="66">
        <f t="shared" si="193"/>
        <v>0</v>
      </c>
      <c r="DW161" s="66">
        <f>+IF($W161="","",ROUND((DT161*Parámetros!$G$85),2))</f>
        <v>0</v>
      </c>
      <c r="DX161" s="66">
        <f>+IF($W161="","",ROUND((DT161*(Parámetros!$G$86)),2))</f>
        <v>0</v>
      </c>
      <c r="DY161" s="66">
        <f t="shared" si="194"/>
        <v>0</v>
      </c>
      <c r="DZ161" t="str">
        <f t="shared" si="237"/>
        <v>00066</v>
      </c>
      <c r="EA161" s="118" t="str">
        <f t="shared" si="237"/>
        <v>Enfermedad terminal</v>
      </c>
      <c r="EB161" s="118">
        <f>+IF($W161="","",ROUND(IF(Parámetros!$D$25='TABLAS MORT'!$V$33,EB160,Z161/2),0))</f>
        <v>50000</v>
      </c>
      <c r="EC161" s="118" t="str">
        <f t="shared" si="237"/>
        <v>A</v>
      </c>
      <c r="ED161" s="122">
        <f>+IF(OR($W161="",EB161=0),"",ROUND((VLOOKUP(ROUNDDOWN($D161-1/frec,0),cob_adi,DO$40,FALSE)*(1+i/frec)^-0.5*(1+Parámetros!$D$103)*(1+rec_fracc)/frec),6))</f>
        <v>1.2E-5</v>
      </c>
      <c r="EE161" s="66">
        <f t="shared" si="196"/>
        <v>0.6</v>
      </c>
      <c r="EF161" s="68">
        <f t="shared" si="197"/>
        <v>1.4E-5</v>
      </c>
      <c r="EG161" s="66">
        <f>+IF($W161="","",ROUND(IF($B161&gt;Parámetros!$D$107,'Tablas Servicio'!EE161+('Tablas Servicio'!EG160-'Tablas Servicio'!EE160),EE161/(1-IF(B161&lt;=10,Parámetros!$D$100,0))),2))</f>
        <v>0.68</v>
      </c>
      <c r="EH161" s="66">
        <f t="shared" si="198"/>
        <v>0</v>
      </c>
      <c r="EI161" s="66">
        <f t="shared" si="198"/>
        <v>0</v>
      </c>
      <c r="EJ161" s="66">
        <f>+IF($W161="","",ROUND((EG161*Parámetros!$G$85),2))</f>
        <v>0.02</v>
      </c>
      <c r="EK161" s="66">
        <f>+IF($W161="","",ROUND((EG161*(Parámetros!$G$86)),2))</f>
        <v>0</v>
      </c>
      <c r="EL161" s="66">
        <f t="shared" si="199"/>
        <v>0.7</v>
      </c>
    </row>
    <row r="162" spans="1:142" x14ac:dyDescent="0.25">
      <c r="A162">
        <f>+IF($C162="","",ROUND(VLOOKUP('Tablas Servicio'!B162,Parámetros!$H$100:$J$159,IF(Parámetros!$E$16="F",2,3),FALSE),2))</f>
        <v>150</v>
      </c>
      <c r="B162">
        <f t="shared" si="150"/>
        <v>11</v>
      </c>
      <c r="C162" s="57">
        <f>+IF(D162="","",'Tablas Servicio'!C161+1)</f>
        <v>121</v>
      </c>
      <c r="D162" s="56">
        <f>+IF(D161&lt;edadmaxtabla,D161+1/Parámetros!$E$25,"")</f>
        <v>50.103333333333623</v>
      </c>
      <c r="E162" s="57">
        <f t="shared" si="160"/>
        <v>50</v>
      </c>
      <c r="F162" s="59">
        <f t="shared" si="161"/>
        <v>100000</v>
      </c>
      <c r="G162" s="66">
        <f t="shared" si="151"/>
        <v>35.6</v>
      </c>
      <c r="H162" s="66">
        <f t="shared" si="152"/>
        <v>37.01</v>
      </c>
      <c r="I162" s="66">
        <f t="shared" si="200"/>
        <v>56.99</v>
      </c>
      <c r="J162" s="66">
        <f t="shared" si="153"/>
        <v>1.24</v>
      </c>
      <c r="K162" s="66">
        <f t="shared" si="154"/>
        <v>0.17</v>
      </c>
      <c r="L162" s="66">
        <f t="shared" si="155"/>
        <v>0</v>
      </c>
      <c r="M162" s="66">
        <f t="shared" si="156"/>
        <v>0</v>
      </c>
      <c r="N162" s="66">
        <f>+IF(C162="","",ROUND(Parámetros!$D$23,2))</f>
        <v>94</v>
      </c>
      <c r="O162" s="66">
        <f t="shared" si="157"/>
        <v>23.099999999999998</v>
      </c>
      <c r="P162" s="66">
        <f>+IF($C162="","",ROUND(IF(B162&gt;Parámetros!$D$117,0,N162*Parámetros!$D$116-G162*Parámetros!$D$100),2))</f>
        <v>0</v>
      </c>
      <c r="Q162" s="75">
        <f t="shared" si="201"/>
        <v>3.4831460674157301E-2</v>
      </c>
      <c r="R162" s="75">
        <f t="shared" si="202"/>
        <v>4.7752808988764045E-3</v>
      </c>
      <c r="S162" s="117">
        <f>+IF($C162="","",ROUND((S161+I162)*(1+Parámetros!$D$91),2))</f>
        <v>7895.67</v>
      </c>
      <c r="T162" s="117">
        <f>+IF($C162="","",ROUND(S162*VLOOKUP(B162,Parámetros!$C$30:$D$39,2,TRUE),2))</f>
        <v>7895.67</v>
      </c>
      <c r="U162" s="117">
        <f>+IF($C162="","",ROUND((U161+I162)*(1+Parámetros!$D$92),2))</f>
        <v>8113.74</v>
      </c>
      <c r="V162" s="117">
        <f>+IF($C162="","",ROUND(U162*VLOOKUP(B162,Parámetros!$C$30:$D$39,2,TRUE),2))</f>
        <v>8113.74</v>
      </c>
      <c r="W162" s="57">
        <f t="shared" si="203"/>
        <v>121</v>
      </c>
      <c r="X162" t="str">
        <f t="shared" si="204"/>
        <v>00058</v>
      </c>
      <c r="Y162" t="str">
        <f t="shared" si="205"/>
        <v>MUERTE POR CUALQUIER CAUSA</v>
      </c>
      <c r="Z162" s="118">
        <f>+IF($W162="","",ROUND(IF(Parámetros!$D$25='TABLAS MORT'!$V$33,Z161,Parámetros!$D$21-'Tablas Servicio'!T161),0))</f>
        <v>100000</v>
      </c>
      <c r="AA162" s="118" t="str">
        <f t="shared" si="206"/>
        <v>P</v>
      </c>
      <c r="AB162" s="119">
        <f>+IF(W162="","",ROUND((VLOOKUP(ROUNDDOWN($D162-1/frec,0),qx_tabla,2,FALSE)*(1+i/frec)^-0.5*(1+Parámetros!$D$103)*(1+rec_fracc)/frec),6))</f>
        <v>2.22E-4</v>
      </c>
      <c r="AC162" s="66">
        <f t="shared" si="162"/>
        <v>22.2</v>
      </c>
      <c r="AD162" s="119">
        <f t="shared" si="158"/>
        <v>3.4699999999999998E-4</v>
      </c>
      <c r="AE162" s="66">
        <f>+IF($W162="","",ROUND(IF($B162&gt;Parámetros!$D$107,'Tablas Servicio'!AC162+('Tablas Servicio'!AG161-'Tablas Servicio'!AC161),AC162/(1-IF(B162&lt;=10,Parámetros!$D$104,Parámetros!$D$105))),2))</f>
        <v>37</v>
      </c>
      <c r="AF162" s="66">
        <f>+IF($W162="","",ROUND(IF($B162&gt;Parámetros!$D$107,'Tablas Servicio'!AC162+('Tablas Servicio'!AG161-'Tablas Servicio'!AC161),(AC162+$A161/frec)/(1-IF(B162&lt;=Parámetros!$D$117,Parámetros!$D$100,0))),2))</f>
        <v>34.700000000000003</v>
      </c>
      <c r="AG162" s="66">
        <f t="shared" si="163"/>
        <v>34.700000000000003</v>
      </c>
      <c r="AH162" s="66">
        <f t="shared" si="164"/>
        <v>0</v>
      </c>
      <c r="AI162" s="66">
        <f t="shared" si="165"/>
        <v>0</v>
      </c>
      <c r="AJ162" s="66">
        <f>+IF($W162="","",ROUND((AG162*Parámetros!$G$85),2))</f>
        <v>1.21</v>
      </c>
      <c r="AK162" s="66">
        <f>+IF($W162="","",ROUND((AG162*(Parámetros!$G$86)),2))</f>
        <v>0.17</v>
      </c>
      <c r="AL162" s="66">
        <f t="shared" si="159"/>
        <v>36.08</v>
      </c>
      <c r="AM162" t="str">
        <f t="shared" si="207"/>
        <v>00059</v>
      </c>
      <c r="AN162" t="str">
        <f t="shared" si="208"/>
        <v>Incapacidad Total y Permanente</v>
      </c>
      <c r="AO162" s="118">
        <f t="shared" si="209"/>
        <v>0</v>
      </c>
      <c r="AP162" s="118" t="str">
        <f t="shared" si="210"/>
        <v>A</v>
      </c>
      <c r="AQ162" s="119" t="str">
        <f>+IF(OR($W162="",AO162=0),"",ROUND((VLOOKUP(ROUNDDOWN($D162-1/frec,0),cob_adi,Z$40,FALSE)*(1+i/frec)^-0.5*(1+Parámetros!$D$103)*(1+rec_fracc)/frec),6))</f>
        <v/>
      </c>
      <c r="AR162" s="66">
        <f t="shared" si="166"/>
        <v>0</v>
      </c>
      <c r="AS162" s="119" t="str">
        <f t="shared" si="167"/>
        <v/>
      </c>
      <c r="AT162" s="66">
        <f>+IF($W162="","",ROUND(IF($B162&gt;Parámetros!$D$107,'Tablas Servicio'!AR162+('Tablas Servicio'!AT161-'Tablas Servicio'!AR161),AR162/(1-IF(B162&lt;=10,Parámetros!$D$100,0))),2))</f>
        <v>0</v>
      </c>
      <c r="AU162" s="66">
        <f t="shared" si="168"/>
        <v>0</v>
      </c>
      <c r="AV162" s="66">
        <f t="shared" si="168"/>
        <v>0</v>
      </c>
      <c r="AW162" s="66">
        <f>+IF($W162="","",ROUND((AT162*Parámetros!$G$85),2))</f>
        <v>0</v>
      </c>
      <c r="AX162" s="66">
        <f>+IF($W162="","",ROUND((AT162*(Parámetros!$G$86)),2))</f>
        <v>0</v>
      </c>
      <c r="AY162" s="66">
        <f t="shared" si="169"/>
        <v>0</v>
      </c>
      <c r="AZ162" t="str">
        <f t="shared" si="211"/>
        <v>00060</v>
      </c>
      <c r="BA162" t="str">
        <f t="shared" si="212"/>
        <v>Muerte Accidental</v>
      </c>
      <c r="BB162" s="118">
        <f t="shared" si="213"/>
        <v>0</v>
      </c>
      <c r="BC162" s="118" t="str">
        <f t="shared" si="214"/>
        <v>A</v>
      </c>
      <c r="BD162" s="119" t="str">
        <f>+IF(OR($W162="",BB162=0),"",ROUND((VLOOKUP(ROUNDDOWN($D162-1/frec,0),cob_adi,AO$40,FALSE)*(1+i/frec)^-0.5*(1+Parámetros!$D$103)*(1+rec_fracc)/frec),6))</f>
        <v/>
      </c>
      <c r="BE162" s="66">
        <f t="shared" si="170"/>
        <v>0</v>
      </c>
      <c r="BF162" s="119" t="str">
        <f t="shared" si="171"/>
        <v/>
      </c>
      <c r="BG162" s="66">
        <f>+IF($W162="","",ROUND(IF($B162&gt;Parámetros!$D$107,'Tablas Servicio'!BE162+('Tablas Servicio'!BG161-'Tablas Servicio'!BE161),BE162/(1-IF(B162&lt;=10,Parámetros!$D$100,0))),2))</f>
        <v>0</v>
      </c>
      <c r="BH162" s="66">
        <f t="shared" si="172"/>
        <v>0</v>
      </c>
      <c r="BI162" s="66">
        <f t="shared" si="173"/>
        <v>0</v>
      </c>
      <c r="BJ162" s="66">
        <f>+IF($W162="","",ROUND((BG162*Parámetros!$G$85),2))</f>
        <v>0</v>
      </c>
      <c r="BK162" s="66">
        <f>+IF($W162="","",ROUND((BG162*(Parámetros!$G$86)),2))</f>
        <v>0</v>
      </c>
      <c r="BL162" s="66">
        <f t="shared" si="174"/>
        <v>0</v>
      </c>
      <c r="BM162" t="str">
        <f t="shared" si="215"/>
        <v>00061</v>
      </c>
      <c r="BN162" t="str">
        <f t="shared" si="216"/>
        <v>Gastos de Entierro</v>
      </c>
      <c r="BO162" s="118">
        <f t="shared" si="217"/>
        <v>0</v>
      </c>
      <c r="BP162" s="118" t="str">
        <f t="shared" si="218"/>
        <v>A</v>
      </c>
      <c r="BQ162" s="119" t="str">
        <f>+IF(OR($W162="",BO162=0),"",ROUND((VLOOKUP(ROUNDDOWN($D162-1/frec,0),cob_adi,BB$40,FALSE)*(1+i/frec)^-0.5*(1+Parámetros!$D$103)*(1+rec_fracc)/frec),6))</f>
        <v/>
      </c>
      <c r="BR162" s="66">
        <f t="shared" si="175"/>
        <v>0</v>
      </c>
      <c r="BS162" s="119" t="str">
        <f t="shared" si="176"/>
        <v/>
      </c>
      <c r="BT162" s="66">
        <f>+IF($W162="","",ROUND(IF($B162&gt;Parámetros!$D$107,'Tablas Servicio'!BR162+('Tablas Servicio'!BT161-'Tablas Servicio'!BR161),BR162/(1-IF(B162&lt;=10,Parámetros!$D$100,0))),2))</f>
        <v>0</v>
      </c>
      <c r="BU162" s="66">
        <f t="shared" si="177"/>
        <v>0</v>
      </c>
      <c r="BV162" s="66">
        <f t="shared" si="177"/>
        <v>0</v>
      </c>
      <c r="BW162" s="66">
        <f>+IF($W162="","",ROUND((BT162*Parámetros!$G$85),2))</f>
        <v>0</v>
      </c>
      <c r="BX162" s="66">
        <f>+IF($W162="","",ROUND((BT162*(Parámetros!$G$86)),2))</f>
        <v>0</v>
      </c>
      <c r="BY162" s="66">
        <f t="shared" si="178"/>
        <v>0</v>
      </c>
      <c r="BZ162" t="str">
        <f t="shared" si="219"/>
        <v>00062</v>
      </c>
      <c r="CA162" t="str">
        <f t="shared" si="220"/>
        <v>Gastos médicos por accidente</v>
      </c>
      <c r="CB162" s="118">
        <f t="shared" si="221"/>
        <v>0</v>
      </c>
      <c r="CC162" s="118" t="str">
        <f t="shared" si="222"/>
        <v>A</v>
      </c>
      <c r="CD162" s="119" t="str">
        <f t="shared" si="179"/>
        <v/>
      </c>
      <c r="CE162" s="66">
        <f>+IF($W162="","",ROUND((VLOOKUP(ROUNDDOWN($D162-1/frec,0),cob_adi,BO$40,FALSE)*(1+i/frec)^-0.5*(1+Parámetros!$D$103)*(1+rec_fracc)/frec*'TABLAS ADI'!$BC$17),2))</f>
        <v>0</v>
      </c>
      <c r="CF162" s="119" t="str">
        <f t="shared" si="180"/>
        <v/>
      </c>
      <c r="CG162" s="66">
        <f>+IF($W162="","",ROUND(IF($B162&gt;Parámetros!$D$107,'Tablas Servicio'!CE162+('Tablas Servicio'!CG161-'Tablas Servicio'!CE161),CE162/(1-IF(B162&lt;=10,Parámetros!$D$100,0))),2))</f>
        <v>0</v>
      </c>
      <c r="CH162" s="66">
        <f t="shared" si="181"/>
        <v>0</v>
      </c>
      <c r="CI162" s="66">
        <f t="shared" si="181"/>
        <v>0</v>
      </c>
      <c r="CJ162" s="66">
        <f>+IF($W162="","",ROUND((CG162*Parámetros!$G$85),2))</f>
        <v>0</v>
      </c>
      <c r="CK162" s="66">
        <f>+IF($W162="","",ROUND((CG162*(Parámetros!$G$86)),2))</f>
        <v>0</v>
      </c>
      <c r="CL162" s="66">
        <f t="shared" si="182"/>
        <v>0</v>
      </c>
      <c r="CM162" t="str">
        <f t="shared" si="223"/>
        <v>00063</v>
      </c>
      <c r="CN162" s="118" t="str">
        <f t="shared" si="224"/>
        <v>Renta Diaria por Hospitalización</v>
      </c>
      <c r="CO162" s="118">
        <f t="shared" si="225"/>
        <v>0</v>
      </c>
      <c r="CP162" s="118" t="str">
        <f t="shared" si="226"/>
        <v>A</v>
      </c>
      <c r="CQ162" s="119" t="str">
        <f t="shared" si="183"/>
        <v/>
      </c>
      <c r="CR162" s="66">
        <f>+IF($W162="","",ROUND((VLOOKUP(Parámetros!$F$51,'COBERTURAS ADICIONALES'!$S$4:$T$32,2,FALSE)*(1+i/frec)^-0.5*(1+Parámetros!$D$103)*(1+rec_fracc)/frec*$CO$42),2))</f>
        <v>0</v>
      </c>
      <c r="CS162" s="119" t="str">
        <f t="shared" si="184"/>
        <v/>
      </c>
      <c r="CT162" s="66">
        <f>+IF($W162="","",ROUND(IF($B162&gt;Parámetros!$D$107,'Tablas Servicio'!CR162+('Tablas Servicio'!CT161-'Tablas Servicio'!CR161),CR162/(1-IF(B162&lt;=10,Parámetros!$D$100,0))),2))</f>
        <v>0</v>
      </c>
      <c r="CU162" s="66">
        <f t="shared" si="185"/>
        <v>0</v>
      </c>
      <c r="CV162" s="66">
        <f t="shared" si="185"/>
        <v>0</v>
      </c>
      <c r="CW162" s="66">
        <f>+IF($W162="","",ROUND((CT162*Parámetros!$G$85),2))</f>
        <v>0</v>
      </c>
      <c r="CX162" s="66">
        <f>+IF($W162="","",ROUND((CT162*(Parámetros!$G$86)),2))</f>
        <v>0</v>
      </c>
      <c r="CY162" s="66">
        <f t="shared" si="186"/>
        <v>0</v>
      </c>
      <c r="CZ162" t="str">
        <f t="shared" si="227"/>
        <v>00064</v>
      </c>
      <c r="DA162" s="118" t="str">
        <f t="shared" si="228"/>
        <v>Enfermedades Graves</v>
      </c>
      <c r="DB162" s="118">
        <f t="shared" si="229"/>
        <v>0</v>
      </c>
      <c r="DC162" s="118" t="str">
        <f t="shared" si="230"/>
        <v>A</v>
      </c>
      <c r="DD162" s="121" t="str">
        <f>+IF(OR($W162="",DB162=0),"",ROUND((VLOOKUP(ROUNDDOWN($D162-1/frec,0),cob_adi,CO$40,FALSE)*(1+i/frec)^-0.5*(1+Parámetros!$D$103)*(1+rec_fracc)/frec),6))</f>
        <v/>
      </c>
      <c r="DE162" s="66">
        <f t="shared" si="187"/>
        <v>0</v>
      </c>
      <c r="DF162" s="119" t="str">
        <f t="shared" si="188"/>
        <v/>
      </c>
      <c r="DG162" s="66">
        <f>+IF($W162="","",ROUND(IF($B162&gt;Parámetros!$D$107,'Tablas Servicio'!DE162+('Tablas Servicio'!DG161-'Tablas Servicio'!DE161),DE162/(1-IF(B162&lt;=10,Parámetros!$D$100,0))),2))</f>
        <v>0</v>
      </c>
      <c r="DH162" s="66">
        <f t="shared" si="189"/>
        <v>0</v>
      </c>
      <c r="DI162" s="66">
        <f t="shared" si="189"/>
        <v>0</v>
      </c>
      <c r="DJ162" s="66">
        <f>+IF($W162="","",ROUND((DG162*Parámetros!$G$85),2))</f>
        <v>0</v>
      </c>
      <c r="DK162" s="66">
        <f>+IF($W162="","",ROUND((DG162*(Parámetros!$G$86)),2))</f>
        <v>0</v>
      </c>
      <c r="DL162" s="66">
        <f t="shared" si="190"/>
        <v>0</v>
      </c>
      <c r="DM162" t="str">
        <f t="shared" si="231"/>
        <v>00065</v>
      </c>
      <c r="DN162" s="118" t="str">
        <f t="shared" si="232"/>
        <v>Exención pago de primas</v>
      </c>
      <c r="DO162" s="118">
        <f t="shared" si="233"/>
        <v>0</v>
      </c>
      <c r="DP162" s="118" t="str">
        <f t="shared" si="234"/>
        <v>A</v>
      </c>
      <c r="DQ162" s="122" t="str">
        <f>+IF(OR($W162="",DO162=0),"",ROUND((VLOOKUP(ROUNDDOWN($D162-1/frec,0),cob_adi,DB$40,FALSE)*(1+i/frec)^-0.5*(1+Parámetros!$D$103)*(1+rec_fracc)/frec),6))</f>
        <v/>
      </c>
      <c r="DR162" s="66">
        <f t="shared" si="191"/>
        <v>0</v>
      </c>
      <c r="DS162" s="68" t="str">
        <f t="shared" si="192"/>
        <v/>
      </c>
      <c r="DT162" s="66">
        <f>+IF($W162="","",ROUND(IF($B162&gt;Parámetros!$D$107,'Tablas Servicio'!DR162+('Tablas Servicio'!DT161-'Tablas Servicio'!DR161),DR162/(1-IF(B162&lt;=10,Parámetros!$D$100,0))),2))</f>
        <v>0</v>
      </c>
      <c r="DU162" s="66">
        <f t="shared" si="193"/>
        <v>0</v>
      </c>
      <c r="DV162" s="66">
        <f t="shared" si="193"/>
        <v>0</v>
      </c>
      <c r="DW162" s="66">
        <f>+IF($W162="","",ROUND((DT162*Parámetros!$G$85),2))</f>
        <v>0</v>
      </c>
      <c r="DX162" s="66">
        <f>+IF($W162="","",ROUND((DT162*(Parámetros!$G$86)),2))</f>
        <v>0</v>
      </c>
      <c r="DY162" s="66">
        <f t="shared" si="194"/>
        <v>0</v>
      </c>
      <c r="DZ162" t="str">
        <f t="shared" si="237"/>
        <v>00066</v>
      </c>
      <c r="EA162" s="118" t="str">
        <f t="shared" si="237"/>
        <v>Enfermedad terminal</v>
      </c>
      <c r="EB162" s="118">
        <f>+IF($W162="","",ROUND(IF(Parámetros!$D$25='TABLAS MORT'!$V$33,EB161,Z162/2),0))</f>
        <v>50000</v>
      </c>
      <c r="EC162" s="118" t="str">
        <f t="shared" si="237"/>
        <v>A</v>
      </c>
      <c r="ED162" s="122">
        <f>+IF(OR($W162="",EB162=0),"",ROUND((VLOOKUP(ROUNDDOWN($D162-1/frec,0),cob_adi,DO$40,FALSE)*(1+i/frec)^-0.5*(1+Parámetros!$D$103)*(1+rec_fracc)/frec),6))</f>
        <v>1.8E-5</v>
      </c>
      <c r="EE162" s="66">
        <f t="shared" si="196"/>
        <v>0.9</v>
      </c>
      <c r="EF162" s="68">
        <f t="shared" si="197"/>
        <v>1.8E-5</v>
      </c>
      <c r="EG162" s="66">
        <f>+IF($W162="","",ROUND(IF($B162&gt;Parámetros!$D$107,'Tablas Servicio'!EE162+('Tablas Servicio'!EG161-'Tablas Servicio'!EE161),EE162/(1-IF(B162&lt;=10,Parámetros!$D$100,0))),2))</f>
        <v>0.9</v>
      </c>
      <c r="EH162" s="66">
        <f t="shared" si="198"/>
        <v>0</v>
      </c>
      <c r="EI162" s="66">
        <f t="shared" si="198"/>
        <v>0</v>
      </c>
      <c r="EJ162" s="66">
        <f>+IF($W162="","",ROUND((EG162*Parámetros!$G$85),2))</f>
        <v>0.03</v>
      </c>
      <c r="EK162" s="66">
        <f>+IF($W162="","",ROUND((EG162*(Parámetros!$G$86)),2))</f>
        <v>0</v>
      </c>
      <c r="EL162" s="66">
        <f t="shared" si="199"/>
        <v>0.93</v>
      </c>
    </row>
    <row r="163" spans="1:142" x14ac:dyDescent="0.25">
      <c r="A163">
        <f>+IF($C163="","",ROUND(VLOOKUP('Tablas Servicio'!B163,Parámetros!$H$100:$J$159,IF(Parámetros!$E$16="F",2,3),FALSE),2))</f>
        <v>150</v>
      </c>
      <c r="B163">
        <f t="shared" si="150"/>
        <v>11</v>
      </c>
      <c r="C163" s="57">
        <f>+IF(D163="","",'Tablas Servicio'!C162+1)</f>
        <v>122</v>
      </c>
      <c r="D163" s="56">
        <f>+IF(D162&lt;edadmaxtabla,D162+1/Parámetros!$E$25,"")</f>
        <v>50.186666666666959</v>
      </c>
      <c r="E163" s="57">
        <f t="shared" si="160"/>
        <v>50</v>
      </c>
      <c r="F163" s="59">
        <f t="shared" si="161"/>
        <v>100000</v>
      </c>
      <c r="G163" s="66">
        <f t="shared" si="151"/>
        <v>35.6</v>
      </c>
      <c r="H163" s="66">
        <f t="shared" si="152"/>
        <v>37.01</v>
      </c>
      <c r="I163" s="66">
        <f t="shared" si="200"/>
        <v>56.99</v>
      </c>
      <c r="J163" s="66">
        <f t="shared" si="153"/>
        <v>1.24</v>
      </c>
      <c r="K163" s="66">
        <f t="shared" si="154"/>
        <v>0.17</v>
      </c>
      <c r="L163" s="66">
        <f t="shared" si="155"/>
        <v>0</v>
      </c>
      <c r="M163" s="66">
        <f t="shared" si="156"/>
        <v>0</v>
      </c>
      <c r="N163" s="66">
        <f>+IF(C163="","",ROUND(Parámetros!$D$23,2))</f>
        <v>94</v>
      </c>
      <c r="O163" s="66">
        <f t="shared" si="157"/>
        <v>23.099999999999998</v>
      </c>
      <c r="P163" s="66">
        <f>+IF($C163="","",ROUND(IF(B163&gt;Parámetros!$D$117,0,N163*Parámetros!$D$116-G163*Parámetros!$D$100),2))</f>
        <v>0</v>
      </c>
      <c r="Q163" s="75">
        <f t="shared" si="201"/>
        <v>3.4831460674157301E-2</v>
      </c>
      <c r="R163" s="75">
        <f t="shared" si="202"/>
        <v>4.7752808988764045E-3</v>
      </c>
      <c r="S163" s="117">
        <f>+IF($C163="","",ROUND((S162+I163)*(1+Parámetros!$D$91),2))</f>
        <v>7975.22</v>
      </c>
      <c r="T163" s="117">
        <f>+IF($C163="","",ROUND(S163*VLOOKUP(B163,Parámetros!$C$30:$D$39,2,TRUE),2))</f>
        <v>7975.22</v>
      </c>
      <c r="U163" s="117">
        <f>+IF($C163="","",ROUND((U162+I163)*(1+Parámetros!$D$92),2))</f>
        <v>8197.2199999999993</v>
      </c>
      <c r="V163" s="117">
        <f>+IF($C163="","",ROUND(U163*VLOOKUP(B163,Parámetros!$C$30:$D$39,2,TRUE),2))</f>
        <v>8197.2199999999993</v>
      </c>
      <c r="W163" s="57">
        <f t="shared" si="203"/>
        <v>122</v>
      </c>
      <c r="X163" t="str">
        <f t="shared" si="204"/>
        <v>00058</v>
      </c>
      <c r="Y163" t="str">
        <f t="shared" si="205"/>
        <v>MUERTE POR CUALQUIER CAUSA</v>
      </c>
      <c r="Z163" s="118">
        <f>+IF($W163="","",ROUND(IF(Parámetros!$D$25='TABLAS MORT'!$V$33,Z162,Parámetros!$D$21-'Tablas Servicio'!T162),0))</f>
        <v>100000</v>
      </c>
      <c r="AA163" s="118" t="str">
        <f t="shared" si="206"/>
        <v>P</v>
      </c>
      <c r="AB163" s="119">
        <f>+IF(W163="","",ROUND((VLOOKUP(ROUNDDOWN($D163-1/frec,0),qx_tabla,2,FALSE)*(1+i/frec)^-0.5*(1+Parámetros!$D$103)*(1+rec_fracc)/frec),6))</f>
        <v>2.22E-4</v>
      </c>
      <c r="AC163" s="66">
        <f t="shared" si="162"/>
        <v>22.2</v>
      </c>
      <c r="AD163" s="119">
        <f t="shared" si="158"/>
        <v>3.4699999999999998E-4</v>
      </c>
      <c r="AE163" s="66">
        <f>+IF($W163="","",ROUND(IF($B163&gt;Parámetros!$D$107,'Tablas Servicio'!AC163+('Tablas Servicio'!AG162-'Tablas Servicio'!AC162),AC163/(1-IF(B163&lt;=10,Parámetros!$D$104,Parámetros!$D$105))),2))</f>
        <v>37</v>
      </c>
      <c r="AF163" s="66">
        <f>+IF($W163="","",ROUND(IF($B163&gt;Parámetros!$D$107,'Tablas Servicio'!AC163+('Tablas Servicio'!AG162-'Tablas Servicio'!AC162),(AC163+$A162/frec)/(1-IF(B163&lt;=Parámetros!$D$117,Parámetros!$D$100,0))),2))</f>
        <v>34.700000000000003</v>
      </c>
      <c r="AG163" s="66">
        <f t="shared" si="163"/>
        <v>34.700000000000003</v>
      </c>
      <c r="AH163" s="66">
        <f t="shared" si="164"/>
        <v>0</v>
      </c>
      <c r="AI163" s="66">
        <f t="shared" si="165"/>
        <v>0</v>
      </c>
      <c r="AJ163" s="66">
        <f>+IF($W163="","",ROUND((AG163*Parámetros!$G$85),2))</f>
        <v>1.21</v>
      </c>
      <c r="AK163" s="66">
        <f>+IF($W163="","",ROUND((AG163*(Parámetros!$G$86)),2))</f>
        <v>0.17</v>
      </c>
      <c r="AL163" s="66">
        <f t="shared" si="159"/>
        <v>36.08</v>
      </c>
      <c r="AM163" t="str">
        <f t="shared" si="207"/>
        <v>00059</v>
      </c>
      <c r="AN163" t="str">
        <f t="shared" si="208"/>
        <v>Incapacidad Total y Permanente</v>
      </c>
      <c r="AO163" s="118">
        <f t="shared" si="209"/>
        <v>0</v>
      </c>
      <c r="AP163" s="118" t="str">
        <f t="shared" si="210"/>
        <v>A</v>
      </c>
      <c r="AQ163" s="119" t="str">
        <f>+IF(OR($W163="",AO163=0),"",ROUND((VLOOKUP(ROUNDDOWN($D163-1/frec,0),cob_adi,Z$40,FALSE)*(1+i/frec)^-0.5*(1+Parámetros!$D$103)*(1+rec_fracc)/frec),6))</f>
        <v/>
      </c>
      <c r="AR163" s="66">
        <f t="shared" si="166"/>
        <v>0</v>
      </c>
      <c r="AS163" s="119" t="str">
        <f t="shared" si="167"/>
        <v/>
      </c>
      <c r="AT163" s="66">
        <f>+IF($W163="","",ROUND(IF($B163&gt;Parámetros!$D$107,'Tablas Servicio'!AR163+('Tablas Servicio'!AT162-'Tablas Servicio'!AR162),AR163/(1-IF(B163&lt;=10,Parámetros!$D$100,0))),2))</f>
        <v>0</v>
      </c>
      <c r="AU163" s="66">
        <f t="shared" si="168"/>
        <v>0</v>
      </c>
      <c r="AV163" s="66">
        <f t="shared" si="168"/>
        <v>0</v>
      </c>
      <c r="AW163" s="66">
        <f>+IF($W163="","",ROUND((AT163*Parámetros!$G$85),2))</f>
        <v>0</v>
      </c>
      <c r="AX163" s="66">
        <f>+IF($W163="","",ROUND((AT163*(Parámetros!$G$86)),2))</f>
        <v>0</v>
      </c>
      <c r="AY163" s="66">
        <f t="shared" si="169"/>
        <v>0</v>
      </c>
      <c r="AZ163" t="str">
        <f t="shared" si="211"/>
        <v>00060</v>
      </c>
      <c r="BA163" t="str">
        <f t="shared" si="212"/>
        <v>Muerte Accidental</v>
      </c>
      <c r="BB163" s="118">
        <f t="shared" si="213"/>
        <v>0</v>
      </c>
      <c r="BC163" s="118" t="str">
        <f t="shared" si="214"/>
        <v>A</v>
      </c>
      <c r="BD163" s="119" t="str">
        <f>+IF(OR($W163="",BB163=0),"",ROUND((VLOOKUP(ROUNDDOWN($D163-1/frec,0),cob_adi,AO$40,FALSE)*(1+i/frec)^-0.5*(1+Parámetros!$D$103)*(1+rec_fracc)/frec),6))</f>
        <v/>
      </c>
      <c r="BE163" s="66">
        <f t="shared" si="170"/>
        <v>0</v>
      </c>
      <c r="BF163" s="119" t="str">
        <f t="shared" si="171"/>
        <v/>
      </c>
      <c r="BG163" s="66">
        <f>+IF($W163="","",ROUND(IF($B163&gt;Parámetros!$D$107,'Tablas Servicio'!BE163+('Tablas Servicio'!BG162-'Tablas Servicio'!BE162),BE163/(1-IF(B163&lt;=10,Parámetros!$D$100,0))),2))</f>
        <v>0</v>
      </c>
      <c r="BH163" s="66">
        <f t="shared" si="172"/>
        <v>0</v>
      </c>
      <c r="BI163" s="66">
        <f t="shared" si="173"/>
        <v>0</v>
      </c>
      <c r="BJ163" s="66">
        <f>+IF($W163="","",ROUND((BG163*Parámetros!$G$85),2))</f>
        <v>0</v>
      </c>
      <c r="BK163" s="66">
        <f>+IF($W163="","",ROUND((BG163*(Parámetros!$G$86)),2))</f>
        <v>0</v>
      </c>
      <c r="BL163" s="66">
        <f t="shared" si="174"/>
        <v>0</v>
      </c>
      <c r="BM163" t="str">
        <f t="shared" si="215"/>
        <v>00061</v>
      </c>
      <c r="BN163" t="str">
        <f t="shared" si="216"/>
        <v>Gastos de Entierro</v>
      </c>
      <c r="BO163" s="118">
        <f t="shared" si="217"/>
        <v>0</v>
      </c>
      <c r="BP163" s="118" t="str">
        <f t="shared" si="218"/>
        <v>A</v>
      </c>
      <c r="BQ163" s="119" t="str">
        <f>+IF(OR($W163="",BO163=0),"",ROUND((VLOOKUP(ROUNDDOWN($D163-1/frec,0),cob_adi,BB$40,FALSE)*(1+i/frec)^-0.5*(1+Parámetros!$D$103)*(1+rec_fracc)/frec),6))</f>
        <v/>
      </c>
      <c r="BR163" s="66">
        <f t="shared" si="175"/>
        <v>0</v>
      </c>
      <c r="BS163" s="119" t="str">
        <f t="shared" si="176"/>
        <v/>
      </c>
      <c r="BT163" s="66">
        <f>+IF($W163="","",ROUND(IF($B163&gt;Parámetros!$D$107,'Tablas Servicio'!BR163+('Tablas Servicio'!BT162-'Tablas Servicio'!BR162),BR163/(1-IF(B163&lt;=10,Parámetros!$D$100,0))),2))</f>
        <v>0</v>
      </c>
      <c r="BU163" s="66">
        <f t="shared" si="177"/>
        <v>0</v>
      </c>
      <c r="BV163" s="66">
        <f t="shared" si="177"/>
        <v>0</v>
      </c>
      <c r="BW163" s="66">
        <f>+IF($W163="","",ROUND((BT163*Parámetros!$G$85),2))</f>
        <v>0</v>
      </c>
      <c r="BX163" s="66">
        <f>+IF($W163="","",ROUND((BT163*(Parámetros!$G$86)),2))</f>
        <v>0</v>
      </c>
      <c r="BY163" s="66">
        <f t="shared" si="178"/>
        <v>0</v>
      </c>
      <c r="BZ163" t="str">
        <f t="shared" si="219"/>
        <v>00062</v>
      </c>
      <c r="CA163" t="str">
        <f t="shared" si="220"/>
        <v>Gastos médicos por accidente</v>
      </c>
      <c r="CB163" s="118">
        <f t="shared" si="221"/>
        <v>0</v>
      </c>
      <c r="CC163" s="118" t="str">
        <f t="shared" si="222"/>
        <v>A</v>
      </c>
      <c r="CD163" s="119" t="str">
        <f t="shared" si="179"/>
        <v/>
      </c>
      <c r="CE163" s="66">
        <f>+IF($W163="","",ROUND((VLOOKUP(ROUNDDOWN($D163-1/frec,0),cob_adi,BO$40,FALSE)*(1+i/frec)^-0.5*(1+Parámetros!$D$103)*(1+rec_fracc)/frec*'TABLAS ADI'!$BC$17),2))</f>
        <v>0</v>
      </c>
      <c r="CF163" s="119" t="str">
        <f t="shared" si="180"/>
        <v/>
      </c>
      <c r="CG163" s="66">
        <f>+IF($W163="","",ROUND(IF($B163&gt;Parámetros!$D$107,'Tablas Servicio'!CE163+('Tablas Servicio'!CG162-'Tablas Servicio'!CE162),CE163/(1-IF(B163&lt;=10,Parámetros!$D$100,0))),2))</f>
        <v>0</v>
      </c>
      <c r="CH163" s="66">
        <f t="shared" si="181"/>
        <v>0</v>
      </c>
      <c r="CI163" s="66">
        <f t="shared" si="181"/>
        <v>0</v>
      </c>
      <c r="CJ163" s="66">
        <f>+IF($W163="","",ROUND((CG163*Parámetros!$G$85),2))</f>
        <v>0</v>
      </c>
      <c r="CK163" s="66">
        <f>+IF($W163="","",ROUND((CG163*(Parámetros!$G$86)),2))</f>
        <v>0</v>
      </c>
      <c r="CL163" s="66">
        <f t="shared" si="182"/>
        <v>0</v>
      </c>
      <c r="CM163" t="str">
        <f t="shared" si="223"/>
        <v>00063</v>
      </c>
      <c r="CN163" s="118" t="str">
        <f t="shared" si="224"/>
        <v>Renta Diaria por Hospitalización</v>
      </c>
      <c r="CO163" s="118">
        <f t="shared" si="225"/>
        <v>0</v>
      </c>
      <c r="CP163" s="118" t="str">
        <f t="shared" si="226"/>
        <v>A</v>
      </c>
      <c r="CQ163" s="119" t="str">
        <f t="shared" si="183"/>
        <v/>
      </c>
      <c r="CR163" s="66">
        <f>+IF($W163="","",ROUND((VLOOKUP(Parámetros!$F$51,'COBERTURAS ADICIONALES'!$S$4:$T$32,2,FALSE)*(1+i/frec)^-0.5*(1+Parámetros!$D$103)*(1+rec_fracc)/frec*$CO$42),2))</f>
        <v>0</v>
      </c>
      <c r="CS163" s="119" t="str">
        <f t="shared" si="184"/>
        <v/>
      </c>
      <c r="CT163" s="66">
        <f>+IF($W163="","",ROUND(IF($B163&gt;Parámetros!$D$107,'Tablas Servicio'!CR163+('Tablas Servicio'!CT162-'Tablas Servicio'!CR162),CR163/(1-IF(B163&lt;=10,Parámetros!$D$100,0))),2))</f>
        <v>0</v>
      </c>
      <c r="CU163" s="66">
        <f t="shared" si="185"/>
        <v>0</v>
      </c>
      <c r="CV163" s="66">
        <f t="shared" si="185"/>
        <v>0</v>
      </c>
      <c r="CW163" s="66">
        <f>+IF($W163="","",ROUND((CT163*Parámetros!$G$85),2))</f>
        <v>0</v>
      </c>
      <c r="CX163" s="66">
        <f>+IF($W163="","",ROUND((CT163*(Parámetros!$G$86)),2))</f>
        <v>0</v>
      </c>
      <c r="CY163" s="66">
        <f t="shared" si="186"/>
        <v>0</v>
      </c>
      <c r="CZ163" t="str">
        <f t="shared" si="227"/>
        <v>00064</v>
      </c>
      <c r="DA163" s="118" t="str">
        <f t="shared" si="228"/>
        <v>Enfermedades Graves</v>
      </c>
      <c r="DB163" s="118">
        <f t="shared" si="229"/>
        <v>0</v>
      </c>
      <c r="DC163" s="118" t="str">
        <f t="shared" si="230"/>
        <v>A</v>
      </c>
      <c r="DD163" s="121" t="str">
        <f>+IF(OR($W163="",DB163=0),"",ROUND((VLOOKUP(ROUNDDOWN($D163-1/frec,0),cob_adi,CO$40,FALSE)*(1+i/frec)^-0.5*(1+Parámetros!$D$103)*(1+rec_fracc)/frec),6))</f>
        <v/>
      </c>
      <c r="DE163" s="66">
        <f t="shared" si="187"/>
        <v>0</v>
      </c>
      <c r="DF163" s="119" t="str">
        <f t="shared" si="188"/>
        <v/>
      </c>
      <c r="DG163" s="66">
        <f>+IF($W163="","",ROUND(IF($B163&gt;Parámetros!$D$107,'Tablas Servicio'!DE163+('Tablas Servicio'!DG162-'Tablas Servicio'!DE162),DE163/(1-IF(B163&lt;=10,Parámetros!$D$100,0))),2))</f>
        <v>0</v>
      </c>
      <c r="DH163" s="66">
        <f t="shared" si="189"/>
        <v>0</v>
      </c>
      <c r="DI163" s="66">
        <f t="shared" si="189"/>
        <v>0</v>
      </c>
      <c r="DJ163" s="66">
        <f>+IF($W163="","",ROUND((DG163*Parámetros!$G$85),2))</f>
        <v>0</v>
      </c>
      <c r="DK163" s="66">
        <f>+IF($W163="","",ROUND((DG163*(Parámetros!$G$86)),2))</f>
        <v>0</v>
      </c>
      <c r="DL163" s="66">
        <f t="shared" si="190"/>
        <v>0</v>
      </c>
      <c r="DM163" t="str">
        <f t="shared" si="231"/>
        <v>00065</v>
      </c>
      <c r="DN163" s="118" t="str">
        <f t="shared" si="232"/>
        <v>Exención pago de primas</v>
      </c>
      <c r="DO163" s="118">
        <f t="shared" si="233"/>
        <v>0</v>
      </c>
      <c r="DP163" s="118" t="str">
        <f t="shared" si="234"/>
        <v>A</v>
      </c>
      <c r="DQ163" s="122" t="str">
        <f>+IF(OR($W163="",DO163=0),"",ROUND((VLOOKUP(ROUNDDOWN($D163-1/frec,0),cob_adi,DB$40,FALSE)*(1+i/frec)^-0.5*(1+Parámetros!$D$103)*(1+rec_fracc)/frec),6))</f>
        <v/>
      </c>
      <c r="DR163" s="66">
        <f t="shared" si="191"/>
        <v>0</v>
      </c>
      <c r="DS163" s="68" t="str">
        <f t="shared" si="192"/>
        <v/>
      </c>
      <c r="DT163" s="66">
        <f>+IF($W163="","",ROUND(IF($B163&gt;Parámetros!$D$107,'Tablas Servicio'!DR163+('Tablas Servicio'!DT162-'Tablas Servicio'!DR162),DR163/(1-IF(B163&lt;=10,Parámetros!$D$100,0))),2))</f>
        <v>0</v>
      </c>
      <c r="DU163" s="66">
        <f t="shared" si="193"/>
        <v>0</v>
      </c>
      <c r="DV163" s="66">
        <f t="shared" si="193"/>
        <v>0</v>
      </c>
      <c r="DW163" s="66">
        <f>+IF($W163="","",ROUND((DT163*Parámetros!$G$85),2))</f>
        <v>0</v>
      </c>
      <c r="DX163" s="66">
        <f>+IF($W163="","",ROUND((DT163*(Parámetros!$G$86)),2))</f>
        <v>0</v>
      </c>
      <c r="DY163" s="66">
        <f t="shared" si="194"/>
        <v>0</v>
      </c>
      <c r="DZ163" t="str">
        <f t="shared" si="237"/>
        <v>00066</v>
      </c>
      <c r="EA163" s="118" t="str">
        <f t="shared" si="237"/>
        <v>Enfermedad terminal</v>
      </c>
      <c r="EB163" s="118">
        <f>+IF($W163="","",ROUND(IF(Parámetros!$D$25='TABLAS MORT'!$V$33,EB162,Z163/2),0))</f>
        <v>50000</v>
      </c>
      <c r="EC163" s="118" t="str">
        <f t="shared" si="237"/>
        <v>A</v>
      </c>
      <c r="ED163" s="122">
        <f>+IF(OR($W163="",EB163=0),"",ROUND((VLOOKUP(ROUNDDOWN($D163-1/frec,0),cob_adi,DO$40,FALSE)*(1+i/frec)^-0.5*(1+Parámetros!$D$103)*(1+rec_fracc)/frec),6))</f>
        <v>1.8E-5</v>
      </c>
      <c r="EE163" s="66">
        <f t="shared" si="196"/>
        <v>0.9</v>
      </c>
      <c r="EF163" s="68">
        <f t="shared" si="197"/>
        <v>1.8E-5</v>
      </c>
      <c r="EG163" s="66">
        <f>+IF($W163="","",ROUND(IF($B163&gt;Parámetros!$D$107,'Tablas Servicio'!EE163+('Tablas Servicio'!EG162-'Tablas Servicio'!EE162),EE163/(1-IF(B163&lt;=10,Parámetros!$D$100,0))),2))</f>
        <v>0.9</v>
      </c>
      <c r="EH163" s="66">
        <f t="shared" si="198"/>
        <v>0</v>
      </c>
      <c r="EI163" s="66">
        <f t="shared" si="198"/>
        <v>0</v>
      </c>
      <c r="EJ163" s="66">
        <f>+IF($W163="","",ROUND((EG163*Parámetros!$G$85),2))</f>
        <v>0.03</v>
      </c>
      <c r="EK163" s="66">
        <f>+IF($W163="","",ROUND((EG163*(Parámetros!$G$86)),2))</f>
        <v>0</v>
      </c>
      <c r="EL163" s="66">
        <f t="shared" si="199"/>
        <v>0.93</v>
      </c>
    </row>
    <row r="164" spans="1:142" x14ac:dyDescent="0.25">
      <c r="A164">
        <f>+IF($C164="","",ROUND(VLOOKUP('Tablas Servicio'!B164,Parámetros!$H$100:$J$159,IF(Parámetros!$E$16="F",2,3),FALSE),2))</f>
        <v>150</v>
      </c>
      <c r="B164">
        <f t="shared" si="150"/>
        <v>11</v>
      </c>
      <c r="C164" s="57">
        <f>+IF(D164="","",'Tablas Servicio'!C163+1)</f>
        <v>123</v>
      </c>
      <c r="D164" s="56">
        <f>+IF(D163&lt;edadmaxtabla,D163+1/Parámetros!$E$25,"")</f>
        <v>50.270000000000294</v>
      </c>
      <c r="E164" s="57">
        <f t="shared" si="160"/>
        <v>50</v>
      </c>
      <c r="F164" s="59">
        <f t="shared" si="161"/>
        <v>100000</v>
      </c>
      <c r="G164" s="66">
        <f t="shared" si="151"/>
        <v>35.6</v>
      </c>
      <c r="H164" s="66">
        <f t="shared" si="152"/>
        <v>37.01</v>
      </c>
      <c r="I164" s="66">
        <f t="shared" si="200"/>
        <v>56.99</v>
      </c>
      <c r="J164" s="66">
        <f t="shared" si="153"/>
        <v>1.24</v>
      </c>
      <c r="K164" s="66">
        <f t="shared" si="154"/>
        <v>0.17</v>
      </c>
      <c r="L164" s="66">
        <f t="shared" si="155"/>
        <v>0</v>
      </c>
      <c r="M164" s="66">
        <f t="shared" si="156"/>
        <v>0</v>
      </c>
      <c r="N164" s="66">
        <f>+IF(C164="","",ROUND(Parámetros!$D$23,2))</f>
        <v>94</v>
      </c>
      <c r="O164" s="66">
        <f t="shared" si="157"/>
        <v>23.099999999999998</v>
      </c>
      <c r="P164" s="66">
        <f>+IF($C164="","",ROUND(IF(B164&gt;Parámetros!$D$117,0,N164*Parámetros!$D$116-G164*Parámetros!$D$100),2))</f>
        <v>0</v>
      </c>
      <c r="Q164" s="75">
        <f t="shared" si="201"/>
        <v>3.4831460674157301E-2</v>
      </c>
      <c r="R164" s="75">
        <f t="shared" si="202"/>
        <v>4.7752808988764045E-3</v>
      </c>
      <c r="S164" s="117">
        <f>+IF($C164="","",ROUND((S163+I164)*(1+Parámetros!$D$91),2))</f>
        <v>8054.99</v>
      </c>
      <c r="T164" s="117">
        <f>+IF($C164="","",ROUND(S164*VLOOKUP(B164,Parámetros!$C$30:$D$39,2,TRUE),2))</f>
        <v>8054.99</v>
      </c>
      <c r="U164" s="117">
        <f>+IF($C164="","",ROUND((U163+I164)*(1+Parámetros!$D$92),2))</f>
        <v>8280.9699999999993</v>
      </c>
      <c r="V164" s="117">
        <f>+IF($C164="","",ROUND(U164*VLOOKUP(B164,Parámetros!$C$30:$D$39,2,TRUE),2))</f>
        <v>8280.9699999999993</v>
      </c>
      <c r="W164" s="57">
        <f t="shared" si="203"/>
        <v>123</v>
      </c>
      <c r="X164" t="str">
        <f t="shared" si="204"/>
        <v>00058</v>
      </c>
      <c r="Y164" t="str">
        <f t="shared" si="205"/>
        <v>MUERTE POR CUALQUIER CAUSA</v>
      </c>
      <c r="Z164" s="118">
        <f>+IF($W164="","",ROUND(IF(Parámetros!$D$25='TABLAS MORT'!$V$33,Z163,Parámetros!$D$21-'Tablas Servicio'!T163),0))</f>
        <v>100000</v>
      </c>
      <c r="AA164" s="118" t="str">
        <f t="shared" si="206"/>
        <v>P</v>
      </c>
      <c r="AB164" s="119">
        <f>+IF(W164="","",ROUND((VLOOKUP(ROUNDDOWN($D164-1/frec,0),qx_tabla,2,FALSE)*(1+i/frec)^-0.5*(1+Parámetros!$D$103)*(1+rec_fracc)/frec),6))</f>
        <v>2.22E-4</v>
      </c>
      <c r="AC164" s="66">
        <f t="shared" si="162"/>
        <v>22.2</v>
      </c>
      <c r="AD164" s="119">
        <f t="shared" si="158"/>
        <v>3.4699999999999998E-4</v>
      </c>
      <c r="AE164" s="66">
        <f>+IF($W164="","",ROUND(IF($B164&gt;Parámetros!$D$107,'Tablas Servicio'!AC164+('Tablas Servicio'!AG163-'Tablas Servicio'!AC163),AC164/(1-IF(B164&lt;=10,Parámetros!$D$104,Parámetros!$D$105))),2))</f>
        <v>37</v>
      </c>
      <c r="AF164" s="66">
        <f>+IF($W164="","",ROUND(IF($B164&gt;Parámetros!$D$107,'Tablas Servicio'!AC164+('Tablas Servicio'!AG163-'Tablas Servicio'!AC163),(AC164+$A163/frec)/(1-IF(B164&lt;=Parámetros!$D$117,Parámetros!$D$100,0))),2))</f>
        <v>34.700000000000003</v>
      </c>
      <c r="AG164" s="66">
        <f t="shared" si="163"/>
        <v>34.700000000000003</v>
      </c>
      <c r="AH164" s="66">
        <f t="shared" si="164"/>
        <v>0</v>
      </c>
      <c r="AI164" s="66">
        <f t="shared" si="165"/>
        <v>0</v>
      </c>
      <c r="AJ164" s="66">
        <f>+IF($W164="","",ROUND((AG164*Parámetros!$G$85),2))</f>
        <v>1.21</v>
      </c>
      <c r="AK164" s="66">
        <f>+IF($W164="","",ROUND((AG164*(Parámetros!$G$86)),2))</f>
        <v>0.17</v>
      </c>
      <c r="AL164" s="66">
        <f t="shared" si="159"/>
        <v>36.08</v>
      </c>
      <c r="AM164" t="str">
        <f t="shared" si="207"/>
        <v>00059</v>
      </c>
      <c r="AN164" t="str">
        <f t="shared" si="208"/>
        <v>Incapacidad Total y Permanente</v>
      </c>
      <c r="AO164" s="118">
        <f t="shared" si="209"/>
        <v>0</v>
      </c>
      <c r="AP164" s="118" t="str">
        <f t="shared" si="210"/>
        <v>A</v>
      </c>
      <c r="AQ164" s="119" t="str">
        <f>+IF(OR($W164="",AO164=0),"",ROUND((VLOOKUP(ROUNDDOWN($D164-1/frec,0),cob_adi,Z$40,FALSE)*(1+i/frec)^-0.5*(1+Parámetros!$D$103)*(1+rec_fracc)/frec),6))</f>
        <v/>
      </c>
      <c r="AR164" s="66">
        <f t="shared" si="166"/>
        <v>0</v>
      </c>
      <c r="AS164" s="119" t="str">
        <f t="shared" si="167"/>
        <v/>
      </c>
      <c r="AT164" s="66">
        <f>+IF($W164="","",ROUND(IF($B164&gt;Parámetros!$D$107,'Tablas Servicio'!AR164+('Tablas Servicio'!AT163-'Tablas Servicio'!AR163),AR164/(1-IF(B164&lt;=10,Parámetros!$D$100,0))),2))</f>
        <v>0</v>
      </c>
      <c r="AU164" s="66">
        <f t="shared" si="168"/>
        <v>0</v>
      </c>
      <c r="AV164" s="66">
        <f t="shared" si="168"/>
        <v>0</v>
      </c>
      <c r="AW164" s="66">
        <f>+IF($W164="","",ROUND((AT164*Parámetros!$G$85),2))</f>
        <v>0</v>
      </c>
      <c r="AX164" s="66">
        <f>+IF($W164="","",ROUND((AT164*(Parámetros!$G$86)),2))</f>
        <v>0</v>
      </c>
      <c r="AY164" s="66">
        <f t="shared" si="169"/>
        <v>0</v>
      </c>
      <c r="AZ164" t="str">
        <f t="shared" si="211"/>
        <v>00060</v>
      </c>
      <c r="BA164" t="str">
        <f t="shared" si="212"/>
        <v>Muerte Accidental</v>
      </c>
      <c r="BB164" s="118">
        <f t="shared" si="213"/>
        <v>0</v>
      </c>
      <c r="BC164" s="118" t="str">
        <f t="shared" si="214"/>
        <v>A</v>
      </c>
      <c r="BD164" s="119" t="str">
        <f>+IF(OR($W164="",BB164=0),"",ROUND((VLOOKUP(ROUNDDOWN($D164-1/frec,0),cob_adi,AO$40,FALSE)*(1+i/frec)^-0.5*(1+Parámetros!$D$103)*(1+rec_fracc)/frec),6))</f>
        <v/>
      </c>
      <c r="BE164" s="66">
        <f t="shared" si="170"/>
        <v>0</v>
      </c>
      <c r="BF164" s="119" t="str">
        <f t="shared" si="171"/>
        <v/>
      </c>
      <c r="BG164" s="66">
        <f>+IF($W164="","",ROUND(IF($B164&gt;Parámetros!$D$107,'Tablas Servicio'!BE164+('Tablas Servicio'!BG163-'Tablas Servicio'!BE163),BE164/(1-IF(B164&lt;=10,Parámetros!$D$100,0))),2))</f>
        <v>0</v>
      </c>
      <c r="BH164" s="66">
        <f t="shared" si="172"/>
        <v>0</v>
      </c>
      <c r="BI164" s="66">
        <f t="shared" si="173"/>
        <v>0</v>
      </c>
      <c r="BJ164" s="66">
        <f>+IF($W164="","",ROUND((BG164*Parámetros!$G$85),2))</f>
        <v>0</v>
      </c>
      <c r="BK164" s="66">
        <f>+IF($W164="","",ROUND((BG164*(Parámetros!$G$86)),2))</f>
        <v>0</v>
      </c>
      <c r="BL164" s="66">
        <f t="shared" si="174"/>
        <v>0</v>
      </c>
      <c r="BM164" t="str">
        <f t="shared" si="215"/>
        <v>00061</v>
      </c>
      <c r="BN164" t="str">
        <f t="shared" si="216"/>
        <v>Gastos de Entierro</v>
      </c>
      <c r="BO164" s="118">
        <f t="shared" si="217"/>
        <v>0</v>
      </c>
      <c r="BP164" s="118" t="str">
        <f t="shared" si="218"/>
        <v>A</v>
      </c>
      <c r="BQ164" s="119" t="str">
        <f>+IF(OR($W164="",BO164=0),"",ROUND((VLOOKUP(ROUNDDOWN($D164-1/frec,0),cob_adi,BB$40,FALSE)*(1+i/frec)^-0.5*(1+Parámetros!$D$103)*(1+rec_fracc)/frec),6))</f>
        <v/>
      </c>
      <c r="BR164" s="66">
        <f t="shared" si="175"/>
        <v>0</v>
      </c>
      <c r="BS164" s="119" t="str">
        <f t="shared" si="176"/>
        <v/>
      </c>
      <c r="BT164" s="66">
        <f>+IF($W164="","",ROUND(IF($B164&gt;Parámetros!$D$107,'Tablas Servicio'!BR164+('Tablas Servicio'!BT163-'Tablas Servicio'!BR163),BR164/(1-IF(B164&lt;=10,Parámetros!$D$100,0))),2))</f>
        <v>0</v>
      </c>
      <c r="BU164" s="66">
        <f t="shared" si="177"/>
        <v>0</v>
      </c>
      <c r="BV164" s="66">
        <f t="shared" si="177"/>
        <v>0</v>
      </c>
      <c r="BW164" s="66">
        <f>+IF($W164="","",ROUND((BT164*Parámetros!$G$85),2))</f>
        <v>0</v>
      </c>
      <c r="BX164" s="66">
        <f>+IF($W164="","",ROUND((BT164*(Parámetros!$G$86)),2))</f>
        <v>0</v>
      </c>
      <c r="BY164" s="66">
        <f t="shared" si="178"/>
        <v>0</v>
      </c>
      <c r="BZ164" t="str">
        <f t="shared" si="219"/>
        <v>00062</v>
      </c>
      <c r="CA164" t="str">
        <f t="shared" si="220"/>
        <v>Gastos médicos por accidente</v>
      </c>
      <c r="CB164" s="118">
        <f t="shared" si="221"/>
        <v>0</v>
      </c>
      <c r="CC164" s="118" t="str">
        <f t="shared" si="222"/>
        <v>A</v>
      </c>
      <c r="CD164" s="119" t="str">
        <f t="shared" si="179"/>
        <v/>
      </c>
      <c r="CE164" s="66">
        <f>+IF($W164="","",ROUND((VLOOKUP(ROUNDDOWN($D164-1/frec,0),cob_adi,BO$40,FALSE)*(1+i/frec)^-0.5*(1+Parámetros!$D$103)*(1+rec_fracc)/frec*'TABLAS ADI'!$BC$17),2))</f>
        <v>0</v>
      </c>
      <c r="CF164" s="119" t="str">
        <f t="shared" si="180"/>
        <v/>
      </c>
      <c r="CG164" s="66">
        <f>+IF($W164="","",ROUND(IF($B164&gt;Parámetros!$D$107,'Tablas Servicio'!CE164+('Tablas Servicio'!CG163-'Tablas Servicio'!CE163),CE164/(1-IF(B164&lt;=10,Parámetros!$D$100,0))),2))</f>
        <v>0</v>
      </c>
      <c r="CH164" s="66">
        <f t="shared" si="181"/>
        <v>0</v>
      </c>
      <c r="CI164" s="66">
        <f t="shared" si="181"/>
        <v>0</v>
      </c>
      <c r="CJ164" s="66">
        <f>+IF($W164="","",ROUND((CG164*Parámetros!$G$85),2))</f>
        <v>0</v>
      </c>
      <c r="CK164" s="66">
        <f>+IF($W164="","",ROUND((CG164*(Parámetros!$G$86)),2))</f>
        <v>0</v>
      </c>
      <c r="CL164" s="66">
        <f t="shared" si="182"/>
        <v>0</v>
      </c>
      <c r="CM164" t="str">
        <f t="shared" si="223"/>
        <v>00063</v>
      </c>
      <c r="CN164" s="118" t="str">
        <f t="shared" si="224"/>
        <v>Renta Diaria por Hospitalización</v>
      </c>
      <c r="CO164" s="118">
        <f t="shared" si="225"/>
        <v>0</v>
      </c>
      <c r="CP164" s="118" t="str">
        <f t="shared" si="226"/>
        <v>A</v>
      </c>
      <c r="CQ164" s="119" t="str">
        <f t="shared" si="183"/>
        <v/>
      </c>
      <c r="CR164" s="66">
        <f>+IF($W164="","",ROUND((VLOOKUP(Parámetros!$F$51,'COBERTURAS ADICIONALES'!$S$4:$T$32,2,FALSE)*(1+i/frec)^-0.5*(1+Parámetros!$D$103)*(1+rec_fracc)/frec*$CO$42),2))</f>
        <v>0</v>
      </c>
      <c r="CS164" s="119" t="str">
        <f t="shared" si="184"/>
        <v/>
      </c>
      <c r="CT164" s="66">
        <f>+IF($W164="","",ROUND(IF($B164&gt;Parámetros!$D$107,'Tablas Servicio'!CR164+('Tablas Servicio'!CT163-'Tablas Servicio'!CR163),CR164/(1-IF(B164&lt;=10,Parámetros!$D$100,0))),2))</f>
        <v>0</v>
      </c>
      <c r="CU164" s="66">
        <f t="shared" si="185"/>
        <v>0</v>
      </c>
      <c r="CV164" s="66">
        <f t="shared" si="185"/>
        <v>0</v>
      </c>
      <c r="CW164" s="66">
        <f>+IF($W164="","",ROUND((CT164*Parámetros!$G$85),2))</f>
        <v>0</v>
      </c>
      <c r="CX164" s="66">
        <f>+IF($W164="","",ROUND((CT164*(Parámetros!$G$86)),2))</f>
        <v>0</v>
      </c>
      <c r="CY164" s="66">
        <f t="shared" si="186"/>
        <v>0</v>
      </c>
      <c r="CZ164" t="str">
        <f t="shared" si="227"/>
        <v>00064</v>
      </c>
      <c r="DA164" s="118" t="str">
        <f t="shared" si="228"/>
        <v>Enfermedades Graves</v>
      </c>
      <c r="DB164" s="118">
        <f t="shared" si="229"/>
        <v>0</v>
      </c>
      <c r="DC164" s="118" t="str">
        <f t="shared" si="230"/>
        <v>A</v>
      </c>
      <c r="DD164" s="121" t="str">
        <f>+IF(OR($W164="",DB164=0),"",ROUND((VLOOKUP(ROUNDDOWN($D164-1/frec,0),cob_adi,CO$40,FALSE)*(1+i/frec)^-0.5*(1+Parámetros!$D$103)*(1+rec_fracc)/frec),6))</f>
        <v/>
      </c>
      <c r="DE164" s="66">
        <f t="shared" si="187"/>
        <v>0</v>
      </c>
      <c r="DF164" s="119" t="str">
        <f t="shared" si="188"/>
        <v/>
      </c>
      <c r="DG164" s="66">
        <f>+IF($W164="","",ROUND(IF($B164&gt;Parámetros!$D$107,'Tablas Servicio'!DE164+('Tablas Servicio'!DG163-'Tablas Servicio'!DE163),DE164/(1-IF(B164&lt;=10,Parámetros!$D$100,0))),2))</f>
        <v>0</v>
      </c>
      <c r="DH164" s="66">
        <f t="shared" si="189"/>
        <v>0</v>
      </c>
      <c r="DI164" s="66">
        <f t="shared" si="189"/>
        <v>0</v>
      </c>
      <c r="DJ164" s="66">
        <f>+IF($W164="","",ROUND((DG164*Parámetros!$G$85),2))</f>
        <v>0</v>
      </c>
      <c r="DK164" s="66">
        <f>+IF($W164="","",ROUND((DG164*(Parámetros!$G$86)),2))</f>
        <v>0</v>
      </c>
      <c r="DL164" s="66">
        <f t="shared" si="190"/>
        <v>0</v>
      </c>
      <c r="DM164" t="str">
        <f t="shared" si="231"/>
        <v>00065</v>
      </c>
      <c r="DN164" s="118" t="str">
        <f t="shared" si="232"/>
        <v>Exención pago de primas</v>
      </c>
      <c r="DO164" s="118">
        <f t="shared" si="233"/>
        <v>0</v>
      </c>
      <c r="DP164" s="118" t="str">
        <f t="shared" si="234"/>
        <v>A</v>
      </c>
      <c r="DQ164" s="122" t="str">
        <f>+IF(OR($W164="",DO164=0),"",ROUND((VLOOKUP(ROUNDDOWN($D164-1/frec,0),cob_adi,DB$40,FALSE)*(1+i/frec)^-0.5*(1+Parámetros!$D$103)*(1+rec_fracc)/frec),6))</f>
        <v/>
      </c>
      <c r="DR164" s="66">
        <f t="shared" si="191"/>
        <v>0</v>
      </c>
      <c r="DS164" s="68" t="str">
        <f t="shared" si="192"/>
        <v/>
      </c>
      <c r="DT164" s="66">
        <f>+IF($W164="","",ROUND(IF($B164&gt;Parámetros!$D$107,'Tablas Servicio'!DR164+('Tablas Servicio'!DT163-'Tablas Servicio'!DR163),DR164/(1-IF(B164&lt;=10,Parámetros!$D$100,0))),2))</f>
        <v>0</v>
      </c>
      <c r="DU164" s="66">
        <f t="shared" si="193"/>
        <v>0</v>
      </c>
      <c r="DV164" s="66">
        <f t="shared" si="193"/>
        <v>0</v>
      </c>
      <c r="DW164" s="66">
        <f>+IF($W164="","",ROUND((DT164*Parámetros!$G$85),2))</f>
        <v>0</v>
      </c>
      <c r="DX164" s="66">
        <f>+IF($W164="","",ROUND((DT164*(Parámetros!$G$86)),2))</f>
        <v>0</v>
      </c>
      <c r="DY164" s="66">
        <f t="shared" si="194"/>
        <v>0</v>
      </c>
      <c r="DZ164" t="str">
        <f t="shared" si="237"/>
        <v>00066</v>
      </c>
      <c r="EA164" s="118" t="str">
        <f t="shared" si="237"/>
        <v>Enfermedad terminal</v>
      </c>
      <c r="EB164" s="118">
        <f>+IF($W164="","",ROUND(IF(Parámetros!$D$25='TABLAS MORT'!$V$33,EB163,Z164/2),0))</f>
        <v>50000</v>
      </c>
      <c r="EC164" s="118" t="str">
        <f t="shared" si="237"/>
        <v>A</v>
      </c>
      <c r="ED164" s="122">
        <f>+IF(OR($W164="",EB164=0),"",ROUND((VLOOKUP(ROUNDDOWN($D164-1/frec,0),cob_adi,DO$40,FALSE)*(1+i/frec)^-0.5*(1+Parámetros!$D$103)*(1+rec_fracc)/frec),6))</f>
        <v>1.8E-5</v>
      </c>
      <c r="EE164" s="66">
        <f t="shared" si="196"/>
        <v>0.9</v>
      </c>
      <c r="EF164" s="68">
        <f t="shared" si="197"/>
        <v>1.8E-5</v>
      </c>
      <c r="EG164" s="66">
        <f>+IF($W164="","",ROUND(IF($B164&gt;Parámetros!$D$107,'Tablas Servicio'!EE164+('Tablas Servicio'!EG163-'Tablas Servicio'!EE163),EE164/(1-IF(B164&lt;=10,Parámetros!$D$100,0))),2))</f>
        <v>0.9</v>
      </c>
      <c r="EH164" s="66">
        <f t="shared" si="198"/>
        <v>0</v>
      </c>
      <c r="EI164" s="66">
        <f t="shared" si="198"/>
        <v>0</v>
      </c>
      <c r="EJ164" s="66">
        <f>+IF($W164="","",ROUND((EG164*Parámetros!$G$85),2))</f>
        <v>0.03</v>
      </c>
      <c r="EK164" s="66">
        <f>+IF($W164="","",ROUND((EG164*(Parámetros!$G$86)),2))</f>
        <v>0</v>
      </c>
      <c r="EL164" s="66">
        <f t="shared" si="199"/>
        <v>0.93</v>
      </c>
    </row>
    <row r="165" spans="1:142" x14ac:dyDescent="0.25">
      <c r="A165">
        <f>+IF($C165="","",ROUND(VLOOKUP('Tablas Servicio'!B165,Parámetros!$H$100:$J$159,IF(Parámetros!$E$16="F",2,3),FALSE),2))</f>
        <v>150</v>
      </c>
      <c r="B165">
        <f t="shared" si="150"/>
        <v>11</v>
      </c>
      <c r="C165" s="57">
        <f>+IF(D165="","",'Tablas Servicio'!C164+1)</f>
        <v>124</v>
      </c>
      <c r="D165" s="56">
        <f>+IF(D164&lt;edadmaxtabla,D164+1/Parámetros!$E$25,"")</f>
        <v>50.35333333333363</v>
      </c>
      <c r="E165" s="57">
        <f t="shared" si="160"/>
        <v>50</v>
      </c>
      <c r="F165" s="59">
        <f t="shared" si="161"/>
        <v>100000</v>
      </c>
      <c r="G165" s="66">
        <f t="shared" si="151"/>
        <v>35.6</v>
      </c>
      <c r="H165" s="66">
        <f t="shared" si="152"/>
        <v>37.01</v>
      </c>
      <c r="I165" s="66">
        <f t="shared" si="200"/>
        <v>56.99</v>
      </c>
      <c r="J165" s="66">
        <f t="shared" si="153"/>
        <v>1.24</v>
      </c>
      <c r="K165" s="66">
        <f t="shared" si="154"/>
        <v>0.17</v>
      </c>
      <c r="L165" s="66">
        <f t="shared" si="155"/>
        <v>0</v>
      </c>
      <c r="M165" s="66">
        <f t="shared" si="156"/>
        <v>0</v>
      </c>
      <c r="N165" s="66">
        <f>+IF(C165="","",ROUND(Parámetros!$D$23,2))</f>
        <v>94</v>
      </c>
      <c r="O165" s="66">
        <f t="shared" si="157"/>
        <v>23.099999999999998</v>
      </c>
      <c r="P165" s="66">
        <f>+IF($C165="","",ROUND(IF(B165&gt;Parámetros!$D$117,0,N165*Parámetros!$D$116-G165*Parámetros!$D$100),2))</f>
        <v>0</v>
      </c>
      <c r="Q165" s="75">
        <f t="shared" si="201"/>
        <v>3.4831460674157301E-2</v>
      </c>
      <c r="R165" s="75">
        <f t="shared" si="202"/>
        <v>4.7752808988764045E-3</v>
      </c>
      <c r="S165" s="117">
        <f>+IF($C165="","",ROUND((S164+I165)*(1+Parámetros!$D$91),2))</f>
        <v>8134.99</v>
      </c>
      <c r="T165" s="117">
        <f>+IF($C165="","",ROUND(S165*VLOOKUP(B165,Parámetros!$C$30:$D$39,2,TRUE),2))</f>
        <v>8134.99</v>
      </c>
      <c r="U165" s="117">
        <f>+IF($C165="","",ROUND((U164+I165)*(1+Parámetros!$D$92),2))</f>
        <v>8364.99</v>
      </c>
      <c r="V165" s="117">
        <f>+IF($C165="","",ROUND(U165*VLOOKUP(B165,Parámetros!$C$30:$D$39,2,TRUE),2))</f>
        <v>8364.99</v>
      </c>
      <c r="W165" s="57">
        <f t="shared" si="203"/>
        <v>124</v>
      </c>
      <c r="X165" t="str">
        <f t="shared" si="204"/>
        <v>00058</v>
      </c>
      <c r="Y165" t="str">
        <f t="shared" si="205"/>
        <v>MUERTE POR CUALQUIER CAUSA</v>
      </c>
      <c r="Z165" s="118">
        <f>+IF($W165="","",ROUND(IF(Parámetros!$D$25='TABLAS MORT'!$V$33,Z164,Parámetros!$D$21-'Tablas Servicio'!T164),0))</f>
        <v>100000</v>
      </c>
      <c r="AA165" s="118" t="str">
        <f t="shared" si="206"/>
        <v>P</v>
      </c>
      <c r="AB165" s="119">
        <f>+IF(W165="","",ROUND((VLOOKUP(ROUNDDOWN($D165-1/frec,0),qx_tabla,2,FALSE)*(1+i/frec)^-0.5*(1+Parámetros!$D$103)*(1+rec_fracc)/frec),6))</f>
        <v>2.22E-4</v>
      </c>
      <c r="AC165" s="66">
        <f t="shared" si="162"/>
        <v>22.2</v>
      </c>
      <c r="AD165" s="119">
        <f t="shared" si="158"/>
        <v>3.4699999999999998E-4</v>
      </c>
      <c r="AE165" s="66">
        <f>+IF($W165="","",ROUND(IF($B165&gt;Parámetros!$D$107,'Tablas Servicio'!AC165+('Tablas Servicio'!AG164-'Tablas Servicio'!AC164),AC165/(1-IF(B165&lt;=10,Parámetros!$D$104,Parámetros!$D$105))),2))</f>
        <v>37</v>
      </c>
      <c r="AF165" s="66">
        <f>+IF($W165="","",ROUND(IF($B165&gt;Parámetros!$D$107,'Tablas Servicio'!AC165+('Tablas Servicio'!AG164-'Tablas Servicio'!AC164),(AC165+$A164/frec)/(1-IF(B165&lt;=Parámetros!$D$117,Parámetros!$D$100,0))),2))</f>
        <v>34.700000000000003</v>
      </c>
      <c r="AG165" s="66">
        <f t="shared" si="163"/>
        <v>34.700000000000003</v>
      </c>
      <c r="AH165" s="66">
        <f t="shared" si="164"/>
        <v>0</v>
      </c>
      <c r="AI165" s="66">
        <f t="shared" si="165"/>
        <v>0</v>
      </c>
      <c r="AJ165" s="66">
        <f>+IF($W165="","",ROUND((AG165*Parámetros!$G$85),2))</f>
        <v>1.21</v>
      </c>
      <c r="AK165" s="66">
        <f>+IF($W165="","",ROUND((AG165*(Parámetros!$G$86)),2))</f>
        <v>0.17</v>
      </c>
      <c r="AL165" s="66">
        <f t="shared" si="159"/>
        <v>36.08</v>
      </c>
      <c r="AM165" t="str">
        <f t="shared" si="207"/>
        <v>00059</v>
      </c>
      <c r="AN165" t="str">
        <f t="shared" si="208"/>
        <v>Incapacidad Total y Permanente</v>
      </c>
      <c r="AO165" s="118">
        <f t="shared" si="209"/>
        <v>0</v>
      </c>
      <c r="AP165" s="118" t="str">
        <f t="shared" si="210"/>
        <v>A</v>
      </c>
      <c r="AQ165" s="119" t="str">
        <f>+IF(OR($W165="",AO165=0),"",ROUND((VLOOKUP(ROUNDDOWN($D165-1/frec,0),cob_adi,Z$40,FALSE)*(1+i/frec)^-0.5*(1+Parámetros!$D$103)*(1+rec_fracc)/frec),6))</f>
        <v/>
      </c>
      <c r="AR165" s="66">
        <f t="shared" si="166"/>
        <v>0</v>
      </c>
      <c r="AS165" s="119" t="str">
        <f t="shared" si="167"/>
        <v/>
      </c>
      <c r="AT165" s="66">
        <f>+IF($W165="","",ROUND(IF($B165&gt;Parámetros!$D$107,'Tablas Servicio'!AR165+('Tablas Servicio'!AT164-'Tablas Servicio'!AR164),AR165/(1-IF(B165&lt;=10,Parámetros!$D$100,0))),2))</f>
        <v>0</v>
      </c>
      <c r="AU165" s="66">
        <f t="shared" si="168"/>
        <v>0</v>
      </c>
      <c r="AV165" s="66">
        <f t="shared" si="168"/>
        <v>0</v>
      </c>
      <c r="AW165" s="66">
        <f>+IF($W165="","",ROUND((AT165*Parámetros!$G$85),2))</f>
        <v>0</v>
      </c>
      <c r="AX165" s="66">
        <f>+IF($W165="","",ROUND((AT165*(Parámetros!$G$86)),2))</f>
        <v>0</v>
      </c>
      <c r="AY165" s="66">
        <f t="shared" si="169"/>
        <v>0</v>
      </c>
      <c r="AZ165" t="str">
        <f t="shared" si="211"/>
        <v>00060</v>
      </c>
      <c r="BA165" t="str">
        <f t="shared" si="212"/>
        <v>Muerte Accidental</v>
      </c>
      <c r="BB165" s="118">
        <f t="shared" si="213"/>
        <v>0</v>
      </c>
      <c r="BC165" s="118" t="str">
        <f t="shared" si="214"/>
        <v>A</v>
      </c>
      <c r="BD165" s="119" t="str">
        <f>+IF(OR($W165="",BB165=0),"",ROUND((VLOOKUP(ROUNDDOWN($D165-1/frec,0),cob_adi,AO$40,FALSE)*(1+i/frec)^-0.5*(1+Parámetros!$D$103)*(1+rec_fracc)/frec),6))</f>
        <v/>
      </c>
      <c r="BE165" s="66">
        <f t="shared" si="170"/>
        <v>0</v>
      </c>
      <c r="BF165" s="119" t="str">
        <f t="shared" si="171"/>
        <v/>
      </c>
      <c r="BG165" s="66">
        <f>+IF($W165="","",ROUND(IF($B165&gt;Parámetros!$D$107,'Tablas Servicio'!BE165+('Tablas Servicio'!BG164-'Tablas Servicio'!BE164),BE165/(1-IF(B165&lt;=10,Parámetros!$D$100,0))),2))</f>
        <v>0</v>
      </c>
      <c r="BH165" s="66">
        <f t="shared" si="172"/>
        <v>0</v>
      </c>
      <c r="BI165" s="66">
        <f t="shared" si="173"/>
        <v>0</v>
      </c>
      <c r="BJ165" s="66">
        <f>+IF($W165="","",ROUND((BG165*Parámetros!$G$85),2))</f>
        <v>0</v>
      </c>
      <c r="BK165" s="66">
        <f>+IF($W165="","",ROUND((BG165*(Parámetros!$G$86)),2))</f>
        <v>0</v>
      </c>
      <c r="BL165" s="66">
        <f t="shared" si="174"/>
        <v>0</v>
      </c>
      <c r="BM165" t="str">
        <f t="shared" si="215"/>
        <v>00061</v>
      </c>
      <c r="BN165" t="str">
        <f t="shared" si="216"/>
        <v>Gastos de Entierro</v>
      </c>
      <c r="BO165" s="118">
        <f t="shared" si="217"/>
        <v>0</v>
      </c>
      <c r="BP165" s="118" t="str">
        <f t="shared" si="218"/>
        <v>A</v>
      </c>
      <c r="BQ165" s="119" t="str">
        <f>+IF(OR($W165="",BO165=0),"",ROUND((VLOOKUP(ROUNDDOWN($D165-1/frec,0),cob_adi,BB$40,FALSE)*(1+i/frec)^-0.5*(1+Parámetros!$D$103)*(1+rec_fracc)/frec),6))</f>
        <v/>
      </c>
      <c r="BR165" s="66">
        <f t="shared" si="175"/>
        <v>0</v>
      </c>
      <c r="BS165" s="119" t="str">
        <f t="shared" si="176"/>
        <v/>
      </c>
      <c r="BT165" s="66">
        <f>+IF($W165="","",ROUND(IF($B165&gt;Parámetros!$D$107,'Tablas Servicio'!BR165+('Tablas Servicio'!BT164-'Tablas Servicio'!BR164),BR165/(1-IF(B165&lt;=10,Parámetros!$D$100,0))),2))</f>
        <v>0</v>
      </c>
      <c r="BU165" s="66">
        <f t="shared" si="177"/>
        <v>0</v>
      </c>
      <c r="BV165" s="66">
        <f t="shared" si="177"/>
        <v>0</v>
      </c>
      <c r="BW165" s="66">
        <f>+IF($W165="","",ROUND((BT165*Parámetros!$G$85),2))</f>
        <v>0</v>
      </c>
      <c r="BX165" s="66">
        <f>+IF($W165="","",ROUND((BT165*(Parámetros!$G$86)),2))</f>
        <v>0</v>
      </c>
      <c r="BY165" s="66">
        <f t="shared" si="178"/>
        <v>0</v>
      </c>
      <c r="BZ165" t="str">
        <f t="shared" si="219"/>
        <v>00062</v>
      </c>
      <c r="CA165" t="str">
        <f t="shared" si="220"/>
        <v>Gastos médicos por accidente</v>
      </c>
      <c r="CB165" s="118">
        <f t="shared" si="221"/>
        <v>0</v>
      </c>
      <c r="CC165" s="118" t="str">
        <f t="shared" si="222"/>
        <v>A</v>
      </c>
      <c r="CD165" s="119" t="str">
        <f t="shared" si="179"/>
        <v/>
      </c>
      <c r="CE165" s="66">
        <f>+IF($W165="","",ROUND((VLOOKUP(ROUNDDOWN($D165-1/frec,0),cob_adi,BO$40,FALSE)*(1+i/frec)^-0.5*(1+Parámetros!$D$103)*(1+rec_fracc)/frec*'TABLAS ADI'!$BC$17),2))</f>
        <v>0</v>
      </c>
      <c r="CF165" s="119" t="str">
        <f t="shared" si="180"/>
        <v/>
      </c>
      <c r="CG165" s="66">
        <f>+IF($W165="","",ROUND(IF($B165&gt;Parámetros!$D$107,'Tablas Servicio'!CE165+('Tablas Servicio'!CG164-'Tablas Servicio'!CE164),CE165/(1-IF(B165&lt;=10,Parámetros!$D$100,0))),2))</f>
        <v>0</v>
      </c>
      <c r="CH165" s="66">
        <f t="shared" si="181"/>
        <v>0</v>
      </c>
      <c r="CI165" s="66">
        <f t="shared" si="181"/>
        <v>0</v>
      </c>
      <c r="CJ165" s="66">
        <f>+IF($W165="","",ROUND((CG165*Parámetros!$G$85),2))</f>
        <v>0</v>
      </c>
      <c r="CK165" s="66">
        <f>+IF($W165="","",ROUND((CG165*(Parámetros!$G$86)),2))</f>
        <v>0</v>
      </c>
      <c r="CL165" s="66">
        <f t="shared" si="182"/>
        <v>0</v>
      </c>
      <c r="CM165" t="str">
        <f t="shared" si="223"/>
        <v>00063</v>
      </c>
      <c r="CN165" s="118" t="str">
        <f t="shared" si="224"/>
        <v>Renta Diaria por Hospitalización</v>
      </c>
      <c r="CO165" s="118">
        <f t="shared" si="225"/>
        <v>0</v>
      </c>
      <c r="CP165" s="118" t="str">
        <f t="shared" si="226"/>
        <v>A</v>
      </c>
      <c r="CQ165" s="119" t="str">
        <f t="shared" si="183"/>
        <v/>
      </c>
      <c r="CR165" s="66">
        <f>+IF($W165="","",ROUND((VLOOKUP(Parámetros!$F$51,'COBERTURAS ADICIONALES'!$S$4:$T$32,2,FALSE)*(1+i/frec)^-0.5*(1+Parámetros!$D$103)*(1+rec_fracc)/frec*$CO$42),2))</f>
        <v>0</v>
      </c>
      <c r="CS165" s="119" t="str">
        <f t="shared" si="184"/>
        <v/>
      </c>
      <c r="CT165" s="66">
        <f>+IF($W165="","",ROUND(IF($B165&gt;Parámetros!$D$107,'Tablas Servicio'!CR165+('Tablas Servicio'!CT164-'Tablas Servicio'!CR164),CR165/(1-IF(B165&lt;=10,Parámetros!$D$100,0))),2))</f>
        <v>0</v>
      </c>
      <c r="CU165" s="66">
        <f t="shared" si="185"/>
        <v>0</v>
      </c>
      <c r="CV165" s="66">
        <f t="shared" si="185"/>
        <v>0</v>
      </c>
      <c r="CW165" s="66">
        <f>+IF($W165="","",ROUND((CT165*Parámetros!$G$85),2))</f>
        <v>0</v>
      </c>
      <c r="CX165" s="66">
        <f>+IF($W165="","",ROUND((CT165*(Parámetros!$G$86)),2))</f>
        <v>0</v>
      </c>
      <c r="CY165" s="66">
        <f t="shared" si="186"/>
        <v>0</v>
      </c>
      <c r="CZ165" t="str">
        <f t="shared" si="227"/>
        <v>00064</v>
      </c>
      <c r="DA165" s="118" t="str">
        <f t="shared" si="228"/>
        <v>Enfermedades Graves</v>
      </c>
      <c r="DB165" s="118">
        <f t="shared" si="229"/>
        <v>0</v>
      </c>
      <c r="DC165" s="118" t="str">
        <f t="shared" si="230"/>
        <v>A</v>
      </c>
      <c r="DD165" s="121" t="str">
        <f>+IF(OR($W165="",DB165=0),"",ROUND((VLOOKUP(ROUNDDOWN($D165-1/frec,0),cob_adi,CO$40,FALSE)*(1+i/frec)^-0.5*(1+Parámetros!$D$103)*(1+rec_fracc)/frec),6))</f>
        <v/>
      </c>
      <c r="DE165" s="66">
        <f t="shared" si="187"/>
        <v>0</v>
      </c>
      <c r="DF165" s="119" t="str">
        <f t="shared" si="188"/>
        <v/>
      </c>
      <c r="DG165" s="66">
        <f>+IF($W165="","",ROUND(IF($B165&gt;Parámetros!$D$107,'Tablas Servicio'!DE165+('Tablas Servicio'!DG164-'Tablas Servicio'!DE164),DE165/(1-IF(B165&lt;=10,Parámetros!$D$100,0))),2))</f>
        <v>0</v>
      </c>
      <c r="DH165" s="66">
        <f t="shared" si="189"/>
        <v>0</v>
      </c>
      <c r="DI165" s="66">
        <f t="shared" si="189"/>
        <v>0</v>
      </c>
      <c r="DJ165" s="66">
        <f>+IF($W165="","",ROUND((DG165*Parámetros!$G$85),2))</f>
        <v>0</v>
      </c>
      <c r="DK165" s="66">
        <f>+IF($W165="","",ROUND((DG165*(Parámetros!$G$86)),2))</f>
        <v>0</v>
      </c>
      <c r="DL165" s="66">
        <f t="shared" si="190"/>
        <v>0</v>
      </c>
      <c r="DM165" t="str">
        <f t="shared" si="231"/>
        <v>00065</v>
      </c>
      <c r="DN165" s="118" t="str">
        <f t="shared" si="232"/>
        <v>Exención pago de primas</v>
      </c>
      <c r="DO165" s="118">
        <f t="shared" si="233"/>
        <v>0</v>
      </c>
      <c r="DP165" s="118" t="str">
        <f t="shared" si="234"/>
        <v>A</v>
      </c>
      <c r="DQ165" s="122" t="str">
        <f>+IF(OR($W165="",DO165=0),"",ROUND((VLOOKUP(ROUNDDOWN($D165-1/frec,0),cob_adi,DB$40,FALSE)*(1+i/frec)^-0.5*(1+Parámetros!$D$103)*(1+rec_fracc)/frec),6))</f>
        <v/>
      </c>
      <c r="DR165" s="66">
        <f t="shared" si="191"/>
        <v>0</v>
      </c>
      <c r="DS165" s="68" t="str">
        <f t="shared" si="192"/>
        <v/>
      </c>
      <c r="DT165" s="66">
        <f>+IF($W165="","",ROUND(IF($B165&gt;Parámetros!$D$107,'Tablas Servicio'!DR165+('Tablas Servicio'!DT164-'Tablas Servicio'!DR164),DR165/(1-IF(B165&lt;=10,Parámetros!$D$100,0))),2))</f>
        <v>0</v>
      </c>
      <c r="DU165" s="66">
        <f t="shared" si="193"/>
        <v>0</v>
      </c>
      <c r="DV165" s="66">
        <f t="shared" si="193"/>
        <v>0</v>
      </c>
      <c r="DW165" s="66">
        <f>+IF($W165="","",ROUND((DT165*Parámetros!$G$85),2))</f>
        <v>0</v>
      </c>
      <c r="DX165" s="66">
        <f>+IF($W165="","",ROUND((DT165*(Parámetros!$G$86)),2))</f>
        <v>0</v>
      </c>
      <c r="DY165" s="66">
        <f t="shared" si="194"/>
        <v>0</v>
      </c>
      <c r="DZ165" t="str">
        <f t="shared" si="237"/>
        <v>00066</v>
      </c>
      <c r="EA165" s="118" t="str">
        <f t="shared" si="237"/>
        <v>Enfermedad terminal</v>
      </c>
      <c r="EB165" s="118">
        <f>+IF($W165="","",ROUND(IF(Parámetros!$D$25='TABLAS MORT'!$V$33,EB164,Z165/2),0))</f>
        <v>50000</v>
      </c>
      <c r="EC165" s="118" t="str">
        <f t="shared" si="237"/>
        <v>A</v>
      </c>
      <c r="ED165" s="122">
        <f>+IF(OR($W165="",EB165=0),"",ROUND((VLOOKUP(ROUNDDOWN($D165-1/frec,0),cob_adi,DO$40,FALSE)*(1+i/frec)^-0.5*(1+Parámetros!$D$103)*(1+rec_fracc)/frec),6))</f>
        <v>1.8E-5</v>
      </c>
      <c r="EE165" s="66">
        <f t="shared" si="196"/>
        <v>0.9</v>
      </c>
      <c r="EF165" s="68">
        <f t="shared" si="197"/>
        <v>1.8E-5</v>
      </c>
      <c r="EG165" s="66">
        <f>+IF($W165="","",ROUND(IF($B165&gt;Parámetros!$D$107,'Tablas Servicio'!EE165+('Tablas Servicio'!EG164-'Tablas Servicio'!EE164),EE165/(1-IF(B165&lt;=10,Parámetros!$D$100,0))),2))</f>
        <v>0.9</v>
      </c>
      <c r="EH165" s="66">
        <f t="shared" si="198"/>
        <v>0</v>
      </c>
      <c r="EI165" s="66">
        <f t="shared" si="198"/>
        <v>0</v>
      </c>
      <c r="EJ165" s="66">
        <f>+IF($W165="","",ROUND((EG165*Parámetros!$G$85),2))</f>
        <v>0.03</v>
      </c>
      <c r="EK165" s="66">
        <f>+IF($W165="","",ROUND((EG165*(Parámetros!$G$86)),2))</f>
        <v>0</v>
      </c>
      <c r="EL165" s="66">
        <f t="shared" si="199"/>
        <v>0.93</v>
      </c>
    </row>
    <row r="166" spans="1:142" x14ac:dyDescent="0.25">
      <c r="A166">
        <f>+IF($C166="","",ROUND(VLOOKUP('Tablas Servicio'!B166,Parámetros!$H$100:$J$159,IF(Parámetros!$E$16="F",2,3),FALSE),2))</f>
        <v>150</v>
      </c>
      <c r="B166">
        <f t="shared" si="150"/>
        <v>11</v>
      </c>
      <c r="C166" s="57">
        <f>+IF(D166="","",'Tablas Servicio'!C165+1)</f>
        <v>125</v>
      </c>
      <c r="D166" s="56">
        <f>+IF(D165&lt;edadmaxtabla,D165+1/Parámetros!$E$25,"")</f>
        <v>50.436666666666966</v>
      </c>
      <c r="E166" s="57">
        <f t="shared" si="160"/>
        <v>50</v>
      </c>
      <c r="F166" s="59">
        <f t="shared" si="161"/>
        <v>100000</v>
      </c>
      <c r="G166" s="66">
        <f t="shared" si="151"/>
        <v>35.6</v>
      </c>
      <c r="H166" s="66">
        <f t="shared" si="152"/>
        <v>37.01</v>
      </c>
      <c r="I166" s="66">
        <f t="shared" si="200"/>
        <v>56.99</v>
      </c>
      <c r="J166" s="66">
        <f t="shared" si="153"/>
        <v>1.24</v>
      </c>
      <c r="K166" s="66">
        <f t="shared" si="154"/>
        <v>0.17</v>
      </c>
      <c r="L166" s="66">
        <f t="shared" si="155"/>
        <v>0</v>
      </c>
      <c r="M166" s="66">
        <f t="shared" si="156"/>
        <v>0</v>
      </c>
      <c r="N166" s="66">
        <f>+IF(C166="","",ROUND(Parámetros!$D$23,2))</f>
        <v>94</v>
      </c>
      <c r="O166" s="66">
        <f t="shared" si="157"/>
        <v>23.099999999999998</v>
      </c>
      <c r="P166" s="66">
        <f>+IF($C166="","",ROUND(IF(B166&gt;Parámetros!$D$117,0,N166*Parámetros!$D$116-G166*Parámetros!$D$100),2))</f>
        <v>0</v>
      </c>
      <c r="Q166" s="75">
        <f t="shared" si="201"/>
        <v>3.4831460674157301E-2</v>
      </c>
      <c r="R166" s="75">
        <f t="shared" si="202"/>
        <v>4.7752808988764045E-3</v>
      </c>
      <c r="S166" s="117">
        <f>+IF($C166="","",ROUND((S165+I166)*(1+Parámetros!$D$91),2))</f>
        <v>8215.2199999999993</v>
      </c>
      <c r="T166" s="117">
        <f>+IF($C166="","",ROUND(S166*VLOOKUP(B166,Parámetros!$C$30:$D$39,2,TRUE),2))</f>
        <v>8215.2199999999993</v>
      </c>
      <c r="U166" s="117">
        <f>+IF($C166="","",ROUND((U165+I166)*(1+Parámetros!$D$92),2))</f>
        <v>8449.2800000000007</v>
      </c>
      <c r="V166" s="117">
        <f>+IF($C166="","",ROUND(U166*VLOOKUP(B166,Parámetros!$C$30:$D$39,2,TRUE),2))</f>
        <v>8449.2800000000007</v>
      </c>
      <c r="W166" s="57">
        <f t="shared" si="203"/>
        <v>125</v>
      </c>
      <c r="X166" t="str">
        <f t="shared" si="204"/>
        <v>00058</v>
      </c>
      <c r="Y166" t="str">
        <f t="shared" si="205"/>
        <v>MUERTE POR CUALQUIER CAUSA</v>
      </c>
      <c r="Z166" s="118">
        <f>+IF($W166="","",ROUND(IF(Parámetros!$D$25='TABLAS MORT'!$V$33,Z165,Parámetros!$D$21-'Tablas Servicio'!T165),0))</f>
        <v>100000</v>
      </c>
      <c r="AA166" s="118" t="str">
        <f t="shared" si="206"/>
        <v>P</v>
      </c>
      <c r="AB166" s="119">
        <f>+IF(W166="","",ROUND((VLOOKUP(ROUNDDOWN($D166-1/frec,0),qx_tabla,2,FALSE)*(1+i/frec)^-0.5*(1+Parámetros!$D$103)*(1+rec_fracc)/frec),6))</f>
        <v>2.22E-4</v>
      </c>
      <c r="AC166" s="66">
        <f t="shared" si="162"/>
        <v>22.2</v>
      </c>
      <c r="AD166" s="119">
        <f t="shared" si="158"/>
        <v>3.4699999999999998E-4</v>
      </c>
      <c r="AE166" s="66">
        <f>+IF($W166="","",ROUND(IF($B166&gt;Parámetros!$D$107,'Tablas Servicio'!AC166+('Tablas Servicio'!AG165-'Tablas Servicio'!AC165),AC166/(1-IF(B166&lt;=10,Parámetros!$D$104,Parámetros!$D$105))),2))</f>
        <v>37</v>
      </c>
      <c r="AF166" s="66">
        <f>+IF($W166="","",ROUND(IF($B166&gt;Parámetros!$D$107,'Tablas Servicio'!AC166+('Tablas Servicio'!AG165-'Tablas Servicio'!AC165),(AC166+$A165/frec)/(1-IF(B166&lt;=Parámetros!$D$117,Parámetros!$D$100,0))),2))</f>
        <v>34.700000000000003</v>
      </c>
      <c r="AG166" s="66">
        <f t="shared" si="163"/>
        <v>34.700000000000003</v>
      </c>
      <c r="AH166" s="66">
        <f t="shared" si="164"/>
        <v>0</v>
      </c>
      <c r="AI166" s="66">
        <f t="shared" si="165"/>
        <v>0</v>
      </c>
      <c r="AJ166" s="66">
        <f>+IF($W166="","",ROUND((AG166*Parámetros!$G$85),2))</f>
        <v>1.21</v>
      </c>
      <c r="AK166" s="66">
        <f>+IF($W166="","",ROUND((AG166*(Parámetros!$G$86)),2))</f>
        <v>0.17</v>
      </c>
      <c r="AL166" s="66">
        <f t="shared" si="159"/>
        <v>36.08</v>
      </c>
      <c r="AM166" t="str">
        <f t="shared" si="207"/>
        <v>00059</v>
      </c>
      <c r="AN166" t="str">
        <f t="shared" si="208"/>
        <v>Incapacidad Total y Permanente</v>
      </c>
      <c r="AO166" s="118">
        <f t="shared" si="209"/>
        <v>0</v>
      </c>
      <c r="AP166" s="118" t="str">
        <f t="shared" si="210"/>
        <v>A</v>
      </c>
      <c r="AQ166" s="119" t="str">
        <f>+IF(OR($W166="",AO166=0),"",ROUND((VLOOKUP(ROUNDDOWN($D166-1/frec,0),cob_adi,Z$40,FALSE)*(1+i/frec)^-0.5*(1+Parámetros!$D$103)*(1+rec_fracc)/frec),6))</f>
        <v/>
      </c>
      <c r="AR166" s="66">
        <f t="shared" si="166"/>
        <v>0</v>
      </c>
      <c r="AS166" s="119" t="str">
        <f t="shared" si="167"/>
        <v/>
      </c>
      <c r="AT166" s="66">
        <f>+IF($W166="","",ROUND(IF($B166&gt;Parámetros!$D$107,'Tablas Servicio'!AR166+('Tablas Servicio'!AT165-'Tablas Servicio'!AR165),AR166/(1-IF(B166&lt;=10,Parámetros!$D$100,0))),2))</f>
        <v>0</v>
      </c>
      <c r="AU166" s="66">
        <f t="shared" si="168"/>
        <v>0</v>
      </c>
      <c r="AV166" s="66">
        <f t="shared" si="168"/>
        <v>0</v>
      </c>
      <c r="AW166" s="66">
        <f>+IF($W166="","",ROUND((AT166*Parámetros!$G$85),2))</f>
        <v>0</v>
      </c>
      <c r="AX166" s="66">
        <f>+IF($W166="","",ROUND((AT166*(Parámetros!$G$86)),2))</f>
        <v>0</v>
      </c>
      <c r="AY166" s="66">
        <f t="shared" si="169"/>
        <v>0</v>
      </c>
      <c r="AZ166" t="str">
        <f t="shared" si="211"/>
        <v>00060</v>
      </c>
      <c r="BA166" t="str">
        <f t="shared" si="212"/>
        <v>Muerte Accidental</v>
      </c>
      <c r="BB166" s="118">
        <f t="shared" si="213"/>
        <v>0</v>
      </c>
      <c r="BC166" s="118" t="str">
        <f t="shared" si="214"/>
        <v>A</v>
      </c>
      <c r="BD166" s="119" t="str">
        <f>+IF(OR($W166="",BB166=0),"",ROUND((VLOOKUP(ROUNDDOWN($D166-1/frec,0),cob_adi,AO$40,FALSE)*(1+i/frec)^-0.5*(1+Parámetros!$D$103)*(1+rec_fracc)/frec),6))</f>
        <v/>
      </c>
      <c r="BE166" s="66">
        <f t="shared" si="170"/>
        <v>0</v>
      </c>
      <c r="BF166" s="119" t="str">
        <f t="shared" si="171"/>
        <v/>
      </c>
      <c r="BG166" s="66">
        <f>+IF($W166="","",ROUND(IF($B166&gt;Parámetros!$D$107,'Tablas Servicio'!BE166+('Tablas Servicio'!BG165-'Tablas Servicio'!BE165),BE166/(1-IF(B166&lt;=10,Parámetros!$D$100,0))),2))</f>
        <v>0</v>
      </c>
      <c r="BH166" s="66">
        <f t="shared" si="172"/>
        <v>0</v>
      </c>
      <c r="BI166" s="66">
        <f t="shared" si="173"/>
        <v>0</v>
      </c>
      <c r="BJ166" s="66">
        <f>+IF($W166="","",ROUND((BG166*Parámetros!$G$85),2))</f>
        <v>0</v>
      </c>
      <c r="BK166" s="66">
        <f>+IF($W166="","",ROUND((BG166*(Parámetros!$G$86)),2))</f>
        <v>0</v>
      </c>
      <c r="BL166" s="66">
        <f t="shared" si="174"/>
        <v>0</v>
      </c>
      <c r="BM166" t="str">
        <f t="shared" si="215"/>
        <v>00061</v>
      </c>
      <c r="BN166" t="str">
        <f t="shared" si="216"/>
        <v>Gastos de Entierro</v>
      </c>
      <c r="BO166" s="118">
        <f t="shared" si="217"/>
        <v>0</v>
      </c>
      <c r="BP166" s="118" t="str">
        <f t="shared" si="218"/>
        <v>A</v>
      </c>
      <c r="BQ166" s="119" t="str">
        <f>+IF(OR($W166="",BO166=0),"",ROUND((VLOOKUP(ROUNDDOWN($D166-1/frec,0),cob_adi,BB$40,FALSE)*(1+i/frec)^-0.5*(1+Parámetros!$D$103)*(1+rec_fracc)/frec),6))</f>
        <v/>
      </c>
      <c r="BR166" s="66">
        <f t="shared" si="175"/>
        <v>0</v>
      </c>
      <c r="BS166" s="119" t="str">
        <f t="shared" si="176"/>
        <v/>
      </c>
      <c r="BT166" s="66">
        <f>+IF($W166="","",ROUND(IF($B166&gt;Parámetros!$D$107,'Tablas Servicio'!BR166+('Tablas Servicio'!BT165-'Tablas Servicio'!BR165),BR166/(1-IF(B166&lt;=10,Parámetros!$D$100,0))),2))</f>
        <v>0</v>
      </c>
      <c r="BU166" s="66">
        <f t="shared" si="177"/>
        <v>0</v>
      </c>
      <c r="BV166" s="66">
        <f t="shared" si="177"/>
        <v>0</v>
      </c>
      <c r="BW166" s="66">
        <f>+IF($W166="","",ROUND((BT166*Parámetros!$G$85),2))</f>
        <v>0</v>
      </c>
      <c r="BX166" s="66">
        <f>+IF($W166="","",ROUND((BT166*(Parámetros!$G$86)),2))</f>
        <v>0</v>
      </c>
      <c r="BY166" s="66">
        <f t="shared" si="178"/>
        <v>0</v>
      </c>
      <c r="BZ166" t="str">
        <f t="shared" si="219"/>
        <v>00062</v>
      </c>
      <c r="CA166" t="str">
        <f t="shared" si="220"/>
        <v>Gastos médicos por accidente</v>
      </c>
      <c r="CB166" s="118">
        <f t="shared" si="221"/>
        <v>0</v>
      </c>
      <c r="CC166" s="118" t="str">
        <f t="shared" si="222"/>
        <v>A</v>
      </c>
      <c r="CD166" s="119" t="str">
        <f t="shared" si="179"/>
        <v/>
      </c>
      <c r="CE166" s="66">
        <f>+IF($W166="","",ROUND((VLOOKUP(ROUNDDOWN($D166-1/frec,0),cob_adi,BO$40,FALSE)*(1+i/frec)^-0.5*(1+Parámetros!$D$103)*(1+rec_fracc)/frec*'TABLAS ADI'!$BC$17),2))</f>
        <v>0</v>
      </c>
      <c r="CF166" s="119" t="str">
        <f t="shared" si="180"/>
        <v/>
      </c>
      <c r="CG166" s="66">
        <f>+IF($W166="","",ROUND(IF($B166&gt;Parámetros!$D$107,'Tablas Servicio'!CE166+('Tablas Servicio'!CG165-'Tablas Servicio'!CE165),CE166/(1-IF(B166&lt;=10,Parámetros!$D$100,0))),2))</f>
        <v>0</v>
      </c>
      <c r="CH166" s="66">
        <f t="shared" si="181"/>
        <v>0</v>
      </c>
      <c r="CI166" s="66">
        <f t="shared" si="181"/>
        <v>0</v>
      </c>
      <c r="CJ166" s="66">
        <f>+IF($W166="","",ROUND((CG166*Parámetros!$G$85),2))</f>
        <v>0</v>
      </c>
      <c r="CK166" s="66">
        <f>+IF($W166="","",ROUND((CG166*(Parámetros!$G$86)),2))</f>
        <v>0</v>
      </c>
      <c r="CL166" s="66">
        <f t="shared" si="182"/>
        <v>0</v>
      </c>
      <c r="CM166" t="str">
        <f t="shared" si="223"/>
        <v>00063</v>
      </c>
      <c r="CN166" s="118" t="str">
        <f t="shared" si="224"/>
        <v>Renta Diaria por Hospitalización</v>
      </c>
      <c r="CO166" s="118">
        <f t="shared" si="225"/>
        <v>0</v>
      </c>
      <c r="CP166" s="118" t="str">
        <f t="shared" si="226"/>
        <v>A</v>
      </c>
      <c r="CQ166" s="119" t="str">
        <f t="shared" si="183"/>
        <v/>
      </c>
      <c r="CR166" s="66">
        <f>+IF($W166="","",ROUND((VLOOKUP(Parámetros!$F$51,'COBERTURAS ADICIONALES'!$S$4:$T$32,2,FALSE)*(1+i/frec)^-0.5*(1+Parámetros!$D$103)*(1+rec_fracc)/frec*$CO$42),2))</f>
        <v>0</v>
      </c>
      <c r="CS166" s="119" t="str">
        <f t="shared" si="184"/>
        <v/>
      </c>
      <c r="CT166" s="66">
        <f>+IF($W166="","",ROUND(IF($B166&gt;Parámetros!$D$107,'Tablas Servicio'!CR166+('Tablas Servicio'!CT165-'Tablas Servicio'!CR165),CR166/(1-IF(B166&lt;=10,Parámetros!$D$100,0))),2))</f>
        <v>0</v>
      </c>
      <c r="CU166" s="66">
        <f t="shared" si="185"/>
        <v>0</v>
      </c>
      <c r="CV166" s="66">
        <f t="shared" si="185"/>
        <v>0</v>
      </c>
      <c r="CW166" s="66">
        <f>+IF($W166="","",ROUND((CT166*Parámetros!$G$85),2))</f>
        <v>0</v>
      </c>
      <c r="CX166" s="66">
        <f>+IF($W166="","",ROUND((CT166*(Parámetros!$G$86)),2))</f>
        <v>0</v>
      </c>
      <c r="CY166" s="66">
        <f t="shared" si="186"/>
        <v>0</v>
      </c>
      <c r="CZ166" t="str">
        <f t="shared" si="227"/>
        <v>00064</v>
      </c>
      <c r="DA166" s="118" t="str">
        <f t="shared" si="228"/>
        <v>Enfermedades Graves</v>
      </c>
      <c r="DB166" s="118">
        <f t="shared" si="229"/>
        <v>0</v>
      </c>
      <c r="DC166" s="118" t="str">
        <f t="shared" si="230"/>
        <v>A</v>
      </c>
      <c r="DD166" s="121" t="str">
        <f>+IF(OR($W166="",DB166=0),"",ROUND((VLOOKUP(ROUNDDOWN($D166-1/frec,0),cob_adi,CO$40,FALSE)*(1+i/frec)^-0.5*(1+Parámetros!$D$103)*(1+rec_fracc)/frec),6))</f>
        <v/>
      </c>
      <c r="DE166" s="66">
        <f t="shared" si="187"/>
        <v>0</v>
      </c>
      <c r="DF166" s="119" t="str">
        <f t="shared" si="188"/>
        <v/>
      </c>
      <c r="DG166" s="66">
        <f>+IF($W166="","",ROUND(IF($B166&gt;Parámetros!$D$107,'Tablas Servicio'!DE166+('Tablas Servicio'!DG165-'Tablas Servicio'!DE165),DE166/(1-IF(B166&lt;=10,Parámetros!$D$100,0))),2))</f>
        <v>0</v>
      </c>
      <c r="DH166" s="66">
        <f t="shared" si="189"/>
        <v>0</v>
      </c>
      <c r="DI166" s="66">
        <f t="shared" si="189"/>
        <v>0</v>
      </c>
      <c r="DJ166" s="66">
        <f>+IF($W166="","",ROUND((DG166*Parámetros!$G$85),2))</f>
        <v>0</v>
      </c>
      <c r="DK166" s="66">
        <f>+IF($W166="","",ROUND((DG166*(Parámetros!$G$86)),2))</f>
        <v>0</v>
      </c>
      <c r="DL166" s="66">
        <f t="shared" si="190"/>
        <v>0</v>
      </c>
      <c r="DM166" t="str">
        <f t="shared" si="231"/>
        <v>00065</v>
      </c>
      <c r="DN166" s="118" t="str">
        <f t="shared" si="232"/>
        <v>Exención pago de primas</v>
      </c>
      <c r="DO166" s="118">
        <f t="shared" si="233"/>
        <v>0</v>
      </c>
      <c r="DP166" s="118" t="str">
        <f t="shared" si="234"/>
        <v>A</v>
      </c>
      <c r="DQ166" s="122" t="str">
        <f>+IF(OR($W166="",DO166=0),"",ROUND((VLOOKUP(ROUNDDOWN($D166-1/frec,0),cob_adi,DB$40,FALSE)*(1+i/frec)^-0.5*(1+Parámetros!$D$103)*(1+rec_fracc)/frec),6))</f>
        <v/>
      </c>
      <c r="DR166" s="66">
        <f t="shared" si="191"/>
        <v>0</v>
      </c>
      <c r="DS166" s="68" t="str">
        <f t="shared" si="192"/>
        <v/>
      </c>
      <c r="DT166" s="66">
        <f>+IF($W166="","",ROUND(IF($B166&gt;Parámetros!$D$107,'Tablas Servicio'!DR166+('Tablas Servicio'!DT165-'Tablas Servicio'!DR165),DR166/(1-IF(B166&lt;=10,Parámetros!$D$100,0))),2))</f>
        <v>0</v>
      </c>
      <c r="DU166" s="66">
        <f t="shared" si="193"/>
        <v>0</v>
      </c>
      <c r="DV166" s="66">
        <f t="shared" si="193"/>
        <v>0</v>
      </c>
      <c r="DW166" s="66">
        <f>+IF($W166="","",ROUND((DT166*Parámetros!$G$85),2))</f>
        <v>0</v>
      </c>
      <c r="DX166" s="66">
        <f>+IF($W166="","",ROUND((DT166*(Parámetros!$G$86)),2))</f>
        <v>0</v>
      </c>
      <c r="DY166" s="66">
        <f t="shared" si="194"/>
        <v>0</v>
      </c>
      <c r="DZ166" t="str">
        <f t="shared" si="237"/>
        <v>00066</v>
      </c>
      <c r="EA166" s="118" t="str">
        <f t="shared" si="237"/>
        <v>Enfermedad terminal</v>
      </c>
      <c r="EB166" s="118">
        <f>+IF($W166="","",ROUND(IF(Parámetros!$D$25='TABLAS MORT'!$V$33,EB165,Z166/2),0))</f>
        <v>50000</v>
      </c>
      <c r="EC166" s="118" t="str">
        <f t="shared" si="237"/>
        <v>A</v>
      </c>
      <c r="ED166" s="122">
        <f>+IF(OR($W166="",EB166=0),"",ROUND((VLOOKUP(ROUNDDOWN($D166-1/frec,0),cob_adi,DO$40,FALSE)*(1+i/frec)^-0.5*(1+Parámetros!$D$103)*(1+rec_fracc)/frec),6))</f>
        <v>1.8E-5</v>
      </c>
      <c r="EE166" s="66">
        <f t="shared" si="196"/>
        <v>0.9</v>
      </c>
      <c r="EF166" s="68">
        <f t="shared" si="197"/>
        <v>1.8E-5</v>
      </c>
      <c r="EG166" s="66">
        <f>+IF($W166="","",ROUND(IF($B166&gt;Parámetros!$D$107,'Tablas Servicio'!EE166+('Tablas Servicio'!EG165-'Tablas Servicio'!EE165),EE166/(1-IF(B166&lt;=10,Parámetros!$D$100,0))),2))</f>
        <v>0.9</v>
      </c>
      <c r="EH166" s="66">
        <f t="shared" si="198"/>
        <v>0</v>
      </c>
      <c r="EI166" s="66">
        <f t="shared" si="198"/>
        <v>0</v>
      </c>
      <c r="EJ166" s="66">
        <f>+IF($W166="","",ROUND((EG166*Parámetros!$G$85),2))</f>
        <v>0.03</v>
      </c>
      <c r="EK166" s="66">
        <f>+IF($W166="","",ROUND((EG166*(Parámetros!$G$86)),2))</f>
        <v>0</v>
      </c>
      <c r="EL166" s="66">
        <f t="shared" si="199"/>
        <v>0.93</v>
      </c>
    </row>
    <row r="167" spans="1:142" x14ac:dyDescent="0.25">
      <c r="A167">
        <f>+IF($C167="","",ROUND(VLOOKUP('Tablas Servicio'!B167,Parámetros!$H$100:$J$159,IF(Parámetros!$E$16="F",2,3),FALSE),2))</f>
        <v>150</v>
      </c>
      <c r="B167">
        <f t="shared" si="150"/>
        <v>11</v>
      </c>
      <c r="C167" s="57">
        <f>+IF(D167="","",'Tablas Servicio'!C166+1)</f>
        <v>126</v>
      </c>
      <c r="D167" s="56">
        <f>+IF(D166&lt;edadmaxtabla,D166+1/Parámetros!$E$25,"")</f>
        <v>50.520000000000302</v>
      </c>
      <c r="E167" s="57">
        <f t="shared" si="160"/>
        <v>50</v>
      </c>
      <c r="F167" s="59">
        <f t="shared" si="161"/>
        <v>100000</v>
      </c>
      <c r="G167" s="66">
        <f t="shared" si="151"/>
        <v>35.6</v>
      </c>
      <c r="H167" s="66">
        <f t="shared" si="152"/>
        <v>37.01</v>
      </c>
      <c r="I167" s="66">
        <f t="shared" si="200"/>
        <v>56.99</v>
      </c>
      <c r="J167" s="66">
        <f t="shared" si="153"/>
        <v>1.24</v>
      </c>
      <c r="K167" s="66">
        <f t="shared" si="154"/>
        <v>0.17</v>
      </c>
      <c r="L167" s="66">
        <f t="shared" si="155"/>
        <v>0</v>
      </c>
      <c r="M167" s="66">
        <f t="shared" si="156"/>
        <v>0</v>
      </c>
      <c r="N167" s="66">
        <f>+IF(C167="","",ROUND(Parámetros!$D$23,2))</f>
        <v>94</v>
      </c>
      <c r="O167" s="66">
        <f t="shared" si="157"/>
        <v>23.099999999999998</v>
      </c>
      <c r="P167" s="66">
        <f>+IF($C167="","",ROUND(IF(B167&gt;Parámetros!$D$117,0,N167*Parámetros!$D$116-G167*Parámetros!$D$100),2))</f>
        <v>0</v>
      </c>
      <c r="Q167" s="75">
        <f t="shared" si="201"/>
        <v>3.4831460674157301E-2</v>
      </c>
      <c r="R167" s="75">
        <f t="shared" si="202"/>
        <v>4.7752808988764045E-3</v>
      </c>
      <c r="S167" s="117">
        <f>+IF($C167="","",ROUND((S166+I167)*(1+Parámetros!$D$91),2))</f>
        <v>8295.67</v>
      </c>
      <c r="T167" s="117">
        <f>+IF($C167="","",ROUND(S167*VLOOKUP(B167,Parámetros!$C$30:$D$39,2,TRUE),2))</f>
        <v>8295.67</v>
      </c>
      <c r="U167" s="117">
        <f>+IF($C167="","",ROUND((U166+I167)*(1+Parámetros!$D$92),2))</f>
        <v>8533.84</v>
      </c>
      <c r="V167" s="117">
        <f>+IF($C167="","",ROUND(U167*VLOOKUP(B167,Parámetros!$C$30:$D$39,2,TRUE),2))</f>
        <v>8533.84</v>
      </c>
      <c r="W167" s="57">
        <f t="shared" si="203"/>
        <v>126</v>
      </c>
      <c r="X167" t="str">
        <f t="shared" si="204"/>
        <v>00058</v>
      </c>
      <c r="Y167" t="str">
        <f t="shared" si="205"/>
        <v>MUERTE POR CUALQUIER CAUSA</v>
      </c>
      <c r="Z167" s="118">
        <f>+IF($W167="","",ROUND(IF(Parámetros!$D$25='TABLAS MORT'!$V$33,Z166,Parámetros!$D$21-'Tablas Servicio'!T166),0))</f>
        <v>100000</v>
      </c>
      <c r="AA167" s="118" t="str">
        <f t="shared" si="206"/>
        <v>P</v>
      </c>
      <c r="AB167" s="119">
        <f>+IF(W167="","",ROUND((VLOOKUP(ROUNDDOWN($D167-1/frec,0),qx_tabla,2,FALSE)*(1+i/frec)^-0.5*(1+Parámetros!$D$103)*(1+rec_fracc)/frec),6))</f>
        <v>2.22E-4</v>
      </c>
      <c r="AC167" s="66">
        <f t="shared" si="162"/>
        <v>22.2</v>
      </c>
      <c r="AD167" s="119">
        <f t="shared" si="158"/>
        <v>3.4699999999999998E-4</v>
      </c>
      <c r="AE167" s="66">
        <f>+IF($W167="","",ROUND(IF($B167&gt;Parámetros!$D$107,'Tablas Servicio'!AC167+('Tablas Servicio'!AG166-'Tablas Servicio'!AC166),AC167/(1-IF(B167&lt;=10,Parámetros!$D$104,Parámetros!$D$105))),2))</f>
        <v>37</v>
      </c>
      <c r="AF167" s="66">
        <f>+IF($W167="","",ROUND(IF($B167&gt;Parámetros!$D$107,'Tablas Servicio'!AC167+('Tablas Servicio'!AG166-'Tablas Servicio'!AC166),(AC167+$A166/frec)/(1-IF(B167&lt;=Parámetros!$D$117,Parámetros!$D$100,0))),2))</f>
        <v>34.700000000000003</v>
      </c>
      <c r="AG167" s="66">
        <f t="shared" si="163"/>
        <v>34.700000000000003</v>
      </c>
      <c r="AH167" s="66">
        <f t="shared" si="164"/>
        <v>0</v>
      </c>
      <c r="AI167" s="66">
        <f t="shared" si="165"/>
        <v>0</v>
      </c>
      <c r="AJ167" s="66">
        <f>+IF($W167="","",ROUND((AG167*Parámetros!$G$85),2))</f>
        <v>1.21</v>
      </c>
      <c r="AK167" s="66">
        <f>+IF($W167="","",ROUND((AG167*(Parámetros!$G$86)),2))</f>
        <v>0.17</v>
      </c>
      <c r="AL167" s="66">
        <f t="shared" si="159"/>
        <v>36.08</v>
      </c>
      <c r="AM167" t="str">
        <f t="shared" si="207"/>
        <v>00059</v>
      </c>
      <c r="AN167" t="str">
        <f t="shared" si="208"/>
        <v>Incapacidad Total y Permanente</v>
      </c>
      <c r="AO167" s="118">
        <f t="shared" si="209"/>
        <v>0</v>
      </c>
      <c r="AP167" s="118" t="str">
        <f t="shared" si="210"/>
        <v>A</v>
      </c>
      <c r="AQ167" s="119" t="str">
        <f>+IF(OR($W167="",AO167=0),"",ROUND((VLOOKUP(ROUNDDOWN($D167-1/frec,0),cob_adi,Z$40,FALSE)*(1+i/frec)^-0.5*(1+Parámetros!$D$103)*(1+rec_fracc)/frec),6))</f>
        <v/>
      </c>
      <c r="AR167" s="66">
        <f t="shared" si="166"/>
        <v>0</v>
      </c>
      <c r="AS167" s="119" t="str">
        <f t="shared" si="167"/>
        <v/>
      </c>
      <c r="AT167" s="66">
        <f>+IF($W167="","",ROUND(IF($B167&gt;Parámetros!$D$107,'Tablas Servicio'!AR167+('Tablas Servicio'!AT166-'Tablas Servicio'!AR166),AR167/(1-IF(B167&lt;=10,Parámetros!$D$100,0))),2))</f>
        <v>0</v>
      </c>
      <c r="AU167" s="66">
        <f t="shared" si="168"/>
        <v>0</v>
      </c>
      <c r="AV167" s="66">
        <f t="shared" si="168"/>
        <v>0</v>
      </c>
      <c r="AW167" s="66">
        <f>+IF($W167="","",ROUND((AT167*Parámetros!$G$85),2))</f>
        <v>0</v>
      </c>
      <c r="AX167" s="66">
        <f>+IF($W167="","",ROUND((AT167*(Parámetros!$G$86)),2))</f>
        <v>0</v>
      </c>
      <c r="AY167" s="66">
        <f t="shared" si="169"/>
        <v>0</v>
      </c>
      <c r="AZ167" t="str">
        <f t="shared" si="211"/>
        <v>00060</v>
      </c>
      <c r="BA167" t="str">
        <f t="shared" si="212"/>
        <v>Muerte Accidental</v>
      </c>
      <c r="BB167" s="118">
        <f t="shared" si="213"/>
        <v>0</v>
      </c>
      <c r="BC167" s="118" t="str">
        <f t="shared" si="214"/>
        <v>A</v>
      </c>
      <c r="BD167" s="119" t="str">
        <f>+IF(OR($W167="",BB167=0),"",ROUND((VLOOKUP(ROUNDDOWN($D167-1/frec,0),cob_adi,AO$40,FALSE)*(1+i/frec)^-0.5*(1+Parámetros!$D$103)*(1+rec_fracc)/frec),6))</f>
        <v/>
      </c>
      <c r="BE167" s="66">
        <f t="shared" si="170"/>
        <v>0</v>
      </c>
      <c r="BF167" s="119" t="str">
        <f t="shared" si="171"/>
        <v/>
      </c>
      <c r="BG167" s="66">
        <f>+IF($W167="","",ROUND(IF($B167&gt;Parámetros!$D$107,'Tablas Servicio'!BE167+('Tablas Servicio'!BG166-'Tablas Servicio'!BE166),BE167/(1-IF(B167&lt;=10,Parámetros!$D$100,0))),2))</f>
        <v>0</v>
      </c>
      <c r="BH167" s="66">
        <f t="shared" si="172"/>
        <v>0</v>
      </c>
      <c r="BI167" s="66">
        <f t="shared" si="173"/>
        <v>0</v>
      </c>
      <c r="BJ167" s="66">
        <f>+IF($W167="","",ROUND((BG167*Parámetros!$G$85),2))</f>
        <v>0</v>
      </c>
      <c r="BK167" s="66">
        <f>+IF($W167="","",ROUND((BG167*(Parámetros!$G$86)),2))</f>
        <v>0</v>
      </c>
      <c r="BL167" s="66">
        <f t="shared" si="174"/>
        <v>0</v>
      </c>
      <c r="BM167" t="str">
        <f t="shared" si="215"/>
        <v>00061</v>
      </c>
      <c r="BN167" t="str">
        <f t="shared" si="216"/>
        <v>Gastos de Entierro</v>
      </c>
      <c r="BO167" s="118">
        <f t="shared" si="217"/>
        <v>0</v>
      </c>
      <c r="BP167" s="118" t="str">
        <f t="shared" si="218"/>
        <v>A</v>
      </c>
      <c r="BQ167" s="119" t="str">
        <f>+IF(OR($W167="",BO167=0),"",ROUND((VLOOKUP(ROUNDDOWN($D167-1/frec,0),cob_adi,BB$40,FALSE)*(1+i/frec)^-0.5*(1+Parámetros!$D$103)*(1+rec_fracc)/frec),6))</f>
        <v/>
      </c>
      <c r="BR167" s="66">
        <f t="shared" si="175"/>
        <v>0</v>
      </c>
      <c r="BS167" s="119" t="str">
        <f t="shared" si="176"/>
        <v/>
      </c>
      <c r="BT167" s="66">
        <f>+IF($W167="","",ROUND(IF($B167&gt;Parámetros!$D$107,'Tablas Servicio'!BR167+('Tablas Servicio'!BT166-'Tablas Servicio'!BR166),BR167/(1-IF(B167&lt;=10,Parámetros!$D$100,0))),2))</f>
        <v>0</v>
      </c>
      <c r="BU167" s="66">
        <f t="shared" si="177"/>
        <v>0</v>
      </c>
      <c r="BV167" s="66">
        <f t="shared" si="177"/>
        <v>0</v>
      </c>
      <c r="BW167" s="66">
        <f>+IF($W167="","",ROUND((BT167*Parámetros!$G$85),2))</f>
        <v>0</v>
      </c>
      <c r="BX167" s="66">
        <f>+IF($W167="","",ROUND((BT167*(Parámetros!$G$86)),2))</f>
        <v>0</v>
      </c>
      <c r="BY167" s="66">
        <f t="shared" si="178"/>
        <v>0</v>
      </c>
      <c r="BZ167" t="str">
        <f t="shared" si="219"/>
        <v>00062</v>
      </c>
      <c r="CA167" t="str">
        <f t="shared" si="220"/>
        <v>Gastos médicos por accidente</v>
      </c>
      <c r="CB167" s="118">
        <f t="shared" si="221"/>
        <v>0</v>
      </c>
      <c r="CC167" s="118" t="str">
        <f t="shared" si="222"/>
        <v>A</v>
      </c>
      <c r="CD167" s="119" t="str">
        <f t="shared" si="179"/>
        <v/>
      </c>
      <c r="CE167" s="66">
        <f>+IF($W167="","",ROUND((VLOOKUP(ROUNDDOWN($D167-1/frec,0),cob_adi,BO$40,FALSE)*(1+i/frec)^-0.5*(1+Parámetros!$D$103)*(1+rec_fracc)/frec*'TABLAS ADI'!$BC$17),2))</f>
        <v>0</v>
      </c>
      <c r="CF167" s="119" t="str">
        <f t="shared" si="180"/>
        <v/>
      </c>
      <c r="CG167" s="66">
        <f>+IF($W167="","",ROUND(IF($B167&gt;Parámetros!$D$107,'Tablas Servicio'!CE167+('Tablas Servicio'!CG166-'Tablas Servicio'!CE166),CE167/(1-IF(B167&lt;=10,Parámetros!$D$100,0))),2))</f>
        <v>0</v>
      </c>
      <c r="CH167" s="66">
        <f t="shared" si="181"/>
        <v>0</v>
      </c>
      <c r="CI167" s="66">
        <f t="shared" si="181"/>
        <v>0</v>
      </c>
      <c r="CJ167" s="66">
        <f>+IF($W167="","",ROUND((CG167*Parámetros!$G$85),2))</f>
        <v>0</v>
      </c>
      <c r="CK167" s="66">
        <f>+IF($W167="","",ROUND((CG167*(Parámetros!$G$86)),2))</f>
        <v>0</v>
      </c>
      <c r="CL167" s="66">
        <f t="shared" si="182"/>
        <v>0</v>
      </c>
      <c r="CM167" t="str">
        <f t="shared" si="223"/>
        <v>00063</v>
      </c>
      <c r="CN167" s="118" t="str">
        <f t="shared" si="224"/>
        <v>Renta Diaria por Hospitalización</v>
      </c>
      <c r="CO167" s="118">
        <f t="shared" si="225"/>
        <v>0</v>
      </c>
      <c r="CP167" s="118" t="str">
        <f t="shared" si="226"/>
        <v>A</v>
      </c>
      <c r="CQ167" s="119" t="str">
        <f t="shared" si="183"/>
        <v/>
      </c>
      <c r="CR167" s="66">
        <f>+IF($W167="","",ROUND((VLOOKUP(Parámetros!$F$51,'COBERTURAS ADICIONALES'!$S$4:$T$32,2,FALSE)*(1+i/frec)^-0.5*(1+Parámetros!$D$103)*(1+rec_fracc)/frec*$CO$42),2))</f>
        <v>0</v>
      </c>
      <c r="CS167" s="119" t="str">
        <f t="shared" si="184"/>
        <v/>
      </c>
      <c r="CT167" s="66">
        <f>+IF($W167="","",ROUND(IF($B167&gt;Parámetros!$D$107,'Tablas Servicio'!CR167+('Tablas Servicio'!CT166-'Tablas Servicio'!CR166),CR167/(1-IF(B167&lt;=10,Parámetros!$D$100,0))),2))</f>
        <v>0</v>
      </c>
      <c r="CU167" s="66">
        <f t="shared" si="185"/>
        <v>0</v>
      </c>
      <c r="CV167" s="66">
        <f t="shared" si="185"/>
        <v>0</v>
      </c>
      <c r="CW167" s="66">
        <f>+IF($W167="","",ROUND((CT167*Parámetros!$G$85),2))</f>
        <v>0</v>
      </c>
      <c r="CX167" s="66">
        <f>+IF($W167="","",ROUND((CT167*(Parámetros!$G$86)),2))</f>
        <v>0</v>
      </c>
      <c r="CY167" s="66">
        <f t="shared" si="186"/>
        <v>0</v>
      </c>
      <c r="CZ167" t="str">
        <f t="shared" si="227"/>
        <v>00064</v>
      </c>
      <c r="DA167" s="118" t="str">
        <f t="shared" si="228"/>
        <v>Enfermedades Graves</v>
      </c>
      <c r="DB167" s="118">
        <f t="shared" si="229"/>
        <v>0</v>
      </c>
      <c r="DC167" s="118" t="str">
        <f t="shared" si="230"/>
        <v>A</v>
      </c>
      <c r="DD167" s="121" t="str">
        <f>+IF(OR($W167="",DB167=0),"",ROUND((VLOOKUP(ROUNDDOWN($D167-1/frec,0),cob_adi,CO$40,FALSE)*(1+i/frec)^-0.5*(1+Parámetros!$D$103)*(1+rec_fracc)/frec),6))</f>
        <v/>
      </c>
      <c r="DE167" s="66">
        <f t="shared" si="187"/>
        <v>0</v>
      </c>
      <c r="DF167" s="119" t="str">
        <f t="shared" si="188"/>
        <v/>
      </c>
      <c r="DG167" s="66">
        <f>+IF($W167="","",ROUND(IF($B167&gt;Parámetros!$D$107,'Tablas Servicio'!DE167+('Tablas Servicio'!DG166-'Tablas Servicio'!DE166),DE167/(1-IF(B167&lt;=10,Parámetros!$D$100,0))),2))</f>
        <v>0</v>
      </c>
      <c r="DH167" s="66">
        <f t="shared" si="189"/>
        <v>0</v>
      </c>
      <c r="DI167" s="66">
        <f t="shared" si="189"/>
        <v>0</v>
      </c>
      <c r="DJ167" s="66">
        <f>+IF($W167="","",ROUND((DG167*Parámetros!$G$85),2))</f>
        <v>0</v>
      </c>
      <c r="DK167" s="66">
        <f>+IF($W167="","",ROUND((DG167*(Parámetros!$G$86)),2))</f>
        <v>0</v>
      </c>
      <c r="DL167" s="66">
        <f t="shared" si="190"/>
        <v>0</v>
      </c>
      <c r="DM167" t="str">
        <f t="shared" si="231"/>
        <v>00065</v>
      </c>
      <c r="DN167" s="118" t="str">
        <f t="shared" si="232"/>
        <v>Exención pago de primas</v>
      </c>
      <c r="DO167" s="118">
        <f t="shared" si="233"/>
        <v>0</v>
      </c>
      <c r="DP167" s="118" t="str">
        <f t="shared" si="234"/>
        <v>A</v>
      </c>
      <c r="DQ167" s="122" t="str">
        <f>+IF(OR($W167="",DO167=0),"",ROUND((VLOOKUP(ROUNDDOWN($D167-1/frec,0),cob_adi,DB$40,FALSE)*(1+i/frec)^-0.5*(1+Parámetros!$D$103)*(1+rec_fracc)/frec),6))</f>
        <v/>
      </c>
      <c r="DR167" s="66">
        <f t="shared" si="191"/>
        <v>0</v>
      </c>
      <c r="DS167" s="68" t="str">
        <f t="shared" si="192"/>
        <v/>
      </c>
      <c r="DT167" s="66">
        <f>+IF($W167="","",ROUND(IF($B167&gt;Parámetros!$D$107,'Tablas Servicio'!DR167+('Tablas Servicio'!DT166-'Tablas Servicio'!DR166),DR167/(1-IF(B167&lt;=10,Parámetros!$D$100,0))),2))</f>
        <v>0</v>
      </c>
      <c r="DU167" s="66">
        <f t="shared" si="193"/>
        <v>0</v>
      </c>
      <c r="DV167" s="66">
        <f t="shared" si="193"/>
        <v>0</v>
      </c>
      <c r="DW167" s="66">
        <f>+IF($W167="","",ROUND((DT167*Parámetros!$G$85),2))</f>
        <v>0</v>
      </c>
      <c r="DX167" s="66">
        <f>+IF($W167="","",ROUND((DT167*(Parámetros!$G$86)),2))</f>
        <v>0</v>
      </c>
      <c r="DY167" s="66">
        <f t="shared" si="194"/>
        <v>0</v>
      </c>
      <c r="DZ167" t="str">
        <f t="shared" si="237"/>
        <v>00066</v>
      </c>
      <c r="EA167" s="118" t="str">
        <f t="shared" si="237"/>
        <v>Enfermedad terminal</v>
      </c>
      <c r="EB167" s="118">
        <f>+IF($W167="","",ROUND(IF(Parámetros!$D$25='TABLAS MORT'!$V$33,EB166,Z167/2),0))</f>
        <v>50000</v>
      </c>
      <c r="EC167" s="118" t="str">
        <f t="shared" si="237"/>
        <v>A</v>
      </c>
      <c r="ED167" s="122">
        <f>+IF(OR($W167="",EB167=0),"",ROUND((VLOOKUP(ROUNDDOWN($D167-1/frec,0),cob_adi,DO$40,FALSE)*(1+i/frec)^-0.5*(1+Parámetros!$D$103)*(1+rec_fracc)/frec),6))</f>
        <v>1.8E-5</v>
      </c>
      <c r="EE167" s="66">
        <f t="shared" si="196"/>
        <v>0.9</v>
      </c>
      <c r="EF167" s="68">
        <f t="shared" si="197"/>
        <v>1.8E-5</v>
      </c>
      <c r="EG167" s="66">
        <f>+IF($W167="","",ROUND(IF($B167&gt;Parámetros!$D$107,'Tablas Servicio'!EE167+('Tablas Servicio'!EG166-'Tablas Servicio'!EE166),EE167/(1-IF(B167&lt;=10,Parámetros!$D$100,0))),2))</f>
        <v>0.9</v>
      </c>
      <c r="EH167" s="66">
        <f t="shared" si="198"/>
        <v>0</v>
      </c>
      <c r="EI167" s="66">
        <f t="shared" si="198"/>
        <v>0</v>
      </c>
      <c r="EJ167" s="66">
        <f>+IF($W167="","",ROUND((EG167*Parámetros!$G$85),2))</f>
        <v>0.03</v>
      </c>
      <c r="EK167" s="66">
        <f>+IF($W167="","",ROUND((EG167*(Parámetros!$G$86)),2))</f>
        <v>0</v>
      </c>
      <c r="EL167" s="66">
        <f t="shared" si="199"/>
        <v>0.93</v>
      </c>
    </row>
    <row r="168" spans="1:142" x14ac:dyDescent="0.25">
      <c r="A168">
        <f>+IF($C168="","",ROUND(VLOOKUP('Tablas Servicio'!B168,Parámetros!$H$100:$J$159,IF(Parámetros!$E$16="F",2,3),FALSE),2))</f>
        <v>150</v>
      </c>
      <c r="B168">
        <f t="shared" si="150"/>
        <v>11</v>
      </c>
      <c r="C168" s="57">
        <f>+IF(D168="","",'Tablas Servicio'!C167+1)</f>
        <v>127</v>
      </c>
      <c r="D168" s="56">
        <f>+IF(D167&lt;edadmaxtabla,D167+1/Parámetros!$E$25,"")</f>
        <v>50.603333333333637</v>
      </c>
      <c r="E168" s="57">
        <f t="shared" si="160"/>
        <v>50</v>
      </c>
      <c r="F168" s="59">
        <f t="shared" si="161"/>
        <v>100000</v>
      </c>
      <c r="G168" s="66">
        <f t="shared" si="151"/>
        <v>35.6</v>
      </c>
      <c r="H168" s="66">
        <f t="shared" si="152"/>
        <v>37.01</v>
      </c>
      <c r="I168" s="66">
        <f t="shared" si="200"/>
        <v>56.99</v>
      </c>
      <c r="J168" s="66">
        <f t="shared" si="153"/>
        <v>1.24</v>
      </c>
      <c r="K168" s="66">
        <f t="shared" si="154"/>
        <v>0.17</v>
      </c>
      <c r="L168" s="66">
        <f t="shared" si="155"/>
        <v>0</v>
      </c>
      <c r="M168" s="66">
        <f t="shared" si="156"/>
        <v>0</v>
      </c>
      <c r="N168" s="66">
        <f>+IF(C168="","",ROUND(Parámetros!$D$23,2))</f>
        <v>94</v>
      </c>
      <c r="O168" s="66">
        <f t="shared" si="157"/>
        <v>23.099999999999998</v>
      </c>
      <c r="P168" s="66">
        <f>+IF($C168="","",ROUND(IF(B168&gt;Parámetros!$D$117,0,N168*Parámetros!$D$116-G168*Parámetros!$D$100),2))</f>
        <v>0</v>
      </c>
      <c r="Q168" s="75">
        <f t="shared" si="201"/>
        <v>3.4831460674157301E-2</v>
      </c>
      <c r="R168" s="75">
        <f t="shared" si="202"/>
        <v>4.7752808988764045E-3</v>
      </c>
      <c r="S168" s="117">
        <f>+IF($C168="","",ROUND((S167+I168)*(1+Parámetros!$D$91),2))</f>
        <v>8376.35</v>
      </c>
      <c r="T168" s="117">
        <f>+IF($C168="","",ROUND(S168*VLOOKUP(B168,Parámetros!$C$30:$D$39,2,TRUE),2))</f>
        <v>8376.35</v>
      </c>
      <c r="U168" s="117">
        <f>+IF($C168="","",ROUND((U167+I168)*(1+Parámetros!$D$92),2))</f>
        <v>8618.68</v>
      </c>
      <c r="V168" s="117">
        <f>+IF($C168="","",ROUND(U168*VLOOKUP(B168,Parámetros!$C$30:$D$39,2,TRUE),2))</f>
        <v>8618.68</v>
      </c>
      <c r="W168" s="57">
        <f t="shared" si="203"/>
        <v>127</v>
      </c>
      <c r="X168" t="str">
        <f t="shared" si="204"/>
        <v>00058</v>
      </c>
      <c r="Y168" t="str">
        <f t="shared" si="205"/>
        <v>MUERTE POR CUALQUIER CAUSA</v>
      </c>
      <c r="Z168" s="118">
        <f>+IF($W168="","",ROUND(IF(Parámetros!$D$25='TABLAS MORT'!$V$33,Z167,Parámetros!$D$21-'Tablas Servicio'!T167),0))</f>
        <v>100000</v>
      </c>
      <c r="AA168" s="118" t="str">
        <f t="shared" si="206"/>
        <v>P</v>
      </c>
      <c r="AB168" s="119">
        <f>+IF(W168="","",ROUND((VLOOKUP(ROUNDDOWN($D168-1/frec,0),qx_tabla,2,FALSE)*(1+i/frec)^-0.5*(1+Parámetros!$D$103)*(1+rec_fracc)/frec),6))</f>
        <v>2.22E-4</v>
      </c>
      <c r="AC168" s="66">
        <f t="shared" si="162"/>
        <v>22.2</v>
      </c>
      <c r="AD168" s="119">
        <f t="shared" si="158"/>
        <v>3.4699999999999998E-4</v>
      </c>
      <c r="AE168" s="66">
        <f>+IF($W168="","",ROUND(IF($B168&gt;Parámetros!$D$107,'Tablas Servicio'!AC168+('Tablas Servicio'!AG167-'Tablas Servicio'!AC167),AC168/(1-IF(B168&lt;=10,Parámetros!$D$104,Parámetros!$D$105))),2))</f>
        <v>37</v>
      </c>
      <c r="AF168" s="66">
        <f>+IF($W168="","",ROUND(IF($B168&gt;Parámetros!$D$107,'Tablas Servicio'!AC168+('Tablas Servicio'!AG167-'Tablas Servicio'!AC167),(AC168+$A167/frec)/(1-IF(B168&lt;=Parámetros!$D$117,Parámetros!$D$100,0))),2))</f>
        <v>34.700000000000003</v>
      </c>
      <c r="AG168" s="66">
        <f t="shared" si="163"/>
        <v>34.700000000000003</v>
      </c>
      <c r="AH168" s="66">
        <f t="shared" si="164"/>
        <v>0</v>
      </c>
      <c r="AI168" s="66">
        <f t="shared" si="165"/>
        <v>0</v>
      </c>
      <c r="AJ168" s="66">
        <f>+IF($W168="","",ROUND((AG168*Parámetros!$G$85),2))</f>
        <v>1.21</v>
      </c>
      <c r="AK168" s="66">
        <f>+IF($W168="","",ROUND((AG168*(Parámetros!$G$86)),2))</f>
        <v>0.17</v>
      </c>
      <c r="AL168" s="66">
        <f t="shared" si="159"/>
        <v>36.08</v>
      </c>
      <c r="AM168" t="str">
        <f t="shared" si="207"/>
        <v>00059</v>
      </c>
      <c r="AN168" t="str">
        <f t="shared" si="208"/>
        <v>Incapacidad Total y Permanente</v>
      </c>
      <c r="AO168" s="118">
        <f t="shared" si="209"/>
        <v>0</v>
      </c>
      <c r="AP168" s="118" t="str">
        <f t="shared" si="210"/>
        <v>A</v>
      </c>
      <c r="AQ168" s="119" t="str">
        <f>+IF(OR($W168="",AO168=0),"",ROUND((VLOOKUP(ROUNDDOWN($D168-1/frec,0),cob_adi,Z$40,FALSE)*(1+i/frec)^-0.5*(1+Parámetros!$D$103)*(1+rec_fracc)/frec),6))</f>
        <v/>
      </c>
      <c r="AR168" s="66">
        <f t="shared" si="166"/>
        <v>0</v>
      </c>
      <c r="AS168" s="119" t="str">
        <f t="shared" si="167"/>
        <v/>
      </c>
      <c r="AT168" s="66">
        <f>+IF($W168="","",ROUND(IF($B168&gt;Parámetros!$D$107,'Tablas Servicio'!AR168+('Tablas Servicio'!AT167-'Tablas Servicio'!AR167),AR168/(1-IF(B168&lt;=10,Parámetros!$D$100,0))),2))</f>
        <v>0</v>
      </c>
      <c r="AU168" s="66">
        <f t="shared" si="168"/>
        <v>0</v>
      </c>
      <c r="AV168" s="66">
        <f t="shared" si="168"/>
        <v>0</v>
      </c>
      <c r="AW168" s="66">
        <f>+IF($W168="","",ROUND((AT168*Parámetros!$G$85),2))</f>
        <v>0</v>
      </c>
      <c r="AX168" s="66">
        <f>+IF($W168="","",ROUND((AT168*(Parámetros!$G$86)),2))</f>
        <v>0</v>
      </c>
      <c r="AY168" s="66">
        <f t="shared" si="169"/>
        <v>0</v>
      </c>
      <c r="AZ168" t="str">
        <f t="shared" si="211"/>
        <v>00060</v>
      </c>
      <c r="BA168" t="str">
        <f t="shared" si="212"/>
        <v>Muerte Accidental</v>
      </c>
      <c r="BB168" s="118">
        <f t="shared" si="213"/>
        <v>0</v>
      </c>
      <c r="BC168" s="118" t="str">
        <f t="shared" si="214"/>
        <v>A</v>
      </c>
      <c r="BD168" s="119" t="str">
        <f>+IF(OR($W168="",BB168=0),"",ROUND((VLOOKUP(ROUNDDOWN($D168-1/frec,0),cob_adi,AO$40,FALSE)*(1+i/frec)^-0.5*(1+Parámetros!$D$103)*(1+rec_fracc)/frec),6))</f>
        <v/>
      </c>
      <c r="BE168" s="66">
        <f t="shared" si="170"/>
        <v>0</v>
      </c>
      <c r="BF168" s="119" t="str">
        <f t="shared" si="171"/>
        <v/>
      </c>
      <c r="BG168" s="66">
        <f>+IF($W168="","",ROUND(IF($B168&gt;Parámetros!$D$107,'Tablas Servicio'!BE168+('Tablas Servicio'!BG167-'Tablas Servicio'!BE167),BE168/(1-IF(B168&lt;=10,Parámetros!$D$100,0))),2))</f>
        <v>0</v>
      </c>
      <c r="BH168" s="66">
        <f t="shared" si="172"/>
        <v>0</v>
      </c>
      <c r="BI168" s="66">
        <f t="shared" si="173"/>
        <v>0</v>
      </c>
      <c r="BJ168" s="66">
        <f>+IF($W168="","",ROUND((BG168*Parámetros!$G$85),2))</f>
        <v>0</v>
      </c>
      <c r="BK168" s="66">
        <f>+IF($W168="","",ROUND((BG168*(Parámetros!$G$86)),2))</f>
        <v>0</v>
      </c>
      <c r="BL168" s="66">
        <f t="shared" si="174"/>
        <v>0</v>
      </c>
      <c r="BM168" t="str">
        <f t="shared" si="215"/>
        <v>00061</v>
      </c>
      <c r="BN168" t="str">
        <f t="shared" si="216"/>
        <v>Gastos de Entierro</v>
      </c>
      <c r="BO168" s="118">
        <f t="shared" si="217"/>
        <v>0</v>
      </c>
      <c r="BP168" s="118" t="str">
        <f t="shared" si="218"/>
        <v>A</v>
      </c>
      <c r="BQ168" s="119" t="str">
        <f>+IF(OR($W168="",BO168=0),"",ROUND((VLOOKUP(ROUNDDOWN($D168-1/frec,0),cob_adi,BB$40,FALSE)*(1+i/frec)^-0.5*(1+Parámetros!$D$103)*(1+rec_fracc)/frec),6))</f>
        <v/>
      </c>
      <c r="BR168" s="66">
        <f t="shared" si="175"/>
        <v>0</v>
      </c>
      <c r="BS168" s="119" t="str">
        <f t="shared" si="176"/>
        <v/>
      </c>
      <c r="BT168" s="66">
        <f>+IF($W168="","",ROUND(IF($B168&gt;Parámetros!$D$107,'Tablas Servicio'!BR168+('Tablas Servicio'!BT167-'Tablas Servicio'!BR167),BR168/(1-IF(B168&lt;=10,Parámetros!$D$100,0))),2))</f>
        <v>0</v>
      </c>
      <c r="BU168" s="66">
        <f t="shared" si="177"/>
        <v>0</v>
      </c>
      <c r="BV168" s="66">
        <f t="shared" si="177"/>
        <v>0</v>
      </c>
      <c r="BW168" s="66">
        <f>+IF($W168="","",ROUND((BT168*Parámetros!$G$85),2))</f>
        <v>0</v>
      </c>
      <c r="BX168" s="66">
        <f>+IF($W168="","",ROUND((BT168*(Parámetros!$G$86)),2))</f>
        <v>0</v>
      </c>
      <c r="BY168" s="66">
        <f t="shared" si="178"/>
        <v>0</v>
      </c>
      <c r="BZ168" t="str">
        <f t="shared" si="219"/>
        <v>00062</v>
      </c>
      <c r="CA168" t="str">
        <f t="shared" si="220"/>
        <v>Gastos médicos por accidente</v>
      </c>
      <c r="CB168" s="118">
        <f t="shared" si="221"/>
        <v>0</v>
      </c>
      <c r="CC168" s="118" t="str">
        <f t="shared" si="222"/>
        <v>A</v>
      </c>
      <c r="CD168" s="119" t="str">
        <f t="shared" si="179"/>
        <v/>
      </c>
      <c r="CE168" s="66">
        <f>+IF($W168="","",ROUND((VLOOKUP(ROUNDDOWN($D168-1/frec,0),cob_adi,BO$40,FALSE)*(1+i/frec)^-0.5*(1+Parámetros!$D$103)*(1+rec_fracc)/frec*'TABLAS ADI'!$BC$17),2))</f>
        <v>0</v>
      </c>
      <c r="CF168" s="119" t="str">
        <f t="shared" si="180"/>
        <v/>
      </c>
      <c r="CG168" s="66">
        <f>+IF($W168="","",ROUND(IF($B168&gt;Parámetros!$D$107,'Tablas Servicio'!CE168+('Tablas Servicio'!CG167-'Tablas Servicio'!CE167),CE168/(1-IF(B168&lt;=10,Parámetros!$D$100,0))),2))</f>
        <v>0</v>
      </c>
      <c r="CH168" s="66">
        <f t="shared" si="181"/>
        <v>0</v>
      </c>
      <c r="CI168" s="66">
        <f t="shared" si="181"/>
        <v>0</v>
      </c>
      <c r="CJ168" s="66">
        <f>+IF($W168="","",ROUND((CG168*Parámetros!$G$85),2))</f>
        <v>0</v>
      </c>
      <c r="CK168" s="66">
        <f>+IF($W168="","",ROUND((CG168*(Parámetros!$G$86)),2))</f>
        <v>0</v>
      </c>
      <c r="CL168" s="66">
        <f t="shared" si="182"/>
        <v>0</v>
      </c>
      <c r="CM168" t="str">
        <f t="shared" si="223"/>
        <v>00063</v>
      </c>
      <c r="CN168" s="118" t="str">
        <f t="shared" si="224"/>
        <v>Renta Diaria por Hospitalización</v>
      </c>
      <c r="CO168" s="118">
        <f t="shared" si="225"/>
        <v>0</v>
      </c>
      <c r="CP168" s="118" t="str">
        <f t="shared" si="226"/>
        <v>A</v>
      </c>
      <c r="CQ168" s="119" t="str">
        <f t="shared" si="183"/>
        <v/>
      </c>
      <c r="CR168" s="66">
        <f>+IF($W168="","",ROUND((VLOOKUP(Parámetros!$F$51,'COBERTURAS ADICIONALES'!$S$4:$T$32,2,FALSE)*(1+i/frec)^-0.5*(1+Parámetros!$D$103)*(1+rec_fracc)/frec*$CO$42),2))</f>
        <v>0</v>
      </c>
      <c r="CS168" s="119" t="str">
        <f t="shared" si="184"/>
        <v/>
      </c>
      <c r="CT168" s="66">
        <f>+IF($W168="","",ROUND(IF($B168&gt;Parámetros!$D$107,'Tablas Servicio'!CR168+('Tablas Servicio'!CT167-'Tablas Servicio'!CR167),CR168/(1-IF(B168&lt;=10,Parámetros!$D$100,0))),2))</f>
        <v>0</v>
      </c>
      <c r="CU168" s="66">
        <f t="shared" si="185"/>
        <v>0</v>
      </c>
      <c r="CV168" s="66">
        <f t="shared" si="185"/>
        <v>0</v>
      </c>
      <c r="CW168" s="66">
        <f>+IF($W168="","",ROUND((CT168*Parámetros!$G$85),2))</f>
        <v>0</v>
      </c>
      <c r="CX168" s="66">
        <f>+IF($W168="","",ROUND((CT168*(Parámetros!$G$86)),2))</f>
        <v>0</v>
      </c>
      <c r="CY168" s="66">
        <f t="shared" si="186"/>
        <v>0</v>
      </c>
      <c r="CZ168" t="str">
        <f t="shared" si="227"/>
        <v>00064</v>
      </c>
      <c r="DA168" s="118" t="str">
        <f t="shared" si="228"/>
        <v>Enfermedades Graves</v>
      </c>
      <c r="DB168" s="118">
        <f t="shared" si="229"/>
        <v>0</v>
      </c>
      <c r="DC168" s="118" t="str">
        <f t="shared" si="230"/>
        <v>A</v>
      </c>
      <c r="DD168" s="121" t="str">
        <f>+IF(OR($W168="",DB168=0),"",ROUND((VLOOKUP(ROUNDDOWN($D168-1/frec,0),cob_adi,CO$40,FALSE)*(1+i/frec)^-0.5*(1+Parámetros!$D$103)*(1+rec_fracc)/frec),6))</f>
        <v/>
      </c>
      <c r="DE168" s="66">
        <f t="shared" si="187"/>
        <v>0</v>
      </c>
      <c r="DF168" s="119" t="str">
        <f t="shared" si="188"/>
        <v/>
      </c>
      <c r="DG168" s="66">
        <f>+IF($W168="","",ROUND(IF($B168&gt;Parámetros!$D$107,'Tablas Servicio'!DE168+('Tablas Servicio'!DG167-'Tablas Servicio'!DE167),DE168/(1-IF(B168&lt;=10,Parámetros!$D$100,0))),2))</f>
        <v>0</v>
      </c>
      <c r="DH168" s="66">
        <f t="shared" si="189"/>
        <v>0</v>
      </c>
      <c r="DI168" s="66">
        <f t="shared" si="189"/>
        <v>0</v>
      </c>
      <c r="DJ168" s="66">
        <f>+IF($W168="","",ROUND((DG168*Parámetros!$G$85),2))</f>
        <v>0</v>
      </c>
      <c r="DK168" s="66">
        <f>+IF($W168="","",ROUND((DG168*(Parámetros!$G$86)),2))</f>
        <v>0</v>
      </c>
      <c r="DL168" s="66">
        <f t="shared" si="190"/>
        <v>0</v>
      </c>
      <c r="DM168" t="str">
        <f t="shared" si="231"/>
        <v>00065</v>
      </c>
      <c r="DN168" s="118" t="str">
        <f t="shared" si="232"/>
        <v>Exención pago de primas</v>
      </c>
      <c r="DO168" s="118">
        <f t="shared" si="233"/>
        <v>0</v>
      </c>
      <c r="DP168" s="118" t="str">
        <f t="shared" si="234"/>
        <v>A</v>
      </c>
      <c r="DQ168" s="122" t="str">
        <f>+IF(OR($W168="",DO168=0),"",ROUND((VLOOKUP(ROUNDDOWN($D168-1/frec,0),cob_adi,DB$40,FALSE)*(1+i/frec)^-0.5*(1+Parámetros!$D$103)*(1+rec_fracc)/frec),6))</f>
        <v/>
      </c>
      <c r="DR168" s="66">
        <f t="shared" si="191"/>
        <v>0</v>
      </c>
      <c r="DS168" s="68" t="str">
        <f t="shared" si="192"/>
        <v/>
      </c>
      <c r="DT168" s="66">
        <f>+IF($W168="","",ROUND(IF($B168&gt;Parámetros!$D$107,'Tablas Servicio'!DR168+('Tablas Servicio'!DT167-'Tablas Servicio'!DR167),DR168/(1-IF(B168&lt;=10,Parámetros!$D$100,0))),2))</f>
        <v>0</v>
      </c>
      <c r="DU168" s="66">
        <f t="shared" si="193"/>
        <v>0</v>
      </c>
      <c r="DV168" s="66">
        <f t="shared" si="193"/>
        <v>0</v>
      </c>
      <c r="DW168" s="66">
        <f>+IF($W168="","",ROUND((DT168*Parámetros!$G$85),2))</f>
        <v>0</v>
      </c>
      <c r="DX168" s="66">
        <f>+IF($W168="","",ROUND((DT168*(Parámetros!$G$86)),2))</f>
        <v>0</v>
      </c>
      <c r="DY168" s="66">
        <f t="shared" si="194"/>
        <v>0</v>
      </c>
      <c r="DZ168" t="str">
        <f t="shared" si="237"/>
        <v>00066</v>
      </c>
      <c r="EA168" s="118" t="str">
        <f t="shared" si="237"/>
        <v>Enfermedad terminal</v>
      </c>
      <c r="EB168" s="118">
        <f>+IF($W168="","",ROUND(IF(Parámetros!$D$25='TABLAS MORT'!$V$33,EB167,Z168/2),0))</f>
        <v>50000</v>
      </c>
      <c r="EC168" s="118" t="str">
        <f t="shared" si="237"/>
        <v>A</v>
      </c>
      <c r="ED168" s="122">
        <f>+IF(OR($W168="",EB168=0),"",ROUND((VLOOKUP(ROUNDDOWN($D168-1/frec,0),cob_adi,DO$40,FALSE)*(1+i/frec)^-0.5*(1+Parámetros!$D$103)*(1+rec_fracc)/frec),6))</f>
        <v>1.8E-5</v>
      </c>
      <c r="EE168" s="66">
        <f t="shared" si="196"/>
        <v>0.9</v>
      </c>
      <c r="EF168" s="68">
        <f t="shared" si="197"/>
        <v>1.8E-5</v>
      </c>
      <c r="EG168" s="66">
        <f>+IF($W168="","",ROUND(IF($B168&gt;Parámetros!$D$107,'Tablas Servicio'!EE168+('Tablas Servicio'!EG167-'Tablas Servicio'!EE167),EE168/(1-IF(B168&lt;=10,Parámetros!$D$100,0))),2))</f>
        <v>0.9</v>
      </c>
      <c r="EH168" s="66">
        <f t="shared" si="198"/>
        <v>0</v>
      </c>
      <c r="EI168" s="66">
        <f t="shared" si="198"/>
        <v>0</v>
      </c>
      <c r="EJ168" s="66">
        <f>+IF($W168="","",ROUND((EG168*Parámetros!$G$85),2))</f>
        <v>0.03</v>
      </c>
      <c r="EK168" s="66">
        <f>+IF($W168="","",ROUND((EG168*(Parámetros!$G$86)),2))</f>
        <v>0</v>
      </c>
      <c r="EL168" s="66">
        <f t="shared" si="199"/>
        <v>0.93</v>
      </c>
    </row>
    <row r="169" spans="1:142" x14ac:dyDescent="0.25">
      <c r="A169">
        <f>+IF($C169="","",ROUND(VLOOKUP('Tablas Servicio'!B169,Parámetros!$H$100:$J$159,IF(Parámetros!$E$16="F",2,3),FALSE),2))</f>
        <v>150</v>
      </c>
      <c r="B169">
        <f t="shared" si="150"/>
        <v>11</v>
      </c>
      <c r="C169" s="57">
        <f>+IF(D169="","",'Tablas Servicio'!C168+1)</f>
        <v>128</v>
      </c>
      <c r="D169" s="56">
        <f>+IF(D168&lt;edadmaxtabla,D168+1/Parámetros!$E$25,"")</f>
        <v>50.686666666666973</v>
      </c>
      <c r="E169" s="57">
        <f t="shared" si="160"/>
        <v>50</v>
      </c>
      <c r="F169" s="59">
        <f t="shared" si="161"/>
        <v>100000</v>
      </c>
      <c r="G169" s="66">
        <f t="shared" si="151"/>
        <v>35.6</v>
      </c>
      <c r="H169" s="66">
        <f t="shared" si="152"/>
        <v>37.01</v>
      </c>
      <c r="I169" s="66">
        <f t="shared" si="200"/>
        <v>56.99</v>
      </c>
      <c r="J169" s="66">
        <f t="shared" si="153"/>
        <v>1.24</v>
      </c>
      <c r="K169" s="66">
        <f t="shared" si="154"/>
        <v>0.17</v>
      </c>
      <c r="L169" s="66">
        <f t="shared" si="155"/>
        <v>0</v>
      </c>
      <c r="M169" s="66">
        <f t="shared" si="156"/>
        <v>0</v>
      </c>
      <c r="N169" s="66">
        <f>+IF(C169="","",ROUND(Parámetros!$D$23,2))</f>
        <v>94</v>
      </c>
      <c r="O169" s="66">
        <f t="shared" si="157"/>
        <v>23.099999999999998</v>
      </c>
      <c r="P169" s="66">
        <f>+IF($C169="","",ROUND(IF(B169&gt;Parámetros!$D$117,0,N169*Parámetros!$D$116-G169*Parámetros!$D$100),2))</f>
        <v>0</v>
      </c>
      <c r="Q169" s="75">
        <f t="shared" si="201"/>
        <v>3.4831460674157301E-2</v>
      </c>
      <c r="R169" s="75">
        <f t="shared" si="202"/>
        <v>4.7752808988764045E-3</v>
      </c>
      <c r="S169" s="117">
        <f>+IF($C169="","",ROUND((S168+I169)*(1+Parámetros!$D$91),2))</f>
        <v>8457.26</v>
      </c>
      <c r="T169" s="117">
        <f>+IF($C169="","",ROUND(S169*VLOOKUP(B169,Parámetros!$C$30:$D$39,2,TRUE),2))</f>
        <v>8457.26</v>
      </c>
      <c r="U169" s="117">
        <f>+IF($C169="","",ROUND((U168+I169)*(1+Parámetros!$D$92),2))</f>
        <v>8703.7900000000009</v>
      </c>
      <c r="V169" s="117">
        <f>+IF($C169="","",ROUND(U169*VLOOKUP(B169,Parámetros!$C$30:$D$39,2,TRUE),2))</f>
        <v>8703.7900000000009</v>
      </c>
      <c r="W169" s="57">
        <f t="shared" si="203"/>
        <v>128</v>
      </c>
      <c r="X169" t="str">
        <f t="shared" si="204"/>
        <v>00058</v>
      </c>
      <c r="Y169" t="str">
        <f t="shared" si="205"/>
        <v>MUERTE POR CUALQUIER CAUSA</v>
      </c>
      <c r="Z169" s="118">
        <f>+IF($W169="","",ROUND(IF(Parámetros!$D$25='TABLAS MORT'!$V$33,Z168,Parámetros!$D$21-'Tablas Servicio'!T168),0))</f>
        <v>100000</v>
      </c>
      <c r="AA169" s="118" t="str">
        <f t="shared" si="206"/>
        <v>P</v>
      </c>
      <c r="AB169" s="119">
        <f>+IF(W169="","",ROUND((VLOOKUP(ROUNDDOWN($D169-1/frec,0),qx_tabla,2,FALSE)*(1+i/frec)^-0.5*(1+Parámetros!$D$103)*(1+rec_fracc)/frec),6))</f>
        <v>2.22E-4</v>
      </c>
      <c r="AC169" s="66">
        <f t="shared" si="162"/>
        <v>22.2</v>
      </c>
      <c r="AD169" s="119">
        <f t="shared" si="158"/>
        <v>3.4699999999999998E-4</v>
      </c>
      <c r="AE169" s="66">
        <f>+IF($W169="","",ROUND(IF($B169&gt;Parámetros!$D$107,'Tablas Servicio'!AC169+('Tablas Servicio'!AG168-'Tablas Servicio'!AC168),AC169/(1-IF(B169&lt;=10,Parámetros!$D$104,Parámetros!$D$105))),2))</f>
        <v>37</v>
      </c>
      <c r="AF169" s="66">
        <f>+IF($W169="","",ROUND(IF($B169&gt;Parámetros!$D$107,'Tablas Servicio'!AC169+('Tablas Servicio'!AG168-'Tablas Servicio'!AC168),(AC169+$A168/frec)/(1-IF(B169&lt;=Parámetros!$D$117,Parámetros!$D$100,0))),2))</f>
        <v>34.700000000000003</v>
      </c>
      <c r="AG169" s="66">
        <f t="shared" si="163"/>
        <v>34.700000000000003</v>
      </c>
      <c r="AH169" s="66">
        <f t="shared" si="164"/>
        <v>0</v>
      </c>
      <c r="AI169" s="66">
        <f t="shared" si="165"/>
        <v>0</v>
      </c>
      <c r="AJ169" s="66">
        <f>+IF($W169="","",ROUND((AG169*Parámetros!$G$85),2))</f>
        <v>1.21</v>
      </c>
      <c r="AK169" s="66">
        <f>+IF($W169="","",ROUND((AG169*(Parámetros!$G$86)),2))</f>
        <v>0.17</v>
      </c>
      <c r="AL169" s="66">
        <f t="shared" si="159"/>
        <v>36.08</v>
      </c>
      <c r="AM169" t="str">
        <f t="shared" si="207"/>
        <v>00059</v>
      </c>
      <c r="AN169" t="str">
        <f t="shared" si="208"/>
        <v>Incapacidad Total y Permanente</v>
      </c>
      <c r="AO169" s="118">
        <f t="shared" si="209"/>
        <v>0</v>
      </c>
      <c r="AP169" s="118" t="str">
        <f t="shared" si="210"/>
        <v>A</v>
      </c>
      <c r="AQ169" s="119" t="str">
        <f>+IF(OR($W169="",AO169=0),"",ROUND((VLOOKUP(ROUNDDOWN($D169-1/frec,0),cob_adi,Z$40,FALSE)*(1+i/frec)^-0.5*(1+Parámetros!$D$103)*(1+rec_fracc)/frec),6))</f>
        <v/>
      </c>
      <c r="AR169" s="66">
        <f t="shared" si="166"/>
        <v>0</v>
      </c>
      <c r="AS169" s="119" t="str">
        <f t="shared" si="167"/>
        <v/>
      </c>
      <c r="AT169" s="66">
        <f>+IF($W169="","",ROUND(IF($B169&gt;Parámetros!$D$107,'Tablas Servicio'!AR169+('Tablas Servicio'!AT168-'Tablas Servicio'!AR168),AR169/(1-IF(B169&lt;=10,Parámetros!$D$100,0))),2))</f>
        <v>0</v>
      </c>
      <c r="AU169" s="66">
        <f t="shared" si="168"/>
        <v>0</v>
      </c>
      <c r="AV169" s="66">
        <f t="shared" si="168"/>
        <v>0</v>
      </c>
      <c r="AW169" s="66">
        <f>+IF($W169="","",ROUND((AT169*Parámetros!$G$85),2))</f>
        <v>0</v>
      </c>
      <c r="AX169" s="66">
        <f>+IF($W169="","",ROUND((AT169*(Parámetros!$G$86)),2))</f>
        <v>0</v>
      </c>
      <c r="AY169" s="66">
        <f t="shared" si="169"/>
        <v>0</v>
      </c>
      <c r="AZ169" t="str">
        <f t="shared" si="211"/>
        <v>00060</v>
      </c>
      <c r="BA169" t="str">
        <f t="shared" si="212"/>
        <v>Muerte Accidental</v>
      </c>
      <c r="BB169" s="118">
        <f t="shared" si="213"/>
        <v>0</v>
      </c>
      <c r="BC169" s="118" t="str">
        <f t="shared" si="214"/>
        <v>A</v>
      </c>
      <c r="BD169" s="119" t="str">
        <f>+IF(OR($W169="",BB169=0),"",ROUND((VLOOKUP(ROUNDDOWN($D169-1/frec,0),cob_adi,AO$40,FALSE)*(1+i/frec)^-0.5*(1+Parámetros!$D$103)*(1+rec_fracc)/frec),6))</f>
        <v/>
      </c>
      <c r="BE169" s="66">
        <f t="shared" si="170"/>
        <v>0</v>
      </c>
      <c r="BF169" s="119" t="str">
        <f t="shared" si="171"/>
        <v/>
      </c>
      <c r="BG169" s="66">
        <f>+IF($W169="","",ROUND(IF($B169&gt;Parámetros!$D$107,'Tablas Servicio'!BE169+('Tablas Servicio'!BG168-'Tablas Servicio'!BE168),BE169/(1-IF(B169&lt;=10,Parámetros!$D$100,0))),2))</f>
        <v>0</v>
      </c>
      <c r="BH169" s="66">
        <f t="shared" si="172"/>
        <v>0</v>
      </c>
      <c r="BI169" s="66">
        <f t="shared" si="173"/>
        <v>0</v>
      </c>
      <c r="BJ169" s="66">
        <f>+IF($W169="","",ROUND((BG169*Parámetros!$G$85),2))</f>
        <v>0</v>
      </c>
      <c r="BK169" s="66">
        <f>+IF($W169="","",ROUND((BG169*(Parámetros!$G$86)),2))</f>
        <v>0</v>
      </c>
      <c r="BL169" s="66">
        <f t="shared" si="174"/>
        <v>0</v>
      </c>
      <c r="BM169" t="str">
        <f t="shared" si="215"/>
        <v>00061</v>
      </c>
      <c r="BN169" t="str">
        <f t="shared" si="216"/>
        <v>Gastos de Entierro</v>
      </c>
      <c r="BO169" s="118">
        <f t="shared" si="217"/>
        <v>0</v>
      </c>
      <c r="BP169" s="118" t="str">
        <f t="shared" si="218"/>
        <v>A</v>
      </c>
      <c r="BQ169" s="119" t="str">
        <f>+IF(OR($W169="",BO169=0),"",ROUND((VLOOKUP(ROUNDDOWN($D169-1/frec,0),cob_adi,BB$40,FALSE)*(1+i/frec)^-0.5*(1+Parámetros!$D$103)*(1+rec_fracc)/frec),6))</f>
        <v/>
      </c>
      <c r="BR169" s="66">
        <f t="shared" si="175"/>
        <v>0</v>
      </c>
      <c r="BS169" s="119" t="str">
        <f t="shared" si="176"/>
        <v/>
      </c>
      <c r="BT169" s="66">
        <f>+IF($W169="","",ROUND(IF($B169&gt;Parámetros!$D$107,'Tablas Servicio'!BR169+('Tablas Servicio'!BT168-'Tablas Servicio'!BR168),BR169/(1-IF(B169&lt;=10,Parámetros!$D$100,0))),2))</f>
        <v>0</v>
      </c>
      <c r="BU169" s="66">
        <f t="shared" si="177"/>
        <v>0</v>
      </c>
      <c r="BV169" s="66">
        <f t="shared" si="177"/>
        <v>0</v>
      </c>
      <c r="BW169" s="66">
        <f>+IF($W169="","",ROUND((BT169*Parámetros!$G$85),2))</f>
        <v>0</v>
      </c>
      <c r="BX169" s="66">
        <f>+IF($W169="","",ROUND((BT169*(Parámetros!$G$86)),2))</f>
        <v>0</v>
      </c>
      <c r="BY169" s="66">
        <f t="shared" si="178"/>
        <v>0</v>
      </c>
      <c r="BZ169" t="str">
        <f t="shared" si="219"/>
        <v>00062</v>
      </c>
      <c r="CA169" t="str">
        <f t="shared" si="220"/>
        <v>Gastos médicos por accidente</v>
      </c>
      <c r="CB169" s="118">
        <f t="shared" si="221"/>
        <v>0</v>
      </c>
      <c r="CC169" s="118" t="str">
        <f t="shared" si="222"/>
        <v>A</v>
      </c>
      <c r="CD169" s="119" t="str">
        <f t="shared" si="179"/>
        <v/>
      </c>
      <c r="CE169" s="66">
        <f>+IF($W169="","",ROUND((VLOOKUP(ROUNDDOWN($D169-1/frec,0),cob_adi,BO$40,FALSE)*(1+i/frec)^-0.5*(1+Parámetros!$D$103)*(1+rec_fracc)/frec*'TABLAS ADI'!$BC$17),2))</f>
        <v>0</v>
      </c>
      <c r="CF169" s="119" t="str">
        <f t="shared" si="180"/>
        <v/>
      </c>
      <c r="CG169" s="66">
        <f>+IF($W169="","",ROUND(IF($B169&gt;Parámetros!$D$107,'Tablas Servicio'!CE169+('Tablas Servicio'!CG168-'Tablas Servicio'!CE168),CE169/(1-IF(B169&lt;=10,Parámetros!$D$100,0))),2))</f>
        <v>0</v>
      </c>
      <c r="CH169" s="66">
        <f t="shared" si="181"/>
        <v>0</v>
      </c>
      <c r="CI169" s="66">
        <f t="shared" si="181"/>
        <v>0</v>
      </c>
      <c r="CJ169" s="66">
        <f>+IF($W169="","",ROUND((CG169*Parámetros!$G$85),2))</f>
        <v>0</v>
      </c>
      <c r="CK169" s="66">
        <f>+IF($W169="","",ROUND((CG169*(Parámetros!$G$86)),2))</f>
        <v>0</v>
      </c>
      <c r="CL169" s="66">
        <f t="shared" si="182"/>
        <v>0</v>
      </c>
      <c r="CM169" t="str">
        <f t="shared" si="223"/>
        <v>00063</v>
      </c>
      <c r="CN169" s="118" t="str">
        <f t="shared" si="224"/>
        <v>Renta Diaria por Hospitalización</v>
      </c>
      <c r="CO169" s="118">
        <f t="shared" si="225"/>
        <v>0</v>
      </c>
      <c r="CP169" s="118" t="str">
        <f t="shared" si="226"/>
        <v>A</v>
      </c>
      <c r="CQ169" s="119" t="str">
        <f t="shared" si="183"/>
        <v/>
      </c>
      <c r="CR169" s="66">
        <f>+IF($W169="","",ROUND((VLOOKUP(Parámetros!$F$51,'COBERTURAS ADICIONALES'!$S$4:$T$32,2,FALSE)*(1+i/frec)^-0.5*(1+Parámetros!$D$103)*(1+rec_fracc)/frec*$CO$42),2))</f>
        <v>0</v>
      </c>
      <c r="CS169" s="119" t="str">
        <f t="shared" si="184"/>
        <v/>
      </c>
      <c r="CT169" s="66">
        <f>+IF($W169="","",ROUND(IF($B169&gt;Parámetros!$D$107,'Tablas Servicio'!CR169+('Tablas Servicio'!CT168-'Tablas Servicio'!CR168),CR169/(1-IF(B169&lt;=10,Parámetros!$D$100,0))),2))</f>
        <v>0</v>
      </c>
      <c r="CU169" s="66">
        <f t="shared" si="185"/>
        <v>0</v>
      </c>
      <c r="CV169" s="66">
        <f t="shared" si="185"/>
        <v>0</v>
      </c>
      <c r="CW169" s="66">
        <f>+IF($W169="","",ROUND((CT169*Parámetros!$G$85),2))</f>
        <v>0</v>
      </c>
      <c r="CX169" s="66">
        <f>+IF($W169="","",ROUND((CT169*(Parámetros!$G$86)),2))</f>
        <v>0</v>
      </c>
      <c r="CY169" s="66">
        <f t="shared" si="186"/>
        <v>0</v>
      </c>
      <c r="CZ169" t="str">
        <f t="shared" si="227"/>
        <v>00064</v>
      </c>
      <c r="DA169" s="118" t="str">
        <f t="shared" si="228"/>
        <v>Enfermedades Graves</v>
      </c>
      <c r="DB169" s="118">
        <f t="shared" si="229"/>
        <v>0</v>
      </c>
      <c r="DC169" s="118" t="str">
        <f t="shared" si="230"/>
        <v>A</v>
      </c>
      <c r="DD169" s="121" t="str">
        <f>+IF(OR($W169="",DB169=0),"",ROUND((VLOOKUP(ROUNDDOWN($D169-1/frec,0),cob_adi,CO$40,FALSE)*(1+i/frec)^-0.5*(1+Parámetros!$D$103)*(1+rec_fracc)/frec),6))</f>
        <v/>
      </c>
      <c r="DE169" s="66">
        <f t="shared" si="187"/>
        <v>0</v>
      </c>
      <c r="DF169" s="119" t="str">
        <f t="shared" si="188"/>
        <v/>
      </c>
      <c r="DG169" s="66">
        <f>+IF($W169="","",ROUND(IF($B169&gt;Parámetros!$D$107,'Tablas Servicio'!DE169+('Tablas Servicio'!DG168-'Tablas Servicio'!DE168),DE169/(1-IF(B169&lt;=10,Parámetros!$D$100,0))),2))</f>
        <v>0</v>
      </c>
      <c r="DH169" s="66">
        <f t="shared" si="189"/>
        <v>0</v>
      </c>
      <c r="DI169" s="66">
        <f t="shared" si="189"/>
        <v>0</v>
      </c>
      <c r="DJ169" s="66">
        <f>+IF($W169="","",ROUND((DG169*Parámetros!$G$85),2))</f>
        <v>0</v>
      </c>
      <c r="DK169" s="66">
        <f>+IF($W169="","",ROUND((DG169*(Parámetros!$G$86)),2))</f>
        <v>0</v>
      </c>
      <c r="DL169" s="66">
        <f t="shared" si="190"/>
        <v>0</v>
      </c>
      <c r="DM169" t="str">
        <f t="shared" si="231"/>
        <v>00065</v>
      </c>
      <c r="DN169" s="118" t="str">
        <f t="shared" si="232"/>
        <v>Exención pago de primas</v>
      </c>
      <c r="DO169" s="118">
        <f t="shared" si="233"/>
        <v>0</v>
      </c>
      <c r="DP169" s="118" t="str">
        <f t="shared" si="234"/>
        <v>A</v>
      </c>
      <c r="DQ169" s="122" t="str">
        <f>+IF(OR($W169="",DO169=0),"",ROUND((VLOOKUP(ROUNDDOWN($D169-1/frec,0),cob_adi,DB$40,FALSE)*(1+i/frec)^-0.5*(1+Parámetros!$D$103)*(1+rec_fracc)/frec),6))</f>
        <v/>
      </c>
      <c r="DR169" s="66">
        <f t="shared" si="191"/>
        <v>0</v>
      </c>
      <c r="DS169" s="68" t="str">
        <f t="shared" si="192"/>
        <v/>
      </c>
      <c r="DT169" s="66">
        <f>+IF($W169="","",ROUND(IF($B169&gt;Parámetros!$D$107,'Tablas Servicio'!DR169+('Tablas Servicio'!DT168-'Tablas Servicio'!DR168),DR169/(1-IF(B169&lt;=10,Parámetros!$D$100,0))),2))</f>
        <v>0</v>
      </c>
      <c r="DU169" s="66">
        <f t="shared" si="193"/>
        <v>0</v>
      </c>
      <c r="DV169" s="66">
        <f t="shared" si="193"/>
        <v>0</v>
      </c>
      <c r="DW169" s="66">
        <f>+IF($W169="","",ROUND((DT169*Parámetros!$G$85),2))</f>
        <v>0</v>
      </c>
      <c r="DX169" s="66">
        <f>+IF($W169="","",ROUND((DT169*(Parámetros!$G$86)),2))</f>
        <v>0</v>
      </c>
      <c r="DY169" s="66">
        <f t="shared" si="194"/>
        <v>0</v>
      </c>
      <c r="DZ169" t="str">
        <f t="shared" si="237"/>
        <v>00066</v>
      </c>
      <c r="EA169" s="118" t="str">
        <f t="shared" si="237"/>
        <v>Enfermedad terminal</v>
      </c>
      <c r="EB169" s="118">
        <f>+IF($W169="","",ROUND(IF(Parámetros!$D$25='TABLAS MORT'!$V$33,EB168,Z169/2),0))</f>
        <v>50000</v>
      </c>
      <c r="EC169" s="118" t="str">
        <f t="shared" si="237"/>
        <v>A</v>
      </c>
      <c r="ED169" s="122">
        <f>+IF(OR($W169="",EB169=0),"",ROUND((VLOOKUP(ROUNDDOWN($D169-1/frec,0),cob_adi,DO$40,FALSE)*(1+i/frec)^-0.5*(1+Parámetros!$D$103)*(1+rec_fracc)/frec),6))</f>
        <v>1.8E-5</v>
      </c>
      <c r="EE169" s="66">
        <f t="shared" si="196"/>
        <v>0.9</v>
      </c>
      <c r="EF169" s="68">
        <f t="shared" si="197"/>
        <v>1.8E-5</v>
      </c>
      <c r="EG169" s="66">
        <f>+IF($W169="","",ROUND(IF($B169&gt;Parámetros!$D$107,'Tablas Servicio'!EE169+('Tablas Servicio'!EG168-'Tablas Servicio'!EE168),EE169/(1-IF(B169&lt;=10,Parámetros!$D$100,0))),2))</f>
        <v>0.9</v>
      </c>
      <c r="EH169" s="66">
        <f t="shared" si="198"/>
        <v>0</v>
      </c>
      <c r="EI169" s="66">
        <f t="shared" si="198"/>
        <v>0</v>
      </c>
      <c r="EJ169" s="66">
        <f>+IF($W169="","",ROUND((EG169*Parámetros!$G$85),2))</f>
        <v>0.03</v>
      </c>
      <c r="EK169" s="66">
        <f>+IF($W169="","",ROUND((EG169*(Parámetros!$G$86)),2))</f>
        <v>0</v>
      </c>
      <c r="EL169" s="66">
        <f t="shared" si="199"/>
        <v>0.93</v>
      </c>
    </row>
    <row r="170" spans="1:142" x14ac:dyDescent="0.25">
      <c r="A170">
        <f>+IF($C170="","",ROUND(VLOOKUP('Tablas Servicio'!B170,Parámetros!$H$100:$J$159,IF(Parámetros!$E$16="F",2,3),FALSE),2))</f>
        <v>150</v>
      </c>
      <c r="B170">
        <f t="shared" ref="B170:B233" si="238">+IF(D170="","",ROUNDUP(C170/frec,0))</f>
        <v>11</v>
      </c>
      <c r="C170" s="57">
        <f>+IF(D170="","",'Tablas Servicio'!C169+1)</f>
        <v>129</v>
      </c>
      <c r="D170" s="56">
        <f>+IF(D169&lt;edadmaxtabla,D169+1/Parámetros!$E$25,"")</f>
        <v>50.770000000000309</v>
      </c>
      <c r="E170" s="57">
        <f t="shared" si="160"/>
        <v>50</v>
      </c>
      <c r="F170" s="59">
        <f t="shared" si="161"/>
        <v>100000</v>
      </c>
      <c r="G170" s="66">
        <f t="shared" ref="G170:G233" si="239">+IF($C170="","",AG170+AT170+BG170+BT170+CG170+CT170+DG170+DT170+EG170)</f>
        <v>35.6</v>
      </c>
      <c r="H170" s="66">
        <f t="shared" ref="H170:H233" si="240">+IF($C170="","",AL170+AY170+BL170+BY170+CL170+CY170+DL170+DY170+EL170)</f>
        <v>37.01</v>
      </c>
      <c r="I170" s="66">
        <f t="shared" si="200"/>
        <v>56.99</v>
      </c>
      <c r="J170" s="66">
        <f t="shared" ref="J170:J233" si="241">+IF($C170="","",AJ170+AW170+BJ170+BW170+CJ170+CW170+DJ170+DW170+EJ170)</f>
        <v>1.24</v>
      </c>
      <c r="K170" s="66">
        <f t="shared" ref="K170:K233" si="242">+IF($C170="","",AK170+AX170+BK170+BX170+CK170+CX170+DK170+DX170+EK170)</f>
        <v>0.17</v>
      </c>
      <c r="L170" s="66">
        <f t="shared" ref="L170:L233" si="243">+IF($C170="","",AH170+AU170+BH170+BU170+CH170+CU170+DH170+DU170+EH170)</f>
        <v>0</v>
      </c>
      <c r="M170" s="66">
        <f t="shared" ref="M170:M233" si="244">+IF($C170="","",AI170+AV170+BI170+BV170+CI170+CV170+DI170+DV170+EI170)</f>
        <v>0</v>
      </c>
      <c r="N170" s="66">
        <f>+IF(C170="","",ROUND(Parámetros!$D$23,2))</f>
        <v>94</v>
      </c>
      <c r="O170" s="66">
        <f t="shared" ref="O170:O233" si="245">+IF($C170="","",AC170+AR170+BE170+BR170+CE170+CR170+DE170+DR170+EE170)</f>
        <v>23.099999999999998</v>
      </c>
      <c r="P170" s="66">
        <f>+IF($C170="","",ROUND(IF(B170&gt;Parámetros!$D$117,0,N170*Parámetros!$D$116-G170*Parámetros!$D$100),2))</f>
        <v>0</v>
      </c>
      <c r="Q170" s="75">
        <f t="shared" si="201"/>
        <v>3.4831460674157301E-2</v>
      </c>
      <c r="R170" s="75">
        <f t="shared" si="202"/>
        <v>4.7752808988764045E-3</v>
      </c>
      <c r="S170" s="117">
        <f>+IF($C170="","",ROUND((S169+I170)*(1+Parámetros!$D$91),2))</f>
        <v>8538.4</v>
      </c>
      <c r="T170" s="117">
        <f>+IF($C170="","",ROUND(S170*VLOOKUP(B170,Parámetros!$C$30:$D$39,2,TRUE),2))</f>
        <v>8538.4</v>
      </c>
      <c r="U170" s="117">
        <f>+IF($C170="","",ROUND((U169+I170)*(1+Parámetros!$D$92),2))</f>
        <v>8789.18</v>
      </c>
      <c r="V170" s="117">
        <f>+IF($C170="","",ROUND(U170*VLOOKUP(B170,Parámetros!$C$30:$D$39,2,TRUE),2))</f>
        <v>8789.18</v>
      </c>
      <c r="W170" s="57">
        <f t="shared" si="203"/>
        <v>129</v>
      </c>
      <c r="X170" t="str">
        <f t="shared" si="204"/>
        <v>00058</v>
      </c>
      <c r="Y170" t="str">
        <f t="shared" si="205"/>
        <v>MUERTE POR CUALQUIER CAUSA</v>
      </c>
      <c r="Z170" s="118">
        <f>+IF($W170="","",ROUND(IF(Parámetros!$D$25='TABLAS MORT'!$V$33,Z169,Parámetros!$D$21-'Tablas Servicio'!T169),0))</f>
        <v>100000</v>
      </c>
      <c r="AA170" s="118" t="str">
        <f t="shared" si="206"/>
        <v>P</v>
      </c>
      <c r="AB170" s="119">
        <f>+IF(W170="","",ROUND((VLOOKUP(ROUNDDOWN($D170-1/frec,0),qx_tabla,2,FALSE)*(1+i/frec)^-0.5*(1+Parámetros!$D$103)*(1+rec_fracc)/frec),6))</f>
        <v>2.22E-4</v>
      </c>
      <c r="AC170" s="66">
        <f t="shared" si="162"/>
        <v>22.2</v>
      </c>
      <c r="AD170" s="119">
        <f t="shared" ref="AD170:AD233" si="246">+IF($W170="","",ROUND((AG170/Z170),6))</f>
        <v>3.4699999999999998E-4</v>
      </c>
      <c r="AE170" s="66">
        <f>+IF($W170="","",ROUND(IF($B170&gt;Parámetros!$D$107,'Tablas Servicio'!AC170+('Tablas Servicio'!AG169-'Tablas Servicio'!AC169),AC170/(1-IF(B170&lt;=10,Parámetros!$D$104,Parámetros!$D$105))),2))</f>
        <v>37</v>
      </c>
      <c r="AF170" s="66">
        <f>+IF($W170="","",ROUND(IF($B170&gt;Parámetros!$D$107,'Tablas Servicio'!AC170+('Tablas Servicio'!AG169-'Tablas Servicio'!AC169),(AC170+$A169/frec)/(1-IF(B170&lt;=Parámetros!$D$117,Parámetros!$D$100,0))),2))</f>
        <v>34.700000000000003</v>
      </c>
      <c r="AG170" s="66">
        <f t="shared" si="163"/>
        <v>34.700000000000003</v>
      </c>
      <c r="AH170" s="66">
        <f t="shared" si="164"/>
        <v>0</v>
      </c>
      <c r="AI170" s="66">
        <f t="shared" si="165"/>
        <v>0</v>
      </c>
      <c r="AJ170" s="66">
        <f>+IF($W170="","",ROUND((AG170*Parámetros!$G$85),2))</f>
        <v>1.21</v>
      </c>
      <c r="AK170" s="66">
        <f>+IF($W170="","",ROUND((AG170*(Parámetros!$G$86)),2))</f>
        <v>0.17</v>
      </c>
      <c r="AL170" s="66">
        <f t="shared" ref="AL170:AL233" si="247">+IF($W170="","",ROUND((AG170+AJ170+AK170),2))</f>
        <v>36.08</v>
      </c>
      <c r="AM170" t="str">
        <f t="shared" si="207"/>
        <v>00059</v>
      </c>
      <c r="AN170" t="str">
        <f t="shared" si="208"/>
        <v>Incapacidad Total y Permanente</v>
      </c>
      <c r="AO170" s="118">
        <f t="shared" si="209"/>
        <v>0</v>
      </c>
      <c r="AP170" s="118" t="str">
        <f t="shared" si="210"/>
        <v>A</v>
      </c>
      <c r="AQ170" s="119" t="str">
        <f>+IF(OR($W170="",AO170=0),"",ROUND((VLOOKUP(ROUNDDOWN($D170-1/frec,0),cob_adi,Z$40,FALSE)*(1+i/frec)^-0.5*(1+Parámetros!$D$103)*(1+rec_fracc)/frec),6))</f>
        <v/>
      </c>
      <c r="AR170" s="66">
        <f t="shared" si="166"/>
        <v>0</v>
      </c>
      <c r="AS170" s="119" t="str">
        <f t="shared" si="167"/>
        <v/>
      </c>
      <c r="AT170" s="66">
        <f>+IF($W170="","",ROUND(IF($B170&gt;Parámetros!$D$107,'Tablas Servicio'!AR170+('Tablas Servicio'!AT169-'Tablas Servicio'!AR169),AR170/(1-IF(B170&lt;=10,Parámetros!$D$100,0))),2))</f>
        <v>0</v>
      </c>
      <c r="AU170" s="66">
        <f t="shared" si="168"/>
        <v>0</v>
      </c>
      <c r="AV170" s="66">
        <f t="shared" si="168"/>
        <v>0</v>
      </c>
      <c r="AW170" s="66">
        <f>+IF($W170="","",ROUND((AT170*Parámetros!$G$85),2))</f>
        <v>0</v>
      </c>
      <c r="AX170" s="66">
        <f>+IF($W170="","",ROUND((AT170*(Parámetros!$G$86)),2))</f>
        <v>0</v>
      </c>
      <c r="AY170" s="66">
        <f t="shared" si="169"/>
        <v>0</v>
      </c>
      <c r="AZ170" t="str">
        <f t="shared" si="211"/>
        <v>00060</v>
      </c>
      <c r="BA170" t="str">
        <f t="shared" si="212"/>
        <v>Muerte Accidental</v>
      </c>
      <c r="BB170" s="118">
        <f t="shared" si="213"/>
        <v>0</v>
      </c>
      <c r="BC170" s="118" t="str">
        <f t="shared" si="214"/>
        <v>A</v>
      </c>
      <c r="BD170" s="119" t="str">
        <f>+IF(OR($W170="",BB170=0),"",ROUND((VLOOKUP(ROUNDDOWN($D170-1/frec,0),cob_adi,AO$40,FALSE)*(1+i/frec)^-0.5*(1+Parámetros!$D$103)*(1+rec_fracc)/frec),6))</f>
        <v/>
      </c>
      <c r="BE170" s="66">
        <f t="shared" si="170"/>
        <v>0</v>
      </c>
      <c r="BF170" s="119" t="str">
        <f t="shared" si="171"/>
        <v/>
      </c>
      <c r="BG170" s="66">
        <f>+IF($W170="","",ROUND(IF($B170&gt;Parámetros!$D$107,'Tablas Servicio'!BE170+('Tablas Servicio'!BG169-'Tablas Servicio'!BE169),BE170/(1-IF(B170&lt;=10,Parámetros!$D$100,0))),2))</f>
        <v>0</v>
      </c>
      <c r="BH170" s="66">
        <f t="shared" si="172"/>
        <v>0</v>
      </c>
      <c r="BI170" s="66">
        <f t="shared" si="173"/>
        <v>0</v>
      </c>
      <c r="BJ170" s="66">
        <f>+IF($W170="","",ROUND((BG170*Parámetros!$G$85),2))</f>
        <v>0</v>
      </c>
      <c r="BK170" s="66">
        <f>+IF($W170="","",ROUND((BG170*(Parámetros!$G$86)),2))</f>
        <v>0</v>
      </c>
      <c r="BL170" s="66">
        <f t="shared" si="174"/>
        <v>0</v>
      </c>
      <c r="BM170" t="str">
        <f t="shared" si="215"/>
        <v>00061</v>
      </c>
      <c r="BN170" t="str">
        <f t="shared" si="216"/>
        <v>Gastos de Entierro</v>
      </c>
      <c r="BO170" s="118">
        <f t="shared" si="217"/>
        <v>0</v>
      </c>
      <c r="BP170" s="118" t="str">
        <f t="shared" si="218"/>
        <v>A</v>
      </c>
      <c r="BQ170" s="119" t="str">
        <f>+IF(OR($W170="",BO170=0),"",ROUND((VLOOKUP(ROUNDDOWN($D170-1/frec,0),cob_adi,BB$40,FALSE)*(1+i/frec)^-0.5*(1+Parámetros!$D$103)*(1+rec_fracc)/frec),6))</f>
        <v/>
      </c>
      <c r="BR170" s="66">
        <f t="shared" si="175"/>
        <v>0</v>
      </c>
      <c r="BS170" s="119" t="str">
        <f t="shared" si="176"/>
        <v/>
      </c>
      <c r="BT170" s="66">
        <f>+IF($W170="","",ROUND(IF($B170&gt;Parámetros!$D$107,'Tablas Servicio'!BR170+('Tablas Servicio'!BT169-'Tablas Servicio'!BR169),BR170/(1-IF(B170&lt;=10,Parámetros!$D$100,0))),2))</f>
        <v>0</v>
      </c>
      <c r="BU170" s="66">
        <f t="shared" si="177"/>
        <v>0</v>
      </c>
      <c r="BV170" s="66">
        <f t="shared" si="177"/>
        <v>0</v>
      </c>
      <c r="BW170" s="66">
        <f>+IF($W170="","",ROUND((BT170*Parámetros!$G$85),2))</f>
        <v>0</v>
      </c>
      <c r="BX170" s="66">
        <f>+IF($W170="","",ROUND((BT170*(Parámetros!$G$86)),2))</f>
        <v>0</v>
      </c>
      <c r="BY170" s="66">
        <f t="shared" si="178"/>
        <v>0</v>
      </c>
      <c r="BZ170" t="str">
        <f t="shared" si="219"/>
        <v>00062</v>
      </c>
      <c r="CA170" t="str">
        <f t="shared" si="220"/>
        <v>Gastos médicos por accidente</v>
      </c>
      <c r="CB170" s="118">
        <f t="shared" si="221"/>
        <v>0</v>
      </c>
      <c r="CC170" s="118" t="str">
        <f t="shared" si="222"/>
        <v>A</v>
      </c>
      <c r="CD170" s="119" t="str">
        <f t="shared" si="179"/>
        <v/>
      </c>
      <c r="CE170" s="66">
        <f>+IF($W170="","",ROUND((VLOOKUP(ROUNDDOWN($D170-1/frec,0),cob_adi,BO$40,FALSE)*(1+i/frec)^-0.5*(1+Parámetros!$D$103)*(1+rec_fracc)/frec*'TABLAS ADI'!$BC$17),2))</f>
        <v>0</v>
      </c>
      <c r="CF170" s="119" t="str">
        <f t="shared" si="180"/>
        <v/>
      </c>
      <c r="CG170" s="66">
        <f>+IF($W170="","",ROUND(IF($B170&gt;Parámetros!$D$107,'Tablas Servicio'!CE170+('Tablas Servicio'!CG169-'Tablas Servicio'!CE169),CE170/(1-IF(B170&lt;=10,Parámetros!$D$100,0))),2))</f>
        <v>0</v>
      </c>
      <c r="CH170" s="66">
        <f t="shared" si="181"/>
        <v>0</v>
      </c>
      <c r="CI170" s="66">
        <f t="shared" si="181"/>
        <v>0</v>
      </c>
      <c r="CJ170" s="66">
        <f>+IF($W170="","",ROUND((CG170*Parámetros!$G$85),2))</f>
        <v>0</v>
      </c>
      <c r="CK170" s="66">
        <f>+IF($W170="","",ROUND((CG170*(Parámetros!$G$86)),2))</f>
        <v>0</v>
      </c>
      <c r="CL170" s="66">
        <f t="shared" si="182"/>
        <v>0</v>
      </c>
      <c r="CM170" t="str">
        <f t="shared" si="223"/>
        <v>00063</v>
      </c>
      <c r="CN170" s="118" t="str">
        <f t="shared" si="224"/>
        <v>Renta Diaria por Hospitalización</v>
      </c>
      <c r="CO170" s="118">
        <f t="shared" si="225"/>
        <v>0</v>
      </c>
      <c r="CP170" s="118" t="str">
        <f t="shared" si="226"/>
        <v>A</v>
      </c>
      <c r="CQ170" s="119" t="str">
        <f t="shared" si="183"/>
        <v/>
      </c>
      <c r="CR170" s="66">
        <f>+IF($W170="","",ROUND((VLOOKUP(Parámetros!$F$51,'COBERTURAS ADICIONALES'!$S$4:$T$32,2,FALSE)*(1+i/frec)^-0.5*(1+Parámetros!$D$103)*(1+rec_fracc)/frec*$CO$42),2))</f>
        <v>0</v>
      </c>
      <c r="CS170" s="119" t="str">
        <f t="shared" si="184"/>
        <v/>
      </c>
      <c r="CT170" s="66">
        <f>+IF($W170="","",ROUND(IF($B170&gt;Parámetros!$D$107,'Tablas Servicio'!CR170+('Tablas Servicio'!CT169-'Tablas Servicio'!CR169),CR170/(1-IF(B170&lt;=10,Parámetros!$D$100,0))),2))</f>
        <v>0</v>
      </c>
      <c r="CU170" s="66">
        <f t="shared" si="185"/>
        <v>0</v>
      </c>
      <c r="CV170" s="66">
        <f t="shared" si="185"/>
        <v>0</v>
      </c>
      <c r="CW170" s="66">
        <f>+IF($W170="","",ROUND((CT170*Parámetros!$G$85),2))</f>
        <v>0</v>
      </c>
      <c r="CX170" s="66">
        <f>+IF($W170="","",ROUND((CT170*(Parámetros!$G$86)),2))</f>
        <v>0</v>
      </c>
      <c r="CY170" s="66">
        <f t="shared" si="186"/>
        <v>0</v>
      </c>
      <c r="CZ170" t="str">
        <f t="shared" si="227"/>
        <v>00064</v>
      </c>
      <c r="DA170" s="118" t="str">
        <f t="shared" si="228"/>
        <v>Enfermedades Graves</v>
      </c>
      <c r="DB170" s="118">
        <f t="shared" si="229"/>
        <v>0</v>
      </c>
      <c r="DC170" s="118" t="str">
        <f t="shared" si="230"/>
        <v>A</v>
      </c>
      <c r="DD170" s="121" t="str">
        <f>+IF(OR($W170="",DB170=0),"",ROUND((VLOOKUP(ROUNDDOWN($D170-1/frec,0),cob_adi,CO$40,FALSE)*(1+i/frec)^-0.5*(1+Parámetros!$D$103)*(1+rec_fracc)/frec),6))</f>
        <v/>
      </c>
      <c r="DE170" s="66">
        <f t="shared" si="187"/>
        <v>0</v>
      </c>
      <c r="DF170" s="119" t="str">
        <f t="shared" si="188"/>
        <v/>
      </c>
      <c r="DG170" s="66">
        <f>+IF($W170="","",ROUND(IF($B170&gt;Parámetros!$D$107,'Tablas Servicio'!DE170+('Tablas Servicio'!DG169-'Tablas Servicio'!DE169),DE170/(1-IF(B170&lt;=10,Parámetros!$D$100,0))),2))</f>
        <v>0</v>
      </c>
      <c r="DH170" s="66">
        <f t="shared" si="189"/>
        <v>0</v>
      </c>
      <c r="DI170" s="66">
        <f t="shared" si="189"/>
        <v>0</v>
      </c>
      <c r="DJ170" s="66">
        <f>+IF($W170="","",ROUND((DG170*Parámetros!$G$85),2))</f>
        <v>0</v>
      </c>
      <c r="DK170" s="66">
        <f>+IF($W170="","",ROUND((DG170*(Parámetros!$G$86)),2))</f>
        <v>0</v>
      </c>
      <c r="DL170" s="66">
        <f t="shared" si="190"/>
        <v>0</v>
      </c>
      <c r="DM170" t="str">
        <f t="shared" si="231"/>
        <v>00065</v>
      </c>
      <c r="DN170" s="118" t="str">
        <f t="shared" si="232"/>
        <v>Exención pago de primas</v>
      </c>
      <c r="DO170" s="118">
        <f t="shared" si="233"/>
        <v>0</v>
      </c>
      <c r="DP170" s="118" t="str">
        <f t="shared" si="234"/>
        <v>A</v>
      </c>
      <c r="DQ170" s="122" t="str">
        <f>+IF(OR($W170="",DO170=0),"",ROUND((VLOOKUP(ROUNDDOWN($D170-1/frec,0),cob_adi,DB$40,FALSE)*(1+i/frec)^-0.5*(1+Parámetros!$D$103)*(1+rec_fracc)/frec),6))</f>
        <v/>
      </c>
      <c r="DR170" s="66">
        <f t="shared" si="191"/>
        <v>0</v>
      </c>
      <c r="DS170" s="68" t="str">
        <f t="shared" si="192"/>
        <v/>
      </c>
      <c r="DT170" s="66">
        <f>+IF($W170="","",ROUND(IF($B170&gt;Parámetros!$D$107,'Tablas Servicio'!DR170+('Tablas Servicio'!DT169-'Tablas Servicio'!DR169),DR170/(1-IF(B170&lt;=10,Parámetros!$D$100,0))),2))</f>
        <v>0</v>
      </c>
      <c r="DU170" s="66">
        <f t="shared" si="193"/>
        <v>0</v>
      </c>
      <c r="DV170" s="66">
        <f t="shared" si="193"/>
        <v>0</v>
      </c>
      <c r="DW170" s="66">
        <f>+IF($W170="","",ROUND((DT170*Parámetros!$G$85),2))</f>
        <v>0</v>
      </c>
      <c r="DX170" s="66">
        <f>+IF($W170="","",ROUND((DT170*(Parámetros!$G$86)),2))</f>
        <v>0</v>
      </c>
      <c r="DY170" s="66">
        <f t="shared" si="194"/>
        <v>0</v>
      </c>
      <c r="DZ170" t="str">
        <f t="shared" si="237"/>
        <v>00066</v>
      </c>
      <c r="EA170" s="118" t="str">
        <f t="shared" si="237"/>
        <v>Enfermedad terminal</v>
      </c>
      <c r="EB170" s="118">
        <f>+IF($W170="","",ROUND(IF(Parámetros!$D$25='TABLAS MORT'!$V$33,EB169,Z170/2),0))</f>
        <v>50000</v>
      </c>
      <c r="EC170" s="118" t="str">
        <f t="shared" si="237"/>
        <v>A</v>
      </c>
      <c r="ED170" s="122">
        <f>+IF(OR($W170="",EB170=0),"",ROUND((VLOOKUP(ROUNDDOWN($D170-1/frec,0),cob_adi,DO$40,FALSE)*(1+i/frec)^-0.5*(1+Parámetros!$D$103)*(1+rec_fracc)/frec),6))</f>
        <v>1.8E-5</v>
      </c>
      <c r="EE170" s="66">
        <f t="shared" si="196"/>
        <v>0.9</v>
      </c>
      <c r="EF170" s="68">
        <f t="shared" si="197"/>
        <v>1.8E-5</v>
      </c>
      <c r="EG170" s="66">
        <f>+IF($W170="","",ROUND(IF($B170&gt;Parámetros!$D$107,'Tablas Servicio'!EE170+('Tablas Servicio'!EG169-'Tablas Servicio'!EE169),EE170/(1-IF(B170&lt;=10,Parámetros!$D$100,0))),2))</f>
        <v>0.9</v>
      </c>
      <c r="EH170" s="66">
        <f t="shared" si="198"/>
        <v>0</v>
      </c>
      <c r="EI170" s="66">
        <f t="shared" si="198"/>
        <v>0</v>
      </c>
      <c r="EJ170" s="66">
        <f>+IF($W170="","",ROUND((EG170*Parámetros!$G$85),2))</f>
        <v>0.03</v>
      </c>
      <c r="EK170" s="66">
        <f>+IF($W170="","",ROUND((EG170*(Parámetros!$G$86)),2))</f>
        <v>0</v>
      </c>
      <c r="EL170" s="66">
        <f t="shared" si="199"/>
        <v>0.93</v>
      </c>
    </row>
    <row r="171" spans="1:142" x14ac:dyDescent="0.25">
      <c r="A171">
        <f>+IF($C171="","",ROUND(VLOOKUP('Tablas Servicio'!B171,Parámetros!$H$100:$J$159,IF(Parámetros!$E$16="F",2,3),FALSE),2))</f>
        <v>150</v>
      </c>
      <c r="B171">
        <f t="shared" si="238"/>
        <v>11</v>
      </c>
      <c r="C171" s="57">
        <f>+IF(D171="","",'Tablas Servicio'!C170+1)</f>
        <v>130</v>
      </c>
      <c r="D171" s="56">
        <f>+IF(D170&lt;edadmaxtabla,D170+1/Parámetros!$E$25,"")</f>
        <v>50.853333333333644</v>
      </c>
      <c r="E171" s="57">
        <f t="shared" ref="E171:E234" si="248">+IF(D171="","",ROUNDDOWN(D171,0))</f>
        <v>50</v>
      </c>
      <c r="F171" s="59">
        <f t="shared" ref="F171:F234" si="249">+Z171</f>
        <v>100000</v>
      </c>
      <c r="G171" s="66">
        <f t="shared" si="239"/>
        <v>35.6</v>
      </c>
      <c r="H171" s="66">
        <f t="shared" si="240"/>
        <v>37.01</v>
      </c>
      <c r="I171" s="66">
        <f t="shared" si="200"/>
        <v>56.99</v>
      </c>
      <c r="J171" s="66">
        <f t="shared" si="241"/>
        <v>1.24</v>
      </c>
      <c r="K171" s="66">
        <f t="shared" si="242"/>
        <v>0.17</v>
      </c>
      <c r="L171" s="66">
        <f t="shared" si="243"/>
        <v>0</v>
      </c>
      <c r="M171" s="66">
        <f t="shared" si="244"/>
        <v>0</v>
      </c>
      <c r="N171" s="66">
        <f>+IF(C171="","",ROUND(Parámetros!$D$23,2))</f>
        <v>94</v>
      </c>
      <c r="O171" s="66">
        <f t="shared" si="245"/>
        <v>23.099999999999998</v>
      </c>
      <c r="P171" s="66">
        <f>+IF($C171="","",ROUND(IF(B171&gt;Parámetros!$D$117,0,N171*Parámetros!$D$116-G171*Parámetros!$D$100),2))</f>
        <v>0</v>
      </c>
      <c r="Q171" s="75">
        <f t="shared" si="201"/>
        <v>3.4831460674157301E-2</v>
      </c>
      <c r="R171" s="75">
        <f t="shared" si="202"/>
        <v>4.7752808988764045E-3</v>
      </c>
      <c r="S171" s="117">
        <f>+IF($C171="","",ROUND((S170+I171)*(1+Parámetros!$D$91),2))</f>
        <v>8619.77</v>
      </c>
      <c r="T171" s="117">
        <f>+IF($C171="","",ROUND(S171*VLOOKUP(B171,Parámetros!$C$30:$D$39,2,TRUE),2))</f>
        <v>8619.77</v>
      </c>
      <c r="U171" s="117">
        <f>+IF($C171="","",ROUND((U170+I171)*(1+Parámetros!$D$92),2))</f>
        <v>8874.85</v>
      </c>
      <c r="V171" s="117">
        <f>+IF($C171="","",ROUND(U171*VLOOKUP(B171,Parámetros!$C$30:$D$39,2,TRUE),2))</f>
        <v>8874.85</v>
      </c>
      <c r="W171" s="57">
        <f t="shared" si="203"/>
        <v>130</v>
      </c>
      <c r="X171" t="str">
        <f t="shared" si="204"/>
        <v>00058</v>
      </c>
      <c r="Y171" t="str">
        <f t="shared" si="205"/>
        <v>MUERTE POR CUALQUIER CAUSA</v>
      </c>
      <c r="Z171" s="118">
        <f>+IF($W171="","",ROUND(IF(Parámetros!$D$25='TABLAS MORT'!$V$33,Z170,Parámetros!$D$21-'Tablas Servicio'!T170),0))</f>
        <v>100000</v>
      </c>
      <c r="AA171" s="118" t="str">
        <f t="shared" si="206"/>
        <v>P</v>
      </c>
      <c r="AB171" s="119">
        <f>+IF(W171="","",ROUND((VLOOKUP(ROUNDDOWN($D171-1/frec,0),qx_tabla,2,FALSE)*(1+i/frec)^-0.5*(1+Parámetros!$D$103)*(1+rec_fracc)/frec),6))</f>
        <v>2.22E-4</v>
      </c>
      <c r="AC171" s="66">
        <f t="shared" ref="AC171:AC234" si="250">+IF($W171="","",ROUND((AB171*Z171),2))</f>
        <v>22.2</v>
      </c>
      <c r="AD171" s="119">
        <f t="shared" si="246"/>
        <v>3.4699999999999998E-4</v>
      </c>
      <c r="AE171" s="66">
        <f>+IF($W171="","",ROUND(IF($B171&gt;Parámetros!$D$107,'Tablas Servicio'!AC171+('Tablas Servicio'!AG170-'Tablas Servicio'!AC170),AC171/(1-IF(B171&lt;=10,Parámetros!$D$104,Parámetros!$D$105))),2))</f>
        <v>37</v>
      </c>
      <c r="AF171" s="66">
        <f>+IF($W171="","",ROUND(IF($B171&gt;Parámetros!$D$107,'Tablas Servicio'!AC171+('Tablas Servicio'!AG170-'Tablas Servicio'!AC170),(AC171+$A170/frec)/(1-IF(B171&lt;=Parámetros!$D$117,Parámetros!$D$100,0))),2))</f>
        <v>34.700000000000003</v>
      </c>
      <c r="AG171" s="66">
        <f t="shared" ref="AG171:AG234" si="251">+IF($W171="","",MIN(AE171,AF171))</f>
        <v>34.700000000000003</v>
      </c>
      <c r="AH171" s="66">
        <f t="shared" ref="AH171:AH234" si="252">+IF($W171="","",0)</f>
        <v>0</v>
      </c>
      <c r="AI171" s="66">
        <f t="shared" ref="AI171:AI234" si="253">IF($W171="","",0)</f>
        <v>0</v>
      </c>
      <c r="AJ171" s="66">
        <f>+IF($W171="","",ROUND((AG171*Parámetros!$G$85),2))</f>
        <v>1.21</v>
      </c>
      <c r="AK171" s="66">
        <f>+IF($W171="","",ROUND((AG171*(Parámetros!$G$86)),2))</f>
        <v>0.17</v>
      </c>
      <c r="AL171" s="66">
        <f t="shared" si="247"/>
        <v>36.08</v>
      </c>
      <c r="AM171" t="str">
        <f t="shared" si="207"/>
        <v>00059</v>
      </c>
      <c r="AN171" t="str">
        <f t="shared" si="208"/>
        <v>Incapacidad Total y Permanente</v>
      </c>
      <c r="AO171" s="118">
        <f t="shared" si="209"/>
        <v>0</v>
      </c>
      <c r="AP171" s="118" t="str">
        <f t="shared" si="210"/>
        <v>A</v>
      </c>
      <c r="AQ171" s="119" t="str">
        <f>+IF(OR($W171="",AO171=0),"",ROUND((VLOOKUP(ROUNDDOWN($D171-1/frec,0),cob_adi,Z$40,FALSE)*(1+i/frec)^-0.5*(1+Parámetros!$D$103)*(1+rec_fracc)/frec),6))</f>
        <v/>
      </c>
      <c r="AR171" s="66">
        <f t="shared" ref="AR171:AR234" si="254">+IF(AO171=0,0,IF($W171="","",ROUND((AQ171*AO171),2)))</f>
        <v>0</v>
      </c>
      <c r="AS171" s="119" t="str">
        <f t="shared" ref="AS171:AS234" si="255">+IF(OR($W171="",AO171=0),"",ROUND((AT171/AO171),6))</f>
        <v/>
      </c>
      <c r="AT171" s="66">
        <f>+IF($W171="","",ROUND(IF($B171&gt;Parámetros!$D$107,'Tablas Servicio'!AR171+('Tablas Servicio'!AT170-'Tablas Servicio'!AR170),AR171/(1-IF(B171&lt;=10,Parámetros!$D$100,0))),2))</f>
        <v>0</v>
      </c>
      <c r="AU171" s="66">
        <f t="shared" ref="AU171:AV234" si="256">+IF($W171="","",0)</f>
        <v>0</v>
      </c>
      <c r="AV171" s="66">
        <f t="shared" si="256"/>
        <v>0</v>
      </c>
      <c r="AW171" s="66">
        <f>+IF($W171="","",ROUND((AT171*Parámetros!$G$85),2))</f>
        <v>0</v>
      </c>
      <c r="AX171" s="66">
        <f>+IF($W171="","",ROUND((AT171*(Parámetros!$G$86)),2))</f>
        <v>0</v>
      </c>
      <c r="AY171" s="66">
        <f t="shared" ref="AY171:AY234" si="257">+IF($W171="","",ROUND((AT171+AW171+AX171),2))</f>
        <v>0</v>
      </c>
      <c r="AZ171" t="str">
        <f t="shared" si="211"/>
        <v>00060</v>
      </c>
      <c r="BA171" t="str">
        <f t="shared" si="212"/>
        <v>Muerte Accidental</v>
      </c>
      <c r="BB171" s="118">
        <f t="shared" si="213"/>
        <v>0</v>
      </c>
      <c r="BC171" s="118" t="str">
        <f t="shared" si="214"/>
        <v>A</v>
      </c>
      <c r="BD171" s="119" t="str">
        <f>+IF(OR($W171="",BB171=0),"",ROUND((VLOOKUP(ROUNDDOWN($D171-1/frec,0),cob_adi,AO$40,FALSE)*(1+i/frec)^-0.5*(1+Parámetros!$D$103)*(1+rec_fracc)/frec),6))</f>
        <v/>
      </c>
      <c r="BE171" s="66">
        <f t="shared" ref="BE171:BE234" si="258">+IF(BB171=0,0,IF($W171="","",ROUND(((BD171*BB171)),2)))</f>
        <v>0</v>
      </c>
      <c r="BF171" s="119" t="str">
        <f t="shared" ref="BF171:BF234" si="259">+IF(OR($W171="",BB171=0),"",ROUND((BG171/BB171),6))</f>
        <v/>
      </c>
      <c r="BG171" s="66">
        <f>+IF($W171="","",ROUND(IF($B171&gt;Parámetros!$D$107,'Tablas Servicio'!BE171+('Tablas Servicio'!BG170-'Tablas Servicio'!BE170),BE171/(1-IF(B171&lt;=10,Parámetros!$D$100,0))),2))</f>
        <v>0</v>
      </c>
      <c r="BH171" s="66">
        <f t="shared" ref="BH171:BH234" si="260">IF($W171="","",0)</f>
        <v>0</v>
      </c>
      <c r="BI171" s="66">
        <f t="shared" ref="BI171:BI234" si="261">+IF($W171="","",0)</f>
        <v>0</v>
      </c>
      <c r="BJ171" s="66">
        <f>+IF($W171="","",ROUND((BG171*Parámetros!$G$85),2))</f>
        <v>0</v>
      </c>
      <c r="BK171" s="66">
        <f>+IF($W171="","",ROUND((BG171*(Parámetros!$G$86)),2))</f>
        <v>0</v>
      </c>
      <c r="BL171" s="66">
        <f t="shared" ref="BL171:BL234" si="262">+IF($W171="","",ROUND((BG171+BJ171+BK171),2))</f>
        <v>0</v>
      </c>
      <c r="BM171" t="str">
        <f t="shared" si="215"/>
        <v>00061</v>
      </c>
      <c r="BN171" t="str">
        <f t="shared" si="216"/>
        <v>Gastos de Entierro</v>
      </c>
      <c r="BO171" s="118">
        <f t="shared" si="217"/>
        <v>0</v>
      </c>
      <c r="BP171" s="118" t="str">
        <f t="shared" si="218"/>
        <v>A</v>
      </c>
      <c r="BQ171" s="119" t="str">
        <f>+IF(OR($W171="",BO171=0),"",ROUND((VLOOKUP(ROUNDDOWN($D171-1/frec,0),cob_adi,BB$40,FALSE)*(1+i/frec)^-0.5*(1+Parámetros!$D$103)*(1+rec_fracc)/frec),6))</f>
        <v/>
      </c>
      <c r="BR171" s="66">
        <f t="shared" ref="BR171:BR234" si="263">+IF(BO171=0,0,IF($W171="","",ROUND(((BQ171*BO171)),2)))</f>
        <v>0</v>
      </c>
      <c r="BS171" s="119" t="str">
        <f t="shared" ref="BS171:BS234" si="264">+IF(OR($W171="",BO171=0),"",ROUND((BT171/BO171),6))</f>
        <v/>
      </c>
      <c r="BT171" s="66">
        <f>+IF($W171="","",ROUND(IF($B171&gt;Parámetros!$D$107,'Tablas Servicio'!BR171+('Tablas Servicio'!BT170-'Tablas Servicio'!BR170),BR171/(1-IF(B171&lt;=10,Parámetros!$D$100,0))),2))</f>
        <v>0</v>
      </c>
      <c r="BU171" s="66">
        <f t="shared" ref="BU171:BV234" si="265">+IF($W171="","",0)</f>
        <v>0</v>
      </c>
      <c r="BV171" s="66">
        <f t="shared" si="265"/>
        <v>0</v>
      </c>
      <c r="BW171" s="66">
        <f>+IF($W171="","",ROUND((BT171*Parámetros!$G$85),2))</f>
        <v>0</v>
      </c>
      <c r="BX171" s="66">
        <f>+IF($W171="","",ROUND((BT171*(Parámetros!$G$86)),2))</f>
        <v>0</v>
      </c>
      <c r="BY171" s="66">
        <f t="shared" ref="BY171:BY234" si="266">+IF($W171="","",ROUND((BT171+BW171+BX171),2))</f>
        <v>0</v>
      </c>
      <c r="BZ171" t="str">
        <f t="shared" si="219"/>
        <v>00062</v>
      </c>
      <c r="CA171" t="str">
        <f t="shared" si="220"/>
        <v>Gastos médicos por accidente</v>
      </c>
      <c r="CB171" s="118">
        <f t="shared" si="221"/>
        <v>0</v>
      </c>
      <c r="CC171" s="118" t="str">
        <f t="shared" si="222"/>
        <v>A</v>
      </c>
      <c r="CD171" s="119" t="str">
        <f t="shared" ref="CD171:CD234" si="267">+IF(OR($W171="",CB171=0),"",ROUND((CE171/CB171),6))</f>
        <v/>
      </c>
      <c r="CE171" s="66">
        <f>+IF($W171="","",ROUND((VLOOKUP(ROUNDDOWN($D171-1/frec,0),cob_adi,BO$40,FALSE)*(1+i/frec)^-0.5*(1+Parámetros!$D$103)*(1+rec_fracc)/frec*'TABLAS ADI'!$BC$17),2))</f>
        <v>0</v>
      </c>
      <c r="CF171" s="119" t="str">
        <f t="shared" ref="CF171:CF234" si="268">+IF(OR($W171="",CB171=0),"",ROUND((CG171/CB171),6))</f>
        <v/>
      </c>
      <c r="CG171" s="66">
        <f>+IF($W171="","",ROUND(IF($B171&gt;Parámetros!$D$107,'Tablas Servicio'!CE171+('Tablas Servicio'!CG170-'Tablas Servicio'!CE170),CE171/(1-IF(B171&lt;=10,Parámetros!$D$100,0))),2))</f>
        <v>0</v>
      </c>
      <c r="CH171" s="66">
        <f t="shared" ref="CH171:CI234" si="269">+IF($W171="","",0)</f>
        <v>0</v>
      </c>
      <c r="CI171" s="66">
        <f t="shared" si="269"/>
        <v>0</v>
      </c>
      <c r="CJ171" s="66">
        <f>+IF($W171="","",ROUND((CG171*Parámetros!$G$85),2))</f>
        <v>0</v>
      </c>
      <c r="CK171" s="66">
        <f>+IF($W171="","",ROUND((CG171*(Parámetros!$G$86)),2))</f>
        <v>0</v>
      </c>
      <c r="CL171" s="66">
        <f t="shared" ref="CL171:CL234" si="270">+IF($W171="","",ROUND((CG171+CJ171+CK171),2))</f>
        <v>0</v>
      </c>
      <c r="CM171" t="str">
        <f t="shared" si="223"/>
        <v>00063</v>
      </c>
      <c r="CN171" s="118" t="str">
        <f t="shared" si="224"/>
        <v>Renta Diaria por Hospitalización</v>
      </c>
      <c r="CO171" s="118">
        <f t="shared" si="225"/>
        <v>0</v>
      </c>
      <c r="CP171" s="118" t="str">
        <f t="shared" si="226"/>
        <v>A</v>
      </c>
      <c r="CQ171" s="119" t="str">
        <f t="shared" ref="CQ171:CQ234" si="271">+IF(OR($W171="",CO171=0),"",ROUND((CR171/CO171),6))</f>
        <v/>
      </c>
      <c r="CR171" s="66">
        <f>+IF($W171="","",ROUND((VLOOKUP(Parámetros!$F$51,'COBERTURAS ADICIONALES'!$S$4:$T$32,2,FALSE)*(1+i/frec)^-0.5*(1+Parámetros!$D$103)*(1+rec_fracc)/frec*$CO$42),2))</f>
        <v>0</v>
      </c>
      <c r="CS171" s="119" t="str">
        <f t="shared" ref="CS171:CS234" si="272">+IF(OR($W171="",CO171=0),"",ROUND((CT171/CO171),6))</f>
        <v/>
      </c>
      <c r="CT171" s="66">
        <f>+IF($W171="","",ROUND(IF($B171&gt;Parámetros!$D$107,'Tablas Servicio'!CR171+('Tablas Servicio'!CT170-'Tablas Servicio'!CR170),CR171/(1-IF(B171&lt;=10,Parámetros!$D$100,0))),2))</f>
        <v>0</v>
      </c>
      <c r="CU171" s="66">
        <f t="shared" ref="CU171:CV234" si="273">+IF($W171="","",0)</f>
        <v>0</v>
      </c>
      <c r="CV171" s="66">
        <f t="shared" si="273"/>
        <v>0</v>
      </c>
      <c r="CW171" s="66">
        <f>+IF($W171="","",ROUND((CT171*Parámetros!$G$85),2))</f>
        <v>0</v>
      </c>
      <c r="CX171" s="66">
        <f>+IF($W171="","",ROUND((CT171*(Parámetros!$G$86)),2))</f>
        <v>0</v>
      </c>
      <c r="CY171" s="66">
        <f t="shared" ref="CY171:CY234" si="274">+IF($W171="","",ROUND((CT171+CW171+CX171),2))</f>
        <v>0</v>
      </c>
      <c r="CZ171" t="str">
        <f t="shared" si="227"/>
        <v>00064</v>
      </c>
      <c r="DA171" s="118" t="str">
        <f t="shared" si="228"/>
        <v>Enfermedades Graves</v>
      </c>
      <c r="DB171" s="118">
        <f t="shared" si="229"/>
        <v>0</v>
      </c>
      <c r="DC171" s="118" t="str">
        <f t="shared" si="230"/>
        <v>A</v>
      </c>
      <c r="DD171" s="121" t="str">
        <f>+IF(OR($W171="",DB171=0),"",ROUND((VLOOKUP(ROUNDDOWN($D171-1/frec,0),cob_adi,CO$40,FALSE)*(1+i/frec)^-0.5*(1+Parámetros!$D$103)*(1+rec_fracc)/frec),6))</f>
        <v/>
      </c>
      <c r="DE171" s="66">
        <f t="shared" ref="DE171:DE234" si="275">+IF(DB171=0,0,IF($W171="","",ROUND(((DD171*DB171)),2)))</f>
        <v>0</v>
      </c>
      <c r="DF171" s="119" t="str">
        <f t="shared" ref="DF171:DF234" si="276">+IF(OR($W171="",DB171=0),"",ROUND((DG171/DB171),6))</f>
        <v/>
      </c>
      <c r="DG171" s="66">
        <f>+IF($W171="","",ROUND(IF($B171&gt;Parámetros!$D$107,'Tablas Servicio'!DE171+('Tablas Servicio'!DG170-'Tablas Servicio'!DE170),DE171/(1-IF(B171&lt;=10,Parámetros!$D$100,0))),2))</f>
        <v>0</v>
      </c>
      <c r="DH171" s="66">
        <f t="shared" ref="DH171:DI234" si="277">+IF($W171="","",0)</f>
        <v>0</v>
      </c>
      <c r="DI171" s="66">
        <f t="shared" si="277"/>
        <v>0</v>
      </c>
      <c r="DJ171" s="66">
        <f>+IF($W171="","",ROUND((DG171*Parámetros!$G$85),2))</f>
        <v>0</v>
      </c>
      <c r="DK171" s="66">
        <f>+IF($W171="","",ROUND((DG171*(Parámetros!$G$86)),2))</f>
        <v>0</v>
      </c>
      <c r="DL171" s="66">
        <f t="shared" ref="DL171:DL234" si="278">+IF($W171="","",ROUND((DG171+DJ171+DK171),2))</f>
        <v>0</v>
      </c>
      <c r="DM171" t="str">
        <f t="shared" si="231"/>
        <v>00065</v>
      </c>
      <c r="DN171" s="118" t="str">
        <f t="shared" si="232"/>
        <v>Exención pago de primas</v>
      </c>
      <c r="DO171" s="118">
        <f t="shared" si="233"/>
        <v>0</v>
      </c>
      <c r="DP171" s="118" t="str">
        <f t="shared" si="234"/>
        <v>A</v>
      </c>
      <c r="DQ171" s="122" t="str">
        <f>+IF(OR($W171="",DO171=0),"",ROUND((VLOOKUP(ROUNDDOWN($D171-1/frec,0),cob_adi,DB$40,FALSE)*(1+i/frec)^-0.5*(1+Parámetros!$D$103)*(1+rec_fracc)/frec),6))</f>
        <v/>
      </c>
      <c r="DR171" s="66">
        <f t="shared" ref="DR171:DR234" si="279">+IF(DO171=0,0,IF($W171="","",ROUND(((DQ171*DO171)),2)))</f>
        <v>0</v>
      </c>
      <c r="DS171" s="68" t="str">
        <f t="shared" ref="DS171:DS234" si="280">+IF(OR($W171="",DO171=0),"",ROUND((DT171/DO171),6))</f>
        <v/>
      </c>
      <c r="DT171" s="66">
        <f>+IF($W171="","",ROUND(IF($B171&gt;Parámetros!$D$107,'Tablas Servicio'!DR171+('Tablas Servicio'!DT170-'Tablas Servicio'!DR170),DR171/(1-IF(B171&lt;=10,Parámetros!$D$100,0))),2))</f>
        <v>0</v>
      </c>
      <c r="DU171" s="66">
        <f t="shared" ref="DU171:DV234" si="281">+IF($W171="","",0)</f>
        <v>0</v>
      </c>
      <c r="DV171" s="66">
        <f t="shared" si="281"/>
        <v>0</v>
      </c>
      <c r="DW171" s="66">
        <f>+IF($W171="","",ROUND((DT171*Parámetros!$G$85),2))</f>
        <v>0</v>
      </c>
      <c r="DX171" s="66">
        <f>+IF($W171="","",ROUND((DT171*(Parámetros!$G$86)),2))</f>
        <v>0</v>
      </c>
      <c r="DY171" s="66">
        <f t="shared" ref="DY171:DY234" si="282">+IF($W171="","",ROUND((DT171+DW171+DX171),2))</f>
        <v>0</v>
      </c>
      <c r="DZ171" t="str">
        <f t="shared" ref="DZ171:EC186" si="283">+IF($W171="","",DZ170)</f>
        <v>00066</v>
      </c>
      <c r="EA171" s="118" t="str">
        <f t="shared" si="283"/>
        <v>Enfermedad terminal</v>
      </c>
      <c r="EB171" s="118">
        <f>+IF($W171="","",ROUND(IF(Parámetros!$D$25='TABLAS MORT'!$V$33,EB170,Z171/2),0))</f>
        <v>50000</v>
      </c>
      <c r="EC171" s="118" t="str">
        <f t="shared" si="283"/>
        <v>A</v>
      </c>
      <c r="ED171" s="122">
        <f>+IF(OR($W171="",EB171=0),"",ROUND((VLOOKUP(ROUNDDOWN($D171-1/frec,0),cob_adi,DO$40,FALSE)*(1+i/frec)^-0.5*(1+Parámetros!$D$103)*(1+rec_fracc)/frec),6))</f>
        <v>1.8E-5</v>
      </c>
      <c r="EE171" s="66">
        <f t="shared" ref="EE171:EE234" si="284">+IF(EB171=0,0,IF($W171="","",ROUND(((ED171*EB171)),2)))</f>
        <v>0.9</v>
      </c>
      <c r="EF171" s="68">
        <f t="shared" ref="EF171:EF234" si="285">+IF(OR($W171="",EB171=0),"",ROUND((EG171/EB171),6))</f>
        <v>1.8E-5</v>
      </c>
      <c r="EG171" s="66">
        <f>+IF($W171="","",ROUND(IF($B171&gt;Parámetros!$D$107,'Tablas Servicio'!EE171+('Tablas Servicio'!EG170-'Tablas Servicio'!EE170),EE171/(1-IF(B171&lt;=10,Parámetros!$D$100,0))),2))</f>
        <v>0.9</v>
      </c>
      <c r="EH171" s="66">
        <f t="shared" ref="EH171:EI234" si="286">+IF($W171="","",0)</f>
        <v>0</v>
      </c>
      <c r="EI171" s="66">
        <f t="shared" si="286"/>
        <v>0</v>
      </c>
      <c r="EJ171" s="66">
        <f>+IF($W171="","",ROUND((EG171*Parámetros!$G$85),2))</f>
        <v>0.03</v>
      </c>
      <c r="EK171" s="66">
        <f>+IF($W171="","",ROUND((EG171*(Parámetros!$G$86)),2))</f>
        <v>0</v>
      </c>
      <c r="EL171" s="66">
        <f t="shared" ref="EL171:EL234" si="287">+IF($W171="","",ROUND((EG171+EJ171+EK171),2))</f>
        <v>0.93</v>
      </c>
    </row>
    <row r="172" spans="1:142" x14ac:dyDescent="0.25">
      <c r="A172">
        <f>+IF($C172="","",ROUND(VLOOKUP('Tablas Servicio'!B172,Parámetros!$H$100:$J$159,IF(Parámetros!$E$16="F",2,3),FALSE),2))</f>
        <v>150</v>
      </c>
      <c r="B172">
        <f t="shared" si="238"/>
        <v>11</v>
      </c>
      <c r="C172" s="57">
        <f>+IF(D172="","",'Tablas Servicio'!C171+1)</f>
        <v>131</v>
      </c>
      <c r="D172" s="56">
        <f>+IF(D171&lt;edadmaxtabla,D171+1/Parámetros!$E$25,"")</f>
        <v>50.93666666666698</v>
      </c>
      <c r="E172" s="57">
        <f t="shared" si="248"/>
        <v>50</v>
      </c>
      <c r="F172" s="59">
        <f t="shared" si="249"/>
        <v>100000</v>
      </c>
      <c r="G172" s="66">
        <f t="shared" si="239"/>
        <v>35.6</v>
      </c>
      <c r="H172" s="66">
        <f t="shared" si="240"/>
        <v>37.01</v>
      </c>
      <c r="I172" s="66">
        <f t="shared" si="200"/>
        <v>56.99</v>
      </c>
      <c r="J172" s="66">
        <f t="shared" si="241"/>
        <v>1.24</v>
      </c>
      <c r="K172" s="66">
        <f t="shared" si="242"/>
        <v>0.17</v>
      </c>
      <c r="L172" s="66">
        <f t="shared" si="243"/>
        <v>0</v>
      </c>
      <c r="M172" s="66">
        <f t="shared" si="244"/>
        <v>0</v>
      </c>
      <c r="N172" s="66">
        <f>+IF(C172="","",ROUND(Parámetros!$D$23,2))</f>
        <v>94</v>
      </c>
      <c r="O172" s="66">
        <f t="shared" si="245"/>
        <v>23.099999999999998</v>
      </c>
      <c r="P172" s="66">
        <f>+IF($C172="","",ROUND(IF(B172&gt;Parámetros!$D$117,0,N172*Parámetros!$D$116-G172*Parámetros!$D$100),2))</f>
        <v>0</v>
      </c>
      <c r="Q172" s="75">
        <f t="shared" si="201"/>
        <v>3.4831460674157301E-2</v>
      </c>
      <c r="R172" s="75">
        <f t="shared" si="202"/>
        <v>4.7752808988764045E-3</v>
      </c>
      <c r="S172" s="117">
        <f>+IF($C172="","",ROUND((S171+I172)*(1+Parámetros!$D$91),2))</f>
        <v>8701.3700000000008</v>
      </c>
      <c r="T172" s="117">
        <f>+IF($C172="","",ROUND(S172*VLOOKUP(B172,Parámetros!$C$30:$D$39,2,TRUE),2))</f>
        <v>8701.3700000000008</v>
      </c>
      <c r="U172" s="117">
        <f>+IF($C172="","",ROUND((U171+I172)*(1+Parámetros!$D$92),2))</f>
        <v>8960.7900000000009</v>
      </c>
      <c r="V172" s="117">
        <f>+IF($C172="","",ROUND(U172*VLOOKUP(B172,Parámetros!$C$30:$D$39,2,TRUE),2))</f>
        <v>8960.7900000000009</v>
      </c>
      <c r="W172" s="57">
        <f t="shared" si="203"/>
        <v>131</v>
      </c>
      <c r="X172" t="str">
        <f t="shared" si="204"/>
        <v>00058</v>
      </c>
      <c r="Y172" t="str">
        <f t="shared" si="205"/>
        <v>MUERTE POR CUALQUIER CAUSA</v>
      </c>
      <c r="Z172" s="118">
        <f>+IF($W172="","",ROUND(IF(Parámetros!$D$25='TABLAS MORT'!$V$33,Z171,Parámetros!$D$21-'Tablas Servicio'!T171),0))</f>
        <v>100000</v>
      </c>
      <c r="AA172" s="118" t="str">
        <f t="shared" si="206"/>
        <v>P</v>
      </c>
      <c r="AB172" s="119">
        <f>+IF(W172="","",ROUND((VLOOKUP(ROUNDDOWN($D172-1/frec,0),qx_tabla,2,FALSE)*(1+i/frec)^-0.5*(1+Parámetros!$D$103)*(1+rec_fracc)/frec),6))</f>
        <v>2.22E-4</v>
      </c>
      <c r="AC172" s="66">
        <f t="shared" si="250"/>
        <v>22.2</v>
      </c>
      <c r="AD172" s="119">
        <f t="shared" si="246"/>
        <v>3.4699999999999998E-4</v>
      </c>
      <c r="AE172" s="66">
        <f>+IF($W172="","",ROUND(IF($B172&gt;Parámetros!$D$107,'Tablas Servicio'!AC172+('Tablas Servicio'!AG171-'Tablas Servicio'!AC171),AC172/(1-IF(B172&lt;=10,Parámetros!$D$104,Parámetros!$D$105))),2))</f>
        <v>37</v>
      </c>
      <c r="AF172" s="66">
        <f>+IF($W172="","",ROUND(IF($B172&gt;Parámetros!$D$107,'Tablas Servicio'!AC172+('Tablas Servicio'!AG171-'Tablas Servicio'!AC171),(AC172+$A171/frec)/(1-IF(B172&lt;=Parámetros!$D$117,Parámetros!$D$100,0))),2))</f>
        <v>34.700000000000003</v>
      </c>
      <c r="AG172" s="66">
        <f t="shared" si="251"/>
        <v>34.700000000000003</v>
      </c>
      <c r="AH172" s="66">
        <f t="shared" si="252"/>
        <v>0</v>
      </c>
      <c r="AI172" s="66">
        <f t="shared" si="253"/>
        <v>0</v>
      </c>
      <c r="AJ172" s="66">
        <f>+IF($W172="","",ROUND((AG172*Parámetros!$G$85),2))</f>
        <v>1.21</v>
      </c>
      <c r="AK172" s="66">
        <f>+IF($W172="","",ROUND((AG172*(Parámetros!$G$86)),2))</f>
        <v>0.17</v>
      </c>
      <c r="AL172" s="66">
        <f t="shared" si="247"/>
        <v>36.08</v>
      </c>
      <c r="AM172" t="str">
        <f t="shared" si="207"/>
        <v>00059</v>
      </c>
      <c r="AN172" t="str">
        <f t="shared" si="208"/>
        <v>Incapacidad Total y Permanente</v>
      </c>
      <c r="AO172" s="118">
        <f t="shared" si="209"/>
        <v>0</v>
      </c>
      <c r="AP172" s="118" t="str">
        <f t="shared" si="210"/>
        <v>A</v>
      </c>
      <c r="AQ172" s="119" t="str">
        <f>+IF(OR($W172="",AO172=0),"",ROUND((VLOOKUP(ROUNDDOWN($D172-1/frec,0),cob_adi,Z$40,FALSE)*(1+i/frec)^-0.5*(1+Parámetros!$D$103)*(1+rec_fracc)/frec),6))</f>
        <v/>
      </c>
      <c r="AR172" s="66">
        <f t="shared" si="254"/>
        <v>0</v>
      </c>
      <c r="AS172" s="119" t="str">
        <f t="shared" si="255"/>
        <v/>
      </c>
      <c r="AT172" s="66">
        <f>+IF($W172="","",ROUND(IF($B172&gt;Parámetros!$D$107,'Tablas Servicio'!AR172+('Tablas Servicio'!AT171-'Tablas Servicio'!AR171),AR172/(1-IF(B172&lt;=10,Parámetros!$D$100,0))),2))</f>
        <v>0</v>
      </c>
      <c r="AU172" s="66">
        <f t="shared" si="256"/>
        <v>0</v>
      </c>
      <c r="AV172" s="66">
        <f t="shared" si="256"/>
        <v>0</v>
      </c>
      <c r="AW172" s="66">
        <f>+IF($W172="","",ROUND((AT172*Parámetros!$G$85),2))</f>
        <v>0</v>
      </c>
      <c r="AX172" s="66">
        <f>+IF($W172="","",ROUND((AT172*(Parámetros!$G$86)),2))</f>
        <v>0</v>
      </c>
      <c r="AY172" s="66">
        <f t="shared" si="257"/>
        <v>0</v>
      </c>
      <c r="AZ172" t="str">
        <f t="shared" si="211"/>
        <v>00060</v>
      </c>
      <c r="BA172" t="str">
        <f t="shared" si="212"/>
        <v>Muerte Accidental</v>
      </c>
      <c r="BB172" s="118">
        <f t="shared" si="213"/>
        <v>0</v>
      </c>
      <c r="BC172" s="118" t="str">
        <f t="shared" si="214"/>
        <v>A</v>
      </c>
      <c r="BD172" s="119" t="str">
        <f>+IF(OR($W172="",BB172=0),"",ROUND((VLOOKUP(ROUNDDOWN($D172-1/frec,0),cob_adi,AO$40,FALSE)*(1+i/frec)^-0.5*(1+Parámetros!$D$103)*(1+rec_fracc)/frec),6))</f>
        <v/>
      </c>
      <c r="BE172" s="66">
        <f t="shared" si="258"/>
        <v>0</v>
      </c>
      <c r="BF172" s="119" t="str">
        <f t="shared" si="259"/>
        <v/>
      </c>
      <c r="BG172" s="66">
        <f>+IF($W172="","",ROUND(IF($B172&gt;Parámetros!$D$107,'Tablas Servicio'!BE172+('Tablas Servicio'!BG171-'Tablas Servicio'!BE171),BE172/(1-IF(B172&lt;=10,Parámetros!$D$100,0))),2))</f>
        <v>0</v>
      </c>
      <c r="BH172" s="66">
        <f t="shared" si="260"/>
        <v>0</v>
      </c>
      <c r="BI172" s="66">
        <f t="shared" si="261"/>
        <v>0</v>
      </c>
      <c r="BJ172" s="66">
        <f>+IF($W172="","",ROUND((BG172*Parámetros!$G$85),2))</f>
        <v>0</v>
      </c>
      <c r="BK172" s="66">
        <f>+IF($W172="","",ROUND((BG172*(Parámetros!$G$86)),2))</f>
        <v>0</v>
      </c>
      <c r="BL172" s="66">
        <f t="shared" si="262"/>
        <v>0</v>
      </c>
      <c r="BM172" t="str">
        <f t="shared" si="215"/>
        <v>00061</v>
      </c>
      <c r="BN172" t="str">
        <f t="shared" si="216"/>
        <v>Gastos de Entierro</v>
      </c>
      <c r="BO172" s="118">
        <f t="shared" si="217"/>
        <v>0</v>
      </c>
      <c r="BP172" s="118" t="str">
        <f t="shared" si="218"/>
        <v>A</v>
      </c>
      <c r="BQ172" s="119" t="str">
        <f>+IF(OR($W172="",BO172=0),"",ROUND((VLOOKUP(ROUNDDOWN($D172-1/frec,0),cob_adi,BB$40,FALSE)*(1+i/frec)^-0.5*(1+Parámetros!$D$103)*(1+rec_fracc)/frec),6))</f>
        <v/>
      </c>
      <c r="BR172" s="66">
        <f t="shared" si="263"/>
        <v>0</v>
      </c>
      <c r="BS172" s="119" t="str">
        <f t="shared" si="264"/>
        <v/>
      </c>
      <c r="BT172" s="66">
        <f>+IF($W172="","",ROUND(IF($B172&gt;Parámetros!$D$107,'Tablas Servicio'!BR172+('Tablas Servicio'!BT171-'Tablas Servicio'!BR171),BR172/(1-IF(B172&lt;=10,Parámetros!$D$100,0))),2))</f>
        <v>0</v>
      </c>
      <c r="BU172" s="66">
        <f t="shared" si="265"/>
        <v>0</v>
      </c>
      <c r="BV172" s="66">
        <f t="shared" si="265"/>
        <v>0</v>
      </c>
      <c r="BW172" s="66">
        <f>+IF($W172="","",ROUND((BT172*Parámetros!$G$85),2))</f>
        <v>0</v>
      </c>
      <c r="BX172" s="66">
        <f>+IF($W172="","",ROUND((BT172*(Parámetros!$G$86)),2))</f>
        <v>0</v>
      </c>
      <c r="BY172" s="66">
        <f t="shared" si="266"/>
        <v>0</v>
      </c>
      <c r="BZ172" t="str">
        <f t="shared" si="219"/>
        <v>00062</v>
      </c>
      <c r="CA172" t="str">
        <f t="shared" si="220"/>
        <v>Gastos médicos por accidente</v>
      </c>
      <c r="CB172" s="118">
        <f t="shared" si="221"/>
        <v>0</v>
      </c>
      <c r="CC172" s="118" t="str">
        <f t="shared" si="222"/>
        <v>A</v>
      </c>
      <c r="CD172" s="119" t="str">
        <f t="shared" si="267"/>
        <v/>
      </c>
      <c r="CE172" s="66">
        <f>+IF($W172="","",ROUND((VLOOKUP(ROUNDDOWN($D172-1/frec,0),cob_adi,BO$40,FALSE)*(1+i/frec)^-0.5*(1+Parámetros!$D$103)*(1+rec_fracc)/frec*'TABLAS ADI'!$BC$17),2))</f>
        <v>0</v>
      </c>
      <c r="CF172" s="119" t="str">
        <f t="shared" si="268"/>
        <v/>
      </c>
      <c r="CG172" s="66">
        <f>+IF($W172="","",ROUND(IF($B172&gt;Parámetros!$D$107,'Tablas Servicio'!CE172+('Tablas Servicio'!CG171-'Tablas Servicio'!CE171),CE172/(1-IF(B172&lt;=10,Parámetros!$D$100,0))),2))</f>
        <v>0</v>
      </c>
      <c r="CH172" s="66">
        <f t="shared" si="269"/>
        <v>0</v>
      </c>
      <c r="CI172" s="66">
        <f t="shared" si="269"/>
        <v>0</v>
      </c>
      <c r="CJ172" s="66">
        <f>+IF($W172="","",ROUND((CG172*Parámetros!$G$85),2))</f>
        <v>0</v>
      </c>
      <c r="CK172" s="66">
        <f>+IF($W172="","",ROUND((CG172*(Parámetros!$G$86)),2))</f>
        <v>0</v>
      </c>
      <c r="CL172" s="66">
        <f t="shared" si="270"/>
        <v>0</v>
      </c>
      <c r="CM172" t="str">
        <f t="shared" si="223"/>
        <v>00063</v>
      </c>
      <c r="CN172" s="118" t="str">
        <f t="shared" si="224"/>
        <v>Renta Diaria por Hospitalización</v>
      </c>
      <c r="CO172" s="118">
        <f t="shared" si="225"/>
        <v>0</v>
      </c>
      <c r="CP172" s="118" t="str">
        <f t="shared" si="226"/>
        <v>A</v>
      </c>
      <c r="CQ172" s="119" t="str">
        <f t="shared" si="271"/>
        <v/>
      </c>
      <c r="CR172" s="66">
        <f>+IF($W172="","",ROUND((VLOOKUP(Parámetros!$F$51,'COBERTURAS ADICIONALES'!$S$4:$T$32,2,FALSE)*(1+i/frec)^-0.5*(1+Parámetros!$D$103)*(1+rec_fracc)/frec*$CO$42),2))</f>
        <v>0</v>
      </c>
      <c r="CS172" s="119" t="str">
        <f t="shared" si="272"/>
        <v/>
      </c>
      <c r="CT172" s="66">
        <f>+IF($W172="","",ROUND(IF($B172&gt;Parámetros!$D$107,'Tablas Servicio'!CR172+('Tablas Servicio'!CT171-'Tablas Servicio'!CR171),CR172/(1-IF(B172&lt;=10,Parámetros!$D$100,0))),2))</f>
        <v>0</v>
      </c>
      <c r="CU172" s="66">
        <f t="shared" si="273"/>
        <v>0</v>
      </c>
      <c r="CV172" s="66">
        <f t="shared" si="273"/>
        <v>0</v>
      </c>
      <c r="CW172" s="66">
        <f>+IF($W172="","",ROUND((CT172*Parámetros!$G$85),2))</f>
        <v>0</v>
      </c>
      <c r="CX172" s="66">
        <f>+IF($W172="","",ROUND((CT172*(Parámetros!$G$86)),2))</f>
        <v>0</v>
      </c>
      <c r="CY172" s="66">
        <f t="shared" si="274"/>
        <v>0</v>
      </c>
      <c r="CZ172" t="str">
        <f t="shared" si="227"/>
        <v>00064</v>
      </c>
      <c r="DA172" s="118" t="str">
        <f t="shared" si="228"/>
        <v>Enfermedades Graves</v>
      </c>
      <c r="DB172" s="118">
        <f t="shared" si="229"/>
        <v>0</v>
      </c>
      <c r="DC172" s="118" t="str">
        <f t="shared" si="230"/>
        <v>A</v>
      </c>
      <c r="DD172" s="121" t="str">
        <f>+IF(OR($W172="",DB172=0),"",ROUND((VLOOKUP(ROUNDDOWN($D172-1/frec,0),cob_adi,CO$40,FALSE)*(1+i/frec)^-0.5*(1+Parámetros!$D$103)*(1+rec_fracc)/frec),6))</f>
        <v/>
      </c>
      <c r="DE172" s="66">
        <f t="shared" si="275"/>
        <v>0</v>
      </c>
      <c r="DF172" s="119" t="str">
        <f t="shared" si="276"/>
        <v/>
      </c>
      <c r="DG172" s="66">
        <f>+IF($W172="","",ROUND(IF($B172&gt;Parámetros!$D$107,'Tablas Servicio'!DE172+('Tablas Servicio'!DG171-'Tablas Servicio'!DE171),DE172/(1-IF(B172&lt;=10,Parámetros!$D$100,0))),2))</f>
        <v>0</v>
      </c>
      <c r="DH172" s="66">
        <f t="shared" si="277"/>
        <v>0</v>
      </c>
      <c r="DI172" s="66">
        <f t="shared" si="277"/>
        <v>0</v>
      </c>
      <c r="DJ172" s="66">
        <f>+IF($W172="","",ROUND((DG172*Parámetros!$G$85),2))</f>
        <v>0</v>
      </c>
      <c r="DK172" s="66">
        <f>+IF($W172="","",ROUND((DG172*(Parámetros!$G$86)),2))</f>
        <v>0</v>
      </c>
      <c r="DL172" s="66">
        <f t="shared" si="278"/>
        <v>0</v>
      </c>
      <c r="DM172" t="str">
        <f t="shared" si="231"/>
        <v>00065</v>
      </c>
      <c r="DN172" s="118" t="str">
        <f t="shared" si="232"/>
        <v>Exención pago de primas</v>
      </c>
      <c r="DO172" s="118">
        <f t="shared" si="233"/>
        <v>0</v>
      </c>
      <c r="DP172" s="118" t="str">
        <f t="shared" si="234"/>
        <v>A</v>
      </c>
      <c r="DQ172" s="122" t="str">
        <f>+IF(OR($W172="",DO172=0),"",ROUND((VLOOKUP(ROUNDDOWN($D172-1/frec,0),cob_adi,DB$40,FALSE)*(1+i/frec)^-0.5*(1+Parámetros!$D$103)*(1+rec_fracc)/frec),6))</f>
        <v/>
      </c>
      <c r="DR172" s="66">
        <f t="shared" si="279"/>
        <v>0</v>
      </c>
      <c r="DS172" s="68" t="str">
        <f t="shared" si="280"/>
        <v/>
      </c>
      <c r="DT172" s="66">
        <f>+IF($W172="","",ROUND(IF($B172&gt;Parámetros!$D$107,'Tablas Servicio'!DR172+('Tablas Servicio'!DT171-'Tablas Servicio'!DR171),DR172/(1-IF(B172&lt;=10,Parámetros!$D$100,0))),2))</f>
        <v>0</v>
      </c>
      <c r="DU172" s="66">
        <f t="shared" si="281"/>
        <v>0</v>
      </c>
      <c r="DV172" s="66">
        <f t="shared" si="281"/>
        <v>0</v>
      </c>
      <c r="DW172" s="66">
        <f>+IF($W172="","",ROUND((DT172*Parámetros!$G$85),2))</f>
        <v>0</v>
      </c>
      <c r="DX172" s="66">
        <f>+IF($W172="","",ROUND((DT172*(Parámetros!$G$86)),2))</f>
        <v>0</v>
      </c>
      <c r="DY172" s="66">
        <f t="shared" si="282"/>
        <v>0</v>
      </c>
      <c r="DZ172" t="str">
        <f t="shared" si="283"/>
        <v>00066</v>
      </c>
      <c r="EA172" s="118" t="str">
        <f t="shared" si="283"/>
        <v>Enfermedad terminal</v>
      </c>
      <c r="EB172" s="118">
        <f>+IF($W172="","",ROUND(IF(Parámetros!$D$25='TABLAS MORT'!$V$33,EB171,Z172/2),0))</f>
        <v>50000</v>
      </c>
      <c r="EC172" s="118" t="str">
        <f t="shared" si="283"/>
        <v>A</v>
      </c>
      <c r="ED172" s="122">
        <f>+IF(OR($W172="",EB172=0),"",ROUND((VLOOKUP(ROUNDDOWN($D172-1/frec,0),cob_adi,DO$40,FALSE)*(1+i/frec)^-0.5*(1+Parámetros!$D$103)*(1+rec_fracc)/frec),6))</f>
        <v>1.8E-5</v>
      </c>
      <c r="EE172" s="66">
        <f t="shared" si="284"/>
        <v>0.9</v>
      </c>
      <c r="EF172" s="68">
        <f t="shared" si="285"/>
        <v>1.8E-5</v>
      </c>
      <c r="EG172" s="66">
        <f>+IF($W172="","",ROUND(IF($B172&gt;Parámetros!$D$107,'Tablas Servicio'!EE172+('Tablas Servicio'!EG171-'Tablas Servicio'!EE171),EE172/(1-IF(B172&lt;=10,Parámetros!$D$100,0))),2))</f>
        <v>0.9</v>
      </c>
      <c r="EH172" s="66">
        <f t="shared" si="286"/>
        <v>0</v>
      </c>
      <c r="EI172" s="66">
        <f t="shared" si="286"/>
        <v>0</v>
      </c>
      <c r="EJ172" s="66">
        <f>+IF($W172="","",ROUND((EG172*Parámetros!$G$85),2))</f>
        <v>0.03</v>
      </c>
      <c r="EK172" s="66">
        <f>+IF($W172="","",ROUND((EG172*(Parámetros!$G$86)),2))</f>
        <v>0</v>
      </c>
      <c r="EL172" s="66">
        <f t="shared" si="287"/>
        <v>0.93</v>
      </c>
    </row>
    <row r="173" spans="1:142" x14ac:dyDescent="0.25">
      <c r="A173">
        <f>+IF($C173="","",ROUND(VLOOKUP('Tablas Servicio'!B173,Parámetros!$H$100:$J$159,IF(Parámetros!$E$16="F",2,3),FALSE),2))</f>
        <v>150</v>
      </c>
      <c r="B173">
        <f t="shared" si="238"/>
        <v>11</v>
      </c>
      <c r="C173" s="57">
        <f>+IF(D173="","",'Tablas Servicio'!C172+1)</f>
        <v>132</v>
      </c>
      <c r="D173" s="56">
        <f>+IF(D172&lt;edadmaxtabla,D172+1/Parámetros!$E$25,"")</f>
        <v>51.020000000000316</v>
      </c>
      <c r="E173" s="57">
        <f t="shared" si="248"/>
        <v>51</v>
      </c>
      <c r="F173" s="59">
        <f t="shared" si="249"/>
        <v>100000</v>
      </c>
      <c r="G173" s="66">
        <f t="shared" si="239"/>
        <v>35.6</v>
      </c>
      <c r="H173" s="66">
        <f t="shared" si="240"/>
        <v>37.01</v>
      </c>
      <c r="I173" s="66">
        <f t="shared" si="200"/>
        <v>56.99</v>
      </c>
      <c r="J173" s="66">
        <f t="shared" si="241"/>
        <v>1.24</v>
      </c>
      <c r="K173" s="66">
        <f t="shared" si="242"/>
        <v>0.17</v>
      </c>
      <c r="L173" s="66">
        <f t="shared" si="243"/>
        <v>0</v>
      </c>
      <c r="M173" s="66">
        <f t="shared" si="244"/>
        <v>0</v>
      </c>
      <c r="N173" s="66">
        <f>+IF(C173="","",ROUND(Parámetros!$D$23,2))</f>
        <v>94</v>
      </c>
      <c r="O173" s="66">
        <f t="shared" si="245"/>
        <v>23.099999999999998</v>
      </c>
      <c r="P173" s="66">
        <f>+IF($C173="","",ROUND(IF(B173&gt;Parámetros!$D$117,0,N173*Parámetros!$D$116-G173*Parámetros!$D$100),2))</f>
        <v>0</v>
      </c>
      <c r="Q173" s="75">
        <f t="shared" si="201"/>
        <v>3.4831460674157301E-2</v>
      </c>
      <c r="R173" s="75">
        <f t="shared" si="202"/>
        <v>4.7752808988764045E-3</v>
      </c>
      <c r="S173" s="117">
        <f>+IF($C173="","",ROUND((S172+I173)*(1+Parámetros!$D$91),2))</f>
        <v>8783.2000000000007</v>
      </c>
      <c r="T173" s="117">
        <f>+IF($C173="","",ROUND(S173*VLOOKUP(B173,Parámetros!$C$30:$D$39,2,TRUE),2))</f>
        <v>8783.2000000000007</v>
      </c>
      <c r="U173" s="117">
        <f>+IF($C173="","",ROUND((U172+I173)*(1+Parámetros!$D$92),2))</f>
        <v>9047.01</v>
      </c>
      <c r="V173" s="117">
        <f>+IF($C173="","",ROUND(U173*VLOOKUP(B173,Parámetros!$C$30:$D$39,2,TRUE),2))</f>
        <v>9047.01</v>
      </c>
      <c r="W173" s="57">
        <f t="shared" si="203"/>
        <v>132</v>
      </c>
      <c r="X173" t="str">
        <f t="shared" si="204"/>
        <v>00058</v>
      </c>
      <c r="Y173" t="str">
        <f t="shared" si="205"/>
        <v>MUERTE POR CUALQUIER CAUSA</v>
      </c>
      <c r="Z173" s="118">
        <f>+IF($W173="","",ROUND(IF(Parámetros!$D$25='TABLAS MORT'!$V$33,Z172,Parámetros!$D$21-'Tablas Servicio'!T172),0))</f>
        <v>100000</v>
      </c>
      <c r="AA173" s="118" t="str">
        <f t="shared" si="206"/>
        <v>P</v>
      </c>
      <c r="AB173" s="119">
        <f>+IF(W173="","",ROUND((VLOOKUP(ROUNDDOWN($D173-1/frec,0),qx_tabla,2,FALSE)*(1+i/frec)^-0.5*(1+Parámetros!$D$103)*(1+rec_fracc)/frec),6))</f>
        <v>2.22E-4</v>
      </c>
      <c r="AC173" s="66">
        <f t="shared" si="250"/>
        <v>22.2</v>
      </c>
      <c r="AD173" s="119">
        <f t="shared" si="246"/>
        <v>3.4699999999999998E-4</v>
      </c>
      <c r="AE173" s="66">
        <f>+IF($W173="","",ROUND(IF($B173&gt;Parámetros!$D$107,'Tablas Servicio'!AC173+('Tablas Servicio'!AG172-'Tablas Servicio'!AC172),AC173/(1-IF(B173&lt;=10,Parámetros!$D$104,Parámetros!$D$105))),2))</f>
        <v>37</v>
      </c>
      <c r="AF173" s="66">
        <f>+IF($W173="","",ROUND(IF($B173&gt;Parámetros!$D$107,'Tablas Servicio'!AC173+('Tablas Servicio'!AG172-'Tablas Servicio'!AC172),(AC173+$A172/frec)/(1-IF(B173&lt;=Parámetros!$D$117,Parámetros!$D$100,0))),2))</f>
        <v>34.700000000000003</v>
      </c>
      <c r="AG173" s="66">
        <f t="shared" si="251"/>
        <v>34.700000000000003</v>
      </c>
      <c r="AH173" s="66">
        <f t="shared" si="252"/>
        <v>0</v>
      </c>
      <c r="AI173" s="66">
        <f t="shared" si="253"/>
        <v>0</v>
      </c>
      <c r="AJ173" s="66">
        <f>+IF($W173="","",ROUND((AG173*Parámetros!$G$85),2))</f>
        <v>1.21</v>
      </c>
      <c r="AK173" s="66">
        <f>+IF($W173="","",ROUND((AG173*(Parámetros!$G$86)),2))</f>
        <v>0.17</v>
      </c>
      <c r="AL173" s="66">
        <f t="shared" si="247"/>
        <v>36.08</v>
      </c>
      <c r="AM173" t="str">
        <f t="shared" si="207"/>
        <v>00059</v>
      </c>
      <c r="AN173" t="str">
        <f t="shared" si="208"/>
        <v>Incapacidad Total y Permanente</v>
      </c>
      <c r="AO173" s="118">
        <f t="shared" si="209"/>
        <v>0</v>
      </c>
      <c r="AP173" s="118" t="str">
        <f t="shared" si="210"/>
        <v>A</v>
      </c>
      <c r="AQ173" s="119" t="str">
        <f>+IF(OR($W173="",AO173=0),"",ROUND((VLOOKUP(ROUNDDOWN($D173-1/frec,0),cob_adi,Z$40,FALSE)*(1+i/frec)^-0.5*(1+Parámetros!$D$103)*(1+rec_fracc)/frec),6))</f>
        <v/>
      </c>
      <c r="AR173" s="66">
        <f t="shared" si="254"/>
        <v>0</v>
      </c>
      <c r="AS173" s="119" t="str">
        <f t="shared" si="255"/>
        <v/>
      </c>
      <c r="AT173" s="66">
        <f>+IF($W173="","",ROUND(IF($B173&gt;Parámetros!$D$107,'Tablas Servicio'!AR173+('Tablas Servicio'!AT172-'Tablas Servicio'!AR172),AR173/(1-IF(B173&lt;=10,Parámetros!$D$100,0))),2))</f>
        <v>0</v>
      </c>
      <c r="AU173" s="66">
        <f t="shared" si="256"/>
        <v>0</v>
      </c>
      <c r="AV173" s="66">
        <f t="shared" si="256"/>
        <v>0</v>
      </c>
      <c r="AW173" s="66">
        <f>+IF($W173="","",ROUND((AT173*Parámetros!$G$85),2))</f>
        <v>0</v>
      </c>
      <c r="AX173" s="66">
        <f>+IF($W173="","",ROUND((AT173*(Parámetros!$G$86)),2))</f>
        <v>0</v>
      </c>
      <c r="AY173" s="66">
        <f t="shared" si="257"/>
        <v>0</v>
      </c>
      <c r="AZ173" t="str">
        <f t="shared" si="211"/>
        <v>00060</v>
      </c>
      <c r="BA173" t="str">
        <f t="shared" si="212"/>
        <v>Muerte Accidental</v>
      </c>
      <c r="BB173" s="118">
        <f t="shared" si="213"/>
        <v>0</v>
      </c>
      <c r="BC173" s="118" t="str">
        <f t="shared" si="214"/>
        <v>A</v>
      </c>
      <c r="BD173" s="119" t="str">
        <f>+IF(OR($W173="",BB173=0),"",ROUND((VLOOKUP(ROUNDDOWN($D173-1/frec,0),cob_adi,AO$40,FALSE)*(1+i/frec)^-0.5*(1+Parámetros!$D$103)*(1+rec_fracc)/frec),6))</f>
        <v/>
      </c>
      <c r="BE173" s="66">
        <f t="shared" si="258"/>
        <v>0</v>
      </c>
      <c r="BF173" s="119" t="str">
        <f t="shared" si="259"/>
        <v/>
      </c>
      <c r="BG173" s="66">
        <f>+IF($W173="","",ROUND(IF($B173&gt;Parámetros!$D$107,'Tablas Servicio'!BE173+('Tablas Servicio'!BG172-'Tablas Servicio'!BE172),BE173/(1-IF(B173&lt;=10,Parámetros!$D$100,0))),2))</f>
        <v>0</v>
      </c>
      <c r="BH173" s="66">
        <f t="shared" si="260"/>
        <v>0</v>
      </c>
      <c r="BI173" s="66">
        <f t="shared" si="261"/>
        <v>0</v>
      </c>
      <c r="BJ173" s="66">
        <f>+IF($W173="","",ROUND((BG173*Parámetros!$G$85),2))</f>
        <v>0</v>
      </c>
      <c r="BK173" s="66">
        <f>+IF($W173="","",ROUND((BG173*(Parámetros!$G$86)),2))</f>
        <v>0</v>
      </c>
      <c r="BL173" s="66">
        <f t="shared" si="262"/>
        <v>0</v>
      </c>
      <c r="BM173" t="str">
        <f t="shared" si="215"/>
        <v>00061</v>
      </c>
      <c r="BN173" t="str">
        <f t="shared" si="216"/>
        <v>Gastos de Entierro</v>
      </c>
      <c r="BO173" s="118">
        <f t="shared" si="217"/>
        <v>0</v>
      </c>
      <c r="BP173" s="118" t="str">
        <f t="shared" si="218"/>
        <v>A</v>
      </c>
      <c r="BQ173" s="119" t="str">
        <f>+IF(OR($W173="",BO173=0),"",ROUND((VLOOKUP(ROUNDDOWN($D173-1/frec,0),cob_adi,BB$40,FALSE)*(1+i/frec)^-0.5*(1+Parámetros!$D$103)*(1+rec_fracc)/frec),6))</f>
        <v/>
      </c>
      <c r="BR173" s="66">
        <f t="shared" si="263"/>
        <v>0</v>
      </c>
      <c r="BS173" s="119" t="str">
        <f t="shared" si="264"/>
        <v/>
      </c>
      <c r="BT173" s="66">
        <f>+IF($W173="","",ROUND(IF($B173&gt;Parámetros!$D$107,'Tablas Servicio'!BR173+('Tablas Servicio'!BT172-'Tablas Servicio'!BR172),BR173/(1-IF(B173&lt;=10,Parámetros!$D$100,0))),2))</f>
        <v>0</v>
      </c>
      <c r="BU173" s="66">
        <f t="shared" si="265"/>
        <v>0</v>
      </c>
      <c r="BV173" s="66">
        <f t="shared" si="265"/>
        <v>0</v>
      </c>
      <c r="BW173" s="66">
        <f>+IF($W173="","",ROUND((BT173*Parámetros!$G$85),2))</f>
        <v>0</v>
      </c>
      <c r="BX173" s="66">
        <f>+IF($W173="","",ROUND((BT173*(Parámetros!$G$86)),2))</f>
        <v>0</v>
      </c>
      <c r="BY173" s="66">
        <f t="shared" si="266"/>
        <v>0</v>
      </c>
      <c r="BZ173" t="str">
        <f t="shared" si="219"/>
        <v>00062</v>
      </c>
      <c r="CA173" t="str">
        <f t="shared" si="220"/>
        <v>Gastos médicos por accidente</v>
      </c>
      <c r="CB173" s="118">
        <f t="shared" si="221"/>
        <v>0</v>
      </c>
      <c r="CC173" s="118" t="str">
        <f t="shared" si="222"/>
        <v>A</v>
      </c>
      <c r="CD173" s="119" t="str">
        <f t="shared" si="267"/>
        <v/>
      </c>
      <c r="CE173" s="66">
        <f>+IF($W173="","",ROUND((VLOOKUP(ROUNDDOWN($D173-1/frec,0),cob_adi,BO$40,FALSE)*(1+i/frec)^-0.5*(1+Parámetros!$D$103)*(1+rec_fracc)/frec*'TABLAS ADI'!$BC$17),2))</f>
        <v>0</v>
      </c>
      <c r="CF173" s="119" t="str">
        <f t="shared" si="268"/>
        <v/>
      </c>
      <c r="CG173" s="66">
        <f>+IF($W173="","",ROUND(IF($B173&gt;Parámetros!$D$107,'Tablas Servicio'!CE173+('Tablas Servicio'!CG172-'Tablas Servicio'!CE172),CE173/(1-IF(B173&lt;=10,Parámetros!$D$100,0))),2))</f>
        <v>0</v>
      </c>
      <c r="CH173" s="66">
        <f t="shared" si="269"/>
        <v>0</v>
      </c>
      <c r="CI173" s="66">
        <f t="shared" si="269"/>
        <v>0</v>
      </c>
      <c r="CJ173" s="66">
        <f>+IF($W173="","",ROUND((CG173*Parámetros!$G$85),2))</f>
        <v>0</v>
      </c>
      <c r="CK173" s="66">
        <f>+IF($W173="","",ROUND((CG173*(Parámetros!$G$86)),2))</f>
        <v>0</v>
      </c>
      <c r="CL173" s="66">
        <f t="shared" si="270"/>
        <v>0</v>
      </c>
      <c r="CM173" t="str">
        <f t="shared" si="223"/>
        <v>00063</v>
      </c>
      <c r="CN173" s="118" t="str">
        <f t="shared" si="224"/>
        <v>Renta Diaria por Hospitalización</v>
      </c>
      <c r="CO173" s="118">
        <f t="shared" si="225"/>
        <v>0</v>
      </c>
      <c r="CP173" s="118" t="str">
        <f t="shared" si="226"/>
        <v>A</v>
      </c>
      <c r="CQ173" s="119" t="str">
        <f t="shared" si="271"/>
        <v/>
      </c>
      <c r="CR173" s="66">
        <f>+IF($W173="","",ROUND((VLOOKUP(Parámetros!$F$51,'COBERTURAS ADICIONALES'!$S$4:$T$32,2,FALSE)*(1+i/frec)^-0.5*(1+Parámetros!$D$103)*(1+rec_fracc)/frec*$CO$42),2))</f>
        <v>0</v>
      </c>
      <c r="CS173" s="119" t="str">
        <f t="shared" si="272"/>
        <v/>
      </c>
      <c r="CT173" s="66">
        <f>+IF($W173="","",ROUND(IF($B173&gt;Parámetros!$D$107,'Tablas Servicio'!CR173+('Tablas Servicio'!CT172-'Tablas Servicio'!CR172),CR173/(1-IF(B173&lt;=10,Parámetros!$D$100,0))),2))</f>
        <v>0</v>
      </c>
      <c r="CU173" s="66">
        <f t="shared" si="273"/>
        <v>0</v>
      </c>
      <c r="CV173" s="66">
        <f t="shared" si="273"/>
        <v>0</v>
      </c>
      <c r="CW173" s="66">
        <f>+IF($W173="","",ROUND((CT173*Parámetros!$G$85),2))</f>
        <v>0</v>
      </c>
      <c r="CX173" s="66">
        <f>+IF($W173="","",ROUND((CT173*(Parámetros!$G$86)),2))</f>
        <v>0</v>
      </c>
      <c r="CY173" s="66">
        <f t="shared" si="274"/>
        <v>0</v>
      </c>
      <c r="CZ173" t="str">
        <f t="shared" si="227"/>
        <v>00064</v>
      </c>
      <c r="DA173" s="118" t="str">
        <f t="shared" si="228"/>
        <v>Enfermedades Graves</v>
      </c>
      <c r="DB173" s="118">
        <f t="shared" si="229"/>
        <v>0</v>
      </c>
      <c r="DC173" s="118" t="str">
        <f t="shared" si="230"/>
        <v>A</v>
      </c>
      <c r="DD173" s="121" t="str">
        <f>+IF(OR($W173="",DB173=0),"",ROUND((VLOOKUP(ROUNDDOWN($D173-1/frec,0),cob_adi,CO$40,FALSE)*(1+i/frec)^-0.5*(1+Parámetros!$D$103)*(1+rec_fracc)/frec),6))</f>
        <v/>
      </c>
      <c r="DE173" s="66">
        <f t="shared" si="275"/>
        <v>0</v>
      </c>
      <c r="DF173" s="119" t="str">
        <f t="shared" si="276"/>
        <v/>
      </c>
      <c r="DG173" s="66">
        <f>+IF($W173="","",ROUND(IF($B173&gt;Parámetros!$D$107,'Tablas Servicio'!DE173+('Tablas Servicio'!DG172-'Tablas Servicio'!DE172),DE173/(1-IF(B173&lt;=10,Parámetros!$D$100,0))),2))</f>
        <v>0</v>
      </c>
      <c r="DH173" s="66">
        <f t="shared" si="277"/>
        <v>0</v>
      </c>
      <c r="DI173" s="66">
        <f t="shared" si="277"/>
        <v>0</v>
      </c>
      <c r="DJ173" s="66">
        <f>+IF($W173="","",ROUND((DG173*Parámetros!$G$85),2))</f>
        <v>0</v>
      </c>
      <c r="DK173" s="66">
        <f>+IF($W173="","",ROUND((DG173*(Parámetros!$G$86)),2))</f>
        <v>0</v>
      </c>
      <c r="DL173" s="66">
        <f t="shared" si="278"/>
        <v>0</v>
      </c>
      <c r="DM173" t="str">
        <f t="shared" si="231"/>
        <v>00065</v>
      </c>
      <c r="DN173" s="118" t="str">
        <f t="shared" si="232"/>
        <v>Exención pago de primas</v>
      </c>
      <c r="DO173" s="118">
        <f t="shared" si="233"/>
        <v>0</v>
      </c>
      <c r="DP173" s="118" t="str">
        <f t="shared" si="234"/>
        <v>A</v>
      </c>
      <c r="DQ173" s="122" t="str">
        <f>+IF(OR($W173="",DO173=0),"",ROUND((VLOOKUP(ROUNDDOWN($D173-1/frec,0),cob_adi,DB$40,FALSE)*(1+i/frec)^-0.5*(1+Parámetros!$D$103)*(1+rec_fracc)/frec),6))</f>
        <v/>
      </c>
      <c r="DR173" s="66">
        <f t="shared" si="279"/>
        <v>0</v>
      </c>
      <c r="DS173" s="68" t="str">
        <f t="shared" si="280"/>
        <v/>
      </c>
      <c r="DT173" s="66">
        <f>+IF($W173="","",ROUND(IF($B173&gt;Parámetros!$D$107,'Tablas Servicio'!DR173+('Tablas Servicio'!DT172-'Tablas Servicio'!DR172),DR173/(1-IF(B173&lt;=10,Parámetros!$D$100,0))),2))</f>
        <v>0</v>
      </c>
      <c r="DU173" s="66">
        <f t="shared" si="281"/>
        <v>0</v>
      </c>
      <c r="DV173" s="66">
        <f t="shared" si="281"/>
        <v>0</v>
      </c>
      <c r="DW173" s="66">
        <f>+IF($W173="","",ROUND((DT173*Parámetros!$G$85),2))</f>
        <v>0</v>
      </c>
      <c r="DX173" s="66">
        <f>+IF($W173="","",ROUND((DT173*(Parámetros!$G$86)),2))</f>
        <v>0</v>
      </c>
      <c r="DY173" s="66">
        <f t="shared" si="282"/>
        <v>0</v>
      </c>
      <c r="DZ173" t="str">
        <f t="shared" si="283"/>
        <v>00066</v>
      </c>
      <c r="EA173" s="118" t="str">
        <f t="shared" si="283"/>
        <v>Enfermedad terminal</v>
      </c>
      <c r="EB173" s="118">
        <f>+IF($W173="","",ROUND(IF(Parámetros!$D$25='TABLAS MORT'!$V$33,EB172,Z173/2),0))</f>
        <v>50000</v>
      </c>
      <c r="EC173" s="118" t="str">
        <f t="shared" si="283"/>
        <v>A</v>
      </c>
      <c r="ED173" s="122">
        <f>+IF(OR($W173="",EB173=0),"",ROUND((VLOOKUP(ROUNDDOWN($D173-1/frec,0),cob_adi,DO$40,FALSE)*(1+i/frec)^-0.5*(1+Parámetros!$D$103)*(1+rec_fracc)/frec),6))</f>
        <v>1.8E-5</v>
      </c>
      <c r="EE173" s="66">
        <f t="shared" si="284"/>
        <v>0.9</v>
      </c>
      <c r="EF173" s="68">
        <f t="shared" si="285"/>
        <v>1.8E-5</v>
      </c>
      <c r="EG173" s="66">
        <f>+IF($W173="","",ROUND(IF($B173&gt;Parámetros!$D$107,'Tablas Servicio'!EE173+('Tablas Servicio'!EG172-'Tablas Servicio'!EE172),EE173/(1-IF(B173&lt;=10,Parámetros!$D$100,0))),2))</f>
        <v>0.9</v>
      </c>
      <c r="EH173" s="66">
        <f t="shared" si="286"/>
        <v>0</v>
      </c>
      <c r="EI173" s="66">
        <f t="shared" si="286"/>
        <v>0</v>
      </c>
      <c r="EJ173" s="66">
        <f>+IF($W173="","",ROUND((EG173*Parámetros!$G$85),2))</f>
        <v>0.03</v>
      </c>
      <c r="EK173" s="66">
        <f>+IF($W173="","",ROUND((EG173*(Parámetros!$G$86)),2))</f>
        <v>0</v>
      </c>
      <c r="EL173" s="66">
        <f t="shared" si="287"/>
        <v>0.93</v>
      </c>
    </row>
    <row r="174" spans="1:142" x14ac:dyDescent="0.25">
      <c r="A174">
        <f>+IF($C174="","",ROUND(VLOOKUP('Tablas Servicio'!B174,Parámetros!$H$100:$J$159,IF(Parámetros!$E$16="F",2,3),FALSE),2))</f>
        <v>150</v>
      </c>
      <c r="B174">
        <f t="shared" si="238"/>
        <v>12</v>
      </c>
      <c r="C174" s="57">
        <f>+IF(D174="","",'Tablas Servicio'!C173+1)</f>
        <v>133</v>
      </c>
      <c r="D174" s="56">
        <f>+IF(D173&lt;edadmaxtabla,D173+1/Parámetros!$E$25,"")</f>
        <v>51.103333333333651</v>
      </c>
      <c r="E174" s="57">
        <f t="shared" si="248"/>
        <v>51</v>
      </c>
      <c r="F174" s="59">
        <f t="shared" si="249"/>
        <v>100000</v>
      </c>
      <c r="G174" s="66">
        <f t="shared" si="239"/>
        <v>37.199999999999996</v>
      </c>
      <c r="H174" s="66">
        <f t="shared" si="240"/>
        <v>38.68</v>
      </c>
      <c r="I174" s="66">
        <f t="shared" si="200"/>
        <v>55.32</v>
      </c>
      <c r="J174" s="66">
        <f t="shared" si="241"/>
        <v>1.3</v>
      </c>
      <c r="K174" s="66">
        <f t="shared" si="242"/>
        <v>0.18</v>
      </c>
      <c r="L174" s="66">
        <f t="shared" si="243"/>
        <v>0</v>
      </c>
      <c r="M174" s="66">
        <f t="shared" si="244"/>
        <v>0</v>
      </c>
      <c r="N174" s="66">
        <f>+IF(C174="","",ROUND(Parámetros!$D$23,2))</f>
        <v>94</v>
      </c>
      <c r="O174" s="66">
        <f t="shared" si="245"/>
        <v>24.7</v>
      </c>
      <c r="P174" s="66">
        <f>+IF($C174="","",ROUND(IF(B174&gt;Parámetros!$D$117,0,N174*Parámetros!$D$116-G174*Parámetros!$D$100),2))</f>
        <v>0</v>
      </c>
      <c r="Q174" s="75">
        <f t="shared" si="201"/>
        <v>3.4946236559139789E-2</v>
      </c>
      <c r="R174" s="75">
        <f t="shared" si="202"/>
        <v>4.8387096774193551E-3</v>
      </c>
      <c r="S174" s="117">
        <f>+IF($C174="","",ROUND((S173+I174)*(1+Parámetros!$D$91),2))</f>
        <v>8863.59</v>
      </c>
      <c r="T174" s="117">
        <f>+IF($C174="","",ROUND(S174*VLOOKUP(B174,Parámetros!$C$30:$D$39,2,TRUE),2))</f>
        <v>8863.59</v>
      </c>
      <c r="U174" s="117">
        <f>+IF($C174="","",ROUND((U173+I174)*(1+Parámetros!$D$92),2))</f>
        <v>9131.84</v>
      </c>
      <c r="V174" s="117">
        <f>+IF($C174="","",ROUND(U174*VLOOKUP(B174,Parámetros!$C$30:$D$39,2,TRUE),2))</f>
        <v>9131.84</v>
      </c>
      <c r="W174" s="57">
        <f t="shared" si="203"/>
        <v>133</v>
      </c>
      <c r="X174" t="str">
        <f t="shared" si="204"/>
        <v>00058</v>
      </c>
      <c r="Y174" t="str">
        <f t="shared" si="205"/>
        <v>MUERTE POR CUALQUIER CAUSA</v>
      </c>
      <c r="Z174" s="118">
        <f>+IF($W174="","",ROUND(IF(Parámetros!$D$25='TABLAS MORT'!$V$33,Z173,Parámetros!$D$21-'Tablas Servicio'!T173),0))</f>
        <v>100000</v>
      </c>
      <c r="AA174" s="118" t="str">
        <f t="shared" si="206"/>
        <v>P</v>
      </c>
      <c r="AB174" s="119">
        <f>+IF(W174="","",ROUND((VLOOKUP(ROUNDDOWN($D174-1/frec,0),qx_tabla,2,FALSE)*(1+i/frec)^-0.5*(1+Parámetros!$D$103)*(1+rec_fracc)/frec),6))</f>
        <v>2.3800000000000001E-4</v>
      </c>
      <c r="AC174" s="66">
        <f t="shared" si="250"/>
        <v>23.8</v>
      </c>
      <c r="AD174" s="119">
        <f t="shared" si="246"/>
        <v>3.6299999999999999E-4</v>
      </c>
      <c r="AE174" s="66">
        <f>+IF($W174="","",ROUND(IF($B174&gt;Parámetros!$D$107,'Tablas Servicio'!AC174+('Tablas Servicio'!AG173-'Tablas Servicio'!AC173),AC174/(1-IF(B174&lt;=10,Parámetros!$D$104,Parámetros!$D$105))),2))</f>
        <v>39.67</v>
      </c>
      <c r="AF174" s="66">
        <f>+IF($W174="","",ROUND(IF($B174&gt;Parámetros!$D$107,'Tablas Servicio'!AC174+('Tablas Servicio'!AG173-'Tablas Servicio'!AC173),(AC174+$A173/frec)/(1-IF(B174&lt;=Parámetros!$D$117,Parámetros!$D$100,0))),2))</f>
        <v>36.299999999999997</v>
      </c>
      <c r="AG174" s="66">
        <f t="shared" si="251"/>
        <v>36.299999999999997</v>
      </c>
      <c r="AH174" s="66">
        <f t="shared" si="252"/>
        <v>0</v>
      </c>
      <c r="AI174" s="66">
        <f t="shared" si="253"/>
        <v>0</v>
      </c>
      <c r="AJ174" s="66">
        <f>+IF($W174="","",ROUND((AG174*Parámetros!$G$85),2))</f>
        <v>1.27</v>
      </c>
      <c r="AK174" s="66">
        <f>+IF($W174="","",ROUND((AG174*(Parámetros!$G$86)),2))</f>
        <v>0.18</v>
      </c>
      <c r="AL174" s="66">
        <f t="shared" si="247"/>
        <v>37.75</v>
      </c>
      <c r="AM174" t="str">
        <f t="shared" si="207"/>
        <v>00059</v>
      </c>
      <c r="AN174" t="str">
        <f t="shared" si="208"/>
        <v>Incapacidad Total y Permanente</v>
      </c>
      <c r="AO174" s="118">
        <f t="shared" si="209"/>
        <v>0</v>
      </c>
      <c r="AP174" s="118" t="str">
        <f t="shared" si="210"/>
        <v>A</v>
      </c>
      <c r="AQ174" s="119" t="str">
        <f>+IF(OR($W174="",AO174=0),"",ROUND((VLOOKUP(ROUNDDOWN($D174-1/frec,0),cob_adi,Z$40,FALSE)*(1+i/frec)^-0.5*(1+Parámetros!$D$103)*(1+rec_fracc)/frec),6))</f>
        <v/>
      </c>
      <c r="AR174" s="66">
        <f t="shared" si="254"/>
        <v>0</v>
      </c>
      <c r="AS174" s="119" t="str">
        <f t="shared" si="255"/>
        <v/>
      </c>
      <c r="AT174" s="66">
        <f>+IF($W174="","",ROUND(IF($B174&gt;Parámetros!$D$107,'Tablas Servicio'!AR174+('Tablas Servicio'!AT173-'Tablas Servicio'!AR173),AR174/(1-IF(B174&lt;=10,Parámetros!$D$100,0))),2))</f>
        <v>0</v>
      </c>
      <c r="AU174" s="66">
        <f t="shared" si="256"/>
        <v>0</v>
      </c>
      <c r="AV174" s="66">
        <f t="shared" si="256"/>
        <v>0</v>
      </c>
      <c r="AW174" s="66">
        <f>+IF($W174="","",ROUND((AT174*Parámetros!$G$85),2))</f>
        <v>0</v>
      </c>
      <c r="AX174" s="66">
        <f>+IF($W174="","",ROUND((AT174*(Parámetros!$G$86)),2))</f>
        <v>0</v>
      </c>
      <c r="AY174" s="66">
        <f t="shared" si="257"/>
        <v>0</v>
      </c>
      <c r="AZ174" t="str">
        <f t="shared" si="211"/>
        <v>00060</v>
      </c>
      <c r="BA174" t="str">
        <f t="shared" si="212"/>
        <v>Muerte Accidental</v>
      </c>
      <c r="BB174" s="118">
        <f t="shared" si="213"/>
        <v>0</v>
      </c>
      <c r="BC174" s="118" t="str">
        <f t="shared" si="214"/>
        <v>A</v>
      </c>
      <c r="BD174" s="119" t="str">
        <f>+IF(OR($W174="",BB174=0),"",ROUND((VLOOKUP(ROUNDDOWN($D174-1/frec,0),cob_adi,AO$40,FALSE)*(1+i/frec)^-0.5*(1+Parámetros!$D$103)*(1+rec_fracc)/frec),6))</f>
        <v/>
      </c>
      <c r="BE174" s="66">
        <f t="shared" si="258"/>
        <v>0</v>
      </c>
      <c r="BF174" s="119" t="str">
        <f t="shared" si="259"/>
        <v/>
      </c>
      <c r="BG174" s="66">
        <f>+IF($W174="","",ROUND(IF($B174&gt;Parámetros!$D$107,'Tablas Servicio'!BE174+('Tablas Servicio'!BG173-'Tablas Servicio'!BE173),BE174/(1-IF(B174&lt;=10,Parámetros!$D$100,0))),2))</f>
        <v>0</v>
      </c>
      <c r="BH174" s="66">
        <f t="shared" si="260"/>
        <v>0</v>
      </c>
      <c r="BI174" s="66">
        <f t="shared" si="261"/>
        <v>0</v>
      </c>
      <c r="BJ174" s="66">
        <f>+IF($W174="","",ROUND((BG174*Parámetros!$G$85),2))</f>
        <v>0</v>
      </c>
      <c r="BK174" s="66">
        <f>+IF($W174="","",ROUND((BG174*(Parámetros!$G$86)),2))</f>
        <v>0</v>
      </c>
      <c r="BL174" s="66">
        <f t="shared" si="262"/>
        <v>0</v>
      </c>
      <c r="BM174" t="str">
        <f t="shared" si="215"/>
        <v>00061</v>
      </c>
      <c r="BN174" t="str">
        <f t="shared" si="216"/>
        <v>Gastos de Entierro</v>
      </c>
      <c r="BO174" s="118">
        <f t="shared" si="217"/>
        <v>0</v>
      </c>
      <c r="BP174" s="118" t="str">
        <f t="shared" si="218"/>
        <v>A</v>
      </c>
      <c r="BQ174" s="119" t="str">
        <f>+IF(OR($W174="",BO174=0),"",ROUND((VLOOKUP(ROUNDDOWN($D174-1/frec,0),cob_adi,BB$40,FALSE)*(1+i/frec)^-0.5*(1+Parámetros!$D$103)*(1+rec_fracc)/frec),6))</f>
        <v/>
      </c>
      <c r="BR174" s="66">
        <f t="shared" si="263"/>
        <v>0</v>
      </c>
      <c r="BS174" s="119" t="str">
        <f t="shared" si="264"/>
        <v/>
      </c>
      <c r="BT174" s="66">
        <f>+IF($W174="","",ROUND(IF($B174&gt;Parámetros!$D$107,'Tablas Servicio'!BR174+('Tablas Servicio'!BT173-'Tablas Servicio'!BR173),BR174/(1-IF(B174&lt;=10,Parámetros!$D$100,0))),2))</f>
        <v>0</v>
      </c>
      <c r="BU174" s="66">
        <f t="shared" si="265"/>
        <v>0</v>
      </c>
      <c r="BV174" s="66">
        <f t="shared" si="265"/>
        <v>0</v>
      </c>
      <c r="BW174" s="66">
        <f>+IF($W174="","",ROUND((BT174*Parámetros!$G$85),2))</f>
        <v>0</v>
      </c>
      <c r="BX174" s="66">
        <f>+IF($W174="","",ROUND((BT174*(Parámetros!$G$86)),2))</f>
        <v>0</v>
      </c>
      <c r="BY174" s="66">
        <f t="shared" si="266"/>
        <v>0</v>
      </c>
      <c r="BZ174" t="str">
        <f t="shared" si="219"/>
        <v>00062</v>
      </c>
      <c r="CA174" t="str">
        <f t="shared" si="220"/>
        <v>Gastos médicos por accidente</v>
      </c>
      <c r="CB174" s="118">
        <f t="shared" si="221"/>
        <v>0</v>
      </c>
      <c r="CC174" s="118" t="str">
        <f t="shared" si="222"/>
        <v>A</v>
      </c>
      <c r="CD174" s="119" t="str">
        <f t="shared" si="267"/>
        <v/>
      </c>
      <c r="CE174" s="66">
        <f>+IF($W174="","",ROUND((VLOOKUP(ROUNDDOWN($D174-1/frec,0),cob_adi,BO$40,FALSE)*(1+i/frec)^-0.5*(1+Parámetros!$D$103)*(1+rec_fracc)/frec*'TABLAS ADI'!$BC$17),2))</f>
        <v>0</v>
      </c>
      <c r="CF174" s="119" t="str">
        <f t="shared" si="268"/>
        <v/>
      </c>
      <c r="CG174" s="66">
        <f>+IF($W174="","",ROUND(IF($B174&gt;Parámetros!$D$107,'Tablas Servicio'!CE174+('Tablas Servicio'!CG173-'Tablas Servicio'!CE173),CE174/(1-IF(B174&lt;=10,Parámetros!$D$100,0))),2))</f>
        <v>0</v>
      </c>
      <c r="CH174" s="66">
        <f t="shared" si="269"/>
        <v>0</v>
      </c>
      <c r="CI174" s="66">
        <f t="shared" si="269"/>
        <v>0</v>
      </c>
      <c r="CJ174" s="66">
        <f>+IF($W174="","",ROUND((CG174*Parámetros!$G$85),2))</f>
        <v>0</v>
      </c>
      <c r="CK174" s="66">
        <f>+IF($W174="","",ROUND((CG174*(Parámetros!$G$86)),2))</f>
        <v>0</v>
      </c>
      <c r="CL174" s="66">
        <f t="shared" si="270"/>
        <v>0</v>
      </c>
      <c r="CM174" t="str">
        <f t="shared" si="223"/>
        <v>00063</v>
      </c>
      <c r="CN174" s="118" t="str">
        <f t="shared" si="224"/>
        <v>Renta Diaria por Hospitalización</v>
      </c>
      <c r="CO174" s="118">
        <f t="shared" si="225"/>
        <v>0</v>
      </c>
      <c r="CP174" s="118" t="str">
        <f t="shared" si="226"/>
        <v>A</v>
      </c>
      <c r="CQ174" s="119" t="str">
        <f t="shared" si="271"/>
        <v/>
      </c>
      <c r="CR174" s="66">
        <f>+IF($W174="","",ROUND((VLOOKUP(Parámetros!$F$51,'COBERTURAS ADICIONALES'!$S$4:$T$32,2,FALSE)*(1+i/frec)^-0.5*(1+Parámetros!$D$103)*(1+rec_fracc)/frec*$CO$42),2))</f>
        <v>0</v>
      </c>
      <c r="CS174" s="119" t="str">
        <f t="shared" si="272"/>
        <v/>
      </c>
      <c r="CT174" s="66">
        <f>+IF($W174="","",ROUND(IF($B174&gt;Parámetros!$D$107,'Tablas Servicio'!CR174+('Tablas Servicio'!CT173-'Tablas Servicio'!CR173),CR174/(1-IF(B174&lt;=10,Parámetros!$D$100,0))),2))</f>
        <v>0</v>
      </c>
      <c r="CU174" s="66">
        <f t="shared" si="273"/>
        <v>0</v>
      </c>
      <c r="CV174" s="66">
        <f t="shared" si="273"/>
        <v>0</v>
      </c>
      <c r="CW174" s="66">
        <f>+IF($W174="","",ROUND((CT174*Parámetros!$G$85),2))</f>
        <v>0</v>
      </c>
      <c r="CX174" s="66">
        <f>+IF($W174="","",ROUND((CT174*(Parámetros!$G$86)),2))</f>
        <v>0</v>
      </c>
      <c r="CY174" s="66">
        <f t="shared" si="274"/>
        <v>0</v>
      </c>
      <c r="CZ174" t="str">
        <f t="shared" si="227"/>
        <v>00064</v>
      </c>
      <c r="DA174" s="118" t="str">
        <f t="shared" si="228"/>
        <v>Enfermedades Graves</v>
      </c>
      <c r="DB174" s="118">
        <f t="shared" si="229"/>
        <v>0</v>
      </c>
      <c r="DC174" s="118" t="str">
        <f t="shared" si="230"/>
        <v>A</v>
      </c>
      <c r="DD174" s="121" t="str">
        <f>+IF(OR($W174="",DB174=0),"",ROUND((VLOOKUP(ROUNDDOWN($D174-1/frec,0),cob_adi,CO$40,FALSE)*(1+i/frec)^-0.5*(1+Parámetros!$D$103)*(1+rec_fracc)/frec),6))</f>
        <v/>
      </c>
      <c r="DE174" s="66">
        <f t="shared" si="275"/>
        <v>0</v>
      </c>
      <c r="DF174" s="119" t="str">
        <f t="shared" si="276"/>
        <v/>
      </c>
      <c r="DG174" s="66">
        <f>+IF($W174="","",ROUND(IF($B174&gt;Parámetros!$D$107,'Tablas Servicio'!DE174+('Tablas Servicio'!DG173-'Tablas Servicio'!DE173),DE174/(1-IF(B174&lt;=10,Parámetros!$D$100,0))),2))</f>
        <v>0</v>
      </c>
      <c r="DH174" s="66">
        <f t="shared" si="277"/>
        <v>0</v>
      </c>
      <c r="DI174" s="66">
        <f t="shared" si="277"/>
        <v>0</v>
      </c>
      <c r="DJ174" s="66">
        <f>+IF($W174="","",ROUND((DG174*Parámetros!$G$85),2))</f>
        <v>0</v>
      </c>
      <c r="DK174" s="66">
        <f>+IF($W174="","",ROUND((DG174*(Parámetros!$G$86)),2))</f>
        <v>0</v>
      </c>
      <c r="DL174" s="66">
        <f t="shared" si="278"/>
        <v>0</v>
      </c>
      <c r="DM174" t="str">
        <f t="shared" si="231"/>
        <v>00065</v>
      </c>
      <c r="DN174" s="118" t="str">
        <f t="shared" si="232"/>
        <v>Exención pago de primas</v>
      </c>
      <c r="DO174" s="118">
        <f t="shared" si="233"/>
        <v>0</v>
      </c>
      <c r="DP174" s="118" t="str">
        <f t="shared" si="234"/>
        <v>A</v>
      </c>
      <c r="DQ174" s="122" t="str">
        <f>+IF(OR($W174="",DO174=0),"",ROUND((VLOOKUP(ROUNDDOWN($D174-1/frec,0),cob_adi,DB$40,FALSE)*(1+i/frec)^-0.5*(1+Parámetros!$D$103)*(1+rec_fracc)/frec),6))</f>
        <v/>
      </c>
      <c r="DR174" s="66">
        <f t="shared" si="279"/>
        <v>0</v>
      </c>
      <c r="DS174" s="68" t="str">
        <f t="shared" si="280"/>
        <v/>
      </c>
      <c r="DT174" s="66">
        <f>+IF($W174="","",ROUND(IF($B174&gt;Parámetros!$D$107,'Tablas Servicio'!DR174+('Tablas Servicio'!DT173-'Tablas Servicio'!DR173),DR174/(1-IF(B174&lt;=10,Parámetros!$D$100,0))),2))</f>
        <v>0</v>
      </c>
      <c r="DU174" s="66">
        <f t="shared" si="281"/>
        <v>0</v>
      </c>
      <c r="DV174" s="66">
        <f t="shared" si="281"/>
        <v>0</v>
      </c>
      <c r="DW174" s="66">
        <f>+IF($W174="","",ROUND((DT174*Parámetros!$G$85),2))</f>
        <v>0</v>
      </c>
      <c r="DX174" s="66">
        <f>+IF($W174="","",ROUND((DT174*(Parámetros!$G$86)),2))</f>
        <v>0</v>
      </c>
      <c r="DY174" s="66">
        <f t="shared" si="282"/>
        <v>0</v>
      </c>
      <c r="DZ174" t="str">
        <f t="shared" si="283"/>
        <v>00066</v>
      </c>
      <c r="EA174" s="118" t="str">
        <f t="shared" si="283"/>
        <v>Enfermedad terminal</v>
      </c>
      <c r="EB174" s="118">
        <f>+IF($W174="","",ROUND(IF(Parámetros!$D$25='TABLAS MORT'!$V$33,EB173,Z174/2),0))</f>
        <v>50000</v>
      </c>
      <c r="EC174" s="118" t="str">
        <f t="shared" si="283"/>
        <v>A</v>
      </c>
      <c r="ED174" s="122">
        <f>+IF(OR($W174="",EB174=0),"",ROUND((VLOOKUP(ROUNDDOWN($D174-1/frec,0),cob_adi,DO$40,FALSE)*(1+i/frec)^-0.5*(1+Parámetros!$D$103)*(1+rec_fracc)/frec),6))</f>
        <v>1.8E-5</v>
      </c>
      <c r="EE174" s="66">
        <f t="shared" si="284"/>
        <v>0.9</v>
      </c>
      <c r="EF174" s="68">
        <f t="shared" si="285"/>
        <v>1.8E-5</v>
      </c>
      <c r="EG174" s="66">
        <f>+IF($W174="","",ROUND(IF($B174&gt;Parámetros!$D$107,'Tablas Servicio'!EE174+('Tablas Servicio'!EG173-'Tablas Servicio'!EE173),EE174/(1-IF(B174&lt;=10,Parámetros!$D$100,0))),2))</f>
        <v>0.9</v>
      </c>
      <c r="EH174" s="66">
        <f t="shared" si="286"/>
        <v>0</v>
      </c>
      <c r="EI174" s="66">
        <f t="shared" si="286"/>
        <v>0</v>
      </c>
      <c r="EJ174" s="66">
        <f>+IF($W174="","",ROUND((EG174*Parámetros!$G$85),2))</f>
        <v>0.03</v>
      </c>
      <c r="EK174" s="66">
        <f>+IF($W174="","",ROUND((EG174*(Parámetros!$G$86)),2))</f>
        <v>0</v>
      </c>
      <c r="EL174" s="66">
        <f t="shared" si="287"/>
        <v>0.93</v>
      </c>
    </row>
    <row r="175" spans="1:142" x14ac:dyDescent="0.25">
      <c r="A175">
        <f>+IF($C175="","",ROUND(VLOOKUP('Tablas Servicio'!B175,Parámetros!$H$100:$J$159,IF(Parámetros!$E$16="F",2,3),FALSE),2))</f>
        <v>150</v>
      </c>
      <c r="B175">
        <f t="shared" si="238"/>
        <v>12</v>
      </c>
      <c r="C175" s="57">
        <f>+IF(D175="","",'Tablas Servicio'!C174+1)</f>
        <v>134</v>
      </c>
      <c r="D175" s="56">
        <f>+IF(D174&lt;edadmaxtabla,D174+1/Parámetros!$E$25,"")</f>
        <v>51.186666666666987</v>
      </c>
      <c r="E175" s="57">
        <f t="shared" si="248"/>
        <v>51</v>
      </c>
      <c r="F175" s="59">
        <f t="shared" si="249"/>
        <v>100000</v>
      </c>
      <c r="G175" s="66">
        <f t="shared" si="239"/>
        <v>37.199999999999996</v>
      </c>
      <c r="H175" s="66">
        <f t="shared" si="240"/>
        <v>38.68</v>
      </c>
      <c r="I175" s="66">
        <f t="shared" si="200"/>
        <v>55.32</v>
      </c>
      <c r="J175" s="66">
        <f t="shared" si="241"/>
        <v>1.3</v>
      </c>
      <c r="K175" s="66">
        <f t="shared" si="242"/>
        <v>0.18</v>
      </c>
      <c r="L175" s="66">
        <f t="shared" si="243"/>
        <v>0</v>
      </c>
      <c r="M175" s="66">
        <f t="shared" si="244"/>
        <v>0</v>
      </c>
      <c r="N175" s="66">
        <f>+IF(C175="","",ROUND(Parámetros!$D$23,2))</f>
        <v>94</v>
      </c>
      <c r="O175" s="66">
        <f t="shared" si="245"/>
        <v>24.7</v>
      </c>
      <c r="P175" s="66">
        <f>+IF($C175="","",ROUND(IF(B175&gt;Parámetros!$D$117,0,N175*Parámetros!$D$116-G175*Parámetros!$D$100),2))</f>
        <v>0</v>
      </c>
      <c r="Q175" s="75">
        <f t="shared" si="201"/>
        <v>3.4946236559139789E-2</v>
      </c>
      <c r="R175" s="75">
        <f t="shared" si="202"/>
        <v>4.8387096774193551E-3</v>
      </c>
      <c r="S175" s="117">
        <f>+IF($C175="","",ROUND((S174+I175)*(1+Parámetros!$D$91),2))</f>
        <v>8944.2099999999991</v>
      </c>
      <c r="T175" s="117">
        <f>+IF($C175="","",ROUND(S175*VLOOKUP(B175,Parámetros!$C$30:$D$39,2,TRUE),2))</f>
        <v>8944.2099999999991</v>
      </c>
      <c r="U175" s="117">
        <f>+IF($C175="","",ROUND((U174+I175)*(1+Parámetros!$D$92),2))</f>
        <v>9216.94</v>
      </c>
      <c r="V175" s="117">
        <f>+IF($C175="","",ROUND(U175*VLOOKUP(B175,Parámetros!$C$30:$D$39,2,TRUE),2))</f>
        <v>9216.94</v>
      </c>
      <c r="W175" s="57">
        <f t="shared" si="203"/>
        <v>134</v>
      </c>
      <c r="X175" t="str">
        <f t="shared" si="204"/>
        <v>00058</v>
      </c>
      <c r="Y175" t="str">
        <f t="shared" si="205"/>
        <v>MUERTE POR CUALQUIER CAUSA</v>
      </c>
      <c r="Z175" s="118">
        <f>+IF($W175="","",ROUND(IF(Parámetros!$D$25='TABLAS MORT'!$V$33,Z174,Parámetros!$D$21-'Tablas Servicio'!T174),0))</f>
        <v>100000</v>
      </c>
      <c r="AA175" s="118" t="str">
        <f t="shared" si="206"/>
        <v>P</v>
      </c>
      <c r="AB175" s="119">
        <f>+IF(W175="","",ROUND((VLOOKUP(ROUNDDOWN($D175-1/frec,0),qx_tabla,2,FALSE)*(1+i/frec)^-0.5*(1+Parámetros!$D$103)*(1+rec_fracc)/frec),6))</f>
        <v>2.3800000000000001E-4</v>
      </c>
      <c r="AC175" s="66">
        <f t="shared" si="250"/>
        <v>23.8</v>
      </c>
      <c r="AD175" s="119">
        <f t="shared" si="246"/>
        <v>3.6299999999999999E-4</v>
      </c>
      <c r="AE175" s="66">
        <f>+IF($W175="","",ROUND(IF($B175&gt;Parámetros!$D$107,'Tablas Servicio'!AC175+('Tablas Servicio'!AG174-'Tablas Servicio'!AC174),AC175/(1-IF(B175&lt;=10,Parámetros!$D$104,Parámetros!$D$105))),2))</f>
        <v>39.67</v>
      </c>
      <c r="AF175" s="66">
        <f>+IF($W175="","",ROUND(IF($B175&gt;Parámetros!$D$107,'Tablas Servicio'!AC175+('Tablas Servicio'!AG174-'Tablas Servicio'!AC174),(AC175+$A174/frec)/(1-IF(B175&lt;=Parámetros!$D$117,Parámetros!$D$100,0))),2))</f>
        <v>36.299999999999997</v>
      </c>
      <c r="AG175" s="66">
        <f t="shared" si="251"/>
        <v>36.299999999999997</v>
      </c>
      <c r="AH175" s="66">
        <f t="shared" si="252"/>
        <v>0</v>
      </c>
      <c r="AI175" s="66">
        <f t="shared" si="253"/>
        <v>0</v>
      </c>
      <c r="AJ175" s="66">
        <f>+IF($W175="","",ROUND((AG175*Parámetros!$G$85),2))</f>
        <v>1.27</v>
      </c>
      <c r="AK175" s="66">
        <f>+IF($W175="","",ROUND((AG175*(Parámetros!$G$86)),2))</f>
        <v>0.18</v>
      </c>
      <c r="AL175" s="66">
        <f t="shared" si="247"/>
        <v>37.75</v>
      </c>
      <c r="AM175" t="str">
        <f t="shared" si="207"/>
        <v>00059</v>
      </c>
      <c r="AN175" t="str">
        <f t="shared" si="208"/>
        <v>Incapacidad Total y Permanente</v>
      </c>
      <c r="AO175" s="118">
        <f t="shared" si="209"/>
        <v>0</v>
      </c>
      <c r="AP175" s="118" t="str">
        <f t="shared" si="210"/>
        <v>A</v>
      </c>
      <c r="AQ175" s="119" t="str">
        <f>+IF(OR($W175="",AO175=0),"",ROUND((VLOOKUP(ROUNDDOWN($D175-1/frec,0),cob_adi,Z$40,FALSE)*(1+i/frec)^-0.5*(1+Parámetros!$D$103)*(1+rec_fracc)/frec),6))</f>
        <v/>
      </c>
      <c r="AR175" s="66">
        <f t="shared" si="254"/>
        <v>0</v>
      </c>
      <c r="AS175" s="119" t="str">
        <f t="shared" si="255"/>
        <v/>
      </c>
      <c r="AT175" s="66">
        <f>+IF($W175="","",ROUND(IF($B175&gt;Parámetros!$D$107,'Tablas Servicio'!AR175+('Tablas Servicio'!AT174-'Tablas Servicio'!AR174),AR175/(1-IF(B175&lt;=10,Parámetros!$D$100,0))),2))</f>
        <v>0</v>
      </c>
      <c r="AU175" s="66">
        <f t="shared" si="256"/>
        <v>0</v>
      </c>
      <c r="AV175" s="66">
        <f t="shared" si="256"/>
        <v>0</v>
      </c>
      <c r="AW175" s="66">
        <f>+IF($W175="","",ROUND((AT175*Parámetros!$G$85),2))</f>
        <v>0</v>
      </c>
      <c r="AX175" s="66">
        <f>+IF($W175="","",ROUND((AT175*(Parámetros!$G$86)),2))</f>
        <v>0</v>
      </c>
      <c r="AY175" s="66">
        <f t="shared" si="257"/>
        <v>0</v>
      </c>
      <c r="AZ175" t="str">
        <f t="shared" si="211"/>
        <v>00060</v>
      </c>
      <c r="BA175" t="str">
        <f t="shared" si="212"/>
        <v>Muerte Accidental</v>
      </c>
      <c r="BB175" s="118">
        <f t="shared" si="213"/>
        <v>0</v>
      </c>
      <c r="BC175" s="118" t="str">
        <f t="shared" si="214"/>
        <v>A</v>
      </c>
      <c r="BD175" s="119" t="str">
        <f>+IF(OR($W175="",BB175=0),"",ROUND((VLOOKUP(ROUNDDOWN($D175-1/frec,0),cob_adi,AO$40,FALSE)*(1+i/frec)^-0.5*(1+Parámetros!$D$103)*(1+rec_fracc)/frec),6))</f>
        <v/>
      </c>
      <c r="BE175" s="66">
        <f t="shared" si="258"/>
        <v>0</v>
      </c>
      <c r="BF175" s="119" t="str">
        <f t="shared" si="259"/>
        <v/>
      </c>
      <c r="BG175" s="66">
        <f>+IF($W175="","",ROUND(IF($B175&gt;Parámetros!$D$107,'Tablas Servicio'!BE175+('Tablas Servicio'!BG174-'Tablas Servicio'!BE174),BE175/(1-IF(B175&lt;=10,Parámetros!$D$100,0))),2))</f>
        <v>0</v>
      </c>
      <c r="BH175" s="66">
        <f t="shared" si="260"/>
        <v>0</v>
      </c>
      <c r="BI175" s="66">
        <f t="shared" si="261"/>
        <v>0</v>
      </c>
      <c r="BJ175" s="66">
        <f>+IF($W175="","",ROUND((BG175*Parámetros!$G$85),2))</f>
        <v>0</v>
      </c>
      <c r="BK175" s="66">
        <f>+IF($W175="","",ROUND((BG175*(Parámetros!$G$86)),2))</f>
        <v>0</v>
      </c>
      <c r="BL175" s="66">
        <f t="shared" si="262"/>
        <v>0</v>
      </c>
      <c r="BM175" t="str">
        <f t="shared" si="215"/>
        <v>00061</v>
      </c>
      <c r="BN175" t="str">
        <f t="shared" si="216"/>
        <v>Gastos de Entierro</v>
      </c>
      <c r="BO175" s="118">
        <f t="shared" si="217"/>
        <v>0</v>
      </c>
      <c r="BP175" s="118" t="str">
        <f t="shared" si="218"/>
        <v>A</v>
      </c>
      <c r="BQ175" s="119" t="str">
        <f>+IF(OR($W175="",BO175=0),"",ROUND((VLOOKUP(ROUNDDOWN($D175-1/frec,0),cob_adi,BB$40,FALSE)*(1+i/frec)^-0.5*(1+Parámetros!$D$103)*(1+rec_fracc)/frec),6))</f>
        <v/>
      </c>
      <c r="BR175" s="66">
        <f t="shared" si="263"/>
        <v>0</v>
      </c>
      <c r="BS175" s="119" t="str">
        <f t="shared" si="264"/>
        <v/>
      </c>
      <c r="BT175" s="66">
        <f>+IF($W175="","",ROUND(IF($B175&gt;Parámetros!$D$107,'Tablas Servicio'!BR175+('Tablas Servicio'!BT174-'Tablas Servicio'!BR174),BR175/(1-IF(B175&lt;=10,Parámetros!$D$100,0))),2))</f>
        <v>0</v>
      </c>
      <c r="BU175" s="66">
        <f t="shared" si="265"/>
        <v>0</v>
      </c>
      <c r="BV175" s="66">
        <f t="shared" si="265"/>
        <v>0</v>
      </c>
      <c r="BW175" s="66">
        <f>+IF($W175="","",ROUND((BT175*Parámetros!$G$85),2))</f>
        <v>0</v>
      </c>
      <c r="BX175" s="66">
        <f>+IF($W175="","",ROUND((BT175*(Parámetros!$G$86)),2))</f>
        <v>0</v>
      </c>
      <c r="BY175" s="66">
        <f t="shared" si="266"/>
        <v>0</v>
      </c>
      <c r="BZ175" t="str">
        <f t="shared" si="219"/>
        <v>00062</v>
      </c>
      <c r="CA175" t="str">
        <f t="shared" si="220"/>
        <v>Gastos médicos por accidente</v>
      </c>
      <c r="CB175" s="118">
        <f t="shared" si="221"/>
        <v>0</v>
      </c>
      <c r="CC175" s="118" t="str">
        <f t="shared" si="222"/>
        <v>A</v>
      </c>
      <c r="CD175" s="119" t="str">
        <f t="shared" si="267"/>
        <v/>
      </c>
      <c r="CE175" s="66">
        <f>+IF($W175="","",ROUND((VLOOKUP(ROUNDDOWN($D175-1/frec,0),cob_adi,BO$40,FALSE)*(1+i/frec)^-0.5*(1+Parámetros!$D$103)*(1+rec_fracc)/frec*'TABLAS ADI'!$BC$17),2))</f>
        <v>0</v>
      </c>
      <c r="CF175" s="119" t="str">
        <f t="shared" si="268"/>
        <v/>
      </c>
      <c r="CG175" s="66">
        <f>+IF($W175="","",ROUND(IF($B175&gt;Parámetros!$D$107,'Tablas Servicio'!CE175+('Tablas Servicio'!CG174-'Tablas Servicio'!CE174),CE175/(1-IF(B175&lt;=10,Parámetros!$D$100,0))),2))</f>
        <v>0</v>
      </c>
      <c r="CH175" s="66">
        <f t="shared" si="269"/>
        <v>0</v>
      </c>
      <c r="CI175" s="66">
        <f t="shared" si="269"/>
        <v>0</v>
      </c>
      <c r="CJ175" s="66">
        <f>+IF($W175="","",ROUND((CG175*Parámetros!$G$85),2))</f>
        <v>0</v>
      </c>
      <c r="CK175" s="66">
        <f>+IF($W175="","",ROUND((CG175*(Parámetros!$G$86)),2))</f>
        <v>0</v>
      </c>
      <c r="CL175" s="66">
        <f t="shared" si="270"/>
        <v>0</v>
      </c>
      <c r="CM175" t="str">
        <f t="shared" si="223"/>
        <v>00063</v>
      </c>
      <c r="CN175" s="118" t="str">
        <f t="shared" si="224"/>
        <v>Renta Diaria por Hospitalización</v>
      </c>
      <c r="CO175" s="118">
        <f t="shared" si="225"/>
        <v>0</v>
      </c>
      <c r="CP175" s="118" t="str">
        <f t="shared" si="226"/>
        <v>A</v>
      </c>
      <c r="CQ175" s="119" t="str">
        <f t="shared" si="271"/>
        <v/>
      </c>
      <c r="CR175" s="66">
        <f>+IF($W175="","",ROUND((VLOOKUP(Parámetros!$F$51,'COBERTURAS ADICIONALES'!$S$4:$T$32,2,FALSE)*(1+i/frec)^-0.5*(1+Parámetros!$D$103)*(1+rec_fracc)/frec*$CO$42),2))</f>
        <v>0</v>
      </c>
      <c r="CS175" s="119" t="str">
        <f t="shared" si="272"/>
        <v/>
      </c>
      <c r="CT175" s="66">
        <f>+IF($W175="","",ROUND(IF($B175&gt;Parámetros!$D$107,'Tablas Servicio'!CR175+('Tablas Servicio'!CT174-'Tablas Servicio'!CR174),CR175/(1-IF(B175&lt;=10,Parámetros!$D$100,0))),2))</f>
        <v>0</v>
      </c>
      <c r="CU175" s="66">
        <f t="shared" si="273"/>
        <v>0</v>
      </c>
      <c r="CV175" s="66">
        <f t="shared" si="273"/>
        <v>0</v>
      </c>
      <c r="CW175" s="66">
        <f>+IF($W175="","",ROUND((CT175*Parámetros!$G$85),2))</f>
        <v>0</v>
      </c>
      <c r="CX175" s="66">
        <f>+IF($W175="","",ROUND((CT175*(Parámetros!$G$86)),2))</f>
        <v>0</v>
      </c>
      <c r="CY175" s="66">
        <f t="shared" si="274"/>
        <v>0</v>
      </c>
      <c r="CZ175" t="str">
        <f t="shared" si="227"/>
        <v>00064</v>
      </c>
      <c r="DA175" s="118" t="str">
        <f t="shared" si="228"/>
        <v>Enfermedades Graves</v>
      </c>
      <c r="DB175" s="118">
        <f t="shared" si="229"/>
        <v>0</v>
      </c>
      <c r="DC175" s="118" t="str">
        <f t="shared" si="230"/>
        <v>A</v>
      </c>
      <c r="DD175" s="121" t="str">
        <f>+IF(OR($W175="",DB175=0),"",ROUND((VLOOKUP(ROUNDDOWN($D175-1/frec,0),cob_adi,CO$40,FALSE)*(1+i/frec)^-0.5*(1+Parámetros!$D$103)*(1+rec_fracc)/frec),6))</f>
        <v/>
      </c>
      <c r="DE175" s="66">
        <f t="shared" si="275"/>
        <v>0</v>
      </c>
      <c r="DF175" s="119" t="str">
        <f t="shared" si="276"/>
        <v/>
      </c>
      <c r="DG175" s="66">
        <f>+IF($W175="","",ROUND(IF($B175&gt;Parámetros!$D$107,'Tablas Servicio'!DE175+('Tablas Servicio'!DG174-'Tablas Servicio'!DE174),DE175/(1-IF(B175&lt;=10,Parámetros!$D$100,0))),2))</f>
        <v>0</v>
      </c>
      <c r="DH175" s="66">
        <f t="shared" si="277"/>
        <v>0</v>
      </c>
      <c r="DI175" s="66">
        <f t="shared" si="277"/>
        <v>0</v>
      </c>
      <c r="DJ175" s="66">
        <f>+IF($W175="","",ROUND((DG175*Parámetros!$G$85),2))</f>
        <v>0</v>
      </c>
      <c r="DK175" s="66">
        <f>+IF($W175="","",ROUND((DG175*(Parámetros!$G$86)),2))</f>
        <v>0</v>
      </c>
      <c r="DL175" s="66">
        <f t="shared" si="278"/>
        <v>0</v>
      </c>
      <c r="DM175" t="str">
        <f t="shared" si="231"/>
        <v>00065</v>
      </c>
      <c r="DN175" s="118" t="str">
        <f t="shared" si="232"/>
        <v>Exención pago de primas</v>
      </c>
      <c r="DO175" s="118">
        <f t="shared" si="233"/>
        <v>0</v>
      </c>
      <c r="DP175" s="118" t="str">
        <f t="shared" si="234"/>
        <v>A</v>
      </c>
      <c r="DQ175" s="122" t="str">
        <f>+IF(OR($W175="",DO175=0),"",ROUND((VLOOKUP(ROUNDDOWN($D175-1/frec,0),cob_adi,DB$40,FALSE)*(1+i/frec)^-0.5*(1+Parámetros!$D$103)*(1+rec_fracc)/frec),6))</f>
        <v/>
      </c>
      <c r="DR175" s="66">
        <f t="shared" si="279"/>
        <v>0</v>
      </c>
      <c r="DS175" s="68" t="str">
        <f t="shared" si="280"/>
        <v/>
      </c>
      <c r="DT175" s="66">
        <f>+IF($W175="","",ROUND(IF($B175&gt;Parámetros!$D$107,'Tablas Servicio'!DR175+('Tablas Servicio'!DT174-'Tablas Servicio'!DR174),DR175/(1-IF(B175&lt;=10,Parámetros!$D$100,0))),2))</f>
        <v>0</v>
      </c>
      <c r="DU175" s="66">
        <f t="shared" si="281"/>
        <v>0</v>
      </c>
      <c r="DV175" s="66">
        <f t="shared" si="281"/>
        <v>0</v>
      </c>
      <c r="DW175" s="66">
        <f>+IF($W175="","",ROUND((DT175*Parámetros!$G$85),2))</f>
        <v>0</v>
      </c>
      <c r="DX175" s="66">
        <f>+IF($W175="","",ROUND((DT175*(Parámetros!$G$86)),2))</f>
        <v>0</v>
      </c>
      <c r="DY175" s="66">
        <f t="shared" si="282"/>
        <v>0</v>
      </c>
      <c r="DZ175" t="str">
        <f t="shared" si="283"/>
        <v>00066</v>
      </c>
      <c r="EA175" s="118" t="str">
        <f t="shared" si="283"/>
        <v>Enfermedad terminal</v>
      </c>
      <c r="EB175" s="118">
        <f>+IF($W175="","",ROUND(IF(Parámetros!$D$25='TABLAS MORT'!$V$33,EB174,Z175/2),0))</f>
        <v>50000</v>
      </c>
      <c r="EC175" s="118" t="str">
        <f t="shared" si="283"/>
        <v>A</v>
      </c>
      <c r="ED175" s="122">
        <f>+IF(OR($W175="",EB175=0),"",ROUND((VLOOKUP(ROUNDDOWN($D175-1/frec,0),cob_adi,DO$40,FALSE)*(1+i/frec)^-0.5*(1+Parámetros!$D$103)*(1+rec_fracc)/frec),6))</f>
        <v>1.8E-5</v>
      </c>
      <c r="EE175" s="66">
        <f t="shared" si="284"/>
        <v>0.9</v>
      </c>
      <c r="EF175" s="68">
        <f t="shared" si="285"/>
        <v>1.8E-5</v>
      </c>
      <c r="EG175" s="66">
        <f>+IF($W175="","",ROUND(IF($B175&gt;Parámetros!$D$107,'Tablas Servicio'!EE175+('Tablas Servicio'!EG174-'Tablas Servicio'!EE174),EE175/(1-IF(B175&lt;=10,Parámetros!$D$100,0))),2))</f>
        <v>0.9</v>
      </c>
      <c r="EH175" s="66">
        <f t="shared" si="286"/>
        <v>0</v>
      </c>
      <c r="EI175" s="66">
        <f t="shared" si="286"/>
        <v>0</v>
      </c>
      <c r="EJ175" s="66">
        <f>+IF($W175="","",ROUND((EG175*Parámetros!$G$85),2))</f>
        <v>0.03</v>
      </c>
      <c r="EK175" s="66">
        <f>+IF($W175="","",ROUND((EG175*(Parámetros!$G$86)),2))</f>
        <v>0</v>
      </c>
      <c r="EL175" s="66">
        <f t="shared" si="287"/>
        <v>0.93</v>
      </c>
    </row>
    <row r="176" spans="1:142" x14ac:dyDescent="0.25">
      <c r="A176">
        <f>+IF($C176="","",ROUND(VLOOKUP('Tablas Servicio'!B176,Parámetros!$H$100:$J$159,IF(Parámetros!$E$16="F",2,3),FALSE),2))</f>
        <v>150</v>
      </c>
      <c r="B176">
        <f t="shared" si="238"/>
        <v>12</v>
      </c>
      <c r="C176" s="57">
        <f>+IF(D176="","",'Tablas Servicio'!C175+1)</f>
        <v>135</v>
      </c>
      <c r="D176" s="56">
        <f>+IF(D175&lt;edadmaxtabla,D175+1/Parámetros!$E$25,"")</f>
        <v>51.270000000000323</v>
      </c>
      <c r="E176" s="57">
        <f t="shared" si="248"/>
        <v>51</v>
      </c>
      <c r="F176" s="59">
        <f t="shared" si="249"/>
        <v>100000</v>
      </c>
      <c r="G176" s="66">
        <f t="shared" si="239"/>
        <v>37.199999999999996</v>
      </c>
      <c r="H176" s="66">
        <f t="shared" si="240"/>
        <v>38.68</v>
      </c>
      <c r="I176" s="66">
        <f t="shared" si="200"/>
        <v>55.32</v>
      </c>
      <c r="J176" s="66">
        <f t="shared" si="241"/>
        <v>1.3</v>
      </c>
      <c r="K176" s="66">
        <f t="shared" si="242"/>
        <v>0.18</v>
      </c>
      <c r="L176" s="66">
        <f t="shared" si="243"/>
        <v>0</v>
      </c>
      <c r="M176" s="66">
        <f t="shared" si="244"/>
        <v>0</v>
      </c>
      <c r="N176" s="66">
        <f>+IF(C176="","",ROUND(Parámetros!$D$23,2))</f>
        <v>94</v>
      </c>
      <c r="O176" s="66">
        <f t="shared" si="245"/>
        <v>24.7</v>
      </c>
      <c r="P176" s="66">
        <f>+IF($C176="","",ROUND(IF(B176&gt;Parámetros!$D$117,0,N176*Parámetros!$D$116-G176*Parámetros!$D$100),2))</f>
        <v>0</v>
      </c>
      <c r="Q176" s="75">
        <f t="shared" si="201"/>
        <v>3.4946236559139789E-2</v>
      </c>
      <c r="R176" s="75">
        <f t="shared" si="202"/>
        <v>4.8387096774193551E-3</v>
      </c>
      <c r="S176" s="117">
        <f>+IF($C176="","",ROUND((S175+I176)*(1+Parámetros!$D$91),2))</f>
        <v>9025.06</v>
      </c>
      <c r="T176" s="117">
        <f>+IF($C176="","",ROUND(S176*VLOOKUP(B176,Parámetros!$C$30:$D$39,2,TRUE),2))</f>
        <v>9025.06</v>
      </c>
      <c r="U176" s="117">
        <f>+IF($C176="","",ROUND((U175+I176)*(1+Parámetros!$D$92),2))</f>
        <v>9302.32</v>
      </c>
      <c r="V176" s="117">
        <f>+IF($C176="","",ROUND(U176*VLOOKUP(B176,Parámetros!$C$30:$D$39,2,TRUE),2))</f>
        <v>9302.32</v>
      </c>
      <c r="W176" s="57">
        <f t="shared" si="203"/>
        <v>135</v>
      </c>
      <c r="X176" t="str">
        <f t="shared" si="204"/>
        <v>00058</v>
      </c>
      <c r="Y176" t="str">
        <f t="shared" si="205"/>
        <v>MUERTE POR CUALQUIER CAUSA</v>
      </c>
      <c r="Z176" s="118">
        <f>+IF($W176="","",ROUND(IF(Parámetros!$D$25='TABLAS MORT'!$V$33,Z175,Parámetros!$D$21-'Tablas Servicio'!T175),0))</f>
        <v>100000</v>
      </c>
      <c r="AA176" s="118" t="str">
        <f t="shared" si="206"/>
        <v>P</v>
      </c>
      <c r="AB176" s="119">
        <f>+IF(W176="","",ROUND((VLOOKUP(ROUNDDOWN($D176-1/frec,0),qx_tabla,2,FALSE)*(1+i/frec)^-0.5*(1+Parámetros!$D$103)*(1+rec_fracc)/frec),6))</f>
        <v>2.3800000000000001E-4</v>
      </c>
      <c r="AC176" s="66">
        <f t="shared" si="250"/>
        <v>23.8</v>
      </c>
      <c r="AD176" s="119">
        <f t="shared" si="246"/>
        <v>3.6299999999999999E-4</v>
      </c>
      <c r="AE176" s="66">
        <f>+IF($W176="","",ROUND(IF($B176&gt;Parámetros!$D$107,'Tablas Servicio'!AC176+('Tablas Servicio'!AG175-'Tablas Servicio'!AC175),AC176/(1-IF(B176&lt;=10,Parámetros!$D$104,Parámetros!$D$105))),2))</f>
        <v>39.67</v>
      </c>
      <c r="AF176" s="66">
        <f>+IF($W176="","",ROUND(IF($B176&gt;Parámetros!$D$107,'Tablas Servicio'!AC176+('Tablas Servicio'!AG175-'Tablas Servicio'!AC175),(AC176+$A175/frec)/(1-IF(B176&lt;=Parámetros!$D$117,Parámetros!$D$100,0))),2))</f>
        <v>36.299999999999997</v>
      </c>
      <c r="AG176" s="66">
        <f t="shared" si="251"/>
        <v>36.299999999999997</v>
      </c>
      <c r="AH176" s="66">
        <f t="shared" si="252"/>
        <v>0</v>
      </c>
      <c r="AI176" s="66">
        <f t="shared" si="253"/>
        <v>0</v>
      </c>
      <c r="AJ176" s="66">
        <f>+IF($W176="","",ROUND((AG176*Parámetros!$G$85),2))</f>
        <v>1.27</v>
      </c>
      <c r="AK176" s="66">
        <f>+IF($W176="","",ROUND((AG176*(Parámetros!$G$86)),2))</f>
        <v>0.18</v>
      </c>
      <c r="AL176" s="66">
        <f t="shared" si="247"/>
        <v>37.75</v>
      </c>
      <c r="AM176" t="str">
        <f t="shared" si="207"/>
        <v>00059</v>
      </c>
      <c r="AN176" t="str">
        <f t="shared" si="208"/>
        <v>Incapacidad Total y Permanente</v>
      </c>
      <c r="AO176" s="118">
        <f t="shared" si="209"/>
        <v>0</v>
      </c>
      <c r="AP176" s="118" t="str">
        <f t="shared" si="210"/>
        <v>A</v>
      </c>
      <c r="AQ176" s="119" t="str">
        <f>+IF(OR($W176="",AO176=0),"",ROUND((VLOOKUP(ROUNDDOWN($D176-1/frec,0),cob_adi,Z$40,FALSE)*(1+i/frec)^-0.5*(1+Parámetros!$D$103)*(1+rec_fracc)/frec),6))</f>
        <v/>
      </c>
      <c r="AR176" s="66">
        <f t="shared" si="254"/>
        <v>0</v>
      </c>
      <c r="AS176" s="119" t="str">
        <f t="shared" si="255"/>
        <v/>
      </c>
      <c r="AT176" s="66">
        <f>+IF($W176="","",ROUND(IF($B176&gt;Parámetros!$D$107,'Tablas Servicio'!AR176+('Tablas Servicio'!AT175-'Tablas Servicio'!AR175),AR176/(1-IF(B176&lt;=10,Parámetros!$D$100,0))),2))</f>
        <v>0</v>
      </c>
      <c r="AU176" s="66">
        <f t="shared" si="256"/>
        <v>0</v>
      </c>
      <c r="AV176" s="66">
        <f t="shared" si="256"/>
        <v>0</v>
      </c>
      <c r="AW176" s="66">
        <f>+IF($W176="","",ROUND((AT176*Parámetros!$G$85),2))</f>
        <v>0</v>
      </c>
      <c r="AX176" s="66">
        <f>+IF($W176="","",ROUND((AT176*(Parámetros!$G$86)),2))</f>
        <v>0</v>
      </c>
      <c r="AY176" s="66">
        <f t="shared" si="257"/>
        <v>0</v>
      </c>
      <c r="AZ176" t="str">
        <f t="shared" si="211"/>
        <v>00060</v>
      </c>
      <c r="BA176" t="str">
        <f t="shared" si="212"/>
        <v>Muerte Accidental</v>
      </c>
      <c r="BB176" s="118">
        <f t="shared" si="213"/>
        <v>0</v>
      </c>
      <c r="BC176" s="118" t="str">
        <f t="shared" si="214"/>
        <v>A</v>
      </c>
      <c r="BD176" s="119" t="str">
        <f>+IF(OR($W176="",BB176=0),"",ROUND((VLOOKUP(ROUNDDOWN($D176-1/frec,0),cob_adi,AO$40,FALSE)*(1+i/frec)^-0.5*(1+Parámetros!$D$103)*(1+rec_fracc)/frec),6))</f>
        <v/>
      </c>
      <c r="BE176" s="66">
        <f t="shared" si="258"/>
        <v>0</v>
      </c>
      <c r="BF176" s="119" t="str">
        <f t="shared" si="259"/>
        <v/>
      </c>
      <c r="BG176" s="66">
        <f>+IF($W176="","",ROUND(IF($B176&gt;Parámetros!$D$107,'Tablas Servicio'!BE176+('Tablas Servicio'!BG175-'Tablas Servicio'!BE175),BE176/(1-IF(B176&lt;=10,Parámetros!$D$100,0))),2))</f>
        <v>0</v>
      </c>
      <c r="BH176" s="66">
        <f t="shared" si="260"/>
        <v>0</v>
      </c>
      <c r="BI176" s="66">
        <f t="shared" si="261"/>
        <v>0</v>
      </c>
      <c r="BJ176" s="66">
        <f>+IF($W176="","",ROUND((BG176*Parámetros!$G$85),2))</f>
        <v>0</v>
      </c>
      <c r="BK176" s="66">
        <f>+IF($W176="","",ROUND((BG176*(Parámetros!$G$86)),2))</f>
        <v>0</v>
      </c>
      <c r="BL176" s="66">
        <f t="shared" si="262"/>
        <v>0</v>
      </c>
      <c r="BM176" t="str">
        <f t="shared" si="215"/>
        <v>00061</v>
      </c>
      <c r="BN176" t="str">
        <f t="shared" si="216"/>
        <v>Gastos de Entierro</v>
      </c>
      <c r="BO176" s="118">
        <f t="shared" si="217"/>
        <v>0</v>
      </c>
      <c r="BP176" s="118" t="str">
        <f t="shared" si="218"/>
        <v>A</v>
      </c>
      <c r="BQ176" s="119" t="str">
        <f>+IF(OR($W176="",BO176=0),"",ROUND((VLOOKUP(ROUNDDOWN($D176-1/frec,0),cob_adi,BB$40,FALSE)*(1+i/frec)^-0.5*(1+Parámetros!$D$103)*(1+rec_fracc)/frec),6))</f>
        <v/>
      </c>
      <c r="BR176" s="66">
        <f t="shared" si="263"/>
        <v>0</v>
      </c>
      <c r="BS176" s="119" t="str">
        <f t="shared" si="264"/>
        <v/>
      </c>
      <c r="BT176" s="66">
        <f>+IF($W176="","",ROUND(IF($B176&gt;Parámetros!$D$107,'Tablas Servicio'!BR176+('Tablas Servicio'!BT175-'Tablas Servicio'!BR175),BR176/(1-IF(B176&lt;=10,Parámetros!$D$100,0))),2))</f>
        <v>0</v>
      </c>
      <c r="BU176" s="66">
        <f t="shared" si="265"/>
        <v>0</v>
      </c>
      <c r="BV176" s="66">
        <f t="shared" si="265"/>
        <v>0</v>
      </c>
      <c r="BW176" s="66">
        <f>+IF($W176="","",ROUND((BT176*Parámetros!$G$85),2))</f>
        <v>0</v>
      </c>
      <c r="BX176" s="66">
        <f>+IF($W176="","",ROUND((BT176*(Parámetros!$G$86)),2))</f>
        <v>0</v>
      </c>
      <c r="BY176" s="66">
        <f t="shared" si="266"/>
        <v>0</v>
      </c>
      <c r="BZ176" t="str">
        <f t="shared" si="219"/>
        <v>00062</v>
      </c>
      <c r="CA176" t="str">
        <f t="shared" si="220"/>
        <v>Gastos médicos por accidente</v>
      </c>
      <c r="CB176" s="118">
        <f t="shared" si="221"/>
        <v>0</v>
      </c>
      <c r="CC176" s="118" t="str">
        <f t="shared" si="222"/>
        <v>A</v>
      </c>
      <c r="CD176" s="119" t="str">
        <f t="shared" si="267"/>
        <v/>
      </c>
      <c r="CE176" s="66">
        <f>+IF($W176="","",ROUND((VLOOKUP(ROUNDDOWN($D176-1/frec,0),cob_adi,BO$40,FALSE)*(1+i/frec)^-0.5*(1+Parámetros!$D$103)*(1+rec_fracc)/frec*'TABLAS ADI'!$BC$17),2))</f>
        <v>0</v>
      </c>
      <c r="CF176" s="119" t="str">
        <f t="shared" si="268"/>
        <v/>
      </c>
      <c r="CG176" s="66">
        <f>+IF($W176="","",ROUND(IF($B176&gt;Parámetros!$D$107,'Tablas Servicio'!CE176+('Tablas Servicio'!CG175-'Tablas Servicio'!CE175),CE176/(1-IF(B176&lt;=10,Parámetros!$D$100,0))),2))</f>
        <v>0</v>
      </c>
      <c r="CH176" s="66">
        <f t="shared" si="269"/>
        <v>0</v>
      </c>
      <c r="CI176" s="66">
        <f t="shared" si="269"/>
        <v>0</v>
      </c>
      <c r="CJ176" s="66">
        <f>+IF($W176="","",ROUND((CG176*Parámetros!$G$85),2))</f>
        <v>0</v>
      </c>
      <c r="CK176" s="66">
        <f>+IF($W176="","",ROUND((CG176*(Parámetros!$G$86)),2))</f>
        <v>0</v>
      </c>
      <c r="CL176" s="66">
        <f t="shared" si="270"/>
        <v>0</v>
      </c>
      <c r="CM176" t="str">
        <f t="shared" si="223"/>
        <v>00063</v>
      </c>
      <c r="CN176" s="118" t="str">
        <f t="shared" si="224"/>
        <v>Renta Diaria por Hospitalización</v>
      </c>
      <c r="CO176" s="118">
        <f t="shared" si="225"/>
        <v>0</v>
      </c>
      <c r="CP176" s="118" t="str">
        <f t="shared" si="226"/>
        <v>A</v>
      </c>
      <c r="CQ176" s="119" t="str">
        <f t="shared" si="271"/>
        <v/>
      </c>
      <c r="CR176" s="66">
        <f>+IF($W176="","",ROUND((VLOOKUP(Parámetros!$F$51,'COBERTURAS ADICIONALES'!$S$4:$T$32,2,FALSE)*(1+i/frec)^-0.5*(1+Parámetros!$D$103)*(1+rec_fracc)/frec*$CO$42),2))</f>
        <v>0</v>
      </c>
      <c r="CS176" s="119" t="str">
        <f t="shared" si="272"/>
        <v/>
      </c>
      <c r="CT176" s="66">
        <f>+IF($W176="","",ROUND(IF($B176&gt;Parámetros!$D$107,'Tablas Servicio'!CR176+('Tablas Servicio'!CT175-'Tablas Servicio'!CR175),CR176/(1-IF(B176&lt;=10,Parámetros!$D$100,0))),2))</f>
        <v>0</v>
      </c>
      <c r="CU176" s="66">
        <f t="shared" si="273"/>
        <v>0</v>
      </c>
      <c r="CV176" s="66">
        <f t="shared" si="273"/>
        <v>0</v>
      </c>
      <c r="CW176" s="66">
        <f>+IF($W176="","",ROUND((CT176*Parámetros!$G$85),2))</f>
        <v>0</v>
      </c>
      <c r="CX176" s="66">
        <f>+IF($W176="","",ROUND((CT176*(Parámetros!$G$86)),2))</f>
        <v>0</v>
      </c>
      <c r="CY176" s="66">
        <f t="shared" si="274"/>
        <v>0</v>
      </c>
      <c r="CZ176" t="str">
        <f t="shared" si="227"/>
        <v>00064</v>
      </c>
      <c r="DA176" s="118" t="str">
        <f t="shared" si="228"/>
        <v>Enfermedades Graves</v>
      </c>
      <c r="DB176" s="118">
        <f t="shared" si="229"/>
        <v>0</v>
      </c>
      <c r="DC176" s="118" t="str">
        <f t="shared" si="230"/>
        <v>A</v>
      </c>
      <c r="DD176" s="121" t="str">
        <f>+IF(OR($W176="",DB176=0),"",ROUND((VLOOKUP(ROUNDDOWN($D176-1/frec,0),cob_adi,CO$40,FALSE)*(1+i/frec)^-0.5*(1+Parámetros!$D$103)*(1+rec_fracc)/frec),6))</f>
        <v/>
      </c>
      <c r="DE176" s="66">
        <f t="shared" si="275"/>
        <v>0</v>
      </c>
      <c r="DF176" s="119" t="str">
        <f t="shared" si="276"/>
        <v/>
      </c>
      <c r="DG176" s="66">
        <f>+IF($W176="","",ROUND(IF($B176&gt;Parámetros!$D$107,'Tablas Servicio'!DE176+('Tablas Servicio'!DG175-'Tablas Servicio'!DE175),DE176/(1-IF(B176&lt;=10,Parámetros!$D$100,0))),2))</f>
        <v>0</v>
      </c>
      <c r="DH176" s="66">
        <f t="shared" si="277"/>
        <v>0</v>
      </c>
      <c r="DI176" s="66">
        <f t="shared" si="277"/>
        <v>0</v>
      </c>
      <c r="DJ176" s="66">
        <f>+IF($W176="","",ROUND((DG176*Parámetros!$G$85),2))</f>
        <v>0</v>
      </c>
      <c r="DK176" s="66">
        <f>+IF($W176="","",ROUND((DG176*(Parámetros!$G$86)),2))</f>
        <v>0</v>
      </c>
      <c r="DL176" s="66">
        <f t="shared" si="278"/>
        <v>0</v>
      </c>
      <c r="DM176" t="str">
        <f t="shared" si="231"/>
        <v>00065</v>
      </c>
      <c r="DN176" s="118" t="str">
        <f t="shared" si="232"/>
        <v>Exención pago de primas</v>
      </c>
      <c r="DO176" s="118">
        <f t="shared" si="233"/>
        <v>0</v>
      </c>
      <c r="DP176" s="118" t="str">
        <f t="shared" si="234"/>
        <v>A</v>
      </c>
      <c r="DQ176" s="122" t="str">
        <f>+IF(OR($W176="",DO176=0),"",ROUND((VLOOKUP(ROUNDDOWN($D176-1/frec,0),cob_adi,DB$40,FALSE)*(1+i/frec)^-0.5*(1+Parámetros!$D$103)*(1+rec_fracc)/frec),6))</f>
        <v/>
      </c>
      <c r="DR176" s="66">
        <f t="shared" si="279"/>
        <v>0</v>
      </c>
      <c r="DS176" s="68" t="str">
        <f t="shared" si="280"/>
        <v/>
      </c>
      <c r="DT176" s="66">
        <f>+IF($W176="","",ROUND(IF($B176&gt;Parámetros!$D$107,'Tablas Servicio'!DR176+('Tablas Servicio'!DT175-'Tablas Servicio'!DR175),DR176/(1-IF(B176&lt;=10,Parámetros!$D$100,0))),2))</f>
        <v>0</v>
      </c>
      <c r="DU176" s="66">
        <f t="shared" si="281"/>
        <v>0</v>
      </c>
      <c r="DV176" s="66">
        <f t="shared" si="281"/>
        <v>0</v>
      </c>
      <c r="DW176" s="66">
        <f>+IF($W176="","",ROUND((DT176*Parámetros!$G$85),2))</f>
        <v>0</v>
      </c>
      <c r="DX176" s="66">
        <f>+IF($W176="","",ROUND((DT176*(Parámetros!$G$86)),2))</f>
        <v>0</v>
      </c>
      <c r="DY176" s="66">
        <f t="shared" si="282"/>
        <v>0</v>
      </c>
      <c r="DZ176" t="str">
        <f t="shared" si="283"/>
        <v>00066</v>
      </c>
      <c r="EA176" s="118" t="str">
        <f t="shared" si="283"/>
        <v>Enfermedad terminal</v>
      </c>
      <c r="EB176" s="118">
        <f>+IF($W176="","",ROUND(IF(Parámetros!$D$25='TABLAS MORT'!$V$33,EB175,Z176/2),0))</f>
        <v>50000</v>
      </c>
      <c r="EC176" s="118" t="str">
        <f t="shared" si="283"/>
        <v>A</v>
      </c>
      <c r="ED176" s="122">
        <f>+IF(OR($W176="",EB176=0),"",ROUND((VLOOKUP(ROUNDDOWN($D176-1/frec,0),cob_adi,DO$40,FALSE)*(1+i/frec)^-0.5*(1+Parámetros!$D$103)*(1+rec_fracc)/frec),6))</f>
        <v>1.8E-5</v>
      </c>
      <c r="EE176" s="66">
        <f t="shared" si="284"/>
        <v>0.9</v>
      </c>
      <c r="EF176" s="68">
        <f t="shared" si="285"/>
        <v>1.8E-5</v>
      </c>
      <c r="EG176" s="66">
        <f>+IF($W176="","",ROUND(IF($B176&gt;Parámetros!$D$107,'Tablas Servicio'!EE176+('Tablas Servicio'!EG175-'Tablas Servicio'!EE175),EE176/(1-IF(B176&lt;=10,Parámetros!$D$100,0))),2))</f>
        <v>0.9</v>
      </c>
      <c r="EH176" s="66">
        <f t="shared" si="286"/>
        <v>0</v>
      </c>
      <c r="EI176" s="66">
        <f t="shared" si="286"/>
        <v>0</v>
      </c>
      <c r="EJ176" s="66">
        <f>+IF($W176="","",ROUND((EG176*Parámetros!$G$85),2))</f>
        <v>0.03</v>
      </c>
      <c r="EK176" s="66">
        <f>+IF($W176="","",ROUND((EG176*(Parámetros!$G$86)),2))</f>
        <v>0</v>
      </c>
      <c r="EL176" s="66">
        <f t="shared" si="287"/>
        <v>0.93</v>
      </c>
    </row>
    <row r="177" spans="1:142" x14ac:dyDescent="0.25">
      <c r="A177">
        <f>+IF($C177="","",ROUND(VLOOKUP('Tablas Servicio'!B177,Parámetros!$H$100:$J$159,IF(Parámetros!$E$16="F",2,3),FALSE),2))</f>
        <v>150</v>
      </c>
      <c r="B177">
        <f t="shared" si="238"/>
        <v>12</v>
      </c>
      <c r="C177" s="57">
        <f>+IF(D177="","",'Tablas Servicio'!C176+1)</f>
        <v>136</v>
      </c>
      <c r="D177" s="56">
        <f>+IF(D176&lt;edadmaxtabla,D176+1/Parámetros!$E$25,"")</f>
        <v>51.353333333333659</v>
      </c>
      <c r="E177" s="57">
        <f t="shared" si="248"/>
        <v>51</v>
      </c>
      <c r="F177" s="59">
        <f t="shared" si="249"/>
        <v>100000</v>
      </c>
      <c r="G177" s="66">
        <f t="shared" si="239"/>
        <v>37.199999999999996</v>
      </c>
      <c r="H177" s="66">
        <f t="shared" si="240"/>
        <v>38.68</v>
      </c>
      <c r="I177" s="66">
        <f t="shared" si="200"/>
        <v>55.32</v>
      </c>
      <c r="J177" s="66">
        <f t="shared" si="241"/>
        <v>1.3</v>
      </c>
      <c r="K177" s="66">
        <f t="shared" si="242"/>
        <v>0.18</v>
      </c>
      <c r="L177" s="66">
        <f t="shared" si="243"/>
        <v>0</v>
      </c>
      <c r="M177" s="66">
        <f t="shared" si="244"/>
        <v>0</v>
      </c>
      <c r="N177" s="66">
        <f>+IF(C177="","",ROUND(Parámetros!$D$23,2))</f>
        <v>94</v>
      </c>
      <c r="O177" s="66">
        <f t="shared" si="245"/>
        <v>24.7</v>
      </c>
      <c r="P177" s="66">
        <f>+IF($C177="","",ROUND(IF(B177&gt;Parámetros!$D$117,0,N177*Parámetros!$D$116-G177*Parámetros!$D$100),2))</f>
        <v>0</v>
      </c>
      <c r="Q177" s="75">
        <f t="shared" si="201"/>
        <v>3.4946236559139789E-2</v>
      </c>
      <c r="R177" s="75">
        <f t="shared" si="202"/>
        <v>4.8387096774193551E-3</v>
      </c>
      <c r="S177" s="117">
        <f>+IF($C177="","",ROUND((S176+I177)*(1+Parámetros!$D$91),2))</f>
        <v>9106.14</v>
      </c>
      <c r="T177" s="117">
        <f>+IF($C177="","",ROUND(S177*VLOOKUP(B177,Parámetros!$C$30:$D$39,2,TRUE),2))</f>
        <v>9106.14</v>
      </c>
      <c r="U177" s="117">
        <f>+IF($C177="","",ROUND((U176+I177)*(1+Parámetros!$D$92),2))</f>
        <v>9387.9699999999993</v>
      </c>
      <c r="V177" s="117">
        <f>+IF($C177="","",ROUND(U177*VLOOKUP(B177,Parámetros!$C$30:$D$39,2,TRUE),2))</f>
        <v>9387.9699999999993</v>
      </c>
      <c r="W177" s="57">
        <f t="shared" si="203"/>
        <v>136</v>
      </c>
      <c r="X177" t="str">
        <f t="shared" si="204"/>
        <v>00058</v>
      </c>
      <c r="Y177" t="str">
        <f t="shared" si="205"/>
        <v>MUERTE POR CUALQUIER CAUSA</v>
      </c>
      <c r="Z177" s="118">
        <f>+IF($W177="","",ROUND(IF(Parámetros!$D$25='TABLAS MORT'!$V$33,Z176,Parámetros!$D$21-'Tablas Servicio'!T176),0))</f>
        <v>100000</v>
      </c>
      <c r="AA177" s="118" t="str">
        <f t="shared" si="206"/>
        <v>P</v>
      </c>
      <c r="AB177" s="119">
        <f>+IF(W177="","",ROUND((VLOOKUP(ROUNDDOWN($D177-1/frec,0),qx_tabla,2,FALSE)*(1+i/frec)^-0.5*(1+Parámetros!$D$103)*(1+rec_fracc)/frec),6))</f>
        <v>2.3800000000000001E-4</v>
      </c>
      <c r="AC177" s="66">
        <f t="shared" si="250"/>
        <v>23.8</v>
      </c>
      <c r="AD177" s="119">
        <f t="shared" si="246"/>
        <v>3.6299999999999999E-4</v>
      </c>
      <c r="AE177" s="66">
        <f>+IF($W177="","",ROUND(IF($B177&gt;Parámetros!$D$107,'Tablas Servicio'!AC177+('Tablas Servicio'!AG176-'Tablas Servicio'!AC176),AC177/(1-IF(B177&lt;=10,Parámetros!$D$104,Parámetros!$D$105))),2))</f>
        <v>39.67</v>
      </c>
      <c r="AF177" s="66">
        <f>+IF($W177="","",ROUND(IF($B177&gt;Parámetros!$D$107,'Tablas Servicio'!AC177+('Tablas Servicio'!AG176-'Tablas Servicio'!AC176),(AC177+$A176/frec)/(1-IF(B177&lt;=Parámetros!$D$117,Parámetros!$D$100,0))),2))</f>
        <v>36.299999999999997</v>
      </c>
      <c r="AG177" s="66">
        <f t="shared" si="251"/>
        <v>36.299999999999997</v>
      </c>
      <c r="AH177" s="66">
        <f t="shared" si="252"/>
        <v>0</v>
      </c>
      <c r="AI177" s="66">
        <f t="shared" si="253"/>
        <v>0</v>
      </c>
      <c r="AJ177" s="66">
        <f>+IF($W177="","",ROUND((AG177*Parámetros!$G$85),2))</f>
        <v>1.27</v>
      </c>
      <c r="AK177" s="66">
        <f>+IF($W177="","",ROUND((AG177*(Parámetros!$G$86)),2))</f>
        <v>0.18</v>
      </c>
      <c r="AL177" s="66">
        <f t="shared" si="247"/>
        <v>37.75</v>
      </c>
      <c r="AM177" t="str">
        <f t="shared" si="207"/>
        <v>00059</v>
      </c>
      <c r="AN177" t="str">
        <f t="shared" si="208"/>
        <v>Incapacidad Total y Permanente</v>
      </c>
      <c r="AO177" s="118">
        <f t="shared" si="209"/>
        <v>0</v>
      </c>
      <c r="AP177" s="118" t="str">
        <f t="shared" si="210"/>
        <v>A</v>
      </c>
      <c r="AQ177" s="119" t="str">
        <f>+IF(OR($W177="",AO177=0),"",ROUND((VLOOKUP(ROUNDDOWN($D177-1/frec,0),cob_adi,Z$40,FALSE)*(1+i/frec)^-0.5*(1+Parámetros!$D$103)*(1+rec_fracc)/frec),6))</f>
        <v/>
      </c>
      <c r="AR177" s="66">
        <f t="shared" si="254"/>
        <v>0</v>
      </c>
      <c r="AS177" s="119" t="str">
        <f t="shared" si="255"/>
        <v/>
      </c>
      <c r="AT177" s="66">
        <f>+IF($W177="","",ROUND(IF($B177&gt;Parámetros!$D$107,'Tablas Servicio'!AR177+('Tablas Servicio'!AT176-'Tablas Servicio'!AR176),AR177/(1-IF(B177&lt;=10,Parámetros!$D$100,0))),2))</f>
        <v>0</v>
      </c>
      <c r="AU177" s="66">
        <f t="shared" si="256"/>
        <v>0</v>
      </c>
      <c r="AV177" s="66">
        <f t="shared" si="256"/>
        <v>0</v>
      </c>
      <c r="AW177" s="66">
        <f>+IF($W177="","",ROUND((AT177*Parámetros!$G$85),2))</f>
        <v>0</v>
      </c>
      <c r="AX177" s="66">
        <f>+IF($W177="","",ROUND((AT177*(Parámetros!$G$86)),2))</f>
        <v>0</v>
      </c>
      <c r="AY177" s="66">
        <f t="shared" si="257"/>
        <v>0</v>
      </c>
      <c r="AZ177" t="str">
        <f t="shared" si="211"/>
        <v>00060</v>
      </c>
      <c r="BA177" t="str">
        <f t="shared" si="212"/>
        <v>Muerte Accidental</v>
      </c>
      <c r="BB177" s="118">
        <f t="shared" si="213"/>
        <v>0</v>
      </c>
      <c r="BC177" s="118" t="str">
        <f t="shared" si="214"/>
        <v>A</v>
      </c>
      <c r="BD177" s="119" t="str">
        <f>+IF(OR($W177="",BB177=0),"",ROUND((VLOOKUP(ROUNDDOWN($D177-1/frec,0),cob_adi,AO$40,FALSE)*(1+i/frec)^-0.5*(1+Parámetros!$D$103)*(1+rec_fracc)/frec),6))</f>
        <v/>
      </c>
      <c r="BE177" s="66">
        <f t="shared" si="258"/>
        <v>0</v>
      </c>
      <c r="BF177" s="119" t="str">
        <f t="shared" si="259"/>
        <v/>
      </c>
      <c r="BG177" s="66">
        <f>+IF($W177="","",ROUND(IF($B177&gt;Parámetros!$D$107,'Tablas Servicio'!BE177+('Tablas Servicio'!BG176-'Tablas Servicio'!BE176),BE177/(1-IF(B177&lt;=10,Parámetros!$D$100,0))),2))</f>
        <v>0</v>
      </c>
      <c r="BH177" s="66">
        <f t="shared" si="260"/>
        <v>0</v>
      </c>
      <c r="BI177" s="66">
        <f t="shared" si="261"/>
        <v>0</v>
      </c>
      <c r="BJ177" s="66">
        <f>+IF($W177="","",ROUND((BG177*Parámetros!$G$85),2))</f>
        <v>0</v>
      </c>
      <c r="BK177" s="66">
        <f>+IF($W177="","",ROUND((BG177*(Parámetros!$G$86)),2))</f>
        <v>0</v>
      </c>
      <c r="BL177" s="66">
        <f t="shared" si="262"/>
        <v>0</v>
      </c>
      <c r="BM177" t="str">
        <f t="shared" si="215"/>
        <v>00061</v>
      </c>
      <c r="BN177" t="str">
        <f t="shared" si="216"/>
        <v>Gastos de Entierro</v>
      </c>
      <c r="BO177" s="118">
        <f t="shared" si="217"/>
        <v>0</v>
      </c>
      <c r="BP177" s="118" t="str">
        <f t="shared" si="218"/>
        <v>A</v>
      </c>
      <c r="BQ177" s="119" t="str">
        <f>+IF(OR($W177="",BO177=0),"",ROUND((VLOOKUP(ROUNDDOWN($D177-1/frec,0),cob_adi,BB$40,FALSE)*(1+i/frec)^-0.5*(1+Parámetros!$D$103)*(1+rec_fracc)/frec),6))</f>
        <v/>
      </c>
      <c r="BR177" s="66">
        <f t="shared" si="263"/>
        <v>0</v>
      </c>
      <c r="BS177" s="119" t="str">
        <f t="shared" si="264"/>
        <v/>
      </c>
      <c r="BT177" s="66">
        <f>+IF($W177="","",ROUND(IF($B177&gt;Parámetros!$D$107,'Tablas Servicio'!BR177+('Tablas Servicio'!BT176-'Tablas Servicio'!BR176),BR177/(1-IF(B177&lt;=10,Parámetros!$D$100,0))),2))</f>
        <v>0</v>
      </c>
      <c r="BU177" s="66">
        <f t="shared" si="265"/>
        <v>0</v>
      </c>
      <c r="BV177" s="66">
        <f t="shared" si="265"/>
        <v>0</v>
      </c>
      <c r="BW177" s="66">
        <f>+IF($W177="","",ROUND((BT177*Parámetros!$G$85),2))</f>
        <v>0</v>
      </c>
      <c r="BX177" s="66">
        <f>+IF($W177="","",ROUND((BT177*(Parámetros!$G$86)),2))</f>
        <v>0</v>
      </c>
      <c r="BY177" s="66">
        <f t="shared" si="266"/>
        <v>0</v>
      </c>
      <c r="BZ177" t="str">
        <f t="shared" si="219"/>
        <v>00062</v>
      </c>
      <c r="CA177" t="str">
        <f t="shared" si="220"/>
        <v>Gastos médicos por accidente</v>
      </c>
      <c r="CB177" s="118">
        <f t="shared" si="221"/>
        <v>0</v>
      </c>
      <c r="CC177" s="118" t="str">
        <f t="shared" si="222"/>
        <v>A</v>
      </c>
      <c r="CD177" s="119" t="str">
        <f t="shared" si="267"/>
        <v/>
      </c>
      <c r="CE177" s="66">
        <f>+IF($W177="","",ROUND((VLOOKUP(ROUNDDOWN($D177-1/frec,0),cob_adi,BO$40,FALSE)*(1+i/frec)^-0.5*(1+Parámetros!$D$103)*(1+rec_fracc)/frec*'TABLAS ADI'!$BC$17),2))</f>
        <v>0</v>
      </c>
      <c r="CF177" s="119" t="str">
        <f t="shared" si="268"/>
        <v/>
      </c>
      <c r="CG177" s="66">
        <f>+IF($W177="","",ROUND(IF($B177&gt;Parámetros!$D$107,'Tablas Servicio'!CE177+('Tablas Servicio'!CG176-'Tablas Servicio'!CE176),CE177/(1-IF(B177&lt;=10,Parámetros!$D$100,0))),2))</f>
        <v>0</v>
      </c>
      <c r="CH177" s="66">
        <f t="shared" si="269"/>
        <v>0</v>
      </c>
      <c r="CI177" s="66">
        <f t="shared" si="269"/>
        <v>0</v>
      </c>
      <c r="CJ177" s="66">
        <f>+IF($W177="","",ROUND((CG177*Parámetros!$G$85),2))</f>
        <v>0</v>
      </c>
      <c r="CK177" s="66">
        <f>+IF($W177="","",ROUND((CG177*(Parámetros!$G$86)),2))</f>
        <v>0</v>
      </c>
      <c r="CL177" s="66">
        <f t="shared" si="270"/>
        <v>0</v>
      </c>
      <c r="CM177" t="str">
        <f t="shared" si="223"/>
        <v>00063</v>
      </c>
      <c r="CN177" s="118" t="str">
        <f t="shared" si="224"/>
        <v>Renta Diaria por Hospitalización</v>
      </c>
      <c r="CO177" s="118">
        <f t="shared" si="225"/>
        <v>0</v>
      </c>
      <c r="CP177" s="118" t="str">
        <f t="shared" si="226"/>
        <v>A</v>
      </c>
      <c r="CQ177" s="119" t="str">
        <f t="shared" si="271"/>
        <v/>
      </c>
      <c r="CR177" s="66">
        <f>+IF($W177="","",ROUND((VLOOKUP(Parámetros!$F$51,'COBERTURAS ADICIONALES'!$S$4:$T$32,2,FALSE)*(1+i/frec)^-0.5*(1+Parámetros!$D$103)*(1+rec_fracc)/frec*$CO$42),2))</f>
        <v>0</v>
      </c>
      <c r="CS177" s="119" t="str">
        <f t="shared" si="272"/>
        <v/>
      </c>
      <c r="CT177" s="66">
        <f>+IF($W177="","",ROUND(IF($B177&gt;Parámetros!$D$107,'Tablas Servicio'!CR177+('Tablas Servicio'!CT176-'Tablas Servicio'!CR176),CR177/(1-IF(B177&lt;=10,Parámetros!$D$100,0))),2))</f>
        <v>0</v>
      </c>
      <c r="CU177" s="66">
        <f t="shared" si="273"/>
        <v>0</v>
      </c>
      <c r="CV177" s="66">
        <f t="shared" si="273"/>
        <v>0</v>
      </c>
      <c r="CW177" s="66">
        <f>+IF($W177="","",ROUND((CT177*Parámetros!$G$85),2))</f>
        <v>0</v>
      </c>
      <c r="CX177" s="66">
        <f>+IF($W177="","",ROUND((CT177*(Parámetros!$G$86)),2))</f>
        <v>0</v>
      </c>
      <c r="CY177" s="66">
        <f t="shared" si="274"/>
        <v>0</v>
      </c>
      <c r="CZ177" t="str">
        <f t="shared" si="227"/>
        <v>00064</v>
      </c>
      <c r="DA177" s="118" t="str">
        <f t="shared" si="228"/>
        <v>Enfermedades Graves</v>
      </c>
      <c r="DB177" s="118">
        <f t="shared" si="229"/>
        <v>0</v>
      </c>
      <c r="DC177" s="118" t="str">
        <f t="shared" si="230"/>
        <v>A</v>
      </c>
      <c r="DD177" s="121" t="str">
        <f>+IF(OR($W177="",DB177=0),"",ROUND((VLOOKUP(ROUNDDOWN($D177-1/frec,0),cob_adi,CO$40,FALSE)*(1+i/frec)^-0.5*(1+Parámetros!$D$103)*(1+rec_fracc)/frec),6))</f>
        <v/>
      </c>
      <c r="DE177" s="66">
        <f t="shared" si="275"/>
        <v>0</v>
      </c>
      <c r="DF177" s="119" t="str">
        <f t="shared" si="276"/>
        <v/>
      </c>
      <c r="DG177" s="66">
        <f>+IF($W177="","",ROUND(IF($B177&gt;Parámetros!$D$107,'Tablas Servicio'!DE177+('Tablas Servicio'!DG176-'Tablas Servicio'!DE176),DE177/(1-IF(B177&lt;=10,Parámetros!$D$100,0))),2))</f>
        <v>0</v>
      </c>
      <c r="DH177" s="66">
        <f t="shared" si="277"/>
        <v>0</v>
      </c>
      <c r="DI177" s="66">
        <f t="shared" si="277"/>
        <v>0</v>
      </c>
      <c r="DJ177" s="66">
        <f>+IF($W177="","",ROUND((DG177*Parámetros!$G$85),2))</f>
        <v>0</v>
      </c>
      <c r="DK177" s="66">
        <f>+IF($W177="","",ROUND((DG177*(Parámetros!$G$86)),2))</f>
        <v>0</v>
      </c>
      <c r="DL177" s="66">
        <f t="shared" si="278"/>
        <v>0</v>
      </c>
      <c r="DM177" t="str">
        <f t="shared" si="231"/>
        <v>00065</v>
      </c>
      <c r="DN177" s="118" t="str">
        <f t="shared" si="232"/>
        <v>Exención pago de primas</v>
      </c>
      <c r="DO177" s="118">
        <f t="shared" si="233"/>
        <v>0</v>
      </c>
      <c r="DP177" s="118" t="str">
        <f t="shared" si="234"/>
        <v>A</v>
      </c>
      <c r="DQ177" s="122" t="str">
        <f>+IF(OR($W177="",DO177=0),"",ROUND((VLOOKUP(ROUNDDOWN($D177-1/frec,0),cob_adi,DB$40,FALSE)*(1+i/frec)^-0.5*(1+Parámetros!$D$103)*(1+rec_fracc)/frec),6))</f>
        <v/>
      </c>
      <c r="DR177" s="66">
        <f t="shared" si="279"/>
        <v>0</v>
      </c>
      <c r="DS177" s="68" t="str">
        <f t="shared" si="280"/>
        <v/>
      </c>
      <c r="DT177" s="66">
        <f>+IF($W177="","",ROUND(IF($B177&gt;Parámetros!$D$107,'Tablas Servicio'!DR177+('Tablas Servicio'!DT176-'Tablas Servicio'!DR176),DR177/(1-IF(B177&lt;=10,Parámetros!$D$100,0))),2))</f>
        <v>0</v>
      </c>
      <c r="DU177" s="66">
        <f t="shared" si="281"/>
        <v>0</v>
      </c>
      <c r="DV177" s="66">
        <f t="shared" si="281"/>
        <v>0</v>
      </c>
      <c r="DW177" s="66">
        <f>+IF($W177="","",ROUND((DT177*Parámetros!$G$85),2))</f>
        <v>0</v>
      </c>
      <c r="DX177" s="66">
        <f>+IF($W177="","",ROUND((DT177*(Parámetros!$G$86)),2))</f>
        <v>0</v>
      </c>
      <c r="DY177" s="66">
        <f t="shared" si="282"/>
        <v>0</v>
      </c>
      <c r="DZ177" t="str">
        <f t="shared" si="283"/>
        <v>00066</v>
      </c>
      <c r="EA177" s="118" t="str">
        <f t="shared" si="283"/>
        <v>Enfermedad terminal</v>
      </c>
      <c r="EB177" s="118">
        <f>+IF($W177="","",ROUND(IF(Parámetros!$D$25='TABLAS MORT'!$V$33,EB176,Z177/2),0))</f>
        <v>50000</v>
      </c>
      <c r="EC177" s="118" t="str">
        <f t="shared" si="283"/>
        <v>A</v>
      </c>
      <c r="ED177" s="122">
        <f>+IF(OR($W177="",EB177=0),"",ROUND((VLOOKUP(ROUNDDOWN($D177-1/frec,0),cob_adi,DO$40,FALSE)*(1+i/frec)^-0.5*(1+Parámetros!$D$103)*(1+rec_fracc)/frec),6))</f>
        <v>1.8E-5</v>
      </c>
      <c r="EE177" s="66">
        <f t="shared" si="284"/>
        <v>0.9</v>
      </c>
      <c r="EF177" s="68">
        <f t="shared" si="285"/>
        <v>1.8E-5</v>
      </c>
      <c r="EG177" s="66">
        <f>+IF($W177="","",ROUND(IF($B177&gt;Parámetros!$D$107,'Tablas Servicio'!EE177+('Tablas Servicio'!EG176-'Tablas Servicio'!EE176),EE177/(1-IF(B177&lt;=10,Parámetros!$D$100,0))),2))</f>
        <v>0.9</v>
      </c>
      <c r="EH177" s="66">
        <f t="shared" si="286"/>
        <v>0</v>
      </c>
      <c r="EI177" s="66">
        <f t="shared" si="286"/>
        <v>0</v>
      </c>
      <c r="EJ177" s="66">
        <f>+IF($W177="","",ROUND((EG177*Parámetros!$G$85),2))</f>
        <v>0.03</v>
      </c>
      <c r="EK177" s="66">
        <f>+IF($W177="","",ROUND((EG177*(Parámetros!$G$86)),2))</f>
        <v>0</v>
      </c>
      <c r="EL177" s="66">
        <f t="shared" si="287"/>
        <v>0.93</v>
      </c>
    </row>
    <row r="178" spans="1:142" x14ac:dyDescent="0.25">
      <c r="A178">
        <f>+IF($C178="","",ROUND(VLOOKUP('Tablas Servicio'!B178,Parámetros!$H$100:$J$159,IF(Parámetros!$E$16="F",2,3),FALSE),2))</f>
        <v>150</v>
      </c>
      <c r="B178">
        <f t="shared" si="238"/>
        <v>12</v>
      </c>
      <c r="C178" s="57">
        <f>+IF(D178="","",'Tablas Servicio'!C177+1)</f>
        <v>137</v>
      </c>
      <c r="D178" s="56">
        <f>+IF(D177&lt;edadmaxtabla,D177+1/Parámetros!$E$25,"")</f>
        <v>51.436666666666994</v>
      </c>
      <c r="E178" s="57">
        <f t="shared" si="248"/>
        <v>51</v>
      </c>
      <c r="F178" s="59">
        <f t="shared" si="249"/>
        <v>100000</v>
      </c>
      <c r="G178" s="66">
        <f t="shared" si="239"/>
        <v>37.199999999999996</v>
      </c>
      <c r="H178" s="66">
        <f t="shared" si="240"/>
        <v>38.68</v>
      </c>
      <c r="I178" s="66">
        <f t="shared" si="200"/>
        <v>55.32</v>
      </c>
      <c r="J178" s="66">
        <f t="shared" si="241"/>
        <v>1.3</v>
      </c>
      <c r="K178" s="66">
        <f t="shared" si="242"/>
        <v>0.18</v>
      </c>
      <c r="L178" s="66">
        <f t="shared" si="243"/>
        <v>0</v>
      </c>
      <c r="M178" s="66">
        <f t="shared" si="244"/>
        <v>0</v>
      </c>
      <c r="N178" s="66">
        <f>+IF(C178="","",ROUND(Parámetros!$D$23,2))</f>
        <v>94</v>
      </c>
      <c r="O178" s="66">
        <f t="shared" si="245"/>
        <v>24.7</v>
      </c>
      <c r="P178" s="66">
        <f>+IF($C178="","",ROUND(IF(B178&gt;Parámetros!$D$117,0,N178*Parámetros!$D$116-G178*Parámetros!$D$100),2))</f>
        <v>0</v>
      </c>
      <c r="Q178" s="75">
        <f t="shared" si="201"/>
        <v>3.4946236559139789E-2</v>
      </c>
      <c r="R178" s="75">
        <f t="shared" si="202"/>
        <v>4.8387096774193551E-3</v>
      </c>
      <c r="S178" s="117">
        <f>+IF($C178="","",ROUND((S177+I178)*(1+Parámetros!$D$91),2))</f>
        <v>9187.4500000000007</v>
      </c>
      <c r="T178" s="117">
        <f>+IF($C178="","",ROUND(S178*VLOOKUP(B178,Parámetros!$C$30:$D$39,2,TRUE),2))</f>
        <v>9187.4500000000007</v>
      </c>
      <c r="U178" s="117">
        <f>+IF($C178="","",ROUND((U177+I178)*(1+Parámetros!$D$92),2))</f>
        <v>9473.9</v>
      </c>
      <c r="V178" s="117">
        <f>+IF($C178="","",ROUND(U178*VLOOKUP(B178,Parámetros!$C$30:$D$39,2,TRUE),2))</f>
        <v>9473.9</v>
      </c>
      <c r="W178" s="57">
        <f t="shared" si="203"/>
        <v>137</v>
      </c>
      <c r="X178" t="str">
        <f t="shared" si="204"/>
        <v>00058</v>
      </c>
      <c r="Y178" t="str">
        <f t="shared" si="205"/>
        <v>MUERTE POR CUALQUIER CAUSA</v>
      </c>
      <c r="Z178" s="118">
        <f>+IF($W178="","",ROUND(IF(Parámetros!$D$25='TABLAS MORT'!$V$33,Z177,Parámetros!$D$21-'Tablas Servicio'!T177),0))</f>
        <v>100000</v>
      </c>
      <c r="AA178" s="118" t="str">
        <f t="shared" si="206"/>
        <v>P</v>
      </c>
      <c r="AB178" s="119">
        <f>+IF(W178="","",ROUND((VLOOKUP(ROUNDDOWN($D178-1/frec,0),qx_tabla,2,FALSE)*(1+i/frec)^-0.5*(1+Parámetros!$D$103)*(1+rec_fracc)/frec),6))</f>
        <v>2.3800000000000001E-4</v>
      </c>
      <c r="AC178" s="66">
        <f t="shared" si="250"/>
        <v>23.8</v>
      </c>
      <c r="AD178" s="119">
        <f t="shared" si="246"/>
        <v>3.6299999999999999E-4</v>
      </c>
      <c r="AE178" s="66">
        <f>+IF($W178="","",ROUND(IF($B178&gt;Parámetros!$D$107,'Tablas Servicio'!AC178+('Tablas Servicio'!AG177-'Tablas Servicio'!AC177),AC178/(1-IF(B178&lt;=10,Parámetros!$D$104,Parámetros!$D$105))),2))</f>
        <v>39.67</v>
      </c>
      <c r="AF178" s="66">
        <f>+IF($W178="","",ROUND(IF($B178&gt;Parámetros!$D$107,'Tablas Servicio'!AC178+('Tablas Servicio'!AG177-'Tablas Servicio'!AC177),(AC178+$A177/frec)/(1-IF(B178&lt;=Parámetros!$D$117,Parámetros!$D$100,0))),2))</f>
        <v>36.299999999999997</v>
      </c>
      <c r="AG178" s="66">
        <f t="shared" si="251"/>
        <v>36.299999999999997</v>
      </c>
      <c r="AH178" s="66">
        <f t="shared" si="252"/>
        <v>0</v>
      </c>
      <c r="AI178" s="66">
        <f t="shared" si="253"/>
        <v>0</v>
      </c>
      <c r="AJ178" s="66">
        <f>+IF($W178="","",ROUND((AG178*Parámetros!$G$85),2))</f>
        <v>1.27</v>
      </c>
      <c r="AK178" s="66">
        <f>+IF($W178="","",ROUND((AG178*(Parámetros!$G$86)),2))</f>
        <v>0.18</v>
      </c>
      <c r="AL178" s="66">
        <f t="shared" si="247"/>
        <v>37.75</v>
      </c>
      <c r="AM178" t="str">
        <f t="shared" si="207"/>
        <v>00059</v>
      </c>
      <c r="AN178" t="str">
        <f t="shared" si="208"/>
        <v>Incapacidad Total y Permanente</v>
      </c>
      <c r="AO178" s="118">
        <f t="shared" si="209"/>
        <v>0</v>
      </c>
      <c r="AP178" s="118" t="str">
        <f t="shared" si="210"/>
        <v>A</v>
      </c>
      <c r="AQ178" s="119" t="str">
        <f>+IF(OR($W178="",AO178=0),"",ROUND((VLOOKUP(ROUNDDOWN($D178-1/frec,0),cob_adi,Z$40,FALSE)*(1+i/frec)^-0.5*(1+Parámetros!$D$103)*(1+rec_fracc)/frec),6))</f>
        <v/>
      </c>
      <c r="AR178" s="66">
        <f t="shared" si="254"/>
        <v>0</v>
      </c>
      <c r="AS178" s="119" t="str">
        <f t="shared" si="255"/>
        <v/>
      </c>
      <c r="AT178" s="66">
        <f>+IF($W178="","",ROUND(IF($B178&gt;Parámetros!$D$107,'Tablas Servicio'!AR178+('Tablas Servicio'!AT177-'Tablas Servicio'!AR177),AR178/(1-IF(B178&lt;=10,Parámetros!$D$100,0))),2))</f>
        <v>0</v>
      </c>
      <c r="AU178" s="66">
        <f t="shared" si="256"/>
        <v>0</v>
      </c>
      <c r="AV178" s="66">
        <f t="shared" si="256"/>
        <v>0</v>
      </c>
      <c r="AW178" s="66">
        <f>+IF($W178="","",ROUND((AT178*Parámetros!$G$85),2))</f>
        <v>0</v>
      </c>
      <c r="AX178" s="66">
        <f>+IF($W178="","",ROUND((AT178*(Parámetros!$G$86)),2))</f>
        <v>0</v>
      </c>
      <c r="AY178" s="66">
        <f t="shared" si="257"/>
        <v>0</v>
      </c>
      <c r="AZ178" t="str">
        <f t="shared" si="211"/>
        <v>00060</v>
      </c>
      <c r="BA178" t="str">
        <f t="shared" si="212"/>
        <v>Muerte Accidental</v>
      </c>
      <c r="BB178" s="118">
        <f t="shared" si="213"/>
        <v>0</v>
      </c>
      <c r="BC178" s="118" t="str">
        <f t="shared" si="214"/>
        <v>A</v>
      </c>
      <c r="BD178" s="119" t="str">
        <f>+IF(OR($W178="",BB178=0),"",ROUND((VLOOKUP(ROUNDDOWN($D178-1/frec,0),cob_adi,AO$40,FALSE)*(1+i/frec)^-0.5*(1+Parámetros!$D$103)*(1+rec_fracc)/frec),6))</f>
        <v/>
      </c>
      <c r="BE178" s="66">
        <f t="shared" si="258"/>
        <v>0</v>
      </c>
      <c r="BF178" s="119" t="str">
        <f t="shared" si="259"/>
        <v/>
      </c>
      <c r="BG178" s="66">
        <f>+IF($W178="","",ROUND(IF($B178&gt;Parámetros!$D$107,'Tablas Servicio'!BE178+('Tablas Servicio'!BG177-'Tablas Servicio'!BE177),BE178/(1-IF(B178&lt;=10,Parámetros!$D$100,0))),2))</f>
        <v>0</v>
      </c>
      <c r="BH178" s="66">
        <f t="shared" si="260"/>
        <v>0</v>
      </c>
      <c r="BI178" s="66">
        <f t="shared" si="261"/>
        <v>0</v>
      </c>
      <c r="BJ178" s="66">
        <f>+IF($W178="","",ROUND((BG178*Parámetros!$G$85),2))</f>
        <v>0</v>
      </c>
      <c r="BK178" s="66">
        <f>+IF($W178="","",ROUND((BG178*(Parámetros!$G$86)),2))</f>
        <v>0</v>
      </c>
      <c r="BL178" s="66">
        <f t="shared" si="262"/>
        <v>0</v>
      </c>
      <c r="BM178" t="str">
        <f t="shared" si="215"/>
        <v>00061</v>
      </c>
      <c r="BN178" t="str">
        <f t="shared" si="216"/>
        <v>Gastos de Entierro</v>
      </c>
      <c r="BO178" s="118">
        <f t="shared" si="217"/>
        <v>0</v>
      </c>
      <c r="BP178" s="118" t="str">
        <f t="shared" si="218"/>
        <v>A</v>
      </c>
      <c r="BQ178" s="119" t="str">
        <f>+IF(OR($W178="",BO178=0),"",ROUND((VLOOKUP(ROUNDDOWN($D178-1/frec,0),cob_adi,BB$40,FALSE)*(1+i/frec)^-0.5*(1+Parámetros!$D$103)*(1+rec_fracc)/frec),6))</f>
        <v/>
      </c>
      <c r="BR178" s="66">
        <f t="shared" si="263"/>
        <v>0</v>
      </c>
      <c r="BS178" s="119" t="str">
        <f t="shared" si="264"/>
        <v/>
      </c>
      <c r="BT178" s="66">
        <f>+IF($W178="","",ROUND(IF($B178&gt;Parámetros!$D$107,'Tablas Servicio'!BR178+('Tablas Servicio'!BT177-'Tablas Servicio'!BR177),BR178/(1-IF(B178&lt;=10,Parámetros!$D$100,0))),2))</f>
        <v>0</v>
      </c>
      <c r="BU178" s="66">
        <f t="shared" si="265"/>
        <v>0</v>
      </c>
      <c r="BV178" s="66">
        <f t="shared" si="265"/>
        <v>0</v>
      </c>
      <c r="BW178" s="66">
        <f>+IF($W178="","",ROUND((BT178*Parámetros!$G$85),2))</f>
        <v>0</v>
      </c>
      <c r="BX178" s="66">
        <f>+IF($W178="","",ROUND((BT178*(Parámetros!$G$86)),2))</f>
        <v>0</v>
      </c>
      <c r="BY178" s="66">
        <f t="shared" si="266"/>
        <v>0</v>
      </c>
      <c r="BZ178" t="str">
        <f t="shared" si="219"/>
        <v>00062</v>
      </c>
      <c r="CA178" t="str">
        <f t="shared" si="220"/>
        <v>Gastos médicos por accidente</v>
      </c>
      <c r="CB178" s="118">
        <f t="shared" si="221"/>
        <v>0</v>
      </c>
      <c r="CC178" s="118" t="str">
        <f t="shared" si="222"/>
        <v>A</v>
      </c>
      <c r="CD178" s="119" t="str">
        <f t="shared" si="267"/>
        <v/>
      </c>
      <c r="CE178" s="66">
        <f>+IF($W178="","",ROUND((VLOOKUP(ROUNDDOWN($D178-1/frec,0),cob_adi,BO$40,FALSE)*(1+i/frec)^-0.5*(1+Parámetros!$D$103)*(1+rec_fracc)/frec*'TABLAS ADI'!$BC$17),2))</f>
        <v>0</v>
      </c>
      <c r="CF178" s="119" t="str">
        <f t="shared" si="268"/>
        <v/>
      </c>
      <c r="CG178" s="66">
        <f>+IF($W178="","",ROUND(IF($B178&gt;Parámetros!$D$107,'Tablas Servicio'!CE178+('Tablas Servicio'!CG177-'Tablas Servicio'!CE177),CE178/(1-IF(B178&lt;=10,Parámetros!$D$100,0))),2))</f>
        <v>0</v>
      </c>
      <c r="CH178" s="66">
        <f t="shared" si="269"/>
        <v>0</v>
      </c>
      <c r="CI178" s="66">
        <f t="shared" si="269"/>
        <v>0</v>
      </c>
      <c r="CJ178" s="66">
        <f>+IF($W178="","",ROUND((CG178*Parámetros!$G$85),2))</f>
        <v>0</v>
      </c>
      <c r="CK178" s="66">
        <f>+IF($W178="","",ROUND((CG178*(Parámetros!$G$86)),2))</f>
        <v>0</v>
      </c>
      <c r="CL178" s="66">
        <f t="shared" si="270"/>
        <v>0</v>
      </c>
      <c r="CM178" t="str">
        <f t="shared" si="223"/>
        <v>00063</v>
      </c>
      <c r="CN178" s="118" t="str">
        <f t="shared" si="224"/>
        <v>Renta Diaria por Hospitalización</v>
      </c>
      <c r="CO178" s="118">
        <f t="shared" si="225"/>
        <v>0</v>
      </c>
      <c r="CP178" s="118" t="str">
        <f t="shared" si="226"/>
        <v>A</v>
      </c>
      <c r="CQ178" s="119" t="str">
        <f t="shared" si="271"/>
        <v/>
      </c>
      <c r="CR178" s="66">
        <f>+IF($W178="","",ROUND((VLOOKUP(Parámetros!$F$51,'COBERTURAS ADICIONALES'!$S$4:$T$32,2,FALSE)*(1+i/frec)^-0.5*(1+Parámetros!$D$103)*(1+rec_fracc)/frec*$CO$42),2))</f>
        <v>0</v>
      </c>
      <c r="CS178" s="119" t="str">
        <f t="shared" si="272"/>
        <v/>
      </c>
      <c r="CT178" s="66">
        <f>+IF($W178="","",ROUND(IF($B178&gt;Parámetros!$D$107,'Tablas Servicio'!CR178+('Tablas Servicio'!CT177-'Tablas Servicio'!CR177),CR178/(1-IF(B178&lt;=10,Parámetros!$D$100,0))),2))</f>
        <v>0</v>
      </c>
      <c r="CU178" s="66">
        <f t="shared" si="273"/>
        <v>0</v>
      </c>
      <c r="CV178" s="66">
        <f t="shared" si="273"/>
        <v>0</v>
      </c>
      <c r="CW178" s="66">
        <f>+IF($W178="","",ROUND((CT178*Parámetros!$G$85),2))</f>
        <v>0</v>
      </c>
      <c r="CX178" s="66">
        <f>+IF($W178="","",ROUND((CT178*(Parámetros!$G$86)),2))</f>
        <v>0</v>
      </c>
      <c r="CY178" s="66">
        <f t="shared" si="274"/>
        <v>0</v>
      </c>
      <c r="CZ178" t="str">
        <f t="shared" si="227"/>
        <v>00064</v>
      </c>
      <c r="DA178" s="118" t="str">
        <f t="shared" si="228"/>
        <v>Enfermedades Graves</v>
      </c>
      <c r="DB178" s="118">
        <f t="shared" si="229"/>
        <v>0</v>
      </c>
      <c r="DC178" s="118" t="str">
        <f t="shared" si="230"/>
        <v>A</v>
      </c>
      <c r="DD178" s="121" t="str">
        <f>+IF(OR($W178="",DB178=0),"",ROUND((VLOOKUP(ROUNDDOWN($D178-1/frec,0),cob_adi,CO$40,FALSE)*(1+i/frec)^-0.5*(1+Parámetros!$D$103)*(1+rec_fracc)/frec),6))</f>
        <v/>
      </c>
      <c r="DE178" s="66">
        <f t="shared" si="275"/>
        <v>0</v>
      </c>
      <c r="DF178" s="119" t="str">
        <f t="shared" si="276"/>
        <v/>
      </c>
      <c r="DG178" s="66">
        <f>+IF($W178="","",ROUND(IF($B178&gt;Parámetros!$D$107,'Tablas Servicio'!DE178+('Tablas Servicio'!DG177-'Tablas Servicio'!DE177),DE178/(1-IF(B178&lt;=10,Parámetros!$D$100,0))),2))</f>
        <v>0</v>
      </c>
      <c r="DH178" s="66">
        <f t="shared" si="277"/>
        <v>0</v>
      </c>
      <c r="DI178" s="66">
        <f t="shared" si="277"/>
        <v>0</v>
      </c>
      <c r="DJ178" s="66">
        <f>+IF($W178="","",ROUND((DG178*Parámetros!$G$85),2))</f>
        <v>0</v>
      </c>
      <c r="DK178" s="66">
        <f>+IF($W178="","",ROUND((DG178*(Parámetros!$G$86)),2))</f>
        <v>0</v>
      </c>
      <c r="DL178" s="66">
        <f t="shared" si="278"/>
        <v>0</v>
      </c>
      <c r="DM178" t="str">
        <f t="shared" si="231"/>
        <v>00065</v>
      </c>
      <c r="DN178" s="118" t="str">
        <f t="shared" si="232"/>
        <v>Exención pago de primas</v>
      </c>
      <c r="DO178" s="118">
        <f t="shared" si="233"/>
        <v>0</v>
      </c>
      <c r="DP178" s="118" t="str">
        <f t="shared" si="234"/>
        <v>A</v>
      </c>
      <c r="DQ178" s="122" t="str">
        <f>+IF(OR($W178="",DO178=0),"",ROUND((VLOOKUP(ROUNDDOWN($D178-1/frec,0),cob_adi,DB$40,FALSE)*(1+i/frec)^-0.5*(1+Parámetros!$D$103)*(1+rec_fracc)/frec),6))</f>
        <v/>
      </c>
      <c r="DR178" s="66">
        <f t="shared" si="279"/>
        <v>0</v>
      </c>
      <c r="DS178" s="68" t="str">
        <f t="shared" si="280"/>
        <v/>
      </c>
      <c r="DT178" s="66">
        <f>+IF($W178="","",ROUND(IF($B178&gt;Parámetros!$D$107,'Tablas Servicio'!DR178+('Tablas Servicio'!DT177-'Tablas Servicio'!DR177),DR178/(1-IF(B178&lt;=10,Parámetros!$D$100,0))),2))</f>
        <v>0</v>
      </c>
      <c r="DU178" s="66">
        <f t="shared" si="281"/>
        <v>0</v>
      </c>
      <c r="DV178" s="66">
        <f t="shared" si="281"/>
        <v>0</v>
      </c>
      <c r="DW178" s="66">
        <f>+IF($W178="","",ROUND((DT178*Parámetros!$G$85),2))</f>
        <v>0</v>
      </c>
      <c r="DX178" s="66">
        <f>+IF($W178="","",ROUND((DT178*(Parámetros!$G$86)),2))</f>
        <v>0</v>
      </c>
      <c r="DY178" s="66">
        <f t="shared" si="282"/>
        <v>0</v>
      </c>
      <c r="DZ178" t="str">
        <f t="shared" si="283"/>
        <v>00066</v>
      </c>
      <c r="EA178" s="118" t="str">
        <f t="shared" si="283"/>
        <v>Enfermedad terminal</v>
      </c>
      <c r="EB178" s="118">
        <f>+IF($W178="","",ROUND(IF(Parámetros!$D$25='TABLAS MORT'!$V$33,EB177,Z178/2),0))</f>
        <v>50000</v>
      </c>
      <c r="EC178" s="118" t="str">
        <f t="shared" si="283"/>
        <v>A</v>
      </c>
      <c r="ED178" s="122">
        <f>+IF(OR($W178="",EB178=0),"",ROUND((VLOOKUP(ROUNDDOWN($D178-1/frec,0),cob_adi,DO$40,FALSE)*(1+i/frec)^-0.5*(1+Parámetros!$D$103)*(1+rec_fracc)/frec),6))</f>
        <v>1.8E-5</v>
      </c>
      <c r="EE178" s="66">
        <f t="shared" si="284"/>
        <v>0.9</v>
      </c>
      <c r="EF178" s="68">
        <f t="shared" si="285"/>
        <v>1.8E-5</v>
      </c>
      <c r="EG178" s="66">
        <f>+IF($W178="","",ROUND(IF($B178&gt;Parámetros!$D$107,'Tablas Servicio'!EE178+('Tablas Servicio'!EG177-'Tablas Servicio'!EE177),EE178/(1-IF(B178&lt;=10,Parámetros!$D$100,0))),2))</f>
        <v>0.9</v>
      </c>
      <c r="EH178" s="66">
        <f t="shared" si="286"/>
        <v>0</v>
      </c>
      <c r="EI178" s="66">
        <f t="shared" si="286"/>
        <v>0</v>
      </c>
      <c r="EJ178" s="66">
        <f>+IF($W178="","",ROUND((EG178*Parámetros!$G$85),2))</f>
        <v>0.03</v>
      </c>
      <c r="EK178" s="66">
        <f>+IF($W178="","",ROUND((EG178*(Parámetros!$G$86)),2))</f>
        <v>0</v>
      </c>
      <c r="EL178" s="66">
        <f t="shared" si="287"/>
        <v>0.93</v>
      </c>
    </row>
    <row r="179" spans="1:142" x14ac:dyDescent="0.25">
      <c r="A179">
        <f>+IF($C179="","",ROUND(VLOOKUP('Tablas Servicio'!B179,Parámetros!$H$100:$J$159,IF(Parámetros!$E$16="F",2,3),FALSE),2))</f>
        <v>150</v>
      </c>
      <c r="B179">
        <f t="shared" si="238"/>
        <v>12</v>
      </c>
      <c r="C179" s="57">
        <f>+IF(D179="","",'Tablas Servicio'!C178+1)</f>
        <v>138</v>
      </c>
      <c r="D179" s="56">
        <f>+IF(D178&lt;edadmaxtabla,D178+1/Parámetros!$E$25,"")</f>
        <v>51.52000000000033</v>
      </c>
      <c r="E179" s="57">
        <f t="shared" si="248"/>
        <v>51</v>
      </c>
      <c r="F179" s="59">
        <f t="shared" si="249"/>
        <v>100000</v>
      </c>
      <c r="G179" s="66">
        <f t="shared" si="239"/>
        <v>37.199999999999996</v>
      </c>
      <c r="H179" s="66">
        <f t="shared" si="240"/>
        <v>38.68</v>
      </c>
      <c r="I179" s="66">
        <f t="shared" si="200"/>
        <v>55.32</v>
      </c>
      <c r="J179" s="66">
        <f t="shared" si="241"/>
        <v>1.3</v>
      </c>
      <c r="K179" s="66">
        <f t="shared" si="242"/>
        <v>0.18</v>
      </c>
      <c r="L179" s="66">
        <f t="shared" si="243"/>
        <v>0</v>
      </c>
      <c r="M179" s="66">
        <f t="shared" si="244"/>
        <v>0</v>
      </c>
      <c r="N179" s="66">
        <f>+IF(C179="","",ROUND(Parámetros!$D$23,2))</f>
        <v>94</v>
      </c>
      <c r="O179" s="66">
        <f t="shared" si="245"/>
        <v>24.7</v>
      </c>
      <c r="P179" s="66">
        <f>+IF($C179="","",ROUND(IF(B179&gt;Parámetros!$D$117,0,N179*Parámetros!$D$116-G179*Parámetros!$D$100),2))</f>
        <v>0</v>
      </c>
      <c r="Q179" s="75">
        <f t="shared" si="201"/>
        <v>3.4946236559139789E-2</v>
      </c>
      <c r="R179" s="75">
        <f t="shared" si="202"/>
        <v>4.8387096774193551E-3</v>
      </c>
      <c r="S179" s="117">
        <f>+IF($C179="","",ROUND((S178+I179)*(1+Parámetros!$D$91),2))</f>
        <v>9268.99</v>
      </c>
      <c r="T179" s="117">
        <f>+IF($C179="","",ROUND(S179*VLOOKUP(B179,Parámetros!$C$30:$D$39,2,TRUE),2))</f>
        <v>9268.99</v>
      </c>
      <c r="U179" s="117">
        <f>+IF($C179="","",ROUND((U178+I179)*(1+Parámetros!$D$92),2))</f>
        <v>9560.11</v>
      </c>
      <c r="V179" s="117">
        <f>+IF($C179="","",ROUND(U179*VLOOKUP(B179,Parámetros!$C$30:$D$39,2,TRUE),2))</f>
        <v>9560.11</v>
      </c>
      <c r="W179" s="57">
        <f t="shared" si="203"/>
        <v>138</v>
      </c>
      <c r="X179" t="str">
        <f t="shared" si="204"/>
        <v>00058</v>
      </c>
      <c r="Y179" t="str">
        <f t="shared" si="205"/>
        <v>MUERTE POR CUALQUIER CAUSA</v>
      </c>
      <c r="Z179" s="118">
        <f>+IF($W179="","",ROUND(IF(Parámetros!$D$25='TABLAS MORT'!$V$33,Z178,Parámetros!$D$21-'Tablas Servicio'!T178),0))</f>
        <v>100000</v>
      </c>
      <c r="AA179" s="118" t="str">
        <f t="shared" si="206"/>
        <v>P</v>
      </c>
      <c r="AB179" s="119">
        <f>+IF(W179="","",ROUND((VLOOKUP(ROUNDDOWN($D179-1/frec,0),qx_tabla,2,FALSE)*(1+i/frec)^-0.5*(1+Parámetros!$D$103)*(1+rec_fracc)/frec),6))</f>
        <v>2.3800000000000001E-4</v>
      </c>
      <c r="AC179" s="66">
        <f t="shared" si="250"/>
        <v>23.8</v>
      </c>
      <c r="AD179" s="119">
        <f t="shared" si="246"/>
        <v>3.6299999999999999E-4</v>
      </c>
      <c r="AE179" s="66">
        <f>+IF($W179="","",ROUND(IF($B179&gt;Parámetros!$D$107,'Tablas Servicio'!AC179+('Tablas Servicio'!AG178-'Tablas Servicio'!AC178),AC179/(1-IF(B179&lt;=10,Parámetros!$D$104,Parámetros!$D$105))),2))</f>
        <v>39.67</v>
      </c>
      <c r="AF179" s="66">
        <f>+IF($W179="","",ROUND(IF($B179&gt;Parámetros!$D$107,'Tablas Servicio'!AC179+('Tablas Servicio'!AG178-'Tablas Servicio'!AC178),(AC179+$A178/frec)/(1-IF(B179&lt;=Parámetros!$D$117,Parámetros!$D$100,0))),2))</f>
        <v>36.299999999999997</v>
      </c>
      <c r="AG179" s="66">
        <f t="shared" si="251"/>
        <v>36.299999999999997</v>
      </c>
      <c r="AH179" s="66">
        <f t="shared" si="252"/>
        <v>0</v>
      </c>
      <c r="AI179" s="66">
        <f t="shared" si="253"/>
        <v>0</v>
      </c>
      <c r="AJ179" s="66">
        <f>+IF($W179="","",ROUND((AG179*Parámetros!$G$85),2))</f>
        <v>1.27</v>
      </c>
      <c r="AK179" s="66">
        <f>+IF($W179="","",ROUND((AG179*(Parámetros!$G$86)),2))</f>
        <v>0.18</v>
      </c>
      <c r="AL179" s="66">
        <f t="shared" si="247"/>
        <v>37.75</v>
      </c>
      <c r="AM179" t="str">
        <f t="shared" si="207"/>
        <v>00059</v>
      </c>
      <c r="AN179" t="str">
        <f t="shared" si="208"/>
        <v>Incapacidad Total y Permanente</v>
      </c>
      <c r="AO179" s="118">
        <f t="shared" si="209"/>
        <v>0</v>
      </c>
      <c r="AP179" s="118" t="str">
        <f t="shared" si="210"/>
        <v>A</v>
      </c>
      <c r="AQ179" s="119" t="str">
        <f>+IF(OR($W179="",AO179=0),"",ROUND((VLOOKUP(ROUNDDOWN($D179-1/frec,0),cob_adi,Z$40,FALSE)*(1+i/frec)^-0.5*(1+Parámetros!$D$103)*(1+rec_fracc)/frec),6))</f>
        <v/>
      </c>
      <c r="AR179" s="66">
        <f t="shared" si="254"/>
        <v>0</v>
      </c>
      <c r="AS179" s="119" t="str">
        <f t="shared" si="255"/>
        <v/>
      </c>
      <c r="AT179" s="66">
        <f>+IF($W179="","",ROUND(IF($B179&gt;Parámetros!$D$107,'Tablas Servicio'!AR179+('Tablas Servicio'!AT178-'Tablas Servicio'!AR178),AR179/(1-IF(B179&lt;=10,Parámetros!$D$100,0))),2))</f>
        <v>0</v>
      </c>
      <c r="AU179" s="66">
        <f t="shared" si="256"/>
        <v>0</v>
      </c>
      <c r="AV179" s="66">
        <f t="shared" si="256"/>
        <v>0</v>
      </c>
      <c r="AW179" s="66">
        <f>+IF($W179="","",ROUND((AT179*Parámetros!$G$85),2))</f>
        <v>0</v>
      </c>
      <c r="AX179" s="66">
        <f>+IF($W179="","",ROUND((AT179*(Parámetros!$G$86)),2))</f>
        <v>0</v>
      </c>
      <c r="AY179" s="66">
        <f t="shared" si="257"/>
        <v>0</v>
      </c>
      <c r="AZ179" t="str">
        <f t="shared" si="211"/>
        <v>00060</v>
      </c>
      <c r="BA179" t="str">
        <f t="shared" si="212"/>
        <v>Muerte Accidental</v>
      </c>
      <c r="BB179" s="118">
        <f t="shared" si="213"/>
        <v>0</v>
      </c>
      <c r="BC179" s="118" t="str">
        <f t="shared" si="214"/>
        <v>A</v>
      </c>
      <c r="BD179" s="119" t="str">
        <f>+IF(OR($W179="",BB179=0),"",ROUND((VLOOKUP(ROUNDDOWN($D179-1/frec,0),cob_adi,AO$40,FALSE)*(1+i/frec)^-0.5*(1+Parámetros!$D$103)*(1+rec_fracc)/frec),6))</f>
        <v/>
      </c>
      <c r="BE179" s="66">
        <f t="shared" si="258"/>
        <v>0</v>
      </c>
      <c r="BF179" s="119" t="str">
        <f t="shared" si="259"/>
        <v/>
      </c>
      <c r="BG179" s="66">
        <f>+IF($W179="","",ROUND(IF($B179&gt;Parámetros!$D$107,'Tablas Servicio'!BE179+('Tablas Servicio'!BG178-'Tablas Servicio'!BE178),BE179/(1-IF(B179&lt;=10,Parámetros!$D$100,0))),2))</f>
        <v>0</v>
      </c>
      <c r="BH179" s="66">
        <f t="shared" si="260"/>
        <v>0</v>
      </c>
      <c r="BI179" s="66">
        <f t="shared" si="261"/>
        <v>0</v>
      </c>
      <c r="BJ179" s="66">
        <f>+IF($W179="","",ROUND((BG179*Parámetros!$G$85),2))</f>
        <v>0</v>
      </c>
      <c r="BK179" s="66">
        <f>+IF($W179="","",ROUND((BG179*(Parámetros!$G$86)),2))</f>
        <v>0</v>
      </c>
      <c r="BL179" s="66">
        <f t="shared" si="262"/>
        <v>0</v>
      </c>
      <c r="BM179" t="str">
        <f t="shared" si="215"/>
        <v>00061</v>
      </c>
      <c r="BN179" t="str">
        <f t="shared" si="216"/>
        <v>Gastos de Entierro</v>
      </c>
      <c r="BO179" s="118">
        <f t="shared" si="217"/>
        <v>0</v>
      </c>
      <c r="BP179" s="118" t="str">
        <f t="shared" si="218"/>
        <v>A</v>
      </c>
      <c r="BQ179" s="119" t="str">
        <f>+IF(OR($W179="",BO179=0),"",ROUND((VLOOKUP(ROUNDDOWN($D179-1/frec,0),cob_adi,BB$40,FALSE)*(1+i/frec)^-0.5*(1+Parámetros!$D$103)*(1+rec_fracc)/frec),6))</f>
        <v/>
      </c>
      <c r="BR179" s="66">
        <f t="shared" si="263"/>
        <v>0</v>
      </c>
      <c r="BS179" s="119" t="str">
        <f t="shared" si="264"/>
        <v/>
      </c>
      <c r="BT179" s="66">
        <f>+IF($W179="","",ROUND(IF($B179&gt;Parámetros!$D$107,'Tablas Servicio'!BR179+('Tablas Servicio'!BT178-'Tablas Servicio'!BR178),BR179/(1-IF(B179&lt;=10,Parámetros!$D$100,0))),2))</f>
        <v>0</v>
      </c>
      <c r="BU179" s="66">
        <f t="shared" si="265"/>
        <v>0</v>
      </c>
      <c r="BV179" s="66">
        <f t="shared" si="265"/>
        <v>0</v>
      </c>
      <c r="BW179" s="66">
        <f>+IF($W179="","",ROUND((BT179*Parámetros!$G$85),2))</f>
        <v>0</v>
      </c>
      <c r="BX179" s="66">
        <f>+IF($W179="","",ROUND((BT179*(Parámetros!$G$86)),2))</f>
        <v>0</v>
      </c>
      <c r="BY179" s="66">
        <f t="shared" si="266"/>
        <v>0</v>
      </c>
      <c r="BZ179" t="str">
        <f t="shared" si="219"/>
        <v>00062</v>
      </c>
      <c r="CA179" t="str">
        <f t="shared" si="220"/>
        <v>Gastos médicos por accidente</v>
      </c>
      <c r="CB179" s="118">
        <f t="shared" si="221"/>
        <v>0</v>
      </c>
      <c r="CC179" s="118" t="str">
        <f t="shared" si="222"/>
        <v>A</v>
      </c>
      <c r="CD179" s="119" t="str">
        <f t="shared" si="267"/>
        <v/>
      </c>
      <c r="CE179" s="66">
        <f>+IF($W179="","",ROUND((VLOOKUP(ROUNDDOWN($D179-1/frec,0),cob_adi,BO$40,FALSE)*(1+i/frec)^-0.5*(1+Parámetros!$D$103)*(1+rec_fracc)/frec*'TABLAS ADI'!$BC$17),2))</f>
        <v>0</v>
      </c>
      <c r="CF179" s="119" t="str">
        <f t="shared" si="268"/>
        <v/>
      </c>
      <c r="CG179" s="66">
        <f>+IF($W179="","",ROUND(IF($B179&gt;Parámetros!$D$107,'Tablas Servicio'!CE179+('Tablas Servicio'!CG178-'Tablas Servicio'!CE178),CE179/(1-IF(B179&lt;=10,Parámetros!$D$100,0))),2))</f>
        <v>0</v>
      </c>
      <c r="CH179" s="66">
        <f t="shared" si="269"/>
        <v>0</v>
      </c>
      <c r="CI179" s="66">
        <f t="shared" si="269"/>
        <v>0</v>
      </c>
      <c r="CJ179" s="66">
        <f>+IF($W179="","",ROUND((CG179*Parámetros!$G$85),2))</f>
        <v>0</v>
      </c>
      <c r="CK179" s="66">
        <f>+IF($W179="","",ROUND((CG179*(Parámetros!$G$86)),2))</f>
        <v>0</v>
      </c>
      <c r="CL179" s="66">
        <f t="shared" si="270"/>
        <v>0</v>
      </c>
      <c r="CM179" t="str">
        <f t="shared" si="223"/>
        <v>00063</v>
      </c>
      <c r="CN179" s="118" t="str">
        <f t="shared" si="224"/>
        <v>Renta Diaria por Hospitalización</v>
      </c>
      <c r="CO179" s="118">
        <f t="shared" si="225"/>
        <v>0</v>
      </c>
      <c r="CP179" s="118" t="str">
        <f t="shared" si="226"/>
        <v>A</v>
      </c>
      <c r="CQ179" s="119" t="str">
        <f t="shared" si="271"/>
        <v/>
      </c>
      <c r="CR179" s="66">
        <f>+IF($W179="","",ROUND((VLOOKUP(Parámetros!$F$51,'COBERTURAS ADICIONALES'!$S$4:$T$32,2,FALSE)*(1+i/frec)^-0.5*(1+Parámetros!$D$103)*(1+rec_fracc)/frec*$CO$42),2))</f>
        <v>0</v>
      </c>
      <c r="CS179" s="119" t="str">
        <f t="shared" si="272"/>
        <v/>
      </c>
      <c r="CT179" s="66">
        <f>+IF($W179="","",ROUND(IF($B179&gt;Parámetros!$D$107,'Tablas Servicio'!CR179+('Tablas Servicio'!CT178-'Tablas Servicio'!CR178),CR179/(1-IF(B179&lt;=10,Parámetros!$D$100,0))),2))</f>
        <v>0</v>
      </c>
      <c r="CU179" s="66">
        <f t="shared" si="273"/>
        <v>0</v>
      </c>
      <c r="CV179" s="66">
        <f t="shared" si="273"/>
        <v>0</v>
      </c>
      <c r="CW179" s="66">
        <f>+IF($W179="","",ROUND((CT179*Parámetros!$G$85),2))</f>
        <v>0</v>
      </c>
      <c r="CX179" s="66">
        <f>+IF($W179="","",ROUND((CT179*(Parámetros!$G$86)),2))</f>
        <v>0</v>
      </c>
      <c r="CY179" s="66">
        <f t="shared" si="274"/>
        <v>0</v>
      </c>
      <c r="CZ179" t="str">
        <f t="shared" si="227"/>
        <v>00064</v>
      </c>
      <c r="DA179" s="118" t="str">
        <f t="shared" si="228"/>
        <v>Enfermedades Graves</v>
      </c>
      <c r="DB179" s="118">
        <f t="shared" si="229"/>
        <v>0</v>
      </c>
      <c r="DC179" s="118" t="str">
        <f t="shared" si="230"/>
        <v>A</v>
      </c>
      <c r="DD179" s="121" t="str">
        <f>+IF(OR($W179="",DB179=0),"",ROUND((VLOOKUP(ROUNDDOWN($D179-1/frec,0),cob_adi,CO$40,FALSE)*(1+i/frec)^-0.5*(1+Parámetros!$D$103)*(1+rec_fracc)/frec),6))</f>
        <v/>
      </c>
      <c r="DE179" s="66">
        <f t="shared" si="275"/>
        <v>0</v>
      </c>
      <c r="DF179" s="119" t="str">
        <f t="shared" si="276"/>
        <v/>
      </c>
      <c r="DG179" s="66">
        <f>+IF($W179="","",ROUND(IF($B179&gt;Parámetros!$D$107,'Tablas Servicio'!DE179+('Tablas Servicio'!DG178-'Tablas Servicio'!DE178),DE179/(1-IF(B179&lt;=10,Parámetros!$D$100,0))),2))</f>
        <v>0</v>
      </c>
      <c r="DH179" s="66">
        <f t="shared" si="277"/>
        <v>0</v>
      </c>
      <c r="DI179" s="66">
        <f t="shared" si="277"/>
        <v>0</v>
      </c>
      <c r="DJ179" s="66">
        <f>+IF($W179="","",ROUND((DG179*Parámetros!$G$85),2))</f>
        <v>0</v>
      </c>
      <c r="DK179" s="66">
        <f>+IF($W179="","",ROUND((DG179*(Parámetros!$G$86)),2))</f>
        <v>0</v>
      </c>
      <c r="DL179" s="66">
        <f t="shared" si="278"/>
        <v>0</v>
      </c>
      <c r="DM179" t="str">
        <f t="shared" si="231"/>
        <v>00065</v>
      </c>
      <c r="DN179" s="118" t="str">
        <f t="shared" si="232"/>
        <v>Exención pago de primas</v>
      </c>
      <c r="DO179" s="118">
        <f t="shared" si="233"/>
        <v>0</v>
      </c>
      <c r="DP179" s="118" t="str">
        <f t="shared" si="234"/>
        <v>A</v>
      </c>
      <c r="DQ179" s="122" t="str">
        <f>+IF(OR($W179="",DO179=0),"",ROUND((VLOOKUP(ROUNDDOWN($D179-1/frec,0),cob_adi,DB$40,FALSE)*(1+i/frec)^-0.5*(1+Parámetros!$D$103)*(1+rec_fracc)/frec),6))</f>
        <v/>
      </c>
      <c r="DR179" s="66">
        <f t="shared" si="279"/>
        <v>0</v>
      </c>
      <c r="DS179" s="68" t="str">
        <f t="shared" si="280"/>
        <v/>
      </c>
      <c r="DT179" s="66">
        <f>+IF($W179="","",ROUND(IF($B179&gt;Parámetros!$D$107,'Tablas Servicio'!DR179+('Tablas Servicio'!DT178-'Tablas Servicio'!DR178),DR179/(1-IF(B179&lt;=10,Parámetros!$D$100,0))),2))</f>
        <v>0</v>
      </c>
      <c r="DU179" s="66">
        <f t="shared" si="281"/>
        <v>0</v>
      </c>
      <c r="DV179" s="66">
        <f t="shared" si="281"/>
        <v>0</v>
      </c>
      <c r="DW179" s="66">
        <f>+IF($W179="","",ROUND((DT179*Parámetros!$G$85),2))</f>
        <v>0</v>
      </c>
      <c r="DX179" s="66">
        <f>+IF($W179="","",ROUND((DT179*(Parámetros!$G$86)),2))</f>
        <v>0</v>
      </c>
      <c r="DY179" s="66">
        <f t="shared" si="282"/>
        <v>0</v>
      </c>
      <c r="DZ179" t="str">
        <f t="shared" si="283"/>
        <v>00066</v>
      </c>
      <c r="EA179" s="118" t="str">
        <f t="shared" si="283"/>
        <v>Enfermedad terminal</v>
      </c>
      <c r="EB179" s="118">
        <f>+IF($W179="","",ROUND(IF(Parámetros!$D$25='TABLAS MORT'!$V$33,EB178,Z179/2),0))</f>
        <v>50000</v>
      </c>
      <c r="EC179" s="118" t="str">
        <f t="shared" si="283"/>
        <v>A</v>
      </c>
      <c r="ED179" s="122">
        <f>+IF(OR($W179="",EB179=0),"",ROUND((VLOOKUP(ROUNDDOWN($D179-1/frec,0),cob_adi,DO$40,FALSE)*(1+i/frec)^-0.5*(1+Parámetros!$D$103)*(1+rec_fracc)/frec),6))</f>
        <v>1.8E-5</v>
      </c>
      <c r="EE179" s="66">
        <f t="shared" si="284"/>
        <v>0.9</v>
      </c>
      <c r="EF179" s="68">
        <f t="shared" si="285"/>
        <v>1.8E-5</v>
      </c>
      <c r="EG179" s="66">
        <f>+IF($W179="","",ROUND(IF($B179&gt;Parámetros!$D$107,'Tablas Servicio'!EE179+('Tablas Servicio'!EG178-'Tablas Servicio'!EE178),EE179/(1-IF(B179&lt;=10,Parámetros!$D$100,0))),2))</f>
        <v>0.9</v>
      </c>
      <c r="EH179" s="66">
        <f t="shared" si="286"/>
        <v>0</v>
      </c>
      <c r="EI179" s="66">
        <f t="shared" si="286"/>
        <v>0</v>
      </c>
      <c r="EJ179" s="66">
        <f>+IF($W179="","",ROUND((EG179*Parámetros!$G$85),2))</f>
        <v>0.03</v>
      </c>
      <c r="EK179" s="66">
        <f>+IF($W179="","",ROUND((EG179*(Parámetros!$G$86)),2))</f>
        <v>0</v>
      </c>
      <c r="EL179" s="66">
        <f t="shared" si="287"/>
        <v>0.93</v>
      </c>
    </row>
    <row r="180" spans="1:142" x14ac:dyDescent="0.25">
      <c r="A180">
        <f>+IF($C180="","",ROUND(VLOOKUP('Tablas Servicio'!B180,Parámetros!$H$100:$J$159,IF(Parámetros!$E$16="F",2,3),FALSE),2))</f>
        <v>150</v>
      </c>
      <c r="B180">
        <f t="shared" si="238"/>
        <v>12</v>
      </c>
      <c r="C180" s="57">
        <f>+IF(D180="","",'Tablas Servicio'!C179+1)</f>
        <v>139</v>
      </c>
      <c r="D180" s="56">
        <f>+IF(D179&lt;edadmaxtabla,D179+1/Parámetros!$E$25,"")</f>
        <v>51.603333333333666</v>
      </c>
      <c r="E180" s="57">
        <f t="shared" si="248"/>
        <v>51</v>
      </c>
      <c r="F180" s="59">
        <f t="shared" si="249"/>
        <v>100000</v>
      </c>
      <c r="G180" s="66">
        <f t="shared" si="239"/>
        <v>37.199999999999996</v>
      </c>
      <c r="H180" s="66">
        <f t="shared" si="240"/>
        <v>38.68</v>
      </c>
      <c r="I180" s="66">
        <f t="shared" si="200"/>
        <v>55.32</v>
      </c>
      <c r="J180" s="66">
        <f t="shared" si="241"/>
        <v>1.3</v>
      </c>
      <c r="K180" s="66">
        <f t="shared" si="242"/>
        <v>0.18</v>
      </c>
      <c r="L180" s="66">
        <f t="shared" si="243"/>
        <v>0</v>
      </c>
      <c r="M180" s="66">
        <f t="shared" si="244"/>
        <v>0</v>
      </c>
      <c r="N180" s="66">
        <f>+IF(C180="","",ROUND(Parámetros!$D$23,2))</f>
        <v>94</v>
      </c>
      <c r="O180" s="66">
        <f t="shared" si="245"/>
        <v>24.7</v>
      </c>
      <c r="P180" s="66">
        <f>+IF($C180="","",ROUND(IF(B180&gt;Parámetros!$D$117,0,N180*Parámetros!$D$116-G180*Parámetros!$D$100),2))</f>
        <v>0</v>
      </c>
      <c r="Q180" s="75">
        <f t="shared" si="201"/>
        <v>3.4946236559139789E-2</v>
      </c>
      <c r="R180" s="75">
        <f t="shared" si="202"/>
        <v>4.8387096774193551E-3</v>
      </c>
      <c r="S180" s="117">
        <f>+IF($C180="","",ROUND((S179+I180)*(1+Parámetros!$D$91),2))</f>
        <v>9350.76</v>
      </c>
      <c r="T180" s="117">
        <f>+IF($C180="","",ROUND(S180*VLOOKUP(B180,Parámetros!$C$30:$D$39,2,TRUE),2))</f>
        <v>9350.76</v>
      </c>
      <c r="U180" s="117">
        <f>+IF($C180="","",ROUND((U179+I180)*(1+Parámetros!$D$92),2))</f>
        <v>9646.6</v>
      </c>
      <c r="V180" s="117">
        <f>+IF($C180="","",ROUND(U180*VLOOKUP(B180,Parámetros!$C$30:$D$39,2,TRUE),2))</f>
        <v>9646.6</v>
      </c>
      <c r="W180" s="57">
        <f t="shared" si="203"/>
        <v>139</v>
      </c>
      <c r="X180" t="str">
        <f t="shared" si="204"/>
        <v>00058</v>
      </c>
      <c r="Y180" t="str">
        <f t="shared" si="205"/>
        <v>MUERTE POR CUALQUIER CAUSA</v>
      </c>
      <c r="Z180" s="118">
        <f>+IF($W180="","",ROUND(IF(Parámetros!$D$25='TABLAS MORT'!$V$33,Z179,Parámetros!$D$21-'Tablas Servicio'!T179),0))</f>
        <v>100000</v>
      </c>
      <c r="AA180" s="118" t="str">
        <f t="shared" si="206"/>
        <v>P</v>
      </c>
      <c r="AB180" s="119">
        <f>+IF(W180="","",ROUND((VLOOKUP(ROUNDDOWN($D180-1/frec,0),qx_tabla,2,FALSE)*(1+i/frec)^-0.5*(1+Parámetros!$D$103)*(1+rec_fracc)/frec),6))</f>
        <v>2.3800000000000001E-4</v>
      </c>
      <c r="AC180" s="66">
        <f t="shared" si="250"/>
        <v>23.8</v>
      </c>
      <c r="AD180" s="119">
        <f t="shared" si="246"/>
        <v>3.6299999999999999E-4</v>
      </c>
      <c r="AE180" s="66">
        <f>+IF($W180="","",ROUND(IF($B180&gt;Parámetros!$D$107,'Tablas Servicio'!AC180+('Tablas Servicio'!AG179-'Tablas Servicio'!AC179),AC180/(1-IF(B180&lt;=10,Parámetros!$D$104,Parámetros!$D$105))),2))</f>
        <v>39.67</v>
      </c>
      <c r="AF180" s="66">
        <f>+IF($W180="","",ROUND(IF($B180&gt;Parámetros!$D$107,'Tablas Servicio'!AC180+('Tablas Servicio'!AG179-'Tablas Servicio'!AC179),(AC180+$A179/frec)/(1-IF(B180&lt;=Parámetros!$D$117,Parámetros!$D$100,0))),2))</f>
        <v>36.299999999999997</v>
      </c>
      <c r="AG180" s="66">
        <f t="shared" si="251"/>
        <v>36.299999999999997</v>
      </c>
      <c r="AH180" s="66">
        <f t="shared" si="252"/>
        <v>0</v>
      </c>
      <c r="AI180" s="66">
        <f t="shared" si="253"/>
        <v>0</v>
      </c>
      <c r="AJ180" s="66">
        <f>+IF($W180="","",ROUND((AG180*Parámetros!$G$85),2))</f>
        <v>1.27</v>
      </c>
      <c r="AK180" s="66">
        <f>+IF($W180="","",ROUND((AG180*(Parámetros!$G$86)),2))</f>
        <v>0.18</v>
      </c>
      <c r="AL180" s="66">
        <f t="shared" si="247"/>
        <v>37.75</v>
      </c>
      <c r="AM180" t="str">
        <f t="shared" si="207"/>
        <v>00059</v>
      </c>
      <c r="AN180" t="str">
        <f t="shared" si="208"/>
        <v>Incapacidad Total y Permanente</v>
      </c>
      <c r="AO180" s="118">
        <f t="shared" si="209"/>
        <v>0</v>
      </c>
      <c r="AP180" s="118" t="str">
        <f t="shared" si="210"/>
        <v>A</v>
      </c>
      <c r="AQ180" s="119" t="str">
        <f>+IF(OR($W180="",AO180=0),"",ROUND((VLOOKUP(ROUNDDOWN($D180-1/frec,0),cob_adi,Z$40,FALSE)*(1+i/frec)^-0.5*(1+Parámetros!$D$103)*(1+rec_fracc)/frec),6))</f>
        <v/>
      </c>
      <c r="AR180" s="66">
        <f t="shared" si="254"/>
        <v>0</v>
      </c>
      <c r="AS180" s="119" t="str">
        <f t="shared" si="255"/>
        <v/>
      </c>
      <c r="AT180" s="66">
        <f>+IF($W180="","",ROUND(IF($B180&gt;Parámetros!$D$107,'Tablas Servicio'!AR180+('Tablas Servicio'!AT179-'Tablas Servicio'!AR179),AR180/(1-IF(B180&lt;=10,Parámetros!$D$100,0))),2))</f>
        <v>0</v>
      </c>
      <c r="AU180" s="66">
        <f t="shared" si="256"/>
        <v>0</v>
      </c>
      <c r="AV180" s="66">
        <f t="shared" si="256"/>
        <v>0</v>
      </c>
      <c r="AW180" s="66">
        <f>+IF($W180="","",ROUND((AT180*Parámetros!$G$85),2))</f>
        <v>0</v>
      </c>
      <c r="AX180" s="66">
        <f>+IF($W180="","",ROUND((AT180*(Parámetros!$G$86)),2))</f>
        <v>0</v>
      </c>
      <c r="AY180" s="66">
        <f t="shared" si="257"/>
        <v>0</v>
      </c>
      <c r="AZ180" t="str">
        <f t="shared" si="211"/>
        <v>00060</v>
      </c>
      <c r="BA180" t="str">
        <f t="shared" si="212"/>
        <v>Muerte Accidental</v>
      </c>
      <c r="BB180" s="118">
        <f t="shared" si="213"/>
        <v>0</v>
      </c>
      <c r="BC180" s="118" t="str">
        <f t="shared" si="214"/>
        <v>A</v>
      </c>
      <c r="BD180" s="119" t="str">
        <f>+IF(OR($W180="",BB180=0),"",ROUND((VLOOKUP(ROUNDDOWN($D180-1/frec,0),cob_adi,AO$40,FALSE)*(1+i/frec)^-0.5*(1+Parámetros!$D$103)*(1+rec_fracc)/frec),6))</f>
        <v/>
      </c>
      <c r="BE180" s="66">
        <f t="shared" si="258"/>
        <v>0</v>
      </c>
      <c r="BF180" s="119" t="str">
        <f t="shared" si="259"/>
        <v/>
      </c>
      <c r="BG180" s="66">
        <f>+IF($W180="","",ROUND(IF($B180&gt;Parámetros!$D$107,'Tablas Servicio'!BE180+('Tablas Servicio'!BG179-'Tablas Servicio'!BE179),BE180/(1-IF(B180&lt;=10,Parámetros!$D$100,0))),2))</f>
        <v>0</v>
      </c>
      <c r="BH180" s="66">
        <f t="shared" si="260"/>
        <v>0</v>
      </c>
      <c r="BI180" s="66">
        <f t="shared" si="261"/>
        <v>0</v>
      </c>
      <c r="BJ180" s="66">
        <f>+IF($W180="","",ROUND((BG180*Parámetros!$G$85),2))</f>
        <v>0</v>
      </c>
      <c r="BK180" s="66">
        <f>+IF($W180="","",ROUND((BG180*(Parámetros!$G$86)),2))</f>
        <v>0</v>
      </c>
      <c r="BL180" s="66">
        <f t="shared" si="262"/>
        <v>0</v>
      </c>
      <c r="BM180" t="str">
        <f t="shared" si="215"/>
        <v>00061</v>
      </c>
      <c r="BN180" t="str">
        <f t="shared" si="216"/>
        <v>Gastos de Entierro</v>
      </c>
      <c r="BO180" s="118">
        <f t="shared" si="217"/>
        <v>0</v>
      </c>
      <c r="BP180" s="118" t="str">
        <f t="shared" si="218"/>
        <v>A</v>
      </c>
      <c r="BQ180" s="119" t="str">
        <f>+IF(OR($W180="",BO180=0),"",ROUND((VLOOKUP(ROUNDDOWN($D180-1/frec,0),cob_adi,BB$40,FALSE)*(1+i/frec)^-0.5*(1+Parámetros!$D$103)*(1+rec_fracc)/frec),6))</f>
        <v/>
      </c>
      <c r="BR180" s="66">
        <f t="shared" si="263"/>
        <v>0</v>
      </c>
      <c r="BS180" s="119" t="str">
        <f t="shared" si="264"/>
        <v/>
      </c>
      <c r="BT180" s="66">
        <f>+IF($W180="","",ROUND(IF($B180&gt;Parámetros!$D$107,'Tablas Servicio'!BR180+('Tablas Servicio'!BT179-'Tablas Servicio'!BR179),BR180/(1-IF(B180&lt;=10,Parámetros!$D$100,0))),2))</f>
        <v>0</v>
      </c>
      <c r="BU180" s="66">
        <f t="shared" si="265"/>
        <v>0</v>
      </c>
      <c r="BV180" s="66">
        <f t="shared" si="265"/>
        <v>0</v>
      </c>
      <c r="BW180" s="66">
        <f>+IF($W180="","",ROUND((BT180*Parámetros!$G$85),2))</f>
        <v>0</v>
      </c>
      <c r="BX180" s="66">
        <f>+IF($W180="","",ROUND((BT180*(Parámetros!$G$86)),2))</f>
        <v>0</v>
      </c>
      <c r="BY180" s="66">
        <f t="shared" si="266"/>
        <v>0</v>
      </c>
      <c r="BZ180" t="str">
        <f t="shared" si="219"/>
        <v>00062</v>
      </c>
      <c r="CA180" t="str">
        <f t="shared" si="220"/>
        <v>Gastos médicos por accidente</v>
      </c>
      <c r="CB180" s="118">
        <f t="shared" si="221"/>
        <v>0</v>
      </c>
      <c r="CC180" s="118" t="str">
        <f t="shared" si="222"/>
        <v>A</v>
      </c>
      <c r="CD180" s="119" t="str">
        <f t="shared" si="267"/>
        <v/>
      </c>
      <c r="CE180" s="66">
        <f>+IF($W180="","",ROUND((VLOOKUP(ROUNDDOWN($D180-1/frec,0),cob_adi,BO$40,FALSE)*(1+i/frec)^-0.5*(1+Parámetros!$D$103)*(1+rec_fracc)/frec*'TABLAS ADI'!$BC$17),2))</f>
        <v>0</v>
      </c>
      <c r="CF180" s="119" t="str">
        <f t="shared" si="268"/>
        <v/>
      </c>
      <c r="CG180" s="66">
        <f>+IF($W180="","",ROUND(IF($B180&gt;Parámetros!$D$107,'Tablas Servicio'!CE180+('Tablas Servicio'!CG179-'Tablas Servicio'!CE179),CE180/(1-IF(B180&lt;=10,Parámetros!$D$100,0))),2))</f>
        <v>0</v>
      </c>
      <c r="CH180" s="66">
        <f t="shared" si="269"/>
        <v>0</v>
      </c>
      <c r="CI180" s="66">
        <f t="shared" si="269"/>
        <v>0</v>
      </c>
      <c r="CJ180" s="66">
        <f>+IF($W180="","",ROUND((CG180*Parámetros!$G$85),2))</f>
        <v>0</v>
      </c>
      <c r="CK180" s="66">
        <f>+IF($W180="","",ROUND((CG180*(Parámetros!$G$86)),2))</f>
        <v>0</v>
      </c>
      <c r="CL180" s="66">
        <f t="shared" si="270"/>
        <v>0</v>
      </c>
      <c r="CM180" t="str">
        <f t="shared" si="223"/>
        <v>00063</v>
      </c>
      <c r="CN180" s="118" t="str">
        <f t="shared" si="224"/>
        <v>Renta Diaria por Hospitalización</v>
      </c>
      <c r="CO180" s="118">
        <f t="shared" si="225"/>
        <v>0</v>
      </c>
      <c r="CP180" s="118" t="str">
        <f t="shared" si="226"/>
        <v>A</v>
      </c>
      <c r="CQ180" s="119" t="str">
        <f t="shared" si="271"/>
        <v/>
      </c>
      <c r="CR180" s="66">
        <f>+IF($W180="","",ROUND((VLOOKUP(Parámetros!$F$51,'COBERTURAS ADICIONALES'!$S$4:$T$32,2,FALSE)*(1+i/frec)^-0.5*(1+Parámetros!$D$103)*(1+rec_fracc)/frec*$CO$42),2))</f>
        <v>0</v>
      </c>
      <c r="CS180" s="119" t="str">
        <f t="shared" si="272"/>
        <v/>
      </c>
      <c r="CT180" s="66">
        <f>+IF($W180="","",ROUND(IF($B180&gt;Parámetros!$D$107,'Tablas Servicio'!CR180+('Tablas Servicio'!CT179-'Tablas Servicio'!CR179),CR180/(1-IF(B180&lt;=10,Parámetros!$D$100,0))),2))</f>
        <v>0</v>
      </c>
      <c r="CU180" s="66">
        <f t="shared" si="273"/>
        <v>0</v>
      </c>
      <c r="CV180" s="66">
        <f t="shared" si="273"/>
        <v>0</v>
      </c>
      <c r="CW180" s="66">
        <f>+IF($W180="","",ROUND((CT180*Parámetros!$G$85),2))</f>
        <v>0</v>
      </c>
      <c r="CX180" s="66">
        <f>+IF($W180="","",ROUND((CT180*(Parámetros!$G$86)),2))</f>
        <v>0</v>
      </c>
      <c r="CY180" s="66">
        <f t="shared" si="274"/>
        <v>0</v>
      </c>
      <c r="CZ180" t="str">
        <f t="shared" si="227"/>
        <v>00064</v>
      </c>
      <c r="DA180" s="118" t="str">
        <f t="shared" si="228"/>
        <v>Enfermedades Graves</v>
      </c>
      <c r="DB180" s="118">
        <f t="shared" si="229"/>
        <v>0</v>
      </c>
      <c r="DC180" s="118" t="str">
        <f t="shared" si="230"/>
        <v>A</v>
      </c>
      <c r="DD180" s="121" t="str">
        <f>+IF(OR($W180="",DB180=0),"",ROUND((VLOOKUP(ROUNDDOWN($D180-1/frec,0),cob_adi,CO$40,FALSE)*(1+i/frec)^-0.5*(1+Parámetros!$D$103)*(1+rec_fracc)/frec),6))</f>
        <v/>
      </c>
      <c r="DE180" s="66">
        <f t="shared" si="275"/>
        <v>0</v>
      </c>
      <c r="DF180" s="119" t="str">
        <f t="shared" si="276"/>
        <v/>
      </c>
      <c r="DG180" s="66">
        <f>+IF($W180="","",ROUND(IF($B180&gt;Parámetros!$D$107,'Tablas Servicio'!DE180+('Tablas Servicio'!DG179-'Tablas Servicio'!DE179),DE180/(1-IF(B180&lt;=10,Parámetros!$D$100,0))),2))</f>
        <v>0</v>
      </c>
      <c r="DH180" s="66">
        <f t="shared" si="277"/>
        <v>0</v>
      </c>
      <c r="DI180" s="66">
        <f t="shared" si="277"/>
        <v>0</v>
      </c>
      <c r="DJ180" s="66">
        <f>+IF($W180="","",ROUND((DG180*Parámetros!$G$85),2))</f>
        <v>0</v>
      </c>
      <c r="DK180" s="66">
        <f>+IF($W180="","",ROUND((DG180*(Parámetros!$G$86)),2))</f>
        <v>0</v>
      </c>
      <c r="DL180" s="66">
        <f t="shared" si="278"/>
        <v>0</v>
      </c>
      <c r="DM180" t="str">
        <f t="shared" si="231"/>
        <v>00065</v>
      </c>
      <c r="DN180" s="118" t="str">
        <f t="shared" si="232"/>
        <v>Exención pago de primas</v>
      </c>
      <c r="DO180" s="118">
        <f t="shared" si="233"/>
        <v>0</v>
      </c>
      <c r="DP180" s="118" t="str">
        <f t="shared" si="234"/>
        <v>A</v>
      </c>
      <c r="DQ180" s="122" t="str">
        <f>+IF(OR($W180="",DO180=0),"",ROUND((VLOOKUP(ROUNDDOWN($D180-1/frec,0),cob_adi,DB$40,FALSE)*(1+i/frec)^-0.5*(1+Parámetros!$D$103)*(1+rec_fracc)/frec),6))</f>
        <v/>
      </c>
      <c r="DR180" s="66">
        <f t="shared" si="279"/>
        <v>0</v>
      </c>
      <c r="DS180" s="68" t="str">
        <f t="shared" si="280"/>
        <v/>
      </c>
      <c r="DT180" s="66">
        <f>+IF($W180="","",ROUND(IF($B180&gt;Parámetros!$D$107,'Tablas Servicio'!DR180+('Tablas Servicio'!DT179-'Tablas Servicio'!DR179),DR180/(1-IF(B180&lt;=10,Parámetros!$D$100,0))),2))</f>
        <v>0</v>
      </c>
      <c r="DU180" s="66">
        <f t="shared" si="281"/>
        <v>0</v>
      </c>
      <c r="DV180" s="66">
        <f t="shared" si="281"/>
        <v>0</v>
      </c>
      <c r="DW180" s="66">
        <f>+IF($W180="","",ROUND((DT180*Parámetros!$G$85),2))</f>
        <v>0</v>
      </c>
      <c r="DX180" s="66">
        <f>+IF($W180="","",ROUND((DT180*(Parámetros!$G$86)),2))</f>
        <v>0</v>
      </c>
      <c r="DY180" s="66">
        <f t="shared" si="282"/>
        <v>0</v>
      </c>
      <c r="DZ180" t="str">
        <f t="shared" si="283"/>
        <v>00066</v>
      </c>
      <c r="EA180" s="118" t="str">
        <f t="shared" si="283"/>
        <v>Enfermedad terminal</v>
      </c>
      <c r="EB180" s="118">
        <f>+IF($W180="","",ROUND(IF(Parámetros!$D$25='TABLAS MORT'!$V$33,EB179,Z180/2),0))</f>
        <v>50000</v>
      </c>
      <c r="EC180" s="118" t="str">
        <f t="shared" si="283"/>
        <v>A</v>
      </c>
      <c r="ED180" s="122">
        <f>+IF(OR($W180="",EB180=0),"",ROUND((VLOOKUP(ROUNDDOWN($D180-1/frec,0),cob_adi,DO$40,FALSE)*(1+i/frec)^-0.5*(1+Parámetros!$D$103)*(1+rec_fracc)/frec),6))</f>
        <v>1.8E-5</v>
      </c>
      <c r="EE180" s="66">
        <f t="shared" si="284"/>
        <v>0.9</v>
      </c>
      <c r="EF180" s="68">
        <f t="shared" si="285"/>
        <v>1.8E-5</v>
      </c>
      <c r="EG180" s="66">
        <f>+IF($W180="","",ROUND(IF($B180&gt;Parámetros!$D$107,'Tablas Servicio'!EE180+('Tablas Servicio'!EG179-'Tablas Servicio'!EE179),EE180/(1-IF(B180&lt;=10,Parámetros!$D$100,0))),2))</f>
        <v>0.9</v>
      </c>
      <c r="EH180" s="66">
        <f t="shared" si="286"/>
        <v>0</v>
      </c>
      <c r="EI180" s="66">
        <f t="shared" si="286"/>
        <v>0</v>
      </c>
      <c r="EJ180" s="66">
        <f>+IF($W180="","",ROUND((EG180*Parámetros!$G$85),2))</f>
        <v>0.03</v>
      </c>
      <c r="EK180" s="66">
        <f>+IF($W180="","",ROUND((EG180*(Parámetros!$G$86)),2))</f>
        <v>0</v>
      </c>
      <c r="EL180" s="66">
        <f t="shared" si="287"/>
        <v>0.93</v>
      </c>
    </row>
    <row r="181" spans="1:142" x14ac:dyDescent="0.25">
      <c r="A181">
        <f>+IF($C181="","",ROUND(VLOOKUP('Tablas Servicio'!B181,Parámetros!$H$100:$J$159,IF(Parámetros!$E$16="F",2,3),FALSE),2))</f>
        <v>150</v>
      </c>
      <c r="B181">
        <f t="shared" si="238"/>
        <v>12</v>
      </c>
      <c r="C181" s="57">
        <f>+IF(D181="","",'Tablas Servicio'!C180+1)</f>
        <v>140</v>
      </c>
      <c r="D181" s="56">
        <f>+IF(D180&lt;edadmaxtabla,D180+1/Parámetros!$E$25,"")</f>
        <v>51.686666666667001</v>
      </c>
      <c r="E181" s="57">
        <f t="shared" si="248"/>
        <v>51</v>
      </c>
      <c r="F181" s="59">
        <f t="shared" si="249"/>
        <v>100000</v>
      </c>
      <c r="G181" s="66">
        <f t="shared" si="239"/>
        <v>37.199999999999996</v>
      </c>
      <c r="H181" s="66">
        <f t="shared" si="240"/>
        <v>38.68</v>
      </c>
      <c r="I181" s="66">
        <f t="shared" si="200"/>
        <v>55.32</v>
      </c>
      <c r="J181" s="66">
        <f t="shared" si="241"/>
        <v>1.3</v>
      </c>
      <c r="K181" s="66">
        <f t="shared" si="242"/>
        <v>0.18</v>
      </c>
      <c r="L181" s="66">
        <f t="shared" si="243"/>
        <v>0</v>
      </c>
      <c r="M181" s="66">
        <f t="shared" si="244"/>
        <v>0</v>
      </c>
      <c r="N181" s="66">
        <f>+IF(C181="","",ROUND(Parámetros!$D$23,2))</f>
        <v>94</v>
      </c>
      <c r="O181" s="66">
        <f t="shared" si="245"/>
        <v>24.7</v>
      </c>
      <c r="P181" s="66">
        <f>+IF($C181="","",ROUND(IF(B181&gt;Parámetros!$D$117,0,N181*Parámetros!$D$116-G181*Parámetros!$D$100),2))</f>
        <v>0</v>
      </c>
      <c r="Q181" s="75">
        <f t="shared" si="201"/>
        <v>3.4946236559139789E-2</v>
      </c>
      <c r="R181" s="75">
        <f t="shared" si="202"/>
        <v>4.8387096774193551E-3</v>
      </c>
      <c r="S181" s="117">
        <f>+IF($C181="","",ROUND((S180+I181)*(1+Parámetros!$D$91),2))</f>
        <v>9432.76</v>
      </c>
      <c r="T181" s="117">
        <f>+IF($C181="","",ROUND(S181*VLOOKUP(B181,Parámetros!$C$30:$D$39,2,TRUE),2))</f>
        <v>9432.76</v>
      </c>
      <c r="U181" s="117">
        <f>+IF($C181="","",ROUND((U180+I181)*(1+Parámetros!$D$92),2))</f>
        <v>9733.3700000000008</v>
      </c>
      <c r="V181" s="117">
        <f>+IF($C181="","",ROUND(U181*VLOOKUP(B181,Parámetros!$C$30:$D$39,2,TRUE),2))</f>
        <v>9733.3700000000008</v>
      </c>
      <c r="W181" s="57">
        <f t="shared" si="203"/>
        <v>140</v>
      </c>
      <c r="X181" t="str">
        <f t="shared" si="204"/>
        <v>00058</v>
      </c>
      <c r="Y181" t="str">
        <f t="shared" si="205"/>
        <v>MUERTE POR CUALQUIER CAUSA</v>
      </c>
      <c r="Z181" s="118">
        <f>+IF($W181="","",ROUND(IF(Parámetros!$D$25='TABLAS MORT'!$V$33,Z180,Parámetros!$D$21-'Tablas Servicio'!T180),0))</f>
        <v>100000</v>
      </c>
      <c r="AA181" s="118" t="str">
        <f t="shared" si="206"/>
        <v>P</v>
      </c>
      <c r="AB181" s="119">
        <f>+IF(W181="","",ROUND((VLOOKUP(ROUNDDOWN($D181-1/frec,0),qx_tabla,2,FALSE)*(1+i/frec)^-0.5*(1+Parámetros!$D$103)*(1+rec_fracc)/frec),6))</f>
        <v>2.3800000000000001E-4</v>
      </c>
      <c r="AC181" s="66">
        <f t="shared" si="250"/>
        <v>23.8</v>
      </c>
      <c r="AD181" s="119">
        <f t="shared" si="246"/>
        <v>3.6299999999999999E-4</v>
      </c>
      <c r="AE181" s="66">
        <f>+IF($W181="","",ROUND(IF($B181&gt;Parámetros!$D$107,'Tablas Servicio'!AC181+('Tablas Servicio'!AG180-'Tablas Servicio'!AC180),AC181/(1-IF(B181&lt;=10,Parámetros!$D$104,Parámetros!$D$105))),2))</f>
        <v>39.67</v>
      </c>
      <c r="AF181" s="66">
        <f>+IF($W181="","",ROUND(IF($B181&gt;Parámetros!$D$107,'Tablas Servicio'!AC181+('Tablas Servicio'!AG180-'Tablas Servicio'!AC180),(AC181+$A180/frec)/(1-IF(B181&lt;=Parámetros!$D$117,Parámetros!$D$100,0))),2))</f>
        <v>36.299999999999997</v>
      </c>
      <c r="AG181" s="66">
        <f t="shared" si="251"/>
        <v>36.299999999999997</v>
      </c>
      <c r="AH181" s="66">
        <f t="shared" si="252"/>
        <v>0</v>
      </c>
      <c r="AI181" s="66">
        <f t="shared" si="253"/>
        <v>0</v>
      </c>
      <c r="AJ181" s="66">
        <f>+IF($W181="","",ROUND((AG181*Parámetros!$G$85),2))</f>
        <v>1.27</v>
      </c>
      <c r="AK181" s="66">
        <f>+IF($W181="","",ROUND((AG181*(Parámetros!$G$86)),2))</f>
        <v>0.18</v>
      </c>
      <c r="AL181" s="66">
        <f t="shared" si="247"/>
        <v>37.75</v>
      </c>
      <c r="AM181" t="str">
        <f t="shared" si="207"/>
        <v>00059</v>
      </c>
      <c r="AN181" t="str">
        <f t="shared" si="208"/>
        <v>Incapacidad Total y Permanente</v>
      </c>
      <c r="AO181" s="118">
        <f t="shared" si="209"/>
        <v>0</v>
      </c>
      <c r="AP181" s="118" t="str">
        <f t="shared" si="210"/>
        <v>A</v>
      </c>
      <c r="AQ181" s="119" t="str">
        <f>+IF(OR($W181="",AO181=0),"",ROUND((VLOOKUP(ROUNDDOWN($D181-1/frec,0),cob_adi,Z$40,FALSE)*(1+i/frec)^-0.5*(1+Parámetros!$D$103)*(1+rec_fracc)/frec),6))</f>
        <v/>
      </c>
      <c r="AR181" s="66">
        <f t="shared" si="254"/>
        <v>0</v>
      </c>
      <c r="AS181" s="119" t="str">
        <f t="shared" si="255"/>
        <v/>
      </c>
      <c r="AT181" s="66">
        <f>+IF($W181="","",ROUND(IF($B181&gt;Parámetros!$D$107,'Tablas Servicio'!AR181+('Tablas Servicio'!AT180-'Tablas Servicio'!AR180),AR181/(1-IF(B181&lt;=10,Parámetros!$D$100,0))),2))</f>
        <v>0</v>
      </c>
      <c r="AU181" s="66">
        <f t="shared" si="256"/>
        <v>0</v>
      </c>
      <c r="AV181" s="66">
        <f t="shared" si="256"/>
        <v>0</v>
      </c>
      <c r="AW181" s="66">
        <f>+IF($W181="","",ROUND((AT181*Parámetros!$G$85),2))</f>
        <v>0</v>
      </c>
      <c r="AX181" s="66">
        <f>+IF($W181="","",ROUND((AT181*(Parámetros!$G$86)),2))</f>
        <v>0</v>
      </c>
      <c r="AY181" s="66">
        <f t="shared" si="257"/>
        <v>0</v>
      </c>
      <c r="AZ181" t="str">
        <f t="shared" si="211"/>
        <v>00060</v>
      </c>
      <c r="BA181" t="str">
        <f t="shared" si="212"/>
        <v>Muerte Accidental</v>
      </c>
      <c r="BB181" s="118">
        <f t="shared" si="213"/>
        <v>0</v>
      </c>
      <c r="BC181" s="118" t="str">
        <f t="shared" si="214"/>
        <v>A</v>
      </c>
      <c r="BD181" s="119" t="str">
        <f>+IF(OR($W181="",BB181=0),"",ROUND((VLOOKUP(ROUNDDOWN($D181-1/frec,0),cob_adi,AO$40,FALSE)*(1+i/frec)^-0.5*(1+Parámetros!$D$103)*(1+rec_fracc)/frec),6))</f>
        <v/>
      </c>
      <c r="BE181" s="66">
        <f t="shared" si="258"/>
        <v>0</v>
      </c>
      <c r="BF181" s="119" t="str">
        <f t="shared" si="259"/>
        <v/>
      </c>
      <c r="BG181" s="66">
        <f>+IF($W181="","",ROUND(IF($B181&gt;Parámetros!$D$107,'Tablas Servicio'!BE181+('Tablas Servicio'!BG180-'Tablas Servicio'!BE180),BE181/(1-IF(B181&lt;=10,Parámetros!$D$100,0))),2))</f>
        <v>0</v>
      </c>
      <c r="BH181" s="66">
        <f t="shared" si="260"/>
        <v>0</v>
      </c>
      <c r="BI181" s="66">
        <f t="shared" si="261"/>
        <v>0</v>
      </c>
      <c r="BJ181" s="66">
        <f>+IF($W181="","",ROUND((BG181*Parámetros!$G$85),2))</f>
        <v>0</v>
      </c>
      <c r="BK181" s="66">
        <f>+IF($W181="","",ROUND((BG181*(Parámetros!$G$86)),2))</f>
        <v>0</v>
      </c>
      <c r="BL181" s="66">
        <f t="shared" si="262"/>
        <v>0</v>
      </c>
      <c r="BM181" t="str">
        <f t="shared" si="215"/>
        <v>00061</v>
      </c>
      <c r="BN181" t="str">
        <f t="shared" si="216"/>
        <v>Gastos de Entierro</v>
      </c>
      <c r="BO181" s="118">
        <f t="shared" si="217"/>
        <v>0</v>
      </c>
      <c r="BP181" s="118" t="str">
        <f t="shared" si="218"/>
        <v>A</v>
      </c>
      <c r="BQ181" s="119" t="str">
        <f>+IF(OR($W181="",BO181=0),"",ROUND((VLOOKUP(ROUNDDOWN($D181-1/frec,0),cob_adi,BB$40,FALSE)*(1+i/frec)^-0.5*(1+Parámetros!$D$103)*(1+rec_fracc)/frec),6))</f>
        <v/>
      </c>
      <c r="BR181" s="66">
        <f t="shared" si="263"/>
        <v>0</v>
      </c>
      <c r="BS181" s="119" t="str">
        <f t="shared" si="264"/>
        <v/>
      </c>
      <c r="BT181" s="66">
        <f>+IF($W181="","",ROUND(IF($B181&gt;Parámetros!$D$107,'Tablas Servicio'!BR181+('Tablas Servicio'!BT180-'Tablas Servicio'!BR180),BR181/(1-IF(B181&lt;=10,Parámetros!$D$100,0))),2))</f>
        <v>0</v>
      </c>
      <c r="BU181" s="66">
        <f t="shared" si="265"/>
        <v>0</v>
      </c>
      <c r="BV181" s="66">
        <f t="shared" si="265"/>
        <v>0</v>
      </c>
      <c r="BW181" s="66">
        <f>+IF($W181="","",ROUND((BT181*Parámetros!$G$85),2))</f>
        <v>0</v>
      </c>
      <c r="BX181" s="66">
        <f>+IF($W181="","",ROUND((BT181*(Parámetros!$G$86)),2))</f>
        <v>0</v>
      </c>
      <c r="BY181" s="66">
        <f t="shared" si="266"/>
        <v>0</v>
      </c>
      <c r="BZ181" t="str">
        <f t="shared" si="219"/>
        <v>00062</v>
      </c>
      <c r="CA181" t="str">
        <f t="shared" si="220"/>
        <v>Gastos médicos por accidente</v>
      </c>
      <c r="CB181" s="118">
        <f t="shared" si="221"/>
        <v>0</v>
      </c>
      <c r="CC181" s="118" t="str">
        <f t="shared" si="222"/>
        <v>A</v>
      </c>
      <c r="CD181" s="119" t="str">
        <f t="shared" si="267"/>
        <v/>
      </c>
      <c r="CE181" s="66">
        <f>+IF($W181="","",ROUND((VLOOKUP(ROUNDDOWN($D181-1/frec,0),cob_adi,BO$40,FALSE)*(1+i/frec)^-0.5*(1+Parámetros!$D$103)*(1+rec_fracc)/frec*'TABLAS ADI'!$BC$17),2))</f>
        <v>0</v>
      </c>
      <c r="CF181" s="119" t="str">
        <f t="shared" si="268"/>
        <v/>
      </c>
      <c r="CG181" s="66">
        <f>+IF($W181="","",ROUND(IF($B181&gt;Parámetros!$D$107,'Tablas Servicio'!CE181+('Tablas Servicio'!CG180-'Tablas Servicio'!CE180),CE181/(1-IF(B181&lt;=10,Parámetros!$D$100,0))),2))</f>
        <v>0</v>
      </c>
      <c r="CH181" s="66">
        <f t="shared" si="269"/>
        <v>0</v>
      </c>
      <c r="CI181" s="66">
        <f t="shared" si="269"/>
        <v>0</v>
      </c>
      <c r="CJ181" s="66">
        <f>+IF($W181="","",ROUND((CG181*Parámetros!$G$85),2))</f>
        <v>0</v>
      </c>
      <c r="CK181" s="66">
        <f>+IF($W181="","",ROUND((CG181*(Parámetros!$G$86)),2))</f>
        <v>0</v>
      </c>
      <c r="CL181" s="66">
        <f t="shared" si="270"/>
        <v>0</v>
      </c>
      <c r="CM181" t="str">
        <f t="shared" si="223"/>
        <v>00063</v>
      </c>
      <c r="CN181" s="118" t="str">
        <f t="shared" si="224"/>
        <v>Renta Diaria por Hospitalización</v>
      </c>
      <c r="CO181" s="118">
        <f t="shared" si="225"/>
        <v>0</v>
      </c>
      <c r="CP181" s="118" t="str">
        <f t="shared" si="226"/>
        <v>A</v>
      </c>
      <c r="CQ181" s="119" t="str">
        <f t="shared" si="271"/>
        <v/>
      </c>
      <c r="CR181" s="66">
        <f>+IF($W181="","",ROUND((VLOOKUP(Parámetros!$F$51,'COBERTURAS ADICIONALES'!$S$4:$T$32,2,FALSE)*(1+i/frec)^-0.5*(1+Parámetros!$D$103)*(1+rec_fracc)/frec*$CO$42),2))</f>
        <v>0</v>
      </c>
      <c r="CS181" s="119" t="str">
        <f t="shared" si="272"/>
        <v/>
      </c>
      <c r="CT181" s="66">
        <f>+IF($W181="","",ROUND(IF($B181&gt;Parámetros!$D$107,'Tablas Servicio'!CR181+('Tablas Servicio'!CT180-'Tablas Servicio'!CR180),CR181/(1-IF(B181&lt;=10,Parámetros!$D$100,0))),2))</f>
        <v>0</v>
      </c>
      <c r="CU181" s="66">
        <f t="shared" si="273"/>
        <v>0</v>
      </c>
      <c r="CV181" s="66">
        <f t="shared" si="273"/>
        <v>0</v>
      </c>
      <c r="CW181" s="66">
        <f>+IF($W181="","",ROUND((CT181*Parámetros!$G$85),2))</f>
        <v>0</v>
      </c>
      <c r="CX181" s="66">
        <f>+IF($W181="","",ROUND((CT181*(Parámetros!$G$86)),2))</f>
        <v>0</v>
      </c>
      <c r="CY181" s="66">
        <f t="shared" si="274"/>
        <v>0</v>
      </c>
      <c r="CZ181" t="str">
        <f t="shared" si="227"/>
        <v>00064</v>
      </c>
      <c r="DA181" s="118" t="str">
        <f t="shared" si="228"/>
        <v>Enfermedades Graves</v>
      </c>
      <c r="DB181" s="118">
        <f t="shared" si="229"/>
        <v>0</v>
      </c>
      <c r="DC181" s="118" t="str">
        <f t="shared" si="230"/>
        <v>A</v>
      </c>
      <c r="DD181" s="121" t="str">
        <f>+IF(OR($W181="",DB181=0),"",ROUND((VLOOKUP(ROUNDDOWN($D181-1/frec,0),cob_adi,CO$40,FALSE)*(1+i/frec)^-0.5*(1+Parámetros!$D$103)*(1+rec_fracc)/frec),6))</f>
        <v/>
      </c>
      <c r="DE181" s="66">
        <f t="shared" si="275"/>
        <v>0</v>
      </c>
      <c r="DF181" s="119" t="str">
        <f t="shared" si="276"/>
        <v/>
      </c>
      <c r="DG181" s="66">
        <f>+IF($W181="","",ROUND(IF($B181&gt;Parámetros!$D$107,'Tablas Servicio'!DE181+('Tablas Servicio'!DG180-'Tablas Servicio'!DE180),DE181/(1-IF(B181&lt;=10,Parámetros!$D$100,0))),2))</f>
        <v>0</v>
      </c>
      <c r="DH181" s="66">
        <f t="shared" si="277"/>
        <v>0</v>
      </c>
      <c r="DI181" s="66">
        <f t="shared" si="277"/>
        <v>0</v>
      </c>
      <c r="DJ181" s="66">
        <f>+IF($W181="","",ROUND((DG181*Parámetros!$G$85),2))</f>
        <v>0</v>
      </c>
      <c r="DK181" s="66">
        <f>+IF($W181="","",ROUND((DG181*(Parámetros!$G$86)),2))</f>
        <v>0</v>
      </c>
      <c r="DL181" s="66">
        <f t="shared" si="278"/>
        <v>0</v>
      </c>
      <c r="DM181" t="str">
        <f t="shared" si="231"/>
        <v>00065</v>
      </c>
      <c r="DN181" s="118" t="str">
        <f t="shared" si="232"/>
        <v>Exención pago de primas</v>
      </c>
      <c r="DO181" s="118">
        <f t="shared" si="233"/>
        <v>0</v>
      </c>
      <c r="DP181" s="118" t="str">
        <f t="shared" si="234"/>
        <v>A</v>
      </c>
      <c r="DQ181" s="122" t="str">
        <f>+IF(OR($W181="",DO181=0),"",ROUND((VLOOKUP(ROUNDDOWN($D181-1/frec,0),cob_adi,DB$40,FALSE)*(1+i/frec)^-0.5*(1+Parámetros!$D$103)*(1+rec_fracc)/frec),6))</f>
        <v/>
      </c>
      <c r="DR181" s="66">
        <f t="shared" si="279"/>
        <v>0</v>
      </c>
      <c r="DS181" s="68" t="str">
        <f t="shared" si="280"/>
        <v/>
      </c>
      <c r="DT181" s="66">
        <f>+IF($W181="","",ROUND(IF($B181&gt;Parámetros!$D$107,'Tablas Servicio'!DR181+('Tablas Servicio'!DT180-'Tablas Servicio'!DR180),DR181/(1-IF(B181&lt;=10,Parámetros!$D$100,0))),2))</f>
        <v>0</v>
      </c>
      <c r="DU181" s="66">
        <f t="shared" si="281"/>
        <v>0</v>
      </c>
      <c r="DV181" s="66">
        <f t="shared" si="281"/>
        <v>0</v>
      </c>
      <c r="DW181" s="66">
        <f>+IF($W181="","",ROUND((DT181*Parámetros!$G$85),2))</f>
        <v>0</v>
      </c>
      <c r="DX181" s="66">
        <f>+IF($W181="","",ROUND((DT181*(Parámetros!$G$86)),2))</f>
        <v>0</v>
      </c>
      <c r="DY181" s="66">
        <f t="shared" si="282"/>
        <v>0</v>
      </c>
      <c r="DZ181" t="str">
        <f t="shared" si="283"/>
        <v>00066</v>
      </c>
      <c r="EA181" s="118" t="str">
        <f t="shared" si="283"/>
        <v>Enfermedad terminal</v>
      </c>
      <c r="EB181" s="118">
        <f>+IF($W181="","",ROUND(IF(Parámetros!$D$25='TABLAS MORT'!$V$33,EB180,Z181/2),0))</f>
        <v>50000</v>
      </c>
      <c r="EC181" s="118" t="str">
        <f t="shared" si="283"/>
        <v>A</v>
      </c>
      <c r="ED181" s="122">
        <f>+IF(OR($W181="",EB181=0),"",ROUND((VLOOKUP(ROUNDDOWN($D181-1/frec,0),cob_adi,DO$40,FALSE)*(1+i/frec)^-0.5*(1+Parámetros!$D$103)*(1+rec_fracc)/frec),6))</f>
        <v>1.8E-5</v>
      </c>
      <c r="EE181" s="66">
        <f t="shared" si="284"/>
        <v>0.9</v>
      </c>
      <c r="EF181" s="68">
        <f t="shared" si="285"/>
        <v>1.8E-5</v>
      </c>
      <c r="EG181" s="66">
        <f>+IF($W181="","",ROUND(IF($B181&gt;Parámetros!$D$107,'Tablas Servicio'!EE181+('Tablas Servicio'!EG180-'Tablas Servicio'!EE180),EE181/(1-IF(B181&lt;=10,Parámetros!$D$100,0))),2))</f>
        <v>0.9</v>
      </c>
      <c r="EH181" s="66">
        <f t="shared" si="286"/>
        <v>0</v>
      </c>
      <c r="EI181" s="66">
        <f t="shared" si="286"/>
        <v>0</v>
      </c>
      <c r="EJ181" s="66">
        <f>+IF($W181="","",ROUND((EG181*Parámetros!$G$85),2))</f>
        <v>0.03</v>
      </c>
      <c r="EK181" s="66">
        <f>+IF($W181="","",ROUND((EG181*(Parámetros!$G$86)),2))</f>
        <v>0</v>
      </c>
      <c r="EL181" s="66">
        <f t="shared" si="287"/>
        <v>0.93</v>
      </c>
    </row>
    <row r="182" spans="1:142" x14ac:dyDescent="0.25">
      <c r="A182">
        <f>+IF($C182="","",ROUND(VLOOKUP('Tablas Servicio'!B182,Parámetros!$H$100:$J$159,IF(Parámetros!$E$16="F",2,3),FALSE),2))</f>
        <v>150</v>
      </c>
      <c r="B182">
        <f t="shared" si="238"/>
        <v>12</v>
      </c>
      <c r="C182" s="57">
        <f>+IF(D182="","",'Tablas Servicio'!C181+1)</f>
        <v>141</v>
      </c>
      <c r="D182" s="56">
        <f>+IF(D181&lt;edadmaxtabla,D181+1/Parámetros!$E$25,"")</f>
        <v>51.770000000000337</v>
      </c>
      <c r="E182" s="57">
        <f t="shared" si="248"/>
        <v>51</v>
      </c>
      <c r="F182" s="59">
        <f t="shared" si="249"/>
        <v>100000</v>
      </c>
      <c r="G182" s="66">
        <f t="shared" si="239"/>
        <v>37.199999999999996</v>
      </c>
      <c r="H182" s="66">
        <f t="shared" si="240"/>
        <v>38.68</v>
      </c>
      <c r="I182" s="66">
        <f t="shared" ref="I182:I245" si="288">+IF($C182="","",N182-H182-P182)</f>
        <v>55.32</v>
      </c>
      <c r="J182" s="66">
        <f t="shared" si="241"/>
        <v>1.3</v>
      </c>
      <c r="K182" s="66">
        <f t="shared" si="242"/>
        <v>0.18</v>
      </c>
      <c r="L182" s="66">
        <f t="shared" si="243"/>
        <v>0</v>
      </c>
      <c r="M182" s="66">
        <f t="shared" si="244"/>
        <v>0</v>
      </c>
      <c r="N182" s="66">
        <f>+IF(C182="","",ROUND(Parámetros!$D$23,2))</f>
        <v>94</v>
      </c>
      <c r="O182" s="66">
        <f t="shared" si="245"/>
        <v>24.7</v>
      </c>
      <c r="P182" s="66">
        <f>+IF($C182="","",ROUND(IF(B182&gt;Parámetros!$D$117,0,N182*Parámetros!$D$116-G182*Parámetros!$D$100),2))</f>
        <v>0</v>
      </c>
      <c r="Q182" s="75">
        <f t="shared" ref="Q182:Q245" si="289">+IF($C182="","",J182/$G182)</f>
        <v>3.4946236559139789E-2</v>
      </c>
      <c r="R182" s="75">
        <f t="shared" ref="R182:R245" si="290">+IF($C182="","",K182/$G182)</f>
        <v>4.8387096774193551E-3</v>
      </c>
      <c r="S182" s="117">
        <f>+IF($C182="","",ROUND((S181+I182)*(1+Parámetros!$D$91),2))</f>
        <v>9514.99</v>
      </c>
      <c r="T182" s="117">
        <f>+IF($C182="","",ROUND(S182*VLOOKUP(B182,Parámetros!$C$30:$D$39,2,TRUE),2))</f>
        <v>9514.99</v>
      </c>
      <c r="U182" s="117">
        <f>+IF($C182="","",ROUND((U181+I182)*(1+Parámetros!$D$92),2))</f>
        <v>9820.42</v>
      </c>
      <c r="V182" s="117">
        <f>+IF($C182="","",ROUND(U182*VLOOKUP(B182,Parámetros!$C$30:$D$39,2,TRUE),2))</f>
        <v>9820.42</v>
      </c>
      <c r="W182" s="57">
        <f t="shared" ref="W182:W245" si="291">+C182</f>
        <v>141</v>
      </c>
      <c r="X182" t="str">
        <f t="shared" ref="X182:X245" si="292">+IF($W182="","",X181)</f>
        <v>00058</v>
      </c>
      <c r="Y182" t="str">
        <f t="shared" ref="Y182:Y245" si="293">+IF($W182="","",Y181)</f>
        <v>MUERTE POR CUALQUIER CAUSA</v>
      </c>
      <c r="Z182" s="118">
        <f>+IF($W182="","",ROUND(IF(Parámetros!$D$25='TABLAS MORT'!$V$33,Z181,Parámetros!$D$21-'Tablas Servicio'!T181),0))</f>
        <v>100000</v>
      </c>
      <c r="AA182" s="118" t="str">
        <f t="shared" ref="AA182:AA245" si="294">+IF($W182="","",AA181)</f>
        <v>P</v>
      </c>
      <c r="AB182" s="119">
        <f>+IF(W182="","",ROUND((VLOOKUP(ROUNDDOWN($D182-1/frec,0),qx_tabla,2,FALSE)*(1+i/frec)^-0.5*(1+Parámetros!$D$103)*(1+rec_fracc)/frec),6))</f>
        <v>2.3800000000000001E-4</v>
      </c>
      <c r="AC182" s="66">
        <f t="shared" si="250"/>
        <v>23.8</v>
      </c>
      <c r="AD182" s="119">
        <f t="shared" si="246"/>
        <v>3.6299999999999999E-4</v>
      </c>
      <c r="AE182" s="66">
        <f>+IF($W182="","",ROUND(IF($B182&gt;Parámetros!$D$107,'Tablas Servicio'!AC182+('Tablas Servicio'!AG181-'Tablas Servicio'!AC181),AC182/(1-IF(B182&lt;=10,Parámetros!$D$104,Parámetros!$D$105))),2))</f>
        <v>39.67</v>
      </c>
      <c r="AF182" s="66">
        <f>+IF($W182="","",ROUND(IF($B182&gt;Parámetros!$D$107,'Tablas Servicio'!AC182+('Tablas Servicio'!AG181-'Tablas Servicio'!AC181),(AC182+$A181/frec)/(1-IF(B182&lt;=Parámetros!$D$117,Parámetros!$D$100,0))),2))</f>
        <v>36.299999999999997</v>
      </c>
      <c r="AG182" s="66">
        <f t="shared" si="251"/>
        <v>36.299999999999997</v>
      </c>
      <c r="AH182" s="66">
        <f t="shared" si="252"/>
        <v>0</v>
      </c>
      <c r="AI182" s="66">
        <f t="shared" si="253"/>
        <v>0</v>
      </c>
      <c r="AJ182" s="66">
        <f>+IF($W182="","",ROUND((AG182*Parámetros!$G$85),2))</f>
        <v>1.27</v>
      </c>
      <c r="AK182" s="66">
        <f>+IF($W182="","",ROUND((AG182*(Parámetros!$G$86)),2))</f>
        <v>0.18</v>
      </c>
      <c r="AL182" s="66">
        <f t="shared" si="247"/>
        <v>37.75</v>
      </c>
      <c r="AM182" t="str">
        <f t="shared" ref="AM182:AM245" si="295">+IF($W182="","",AM181)</f>
        <v>00059</v>
      </c>
      <c r="AN182" t="str">
        <f t="shared" ref="AN182:AN245" si="296">+IF($W182="","",AN181)</f>
        <v>Incapacidad Total y Permanente</v>
      </c>
      <c r="AO182" s="118">
        <f t="shared" ref="AO182:AO245" si="297">+IF($W182="","",AO181)</f>
        <v>0</v>
      </c>
      <c r="AP182" s="118" t="str">
        <f t="shared" ref="AP182:AP245" si="298">+IF($W182="","",AP181)</f>
        <v>A</v>
      </c>
      <c r="AQ182" s="119" t="str">
        <f>+IF(OR($W182="",AO182=0),"",ROUND((VLOOKUP(ROUNDDOWN($D182-1/frec,0),cob_adi,Z$40,FALSE)*(1+i/frec)^-0.5*(1+Parámetros!$D$103)*(1+rec_fracc)/frec),6))</f>
        <v/>
      </c>
      <c r="AR182" s="66">
        <f t="shared" si="254"/>
        <v>0</v>
      </c>
      <c r="AS182" s="119" t="str">
        <f t="shared" si="255"/>
        <v/>
      </c>
      <c r="AT182" s="66">
        <f>+IF($W182="","",ROUND(IF($B182&gt;Parámetros!$D$107,'Tablas Servicio'!AR182+('Tablas Servicio'!AT181-'Tablas Servicio'!AR181),AR182/(1-IF(B182&lt;=10,Parámetros!$D$100,0))),2))</f>
        <v>0</v>
      </c>
      <c r="AU182" s="66">
        <f t="shared" si="256"/>
        <v>0</v>
      </c>
      <c r="AV182" s="66">
        <f t="shared" si="256"/>
        <v>0</v>
      </c>
      <c r="AW182" s="66">
        <f>+IF($W182="","",ROUND((AT182*Parámetros!$G$85),2))</f>
        <v>0</v>
      </c>
      <c r="AX182" s="66">
        <f>+IF($W182="","",ROUND((AT182*(Parámetros!$G$86)),2))</f>
        <v>0</v>
      </c>
      <c r="AY182" s="66">
        <f t="shared" si="257"/>
        <v>0</v>
      </c>
      <c r="AZ182" t="str">
        <f t="shared" ref="AZ182:AZ245" si="299">+IF($W182="","",AZ181)</f>
        <v>00060</v>
      </c>
      <c r="BA182" t="str">
        <f t="shared" ref="BA182:BA245" si="300">+IF($W182="","",BA181)</f>
        <v>Muerte Accidental</v>
      </c>
      <c r="BB182" s="118">
        <f t="shared" ref="BB182:BB245" si="301">+IF($W182="","",BB181)</f>
        <v>0</v>
      </c>
      <c r="BC182" s="118" t="str">
        <f t="shared" ref="BC182:BC245" si="302">+IF($W182="","",BC181)</f>
        <v>A</v>
      </c>
      <c r="BD182" s="119" t="str">
        <f>+IF(OR($W182="",BB182=0),"",ROUND((VLOOKUP(ROUNDDOWN($D182-1/frec,0),cob_adi,AO$40,FALSE)*(1+i/frec)^-0.5*(1+Parámetros!$D$103)*(1+rec_fracc)/frec),6))</f>
        <v/>
      </c>
      <c r="BE182" s="66">
        <f t="shared" si="258"/>
        <v>0</v>
      </c>
      <c r="BF182" s="119" t="str">
        <f t="shared" si="259"/>
        <v/>
      </c>
      <c r="BG182" s="66">
        <f>+IF($W182="","",ROUND(IF($B182&gt;Parámetros!$D$107,'Tablas Servicio'!BE182+('Tablas Servicio'!BG181-'Tablas Servicio'!BE181),BE182/(1-IF(B182&lt;=10,Parámetros!$D$100,0))),2))</f>
        <v>0</v>
      </c>
      <c r="BH182" s="66">
        <f t="shared" si="260"/>
        <v>0</v>
      </c>
      <c r="BI182" s="66">
        <f t="shared" si="261"/>
        <v>0</v>
      </c>
      <c r="BJ182" s="66">
        <f>+IF($W182="","",ROUND((BG182*Parámetros!$G$85),2))</f>
        <v>0</v>
      </c>
      <c r="BK182" s="66">
        <f>+IF($W182="","",ROUND((BG182*(Parámetros!$G$86)),2))</f>
        <v>0</v>
      </c>
      <c r="BL182" s="66">
        <f t="shared" si="262"/>
        <v>0</v>
      </c>
      <c r="BM182" t="str">
        <f t="shared" ref="BM182:BM245" si="303">+IF($W182="","",BM181)</f>
        <v>00061</v>
      </c>
      <c r="BN182" t="str">
        <f t="shared" ref="BN182:BN245" si="304">+IF($W182="","",BN181)</f>
        <v>Gastos de Entierro</v>
      </c>
      <c r="BO182" s="118">
        <f t="shared" ref="BO182:BO245" si="305">+IF($W182="","",BO181)</f>
        <v>0</v>
      </c>
      <c r="BP182" s="118" t="str">
        <f t="shared" ref="BP182:BP245" si="306">+IF($W182="","",BP181)</f>
        <v>A</v>
      </c>
      <c r="BQ182" s="119" t="str">
        <f>+IF(OR($W182="",BO182=0),"",ROUND((VLOOKUP(ROUNDDOWN($D182-1/frec,0),cob_adi,BB$40,FALSE)*(1+i/frec)^-0.5*(1+Parámetros!$D$103)*(1+rec_fracc)/frec),6))</f>
        <v/>
      </c>
      <c r="BR182" s="66">
        <f t="shared" si="263"/>
        <v>0</v>
      </c>
      <c r="BS182" s="119" t="str">
        <f t="shared" si="264"/>
        <v/>
      </c>
      <c r="BT182" s="66">
        <f>+IF($W182="","",ROUND(IF($B182&gt;Parámetros!$D$107,'Tablas Servicio'!BR182+('Tablas Servicio'!BT181-'Tablas Servicio'!BR181),BR182/(1-IF(B182&lt;=10,Parámetros!$D$100,0))),2))</f>
        <v>0</v>
      </c>
      <c r="BU182" s="66">
        <f t="shared" si="265"/>
        <v>0</v>
      </c>
      <c r="BV182" s="66">
        <f t="shared" si="265"/>
        <v>0</v>
      </c>
      <c r="BW182" s="66">
        <f>+IF($W182="","",ROUND((BT182*Parámetros!$G$85),2))</f>
        <v>0</v>
      </c>
      <c r="BX182" s="66">
        <f>+IF($W182="","",ROUND((BT182*(Parámetros!$G$86)),2))</f>
        <v>0</v>
      </c>
      <c r="BY182" s="66">
        <f t="shared" si="266"/>
        <v>0</v>
      </c>
      <c r="BZ182" t="str">
        <f t="shared" ref="BZ182:BZ245" si="307">+IF($W182="","",BZ181)</f>
        <v>00062</v>
      </c>
      <c r="CA182" t="str">
        <f t="shared" ref="CA182:CA245" si="308">+IF($W182="","",CA181)</f>
        <v>Gastos médicos por accidente</v>
      </c>
      <c r="CB182" s="118">
        <f t="shared" ref="CB182:CB245" si="309">+IF($W182="","",CB181)</f>
        <v>0</v>
      </c>
      <c r="CC182" s="118" t="str">
        <f t="shared" ref="CC182:CC245" si="310">+IF($W182="","",CC181)</f>
        <v>A</v>
      </c>
      <c r="CD182" s="119" t="str">
        <f t="shared" si="267"/>
        <v/>
      </c>
      <c r="CE182" s="66">
        <f>+IF($W182="","",ROUND((VLOOKUP(ROUNDDOWN($D182-1/frec,0),cob_adi,BO$40,FALSE)*(1+i/frec)^-0.5*(1+Parámetros!$D$103)*(1+rec_fracc)/frec*'TABLAS ADI'!$BC$17),2))</f>
        <v>0</v>
      </c>
      <c r="CF182" s="119" t="str">
        <f t="shared" si="268"/>
        <v/>
      </c>
      <c r="CG182" s="66">
        <f>+IF($W182="","",ROUND(IF($B182&gt;Parámetros!$D$107,'Tablas Servicio'!CE182+('Tablas Servicio'!CG181-'Tablas Servicio'!CE181),CE182/(1-IF(B182&lt;=10,Parámetros!$D$100,0))),2))</f>
        <v>0</v>
      </c>
      <c r="CH182" s="66">
        <f t="shared" si="269"/>
        <v>0</v>
      </c>
      <c r="CI182" s="66">
        <f t="shared" si="269"/>
        <v>0</v>
      </c>
      <c r="CJ182" s="66">
        <f>+IF($W182="","",ROUND((CG182*Parámetros!$G$85),2))</f>
        <v>0</v>
      </c>
      <c r="CK182" s="66">
        <f>+IF($W182="","",ROUND((CG182*(Parámetros!$G$86)),2))</f>
        <v>0</v>
      </c>
      <c r="CL182" s="66">
        <f t="shared" si="270"/>
        <v>0</v>
      </c>
      <c r="CM182" t="str">
        <f t="shared" ref="CM182:CM245" si="311">+IF($W182="","",CM181)</f>
        <v>00063</v>
      </c>
      <c r="CN182" s="118" t="str">
        <f t="shared" ref="CN182:CN245" si="312">+IF($W182="","",CN181)</f>
        <v>Renta Diaria por Hospitalización</v>
      </c>
      <c r="CO182" s="118">
        <f t="shared" ref="CO182:CO245" si="313">+IF($W182="","",CO181)</f>
        <v>0</v>
      </c>
      <c r="CP182" s="118" t="str">
        <f t="shared" ref="CP182:CP245" si="314">+IF($W182="","",CP181)</f>
        <v>A</v>
      </c>
      <c r="CQ182" s="119" t="str">
        <f t="shared" si="271"/>
        <v/>
      </c>
      <c r="CR182" s="66">
        <f>+IF($W182="","",ROUND((VLOOKUP(Parámetros!$F$51,'COBERTURAS ADICIONALES'!$S$4:$T$32,2,FALSE)*(1+i/frec)^-0.5*(1+Parámetros!$D$103)*(1+rec_fracc)/frec*$CO$42),2))</f>
        <v>0</v>
      </c>
      <c r="CS182" s="119" t="str">
        <f t="shared" si="272"/>
        <v/>
      </c>
      <c r="CT182" s="66">
        <f>+IF($W182="","",ROUND(IF($B182&gt;Parámetros!$D$107,'Tablas Servicio'!CR182+('Tablas Servicio'!CT181-'Tablas Servicio'!CR181),CR182/(1-IF(B182&lt;=10,Parámetros!$D$100,0))),2))</f>
        <v>0</v>
      </c>
      <c r="CU182" s="66">
        <f t="shared" si="273"/>
        <v>0</v>
      </c>
      <c r="CV182" s="66">
        <f t="shared" si="273"/>
        <v>0</v>
      </c>
      <c r="CW182" s="66">
        <f>+IF($W182="","",ROUND((CT182*Parámetros!$G$85),2))</f>
        <v>0</v>
      </c>
      <c r="CX182" s="66">
        <f>+IF($W182="","",ROUND((CT182*(Parámetros!$G$86)),2))</f>
        <v>0</v>
      </c>
      <c r="CY182" s="66">
        <f t="shared" si="274"/>
        <v>0</v>
      </c>
      <c r="CZ182" t="str">
        <f t="shared" ref="CZ182:CZ245" si="315">+IF($W182="","",CZ181)</f>
        <v>00064</v>
      </c>
      <c r="DA182" s="118" t="str">
        <f t="shared" ref="DA182:DA245" si="316">+IF($W182="","",DA181)</f>
        <v>Enfermedades Graves</v>
      </c>
      <c r="DB182" s="118">
        <f t="shared" ref="DB182:DB245" si="317">+IF($W182="","",DB181)</f>
        <v>0</v>
      </c>
      <c r="DC182" s="118" t="str">
        <f t="shared" ref="DC182:DC245" si="318">+IF($W182="","",DC181)</f>
        <v>A</v>
      </c>
      <c r="DD182" s="121" t="str">
        <f>+IF(OR($W182="",DB182=0),"",ROUND((VLOOKUP(ROUNDDOWN($D182-1/frec,0),cob_adi,CO$40,FALSE)*(1+i/frec)^-0.5*(1+Parámetros!$D$103)*(1+rec_fracc)/frec),6))</f>
        <v/>
      </c>
      <c r="DE182" s="66">
        <f t="shared" si="275"/>
        <v>0</v>
      </c>
      <c r="DF182" s="119" t="str">
        <f t="shared" si="276"/>
        <v/>
      </c>
      <c r="DG182" s="66">
        <f>+IF($W182="","",ROUND(IF($B182&gt;Parámetros!$D$107,'Tablas Servicio'!DE182+('Tablas Servicio'!DG181-'Tablas Servicio'!DE181),DE182/(1-IF(B182&lt;=10,Parámetros!$D$100,0))),2))</f>
        <v>0</v>
      </c>
      <c r="DH182" s="66">
        <f t="shared" si="277"/>
        <v>0</v>
      </c>
      <c r="DI182" s="66">
        <f t="shared" si="277"/>
        <v>0</v>
      </c>
      <c r="DJ182" s="66">
        <f>+IF($W182="","",ROUND((DG182*Parámetros!$G$85),2))</f>
        <v>0</v>
      </c>
      <c r="DK182" s="66">
        <f>+IF($W182="","",ROUND((DG182*(Parámetros!$G$86)),2))</f>
        <v>0</v>
      </c>
      <c r="DL182" s="66">
        <f t="shared" si="278"/>
        <v>0</v>
      </c>
      <c r="DM182" t="str">
        <f t="shared" ref="DM182:DM245" si="319">+IF($W182="","",DM181)</f>
        <v>00065</v>
      </c>
      <c r="DN182" s="118" t="str">
        <f t="shared" ref="DN182:DN245" si="320">+IF($W182="","",DN181)</f>
        <v>Exención pago de primas</v>
      </c>
      <c r="DO182" s="118">
        <f t="shared" ref="DO182:DO245" si="321">+IF($W182="","",DO181)</f>
        <v>0</v>
      </c>
      <c r="DP182" s="118" t="str">
        <f t="shared" ref="DP182:DP245" si="322">+IF($W182="","",DP181)</f>
        <v>A</v>
      </c>
      <c r="DQ182" s="122" t="str">
        <f>+IF(OR($W182="",DO182=0),"",ROUND((VLOOKUP(ROUNDDOWN($D182-1/frec,0),cob_adi,DB$40,FALSE)*(1+i/frec)^-0.5*(1+Parámetros!$D$103)*(1+rec_fracc)/frec),6))</f>
        <v/>
      </c>
      <c r="DR182" s="66">
        <f t="shared" si="279"/>
        <v>0</v>
      </c>
      <c r="DS182" s="68" t="str">
        <f t="shared" si="280"/>
        <v/>
      </c>
      <c r="DT182" s="66">
        <f>+IF($W182="","",ROUND(IF($B182&gt;Parámetros!$D$107,'Tablas Servicio'!DR182+('Tablas Servicio'!DT181-'Tablas Servicio'!DR181),DR182/(1-IF(B182&lt;=10,Parámetros!$D$100,0))),2))</f>
        <v>0</v>
      </c>
      <c r="DU182" s="66">
        <f t="shared" si="281"/>
        <v>0</v>
      </c>
      <c r="DV182" s="66">
        <f t="shared" si="281"/>
        <v>0</v>
      </c>
      <c r="DW182" s="66">
        <f>+IF($W182="","",ROUND((DT182*Parámetros!$G$85),2))</f>
        <v>0</v>
      </c>
      <c r="DX182" s="66">
        <f>+IF($W182="","",ROUND((DT182*(Parámetros!$G$86)),2))</f>
        <v>0</v>
      </c>
      <c r="DY182" s="66">
        <f t="shared" si="282"/>
        <v>0</v>
      </c>
      <c r="DZ182" t="str">
        <f t="shared" si="283"/>
        <v>00066</v>
      </c>
      <c r="EA182" s="118" t="str">
        <f t="shared" si="283"/>
        <v>Enfermedad terminal</v>
      </c>
      <c r="EB182" s="118">
        <f>+IF($W182="","",ROUND(IF(Parámetros!$D$25='TABLAS MORT'!$V$33,EB181,Z182/2),0))</f>
        <v>50000</v>
      </c>
      <c r="EC182" s="118" t="str">
        <f t="shared" si="283"/>
        <v>A</v>
      </c>
      <c r="ED182" s="122">
        <f>+IF(OR($W182="",EB182=0),"",ROUND((VLOOKUP(ROUNDDOWN($D182-1/frec,0),cob_adi,DO$40,FALSE)*(1+i/frec)^-0.5*(1+Parámetros!$D$103)*(1+rec_fracc)/frec),6))</f>
        <v>1.8E-5</v>
      </c>
      <c r="EE182" s="66">
        <f t="shared" si="284"/>
        <v>0.9</v>
      </c>
      <c r="EF182" s="68">
        <f t="shared" si="285"/>
        <v>1.8E-5</v>
      </c>
      <c r="EG182" s="66">
        <f>+IF($W182="","",ROUND(IF($B182&gt;Parámetros!$D$107,'Tablas Servicio'!EE182+('Tablas Servicio'!EG181-'Tablas Servicio'!EE181),EE182/(1-IF(B182&lt;=10,Parámetros!$D$100,0))),2))</f>
        <v>0.9</v>
      </c>
      <c r="EH182" s="66">
        <f t="shared" si="286"/>
        <v>0</v>
      </c>
      <c r="EI182" s="66">
        <f t="shared" si="286"/>
        <v>0</v>
      </c>
      <c r="EJ182" s="66">
        <f>+IF($W182="","",ROUND((EG182*Parámetros!$G$85),2))</f>
        <v>0.03</v>
      </c>
      <c r="EK182" s="66">
        <f>+IF($W182="","",ROUND((EG182*(Parámetros!$G$86)),2))</f>
        <v>0</v>
      </c>
      <c r="EL182" s="66">
        <f t="shared" si="287"/>
        <v>0.93</v>
      </c>
    </row>
    <row r="183" spans="1:142" x14ac:dyDescent="0.25">
      <c r="A183">
        <f>+IF($C183="","",ROUND(VLOOKUP('Tablas Servicio'!B183,Parámetros!$H$100:$J$159,IF(Parámetros!$E$16="F",2,3),FALSE),2))</f>
        <v>150</v>
      </c>
      <c r="B183">
        <f t="shared" si="238"/>
        <v>12</v>
      </c>
      <c r="C183" s="57">
        <f>+IF(D183="","",'Tablas Servicio'!C182+1)</f>
        <v>142</v>
      </c>
      <c r="D183" s="56">
        <f>+IF(D182&lt;edadmaxtabla,D182+1/Parámetros!$E$25,"")</f>
        <v>51.853333333333673</v>
      </c>
      <c r="E183" s="57">
        <f t="shared" si="248"/>
        <v>51</v>
      </c>
      <c r="F183" s="59">
        <f t="shared" si="249"/>
        <v>100000</v>
      </c>
      <c r="G183" s="66">
        <f t="shared" si="239"/>
        <v>37.199999999999996</v>
      </c>
      <c r="H183" s="66">
        <f t="shared" si="240"/>
        <v>38.68</v>
      </c>
      <c r="I183" s="66">
        <f t="shared" si="288"/>
        <v>55.32</v>
      </c>
      <c r="J183" s="66">
        <f t="shared" si="241"/>
        <v>1.3</v>
      </c>
      <c r="K183" s="66">
        <f t="shared" si="242"/>
        <v>0.18</v>
      </c>
      <c r="L183" s="66">
        <f t="shared" si="243"/>
        <v>0</v>
      </c>
      <c r="M183" s="66">
        <f t="shared" si="244"/>
        <v>0</v>
      </c>
      <c r="N183" s="66">
        <f>+IF(C183="","",ROUND(Parámetros!$D$23,2))</f>
        <v>94</v>
      </c>
      <c r="O183" s="66">
        <f t="shared" si="245"/>
        <v>24.7</v>
      </c>
      <c r="P183" s="66">
        <f>+IF($C183="","",ROUND(IF(B183&gt;Parámetros!$D$117,0,N183*Parámetros!$D$116-G183*Parámetros!$D$100),2))</f>
        <v>0</v>
      </c>
      <c r="Q183" s="75">
        <f t="shared" si="289"/>
        <v>3.4946236559139789E-2</v>
      </c>
      <c r="R183" s="75">
        <f t="shared" si="290"/>
        <v>4.8387096774193551E-3</v>
      </c>
      <c r="S183" s="117">
        <f>+IF($C183="","",ROUND((S182+I183)*(1+Parámetros!$D$91),2))</f>
        <v>9597.4599999999991</v>
      </c>
      <c r="T183" s="117">
        <f>+IF($C183="","",ROUND(S183*VLOOKUP(B183,Parámetros!$C$30:$D$39,2,TRUE),2))</f>
        <v>9597.4599999999991</v>
      </c>
      <c r="U183" s="117">
        <f>+IF($C183="","",ROUND((U182+I183)*(1+Parámetros!$D$92),2))</f>
        <v>9907.75</v>
      </c>
      <c r="V183" s="117">
        <f>+IF($C183="","",ROUND(U183*VLOOKUP(B183,Parámetros!$C$30:$D$39,2,TRUE),2))</f>
        <v>9907.75</v>
      </c>
      <c r="W183" s="57">
        <f t="shared" si="291"/>
        <v>142</v>
      </c>
      <c r="X183" t="str">
        <f t="shared" si="292"/>
        <v>00058</v>
      </c>
      <c r="Y183" t="str">
        <f t="shared" si="293"/>
        <v>MUERTE POR CUALQUIER CAUSA</v>
      </c>
      <c r="Z183" s="118">
        <f>+IF($W183="","",ROUND(IF(Parámetros!$D$25='TABLAS MORT'!$V$33,Z182,Parámetros!$D$21-'Tablas Servicio'!T182),0))</f>
        <v>100000</v>
      </c>
      <c r="AA183" s="118" t="str">
        <f t="shared" si="294"/>
        <v>P</v>
      </c>
      <c r="AB183" s="119">
        <f>+IF(W183="","",ROUND((VLOOKUP(ROUNDDOWN($D183-1/frec,0),qx_tabla,2,FALSE)*(1+i/frec)^-0.5*(1+Parámetros!$D$103)*(1+rec_fracc)/frec),6))</f>
        <v>2.3800000000000001E-4</v>
      </c>
      <c r="AC183" s="66">
        <f t="shared" si="250"/>
        <v>23.8</v>
      </c>
      <c r="AD183" s="119">
        <f t="shared" si="246"/>
        <v>3.6299999999999999E-4</v>
      </c>
      <c r="AE183" s="66">
        <f>+IF($W183="","",ROUND(IF($B183&gt;Parámetros!$D$107,'Tablas Servicio'!AC183+('Tablas Servicio'!AG182-'Tablas Servicio'!AC182),AC183/(1-IF(B183&lt;=10,Parámetros!$D$104,Parámetros!$D$105))),2))</f>
        <v>39.67</v>
      </c>
      <c r="AF183" s="66">
        <f>+IF($W183="","",ROUND(IF($B183&gt;Parámetros!$D$107,'Tablas Servicio'!AC183+('Tablas Servicio'!AG182-'Tablas Servicio'!AC182),(AC183+$A182/frec)/(1-IF(B183&lt;=Parámetros!$D$117,Parámetros!$D$100,0))),2))</f>
        <v>36.299999999999997</v>
      </c>
      <c r="AG183" s="66">
        <f t="shared" si="251"/>
        <v>36.299999999999997</v>
      </c>
      <c r="AH183" s="66">
        <f t="shared" si="252"/>
        <v>0</v>
      </c>
      <c r="AI183" s="66">
        <f t="shared" si="253"/>
        <v>0</v>
      </c>
      <c r="AJ183" s="66">
        <f>+IF($W183="","",ROUND((AG183*Parámetros!$G$85),2))</f>
        <v>1.27</v>
      </c>
      <c r="AK183" s="66">
        <f>+IF($W183="","",ROUND((AG183*(Parámetros!$G$86)),2))</f>
        <v>0.18</v>
      </c>
      <c r="AL183" s="66">
        <f t="shared" si="247"/>
        <v>37.75</v>
      </c>
      <c r="AM183" t="str">
        <f t="shared" si="295"/>
        <v>00059</v>
      </c>
      <c r="AN183" t="str">
        <f t="shared" si="296"/>
        <v>Incapacidad Total y Permanente</v>
      </c>
      <c r="AO183" s="118">
        <f t="shared" si="297"/>
        <v>0</v>
      </c>
      <c r="AP183" s="118" t="str">
        <f t="shared" si="298"/>
        <v>A</v>
      </c>
      <c r="AQ183" s="119" t="str">
        <f>+IF(OR($W183="",AO183=0),"",ROUND((VLOOKUP(ROUNDDOWN($D183-1/frec,0),cob_adi,Z$40,FALSE)*(1+i/frec)^-0.5*(1+Parámetros!$D$103)*(1+rec_fracc)/frec),6))</f>
        <v/>
      </c>
      <c r="AR183" s="66">
        <f t="shared" si="254"/>
        <v>0</v>
      </c>
      <c r="AS183" s="119" t="str">
        <f t="shared" si="255"/>
        <v/>
      </c>
      <c r="AT183" s="66">
        <f>+IF($W183="","",ROUND(IF($B183&gt;Parámetros!$D$107,'Tablas Servicio'!AR183+('Tablas Servicio'!AT182-'Tablas Servicio'!AR182),AR183/(1-IF(B183&lt;=10,Parámetros!$D$100,0))),2))</f>
        <v>0</v>
      </c>
      <c r="AU183" s="66">
        <f t="shared" si="256"/>
        <v>0</v>
      </c>
      <c r="AV183" s="66">
        <f t="shared" si="256"/>
        <v>0</v>
      </c>
      <c r="AW183" s="66">
        <f>+IF($W183="","",ROUND((AT183*Parámetros!$G$85),2))</f>
        <v>0</v>
      </c>
      <c r="AX183" s="66">
        <f>+IF($W183="","",ROUND((AT183*(Parámetros!$G$86)),2))</f>
        <v>0</v>
      </c>
      <c r="AY183" s="66">
        <f t="shared" si="257"/>
        <v>0</v>
      </c>
      <c r="AZ183" t="str">
        <f t="shared" si="299"/>
        <v>00060</v>
      </c>
      <c r="BA183" t="str">
        <f t="shared" si="300"/>
        <v>Muerte Accidental</v>
      </c>
      <c r="BB183" s="118">
        <f t="shared" si="301"/>
        <v>0</v>
      </c>
      <c r="BC183" s="118" t="str">
        <f t="shared" si="302"/>
        <v>A</v>
      </c>
      <c r="BD183" s="119" t="str">
        <f>+IF(OR($W183="",BB183=0),"",ROUND((VLOOKUP(ROUNDDOWN($D183-1/frec,0),cob_adi,AO$40,FALSE)*(1+i/frec)^-0.5*(1+Parámetros!$D$103)*(1+rec_fracc)/frec),6))</f>
        <v/>
      </c>
      <c r="BE183" s="66">
        <f t="shared" si="258"/>
        <v>0</v>
      </c>
      <c r="BF183" s="119" t="str">
        <f t="shared" si="259"/>
        <v/>
      </c>
      <c r="BG183" s="66">
        <f>+IF($W183="","",ROUND(IF($B183&gt;Parámetros!$D$107,'Tablas Servicio'!BE183+('Tablas Servicio'!BG182-'Tablas Servicio'!BE182),BE183/(1-IF(B183&lt;=10,Parámetros!$D$100,0))),2))</f>
        <v>0</v>
      </c>
      <c r="BH183" s="66">
        <f t="shared" si="260"/>
        <v>0</v>
      </c>
      <c r="BI183" s="66">
        <f t="shared" si="261"/>
        <v>0</v>
      </c>
      <c r="BJ183" s="66">
        <f>+IF($W183="","",ROUND((BG183*Parámetros!$G$85),2))</f>
        <v>0</v>
      </c>
      <c r="BK183" s="66">
        <f>+IF($W183="","",ROUND((BG183*(Parámetros!$G$86)),2))</f>
        <v>0</v>
      </c>
      <c r="BL183" s="66">
        <f t="shared" si="262"/>
        <v>0</v>
      </c>
      <c r="BM183" t="str">
        <f t="shared" si="303"/>
        <v>00061</v>
      </c>
      <c r="BN183" t="str">
        <f t="shared" si="304"/>
        <v>Gastos de Entierro</v>
      </c>
      <c r="BO183" s="118">
        <f t="shared" si="305"/>
        <v>0</v>
      </c>
      <c r="BP183" s="118" t="str">
        <f t="shared" si="306"/>
        <v>A</v>
      </c>
      <c r="BQ183" s="119" t="str">
        <f>+IF(OR($W183="",BO183=0),"",ROUND((VLOOKUP(ROUNDDOWN($D183-1/frec,0),cob_adi,BB$40,FALSE)*(1+i/frec)^-0.5*(1+Parámetros!$D$103)*(1+rec_fracc)/frec),6))</f>
        <v/>
      </c>
      <c r="BR183" s="66">
        <f t="shared" si="263"/>
        <v>0</v>
      </c>
      <c r="BS183" s="119" t="str">
        <f t="shared" si="264"/>
        <v/>
      </c>
      <c r="BT183" s="66">
        <f>+IF($W183="","",ROUND(IF($B183&gt;Parámetros!$D$107,'Tablas Servicio'!BR183+('Tablas Servicio'!BT182-'Tablas Servicio'!BR182),BR183/(1-IF(B183&lt;=10,Parámetros!$D$100,0))),2))</f>
        <v>0</v>
      </c>
      <c r="BU183" s="66">
        <f t="shared" si="265"/>
        <v>0</v>
      </c>
      <c r="BV183" s="66">
        <f t="shared" si="265"/>
        <v>0</v>
      </c>
      <c r="BW183" s="66">
        <f>+IF($W183="","",ROUND((BT183*Parámetros!$G$85),2))</f>
        <v>0</v>
      </c>
      <c r="BX183" s="66">
        <f>+IF($W183="","",ROUND((BT183*(Parámetros!$G$86)),2))</f>
        <v>0</v>
      </c>
      <c r="BY183" s="66">
        <f t="shared" si="266"/>
        <v>0</v>
      </c>
      <c r="BZ183" t="str">
        <f t="shared" si="307"/>
        <v>00062</v>
      </c>
      <c r="CA183" t="str">
        <f t="shared" si="308"/>
        <v>Gastos médicos por accidente</v>
      </c>
      <c r="CB183" s="118">
        <f t="shared" si="309"/>
        <v>0</v>
      </c>
      <c r="CC183" s="118" t="str">
        <f t="shared" si="310"/>
        <v>A</v>
      </c>
      <c r="CD183" s="119" t="str">
        <f t="shared" si="267"/>
        <v/>
      </c>
      <c r="CE183" s="66">
        <f>+IF($W183="","",ROUND((VLOOKUP(ROUNDDOWN($D183-1/frec,0),cob_adi,BO$40,FALSE)*(1+i/frec)^-0.5*(1+Parámetros!$D$103)*(1+rec_fracc)/frec*'TABLAS ADI'!$BC$17),2))</f>
        <v>0</v>
      </c>
      <c r="CF183" s="119" t="str">
        <f t="shared" si="268"/>
        <v/>
      </c>
      <c r="CG183" s="66">
        <f>+IF($W183="","",ROUND(IF($B183&gt;Parámetros!$D$107,'Tablas Servicio'!CE183+('Tablas Servicio'!CG182-'Tablas Servicio'!CE182),CE183/(1-IF(B183&lt;=10,Parámetros!$D$100,0))),2))</f>
        <v>0</v>
      </c>
      <c r="CH183" s="66">
        <f t="shared" si="269"/>
        <v>0</v>
      </c>
      <c r="CI183" s="66">
        <f t="shared" si="269"/>
        <v>0</v>
      </c>
      <c r="CJ183" s="66">
        <f>+IF($W183="","",ROUND((CG183*Parámetros!$G$85),2))</f>
        <v>0</v>
      </c>
      <c r="CK183" s="66">
        <f>+IF($W183="","",ROUND((CG183*(Parámetros!$G$86)),2))</f>
        <v>0</v>
      </c>
      <c r="CL183" s="66">
        <f t="shared" si="270"/>
        <v>0</v>
      </c>
      <c r="CM183" t="str">
        <f t="shared" si="311"/>
        <v>00063</v>
      </c>
      <c r="CN183" s="118" t="str">
        <f t="shared" si="312"/>
        <v>Renta Diaria por Hospitalización</v>
      </c>
      <c r="CO183" s="118">
        <f t="shared" si="313"/>
        <v>0</v>
      </c>
      <c r="CP183" s="118" t="str">
        <f t="shared" si="314"/>
        <v>A</v>
      </c>
      <c r="CQ183" s="119" t="str">
        <f t="shared" si="271"/>
        <v/>
      </c>
      <c r="CR183" s="66">
        <f>+IF($W183="","",ROUND((VLOOKUP(Parámetros!$F$51,'COBERTURAS ADICIONALES'!$S$4:$T$32,2,FALSE)*(1+i/frec)^-0.5*(1+Parámetros!$D$103)*(1+rec_fracc)/frec*$CO$42),2))</f>
        <v>0</v>
      </c>
      <c r="CS183" s="119" t="str">
        <f t="shared" si="272"/>
        <v/>
      </c>
      <c r="CT183" s="66">
        <f>+IF($W183="","",ROUND(IF($B183&gt;Parámetros!$D$107,'Tablas Servicio'!CR183+('Tablas Servicio'!CT182-'Tablas Servicio'!CR182),CR183/(1-IF(B183&lt;=10,Parámetros!$D$100,0))),2))</f>
        <v>0</v>
      </c>
      <c r="CU183" s="66">
        <f t="shared" si="273"/>
        <v>0</v>
      </c>
      <c r="CV183" s="66">
        <f t="shared" si="273"/>
        <v>0</v>
      </c>
      <c r="CW183" s="66">
        <f>+IF($W183="","",ROUND((CT183*Parámetros!$G$85),2))</f>
        <v>0</v>
      </c>
      <c r="CX183" s="66">
        <f>+IF($W183="","",ROUND((CT183*(Parámetros!$G$86)),2))</f>
        <v>0</v>
      </c>
      <c r="CY183" s="66">
        <f t="shared" si="274"/>
        <v>0</v>
      </c>
      <c r="CZ183" t="str">
        <f t="shared" si="315"/>
        <v>00064</v>
      </c>
      <c r="DA183" s="118" t="str">
        <f t="shared" si="316"/>
        <v>Enfermedades Graves</v>
      </c>
      <c r="DB183" s="118">
        <f t="shared" si="317"/>
        <v>0</v>
      </c>
      <c r="DC183" s="118" t="str">
        <f t="shared" si="318"/>
        <v>A</v>
      </c>
      <c r="DD183" s="121" t="str">
        <f>+IF(OR($W183="",DB183=0),"",ROUND((VLOOKUP(ROUNDDOWN($D183-1/frec,0),cob_adi,CO$40,FALSE)*(1+i/frec)^-0.5*(1+Parámetros!$D$103)*(1+rec_fracc)/frec),6))</f>
        <v/>
      </c>
      <c r="DE183" s="66">
        <f t="shared" si="275"/>
        <v>0</v>
      </c>
      <c r="DF183" s="119" t="str">
        <f t="shared" si="276"/>
        <v/>
      </c>
      <c r="DG183" s="66">
        <f>+IF($W183="","",ROUND(IF($B183&gt;Parámetros!$D$107,'Tablas Servicio'!DE183+('Tablas Servicio'!DG182-'Tablas Servicio'!DE182),DE183/(1-IF(B183&lt;=10,Parámetros!$D$100,0))),2))</f>
        <v>0</v>
      </c>
      <c r="DH183" s="66">
        <f t="shared" si="277"/>
        <v>0</v>
      </c>
      <c r="DI183" s="66">
        <f t="shared" si="277"/>
        <v>0</v>
      </c>
      <c r="DJ183" s="66">
        <f>+IF($W183="","",ROUND((DG183*Parámetros!$G$85),2))</f>
        <v>0</v>
      </c>
      <c r="DK183" s="66">
        <f>+IF($W183="","",ROUND((DG183*(Parámetros!$G$86)),2))</f>
        <v>0</v>
      </c>
      <c r="DL183" s="66">
        <f t="shared" si="278"/>
        <v>0</v>
      </c>
      <c r="DM183" t="str">
        <f t="shared" si="319"/>
        <v>00065</v>
      </c>
      <c r="DN183" s="118" t="str">
        <f t="shared" si="320"/>
        <v>Exención pago de primas</v>
      </c>
      <c r="DO183" s="118">
        <f t="shared" si="321"/>
        <v>0</v>
      </c>
      <c r="DP183" s="118" t="str">
        <f t="shared" si="322"/>
        <v>A</v>
      </c>
      <c r="DQ183" s="122" t="str">
        <f>+IF(OR($W183="",DO183=0),"",ROUND((VLOOKUP(ROUNDDOWN($D183-1/frec,0),cob_adi,DB$40,FALSE)*(1+i/frec)^-0.5*(1+Parámetros!$D$103)*(1+rec_fracc)/frec),6))</f>
        <v/>
      </c>
      <c r="DR183" s="66">
        <f t="shared" si="279"/>
        <v>0</v>
      </c>
      <c r="DS183" s="68" t="str">
        <f t="shared" si="280"/>
        <v/>
      </c>
      <c r="DT183" s="66">
        <f>+IF($W183="","",ROUND(IF($B183&gt;Parámetros!$D$107,'Tablas Servicio'!DR183+('Tablas Servicio'!DT182-'Tablas Servicio'!DR182),DR183/(1-IF(B183&lt;=10,Parámetros!$D$100,0))),2))</f>
        <v>0</v>
      </c>
      <c r="DU183" s="66">
        <f t="shared" si="281"/>
        <v>0</v>
      </c>
      <c r="DV183" s="66">
        <f t="shared" si="281"/>
        <v>0</v>
      </c>
      <c r="DW183" s="66">
        <f>+IF($W183="","",ROUND((DT183*Parámetros!$G$85),2))</f>
        <v>0</v>
      </c>
      <c r="DX183" s="66">
        <f>+IF($W183="","",ROUND((DT183*(Parámetros!$G$86)),2))</f>
        <v>0</v>
      </c>
      <c r="DY183" s="66">
        <f t="shared" si="282"/>
        <v>0</v>
      </c>
      <c r="DZ183" t="str">
        <f t="shared" si="283"/>
        <v>00066</v>
      </c>
      <c r="EA183" s="118" t="str">
        <f t="shared" si="283"/>
        <v>Enfermedad terminal</v>
      </c>
      <c r="EB183" s="118">
        <f>+IF($W183="","",ROUND(IF(Parámetros!$D$25='TABLAS MORT'!$V$33,EB182,Z183/2),0))</f>
        <v>50000</v>
      </c>
      <c r="EC183" s="118" t="str">
        <f t="shared" si="283"/>
        <v>A</v>
      </c>
      <c r="ED183" s="122">
        <f>+IF(OR($W183="",EB183=0),"",ROUND((VLOOKUP(ROUNDDOWN($D183-1/frec,0),cob_adi,DO$40,FALSE)*(1+i/frec)^-0.5*(1+Parámetros!$D$103)*(1+rec_fracc)/frec),6))</f>
        <v>1.8E-5</v>
      </c>
      <c r="EE183" s="66">
        <f t="shared" si="284"/>
        <v>0.9</v>
      </c>
      <c r="EF183" s="68">
        <f t="shared" si="285"/>
        <v>1.8E-5</v>
      </c>
      <c r="EG183" s="66">
        <f>+IF($W183="","",ROUND(IF($B183&gt;Parámetros!$D$107,'Tablas Servicio'!EE183+('Tablas Servicio'!EG182-'Tablas Servicio'!EE182),EE183/(1-IF(B183&lt;=10,Parámetros!$D$100,0))),2))</f>
        <v>0.9</v>
      </c>
      <c r="EH183" s="66">
        <f t="shared" si="286"/>
        <v>0</v>
      </c>
      <c r="EI183" s="66">
        <f t="shared" si="286"/>
        <v>0</v>
      </c>
      <c r="EJ183" s="66">
        <f>+IF($W183="","",ROUND((EG183*Parámetros!$G$85),2))</f>
        <v>0.03</v>
      </c>
      <c r="EK183" s="66">
        <f>+IF($W183="","",ROUND((EG183*(Parámetros!$G$86)),2))</f>
        <v>0</v>
      </c>
      <c r="EL183" s="66">
        <f t="shared" si="287"/>
        <v>0.93</v>
      </c>
    </row>
    <row r="184" spans="1:142" x14ac:dyDescent="0.25">
      <c r="A184">
        <f>+IF($C184="","",ROUND(VLOOKUP('Tablas Servicio'!B184,Parámetros!$H$100:$J$159,IF(Parámetros!$E$16="F",2,3),FALSE),2))</f>
        <v>150</v>
      </c>
      <c r="B184">
        <f t="shared" si="238"/>
        <v>12</v>
      </c>
      <c r="C184" s="57">
        <f>+IF(D184="","",'Tablas Servicio'!C183+1)</f>
        <v>143</v>
      </c>
      <c r="D184" s="56">
        <f>+IF(D183&lt;edadmaxtabla,D183+1/Parámetros!$E$25,"")</f>
        <v>51.936666666667008</v>
      </c>
      <c r="E184" s="57">
        <f t="shared" si="248"/>
        <v>51</v>
      </c>
      <c r="F184" s="59">
        <f t="shared" si="249"/>
        <v>100000</v>
      </c>
      <c r="G184" s="66">
        <f t="shared" si="239"/>
        <v>37.199999999999996</v>
      </c>
      <c r="H184" s="66">
        <f t="shared" si="240"/>
        <v>38.68</v>
      </c>
      <c r="I184" s="66">
        <f t="shared" si="288"/>
        <v>55.32</v>
      </c>
      <c r="J184" s="66">
        <f t="shared" si="241"/>
        <v>1.3</v>
      </c>
      <c r="K184" s="66">
        <f t="shared" si="242"/>
        <v>0.18</v>
      </c>
      <c r="L184" s="66">
        <f t="shared" si="243"/>
        <v>0</v>
      </c>
      <c r="M184" s="66">
        <f t="shared" si="244"/>
        <v>0</v>
      </c>
      <c r="N184" s="66">
        <f>+IF(C184="","",ROUND(Parámetros!$D$23,2))</f>
        <v>94</v>
      </c>
      <c r="O184" s="66">
        <f t="shared" si="245"/>
        <v>24.7</v>
      </c>
      <c r="P184" s="66">
        <f>+IF($C184="","",ROUND(IF(B184&gt;Parámetros!$D$117,0,N184*Parámetros!$D$116-G184*Parámetros!$D$100),2))</f>
        <v>0</v>
      </c>
      <c r="Q184" s="75">
        <f t="shared" si="289"/>
        <v>3.4946236559139789E-2</v>
      </c>
      <c r="R184" s="75">
        <f t="shared" si="290"/>
        <v>4.8387096774193551E-3</v>
      </c>
      <c r="S184" s="117">
        <f>+IF($C184="","",ROUND((S183+I184)*(1+Parámetros!$D$91),2))</f>
        <v>9680.16</v>
      </c>
      <c r="T184" s="117">
        <f>+IF($C184="","",ROUND(S184*VLOOKUP(B184,Parámetros!$C$30:$D$39,2,TRUE),2))</f>
        <v>9680.16</v>
      </c>
      <c r="U184" s="117">
        <f>+IF($C184="","",ROUND((U183+I184)*(1+Parámetros!$D$92),2))</f>
        <v>9995.3700000000008</v>
      </c>
      <c r="V184" s="117">
        <f>+IF($C184="","",ROUND(U184*VLOOKUP(B184,Parámetros!$C$30:$D$39,2,TRUE),2))</f>
        <v>9995.3700000000008</v>
      </c>
      <c r="W184" s="57">
        <f t="shared" si="291"/>
        <v>143</v>
      </c>
      <c r="X184" t="str">
        <f t="shared" si="292"/>
        <v>00058</v>
      </c>
      <c r="Y184" t="str">
        <f t="shared" si="293"/>
        <v>MUERTE POR CUALQUIER CAUSA</v>
      </c>
      <c r="Z184" s="118">
        <f>+IF($W184="","",ROUND(IF(Parámetros!$D$25='TABLAS MORT'!$V$33,Z183,Parámetros!$D$21-'Tablas Servicio'!T183),0))</f>
        <v>100000</v>
      </c>
      <c r="AA184" s="118" t="str">
        <f t="shared" si="294"/>
        <v>P</v>
      </c>
      <c r="AB184" s="119">
        <f>+IF(W184="","",ROUND((VLOOKUP(ROUNDDOWN($D184-1/frec,0),qx_tabla,2,FALSE)*(1+i/frec)^-0.5*(1+Parámetros!$D$103)*(1+rec_fracc)/frec),6))</f>
        <v>2.3800000000000001E-4</v>
      </c>
      <c r="AC184" s="66">
        <f t="shared" si="250"/>
        <v>23.8</v>
      </c>
      <c r="AD184" s="119">
        <f t="shared" si="246"/>
        <v>3.6299999999999999E-4</v>
      </c>
      <c r="AE184" s="66">
        <f>+IF($W184="","",ROUND(IF($B184&gt;Parámetros!$D$107,'Tablas Servicio'!AC184+('Tablas Servicio'!AG183-'Tablas Servicio'!AC183),AC184/(1-IF(B184&lt;=10,Parámetros!$D$104,Parámetros!$D$105))),2))</f>
        <v>39.67</v>
      </c>
      <c r="AF184" s="66">
        <f>+IF($W184="","",ROUND(IF($B184&gt;Parámetros!$D$107,'Tablas Servicio'!AC184+('Tablas Servicio'!AG183-'Tablas Servicio'!AC183),(AC184+$A183/frec)/(1-IF(B184&lt;=Parámetros!$D$117,Parámetros!$D$100,0))),2))</f>
        <v>36.299999999999997</v>
      </c>
      <c r="AG184" s="66">
        <f t="shared" si="251"/>
        <v>36.299999999999997</v>
      </c>
      <c r="AH184" s="66">
        <f t="shared" si="252"/>
        <v>0</v>
      </c>
      <c r="AI184" s="66">
        <f t="shared" si="253"/>
        <v>0</v>
      </c>
      <c r="AJ184" s="66">
        <f>+IF($W184="","",ROUND((AG184*Parámetros!$G$85),2))</f>
        <v>1.27</v>
      </c>
      <c r="AK184" s="66">
        <f>+IF($W184="","",ROUND((AG184*(Parámetros!$G$86)),2))</f>
        <v>0.18</v>
      </c>
      <c r="AL184" s="66">
        <f t="shared" si="247"/>
        <v>37.75</v>
      </c>
      <c r="AM184" t="str">
        <f t="shared" si="295"/>
        <v>00059</v>
      </c>
      <c r="AN184" t="str">
        <f t="shared" si="296"/>
        <v>Incapacidad Total y Permanente</v>
      </c>
      <c r="AO184" s="118">
        <f t="shared" si="297"/>
        <v>0</v>
      </c>
      <c r="AP184" s="118" t="str">
        <f t="shared" si="298"/>
        <v>A</v>
      </c>
      <c r="AQ184" s="119" t="str">
        <f>+IF(OR($W184="",AO184=0),"",ROUND((VLOOKUP(ROUNDDOWN($D184-1/frec,0),cob_adi,Z$40,FALSE)*(1+i/frec)^-0.5*(1+Parámetros!$D$103)*(1+rec_fracc)/frec),6))</f>
        <v/>
      </c>
      <c r="AR184" s="66">
        <f t="shared" si="254"/>
        <v>0</v>
      </c>
      <c r="AS184" s="119" t="str">
        <f t="shared" si="255"/>
        <v/>
      </c>
      <c r="AT184" s="66">
        <f>+IF($W184="","",ROUND(IF($B184&gt;Parámetros!$D$107,'Tablas Servicio'!AR184+('Tablas Servicio'!AT183-'Tablas Servicio'!AR183),AR184/(1-IF(B184&lt;=10,Parámetros!$D$100,0))),2))</f>
        <v>0</v>
      </c>
      <c r="AU184" s="66">
        <f t="shared" si="256"/>
        <v>0</v>
      </c>
      <c r="AV184" s="66">
        <f t="shared" si="256"/>
        <v>0</v>
      </c>
      <c r="AW184" s="66">
        <f>+IF($W184="","",ROUND((AT184*Parámetros!$G$85),2))</f>
        <v>0</v>
      </c>
      <c r="AX184" s="66">
        <f>+IF($W184="","",ROUND((AT184*(Parámetros!$G$86)),2))</f>
        <v>0</v>
      </c>
      <c r="AY184" s="66">
        <f t="shared" si="257"/>
        <v>0</v>
      </c>
      <c r="AZ184" t="str">
        <f t="shared" si="299"/>
        <v>00060</v>
      </c>
      <c r="BA184" t="str">
        <f t="shared" si="300"/>
        <v>Muerte Accidental</v>
      </c>
      <c r="BB184" s="118">
        <f t="shared" si="301"/>
        <v>0</v>
      </c>
      <c r="BC184" s="118" t="str">
        <f t="shared" si="302"/>
        <v>A</v>
      </c>
      <c r="BD184" s="119" t="str">
        <f>+IF(OR($W184="",BB184=0),"",ROUND((VLOOKUP(ROUNDDOWN($D184-1/frec,0),cob_adi,AO$40,FALSE)*(1+i/frec)^-0.5*(1+Parámetros!$D$103)*(1+rec_fracc)/frec),6))</f>
        <v/>
      </c>
      <c r="BE184" s="66">
        <f t="shared" si="258"/>
        <v>0</v>
      </c>
      <c r="BF184" s="119" t="str">
        <f t="shared" si="259"/>
        <v/>
      </c>
      <c r="BG184" s="66">
        <f>+IF($W184="","",ROUND(IF($B184&gt;Parámetros!$D$107,'Tablas Servicio'!BE184+('Tablas Servicio'!BG183-'Tablas Servicio'!BE183),BE184/(1-IF(B184&lt;=10,Parámetros!$D$100,0))),2))</f>
        <v>0</v>
      </c>
      <c r="BH184" s="66">
        <f t="shared" si="260"/>
        <v>0</v>
      </c>
      <c r="BI184" s="66">
        <f t="shared" si="261"/>
        <v>0</v>
      </c>
      <c r="BJ184" s="66">
        <f>+IF($W184="","",ROUND((BG184*Parámetros!$G$85),2))</f>
        <v>0</v>
      </c>
      <c r="BK184" s="66">
        <f>+IF($W184="","",ROUND((BG184*(Parámetros!$G$86)),2))</f>
        <v>0</v>
      </c>
      <c r="BL184" s="66">
        <f t="shared" si="262"/>
        <v>0</v>
      </c>
      <c r="BM184" t="str">
        <f t="shared" si="303"/>
        <v>00061</v>
      </c>
      <c r="BN184" t="str">
        <f t="shared" si="304"/>
        <v>Gastos de Entierro</v>
      </c>
      <c r="BO184" s="118">
        <f t="shared" si="305"/>
        <v>0</v>
      </c>
      <c r="BP184" s="118" t="str">
        <f t="shared" si="306"/>
        <v>A</v>
      </c>
      <c r="BQ184" s="119" t="str">
        <f>+IF(OR($W184="",BO184=0),"",ROUND((VLOOKUP(ROUNDDOWN($D184-1/frec,0),cob_adi,BB$40,FALSE)*(1+i/frec)^-0.5*(1+Parámetros!$D$103)*(1+rec_fracc)/frec),6))</f>
        <v/>
      </c>
      <c r="BR184" s="66">
        <f t="shared" si="263"/>
        <v>0</v>
      </c>
      <c r="BS184" s="119" t="str">
        <f t="shared" si="264"/>
        <v/>
      </c>
      <c r="BT184" s="66">
        <f>+IF($W184="","",ROUND(IF($B184&gt;Parámetros!$D$107,'Tablas Servicio'!BR184+('Tablas Servicio'!BT183-'Tablas Servicio'!BR183),BR184/(1-IF(B184&lt;=10,Parámetros!$D$100,0))),2))</f>
        <v>0</v>
      </c>
      <c r="BU184" s="66">
        <f t="shared" si="265"/>
        <v>0</v>
      </c>
      <c r="BV184" s="66">
        <f t="shared" si="265"/>
        <v>0</v>
      </c>
      <c r="BW184" s="66">
        <f>+IF($W184="","",ROUND((BT184*Parámetros!$G$85),2))</f>
        <v>0</v>
      </c>
      <c r="BX184" s="66">
        <f>+IF($W184="","",ROUND((BT184*(Parámetros!$G$86)),2))</f>
        <v>0</v>
      </c>
      <c r="BY184" s="66">
        <f t="shared" si="266"/>
        <v>0</v>
      </c>
      <c r="BZ184" t="str">
        <f t="shared" si="307"/>
        <v>00062</v>
      </c>
      <c r="CA184" t="str">
        <f t="shared" si="308"/>
        <v>Gastos médicos por accidente</v>
      </c>
      <c r="CB184" s="118">
        <f t="shared" si="309"/>
        <v>0</v>
      </c>
      <c r="CC184" s="118" t="str">
        <f t="shared" si="310"/>
        <v>A</v>
      </c>
      <c r="CD184" s="119" t="str">
        <f t="shared" si="267"/>
        <v/>
      </c>
      <c r="CE184" s="66">
        <f>+IF($W184="","",ROUND((VLOOKUP(ROUNDDOWN($D184-1/frec,0),cob_adi,BO$40,FALSE)*(1+i/frec)^-0.5*(1+Parámetros!$D$103)*(1+rec_fracc)/frec*'TABLAS ADI'!$BC$17),2))</f>
        <v>0</v>
      </c>
      <c r="CF184" s="119" t="str">
        <f t="shared" si="268"/>
        <v/>
      </c>
      <c r="CG184" s="66">
        <f>+IF($W184="","",ROUND(IF($B184&gt;Parámetros!$D$107,'Tablas Servicio'!CE184+('Tablas Servicio'!CG183-'Tablas Servicio'!CE183),CE184/(1-IF(B184&lt;=10,Parámetros!$D$100,0))),2))</f>
        <v>0</v>
      </c>
      <c r="CH184" s="66">
        <f t="shared" si="269"/>
        <v>0</v>
      </c>
      <c r="CI184" s="66">
        <f t="shared" si="269"/>
        <v>0</v>
      </c>
      <c r="CJ184" s="66">
        <f>+IF($W184="","",ROUND((CG184*Parámetros!$G$85),2))</f>
        <v>0</v>
      </c>
      <c r="CK184" s="66">
        <f>+IF($W184="","",ROUND((CG184*(Parámetros!$G$86)),2))</f>
        <v>0</v>
      </c>
      <c r="CL184" s="66">
        <f t="shared" si="270"/>
        <v>0</v>
      </c>
      <c r="CM184" t="str">
        <f t="shared" si="311"/>
        <v>00063</v>
      </c>
      <c r="CN184" s="118" t="str">
        <f t="shared" si="312"/>
        <v>Renta Diaria por Hospitalización</v>
      </c>
      <c r="CO184" s="118">
        <f t="shared" si="313"/>
        <v>0</v>
      </c>
      <c r="CP184" s="118" t="str">
        <f t="shared" si="314"/>
        <v>A</v>
      </c>
      <c r="CQ184" s="119" t="str">
        <f t="shared" si="271"/>
        <v/>
      </c>
      <c r="CR184" s="66">
        <f>+IF($W184="","",ROUND((VLOOKUP(Parámetros!$F$51,'COBERTURAS ADICIONALES'!$S$4:$T$32,2,FALSE)*(1+i/frec)^-0.5*(1+Parámetros!$D$103)*(1+rec_fracc)/frec*$CO$42),2))</f>
        <v>0</v>
      </c>
      <c r="CS184" s="119" t="str">
        <f t="shared" si="272"/>
        <v/>
      </c>
      <c r="CT184" s="66">
        <f>+IF($W184="","",ROUND(IF($B184&gt;Parámetros!$D$107,'Tablas Servicio'!CR184+('Tablas Servicio'!CT183-'Tablas Servicio'!CR183),CR184/(1-IF(B184&lt;=10,Parámetros!$D$100,0))),2))</f>
        <v>0</v>
      </c>
      <c r="CU184" s="66">
        <f t="shared" si="273"/>
        <v>0</v>
      </c>
      <c r="CV184" s="66">
        <f t="shared" si="273"/>
        <v>0</v>
      </c>
      <c r="CW184" s="66">
        <f>+IF($W184="","",ROUND((CT184*Parámetros!$G$85),2))</f>
        <v>0</v>
      </c>
      <c r="CX184" s="66">
        <f>+IF($W184="","",ROUND((CT184*(Parámetros!$G$86)),2))</f>
        <v>0</v>
      </c>
      <c r="CY184" s="66">
        <f t="shared" si="274"/>
        <v>0</v>
      </c>
      <c r="CZ184" t="str">
        <f t="shared" si="315"/>
        <v>00064</v>
      </c>
      <c r="DA184" s="118" t="str">
        <f t="shared" si="316"/>
        <v>Enfermedades Graves</v>
      </c>
      <c r="DB184" s="118">
        <f t="shared" si="317"/>
        <v>0</v>
      </c>
      <c r="DC184" s="118" t="str">
        <f t="shared" si="318"/>
        <v>A</v>
      </c>
      <c r="DD184" s="121" t="str">
        <f>+IF(OR($W184="",DB184=0),"",ROUND((VLOOKUP(ROUNDDOWN($D184-1/frec,0),cob_adi,CO$40,FALSE)*(1+i/frec)^-0.5*(1+Parámetros!$D$103)*(1+rec_fracc)/frec),6))</f>
        <v/>
      </c>
      <c r="DE184" s="66">
        <f t="shared" si="275"/>
        <v>0</v>
      </c>
      <c r="DF184" s="119" t="str">
        <f t="shared" si="276"/>
        <v/>
      </c>
      <c r="DG184" s="66">
        <f>+IF($W184="","",ROUND(IF($B184&gt;Parámetros!$D$107,'Tablas Servicio'!DE184+('Tablas Servicio'!DG183-'Tablas Servicio'!DE183),DE184/(1-IF(B184&lt;=10,Parámetros!$D$100,0))),2))</f>
        <v>0</v>
      </c>
      <c r="DH184" s="66">
        <f t="shared" si="277"/>
        <v>0</v>
      </c>
      <c r="DI184" s="66">
        <f t="shared" si="277"/>
        <v>0</v>
      </c>
      <c r="DJ184" s="66">
        <f>+IF($W184="","",ROUND((DG184*Parámetros!$G$85),2))</f>
        <v>0</v>
      </c>
      <c r="DK184" s="66">
        <f>+IF($W184="","",ROUND((DG184*(Parámetros!$G$86)),2))</f>
        <v>0</v>
      </c>
      <c r="DL184" s="66">
        <f t="shared" si="278"/>
        <v>0</v>
      </c>
      <c r="DM184" t="str">
        <f t="shared" si="319"/>
        <v>00065</v>
      </c>
      <c r="DN184" s="118" t="str">
        <f t="shared" si="320"/>
        <v>Exención pago de primas</v>
      </c>
      <c r="DO184" s="118">
        <f t="shared" si="321"/>
        <v>0</v>
      </c>
      <c r="DP184" s="118" t="str">
        <f t="shared" si="322"/>
        <v>A</v>
      </c>
      <c r="DQ184" s="122" t="str">
        <f>+IF(OR($W184="",DO184=0),"",ROUND((VLOOKUP(ROUNDDOWN($D184-1/frec,0),cob_adi,DB$40,FALSE)*(1+i/frec)^-0.5*(1+Parámetros!$D$103)*(1+rec_fracc)/frec),6))</f>
        <v/>
      </c>
      <c r="DR184" s="66">
        <f t="shared" si="279"/>
        <v>0</v>
      </c>
      <c r="DS184" s="68" t="str">
        <f t="shared" si="280"/>
        <v/>
      </c>
      <c r="DT184" s="66">
        <f>+IF($W184="","",ROUND(IF($B184&gt;Parámetros!$D$107,'Tablas Servicio'!DR184+('Tablas Servicio'!DT183-'Tablas Servicio'!DR183),DR184/(1-IF(B184&lt;=10,Parámetros!$D$100,0))),2))</f>
        <v>0</v>
      </c>
      <c r="DU184" s="66">
        <f t="shared" si="281"/>
        <v>0</v>
      </c>
      <c r="DV184" s="66">
        <f t="shared" si="281"/>
        <v>0</v>
      </c>
      <c r="DW184" s="66">
        <f>+IF($W184="","",ROUND((DT184*Parámetros!$G$85),2))</f>
        <v>0</v>
      </c>
      <c r="DX184" s="66">
        <f>+IF($W184="","",ROUND((DT184*(Parámetros!$G$86)),2))</f>
        <v>0</v>
      </c>
      <c r="DY184" s="66">
        <f t="shared" si="282"/>
        <v>0</v>
      </c>
      <c r="DZ184" t="str">
        <f t="shared" si="283"/>
        <v>00066</v>
      </c>
      <c r="EA184" s="118" t="str">
        <f t="shared" si="283"/>
        <v>Enfermedad terminal</v>
      </c>
      <c r="EB184" s="118">
        <f>+IF($W184="","",ROUND(IF(Parámetros!$D$25='TABLAS MORT'!$V$33,EB183,Z184/2),0))</f>
        <v>50000</v>
      </c>
      <c r="EC184" s="118" t="str">
        <f t="shared" si="283"/>
        <v>A</v>
      </c>
      <c r="ED184" s="122">
        <f>+IF(OR($W184="",EB184=0),"",ROUND((VLOOKUP(ROUNDDOWN($D184-1/frec,0),cob_adi,DO$40,FALSE)*(1+i/frec)^-0.5*(1+Parámetros!$D$103)*(1+rec_fracc)/frec),6))</f>
        <v>1.8E-5</v>
      </c>
      <c r="EE184" s="66">
        <f t="shared" si="284"/>
        <v>0.9</v>
      </c>
      <c r="EF184" s="68">
        <f t="shared" si="285"/>
        <v>1.8E-5</v>
      </c>
      <c r="EG184" s="66">
        <f>+IF($W184="","",ROUND(IF($B184&gt;Parámetros!$D$107,'Tablas Servicio'!EE184+('Tablas Servicio'!EG183-'Tablas Servicio'!EE183),EE184/(1-IF(B184&lt;=10,Parámetros!$D$100,0))),2))</f>
        <v>0.9</v>
      </c>
      <c r="EH184" s="66">
        <f t="shared" si="286"/>
        <v>0</v>
      </c>
      <c r="EI184" s="66">
        <f t="shared" si="286"/>
        <v>0</v>
      </c>
      <c r="EJ184" s="66">
        <f>+IF($W184="","",ROUND((EG184*Parámetros!$G$85),2))</f>
        <v>0.03</v>
      </c>
      <c r="EK184" s="66">
        <f>+IF($W184="","",ROUND((EG184*(Parámetros!$G$86)),2))</f>
        <v>0</v>
      </c>
      <c r="EL184" s="66">
        <f t="shared" si="287"/>
        <v>0.93</v>
      </c>
    </row>
    <row r="185" spans="1:142" x14ac:dyDescent="0.25">
      <c r="A185">
        <f>+IF($C185="","",ROUND(VLOOKUP('Tablas Servicio'!B185,Parámetros!$H$100:$J$159,IF(Parámetros!$E$16="F",2,3),FALSE),2))</f>
        <v>150</v>
      </c>
      <c r="B185">
        <f t="shared" si="238"/>
        <v>12</v>
      </c>
      <c r="C185" s="57">
        <f>+IF(D185="","",'Tablas Servicio'!C184+1)</f>
        <v>144</v>
      </c>
      <c r="D185" s="56">
        <f>+IF(D184&lt;edadmaxtabla,D184+1/Parámetros!$E$25,"")</f>
        <v>52.020000000000344</v>
      </c>
      <c r="E185" s="57">
        <f t="shared" si="248"/>
        <v>52</v>
      </c>
      <c r="F185" s="59">
        <f t="shared" si="249"/>
        <v>100000</v>
      </c>
      <c r="G185" s="66">
        <f t="shared" si="239"/>
        <v>37.199999999999996</v>
      </c>
      <c r="H185" s="66">
        <f t="shared" si="240"/>
        <v>38.68</v>
      </c>
      <c r="I185" s="66">
        <f t="shared" si="288"/>
        <v>55.32</v>
      </c>
      <c r="J185" s="66">
        <f t="shared" si="241"/>
        <v>1.3</v>
      </c>
      <c r="K185" s="66">
        <f t="shared" si="242"/>
        <v>0.18</v>
      </c>
      <c r="L185" s="66">
        <f t="shared" si="243"/>
        <v>0</v>
      </c>
      <c r="M185" s="66">
        <f t="shared" si="244"/>
        <v>0</v>
      </c>
      <c r="N185" s="66">
        <f>+IF(C185="","",ROUND(Parámetros!$D$23,2))</f>
        <v>94</v>
      </c>
      <c r="O185" s="66">
        <f t="shared" si="245"/>
        <v>24.7</v>
      </c>
      <c r="P185" s="66">
        <f>+IF($C185="","",ROUND(IF(B185&gt;Parámetros!$D$117,0,N185*Parámetros!$D$116-G185*Parámetros!$D$100),2))</f>
        <v>0</v>
      </c>
      <c r="Q185" s="75">
        <f t="shared" si="289"/>
        <v>3.4946236559139789E-2</v>
      </c>
      <c r="R185" s="75">
        <f t="shared" si="290"/>
        <v>4.8387096774193551E-3</v>
      </c>
      <c r="S185" s="117">
        <f>+IF($C185="","",ROUND((S184+I185)*(1+Parámetros!$D$91),2))</f>
        <v>9763.09</v>
      </c>
      <c r="T185" s="117">
        <f>+IF($C185="","",ROUND(S185*VLOOKUP(B185,Parámetros!$C$30:$D$39,2,TRUE),2))</f>
        <v>9763.09</v>
      </c>
      <c r="U185" s="117">
        <f>+IF($C185="","",ROUND((U184+I185)*(1+Parámetros!$D$92),2))</f>
        <v>10083.27</v>
      </c>
      <c r="V185" s="117">
        <f>+IF($C185="","",ROUND(U185*VLOOKUP(B185,Parámetros!$C$30:$D$39,2,TRUE),2))</f>
        <v>10083.27</v>
      </c>
      <c r="W185" s="57">
        <f t="shared" si="291"/>
        <v>144</v>
      </c>
      <c r="X185" t="str">
        <f t="shared" si="292"/>
        <v>00058</v>
      </c>
      <c r="Y185" t="str">
        <f t="shared" si="293"/>
        <v>MUERTE POR CUALQUIER CAUSA</v>
      </c>
      <c r="Z185" s="118">
        <f>+IF($W185="","",ROUND(IF(Parámetros!$D$25='TABLAS MORT'!$V$33,Z184,Parámetros!$D$21-'Tablas Servicio'!T184),0))</f>
        <v>100000</v>
      </c>
      <c r="AA185" s="118" t="str">
        <f t="shared" si="294"/>
        <v>P</v>
      </c>
      <c r="AB185" s="119">
        <f>+IF(W185="","",ROUND((VLOOKUP(ROUNDDOWN($D185-1/frec,0),qx_tabla,2,FALSE)*(1+i/frec)^-0.5*(1+Parámetros!$D$103)*(1+rec_fracc)/frec),6))</f>
        <v>2.3800000000000001E-4</v>
      </c>
      <c r="AC185" s="66">
        <f t="shared" si="250"/>
        <v>23.8</v>
      </c>
      <c r="AD185" s="119">
        <f t="shared" si="246"/>
        <v>3.6299999999999999E-4</v>
      </c>
      <c r="AE185" s="66">
        <f>+IF($W185="","",ROUND(IF($B185&gt;Parámetros!$D$107,'Tablas Servicio'!AC185+('Tablas Servicio'!AG184-'Tablas Servicio'!AC184),AC185/(1-IF(B185&lt;=10,Parámetros!$D$104,Parámetros!$D$105))),2))</f>
        <v>39.67</v>
      </c>
      <c r="AF185" s="66">
        <f>+IF($W185="","",ROUND(IF($B185&gt;Parámetros!$D$107,'Tablas Servicio'!AC185+('Tablas Servicio'!AG184-'Tablas Servicio'!AC184),(AC185+$A184/frec)/(1-IF(B185&lt;=Parámetros!$D$117,Parámetros!$D$100,0))),2))</f>
        <v>36.299999999999997</v>
      </c>
      <c r="AG185" s="66">
        <f t="shared" si="251"/>
        <v>36.299999999999997</v>
      </c>
      <c r="AH185" s="66">
        <f t="shared" si="252"/>
        <v>0</v>
      </c>
      <c r="AI185" s="66">
        <f t="shared" si="253"/>
        <v>0</v>
      </c>
      <c r="AJ185" s="66">
        <f>+IF($W185="","",ROUND((AG185*Parámetros!$G$85),2))</f>
        <v>1.27</v>
      </c>
      <c r="AK185" s="66">
        <f>+IF($W185="","",ROUND((AG185*(Parámetros!$G$86)),2))</f>
        <v>0.18</v>
      </c>
      <c r="AL185" s="66">
        <f t="shared" si="247"/>
        <v>37.75</v>
      </c>
      <c r="AM185" t="str">
        <f t="shared" si="295"/>
        <v>00059</v>
      </c>
      <c r="AN185" t="str">
        <f t="shared" si="296"/>
        <v>Incapacidad Total y Permanente</v>
      </c>
      <c r="AO185" s="118">
        <f t="shared" si="297"/>
        <v>0</v>
      </c>
      <c r="AP185" s="118" t="str">
        <f t="shared" si="298"/>
        <v>A</v>
      </c>
      <c r="AQ185" s="119" t="str">
        <f>+IF(OR($W185="",AO185=0),"",ROUND((VLOOKUP(ROUNDDOWN($D185-1/frec,0),cob_adi,Z$40,FALSE)*(1+i/frec)^-0.5*(1+Parámetros!$D$103)*(1+rec_fracc)/frec),6))</f>
        <v/>
      </c>
      <c r="AR185" s="66">
        <f t="shared" si="254"/>
        <v>0</v>
      </c>
      <c r="AS185" s="119" t="str">
        <f t="shared" si="255"/>
        <v/>
      </c>
      <c r="AT185" s="66">
        <f>+IF($W185="","",ROUND(IF($B185&gt;Parámetros!$D$107,'Tablas Servicio'!AR185+('Tablas Servicio'!AT184-'Tablas Servicio'!AR184),AR185/(1-IF(B185&lt;=10,Parámetros!$D$100,0))),2))</f>
        <v>0</v>
      </c>
      <c r="AU185" s="66">
        <f t="shared" si="256"/>
        <v>0</v>
      </c>
      <c r="AV185" s="66">
        <f t="shared" si="256"/>
        <v>0</v>
      </c>
      <c r="AW185" s="66">
        <f>+IF($W185="","",ROUND((AT185*Parámetros!$G$85),2))</f>
        <v>0</v>
      </c>
      <c r="AX185" s="66">
        <f>+IF($W185="","",ROUND((AT185*(Parámetros!$G$86)),2))</f>
        <v>0</v>
      </c>
      <c r="AY185" s="66">
        <f t="shared" si="257"/>
        <v>0</v>
      </c>
      <c r="AZ185" t="str">
        <f t="shared" si="299"/>
        <v>00060</v>
      </c>
      <c r="BA185" t="str">
        <f t="shared" si="300"/>
        <v>Muerte Accidental</v>
      </c>
      <c r="BB185" s="118">
        <f t="shared" si="301"/>
        <v>0</v>
      </c>
      <c r="BC185" s="118" t="str">
        <f t="shared" si="302"/>
        <v>A</v>
      </c>
      <c r="BD185" s="119" t="str">
        <f>+IF(OR($W185="",BB185=0),"",ROUND((VLOOKUP(ROUNDDOWN($D185-1/frec,0),cob_adi,AO$40,FALSE)*(1+i/frec)^-0.5*(1+Parámetros!$D$103)*(1+rec_fracc)/frec),6))</f>
        <v/>
      </c>
      <c r="BE185" s="66">
        <f t="shared" si="258"/>
        <v>0</v>
      </c>
      <c r="BF185" s="119" t="str">
        <f t="shared" si="259"/>
        <v/>
      </c>
      <c r="BG185" s="66">
        <f>+IF($W185="","",ROUND(IF($B185&gt;Parámetros!$D$107,'Tablas Servicio'!BE185+('Tablas Servicio'!BG184-'Tablas Servicio'!BE184),BE185/(1-IF(B185&lt;=10,Parámetros!$D$100,0))),2))</f>
        <v>0</v>
      </c>
      <c r="BH185" s="66">
        <f t="shared" si="260"/>
        <v>0</v>
      </c>
      <c r="BI185" s="66">
        <f t="shared" si="261"/>
        <v>0</v>
      </c>
      <c r="BJ185" s="66">
        <f>+IF($W185="","",ROUND((BG185*Parámetros!$G$85),2))</f>
        <v>0</v>
      </c>
      <c r="BK185" s="66">
        <f>+IF($W185="","",ROUND((BG185*(Parámetros!$G$86)),2))</f>
        <v>0</v>
      </c>
      <c r="BL185" s="66">
        <f t="shared" si="262"/>
        <v>0</v>
      </c>
      <c r="BM185" t="str">
        <f t="shared" si="303"/>
        <v>00061</v>
      </c>
      <c r="BN185" t="str">
        <f t="shared" si="304"/>
        <v>Gastos de Entierro</v>
      </c>
      <c r="BO185" s="118">
        <f t="shared" si="305"/>
        <v>0</v>
      </c>
      <c r="BP185" s="118" t="str">
        <f t="shared" si="306"/>
        <v>A</v>
      </c>
      <c r="BQ185" s="119" t="str">
        <f>+IF(OR($W185="",BO185=0),"",ROUND((VLOOKUP(ROUNDDOWN($D185-1/frec,0),cob_adi,BB$40,FALSE)*(1+i/frec)^-0.5*(1+Parámetros!$D$103)*(1+rec_fracc)/frec),6))</f>
        <v/>
      </c>
      <c r="BR185" s="66">
        <f t="shared" si="263"/>
        <v>0</v>
      </c>
      <c r="BS185" s="119" t="str">
        <f t="shared" si="264"/>
        <v/>
      </c>
      <c r="BT185" s="66">
        <f>+IF($W185="","",ROUND(IF($B185&gt;Parámetros!$D$107,'Tablas Servicio'!BR185+('Tablas Servicio'!BT184-'Tablas Servicio'!BR184),BR185/(1-IF(B185&lt;=10,Parámetros!$D$100,0))),2))</f>
        <v>0</v>
      </c>
      <c r="BU185" s="66">
        <f t="shared" si="265"/>
        <v>0</v>
      </c>
      <c r="BV185" s="66">
        <f t="shared" si="265"/>
        <v>0</v>
      </c>
      <c r="BW185" s="66">
        <f>+IF($W185="","",ROUND((BT185*Parámetros!$G$85),2))</f>
        <v>0</v>
      </c>
      <c r="BX185" s="66">
        <f>+IF($W185="","",ROUND((BT185*(Parámetros!$G$86)),2))</f>
        <v>0</v>
      </c>
      <c r="BY185" s="66">
        <f t="shared" si="266"/>
        <v>0</v>
      </c>
      <c r="BZ185" t="str">
        <f t="shared" si="307"/>
        <v>00062</v>
      </c>
      <c r="CA185" t="str">
        <f t="shared" si="308"/>
        <v>Gastos médicos por accidente</v>
      </c>
      <c r="CB185" s="118">
        <f t="shared" si="309"/>
        <v>0</v>
      </c>
      <c r="CC185" s="118" t="str">
        <f t="shared" si="310"/>
        <v>A</v>
      </c>
      <c r="CD185" s="119" t="str">
        <f t="shared" si="267"/>
        <v/>
      </c>
      <c r="CE185" s="66">
        <f>+IF($W185="","",ROUND((VLOOKUP(ROUNDDOWN($D185-1/frec,0),cob_adi,BO$40,FALSE)*(1+i/frec)^-0.5*(1+Parámetros!$D$103)*(1+rec_fracc)/frec*'TABLAS ADI'!$BC$17),2))</f>
        <v>0</v>
      </c>
      <c r="CF185" s="119" t="str">
        <f t="shared" si="268"/>
        <v/>
      </c>
      <c r="CG185" s="66">
        <f>+IF($W185="","",ROUND(IF($B185&gt;Parámetros!$D$107,'Tablas Servicio'!CE185+('Tablas Servicio'!CG184-'Tablas Servicio'!CE184),CE185/(1-IF(B185&lt;=10,Parámetros!$D$100,0))),2))</f>
        <v>0</v>
      </c>
      <c r="CH185" s="66">
        <f t="shared" si="269"/>
        <v>0</v>
      </c>
      <c r="CI185" s="66">
        <f t="shared" si="269"/>
        <v>0</v>
      </c>
      <c r="CJ185" s="66">
        <f>+IF($W185="","",ROUND((CG185*Parámetros!$G$85),2))</f>
        <v>0</v>
      </c>
      <c r="CK185" s="66">
        <f>+IF($W185="","",ROUND((CG185*(Parámetros!$G$86)),2))</f>
        <v>0</v>
      </c>
      <c r="CL185" s="66">
        <f t="shared" si="270"/>
        <v>0</v>
      </c>
      <c r="CM185" t="str">
        <f t="shared" si="311"/>
        <v>00063</v>
      </c>
      <c r="CN185" s="118" t="str">
        <f t="shared" si="312"/>
        <v>Renta Diaria por Hospitalización</v>
      </c>
      <c r="CO185" s="118">
        <f t="shared" si="313"/>
        <v>0</v>
      </c>
      <c r="CP185" s="118" t="str">
        <f t="shared" si="314"/>
        <v>A</v>
      </c>
      <c r="CQ185" s="119" t="str">
        <f t="shared" si="271"/>
        <v/>
      </c>
      <c r="CR185" s="66">
        <f>+IF($W185="","",ROUND((VLOOKUP(Parámetros!$F$51,'COBERTURAS ADICIONALES'!$S$4:$T$32,2,FALSE)*(1+i/frec)^-0.5*(1+Parámetros!$D$103)*(1+rec_fracc)/frec*$CO$42),2))</f>
        <v>0</v>
      </c>
      <c r="CS185" s="119" t="str">
        <f t="shared" si="272"/>
        <v/>
      </c>
      <c r="CT185" s="66">
        <f>+IF($W185="","",ROUND(IF($B185&gt;Parámetros!$D$107,'Tablas Servicio'!CR185+('Tablas Servicio'!CT184-'Tablas Servicio'!CR184),CR185/(1-IF(B185&lt;=10,Parámetros!$D$100,0))),2))</f>
        <v>0</v>
      </c>
      <c r="CU185" s="66">
        <f t="shared" si="273"/>
        <v>0</v>
      </c>
      <c r="CV185" s="66">
        <f t="shared" si="273"/>
        <v>0</v>
      </c>
      <c r="CW185" s="66">
        <f>+IF($W185="","",ROUND((CT185*Parámetros!$G$85),2))</f>
        <v>0</v>
      </c>
      <c r="CX185" s="66">
        <f>+IF($W185="","",ROUND((CT185*(Parámetros!$G$86)),2))</f>
        <v>0</v>
      </c>
      <c r="CY185" s="66">
        <f t="shared" si="274"/>
        <v>0</v>
      </c>
      <c r="CZ185" t="str">
        <f t="shared" si="315"/>
        <v>00064</v>
      </c>
      <c r="DA185" s="118" t="str">
        <f t="shared" si="316"/>
        <v>Enfermedades Graves</v>
      </c>
      <c r="DB185" s="118">
        <f t="shared" si="317"/>
        <v>0</v>
      </c>
      <c r="DC185" s="118" t="str">
        <f t="shared" si="318"/>
        <v>A</v>
      </c>
      <c r="DD185" s="121" t="str">
        <f>+IF(OR($W185="",DB185=0),"",ROUND((VLOOKUP(ROUNDDOWN($D185-1/frec,0),cob_adi,CO$40,FALSE)*(1+i/frec)^-0.5*(1+Parámetros!$D$103)*(1+rec_fracc)/frec),6))</f>
        <v/>
      </c>
      <c r="DE185" s="66">
        <f t="shared" si="275"/>
        <v>0</v>
      </c>
      <c r="DF185" s="119" t="str">
        <f t="shared" si="276"/>
        <v/>
      </c>
      <c r="DG185" s="66">
        <f>+IF($W185="","",ROUND(IF($B185&gt;Parámetros!$D$107,'Tablas Servicio'!DE185+('Tablas Servicio'!DG184-'Tablas Servicio'!DE184),DE185/(1-IF(B185&lt;=10,Parámetros!$D$100,0))),2))</f>
        <v>0</v>
      </c>
      <c r="DH185" s="66">
        <f t="shared" si="277"/>
        <v>0</v>
      </c>
      <c r="DI185" s="66">
        <f t="shared" si="277"/>
        <v>0</v>
      </c>
      <c r="DJ185" s="66">
        <f>+IF($W185="","",ROUND((DG185*Parámetros!$G$85),2))</f>
        <v>0</v>
      </c>
      <c r="DK185" s="66">
        <f>+IF($W185="","",ROUND((DG185*(Parámetros!$G$86)),2))</f>
        <v>0</v>
      </c>
      <c r="DL185" s="66">
        <f t="shared" si="278"/>
        <v>0</v>
      </c>
      <c r="DM185" t="str">
        <f t="shared" si="319"/>
        <v>00065</v>
      </c>
      <c r="DN185" s="118" t="str">
        <f t="shared" si="320"/>
        <v>Exención pago de primas</v>
      </c>
      <c r="DO185" s="118">
        <f t="shared" si="321"/>
        <v>0</v>
      </c>
      <c r="DP185" s="118" t="str">
        <f t="shared" si="322"/>
        <v>A</v>
      </c>
      <c r="DQ185" s="122" t="str">
        <f>+IF(OR($W185="",DO185=0),"",ROUND((VLOOKUP(ROUNDDOWN($D185-1/frec,0),cob_adi,DB$40,FALSE)*(1+i/frec)^-0.5*(1+Parámetros!$D$103)*(1+rec_fracc)/frec),6))</f>
        <v/>
      </c>
      <c r="DR185" s="66">
        <f t="shared" si="279"/>
        <v>0</v>
      </c>
      <c r="DS185" s="68" t="str">
        <f t="shared" si="280"/>
        <v/>
      </c>
      <c r="DT185" s="66">
        <f>+IF($W185="","",ROUND(IF($B185&gt;Parámetros!$D$107,'Tablas Servicio'!DR185+('Tablas Servicio'!DT184-'Tablas Servicio'!DR184),DR185/(1-IF(B185&lt;=10,Parámetros!$D$100,0))),2))</f>
        <v>0</v>
      </c>
      <c r="DU185" s="66">
        <f t="shared" si="281"/>
        <v>0</v>
      </c>
      <c r="DV185" s="66">
        <f t="shared" si="281"/>
        <v>0</v>
      </c>
      <c r="DW185" s="66">
        <f>+IF($W185="","",ROUND((DT185*Parámetros!$G$85),2))</f>
        <v>0</v>
      </c>
      <c r="DX185" s="66">
        <f>+IF($W185="","",ROUND((DT185*(Parámetros!$G$86)),2))</f>
        <v>0</v>
      </c>
      <c r="DY185" s="66">
        <f t="shared" si="282"/>
        <v>0</v>
      </c>
      <c r="DZ185" t="str">
        <f t="shared" si="283"/>
        <v>00066</v>
      </c>
      <c r="EA185" s="118" t="str">
        <f t="shared" si="283"/>
        <v>Enfermedad terminal</v>
      </c>
      <c r="EB185" s="118">
        <f>+IF($W185="","",ROUND(IF(Parámetros!$D$25='TABLAS MORT'!$V$33,EB184,Z185/2),0))</f>
        <v>50000</v>
      </c>
      <c r="EC185" s="118" t="str">
        <f t="shared" si="283"/>
        <v>A</v>
      </c>
      <c r="ED185" s="122">
        <f>+IF(OR($W185="",EB185=0),"",ROUND((VLOOKUP(ROUNDDOWN($D185-1/frec,0),cob_adi,DO$40,FALSE)*(1+i/frec)^-0.5*(1+Parámetros!$D$103)*(1+rec_fracc)/frec),6))</f>
        <v>1.8E-5</v>
      </c>
      <c r="EE185" s="66">
        <f t="shared" si="284"/>
        <v>0.9</v>
      </c>
      <c r="EF185" s="68">
        <f t="shared" si="285"/>
        <v>1.8E-5</v>
      </c>
      <c r="EG185" s="66">
        <f>+IF($W185="","",ROUND(IF($B185&gt;Parámetros!$D$107,'Tablas Servicio'!EE185+('Tablas Servicio'!EG184-'Tablas Servicio'!EE184),EE185/(1-IF(B185&lt;=10,Parámetros!$D$100,0))),2))</f>
        <v>0.9</v>
      </c>
      <c r="EH185" s="66">
        <f t="shared" si="286"/>
        <v>0</v>
      </c>
      <c r="EI185" s="66">
        <f t="shared" si="286"/>
        <v>0</v>
      </c>
      <c r="EJ185" s="66">
        <f>+IF($W185="","",ROUND((EG185*Parámetros!$G$85),2))</f>
        <v>0.03</v>
      </c>
      <c r="EK185" s="66">
        <f>+IF($W185="","",ROUND((EG185*(Parámetros!$G$86)),2))</f>
        <v>0</v>
      </c>
      <c r="EL185" s="66">
        <f t="shared" si="287"/>
        <v>0.93</v>
      </c>
    </row>
    <row r="186" spans="1:142" x14ac:dyDescent="0.25">
      <c r="A186">
        <f>+IF($C186="","",ROUND(VLOOKUP('Tablas Servicio'!B186,Parámetros!$H$100:$J$159,IF(Parámetros!$E$16="F",2,3),FALSE),2))</f>
        <v>150</v>
      </c>
      <c r="B186">
        <f t="shared" si="238"/>
        <v>13</v>
      </c>
      <c r="C186" s="57">
        <f>+IF(D186="","",'Tablas Servicio'!C185+1)</f>
        <v>145</v>
      </c>
      <c r="D186" s="56">
        <f>+IF(D185&lt;edadmaxtabla,D185+1/Parámetros!$E$25,"")</f>
        <v>52.10333333333368</v>
      </c>
      <c r="E186" s="57">
        <f t="shared" si="248"/>
        <v>52</v>
      </c>
      <c r="F186" s="59">
        <f t="shared" si="249"/>
        <v>100000</v>
      </c>
      <c r="G186" s="66">
        <f t="shared" si="239"/>
        <v>39.1</v>
      </c>
      <c r="H186" s="66">
        <f t="shared" si="240"/>
        <v>40.659999999999997</v>
      </c>
      <c r="I186" s="66">
        <f t="shared" si="288"/>
        <v>53.34</v>
      </c>
      <c r="J186" s="66">
        <f t="shared" si="241"/>
        <v>1.37</v>
      </c>
      <c r="K186" s="66">
        <f t="shared" si="242"/>
        <v>0.19</v>
      </c>
      <c r="L186" s="66">
        <f t="shared" si="243"/>
        <v>0</v>
      </c>
      <c r="M186" s="66">
        <f t="shared" si="244"/>
        <v>0</v>
      </c>
      <c r="N186" s="66">
        <f>+IF(C186="","",ROUND(Parámetros!$D$23,2))</f>
        <v>94</v>
      </c>
      <c r="O186" s="66">
        <f t="shared" si="245"/>
        <v>26.599999999999998</v>
      </c>
      <c r="P186" s="66">
        <f>+IF($C186="","",ROUND(IF(B186&gt;Parámetros!$D$117,0,N186*Parámetros!$D$116-G186*Parámetros!$D$100),2))</f>
        <v>0</v>
      </c>
      <c r="Q186" s="75">
        <f t="shared" si="289"/>
        <v>3.5038363171355502E-2</v>
      </c>
      <c r="R186" s="75">
        <f t="shared" si="290"/>
        <v>4.8593350383631714E-3</v>
      </c>
      <c r="S186" s="117">
        <f>+IF($C186="","",ROUND((S185+I186)*(1+Parámetros!$D$91),2))</f>
        <v>9844.27</v>
      </c>
      <c r="T186" s="117">
        <f>+IF($C186="","",ROUND(S186*VLOOKUP(B186,Parámetros!$C$30:$D$39,2,TRUE),2))</f>
        <v>9844.27</v>
      </c>
      <c r="U186" s="117">
        <f>+IF($C186="","",ROUND((U185+I186)*(1+Parámetros!$D$92),2))</f>
        <v>10169.469999999999</v>
      </c>
      <c r="V186" s="117">
        <f>+IF($C186="","",ROUND(U186*VLOOKUP(B186,Parámetros!$C$30:$D$39,2,TRUE),2))</f>
        <v>10169.469999999999</v>
      </c>
      <c r="W186" s="57">
        <f t="shared" si="291"/>
        <v>145</v>
      </c>
      <c r="X186" t="str">
        <f t="shared" si="292"/>
        <v>00058</v>
      </c>
      <c r="Y186" t="str">
        <f t="shared" si="293"/>
        <v>MUERTE POR CUALQUIER CAUSA</v>
      </c>
      <c r="Z186" s="118">
        <f>+IF($W186="","",ROUND(IF(Parámetros!$D$25='TABLAS MORT'!$V$33,Z185,Parámetros!$D$21-'Tablas Servicio'!T185),0))</f>
        <v>100000</v>
      </c>
      <c r="AA186" s="118" t="str">
        <f t="shared" si="294"/>
        <v>P</v>
      </c>
      <c r="AB186" s="119">
        <f>+IF(W186="","",ROUND((VLOOKUP(ROUNDDOWN($D186-1/frec,0),qx_tabla,2,FALSE)*(1+i/frec)^-0.5*(1+Parámetros!$D$103)*(1+rec_fracc)/frec),6))</f>
        <v>2.5700000000000001E-4</v>
      </c>
      <c r="AC186" s="66">
        <f t="shared" si="250"/>
        <v>25.7</v>
      </c>
      <c r="AD186" s="119">
        <f t="shared" si="246"/>
        <v>3.8200000000000002E-4</v>
      </c>
      <c r="AE186" s="66">
        <f>+IF($W186="","",ROUND(IF($B186&gt;Parámetros!$D$107,'Tablas Servicio'!AC186+('Tablas Servicio'!AG185-'Tablas Servicio'!AC185),AC186/(1-IF(B186&lt;=10,Parámetros!$D$104,Parámetros!$D$105))),2))</f>
        <v>42.83</v>
      </c>
      <c r="AF186" s="66">
        <f>+IF($W186="","",ROUND(IF($B186&gt;Parámetros!$D$107,'Tablas Servicio'!AC186+('Tablas Servicio'!AG185-'Tablas Servicio'!AC185),(AC186+$A185/frec)/(1-IF(B186&lt;=Parámetros!$D$117,Parámetros!$D$100,0))),2))</f>
        <v>38.200000000000003</v>
      </c>
      <c r="AG186" s="66">
        <f t="shared" si="251"/>
        <v>38.200000000000003</v>
      </c>
      <c r="AH186" s="66">
        <f t="shared" si="252"/>
        <v>0</v>
      </c>
      <c r="AI186" s="66">
        <f t="shared" si="253"/>
        <v>0</v>
      </c>
      <c r="AJ186" s="66">
        <f>+IF($W186="","",ROUND((AG186*Parámetros!$G$85),2))</f>
        <v>1.34</v>
      </c>
      <c r="AK186" s="66">
        <f>+IF($W186="","",ROUND((AG186*(Parámetros!$G$86)),2))</f>
        <v>0.19</v>
      </c>
      <c r="AL186" s="66">
        <f t="shared" si="247"/>
        <v>39.729999999999997</v>
      </c>
      <c r="AM186" t="str">
        <f t="shared" si="295"/>
        <v>00059</v>
      </c>
      <c r="AN186" t="str">
        <f t="shared" si="296"/>
        <v>Incapacidad Total y Permanente</v>
      </c>
      <c r="AO186" s="118">
        <f t="shared" si="297"/>
        <v>0</v>
      </c>
      <c r="AP186" s="118" t="str">
        <f t="shared" si="298"/>
        <v>A</v>
      </c>
      <c r="AQ186" s="119" t="str">
        <f>+IF(OR($W186="",AO186=0),"",ROUND((VLOOKUP(ROUNDDOWN($D186-1/frec,0),cob_adi,Z$40,FALSE)*(1+i/frec)^-0.5*(1+Parámetros!$D$103)*(1+rec_fracc)/frec),6))</f>
        <v/>
      </c>
      <c r="AR186" s="66">
        <f t="shared" si="254"/>
        <v>0</v>
      </c>
      <c r="AS186" s="119" t="str">
        <f t="shared" si="255"/>
        <v/>
      </c>
      <c r="AT186" s="66">
        <f>+IF($W186="","",ROUND(IF($B186&gt;Parámetros!$D$107,'Tablas Servicio'!AR186+('Tablas Servicio'!AT185-'Tablas Servicio'!AR185),AR186/(1-IF(B186&lt;=10,Parámetros!$D$100,0))),2))</f>
        <v>0</v>
      </c>
      <c r="AU186" s="66">
        <f t="shared" si="256"/>
        <v>0</v>
      </c>
      <c r="AV186" s="66">
        <f t="shared" si="256"/>
        <v>0</v>
      </c>
      <c r="AW186" s="66">
        <f>+IF($W186="","",ROUND((AT186*Parámetros!$G$85),2))</f>
        <v>0</v>
      </c>
      <c r="AX186" s="66">
        <f>+IF($W186="","",ROUND((AT186*(Parámetros!$G$86)),2))</f>
        <v>0</v>
      </c>
      <c r="AY186" s="66">
        <f t="shared" si="257"/>
        <v>0</v>
      </c>
      <c r="AZ186" t="str">
        <f t="shared" si="299"/>
        <v>00060</v>
      </c>
      <c r="BA186" t="str">
        <f t="shared" si="300"/>
        <v>Muerte Accidental</v>
      </c>
      <c r="BB186" s="118">
        <f t="shared" si="301"/>
        <v>0</v>
      </c>
      <c r="BC186" s="118" t="str">
        <f t="shared" si="302"/>
        <v>A</v>
      </c>
      <c r="BD186" s="119" t="str">
        <f>+IF(OR($W186="",BB186=0),"",ROUND((VLOOKUP(ROUNDDOWN($D186-1/frec,0),cob_adi,AO$40,FALSE)*(1+i/frec)^-0.5*(1+Parámetros!$D$103)*(1+rec_fracc)/frec),6))</f>
        <v/>
      </c>
      <c r="BE186" s="66">
        <f t="shared" si="258"/>
        <v>0</v>
      </c>
      <c r="BF186" s="119" t="str">
        <f t="shared" si="259"/>
        <v/>
      </c>
      <c r="BG186" s="66">
        <f>+IF($W186="","",ROUND(IF($B186&gt;Parámetros!$D$107,'Tablas Servicio'!BE186+('Tablas Servicio'!BG185-'Tablas Servicio'!BE185),BE186/(1-IF(B186&lt;=10,Parámetros!$D$100,0))),2))</f>
        <v>0</v>
      </c>
      <c r="BH186" s="66">
        <f t="shared" si="260"/>
        <v>0</v>
      </c>
      <c r="BI186" s="66">
        <f t="shared" si="261"/>
        <v>0</v>
      </c>
      <c r="BJ186" s="66">
        <f>+IF($W186="","",ROUND((BG186*Parámetros!$G$85),2))</f>
        <v>0</v>
      </c>
      <c r="BK186" s="66">
        <f>+IF($W186="","",ROUND((BG186*(Parámetros!$G$86)),2))</f>
        <v>0</v>
      </c>
      <c r="BL186" s="66">
        <f t="shared" si="262"/>
        <v>0</v>
      </c>
      <c r="BM186" t="str">
        <f t="shared" si="303"/>
        <v>00061</v>
      </c>
      <c r="BN186" t="str">
        <f t="shared" si="304"/>
        <v>Gastos de Entierro</v>
      </c>
      <c r="BO186" s="118">
        <f t="shared" si="305"/>
        <v>0</v>
      </c>
      <c r="BP186" s="118" t="str">
        <f t="shared" si="306"/>
        <v>A</v>
      </c>
      <c r="BQ186" s="119" t="str">
        <f>+IF(OR($W186="",BO186=0),"",ROUND((VLOOKUP(ROUNDDOWN($D186-1/frec,0),cob_adi,BB$40,FALSE)*(1+i/frec)^-0.5*(1+Parámetros!$D$103)*(1+rec_fracc)/frec),6))</f>
        <v/>
      </c>
      <c r="BR186" s="66">
        <f t="shared" si="263"/>
        <v>0</v>
      </c>
      <c r="BS186" s="119" t="str">
        <f t="shared" si="264"/>
        <v/>
      </c>
      <c r="BT186" s="66">
        <f>+IF($W186="","",ROUND(IF($B186&gt;Parámetros!$D$107,'Tablas Servicio'!BR186+('Tablas Servicio'!BT185-'Tablas Servicio'!BR185),BR186/(1-IF(B186&lt;=10,Parámetros!$D$100,0))),2))</f>
        <v>0</v>
      </c>
      <c r="BU186" s="66">
        <f t="shared" si="265"/>
        <v>0</v>
      </c>
      <c r="BV186" s="66">
        <f t="shared" si="265"/>
        <v>0</v>
      </c>
      <c r="BW186" s="66">
        <f>+IF($W186="","",ROUND((BT186*Parámetros!$G$85),2))</f>
        <v>0</v>
      </c>
      <c r="BX186" s="66">
        <f>+IF($W186="","",ROUND((BT186*(Parámetros!$G$86)),2))</f>
        <v>0</v>
      </c>
      <c r="BY186" s="66">
        <f t="shared" si="266"/>
        <v>0</v>
      </c>
      <c r="BZ186" t="str">
        <f t="shared" si="307"/>
        <v>00062</v>
      </c>
      <c r="CA186" t="str">
        <f t="shared" si="308"/>
        <v>Gastos médicos por accidente</v>
      </c>
      <c r="CB186" s="118">
        <f t="shared" si="309"/>
        <v>0</v>
      </c>
      <c r="CC186" s="118" t="str">
        <f t="shared" si="310"/>
        <v>A</v>
      </c>
      <c r="CD186" s="119" t="str">
        <f t="shared" si="267"/>
        <v/>
      </c>
      <c r="CE186" s="66">
        <f>+IF($W186="","",ROUND((VLOOKUP(ROUNDDOWN($D186-1/frec,0),cob_adi,BO$40,FALSE)*(1+i/frec)^-0.5*(1+Parámetros!$D$103)*(1+rec_fracc)/frec*'TABLAS ADI'!$BC$17),2))</f>
        <v>0</v>
      </c>
      <c r="CF186" s="119" t="str">
        <f t="shared" si="268"/>
        <v/>
      </c>
      <c r="CG186" s="66">
        <f>+IF($W186="","",ROUND(IF($B186&gt;Parámetros!$D$107,'Tablas Servicio'!CE186+('Tablas Servicio'!CG185-'Tablas Servicio'!CE185),CE186/(1-IF(B186&lt;=10,Parámetros!$D$100,0))),2))</f>
        <v>0</v>
      </c>
      <c r="CH186" s="66">
        <f t="shared" si="269"/>
        <v>0</v>
      </c>
      <c r="CI186" s="66">
        <f t="shared" si="269"/>
        <v>0</v>
      </c>
      <c r="CJ186" s="66">
        <f>+IF($W186="","",ROUND((CG186*Parámetros!$G$85),2))</f>
        <v>0</v>
      </c>
      <c r="CK186" s="66">
        <f>+IF($W186="","",ROUND((CG186*(Parámetros!$G$86)),2))</f>
        <v>0</v>
      </c>
      <c r="CL186" s="66">
        <f t="shared" si="270"/>
        <v>0</v>
      </c>
      <c r="CM186" t="str">
        <f t="shared" si="311"/>
        <v>00063</v>
      </c>
      <c r="CN186" s="118" t="str">
        <f t="shared" si="312"/>
        <v>Renta Diaria por Hospitalización</v>
      </c>
      <c r="CO186" s="118">
        <f t="shared" si="313"/>
        <v>0</v>
      </c>
      <c r="CP186" s="118" t="str">
        <f t="shared" si="314"/>
        <v>A</v>
      </c>
      <c r="CQ186" s="119" t="str">
        <f t="shared" si="271"/>
        <v/>
      </c>
      <c r="CR186" s="66">
        <f>+IF($W186="","",ROUND((VLOOKUP(Parámetros!$F$51,'COBERTURAS ADICIONALES'!$S$4:$T$32,2,FALSE)*(1+i/frec)^-0.5*(1+Parámetros!$D$103)*(1+rec_fracc)/frec*$CO$42),2))</f>
        <v>0</v>
      </c>
      <c r="CS186" s="119" t="str">
        <f t="shared" si="272"/>
        <v/>
      </c>
      <c r="CT186" s="66">
        <f>+IF($W186="","",ROUND(IF($B186&gt;Parámetros!$D$107,'Tablas Servicio'!CR186+('Tablas Servicio'!CT185-'Tablas Servicio'!CR185),CR186/(1-IF(B186&lt;=10,Parámetros!$D$100,0))),2))</f>
        <v>0</v>
      </c>
      <c r="CU186" s="66">
        <f t="shared" si="273"/>
        <v>0</v>
      </c>
      <c r="CV186" s="66">
        <f t="shared" si="273"/>
        <v>0</v>
      </c>
      <c r="CW186" s="66">
        <f>+IF($W186="","",ROUND((CT186*Parámetros!$G$85),2))</f>
        <v>0</v>
      </c>
      <c r="CX186" s="66">
        <f>+IF($W186="","",ROUND((CT186*(Parámetros!$G$86)),2))</f>
        <v>0</v>
      </c>
      <c r="CY186" s="66">
        <f t="shared" si="274"/>
        <v>0</v>
      </c>
      <c r="CZ186" t="str">
        <f t="shared" si="315"/>
        <v>00064</v>
      </c>
      <c r="DA186" s="118" t="str">
        <f t="shared" si="316"/>
        <v>Enfermedades Graves</v>
      </c>
      <c r="DB186" s="118">
        <f t="shared" si="317"/>
        <v>0</v>
      </c>
      <c r="DC186" s="118" t="str">
        <f t="shared" si="318"/>
        <v>A</v>
      </c>
      <c r="DD186" s="121" t="str">
        <f>+IF(OR($W186="",DB186=0),"",ROUND((VLOOKUP(ROUNDDOWN($D186-1/frec,0),cob_adi,CO$40,FALSE)*(1+i/frec)^-0.5*(1+Parámetros!$D$103)*(1+rec_fracc)/frec),6))</f>
        <v/>
      </c>
      <c r="DE186" s="66">
        <f t="shared" si="275"/>
        <v>0</v>
      </c>
      <c r="DF186" s="119" t="str">
        <f t="shared" si="276"/>
        <v/>
      </c>
      <c r="DG186" s="66">
        <f>+IF($W186="","",ROUND(IF($B186&gt;Parámetros!$D$107,'Tablas Servicio'!DE186+('Tablas Servicio'!DG185-'Tablas Servicio'!DE185),DE186/(1-IF(B186&lt;=10,Parámetros!$D$100,0))),2))</f>
        <v>0</v>
      </c>
      <c r="DH186" s="66">
        <f t="shared" si="277"/>
        <v>0</v>
      </c>
      <c r="DI186" s="66">
        <f t="shared" si="277"/>
        <v>0</v>
      </c>
      <c r="DJ186" s="66">
        <f>+IF($W186="","",ROUND((DG186*Parámetros!$G$85),2))</f>
        <v>0</v>
      </c>
      <c r="DK186" s="66">
        <f>+IF($W186="","",ROUND((DG186*(Parámetros!$G$86)),2))</f>
        <v>0</v>
      </c>
      <c r="DL186" s="66">
        <f t="shared" si="278"/>
        <v>0</v>
      </c>
      <c r="DM186" t="str">
        <f t="shared" si="319"/>
        <v>00065</v>
      </c>
      <c r="DN186" s="118" t="str">
        <f t="shared" si="320"/>
        <v>Exención pago de primas</v>
      </c>
      <c r="DO186" s="118">
        <f t="shared" si="321"/>
        <v>0</v>
      </c>
      <c r="DP186" s="118" t="str">
        <f t="shared" si="322"/>
        <v>A</v>
      </c>
      <c r="DQ186" s="122" t="str">
        <f>+IF(OR($W186="",DO186=0),"",ROUND((VLOOKUP(ROUNDDOWN($D186-1/frec,0),cob_adi,DB$40,FALSE)*(1+i/frec)^-0.5*(1+Parámetros!$D$103)*(1+rec_fracc)/frec),6))</f>
        <v/>
      </c>
      <c r="DR186" s="66">
        <f t="shared" si="279"/>
        <v>0</v>
      </c>
      <c r="DS186" s="68" t="str">
        <f t="shared" si="280"/>
        <v/>
      </c>
      <c r="DT186" s="66">
        <f>+IF($W186="","",ROUND(IF($B186&gt;Parámetros!$D$107,'Tablas Servicio'!DR186+('Tablas Servicio'!DT185-'Tablas Servicio'!DR185),DR186/(1-IF(B186&lt;=10,Parámetros!$D$100,0))),2))</f>
        <v>0</v>
      </c>
      <c r="DU186" s="66">
        <f t="shared" si="281"/>
        <v>0</v>
      </c>
      <c r="DV186" s="66">
        <f t="shared" si="281"/>
        <v>0</v>
      </c>
      <c r="DW186" s="66">
        <f>+IF($W186="","",ROUND((DT186*Parámetros!$G$85),2))</f>
        <v>0</v>
      </c>
      <c r="DX186" s="66">
        <f>+IF($W186="","",ROUND((DT186*(Parámetros!$G$86)),2))</f>
        <v>0</v>
      </c>
      <c r="DY186" s="66">
        <f t="shared" si="282"/>
        <v>0</v>
      </c>
      <c r="DZ186" t="str">
        <f t="shared" si="283"/>
        <v>00066</v>
      </c>
      <c r="EA186" s="118" t="str">
        <f t="shared" si="283"/>
        <v>Enfermedad terminal</v>
      </c>
      <c r="EB186" s="118">
        <f>+IF($W186="","",ROUND(IF(Parámetros!$D$25='TABLAS MORT'!$V$33,EB185,Z186/2),0))</f>
        <v>50000</v>
      </c>
      <c r="EC186" s="118" t="str">
        <f t="shared" si="283"/>
        <v>A</v>
      </c>
      <c r="ED186" s="122">
        <f>+IF(OR($W186="",EB186=0),"",ROUND((VLOOKUP(ROUNDDOWN($D186-1/frec,0),cob_adi,DO$40,FALSE)*(1+i/frec)^-0.5*(1+Parámetros!$D$103)*(1+rec_fracc)/frec),6))</f>
        <v>1.8E-5</v>
      </c>
      <c r="EE186" s="66">
        <f t="shared" si="284"/>
        <v>0.9</v>
      </c>
      <c r="EF186" s="68">
        <f t="shared" si="285"/>
        <v>1.8E-5</v>
      </c>
      <c r="EG186" s="66">
        <f>+IF($W186="","",ROUND(IF($B186&gt;Parámetros!$D$107,'Tablas Servicio'!EE186+('Tablas Servicio'!EG185-'Tablas Servicio'!EE185),EE186/(1-IF(B186&lt;=10,Parámetros!$D$100,0))),2))</f>
        <v>0.9</v>
      </c>
      <c r="EH186" s="66">
        <f t="shared" si="286"/>
        <v>0</v>
      </c>
      <c r="EI186" s="66">
        <f t="shared" si="286"/>
        <v>0</v>
      </c>
      <c r="EJ186" s="66">
        <f>+IF($W186="","",ROUND((EG186*Parámetros!$G$85),2))</f>
        <v>0.03</v>
      </c>
      <c r="EK186" s="66">
        <f>+IF($W186="","",ROUND((EG186*(Parámetros!$G$86)),2))</f>
        <v>0</v>
      </c>
      <c r="EL186" s="66">
        <f t="shared" si="287"/>
        <v>0.93</v>
      </c>
    </row>
    <row r="187" spans="1:142" x14ac:dyDescent="0.25">
      <c r="A187">
        <f>+IF($C187="","",ROUND(VLOOKUP('Tablas Servicio'!B187,Parámetros!$H$100:$J$159,IF(Parámetros!$E$16="F",2,3),FALSE),2))</f>
        <v>150</v>
      </c>
      <c r="B187">
        <f t="shared" si="238"/>
        <v>13</v>
      </c>
      <c r="C187" s="57">
        <f>+IF(D187="","",'Tablas Servicio'!C186+1)</f>
        <v>146</v>
      </c>
      <c r="D187" s="56">
        <f>+IF(D186&lt;edadmaxtabla,D186+1/Parámetros!$E$25,"")</f>
        <v>52.186666666667016</v>
      </c>
      <c r="E187" s="57">
        <f t="shared" si="248"/>
        <v>52</v>
      </c>
      <c r="F187" s="59">
        <f t="shared" si="249"/>
        <v>100000</v>
      </c>
      <c r="G187" s="66">
        <f t="shared" si="239"/>
        <v>39.1</v>
      </c>
      <c r="H187" s="66">
        <f t="shared" si="240"/>
        <v>40.659999999999997</v>
      </c>
      <c r="I187" s="66">
        <f t="shared" si="288"/>
        <v>53.34</v>
      </c>
      <c r="J187" s="66">
        <f t="shared" si="241"/>
        <v>1.37</v>
      </c>
      <c r="K187" s="66">
        <f t="shared" si="242"/>
        <v>0.19</v>
      </c>
      <c r="L187" s="66">
        <f t="shared" si="243"/>
        <v>0</v>
      </c>
      <c r="M187" s="66">
        <f t="shared" si="244"/>
        <v>0</v>
      </c>
      <c r="N187" s="66">
        <f>+IF(C187="","",ROUND(Parámetros!$D$23,2))</f>
        <v>94</v>
      </c>
      <c r="O187" s="66">
        <f t="shared" si="245"/>
        <v>26.599999999999998</v>
      </c>
      <c r="P187" s="66">
        <f>+IF($C187="","",ROUND(IF(B187&gt;Parámetros!$D$117,0,N187*Parámetros!$D$116-G187*Parámetros!$D$100),2))</f>
        <v>0</v>
      </c>
      <c r="Q187" s="75">
        <f t="shared" si="289"/>
        <v>3.5038363171355502E-2</v>
      </c>
      <c r="R187" s="75">
        <f t="shared" si="290"/>
        <v>4.8593350383631714E-3</v>
      </c>
      <c r="S187" s="117">
        <f>+IF($C187="","",ROUND((S186+I187)*(1+Parámetros!$D$91),2))</f>
        <v>9925.68</v>
      </c>
      <c r="T187" s="117">
        <f>+IF($C187="","",ROUND(S187*VLOOKUP(B187,Parámetros!$C$30:$D$39,2,TRUE),2))</f>
        <v>9925.68</v>
      </c>
      <c r="U187" s="117">
        <f>+IF($C187="","",ROUND((U186+I187)*(1+Parámetros!$D$92),2))</f>
        <v>10255.950000000001</v>
      </c>
      <c r="V187" s="117">
        <f>+IF($C187="","",ROUND(U187*VLOOKUP(B187,Parámetros!$C$30:$D$39,2,TRUE),2))</f>
        <v>10255.950000000001</v>
      </c>
      <c r="W187" s="57">
        <f t="shared" si="291"/>
        <v>146</v>
      </c>
      <c r="X187" t="str">
        <f t="shared" si="292"/>
        <v>00058</v>
      </c>
      <c r="Y187" t="str">
        <f t="shared" si="293"/>
        <v>MUERTE POR CUALQUIER CAUSA</v>
      </c>
      <c r="Z187" s="118">
        <f>+IF($W187="","",ROUND(IF(Parámetros!$D$25='TABLAS MORT'!$V$33,Z186,Parámetros!$D$21-'Tablas Servicio'!T186),0))</f>
        <v>100000</v>
      </c>
      <c r="AA187" s="118" t="str">
        <f t="shared" si="294"/>
        <v>P</v>
      </c>
      <c r="AB187" s="119">
        <f>+IF(W187="","",ROUND((VLOOKUP(ROUNDDOWN($D187-1/frec,0),qx_tabla,2,FALSE)*(1+i/frec)^-0.5*(1+Parámetros!$D$103)*(1+rec_fracc)/frec),6))</f>
        <v>2.5700000000000001E-4</v>
      </c>
      <c r="AC187" s="66">
        <f t="shared" si="250"/>
        <v>25.7</v>
      </c>
      <c r="AD187" s="119">
        <f t="shared" si="246"/>
        <v>3.8200000000000002E-4</v>
      </c>
      <c r="AE187" s="66">
        <f>+IF($W187="","",ROUND(IF($B187&gt;Parámetros!$D$107,'Tablas Servicio'!AC187+('Tablas Servicio'!AG186-'Tablas Servicio'!AC186),AC187/(1-IF(B187&lt;=10,Parámetros!$D$104,Parámetros!$D$105))),2))</f>
        <v>42.83</v>
      </c>
      <c r="AF187" s="66">
        <f>+IF($W187="","",ROUND(IF($B187&gt;Parámetros!$D$107,'Tablas Servicio'!AC187+('Tablas Servicio'!AG186-'Tablas Servicio'!AC186),(AC187+$A186/frec)/(1-IF(B187&lt;=Parámetros!$D$117,Parámetros!$D$100,0))),2))</f>
        <v>38.200000000000003</v>
      </c>
      <c r="AG187" s="66">
        <f t="shared" si="251"/>
        <v>38.200000000000003</v>
      </c>
      <c r="AH187" s="66">
        <f t="shared" si="252"/>
        <v>0</v>
      </c>
      <c r="AI187" s="66">
        <f t="shared" si="253"/>
        <v>0</v>
      </c>
      <c r="AJ187" s="66">
        <f>+IF($W187="","",ROUND((AG187*Parámetros!$G$85),2))</f>
        <v>1.34</v>
      </c>
      <c r="AK187" s="66">
        <f>+IF($W187="","",ROUND((AG187*(Parámetros!$G$86)),2))</f>
        <v>0.19</v>
      </c>
      <c r="AL187" s="66">
        <f t="shared" si="247"/>
        <v>39.729999999999997</v>
      </c>
      <c r="AM187" t="str">
        <f t="shared" si="295"/>
        <v>00059</v>
      </c>
      <c r="AN187" t="str">
        <f t="shared" si="296"/>
        <v>Incapacidad Total y Permanente</v>
      </c>
      <c r="AO187" s="118">
        <f t="shared" si="297"/>
        <v>0</v>
      </c>
      <c r="AP187" s="118" t="str">
        <f t="shared" si="298"/>
        <v>A</v>
      </c>
      <c r="AQ187" s="119" t="str">
        <f>+IF(OR($W187="",AO187=0),"",ROUND((VLOOKUP(ROUNDDOWN($D187-1/frec,0),cob_adi,Z$40,FALSE)*(1+i/frec)^-0.5*(1+Parámetros!$D$103)*(1+rec_fracc)/frec),6))</f>
        <v/>
      </c>
      <c r="AR187" s="66">
        <f t="shared" si="254"/>
        <v>0</v>
      </c>
      <c r="AS187" s="119" t="str">
        <f t="shared" si="255"/>
        <v/>
      </c>
      <c r="AT187" s="66">
        <f>+IF($W187="","",ROUND(IF($B187&gt;Parámetros!$D$107,'Tablas Servicio'!AR187+('Tablas Servicio'!AT186-'Tablas Servicio'!AR186),AR187/(1-IF(B187&lt;=10,Parámetros!$D$100,0))),2))</f>
        <v>0</v>
      </c>
      <c r="AU187" s="66">
        <f t="shared" si="256"/>
        <v>0</v>
      </c>
      <c r="AV187" s="66">
        <f t="shared" si="256"/>
        <v>0</v>
      </c>
      <c r="AW187" s="66">
        <f>+IF($W187="","",ROUND((AT187*Parámetros!$G$85),2))</f>
        <v>0</v>
      </c>
      <c r="AX187" s="66">
        <f>+IF($W187="","",ROUND((AT187*(Parámetros!$G$86)),2))</f>
        <v>0</v>
      </c>
      <c r="AY187" s="66">
        <f t="shared" si="257"/>
        <v>0</v>
      </c>
      <c r="AZ187" t="str">
        <f t="shared" si="299"/>
        <v>00060</v>
      </c>
      <c r="BA187" t="str">
        <f t="shared" si="300"/>
        <v>Muerte Accidental</v>
      </c>
      <c r="BB187" s="118">
        <f t="shared" si="301"/>
        <v>0</v>
      </c>
      <c r="BC187" s="118" t="str">
        <f t="shared" si="302"/>
        <v>A</v>
      </c>
      <c r="BD187" s="119" t="str">
        <f>+IF(OR($W187="",BB187=0),"",ROUND((VLOOKUP(ROUNDDOWN($D187-1/frec,0),cob_adi,AO$40,FALSE)*(1+i/frec)^-0.5*(1+Parámetros!$D$103)*(1+rec_fracc)/frec),6))</f>
        <v/>
      </c>
      <c r="BE187" s="66">
        <f t="shared" si="258"/>
        <v>0</v>
      </c>
      <c r="BF187" s="119" t="str">
        <f t="shared" si="259"/>
        <v/>
      </c>
      <c r="BG187" s="66">
        <f>+IF($W187="","",ROUND(IF($B187&gt;Parámetros!$D$107,'Tablas Servicio'!BE187+('Tablas Servicio'!BG186-'Tablas Servicio'!BE186),BE187/(1-IF(B187&lt;=10,Parámetros!$D$100,0))),2))</f>
        <v>0</v>
      </c>
      <c r="BH187" s="66">
        <f t="shared" si="260"/>
        <v>0</v>
      </c>
      <c r="BI187" s="66">
        <f t="shared" si="261"/>
        <v>0</v>
      </c>
      <c r="BJ187" s="66">
        <f>+IF($W187="","",ROUND((BG187*Parámetros!$G$85),2))</f>
        <v>0</v>
      </c>
      <c r="BK187" s="66">
        <f>+IF($W187="","",ROUND((BG187*(Parámetros!$G$86)),2))</f>
        <v>0</v>
      </c>
      <c r="BL187" s="66">
        <f t="shared" si="262"/>
        <v>0</v>
      </c>
      <c r="BM187" t="str">
        <f t="shared" si="303"/>
        <v>00061</v>
      </c>
      <c r="BN187" t="str">
        <f t="shared" si="304"/>
        <v>Gastos de Entierro</v>
      </c>
      <c r="BO187" s="118">
        <f t="shared" si="305"/>
        <v>0</v>
      </c>
      <c r="BP187" s="118" t="str">
        <f t="shared" si="306"/>
        <v>A</v>
      </c>
      <c r="BQ187" s="119" t="str">
        <f>+IF(OR($W187="",BO187=0),"",ROUND((VLOOKUP(ROUNDDOWN($D187-1/frec,0),cob_adi,BB$40,FALSE)*(1+i/frec)^-0.5*(1+Parámetros!$D$103)*(1+rec_fracc)/frec),6))</f>
        <v/>
      </c>
      <c r="BR187" s="66">
        <f t="shared" si="263"/>
        <v>0</v>
      </c>
      <c r="BS187" s="119" t="str">
        <f t="shared" si="264"/>
        <v/>
      </c>
      <c r="BT187" s="66">
        <f>+IF($W187="","",ROUND(IF($B187&gt;Parámetros!$D$107,'Tablas Servicio'!BR187+('Tablas Servicio'!BT186-'Tablas Servicio'!BR186),BR187/(1-IF(B187&lt;=10,Parámetros!$D$100,0))),2))</f>
        <v>0</v>
      </c>
      <c r="BU187" s="66">
        <f t="shared" si="265"/>
        <v>0</v>
      </c>
      <c r="BV187" s="66">
        <f t="shared" si="265"/>
        <v>0</v>
      </c>
      <c r="BW187" s="66">
        <f>+IF($W187="","",ROUND((BT187*Parámetros!$G$85),2))</f>
        <v>0</v>
      </c>
      <c r="BX187" s="66">
        <f>+IF($W187="","",ROUND((BT187*(Parámetros!$G$86)),2))</f>
        <v>0</v>
      </c>
      <c r="BY187" s="66">
        <f t="shared" si="266"/>
        <v>0</v>
      </c>
      <c r="BZ187" t="str">
        <f t="shared" si="307"/>
        <v>00062</v>
      </c>
      <c r="CA187" t="str">
        <f t="shared" si="308"/>
        <v>Gastos médicos por accidente</v>
      </c>
      <c r="CB187" s="118">
        <f t="shared" si="309"/>
        <v>0</v>
      </c>
      <c r="CC187" s="118" t="str">
        <f t="shared" si="310"/>
        <v>A</v>
      </c>
      <c r="CD187" s="119" t="str">
        <f t="shared" si="267"/>
        <v/>
      </c>
      <c r="CE187" s="66">
        <f>+IF($W187="","",ROUND((VLOOKUP(ROUNDDOWN($D187-1/frec,0),cob_adi,BO$40,FALSE)*(1+i/frec)^-0.5*(1+Parámetros!$D$103)*(1+rec_fracc)/frec*'TABLAS ADI'!$BC$17),2))</f>
        <v>0</v>
      </c>
      <c r="CF187" s="119" t="str">
        <f t="shared" si="268"/>
        <v/>
      </c>
      <c r="CG187" s="66">
        <f>+IF($W187="","",ROUND(IF($B187&gt;Parámetros!$D$107,'Tablas Servicio'!CE187+('Tablas Servicio'!CG186-'Tablas Servicio'!CE186),CE187/(1-IF(B187&lt;=10,Parámetros!$D$100,0))),2))</f>
        <v>0</v>
      </c>
      <c r="CH187" s="66">
        <f t="shared" si="269"/>
        <v>0</v>
      </c>
      <c r="CI187" s="66">
        <f t="shared" si="269"/>
        <v>0</v>
      </c>
      <c r="CJ187" s="66">
        <f>+IF($W187="","",ROUND((CG187*Parámetros!$G$85),2))</f>
        <v>0</v>
      </c>
      <c r="CK187" s="66">
        <f>+IF($W187="","",ROUND((CG187*(Parámetros!$G$86)),2))</f>
        <v>0</v>
      </c>
      <c r="CL187" s="66">
        <f t="shared" si="270"/>
        <v>0</v>
      </c>
      <c r="CM187" t="str">
        <f t="shared" si="311"/>
        <v>00063</v>
      </c>
      <c r="CN187" s="118" t="str">
        <f t="shared" si="312"/>
        <v>Renta Diaria por Hospitalización</v>
      </c>
      <c r="CO187" s="118">
        <f t="shared" si="313"/>
        <v>0</v>
      </c>
      <c r="CP187" s="118" t="str">
        <f t="shared" si="314"/>
        <v>A</v>
      </c>
      <c r="CQ187" s="119" t="str">
        <f t="shared" si="271"/>
        <v/>
      </c>
      <c r="CR187" s="66">
        <f>+IF($W187="","",ROUND((VLOOKUP(Parámetros!$F$51,'COBERTURAS ADICIONALES'!$S$4:$T$32,2,FALSE)*(1+i/frec)^-0.5*(1+Parámetros!$D$103)*(1+rec_fracc)/frec*$CO$42),2))</f>
        <v>0</v>
      </c>
      <c r="CS187" s="119" t="str">
        <f t="shared" si="272"/>
        <v/>
      </c>
      <c r="CT187" s="66">
        <f>+IF($W187="","",ROUND(IF($B187&gt;Parámetros!$D$107,'Tablas Servicio'!CR187+('Tablas Servicio'!CT186-'Tablas Servicio'!CR186),CR187/(1-IF(B187&lt;=10,Parámetros!$D$100,0))),2))</f>
        <v>0</v>
      </c>
      <c r="CU187" s="66">
        <f t="shared" si="273"/>
        <v>0</v>
      </c>
      <c r="CV187" s="66">
        <f t="shared" si="273"/>
        <v>0</v>
      </c>
      <c r="CW187" s="66">
        <f>+IF($W187="","",ROUND((CT187*Parámetros!$G$85),2))</f>
        <v>0</v>
      </c>
      <c r="CX187" s="66">
        <f>+IF($W187="","",ROUND((CT187*(Parámetros!$G$86)),2))</f>
        <v>0</v>
      </c>
      <c r="CY187" s="66">
        <f t="shared" si="274"/>
        <v>0</v>
      </c>
      <c r="CZ187" t="str">
        <f t="shared" si="315"/>
        <v>00064</v>
      </c>
      <c r="DA187" s="118" t="str">
        <f t="shared" si="316"/>
        <v>Enfermedades Graves</v>
      </c>
      <c r="DB187" s="118">
        <f t="shared" si="317"/>
        <v>0</v>
      </c>
      <c r="DC187" s="118" t="str">
        <f t="shared" si="318"/>
        <v>A</v>
      </c>
      <c r="DD187" s="121" t="str">
        <f>+IF(OR($W187="",DB187=0),"",ROUND((VLOOKUP(ROUNDDOWN($D187-1/frec,0),cob_adi,CO$40,FALSE)*(1+i/frec)^-0.5*(1+Parámetros!$D$103)*(1+rec_fracc)/frec),6))</f>
        <v/>
      </c>
      <c r="DE187" s="66">
        <f t="shared" si="275"/>
        <v>0</v>
      </c>
      <c r="DF187" s="119" t="str">
        <f t="shared" si="276"/>
        <v/>
      </c>
      <c r="DG187" s="66">
        <f>+IF($W187="","",ROUND(IF($B187&gt;Parámetros!$D$107,'Tablas Servicio'!DE187+('Tablas Servicio'!DG186-'Tablas Servicio'!DE186),DE187/(1-IF(B187&lt;=10,Parámetros!$D$100,0))),2))</f>
        <v>0</v>
      </c>
      <c r="DH187" s="66">
        <f t="shared" si="277"/>
        <v>0</v>
      </c>
      <c r="DI187" s="66">
        <f t="shared" si="277"/>
        <v>0</v>
      </c>
      <c r="DJ187" s="66">
        <f>+IF($W187="","",ROUND((DG187*Parámetros!$G$85),2))</f>
        <v>0</v>
      </c>
      <c r="DK187" s="66">
        <f>+IF($W187="","",ROUND((DG187*(Parámetros!$G$86)),2))</f>
        <v>0</v>
      </c>
      <c r="DL187" s="66">
        <f t="shared" si="278"/>
        <v>0</v>
      </c>
      <c r="DM187" t="str">
        <f t="shared" si="319"/>
        <v>00065</v>
      </c>
      <c r="DN187" s="118" t="str">
        <f t="shared" si="320"/>
        <v>Exención pago de primas</v>
      </c>
      <c r="DO187" s="118">
        <f t="shared" si="321"/>
        <v>0</v>
      </c>
      <c r="DP187" s="118" t="str">
        <f t="shared" si="322"/>
        <v>A</v>
      </c>
      <c r="DQ187" s="122" t="str">
        <f>+IF(OR($W187="",DO187=0),"",ROUND((VLOOKUP(ROUNDDOWN($D187-1/frec,0),cob_adi,DB$40,FALSE)*(1+i/frec)^-0.5*(1+Parámetros!$D$103)*(1+rec_fracc)/frec),6))</f>
        <v/>
      </c>
      <c r="DR187" s="66">
        <f t="shared" si="279"/>
        <v>0</v>
      </c>
      <c r="DS187" s="68" t="str">
        <f t="shared" si="280"/>
        <v/>
      </c>
      <c r="DT187" s="66">
        <f>+IF($W187="","",ROUND(IF($B187&gt;Parámetros!$D$107,'Tablas Servicio'!DR187+('Tablas Servicio'!DT186-'Tablas Servicio'!DR186),DR187/(1-IF(B187&lt;=10,Parámetros!$D$100,0))),2))</f>
        <v>0</v>
      </c>
      <c r="DU187" s="66">
        <f t="shared" si="281"/>
        <v>0</v>
      </c>
      <c r="DV187" s="66">
        <f t="shared" si="281"/>
        <v>0</v>
      </c>
      <c r="DW187" s="66">
        <f>+IF($W187="","",ROUND((DT187*Parámetros!$G$85),2))</f>
        <v>0</v>
      </c>
      <c r="DX187" s="66">
        <f>+IF($W187="","",ROUND((DT187*(Parámetros!$G$86)),2))</f>
        <v>0</v>
      </c>
      <c r="DY187" s="66">
        <f t="shared" si="282"/>
        <v>0</v>
      </c>
      <c r="DZ187" t="str">
        <f t="shared" ref="DZ187:EC202" si="323">+IF($W187="","",DZ186)</f>
        <v>00066</v>
      </c>
      <c r="EA187" s="118" t="str">
        <f t="shared" si="323"/>
        <v>Enfermedad terminal</v>
      </c>
      <c r="EB187" s="118">
        <f>+IF($W187="","",ROUND(IF(Parámetros!$D$25='TABLAS MORT'!$V$33,EB186,Z187/2),0))</f>
        <v>50000</v>
      </c>
      <c r="EC187" s="118" t="str">
        <f t="shared" si="323"/>
        <v>A</v>
      </c>
      <c r="ED187" s="122">
        <f>+IF(OR($W187="",EB187=0),"",ROUND((VLOOKUP(ROUNDDOWN($D187-1/frec,0),cob_adi,DO$40,FALSE)*(1+i/frec)^-0.5*(1+Parámetros!$D$103)*(1+rec_fracc)/frec),6))</f>
        <v>1.8E-5</v>
      </c>
      <c r="EE187" s="66">
        <f t="shared" si="284"/>
        <v>0.9</v>
      </c>
      <c r="EF187" s="68">
        <f t="shared" si="285"/>
        <v>1.8E-5</v>
      </c>
      <c r="EG187" s="66">
        <f>+IF($W187="","",ROUND(IF($B187&gt;Parámetros!$D$107,'Tablas Servicio'!EE187+('Tablas Servicio'!EG186-'Tablas Servicio'!EE186),EE187/(1-IF(B187&lt;=10,Parámetros!$D$100,0))),2))</f>
        <v>0.9</v>
      </c>
      <c r="EH187" s="66">
        <f t="shared" si="286"/>
        <v>0</v>
      </c>
      <c r="EI187" s="66">
        <f t="shared" si="286"/>
        <v>0</v>
      </c>
      <c r="EJ187" s="66">
        <f>+IF($W187="","",ROUND((EG187*Parámetros!$G$85),2))</f>
        <v>0.03</v>
      </c>
      <c r="EK187" s="66">
        <f>+IF($W187="","",ROUND((EG187*(Parámetros!$G$86)),2))</f>
        <v>0</v>
      </c>
      <c r="EL187" s="66">
        <f t="shared" si="287"/>
        <v>0.93</v>
      </c>
    </row>
    <row r="188" spans="1:142" x14ac:dyDescent="0.25">
      <c r="A188">
        <f>+IF($C188="","",ROUND(VLOOKUP('Tablas Servicio'!B188,Parámetros!$H$100:$J$159,IF(Parámetros!$E$16="F",2,3),FALSE),2))</f>
        <v>150</v>
      </c>
      <c r="B188">
        <f t="shared" si="238"/>
        <v>13</v>
      </c>
      <c r="C188" s="57">
        <f>+IF(D188="","",'Tablas Servicio'!C187+1)</f>
        <v>147</v>
      </c>
      <c r="D188" s="56">
        <f>+IF(D187&lt;edadmaxtabla,D187+1/Parámetros!$E$25,"")</f>
        <v>52.270000000000351</v>
      </c>
      <c r="E188" s="57">
        <f t="shared" si="248"/>
        <v>52</v>
      </c>
      <c r="F188" s="59">
        <f t="shared" si="249"/>
        <v>100000</v>
      </c>
      <c r="G188" s="66">
        <f t="shared" si="239"/>
        <v>39.1</v>
      </c>
      <c r="H188" s="66">
        <f t="shared" si="240"/>
        <v>40.659999999999997</v>
      </c>
      <c r="I188" s="66">
        <f t="shared" si="288"/>
        <v>53.34</v>
      </c>
      <c r="J188" s="66">
        <f t="shared" si="241"/>
        <v>1.37</v>
      </c>
      <c r="K188" s="66">
        <f t="shared" si="242"/>
        <v>0.19</v>
      </c>
      <c r="L188" s="66">
        <f t="shared" si="243"/>
        <v>0</v>
      </c>
      <c r="M188" s="66">
        <f t="shared" si="244"/>
        <v>0</v>
      </c>
      <c r="N188" s="66">
        <f>+IF(C188="","",ROUND(Parámetros!$D$23,2))</f>
        <v>94</v>
      </c>
      <c r="O188" s="66">
        <f t="shared" si="245"/>
        <v>26.599999999999998</v>
      </c>
      <c r="P188" s="66">
        <f>+IF($C188="","",ROUND(IF(B188&gt;Parámetros!$D$117,0,N188*Parámetros!$D$116-G188*Parámetros!$D$100),2))</f>
        <v>0</v>
      </c>
      <c r="Q188" s="75">
        <f t="shared" si="289"/>
        <v>3.5038363171355502E-2</v>
      </c>
      <c r="R188" s="75">
        <f t="shared" si="290"/>
        <v>4.8593350383631714E-3</v>
      </c>
      <c r="S188" s="117">
        <f>+IF($C188="","",ROUND((S187+I188)*(1+Parámetros!$D$91),2))</f>
        <v>10007.33</v>
      </c>
      <c r="T188" s="117">
        <f>+IF($C188="","",ROUND(S188*VLOOKUP(B188,Parámetros!$C$30:$D$39,2,TRUE),2))</f>
        <v>10007.33</v>
      </c>
      <c r="U188" s="117">
        <f>+IF($C188="","",ROUND((U187+I188)*(1+Parámetros!$D$92),2))</f>
        <v>10342.709999999999</v>
      </c>
      <c r="V188" s="117">
        <f>+IF($C188="","",ROUND(U188*VLOOKUP(B188,Parámetros!$C$30:$D$39,2,TRUE),2))</f>
        <v>10342.709999999999</v>
      </c>
      <c r="W188" s="57">
        <f t="shared" si="291"/>
        <v>147</v>
      </c>
      <c r="X188" t="str">
        <f t="shared" si="292"/>
        <v>00058</v>
      </c>
      <c r="Y188" t="str">
        <f t="shared" si="293"/>
        <v>MUERTE POR CUALQUIER CAUSA</v>
      </c>
      <c r="Z188" s="118">
        <f>+IF($W188="","",ROUND(IF(Parámetros!$D$25='TABLAS MORT'!$V$33,Z187,Parámetros!$D$21-'Tablas Servicio'!T187),0))</f>
        <v>100000</v>
      </c>
      <c r="AA188" s="118" t="str">
        <f t="shared" si="294"/>
        <v>P</v>
      </c>
      <c r="AB188" s="119">
        <f>+IF(W188="","",ROUND((VLOOKUP(ROUNDDOWN($D188-1/frec,0),qx_tabla,2,FALSE)*(1+i/frec)^-0.5*(1+Parámetros!$D$103)*(1+rec_fracc)/frec),6))</f>
        <v>2.5700000000000001E-4</v>
      </c>
      <c r="AC188" s="66">
        <f t="shared" si="250"/>
        <v>25.7</v>
      </c>
      <c r="AD188" s="119">
        <f t="shared" si="246"/>
        <v>3.8200000000000002E-4</v>
      </c>
      <c r="AE188" s="66">
        <f>+IF($W188="","",ROUND(IF($B188&gt;Parámetros!$D$107,'Tablas Servicio'!AC188+('Tablas Servicio'!AG187-'Tablas Servicio'!AC187),AC188/(1-IF(B188&lt;=10,Parámetros!$D$104,Parámetros!$D$105))),2))</f>
        <v>42.83</v>
      </c>
      <c r="AF188" s="66">
        <f>+IF($W188="","",ROUND(IF($B188&gt;Parámetros!$D$107,'Tablas Servicio'!AC188+('Tablas Servicio'!AG187-'Tablas Servicio'!AC187),(AC188+$A187/frec)/(1-IF(B188&lt;=Parámetros!$D$117,Parámetros!$D$100,0))),2))</f>
        <v>38.200000000000003</v>
      </c>
      <c r="AG188" s="66">
        <f t="shared" si="251"/>
        <v>38.200000000000003</v>
      </c>
      <c r="AH188" s="66">
        <f t="shared" si="252"/>
        <v>0</v>
      </c>
      <c r="AI188" s="66">
        <f t="shared" si="253"/>
        <v>0</v>
      </c>
      <c r="AJ188" s="66">
        <f>+IF($W188="","",ROUND((AG188*Parámetros!$G$85),2))</f>
        <v>1.34</v>
      </c>
      <c r="AK188" s="66">
        <f>+IF($W188="","",ROUND((AG188*(Parámetros!$G$86)),2))</f>
        <v>0.19</v>
      </c>
      <c r="AL188" s="66">
        <f t="shared" si="247"/>
        <v>39.729999999999997</v>
      </c>
      <c r="AM188" t="str">
        <f t="shared" si="295"/>
        <v>00059</v>
      </c>
      <c r="AN188" t="str">
        <f t="shared" si="296"/>
        <v>Incapacidad Total y Permanente</v>
      </c>
      <c r="AO188" s="118">
        <f t="shared" si="297"/>
        <v>0</v>
      </c>
      <c r="AP188" s="118" t="str">
        <f t="shared" si="298"/>
        <v>A</v>
      </c>
      <c r="AQ188" s="119" t="str">
        <f>+IF(OR($W188="",AO188=0),"",ROUND((VLOOKUP(ROUNDDOWN($D188-1/frec,0),cob_adi,Z$40,FALSE)*(1+i/frec)^-0.5*(1+Parámetros!$D$103)*(1+rec_fracc)/frec),6))</f>
        <v/>
      </c>
      <c r="AR188" s="66">
        <f t="shared" si="254"/>
        <v>0</v>
      </c>
      <c r="AS188" s="119" t="str">
        <f t="shared" si="255"/>
        <v/>
      </c>
      <c r="AT188" s="66">
        <f>+IF($W188="","",ROUND(IF($B188&gt;Parámetros!$D$107,'Tablas Servicio'!AR188+('Tablas Servicio'!AT187-'Tablas Servicio'!AR187),AR188/(1-IF(B188&lt;=10,Parámetros!$D$100,0))),2))</f>
        <v>0</v>
      </c>
      <c r="AU188" s="66">
        <f t="shared" si="256"/>
        <v>0</v>
      </c>
      <c r="AV188" s="66">
        <f t="shared" si="256"/>
        <v>0</v>
      </c>
      <c r="AW188" s="66">
        <f>+IF($W188="","",ROUND((AT188*Parámetros!$G$85),2))</f>
        <v>0</v>
      </c>
      <c r="AX188" s="66">
        <f>+IF($W188="","",ROUND((AT188*(Parámetros!$G$86)),2))</f>
        <v>0</v>
      </c>
      <c r="AY188" s="66">
        <f t="shared" si="257"/>
        <v>0</v>
      </c>
      <c r="AZ188" t="str">
        <f t="shared" si="299"/>
        <v>00060</v>
      </c>
      <c r="BA188" t="str">
        <f t="shared" si="300"/>
        <v>Muerte Accidental</v>
      </c>
      <c r="BB188" s="118">
        <f t="shared" si="301"/>
        <v>0</v>
      </c>
      <c r="BC188" s="118" t="str">
        <f t="shared" si="302"/>
        <v>A</v>
      </c>
      <c r="BD188" s="119" t="str">
        <f>+IF(OR($W188="",BB188=0),"",ROUND((VLOOKUP(ROUNDDOWN($D188-1/frec,0),cob_adi,AO$40,FALSE)*(1+i/frec)^-0.5*(1+Parámetros!$D$103)*(1+rec_fracc)/frec),6))</f>
        <v/>
      </c>
      <c r="BE188" s="66">
        <f t="shared" si="258"/>
        <v>0</v>
      </c>
      <c r="BF188" s="119" t="str">
        <f t="shared" si="259"/>
        <v/>
      </c>
      <c r="BG188" s="66">
        <f>+IF($W188="","",ROUND(IF($B188&gt;Parámetros!$D$107,'Tablas Servicio'!BE188+('Tablas Servicio'!BG187-'Tablas Servicio'!BE187),BE188/(1-IF(B188&lt;=10,Parámetros!$D$100,0))),2))</f>
        <v>0</v>
      </c>
      <c r="BH188" s="66">
        <f t="shared" si="260"/>
        <v>0</v>
      </c>
      <c r="BI188" s="66">
        <f t="shared" si="261"/>
        <v>0</v>
      </c>
      <c r="BJ188" s="66">
        <f>+IF($W188="","",ROUND((BG188*Parámetros!$G$85),2))</f>
        <v>0</v>
      </c>
      <c r="BK188" s="66">
        <f>+IF($W188="","",ROUND((BG188*(Parámetros!$G$86)),2))</f>
        <v>0</v>
      </c>
      <c r="BL188" s="66">
        <f t="shared" si="262"/>
        <v>0</v>
      </c>
      <c r="BM188" t="str">
        <f t="shared" si="303"/>
        <v>00061</v>
      </c>
      <c r="BN188" t="str">
        <f t="shared" si="304"/>
        <v>Gastos de Entierro</v>
      </c>
      <c r="BO188" s="118">
        <f t="shared" si="305"/>
        <v>0</v>
      </c>
      <c r="BP188" s="118" t="str">
        <f t="shared" si="306"/>
        <v>A</v>
      </c>
      <c r="BQ188" s="119" t="str">
        <f>+IF(OR($W188="",BO188=0),"",ROUND((VLOOKUP(ROUNDDOWN($D188-1/frec,0),cob_adi,BB$40,FALSE)*(1+i/frec)^-0.5*(1+Parámetros!$D$103)*(1+rec_fracc)/frec),6))</f>
        <v/>
      </c>
      <c r="BR188" s="66">
        <f t="shared" si="263"/>
        <v>0</v>
      </c>
      <c r="BS188" s="119" t="str">
        <f t="shared" si="264"/>
        <v/>
      </c>
      <c r="BT188" s="66">
        <f>+IF($W188="","",ROUND(IF($B188&gt;Parámetros!$D$107,'Tablas Servicio'!BR188+('Tablas Servicio'!BT187-'Tablas Servicio'!BR187),BR188/(1-IF(B188&lt;=10,Parámetros!$D$100,0))),2))</f>
        <v>0</v>
      </c>
      <c r="BU188" s="66">
        <f t="shared" si="265"/>
        <v>0</v>
      </c>
      <c r="BV188" s="66">
        <f t="shared" si="265"/>
        <v>0</v>
      </c>
      <c r="BW188" s="66">
        <f>+IF($W188="","",ROUND((BT188*Parámetros!$G$85),2))</f>
        <v>0</v>
      </c>
      <c r="BX188" s="66">
        <f>+IF($W188="","",ROUND((BT188*(Parámetros!$G$86)),2))</f>
        <v>0</v>
      </c>
      <c r="BY188" s="66">
        <f t="shared" si="266"/>
        <v>0</v>
      </c>
      <c r="BZ188" t="str">
        <f t="shared" si="307"/>
        <v>00062</v>
      </c>
      <c r="CA188" t="str">
        <f t="shared" si="308"/>
        <v>Gastos médicos por accidente</v>
      </c>
      <c r="CB188" s="118">
        <f t="shared" si="309"/>
        <v>0</v>
      </c>
      <c r="CC188" s="118" t="str">
        <f t="shared" si="310"/>
        <v>A</v>
      </c>
      <c r="CD188" s="119" t="str">
        <f t="shared" si="267"/>
        <v/>
      </c>
      <c r="CE188" s="66">
        <f>+IF($W188="","",ROUND((VLOOKUP(ROUNDDOWN($D188-1/frec,0),cob_adi,BO$40,FALSE)*(1+i/frec)^-0.5*(1+Parámetros!$D$103)*(1+rec_fracc)/frec*'TABLAS ADI'!$BC$17),2))</f>
        <v>0</v>
      </c>
      <c r="CF188" s="119" t="str">
        <f t="shared" si="268"/>
        <v/>
      </c>
      <c r="CG188" s="66">
        <f>+IF($W188="","",ROUND(IF($B188&gt;Parámetros!$D$107,'Tablas Servicio'!CE188+('Tablas Servicio'!CG187-'Tablas Servicio'!CE187),CE188/(1-IF(B188&lt;=10,Parámetros!$D$100,0))),2))</f>
        <v>0</v>
      </c>
      <c r="CH188" s="66">
        <f t="shared" si="269"/>
        <v>0</v>
      </c>
      <c r="CI188" s="66">
        <f t="shared" si="269"/>
        <v>0</v>
      </c>
      <c r="CJ188" s="66">
        <f>+IF($W188="","",ROUND((CG188*Parámetros!$G$85),2))</f>
        <v>0</v>
      </c>
      <c r="CK188" s="66">
        <f>+IF($W188="","",ROUND((CG188*(Parámetros!$G$86)),2))</f>
        <v>0</v>
      </c>
      <c r="CL188" s="66">
        <f t="shared" si="270"/>
        <v>0</v>
      </c>
      <c r="CM188" t="str">
        <f t="shared" si="311"/>
        <v>00063</v>
      </c>
      <c r="CN188" s="118" t="str">
        <f t="shared" si="312"/>
        <v>Renta Diaria por Hospitalización</v>
      </c>
      <c r="CO188" s="118">
        <f t="shared" si="313"/>
        <v>0</v>
      </c>
      <c r="CP188" s="118" t="str">
        <f t="shared" si="314"/>
        <v>A</v>
      </c>
      <c r="CQ188" s="119" t="str">
        <f t="shared" si="271"/>
        <v/>
      </c>
      <c r="CR188" s="66">
        <f>+IF($W188="","",ROUND((VLOOKUP(Parámetros!$F$51,'COBERTURAS ADICIONALES'!$S$4:$T$32,2,FALSE)*(1+i/frec)^-0.5*(1+Parámetros!$D$103)*(1+rec_fracc)/frec*$CO$42),2))</f>
        <v>0</v>
      </c>
      <c r="CS188" s="119" t="str">
        <f t="shared" si="272"/>
        <v/>
      </c>
      <c r="CT188" s="66">
        <f>+IF($W188="","",ROUND(IF($B188&gt;Parámetros!$D$107,'Tablas Servicio'!CR188+('Tablas Servicio'!CT187-'Tablas Servicio'!CR187),CR188/(1-IF(B188&lt;=10,Parámetros!$D$100,0))),2))</f>
        <v>0</v>
      </c>
      <c r="CU188" s="66">
        <f t="shared" si="273"/>
        <v>0</v>
      </c>
      <c r="CV188" s="66">
        <f t="shared" si="273"/>
        <v>0</v>
      </c>
      <c r="CW188" s="66">
        <f>+IF($W188="","",ROUND((CT188*Parámetros!$G$85),2))</f>
        <v>0</v>
      </c>
      <c r="CX188" s="66">
        <f>+IF($W188="","",ROUND((CT188*(Parámetros!$G$86)),2))</f>
        <v>0</v>
      </c>
      <c r="CY188" s="66">
        <f t="shared" si="274"/>
        <v>0</v>
      </c>
      <c r="CZ188" t="str">
        <f t="shared" si="315"/>
        <v>00064</v>
      </c>
      <c r="DA188" s="118" t="str">
        <f t="shared" si="316"/>
        <v>Enfermedades Graves</v>
      </c>
      <c r="DB188" s="118">
        <f t="shared" si="317"/>
        <v>0</v>
      </c>
      <c r="DC188" s="118" t="str">
        <f t="shared" si="318"/>
        <v>A</v>
      </c>
      <c r="DD188" s="121" t="str">
        <f>+IF(OR($W188="",DB188=0),"",ROUND((VLOOKUP(ROUNDDOWN($D188-1/frec,0),cob_adi,CO$40,FALSE)*(1+i/frec)^-0.5*(1+Parámetros!$D$103)*(1+rec_fracc)/frec),6))</f>
        <v/>
      </c>
      <c r="DE188" s="66">
        <f t="shared" si="275"/>
        <v>0</v>
      </c>
      <c r="DF188" s="119" t="str">
        <f t="shared" si="276"/>
        <v/>
      </c>
      <c r="DG188" s="66">
        <f>+IF($W188="","",ROUND(IF($B188&gt;Parámetros!$D$107,'Tablas Servicio'!DE188+('Tablas Servicio'!DG187-'Tablas Servicio'!DE187),DE188/(1-IF(B188&lt;=10,Parámetros!$D$100,0))),2))</f>
        <v>0</v>
      </c>
      <c r="DH188" s="66">
        <f t="shared" si="277"/>
        <v>0</v>
      </c>
      <c r="DI188" s="66">
        <f t="shared" si="277"/>
        <v>0</v>
      </c>
      <c r="DJ188" s="66">
        <f>+IF($W188="","",ROUND((DG188*Parámetros!$G$85),2))</f>
        <v>0</v>
      </c>
      <c r="DK188" s="66">
        <f>+IF($W188="","",ROUND((DG188*(Parámetros!$G$86)),2))</f>
        <v>0</v>
      </c>
      <c r="DL188" s="66">
        <f t="shared" si="278"/>
        <v>0</v>
      </c>
      <c r="DM188" t="str">
        <f t="shared" si="319"/>
        <v>00065</v>
      </c>
      <c r="DN188" s="118" t="str">
        <f t="shared" si="320"/>
        <v>Exención pago de primas</v>
      </c>
      <c r="DO188" s="118">
        <f t="shared" si="321"/>
        <v>0</v>
      </c>
      <c r="DP188" s="118" t="str">
        <f t="shared" si="322"/>
        <v>A</v>
      </c>
      <c r="DQ188" s="122" t="str">
        <f>+IF(OR($W188="",DO188=0),"",ROUND((VLOOKUP(ROUNDDOWN($D188-1/frec,0),cob_adi,DB$40,FALSE)*(1+i/frec)^-0.5*(1+Parámetros!$D$103)*(1+rec_fracc)/frec),6))</f>
        <v/>
      </c>
      <c r="DR188" s="66">
        <f t="shared" si="279"/>
        <v>0</v>
      </c>
      <c r="DS188" s="68" t="str">
        <f t="shared" si="280"/>
        <v/>
      </c>
      <c r="DT188" s="66">
        <f>+IF($W188="","",ROUND(IF($B188&gt;Parámetros!$D$107,'Tablas Servicio'!DR188+('Tablas Servicio'!DT187-'Tablas Servicio'!DR187),DR188/(1-IF(B188&lt;=10,Parámetros!$D$100,0))),2))</f>
        <v>0</v>
      </c>
      <c r="DU188" s="66">
        <f t="shared" si="281"/>
        <v>0</v>
      </c>
      <c r="DV188" s="66">
        <f t="shared" si="281"/>
        <v>0</v>
      </c>
      <c r="DW188" s="66">
        <f>+IF($W188="","",ROUND((DT188*Parámetros!$G$85),2))</f>
        <v>0</v>
      </c>
      <c r="DX188" s="66">
        <f>+IF($W188="","",ROUND((DT188*(Parámetros!$G$86)),2))</f>
        <v>0</v>
      </c>
      <c r="DY188" s="66">
        <f t="shared" si="282"/>
        <v>0</v>
      </c>
      <c r="DZ188" t="str">
        <f t="shared" si="323"/>
        <v>00066</v>
      </c>
      <c r="EA188" s="118" t="str">
        <f t="shared" si="323"/>
        <v>Enfermedad terminal</v>
      </c>
      <c r="EB188" s="118">
        <f>+IF($W188="","",ROUND(IF(Parámetros!$D$25='TABLAS MORT'!$V$33,EB187,Z188/2),0))</f>
        <v>50000</v>
      </c>
      <c r="EC188" s="118" t="str">
        <f t="shared" si="323"/>
        <v>A</v>
      </c>
      <c r="ED188" s="122">
        <f>+IF(OR($W188="",EB188=0),"",ROUND((VLOOKUP(ROUNDDOWN($D188-1/frec,0),cob_adi,DO$40,FALSE)*(1+i/frec)^-0.5*(1+Parámetros!$D$103)*(1+rec_fracc)/frec),6))</f>
        <v>1.8E-5</v>
      </c>
      <c r="EE188" s="66">
        <f t="shared" si="284"/>
        <v>0.9</v>
      </c>
      <c r="EF188" s="68">
        <f t="shared" si="285"/>
        <v>1.8E-5</v>
      </c>
      <c r="EG188" s="66">
        <f>+IF($W188="","",ROUND(IF($B188&gt;Parámetros!$D$107,'Tablas Servicio'!EE188+('Tablas Servicio'!EG187-'Tablas Servicio'!EE187),EE188/(1-IF(B188&lt;=10,Parámetros!$D$100,0))),2))</f>
        <v>0.9</v>
      </c>
      <c r="EH188" s="66">
        <f t="shared" si="286"/>
        <v>0</v>
      </c>
      <c r="EI188" s="66">
        <f t="shared" si="286"/>
        <v>0</v>
      </c>
      <c r="EJ188" s="66">
        <f>+IF($W188="","",ROUND((EG188*Parámetros!$G$85),2))</f>
        <v>0.03</v>
      </c>
      <c r="EK188" s="66">
        <f>+IF($W188="","",ROUND((EG188*(Parámetros!$G$86)),2))</f>
        <v>0</v>
      </c>
      <c r="EL188" s="66">
        <f t="shared" si="287"/>
        <v>0.93</v>
      </c>
    </row>
    <row r="189" spans="1:142" x14ac:dyDescent="0.25">
      <c r="A189">
        <f>+IF($C189="","",ROUND(VLOOKUP('Tablas Servicio'!B189,Parámetros!$H$100:$J$159,IF(Parámetros!$E$16="F",2,3),FALSE),2))</f>
        <v>150</v>
      </c>
      <c r="B189">
        <f t="shared" si="238"/>
        <v>13</v>
      </c>
      <c r="C189" s="57">
        <f>+IF(D189="","",'Tablas Servicio'!C188+1)</f>
        <v>148</v>
      </c>
      <c r="D189" s="56">
        <f>+IF(D188&lt;edadmaxtabla,D188+1/Parámetros!$E$25,"")</f>
        <v>52.353333333333687</v>
      </c>
      <c r="E189" s="57">
        <f t="shared" si="248"/>
        <v>52</v>
      </c>
      <c r="F189" s="59">
        <f t="shared" si="249"/>
        <v>100000</v>
      </c>
      <c r="G189" s="66">
        <f t="shared" si="239"/>
        <v>39.1</v>
      </c>
      <c r="H189" s="66">
        <f t="shared" si="240"/>
        <v>40.659999999999997</v>
      </c>
      <c r="I189" s="66">
        <f t="shared" si="288"/>
        <v>53.34</v>
      </c>
      <c r="J189" s="66">
        <f t="shared" si="241"/>
        <v>1.37</v>
      </c>
      <c r="K189" s="66">
        <f t="shared" si="242"/>
        <v>0.19</v>
      </c>
      <c r="L189" s="66">
        <f t="shared" si="243"/>
        <v>0</v>
      </c>
      <c r="M189" s="66">
        <f t="shared" si="244"/>
        <v>0</v>
      </c>
      <c r="N189" s="66">
        <f>+IF(C189="","",ROUND(Parámetros!$D$23,2))</f>
        <v>94</v>
      </c>
      <c r="O189" s="66">
        <f t="shared" si="245"/>
        <v>26.599999999999998</v>
      </c>
      <c r="P189" s="66">
        <f>+IF($C189="","",ROUND(IF(B189&gt;Parámetros!$D$117,0,N189*Parámetros!$D$116-G189*Parámetros!$D$100),2))</f>
        <v>0</v>
      </c>
      <c r="Q189" s="75">
        <f t="shared" si="289"/>
        <v>3.5038363171355502E-2</v>
      </c>
      <c r="R189" s="75">
        <f t="shared" si="290"/>
        <v>4.8593350383631714E-3</v>
      </c>
      <c r="S189" s="117">
        <f>+IF($C189="","",ROUND((S188+I189)*(1+Parámetros!$D$91),2))</f>
        <v>10089.209999999999</v>
      </c>
      <c r="T189" s="117">
        <f>+IF($C189="","",ROUND(S189*VLOOKUP(B189,Parámetros!$C$30:$D$39,2,TRUE),2))</f>
        <v>10089.209999999999</v>
      </c>
      <c r="U189" s="117">
        <f>+IF($C189="","",ROUND((U188+I189)*(1+Parámetros!$D$92),2))</f>
        <v>10429.75</v>
      </c>
      <c r="V189" s="117">
        <f>+IF($C189="","",ROUND(U189*VLOOKUP(B189,Parámetros!$C$30:$D$39,2,TRUE),2))</f>
        <v>10429.75</v>
      </c>
      <c r="W189" s="57">
        <f t="shared" si="291"/>
        <v>148</v>
      </c>
      <c r="X189" t="str">
        <f t="shared" si="292"/>
        <v>00058</v>
      </c>
      <c r="Y189" t="str">
        <f t="shared" si="293"/>
        <v>MUERTE POR CUALQUIER CAUSA</v>
      </c>
      <c r="Z189" s="118">
        <f>+IF($W189="","",ROUND(IF(Parámetros!$D$25='TABLAS MORT'!$V$33,Z188,Parámetros!$D$21-'Tablas Servicio'!T188),0))</f>
        <v>100000</v>
      </c>
      <c r="AA189" s="118" t="str">
        <f t="shared" si="294"/>
        <v>P</v>
      </c>
      <c r="AB189" s="119">
        <f>+IF(W189="","",ROUND((VLOOKUP(ROUNDDOWN($D189-1/frec,0),qx_tabla,2,FALSE)*(1+i/frec)^-0.5*(1+Parámetros!$D$103)*(1+rec_fracc)/frec),6))</f>
        <v>2.5700000000000001E-4</v>
      </c>
      <c r="AC189" s="66">
        <f t="shared" si="250"/>
        <v>25.7</v>
      </c>
      <c r="AD189" s="119">
        <f t="shared" si="246"/>
        <v>3.8200000000000002E-4</v>
      </c>
      <c r="AE189" s="66">
        <f>+IF($W189="","",ROUND(IF($B189&gt;Parámetros!$D$107,'Tablas Servicio'!AC189+('Tablas Servicio'!AG188-'Tablas Servicio'!AC188),AC189/(1-IF(B189&lt;=10,Parámetros!$D$104,Parámetros!$D$105))),2))</f>
        <v>42.83</v>
      </c>
      <c r="AF189" s="66">
        <f>+IF($W189="","",ROUND(IF($B189&gt;Parámetros!$D$107,'Tablas Servicio'!AC189+('Tablas Servicio'!AG188-'Tablas Servicio'!AC188),(AC189+$A188/frec)/(1-IF(B189&lt;=Parámetros!$D$117,Parámetros!$D$100,0))),2))</f>
        <v>38.200000000000003</v>
      </c>
      <c r="AG189" s="66">
        <f t="shared" si="251"/>
        <v>38.200000000000003</v>
      </c>
      <c r="AH189" s="66">
        <f t="shared" si="252"/>
        <v>0</v>
      </c>
      <c r="AI189" s="66">
        <f t="shared" si="253"/>
        <v>0</v>
      </c>
      <c r="AJ189" s="66">
        <f>+IF($W189="","",ROUND((AG189*Parámetros!$G$85),2))</f>
        <v>1.34</v>
      </c>
      <c r="AK189" s="66">
        <f>+IF($W189="","",ROUND((AG189*(Parámetros!$G$86)),2))</f>
        <v>0.19</v>
      </c>
      <c r="AL189" s="66">
        <f t="shared" si="247"/>
        <v>39.729999999999997</v>
      </c>
      <c r="AM189" t="str">
        <f t="shared" si="295"/>
        <v>00059</v>
      </c>
      <c r="AN189" t="str">
        <f t="shared" si="296"/>
        <v>Incapacidad Total y Permanente</v>
      </c>
      <c r="AO189" s="118">
        <f t="shared" si="297"/>
        <v>0</v>
      </c>
      <c r="AP189" s="118" t="str">
        <f t="shared" si="298"/>
        <v>A</v>
      </c>
      <c r="AQ189" s="119" t="str">
        <f>+IF(OR($W189="",AO189=0),"",ROUND((VLOOKUP(ROUNDDOWN($D189-1/frec,0),cob_adi,Z$40,FALSE)*(1+i/frec)^-0.5*(1+Parámetros!$D$103)*(1+rec_fracc)/frec),6))</f>
        <v/>
      </c>
      <c r="AR189" s="66">
        <f t="shared" si="254"/>
        <v>0</v>
      </c>
      <c r="AS189" s="119" t="str">
        <f t="shared" si="255"/>
        <v/>
      </c>
      <c r="AT189" s="66">
        <f>+IF($W189="","",ROUND(IF($B189&gt;Parámetros!$D$107,'Tablas Servicio'!AR189+('Tablas Servicio'!AT188-'Tablas Servicio'!AR188),AR189/(1-IF(B189&lt;=10,Parámetros!$D$100,0))),2))</f>
        <v>0</v>
      </c>
      <c r="AU189" s="66">
        <f t="shared" si="256"/>
        <v>0</v>
      </c>
      <c r="AV189" s="66">
        <f t="shared" si="256"/>
        <v>0</v>
      </c>
      <c r="AW189" s="66">
        <f>+IF($W189="","",ROUND((AT189*Parámetros!$G$85),2))</f>
        <v>0</v>
      </c>
      <c r="AX189" s="66">
        <f>+IF($W189="","",ROUND((AT189*(Parámetros!$G$86)),2))</f>
        <v>0</v>
      </c>
      <c r="AY189" s="66">
        <f t="shared" si="257"/>
        <v>0</v>
      </c>
      <c r="AZ189" t="str">
        <f t="shared" si="299"/>
        <v>00060</v>
      </c>
      <c r="BA189" t="str">
        <f t="shared" si="300"/>
        <v>Muerte Accidental</v>
      </c>
      <c r="BB189" s="118">
        <f t="shared" si="301"/>
        <v>0</v>
      </c>
      <c r="BC189" s="118" t="str">
        <f t="shared" si="302"/>
        <v>A</v>
      </c>
      <c r="BD189" s="119" t="str">
        <f>+IF(OR($W189="",BB189=0),"",ROUND((VLOOKUP(ROUNDDOWN($D189-1/frec,0),cob_adi,AO$40,FALSE)*(1+i/frec)^-0.5*(1+Parámetros!$D$103)*(1+rec_fracc)/frec),6))</f>
        <v/>
      </c>
      <c r="BE189" s="66">
        <f t="shared" si="258"/>
        <v>0</v>
      </c>
      <c r="BF189" s="119" t="str">
        <f t="shared" si="259"/>
        <v/>
      </c>
      <c r="BG189" s="66">
        <f>+IF($W189="","",ROUND(IF($B189&gt;Parámetros!$D$107,'Tablas Servicio'!BE189+('Tablas Servicio'!BG188-'Tablas Servicio'!BE188),BE189/(1-IF(B189&lt;=10,Parámetros!$D$100,0))),2))</f>
        <v>0</v>
      </c>
      <c r="BH189" s="66">
        <f t="shared" si="260"/>
        <v>0</v>
      </c>
      <c r="BI189" s="66">
        <f t="shared" si="261"/>
        <v>0</v>
      </c>
      <c r="BJ189" s="66">
        <f>+IF($W189="","",ROUND((BG189*Parámetros!$G$85),2))</f>
        <v>0</v>
      </c>
      <c r="BK189" s="66">
        <f>+IF($W189="","",ROUND((BG189*(Parámetros!$G$86)),2))</f>
        <v>0</v>
      </c>
      <c r="BL189" s="66">
        <f t="shared" si="262"/>
        <v>0</v>
      </c>
      <c r="BM189" t="str">
        <f t="shared" si="303"/>
        <v>00061</v>
      </c>
      <c r="BN189" t="str">
        <f t="shared" si="304"/>
        <v>Gastos de Entierro</v>
      </c>
      <c r="BO189" s="118">
        <f t="shared" si="305"/>
        <v>0</v>
      </c>
      <c r="BP189" s="118" t="str">
        <f t="shared" si="306"/>
        <v>A</v>
      </c>
      <c r="BQ189" s="119" t="str">
        <f>+IF(OR($W189="",BO189=0),"",ROUND((VLOOKUP(ROUNDDOWN($D189-1/frec,0),cob_adi,BB$40,FALSE)*(1+i/frec)^-0.5*(1+Parámetros!$D$103)*(1+rec_fracc)/frec),6))</f>
        <v/>
      </c>
      <c r="BR189" s="66">
        <f t="shared" si="263"/>
        <v>0</v>
      </c>
      <c r="BS189" s="119" t="str">
        <f t="shared" si="264"/>
        <v/>
      </c>
      <c r="BT189" s="66">
        <f>+IF($W189="","",ROUND(IF($B189&gt;Parámetros!$D$107,'Tablas Servicio'!BR189+('Tablas Servicio'!BT188-'Tablas Servicio'!BR188),BR189/(1-IF(B189&lt;=10,Parámetros!$D$100,0))),2))</f>
        <v>0</v>
      </c>
      <c r="BU189" s="66">
        <f t="shared" si="265"/>
        <v>0</v>
      </c>
      <c r="BV189" s="66">
        <f t="shared" si="265"/>
        <v>0</v>
      </c>
      <c r="BW189" s="66">
        <f>+IF($W189="","",ROUND((BT189*Parámetros!$G$85),2))</f>
        <v>0</v>
      </c>
      <c r="BX189" s="66">
        <f>+IF($W189="","",ROUND((BT189*(Parámetros!$G$86)),2))</f>
        <v>0</v>
      </c>
      <c r="BY189" s="66">
        <f t="shared" si="266"/>
        <v>0</v>
      </c>
      <c r="BZ189" t="str">
        <f t="shared" si="307"/>
        <v>00062</v>
      </c>
      <c r="CA189" t="str">
        <f t="shared" si="308"/>
        <v>Gastos médicos por accidente</v>
      </c>
      <c r="CB189" s="118">
        <f t="shared" si="309"/>
        <v>0</v>
      </c>
      <c r="CC189" s="118" t="str">
        <f t="shared" si="310"/>
        <v>A</v>
      </c>
      <c r="CD189" s="119" t="str">
        <f t="shared" si="267"/>
        <v/>
      </c>
      <c r="CE189" s="66">
        <f>+IF($W189="","",ROUND((VLOOKUP(ROUNDDOWN($D189-1/frec,0),cob_adi,BO$40,FALSE)*(1+i/frec)^-0.5*(1+Parámetros!$D$103)*(1+rec_fracc)/frec*'TABLAS ADI'!$BC$17),2))</f>
        <v>0</v>
      </c>
      <c r="CF189" s="119" t="str">
        <f t="shared" si="268"/>
        <v/>
      </c>
      <c r="CG189" s="66">
        <f>+IF($W189="","",ROUND(IF($B189&gt;Parámetros!$D$107,'Tablas Servicio'!CE189+('Tablas Servicio'!CG188-'Tablas Servicio'!CE188),CE189/(1-IF(B189&lt;=10,Parámetros!$D$100,0))),2))</f>
        <v>0</v>
      </c>
      <c r="CH189" s="66">
        <f t="shared" si="269"/>
        <v>0</v>
      </c>
      <c r="CI189" s="66">
        <f t="shared" si="269"/>
        <v>0</v>
      </c>
      <c r="CJ189" s="66">
        <f>+IF($W189="","",ROUND((CG189*Parámetros!$G$85),2))</f>
        <v>0</v>
      </c>
      <c r="CK189" s="66">
        <f>+IF($W189="","",ROUND((CG189*(Parámetros!$G$86)),2))</f>
        <v>0</v>
      </c>
      <c r="CL189" s="66">
        <f t="shared" si="270"/>
        <v>0</v>
      </c>
      <c r="CM189" t="str">
        <f t="shared" si="311"/>
        <v>00063</v>
      </c>
      <c r="CN189" s="118" t="str">
        <f t="shared" si="312"/>
        <v>Renta Diaria por Hospitalización</v>
      </c>
      <c r="CO189" s="118">
        <f t="shared" si="313"/>
        <v>0</v>
      </c>
      <c r="CP189" s="118" t="str">
        <f t="shared" si="314"/>
        <v>A</v>
      </c>
      <c r="CQ189" s="119" t="str">
        <f t="shared" si="271"/>
        <v/>
      </c>
      <c r="CR189" s="66">
        <f>+IF($W189="","",ROUND((VLOOKUP(Parámetros!$F$51,'COBERTURAS ADICIONALES'!$S$4:$T$32,2,FALSE)*(1+i/frec)^-0.5*(1+Parámetros!$D$103)*(1+rec_fracc)/frec*$CO$42),2))</f>
        <v>0</v>
      </c>
      <c r="CS189" s="119" t="str">
        <f t="shared" si="272"/>
        <v/>
      </c>
      <c r="CT189" s="66">
        <f>+IF($W189="","",ROUND(IF($B189&gt;Parámetros!$D$107,'Tablas Servicio'!CR189+('Tablas Servicio'!CT188-'Tablas Servicio'!CR188),CR189/(1-IF(B189&lt;=10,Parámetros!$D$100,0))),2))</f>
        <v>0</v>
      </c>
      <c r="CU189" s="66">
        <f t="shared" si="273"/>
        <v>0</v>
      </c>
      <c r="CV189" s="66">
        <f t="shared" si="273"/>
        <v>0</v>
      </c>
      <c r="CW189" s="66">
        <f>+IF($W189="","",ROUND((CT189*Parámetros!$G$85),2))</f>
        <v>0</v>
      </c>
      <c r="CX189" s="66">
        <f>+IF($W189="","",ROUND((CT189*(Parámetros!$G$86)),2))</f>
        <v>0</v>
      </c>
      <c r="CY189" s="66">
        <f t="shared" si="274"/>
        <v>0</v>
      </c>
      <c r="CZ189" t="str">
        <f t="shared" si="315"/>
        <v>00064</v>
      </c>
      <c r="DA189" s="118" t="str">
        <f t="shared" si="316"/>
        <v>Enfermedades Graves</v>
      </c>
      <c r="DB189" s="118">
        <f t="shared" si="317"/>
        <v>0</v>
      </c>
      <c r="DC189" s="118" t="str">
        <f t="shared" si="318"/>
        <v>A</v>
      </c>
      <c r="DD189" s="121" t="str">
        <f>+IF(OR($W189="",DB189=0),"",ROUND((VLOOKUP(ROUNDDOWN($D189-1/frec,0),cob_adi,CO$40,FALSE)*(1+i/frec)^-0.5*(1+Parámetros!$D$103)*(1+rec_fracc)/frec),6))</f>
        <v/>
      </c>
      <c r="DE189" s="66">
        <f t="shared" si="275"/>
        <v>0</v>
      </c>
      <c r="DF189" s="119" t="str">
        <f t="shared" si="276"/>
        <v/>
      </c>
      <c r="DG189" s="66">
        <f>+IF($W189="","",ROUND(IF($B189&gt;Parámetros!$D$107,'Tablas Servicio'!DE189+('Tablas Servicio'!DG188-'Tablas Servicio'!DE188),DE189/(1-IF(B189&lt;=10,Parámetros!$D$100,0))),2))</f>
        <v>0</v>
      </c>
      <c r="DH189" s="66">
        <f t="shared" si="277"/>
        <v>0</v>
      </c>
      <c r="DI189" s="66">
        <f t="shared" si="277"/>
        <v>0</v>
      </c>
      <c r="DJ189" s="66">
        <f>+IF($W189="","",ROUND((DG189*Parámetros!$G$85),2))</f>
        <v>0</v>
      </c>
      <c r="DK189" s="66">
        <f>+IF($W189="","",ROUND((DG189*(Parámetros!$G$86)),2))</f>
        <v>0</v>
      </c>
      <c r="DL189" s="66">
        <f t="shared" si="278"/>
        <v>0</v>
      </c>
      <c r="DM189" t="str">
        <f t="shared" si="319"/>
        <v>00065</v>
      </c>
      <c r="DN189" s="118" t="str">
        <f t="shared" si="320"/>
        <v>Exención pago de primas</v>
      </c>
      <c r="DO189" s="118">
        <f t="shared" si="321"/>
        <v>0</v>
      </c>
      <c r="DP189" s="118" t="str">
        <f t="shared" si="322"/>
        <v>A</v>
      </c>
      <c r="DQ189" s="122" t="str">
        <f>+IF(OR($W189="",DO189=0),"",ROUND((VLOOKUP(ROUNDDOWN($D189-1/frec,0),cob_adi,DB$40,FALSE)*(1+i/frec)^-0.5*(1+Parámetros!$D$103)*(1+rec_fracc)/frec),6))</f>
        <v/>
      </c>
      <c r="DR189" s="66">
        <f t="shared" si="279"/>
        <v>0</v>
      </c>
      <c r="DS189" s="68" t="str">
        <f t="shared" si="280"/>
        <v/>
      </c>
      <c r="DT189" s="66">
        <f>+IF($W189="","",ROUND(IF($B189&gt;Parámetros!$D$107,'Tablas Servicio'!DR189+('Tablas Servicio'!DT188-'Tablas Servicio'!DR188),DR189/(1-IF(B189&lt;=10,Parámetros!$D$100,0))),2))</f>
        <v>0</v>
      </c>
      <c r="DU189" s="66">
        <f t="shared" si="281"/>
        <v>0</v>
      </c>
      <c r="DV189" s="66">
        <f t="shared" si="281"/>
        <v>0</v>
      </c>
      <c r="DW189" s="66">
        <f>+IF($W189="","",ROUND((DT189*Parámetros!$G$85),2))</f>
        <v>0</v>
      </c>
      <c r="DX189" s="66">
        <f>+IF($W189="","",ROUND((DT189*(Parámetros!$G$86)),2))</f>
        <v>0</v>
      </c>
      <c r="DY189" s="66">
        <f t="shared" si="282"/>
        <v>0</v>
      </c>
      <c r="DZ189" t="str">
        <f t="shared" si="323"/>
        <v>00066</v>
      </c>
      <c r="EA189" s="118" t="str">
        <f t="shared" si="323"/>
        <v>Enfermedad terminal</v>
      </c>
      <c r="EB189" s="118">
        <f>+IF($W189="","",ROUND(IF(Parámetros!$D$25='TABLAS MORT'!$V$33,EB188,Z189/2),0))</f>
        <v>50000</v>
      </c>
      <c r="EC189" s="118" t="str">
        <f t="shared" si="323"/>
        <v>A</v>
      </c>
      <c r="ED189" s="122">
        <f>+IF(OR($W189="",EB189=0),"",ROUND((VLOOKUP(ROUNDDOWN($D189-1/frec,0),cob_adi,DO$40,FALSE)*(1+i/frec)^-0.5*(1+Parámetros!$D$103)*(1+rec_fracc)/frec),6))</f>
        <v>1.8E-5</v>
      </c>
      <c r="EE189" s="66">
        <f t="shared" si="284"/>
        <v>0.9</v>
      </c>
      <c r="EF189" s="68">
        <f t="shared" si="285"/>
        <v>1.8E-5</v>
      </c>
      <c r="EG189" s="66">
        <f>+IF($W189="","",ROUND(IF($B189&gt;Parámetros!$D$107,'Tablas Servicio'!EE189+('Tablas Servicio'!EG188-'Tablas Servicio'!EE188),EE189/(1-IF(B189&lt;=10,Parámetros!$D$100,0))),2))</f>
        <v>0.9</v>
      </c>
      <c r="EH189" s="66">
        <f t="shared" si="286"/>
        <v>0</v>
      </c>
      <c r="EI189" s="66">
        <f t="shared" si="286"/>
        <v>0</v>
      </c>
      <c r="EJ189" s="66">
        <f>+IF($W189="","",ROUND((EG189*Parámetros!$G$85),2))</f>
        <v>0.03</v>
      </c>
      <c r="EK189" s="66">
        <f>+IF($W189="","",ROUND((EG189*(Parámetros!$G$86)),2))</f>
        <v>0</v>
      </c>
      <c r="EL189" s="66">
        <f t="shared" si="287"/>
        <v>0.93</v>
      </c>
    </row>
    <row r="190" spans="1:142" x14ac:dyDescent="0.25">
      <c r="A190">
        <f>+IF($C190="","",ROUND(VLOOKUP('Tablas Servicio'!B190,Parámetros!$H$100:$J$159,IF(Parámetros!$E$16="F",2,3),FALSE),2))</f>
        <v>150</v>
      </c>
      <c r="B190">
        <f t="shared" si="238"/>
        <v>13</v>
      </c>
      <c r="C190" s="57">
        <f>+IF(D190="","",'Tablas Servicio'!C189+1)</f>
        <v>149</v>
      </c>
      <c r="D190" s="56">
        <f>+IF(D189&lt;edadmaxtabla,D189+1/Parámetros!$E$25,"")</f>
        <v>52.436666666667023</v>
      </c>
      <c r="E190" s="57">
        <f t="shared" si="248"/>
        <v>52</v>
      </c>
      <c r="F190" s="59">
        <f t="shared" si="249"/>
        <v>100000</v>
      </c>
      <c r="G190" s="66">
        <f t="shared" si="239"/>
        <v>39.1</v>
      </c>
      <c r="H190" s="66">
        <f t="shared" si="240"/>
        <v>40.659999999999997</v>
      </c>
      <c r="I190" s="66">
        <f t="shared" si="288"/>
        <v>53.34</v>
      </c>
      <c r="J190" s="66">
        <f t="shared" si="241"/>
        <v>1.37</v>
      </c>
      <c r="K190" s="66">
        <f t="shared" si="242"/>
        <v>0.19</v>
      </c>
      <c r="L190" s="66">
        <f t="shared" si="243"/>
        <v>0</v>
      </c>
      <c r="M190" s="66">
        <f t="shared" si="244"/>
        <v>0</v>
      </c>
      <c r="N190" s="66">
        <f>+IF(C190="","",ROUND(Parámetros!$D$23,2))</f>
        <v>94</v>
      </c>
      <c r="O190" s="66">
        <f t="shared" si="245"/>
        <v>26.599999999999998</v>
      </c>
      <c r="P190" s="66">
        <f>+IF($C190="","",ROUND(IF(B190&gt;Parámetros!$D$117,0,N190*Parámetros!$D$116-G190*Parámetros!$D$100),2))</f>
        <v>0</v>
      </c>
      <c r="Q190" s="75">
        <f t="shared" si="289"/>
        <v>3.5038363171355502E-2</v>
      </c>
      <c r="R190" s="75">
        <f t="shared" si="290"/>
        <v>4.8593350383631714E-3</v>
      </c>
      <c r="S190" s="117">
        <f>+IF($C190="","",ROUND((S189+I190)*(1+Parámetros!$D$91),2))</f>
        <v>10171.32</v>
      </c>
      <c r="T190" s="117">
        <f>+IF($C190="","",ROUND(S190*VLOOKUP(B190,Parámetros!$C$30:$D$39,2,TRUE),2))</f>
        <v>10171.32</v>
      </c>
      <c r="U190" s="117">
        <f>+IF($C190="","",ROUND((U189+I190)*(1+Parámetros!$D$92),2))</f>
        <v>10517.07</v>
      </c>
      <c r="V190" s="117">
        <f>+IF($C190="","",ROUND(U190*VLOOKUP(B190,Parámetros!$C$30:$D$39,2,TRUE),2))</f>
        <v>10517.07</v>
      </c>
      <c r="W190" s="57">
        <f t="shared" si="291"/>
        <v>149</v>
      </c>
      <c r="X190" t="str">
        <f t="shared" si="292"/>
        <v>00058</v>
      </c>
      <c r="Y190" t="str">
        <f t="shared" si="293"/>
        <v>MUERTE POR CUALQUIER CAUSA</v>
      </c>
      <c r="Z190" s="118">
        <f>+IF($W190="","",ROUND(IF(Parámetros!$D$25='TABLAS MORT'!$V$33,Z189,Parámetros!$D$21-'Tablas Servicio'!T189),0))</f>
        <v>100000</v>
      </c>
      <c r="AA190" s="118" t="str">
        <f t="shared" si="294"/>
        <v>P</v>
      </c>
      <c r="AB190" s="119">
        <f>+IF(W190="","",ROUND((VLOOKUP(ROUNDDOWN($D190-1/frec,0),qx_tabla,2,FALSE)*(1+i/frec)^-0.5*(1+Parámetros!$D$103)*(1+rec_fracc)/frec),6))</f>
        <v>2.5700000000000001E-4</v>
      </c>
      <c r="AC190" s="66">
        <f t="shared" si="250"/>
        <v>25.7</v>
      </c>
      <c r="AD190" s="119">
        <f t="shared" si="246"/>
        <v>3.8200000000000002E-4</v>
      </c>
      <c r="AE190" s="66">
        <f>+IF($W190="","",ROUND(IF($B190&gt;Parámetros!$D$107,'Tablas Servicio'!AC190+('Tablas Servicio'!AG189-'Tablas Servicio'!AC189),AC190/(1-IF(B190&lt;=10,Parámetros!$D$104,Parámetros!$D$105))),2))</f>
        <v>42.83</v>
      </c>
      <c r="AF190" s="66">
        <f>+IF($W190="","",ROUND(IF($B190&gt;Parámetros!$D$107,'Tablas Servicio'!AC190+('Tablas Servicio'!AG189-'Tablas Servicio'!AC189),(AC190+$A189/frec)/(1-IF(B190&lt;=Parámetros!$D$117,Parámetros!$D$100,0))),2))</f>
        <v>38.200000000000003</v>
      </c>
      <c r="AG190" s="66">
        <f t="shared" si="251"/>
        <v>38.200000000000003</v>
      </c>
      <c r="AH190" s="66">
        <f t="shared" si="252"/>
        <v>0</v>
      </c>
      <c r="AI190" s="66">
        <f t="shared" si="253"/>
        <v>0</v>
      </c>
      <c r="AJ190" s="66">
        <f>+IF($W190="","",ROUND((AG190*Parámetros!$G$85),2))</f>
        <v>1.34</v>
      </c>
      <c r="AK190" s="66">
        <f>+IF($W190="","",ROUND((AG190*(Parámetros!$G$86)),2))</f>
        <v>0.19</v>
      </c>
      <c r="AL190" s="66">
        <f t="shared" si="247"/>
        <v>39.729999999999997</v>
      </c>
      <c r="AM190" t="str">
        <f t="shared" si="295"/>
        <v>00059</v>
      </c>
      <c r="AN190" t="str">
        <f t="shared" si="296"/>
        <v>Incapacidad Total y Permanente</v>
      </c>
      <c r="AO190" s="118">
        <f t="shared" si="297"/>
        <v>0</v>
      </c>
      <c r="AP190" s="118" t="str">
        <f t="shared" si="298"/>
        <v>A</v>
      </c>
      <c r="AQ190" s="119" t="str">
        <f>+IF(OR($W190="",AO190=0),"",ROUND((VLOOKUP(ROUNDDOWN($D190-1/frec,0),cob_adi,Z$40,FALSE)*(1+i/frec)^-0.5*(1+Parámetros!$D$103)*(1+rec_fracc)/frec),6))</f>
        <v/>
      </c>
      <c r="AR190" s="66">
        <f t="shared" si="254"/>
        <v>0</v>
      </c>
      <c r="AS190" s="119" t="str">
        <f t="shared" si="255"/>
        <v/>
      </c>
      <c r="AT190" s="66">
        <f>+IF($W190="","",ROUND(IF($B190&gt;Parámetros!$D$107,'Tablas Servicio'!AR190+('Tablas Servicio'!AT189-'Tablas Servicio'!AR189),AR190/(1-IF(B190&lt;=10,Parámetros!$D$100,0))),2))</f>
        <v>0</v>
      </c>
      <c r="AU190" s="66">
        <f t="shared" si="256"/>
        <v>0</v>
      </c>
      <c r="AV190" s="66">
        <f t="shared" si="256"/>
        <v>0</v>
      </c>
      <c r="AW190" s="66">
        <f>+IF($W190="","",ROUND((AT190*Parámetros!$G$85),2))</f>
        <v>0</v>
      </c>
      <c r="AX190" s="66">
        <f>+IF($W190="","",ROUND((AT190*(Parámetros!$G$86)),2))</f>
        <v>0</v>
      </c>
      <c r="AY190" s="66">
        <f t="shared" si="257"/>
        <v>0</v>
      </c>
      <c r="AZ190" t="str">
        <f t="shared" si="299"/>
        <v>00060</v>
      </c>
      <c r="BA190" t="str">
        <f t="shared" si="300"/>
        <v>Muerte Accidental</v>
      </c>
      <c r="BB190" s="118">
        <f t="shared" si="301"/>
        <v>0</v>
      </c>
      <c r="BC190" s="118" t="str">
        <f t="shared" si="302"/>
        <v>A</v>
      </c>
      <c r="BD190" s="119" t="str">
        <f>+IF(OR($W190="",BB190=0),"",ROUND((VLOOKUP(ROUNDDOWN($D190-1/frec,0),cob_adi,AO$40,FALSE)*(1+i/frec)^-0.5*(1+Parámetros!$D$103)*(1+rec_fracc)/frec),6))</f>
        <v/>
      </c>
      <c r="BE190" s="66">
        <f t="shared" si="258"/>
        <v>0</v>
      </c>
      <c r="BF190" s="119" t="str">
        <f t="shared" si="259"/>
        <v/>
      </c>
      <c r="BG190" s="66">
        <f>+IF($W190="","",ROUND(IF($B190&gt;Parámetros!$D$107,'Tablas Servicio'!BE190+('Tablas Servicio'!BG189-'Tablas Servicio'!BE189),BE190/(1-IF(B190&lt;=10,Parámetros!$D$100,0))),2))</f>
        <v>0</v>
      </c>
      <c r="BH190" s="66">
        <f t="shared" si="260"/>
        <v>0</v>
      </c>
      <c r="BI190" s="66">
        <f t="shared" si="261"/>
        <v>0</v>
      </c>
      <c r="BJ190" s="66">
        <f>+IF($W190="","",ROUND((BG190*Parámetros!$G$85),2))</f>
        <v>0</v>
      </c>
      <c r="BK190" s="66">
        <f>+IF($W190="","",ROUND((BG190*(Parámetros!$G$86)),2))</f>
        <v>0</v>
      </c>
      <c r="BL190" s="66">
        <f t="shared" si="262"/>
        <v>0</v>
      </c>
      <c r="BM190" t="str">
        <f t="shared" si="303"/>
        <v>00061</v>
      </c>
      <c r="BN190" t="str">
        <f t="shared" si="304"/>
        <v>Gastos de Entierro</v>
      </c>
      <c r="BO190" s="118">
        <f t="shared" si="305"/>
        <v>0</v>
      </c>
      <c r="BP190" s="118" t="str">
        <f t="shared" si="306"/>
        <v>A</v>
      </c>
      <c r="BQ190" s="119" t="str">
        <f>+IF(OR($W190="",BO190=0),"",ROUND((VLOOKUP(ROUNDDOWN($D190-1/frec,0),cob_adi,BB$40,FALSE)*(1+i/frec)^-0.5*(1+Parámetros!$D$103)*(1+rec_fracc)/frec),6))</f>
        <v/>
      </c>
      <c r="BR190" s="66">
        <f t="shared" si="263"/>
        <v>0</v>
      </c>
      <c r="BS190" s="119" t="str">
        <f t="shared" si="264"/>
        <v/>
      </c>
      <c r="BT190" s="66">
        <f>+IF($W190="","",ROUND(IF($B190&gt;Parámetros!$D$107,'Tablas Servicio'!BR190+('Tablas Servicio'!BT189-'Tablas Servicio'!BR189),BR190/(1-IF(B190&lt;=10,Parámetros!$D$100,0))),2))</f>
        <v>0</v>
      </c>
      <c r="BU190" s="66">
        <f t="shared" si="265"/>
        <v>0</v>
      </c>
      <c r="BV190" s="66">
        <f t="shared" si="265"/>
        <v>0</v>
      </c>
      <c r="BW190" s="66">
        <f>+IF($W190="","",ROUND((BT190*Parámetros!$G$85),2))</f>
        <v>0</v>
      </c>
      <c r="BX190" s="66">
        <f>+IF($W190="","",ROUND((BT190*(Parámetros!$G$86)),2))</f>
        <v>0</v>
      </c>
      <c r="BY190" s="66">
        <f t="shared" si="266"/>
        <v>0</v>
      </c>
      <c r="BZ190" t="str">
        <f t="shared" si="307"/>
        <v>00062</v>
      </c>
      <c r="CA190" t="str">
        <f t="shared" si="308"/>
        <v>Gastos médicos por accidente</v>
      </c>
      <c r="CB190" s="118">
        <f t="shared" si="309"/>
        <v>0</v>
      </c>
      <c r="CC190" s="118" t="str">
        <f t="shared" si="310"/>
        <v>A</v>
      </c>
      <c r="CD190" s="119" t="str">
        <f t="shared" si="267"/>
        <v/>
      </c>
      <c r="CE190" s="66">
        <f>+IF($W190="","",ROUND((VLOOKUP(ROUNDDOWN($D190-1/frec,0),cob_adi,BO$40,FALSE)*(1+i/frec)^-0.5*(1+Parámetros!$D$103)*(1+rec_fracc)/frec*'TABLAS ADI'!$BC$17),2))</f>
        <v>0</v>
      </c>
      <c r="CF190" s="119" t="str">
        <f t="shared" si="268"/>
        <v/>
      </c>
      <c r="CG190" s="66">
        <f>+IF($W190="","",ROUND(IF($B190&gt;Parámetros!$D$107,'Tablas Servicio'!CE190+('Tablas Servicio'!CG189-'Tablas Servicio'!CE189),CE190/(1-IF(B190&lt;=10,Parámetros!$D$100,0))),2))</f>
        <v>0</v>
      </c>
      <c r="CH190" s="66">
        <f t="shared" si="269"/>
        <v>0</v>
      </c>
      <c r="CI190" s="66">
        <f t="shared" si="269"/>
        <v>0</v>
      </c>
      <c r="CJ190" s="66">
        <f>+IF($W190="","",ROUND((CG190*Parámetros!$G$85),2))</f>
        <v>0</v>
      </c>
      <c r="CK190" s="66">
        <f>+IF($W190="","",ROUND((CG190*(Parámetros!$G$86)),2))</f>
        <v>0</v>
      </c>
      <c r="CL190" s="66">
        <f t="shared" si="270"/>
        <v>0</v>
      </c>
      <c r="CM190" t="str">
        <f t="shared" si="311"/>
        <v>00063</v>
      </c>
      <c r="CN190" s="118" t="str">
        <f t="shared" si="312"/>
        <v>Renta Diaria por Hospitalización</v>
      </c>
      <c r="CO190" s="118">
        <f t="shared" si="313"/>
        <v>0</v>
      </c>
      <c r="CP190" s="118" t="str">
        <f t="shared" si="314"/>
        <v>A</v>
      </c>
      <c r="CQ190" s="119" t="str">
        <f t="shared" si="271"/>
        <v/>
      </c>
      <c r="CR190" s="66">
        <f>+IF($W190="","",ROUND((VLOOKUP(Parámetros!$F$51,'COBERTURAS ADICIONALES'!$S$4:$T$32,2,FALSE)*(1+i/frec)^-0.5*(1+Parámetros!$D$103)*(1+rec_fracc)/frec*$CO$42),2))</f>
        <v>0</v>
      </c>
      <c r="CS190" s="119" t="str">
        <f t="shared" si="272"/>
        <v/>
      </c>
      <c r="CT190" s="66">
        <f>+IF($W190="","",ROUND(IF($B190&gt;Parámetros!$D$107,'Tablas Servicio'!CR190+('Tablas Servicio'!CT189-'Tablas Servicio'!CR189),CR190/(1-IF(B190&lt;=10,Parámetros!$D$100,0))),2))</f>
        <v>0</v>
      </c>
      <c r="CU190" s="66">
        <f t="shared" si="273"/>
        <v>0</v>
      </c>
      <c r="CV190" s="66">
        <f t="shared" si="273"/>
        <v>0</v>
      </c>
      <c r="CW190" s="66">
        <f>+IF($W190="","",ROUND((CT190*Parámetros!$G$85),2))</f>
        <v>0</v>
      </c>
      <c r="CX190" s="66">
        <f>+IF($W190="","",ROUND((CT190*(Parámetros!$G$86)),2))</f>
        <v>0</v>
      </c>
      <c r="CY190" s="66">
        <f t="shared" si="274"/>
        <v>0</v>
      </c>
      <c r="CZ190" t="str">
        <f t="shared" si="315"/>
        <v>00064</v>
      </c>
      <c r="DA190" s="118" t="str">
        <f t="shared" si="316"/>
        <v>Enfermedades Graves</v>
      </c>
      <c r="DB190" s="118">
        <f t="shared" si="317"/>
        <v>0</v>
      </c>
      <c r="DC190" s="118" t="str">
        <f t="shared" si="318"/>
        <v>A</v>
      </c>
      <c r="DD190" s="121" t="str">
        <f>+IF(OR($W190="",DB190=0),"",ROUND((VLOOKUP(ROUNDDOWN($D190-1/frec,0),cob_adi,CO$40,FALSE)*(1+i/frec)^-0.5*(1+Parámetros!$D$103)*(1+rec_fracc)/frec),6))</f>
        <v/>
      </c>
      <c r="DE190" s="66">
        <f t="shared" si="275"/>
        <v>0</v>
      </c>
      <c r="DF190" s="119" t="str">
        <f t="shared" si="276"/>
        <v/>
      </c>
      <c r="DG190" s="66">
        <f>+IF($W190="","",ROUND(IF($B190&gt;Parámetros!$D$107,'Tablas Servicio'!DE190+('Tablas Servicio'!DG189-'Tablas Servicio'!DE189),DE190/(1-IF(B190&lt;=10,Parámetros!$D$100,0))),2))</f>
        <v>0</v>
      </c>
      <c r="DH190" s="66">
        <f t="shared" si="277"/>
        <v>0</v>
      </c>
      <c r="DI190" s="66">
        <f t="shared" si="277"/>
        <v>0</v>
      </c>
      <c r="DJ190" s="66">
        <f>+IF($W190="","",ROUND((DG190*Parámetros!$G$85),2))</f>
        <v>0</v>
      </c>
      <c r="DK190" s="66">
        <f>+IF($W190="","",ROUND((DG190*(Parámetros!$G$86)),2))</f>
        <v>0</v>
      </c>
      <c r="DL190" s="66">
        <f t="shared" si="278"/>
        <v>0</v>
      </c>
      <c r="DM190" t="str">
        <f t="shared" si="319"/>
        <v>00065</v>
      </c>
      <c r="DN190" s="118" t="str">
        <f t="shared" si="320"/>
        <v>Exención pago de primas</v>
      </c>
      <c r="DO190" s="118">
        <f t="shared" si="321"/>
        <v>0</v>
      </c>
      <c r="DP190" s="118" t="str">
        <f t="shared" si="322"/>
        <v>A</v>
      </c>
      <c r="DQ190" s="122" t="str">
        <f>+IF(OR($W190="",DO190=0),"",ROUND((VLOOKUP(ROUNDDOWN($D190-1/frec,0),cob_adi,DB$40,FALSE)*(1+i/frec)^-0.5*(1+Parámetros!$D$103)*(1+rec_fracc)/frec),6))</f>
        <v/>
      </c>
      <c r="DR190" s="66">
        <f t="shared" si="279"/>
        <v>0</v>
      </c>
      <c r="DS190" s="68" t="str">
        <f t="shared" si="280"/>
        <v/>
      </c>
      <c r="DT190" s="66">
        <f>+IF($W190="","",ROUND(IF($B190&gt;Parámetros!$D$107,'Tablas Servicio'!DR190+('Tablas Servicio'!DT189-'Tablas Servicio'!DR189),DR190/(1-IF(B190&lt;=10,Parámetros!$D$100,0))),2))</f>
        <v>0</v>
      </c>
      <c r="DU190" s="66">
        <f t="shared" si="281"/>
        <v>0</v>
      </c>
      <c r="DV190" s="66">
        <f t="shared" si="281"/>
        <v>0</v>
      </c>
      <c r="DW190" s="66">
        <f>+IF($W190="","",ROUND((DT190*Parámetros!$G$85),2))</f>
        <v>0</v>
      </c>
      <c r="DX190" s="66">
        <f>+IF($W190="","",ROUND((DT190*(Parámetros!$G$86)),2))</f>
        <v>0</v>
      </c>
      <c r="DY190" s="66">
        <f t="shared" si="282"/>
        <v>0</v>
      </c>
      <c r="DZ190" t="str">
        <f t="shared" si="323"/>
        <v>00066</v>
      </c>
      <c r="EA190" s="118" t="str">
        <f t="shared" si="323"/>
        <v>Enfermedad terminal</v>
      </c>
      <c r="EB190" s="118">
        <f>+IF($W190="","",ROUND(IF(Parámetros!$D$25='TABLAS MORT'!$V$33,EB189,Z190/2),0))</f>
        <v>50000</v>
      </c>
      <c r="EC190" s="118" t="str">
        <f t="shared" si="323"/>
        <v>A</v>
      </c>
      <c r="ED190" s="122">
        <f>+IF(OR($W190="",EB190=0),"",ROUND((VLOOKUP(ROUNDDOWN($D190-1/frec,0),cob_adi,DO$40,FALSE)*(1+i/frec)^-0.5*(1+Parámetros!$D$103)*(1+rec_fracc)/frec),6))</f>
        <v>1.8E-5</v>
      </c>
      <c r="EE190" s="66">
        <f t="shared" si="284"/>
        <v>0.9</v>
      </c>
      <c r="EF190" s="68">
        <f t="shared" si="285"/>
        <v>1.8E-5</v>
      </c>
      <c r="EG190" s="66">
        <f>+IF($W190="","",ROUND(IF($B190&gt;Parámetros!$D$107,'Tablas Servicio'!EE190+('Tablas Servicio'!EG189-'Tablas Servicio'!EE189),EE190/(1-IF(B190&lt;=10,Parámetros!$D$100,0))),2))</f>
        <v>0.9</v>
      </c>
      <c r="EH190" s="66">
        <f t="shared" si="286"/>
        <v>0</v>
      </c>
      <c r="EI190" s="66">
        <f t="shared" si="286"/>
        <v>0</v>
      </c>
      <c r="EJ190" s="66">
        <f>+IF($W190="","",ROUND((EG190*Parámetros!$G$85),2))</f>
        <v>0.03</v>
      </c>
      <c r="EK190" s="66">
        <f>+IF($W190="","",ROUND((EG190*(Parámetros!$G$86)),2))</f>
        <v>0</v>
      </c>
      <c r="EL190" s="66">
        <f t="shared" si="287"/>
        <v>0.93</v>
      </c>
    </row>
    <row r="191" spans="1:142" x14ac:dyDescent="0.25">
      <c r="A191">
        <f>+IF($C191="","",ROUND(VLOOKUP('Tablas Servicio'!B191,Parámetros!$H$100:$J$159,IF(Parámetros!$E$16="F",2,3),FALSE),2))</f>
        <v>150</v>
      </c>
      <c r="B191">
        <f t="shared" si="238"/>
        <v>13</v>
      </c>
      <c r="C191" s="57">
        <f>+IF(D191="","",'Tablas Servicio'!C190+1)</f>
        <v>150</v>
      </c>
      <c r="D191" s="56">
        <f>+IF(D190&lt;edadmaxtabla,D190+1/Parámetros!$E$25,"")</f>
        <v>52.520000000000358</v>
      </c>
      <c r="E191" s="57">
        <f t="shared" si="248"/>
        <v>52</v>
      </c>
      <c r="F191" s="59">
        <f t="shared" si="249"/>
        <v>100000</v>
      </c>
      <c r="G191" s="66">
        <f t="shared" si="239"/>
        <v>39.1</v>
      </c>
      <c r="H191" s="66">
        <f t="shared" si="240"/>
        <v>40.659999999999997</v>
      </c>
      <c r="I191" s="66">
        <f t="shared" si="288"/>
        <v>53.34</v>
      </c>
      <c r="J191" s="66">
        <f t="shared" si="241"/>
        <v>1.37</v>
      </c>
      <c r="K191" s="66">
        <f t="shared" si="242"/>
        <v>0.19</v>
      </c>
      <c r="L191" s="66">
        <f t="shared" si="243"/>
        <v>0</v>
      </c>
      <c r="M191" s="66">
        <f t="shared" si="244"/>
        <v>0</v>
      </c>
      <c r="N191" s="66">
        <f>+IF(C191="","",ROUND(Parámetros!$D$23,2))</f>
        <v>94</v>
      </c>
      <c r="O191" s="66">
        <f t="shared" si="245"/>
        <v>26.599999999999998</v>
      </c>
      <c r="P191" s="66">
        <f>+IF($C191="","",ROUND(IF(B191&gt;Parámetros!$D$117,0,N191*Parámetros!$D$116-G191*Parámetros!$D$100),2))</f>
        <v>0</v>
      </c>
      <c r="Q191" s="75">
        <f t="shared" si="289"/>
        <v>3.5038363171355502E-2</v>
      </c>
      <c r="R191" s="75">
        <f t="shared" si="290"/>
        <v>4.8593350383631714E-3</v>
      </c>
      <c r="S191" s="117">
        <f>+IF($C191="","",ROUND((S190+I191)*(1+Parámetros!$D$91),2))</f>
        <v>10253.66</v>
      </c>
      <c r="T191" s="117">
        <f>+IF($C191="","",ROUND(S191*VLOOKUP(B191,Parámetros!$C$30:$D$39,2,TRUE),2))</f>
        <v>10253.66</v>
      </c>
      <c r="U191" s="117">
        <f>+IF($C191="","",ROUND((U190+I191)*(1+Parámetros!$D$92),2))</f>
        <v>10604.68</v>
      </c>
      <c r="V191" s="117">
        <f>+IF($C191="","",ROUND(U191*VLOOKUP(B191,Parámetros!$C$30:$D$39,2,TRUE),2))</f>
        <v>10604.68</v>
      </c>
      <c r="W191" s="57">
        <f t="shared" si="291"/>
        <v>150</v>
      </c>
      <c r="X191" t="str">
        <f t="shared" si="292"/>
        <v>00058</v>
      </c>
      <c r="Y191" t="str">
        <f t="shared" si="293"/>
        <v>MUERTE POR CUALQUIER CAUSA</v>
      </c>
      <c r="Z191" s="118">
        <f>+IF($W191="","",ROUND(IF(Parámetros!$D$25='TABLAS MORT'!$V$33,Z190,Parámetros!$D$21-'Tablas Servicio'!T190),0))</f>
        <v>100000</v>
      </c>
      <c r="AA191" s="118" t="str">
        <f t="shared" si="294"/>
        <v>P</v>
      </c>
      <c r="AB191" s="119">
        <f>+IF(W191="","",ROUND((VLOOKUP(ROUNDDOWN($D191-1/frec,0),qx_tabla,2,FALSE)*(1+i/frec)^-0.5*(1+Parámetros!$D$103)*(1+rec_fracc)/frec),6))</f>
        <v>2.5700000000000001E-4</v>
      </c>
      <c r="AC191" s="66">
        <f t="shared" si="250"/>
        <v>25.7</v>
      </c>
      <c r="AD191" s="119">
        <f t="shared" si="246"/>
        <v>3.8200000000000002E-4</v>
      </c>
      <c r="AE191" s="66">
        <f>+IF($W191="","",ROUND(IF($B191&gt;Parámetros!$D$107,'Tablas Servicio'!AC191+('Tablas Servicio'!AG190-'Tablas Servicio'!AC190),AC191/(1-IF(B191&lt;=10,Parámetros!$D$104,Parámetros!$D$105))),2))</f>
        <v>42.83</v>
      </c>
      <c r="AF191" s="66">
        <f>+IF($W191="","",ROUND(IF($B191&gt;Parámetros!$D$107,'Tablas Servicio'!AC191+('Tablas Servicio'!AG190-'Tablas Servicio'!AC190),(AC191+$A190/frec)/(1-IF(B191&lt;=Parámetros!$D$117,Parámetros!$D$100,0))),2))</f>
        <v>38.200000000000003</v>
      </c>
      <c r="AG191" s="66">
        <f t="shared" si="251"/>
        <v>38.200000000000003</v>
      </c>
      <c r="AH191" s="66">
        <f t="shared" si="252"/>
        <v>0</v>
      </c>
      <c r="AI191" s="66">
        <f t="shared" si="253"/>
        <v>0</v>
      </c>
      <c r="AJ191" s="66">
        <f>+IF($W191="","",ROUND((AG191*Parámetros!$G$85),2))</f>
        <v>1.34</v>
      </c>
      <c r="AK191" s="66">
        <f>+IF($W191="","",ROUND((AG191*(Parámetros!$G$86)),2))</f>
        <v>0.19</v>
      </c>
      <c r="AL191" s="66">
        <f t="shared" si="247"/>
        <v>39.729999999999997</v>
      </c>
      <c r="AM191" t="str">
        <f t="shared" si="295"/>
        <v>00059</v>
      </c>
      <c r="AN191" t="str">
        <f t="shared" si="296"/>
        <v>Incapacidad Total y Permanente</v>
      </c>
      <c r="AO191" s="118">
        <f t="shared" si="297"/>
        <v>0</v>
      </c>
      <c r="AP191" s="118" t="str">
        <f t="shared" si="298"/>
        <v>A</v>
      </c>
      <c r="AQ191" s="119" t="str">
        <f>+IF(OR($W191="",AO191=0),"",ROUND((VLOOKUP(ROUNDDOWN($D191-1/frec,0),cob_adi,Z$40,FALSE)*(1+i/frec)^-0.5*(1+Parámetros!$D$103)*(1+rec_fracc)/frec),6))</f>
        <v/>
      </c>
      <c r="AR191" s="66">
        <f t="shared" si="254"/>
        <v>0</v>
      </c>
      <c r="AS191" s="119" t="str">
        <f t="shared" si="255"/>
        <v/>
      </c>
      <c r="AT191" s="66">
        <f>+IF($W191="","",ROUND(IF($B191&gt;Parámetros!$D$107,'Tablas Servicio'!AR191+('Tablas Servicio'!AT190-'Tablas Servicio'!AR190),AR191/(1-IF(B191&lt;=10,Parámetros!$D$100,0))),2))</f>
        <v>0</v>
      </c>
      <c r="AU191" s="66">
        <f t="shared" si="256"/>
        <v>0</v>
      </c>
      <c r="AV191" s="66">
        <f t="shared" si="256"/>
        <v>0</v>
      </c>
      <c r="AW191" s="66">
        <f>+IF($W191="","",ROUND((AT191*Parámetros!$G$85),2))</f>
        <v>0</v>
      </c>
      <c r="AX191" s="66">
        <f>+IF($W191="","",ROUND((AT191*(Parámetros!$G$86)),2))</f>
        <v>0</v>
      </c>
      <c r="AY191" s="66">
        <f t="shared" si="257"/>
        <v>0</v>
      </c>
      <c r="AZ191" t="str">
        <f t="shared" si="299"/>
        <v>00060</v>
      </c>
      <c r="BA191" t="str">
        <f t="shared" si="300"/>
        <v>Muerte Accidental</v>
      </c>
      <c r="BB191" s="118">
        <f t="shared" si="301"/>
        <v>0</v>
      </c>
      <c r="BC191" s="118" t="str">
        <f t="shared" si="302"/>
        <v>A</v>
      </c>
      <c r="BD191" s="119" t="str">
        <f>+IF(OR($W191="",BB191=0),"",ROUND((VLOOKUP(ROUNDDOWN($D191-1/frec,0),cob_adi,AO$40,FALSE)*(1+i/frec)^-0.5*(1+Parámetros!$D$103)*(1+rec_fracc)/frec),6))</f>
        <v/>
      </c>
      <c r="BE191" s="66">
        <f t="shared" si="258"/>
        <v>0</v>
      </c>
      <c r="BF191" s="119" t="str">
        <f t="shared" si="259"/>
        <v/>
      </c>
      <c r="BG191" s="66">
        <f>+IF($W191="","",ROUND(IF($B191&gt;Parámetros!$D$107,'Tablas Servicio'!BE191+('Tablas Servicio'!BG190-'Tablas Servicio'!BE190),BE191/(1-IF(B191&lt;=10,Parámetros!$D$100,0))),2))</f>
        <v>0</v>
      </c>
      <c r="BH191" s="66">
        <f t="shared" si="260"/>
        <v>0</v>
      </c>
      <c r="BI191" s="66">
        <f t="shared" si="261"/>
        <v>0</v>
      </c>
      <c r="BJ191" s="66">
        <f>+IF($W191="","",ROUND((BG191*Parámetros!$G$85),2))</f>
        <v>0</v>
      </c>
      <c r="BK191" s="66">
        <f>+IF($W191="","",ROUND((BG191*(Parámetros!$G$86)),2))</f>
        <v>0</v>
      </c>
      <c r="BL191" s="66">
        <f t="shared" si="262"/>
        <v>0</v>
      </c>
      <c r="BM191" t="str">
        <f t="shared" si="303"/>
        <v>00061</v>
      </c>
      <c r="BN191" t="str">
        <f t="shared" si="304"/>
        <v>Gastos de Entierro</v>
      </c>
      <c r="BO191" s="118">
        <f t="shared" si="305"/>
        <v>0</v>
      </c>
      <c r="BP191" s="118" t="str">
        <f t="shared" si="306"/>
        <v>A</v>
      </c>
      <c r="BQ191" s="119" t="str">
        <f>+IF(OR($W191="",BO191=0),"",ROUND((VLOOKUP(ROUNDDOWN($D191-1/frec,0),cob_adi,BB$40,FALSE)*(1+i/frec)^-0.5*(1+Parámetros!$D$103)*(1+rec_fracc)/frec),6))</f>
        <v/>
      </c>
      <c r="BR191" s="66">
        <f t="shared" si="263"/>
        <v>0</v>
      </c>
      <c r="BS191" s="119" t="str">
        <f t="shared" si="264"/>
        <v/>
      </c>
      <c r="BT191" s="66">
        <f>+IF($W191="","",ROUND(IF($B191&gt;Parámetros!$D$107,'Tablas Servicio'!BR191+('Tablas Servicio'!BT190-'Tablas Servicio'!BR190),BR191/(1-IF(B191&lt;=10,Parámetros!$D$100,0))),2))</f>
        <v>0</v>
      </c>
      <c r="BU191" s="66">
        <f t="shared" si="265"/>
        <v>0</v>
      </c>
      <c r="BV191" s="66">
        <f t="shared" si="265"/>
        <v>0</v>
      </c>
      <c r="BW191" s="66">
        <f>+IF($W191="","",ROUND((BT191*Parámetros!$G$85),2))</f>
        <v>0</v>
      </c>
      <c r="BX191" s="66">
        <f>+IF($W191="","",ROUND((BT191*(Parámetros!$G$86)),2))</f>
        <v>0</v>
      </c>
      <c r="BY191" s="66">
        <f t="shared" si="266"/>
        <v>0</v>
      </c>
      <c r="BZ191" t="str">
        <f t="shared" si="307"/>
        <v>00062</v>
      </c>
      <c r="CA191" t="str">
        <f t="shared" si="308"/>
        <v>Gastos médicos por accidente</v>
      </c>
      <c r="CB191" s="118">
        <f t="shared" si="309"/>
        <v>0</v>
      </c>
      <c r="CC191" s="118" t="str">
        <f t="shared" si="310"/>
        <v>A</v>
      </c>
      <c r="CD191" s="119" t="str">
        <f t="shared" si="267"/>
        <v/>
      </c>
      <c r="CE191" s="66">
        <f>+IF($W191="","",ROUND((VLOOKUP(ROUNDDOWN($D191-1/frec,0),cob_adi,BO$40,FALSE)*(1+i/frec)^-0.5*(1+Parámetros!$D$103)*(1+rec_fracc)/frec*'TABLAS ADI'!$BC$17),2))</f>
        <v>0</v>
      </c>
      <c r="CF191" s="119" t="str">
        <f t="shared" si="268"/>
        <v/>
      </c>
      <c r="CG191" s="66">
        <f>+IF($W191="","",ROUND(IF($B191&gt;Parámetros!$D$107,'Tablas Servicio'!CE191+('Tablas Servicio'!CG190-'Tablas Servicio'!CE190),CE191/(1-IF(B191&lt;=10,Parámetros!$D$100,0))),2))</f>
        <v>0</v>
      </c>
      <c r="CH191" s="66">
        <f t="shared" si="269"/>
        <v>0</v>
      </c>
      <c r="CI191" s="66">
        <f t="shared" si="269"/>
        <v>0</v>
      </c>
      <c r="CJ191" s="66">
        <f>+IF($W191="","",ROUND((CG191*Parámetros!$G$85),2))</f>
        <v>0</v>
      </c>
      <c r="CK191" s="66">
        <f>+IF($W191="","",ROUND((CG191*(Parámetros!$G$86)),2))</f>
        <v>0</v>
      </c>
      <c r="CL191" s="66">
        <f t="shared" si="270"/>
        <v>0</v>
      </c>
      <c r="CM191" t="str">
        <f t="shared" si="311"/>
        <v>00063</v>
      </c>
      <c r="CN191" s="118" t="str">
        <f t="shared" si="312"/>
        <v>Renta Diaria por Hospitalización</v>
      </c>
      <c r="CO191" s="118">
        <f t="shared" si="313"/>
        <v>0</v>
      </c>
      <c r="CP191" s="118" t="str">
        <f t="shared" si="314"/>
        <v>A</v>
      </c>
      <c r="CQ191" s="119" t="str">
        <f t="shared" si="271"/>
        <v/>
      </c>
      <c r="CR191" s="66">
        <f>+IF($W191="","",ROUND((VLOOKUP(Parámetros!$F$51,'COBERTURAS ADICIONALES'!$S$4:$T$32,2,FALSE)*(1+i/frec)^-0.5*(1+Parámetros!$D$103)*(1+rec_fracc)/frec*$CO$42),2))</f>
        <v>0</v>
      </c>
      <c r="CS191" s="119" t="str">
        <f t="shared" si="272"/>
        <v/>
      </c>
      <c r="CT191" s="66">
        <f>+IF($W191="","",ROUND(IF($B191&gt;Parámetros!$D$107,'Tablas Servicio'!CR191+('Tablas Servicio'!CT190-'Tablas Servicio'!CR190),CR191/(1-IF(B191&lt;=10,Parámetros!$D$100,0))),2))</f>
        <v>0</v>
      </c>
      <c r="CU191" s="66">
        <f t="shared" si="273"/>
        <v>0</v>
      </c>
      <c r="CV191" s="66">
        <f t="shared" si="273"/>
        <v>0</v>
      </c>
      <c r="CW191" s="66">
        <f>+IF($W191="","",ROUND((CT191*Parámetros!$G$85),2))</f>
        <v>0</v>
      </c>
      <c r="CX191" s="66">
        <f>+IF($W191="","",ROUND((CT191*(Parámetros!$G$86)),2))</f>
        <v>0</v>
      </c>
      <c r="CY191" s="66">
        <f t="shared" si="274"/>
        <v>0</v>
      </c>
      <c r="CZ191" t="str">
        <f t="shared" si="315"/>
        <v>00064</v>
      </c>
      <c r="DA191" s="118" t="str">
        <f t="shared" si="316"/>
        <v>Enfermedades Graves</v>
      </c>
      <c r="DB191" s="118">
        <f t="shared" si="317"/>
        <v>0</v>
      </c>
      <c r="DC191" s="118" t="str">
        <f t="shared" si="318"/>
        <v>A</v>
      </c>
      <c r="DD191" s="121" t="str">
        <f>+IF(OR($W191="",DB191=0),"",ROUND((VLOOKUP(ROUNDDOWN($D191-1/frec,0),cob_adi,CO$40,FALSE)*(1+i/frec)^-0.5*(1+Parámetros!$D$103)*(1+rec_fracc)/frec),6))</f>
        <v/>
      </c>
      <c r="DE191" s="66">
        <f t="shared" si="275"/>
        <v>0</v>
      </c>
      <c r="DF191" s="119" t="str">
        <f t="shared" si="276"/>
        <v/>
      </c>
      <c r="DG191" s="66">
        <f>+IF($W191="","",ROUND(IF($B191&gt;Parámetros!$D$107,'Tablas Servicio'!DE191+('Tablas Servicio'!DG190-'Tablas Servicio'!DE190),DE191/(1-IF(B191&lt;=10,Parámetros!$D$100,0))),2))</f>
        <v>0</v>
      </c>
      <c r="DH191" s="66">
        <f t="shared" si="277"/>
        <v>0</v>
      </c>
      <c r="DI191" s="66">
        <f t="shared" si="277"/>
        <v>0</v>
      </c>
      <c r="DJ191" s="66">
        <f>+IF($W191="","",ROUND((DG191*Parámetros!$G$85),2))</f>
        <v>0</v>
      </c>
      <c r="DK191" s="66">
        <f>+IF($W191="","",ROUND((DG191*(Parámetros!$G$86)),2))</f>
        <v>0</v>
      </c>
      <c r="DL191" s="66">
        <f t="shared" si="278"/>
        <v>0</v>
      </c>
      <c r="DM191" t="str">
        <f t="shared" si="319"/>
        <v>00065</v>
      </c>
      <c r="DN191" s="118" t="str">
        <f t="shared" si="320"/>
        <v>Exención pago de primas</v>
      </c>
      <c r="DO191" s="118">
        <f t="shared" si="321"/>
        <v>0</v>
      </c>
      <c r="DP191" s="118" t="str">
        <f t="shared" si="322"/>
        <v>A</v>
      </c>
      <c r="DQ191" s="122" t="str">
        <f>+IF(OR($W191="",DO191=0),"",ROUND((VLOOKUP(ROUNDDOWN($D191-1/frec,0),cob_adi,DB$40,FALSE)*(1+i/frec)^-0.5*(1+Parámetros!$D$103)*(1+rec_fracc)/frec),6))</f>
        <v/>
      </c>
      <c r="DR191" s="66">
        <f t="shared" si="279"/>
        <v>0</v>
      </c>
      <c r="DS191" s="68" t="str">
        <f t="shared" si="280"/>
        <v/>
      </c>
      <c r="DT191" s="66">
        <f>+IF($W191="","",ROUND(IF($B191&gt;Parámetros!$D$107,'Tablas Servicio'!DR191+('Tablas Servicio'!DT190-'Tablas Servicio'!DR190),DR191/(1-IF(B191&lt;=10,Parámetros!$D$100,0))),2))</f>
        <v>0</v>
      </c>
      <c r="DU191" s="66">
        <f t="shared" si="281"/>
        <v>0</v>
      </c>
      <c r="DV191" s="66">
        <f t="shared" si="281"/>
        <v>0</v>
      </c>
      <c r="DW191" s="66">
        <f>+IF($W191="","",ROUND((DT191*Parámetros!$G$85),2))</f>
        <v>0</v>
      </c>
      <c r="DX191" s="66">
        <f>+IF($W191="","",ROUND((DT191*(Parámetros!$G$86)),2))</f>
        <v>0</v>
      </c>
      <c r="DY191" s="66">
        <f t="shared" si="282"/>
        <v>0</v>
      </c>
      <c r="DZ191" t="str">
        <f t="shared" si="323"/>
        <v>00066</v>
      </c>
      <c r="EA191" s="118" t="str">
        <f t="shared" si="323"/>
        <v>Enfermedad terminal</v>
      </c>
      <c r="EB191" s="118">
        <f>+IF($W191="","",ROUND(IF(Parámetros!$D$25='TABLAS MORT'!$V$33,EB190,Z191/2),0))</f>
        <v>50000</v>
      </c>
      <c r="EC191" s="118" t="str">
        <f t="shared" si="323"/>
        <v>A</v>
      </c>
      <c r="ED191" s="122">
        <f>+IF(OR($W191="",EB191=0),"",ROUND((VLOOKUP(ROUNDDOWN($D191-1/frec,0),cob_adi,DO$40,FALSE)*(1+i/frec)^-0.5*(1+Parámetros!$D$103)*(1+rec_fracc)/frec),6))</f>
        <v>1.8E-5</v>
      </c>
      <c r="EE191" s="66">
        <f t="shared" si="284"/>
        <v>0.9</v>
      </c>
      <c r="EF191" s="68">
        <f t="shared" si="285"/>
        <v>1.8E-5</v>
      </c>
      <c r="EG191" s="66">
        <f>+IF($W191="","",ROUND(IF($B191&gt;Parámetros!$D$107,'Tablas Servicio'!EE191+('Tablas Servicio'!EG190-'Tablas Servicio'!EE190),EE191/(1-IF(B191&lt;=10,Parámetros!$D$100,0))),2))</f>
        <v>0.9</v>
      </c>
      <c r="EH191" s="66">
        <f t="shared" si="286"/>
        <v>0</v>
      </c>
      <c r="EI191" s="66">
        <f t="shared" si="286"/>
        <v>0</v>
      </c>
      <c r="EJ191" s="66">
        <f>+IF($W191="","",ROUND((EG191*Parámetros!$G$85),2))</f>
        <v>0.03</v>
      </c>
      <c r="EK191" s="66">
        <f>+IF($W191="","",ROUND((EG191*(Parámetros!$G$86)),2))</f>
        <v>0</v>
      </c>
      <c r="EL191" s="66">
        <f t="shared" si="287"/>
        <v>0.93</v>
      </c>
    </row>
    <row r="192" spans="1:142" x14ac:dyDescent="0.25">
      <c r="A192">
        <f>+IF($C192="","",ROUND(VLOOKUP('Tablas Servicio'!B192,Parámetros!$H$100:$J$159,IF(Parámetros!$E$16="F",2,3),FALSE),2))</f>
        <v>150</v>
      </c>
      <c r="B192">
        <f t="shared" si="238"/>
        <v>13</v>
      </c>
      <c r="C192" s="57">
        <f>+IF(D192="","",'Tablas Servicio'!C191+1)</f>
        <v>151</v>
      </c>
      <c r="D192" s="56">
        <f>+IF(D191&lt;edadmaxtabla,D191+1/Parámetros!$E$25,"")</f>
        <v>52.603333333333694</v>
      </c>
      <c r="E192" s="57">
        <f t="shared" si="248"/>
        <v>52</v>
      </c>
      <c r="F192" s="59">
        <f t="shared" si="249"/>
        <v>100000</v>
      </c>
      <c r="G192" s="66">
        <f t="shared" si="239"/>
        <v>39.1</v>
      </c>
      <c r="H192" s="66">
        <f t="shared" si="240"/>
        <v>40.659999999999997</v>
      </c>
      <c r="I192" s="66">
        <f t="shared" si="288"/>
        <v>53.34</v>
      </c>
      <c r="J192" s="66">
        <f t="shared" si="241"/>
        <v>1.37</v>
      </c>
      <c r="K192" s="66">
        <f t="shared" si="242"/>
        <v>0.19</v>
      </c>
      <c r="L192" s="66">
        <f t="shared" si="243"/>
        <v>0</v>
      </c>
      <c r="M192" s="66">
        <f t="shared" si="244"/>
        <v>0</v>
      </c>
      <c r="N192" s="66">
        <f>+IF(C192="","",ROUND(Parámetros!$D$23,2))</f>
        <v>94</v>
      </c>
      <c r="O192" s="66">
        <f t="shared" si="245"/>
        <v>26.599999999999998</v>
      </c>
      <c r="P192" s="66">
        <f>+IF($C192="","",ROUND(IF(B192&gt;Parámetros!$D$117,0,N192*Parámetros!$D$116-G192*Parámetros!$D$100),2))</f>
        <v>0</v>
      </c>
      <c r="Q192" s="75">
        <f t="shared" si="289"/>
        <v>3.5038363171355502E-2</v>
      </c>
      <c r="R192" s="75">
        <f t="shared" si="290"/>
        <v>4.8593350383631714E-3</v>
      </c>
      <c r="S192" s="117">
        <f>+IF($C192="","",ROUND((S191+I192)*(1+Parámetros!$D$91),2))</f>
        <v>10336.24</v>
      </c>
      <c r="T192" s="117">
        <f>+IF($C192="","",ROUND(S192*VLOOKUP(B192,Parámetros!$C$30:$D$39,2,TRUE),2))</f>
        <v>10336.24</v>
      </c>
      <c r="U192" s="117">
        <f>+IF($C192="","",ROUND((U191+I192)*(1+Parámetros!$D$92),2))</f>
        <v>10692.57</v>
      </c>
      <c r="V192" s="117">
        <f>+IF($C192="","",ROUND(U192*VLOOKUP(B192,Parámetros!$C$30:$D$39,2,TRUE),2))</f>
        <v>10692.57</v>
      </c>
      <c r="W192" s="57">
        <f t="shared" si="291"/>
        <v>151</v>
      </c>
      <c r="X192" t="str">
        <f t="shared" si="292"/>
        <v>00058</v>
      </c>
      <c r="Y192" t="str">
        <f t="shared" si="293"/>
        <v>MUERTE POR CUALQUIER CAUSA</v>
      </c>
      <c r="Z192" s="118">
        <f>+IF($W192="","",ROUND(IF(Parámetros!$D$25='TABLAS MORT'!$V$33,Z191,Parámetros!$D$21-'Tablas Servicio'!T191),0))</f>
        <v>100000</v>
      </c>
      <c r="AA192" s="118" t="str">
        <f t="shared" si="294"/>
        <v>P</v>
      </c>
      <c r="AB192" s="119">
        <f>+IF(W192="","",ROUND((VLOOKUP(ROUNDDOWN($D192-1/frec,0),qx_tabla,2,FALSE)*(1+i/frec)^-0.5*(1+Parámetros!$D$103)*(1+rec_fracc)/frec),6))</f>
        <v>2.5700000000000001E-4</v>
      </c>
      <c r="AC192" s="66">
        <f t="shared" si="250"/>
        <v>25.7</v>
      </c>
      <c r="AD192" s="119">
        <f t="shared" si="246"/>
        <v>3.8200000000000002E-4</v>
      </c>
      <c r="AE192" s="66">
        <f>+IF($W192="","",ROUND(IF($B192&gt;Parámetros!$D$107,'Tablas Servicio'!AC192+('Tablas Servicio'!AG191-'Tablas Servicio'!AC191),AC192/(1-IF(B192&lt;=10,Parámetros!$D$104,Parámetros!$D$105))),2))</f>
        <v>42.83</v>
      </c>
      <c r="AF192" s="66">
        <f>+IF($W192="","",ROUND(IF($B192&gt;Parámetros!$D$107,'Tablas Servicio'!AC192+('Tablas Servicio'!AG191-'Tablas Servicio'!AC191),(AC192+$A191/frec)/(1-IF(B192&lt;=Parámetros!$D$117,Parámetros!$D$100,0))),2))</f>
        <v>38.200000000000003</v>
      </c>
      <c r="AG192" s="66">
        <f t="shared" si="251"/>
        <v>38.200000000000003</v>
      </c>
      <c r="AH192" s="66">
        <f t="shared" si="252"/>
        <v>0</v>
      </c>
      <c r="AI192" s="66">
        <f t="shared" si="253"/>
        <v>0</v>
      </c>
      <c r="AJ192" s="66">
        <f>+IF($W192="","",ROUND((AG192*Parámetros!$G$85),2))</f>
        <v>1.34</v>
      </c>
      <c r="AK192" s="66">
        <f>+IF($W192="","",ROUND((AG192*(Parámetros!$G$86)),2))</f>
        <v>0.19</v>
      </c>
      <c r="AL192" s="66">
        <f t="shared" si="247"/>
        <v>39.729999999999997</v>
      </c>
      <c r="AM192" t="str">
        <f t="shared" si="295"/>
        <v>00059</v>
      </c>
      <c r="AN192" t="str">
        <f t="shared" si="296"/>
        <v>Incapacidad Total y Permanente</v>
      </c>
      <c r="AO192" s="118">
        <f t="shared" si="297"/>
        <v>0</v>
      </c>
      <c r="AP192" s="118" t="str">
        <f t="shared" si="298"/>
        <v>A</v>
      </c>
      <c r="AQ192" s="119" t="str">
        <f>+IF(OR($W192="",AO192=0),"",ROUND((VLOOKUP(ROUNDDOWN($D192-1/frec,0),cob_adi,Z$40,FALSE)*(1+i/frec)^-0.5*(1+Parámetros!$D$103)*(1+rec_fracc)/frec),6))</f>
        <v/>
      </c>
      <c r="AR192" s="66">
        <f t="shared" si="254"/>
        <v>0</v>
      </c>
      <c r="AS192" s="119" t="str">
        <f t="shared" si="255"/>
        <v/>
      </c>
      <c r="AT192" s="66">
        <f>+IF($W192="","",ROUND(IF($B192&gt;Parámetros!$D$107,'Tablas Servicio'!AR192+('Tablas Servicio'!AT191-'Tablas Servicio'!AR191),AR192/(1-IF(B192&lt;=10,Parámetros!$D$100,0))),2))</f>
        <v>0</v>
      </c>
      <c r="AU192" s="66">
        <f t="shared" si="256"/>
        <v>0</v>
      </c>
      <c r="AV192" s="66">
        <f t="shared" si="256"/>
        <v>0</v>
      </c>
      <c r="AW192" s="66">
        <f>+IF($W192="","",ROUND((AT192*Parámetros!$G$85),2))</f>
        <v>0</v>
      </c>
      <c r="AX192" s="66">
        <f>+IF($W192="","",ROUND((AT192*(Parámetros!$G$86)),2))</f>
        <v>0</v>
      </c>
      <c r="AY192" s="66">
        <f t="shared" si="257"/>
        <v>0</v>
      </c>
      <c r="AZ192" t="str">
        <f t="shared" si="299"/>
        <v>00060</v>
      </c>
      <c r="BA192" t="str">
        <f t="shared" si="300"/>
        <v>Muerte Accidental</v>
      </c>
      <c r="BB192" s="118">
        <f t="shared" si="301"/>
        <v>0</v>
      </c>
      <c r="BC192" s="118" t="str">
        <f t="shared" si="302"/>
        <v>A</v>
      </c>
      <c r="BD192" s="119" t="str">
        <f>+IF(OR($W192="",BB192=0),"",ROUND((VLOOKUP(ROUNDDOWN($D192-1/frec,0),cob_adi,AO$40,FALSE)*(1+i/frec)^-0.5*(1+Parámetros!$D$103)*(1+rec_fracc)/frec),6))</f>
        <v/>
      </c>
      <c r="BE192" s="66">
        <f t="shared" si="258"/>
        <v>0</v>
      </c>
      <c r="BF192" s="119" t="str">
        <f t="shared" si="259"/>
        <v/>
      </c>
      <c r="BG192" s="66">
        <f>+IF($W192="","",ROUND(IF($B192&gt;Parámetros!$D$107,'Tablas Servicio'!BE192+('Tablas Servicio'!BG191-'Tablas Servicio'!BE191),BE192/(1-IF(B192&lt;=10,Parámetros!$D$100,0))),2))</f>
        <v>0</v>
      </c>
      <c r="BH192" s="66">
        <f t="shared" si="260"/>
        <v>0</v>
      </c>
      <c r="BI192" s="66">
        <f t="shared" si="261"/>
        <v>0</v>
      </c>
      <c r="BJ192" s="66">
        <f>+IF($W192="","",ROUND((BG192*Parámetros!$G$85),2))</f>
        <v>0</v>
      </c>
      <c r="BK192" s="66">
        <f>+IF($W192="","",ROUND((BG192*(Parámetros!$G$86)),2))</f>
        <v>0</v>
      </c>
      <c r="BL192" s="66">
        <f t="shared" si="262"/>
        <v>0</v>
      </c>
      <c r="BM192" t="str">
        <f t="shared" si="303"/>
        <v>00061</v>
      </c>
      <c r="BN192" t="str">
        <f t="shared" si="304"/>
        <v>Gastos de Entierro</v>
      </c>
      <c r="BO192" s="118">
        <f t="shared" si="305"/>
        <v>0</v>
      </c>
      <c r="BP192" s="118" t="str">
        <f t="shared" si="306"/>
        <v>A</v>
      </c>
      <c r="BQ192" s="119" t="str">
        <f>+IF(OR($W192="",BO192=0),"",ROUND((VLOOKUP(ROUNDDOWN($D192-1/frec,0),cob_adi,BB$40,FALSE)*(1+i/frec)^-0.5*(1+Parámetros!$D$103)*(1+rec_fracc)/frec),6))</f>
        <v/>
      </c>
      <c r="BR192" s="66">
        <f t="shared" si="263"/>
        <v>0</v>
      </c>
      <c r="BS192" s="119" t="str">
        <f t="shared" si="264"/>
        <v/>
      </c>
      <c r="BT192" s="66">
        <f>+IF($W192="","",ROUND(IF($B192&gt;Parámetros!$D$107,'Tablas Servicio'!BR192+('Tablas Servicio'!BT191-'Tablas Servicio'!BR191),BR192/(1-IF(B192&lt;=10,Parámetros!$D$100,0))),2))</f>
        <v>0</v>
      </c>
      <c r="BU192" s="66">
        <f t="shared" si="265"/>
        <v>0</v>
      </c>
      <c r="BV192" s="66">
        <f t="shared" si="265"/>
        <v>0</v>
      </c>
      <c r="BW192" s="66">
        <f>+IF($W192="","",ROUND((BT192*Parámetros!$G$85),2))</f>
        <v>0</v>
      </c>
      <c r="BX192" s="66">
        <f>+IF($W192="","",ROUND((BT192*(Parámetros!$G$86)),2))</f>
        <v>0</v>
      </c>
      <c r="BY192" s="66">
        <f t="shared" si="266"/>
        <v>0</v>
      </c>
      <c r="BZ192" t="str">
        <f t="shared" si="307"/>
        <v>00062</v>
      </c>
      <c r="CA192" t="str">
        <f t="shared" si="308"/>
        <v>Gastos médicos por accidente</v>
      </c>
      <c r="CB192" s="118">
        <f t="shared" si="309"/>
        <v>0</v>
      </c>
      <c r="CC192" s="118" t="str">
        <f t="shared" si="310"/>
        <v>A</v>
      </c>
      <c r="CD192" s="119" t="str">
        <f t="shared" si="267"/>
        <v/>
      </c>
      <c r="CE192" s="66">
        <f>+IF($W192="","",ROUND((VLOOKUP(ROUNDDOWN($D192-1/frec,0),cob_adi,BO$40,FALSE)*(1+i/frec)^-0.5*(1+Parámetros!$D$103)*(1+rec_fracc)/frec*'TABLAS ADI'!$BC$17),2))</f>
        <v>0</v>
      </c>
      <c r="CF192" s="119" t="str">
        <f t="shared" si="268"/>
        <v/>
      </c>
      <c r="CG192" s="66">
        <f>+IF($W192="","",ROUND(IF($B192&gt;Parámetros!$D$107,'Tablas Servicio'!CE192+('Tablas Servicio'!CG191-'Tablas Servicio'!CE191),CE192/(1-IF(B192&lt;=10,Parámetros!$D$100,0))),2))</f>
        <v>0</v>
      </c>
      <c r="CH192" s="66">
        <f t="shared" si="269"/>
        <v>0</v>
      </c>
      <c r="CI192" s="66">
        <f t="shared" si="269"/>
        <v>0</v>
      </c>
      <c r="CJ192" s="66">
        <f>+IF($W192="","",ROUND((CG192*Parámetros!$G$85),2))</f>
        <v>0</v>
      </c>
      <c r="CK192" s="66">
        <f>+IF($W192="","",ROUND((CG192*(Parámetros!$G$86)),2))</f>
        <v>0</v>
      </c>
      <c r="CL192" s="66">
        <f t="shared" si="270"/>
        <v>0</v>
      </c>
      <c r="CM192" t="str">
        <f t="shared" si="311"/>
        <v>00063</v>
      </c>
      <c r="CN192" s="118" t="str">
        <f t="shared" si="312"/>
        <v>Renta Diaria por Hospitalización</v>
      </c>
      <c r="CO192" s="118">
        <f t="shared" si="313"/>
        <v>0</v>
      </c>
      <c r="CP192" s="118" t="str">
        <f t="shared" si="314"/>
        <v>A</v>
      </c>
      <c r="CQ192" s="119" t="str">
        <f t="shared" si="271"/>
        <v/>
      </c>
      <c r="CR192" s="66">
        <f>+IF($W192="","",ROUND((VLOOKUP(Parámetros!$F$51,'COBERTURAS ADICIONALES'!$S$4:$T$32,2,FALSE)*(1+i/frec)^-0.5*(1+Parámetros!$D$103)*(1+rec_fracc)/frec*$CO$42),2))</f>
        <v>0</v>
      </c>
      <c r="CS192" s="119" t="str">
        <f t="shared" si="272"/>
        <v/>
      </c>
      <c r="CT192" s="66">
        <f>+IF($W192="","",ROUND(IF($B192&gt;Parámetros!$D$107,'Tablas Servicio'!CR192+('Tablas Servicio'!CT191-'Tablas Servicio'!CR191),CR192/(1-IF(B192&lt;=10,Parámetros!$D$100,0))),2))</f>
        <v>0</v>
      </c>
      <c r="CU192" s="66">
        <f t="shared" si="273"/>
        <v>0</v>
      </c>
      <c r="CV192" s="66">
        <f t="shared" si="273"/>
        <v>0</v>
      </c>
      <c r="CW192" s="66">
        <f>+IF($W192="","",ROUND((CT192*Parámetros!$G$85),2))</f>
        <v>0</v>
      </c>
      <c r="CX192" s="66">
        <f>+IF($W192="","",ROUND((CT192*(Parámetros!$G$86)),2))</f>
        <v>0</v>
      </c>
      <c r="CY192" s="66">
        <f t="shared" si="274"/>
        <v>0</v>
      </c>
      <c r="CZ192" t="str">
        <f t="shared" si="315"/>
        <v>00064</v>
      </c>
      <c r="DA192" s="118" t="str">
        <f t="shared" si="316"/>
        <v>Enfermedades Graves</v>
      </c>
      <c r="DB192" s="118">
        <f t="shared" si="317"/>
        <v>0</v>
      </c>
      <c r="DC192" s="118" t="str">
        <f t="shared" si="318"/>
        <v>A</v>
      </c>
      <c r="DD192" s="121" t="str">
        <f>+IF(OR($W192="",DB192=0),"",ROUND((VLOOKUP(ROUNDDOWN($D192-1/frec,0),cob_adi,CO$40,FALSE)*(1+i/frec)^-0.5*(1+Parámetros!$D$103)*(1+rec_fracc)/frec),6))</f>
        <v/>
      </c>
      <c r="DE192" s="66">
        <f t="shared" si="275"/>
        <v>0</v>
      </c>
      <c r="DF192" s="119" t="str">
        <f t="shared" si="276"/>
        <v/>
      </c>
      <c r="DG192" s="66">
        <f>+IF($W192="","",ROUND(IF($B192&gt;Parámetros!$D$107,'Tablas Servicio'!DE192+('Tablas Servicio'!DG191-'Tablas Servicio'!DE191),DE192/(1-IF(B192&lt;=10,Parámetros!$D$100,0))),2))</f>
        <v>0</v>
      </c>
      <c r="DH192" s="66">
        <f t="shared" si="277"/>
        <v>0</v>
      </c>
      <c r="DI192" s="66">
        <f t="shared" si="277"/>
        <v>0</v>
      </c>
      <c r="DJ192" s="66">
        <f>+IF($W192="","",ROUND((DG192*Parámetros!$G$85),2))</f>
        <v>0</v>
      </c>
      <c r="DK192" s="66">
        <f>+IF($W192="","",ROUND((DG192*(Parámetros!$G$86)),2))</f>
        <v>0</v>
      </c>
      <c r="DL192" s="66">
        <f t="shared" si="278"/>
        <v>0</v>
      </c>
      <c r="DM192" t="str">
        <f t="shared" si="319"/>
        <v>00065</v>
      </c>
      <c r="DN192" s="118" t="str">
        <f t="shared" si="320"/>
        <v>Exención pago de primas</v>
      </c>
      <c r="DO192" s="118">
        <f t="shared" si="321"/>
        <v>0</v>
      </c>
      <c r="DP192" s="118" t="str">
        <f t="shared" si="322"/>
        <v>A</v>
      </c>
      <c r="DQ192" s="122" t="str">
        <f>+IF(OR($W192="",DO192=0),"",ROUND((VLOOKUP(ROUNDDOWN($D192-1/frec,0),cob_adi,DB$40,FALSE)*(1+i/frec)^-0.5*(1+Parámetros!$D$103)*(1+rec_fracc)/frec),6))</f>
        <v/>
      </c>
      <c r="DR192" s="66">
        <f t="shared" si="279"/>
        <v>0</v>
      </c>
      <c r="DS192" s="68" t="str">
        <f t="shared" si="280"/>
        <v/>
      </c>
      <c r="DT192" s="66">
        <f>+IF($W192="","",ROUND(IF($B192&gt;Parámetros!$D$107,'Tablas Servicio'!DR192+('Tablas Servicio'!DT191-'Tablas Servicio'!DR191),DR192/(1-IF(B192&lt;=10,Parámetros!$D$100,0))),2))</f>
        <v>0</v>
      </c>
      <c r="DU192" s="66">
        <f t="shared" si="281"/>
        <v>0</v>
      </c>
      <c r="DV192" s="66">
        <f t="shared" si="281"/>
        <v>0</v>
      </c>
      <c r="DW192" s="66">
        <f>+IF($W192="","",ROUND((DT192*Parámetros!$G$85),2))</f>
        <v>0</v>
      </c>
      <c r="DX192" s="66">
        <f>+IF($W192="","",ROUND((DT192*(Parámetros!$G$86)),2))</f>
        <v>0</v>
      </c>
      <c r="DY192" s="66">
        <f t="shared" si="282"/>
        <v>0</v>
      </c>
      <c r="DZ192" t="str">
        <f t="shared" si="323"/>
        <v>00066</v>
      </c>
      <c r="EA192" s="118" t="str">
        <f t="shared" si="323"/>
        <v>Enfermedad terminal</v>
      </c>
      <c r="EB192" s="118">
        <f>+IF($W192="","",ROUND(IF(Parámetros!$D$25='TABLAS MORT'!$V$33,EB191,Z192/2),0))</f>
        <v>50000</v>
      </c>
      <c r="EC192" s="118" t="str">
        <f t="shared" si="323"/>
        <v>A</v>
      </c>
      <c r="ED192" s="122">
        <f>+IF(OR($W192="",EB192=0),"",ROUND((VLOOKUP(ROUNDDOWN($D192-1/frec,0),cob_adi,DO$40,FALSE)*(1+i/frec)^-0.5*(1+Parámetros!$D$103)*(1+rec_fracc)/frec),6))</f>
        <v>1.8E-5</v>
      </c>
      <c r="EE192" s="66">
        <f t="shared" si="284"/>
        <v>0.9</v>
      </c>
      <c r="EF192" s="68">
        <f t="shared" si="285"/>
        <v>1.8E-5</v>
      </c>
      <c r="EG192" s="66">
        <f>+IF($W192="","",ROUND(IF($B192&gt;Parámetros!$D$107,'Tablas Servicio'!EE192+('Tablas Servicio'!EG191-'Tablas Servicio'!EE191),EE192/(1-IF(B192&lt;=10,Parámetros!$D$100,0))),2))</f>
        <v>0.9</v>
      </c>
      <c r="EH192" s="66">
        <f t="shared" si="286"/>
        <v>0</v>
      </c>
      <c r="EI192" s="66">
        <f t="shared" si="286"/>
        <v>0</v>
      </c>
      <c r="EJ192" s="66">
        <f>+IF($W192="","",ROUND((EG192*Parámetros!$G$85),2))</f>
        <v>0.03</v>
      </c>
      <c r="EK192" s="66">
        <f>+IF($W192="","",ROUND((EG192*(Parámetros!$G$86)),2))</f>
        <v>0</v>
      </c>
      <c r="EL192" s="66">
        <f t="shared" si="287"/>
        <v>0.93</v>
      </c>
    </row>
    <row r="193" spans="1:142" x14ac:dyDescent="0.25">
      <c r="A193">
        <f>+IF($C193="","",ROUND(VLOOKUP('Tablas Servicio'!B193,Parámetros!$H$100:$J$159,IF(Parámetros!$E$16="F",2,3),FALSE),2))</f>
        <v>150</v>
      </c>
      <c r="B193">
        <f t="shared" si="238"/>
        <v>13</v>
      </c>
      <c r="C193" s="57">
        <f>+IF(D193="","",'Tablas Servicio'!C192+1)</f>
        <v>152</v>
      </c>
      <c r="D193" s="56">
        <f>+IF(D192&lt;edadmaxtabla,D192+1/Parámetros!$E$25,"")</f>
        <v>52.68666666666703</v>
      </c>
      <c r="E193" s="57">
        <f t="shared" si="248"/>
        <v>52</v>
      </c>
      <c r="F193" s="59">
        <f t="shared" si="249"/>
        <v>100000</v>
      </c>
      <c r="G193" s="66">
        <f t="shared" si="239"/>
        <v>39.1</v>
      </c>
      <c r="H193" s="66">
        <f t="shared" si="240"/>
        <v>40.659999999999997</v>
      </c>
      <c r="I193" s="66">
        <f t="shared" si="288"/>
        <v>53.34</v>
      </c>
      <c r="J193" s="66">
        <f t="shared" si="241"/>
        <v>1.37</v>
      </c>
      <c r="K193" s="66">
        <f t="shared" si="242"/>
        <v>0.19</v>
      </c>
      <c r="L193" s="66">
        <f t="shared" si="243"/>
        <v>0</v>
      </c>
      <c r="M193" s="66">
        <f t="shared" si="244"/>
        <v>0</v>
      </c>
      <c r="N193" s="66">
        <f>+IF(C193="","",ROUND(Parámetros!$D$23,2))</f>
        <v>94</v>
      </c>
      <c r="O193" s="66">
        <f t="shared" si="245"/>
        <v>26.599999999999998</v>
      </c>
      <c r="P193" s="66">
        <f>+IF($C193="","",ROUND(IF(B193&gt;Parámetros!$D$117,0,N193*Parámetros!$D$116-G193*Parámetros!$D$100),2))</f>
        <v>0</v>
      </c>
      <c r="Q193" s="75">
        <f t="shared" si="289"/>
        <v>3.5038363171355502E-2</v>
      </c>
      <c r="R193" s="75">
        <f t="shared" si="290"/>
        <v>4.8593350383631714E-3</v>
      </c>
      <c r="S193" s="117">
        <f>+IF($C193="","",ROUND((S192+I193)*(1+Parámetros!$D$91),2))</f>
        <v>10419.049999999999</v>
      </c>
      <c r="T193" s="117">
        <f>+IF($C193="","",ROUND(S193*VLOOKUP(B193,Parámetros!$C$30:$D$39,2,TRUE),2))</f>
        <v>10419.049999999999</v>
      </c>
      <c r="U193" s="117">
        <f>+IF($C193="","",ROUND((U192+I193)*(1+Parámetros!$D$92),2))</f>
        <v>10780.74</v>
      </c>
      <c r="V193" s="117">
        <f>+IF($C193="","",ROUND(U193*VLOOKUP(B193,Parámetros!$C$30:$D$39,2,TRUE),2))</f>
        <v>10780.74</v>
      </c>
      <c r="W193" s="57">
        <f t="shared" si="291"/>
        <v>152</v>
      </c>
      <c r="X193" t="str">
        <f t="shared" si="292"/>
        <v>00058</v>
      </c>
      <c r="Y193" t="str">
        <f t="shared" si="293"/>
        <v>MUERTE POR CUALQUIER CAUSA</v>
      </c>
      <c r="Z193" s="118">
        <f>+IF($W193="","",ROUND(IF(Parámetros!$D$25='TABLAS MORT'!$V$33,Z192,Parámetros!$D$21-'Tablas Servicio'!T192),0))</f>
        <v>100000</v>
      </c>
      <c r="AA193" s="118" t="str">
        <f t="shared" si="294"/>
        <v>P</v>
      </c>
      <c r="AB193" s="119">
        <f>+IF(W193="","",ROUND((VLOOKUP(ROUNDDOWN($D193-1/frec,0),qx_tabla,2,FALSE)*(1+i/frec)^-0.5*(1+Parámetros!$D$103)*(1+rec_fracc)/frec),6))</f>
        <v>2.5700000000000001E-4</v>
      </c>
      <c r="AC193" s="66">
        <f t="shared" si="250"/>
        <v>25.7</v>
      </c>
      <c r="AD193" s="119">
        <f t="shared" si="246"/>
        <v>3.8200000000000002E-4</v>
      </c>
      <c r="AE193" s="66">
        <f>+IF($W193="","",ROUND(IF($B193&gt;Parámetros!$D$107,'Tablas Servicio'!AC193+('Tablas Servicio'!AG192-'Tablas Servicio'!AC192),AC193/(1-IF(B193&lt;=10,Parámetros!$D$104,Parámetros!$D$105))),2))</f>
        <v>42.83</v>
      </c>
      <c r="AF193" s="66">
        <f>+IF($W193="","",ROUND(IF($B193&gt;Parámetros!$D$107,'Tablas Servicio'!AC193+('Tablas Servicio'!AG192-'Tablas Servicio'!AC192),(AC193+$A192/frec)/(1-IF(B193&lt;=Parámetros!$D$117,Parámetros!$D$100,0))),2))</f>
        <v>38.200000000000003</v>
      </c>
      <c r="AG193" s="66">
        <f t="shared" si="251"/>
        <v>38.200000000000003</v>
      </c>
      <c r="AH193" s="66">
        <f t="shared" si="252"/>
        <v>0</v>
      </c>
      <c r="AI193" s="66">
        <f t="shared" si="253"/>
        <v>0</v>
      </c>
      <c r="AJ193" s="66">
        <f>+IF($W193="","",ROUND((AG193*Parámetros!$G$85),2))</f>
        <v>1.34</v>
      </c>
      <c r="AK193" s="66">
        <f>+IF($W193="","",ROUND((AG193*(Parámetros!$G$86)),2))</f>
        <v>0.19</v>
      </c>
      <c r="AL193" s="66">
        <f t="shared" si="247"/>
        <v>39.729999999999997</v>
      </c>
      <c r="AM193" t="str">
        <f t="shared" si="295"/>
        <v>00059</v>
      </c>
      <c r="AN193" t="str">
        <f t="shared" si="296"/>
        <v>Incapacidad Total y Permanente</v>
      </c>
      <c r="AO193" s="118">
        <f t="shared" si="297"/>
        <v>0</v>
      </c>
      <c r="AP193" s="118" t="str">
        <f t="shared" si="298"/>
        <v>A</v>
      </c>
      <c r="AQ193" s="119" t="str">
        <f>+IF(OR($W193="",AO193=0),"",ROUND((VLOOKUP(ROUNDDOWN($D193-1/frec,0),cob_adi,Z$40,FALSE)*(1+i/frec)^-0.5*(1+Parámetros!$D$103)*(1+rec_fracc)/frec),6))</f>
        <v/>
      </c>
      <c r="AR193" s="66">
        <f t="shared" si="254"/>
        <v>0</v>
      </c>
      <c r="AS193" s="119" t="str">
        <f t="shared" si="255"/>
        <v/>
      </c>
      <c r="AT193" s="66">
        <f>+IF($W193="","",ROUND(IF($B193&gt;Parámetros!$D$107,'Tablas Servicio'!AR193+('Tablas Servicio'!AT192-'Tablas Servicio'!AR192),AR193/(1-IF(B193&lt;=10,Parámetros!$D$100,0))),2))</f>
        <v>0</v>
      </c>
      <c r="AU193" s="66">
        <f t="shared" si="256"/>
        <v>0</v>
      </c>
      <c r="AV193" s="66">
        <f t="shared" si="256"/>
        <v>0</v>
      </c>
      <c r="AW193" s="66">
        <f>+IF($W193="","",ROUND((AT193*Parámetros!$G$85),2))</f>
        <v>0</v>
      </c>
      <c r="AX193" s="66">
        <f>+IF($W193="","",ROUND((AT193*(Parámetros!$G$86)),2))</f>
        <v>0</v>
      </c>
      <c r="AY193" s="66">
        <f t="shared" si="257"/>
        <v>0</v>
      </c>
      <c r="AZ193" t="str">
        <f t="shared" si="299"/>
        <v>00060</v>
      </c>
      <c r="BA193" t="str">
        <f t="shared" si="300"/>
        <v>Muerte Accidental</v>
      </c>
      <c r="BB193" s="118">
        <f t="shared" si="301"/>
        <v>0</v>
      </c>
      <c r="BC193" s="118" t="str">
        <f t="shared" si="302"/>
        <v>A</v>
      </c>
      <c r="BD193" s="119" t="str">
        <f>+IF(OR($W193="",BB193=0),"",ROUND((VLOOKUP(ROUNDDOWN($D193-1/frec,0),cob_adi,AO$40,FALSE)*(1+i/frec)^-0.5*(1+Parámetros!$D$103)*(1+rec_fracc)/frec),6))</f>
        <v/>
      </c>
      <c r="BE193" s="66">
        <f t="shared" si="258"/>
        <v>0</v>
      </c>
      <c r="BF193" s="119" t="str">
        <f t="shared" si="259"/>
        <v/>
      </c>
      <c r="BG193" s="66">
        <f>+IF($W193="","",ROUND(IF($B193&gt;Parámetros!$D$107,'Tablas Servicio'!BE193+('Tablas Servicio'!BG192-'Tablas Servicio'!BE192),BE193/(1-IF(B193&lt;=10,Parámetros!$D$100,0))),2))</f>
        <v>0</v>
      </c>
      <c r="BH193" s="66">
        <f t="shared" si="260"/>
        <v>0</v>
      </c>
      <c r="BI193" s="66">
        <f t="shared" si="261"/>
        <v>0</v>
      </c>
      <c r="BJ193" s="66">
        <f>+IF($W193="","",ROUND((BG193*Parámetros!$G$85),2))</f>
        <v>0</v>
      </c>
      <c r="BK193" s="66">
        <f>+IF($W193="","",ROUND((BG193*(Parámetros!$G$86)),2))</f>
        <v>0</v>
      </c>
      <c r="BL193" s="66">
        <f t="shared" si="262"/>
        <v>0</v>
      </c>
      <c r="BM193" t="str">
        <f t="shared" si="303"/>
        <v>00061</v>
      </c>
      <c r="BN193" t="str">
        <f t="shared" si="304"/>
        <v>Gastos de Entierro</v>
      </c>
      <c r="BO193" s="118">
        <f t="shared" si="305"/>
        <v>0</v>
      </c>
      <c r="BP193" s="118" t="str">
        <f t="shared" si="306"/>
        <v>A</v>
      </c>
      <c r="BQ193" s="119" t="str">
        <f>+IF(OR($W193="",BO193=0),"",ROUND((VLOOKUP(ROUNDDOWN($D193-1/frec,0),cob_adi,BB$40,FALSE)*(1+i/frec)^-0.5*(1+Parámetros!$D$103)*(1+rec_fracc)/frec),6))</f>
        <v/>
      </c>
      <c r="BR193" s="66">
        <f t="shared" si="263"/>
        <v>0</v>
      </c>
      <c r="BS193" s="119" t="str">
        <f t="shared" si="264"/>
        <v/>
      </c>
      <c r="BT193" s="66">
        <f>+IF($W193="","",ROUND(IF($B193&gt;Parámetros!$D$107,'Tablas Servicio'!BR193+('Tablas Servicio'!BT192-'Tablas Servicio'!BR192),BR193/(1-IF(B193&lt;=10,Parámetros!$D$100,0))),2))</f>
        <v>0</v>
      </c>
      <c r="BU193" s="66">
        <f t="shared" si="265"/>
        <v>0</v>
      </c>
      <c r="BV193" s="66">
        <f t="shared" si="265"/>
        <v>0</v>
      </c>
      <c r="BW193" s="66">
        <f>+IF($W193="","",ROUND((BT193*Parámetros!$G$85),2))</f>
        <v>0</v>
      </c>
      <c r="BX193" s="66">
        <f>+IF($W193="","",ROUND((BT193*(Parámetros!$G$86)),2))</f>
        <v>0</v>
      </c>
      <c r="BY193" s="66">
        <f t="shared" si="266"/>
        <v>0</v>
      </c>
      <c r="BZ193" t="str">
        <f t="shared" si="307"/>
        <v>00062</v>
      </c>
      <c r="CA193" t="str">
        <f t="shared" si="308"/>
        <v>Gastos médicos por accidente</v>
      </c>
      <c r="CB193" s="118">
        <f t="shared" si="309"/>
        <v>0</v>
      </c>
      <c r="CC193" s="118" t="str">
        <f t="shared" si="310"/>
        <v>A</v>
      </c>
      <c r="CD193" s="119" t="str">
        <f t="shared" si="267"/>
        <v/>
      </c>
      <c r="CE193" s="66">
        <f>+IF($W193="","",ROUND((VLOOKUP(ROUNDDOWN($D193-1/frec,0),cob_adi,BO$40,FALSE)*(1+i/frec)^-0.5*(1+Parámetros!$D$103)*(1+rec_fracc)/frec*'TABLAS ADI'!$BC$17),2))</f>
        <v>0</v>
      </c>
      <c r="CF193" s="119" t="str">
        <f t="shared" si="268"/>
        <v/>
      </c>
      <c r="CG193" s="66">
        <f>+IF($W193="","",ROUND(IF($B193&gt;Parámetros!$D$107,'Tablas Servicio'!CE193+('Tablas Servicio'!CG192-'Tablas Servicio'!CE192),CE193/(1-IF(B193&lt;=10,Parámetros!$D$100,0))),2))</f>
        <v>0</v>
      </c>
      <c r="CH193" s="66">
        <f t="shared" si="269"/>
        <v>0</v>
      </c>
      <c r="CI193" s="66">
        <f t="shared" si="269"/>
        <v>0</v>
      </c>
      <c r="CJ193" s="66">
        <f>+IF($W193="","",ROUND((CG193*Parámetros!$G$85),2))</f>
        <v>0</v>
      </c>
      <c r="CK193" s="66">
        <f>+IF($W193="","",ROUND((CG193*(Parámetros!$G$86)),2))</f>
        <v>0</v>
      </c>
      <c r="CL193" s="66">
        <f t="shared" si="270"/>
        <v>0</v>
      </c>
      <c r="CM193" t="str">
        <f t="shared" si="311"/>
        <v>00063</v>
      </c>
      <c r="CN193" s="118" t="str">
        <f t="shared" si="312"/>
        <v>Renta Diaria por Hospitalización</v>
      </c>
      <c r="CO193" s="118">
        <f t="shared" si="313"/>
        <v>0</v>
      </c>
      <c r="CP193" s="118" t="str">
        <f t="shared" si="314"/>
        <v>A</v>
      </c>
      <c r="CQ193" s="119" t="str">
        <f t="shared" si="271"/>
        <v/>
      </c>
      <c r="CR193" s="66">
        <f>+IF($W193="","",ROUND((VLOOKUP(Parámetros!$F$51,'COBERTURAS ADICIONALES'!$S$4:$T$32,2,FALSE)*(1+i/frec)^-0.5*(1+Parámetros!$D$103)*(1+rec_fracc)/frec*$CO$42),2))</f>
        <v>0</v>
      </c>
      <c r="CS193" s="119" t="str">
        <f t="shared" si="272"/>
        <v/>
      </c>
      <c r="CT193" s="66">
        <f>+IF($W193="","",ROUND(IF($B193&gt;Parámetros!$D$107,'Tablas Servicio'!CR193+('Tablas Servicio'!CT192-'Tablas Servicio'!CR192),CR193/(1-IF(B193&lt;=10,Parámetros!$D$100,0))),2))</f>
        <v>0</v>
      </c>
      <c r="CU193" s="66">
        <f t="shared" si="273"/>
        <v>0</v>
      </c>
      <c r="CV193" s="66">
        <f t="shared" si="273"/>
        <v>0</v>
      </c>
      <c r="CW193" s="66">
        <f>+IF($W193="","",ROUND((CT193*Parámetros!$G$85),2))</f>
        <v>0</v>
      </c>
      <c r="CX193" s="66">
        <f>+IF($W193="","",ROUND((CT193*(Parámetros!$G$86)),2))</f>
        <v>0</v>
      </c>
      <c r="CY193" s="66">
        <f t="shared" si="274"/>
        <v>0</v>
      </c>
      <c r="CZ193" t="str">
        <f t="shared" si="315"/>
        <v>00064</v>
      </c>
      <c r="DA193" s="118" t="str">
        <f t="shared" si="316"/>
        <v>Enfermedades Graves</v>
      </c>
      <c r="DB193" s="118">
        <f t="shared" si="317"/>
        <v>0</v>
      </c>
      <c r="DC193" s="118" t="str">
        <f t="shared" si="318"/>
        <v>A</v>
      </c>
      <c r="DD193" s="121" t="str">
        <f>+IF(OR($W193="",DB193=0),"",ROUND((VLOOKUP(ROUNDDOWN($D193-1/frec,0),cob_adi,CO$40,FALSE)*(1+i/frec)^-0.5*(1+Parámetros!$D$103)*(1+rec_fracc)/frec),6))</f>
        <v/>
      </c>
      <c r="DE193" s="66">
        <f t="shared" si="275"/>
        <v>0</v>
      </c>
      <c r="DF193" s="119" t="str">
        <f t="shared" si="276"/>
        <v/>
      </c>
      <c r="DG193" s="66">
        <f>+IF($W193="","",ROUND(IF($B193&gt;Parámetros!$D$107,'Tablas Servicio'!DE193+('Tablas Servicio'!DG192-'Tablas Servicio'!DE192),DE193/(1-IF(B193&lt;=10,Parámetros!$D$100,0))),2))</f>
        <v>0</v>
      </c>
      <c r="DH193" s="66">
        <f t="shared" si="277"/>
        <v>0</v>
      </c>
      <c r="DI193" s="66">
        <f t="shared" si="277"/>
        <v>0</v>
      </c>
      <c r="DJ193" s="66">
        <f>+IF($W193="","",ROUND((DG193*Parámetros!$G$85),2))</f>
        <v>0</v>
      </c>
      <c r="DK193" s="66">
        <f>+IF($W193="","",ROUND((DG193*(Parámetros!$G$86)),2))</f>
        <v>0</v>
      </c>
      <c r="DL193" s="66">
        <f t="shared" si="278"/>
        <v>0</v>
      </c>
      <c r="DM193" t="str">
        <f t="shared" si="319"/>
        <v>00065</v>
      </c>
      <c r="DN193" s="118" t="str">
        <f t="shared" si="320"/>
        <v>Exención pago de primas</v>
      </c>
      <c r="DO193" s="118">
        <f t="shared" si="321"/>
        <v>0</v>
      </c>
      <c r="DP193" s="118" t="str">
        <f t="shared" si="322"/>
        <v>A</v>
      </c>
      <c r="DQ193" s="122" t="str">
        <f>+IF(OR($W193="",DO193=0),"",ROUND((VLOOKUP(ROUNDDOWN($D193-1/frec,0),cob_adi,DB$40,FALSE)*(1+i/frec)^-0.5*(1+Parámetros!$D$103)*(1+rec_fracc)/frec),6))</f>
        <v/>
      </c>
      <c r="DR193" s="66">
        <f t="shared" si="279"/>
        <v>0</v>
      </c>
      <c r="DS193" s="68" t="str">
        <f t="shared" si="280"/>
        <v/>
      </c>
      <c r="DT193" s="66">
        <f>+IF($W193="","",ROUND(IF($B193&gt;Parámetros!$D$107,'Tablas Servicio'!DR193+('Tablas Servicio'!DT192-'Tablas Servicio'!DR192),DR193/(1-IF(B193&lt;=10,Parámetros!$D$100,0))),2))</f>
        <v>0</v>
      </c>
      <c r="DU193" s="66">
        <f t="shared" si="281"/>
        <v>0</v>
      </c>
      <c r="DV193" s="66">
        <f t="shared" si="281"/>
        <v>0</v>
      </c>
      <c r="DW193" s="66">
        <f>+IF($W193="","",ROUND((DT193*Parámetros!$G$85),2))</f>
        <v>0</v>
      </c>
      <c r="DX193" s="66">
        <f>+IF($W193="","",ROUND((DT193*(Parámetros!$G$86)),2))</f>
        <v>0</v>
      </c>
      <c r="DY193" s="66">
        <f t="shared" si="282"/>
        <v>0</v>
      </c>
      <c r="DZ193" t="str">
        <f t="shared" si="323"/>
        <v>00066</v>
      </c>
      <c r="EA193" s="118" t="str">
        <f t="shared" si="323"/>
        <v>Enfermedad terminal</v>
      </c>
      <c r="EB193" s="118">
        <f>+IF($W193="","",ROUND(IF(Parámetros!$D$25='TABLAS MORT'!$V$33,EB192,Z193/2),0))</f>
        <v>50000</v>
      </c>
      <c r="EC193" s="118" t="str">
        <f t="shared" si="323"/>
        <v>A</v>
      </c>
      <c r="ED193" s="122">
        <f>+IF(OR($W193="",EB193=0),"",ROUND((VLOOKUP(ROUNDDOWN($D193-1/frec,0),cob_adi,DO$40,FALSE)*(1+i/frec)^-0.5*(1+Parámetros!$D$103)*(1+rec_fracc)/frec),6))</f>
        <v>1.8E-5</v>
      </c>
      <c r="EE193" s="66">
        <f t="shared" si="284"/>
        <v>0.9</v>
      </c>
      <c r="EF193" s="68">
        <f t="shared" si="285"/>
        <v>1.8E-5</v>
      </c>
      <c r="EG193" s="66">
        <f>+IF($W193="","",ROUND(IF($B193&gt;Parámetros!$D$107,'Tablas Servicio'!EE193+('Tablas Servicio'!EG192-'Tablas Servicio'!EE192),EE193/(1-IF(B193&lt;=10,Parámetros!$D$100,0))),2))</f>
        <v>0.9</v>
      </c>
      <c r="EH193" s="66">
        <f t="shared" si="286"/>
        <v>0</v>
      </c>
      <c r="EI193" s="66">
        <f t="shared" si="286"/>
        <v>0</v>
      </c>
      <c r="EJ193" s="66">
        <f>+IF($W193="","",ROUND((EG193*Parámetros!$G$85),2))</f>
        <v>0.03</v>
      </c>
      <c r="EK193" s="66">
        <f>+IF($W193="","",ROUND((EG193*(Parámetros!$G$86)),2))</f>
        <v>0</v>
      </c>
      <c r="EL193" s="66">
        <f t="shared" si="287"/>
        <v>0.93</v>
      </c>
    </row>
    <row r="194" spans="1:142" x14ac:dyDescent="0.25">
      <c r="A194">
        <f>+IF($C194="","",ROUND(VLOOKUP('Tablas Servicio'!B194,Parámetros!$H$100:$J$159,IF(Parámetros!$E$16="F",2,3),FALSE),2))</f>
        <v>150</v>
      </c>
      <c r="B194">
        <f t="shared" si="238"/>
        <v>13</v>
      </c>
      <c r="C194" s="57">
        <f>+IF(D194="","",'Tablas Servicio'!C193+1)</f>
        <v>153</v>
      </c>
      <c r="D194" s="56">
        <f>+IF(D193&lt;edadmaxtabla,D193+1/Parámetros!$E$25,"")</f>
        <v>52.770000000000366</v>
      </c>
      <c r="E194" s="57">
        <f t="shared" si="248"/>
        <v>52</v>
      </c>
      <c r="F194" s="59">
        <f t="shared" si="249"/>
        <v>100000</v>
      </c>
      <c r="G194" s="66">
        <f t="shared" si="239"/>
        <v>39.1</v>
      </c>
      <c r="H194" s="66">
        <f t="shared" si="240"/>
        <v>40.659999999999997</v>
      </c>
      <c r="I194" s="66">
        <f t="shared" si="288"/>
        <v>53.34</v>
      </c>
      <c r="J194" s="66">
        <f t="shared" si="241"/>
        <v>1.37</v>
      </c>
      <c r="K194" s="66">
        <f t="shared" si="242"/>
        <v>0.19</v>
      </c>
      <c r="L194" s="66">
        <f t="shared" si="243"/>
        <v>0</v>
      </c>
      <c r="M194" s="66">
        <f t="shared" si="244"/>
        <v>0</v>
      </c>
      <c r="N194" s="66">
        <f>+IF(C194="","",ROUND(Parámetros!$D$23,2))</f>
        <v>94</v>
      </c>
      <c r="O194" s="66">
        <f t="shared" si="245"/>
        <v>26.599999999999998</v>
      </c>
      <c r="P194" s="66">
        <f>+IF($C194="","",ROUND(IF(B194&gt;Parámetros!$D$117,0,N194*Parámetros!$D$116-G194*Parámetros!$D$100),2))</f>
        <v>0</v>
      </c>
      <c r="Q194" s="75">
        <f t="shared" si="289"/>
        <v>3.5038363171355502E-2</v>
      </c>
      <c r="R194" s="75">
        <f t="shared" si="290"/>
        <v>4.8593350383631714E-3</v>
      </c>
      <c r="S194" s="117">
        <f>+IF($C194="","",ROUND((S193+I194)*(1+Parámetros!$D$91),2))</f>
        <v>10502.09</v>
      </c>
      <c r="T194" s="117">
        <f>+IF($C194="","",ROUND(S194*VLOOKUP(B194,Parámetros!$C$30:$D$39,2,TRUE),2))</f>
        <v>10502.09</v>
      </c>
      <c r="U194" s="117">
        <f>+IF($C194="","",ROUND((U193+I194)*(1+Parámetros!$D$92),2))</f>
        <v>10869.2</v>
      </c>
      <c r="V194" s="117">
        <f>+IF($C194="","",ROUND(U194*VLOOKUP(B194,Parámetros!$C$30:$D$39,2,TRUE),2))</f>
        <v>10869.2</v>
      </c>
      <c r="W194" s="57">
        <f t="shared" si="291"/>
        <v>153</v>
      </c>
      <c r="X194" t="str">
        <f t="shared" si="292"/>
        <v>00058</v>
      </c>
      <c r="Y194" t="str">
        <f t="shared" si="293"/>
        <v>MUERTE POR CUALQUIER CAUSA</v>
      </c>
      <c r="Z194" s="118">
        <f>+IF($W194="","",ROUND(IF(Parámetros!$D$25='TABLAS MORT'!$V$33,Z193,Parámetros!$D$21-'Tablas Servicio'!T193),0))</f>
        <v>100000</v>
      </c>
      <c r="AA194" s="118" t="str">
        <f t="shared" si="294"/>
        <v>P</v>
      </c>
      <c r="AB194" s="119">
        <f>+IF(W194="","",ROUND((VLOOKUP(ROUNDDOWN($D194-1/frec,0),qx_tabla,2,FALSE)*(1+i/frec)^-0.5*(1+Parámetros!$D$103)*(1+rec_fracc)/frec),6))</f>
        <v>2.5700000000000001E-4</v>
      </c>
      <c r="AC194" s="66">
        <f t="shared" si="250"/>
        <v>25.7</v>
      </c>
      <c r="AD194" s="119">
        <f t="shared" si="246"/>
        <v>3.8200000000000002E-4</v>
      </c>
      <c r="AE194" s="66">
        <f>+IF($W194="","",ROUND(IF($B194&gt;Parámetros!$D$107,'Tablas Servicio'!AC194+('Tablas Servicio'!AG193-'Tablas Servicio'!AC193),AC194/(1-IF(B194&lt;=10,Parámetros!$D$104,Parámetros!$D$105))),2))</f>
        <v>42.83</v>
      </c>
      <c r="AF194" s="66">
        <f>+IF($W194="","",ROUND(IF($B194&gt;Parámetros!$D$107,'Tablas Servicio'!AC194+('Tablas Servicio'!AG193-'Tablas Servicio'!AC193),(AC194+$A193/frec)/(1-IF(B194&lt;=Parámetros!$D$117,Parámetros!$D$100,0))),2))</f>
        <v>38.200000000000003</v>
      </c>
      <c r="AG194" s="66">
        <f t="shared" si="251"/>
        <v>38.200000000000003</v>
      </c>
      <c r="AH194" s="66">
        <f t="shared" si="252"/>
        <v>0</v>
      </c>
      <c r="AI194" s="66">
        <f t="shared" si="253"/>
        <v>0</v>
      </c>
      <c r="AJ194" s="66">
        <f>+IF($W194="","",ROUND((AG194*Parámetros!$G$85),2))</f>
        <v>1.34</v>
      </c>
      <c r="AK194" s="66">
        <f>+IF($W194="","",ROUND((AG194*(Parámetros!$G$86)),2))</f>
        <v>0.19</v>
      </c>
      <c r="AL194" s="66">
        <f t="shared" si="247"/>
        <v>39.729999999999997</v>
      </c>
      <c r="AM194" t="str">
        <f t="shared" si="295"/>
        <v>00059</v>
      </c>
      <c r="AN194" t="str">
        <f t="shared" si="296"/>
        <v>Incapacidad Total y Permanente</v>
      </c>
      <c r="AO194" s="118">
        <f t="shared" si="297"/>
        <v>0</v>
      </c>
      <c r="AP194" s="118" t="str">
        <f t="shared" si="298"/>
        <v>A</v>
      </c>
      <c r="AQ194" s="119" t="str">
        <f>+IF(OR($W194="",AO194=0),"",ROUND((VLOOKUP(ROUNDDOWN($D194-1/frec,0),cob_adi,Z$40,FALSE)*(1+i/frec)^-0.5*(1+Parámetros!$D$103)*(1+rec_fracc)/frec),6))</f>
        <v/>
      </c>
      <c r="AR194" s="66">
        <f t="shared" si="254"/>
        <v>0</v>
      </c>
      <c r="AS194" s="119" t="str">
        <f t="shared" si="255"/>
        <v/>
      </c>
      <c r="AT194" s="66">
        <f>+IF($W194="","",ROUND(IF($B194&gt;Parámetros!$D$107,'Tablas Servicio'!AR194+('Tablas Servicio'!AT193-'Tablas Servicio'!AR193),AR194/(1-IF(B194&lt;=10,Parámetros!$D$100,0))),2))</f>
        <v>0</v>
      </c>
      <c r="AU194" s="66">
        <f t="shared" si="256"/>
        <v>0</v>
      </c>
      <c r="AV194" s="66">
        <f t="shared" si="256"/>
        <v>0</v>
      </c>
      <c r="AW194" s="66">
        <f>+IF($W194="","",ROUND((AT194*Parámetros!$G$85),2))</f>
        <v>0</v>
      </c>
      <c r="AX194" s="66">
        <f>+IF($W194="","",ROUND((AT194*(Parámetros!$G$86)),2))</f>
        <v>0</v>
      </c>
      <c r="AY194" s="66">
        <f t="shared" si="257"/>
        <v>0</v>
      </c>
      <c r="AZ194" t="str">
        <f t="shared" si="299"/>
        <v>00060</v>
      </c>
      <c r="BA194" t="str">
        <f t="shared" si="300"/>
        <v>Muerte Accidental</v>
      </c>
      <c r="BB194" s="118">
        <f t="shared" si="301"/>
        <v>0</v>
      </c>
      <c r="BC194" s="118" t="str">
        <f t="shared" si="302"/>
        <v>A</v>
      </c>
      <c r="BD194" s="119" t="str">
        <f>+IF(OR($W194="",BB194=0),"",ROUND((VLOOKUP(ROUNDDOWN($D194-1/frec,0),cob_adi,AO$40,FALSE)*(1+i/frec)^-0.5*(1+Parámetros!$D$103)*(1+rec_fracc)/frec),6))</f>
        <v/>
      </c>
      <c r="BE194" s="66">
        <f t="shared" si="258"/>
        <v>0</v>
      </c>
      <c r="BF194" s="119" t="str">
        <f t="shared" si="259"/>
        <v/>
      </c>
      <c r="BG194" s="66">
        <f>+IF($W194="","",ROUND(IF($B194&gt;Parámetros!$D$107,'Tablas Servicio'!BE194+('Tablas Servicio'!BG193-'Tablas Servicio'!BE193),BE194/(1-IF(B194&lt;=10,Parámetros!$D$100,0))),2))</f>
        <v>0</v>
      </c>
      <c r="BH194" s="66">
        <f t="shared" si="260"/>
        <v>0</v>
      </c>
      <c r="BI194" s="66">
        <f t="shared" si="261"/>
        <v>0</v>
      </c>
      <c r="BJ194" s="66">
        <f>+IF($W194="","",ROUND((BG194*Parámetros!$G$85),2))</f>
        <v>0</v>
      </c>
      <c r="BK194" s="66">
        <f>+IF($W194="","",ROUND((BG194*(Parámetros!$G$86)),2))</f>
        <v>0</v>
      </c>
      <c r="BL194" s="66">
        <f t="shared" si="262"/>
        <v>0</v>
      </c>
      <c r="BM194" t="str">
        <f t="shared" si="303"/>
        <v>00061</v>
      </c>
      <c r="BN194" t="str">
        <f t="shared" si="304"/>
        <v>Gastos de Entierro</v>
      </c>
      <c r="BO194" s="118">
        <f t="shared" si="305"/>
        <v>0</v>
      </c>
      <c r="BP194" s="118" t="str">
        <f t="shared" si="306"/>
        <v>A</v>
      </c>
      <c r="BQ194" s="119" t="str">
        <f>+IF(OR($W194="",BO194=0),"",ROUND((VLOOKUP(ROUNDDOWN($D194-1/frec,0),cob_adi,BB$40,FALSE)*(1+i/frec)^-0.5*(1+Parámetros!$D$103)*(1+rec_fracc)/frec),6))</f>
        <v/>
      </c>
      <c r="BR194" s="66">
        <f t="shared" si="263"/>
        <v>0</v>
      </c>
      <c r="BS194" s="119" t="str">
        <f t="shared" si="264"/>
        <v/>
      </c>
      <c r="BT194" s="66">
        <f>+IF($W194="","",ROUND(IF($B194&gt;Parámetros!$D$107,'Tablas Servicio'!BR194+('Tablas Servicio'!BT193-'Tablas Servicio'!BR193),BR194/(1-IF(B194&lt;=10,Parámetros!$D$100,0))),2))</f>
        <v>0</v>
      </c>
      <c r="BU194" s="66">
        <f t="shared" si="265"/>
        <v>0</v>
      </c>
      <c r="BV194" s="66">
        <f t="shared" si="265"/>
        <v>0</v>
      </c>
      <c r="BW194" s="66">
        <f>+IF($W194="","",ROUND((BT194*Parámetros!$G$85),2))</f>
        <v>0</v>
      </c>
      <c r="BX194" s="66">
        <f>+IF($W194="","",ROUND((BT194*(Parámetros!$G$86)),2))</f>
        <v>0</v>
      </c>
      <c r="BY194" s="66">
        <f t="shared" si="266"/>
        <v>0</v>
      </c>
      <c r="BZ194" t="str">
        <f t="shared" si="307"/>
        <v>00062</v>
      </c>
      <c r="CA194" t="str">
        <f t="shared" si="308"/>
        <v>Gastos médicos por accidente</v>
      </c>
      <c r="CB194" s="118">
        <f t="shared" si="309"/>
        <v>0</v>
      </c>
      <c r="CC194" s="118" t="str">
        <f t="shared" si="310"/>
        <v>A</v>
      </c>
      <c r="CD194" s="119" t="str">
        <f t="shared" si="267"/>
        <v/>
      </c>
      <c r="CE194" s="66">
        <f>+IF($W194="","",ROUND((VLOOKUP(ROUNDDOWN($D194-1/frec,0),cob_adi,BO$40,FALSE)*(1+i/frec)^-0.5*(1+Parámetros!$D$103)*(1+rec_fracc)/frec*'TABLAS ADI'!$BC$17),2))</f>
        <v>0</v>
      </c>
      <c r="CF194" s="119" t="str">
        <f t="shared" si="268"/>
        <v/>
      </c>
      <c r="CG194" s="66">
        <f>+IF($W194="","",ROUND(IF($B194&gt;Parámetros!$D$107,'Tablas Servicio'!CE194+('Tablas Servicio'!CG193-'Tablas Servicio'!CE193),CE194/(1-IF(B194&lt;=10,Parámetros!$D$100,0))),2))</f>
        <v>0</v>
      </c>
      <c r="CH194" s="66">
        <f t="shared" si="269"/>
        <v>0</v>
      </c>
      <c r="CI194" s="66">
        <f t="shared" si="269"/>
        <v>0</v>
      </c>
      <c r="CJ194" s="66">
        <f>+IF($W194="","",ROUND((CG194*Parámetros!$G$85),2))</f>
        <v>0</v>
      </c>
      <c r="CK194" s="66">
        <f>+IF($W194="","",ROUND((CG194*(Parámetros!$G$86)),2))</f>
        <v>0</v>
      </c>
      <c r="CL194" s="66">
        <f t="shared" si="270"/>
        <v>0</v>
      </c>
      <c r="CM194" t="str">
        <f t="shared" si="311"/>
        <v>00063</v>
      </c>
      <c r="CN194" s="118" t="str">
        <f t="shared" si="312"/>
        <v>Renta Diaria por Hospitalización</v>
      </c>
      <c r="CO194" s="118">
        <f t="shared" si="313"/>
        <v>0</v>
      </c>
      <c r="CP194" s="118" t="str">
        <f t="shared" si="314"/>
        <v>A</v>
      </c>
      <c r="CQ194" s="119" t="str">
        <f t="shared" si="271"/>
        <v/>
      </c>
      <c r="CR194" s="66">
        <f>+IF($W194="","",ROUND((VLOOKUP(Parámetros!$F$51,'COBERTURAS ADICIONALES'!$S$4:$T$32,2,FALSE)*(1+i/frec)^-0.5*(1+Parámetros!$D$103)*(1+rec_fracc)/frec*$CO$42),2))</f>
        <v>0</v>
      </c>
      <c r="CS194" s="119" t="str">
        <f t="shared" si="272"/>
        <v/>
      </c>
      <c r="CT194" s="66">
        <f>+IF($W194="","",ROUND(IF($B194&gt;Parámetros!$D$107,'Tablas Servicio'!CR194+('Tablas Servicio'!CT193-'Tablas Servicio'!CR193),CR194/(1-IF(B194&lt;=10,Parámetros!$D$100,0))),2))</f>
        <v>0</v>
      </c>
      <c r="CU194" s="66">
        <f t="shared" si="273"/>
        <v>0</v>
      </c>
      <c r="CV194" s="66">
        <f t="shared" si="273"/>
        <v>0</v>
      </c>
      <c r="CW194" s="66">
        <f>+IF($W194="","",ROUND((CT194*Parámetros!$G$85),2))</f>
        <v>0</v>
      </c>
      <c r="CX194" s="66">
        <f>+IF($W194="","",ROUND((CT194*(Parámetros!$G$86)),2))</f>
        <v>0</v>
      </c>
      <c r="CY194" s="66">
        <f t="shared" si="274"/>
        <v>0</v>
      </c>
      <c r="CZ194" t="str">
        <f t="shared" si="315"/>
        <v>00064</v>
      </c>
      <c r="DA194" s="118" t="str">
        <f t="shared" si="316"/>
        <v>Enfermedades Graves</v>
      </c>
      <c r="DB194" s="118">
        <f t="shared" si="317"/>
        <v>0</v>
      </c>
      <c r="DC194" s="118" t="str">
        <f t="shared" si="318"/>
        <v>A</v>
      </c>
      <c r="DD194" s="121" t="str">
        <f>+IF(OR($W194="",DB194=0),"",ROUND((VLOOKUP(ROUNDDOWN($D194-1/frec,0),cob_adi,CO$40,FALSE)*(1+i/frec)^-0.5*(1+Parámetros!$D$103)*(1+rec_fracc)/frec),6))</f>
        <v/>
      </c>
      <c r="DE194" s="66">
        <f t="shared" si="275"/>
        <v>0</v>
      </c>
      <c r="DF194" s="119" t="str">
        <f t="shared" si="276"/>
        <v/>
      </c>
      <c r="DG194" s="66">
        <f>+IF($W194="","",ROUND(IF($B194&gt;Parámetros!$D$107,'Tablas Servicio'!DE194+('Tablas Servicio'!DG193-'Tablas Servicio'!DE193),DE194/(1-IF(B194&lt;=10,Parámetros!$D$100,0))),2))</f>
        <v>0</v>
      </c>
      <c r="DH194" s="66">
        <f t="shared" si="277"/>
        <v>0</v>
      </c>
      <c r="DI194" s="66">
        <f t="shared" si="277"/>
        <v>0</v>
      </c>
      <c r="DJ194" s="66">
        <f>+IF($W194="","",ROUND((DG194*Parámetros!$G$85),2))</f>
        <v>0</v>
      </c>
      <c r="DK194" s="66">
        <f>+IF($W194="","",ROUND((DG194*(Parámetros!$G$86)),2))</f>
        <v>0</v>
      </c>
      <c r="DL194" s="66">
        <f t="shared" si="278"/>
        <v>0</v>
      </c>
      <c r="DM194" t="str">
        <f t="shared" si="319"/>
        <v>00065</v>
      </c>
      <c r="DN194" s="118" t="str">
        <f t="shared" si="320"/>
        <v>Exención pago de primas</v>
      </c>
      <c r="DO194" s="118">
        <f t="shared" si="321"/>
        <v>0</v>
      </c>
      <c r="DP194" s="118" t="str">
        <f t="shared" si="322"/>
        <v>A</v>
      </c>
      <c r="DQ194" s="122" t="str">
        <f>+IF(OR($W194="",DO194=0),"",ROUND((VLOOKUP(ROUNDDOWN($D194-1/frec,0),cob_adi,DB$40,FALSE)*(1+i/frec)^-0.5*(1+Parámetros!$D$103)*(1+rec_fracc)/frec),6))</f>
        <v/>
      </c>
      <c r="DR194" s="66">
        <f t="shared" si="279"/>
        <v>0</v>
      </c>
      <c r="DS194" s="68" t="str">
        <f t="shared" si="280"/>
        <v/>
      </c>
      <c r="DT194" s="66">
        <f>+IF($W194="","",ROUND(IF($B194&gt;Parámetros!$D$107,'Tablas Servicio'!DR194+('Tablas Servicio'!DT193-'Tablas Servicio'!DR193),DR194/(1-IF(B194&lt;=10,Parámetros!$D$100,0))),2))</f>
        <v>0</v>
      </c>
      <c r="DU194" s="66">
        <f t="shared" si="281"/>
        <v>0</v>
      </c>
      <c r="DV194" s="66">
        <f t="shared" si="281"/>
        <v>0</v>
      </c>
      <c r="DW194" s="66">
        <f>+IF($W194="","",ROUND((DT194*Parámetros!$G$85),2))</f>
        <v>0</v>
      </c>
      <c r="DX194" s="66">
        <f>+IF($W194="","",ROUND((DT194*(Parámetros!$G$86)),2))</f>
        <v>0</v>
      </c>
      <c r="DY194" s="66">
        <f t="shared" si="282"/>
        <v>0</v>
      </c>
      <c r="DZ194" t="str">
        <f t="shared" si="323"/>
        <v>00066</v>
      </c>
      <c r="EA194" s="118" t="str">
        <f t="shared" si="323"/>
        <v>Enfermedad terminal</v>
      </c>
      <c r="EB194" s="118">
        <f>+IF($W194="","",ROUND(IF(Parámetros!$D$25='TABLAS MORT'!$V$33,EB193,Z194/2),0))</f>
        <v>50000</v>
      </c>
      <c r="EC194" s="118" t="str">
        <f t="shared" si="323"/>
        <v>A</v>
      </c>
      <c r="ED194" s="122">
        <f>+IF(OR($W194="",EB194=0),"",ROUND((VLOOKUP(ROUNDDOWN($D194-1/frec,0),cob_adi,DO$40,FALSE)*(1+i/frec)^-0.5*(1+Parámetros!$D$103)*(1+rec_fracc)/frec),6))</f>
        <v>1.8E-5</v>
      </c>
      <c r="EE194" s="66">
        <f t="shared" si="284"/>
        <v>0.9</v>
      </c>
      <c r="EF194" s="68">
        <f t="shared" si="285"/>
        <v>1.8E-5</v>
      </c>
      <c r="EG194" s="66">
        <f>+IF($W194="","",ROUND(IF($B194&gt;Parámetros!$D$107,'Tablas Servicio'!EE194+('Tablas Servicio'!EG193-'Tablas Servicio'!EE193),EE194/(1-IF(B194&lt;=10,Parámetros!$D$100,0))),2))</f>
        <v>0.9</v>
      </c>
      <c r="EH194" s="66">
        <f t="shared" si="286"/>
        <v>0</v>
      </c>
      <c r="EI194" s="66">
        <f t="shared" si="286"/>
        <v>0</v>
      </c>
      <c r="EJ194" s="66">
        <f>+IF($W194="","",ROUND((EG194*Parámetros!$G$85),2))</f>
        <v>0.03</v>
      </c>
      <c r="EK194" s="66">
        <f>+IF($W194="","",ROUND((EG194*(Parámetros!$G$86)),2))</f>
        <v>0</v>
      </c>
      <c r="EL194" s="66">
        <f t="shared" si="287"/>
        <v>0.93</v>
      </c>
    </row>
    <row r="195" spans="1:142" x14ac:dyDescent="0.25">
      <c r="A195">
        <f>+IF($C195="","",ROUND(VLOOKUP('Tablas Servicio'!B195,Parámetros!$H$100:$J$159,IF(Parámetros!$E$16="F",2,3),FALSE),2))</f>
        <v>150</v>
      </c>
      <c r="B195">
        <f t="shared" si="238"/>
        <v>13</v>
      </c>
      <c r="C195" s="57">
        <f>+IF(D195="","",'Tablas Servicio'!C194+1)</f>
        <v>154</v>
      </c>
      <c r="D195" s="56">
        <f>+IF(D194&lt;edadmaxtabla,D194+1/Parámetros!$E$25,"")</f>
        <v>52.853333333333701</v>
      </c>
      <c r="E195" s="57">
        <f t="shared" si="248"/>
        <v>52</v>
      </c>
      <c r="F195" s="59">
        <f t="shared" si="249"/>
        <v>100000</v>
      </c>
      <c r="G195" s="66">
        <f t="shared" si="239"/>
        <v>39.1</v>
      </c>
      <c r="H195" s="66">
        <f t="shared" si="240"/>
        <v>40.659999999999997</v>
      </c>
      <c r="I195" s="66">
        <f t="shared" si="288"/>
        <v>53.34</v>
      </c>
      <c r="J195" s="66">
        <f t="shared" si="241"/>
        <v>1.37</v>
      </c>
      <c r="K195" s="66">
        <f t="shared" si="242"/>
        <v>0.19</v>
      </c>
      <c r="L195" s="66">
        <f t="shared" si="243"/>
        <v>0</v>
      </c>
      <c r="M195" s="66">
        <f t="shared" si="244"/>
        <v>0</v>
      </c>
      <c r="N195" s="66">
        <f>+IF(C195="","",ROUND(Parámetros!$D$23,2))</f>
        <v>94</v>
      </c>
      <c r="O195" s="66">
        <f t="shared" si="245"/>
        <v>26.599999999999998</v>
      </c>
      <c r="P195" s="66">
        <f>+IF($C195="","",ROUND(IF(B195&gt;Parámetros!$D$117,0,N195*Parámetros!$D$116-G195*Parámetros!$D$100),2))</f>
        <v>0</v>
      </c>
      <c r="Q195" s="75">
        <f t="shared" si="289"/>
        <v>3.5038363171355502E-2</v>
      </c>
      <c r="R195" s="75">
        <f t="shared" si="290"/>
        <v>4.8593350383631714E-3</v>
      </c>
      <c r="S195" s="117">
        <f>+IF($C195="","",ROUND((S194+I195)*(1+Parámetros!$D$91),2))</f>
        <v>10585.37</v>
      </c>
      <c r="T195" s="117">
        <f>+IF($C195="","",ROUND(S195*VLOOKUP(B195,Parámetros!$C$30:$D$39,2,TRUE),2))</f>
        <v>10585.37</v>
      </c>
      <c r="U195" s="117">
        <f>+IF($C195="","",ROUND((U194+I195)*(1+Parámetros!$D$92),2))</f>
        <v>10957.95</v>
      </c>
      <c r="V195" s="117">
        <f>+IF($C195="","",ROUND(U195*VLOOKUP(B195,Parámetros!$C$30:$D$39,2,TRUE),2))</f>
        <v>10957.95</v>
      </c>
      <c r="W195" s="57">
        <f t="shared" si="291"/>
        <v>154</v>
      </c>
      <c r="X195" t="str">
        <f t="shared" si="292"/>
        <v>00058</v>
      </c>
      <c r="Y195" t="str">
        <f t="shared" si="293"/>
        <v>MUERTE POR CUALQUIER CAUSA</v>
      </c>
      <c r="Z195" s="118">
        <f>+IF($W195="","",ROUND(IF(Parámetros!$D$25='TABLAS MORT'!$V$33,Z194,Parámetros!$D$21-'Tablas Servicio'!T194),0))</f>
        <v>100000</v>
      </c>
      <c r="AA195" s="118" t="str">
        <f t="shared" si="294"/>
        <v>P</v>
      </c>
      <c r="AB195" s="119">
        <f>+IF(W195="","",ROUND((VLOOKUP(ROUNDDOWN($D195-1/frec,0),qx_tabla,2,FALSE)*(1+i/frec)^-0.5*(1+Parámetros!$D$103)*(1+rec_fracc)/frec),6))</f>
        <v>2.5700000000000001E-4</v>
      </c>
      <c r="AC195" s="66">
        <f t="shared" si="250"/>
        <v>25.7</v>
      </c>
      <c r="AD195" s="119">
        <f t="shared" si="246"/>
        <v>3.8200000000000002E-4</v>
      </c>
      <c r="AE195" s="66">
        <f>+IF($W195="","",ROUND(IF($B195&gt;Parámetros!$D$107,'Tablas Servicio'!AC195+('Tablas Servicio'!AG194-'Tablas Servicio'!AC194),AC195/(1-IF(B195&lt;=10,Parámetros!$D$104,Parámetros!$D$105))),2))</f>
        <v>42.83</v>
      </c>
      <c r="AF195" s="66">
        <f>+IF($W195="","",ROUND(IF($B195&gt;Parámetros!$D$107,'Tablas Servicio'!AC195+('Tablas Servicio'!AG194-'Tablas Servicio'!AC194),(AC195+$A194/frec)/(1-IF(B195&lt;=Parámetros!$D$117,Parámetros!$D$100,0))),2))</f>
        <v>38.200000000000003</v>
      </c>
      <c r="AG195" s="66">
        <f t="shared" si="251"/>
        <v>38.200000000000003</v>
      </c>
      <c r="AH195" s="66">
        <f t="shared" si="252"/>
        <v>0</v>
      </c>
      <c r="AI195" s="66">
        <f t="shared" si="253"/>
        <v>0</v>
      </c>
      <c r="AJ195" s="66">
        <f>+IF($W195="","",ROUND((AG195*Parámetros!$G$85),2))</f>
        <v>1.34</v>
      </c>
      <c r="AK195" s="66">
        <f>+IF($W195="","",ROUND((AG195*(Parámetros!$G$86)),2))</f>
        <v>0.19</v>
      </c>
      <c r="AL195" s="66">
        <f t="shared" si="247"/>
        <v>39.729999999999997</v>
      </c>
      <c r="AM195" t="str">
        <f t="shared" si="295"/>
        <v>00059</v>
      </c>
      <c r="AN195" t="str">
        <f t="shared" si="296"/>
        <v>Incapacidad Total y Permanente</v>
      </c>
      <c r="AO195" s="118">
        <f t="shared" si="297"/>
        <v>0</v>
      </c>
      <c r="AP195" s="118" t="str">
        <f t="shared" si="298"/>
        <v>A</v>
      </c>
      <c r="AQ195" s="119" t="str">
        <f>+IF(OR($W195="",AO195=0),"",ROUND((VLOOKUP(ROUNDDOWN($D195-1/frec,0),cob_adi,Z$40,FALSE)*(1+i/frec)^-0.5*(1+Parámetros!$D$103)*(1+rec_fracc)/frec),6))</f>
        <v/>
      </c>
      <c r="AR195" s="66">
        <f t="shared" si="254"/>
        <v>0</v>
      </c>
      <c r="AS195" s="119" t="str">
        <f t="shared" si="255"/>
        <v/>
      </c>
      <c r="AT195" s="66">
        <f>+IF($W195="","",ROUND(IF($B195&gt;Parámetros!$D$107,'Tablas Servicio'!AR195+('Tablas Servicio'!AT194-'Tablas Servicio'!AR194),AR195/(1-IF(B195&lt;=10,Parámetros!$D$100,0))),2))</f>
        <v>0</v>
      </c>
      <c r="AU195" s="66">
        <f t="shared" si="256"/>
        <v>0</v>
      </c>
      <c r="AV195" s="66">
        <f t="shared" si="256"/>
        <v>0</v>
      </c>
      <c r="AW195" s="66">
        <f>+IF($W195="","",ROUND((AT195*Parámetros!$G$85),2))</f>
        <v>0</v>
      </c>
      <c r="AX195" s="66">
        <f>+IF($W195="","",ROUND((AT195*(Parámetros!$G$86)),2))</f>
        <v>0</v>
      </c>
      <c r="AY195" s="66">
        <f t="shared" si="257"/>
        <v>0</v>
      </c>
      <c r="AZ195" t="str">
        <f t="shared" si="299"/>
        <v>00060</v>
      </c>
      <c r="BA195" t="str">
        <f t="shared" si="300"/>
        <v>Muerte Accidental</v>
      </c>
      <c r="BB195" s="118">
        <f t="shared" si="301"/>
        <v>0</v>
      </c>
      <c r="BC195" s="118" t="str">
        <f t="shared" si="302"/>
        <v>A</v>
      </c>
      <c r="BD195" s="119" t="str">
        <f>+IF(OR($W195="",BB195=0),"",ROUND((VLOOKUP(ROUNDDOWN($D195-1/frec,0),cob_adi,AO$40,FALSE)*(1+i/frec)^-0.5*(1+Parámetros!$D$103)*(1+rec_fracc)/frec),6))</f>
        <v/>
      </c>
      <c r="BE195" s="66">
        <f t="shared" si="258"/>
        <v>0</v>
      </c>
      <c r="BF195" s="119" t="str">
        <f t="shared" si="259"/>
        <v/>
      </c>
      <c r="BG195" s="66">
        <f>+IF($W195="","",ROUND(IF($B195&gt;Parámetros!$D$107,'Tablas Servicio'!BE195+('Tablas Servicio'!BG194-'Tablas Servicio'!BE194),BE195/(1-IF(B195&lt;=10,Parámetros!$D$100,0))),2))</f>
        <v>0</v>
      </c>
      <c r="BH195" s="66">
        <f t="shared" si="260"/>
        <v>0</v>
      </c>
      <c r="BI195" s="66">
        <f t="shared" si="261"/>
        <v>0</v>
      </c>
      <c r="BJ195" s="66">
        <f>+IF($W195="","",ROUND((BG195*Parámetros!$G$85),2))</f>
        <v>0</v>
      </c>
      <c r="BK195" s="66">
        <f>+IF($W195="","",ROUND((BG195*(Parámetros!$G$86)),2))</f>
        <v>0</v>
      </c>
      <c r="BL195" s="66">
        <f t="shared" si="262"/>
        <v>0</v>
      </c>
      <c r="BM195" t="str">
        <f t="shared" si="303"/>
        <v>00061</v>
      </c>
      <c r="BN195" t="str">
        <f t="shared" si="304"/>
        <v>Gastos de Entierro</v>
      </c>
      <c r="BO195" s="118">
        <f t="shared" si="305"/>
        <v>0</v>
      </c>
      <c r="BP195" s="118" t="str">
        <f t="shared" si="306"/>
        <v>A</v>
      </c>
      <c r="BQ195" s="119" t="str">
        <f>+IF(OR($W195="",BO195=0),"",ROUND((VLOOKUP(ROUNDDOWN($D195-1/frec,0),cob_adi,BB$40,FALSE)*(1+i/frec)^-0.5*(1+Parámetros!$D$103)*(1+rec_fracc)/frec),6))</f>
        <v/>
      </c>
      <c r="BR195" s="66">
        <f t="shared" si="263"/>
        <v>0</v>
      </c>
      <c r="BS195" s="119" t="str">
        <f t="shared" si="264"/>
        <v/>
      </c>
      <c r="BT195" s="66">
        <f>+IF($W195="","",ROUND(IF($B195&gt;Parámetros!$D$107,'Tablas Servicio'!BR195+('Tablas Servicio'!BT194-'Tablas Servicio'!BR194),BR195/(1-IF(B195&lt;=10,Parámetros!$D$100,0))),2))</f>
        <v>0</v>
      </c>
      <c r="BU195" s="66">
        <f t="shared" si="265"/>
        <v>0</v>
      </c>
      <c r="BV195" s="66">
        <f t="shared" si="265"/>
        <v>0</v>
      </c>
      <c r="BW195" s="66">
        <f>+IF($W195="","",ROUND((BT195*Parámetros!$G$85),2))</f>
        <v>0</v>
      </c>
      <c r="BX195" s="66">
        <f>+IF($W195="","",ROUND((BT195*(Parámetros!$G$86)),2))</f>
        <v>0</v>
      </c>
      <c r="BY195" s="66">
        <f t="shared" si="266"/>
        <v>0</v>
      </c>
      <c r="BZ195" t="str">
        <f t="shared" si="307"/>
        <v>00062</v>
      </c>
      <c r="CA195" t="str">
        <f t="shared" si="308"/>
        <v>Gastos médicos por accidente</v>
      </c>
      <c r="CB195" s="118">
        <f t="shared" si="309"/>
        <v>0</v>
      </c>
      <c r="CC195" s="118" t="str">
        <f t="shared" si="310"/>
        <v>A</v>
      </c>
      <c r="CD195" s="119" t="str">
        <f t="shared" si="267"/>
        <v/>
      </c>
      <c r="CE195" s="66">
        <f>+IF($W195="","",ROUND((VLOOKUP(ROUNDDOWN($D195-1/frec,0),cob_adi,BO$40,FALSE)*(1+i/frec)^-0.5*(1+Parámetros!$D$103)*(1+rec_fracc)/frec*'TABLAS ADI'!$BC$17),2))</f>
        <v>0</v>
      </c>
      <c r="CF195" s="119" t="str">
        <f t="shared" si="268"/>
        <v/>
      </c>
      <c r="CG195" s="66">
        <f>+IF($W195="","",ROUND(IF($B195&gt;Parámetros!$D$107,'Tablas Servicio'!CE195+('Tablas Servicio'!CG194-'Tablas Servicio'!CE194),CE195/(1-IF(B195&lt;=10,Parámetros!$D$100,0))),2))</f>
        <v>0</v>
      </c>
      <c r="CH195" s="66">
        <f t="shared" si="269"/>
        <v>0</v>
      </c>
      <c r="CI195" s="66">
        <f t="shared" si="269"/>
        <v>0</v>
      </c>
      <c r="CJ195" s="66">
        <f>+IF($W195="","",ROUND((CG195*Parámetros!$G$85),2))</f>
        <v>0</v>
      </c>
      <c r="CK195" s="66">
        <f>+IF($W195="","",ROUND((CG195*(Parámetros!$G$86)),2))</f>
        <v>0</v>
      </c>
      <c r="CL195" s="66">
        <f t="shared" si="270"/>
        <v>0</v>
      </c>
      <c r="CM195" t="str">
        <f t="shared" si="311"/>
        <v>00063</v>
      </c>
      <c r="CN195" s="118" t="str">
        <f t="shared" si="312"/>
        <v>Renta Diaria por Hospitalización</v>
      </c>
      <c r="CO195" s="118">
        <f t="shared" si="313"/>
        <v>0</v>
      </c>
      <c r="CP195" s="118" t="str">
        <f t="shared" si="314"/>
        <v>A</v>
      </c>
      <c r="CQ195" s="119" t="str">
        <f t="shared" si="271"/>
        <v/>
      </c>
      <c r="CR195" s="66">
        <f>+IF($W195="","",ROUND((VLOOKUP(Parámetros!$F$51,'COBERTURAS ADICIONALES'!$S$4:$T$32,2,FALSE)*(1+i/frec)^-0.5*(1+Parámetros!$D$103)*(1+rec_fracc)/frec*$CO$42),2))</f>
        <v>0</v>
      </c>
      <c r="CS195" s="119" t="str">
        <f t="shared" si="272"/>
        <v/>
      </c>
      <c r="CT195" s="66">
        <f>+IF($W195="","",ROUND(IF($B195&gt;Parámetros!$D$107,'Tablas Servicio'!CR195+('Tablas Servicio'!CT194-'Tablas Servicio'!CR194),CR195/(1-IF(B195&lt;=10,Parámetros!$D$100,0))),2))</f>
        <v>0</v>
      </c>
      <c r="CU195" s="66">
        <f t="shared" si="273"/>
        <v>0</v>
      </c>
      <c r="CV195" s="66">
        <f t="shared" si="273"/>
        <v>0</v>
      </c>
      <c r="CW195" s="66">
        <f>+IF($W195="","",ROUND((CT195*Parámetros!$G$85),2))</f>
        <v>0</v>
      </c>
      <c r="CX195" s="66">
        <f>+IF($W195="","",ROUND((CT195*(Parámetros!$G$86)),2))</f>
        <v>0</v>
      </c>
      <c r="CY195" s="66">
        <f t="shared" si="274"/>
        <v>0</v>
      </c>
      <c r="CZ195" t="str">
        <f t="shared" si="315"/>
        <v>00064</v>
      </c>
      <c r="DA195" s="118" t="str">
        <f t="shared" si="316"/>
        <v>Enfermedades Graves</v>
      </c>
      <c r="DB195" s="118">
        <f t="shared" si="317"/>
        <v>0</v>
      </c>
      <c r="DC195" s="118" t="str">
        <f t="shared" si="318"/>
        <v>A</v>
      </c>
      <c r="DD195" s="121" t="str">
        <f>+IF(OR($W195="",DB195=0),"",ROUND((VLOOKUP(ROUNDDOWN($D195-1/frec,0),cob_adi,CO$40,FALSE)*(1+i/frec)^-0.5*(1+Parámetros!$D$103)*(1+rec_fracc)/frec),6))</f>
        <v/>
      </c>
      <c r="DE195" s="66">
        <f t="shared" si="275"/>
        <v>0</v>
      </c>
      <c r="DF195" s="119" t="str">
        <f t="shared" si="276"/>
        <v/>
      </c>
      <c r="DG195" s="66">
        <f>+IF($W195="","",ROUND(IF($B195&gt;Parámetros!$D$107,'Tablas Servicio'!DE195+('Tablas Servicio'!DG194-'Tablas Servicio'!DE194),DE195/(1-IF(B195&lt;=10,Parámetros!$D$100,0))),2))</f>
        <v>0</v>
      </c>
      <c r="DH195" s="66">
        <f t="shared" si="277"/>
        <v>0</v>
      </c>
      <c r="DI195" s="66">
        <f t="shared" si="277"/>
        <v>0</v>
      </c>
      <c r="DJ195" s="66">
        <f>+IF($W195="","",ROUND((DG195*Parámetros!$G$85),2))</f>
        <v>0</v>
      </c>
      <c r="DK195" s="66">
        <f>+IF($W195="","",ROUND((DG195*(Parámetros!$G$86)),2))</f>
        <v>0</v>
      </c>
      <c r="DL195" s="66">
        <f t="shared" si="278"/>
        <v>0</v>
      </c>
      <c r="DM195" t="str">
        <f t="shared" si="319"/>
        <v>00065</v>
      </c>
      <c r="DN195" s="118" t="str">
        <f t="shared" si="320"/>
        <v>Exención pago de primas</v>
      </c>
      <c r="DO195" s="118">
        <f t="shared" si="321"/>
        <v>0</v>
      </c>
      <c r="DP195" s="118" t="str">
        <f t="shared" si="322"/>
        <v>A</v>
      </c>
      <c r="DQ195" s="122" t="str">
        <f>+IF(OR($W195="",DO195=0),"",ROUND((VLOOKUP(ROUNDDOWN($D195-1/frec,0),cob_adi,DB$40,FALSE)*(1+i/frec)^-0.5*(1+Parámetros!$D$103)*(1+rec_fracc)/frec),6))</f>
        <v/>
      </c>
      <c r="DR195" s="66">
        <f t="shared" si="279"/>
        <v>0</v>
      </c>
      <c r="DS195" s="68" t="str">
        <f t="shared" si="280"/>
        <v/>
      </c>
      <c r="DT195" s="66">
        <f>+IF($W195="","",ROUND(IF($B195&gt;Parámetros!$D$107,'Tablas Servicio'!DR195+('Tablas Servicio'!DT194-'Tablas Servicio'!DR194),DR195/(1-IF(B195&lt;=10,Parámetros!$D$100,0))),2))</f>
        <v>0</v>
      </c>
      <c r="DU195" s="66">
        <f t="shared" si="281"/>
        <v>0</v>
      </c>
      <c r="DV195" s="66">
        <f t="shared" si="281"/>
        <v>0</v>
      </c>
      <c r="DW195" s="66">
        <f>+IF($W195="","",ROUND((DT195*Parámetros!$G$85),2))</f>
        <v>0</v>
      </c>
      <c r="DX195" s="66">
        <f>+IF($W195="","",ROUND((DT195*(Parámetros!$G$86)),2))</f>
        <v>0</v>
      </c>
      <c r="DY195" s="66">
        <f t="shared" si="282"/>
        <v>0</v>
      </c>
      <c r="DZ195" t="str">
        <f t="shared" si="323"/>
        <v>00066</v>
      </c>
      <c r="EA195" s="118" t="str">
        <f t="shared" si="323"/>
        <v>Enfermedad terminal</v>
      </c>
      <c r="EB195" s="118">
        <f>+IF($W195="","",ROUND(IF(Parámetros!$D$25='TABLAS MORT'!$V$33,EB194,Z195/2),0))</f>
        <v>50000</v>
      </c>
      <c r="EC195" s="118" t="str">
        <f t="shared" si="323"/>
        <v>A</v>
      </c>
      <c r="ED195" s="122">
        <f>+IF(OR($W195="",EB195=0),"",ROUND((VLOOKUP(ROUNDDOWN($D195-1/frec,0),cob_adi,DO$40,FALSE)*(1+i/frec)^-0.5*(1+Parámetros!$D$103)*(1+rec_fracc)/frec),6))</f>
        <v>1.8E-5</v>
      </c>
      <c r="EE195" s="66">
        <f t="shared" si="284"/>
        <v>0.9</v>
      </c>
      <c r="EF195" s="68">
        <f t="shared" si="285"/>
        <v>1.8E-5</v>
      </c>
      <c r="EG195" s="66">
        <f>+IF($W195="","",ROUND(IF($B195&gt;Parámetros!$D$107,'Tablas Servicio'!EE195+('Tablas Servicio'!EG194-'Tablas Servicio'!EE194),EE195/(1-IF(B195&lt;=10,Parámetros!$D$100,0))),2))</f>
        <v>0.9</v>
      </c>
      <c r="EH195" s="66">
        <f t="shared" si="286"/>
        <v>0</v>
      </c>
      <c r="EI195" s="66">
        <f t="shared" si="286"/>
        <v>0</v>
      </c>
      <c r="EJ195" s="66">
        <f>+IF($W195="","",ROUND((EG195*Parámetros!$G$85),2))</f>
        <v>0.03</v>
      </c>
      <c r="EK195" s="66">
        <f>+IF($W195="","",ROUND((EG195*(Parámetros!$G$86)),2))</f>
        <v>0</v>
      </c>
      <c r="EL195" s="66">
        <f t="shared" si="287"/>
        <v>0.93</v>
      </c>
    </row>
    <row r="196" spans="1:142" x14ac:dyDescent="0.25">
      <c r="A196">
        <f>+IF($C196="","",ROUND(VLOOKUP('Tablas Servicio'!B196,Parámetros!$H$100:$J$159,IF(Parámetros!$E$16="F",2,3),FALSE),2))</f>
        <v>150</v>
      </c>
      <c r="B196">
        <f t="shared" si="238"/>
        <v>13</v>
      </c>
      <c r="C196" s="57">
        <f>+IF(D196="","",'Tablas Servicio'!C195+1)</f>
        <v>155</v>
      </c>
      <c r="D196" s="56">
        <f>+IF(D195&lt;edadmaxtabla,D195+1/Parámetros!$E$25,"")</f>
        <v>52.936666666667037</v>
      </c>
      <c r="E196" s="57">
        <f t="shared" si="248"/>
        <v>52</v>
      </c>
      <c r="F196" s="59">
        <f t="shared" si="249"/>
        <v>100000</v>
      </c>
      <c r="G196" s="66">
        <f t="shared" si="239"/>
        <v>39.1</v>
      </c>
      <c r="H196" s="66">
        <f t="shared" si="240"/>
        <v>40.659999999999997</v>
      </c>
      <c r="I196" s="66">
        <f t="shared" si="288"/>
        <v>53.34</v>
      </c>
      <c r="J196" s="66">
        <f t="shared" si="241"/>
        <v>1.37</v>
      </c>
      <c r="K196" s="66">
        <f t="shared" si="242"/>
        <v>0.19</v>
      </c>
      <c r="L196" s="66">
        <f t="shared" si="243"/>
        <v>0</v>
      </c>
      <c r="M196" s="66">
        <f t="shared" si="244"/>
        <v>0</v>
      </c>
      <c r="N196" s="66">
        <f>+IF(C196="","",ROUND(Parámetros!$D$23,2))</f>
        <v>94</v>
      </c>
      <c r="O196" s="66">
        <f t="shared" si="245"/>
        <v>26.599999999999998</v>
      </c>
      <c r="P196" s="66">
        <f>+IF($C196="","",ROUND(IF(B196&gt;Parámetros!$D$117,0,N196*Parámetros!$D$116-G196*Parámetros!$D$100),2))</f>
        <v>0</v>
      </c>
      <c r="Q196" s="75">
        <f t="shared" si="289"/>
        <v>3.5038363171355502E-2</v>
      </c>
      <c r="R196" s="75">
        <f t="shared" si="290"/>
        <v>4.8593350383631714E-3</v>
      </c>
      <c r="S196" s="117">
        <f>+IF($C196="","",ROUND((S195+I196)*(1+Parámetros!$D$91),2))</f>
        <v>10668.89</v>
      </c>
      <c r="T196" s="117">
        <f>+IF($C196="","",ROUND(S196*VLOOKUP(B196,Parámetros!$C$30:$D$39,2,TRUE),2))</f>
        <v>10668.89</v>
      </c>
      <c r="U196" s="117">
        <f>+IF($C196="","",ROUND((U195+I196)*(1+Parámetros!$D$92),2))</f>
        <v>11046.98</v>
      </c>
      <c r="V196" s="117">
        <f>+IF($C196="","",ROUND(U196*VLOOKUP(B196,Parámetros!$C$30:$D$39,2,TRUE),2))</f>
        <v>11046.98</v>
      </c>
      <c r="W196" s="57">
        <f t="shared" si="291"/>
        <v>155</v>
      </c>
      <c r="X196" t="str">
        <f t="shared" si="292"/>
        <v>00058</v>
      </c>
      <c r="Y196" t="str">
        <f t="shared" si="293"/>
        <v>MUERTE POR CUALQUIER CAUSA</v>
      </c>
      <c r="Z196" s="118">
        <f>+IF($W196="","",ROUND(IF(Parámetros!$D$25='TABLAS MORT'!$V$33,Z195,Parámetros!$D$21-'Tablas Servicio'!T195),0))</f>
        <v>100000</v>
      </c>
      <c r="AA196" s="118" t="str">
        <f t="shared" si="294"/>
        <v>P</v>
      </c>
      <c r="AB196" s="119">
        <f>+IF(W196="","",ROUND((VLOOKUP(ROUNDDOWN($D196-1/frec,0),qx_tabla,2,FALSE)*(1+i/frec)^-0.5*(1+Parámetros!$D$103)*(1+rec_fracc)/frec),6))</f>
        <v>2.5700000000000001E-4</v>
      </c>
      <c r="AC196" s="66">
        <f t="shared" si="250"/>
        <v>25.7</v>
      </c>
      <c r="AD196" s="119">
        <f t="shared" si="246"/>
        <v>3.8200000000000002E-4</v>
      </c>
      <c r="AE196" s="66">
        <f>+IF($W196="","",ROUND(IF($B196&gt;Parámetros!$D$107,'Tablas Servicio'!AC196+('Tablas Servicio'!AG195-'Tablas Servicio'!AC195),AC196/(1-IF(B196&lt;=10,Parámetros!$D$104,Parámetros!$D$105))),2))</f>
        <v>42.83</v>
      </c>
      <c r="AF196" s="66">
        <f>+IF($W196="","",ROUND(IF($B196&gt;Parámetros!$D$107,'Tablas Servicio'!AC196+('Tablas Servicio'!AG195-'Tablas Servicio'!AC195),(AC196+$A195/frec)/(1-IF(B196&lt;=Parámetros!$D$117,Parámetros!$D$100,0))),2))</f>
        <v>38.200000000000003</v>
      </c>
      <c r="AG196" s="66">
        <f t="shared" si="251"/>
        <v>38.200000000000003</v>
      </c>
      <c r="AH196" s="66">
        <f t="shared" si="252"/>
        <v>0</v>
      </c>
      <c r="AI196" s="66">
        <f t="shared" si="253"/>
        <v>0</v>
      </c>
      <c r="AJ196" s="66">
        <f>+IF($W196="","",ROUND((AG196*Parámetros!$G$85),2))</f>
        <v>1.34</v>
      </c>
      <c r="AK196" s="66">
        <f>+IF($W196="","",ROUND((AG196*(Parámetros!$G$86)),2))</f>
        <v>0.19</v>
      </c>
      <c r="AL196" s="66">
        <f t="shared" si="247"/>
        <v>39.729999999999997</v>
      </c>
      <c r="AM196" t="str">
        <f t="shared" si="295"/>
        <v>00059</v>
      </c>
      <c r="AN196" t="str">
        <f t="shared" si="296"/>
        <v>Incapacidad Total y Permanente</v>
      </c>
      <c r="AO196" s="118">
        <f t="shared" si="297"/>
        <v>0</v>
      </c>
      <c r="AP196" s="118" t="str">
        <f t="shared" si="298"/>
        <v>A</v>
      </c>
      <c r="AQ196" s="119" t="str">
        <f>+IF(OR($W196="",AO196=0),"",ROUND((VLOOKUP(ROUNDDOWN($D196-1/frec,0),cob_adi,Z$40,FALSE)*(1+i/frec)^-0.5*(1+Parámetros!$D$103)*(1+rec_fracc)/frec),6))</f>
        <v/>
      </c>
      <c r="AR196" s="66">
        <f t="shared" si="254"/>
        <v>0</v>
      </c>
      <c r="AS196" s="119" t="str">
        <f t="shared" si="255"/>
        <v/>
      </c>
      <c r="AT196" s="66">
        <f>+IF($W196="","",ROUND(IF($B196&gt;Parámetros!$D$107,'Tablas Servicio'!AR196+('Tablas Servicio'!AT195-'Tablas Servicio'!AR195),AR196/(1-IF(B196&lt;=10,Parámetros!$D$100,0))),2))</f>
        <v>0</v>
      </c>
      <c r="AU196" s="66">
        <f t="shared" si="256"/>
        <v>0</v>
      </c>
      <c r="AV196" s="66">
        <f t="shared" si="256"/>
        <v>0</v>
      </c>
      <c r="AW196" s="66">
        <f>+IF($W196="","",ROUND((AT196*Parámetros!$G$85),2))</f>
        <v>0</v>
      </c>
      <c r="AX196" s="66">
        <f>+IF($W196="","",ROUND((AT196*(Parámetros!$G$86)),2))</f>
        <v>0</v>
      </c>
      <c r="AY196" s="66">
        <f t="shared" si="257"/>
        <v>0</v>
      </c>
      <c r="AZ196" t="str">
        <f t="shared" si="299"/>
        <v>00060</v>
      </c>
      <c r="BA196" t="str">
        <f t="shared" si="300"/>
        <v>Muerte Accidental</v>
      </c>
      <c r="BB196" s="118">
        <f t="shared" si="301"/>
        <v>0</v>
      </c>
      <c r="BC196" s="118" t="str">
        <f t="shared" si="302"/>
        <v>A</v>
      </c>
      <c r="BD196" s="119" t="str">
        <f>+IF(OR($W196="",BB196=0),"",ROUND((VLOOKUP(ROUNDDOWN($D196-1/frec,0),cob_adi,AO$40,FALSE)*(1+i/frec)^-0.5*(1+Parámetros!$D$103)*(1+rec_fracc)/frec),6))</f>
        <v/>
      </c>
      <c r="BE196" s="66">
        <f t="shared" si="258"/>
        <v>0</v>
      </c>
      <c r="BF196" s="119" t="str">
        <f t="shared" si="259"/>
        <v/>
      </c>
      <c r="BG196" s="66">
        <f>+IF($W196="","",ROUND(IF($B196&gt;Parámetros!$D$107,'Tablas Servicio'!BE196+('Tablas Servicio'!BG195-'Tablas Servicio'!BE195),BE196/(1-IF(B196&lt;=10,Parámetros!$D$100,0))),2))</f>
        <v>0</v>
      </c>
      <c r="BH196" s="66">
        <f t="shared" si="260"/>
        <v>0</v>
      </c>
      <c r="BI196" s="66">
        <f t="shared" si="261"/>
        <v>0</v>
      </c>
      <c r="BJ196" s="66">
        <f>+IF($W196="","",ROUND((BG196*Parámetros!$G$85),2))</f>
        <v>0</v>
      </c>
      <c r="BK196" s="66">
        <f>+IF($W196="","",ROUND((BG196*(Parámetros!$G$86)),2))</f>
        <v>0</v>
      </c>
      <c r="BL196" s="66">
        <f t="shared" si="262"/>
        <v>0</v>
      </c>
      <c r="BM196" t="str">
        <f t="shared" si="303"/>
        <v>00061</v>
      </c>
      <c r="BN196" t="str">
        <f t="shared" si="304"/>
        <v>Gastos de Entierro</v>
      </c>
      <c r="BO196" s="118">
        <f t="shared" si="305"/>
        <v>0</v>
      </c>
      <c r="BP196" s="118" t="str">
        <f t="shared" si="306"/>
        <v>A</v>
      </c>
      <c r="BQ196" s="119" t="str">
        <f>+IF(OR($W196="",BO196=0),"",ROUND((VLOOKUP(ROUNDDOWN($D196-1/frec,0),cob_adi,BB$40,FALSE)*(1+i/frec)^-0.5*(1+Parámetros!$D$103)*(1+rec_fracc)/frec),6))</f>
        <v/>
      </c>
      <c r="BR196" s="66">
        <f t="shared" si="263"/>
        <v>0</v>
      </c>
      <c r="BS196" s="119" t="str">
        <f t="shared" si="264"/>
        <v/>
      </c>
      <c r="BT196" s="66">
        <f>+IF($W196="","",ROUND(IF($B196&gt;Parámetros!$D$107,'Tablas Servicio'!BR196+('Tablas Servicio'!BT195-'Tablas Servicio'!BR195),BR196/(1-IF(B196&lt;=10,Parámetros!$D$100,0))),2))</f>
        <v>0</v>
      </c>
      <c r="BU196" s="66">
        <f t="shared" si="265"/>
        <v>0</v>
      </c>
      <c r="BV196" s="66">
        <f t="shared" si="265"/>
        <v>0</v>
      </c>
      <c r="BW196" s="66">
        <f>+IF($W196="","",ROUND((BT196*Parámetros!$G$85),2))</f>
        <v>0</v>
      </c>
      <c r="BX196" s="66">
        <f>+IF($W196="","",ROUND((BT196*(Parámetros!$G$86)),2))</f>
        <v>0</v>
      </c>
      <c r="BY196" s="66">
        <f t="shared" si="266"/>
        <v>0</v>
      </c>
      <c r="BZ196" t="str">
        <f t="shared" si="307"/>
        <v>00062</v>
      </c>
      <c r="CA196" t="str">
        <f t="shared" si="308"/>
        <v>Gastos médicos por accidente</v>
      </c>
      <c r="CB196" s="118">
        <f t="shared" si="309"/>
        <v>0</v>
      </c>
      <c r="CC196" s="118" t="str">
        <f t="shared" si="310"/>
        <v>A</v>
      </c>
      <c r="CD196" s="119" t="str">
        <f t="shared" si="267"/>
        <v/>
      </c>
      <c r="CE196" s="66">
        <f>+IF($W196="","",ROUND((VLOOKUP(ROUNDDOWN($D196-1/frec,0),cob_adi,BO$40,FALSE)*(1+i/frec)^-0.5*(1+Parámetros!$D$103)*(1+rec_fracc)/frec*'TABLAS ADI'!$BC$17),2))</f>
        <v>0</v>
      </c>
      <c r="CF196" s="119" t="str">
        <f t="shared" si="268"/>
        <v/>
      </c>
      <c r="CG196" s="66">
        <f>+IF($W196="","",ROUND(IF($B196&gt;Parámetros!$D$107,'Tablas Servicio'!CE196+('Tablas Servicio'!CG195-'Tablas Servicio'!CE195),CE196/(1-IF(B196&lt;=10,Parámetros!$D$100,0))),2))</f>
        <v>0</v>
      </c>
      <c r="CH196" s="66">
        <f t="shared" si="269"/>
        <v>0</v>
      </c>
      <c r="CI196" s="66">
        <f t="shared" si="269"/>
        <v>0</v>
      </c>
      <c r="CJ196" s="66">
        <f>+IF($W196="","",ROUND((CG196*Parámetros!$G$85),2))</f>
        <v>0</v>
      </c>
      <c r="CK196" s="66">
        <f>+IF($W196="","",ROUND((CG196*(Parámetros!$G$86)),2))</f>
        <v>0</v>
      </c>
      <c r="CL196" s="66">
        <f t="shared" si="270"/>
        <v>0</v>
      </c>
      <c r="CM196" t="str">
        <f t="shared" si="311"/>
        <v>00063</v>
      </c>
      <c r="CN196" s="118" t="str">
        <f t="shared" si="312"/>
        <v>Renta Diaria por Hospitalización</v>
      </c>
      <c r="CO196" s="118">
        <f t="shared" si="313"/>
        <v>0</v>
      </c>
      <c r="CP196" s="118" t="str">
        <f t="shared" si="314"/>
        <v>A</v>
      </c>
      <c r="CQ196" s="119" t="str">
        <f t="shared" si="271"/>
        <v/>
      </c>
      <c r="CR196" s="66">
        <f>+IF($W196="","",ROUND((VLOOKUP(Parámetros!$F$51,'COBERTURAS ADICIONALES'!$S$4:$T$32,2,FALSE)*(1+i/frec)^-0.5*(1+Parámetros!$D$103)*(1+rec_fracc)/frec*$CO$42),2))</f>
        <v>0</v>
      </c>
      <c r="CS196" s="119" t="str">
        <f t="shared" si="272"/>
        <v/>
      </c>
      <c r="CT196" s="66">
        <f>+IF($W196="","",ROUND(IF($B196&gt;Parámetros!$D$107,'Tablas Servicio'!CR196+('Tablas Servicio'!CT195-'Tablas Servicio'!CR195),CR196/(1-IF(B196&lt;=10,Parámetros!$D$100,0))),2))</f>
        <v>0</v>
      </c>
      <c r="CU196" s="66">
        <f t="shared" si="273"/>
        <v>0</v>
      </c>
      <c r="CV196" s="66">
        <f t="shared" si="273"/>
        <v>0</v>
      </c>
      <c r="CW196" s="66">
        <f>+IF($W196="","",ROUND((CT196*Parámetros!$G$85),2))</f>
        <v>0</v>
      </c>
      <c r="CX196" s="66">
        <f>+IF($W196="","",ROUND((CT196*(Parámetros!$G$86)),2))</f>
        <v>0</v>
      </c>
      <c r="CY196" s="66">
        <f t="shared" si="274"/>
        <v>0</v>
      </c>
      <c r="CZ196" t="str">
        <f t="shared" si="315"/>
        <v>00064</v>
      </c>
      <c r="DA196" s="118" t="str">
        <f t="shared" si="316"/>
        <v>Enfermedades Graves</v>
      </c>
      <c r="DB196" s="118">
        <f t="shared" si="317"/>
        <v>0</v>
      </c>
      <c r="DC196" s="118" t="str">
        <f t="shared" si="318"/>
        <v>A</v>
      </c>
      <c r="DD196" s="121" t="str">
        <f>+IF(OR($W196="",DB196=0),"",ROUND((VLOOKUP(ROUNDDOWN($D196-1/frec,0),cob_adi,CO$40,FALSE)*(1+i/frec)^-0.5*(1+Parámetros!$D$103)*(1+rec_fracc)/frec),6))</f>
        <v/>
      </c>
      <c r="DE196" s="66">
        <f t="shared" si="275"/>
        <v>0</v>
      </c>
      <c r="DF196" s="119" t="str">
        <f t="shared" si="276"/>
        <v/>
      </c>
      <c r="DG196" s="66">
        <f>+IF($W196="","",ROUND(IF($B196&gt;Parámetros!$D$107,'Tablas Servicio'!DE196+('Tablas Servicio'!DG195-'Tablas Servicio'!DE195),DE196/(1-IF(B196&lt;=10,Parámetros!$D$100,0))),2))</f>
        <v>0</v>
      </c>
      <c r="DH196" s="66">
        <f t="shared" si="277"/>
        <v>0</v>
      </c>
      <c r="DI196" s="66">
        <f t="shared" si="277"/>
        <v>0</v>
      </c>
      <c r="DJ196" s="66">
        <f>+IF($W196="","",ROUND((DG196*Parámetros!$G$85),2))</f>
        <v>0</v>
      </c>
      <c r="DK196" s="66">
        <f>+IF($W196="","",ROUND((DG196*(Parámetros!$G$86)),2))</f>
        <v>0</v>
      </c>
      <c r="DL196" s="66">
        <f t="shared" si="278"/>
        <v>0</v>
      </c>
      <c r="DM196" t="str">
        <f t="shared" si="319"/>
        <v>00065</v>
      </c>
      <c r="DN196" s="118" t="str">
        <f t="shared" si="320"/>
        <v>Exención pago de primas</v>
      </c>
      <c r="DO196" s="118">
        <f t="shared" si="321"/>
        <v>0</v>
      </c>
      <c r="DP196" s="118" t="str">
        <f t="shared" si="322"/>
        <v>A</v>
      </c>
      <c r="DQ196" s="122" t="str">
        <f>+IF(OR($W196="",DO196=0),"",ROUND((VLOOKUP(ROUNDDOWN($D196-1/frec,0),cob_adi,DB$40,FALSE)*(1+i/frec)^-0.5*(1+Parámetros!$D$103)*(1+rec_fracc)/frec),6))</f>
        <v/>
      </c>
      <c r="DR196" s="66">
        <f t="shared" si="279"/>
        <v>0</v>
      </c>
      <c r="DS196" s="68" t="str">
        <f t="shared" si="280"/>
        <v/>
      </c>
      <c r="DT196" s="66">
        <f>+IF($W196="","",ROUND(IF($B196&gt;Parámetros!$D$107,'Tablas Servicio'!DR196+('Tablas Servicio'!DT195-'Tablas Servicio'!DR195),DR196/(1-IF(B196&lt;=10,Parámetros!$D$100,0))),2))</f>
        <v>0</v>
      </c>
      <c r="DU196" s="66">
        <f t="shared" si="281"/>
        <v>0</v>
      </c>
      <c r="DV196" s="66">
        <f t="shared" si="281"/>
        <v>0</v>
      </c>
      <c r="DW196" s="66">
        <f>+IF($W196="","",ROUND((DT196*Parámetros!$G$85),2))</f>
        <v>0</v>
      </c>
      <c r="DX196" s="66">
        <f>+IF($W196="","",ROUND((DT196*(Parámetros!$G$86)),2))</f>
        <v>0</v>
      </c>
      <c r="DY196" s="66">
        <f t="shared" si="282"/>
        <v>0</v>
      </c>
      <c r="DZ196" t="str">
        <f t="shared" si="323"/>
        <v>00066</v>
      </c>
      <c r="EA196" s="118" t="str">
        <f t="shared" si="323"/>
        <v>Enfermedad terminal</v>
      </c>
      <c r="EB196" s="118">
        <f>+IF($W196="","",ROUND(IF(Parámetros!$D$25='TABLAS MORT'!$V$33,EB195,Z196/2),0))</f>
        <v>50000</v>
      </c>
      <c r="EC196" s="118" t="str">
        <f t="shared" si="323"/>
        <v>A</v>
      </c>
      <c r="ED196" s="122">
        <f>+IF(OR($W196="",EB196=0),"",ROUND((VLOOKUP(ROUNDDOWN($D196-1/frec,0),cob_adi,DO$40,FALSE)*(1+i/frec)^-0.5*(1+Parámetros!$D$103)*(1+rec_fracc)/frec),6))</f>
        <v>1.8E-5</v>
      </c>
      <c r="EE196" s="66">
        <f t="shared" si="284"/>
        <v>0.9</v>
      </c>
      <c r="EF196" s="68">
        <f t="shared" si="285"/>
        <v>1.8E-5</v>
      </c>
      <c r="EG196" s="66">
        <f>+IF($W196="","",ROUND(IF($B196&gt;Parámetros!$D$107,'Tablas Servicio'!EE196+('Tablas Servicio'!EG195-'Tablas Servicio'!EE195),EE196/(1-IF(B196&lt;=10,Parámetros!$D$100,0))),2))</f>
        <v>0.9</v>
      </c>
      <c r="EH196" s="66">
        <f t="shared" si="286"/>
        <v>0</v>
      </c>
      <c r="EI196" s="66">
        <f t="shared" si="286"/>
        <v>0</v>
      </c>
      <c r="EJ196" s="66">
        <f>+IF($W196="","",ROUND((EG196*Parámetros!$G$85),2))</f>
        <v>0.03</v>
      </c>
      <c r="EK196" s="66">
        <f>+IF($W196="","",ROUND((EG196*(Parámetros!$G$86)),2))</f>
        <v>0</v>
      </c>
      <c r="EL196" s="66">
        <f t="shared" si="287"/>
        <v>0.93</v>
      </c>
    </row>
    <row r="197" spans="1:142" x14ac:dyDescent="0.25">
      <c r="A197">
        <f>+IF($C197="","",ROUND(VLOOKUP('Tablas Servicio'!B197,Parámetros!$H$100:$J$159,IF(Parámetros!$E$16="F",2,3),FALSE),2))</f>
        <v>150</v>
      </c>
      <c r="B197">
        <f t="shared" si="238"/>
        <v>13</v>
      </c>
      <c r="C197" s="57">
        <f>+IF(D197="","",'Tablas Servicio'!C196+1)</f>
        <v>156</v>
      </c>
      <c r="D197" s="56">
        <f>+IF(D196&lt;edadmaxtabla,D196+1/Parámetros!$E$25,"")</f>
        <v>53.020000000000373</v>
      </c>
      <c r="E197" s="57">
        <f t="shared" si="248"/>
        <v>53</v>
      </c>
      <c r="F197" s="59">
        <f t="shared" si="249"/>
        <v>100000</v>
      </c>
      <c r="G197" s="66">
        <f t="shared" si="239"/>
        <v>39.1</v>
      </c>
      <c r="H197" s="66">
        <f t="shared" si="240"/>
        <v>40.659999999999997</v>
      </c>
      <c r="I197" s="66">
        <f t="shared" si="288"/>
        <v>53.34</v>
      </c>
      <c r="J197" s="66">
        <f t="shared" si="241"/>
        <v>1.37</v>
      </c>
      <c r="K197" s="66">
        <f t="shared" si="242"/>
        <v>0.19</v>
      </c>
      <c r="L197" s="66">
        <f t="shared" si="243"/>
        <v>0</v>
      </c>
      <c r="M197" s="66">
        <f t="shared" si="244"/>
        <v>0</v>
      </c>
      <c r="N197" s="66">
        <f>+IF(C197="","",ROUND(Parámetros!$D$23,2))</f>
        <v>94</v>
      </c>
      <c r="O197" s="66">
        <f t="shared" si="245"/>
        <v>26.599999999999998</v>
      </c>
      <c r="P197" s="66">
        <f>+IF($C197="","",ROUND(IF(B197&gt;Parámetros!$D$117,0,N197*Parámetros!$D$116-G197*Parámetros!$D$100),2))</f>
        <v>0</v>
      </c>
      <c r="Q197" s="75">
        <f t="shared" si="289"/>
        <v>3.5038363171355502E-2</v>
      </c>
      <c r="R197" s="75">
        <f t="shared" si="290"/>
        <v>4.8593350383631714E-3</v>
      </c>
      <c r="S197" s="117">
        <f>+IF($C197="","",ROUND((S196+I197)*(1+Parámetros!$D$91),2))</f>
        <v>10752.64</v>
      </c>
      <c r="T197" s="117">
        <f>+IF($C197="","",ROUND(S197*VLOOKUP(B197,Parámetros!$C$30:$D$39,2,TRUE),2))</f>
        <v>10752.64</v>
      </c>
      <c r="U197" s="117">
        <f>+IF($C197="","",ROUND((U196+I197)*(1+Parámetros!$D$92),2))</f>
        <v>11136.3</v>
      </c>
      <c r="V197" s="117">
        <f>+IF($C197="","",ROUND(U197*VLOOKUP(B197,Parámetros!$C$30:$D$39,2,TRUE),2))</f>
        <v>11136.3</v>
      </c>
      <c r="W197" s="57">
        <f t="shared" si="291"/>
        <v>156</v>
      </c>
      <c r="X197" t="str">
        <f t="shared" si="292"/>
        <v>00058</v>
      </c>
      <c r="Y197" t="str">
        <f t="shared" si="293"/>
        <v>MUERTE POR CUALQUIER CAUSA</v>
      </c>
      <c r="Z197" s="118">
        <f>+IF($W197="","",ROUND(IF(Parámetros!$D$25='TABLAS MORT'!$V$33,Z196,Parámetros!$D$21-'Tablas Servicio'!T196),0))</f>
        <v>100000</v>
      </c>
      <c r="AA197" s="118" t="str">
        <f t="shared" si="294"/>
        <v>P</v>
      </c>
      <c r="AB197" s="119">
        <f>+IF(W197="","",ROUND((VLOOKUP(ROUNDDOWN($D197-1/frec,0),qx_tabla,2,FALSE)*(1+i/frec)^-0.5*(1+Parámetros!$D$103)*(1+rec_fracc)/frec),6))</f>
        <v>2.5700000000000001E-4</v>
      </c>
      <c r="AC197" s="66">
        <f t="shared" si="250"/>
        <v>25.7</v>
      </c>
      <c r="AD197" s="119">
        <f t="shared" si="246"/>
        <v>3.8200000000000002E-4</v>
      </c>
      <c r="AE197" s="66">
        <f>+IF($W197="","",ROUND(IF($B197&gt;Parámetros!$D$107,'Tablas Servicio'!AC197+('Tablas Servicio'!AG196-'Tablas Servicio'!AC196),AC197/(1-IF(B197&lt;=10,Parámetros!$D$104,Parámetros!$D$105))),2))</f>
        <v>42.83</v>
      </c>
      <c r="AF197" s="66">
        <f>+IF($W197="","",ROUND(IF($B197&gt;Parámetros!$D$107,'Tablas Servicio'!AC197+('Tablas Servicio'!AG196-'Tablas Servicio'!AC196),(AC197+$A196/frec)/(1-IF(B197&lt;=Parámetros!$D$117,Parámetros!$D$100,0))),2))</f>
        <v>38.200000000000003</v>
      </c>
      <c r="AG197" s="66">
        <f t="shared" si="251"/>
        <v>38.200000000000003</v>
      </c>
      <c r="AH197" s="66">
        <f t="shared" si="252"/>
        <v>0</v>
      </c>
      <c r="AI197" s="66">
        <f t="shared" si="253"/>
        <v>0</v>
      </c>
      <c r="AJ197" s="66">
        <f>+IF($W197="","",ROUND((AG197*Parámetros!$G$85),2))</f>
        <v>1.34</v>
      </c>
      <c r="AK197" s="66">
        <f>+IF($W197="","",ROUND((AG197*(Parámetros!$G$86)),2))</f>
        <v>0.19</v>
      </c>
      <c r="AL197" s="66">
        <f t="shared" si="247"/>
        <v>39.729999999999997</v>
      </c>
      <c r="AM197" t="str">
        <f t="shared" si="295"/>
        <v>00059</v>
      </c>
      <c r="AN197" t="str">
        <f t="shared" si="296"/>
        <v>Incapacidad Total y Permanente</v>
      </c>
      <c r="AO197" s="118">
        <f t="shared" si="297"/>
        <v>0</v>
      </c>
      <c r="AP197" s="118" t="str">
        <f t="shared" si="298"/>
        <v>A</v>
      </c>
      <c r="AQ197" s="119" t="str">
        <f>+IF(OR($W197="",AO197=0),"",ROUND((VLOOKUP(ROUNDDOWN($D197-1/frec,0),cob_adi,Z$40,FALSE)*(1+i/frec)^-0.5*(1+Parámetros!$D$103)*(1+rec_fracc)/frec),6))</f>
        <v/>
      </c>
      <c r="AR197" s="66">
        <f t="shared" si="254"/>
        <v>0</v>
      </c>
      <c r="AS197" s="119" t="str">
        <f t="shared" si="255"/>
        <v/>
      </c>
      <c r="AT197" s="66">
        <f>+IF($W197="","",ROUND(IF($B197&gt;Parámetros!$D$107,'Tablas Servicio'!AR197+('Tablas Servicio'!AT196-'Tablas Servicio'!AR196),AR197/(1-IF(B197&lt;=10,Parámetros!$D$100,0))),2))</f>
        <v>0</v>
      </c>
      <c r="AU197" s="66">
        <f t="shared" si="256"/>
        <v>0</v>
      </c>
      <c r="AV197" s="66">
        <f t="shared" si="256"/>
        <v>0</v>
      </c>
      <c r="AW197" s="66">
        <f>+IF($W197="","",ROUND((AT197*Parámetros!$G$85),2))</f>
        <v>0</v>
      </c>
      <c r="AX197" s="66">
        <f>+IF($W197="","",ROUND((AT197*(Parámetros!$G$86)),2))</f>
        <v>0</v>
      </c>
      <c r="AY197" s="66">
        <f t="shared" si="257"/>
        <v>0</v>
      </c>
      <c r="AZ197" t="str">
        <f t="shared" si="299"/>
        <v>00060</v>
      </c>
      <c r="BA197" t="str">
        <f t="shared" si="300"/>
        <v>Muerte Accidental</v>
      </c>
      <c r="BB197" s="118">
        <f t="shared" si="301"/>
        <v>0</v>
      </c>
      <c r="BC197" s="118" t="str">
        <f t="shared" si="302"/>
        <v>A</v>
      </c>
      <c r="BD197" s="119" t="str">
        <f>+IF(OR($W197="",BB197=0),"",ROUND((VLOOKUP(ROUNDDOWN($D197-1/frec,0),cob_adi,AO$40,FALSE)*(1+i/frec)^-0.5*(1+Parámetros!$D$103)*(1+rec_fracc)/frec),6))</f>
        <v/>
      </c>
      <c r="BE197" s="66">
        <f t="shared" si="258"/>
        <v>0</v>
      </c>
      <c r="BF197" s="119" t="str">
        <f t="shared" si="259"/>
        <v/>
      </c>
      <c r="BG197" s="66">
        <f>+IF($W197="","",ROUND(IF($B197&gt;Parámetros!$D$107,'Tablas Servicio'!BE197+('Tablas Servicio'!BG196-'Tablas Servicio'!BE196),BE197/(1-IF(B197&lt;=10,Parámetros!$D$100,0))),2))</f>
        <v>0</v>
      </c>
      <c r="BH197" s="66">
        <f t="shared" si="260"/>
        <v>0</v>
      </c>
      <c r="BI197" s="66">
        <f t="shared" si="261"/>
        <v>0</v>
      </c>
      <c r="BJ197" s="66">
        <f>+IF($W197="","",ROUND((BG197*Parámetros!$G$85),2))</f>
        <v>0</v>
      </c>
      <c r="BK197" s="66">
        <f>+IF($W197="","",ROUND((BG197*(Parámetros!$G$86)),2))</f>
        <v>0</v>
      </c>
      <c r="BL197" s="66">
        <f t="shared" si="262"/>
        <v>0</v>
      </c>
      <c r="BM197" t="str">
        <f t="shared" si="303"/>
        <v>00061</v>
      </c>
      <c r="BN197" t="str">
        <f t="shared" si="304"/>
        <v>Gastos de Entierro</v>
      </c>
      <c r="BO197" s="118">
        <f t="shared" si="305"/>
        <v>0</v>
      </c>
      <c r="BP197" s="118" t="str">
        <f t="shared" si="306"/>
        <v>A</v>
      </c>
      <c r="BQ197" s="119" t="str">
        <f>+IF(OR($W197="",BO197=0),"",ROUND((VLOOKUP(ROUNDDOWN($D197-1/frec,0),cob_adi,BB$40,FALSE)*(1+i/frec)^-0.5*(1+Parámetros!$D$103)*(1+rec_fracc)/frec),6))</f>
        <v/>
      </c>
      <c r="BR197" s="66">
        <f t="shared" si="263"/>
        <v>0</v>
      </c>
      <c r="BS197" s="119" t="str">
        <f t="shared" si="264"/>
        <v/>
      </c>
      <c r="BT197" s="66">
        <f>+IF($W197="","",ROUND(IF($B197&gt;Parámetros!$D$107,'Tablas Servicio'!BR197+('Tablas Servicio'!BT196-'Tablas Servicio'!BR196),BR197/(1-IF(B197&lt;=10,Parámetros!$D$100,0))),2))</f>
        <v>0</v>
      </c>
      <c r="BU197" s="66">
        <f t="shared" si="265"/>
        <v>0</v>
      </c>
      <c r="BV197" s="66">
        <f t="shared" si="265"/>
        <v>0</v>
      </c>
      <c r="BW197" s="66">
        <f>+IF($W197="","",ROUND((BT197*Parámetros!$G$85),2))</f>
        <v>0</v>
      </c>
      <c r="BX197" s="66">
        <f>+IF($W197="","",ROUND((BT197*(Parámetros!$G$86)),2))</f>
        <v>0</v>
      </c>
      <c r="BY197" s="66">
        <f t="shared" si="266"/>
        <v>0</v>
      </c>
      <c r="BZ197" t="str">
        <f t="shared" si="307"/>
        <v>00062</v>
      </c>
      <c r="CA197" t="str">
        <f t="shared" si="308"/>
        <v>Gastos médicos por accidente</v>
      </c>
      <c r="CB197" s="118">
        <f t="shared" si="309"/>
        <v>0</v>
      </c>
      <c r="CC197" s="118" t="str">
        <f t="shared" si="310"/>
        <v>A</v>
      </c>
      <c r="CD197" s="119" t="str">
        <f t="shared" si="267"/>
        <v/>
      </c>
      <c r="CE197" s="66">
        <f>+IF($W197="","",ROUND((VLOOKUP(ROUNDDOWN($D197-1/frec,0),cob_adi,BO$40,FALSE)*(1+i/frec)^-0.5*(1+Parámetros!$D$103)*(1+rec_fracc)/frec*'TABLAS ADI'!$BC$17),2))</f>
        <v>0</v>
      </c>
      <c r="CF197" s="119" t="str">
        <f t="shared" si="268"/>
        <v/>
      </c>
      <c r="CG197" s="66">
        <f>+IF($W197="","",ROUND(IF($B197&gt;Parámetros!$D$107,'Tablas Servicio'!CE197+('Tablas Servicio'!CG196-'Tablas Servicio'!CE196),CE197/(1-IF(B197&lt;=10,Parámetros!$D$100,0))),2))</f>
        <v>0</v>
      </c>
      <c r="CH197" s="66">
        <f t="shared" si="269"/>
        <v>0</v>
      </c>
      <c r="CI197" s="66">
        <f t="shared" si="269"/>
        <v>0</v>
      </c>
      <c r="CJ197" s="66">
        <f>+IF($W197="","",ROUND((CG197*Parámetros!$G$85),2))</f>
        <v>0</v>
      </c>
      <c r="CK197" s="66">
        <f>+IF($W197="","",ROUND((CG197*(Parámetros!$G$86)),2))</f>
        <v>0</v>
      </c>
      <c r="CL197" s="66">
        <f t="shared" si="270"/>
        <v>0</v>
      </c>
      <c r="CM197" t="str">
        <f t="shared" si="311"/>
        <v>00063</v>
      </c>
      <c r="CN197" s="118" t="str">
        <f t="shared" si="312"/>
        <v>Renta Diaria por Hospitalización</v>
      </c>
      <c r="CO197" s="118">
        <f t="shared" si="313"/>
        <v>0</v>
      </c>
      <c r="CP197" s="118" t="str">
        <f t="shared" si="314"/>
        <v>A</v>
      </c>
      <c r="CQ197" s="119" t="str">
        <f t="shared" si="271"/>
        <v/>
      </c>
      <c r="CR197" s="66">
        <f>+IF($W197="","",ROUND((VLOOKUP(Parámetros!$F$51,'COBERTURAS ADICIONALES'!$S$4:$T$32,2,FALSE)*(1+i/frec)^-0.5*(1+Parámetros!$D$103)*(1+rec_fracc)/frec*$CO$42),2))</f>
        <v>0</v>
      </c>
      <c r="CS197" s="119" t="str">
        <f t="shared" si="272"/>
        <v/>
      </c>
      <c r="CT197" s="66">
        <f>+IF($W197="","",ROUND(IF($B197&gt;Parámetros!$D$107,'Tablas Servicio'!CR197+('Tablas Servicio'!CT196-'Tablas Servicio'!CR196),CR197/(1-IF(B197&lt;=10,Parámetros!$D$100,0))),2))</f>
        <v>0</v>
      </c>
      <c r="CU197" s="66">
        <f t="shared" si="273"/>
        <v>0</v>
      </c>
      <c r="CV197" s="66">
        <f t="shared" si="273"/>
        <v>0</v>
      </c>
      <c r="CW197" s="66">
        <f>+IF($W197="","",ROUND((CT197*Parámetros!$G$85),2))</f>
        <v>0</v>
      </c>
      <c r="CX197" s="66">
        <f>+IF($W197="","",ROUND((CT197*(Parámetros!$G$86)),2))</f>
        <v>0</v>
      </c>
      <c r="CY197" s="66">
        <f t="shared" si="274"/>
        <v>0</v>
      </c>
      <c r="CZ197" t="str">
        <f t="shared" si="315"/>
        <v>00064</v>
      </c>
      <c r="DA197" s="118" t="str">
        <f t="shared" si="316"/>
        <v>Enfermedades Graves</v>
      </c>
      <c r="DB197" s="118">
        <f t="shared" si="317"/>
        <v>0</v>
      </c>
      <c r="DC197" s="118" t="str">
        <f t="shared" si="318"/>
        <v>A</v>
      </c>
      <c r="DD197" s="121" t="str">
        <f>+IF(OR($W197="",DB197=0),"",ROUND((VLOOKUP(ROUNDDOWN($D197-1/frec,0),cob_adi,CO$40,FALSE)*(1+i/frec)^-0.5*(1+Parámetros!$D$103)*(1+rec_fracc)/frec),6))</f>
        <v/>
      </c>
      <c r="DE197" s="66">
        <f t="shared" si="275"/>
        <v>0</v>
      </c>
      <c r="DF197" s="119" t="str">
        <f t="shared" si="276"/>
        <v/>
      </c>
      <c r="DG197" s="66">
        <f>+IF($W197="","",ROUND(IF($B197&gt;Parámetros!$D$107,'Tablas Servicio'!DE197+('Tablas Servicio'!DG196-'Tablas Servicio'!DE196),DE197/(1-IF(B197&lt;=10,Parámetros!$D$100,0))),2))</f>
        <v>0</v>
      </c>
      <c r="DH197" s="66">
        <f t="shared" si="277"/>
        <v>0</v>
      </c>
      <c r="DI197" s="66">
        <f t="shared" si="277"/>
        <v>0</v>
      </c>
      <c r="DJ197" s="66">
        <f>+IF($W197="","",ROUND((DG197*Parámetros!$G$85),2))</f>
        <v>0</v>
      </c>
      <c r="DK197" s="66">
        <f>+IF($W197="","",ROUND((DG197*(Parámetros!$G$86)),2))</f>
        <v>0</v>
      </c>
      <c r="DL197" s="66">
        <f t="shared" si="278"/>
        <v>0</v>
      </c>
      <c r="DM197" t="str">
        <f t="shared" si="319"/>
        <v>00065</v>
      </c>
      <c r="DN197" s="118" t="str">
        <f t="shared" si="320"/>
        <v>Exención pago de primas</v>
      </c>
      <c r="DO197" s="118">
        <f t="shared" si="321"/>
        <v>0</v>
      </c>
      <c r="DP197" s="118" t="str">
        <f t="shared" si="322"/>
        <v>A</v>
      </c>
      <c r="DQ197" s="122" t="str">
        <f>+IF(OR($W197="",DO197=0),"",ROUND((VLOOKUP(ROUNDDOWN($D197-1/frec,0),cob_adi,DB$40,FALSE)*(1+i/frec)^-0.5*(1+Parámetros!$D$103)*(1+rec_fracc)/frec),6))</f>
        <v/>
      </c>
      <c r="DR197" s="66">
        <f t="shared" si="279"/>
        <v>0</v>
      </c>
      <c r="DS197" s="68" t="str">
        <f t="shared" si="280"/>
        <v/>
      </c>
      <c r="DT197" s="66">
        <f>+IF($W197="","",ROUND(IF($B197&gt;Parámetros!$D$107,'Tablas Servicio'!DR197+('Tablas Servicio'!DT196-'Tablas Servicio'!DR196),DR197/(1-IF(B197&lt;=10,Parámetros!$D$100,0))),2))</f>
        <v>0</v>
      </c>
      <c r="DU197" s="66">
        <f t="shared" si="281"/>
        <v>0</v>
      </c>
      <c r="DV197" s="66">
        <f t="shared" si="281"/>
        <v>0</v>
      </c>
      <c r="DW197" s="66">
        <f>+IF($W197="","",ROUND((DT197*Parámetros!$G$85),2))</f>
        <v>0</v>
      </c>
      <c r="DX197" s="66">
        <f>+IF($W197="","",ROUND((DT197*(Parámetros!$G$86)),2))</f>
        <v>0</v>
      </c>
      <c r="DY197" s="66">
        <f t="shared" si="282"/>
        <v>0</v>
      </c>
      <c r="DZ197" t="str">
        <f t="shared" si="323"/>
        <v>00066</v>
      </c>
      <c r="EA197" s="118" t="str">
        <f t="shared" si="323"/>
        <v>Enfermedad terminal</v>
      </c>
      <c r="EB197" s="118">
        <f>+IF($W197="","",ROUND(IF(Parámetros!$D$25='TABLAS MORT'!$V$33,EB196,Z197/2),0))</f>
        <v>50000</v>
      </c>
      <c r="EC197" s="118" t="str">
        <f t="shared" si="323"/>
        <v>A</v>
      </c>
      <c r="ED197" s="122">
        <f>+IF(OR($W197="",EB197=0),"",ROUND((VLOOKUP(ROUNDDOWN($D197-1/frec,0),cob_adi,DO$40,FALSE)*(1+i/frec)^-0.5*(1+Parámetros!$D$103)*(1+rec_fracc)/frec),6))</f>
        <v>1.8E-5</v>
      </c>
      <c r="EE197" s="66">
        <f t="shared" si="284"/>
        <v>0.9</v>
      </c>
      <c r="EF197" s="68">
        <f t="shared" si="285"/>
        <v>1.8E-5</v>
      </c>
      <c r="EG197" s="66">
        <f>+IF($W197="","",ROUND(IF($B197&gt;Parámetros!$D$107,'Tablas Servicio'!EE197+('Tablas Servicio'!EG196-'Tablas Servicio'!EE196),EE197/(1-IF(B197&lt;=10,Parámetros!$D$100,0))),2))</f>
        <v>0.9</v>
      </c>
      <c r="EH197" s="66">
        <f t="shared" si="286"/>
        <v>0</v>
      </c>
      <c r="EI197" s="66">
        <f t="shared" si="286"/>
        <v>0</v>
      </c>
      <c r="EJ197" s="66">
        <f>+IF($W197="","",ROUND((EG197*Parámetros!$G$85),2))</f>
        <v>0.03</v>
      </c>
      <c r="EK197" s="66">
        <f>+IF($W197="","",ROUND((EG197*(Parámetros!$G$86)),2))</f>
        <v>0</v>
      </c>
      <c r="EL197" s="66">
        <f t="shared" si="287"/>
        <v>0.93</v>
      </c>
    </row>
    <row r="198" spans="1:142" x14ac:dyDescent="0.25">
      <c r="A198">
        <f>+IF($C198="","",ROUND(VLOOKUP('Tablas Servicio'!B198,Parámetros!$H$100:$J$159,IF(Parámetros!$E$16="F",2,3),FALSE),2))</f>
        <v>150</v>
      </c>
      <c r="B198">
        <f t="shared" si="238"/>
        <v>14</v>
      </c>
      <c r="C198" s="57">
        <f>+IF(D198="","",'Tablas Servicio'!C197+1)</f>
        <v>157</v>
      </c>
      <c r="D198" s="56">
        <f>+IF(D197&lt;edadmaxtabla,D197+1/Parámetros!$E$25,"")</f>
        <v>53.103333333333708</v>
      </c>
      <c r="E198" s="57">
        <f t="shared" si="248"/>
        <v>53</v>
      </c>
      <c r="F198" s="59">
        <f t="shared" si="249"/>
        <v>100000</v>
      </c>
      <c r="G198" s="66">
        <f t="shared" si="239"/>
        <v>41.199999999999996</v>
      </c>
      <c r="H198" s="66">
        <f t="shared" si="240"/>
        <v>42.839999999999996</v>
      </c>
      <c r="I198" s="66">
        <f t="shared" si="288"/>
        <v>51.160000000000004</v>
      </c>
      <c r="J198" s="66">
        <f t="shared" si="241"/>
        <v>1.44</v>
      </c>
      <c r="K198" s="66">
        <f t="shared" si="242"/>
        <v>0.2</v>
      </c>
      <c r="L198" s="66">
        <f t="shared" si="243"/>
        <v>0</v>
      </c>
      <c r="M198" s="66">
        <f t="shared" si="244"/>
        <v>0</v>
      </c>
      <c r="N198" s="66">
        <f>+IF(C198="","",ROUND(Parámetros!$D$23,2))</f>
        <v>94</v>
      </c>
      <c r="O198" s="66">
        <f t="shared" si="245"/>
        <v>28.7</v>
      </c>
      <c r="P198" s="66">
        <f>+IF($C198="","",ROUND(IF(B198&gt;Parámetros!$D$117,0,N198*Parámetros!$D$116-G198*Parámetros!$D$100),2))</f>
        <v>0</v>
      </c>
      <c r="Q198" s="75">
        <f t="shared" si="289"/>
        <v>3.4951456310679613E-2</v>
      </c>
      <c r="R198" s="75">
        <f t="shared" si="290"/>
        <v>4.8543689320388354E-3</v>
      </c>
      <c r="S198" s="117">
        <f>+IF($C198="","",ROUND((S197+I198)*(1+Parámetros!$D$91),2))</f>
        <v>10834.44</v>
      </c>
      <c r="T198" s="117">
        <f>+IF($C198="","",ROUND(S198*VLOOKUP(B198,Parámetros!$C$30:$D$39,2,TRUE),2))</f>
        <v>10834.44</v>
      </c>
      <c r="U198" s="117">
        <f>+IF($C198="","",ROUND((U197+I198)*(1+Parámetros!$D$92),2))</f>
        <v>11223.73</v>
      </c>
      <c r="V198" s="117">
        <f>+IF($C198="","",ROUND(U198*VLOOKUP(B198,Parámetros!$C$30:$D$39,2,TRUE),2))</f>
        <v>11223.73</v>
      </c>
      <c r="W198" s="57">
        <f t="shared" si="291"/>
        <v>157</v>
      </c>
      <c r="X198" t="str">
        <f t="shared" si="292"/>
        <v>00058</v>
      </c>
      <c r="Y198" t="str">
        <f t="shared" si="293"/>
        <v>MUERTE POR CUALQUIER CAUSA</v>
      </c>
      <c r="Z198" s="118">
        <f>+IF($W198="","",ROUND(IF(Parámetros!$D$25='TABLAS MORT'!$V$33,Z197,Parámetros!$D$21-'Tablas Servicio'!T197),0))</f>
        <v>100000</v>
      </c>
      <c r="AA198" s="118" t="str">
        <f t="shared" si="294"/>
        <v>P</v>
      </c>
      <c r="AB198" s="119">
        <f>+IF(W198="","",ROUND((VLOOKUP(ROUNDDOWN($D198-1/frec,0),qx_tabla,2,FALSE)*(1+i/frec)^-0.5*(1+Parámetros!$D$103)*(1+rec_fracc)/frec),6))</f>
        <v>2.7799999999999998E-4</v>
      </c>
      <c r="AC198" s="66">
        <f t="shared" si="250"/>
        <v>27.8</v>
      </c>
      <c r="AD198" s="119">
        <f t="shared" si="246"/>
        <v>4.0299999999999998E-4</v>
      </c>
      <c r="AE198" s="66">
        <f>+IF($W198="","",ROUND(IF($B198&gt;Parámetros!$D$107,'Tablas Servicio'!AC198+('Tablas Servicio'!AG197-'Tablas Servicio'!AC197),AC198/(1-IF(B198&lt;=10,Parámetros!$D$104,Parámetros!$D$105))),2))</f>
        <v>46.33</v>
      </c>
      <c r="AF198" s="66">
        <f>+IF($W198="","",ROUND(IF($B198&gt;Parámetros!$D$107,'Tablas Servicio'!AC198+('Tablas Servicio'!AG197-'Tablas Servicio'!AC197),(AC198+$A197/frec)/(1-IF(B198&lt;=Parámetros!$D$117,Parámetros!$D$100,0))),2))</f>
        <v>40.299999999999997</v>
      </c>
      <c r="AG198" s="66">
        <f t="shared" si="251"/>
        <v>40.299999999999997</v>
      </c>
      <c r="AH198" s="66">
        <f t="shared" si="252"/>
        <v>0</v>
      </c>
      <c r="AI198" s="66">
        <f t="shared" si="253"/>
        <v>0</v>
      </c>
      <c r="AJ198" s="66">
        <f>+IF($W198="","",ROUND((AG198*Parámetros!$G$85),2))</f>
        <v>1.41</v>
      </c>
      <c r="AK198" s="66">
        <f>+IF($W198="","",ROUND((AG198*(Parámetros!$G$86)),2))</f>
        <v>0.2</v>
      </c>
      <c r="AL198" s="66">
        <f t="shared" si="247"/>
        <v>41.91</v>
      </c>
      <c r="AM198" t="str">
        <f t="shared" si="295"/>
        <v>00059</v>
      </c>
      <c r="AN198" t="str">
        <f t="shared" si="296"/>
        <v>Incapacidad Total y Permanente</v>
      </c>
      <c r="AO198" s="118">
        <f t="shared" si="297"/>
        <v>0</v>
      </c>
      <c r="AP198" s="118" t="str">
        <f t="shared" si="298"/>
        <v>A</v>
      </c>
      <c r="AQ198" s="119" t="str">
        <f>+IF(OR($W198="",AO198=0),"",ROUND((VLOOKUP(ROUNDDOWN($D198-1/frec,0),cob_adi,Z$40,FALSE)*(1+i/frec)^-0.5*(1+Parámetros!$D$103)*(1+rec_fracc)/frec),6))</f>
        <v/>
      </c>
      <c r="AR198" s="66">
        <f t="shared" si="254"/>
        <v>0</v>
      </c>
      <c r="AS198" s="119" t="str">
        <f t="shared" si="255"/>
        <v/>
      </c>
      <c r="AT198" s="66">
        <f>+IF($W198="","",ROUND(IF($B198&gt;Parámetros!$D$107,'Tablas Servicio'!AR198+('Tablas Servicio'!AT197-'Tablas Servicio'!AR197),AR198/(1-IF(B198&lt;=10,Parámetros!$D$100,0))),2))</f>
        <v>0</v>
      </c>
      <c r="AU198" s="66">
        <f t="shared" si="256"/>
        <v>0</v>
      </c>
      <c r="AV198" s="66">
        <f t="shared" si="256"/>
        <v>0</v>
      </c>
      <c r="AW198" s="66">
        <f>+IF($W198="","",ROUND((AT198*Parámetros!$G$85),2))</f>
        <v>0</v>
      </c>
      <c r="AX198" s="66">
        <f>+IF($W198="","",ROUND((AT198*(Parámetros!$G$86)),2))</f>
        <v>0</v>
      </c>
      <c r="AY198" s="66">
        <f t="shared" si="257"/>
        <v>0</v>
      </c>
      <c r="AZ198" t="str">
        <f t="shared" si="299"/>
        <v>00060</v>
      </c>
      <c r="BA198" t="str">
        <f t="shared" si="300"/>
        <v>Muerte Accidental</v>
      </c>
      <c r="BB198" s="118">
        <f t="shared" si="301"/>
        <v>0</v>
      </c>
      <c r="BC198" s="118" t="str">
        <f t="shared" si="302"/>
        <v>A</v>
      </c>
      <c r="BD198" s="119" t="str">
        <f>+IF(OR($W198="",BB198=0),"",ROUND((VLOOKUP(ROUNDDOWN($D198-1/frec,0),cob_adi,AO$40,FALSE)*(1+i/frec)^-0.5*(1+Parámetros!$D$103)*(1+rec_fracc)/frec),6))</f>
        <v/>
      </c>
      <c r="BE198" s="66">
        <f t="shared" si="258"/>
        <v>0</v>
      </c>
      <c r="BF198" s="119" t="str">
        <f t="shared" si="259"/>
        <v/>
      </c>
      <c r="BG198" s="66">
        <f>+IF($W198="","",ROUND(IF($B198&gt;Parámetros!$D$107,'Tablas Servicio'!BE198+('Tablas Servicio'!BG197-'Tablas Servicio'!BE197),BE198/(1-IF(B198&lt;=10,Parámetros!$D$100,0))),2))</f>
        <v>0</v>
      </c>
      <c r="BH198" s="66">
        <f t="shared" si="260"/>
        <v>0</v>
      </c>
      <c r="BI198" s="66">
        <f t="shared" si="261"/>
        <v>0</v>
      </c>
      <c r="BJ198" s="66">
        <f>+IF($W198="","",ROUND((BG198*Parámetros!$G$85),2))</f>
        <v>0</v>
      </c>
      <c r="BK198" s="66">
        <f>+IF($W198="","",ROUND((BG198*(Parámetros!$G$86)),2))</f>
        <v>0</v>
      </c>
      <c r="BL198" s="66">
        <f t="shared" si="262"/>
        <v>0</v>
      </c>
      <c r="BM198" t="str">
        <f t="shared" si="303"/>
        <v>00061</v>
      </c>
      <c r="BN198" t="str">
        <f t="shared" si="304"/>
        <v>Gastos de Entierro</v>
      </c>
      <c r="BO198" s="118">
        <f t="shared" si="305"/>
        <v>0</v>
      </c>
      <c r="BP198" s="118" t="str">
        <f t="shared" si="306"/>
        <v>A</v>
      </c>
      <c r="BQ198" s="119" t="str">
        <f>+IF(OR($W198="",BO198=0),"",ROUND((VLOOKUP(ROUNDDOWN($D198-1/frec,0),cob_adi,BB$40,FALSE)*(1+i/frec)^-0.5*(1+Parámetros!$D$103)*(1+rec_fracc)/frec),6))</f>
        <v/>
      </c>
      <c r="BR198" s="66">
        <f t="shared" si="263"/>
        <v>0</v>
      </c>
      <c r="BS198" s="119" t="str">
        <f t="shared" si="264"/>
        <v/>
      </c>
      <c r="BT198" s="66">
        <f>+IF($W198="","",ROUND(IF($B198&gt;Parámetros!$D$107,'Tablas Servicio'!BR198+('Tablas Servicio'!BT197-'Tablas Servicio'!BR197),BR198/(1-IF(B198&lt;=10,Parámetros!$D$100,0))),2))</f>
        <v>0</v>
      </c>
      <c r="BU198" s="66">
        <f t="shared" si="265"/>
        <v>0</v>
      </c>
      <c r="BV198" s="66">
        <f t="shared" si="265"/>
        <v>0</v>
      </c>
      <c r="BW198" s="66">
        <f>+IF($W198="","",ROUND((BT198*Parámetros!$G$85),2))</f>
        <v>0</v>
      </c>
      <c r="BX198" s="66">
        <f>+IF($W198="","",ROUND((BT198*(Parámetros!$G$86)),2))</f>
        <v>0</v>
      </c>
      <c r="BY198" s="66">
        <f t="shared" si="266"/>
        <v>0</v>
      </c>
      <c r="BZ198" t="str">
        <f t="shared" si="307"/>
        <v>00062</v>
      </c>
      <c r="CA198" t="str">
        <f t="shared" si="308"/>
        <v>Gastos médicos por accidente</v>
      </c>
      <c r="CB198" s="118">
        <f t="shared" si="309"/>
        <v>0</v>
      </c>
      <c r="CC198" s="118" t="str">
        <f t="shared" si="310"/>
        <v>A</v>
      </c>
      <c r="CD198" s="119" t="str">
        <f t="shared" si="267"/>
        <v/>
      </c>
      <c r="CE198" s="66">
        <f>+IF($W198="","",ROUND((VLOOKUP(ROUNDDOWN($D198-1/frec,0),cob_adi,BO$40,FALSE)*(1+i/frec)^-0.5*(1+Parámetros!$D$103)*(1+rec_fracc)/frec*'TABLAS ADI'!$BC$17),2))</f>
        <v>0</v>
      </c>
      <c r="CF198" s="119" t="str">
        <f t="shared" si="268"/>
        <v/>
      </c>
      <c r="CG198" s="66">
        <f>+IF($W198="","",ROUND(IF($B198&gt;Parámetros!$D$107,'Tablas Servicio'!CE198+('Tablas Servicio'!CG197-'Tablas Servicio'!CE197),CE198/(1-IF(B198&lt;=10,Parámetros!$D$100,0))),2))</f>
        <v>0</v>
      </c>
      <c r="CH198" s="66">
        <f t="shared" si="269"/>
        <v>0</v>
      </c>
      <c r="CI198" s="66">
        <f t="shared" si="269"/>
        <v>0</v>
      </c>
      <c r="CJ198" s="66">
        <f>+IF($W198="","",ROUND((CG198*Parámetros!$G$85),2))</f>
        <v>0</v>
      </c>
      <c r="CK198" s="66">
        <f>+IF($W198="","",ROUND((CG198*(Parámetros!$G$86)),2))</f>
        <v>0</v>
      </c>
      <c r="CL198" s="66">
        <f t="shared" si="270"/>
        <v>0</v>
      </c>
      <c r="CM198" t="str">
        <f t="shared" si="311"/>
        <v>00063</v>
      </c>
      <c r="CN198" s="118" t="str">
        <f t="shared" si="312"/>
        <v>Renta Diaria por Hospitalización</v>
      </c>
      <c r="CO198" s="118">
        <f t="shared" si="313"/>
        <v>0</v>
      </c>
      <c r="CP198" s="118" t="str">
        <f t="shared" si="314"/>
        <v>A</v>
      </c>
      <c r="CQ198" s="119" t="str">
        <f t="shared" si="271"/>
        <v/>
      </c>
      <c r="CR198" s="66">
        <f>+IF($W198="","",ROUND((VLOOKUP(Parámetros!$F$51,'COBERTURAS ADICIONALES'!$S$4:$T$32,2,FALSE)*(1+i/frec)^-0.5*(1+Parámetros!$D$103)*(1+rec_fracc)/frec*$CO$42),2))</f>
        <v>0</v>
      </c>
      <c r="CS198" s="119" t="str">
        <f t="shared" si="272"/>
        <v/>
      </c>
      <c r="CT198" s="66">
        <f>+IF($W198="","",ROUND(IF($B198&gt;Parámetros!$D$107,'Tablas Servicio'!CR198+('Tablas Servicio'!CT197-'Tablas Servicio'!CR197),CR198/(1-IF(B198&lt;=10,Parámetros!$D$100,0))),2))</f>
        <v>0</v>
      </c>
      <c r="CU198" s="66">
        <f t="shared" si="273"/>
        <v>0</v>
      </c>
      <c r="CV198" s="66">
        <f t="shared" si="273"/>
        <v>0</v>
      </c>
      <c r="CW198" s="66">
        <f>+IF($W198="","",ROUND((CT198*Parámetros!$G$85),2))</f>
        <v>0</v>
      </c>
      <c r="CX198" s="66">
        <f>+IF($W198="","",ROUND((CT198*(Parámetros!$G$86)),2))</f>
        <v>0</v>
      </c>
      <c r="CY198" s="66">
        <f t="shared" si="274"/>
        <v>0</v>
      </c>
      <c r="CZ198" t="str">
        <f t="shared" si="315"/>
        <v>00064</v>
      </c>
      <c r="DA198" s="118" t="str">
        <f t="shared" si="316"/>
        <v>Enfermedades Graves</v>
      </c>
      <c r="DB198" s="118">
        <f t="shared" si="317"/>
        <v>0</v>
      </c>
      <c r="DC198" s="118" t="str">
        <f t="shared" si="318"/>
        <v>A</v>
      </c>
      <c r="DD198" s="121" t="str">
        <f>+IF(OR($W198="",DB198=0),"",ROUND((VLOOKUP(ROUNDDOWN($D198-1/frec,0),cob_adi,CO$40,FALSE)*(1+i/frec)^-0.5*(1+Parámetros!$D$103)*(1+rec_fracc)/frec),6))</f>
        <v/>
      </c>
      <c r="DE198" s="66">
        <f t="shared" si="275"/>
        <v>0</v>
      </c>
      <c r="DF198" s="119" t="str">
        <f t="shared" si="276"/>
        <v/>
      </c>
      <c r="DG198" s="66">
        <f>+IF($W198="","",ROUND(IF($B198&gt;Parámetros!$D$107,'Tablas Servicio'!DE198+('Tablas Servicio'!DG197-'Tablas Servicio'!DE197),DE198/(1-IF(B198&lt;=10,Parámetros!$D$100,0))),2))</f>
        <v>0</v>
      </c>
      <c r="DH198" s="66">
        <f t="shared" si="277"/>
        <v>0</v>
      </c>
      <c r="DI198" s="66">
        <f t="shared" si="277"/>
        <v>0</v>
      </c>
      <c r="DJ198" s="66">
        <f>+IF($W198="","",ROUND((DG198*Parámetros!$G$85),2))</f>
        <v>0</v>
      </c>
      <c r="DK198" s="66">
        <f>+IF($W198="","",ROUND((DG198*(Parámetros!$G$86)),2))</f>
        <v>0</v>
      </c>
      <c r="DL198" s="66">
        <f t="shared" si="278"/>
        <v>0</v>
      </c>
      <c r="DM198" t="str">
        <f t="shared" si="319"/>
        <v>00065</v>
      </c>
      <c r="DN198" s="118" t="str">
        <f t="shared" si="320"/>
        <v>Exención pago de primas</v>
      </c>
      <c r="DO198" s="118">
        <f t="shared" si="321"/>
        <v>0</v>
      </c>
      <c r="DP198" s="118" t="str">
        <f t="shared" si="322"/>
        <v>A</v>
      </c>
      <c r="DQ198" s="122" t="str">
        <f>+IF(OR($W198="",DO198=0),"",ROUND((VLOOKUP(ROUNDDOWN($D198-1/frec,0),cob_adi,DB$40,FALSE)*(1+i/frec)^-0.5*(1+Parámetros!$D$103)*(1+rec_fracc)/frec),6))</f>
        <v/>
      </c>
      <c r="DR198" s="66">
        <f t="shared" si="279"/>
        <v>0</v>
      </c>
      <c r="DS198" s="68" t="str">
        <f t="shared" si="280"/>
        <v/>
      </c>
      <c r="DT198" s="66">
        <f>+IF($W198="","",ROUND(IF($B198&gt;Parámetros!$D$107,'Tablas Servicio'!DR198+('Tablas Servicio'!DT197-'Tablas Servicio'!DR197),DR198/(1-IF(B198&lt;=10,Parámetros!$D$100,0))),2))</f>
        <v>0</v>
      </c>
      <c r="DU198" s="66">
        <f t="shared" si="281"/>
        <v>0</v>
      </c>
      <c r="DV198" s="66">
        <f t="shared" si="281"/>
        <v>0</v>
      </c>
      <c r="DW198" s="66">
        <f>+IF($W198="","",ROUND((DT198*Parámetros!$G$85),2))</f>
        <v>0</v>
      </c>
      <c r="DX198" s="66">
        <f>+IF($W198="","",ROUND((DT198*(Parámetros!$G$86)),2))</f>
        <v>0</v>
      </c>
      <c r="DY198" s="66">
        <f t="shared" si="282"/>
        <v>0</v>
      </c>
      <c r="DZ198" t="str">
        <f t="shared" si="323"/>
        <v>00066</v>
      </c>
      <c r="EA198" s="118" t="str">
        <f t="shared" si="323"/>
        <v>Enfermedad terminal</v>
      </c>
      <c r="EB198" s="118">
        <f>+IF($W198="","",ROUND(IF(Parámetros!$D$25='TABLAS MORT'!$V$33,EB197,Z198/2),0))</f>
        <v>50000</v>
      </c>
      <c r="EC198" s="118" t="str">
        <f t="shared" si="323"/>
        <v>A</v>
      </c>
      <c r="ED198" s="122">
        <f>+IF(OR($W198="",EB198=0),"",ROUND((VLOOKUP(ROUNDDOWN($D198-1/frec,0),cob_adi,DO$40,FALSE)*(1+i/frec)^-0.5*(1+Parámetros!$D$103)*(1+rec_fracc)/frec),6))</f>
        <v>1.8E-5</v>
      </c>
      <c r="EE198" s="66">
        <f t="shared" si="284"/>
        <v>0.9</v>
      </c>
      <c r="EF198" s="68">
        <f t="shared" si="285"/>
        <v>1.8E-5</v>
      </c>
      <c r="EG198" s="66">
        <f>+IF($W198="","",ROUND(IF($B198&gt;Parámetros!$D$107,'Tablas Servicio'!EE198+('Tablas Servicio'!EG197-'Tablas Servicio'!EE197),EE198/(1-IF(B198&lt;=10,Parámetros!$D$100,0))),2))</f>
        <v>0.9</v>
      </c>
      <c r="EH198" s="66">
        <f t="shared" si="286"/>
        <v>0</v>
      </c>
      <c r="EI198" s="66">
        <f t="shared" si="286"/>
        <v>0</v>
      </c>
      <c r="EJ198" s="66">
        <f>+IF($W198="","",ROUND((EG198*Parámetros!$G$85),2))</f>
        <v>0.03</v>
      </c>
      <c r="EK198" s="66">
        <f>+IF($W198="","",ROUND((EG198*(Parámetros!$G$86)),2))</f>
        <v>0</v>
      </c>
      <c r="EL198" s="66">
        <f t="shared" si="287"/>
        <v>0.93</v>
      </c>
    </row>
    <row r="199" spans="1:142" x14ac:dyDescent="0.25">
      <c r="A199">
        <f>+IF($C199="","",ROUND(VLOOKUP('Tablas Servicio'!B199,Parámetros!$H$100:$J$159,IF(Parámetros!$E$16="F",2,3),FALSE),2))</f>
        <v>150</v>
      </c>
      <c r="B199">
        <f t="shared" si="238"/>
        <v>14</v>
      </c>
      <c r="C199" s="57">
        <f>+IF(D199="","",'Tablas Servicio'!C198+1)</f>
        <v>158</v>
      </c>
      <c r="D199" s="56">
        <f>+IF(D198&lt;edadmaxtabla,D198+1/Parámetros!$E$25,"")</f>
        <v>53.186666666667044</v>
      </c>
      <c r="E199" s="57">
        <f t="shared" si="248"/>
        <v>53</v>
      </c>
      <c r="F199" s="59">
        <f t="shared" si="249"/>
        <v>100000</v>
      </c>
      <c r="G199" s="66">
        <f t="shared" si="239"/>
        <v>41.199999999999996</v>
      </c>
      <c r="H199" s="66">
        <f t="shared" si="240"/>
        <v>42.839999999999996</v>
      </c>
      <c r="I199" s="66">
        <f t="shared" si="288"/>
        <v>51.160000000000004</v>
      </c>
      <c r="J199" s="66">
        <f t="shared" si="241"/>
        <v>1.44</v>
      </c>
      <c r="K199" s="66">
        <f t="shared" si="242"/>
        <v>0.2</v>
      </c>
      <c r="L199" s="66">
        <f t="shared" si="243"/>
        <v>0</v>
      </c>
      <c r="M199" s="66">
        <f t="shared" si="244"/>
        <v>0</v>
      </c>
      <c r="N199" s="66">
        <f>+IF(C199="","",ROUND(Parámetros!$D$23,2))</f>
        <v>94</v>
      </c>
      <c r="O199" s="66">
        <f t="shared" si="245"/>
        <v>28.7</v>
      </c>
      <c r="P199" s="66">
        <f>+IF($C199="","",ROUND(IF(B199&gt;Parámetros!$D$117,0,N199*Parámetros!$D$116-G199*Parámetros!$D$100),2))</f>
        <v>0</v>
      </c>
      <c r="Q199" s="75">
        <f t="shared" si="289"/>
        <v>3.4951456310679613E-2</v>
      </c>
      <c r="R199" s="75">
        <f t="shared" si="290"/>
        <v>4.8543689320388354E-3</v>
      </c>
      <c r="S199" s="117">
        <f>+IF($C199="","",ROUND((S198+I199)*(1+Parámetros!$D$91),2))</f>
        <v>10916.48</v>
      </c>
      <c r="T199" s="117">
        <f>+IF($C199="","",ROUND(S199*VLOOKUP(B199,Parámetros!$C$30:$D$39,2,TRUE),2))</f>
        <v>10916.48</v>
      </c>
      <c r="U199" s="117">
        <f>+IF($C199="","",ROUND((U198+I199)*(1+Parámetros!$D$92),2))</f>
        <v>11311.44</v>
      </c>
      <c r="V199" s="117">
        <f>+IF($C199="","",ROUND(U199*VLOOKUP(B199,Parámetros!$C$30:$D$39,2,TRUE),2))</f>
        <v>11311.44</v>
      </c>
      <c r="W199" s="57">
        <f t="shared" si="291"/>
        <v>158</v>
      </c>
      <c r="X199" t="str">
        <f t="shared" si="292"/>
        <v>00058</v>
      </c>
      <c r="Y199" t="str">
        <f t="shared" si="293"/>
        <v>MUERTE POR CUALQUIER CAUSA</v>
      </c>
      <c r="Z199" s="118">
        <f>+IF($W199="","",ROUND(IF(Parámetros!$D$25='TABLAS MORT'!$V$33,Z198,Parámetros!$D$21-'Tablas Servicio'!T198),0))</f>
        <v>100000</v>
      </c>
      <c r="AA199" s="118" t="str">
        <f t="shared" si="294"/>
        <v>P</v>
      </c>
      <c r="AB199" s="119">
        <f>+IF(W199="","",ROUND((VLOOKUP(ROUNDDOWN($D199-1/frec,0),qx_tabla,2,FALSE)*(1+i/frec)^-0.5*(1+Parámetros!$D$103)*(1+rec_fracc)/frec),6))</f>
        <v>2.7799999999999998E-4</v>
      </c>
      <c r="AC199" s="66">
        <f t="shared" si="250"/>
        <v>27.8</v>
      </c>
      <c r="AD199" s="119">
        <f t="shared" si="246"/>
        <v>4.0299999999999998E-4</v>
      </c>
      <c r="AE199" s="66">
        <f>+IF($W199="","",ROUND(IF($B199&gt;Parámetros!$D$107,'Tablas Servicio'!AC199+('Tablas Servicio'!AG198-'Tablas Servicio'!AC198),AC199/(1-IF(B199&lt;=10,Parámetros!$D$104,Parámetros!$D$105))),2))</f>
        <v>46.33</v>
      </c>
      <c r="AF199" s="66">
        <f>+IF($W199="","",ROUND(IF($B199&gt;Parámetros!$D$107,'Tablas Servicio'!AC199+('Tablas Servicio'!AG198-'Tablas Servicio'!AC198),(AC199+$A198/frec)/(1-IF(B199&lt;=Parámetros!$D$117,Parámetros!$D$100,0))),2))</f>
        <v>40.299999999999997</v>
      </c>
      <c r="AG199" s="66">
        <f t="shared" si="251"/>
        <v>40.299999999999997</v>
      </c>
      <c r="AH199" s="66">
        <f t="shared" si="252"/>
        <v>0</v>
      </c>
      <c r="AI199" s="66">
        <f t="shared" si="253"/>
        <v>0</v>
      </c>
      <c r="AJ199" s="66">
        <f>+IF($W199="","",ROUND((AG199*Parámetros!$G$85),2))</f>
        <v>1.41</v>
      </c>
      <c r="AK199" s="66">
        <f>+IF($W199="","",ROUND((AG199*(Parámetros!$G$86)),2))</f>
        <v>0.2</v>
      </c>
      <c r="AL199" s="66">
        <f t="shared" si="247"/>
        <v>41.91</v>
      </c>
      <c r="AM199" t="str">
        <f t="shared" si="295"/>
        <v>00059</v>
      </c>
      <c r="AN199" t="str">
        <f t="shared" si="296"/>
        <v>Incapacidad Total y Permanente</v>
      </c>
      <c r="AO199" s="118">
        <f t="shared" si="297"/>
        <v>0</v>
      </c>
      <c r="AP199" s="118" t="str">
        <f t="shared" si="298"/>
        <v>A</v>
      </c>
      <c r="AQ199" s="119" t="str">
        <f>+IF(OR($W199="",AO199=0),"",ROUND((VLOOKUP(ROUNDDOWN($D199-1/frec,0),cob_adi,Z$40,FALSE)*(1+i/frec)^-0.5*(1+Parámetros!$D$103)*(1+rec_fracc)/frec),6))</f>
        <v/>
      </c>
      <c r="AR199" s="66">
        <f t="shared" si="254"/>
        <v>0</v>
      </c>
      <c r="AS199" s="119" t="str">
        <f t="shared" si="255"/>
        <v/>
      </c>
      <c r="AT199" s="66">
        <f>+IF($W199="","",ROUND(IF($B199&gt;Parámetros!$D$107,'Tablas Servicio'!AR199+('Tablas Servicio'!AT198-'Tablas Servicio'!AR198),AR199/(1-IF(B199&lt;=10,Parámetros!$D$100,0))),2))</f>
        <v>0</v>
      </c>
      <c r="AU199" s="66">
        <f t="shared" si="256"/>
        <v>0</v>
      </c>
      <c r="AV199" s="66">
        <f t="shared" si="256"/>
        <v>0</v>
      </c>
      <c r="AW199" s="66">
        <f>+IF($W199="","",ROUND((AT199*Parámetros!$G$85),2))</f>
        <v>0</v>
      </c>
      <c r="AX199" s="66">
        <f>+IF($W199="","",ROUND((AT199*(Parámetros!$G$86)),2))</f>
        <v>0</v>
      </c>
      <c r="AY199" s="66">
        <f t="shared" si="257"/>
        <v>0</v>
      </c>
      <c r="AZ199" t="str">
        <f t="shared" si="299"/>
        <v>00060</v>
      </c>
      <c r="BA199" t="str">
        <f t="shared" si="300"/>
        <v>Muerte Accidental</v>
      </c>
      <c r="BB199" s="118">
        <f t="shared" si="301"/>
        <v>0</v>
      </c>
      <c r="BC199" s="118" t="str">
        <f t="shared" si="302"/>
        <v>A</v>
      </c>
      <c r="BD199" s="119" t="str">
        <f>+IF(OR($W199="",BB199=0),"",ROUND((VLOOKUP(ROUNDDOWN($D199-1/frec,0),cob_adi,AO$40,FALSE)*(1+i/frec)^-0.5*(1+Parámetros!$D$103)*(1+rec_fracc)/frec),6))</f>
        <v/>
      </c>
      <c r="BE199" s="66">
        <f t="shared" si="258"/>
        <v>0</v>
      </c>
      <c r="BF199" s="119" t="str">
        <f t="shared" si="259"/>
        <v/>
      </c>
      <c r="BG199" s="66">
        <f>+IF($W199="","",ROUND(IF($B199&gt;Parámetros!$D$107,'Tablas Servicio'!BE199+('Tablas Servicio'!BG198-'Tablas Servicio'!BE198),BE199/(1-IF(B199&lt;=10,Parámetros!$D$100,0))),2))</f>
        <v>0</v>
      </c>
      <c r="BH199" s="66">
        <f t="shared" si="260"/>
        <v>0</v>
      </c>
      <c r="BI199" s="66">
        <f t="shared" si="261"/>
        <v>0</v>
      </c>
      <c r="BJ199" s="66">
        <f>+IF($W199="","",ROUND((BG199*Parámetros!$G$85),2))</f>
        <v>0</v>
      </c>
      <c r="BK199" s="66">
        <f>+IF($W199="","",ROUND((BG199*(Parámetros!$G$86)),2))</f>
        <v>0</v>
      </c>
      <c r="BL199" s="66">
        <f t="shared" si="262"/>
        <v>0</v>
      </c>
      <c r="BM199" t="str">
        <f t="shared" si="303"/>
        <v>00061</v>
      </c>
      <c r="BN199" t="str">
        <f t="shared" si="304"/>
        <v>Gastos de Entierro</v>
      </c>
      <c r="BO199" s="118">
        <f t="shared" si="305"/>
        <v>0</v>
      </c>
      <c r="BP199" s="118" t="str">
        <f t="shared" si="306"/>
        <v>A</v>
      </c>
      <c r="BQ199" s="119" t="str">
        <f>+IF(OR($W199="",BO199=0),"",ROUND((VLOOKUP(ROUNDDOWN($D199-1/frec,0),cob_adi,BB$40,FALSE)*(1+i/frec)^-0.5*(1+Parámetros!$D$103)*(1+rec_fracc)/frec),6))</f>
        <v/>
      </c>
      <c r="BR199" s="66">
        <f t="shared" si="263"/>
        <v>0</v>
      </c>
      <c r="BS199" s="119" t="str">
        <f t="shared" si="264"/>
        <v/>
      </c>
      <c r="BT199" s="66">
        <f>+IF($W199="","",ROUND(IF($B199&gt;Parámetros!$D$107,'Tablas Servicio'!BR199+('Tablas Servicio'!BT198-'Tablas Servicio'!BR198),BR199/(1-IF(B199&lt;=10,Parámetros!$D$100,0))),2))</f>
        <v>0</v>
      </c>
      <c r="BU199" s="66">
        <f t="shared" si="265"/>
        <v>0</v>
      </c>
      <c r="BV199" s="66">
        <f t="shared" si="265"/>
        <v>0</v>
      </c>
      <c r="BW199" s="66">
        <f>+IF($W199="","",ROUND((BT199*Parámetros!$G$85),2))</f>
        <v>0</v>
      </c>
      <c r="BX199" s="66">
        <f>+IF($W199="","",ROUND((BT199*(Parámetros!$G$86)),2))</f>
        <v>0</v>
      </c>
      <c r="BY199" s="66">
        <f t="shared" si="266"/>
        <v>0</v>
      </c>
      <c r="BZ199" t="str">
        <f t="shared" si="307"/>
        <v>00062</v>
      </c>
      <c r="CA199" t="str">
        <f t="shared" si="308"/>
        <v>Gastos médicos por accidente</v>
      </c>
      <c r="CB199" s="118">
        <f t="shared" si="309"/>
        <v>0</v>
      </c>
      <c r="CC199" s="118" t="str">
        <f t="shared" si="310"/>
        <v>A</v>
      </c>
      <c r="CD199" s="119" t="str">
        <f t="shared" si="267"/>
        <v/>
      </c>
      <c r="CE199" s="66">
        <f>+IF($W199="","",ROUND((VLOOKUP(ROUNDDOWN($D199-1/frec,0),cob_adi,BO$40,FALSE)*(1+i/frec)^-0.5*(1+Parámetros!$D$103)*(1+rec_fracc)/frec*'TABLAS ADI'!$BC$17),2))</f>
        <v>0</v>
      </c>
      <c r="CF199" s="119" t="str">
        <f t="shared" si="268"/>
        <v/>
      </c>
      <c r="CG199" s="66">
        <f>+IF($W199="","",ROUND(IF($B199&gt;Parámetros!$D$107,'Tablas Servicio'!CE199+('Tablas Servicio'!CG198-'Tablas Servicio'!CE198),CE199/(1-IF(B199&lt;=10,Parámetros!$D$100,0))),2))</f>
        <v>0</v>
      </c>
      <c r="CH199" s="66">
        <f t="shared" si="269"/>
        <v>0</v>
      </c>
      <c r="CI199" s="66">
        <f t="shared" si="269"/>
        <v>0</v>
      </c>
      <c r="CJ199" s="66">
        <f>+IF($W199="","",ROUND((CG199*Parámetros!$G$85),2))</f>
        <v>0</v>
      </c>
      <c r="CK199" s="66">
        <f>+IF($W199="","",ROUND((CG199*(Parámetros!$G$86)),2))</f>
        <v>0</v>
      </c>
      <c r="CL199" s="66">
        <f t="shared" si="270"/>
        <v>0</v>
      </c>
      <c r="CM199" t="str">
        <f t="shared" si="311"/>
        <v>00063</v>
      </c>
      <c r="CN199" s="118" t="str">
        <f t="shared" si="312"/>
        <v>Renta Diaria por Hospitalización</v>
      </c>
      <c r="CO199" s="118">
        <f t="shared" si="313"/>
        <v>0</v>
      </c>
      <c r="CP199" s="118" t="str">
        <f t="shared" si="314"/>
        <v>A</v>
      </c>
      <c r="CQ199" s="119" t="str">
        <f t="shared" si="271"/>
        <v/>
      </c>
      <c r="CR199" s="66">
        <f>+IF($W199="","",ROUND((VLOOKUP(Parámetros!$F$51,'COBERTURAS ADICIONALES'!$S$4:$T$32,2,FALSE)*(1+i/frec)^-0.5*(1+Parámetros!$D$103)*(1+rec_fracc)/frec*$CO$42),2))</f>
        <v>0</v>
      </c>
      <c r="CS199" s="119" t="str">
        <f t="shared" si="272"/>
        <v/>
      </c>
      <c r="CT199" s="66">
        <f>+IF($W199="","",ROUND(IF($B199&gt;Parámetros!$D$107,'Tablas Servicio'!CR199+('Tablas Servicio'!CT198-'Tablas Servicio'!CR198),CR199/(1-IF(B199&lt;=10,Parámetros!$D$100,0))),2))</f>
        <v>0</v>
      </c>
      <c r="CU199" s="66">
        <f t="shared" si="273"/>
        <v>0</v>
      </c>
      <c r="CV199" s="66">
        <f t="shared" si="273"/>
        <v>0</v>
      </c>
      <c r="CW199" s="66">
        <f>+IF($W199="","",ROUND((CT199*Parámetros!$G$85),2))</f>
        <v>0</v>
      </c>
      <c r="CX199" s="66">
        <f>+IF($W199="","",ROUND((CT199*(Parámetros!$G$86)),2))</f>
        <v>0</v>
      </c>
      <c r="CY199" s="66">
        <f t="shared" si="274"/>
        <v>0</v>
      </c>
      <c r="CZ199" t="str">
        <f t="shared" si="315"/>
        <v>00064</v>
      </c>
      <c r="DA199" s="118" t="str">
        <f t="shared" si="316"/>
        <v>Enfermedades Graves</v>
      </c>
      <c r="DB199" s="118">
        <f t="shared" si="317"/>
        <v>0</v>
      </c>
      <c r="DC199" s="118" t="str">
        <f t="shared" si="318"/>
        <v>A</v>
      </c>
      <c r="DD199" s="121" t="str">
        <f>+IF(OR($W199="",DB199=0),"",ROUND((VLOOKUP(ROUNDDOWN($D199-1/frec,0),cob_adi,CO$40,FALSE)*(1+i/frec)^-0.5*(1+Parámetros!$D$103)*(1+rec_fracc)/frec),6))</f>
        <v/>
      </c>
      <c r="DE199" s="66">
        <f t="shared" si="275"/>
        <v>0</v>
      </c>
      <c r="DF199" s="119" t="str">
        <f t="shared" si="276"/>
        <v/>
      </c>
      <c r="DG199" s="66">
        <f>+IF($W199="","",ROUND(IF($B199&gt;Parámetros!$D$107,'Tablas Servicio'!DE199+('Tablas Servicio'!DG198-'Tablas Servicio'!DE198),DE199/(1-IF(B199&lt;=10,Parámetros!$D$100,0))),2))</f>
        <v>0</v>
      </c>
      <c r="DH199" s="66">
        <f t="shared" si="277"/>
        <v>0</v>
      </c>
      <c r="DI199" s="66">
        <f t="shared" si="277"/>
        <v>0</v>
      </c>
      <c r="DJ199" s="66">
        <f>+IF($W199="","",ROUND((DG199*Parámetros!$G$85),2))</f>
        <v>0</v>
      </c>
      <c r="DK199" s="66">
        <f>+IF($W199="","",ROUND((DG199*(Parámetros!$G$86)),2))</f>
        <v>0</v>
      </c>
      <c r="DL199" s="66">
        <f t="shared" si="278"/>
        <v>0</v>
      </c>
      <c r="DM199" t="str">
        <f t="shared" si="319"/>
        <v>00065</v>
      </c>
      <c r="DN199" s="118" t="str">
        <f t="shared" si="320"/>
        <v>Exención pago de primas</v>
      </c>
      <c r="DO199" s="118">
        <f t="shared" si="321"/>
        <v>0</v>
      </c>
      <c r="DP199" s="118" t="str">
        <f t="shared" si="322"/>
        <v>A</v>
      </c>
      <c r="DQ199" s="122" t="str">
        <f>+IF(OR($W199="",DO199=0),"",ROUND((VLOOKUP(ROUNDDOWN($D199-1/frec,0),cob_adi,DB$40,FALSE)*(1+i/frec)^-0.5*(1+Parámetros!$D$103)*(1+rec_fracc)/frec),6))</f>
        <v/>
      </c>
      <c r="DR199" s="66">
        <f t="shared" si="279"/>
        <v>0</v>
      </c>
      <c r="DS199" s="68" t="str">
        <f t="shared" si="280"/>
        <v/>
      </c>
      <c r="DT199" s="66">
        <f>+IF($W199="","",ROUND(IF($B199&gt;Parámetros!$D$107,'Tablas Servicio'!DR199+('Tablas Servicio'!DT198-'Tablas Servicio'!DR198),DR199/(1-IF(B199&lt;=10,Parámetros!$D$100,0))),2))</f>
        <v>0</v>
      </c>
      <c r="DU199" s="66">
        <f t="shared" si="281"/>
        <v>0</v>
      </c>
      <c r="DV199" s="66">
        <f t="shared" si="281"/>
        <v>0</v>
      </c>
      <c r="DW199" s="66">
        <f>+IF($W199="","",ROUND((DT199*Parámetros!$G$85),2))</f>
        <v>0</v>
      </c>
      <c r="DX199" s="66">
        <f>+IF($W199="","",ROUND((DT199*(Parámetros!$G$86)),2))</f>
        <v>0</v>
      </c>
      <c r="DY199" s="66">
        <f t="shared" si="282"/>
        <v>0</v>
      </c>
      <c r="DZ199" t="str">
        <f t="shared" si="323"/>
        <v>00066</v>
      </c>
      <c r="EA199" s="118" t="str">
        <f t="shared" si="323"/>
        <v>Enfermedad terminal</v>
      </c>
      <c r="EB199" s="118">
        <f>+IF($W199="","",ROUND(IF(Parámetros!$D$25='TABLAS MORT'!$V$33,EB198,Z199/2),0))</f>
        <v>50000</v>
      </c>
      <c r="EC199" s="118" t="str">
        <f t="shared" si="323"/>
        <v>A</v>
      </c>
      <c r="ED199" s="122">
        <f>+IF(OR($W199="",EB199=0),"",ROUND((VLOOKUP(ROUNDDOWN($D199-1/frec,0),cob_adi,DO$40,FALSE)*(1+i/frec)^-0.5*(1+Parámetros!$D$103)*(1+rec_fracc)/frec),6))</f>
        <v>1.8E-5</v>
      </c>
      <c r="EE199" s="66">
        <f t="shared" si="284"/>
        <v>0.9</v>
      </c>
      <c r="EF199" s="68">
        <f t="shared" si="285"/>
        <v>1.8E-5</v>
      </c>
      <c r="EG199" s="66">
        <f>+IF($W199="","",ROUND(IF($B199&gt;Parámetros!$D$107,'Tablas Servicio'!EE199+('Tablas Servicio'!EG198-'Tablas Servicio'!EE198),EE199/(1-IF(B199&lt;=10,Parámetros!$D$100,0))),2))</f>
        <v>0.9</v>
      </c>
      <c r="EH199" s="66">
        <f t="shared" si="286"/>
        <v>0</v>
      </c>
      <c r="EI199" s="66">
        <f t="shared" si="286"/>
        <v>0</v>
      </c>
      <c r="EJ199" s="66">
        <f>+IF($W199="","",ROUND((EG199*Parámetros!$G$85),2))</f>
        <v>0.03</v>
      </c>
      <c r="EK199" s="66">
        <f>+IF($W199="","",ROUND((EG199*(Parámetros!$G$86)),2))</f>
        <v>0</v>
      </c>
      <c r="EL199" s="66">
        <f t="shared" si="287"/>
        <v>0.93</v>
      </c>
    </row>
    <row r="200" spans="1:142" x14ac:dyDescent="0.25">
      <c r="A200">
        <f>+IF($C200="","",ROUND(VLOOKUP('Tablas Servicio'!B200,Parámetros!$H$100:$J$159,IF(Parámetros!$E$16="F",2,3),FALSE),2))</f>
        <v>150</v>
      </c>
      <c r="B200">
        <f t="shared" si="238"/>
        <v>14</v>
      </c>
      <c r="C200" s="57">
        <f>+IF(D200="","",'Tablas Servicio'!C199+1)</f>
        <v>159</v>
      </c>
      <c r="D200" s="56">
        <f>+IF(D199&lt;edadmaxtabla,D199+1/Parámetros!$E$25,"")</f>
        <v>53.27000000000038</v>
      </c>
      <c r="E200" s="57">
        <f t="shared" si="248"/>
        <v>53</v>
      </c>
      <c r="F200" s="59">
        <f t="shared" si="249"/>
        <v>100000</v>
      </c>
      <c r="G200" s="66">
        <f t="shared" si="239"/>
        <v>41.199999999999996</v>
      </c>
      <c r="H200" s="66">
        <f t="shared" si="240"/>
        <v>42.839999999999996</v>
      </c>
      <c r="I200" s="66">
        <f t="shared" si="288"/>
        <v>51.160000000000004</v>
      </c>
      <c r="J200" s="66">
        <f t="shared" si="241"/>
        <v>1.44</v>
      </c>
      <c r="K200" s="66">
        <f t="shared" si="242"/>
        <v>0.2</v>
      </c>
      <c r="L200" s="66">
        <f t="shared" si="243"/>
        <v>0</v>
      </c>
      <c r="M200" s="66">
        <f t="shared" si="244"/>
        <v>0</v>
      </c>
      <c r="N200" s="66">
        <f>+IF(C200="","",ROUND(Parámetros!$D$23,2))</f>
        <v>94</v>
      </c>
      <c r="O200" s="66">
        <f t="shared" si="245"/>
        <v>28.7</v>
      </c>
      <c r="P200" s="66">
        <f>+IF($C200="","",ROUND(IF(B200&gt;Parámetros!$D$117,0,N200*Parámetros!$D$116-G200*Parámetros!$D$100),2))</f>
        <v>0</v>
      </c>
      <c r="Q200" s="75">
        <f t="shared" si="289"/>
        <v>3.4951456310679613E-2</v>
      </c>
      <c r="R200" s="75">
        <f t="shared" si="290"/>
        <v>4.8543689320388354E-3</v>
      </c>
      <c r="S200" s="117">
        <f>+IF($C200="","",ROUND((S199+I200)*(1+Parámetros!$D$91),2))</f>
        <v>10998.75</v>
      </c>
      <c r="T200" s="117">
        <f>+IF($C200="","",ROUND(S200*VLOOKUP(B200,Parámetros!$C$30:$D$39,2,TRUE),2))</f>
        <v>10998.75</v>
      </c>
      <c r="U200" s="117">
        <f>+IF($C200="","",ROUND((U199+I200)*(1+Parámetros!$D$92),2))</f>
        <v>11399.43</v>
      </c>
      <c r="V200" s="117">
        <f>+IF($C200="","",ROUND(U200*VLOOKUP(B200,Parámetros!$C$30:$D$39,2,TRUE),2))</f>
        <v>11399.43</v>
      </c>
      <c r="W200" s="57">
        <f t="shared" si="291"/>
        <v>159</v>
      </c>
      <c r="X200" t="str">
        <f t="shared" si="292"/>
        <v>00058</v>
      </c>
      <c r="Y200" t="str">
        <f t="shared" si="293"/>
        <v>MUERTE POR CUALQUIER CAUSA</v>
      </c>
      <c r="Z200" s="118">
        <f>+IF($W200="","",ROUND(IF(Parámetros!$D$25='TABLAS MORT'!$V$33,Z199,Parámetros!$D$21-'Tablas Servicio'!T199),0))</f>
        <v>100000</v>
      </c>
      <c r="AA200" s="118" t="str">
        <f t="shared" si="294"/>
        <v>P</v>
      </c>
      <c r="AB200" s="119">
        <f>+IF(W200="","",ROUND((VLOOKUP(ROUNDDOWN($D200-1/frec,0),qx_tabla,2,FALSE)*(1+i/frec)^-0.5*(1+Parámetros!$D$103)*(1+rec_fracc)/frec),6))</f>
        <v>2.7799999999999998E-4</v>
      </c>
      <c r="AC200" s="66">
        <f t="shared" si="250"/>
        <v>27.8</v>
      </c>
      <c r="AD200" s="119">
        <f t="shared" si="246"/>
        <v>4.0299999999999998E-4</v>
      </c>
      <c r="AE200" s="66">
        <f>+IF($W200="","",ROUND(IF($B200&gt;Parámetros!$D$107,'Tablas Servicio'!AC200+('Tablas Servicio'!AG199-'Tablas Servicio'!AC199),AC200/(1-IF(B200&lt;=10,Parámetros!$D$104,Parámetros!$D$105))),2))</f>
        <v>46.33</v>
      </c>
      <c r="AF200" s="66">
        <f>+IF($W200="","",ROUND(IF($B200&gt;Parámetros!$D$107,'Tablas Servicio'!AC200+('Tablas Servicio'!AG199-'Tablas Servicio'!AC199),(AC200+$A199/frec)/(1-IF(B200&lt;=Parámetros!$D$117,Parámetros!$D$100,0))),2))</f>
        <v>40.299999999999997</v>
      </c>
      <c r="AG200" s="66">
        <f t="shared" si="251"/>
        <v>40.299999999999997</v>
      </c>
      <c r="AH200" s="66">
        <f t="shared" si="252"/>
        <v>0</v>
      </c>
      <c r="AI200" s="66">
        <f t="shared" si="253"/>
        <v>0</v>
      </c>
      <c r="AJ200" s="66">
        <f>+IF($W200="","",ROUND((AG200*Parámetros!$G$85),2))</f>
        <v>1.41</v>
      </c>
      <c r="AK200" s="66">
        <f>+IF($W200="","",ROUND((AG200*(Parámetros!$G$86)),2))</f>
        <v>0.2</v>
      </c>
      <c r="AL200" s="66">
        <f t="shared" si="247"/>
        <v>41.91</v>
      </c>
      <c r="AM200" t="str">
        <f t="shared" si="295"/>
        <v>00059</v>
      </c>
      <c r="AN200" t="str">
        <f t="shared" si="296"/>
        <v>Incapacidad Total y Permanente</v>
      </c>
      <c r="AO200" s="118">
        <f t="shared" si="297"/>
        <v>0</v>
      </c>
      <c r="AP200" s="118" t="str">
        <f t="shared" si="298"/>
        <v>A</v>
      </c>
      <c r="AQ200" s="119" t="str">
        <f>+IF(OR($W200="",AO200=0),"",ROUND((VLOOKUP(ROUNDDOWN($D200-1/frec,0),cob_adi,Z$40,FALSE)*(1+i/frec)^-0.5*(1+Parámetros!$D$103)*(1+rec_fracc)/frec),6))</f>
        <v/>
      </c>
      <c r="AR200" s="66">
        <f t="shared" si="254"/>
        <v>0</v>
      </c>
      <c r="AS200" s="119" t="str">
        <f t="shared" si="255"/>
        <v/>
      </c>
      <c r="AT200" s="66">
        <f>+IF($W200="","",ROUND(IF($B200&gt;Parámetros!$D$107,'Tablas Servicio'!AR200+('Tablas Servicio'!AT199-'Tablas Servicio'!AR199),AR200/(1-IF(B200&lt;=10,Parámetros!$D$100,0))),2))</f>
        <v>0</v>
      </c>
      <c r="AU200" s="66">
        <f t="shared" si="256"/>
        <v>0</v>
      </c>
      <c r="AV200" s="66">
        <f t="shared" si="256"/>
        <v>0</v>
      </c>
      <c r="AW200" s="66">
        <f>+IF($W200="","",ROUND((AT200*Parámetros!$G$85),2))</f>
        <v>0</v>
      </c>
      <c r="AX200" s="66">
        <f>+IF($W200="","",ROUND((AT200*(Parámetros!$G$86)),2))</f>
        <v>0</v>
      </c>
      <c r="AY200" s="66">
        <f t="shared" si="257"/>
        <v>0</v>
      </c>
      <c r="AZ200" t="str">
        <f t="shared" si="299"/>
        <v>00060</v>
      </c>
      <c r="BA200" t="str">
        <f t="shared" si="300"/>
        <v>Muerte Accidental</v>
      </c>
      <c r="BB200" s="118">
        <f t="shared" si="301"/>
        <v>0</v>
      </c>
      <c r="BC200" s="118" t="str">
        <f t="shared" si="302"/>
        <v>A</v>
      </c>
      <c r="BD200" s="119" t="str">
        <f>+IF(OR($W200="",BB200=0),"",ROUND((VLOOKUP(ROUNDDOWN($D200-1/frec,0),cob_adi,AO$40,FALSE)*(1+i/frec)^-0.5*(1+Parámetros!$D$103)*(1+rec_fracc)/frec),6))</f>
        <v/>
      </c>
      <c r="BE200" s="66">
        <f t="shared" si="258"/>
        <v>0</v>
      </c>
      <c r="BF200" s="119" t="str">
        <f t="shared" si="259"/>
        <v/>
      </c>
      <c r="BG200" s="66">
        <f>+IF($W200="","",ROUND(IF($B200&gt;Parámetros!$D$107,'Tablas Servicio'!BE200+('Tablas Servicio'!BG199-'Tablas Servicio'!BE199),BE200/(1-IF(B200&lt;=10,Parámetros!$D$100,0))),2))</f>
        <v>0</v>
      </c>
      <c r="BH200" s="66">
        <f t="shared" si="260"/>
        <v>0</v>
      </c>
      <c r="BI200" s="66">
        <f t="shared" si="261"/>
        <v>0</v>
      </c>
      <c r="BJ200" s="66">
        <f>+IF($W200="","",ROUND((BG200*Parámetros!$G$85),2))</f>
        <v>0</v>
      </c>
      <c r="BK200" s="66">
        <f>+IF($W200="","",ROUND((BG200*(Parámetros!$G$86)),2))</f>
        <v>0</v>
      </c>
      <c r="BL200" s="66">
        <f t="shared" si="262"/>
        <v>0</v>
      </c>
      <c r="BM200" t="str">
        <f t="shared" si="303"/>
        <v>00061</v>
      </c>
      <c r="BN200" t="str">
        <f t="shared" si="304"/>
        <v>Gastos de Entierro</v>
      </c>
      <c r="BO200" s="118">
        <f t="shared" si="305"/>
        <v>0</v>
      </c>
      <c r="BP200" s="118" t="str">
        <f t="shared" si="306"/>
        <v>A</v>
      </c>
      <c r="BQ200" s="119" t="str">
        <f>+IF(OR($W200="",BO200=0),"",ROUND((VLOOKUP(ROUNDDOWN($D200-1/frec,0),cob_adi,BB$40,FALSE)*(1+i/frec)^-0.5*(1+Parámetros!$D$103)*(1+rec_fracc)/frec),6))</f>
        <v/>
      </c>
      <c r="BR200" s="66">
        <f t="shared" si="263"/>
        <v>0</v>
      </c>
      <c r="BS200" s="119" t="str">
        <f t="shared" si="264"/>
        <v/>
      </c>
      <c r="BT200" s="66">
        <f>+IF($W200="","",ROUND(IF($B200&gt;Parámetros!$D$107,'Tablas Servicio'!BR200+('Tablas Servicio'!BT199-'Tablas Servicio'!BR199),BR200/(1-IF(B200&lt;=10,Parámetros!$D$100,0))),2))</f>
        <v>0</v>
      </c>
      <c r="BU200" s="66">
        <f t="shared" si="265"/>
        <v>0</v>
      </c>
      <c r="BV200" s="66">
        <f t="shared" si="265"/>
        <v>0</v>
      </c>
      <c r="BW200" s="66">
        <f>+IF($W200="","",ROUND((BT200*Parámetros!$G$85),2))</f>
        <v>0</v>
      </c>
      <c r="BX200" s="66">
        <f>+IF($W200="","",ROUND((BT200*(Parámetros!$G$86)),2))</f>
        <v>0</v>
      </c>
      <c r="BY200" s="66">
        <f t="shared" si="266"/>
        <v>0</v>
      </c>
      <c r="BZ200" t="str">
        <f t="shared" si="307"/>
        <v>00062</v>
      </c>
      <c r="CA200" t="str">
        <f t="shared" si="308"/>
        <v>Gastos médicos por accidente</v>
      </c>
      <c r="CB200" s="118">
        <f t="shared" si="309"/>
        <v>0</v>
      </c>
      <c r="CC200" s="118" t="str">
        <f t="shared" si="310"/>
        <v>A</v>
      </c>
      <c r="CD200" s="119" t="str">
        <f t="shared" si="267"/>
        <v/>
      </c>
      <c r="CE200" s="66">
        <f>+IF($W200="","",ROUND((VLOOKUP(ROUNDDOWN($D200-1/frec,0),cob_adi,BO$40,FALSE)*(1+i/frec)^-0.5*(1+Parámetros!$D$103)*(1+rec_fracc)/frec*'TABLAS ADI'!$BC$17),2))</f>
        <v>0</v>
      </c>
      <c r="CF200" s="119" t="str">
        <f t="shared" si="268"/>
        <v/>
      </c>
      <c r="CG200" s="66">
        <f>+IF($W200="","",ROUND(IF($B200&gt;Parámetros!$D$107,'Tablas Servicio'!CE200+('Tablas Servicio'!CG199-'Tablas Servicio'!CE199),CE200/(1-IF(B200&lt;=10,Parámetros!$D$100,0))),2))</f>
        <v>0</v>
      </c>
      <c r="CH200" s="66">
        <f t="shared" si="269"/>
        <v>0</v>
      </c>
      <c r="CI200" s="66">
        <f t="shared" si="269"/>
        <v>0</v>
      </c>
      <c r="CJ200" s="66">
        <f>+IF($W200="","",ROUND((CG200*Parámetros!$G$85),2))</f>
        <v>0</v>
      </c>
      <c r="CK200" s="66">
        <f>+IF($W200="","",ROUND((CG200*(Parámetros!$G$86)),2))</f>
        <v>0</v>
      </c>
      <c r="CL200" s="66">
        <f t="shared" si="270"/>
        <v>0</v>
      </c>
      <c r="CM200" t="str">
        <f t="shared" si="311"/>
        <v>00063</v>
      </c>
      <c r="CN200" s="118" t="str">
        <f t="shared" si="312"/>
        <v>Renta Diaria por Hospitalización</v>
      </c>
      <c r="CO200" s="118">
        <f t="shared" si="313"/>
        <v>0</v>
      </c>
      <c r="CP200" s="118" t="str">
        <f t="shared" si="314"/>
        <v>A</v>
      </c>
      <c r="CQ200" s="119" t="str">
        <f t="shared" si="271"/>
        <v/>
      </c>
      <c r="CR200" s="66">
        <f>+IF($W200="","",ROUND((VLOOKUP(Parámetros!$F$51,'COBERTURAS ADICIONALES'!$S$4:$T$32,2,FALSE)*(1+i/frec)^-0.5*(1+Parámetros!$D$103)*(1+rec_fracc)/frec*$CO$42),2))</f>
        <v>0</v>
      </c>
      <c r="CS200" s="119" t="str">
        <f t="shared" si="272"/>
        <v/>
      </c>
      <c r="CT200" s="66">
        <f>+IF($W200="","",ROUND(IF($B200&gt;Parámetros!$D$107,'Tablas Servicio'!CR200+('Tablas Servicio'!CT199-'Tablas Servicio'!CR199),CR200/(1-IF(B200&lt;=10,Parámetros!$D$100,0))),2))</f>
        <v>0</v>
      </c>
      <c r="CU200" s="66">
        <f t="shared" si="273"/>
        <v>0</v>
      </c>
      <c r="CV200" s="66">
        <f t="shared" si="273"/>
        <v>0</v>
      </c>
      <c r="CW200" s="66">
        <f>+IF($W200="","",ROUND((CT200*Parámetros!$G$85),2))</f>
        <v>0</v>
      </c>
      <c r="CX200" s="66">
        <f>+IF($W200="","",ROUND((CT200*(Parámetros!$G$86)),2))</f>
        <v>0</v>
      </c>
      <c r="CY200" s="66">
        <f t="shared" si="274"/>
        <v>0</v>
      </c>
      <c r="CZ200" t="str">
        <f t="shared" si="315"/>
        <v>00064</v>
      </c>
      <c r="DA200" s="118" t="str">
        <f t="shared" si="316"/>
        <v>Enfermedades Graves</v>
      </c>
      <c r="DB200" s="118">
        <f t="shared" si="317"/>
        <v>0</v>
      </c>
      <c r="DC200" s="118" t="str">
        <f t="shared" si="318"/>
        <v>A</v>
      </c>
      <c r="DD200" s="121" t="str">
        <f>+IF(OR($W200="",DB200=0),"",ROUND((VLOOKUP(ROUNDDOWN($D200-1/frec,0),cob_adi,CO$40,FALSE)*(1+i/frec)^-0.5*(1+Parámetros!$D$103)*(1+rec_fracc)/frec),6))</f>
        <v/>
      </c>
      <c r="DE200" s="66">
        <f t="shared" si="275"/>
        <v>0</v>
      </c>
      <c r="DF200" s="119" t="str">
        <f t="shared" si="276"/>
        <v/>
      </c>
      <c r="DG200" s="66">
        <f>+IF($W200="","",ROUND(IF($B200&gt;Parámetros!$D$107,'Tablas Servicio'!DE200+('Tablas Servicio'!DG199-'Tablas Servicio'!DE199),DE200/(1-IF(B200&lt;=10,Parámetros!$D$100,0))),2))</f>
        <v>0</v>
      </c>
      <c r="DH200" s="66">
        <f t="shared" si="277"/>
        <v>0</v>
      </c>
      <c r="DI200" s="66">
        <f t="shared" si="277"/>
        <v>0</v>
      </c>
      <c r="DJ200" s="66">
        <f>+IF($W200="","",ROUND((DG200*Parámetros!$G$85),2))</f>
        <v>0</v>
      </c>
      <c r="DK200" s="66">
        <f>+IF($W200="","",ROUND((DG200*(Parámetros!$G$86)),2))</f>
        <v>0</v>
      </c>
      <c r="DL200" s="66">
        <f t="shared" si="278"/>
        <v>0</v>
      </c>
      <c r="DM200" t="str">
        <f t="shared" si="319"/>
        <v>00065</v>
      </c>
      <c r="DN200" s="118" t="str">
        <f t="shared" si="320"/>
        <v>Exención pago de primas</v>
      </c>
      <c r="DO200" s="118">
        <f t="shared" si="321"/>
        <v>0</v>
      </c>
      <c r="DP200" s="118" t="str">
        <f t="shared" si="322"/>
        <v>A</v>
      </c>
      <c r="DQ200" s="122" t="str">
        <f>+IF(OR($W200="",DO200=0),"",ROUND((VLOOKUP(ROUNDDOWN($D200-1/frec,0),cob_adi,DB$40,FALSE)*(1+i/frec)^-0.5*(1+Parámetros!$D$103)*(1+rec_fracc)/frec),6))</f>
        <v/>
      </c>
      <c r="DR200" s="66">
        <f t="shared" si="279"/>
        <v>0</v>
      </c>
      <c r="DS200" s="68" t="str">
        <f t="shared" si="280"/>
        <v/>
      </c>
      <c r="DT200" s="66">
        <f>+IF($W200="","",ROUND(IF($B200&gt;Parámetros!$D$107,'Tablas Servicio'!DR200+('Tablas Servicio'!DT199-'Tablas Servicio'!DR199),DR200/(1-IF(B200&lt;=10,Parámetros!$D$100,0))),2))</f>
        <v>0</v>
      </c>
      <c r="DU200" s="66">
        <f t="shared" si="281"/>
        <v>0</v>
      </c>
      <c r="DV200" s="66">
        <f t="shared" si="281"/>
        <v>0</v>
      </c>
      <c r="DW200" s="66">
        <f>+IF($W200="","",ROUND((DT200*Parámetros!$G$85),2))</f>
        <v>0</v>
      </c>
      <c r="DX200" s="66">
        <f>+IF($W200="","",ROUND((DT200*(Parámetros!$G$86)),2))</f>
        <v>0</v>
      </c>
      <c r="DY200" s="66">
        <f t="shared" si="282"/>
        <v>0</v>
      </c>
      <c r="DZ200" t="str">
        <f t="shared" si="323"/>
        <v>00066</v>
      </c>
      <c r="EA200" s="118" t="str">
        <f t="shared" si="323"/>
        <v>Enfermedad terminal</v>
      </c>
      <c r="EB200" s="118">
        <f>+IF($W200="","",ROUND(IF(Parámetros!$D$25='TABLAS MORT'!$V$33,EB199,Z200/2),0))</f>
        <v>50000</v>
      </c>
      <c r="EC200" s="118" t="str">
        <f t="shared" si="323"/>
        <v>A</v>
      </c>
      <c r="ED200" s="122">
        <f>+IF(OR($W200="",EB200=0),"",ROUND((VLOOKUP(ROUNDDOWN($D200-1/frec,0),cob_adi,DO$40,FALSE)*(1+i/frec)^-0.5*(1+Parámetros!$D$103)*(1+rec_fracc)/frec),6))</f>
        <v>1.8E-5</v>
      </c>
      <c r="EE200" s="66">
        <f t="shared" si="284"/>
        <v>0.9</v>
      </c>
      <c r="EF200" s="68">
        <f t="shared" si="285"/>
        <v>1.8E-5</v>
      </c>
      <c r="EG200" s="66">
        <f>+IF($W200="","",ROUND(IF($B200&gt;Parámetros!$D$107,'Tablas Servicio'!EE200+('Tablas Servicio'!EG199-'Tablas Servicio'!EE199),EE200/(1-IF(B200&lt;=10,Parámetros!$D$100,0))),2))</f>
        <v>0.9</v>
      </c>
      <c r="EH200" s="66">
        <f t="shared" si="286"/>
        <v>0</v>
      </c>
      <c r="EI200" s="66">
        <f t="shared" si="286"/>
        <v>0</v>
      </c>
      <c r="EJ200" s="66">
        <f>+IF($W200="","",ROUND((EG200*Parámetros!$G$85),2))</f>
        <v>0.03</v>
      </c>
      <c r="EK200" s="66">
        <f>+IF($W200="","",ROUND((EG200*(Parámetros!$G$86)),2))</f>
        <v>0</v>
      </c>
      <c r="EL200" s="66">
        <f t="shared" si="287"/>
        <v>0.93</v>
      </c>
    </row>
    <row r="201" spans="1:142" x14ac:dyDescent="0.25">
      <c r="A201">
        <f>+IF($C201="","",ROUND(VLOOKUP('Tablas Servicio'!B201,Parámetros!$H$100:$J$159,IF(Parámetros!$E$16="F",2,3),FALSE),2))</f>
        <v>150</v>
      </c>
      <c r="B201">
        <f t="shared" si="238"/>
        <v>14</v>
      </c>
      <c r="C201" s="57">
        <f>+IF(D201="","",'Tablas Servicio'!C200+1)</f>
        <v>160</v>
      </c>
      <c r="D201" s="56">
        <f>+IF(D200&lt;edadmaxtabla,D200+1/Parámetros!$E$25,"")</f>
        <v>53.353333333333715</v>
      </c>
      <c r="E201" s="57">
        <f t="shared" si="248"/>
        <v>53</v>
      </c>
      <c r="F201" s="59">
        <f t="shared" si="249"/>
        <v>100000</v>
      </c>
      <c r="G201" s="66">
        <f t="shared" si="239"/>
        <v>41.199999999999996</v>
      </c>
      <c r="H201" s="66">
        <f t="shared" si="240"/>
        <v>42.839999999999996</v>
      </c>
      <c r="I201" s="66">
        <f t="shared" si="288"/>
        <v>51.160000000000004</v>
      </c>
      <c r="J201" s="66">
        <f t="shared" si="241"/>
        <v>1.44</v>
      </c>
      <c r="K201" s="66">
        <f t="shared" si="242"/>
        <v>0.2</v>
      </c>
      <c r="L201" s="66">
        <f t="shared" si="243"/>
        <v>0</v>
      </c>
      <c r="M201" s="66">
        <f t="shared" si="244"/>
        <v>0</v>
      </c>
      <c r="N201" s="66">
        <f>+IF(C201="","",ROUND(Parámetros!$D$23,2))</f>
        <v>94</v>
      </c>
      <c r="O201" s="66">
        <f t="shared" si="245"/>
        <v>28.7</v>
      </c>
      <c r="P201" s="66">
        <f>+IF($C201="","",ROUND(IF(B201&gt;Parámetros!$D$117,0,N201*Parámetros!$D$116-G201*Parámetros!$D$100),2))</f>
        <v>0</v>
      </c>
      <c r="Q201" s="75">
        <f t="shared" si="289"/>
        <v>3.4951456310679613E-2</v>
      </c>
      <c r="R201" s="75">
        <f t="shared" si="290"/>
        <v>4.8543689320388354E-3</v>
      </c>
      <c r="S201" s="117">
        <f>+IF($C201="","",ROUND((S200+I201)*(1+Parámetros!$D$91),2))</f>
        <v>11081.25</v>
      </c>
      <c r="T201" s="117">
        <f>+IF($C201="","",ROUND(S201*VLOOKUP(B201,Parámetros!$C$30:$D$39,2,TRUE),2))</f>
        <v>11081.25</v>
      </c>
      <c r="U201" s="117">
        <f>+IF($C201="","",ROUND((U200+I201)*(1+Parámetros!$D$92),2))</f>
        <v>11487.71</v>
      </c>
      <c r="V201" s="117">
        <f>+IF($C201="","",ROUND(U201*VLOOKUP(B201,Parámetros!$C$30:$D$39,2,TRUE),2))</f>
        <v>11487.71</v>
      </c>
      <c r="W201" s="57">
        <f t="shared" si="291"/>
        <v>160</v>
      </c>
      <c r="X201" t="str">
        <f t="shared" si="292"/>
        <v>00058</v>
      </c>
      <c r="Y201" t="str">
        <f t="shared" si="293"/>
        <v>MUERTE POR CUALQUIER CAUSA</v>
      </c>
      <c r="Z201" s="118">
        <f>+IF($W201="","",ROUND(IF(Parámetros!$D$25='TABLAS MORT'!$V$33,Z200,Parámetros!$D$21-'Tablas Servicio'!T200),0))</f>
        <v>100000</v>
      </c>
      <c r="AA201" s="118" t="str">
        <f t="shared" si="294"/>
        <v>P</v>
      </c>
      <c r="AB201" s="119">
        <f>+IF(W201="","",ROUND((VLOOKUP(ROUNDDOWN($D201-1/frec,0),qx_tabla,2,FALSE)*(1+i/frec)^-0.5*(1+Parámetros!$D$103)*(1+rec_fracc)/frec),6))</f>
        <v>2.7799999999999998E-4</v>
      </c>
      <c r="AC201" s="66">
        <f t="shared" si="250"/>
        <v>27.8</v>
      </c>
      <c r="AD201" s="119">
        <f t="shared" si="246"/>
        <v>4.0299999999999998E-4</v>
      </c>
      <c r="AE201" s="66">
        <f>+IF($W201="","",ROUND(IF($B201&gt;Parámetros!$D$107,'Tablas Servicio'!AC201+('Tablas Servicio'!AG200-'Tablas Servicio'!AC200),AC201/(1-IF(B201&lt;=10,Parámetros!$D$104,Parámetros!$D$105))),2))</f>
        <v>46.33</v>
      </c>
      <c r="AF201" s="66">
        <f>+IF($W201="","",ROUND(IF($B201&gt;Parámetros!$D$107,'Tablas Servicio'!AC201+('Tablas Servicio'!AG200-'Tablas Servicio'!AC200),(AC201+$A200/frec)/(1-IF(B201&lt;=Parámetros!$D$117,Parámetros!$D$100,0))),2))</f>
        <v>40.299999999999997</v>
      </c>
      <c r="AG201" s="66">
        <f t="shared" si="251"/>
        <v>40.299999999999997</v>
      </c>
      <c r="AH201" s="66">
        <f t="shared" si="252"/>
        <v>0</v>
      </c>
      <c r="AI201" s="66">
        <f t="shared" si="253"/>
        <v>0</v>
      </c>
      <c r="AJ201" s="66">
        <f>+IF($W201="","",ROUND((AG201*Parámetros!$G$85),2))</f>
        <v>1.41</v>
      </c>
      <c r="AK201" s="66">
        <f>+IF($W201="","",ROUND((AG201*(Parámetros!$G$86)),2))</f>
        <v>0.2</v>
      </c>
      <c r="AL201" s="66">
        <f t="shared" si="247"/>
        <v>41.91</v>
      </c>
      <c r="AM201" t="str">
        <f t="shared" si="295"/>
        <v>00059</v>
      </c>
      <c r="AN201" t="str">
        <f t="shared" si="296"/>
        <v>Incapacidad Total y Permanente</v>
      </c>
      <c r="AO201" s="118">
        <f t="shared" si="297"/>
        <v>0</v>
      </c>
      <c r="AP201" s="118" t="str">
        <f t="shared" si="298"/>
        <v>A</v>
      </c>
      <c r="AQ201" s="119" t="str">
        <f>+IF(OR($W201="",AO201=0),"",ROUND((VLOOKUP(ROUNDDOWN($D201-1/frec,0),cob_adi,Z$40,FALSE)*(1+i/frec)^-0.5*(1+Parámetros!$D$103)*(1+rec_fracc)/frec),6))</f>
        <v/>
      </c>
      <c r="AR201" s="66">
        <f t="shared" si="254"/>
        <v>0</v>
      </c>
      <c r="AS201" s="119" t="str">
        <f t="shared" si="255"/>
        <v/>
      </c>
      <c r="AT201" s="66">
        <f>+IF($W201="","",ROUND(IF($B201&gt;Parámetros!$D$107,'Tablas Servicio'!AR201+('Tablas Servicio'!AT200-'Tablas Servicio'!AR200),AR201/(1-IF(B201&lt;=10,Parámetros!$D$100,0))),2))</f>
        <v>0</v>
      </c>
      <c r="AU201" s="66">
        <f t="shared" si="256"/>
        <v>0</v>
      </c>
      <c r="AV201" s="66">
        <f t="shared" si="256"/>
        <v>0</v>
      </c>
      <c r="AW201" s="66">
        <f>+IF($W201="","",ROUND((AT201*Parámetros!$G$85),2))</f>
        <v>0</v>
      </c>
      <c r="AX201" s="66">
        <f>+IF($W201="","",ROUND((AT201*(Parámetros!$G$86)),2))</f>
        <v>0</v>
      </c>
      <c r="AY201" s="66">
        <f t="shared" si="257"/>
        <v>0</v>
      </c>
      <c r="AZ201" t="str">
        <f t="shared" si="299"/>
        <v>00060</v>
      </c>
      <c r="BA201" t="str">
        <f t="shared" si="300"/>
        <v>Muerte Accidental</v>
      </c>
      <c r="BB201" s="118">
        <f t="shared" si="301"/>
        <v>0</v>
      </c>
      <c r="BC201" s="118" t="str">
        <f t="shared" si="302"/>
        <v>A</v>
      </c>
      <c r="BD201" s="119" t="str">
        <f>+IF(OR($W201="",BB201=0),"",ROUND((VLOOKUP(ROUNDDOWN($D201-1/frec,0),cob_adi,AO$40,FALSE)*(1+i/frec)^-0.5*(1+Parámetros!$D$103)*(1+rec_fracc)/frec),6))</f>
        <v/>
      </c>
      <c r="BE201" s="66">
        <f t="shared" si="258"/>
        <v>0</v>
      </c>
      <c r="BF201" s="119" t="str">
        <f t="shared" si="259"/>
        <v/>
      </c>
      <c r="BG201" s="66">
        <f>+IF($W201="","",ROUND(IF($B201&gt;Parámetros!$D$107,'Tablas Servicio'!BE201+('Tablas Servicio'!BG200-'Tablas Servicio'!BE200),BE201/(1-IF(B201&lt;=10,Parámetros!$D$100,0))),2))</f>
        <v>0</v>
      </c>
      <c r="BH201" s="66">
        <f t="shared" si="260"/>
        <v>0</v>
      </c>
      <c r="BI201" s="66">
        <f t="shared" si="261"/>
        <v>0</v>
      </c>
      <c r="BJ201" s="66">
        <f>+IF($W201="","",ROUND((BG201*Parámetros!$G$85),2))</f>
        <v>0</v>
      </c>
      <c r="BK201" s="66">
        <f>+IF($W201="","",ROUND((BG201*(Parámetros!$G$86)),2))</f>
        <v>0</v>
      </c>
      <c r="BL201" s="66">
        <f t="shared" si="262"/>
        <v>0</v>
      </c>
      <c r="BM201" t="str">
        <f t="shared" si="303"/>
        <v>00061</v>
      </c>
      <c r="BN201" t="str">
        <f t="shared" si="304"/>
        <v>Gastos de Entierro</v>
      </c>
      <c r="BO201" s="118">
        <f t="shared" si="305"/>
        <v>0</v>
      </c>
      <c r="BP201" s="118" t="str">
        <f t="shared" si="306"/>
        <v>A</v>
      </c>
      <c r="BQ201" s="119" t="str">
        <f>+IF(OR($W201="",BO201=0),"",ROUND((VLOOKUP(ROUNDDOWN($D201-1/frec,0),cob_adi,BB$40,FALSE)*(1+i/frec)^-0.5*(1+Parámetros!$D$103)*(1+rec_fracc)/frec),6))</f>
        <v/>
      </c>
      <c r="BR201" s="66">
        <f t="shared" si="263"/>
        <v>0</v>
      </c>
      <c r="BS201" s="119" t="str">
        <f t="shared" si="264"/>
        <v/>
      </c>
      <c r="BT201" s="66">
        <f>+IF($W201="","",ROUND(IF($B201&gt;Parámetros!$D$107,'Tablas Servicio'!BR201+('Tablas Servicio'!BT200-'Tablas Servicio'!BR200),BR201/(1-IF(B201&lt;=10,Parámetros!$D$100,0))),2))</f>
        <v>0</v>
      </c>
      <c r="BU201" s="66">
        <f t="shared" si="265"/>
        <v>0</v>
      </c>
      <c r="BV201" s="66">
        <f t="shared" si="265"/>
        <v>0</v>
      </c>
      <c r="BW201" s="66">
        <f>+IF($W201="","",ROUND((BT201*Parámetros!$G$85),2))</f>
        <v>0</v>
      </c>
      <c r="BX201" s="66">
        <f>+IF($W201="","",ROUND((BT201*(Parámetros!$G$86)),2))</f>
        <v>0</v>
      </c>
      <c r="BY201" s="66">
        <f t="shared" si="266"/>
        <v>0</v>
      </c>
      <c r="BZ201" t="str">
        <f t="shared" si="307"/>
        <v>00062</v>
      </c>
      <c r="CA201" t="str">
        <f t="shared" si="308"/>
        <v>Gastos médicos por accidente</v>
      </c>
      <c r="CB201" s="118">
        <f t="shared" si="309"/>
        <v>0</v>
      </c>
      <c r="CC201" s="118" t="str">
        <f t="shared" si="310"/>
        <v>A</v>
      </c>
      <c r="CD201" s="119" t="str">
        <f t="shared" si="267"/>
        <v/>
      </c>
      <c r="CE201" s="66">
        <f>+IF($W201="","",ROUND((VLOOKUP(ROUNDDOWN($D201-1/frec,0),cob_adi,BO$40,FALSE)*(1+i/frec)^-0.5*(1+Parámetros!$D$103)*(1+rec_fracc)/frec*'TABLAS ADI'!$BC$17),2))</f>
        <v>0</v>
      </c>
      <c r="CF201" s="119" t="str">
        <f t="shared" si="268"/>
        <v/>
      </c>
      <c r="CG201" s="66">
        <f>+IF($W201="","",ROUND(IF($B201&gt;Parámetros!$D$107,'Tablas Servicio'!CE201+('Tablas Servicio'!CG200-'Tablas Servicio'!CE200),CE201/(1-IF(B201&lt;=10,Parámetros!$D$100,0))),2))</f>
        <v>0</v>
      </c>
      <c r="CH201" s="66">
        <f t="shared" si="269"/>
        <v>0</v>
      </c>
      <c r="CI201" s="66">
        <f t="shared" si="269"/>
        <v>0</v>
      </c>
      <c r="CJ201" s="66">
        <f>+IF($W201="","",ROUND((CG201*Parámetros!$G$85),2))</f>
        <v>0</v>
      </c>
      <c r="CK201" s="66">
        <f>+IF($W201="","",ROUND((CG201*(Parámetros!$G$86)),2))</f>
        <v>0</v>
      </c>
      <c r="CL201" s="66">
        <f t="shared" si="270"/>
        <v>0</v>
      </c>
      <c r="CM201" t="str">
        <f t="shared" si="311"/>
        <v>00063</v>
      </c>
      <c r="CN201" s="118" t="str">
        <f t="shared" si="312"/>
        <v>Renta Diaria por Hospitalización</v>
      </c>
      <c r="CO201" s="118">
        <f t="shared" si="313"/>
        <v>0</v>
      </c>
      <c r="CP201" s="118" t="str">
        <f t="shared" si="314"/>
        <v>A</v>
      </c>
      <c r="CQ201" s="119" t="str">
        <f t="shared" si="271"/>
        <v/>
      </c>
      <c r="CR201" s="66">
        <f>+IF($W201="","",ROUND((VLOOKUP(Parámetros!$F$51,'COBERTURAS ADICIONALES'!$S$4:$T$32,2,FALSE)*(1+i/frec)^-0.5*(1+Parámetros!$D$103)*(1+rec_fracc)/frec*$CO$42),2))</f>
        <v>0</v>
      </c>
      <c r="CS201" s="119" t="str">
        <f t="shared" si="272"/>
        <v/>
      </c>
      <c r="CT201" s="66">
        <f>+IF($W201="","",ROUND(IF($B201&gt;Parámetros!$D$107,'Tablas Servicio'!CR201+('Tablas Servicio'!CT200-'Tablas Servicio'!CR200),CR201/(1-IF(B201&lt;=10,Parámetros!$D$100,0))),2))</f>
        <v>0</v>
      </c>
      <c r="CU201" s="66">
        <f t="shared" si="273"/>
        <v>0</v>
      </c>
      <c r="CV201" s="66">
        <f t="shared" si="273"/>
        <v>0</v>
      </c>
      <c r="CW201" s="66">
        <f>+IF($W201="","",ROUND((CT201*Parámetros!$G$85),2))</f>
        <v>0</v>
      </c>
      <c r="CX201" s="66">
        <f>+IF($W201="","",ROUND((CT201*(Parámetros!$G$86)),2))</f>
        <v>0</v>
      </c>
      <c r="CY201" s="66">
        <f t="shared" si="274"/>
        <v>0</v>
      </c>
      <c r="CZ201" t="str">
        <f t="shared" si="315"/>
        <v>00064</v>
      </c>
      <c r="DA201" s="118" t="str">
        <f t="shared" si="316"/>
        <v>Enfermedades Graves</v>
      </c>
      <c r="DB201" s="118">
        <f t="shared" si="317"/>
        <v>0</v>
      </c>
      <c r="DC201" s="118" t="str">
        <f t="shared" si="318"/>
        <v>A</v>
      </c>
      <c r="DD201" s="121" t="str">
        <f>+IF(OR($W201="",DB201=0),"",ROUND((VLOOKUP(ROUNDDOWN($D201-1/frec,0),cob_adi,CO$40,FALSE)*(1+i/frec)^-0.5*(1+Parámetros!$D$103)*(1+rec_fracc)/frec),6))</f>
        <v/>
      </c>
      <c r="DE201" s="66">
        <f t="shared" si="275"/>
        <v>0</v>
      </c>
      <c r="DF201" s="119" t="str">
        <f t="shared" si="276"/>
        <v/>
      </c>
      <c r="DG201" s="66">
        <f>+IF($W201="","",ROUND(IF($B201&gt;Parámetros!$D$107,'Tablas Servicio'!DE201+('Tablas Servicio'!DG200-'Tablas Servicio'!DE200),DE201/(1-IF(B201&lt;=10,Parámetros!$D$100,0))),2))</f>
        <v>0</v>
      </c>
      <c r="DH201" s="66">
        <f t="shared" si="277"/>
        <v>0</v>
      </c>
      <c r="DI201" s="66">
        <f t="shared" si="277"/>
        <v>0</v>
      </c>
      <c r="DJ201" s="66">
        <f>+IF($W201="","",ROUND((DG201*Parámetros!$G$85),2))</f>
        <v>0</v>
      </c>
      <c r="DK201" s="66">
        <f>+IF($W201="","",ROUND((DG201*(Parámetros!$G$86)),2))</f>
        <v>0</v>
      </c>
      <c r="DL201" s="66">
        <f t="shared" si="278"/>
        <v>0</v>
      </c>
      <c r="DM201" t="str">
        <f t="shared" si="319"/>
        <v>00065</v>
      </c>
      <c r="DN201" s="118" t="str">
        <f t="shared" si="320"/>
        <v>Exención pago de primas</v>
      </c>
      <c r="DO201" s="118">
        <f t="shared" si="321"/>
        <v>0</v>
      </c>
      <c r="DP201" s="118" t="str">
        <f t="shared" si="322"/>
        <v>A</v>
      </c>
      <c r="DQ201" s="122" t="str">
        <f>+IF(OR($W201="",DO201=0),"",ROUND((VLOOKUP(ROUNDDOWN($D201-1/frec,0),cob_adi,DB$40,FALSE)*(1+i/frec)^-0.5*(1+Parámetros!$D$103)*(1+rec_fracc)/frec),6))</f>
        <v/>
      </c>
      <c r="DR201" s="66">
        <f t="shared" si="279"/>
        <v>0</v>
      </c>
      <c r="DS201" s="68" t="str">
        <f t="shared" si="280"/>
        <v/>
      </c>
      <c r="DT201" s="66">
        <f>+IF($W201="","",ROUND(IF($B201&gt;Parámetros!$D$107,'Tablas Servicio'!DR201+('Tablas Servicio'!DT200-'Tablas Servicio'!DR200),DR201/(1-IF(B201&lt;=10,Parámetros!$D$100,0))),2))</f>
        <v>0</v>
      </c>
      <c r="DU201" s="66">
        <f t="shared" si="281"/>
        <v>0</v>
      </c>
      <c r="DV201" s="66">
        <f t="shared" si="281"/>
        <v>0</v>
      </c>
      <c r="DW201" s="66">
        <f>+IF($W201="","",ROUND((DT201*Parámetros!$G$85),2))</f>
        <v>0</v>
      </c>
      <c r="DX201" s="66">
        <f>+IF($W201="","",ROUND((DT201*(Parámetros!$G$86)),2))</f>
        <v>0</v>
      </c>
      <c r="DY201" s="66">
        <f t="shared" si="282"/>
        <v>0</v>
      </c>
      <c r="DZ201" t="str">
        <f t="shared" si="323"/>
        <v>00066</v>
      </c>
      <c r="EA201" s="118" t="str">
        <f t="shared" si="323"/>
        <v>Enfermedad terminal</v>
      </c>
      <c r="EB201" s="118">
        <f>+IF($W201="","",ROUND(IF(Parámetros!$D$25='TABLAS MORT'!$V$33,EB200,Z201/2),0))</f>
        <v>50000</v>
      </c>
      <c r="EC201" s="118" t="str">
        <f t="shared" si="323"/>
        <v>A</v>
      </c>
      <c r="ED201" s="122">
        <f>+IF(OR($W201="",EB201=0),"",ROUND((VLOOKUP(ROUNDDOWN($D201-1/frec,0),cob_adi,DO$40,FALSE)*(1+i/frec)^-0.5*(1+Parámetros!$D$103)*(1+rec_fracc)/frec),6))</f>
        <v>1.8E-5</v>
      </c>
      <c r="EE201" s="66">
        <f t="shared" si="284"/>
        <v>0.9</v>
      </c>
      <c r="EF201" s="68">
        <f t="shared" si="285"/>
        <v>1.8E-5</v>
      </c>
      <c r="EG201" s="66">
        <f>+IF($W201="","",ROUND(IF($B201&gt;Parámetros!$D$107,'Tablas Servicio'!EE201+('Tablas Servicio'!EG200-'Tablas Servicio'!EE200),EE201/(1-IF(B201&lt;=10,Parámetros!$D$100,0))),2))</f>
        <v>0.9</v>
      </c>
      <c r="EH201" s="66">
        <f t="shared" si="286"/>
        <v>0</v>
      </c>
      <c r="EI201" s="66">
        <f t="shared" si="286"/>
        <v>0</v>
      </c>
      <c r="EJ201" s="66">
        <f>+IF($W201="","",ROUND((EG201*Parámetros!$G$85),2))</f>
        <v>0.03</v>
      </c>
      <c r="EK201" s="66">
        <f>+IF($W201="","",ROUND((EG201*(Parámetros!$G$86)),2))</f>
        <v>0</v>
      </c>
      <c r="EL201" s="66">
        <f t="shared" si="287"/>
        <v>0.93</v>
      </c>
    </row>
    <row r="202" spans="1:142" x14ac:dyDescent="0.25">
      <c r="A202">
        <f>+IF($C202="","",ROUND(VLOOKUP('Tablas Servicio'!B202,Parámetros!$H$100:$J$159,IF(Parámetros!$E$16="F",2,3),FALSE),2))</f>
        <v>150</v>
      </c>
      <c r="B202">
        <f t="shared" si="238"/>
        <v>14</v>
      </c>
      <c r="C202" s="57">
        <f>+IF(D202="","",'Tablas Servicio'!C201+1)</f>
        <v>161</v>
      </c>
      <c r="D202" s="56">
        <f>+IF(D201&lt;edadmaxtabla,D201+1/Parámetros!$E$25,"")</f>
        <v>53.436666666667051</v>
      </c>
      <c r="E202" s="57">
        <f t="shared" si="248"/>
        <v>53</v>
      </c>
      <c r="F202" s="59">
        <f t="shared" si="249"/>
        <v>100000</v>
      </c>
      <c r="G202" s="66">
        <f t="shared" si="239"/>
        <v>41.199999999999996</v>
      </c>
      <c r="H202" s="66">
        <f t="shared" si="240"/>
        <v>42.839999999999996</v>
      </c>
      <c r="I202" s="66">
        <f t="shared" si="288"/>
        <v>51.160000000000004</v>
      </c>
      <c r="J202" s="66">
        <f t="shared" si="241"/>
        <v>1.44</v>
      </c>
      <c r="K202" s="66">
        <f t="shared" si="242"/>
        <v>0.2</v>
      </c>
      <c r="L202" s="66">
        <f t="shared" si="243"/>
        <v>0</v>
      </c>
      <c r="M202" s="66">
        <f t="shared" si="244"/>
        <v>0</v>
      </c>
      <c r="N202" s="66">
        <f>+IF(C202="","",ROUND(Parámetros!$D$23,2))</f>
        <v>94</v>
      </c>
      <c r="O202" s="66">
        <f t="shared" si="245"/>
        <v>28.7</v>
      </c>
      <c r="P202" s="66">
        <f>+IF($C202="","",ROUND(IF(B202&gt;Parámetros!$D$117,0,N202*Parámetros!$D$116-G202*Parámetros!$D$100),2))</f>
        <v>0</v>
      </c>
      <c r="Q202" s="75">
        <f t="shared" si="289"/>
        <v>3.4951456310679613E-2</v>
      </c>
      <c r="R202" s="75">
        <f t="shared" si="290"/>
        <v>4.8543689320388354E-3</v>
      </c>
      <c r="S202" s="117">
        <f>+IF($C202="","",ROUND((S201+I202)*(1+Parámetros!$D$91),2))</f>
        <v>11163.99</v>
      </c>
      <c r="T202" s="117">
        <f>+IF($C202="","",ROUND(S202*VLOOKUP(B202,Parámetros!$C$30:$D$39,2,TRUE),2))</f>
        <v>11163.99</v>
      </c>
      <c r="U202" s="117">
        <f>+IF($C202="","",ROUND((U201+I202)*(1+Parámetros!$D$92),2))</f>
        <v>11576.28</v>
      </c>
      <c r="V202" s="117">
        <f>+IF($C202="","",ROUND(U202*VLOOKUP(B202,Parámetros!$C$30:$D$39,2,TRUE),2))</f>
        <v>11576.28</v>
      </c>
      <c r="W202" s="57">
        <f t="shared" si="291"/>
        <v>161</v>
      </c>
      <c r="X202" t="str">
        <f t="shared" si="292"/>
        <v>00058</v>
      </c>
      <c r="Y202" t="str">
        <f t="shared" si="293"/>
        <v>MUERTE POR CUALQUIER CAUSA</v>
      </c>
      <c r="Z202" s="118">
        <f>+IF($W202="","",ROUND(IF(Parámetros!$D$25='TABLAS MORT'!$V$33,Z201,Parámetros!$D$21-'Tablas Servicio'!T201),0))</f>
        <v>100000</v>
      </c>
      <c r="AA202" s="118" t="str">
        <f t="shared" si="294"/>
        <v>P</v>
      </c>
      <c r="AB202" s="119">
        <f>+IF(W202="","",ROUND((VLOOKUP(ROUNDDOWN($D202-1/frec,0),qx_tabla,2,FALSE)*(1+i/frec)^-0.5*(1+Parámetros!$D$103)*(1+rec_fracc)/frec),6))</f>
        <v>2.7799999999999998E-4</v>
      </c>
      <c r="AC202" s="66">
        <f t="shared" si="250"/>
        <v>27.8</v>
      </c>
      <c r="AD202" s="119">
        <f t="shared" si="246"/>
        <v>4.0299999999999998E-4</v>
      </c>
      <c r="AE202" s="66">
        <f>+IF($W202="","",ROUND(IF($B202&gt;Parámetros!$D$107,'Tablas Servicio'!AC202+('Tablas Servicio'!AG201-'Tablas Servicio'!AC201),AC202/(1-IF(B202&lt;=10,Parámetros!$D$104,Parámetros!$D$105))),2))</f>
        <v>46.33</v>
      </c>
      <c r="AF202" s="66">
        <f>+IF($W202="","",ROUND(IF($B202&gt;Parámetros!$D$107,'Tablas Servicio'!AC202+('Tablas Servicio'!AG201-'Tablas Servicio'!AC201),(AC202+$A201/frec)/(1-IF(B202&lt;=Parámetros!$D$117,Parámetros!$D$100,0))),2))</f>
        <v>40.299999999999997</v>
      </c>
      <c r="AG202" s="66">
        <f t="shared" si="251"/>
        <v>40.299999999999997</v>
      </c>
      <c r="AH202" s="66">
        <f t="shared" si="252"/>
        <v>0</v>
      </c>
      <c r="AI202" s="66">
        <f t="shared" si="253"/>
        <v>0</v>
      </c>
      <c r="AJ202" s="66">
        <f>+IF($W202="","",ROUND((AG202*Parámetros!$G$85),2))</f>
        <v>1.41</v>
      </c>
      <c r="AK202" s="66">
        <f>+IF($W202="","",ROUND((AG202*(Parámetros!$G$86)),2))</f>
        <v>0.2</v>
      </c>
      <c r="AL202" s="66">
        <f t="shared" si="247"/>
        <v>41.91</v>
      </c>
      <c r="AM202" t="str">
        <f t="shared" si="295"/>
        <v>00059</v>
      </c>
      <c r="AN202" t="str">
        <f t="shared" si="296"/>
        <v>Incapacidad Total y Permanente</v>
      </c>
      <c r="AO202" s="118">
        <f t="shared" si="297"/>
        <v>0</v>
      </c>
      <c r="AP202" s="118" t="str">
        <f t="shared" si="298"/>
        <v>A</v>
      </c>
      <c r="AQ202" s="119" t="str">
        <f>+IF(OR($W202="",AO202=0),"",ROUND((VLOOKUP(ROUNDDOWN($D202-1/frec,0),cob_adi,Z$40,FALSE)*(1+i/frec)^-0.5*(1+Parámetros!$D$103)*(1+rec_fracc)/frec),6))</f>
        <v/>
      </c>
      <c r="AR202" s="66">
        <f t="shared" si="254"/>
        <v>0</v>
      </c>
      <c r="AS202" s="119" t="str">
        <f t="shared" si="255"/>
        <v/>
      </c>
      <c r="AT202" s="66">
        <f>+IF($W202="","",ROUND(IF($B202&gt;Parámetros!$D$107,'Tablas Servicio'!AR202+('Tablas Servicio'!AT201-'Tablas Servicio'!AR201),AR202/(1-IF(B202&lt;=10,Parámetros!$D$100,0))),2))</f>
        <v>0</v>
      </c>
      <c r="AU202" s="66">
        <f t="shared" si="256"/>
        <v>0</v>
      </c>
      <c r="AV202" s="66">
        <f t="shared" si="256"/>
        <v>0</v>
      </c>
      <c r="AW202" s="66">
        <f>+IF($W202="","",ROUND((AT202*Parámetros!$G$85),2))</f>
        <v>0</v>
      </c>
      <c r="AX202" s="66">
        <f>+IF($W202="","",ROUND((AT202*(Parámetros!$G$86)),2))</f>
        <v>0</v>
      </c>
      <c r="AY202" s="66">
        <f t="shared" si="257"/>
        <v>0</v>
      </c>
      <c r="AZ202" t="str">
        <f t="shared" si="299"/>
        <v>00060</v>
      </c>
      <c r="BA202" t="str">
        <f t="shared" si="300"/>
        <v>Muerte Accidental</v>
      </c>
      <c r="BB202" s="118">
        <f t="shared" si="301"/>
        <v>0</v>
      </c>
      <c r="BC202" s="118" t="str">
        <f t="shared" si="302"/>
        <v>A</v>
      </c>
      <c r="BD202" s="119" t="str">
        <f>+IF(OR($W202="",BB202=0),"",ROUND((VLOOKUP(ROUNDDOWN($D202-1/frec,0),cob_adi,AO$40,FALSE)*(1+i/frec)^-0.5*(1+Parámetros!$D$103)*(1+rec_fracc)/frec),6))</f>
        <v/>
      </c>
      <c r="BE202" s="66">
        <f t="shared" si="258"/>
        <v>0</v>
      </c>
      <c r="BF202" s="119" t="str">
        <f t="shared" si="259"/>
        <v/>
      </c>
      <c r="BG202" s="66">
        <f>+IF($W202="","",ROUND(IF($B202&gt;Parámetros!$D$107,'Tablas Servicio'!BE202+('Tablas Servicio'!BG201-'Tablas Servicio'!BE201),BE202/(1-IF(B202&lt;=10,Parámetros!$D$100,0))),2))</f>
        <v>0</v>
      </c>
      <c r="BH202" s="66">
        <f t="shared" si="260"/>
        <v>0</v>
      </c>
      <c r="BI202" s="66">
        <f t="shared" si="261"/>
        <v>0</v>
      </c>
      <c r="BJ202" s="66">
        <f>+IF($W202="","",ROUND((BG202*Parámetros!$G$85),2))</f>
        <v>0</v>
      </c>
      <c r="BK202" s="66">
        <f>+IF($W202="","",ROUND((BG202*(Parámetros!$G$86)),2))</f>
        <v>0</v>
      </c>
      <c r="BL202" s="66">
        <f t="shared" si="262"/>
        <v>0</v>
      </c>
      <c r="BM202" t="str">
        <f t="shared" si="303"/>
        <v>00061</v>
      </c>
      <c r="BN202" t="str">
        <f t="shared" si="304"/>
        <v>Gastos de Entierro</v>
      </c>
      <c r="BO202" s="118">
        <f t="shared" si="305"/>
        <v>0</v>
      </c>
      <c r="BP202" s="118" t="str">
        <f t="shared" si="306"/>
        <v>A</v>
      </c>
      <c r="BQ202" s="119" t="str">
        <f>+IF(OR($W202="",BO202=0),"",ROUND((VLOOKUP(ROUNDDOWN($D202-1/frec,0),cob_adi,BB$40,FALSE)*(1+i/frec)^-0.5*(1+Parámetros!$D$103)*(1+rec_fracc)/frec),6))</f>
        <v/>
      </c>
      <c r="BR202" s="66">
        <f t="shared" si="263"/>
        <v>0</v>
      </c>
      <c r="BS202" s="119" t="str">
        <f t="shared" si="264"/>
        <v/>
      </c>
      <c r="BT202" s="66">
        <f>+IF($W202="","",ROUND(IF($B202&gt;Parámetros!$D$107,'Tablas Servicio'!BR202+('Tablas Servicio'!BT201-'Tablas Servicio'!BR201),BR202/(1-IF(B202&lt;=10,Parámetros!$D$100,0))),2))</f>
        <v>0</v>
      </c>
      <c r="BU202" s="66">
        <f t="shared" si="265"/>
        <v>0</v>
      </c>
      <c r="BV202" s="66">
        <f t="shared" si="265"/>
        <v>0</v>
      </c>
      <c r="BW202" s="66">
        <f>+IF($W202="","",ROUND((BT202*Parámetros!$G$85),2))</f>
        <v>0</v>
      </c>
      <c r="BX202" s="66">
        <f>+IF($W202="","",ROUND((BT202*(Parámetros!$G$86)),2))</f>
        <v>0</v>
      </c>
      <c r="BY202" s="66">
        <f t="shared" si="266"/>
        <v>0</v>
      </c>
      <c r="BZ202" t="str">
        <f t="shared" si="307"/>
        <v>00062</v>
      </c>
      <c r="CA202" t="str">
        <f t="shared" si="308"/>
        <v>Gastos médicos por accidente</v>
      </c>
      <c r="CB202" s="118">
        <f t="shared" si="309"/>
        <v>0</v>
      </c>
      <c r="CC202" s="118" t="str">
        <f t="shared" si="310"/>
        <v>A</v>
      </c>
      <c r="CD202" s="119" t="str">
        <f t="shared" si="267"/>
        <v/>
      </c>
      <c r="CE202" s="66">
        <f>+IF($W202="","",ROUND((VLOOKUP(ROUNDDOWN($D202-1/frec,0),cob_adi,BO$40,FALSE)*(1+i/frec)^-0.5*(1+Parámetros!$D$103)*(1+rec_fracc)/frec*'TABLAS ADI'!$BC$17),2))</f>
        <v>0</v>
      </c>
      <c r="CF202" s="119" t="str">
        <f t="shared" si="268"/>
        <v/>
      </c>
      <c r="CG202" s="66">
        <f>+IF($W202="","",ROUND(IF($B202&gt;Parámetros!$D$107,'Tablas Servicio'!CE202+('Tablas Servicio'!CG201-'Tablas Servicio'!CE201),CE202/(1-IF(B202&lt;=10,Parámetros!$D$100,0))),2))</f>
        <v>0</v>
      </c>
      <c r="CH202" s="66">
        <f t="shared" si="269"/>
        <v>0</v>
      </c>
      <c r="CI202" s="66">
        <f t="shared" si="269"/>
        <v>0</v>
      </c>
      <c r="CJ202" s="66">
        <f>+IF($W202="","",ROUND((CG202*Parámetros!$G$85),2))</f>
        <v>0</v>
      </c>
      <c r="CK202" s="66">
        <f>+IF($W202="","",ROUND((CG202*(Parámetros!$G$86)),2))</f>
        <v>0</v>
      </c>
      <c r="CL202" s="66">
        <f t="shared" si="270"/>
        <v>0</v>
      </c>
      <c r="CM202" t="str">
        <f t="shared" si="311"/>
        <v>00063</v>
      </c>
      <c r="CN202" s="118" t="str">
        <f t="shared" si="312"/>
        <v>Renta Diaria por Hospitalización</v>
      </c>
      <c r="CO202" s="118">
        <f t="shared" si="313"/>
        <v>0</v>
      </c>
      <c r="CP202" s="118" t="str">
        <f t="shared" si="314"/>
        <v>A</v>
      </c>
      <c r="CQ202" s="119" t="str">
        <f t="shared" si="271"/>
        <v/>
      </c>
      <c r="CR202" s="66">
        <f>+IF($W202="","",ROUND((VLOOKUP(Parámetros!$F$51,'COBERTURAS ADICIONALES'!$S$4:$T$32,2,FALSE)*(1+i/frec)^-0.5*(1+Parámetros!$D$103)*(1+rec_fracc)/frec*$CO$42),2))</f>
        <v>0</v>
      </c>
      <c r="CS202" s="119" t="str">
        <f t="shared" si="272"/>
        <v/>
      </c>
      <c r="CT202" s="66">
        <f>+IF($W202="","",ROUND(IF($B202&gt;Parámetros!$D$107,'Tablas Servicio'!CR202+('Tablas Servicio'!CT201-'Tablas Servicio'!CR201),CR202/(1-IF(B202&lt;=10,Parámetros!$D$100,0))),2))</f>
        <v>0</v>
      </c>
      <c r="CU202" s="66">
        <f t="shared" si="273"/>
        <v>0</v>
      </c>
      <c r="CV202" s="66">
        <f t="shared" si="273"/>
        <v>0</v>
      </c>
      <c r="CW202" s="66">
        <f>+IF($W202="","",ROUND((CT202*Parámetros!$G$85),2))</f>
        <v>0</v>
      </c>
      <c r="CX202" s="66">
        <f>+IF($W202="","",ROUND((CT202*(Parámetros!$G$86)),2))</f>
        <v>0</v>
      </c>
      <c r="CY202" s="66">
        <f t="shared" si="274"/>
        <v>0</v>
      </c>
      <c r="CZ202" t="str">
        <f t="shared" si="315"/>
        <v>00064</v>
      </c>
      <c r="DA202" s="118" t="str">
        <f t="shared" si="316"/>
        <v>Enfermedades Graves</v>
      </c>
      <c r="DB202" s="118">
        <f t="shared" si="317"/>
        <v>0</v>
      </c>
      <c r="DC202" s="118" t="str">
        <f t="shared" si="318"/>
        <v>A</v>
      </c>
      <c r="DD202" s="121" t="str">
        <f>+IF(OR($W202="",DB202=0),"",ROUND((VLOOKUP(ROUNDDOWN($D202-1/frec,0),cob_adi,CO$40,FALSE)*(1+i/frec)^-0.5*(1+Parámetros!$D$103)*(1+rec_fracc)/frec),6))</f>
        <v/>
      </c>
      <c r="DE202" s="66">
        <f t="shared" si="275"/>
        <v>0</v>
      </c>
      <c r="DF202" s="119" t="str">
        <f t="shared" si="276"/>
        <v/>
      </c>
      <c r="DG202" s="66">
        <f>+IF($W202="","",ROUND(IF($B202&gt;Parámetros!$D$107,'Tablas Servicio'!DE202+('Tablas Servicio'!DG201-'Tablas Servicio'!DE201),DE202/(1-IF(B202&lt;=10,Parámetros!$D$100,0))),2))</f>
        <v>0</v>
      </c>
      <c r="DH202" s="66">
        <f t="shared" si="277"/>
        <v>0</v>
      </c>
      <c r="DI202" s="66">
        <f t="shared" si="277"/>
        <v>0</v>
      </c>
      <c r="DJ202" s="66">
        <f>+IF($W202="","",ROUND((DG202*Parámetros!$G$85),2))</f>
        <v>0</v>
      </c>
      <c r="DK202" s="66">
        <f>+IF($W202="","",ROUND((DG202*(Parámetros!$G$86)),2))</f>
        <v>0</v>
      </c>
      <c r="DL202" s="66">
        <f t="shared" si="278"/>
        <v>0</v>
      </c>
      <c r="DM202" t="str">
        <f t="shared" si="319"/>
        <v>00065</v>
      </c>
      <c r="DN202" s="118" t="str">
        <f t="shared" si="320"/>
        <v>Exención pago de primas</v>
      </c>
      <c r="DO202" s="118">
        <f t="shared" si="321"/>
        <v>0</v>
      </c>
      <c r="DP202" s="118" t="str">
        <f t="shared" si="322"/>
        <v>A</v>
      </c>
      <c r="DQ202" s="122" t="str">
        <f>+IF(OR($W202="",DO202=0),"",ROUND((VLOOKUP(ROUNDDOWN($D202-1/frec,0),cob_adi,DB$40,FALSE)*(1+i/frec)^-0.5*(1+Parámetros!$D$103)*(1+rec_fracc)/frec),6))</f>
        <v/>
      </c>
      <c r="DR202" s="66">
        <f t="shared" si="279"/>
        <v>0</v>
      </c>
      <c r="DS202" s="68" t="str">
        <f t="shared" si="280"/>
        <v/>
      </c>
      <c r="DT202" s="66">
        <f>+IF($W202="","",ROUND(IF($B202&gt;Parámetros!$D$107,'Tablas Servicio'!DR202+('Tablas Servicio'!DT201-'Tablas Servicio'!DR201),DR202/(1-IF(B202&lt;=10,Parámetros!$D$100,0))),2))</f>
        <v>0</v>
      </c>
      <c r="DU202" s="66">
        <f t="shared" si="281"/>
        <v>0</v>
      </c>
      <c r="DV202" s="66">
        <f t="shared" si="281"/>
        <v>0</v>
      </c>
      <c r="DW202" s="66">
        <f>+IF($W202="","",ROUND((DT202*Parámetros!$G$85),2))</f>
        <v>0</v>
      </c>
      <c r="DX202" s="66">
        <f>+IF($W202="","",ROUND((DT202*(Parámetros!$G$86)),2))</f>
        <v>0</v>
      </c>
      <c r="DY202" s="66">
        <f t="shared" si="282"/>
        <v>0</v>
      </c>
      <c r="DZ202" t="str">
        <f t="shared" si="323"/>
        <v>00066</v>
      </c>
      <c r="EA202" s="118" t="str">
        <f t="shared" si="323"/>
        <v>Enfermedad terminal</v>
      </c>
      <c r="EB202" s="118">
        <f>+IF($W202="","",ROUND(IF(Parámetros!$D$25='TABLAS MORT'!$V$33,EB201,Z202/2),0))</f>
        <v>50000</v>
      </c>
      <c r="EC202" s="118" t="str">
        <f t="shared" si="323"/>
        <v>A</v>
      </c>
      <c r="ED202" s="122">
        <f>+IF(OR($W202="",EB202=0),"",ROUND((VLOOKUP(ROUNDDOWN($D202-1/frec,0),cob_adi,DO$40,FALSE)*(1+i/frec)^-0.5*(1+Parámetros!$D$103)*(1+rec_fracc)/frec),6))</f>
        <v>1.8E-5</v>
      </c>
      <c r="EE202" s="66">
        <f t="shared" si="284"/>
        <v>0.9</v>
      </c>
      <c r="EF202" s="68">
        <f t="shared" si="285"/>
        <v>1.8E-5</v>
      </c>
      <c r="EG202" s="66">
        <f>+IF($W202="","",ROUND(IF($B202&gt;Parámetros!$D$107,'Tablas Servicio'!EE202+('Tablas Servicio'!EG201-'Tablas Servicio'!EE201),EE202/(1-IF(B202&lt;=10,Parámetros!$D$100,0))),2))</f>
        <v>0.9</v>
      </c>
      <c r="EH202" s="66">
        <f t="shared" si="286"/>
        <v>0</v>
      </c>
      <c r="EI202" s="66">
        <f t="shared" si="286"/>
        <v>0</v>
      </c>
      <c r="EJ202" s="66">
        <f>+IF($W202="","",ROUND((EG202*Parámetros!$G$85),2))</f>
        <v>0.03</v>
      </c>
      <c r="EK202" s="66">
        <f>+IF($W202="","",ROUND((EG202*(Parámetros!$G$86)),2))</f>
        <v>0</v>
      </c>
      <c r="EL202" s="66">
        <f t="shared" si="287"/>
        <v>0.93</v>
      </c>
    </row>
    <row r="203" spans="1:142" x14ac:dyDescent="0.25">
      <c r="A203">
        <f>+IF($C203="","",ROUND(VLOOKUP('Tablas Servicio'!B203,Parámetros!$H$100:$J$159,IF(Parámetros!$E$16="F",2,3),FALSE),2))</f>
        <v>150</v>
      </c>
      <c r="B203">
        <f t="shared" si="238"/>
        <v>14</v>
      </c>
      <c r="C203" s="57">
        <f>+IF(D203="","",'Tablas Servicio'!C202+1)</f>
        <v>162</v>
      </c>
      <c r="D203" s="56">
        <f>+IF(D202&lt;edadmaxtabla,D202+1/Parámetros!$E$25,"")</f>
        <v>53.520000000000387</v>
      </c>
      <c r="E203" s="57">
        <f t="shared" si="248"/>
        <v>53</v>
      </c>
      <c r="F203" s="59">
        <f t="shared" si="249"/>
        <v>100000</v>
      </c>
      <c r="G203" s="66">
        <f t="shared" si="239"/>
        <v>41.199999999999996</v>
      </c>
      <c r="H203" s="66">
        <f t="shared" si="240"/>
        <v>42.839999999999996</v>
      </c>
      <c r="I203" s="66">
        <f t="shared" si="288"/>
        <v>51.160000000000004</v>
      </c>
      <c r="J203" s="66">
        <f t="shared" si="241"/>
        <v>1.44</v>
      </c>
      <c r="K203" s="66">
        <f t="shared" si="242"/>
        <v>0.2</v>
      </c>
      <c r="L203" s="66">
        <f t="shared" si="243"/>
        <v>0</v>
      </c>
      <c r="M203" s="66">
        <f t="shared" si="244"/>
        <v>0</v>
      </c>
      <c r="N203" s="66">
        <f>+IF(C203="","",ROUND(Parámetros!$D$23,2))</f>
        <v>94</v>
      </c>
      <c r="O203" s="66">
        <f t="shared" si="245"/>
        <v>28.7</v>
      </c>
      <c r="P203" s="66">
        <f>+IF($C203="","",ROUND(IF(B203&gt;Parámetros!$D$117,0,N203*Parámetros!$D$116-G203*Parámetros!$D$100),2))</f>
        <v>0</v>
      </c>
      <c r="Q203" s="75">
        <f t="shared" si="289"/>
        <v>3.4951456310679613E-2</v>
      </c>
      <c r="R203" s="75">
        <f t="shared" si="290"/>
        <v>4.8543689320388354E-3</v>
      </c>
      <c r="S203" s="117">
        <f>+IF($C203="","",ROUND((S202+I203)*(1+Parámetros!$D$91),2))</f>
        <v>11246.96</v>
      </c>
      <c r="T203" s="117">
        <f>+IF($C203="","",ROUND(S203*VLOOKUP(B203,Parámetros!$C$30:$D$39,2,TRUE),2))</f>
        <v>11246.96</v>
      </c>
      <c r="U203" s="117">
        <f>+IF($C203="","",ROUND((U202+I203)*(1+Parámetros!$D$92),2))</f>
        <v>11665.13</v>
      </c>
      <c r="V203" s="117">
        <f>+IF($C203="","",ROUND(U203*VLOOKUP(B203,Parámetros!$C$30:$D$39,2,TRUE),2))</f>
        <v>11665.13</v>
      </c>
      <c r="W203" s="57">
        <f t="shared" si="291"/>
        <v>162</v>
      </c>
      <c r="X203" t="str">
        <f t="shared" si="292"/>
        <v>00058</v>
      </c>
      <c r="Y203" t="str">
        <f t="shared" si="293"/>
        <v>MUERTE POR CUALQUIER CAUSA</v>
      </c>
      <c r="Z203" s="118">
        <f>+IF($W203="","",ROUND(IF(Parámetros!$D$25='TABLAS MORT'!$V$33,Z202,Parámetros!$D$21-'Tablas Servicio'!T202),0))</f>
        <v>100000</v>
      </c>
      <c r="AA203" s="118" t="str">
        <f t="shared" si="294"/>
        <v>P</v>
      </c>
      <c r="AB203" s="119">
        <f>+IF(W203="","",ROUND((VLOOKUP(ROUNDDOWN($D203-1/frec,0),qx_tabla,2,FALSE)*(1+i/frec)^-0.5*(1+Parámetros!$D$103)*(1+rec_fracc)/frec),6))</f>
        <v>2.7799999999999998E-4</v>
      </c>
      <c r="AC203" s="66">
        <f t="shared" si="250"/>
        <v>27.8</v>
      </c>
      <c r="AD203" s="119">
        <f t="shared" si="246"/>
        <v>4.0299999999999998E-4</v>
      </c>
      <c r="AE203" s="66">
        <f>+IF($W203="","",ROUND(IF($B203&gt;Parámetros!$D$107,'Tablas Servicio'!AC203+('Tablas Servicio'!AG202-'Tablas Servicio'!AC202),AC203/(1-IF(B203&lt;=10,Parámetros!$D$104,Parámetros!$D$105))),2))</f>
        <v>46.33</v>
      </c>
      <c r="AF203" s="66">
        <f>+IF($W203="","",ROUND(IF($B203&gt;Parámetros!$D$107,'Tablas Servicio'!AC203+('Tablas Servicio'!AG202-'Tablas Servicio'!AC202),(AC203+$A202/frec)/(1-IF(B203&lt;=Parámetros!$D$117,Parámetros!$D$100,0))),2))</f>
        <v>40.299999999999997</v>
      </c>
      <c r="AG203" s="66">
        <f t="shared" si="251"/>
        <v>40.299999999999997</v>
      </c>
      <c r="AH203" s="66">
        <f t="shared" si="252"/>
        <v>0</v>
      </c>
      <c r="AI203" s="66">
        <f t="shared" si="253"/>
        <v>0</v>
      </c>
      <c r="AJ203" s="66">
        <f>+IF($W203="","",ROUND((AG203*Parámetros!$G$85),2))</f>
        <v>1.41</v>
      </c>
      <c r="AK203" s="66">
        <f>+IF($W203="","",ROUND((AG203*(Parámetros!$G$86)),2))</f>
        <v>0.2</v>
      </c>
      <c r="AL203" s="66">
        <f t="shared" si="247"/>
        <v>41.91</v>
      </c>
      <c r="AM203" t="str">
        <f t="shared" si="295"/>
        <v>00059</v>
      </c>
      <c r="AN203" t="str">
        <f t="shared" si="296"/>
        <v>Incapacidad Total y Permanente</v>
      </c>
      <c r="AO203" s="118">
        <f t="shared" si="297"/>
        <v>0</v>
      </c>
      <c r="AP203" s="118" t="str">
        <f t="shared" si="298"/>
        <v>A</v>
      </c>
      <c r="AQ203" s="119" t="str">
        <f>+IF(OR($W203="",AO203=0),"",ROUND((VLOOKUP(ROUNDDOWN($D203-1/frec,0),cob_adi,Z$40,FALSE)*(1+i/frec)^-0.5*(1+Parámetros!$D$103)*(1+rec_fracc)/frec),6))</f>
        <v/>
      </c>
      <c r="AR203" s="66">
        <f t="shared" si="254"/>
        <v>0</v>
      </c>
      <c r="AS203" s="119" t="str">
        <f t="shared" si="255"/>
        <v/>
      </c>
      <c r="AT203" s="66">
        <f>+IF($W203="","",ROUND(IF($B203&gt;Parámetros!$D$107,'Tablas Servicio'!AR203+('Tablas Servicio'!AT202-'Tablas Servicio'!AR202),AR203/(1-IF(B203&lt;=10,Parámetros!$D$100,0))),2))</f>
        <v>0</v>
      </c>
      <c r="AU203" s="66">
        <f t="shared" si="256"/>
        <v>0</v>
      </c>
      <c r="AV203" s="66">
        <f t="shared" si="256"/>
        <v>0</v>
      </c>
      <c r="AW203" s="66">
        <f>+IF($W203="","",ROUND((AT203*Parámetros!$G$85),2))</f>
        <v>0</v>
      </c>
      <c r="AX203" s="66">
        <f>+IF($W203="","",ROUND((AT203*(Parámetros!$G$86)),2))</f>
        <v>0</v>
      </c>
      <c r="AY203" s="66">
        <f t="shared" si="257"/>
        <v>0</v>
      </c>
      <c r="AZ203" t="str">
        <f t="shared" si="299"/>
        <v>00060</v>
      </c>
      <c r="BA203" t="str">
        <f t="shared" si="300"/>
        <v>Muerte Accidental</v>
      </c>
      <c r="BB203" s="118">
        <f t="shared" si="301"/>
        <v>0</v>
      </c>
      <c r="BC203" s="118" t="str">
        <f t="shared" si="302"/>
        <v>A</v>
      </c>
      <c r="BD203" s="119" t="str">
        <f>+IF(OR($W203="",BB203=0),"",ROUND((VLOOKUP(ROUNDDOWN($D203-1/frec,0),cob_adi,AO$40,FALSE)*(1+i/frec)^-0.5*(1+Parámetros!$D$103)*(1+rec_fracc)/frec),6))</f>
        <v/>
      </c>
      <c r="BE203" s="66">
        <f t="shared" si="258"/>
        <v>0</v>
      </c>
      <c r="BF203" s="119" t="str">
        <f t="shared" si="259"/>
        <v/>
      </c>
      <c r="BG203" s="66">
        <f>+IF($W203="","",ROUND(IF($B203&gt;Parámetros!$D$107,'Tablas Servicio'!BE203+('Tablas Servicio'!BG202-'Tablas Servicio'!BE202),BE203/(1-IF(B203&lt;=10,Parámetros!$D$100,0))),2))</f>
        <v>0</v>
      </c>
      <c r="BH203" s="66">
        <f t="shared" si="260"/>
        <v>0</v>
      </c>
      <c r="BI203" s="66">
        <f t="shared" si="261"/>
        <v>0</v>
      </c>
      <c r="BJ203" s="66">
        <f>+IF($W203="","",ROUND((BG203*Parámetros!$G$85),2))</f>
        <v>0</v>
      </c>
      <c r="BK203" s="66">
        <f>+IF($W203="","",ROUND((BG203*(Parámetros!$G$86)),2))</f>
        <v>0</v>
      </c>
      <c r="BL203" s="66">
        <f t="shared" si="262"/>
        <v>0</v>
      </c>
      <c r="BM203" t="str">
        <f t="shared" si="303"/>
        <v>00061</v>
      </c>
      <c r="BN203" t="str">
        <f t="shared" si="304"/>
        <v>Gastos de Entierro</v>
      </c>
      <c r="BO203" s="118">
        <f t="shared" si="305"/>
        <v>0</v>
      </c>
      <c r="BP203" s="118" t="str">
        <f t="shared" si="306"/>
        <v>A</v>
      </c>
      <c r="BQ203" s="119" t="str">
        <f>+IF(OR($W203="",BO203=0),"",ROUND((VLOOKUP(ROUNDDOWN($D203-1/frec,0),cob_adi,BB$40,FALSE)*(1+i/frec)^-0.5*(1+Parámetros!$D$103)*(1+rec_fracc)/frec),6))</f>
        <v/>
      </c>
      <c r="BR203" s="66">
        <f t="shared" si="263"/>
        <v>0</v>
      </c>
      <c r="BS203" s="119" t="str">
        <f t="shared" si="264"/>
        <v/>
      </c>
      <c r="BT203" s="66">
        <f>+IF($W203="","",ROUND(IF($B203&gt;Parámetros!$D$107,'Tablas Servicio'!BR203+('Tablas Servicio'!BT202-'Tablas Servicio'!BR202),BR203/(1-IF(B203&lt;=10,Parámetros!$D$100,0))),2))</f>
        <v>0</v>
      </c>
      <c r="BU203" s="66">
        <f t="shared" si="265"/>
        <v>0</v>
      </c>
      <c r="BV203" s="66">
        <f t="shared" si="265"/>
        <v>0</v>
      </c>
      <c r="BW203" s="66">
        <f>+IF($W203="","",ROUND((BT203*Parámetros!$G$85),2))</f>
        <v>0</v>
      </c>
      <c r="BX203" s="66">
        <f>+IF($W203="","",ROUND((BT203*(Parámetros!$G$86)),2))</f>
        <v>0</v>
      </c>
      <c r="BY203" s="66">
        <f t="shared" si="266"/>
        <v>0</v>
      </c>
      <c r="BZ203" t="str">
        <f t="shared" si="307"/>
        <v>00062</v>
      </c>
      <c r="CA203" t="str">
        <f t="shared" si="308"/>
        <v>Gastos médicos por accidente</v>
      </c>
      <c r="CB203" s="118">
        <f t="shared" si="309"/>
        <v>0</v>
      </c>
      <c r="CC203" s="118" t="str">
        <f t="shared" si="310"/>
        <v>A</v>
      </c>
      <c r="CD203" s="119" t="str">
        <f t="shared" si="267"/>
        <v/>
      </c>
      <c r="CE203" s="66">
        <f>+IF($W203="","",ROUND((VLOOKUP(ROUNDDOWN($D203-1/frec,0),cob_adi,BO$40,FALSE)*(1+i/frec)^-0.5*(1+Parámetros!$D$103)*(1+rec_fracc)/frec*'TABLAS ADI'!$BC$17),2))</f>
        <v>0</v>
      </c>
      <c r="CF203" s="119" t="str">
        <f t="shared" si="268"/>
        <v/>
      </c>
      <c r="CG203" s="66">
        <f>+IF($W203="","",ROUND(IF($B203&gt;Parámetros!$D$107,'Tablas Servicio'!CE203+('Tablas Servicio'!CG202-'Tablas Servicio'!CE202),CE203/(1-IF(B203&lt;=10,Parámetros!$D$100,0))),2))</f>
        <v>0</v>
      </c>
      <c r="CH203" s="66">
        <f t="shared" si="269"/>
        <v>0</v>
      </c>
      <c r="CI203" s="66">
        <f t="shared" si="269"/>
        <v>0</v>
      </c>
      <c r="CJ203" s="66">
        <f>+IF($W203="","",ROUND((CG203*Parámetros!$G$85),2))</f>
        <v>0</v>
      </c>
      <c r="CK203" s="66">
        <f>+IF($W203="","",ROUND((CG203*(Parámetros!$G$86)),2))</f>
        <v>0</v>
      </c>
      <c r="CL203" s="66">
        <f t="shared" si="270"/>
        <v>0</v>
      </c>
      <c r="CM203" t="str">
        <f t="shared" si="311"/>
        <v>00063</v>
      </c>
      <c r="CN203" s="118" t="str">
        <f t="shared" si="312"/>
        <v>Renta Diaria por Hospitalización</v>
      </c>
      <c r="CO203" s="118">
        <f t="shared" si="313"/>
        <v>0</v>
      </c>
      <c r="CP203" s="118" t="str">
        <f t="shared" si="314"/>
        <v>A</v>
      </c>
      <c r="CQ203" s="119" t="str">
        <f t="shared" si="271"/>
        <v/>
      </c>
      <c r="CR203" s="66">
        <f>+IF($W203="","",ROUND((VLOOKUP(Parámetros!$F$51,'COBERTURAS ADICIONALES'!$S$4:$T$32,2,FALSE)*(1+i/frec)^-0.5*(1+Parámetros!$D$103)*(1+rec_fracc)/frec*$CO$42),2))</f>
        <v>0</v>
      </c>
      <c r="CS203" s="119" t="str">
        <f t="shared" si="272"/>
        <v/>
      </c>
      <c r="CT203" s="66">
        <f>+IF($W203="","",ROUND(IF($B203&gt;Parámetros!$D$107,'Tablas Servicio'!CR203+('Tablas Servicio'!CT202-'Tablas Servicio'!CR202),CR203/(1-IF(B203&lt;=10,Parámetros!$D$100,0))),2))</f>
        <v>0</v>
      </c>
      <c r="CU203" s="66">
        <f t="shared" si="273"/>
        <v>0</v>
      </c>
      <c r="CV203" s="66">
        <f t="shared" si="273"/>
        <v>0</v>
      </c>
      <c r="CW203" s="66">
        <f>+IF($W203="","",ROUND((CT203*Parámetros!$G$85),2))</f>
        <v>0</v>
      </c>
      <c r="CX203" s="66">
        <f>+IF($W203="","",ROUND((CT203*(Parámetros!$G$86)),2))</f>
        <v>0</v>
      </c>
      <c r="CY203" s="66">
        <f t="shared" si="274"/>
        <v>0</v>
      </c>
      <c r="CZ203" t="str">
        <f t="shared" si="315"/>
        <v>00064</v>
      </c>
      <c r="DA203" s="118" t="str">
        <f t="shared" si="316"/>
        <v>Enfermedades Graves</v>
      </c>
      <c r="DB203" s="118">
        <f t="shared" si="317"/>
        <v>0</v>
      </c>
      <c r="DC203" s="118" t="str">
        <f t="shared" si="318"/>
        <v>A</v>
      </c>
      <c r="DD203" s="121" t="str">
        <f>+IF(OR($W203="",DB203=0),"",ROUND((VLOOKUP(ROUNDDOWN($D203-1/frec,0),cob_adi,CO$40,FALSE)*(1+i/frec)^-0.5*(1+Parámetros!$D$103)*(1+rec_fracc)/frec),6))</f>
        <v/>
      </c>
      <c r="DE203" s="66">
        <f t="shared" si="275"/>
        <v>0</v>
      </c>
      <c r="DF203" s="119" t="str">
        <f t="shared" si="276"/>
        <v/>
      </c>
      <c r="DG203" s="66">
        <f>+IF($W203="","",ROUND(IF($B203&gt;Parámetros!$D$107,'Tablas Servicio'!DE203+('Tablas Servicio'!DG202-'Tablas Servicio'!DE202),DE203/(1-IF(B203&lt;=10,Parámetros!$D$100,0))),2))</f>
        <v>0</v>
      </c>
      <c r="DH203" s="66">
        <f t="shared" si="277"/>
        <v>0</v>
      </c>
      <c r="DI203" s="66">
        <f t="shared" si="277"/>
        <v>0</v>
      </c>
      <c r="DJ203" s="66">
        <f>+IF($W203="","",ROUND((DG203*Parámetros!$G$85),2))</f>
        <v>0</v>
      </c>
      <c r="DK203" s="66">
        <f>+IF($W203="","",ROUND((DG203*(Parámetros!$G$86)),2))</f>
        <v>0</v>
      </c>
      <c r="DL203" s="66">
        <f t="shared" si="278"/>
        <v>0</v>
      </c>
      <c r="DM203" t="str">
        <f t="shared" si="319"/>
        <v>00065</v>
      </c>
      <c r="DN203" s="118" t="str">
        <f t="shared" si="320"/>
        <v>Exención pago de primas</v>
      </c>
      <c r="DO203" s="118">
        <f t="shared" si="321"/>
        <v>0</v>
      </c>
      <c r="DP203" s="118" t="str">
        <f t="shared" si="322"/>
        <v>A</v>
      </c>
      <c r="DQ203" s="122" t="str">
        <f>+IF(OR($W203="",DO203=0),"",ROUND((VLOOKUP(ROUNDDOWN($D203-1/frec,0),cob_adi,DB$40,FALSE)*(1+i/frec)^-0.5*(1+Parámetros!$D$103)*(1+rec_fracc)/frec),6))</f>
        <v/>
      </c>
      <c r="DR203" s="66">
        <f t="shared" si="279"/>
        <v>0</v>
      </c>
      <c r="DS203" s="68" t="str">
        <f t="shared" si="280"/>
        <v/>
      </c>
      <c r="DT203" s="66">
        <f>+IF($W203="","",ROUND(IF($B203&gt;Parámetros!$D$107,'Tablas Servicio'!DR203+('Tablas Servicio'!DT202-'Tablas Servicio'!DR202),DR203/(1-IF(B203&lt;=10,Parámetros!$D$100,0))),2))</f>
        <v>0</v>
      </c>
      <c r="DU203" s="66">
        <f t="shared" si="281"/>
        <v>0</v>
      </c>
      <c r="DV203" s="66">
        <f t="shared" si="281"/>
        <v>0</v>
      </c>
      <c r="DW203" s="66">
        <f>+IF($W203="","",ROUND((DT203*Parámetros!$G$85),2))</f>
        <v>0</v>
      </c>
      <c r="DX203" s="66">
        <f>+IF($W203="","",ROUND((DT203*(Parámetros!$G$86)),2))</f>
        <v>0</v>
      </c>
      <c r="DY203" s="66">
        <f t="shared" si="282"/>
        <v>0</v>
      </c>
      <c r="DZ203" t="str">
        <f t="shared" ref="DZ203:EC218" si="324">+IF($W203="","",DZ202)</f>
        <v>00066</v>
      </c>
      <c r="EA203" s="118" t="str">
        <f t="shared" si="324"/>
        <v>Enfermedad terminal</v>
      </c>
      <c r="EB203" s="118">
        <f>+IF($W203="","",ROUND(IF(Parámetros!$D$25='TABLAS MORT'!$V$33,EB202,Z203/2),0))</f>
        <v>50000</v>
      </c>
      <c r="EC203" s="118" t="str">
        <f t="shared" si="324"/>
        <v>A</v>
      </c>
      <c r="ED203" s="122">
        <f>+IF(OR($W203="",EB203=0),"",ROUND((VLOOKUP(ROUNDDOWN($D203-1/frec,0),cob_adi,DO$40,FALSE)*(1+i/frec)^-0.5*(1+Parámetros!$D$103)*(1+rec_fracc)/frec),6))</f>
        <v>1.8E-5</v>
      </c>
      <c r="EE203" s="66">
        <f t="shared" si="284"/>
        <v>0.9</v>
      </c>
      <c r="EF203" s="68">
        <f t="shared" si="285"/>
        <v>1.8E-5</v>
      </c>
      <c r="EG203" s="66">
        <f>+IF($W203="","",ROUND(IF($B203&gt;Parámetros!$D$107,'Tablas Servicio'!EE203+('Tablas Servicio'!EG202-'Tablas Servicio'!EE202),EE203/(1-IF(B203&lt;=10,Parámetros!$D$100,0))),2))</f>
        <v>0.9</v>
      </c>
      <c r="EH203" s="66">
        <f t="shared" si="286"/>
        <v>0</v>
      </c>
      <c r="EI203" s="66">
        <f t="shared" si="286"/>
        <v>0</v>
      </c>
      <c r="EJ203" s="66">
        <f>+IF($W203="","",ROUND((EG203*Parámetros!$G$85),2))</f>
        <v>0.03</v>
      </c>
      <c r="EK203" s="66">
        <f>+IF($W203="","",ROUND((EG203*(Parámetros!$G$86)),2))</f>
        <v>0</v>
      </c>
      <c r="EL203" s="66">
        <f t="shared" si="287"/>
        <v>0.93</v>
      </c>
    </row>
    <row r="204" spans="1:142" x14ac:dyDescent="0.25">
      <c r="A204">
        <f>+IF($C204="","",ROUND(VLOOKUP('Tablas Servicio'!B204,Parámetros!$H$100:$J$159,IF(Parámetros!$E$16="F",2,3),FALSE),2))</f>
        <v>150</v>
      </c>
      <c r="B204">
        <f t="shared" si="238"/>
        <v>14</v>
      </c>
      <c r="C204" s="57">
        <f>+IF(D204="","",'Tablas Servicio'!C203+1)</f>
        <v>163</v>
      </c>
      <c r="D204" s="56">
        <f>+IF(D203&lt;edadmaxtabla,D203+1/Parámetros!$E$25,"")</f>
        <v>53.603333333333723</v>
      </c>
      <c r="E204" s="57">
        <f t="shared" si="248"/>
        <v>53</v>
      </c>
      <c r="F204" s="59">
        <f t="shared" si="249"/>
        <v>100000</v>
      </c>
      <c r="G204" s="66">
        <f t="shared" si="239"/>
        <v>41.199999999999996</v>
      </c>
      <c r="H204" s="66">
        <f t="shared" si="240"/>
        <v>42.839999999999996</v>
      </c>
      <c r="I204" s="66">
        <f t="shared" si="288"/>
        <v>51.160000000000004</v>
      </c>
      <c r="J204" s="66">
        <f t="shared" si="241"/>
        <v>1.44</v>
      </c>
      <c r="K204" s="66">
        <f t="shared" si="242"/>
        <v>0.2</v>
      </c>
      <c r="L204" s="66">
        <f t="shared" si="243"/>
        <v>0</v>
      </c>
      <c r="M204" s="66">
        <f t="shared" si="244"/>
        <v>0</v>
      </c>
      <c r="N204" s="66">
        <f>+IF(C204="","",ROUND(Parámetros!$D$23,2))</f>
        <v>94</v>
      </c>
      <c r="O204" s="66">
        <f t="shared" si="245"/>
        <v>28.7</v>
      </c>
      <c r="P204" s="66">
        <f>+IF($C204="","",ROUND(IF(B204&gt;Parámetros!$D$117,0,N204*Parámetros!$D$116-G204*Parámetros!$D$100),2))</f>
        <v>0</v>
      </c>
      <c r="Q204" s="75">
        <f t="shared" si="289"/>
        <v>3.4951456310679613E-2</v>
      </c>
      <c r="R204" s="75">
        <f t="shared" si="290"/>
        <v>4.8543689320388354E-3</v>
      </c>
      <c r="S204" s="117">
        <f>+IF($C204="","",ROUND((S203+I204)*(1+Parámetros!$D$91),2))</f>
        <v>11330.17</v>
      </c>
      <c r="T204" s="117">
        <f>+IF($C204="","",ROUND(S204*VLOOKUP(B204,Parámetros!$C$30:$D$39,2,TRUE),2))</f>
        <v>11330.17</v>
      </c>
      <c r="U204" s="117">
        <f>+IF($C204="","",ROUND((U203+I204)*(1+Parámetros!$D$92),2))</f>
        <v>11754.27</v>
      </c>
      <c r="V204" s="117">
        <f>+IF($C204="","",ROUND(U204*VLOOKUP(B204,Parámetros!$C$30:$D$39,2,TRUE),2))</f>
        <v>11754.27</v>
      </c>
      <c r="W204" s="57">
        <f t="shared" si="291"/>
        <v>163</v>
      </c>
      <c r="X204" t="str">
        <f t="shared" si="292"/>
        <v>00058</v>
      </c>
      <c r="Y204" t="str">
        <f t="shared" si="293"/>
        <v>MUERTE POR CUALQUIER CAUSA</v>
      </c>
      <c r="Z204" s="118">
        <f>+IF($W204="","",ROUND(IF(Parámetros!$D$25='TABLAS MORT'!$V$33,Z203,Parámetros!$D$21-'Tablas Servicio'!T203),0))</f>
        <v>100000</v>
      </c>
      <c r="AA204" s="118" t="str">
        <f t="shared" si="294"/>
        <v>P</v>
      </c>
      <c r="AB204" s="119">
        <f>+IF(W204="","",ROUND((VLOOKUP(ROUNDDOWN($D204-1/frec,0),qx_tabla,2,FALSE)*(1+i/frec)^-0.5*(1+Parámetros!$D$103)*(1+rec_fracc)/frec),6))</f>
        <v>2.7799999999999998E-4</v>
      </c>
      <c r="AC204" s="66">
        <f t="shared" si="250"/>
        <v>27.8</v>
      </c>
      <c r="AD204" s="119">
        <f t="shared" si="246"/>
        <v>4.0299999999999998E-4</v>
      </c>
      <c r="AE204" s="66">
        <f>+IF($W204="","",ROUND(IF($B204&gt;Parámetros!$D$107,'Tablas Servicio'!AC204+('Tablas Servicio'!AG203-'Tablas Servicio'!AC203),AC204/(1-IF(B204&lt;=10,Parámetros!$D$104,Parámetros!$D$105))),2))</f>
        <v>46.33</v>
      </c>
      <c r="AF204" s="66">
        <f>+IF($W204="","",ROUND(IF($B204&gt;Parámetros!$D$107,'Tablas Servicio'!AC204+('Tablas Servicio'!AG203-'Tablas Servicio'!AC203),(AC204+$A203/frec)/(1-IF(B204&lt;=Parámetros!$D$117,Parámetros!$D$100,0))),2))</f>
        <v>40.299999999999997</v>
      </c>
      <c r="AG204" s="66">
        <f t="shared" si="251"/>
        <v>40.299999999999997</v>
      </c>
      <c r="AH204" s="66">
        <f t="shared" si="252"/>
        <v>0</v>
      </c>
      <c r="AI204" s="66">
        <f t="shared" si="253"/>
        <v>0</v>
      </c>
      <c r="AJ204" s="66">
        <f>+IF($W204="","",ROUND((AG204*Parámetros!$G$85),2))</f>
        <v>1.41</v>
      </c>
      <c r="AK204" s="66">
        <f>+IF($W204="","",ROUND((AG204*(Parámetros!$G$86)),2))</f>
        <v>0.2</v>
      </c>
      <c r="AL204" s="66">
        <f t="shared" si="247"/>
        <v>41.91</v>
      </c>
      <c r="AM204" t="str">
        <f t="shared" si="295"/>
        <v>00059</v>
      </c>
      <c r="AN204" t="str">
        <f t="shared" si="296"/>
        <v>Incapacidad Total y Permanente</v>
      </c>
      <c r="AO204" s="118">
        <f t="shared" si="297"/>
        <v>0</v>
      </c>
      <c r="AP204" s="118" t="str">
        <f t="shared" si="298"/>
        <v>A</v>
      </c>
      <c r="AQ204" s="119" t="str">
        <f>+IF(OR($W204="",AO204=0),"",ROUND((VLOOKUP(ROUNDDOWN($D204-1/frec,0),cob_adi,Z$40,FALSE)*(1+i/frec)^-0.5*(1+Parámetros!$D$103)*(1+rec_fracc)/frec),6))</f>
        <v/>
      </c>
      <c r="AR204" s="66">
        <f t="shared" si="254"/>
        <v>0</v>
      </c>
      <c r="AS204" s="119" t="str">
        <f t="shared" si="255"/>
        <v/>
      </c>
      <c r="AT204" s="66">
        <f>+IF($W204="","",ROUND(IF($B204&gt;Parámetros!$D$107,'Tablas Servicio'!AR204+('Tablas Servicio'!AT203-'Tablas Servicio'!AR203),AR204/(1-IF(B204&lt;=10,Parámetros!$D$100,0))),2))</f>
        <v>0</v>
      </c>
      <c r="AU204" s="66">
        <f t="shared" si="256"/>
        <v>0</v>
      </c>
      <c r="AV204" s="66">
        <f t="shared" si="256"/>
        <v>0</v>
      </c>
      <c r="AW204" s="66">
        <f>+IF($W204="","",ROUND((AT204*Parámetros!$G$85),2))</f>
        <v>0</v>
      </c>
      <c r="AX204" s="66">
        <f>+IF($W204="","",ROUND((AT204*(Parámetros!$G$86)),2))</f>
        <v>0</v>
      </c>
      <c r="AY204" s="66">
        <f t="shared" si="257"/>
        <v>0</v>
      </c>
      <c r="AZ204" t="str">
        <f t="shared" si="299"/>
        <v>00060</v>
      </c>
      <c r="BA204" t="str">
        <f t="shared" si="300"/>
        <v>Muerte Accidental</v>
      </c>
      <c r="BB204" s="118">
        <f t="shared" si="301"/>
        <v>0</v>
      </c>
      <c r="BC204" s="118" t="str">
        <f t="shared" si="302"/>
        <v>A</v>
      </c>
      <c r="BD204" s="119" t="str">
        <f>+IF(OR($W204="",BB204=0),"",ROUND((VLOOKUP(ROUNDDOWN($D204-1/frec,0),cob_adi,AO$40,FALSE)*(1+i/frec)^-0.5*(1+Parámetros!$D$103)*(1+rec_fracc)/frec),6))</f>
        <v/>
      </c>
      <c r="BE204" s="66">
        <f t="shared" si="258"/>
        <v>0</v>
      </c>
      <c r="BF204" s="119" t="str">
        <f t="shared" si="259"/>
        <v/>
      </c>
      <c r="BG204" s="66">
        <f>+IF($W204="","",ROUND(IF($B204&gt;Parámetros!$D$107,'Tablas Servicio'!BE204+('Tablas Servicio'!BG203-'Tablas Servicio'!BE203),BE204/(1-IF(B204&lt;=10,Parámetros!$D$100,0))),2))</f>
        <v>0</v>
      </c>
      <c r="BH204" s="66">
        <f t="shared" si="260"/>
        <v>0</v>
      </c>
      <c r="BI204" s="66">
        <f t="shared" si="261"/>
        <v>0</v>
      </c>
      <c r="BJ204" s="66">
        <f>+IF($W204="","",ROUND((BG204*Parámetros!$G$85),2))</f>
        <v>0</v>
      </c>
      <c r="BK204" s="66">
        <f>+IF($W204="","",ROUND((BG204*(Parámetros!$G$86)),2))</f>
        <v>0</v>
      </c>
      <c r="BL204" s="66">
        <f t="shared" si="262"/>
        <v>0</v>
      </c>
      <c r="BM204" t="str">
        <f t="shared" si="303"/>
        <v>00061</v>
      </c>
      <c r="BN204" t="str">
        <f t="shared" si="304"/>
        <v>Gastos de Entierro</v>
      </c>
      <c r="BO204" s="118">
        <f t="shared" si="305"/>
        <v>0</v>
      </c>
      <c r="BP204" s="118" t="str">
        <f t="shared" si="306"/>
        <v>A</v>
      </c>
      <c r="BQ204" s="119" t="str">
        <f>+IF(OR($W204="",BO204=0),"",ROUND((VLOOKUP(ROUNDDOWN($D204-1/frec,0),cob_adi,BB$40,FALSE)*(1+i/frec)^-0.5*(1+Parámetros!$D$103)*(1+rec_fracc)/frec),6))</f>
        <v/>
      </c>
      <c r="BR204" s="66">
        <f t="shared" si="263"/>
        <v>0</v>
      </c>
      <c r="BS204" s="119" t="str">
        <f t="shared" si="264"/>
        <v/>
      </c>
      <c r="BT204" s="66">
        <f>+IF($W204="","",ROUND(IF($B204&gt;Parámetros!$D$107,'Tablas Servicio'!BR204+('Tablas Servicio'!BT203-'Tablas Servicio'!BR203),BR204/(1-IF(B204&lt;=10,Parámetros!$D$100,0))),2))</f>
        <v>0</v>
      </c>
      <c r="BU204" s="66">
        <f t="shared" si="265"/>
        <v>0</v>
      </c>
      <c r="BV204" s="66">
        <f t="shared" si="265"/>
        <v>0</v>
      </c>
      <c r="BW204" s="66">
        <f>+IF($W204="","",ROUND((BT204*Parámetros!$G$85),2))</f>
        <v>0</v>
      </c>
      <c r="BX204" s="66">
        <f>+IF($W204="","",ROUND((BT204*(Parámetros!$G$86)),2))</f>
        <v>0</v>
      </c>
      <c r="BY204" s="66">
        <f t="shared" si="266"/>
        <v>0</v>
      </c>
      <c r="BZ204" t="str">
        <f t="shared" si="307"/>
        <v>00062</v>
      </c>
      <c r="CA204" t="str">
        <f t="shared" si="308"/>
        <v>Gastos médicos por accidente</v>
      </c>
      <c r="CB204" s="118">
        <f t="shared" si="309"/>
        <v>0</v>
      </c>
      <c r="CC204" s="118" t="str">
        <f t="shared" si="310"/>
        <v>A</v>
      </c>
      <c r="CD204" s="119" t="str">
        <f t="shared" si="267"/>
        <v/>
      </c>
      <c r="CE204" s="66">
        <f>+IF($W204="","",ROUND((VLOOKUP(ROUNDDOWN($D204-1/frec,0),cob_adi,BO$40,FALSE)*(1+i/frec)^-0.5*(1+Parámetros!$D$103)*(1+rec_fracc)/frec*'TABLAS ADI'!$BC$17),2))</f>
        <v>0</v>
      </c>
      <c r="CF204" s="119" t="str">
        <f t="shared" si="268"/>
        <v/>
      </c>
      <c r="CG204" s="66">
        <f>+IF($W204="","",ROUND(IF($B204&gt;Parámetros!$D$107,'Tablas Servicio'!CE204+('Tablas Servicio'!CG203-'Tablas Servicio'!CE203),CE204/(1-IF(B204&lt;=10,Parámetros!$D$100,0))),2))</f>
        <v>0</v>
      </c>
      <c r="CH204" s="66">
        <f t="shared" si="269"/>
        <v>0</v>
      </c>
      <c r="CI204" s="66">
        <f t="shared" si="269"/>
        <v>0</v>
      </c>
      <c r="CJ204" s="66">
        <f>+IF($W204="","",ROUND((CG204*Parámetros!$G$85),2))</f>
        <v>0</v>
      </c>
      <c r="CK204" s="66">
        <f>+IF($W204="","",ROUND((CG204*(Parámetros!$G$86)),2))</f>
        <v>0</v>
      </c>
      <c r="CL204" s="66">
        <f t="shared" si="270"/>
        <v>0</v>
      </c>
      <c r="CM204" t="str">
        <f t="shared" si="311"/>
        <v>00063</v>
      </c>
      <c r="CN204" s="118" t="str">
        <f t="shared" si="312"/>
        <v>Renta Diaria por Hospitalización</v>
      </c>
      <c r="CO204" s="118">
        <f t="shared" si="313"/>
        <v>0</v>
      </c>
      <c r="CP204" s="118" t="str">
        <f t="shared" si="314"/>
        <v>A</v>
      </c>
      <c r="CQ204" s="119" t="str">
        <f t="shared" si="271"/>
        <v/>
      </c>
      <c r="CR204" s="66">
        <f>+IF($W204="","",ROUND((VLOOKUP(Parámetros!$F$51,'COBERTURAS ADICIONALES'!$S$4:$T$32,2,FALSE)*(1+i/frec)^-0.5*(1+Parámetros!$D$103)*(1+rec_fracc)/frec*$CO$42),2))</f>
        <v>0</v>
      </c>
      <c r="CS204" s="119" t="str">
        <f t="shared" si="272"/>
        <v/>
      </c>
      <c r="CT204" s="66">
        <f>+IF($W204="","",ROUND(IF($B204&gt;Parámetros!$D$107,'Tablas Servicio'!CR204+('Tablas Servicio'!CT203-'Tablas Servicio'!CR203),CR204/(1-IF(B204&lt;=10,Parámetros!$D$100,0))),2))</f>
        <v>0</v>
      </c>
      <c r="CU204" s="66">
        <f t="shared" si="273"/>
        <v>0</v>
      </c>
      <c r="CV204" s="66">
        <f t="shared" si="273"/>
        <v>0</v>
      </c>
      <c r="CW204" s="66">
        <f>+IF($W204="","",ROUND((CT204*Parámetros!$G$85),2))</f>
        <v>0</v>
      </c>
      <c r="CX204" s="66">
        <f>+IF($W204="","",ROUND((CT204*(Parámetros!$G$86)),2))</f>
        <v>0</v>
      </c>
      <c r="CY204" s="66">
        <f t="shared" si="274"/>
        <v>0</v>
      </c>
      <c r="CZ204" t="str">
        <f t="shared" si="315"/>
        <v>00064</v>
      </c>
      <c r="DA204" s="118" t="str">
        <f t="shared" si="316"/>
        <v>Enfermedades Graves</v>
      </c>
      <c r="DB204" s="118">
        <f t="shared" si="317"/>
        <v>0</v>
      </c>
      <c r="DC204" s="118" t="str">
        <f t="shared" si="318"/>
        <v>A</v>
      </c>
      <c r="DD204" s="121" t="str">
        <f>+IF(OR($W204="",DB204=0),"",ROUND((VLOOKUP(ROUNDDOWN($D204-1/frec,0),cob_adi,CO$40,FALSE)*(1+i/frec)^-0.5*(1+Parámetros!$D$103)*(1+rec_fracc)/frec),6))</f>
        <v/>
      </c>
      <c r="DE204" s="66">
        <f t="shared" si="275"/>
        <v>0</v>
      </c>
      <c r="DF204" s="119" t="str">
        <f t="shared" si="276"/>
        <v/>
      </c>
      <c r="DG204" s="66">
        <f>+IF($W204="","",ROUND(IF($B204&gt;Parámetros!$D$107,'Tablas Servicio'!DE204+('Tablas Servicio'!DG203-'Tablas Servicio'!DE203),DE204/(1-IF(B204&lt;=10,Parámetros!$D$100,0))),2))</f>
        <v>0</v>
      </c>
      <c r="DH204" s="66">
        <f t="shared" si="277"/>
        <v>0</v>
      </c>
      <c r="DI204" s="66">
        <f t="shared" si="277"/>
        <v>0</v>
      </c>
      <c r="DJ204" s="66">
        <f>+IF($W204="","",ROUND((DG204*Parámetros!$G$85),2))</f>
        <v>0</v>
      </c>
      <c r="DK204" s="66">
        <f>+IF($W204="","",ROUND((DG204*(Parámetros!$G$86)),2))</f>
        <v>0</v>
      </c>
      <c r="DL204" s="66">
        <f t="shared" si="278"/>
        <v>0</v>
      </c>
      <c r="DM204" t="str">
        <f t="shared" si="319"/>
        <v>00065</v>
      </c>
      <c r="DN204" s="118" t="str">
        <f t="shared" si="320"/>
        <v>Exención pago de primas</v>
      </c>
      <c r="DO204" s="118">
        <f t="shared" si="321"/>
        <v>0</v>
      </c>
      <c r="DP204" s="118" t="str">
        <f t="shared" si="322"/>
        <v>A</v>
      </c>
      <c r="DQ204" s="122" t="str">
        <f>+IF(OR($W204="",DO204=0),"",ROUND((VLOOKUP(ROUNDDOWN($D204-1/frec,0),cob_adi,DB$40,FALSE)*(1+i/frec)^-0.5*(1+Parámetros!$D$103)*(1+rec_fracc)/frec),6))</f>
        <v/>
      </c>
      <c r="DR204" s="66">
        <f t="shared" si="279"/>
        <v>0</v>
      </c>
      <c r="DS204" s="68" t="str">
        <f t="shared" si="280"/>
        <v/>
      </c>
      <c r="DT204" s="66">
        <f>+IF($W204="","",ROUND(IF($B204&gt;Parámetros!$D$107,'Tablas Servicio'!DR204+('Tablas Servicio'!DT203-'Tablas Servicio'!DR203),DR204/(1-IF(B204&lt;=10,Parámetros!$D$100,0))),2))</f>
        <v>0</v>
      </c>
      <c r="DU204" s="66">
        <f t="shared" si="281"/>
        <v>0</v>
      </c>
      <c r="DV204" s="66">
        <f t="shared" si="281"/>
        <v>0</v>
      </c>
      <c r="DW204" s="66">
        <f>+IF($W204="","",ROUND((DT204*Parámetros!$G$85),2))</f>
        <v>0</v>
      </c>
      <c r="DX204" s="66">
        <f>+IF($W204="","",ROUND((DT204*(Parámetros!$G$86)),2))</f>
        <v>0</v>
      </c>
      <c r="DY204" s="66">
        <f t="shared" si="282"/>
        <v>0</v>
      </c>
      <c r="DZ204" t="str">
        <f t="shared" si="324"/>
        <v>00066</v>
      </c>
      <c r="EA204" s="118" t="str">
        <f t="shared" si="324"/>
        <v>Enfermedad terminal</v>
      </c>
      <c r="EB204" s="118">
        <f>+IF($W204="","",ROUND(IF(Parámetros!$D$25='TABLAS MORT'!$V$33,EB203,Z204/2),0))</f>
        <v>50000</v>
      </c>
      <c r="EC204" s="118" t="str">
        <f t="shared" si="324"/>
        <v>A</v>
      </c>
      <c r="ED204" s="122">
        <f>+IF(OR($W204="",EB204=0),"",ROUND((VLOOKUP(ROUNDDOWN($D204-1/frec,0),cob_adi,DO$40,FALSE)*(1+i/frec)^-0.5*(1+Parámetros!$D$103)*(1+rec_fracc)/frec),6))</f>
        <v>1.8E-5</v>
      </c>
      <c r="EE204" s="66">
        <f t="shared" si="284"/>
        <v>0.9</v>
      </c>
      <c r="EF204" s="68">
        <f t="shared" si="285"/>
        <v>1.8E-5</v>
      </c>
      <c r="EG204" s="66">
        <f>+IF($W204="","",ROUND(IF($B204&gt;Parámetros!$D$107,'Tablas Servicio'!EE204+('Tablas Servicio'!EG203-'Tablas Servicio'!EE203),EE204/(1-IF(B204&lt;=10,Parámetros!$D$100,0))),2))</f>
        <v>0.9</v>
      </c>
      <c r="EH204" s="66">
        <f t="shared" si="286"/>
        <v>0</v>
      </c>
      <c r="EI204" s="66">
        <f t="shared" si="286"/>
        <v>0</v>
      </c>
      <c r="EJ204" s="66">
        <f>+IF($W204="","",ROUND((EG204*Parámetros!$G$85),2))</f>
        <v>0.03</v>
      </c>
      <c r="EK204" s="66">
        <f>+IF($W204="","",ROUND((EG204*(Parámetros!$G$86)),2))</f>
        <v>0</v>
      </c>
      <c r="EL204" s="66">
        <f t="shared" si="287"/>
        <v>0.93</v>
      </c>
    </row>
    <row r="205" spans="1:142" x14ac:dyDescent="0.25">
      <c r="A205">
        <f>+IF($C205="","",ROUND(VLOOKUP('Tablas Servicio'!B205,Parámetros!$H$100:$J$159,IF(Parámetros!$E$16="F",2,3),FALSE),2))</f>
        <v>150</v>
      </c>
      <c r="B205">
        <f t="shared" si="238"/>
        <v>14</v>
      </c>
      <c r="C205" s="57">
        <f>+IF(D205="","",'Tablas Servicio'!C204+1)</f>
        <v>164</v>
      </c>
      <c r="D205" s="56">
        <f>+IF(D204&lt;edadmaxtabla,D204+1/Parámetros!$E$25,"")</f>
        <v>53.686666666667058</v>
      </c>
      <c r="E205" s="57">
        <f t="shared" si="248"/>
        <v>53</v>
      </c>
      <c r="F205" s="59">
        <f t="shared" si="249"/>
        <v>100000</v>
      </c>
      <c r="G205" s="66">
        <f t="shared" si="239"/>
        <v>41.199999999999996</v>
      </c>
      <c r="H205" s="66">
        <f t="shared" si="240"/>
        <v>42.839999999999996</v>
      </c>
      <c r="I205" s="66">
        <f t="shared" si="288"/>
        <v>51.160000000000004</v>
      </c>
      <c r="J205" s="66">
        <f t="shared" si="241"/>
        <v>1.44</v>
      </c>
      <c r="K205" s="66">
        <f t="shared" si="242"/>
        <v>0.2</v>
      </c>
      <c r="L205" s="66">
        <f t="shared" si="243"/>
        <v>0</v>
      </c>
      <c r="M205" s="66">
        <f t="shared" si="244"/>
        <v>0</v>
      </c>
      <c r="N205" s="66">
        <f>+IF(C205="","",ROUND(Parámetros!$D$23,2))</f>
        <v>94</v>
      </c>
      <c r="O205" s="66">
        <f t="shared" si="245"/>
        <v>28.7</v>
      </c>
      <c r="P205" s="66">
        <f>+IF($C205="","",ROUND(IF(B205&gt;Parámetros!$D$117,0,N205*Parámetros!$D$116-G205*Parámetros!$D$100),2))</f>
        <v>0</v>
      </c>
      <c r="Q205" s="75">
        <f t="shared" si="289"/>
        <v>3.4951456310679613E-2</v>
      </c>
      <c r="R205" s="75">
        <f t="shared" si="290"/>
        <v>4.8543689320388354E-3</v>
      </c>
      <c r="S205" s="117">
        <f>+IF($C205="","",ROUND((S204+I205)*(1+Parámetros!$D$91),2))</f>
        <v>11413.61</v>
      </c>
      <c r="T205" s="117">
        <f>+IF($C205="","",ROUND(S205*VLOOKUP(B205,Parámetros!$C$30:$D$39,2,TRUE),2))</f>
        <v>11413.61</v>
      </c>
      <c r="U205" s="117">
        <f>+IF($C205="","",ROUND((U204+I205)*(1+Parámetros!$D$92),2))</f>
        <v>11843.7</v>
      </c>
      <c r="V205" s="117">
        <f>+IF($C205="","",ROUND(U205*VLOOKUP(B205,Parámetros!$C$30:$D$39,2,TRUE),2))</f>
        <v>11843.7</v>
      </c>
      <c r="W205" s="57">
        <f t="shared" si="291"/>
        <v>164</v>
      </c>
      <c r="X205" t="str">
        <f t="shared" si="292"/>
        <v>00058</v>
      </c>
      <c r="Y205" t="str">
        <f t="shared" si="293"/>
        <v>MUERTE POR CUALQUIER CAUSA</v>
      </c>
      <c r="Z205" s="118">
        <f>+IF($W205="","",ROUND(IF(Parámetros!$D$25='TABLAS MORT'!$V$33,Z204,Parámetros!$D$21-'Tablas Servicio'!T204),0))</f>
        <v>100000</v>
      </c>
      <c r="AA205" s="118" t="str">
        <f t="shared" si="294"/>
        <v>P</v>
      </c>
      <c r="AB205" s="119">
        <f>+IF(W205="","",ROUND((VLOOKUP(ROUNDDOWN($D205-1/frec,0),qx_tabla,2,FALSE)*(1+i/frec)^-0.5*(1+Parámetros!$D$103)*(1+rec_fracc)/frec),6))</f>
        <v>2.7799999999999998E-4</v>
      </c>
      <c r="AC205" s="66">
        <f t="shared" si="250"/>
        <v>27.8</v>
      </c>
      <c r="AD205" s="119">
        <f t="shared" si="246"/>
        <v>4.0299999999999998E-4</v>
      </c>
      <c r="AE205" s="66">
        <f>+IF($W205="","",ROUND(IF($B205&gt;Parámetros!$D$107,'Tablas Servicio'!AC205+('Tablas Servicio'!AG204-'Tablas Servicio'!AC204),AC205/(1-IF(B205&lt;=10,Parámetros!$D$104,Parámetros!$D$105))),2))</f>
        <v>46.33</v>
      </c>
      <c r="AF205" s="66">
        <f>+IF($W205="","",ROUND(IF($B205&gt;Parámetros!$D$107,'Tablas Servicio'!AC205+('Tablas Servicio'!AG204-'Tablas Servicio'!AC204),(AC205+$A204/frec)/(1-IF(B205&lt;=Parámetros!$D$117,Parámetros!$D$100,0))),2))</f>
        <v>40.299999999999997</v>
      </c>
      <c r="AG205" s="66">
        <f t="shared" si="251"/>
        <v>40.299999999999997</v>
      </c>
      <c r="AH205" s="66">
        <f t="shared" si="252"/>
        <v>0</v>
      </c>
      <c r="AI205" s="66">
        <f t="shared" si="253"/>
        <v>0</v>
      </c>
      <c r="AJ205" s="66">
        <f>+IF($W205="","",ROUND((AG205*Parámetros!$G$85),2))</f>
        <v>1.41</v>
      </c>
      <c r="AK205" s="66">
        <f>+IF($W205="","",ROUND((AG205*(Parámetros!$G$86)),2))</f>
        <v>0.2</v>
      </c>
      <c r="AL205" s="66">
        <f t="shared" si="247"/>
        <v>41.91</v>
      </c>
      <c r="AM205" t="str">
        <f t="shared" si="295"/>
        <v>00059</v>
      </c>
      <c r="AN205" t="str">
        <f t="shared" si="296"/>
        <v>Incapacidad Total y Permanente</v>
      </c>
      <c r="AO205" s="118">
        <f t="shared" si="297"/>
        <v>0</v>
      </c>
      <c r="AP205" s="118" t="str">
        <f t="shared" si="298"/>
        <v>A</v>
      </c>
      <c r="AQ205" s="119" t="str">
        <f>+IF(OR($W205="",AO205=0),"",ROUND((VLOOKUP(ROUNDDOWN($D205-1/frec,0),cob_adi,Z$40,FALSE)*(1+i/frec)^-0.5*(1+Parámetros!$D$103)*(1+rec_fracc)/frec),6))</f>
        <v/>
      </c>
      <c r="AR205" s="66">
        <f t="shared" si="254"/>
        <v>0</v>
      </c>
      <c r="AS205" s="119" t="str">
        <f t="shared" si="255"/>
        <v/>
      </c>
      <c r="AT205" s="66">
        <f>+IF($W205="","",ROUND(IF($B205&gt;Parámetros!$D$107,'Tablas Servicio'!AR205+('Tablas Servicio'!AT204-'Tablas Servicio'!AR204),AR205/(1-IF(B205&lt;=10,Parámetros!$D$100,0))),2))</f>
        <v>0</v>
      </c>
      <c r="AU205" s="66">
        <f t="shared" si="256"/>
        <v>0</v>
      </c>
      <c r="AV205" s="66">
        <f t="shared" si="256"/>
        <v>0</v>
      </c>
      <c r="AW205" s="66">
        <f>+IF($W205="","",ROUND((AT205*Parámetros!$G$85),2))</f>
        <v>0</v>
      </c>
      <c r="AX205" s="66">
        <f>+IF($W205="","",ROUND((AT205*(Parámetros!$G$86)),2))</f>
        <v>0</v>
      </c>
      <c r="AY205" s="66">
        <f t="shared" si="257"/>
        <v>0</v>
      </c>
      <c r="AZ205" t="str">
        <f t="shared" si="299"/>
        <v>00060</v>
      </c>
      <c r="BA205" t="str">
        <f t="shared" si="300"/>
        <v>Muerte Accidental</v>
      </c>
      <c r="BB205" s="118">
        <f t="shared" si="301"/>
        <v>0</v>
      </c>
      <c r="BC205" s="118" t="str">
        <f t="shared" si="302"/>
        <v>A</v>
      </c>
      <c r="BD205" s="119" t="str">
        <f>+IF(OR($W205="",BB205=0),"",ROUND((VLOOKUP(ROUNDDOWN($D205-1/frec,0),cob_adi,AO$40,FALSE)*(1+i/frec)^-0.5*(1+Parámetros!$D$103)*(1+rec_fracc)/frec),6))</f>
        <v/>
      </c>
      <c r="BE205" s="66">
        <f t="shared" si="258"/>
        <v>0</v>
      </c>
      <c r="BF205" s="119" t="str">
        <f t="shared" si="259"/>
        <v/>
      </c>
      <c r="BG205" s="66">
        <f>+IF($W205="","",ROUND(IF($B205&gt;Parámetros!$D$107,'Tablas Servicio'!BE205+('Tablas Servicio'!BG204-'Tablas Servicio'!BE204),BE205/(1-IF(B205&lt;=10,Parámetros!$D$100,0))),2))</f>
        <v>0</v>
      </c>
      <c r="BH205" s="66">
        <f t="shared" si="260"/>
        <v>0</v>
      </c>
      <c r="BI205" s="66">
        <f t="shared" si="261"/>
        <v>0</v>
      </c>
      <c r="BJ205" s="66">
        <f>+IF($W205="","",ROUND((BG205*Parámetros!$G$85),2))</f>
        <v>0</v>
      </c>
      <c r="BK205" s="66">
        <f>+IF($W205="","",ROUND((BG205*(Parámetros!$G$86)),2))</f>
        <v>0</v>
      </c>
      <c r="BL205" s="66">
        <f t="shared" si="262"/>
        <v>0</v>
      </c>
      <c r="BM205" t="str">
        <f t="shared" si="303"/>
        <v>00061</v>
      </c>
      <c r="BN205" t="str">
        <f t="shared" si="304"/>
        <v>Gastos de Entierro</v>
      </c>
      <c r="BO205" s="118">
        <f t="shared" si="305"/>
        <v>0</v>
      </c>
      <c r="BP205" s="118" t="str">
        <f t="shared" si="306"/>
        <v>A</v>
      </c>
      <c r="BQ205" s="119" t="str">
        <f>+IF(OR($W205="",BO205=0),"",ROUND((VLOOKUP(ROUNDDOWN($D205-1/frec,0),cob_adi,BB$40,FALSE)*(1+i/frec)^-0.5*(1+Parámetros!$D$103)*(1+rec_fracc)/frec),6))</f>
        <v/>
      </c>
      <c r="BR205" s="66">
        <f t="shared" si="263"/>
        <v>0</v>
      </c>
      <c r="BS205" s="119" t="str">
        <f t="shared" si="264"/>
        <v/>
      </c>
      <c r="BT205" s="66">
        <f>+IF($W205="","",ROUND(IF($B205&gt;Parámetros!$D$107,'Tablas Servicio'!BR205+('Tablas Servicio'!BT204-'Tablas Servicio'!BR204),BR205/(1-IF(B205&lt;=10,Parámetros!$D$100,0))),2))</f>
        <v>0</v>
      </c>
      <c r="BU205" s="66">
        <f t="shared" si="265"/>
        <v>0</v>
      </c>
      <c r="BV205" s="66">
        <f t="shared" si="265"/>
        <v>0</v>
      </c>
      <c r="BW205" s="66">
        <f>+IF($W205="","",ROUND((BT205*Parámetros!$G$85),2))</f>
        <v>0</v>
      </c>
      <c r="BX205" s="66">
        <f>+IF($W205="","",ROUND((BT205*(Parámetros!$G$86)),2))</f>
        <v>0</v>
      </c>
      <c r="BY205" s="66">
        <f t="shared" si="266"/>
        <v>0</v>
      </c>
      <c r="BZ205" t="str">
        <f t="shared" si="307"/>
        <v>00062</v>
      </c>
      <c r="CA205" t="str">
        <f t="shared" si="308"/>
        <v>Gastos médicos por accidente</v>
      </c>
      <c r="CB205" s="118">
        <f t="shared" si="309"/>
        <v>0</v>
      </c>
      <c r="CC205" s="118" t="str">
        <f t="shared" si="310"/>
        <v>A</v>
      </c>
      <c r="CD205" s="119" t="str">
        <f t="shared" si="267"/>
        <v/>
      </c>
      <c r="CE205" s="66">
        <f>+IF($W205="","",ROUND((VLOOKUP(ROUNDDOWN($D205-1/frec,0),cob_adi,BO$40,FALSE)*(1+i/frec)^-0.5*(1+Parámetros!$D$103)*(1+rec_fracc)/frec*'TABLAS ADI'!$BC$17),2))</f>
        <v>0</v>
      </c>
      <c r="CF205" s="119" t="str">
        <f t="shared" si="268"/>
        <v/>
      </c>
      <c r="CG205" s="66">
        <f>+IF($W205="","",ROUND(IF($B205&gt;Parámetros!$D$107,'Tablas Servicio'!CE205+('Tablas Servicio'!CG204-'Tablas Servicio'!CE204),CE205/(1-IF(B205&lt;=10,Parámetros!$D$100,0))),2))</f>
        <v>0</v>
      </c>
      <c r="CH205" s="66">
        <f t="shared" si="269"/>
        <v>0</v>
      </c>
      <c r="CI205" s="66">
        <f t="shared" si="269"/>
        <v>0</v>
      </c>
      <c r="CJ205" s="66">
        <f>+IF($W205="","",ROUND((CG205*Parámetros!$G$85),2))</f>
        <v>0</v>
      </c>
      <c r="CK205" s="66">
        <f>+IF($W205="","",ROUND((CG205*(Parámetros!$G$86)),2))</f>
        <v>0</v>
      </c>
      <c r="CL205" s="66">
        <f t="shared" si="270"/>
        <v>0</v>
      </c>
      <c r="CM205" t="str">
        <f t="shared" si="311"/>
        <v>00063</v>
      </c>
      <c r="CN205" s="118" t="str">
        <f t="shared" si="312"/>
        <v>Renta Diaria por Hospitalización</v>
      </c>
      <c r="CO205" s="118">
        <f t="shared" si="313"/>
        <v>0</v>
      </c>
      <c r="CP205" s="118" t="str">
        <f t="shared" si="314"/>
        <v>A</v>
      </c>
      <c r="CQ205" s="119" t="str">
        <f t="shared" si="271"/>
        <v/>
      </c>
      <c r="CR205" s="66">
        <f>+IF($W205="","",ROUND((VLOOKUP(Parámetros!$F$51,'COBERTURAS ADICIONALES'!$S$4:$T$32,2,FALSE)*(1+i/frec)^-0.5*(1+Parámetros!$D$103)*(1+rec_fracc)/frec*$CO$42),2))</f>
        <v>0</v>
      </c>
      <c r="CS205" s="119" t="str">
        <f t="shared" si="272"/>
        <v/>
      </c>
      <c r="CT205" s="66">
        <f>+IF($W205="","",ROUND(IF($B205&gt;Parámetros!$D$107,'Tablas Servicio'!CR205+('Tablas Servicio'!CT204-'Tablas Servicio'!CR204),CR205/(1-IF(B205&lt;=10,Parámetros!$D$100,0))),2))</f>
        <v>0</v>
      </c>
      <c r="CU205" s="66">
        <f t="shared" si="273"/>
        <v>0</v>
      </c>
      <c r="CV205" s="66">
        <f t="shared" si="273"/>
        <v>0</v>
      </c>
      <c r="CW205" s="66">
        <f>+IF($W205="","",ROUND((CT205*Parámetros!$G$85),2))</f>
        <v>0</v>
      </c>
      <c r="CX205" s="66">
        <f>+IF($W205="","",ROUND((CT205*(Parámetros!$G$86)),2))</f>
        <v>0</v>
      </c>
      <c r="CY205" s="66">
        <f t="shared" si="274"/>
        <v>0</v>
      </c>
      <c r="CZ205" t="str">
        <f t="shared" si="315"/>
        <v>00064</v>
      </c>
      <c r="DA205" s="118" t="str">
        <f t="shared" si="316"/>
        <v>Enfermedades Graves</v>
      </c>
      <c r="DB205" s="118">
        <f t="shared" si="317"/>
        <v>0</v>
      </c>
      <c r="DC205" s="118" t="str">
        <f t="shared" si="318"/>
        <v>A</v>
      </c>
      <c r="DD205" s="121" t="str">
        <f>+IF(OR($W205="",DB205=0),"",ROUND((VLOOKUP(ROUNDDOWN($D205-1/frec,0),cob_adi,CO$40,FALSE)*(1+i/frec)^-0.5*(1+Parámetros!$D$103)*(1+rec_fracc)/frec),6))</f>
        <v/>
      </c>
      <c r="DE205" s="66">
        <f t="shared" si="275"/>
        <v>0</v>
      </c>
      <c r="DF205" s="119" t="str">
        <f t="shared" si="276"/>
        <v/>
      </c>
      <c r="DG205" s="66">
        <f>+IF($W205="","",ROUND(IF($B205&gt;Parámetros!$D$107,'Tablas Servicio'!DE205+('Tablas Servicio'!DG204-'Tablas Servicio'!DE204),DE205/(1-IF(B205&lt;=10,Parámetros!$D$100,0))),2))</f>
        <v>0</v>
      </c>
      <c r="DH205" s="66">
        <f t="shared" si="277"/>
        <v>0</v>
      </c>
      <c r="DI205" s="66">
        <f t="shared" si="277"/>
        <v>0</v>
      </c>
      <c r="DJ205" s="66">
        <f>+IF($W205="","",ROUND((DG205*Parámetros!$G$85),2))</f>
        <v>0</v>
      </c>
      <c r="DK205" s="66">
        <f>+IF($W205="","",ROUND((DG205*(Parámetros!$G$86)),2))</f>
        <v>0</v>
      </c>
      <c r="DL205" s="66">
        <f t="shared" si="278"/>
        <v>0</v>
      </c>
      <c r="DM205" t="str">
        <f t="shared" si="319"/>
        <v>00065</v>
      </c>
      <c r="DN205" s="118" t="str">
        <f t="shared" si="320"/>
        <v>Exención pago de primas</v>
      </c>
      <c r="DO205" s="118">
        <f t="shared" si="321"/>
        <v>0</v>
      </c>
      <c r="DP205" s="118" t="str">
        <f t="shared" si="322"/>
        <v>A</v>
      </c>
      <c r="DQ205" s="122" t="str">
        <f>+IF(OR($W205="",DO205=0),"",ROUND((VLOOKUP(ROUNDDOWN($D205-1/frec,0),cob_adi,DB$40,FALSE)*(1+i/frec)^-0.5*(1+Parámetros!$D$103)*(1+rec_fracc)/frec),6))</f>
        <v/>
      </c>
      <c r="DR205" s="66">
        <f t="shared" si="279"/>
        <v>0</v>
      </c>
      <c r="DS205" s="68" t="str">
        <f t="shared" si="280"/>
        <v/>
      </c>
      <c r="DT205" s="66">
        <f>+IF($W205="","",ROUND(IF($B205&gt;Parámetros!$D$107,'Tablas Servicio'!DR205+('Tablas Servicio'!DT204-'Tablas Servicio'!DR204),DR205/(1-IF(B205&lt;=10,Parámetros!$D$100,0))),2))</f>
        <v>0</v>
      </c>
      <c r="DU205" s="66">
        <f t="shared" si="281"/>
        <v>0</v>
      </c>
      <c r="DV205" s="66">
        <f t="shared" si="281"/>
        <v>0</v>
      </c>
      <c r="DW205" s="66">
        <f>+IF($W205="","",ROUND((DT205*Parámetros!$G$85),2))</f>
        <v>0</v>
      </c>
      <c r="DX205" s="66">
        <f>+IF($W205="","",ROUND((DT205*(Parámetros!$G$86)),2))</f>
        <v>0</v>
      </c>
      <c r="DY205" s="66">
        <f t="shared" si="282"/>
        <v>0</v>
      </c>
      <c r="DZ205" t="str">
        <f t="shared" si="324"/>
        <v>00066</v>
      </c>
      <c r="EA205" s="118" t="str">
        <f t="shared" si="324"/>
        <v>Enfermedad terminal</v>
      </c>
      <c r="EB205" s="118">
        <f>+IF($W205="","",ROUND(IF(Parámetros!$D$25='TABLAS MORT'!$V$33,EB204,Z205/2),0))</f>
        <v>50000</v>
      </c>
      <c r="EC205" s="118" t="str">
        <f t="shared" si="324"/>
        <v>A</v>
      </c>
      <c r="ED205" s="122">
        <f>+IF(OR($W205="",EB205=0),"",ROUND((VLOOKUP(ROUNDDOWN($D205-1/frec,0),cob_adi,DO$40,FALSE)*(1+i/frec)^-0.5*(1+Parámetros!$D$103)*(1+rec_fracc)/frec),6))</f>
        <v>1.8E-5</v>
      </c>
      <c r="EE205" s="66">
        <f t="shared" si="284"/>
        <v>0.9</v>
      </c>
      <c r="EF205" s="68">
        <f t="shared" si="285"/>
        <v>1.8E-5</v>
      </c>
      <c r="EG205" s="66">
        <f>+IF($W205="","",ROUND(IF($B205&gt;Parámetros!$D$107,'Tablas Servicio'!EE205+('Tablas Servicio'!EG204-'Tablas Servicio'!EE204),EE205/(1-IF(B205&lt;=10,Parámetros!$D$100,0))),2))</f>
        <v>0.9</v>
      </c>
      <c r="EH205" s="66">
        <f t="shared" si="286"/>
        <v>0</v>
      </c>
      <c r="EI205" s="66">
        <f t="shared" si="286"/>
        <v>0</v>
      </c>
      <c r="EJ205" s="66">
        <f>+IF($W205="","",ROUND((EG205*Parámetros!$G$85),2))</f>
        <v>0.03</v>
      </c>
      <c r="EK205" s="66">
        <f>+IF($W205="","",ROUND((EG205*(Parámetros!$G$86)),2))</f>
        <v>0</v>
      </c>
      <c r="EL205" s="66">
        <f t="shared" si="287"/>
        <v>0.93</v>
      </c>
    </row>
    <row r="206" spans="1:142" x14ac:dyDescent="0.25">
      <c r="A206">
        <f>+IF($C206="","",ROUND(VLOOKUP('Tablas Servicio'!B206,Parámetros!$H$100:$J$159,IF(Parámetros!$E$16="F",2,3),FALSE),2))</f>
        <v>150</v>
      </c>
      <c r="B206">
        <f t="shared" si="238"/>
        <v>14</v>
      </c>
      <c r="C206" s="57">
        <f>+IF(D206="","",'Tablas Servicio'!C205+1)</f>
        <v>165</v>
      </c>
      <c r="D206" s="56">
        <f>+IF(D205&lt;edadmaxtabla,D205+1/Parámetros!$E$25,"")</f>
        <v>53.770000000000394</v>
      </c>
      <c r="E206" s="57">
        <f t="shared" si="248"/>
        <v>53</v>
      </c>
      <c r="F206" s="59">
        <f t="shared" si="249"/>
        <v>100000</v>
      </c>
      <c r="G206" s="66">
        <f t="shared" si="239"/>
        <v>41.199999999999996</v>
      </c>
      <c r="H206" s="66">
        <f t="shared" si="240"/>
        <v>42.839999999999996</v>
      </c>
      <c r="I206" s="66">
        <f t="shared" si="288"/>
        <v>51.160000000000004</v>
      </c>
      <c r="J206" s="66">
        <f t="shared" si="241"/>
        <v>1.44</v>
      </c>
      <c r="K206" s="66">
        <f t="shared" si="242"/>
        <v>0.2</v>
      </c>
      <c r="L206" s="66">
        <f t="shared" si="243"/>
        <v>0</v>
      </c>
      <c r="M206" s="66">
        <f t="shared" si="244"/>
        <v>0</v>
      </c>
      <c r="N206" s="66">
        <f>+IF(C206="","",ROUND(Parámetros!$D$23,2))</f>
        <v>94</v>
      </c>
      <c r="O206" s="66">
        <f t="shared" si="245"/>
        <v>28.7</v>
      </c>
      <c r="P206" s="66">
        <f>+IF($C206="","",ROUND(IF(B206&gt;Parámetros!$D$117,0,N206*Parámetros!$D$116-G206*Parámetros!$D$100),2))</f>
        <v>0</v>
      </c>
      <c r="Q206" s="75">
        <f t="shared" si="289"/>
        <v>3.4951456310679613E-2</v>
      </c>
      <c r="R206" s="75">
        <f t="shared" si="290"/>
        <v>4.8543689320388354E-3</v>
      </c>
      <c r="S206" s="117">
        <f>+IF($C206="","",ROUND((S205+I206)*(1+Parámetros!$D$91),2))</f>
        <v>11497.29</v>
      </c>
      <c r="T206" s="117">
        <f>+IF($C206="","",ROUND(S206*VLOOKUP(B206,Parámetros!$C$30:$D$39,2,TRUE),2))</f>
        <v>11497.29</v>
      </c>
      <c r="U206" s="117">
        <f>+IF($C206="","",ROUND((U205+I206)*(1+Parámetros!$D$92),2))</f>
        <v>11933.42</v>
      </c>
      <c r="V206" s="117">
        <f>+IF($C206="","",ROUND(U206*VLOOKUP(B206,Parámetros!$C$30:$D$39,2,TRUE),2))</f>
        <v>11933.42</v>
      </c>
      <c r="W206" s="57">
        <f t="shared" si="291"/>
        <v>165</v>
      </c>
      <c r="X206" t="str">
        <f t="shared" si="292"/>
        <v>00058</v>
      </c>
      <c r="Y206" t="str">
        <f t="shared" si="293"/>
        <v>MUERTE POR CUALQUIER CAUSA</v>
      </c>
      <c r="Z206" s="118">
        <f>+IF($W206="","",ROUND(IF(Parámetros!$D$25='TABLAS MORT'!$V$33,Z205,Parámetros!$D$21-'Tablas Servicio'!T205),0))</f>
        <v>100000</v>
      </c>
      <c r="AA206" s="118" t="str">
        <f t="shared" si="294"/>
        <v>P</v>
      </c>
      <c r="AB206" s="119">
        <f>+IF(W206="","",ROUND((VLOOKUP(ROUNDDOWN($D206-1/frec,0),qx_tabla,2,FALSE)*(1+i/frec)^-0.5*(1+Parámetros!$D$103)*(1+rec_fracc)/frec),6))</f>
        <v>2.7799999999999998E-4</v>
      </c>
      <c r="AC206" s="66">
        <f t="shared" si="250"/>
        <v>27.8</v>
      </c>
      <c r="AD206" s="119">
        <f t="shared" si="246"/>
        <v>4.0299999999999998E-4</v>
      </c>
      <c r="AE206" s="66">
        <f>+IF($W206="","",ROUND(IF($B206&gt;Parámetros!$D$107,'Tablas Servicio'!AC206+('Tablas Servicio'!AG205-'Tablas Servicio'!AC205),AC206/(1-IF(B206&lt;=10,Parámetros!$D$104,Parámetros!$D$105))),2))</f>
        <v>46.33</v>
      </c>
      <c r="AF206" s="66">
        <f>+IF($W206="","",ROUND(IF($B206&gt;Parámetros!$D$107,'Tablas Servicio'!AC206+('Tablas Servicio'!AG205-'Tablas Servicio'!AC205),(AC206+$A205/frec)/(1-IF(B206&lt;=Parámetros!$D$117,Parámetros!$D$100,0))),2))</f>
        <v>40.299999999999997</v>
      </c>
      <c r="AG206" s="66">
        <f t="shared" si="251"/>
        <v>40.299999999999997</v>
      </c>
      <c r="AH206" s="66">
        <f t="shared" si="252"/>
        <v>0</v>
      </c>
      <c r="AI206" s="66">
        <f t="shared" si="253"/>
        <v>0</v>
      </c>
      <c r="AJ206" s="66">
        <f>+IF($W206="","",ROUND((AG206*Parámetros!$G$85),2))</f>
        <v>1.41</v>
      </c>
      <c r="AK206" s="66">
        <f>+IF($W206="","",ROUND((AG206*(Parámetros!$G$86)),2))</f>
        <v>0.2</v>
      </c>
      <c r="AL206" s="66">
        <f t="shared" si="247"/>
        <v>41.91</v>
      </c>
      <c r="AM206" t="str">
        <f t="shared" si="295"/>
        <v>00059</v>
      </c>
      <c r="AN206" t="str">
        <f t="shared" si="296"/>
        <v>Incapacidad Total y Permanente</v>
      </c>
      <c r="AO206" s="118">
        <f t="shared" si="297"/>
        <v>0</v>
      </c>
      <c r="AP206" s="118" t="str">
        <f t="shared" si="298"/>
        <v>A</v>
      </c>
      <c r="AQ206" s="119" t="str">
        <f>+IF(OR($W206="",AO206=0),"",ROUND((VLOOKUP(ROUNDDOWN($D206-1/frec,0),cob_adi,Z$40,FALSE)*(1+i/frec)^-0.5*(1+Parámetros!$D$103)*(1+rec_fracc)/frec),6))</f>
        <v/>
      </c>
      <c r="AR206" s="66">
        <f t="shared" si="254"/>
        <v>0</v>
      </c>
      <c r="AS206" s="119" t="str">
        <f t="shared" si="255"/>
        <v/>
      </c>
      <c r="AT206" s="66">
        <f>+IF($W206="","",ROUND(IF($B206&gt;Parámetros!$D$107,'Tablas Servicio'!AR206+('Tablas Servicio'!AT205-'Tablas Servicio'!AR205),AR206/(1-IF(B206&lt;=10,Parámetros!$D$100,0))),2))</f>
        <v>0</v>
      </c>
      <c r="AU206" s="66">
        <f t="shared" si="256"/>
        <v>0</v>
      </c>
      <c r="AV206" s="66">
        <f t="shared" si="256"/>
        <v>0</v>
      </c>
      <c r="AW206" s="66">
        <f>+IF($W206="","",ROUND((AT206*Parámetros!$G$85),2))</f>
        <v>0</v>
      </c>
      <c r="AX206" s="66">
        <f>+IF($W206="","",ROUND((AT206*(Parámetros!$G$86)),2))</f>
        <v>0</v>
      </c>
      <c r="AY206" s="66">
        <f t="shared" si="257"/>
        <v>0</v>
      </c>
      <c r="AZ206" t="str">
        <f t="shared" si="299"/>
        <v>00060</v>
      </c>
      <c r="BA206" t="str">
        <f t="shared" si="300"/>
        <v>Muerte Accidental</v>
      </c>
      <c r="BB206" s="118">
        <f t="shared" si="301"/>
        <v>0</v>
      </c>
      <c r="BC206" s="118" t="str">
        <f t="shared" si="302"/>
        <v>A</v>
      </c>
      <c r="BD206" s="119" t="str">
        <f>+IF(OR($W206="",BB206=0),"",ROUND((VLOOKUP(ROUNDDOWN($D206-1/frec,0),cob_adi,AO$40,FALSE)*(1+i/frec)^-0.5*(1+Parámetros!$D$103)*(1+rec_fracc)/frec),6))</f>
        <v/>
      </c>
      <c r="BE206" s="66">
        <f t="shared" si="258"/>
        <v>0</v>
      </c>
      <c r="BF206" s="119" t="str">
        <f t="shared" si="259"/>
        <v/>
      </c>
      <c r="BG206" s="66">
        <f>+IF($W206="","",ROUND(IF($B206&gt;Parámetros!$D$107,'Tablas Servicio'!BE206+('Tablas Servicio'!BG205-'Tablas Servicio'!BE205),BE206/(1-IF(B206&lt;=10,Parámetros!$D$100,0))),2))</f>
        <v>0</v>
      </c>
      <c r="BH206" s="66">
        <f t="shared" si="260"/>
        <v>0</v>
      </c>
      <c r="BI206" s="66">
        <f t="shared" si="261"/>
        <v>0</v>
      </c>
      <c r="BJ206" s="66">
        <f>+IF($W206="","",ROUND((BG206*Parámetros!$G$85),2))</f>
        <v>0</v>
      </c>
      <c r="BK206" s="66">
        <f>+IF($W206="","",ROUND((BG206*(Parámetros!$G$86)),2))</f>
        <v>0</v>
      </c>
      <c r="BL206" s="66">
        <f t="shared" si="262"/>
        <v>0</v>
      </c>
      <c r="BM206" t="str">
        <f t="shared" si="303"/>
        <v>00061</v>
      </c>
      <c r="BN206" t="str">
        <f t="shared" si="304"/>
        <v>Gastos de Entierro</v>
      </c>
      <c r="BO206" s="118">
        <f t="shared" si="305"/>
        <v>0</v>
      </c>
      <c r="BP206" s="118" t="str">
        <f t="shared" si="306"/>
        <v>A</v>
      </c>
      <c r="BQ206" s="119" t="str">
        <f>+IF(OR($W206="",BO206=0),"",ROUND((VLOOKUP(ROUNDDOWN($D206-1/frec,0),cob_adi,BB$40,FALSE)*(1+i/frec)^-0.5*(1+Parámetros!$D$103)*(1+rec_fracc)/frec),6))</f>
        <v/>
      </c>
      <c r="BR206" s="66">
        <f t="shared" si="263"/>
        <v>0</v>
      </c>
      <c r="BS206" s="119" t="str">
        <f t="shared" si="264"/>
        <v/>
      </c>
      <c r="BT206" s="66">
        <f>+IF($W206="","",ROUND(IF($B206&gt;Parámetros!$D$107,'Tablas Servicio'!BR206+('Tablas Servicio'!BT205-'Tablas Servicio'!BR205),BR206/(1-IF(B206&lt;=10,Parámetros!$D$100,0))),2))</f>
        <v>0</v>
      </c>
      <c r="BU206" s="66">
        <f t="shared" si="265"/>
        <v>0</v>
      </c>
      <c r="BV206" s="66">
        <f t="shared" si="265"/>
        <v>0</v>
      </c>
      <c r="BW206" s="66">
        <f>+IF($W206="","",ROUND((BT206*Parámetros!$G$85),2))</f>
        <v>0</v>
      </c>
      <c r="BX206" s="66">
        <f>+IF($W206="","",ROUND((BT206*(Parámetros!$G$86)),2))</f>
        <v>0</v>
      </c>
      <c r="BY206" s="66">
        <f t="shared" si="266"/>
        <v>0</v>
      </c>
      <c r="BZ206" t="str">
        <f t="shared" si="307"/>
        <v>00062</v>
      </c>
      <c r="CA206" t="str">
        <f t="shared" si="308"/>
        <v>Gastos médicos por accidente</v>
      </c>
      <c r="CB206" s="118">
        <f t="shared" si="309"/>
        <v>0</v>
      </c>
      <c r="CC206" s="118" t="str">
        <f t="shared" si="310"/>
        <v>A</v>
      </c>
      <c r="CD206" s="119" t="str">
        <f t="shared" si="267"/>
        <v/>
      </c>
      <c r="CE206" s="66">
        <f>+IF($W206="","",ROUND((VLOOKUP(ROUNDDOWN($D206-1/frec,0),cob_adi,BO$40,FALSE)*(1+i/frec)^-0.5*(1+Parámetros!$D$103)*(1+rec_fracc)/frec*'TABLAS ADI'!$BC$17),2))</f>
        <v>0</v>
      </c>
      <c r="CF206" s="119" t="str">
        <f t="shared" si="268"/>
        <v/>
      </c>
      <c r="CG206" s="66">
        <f>+IF($W206="","",ROUND(IF($B206&gt;Parámetros!$D$107,'Tablas Servicio'!CE206+('Tablas Servicio'!CG205-'Tablas Servicio'!CE205),CE206/(1-IF(B206&lt;=10,Parámetros!$D$100,0))),2))</f>
        <v>0</v>
      </c>
      <c r="CH206" s="66">
        <f t="shared" si="269"/>
        <v>0</v>
      </c>
      <c r="CI206" s="66">
        <f t="shared" si="269"/>
        <v>0</v>
      </c>
      <c r="CJ206" s="66">
        <f>+IF($W206="","",ROUND((CG206*Parámetros!$G$85),2))</f>
        <v>0</v>
      </c>
      <c r="CK206" s="66">
        <f>+IF($W206="","",ROUND((CG206*(Parámetros!$G$86)),2))</f>
        <v>0</v>
      </c>
      <c r="CL206" s="66">
        <f t="shared" si="270"/>
        <v>0</v>
      </c>
      <c r="CM206" t="str">
        <f t="shared" si="311"/>
        <v>00063</v>
      </c>
      <c r="CN206" s="118" t="str">
        <f t="shared" si="312"/>
        <v>Renta Diaria por Hospitalización</v>
      </c>
      <c r="CO206" s="118">
        <f t="shared" si="313"/>
        <v>0</v>
      </c>
      <c r="CP206" s="118" t="str">
        <f t="shared" si="314"/>
        <v>A</v>
      </c>
      <c r="CQ206" s="119" t="str">
        <f t="shared" si="271"/>
        <v/>
      </c>
      <c r="CR206" s="66">
        <f>+IF($W206="","",ROUND((VLOOKUP(Parámetros!$F$51,'COBERTURAS ADICIONALES'!$S$4:$T$32,2,FALSE)*(1+i/frec)^-0.5*(1+Parámetros!$D$103)*(1+rec_fracc)/frec*$CO$42),2))</f>
        <v>0</v>
      </c>
      <c r="CS206" s="119" t="str">
        <f t="shared" si="272"/>
        <v/>
      </c>
      <c r="CT206" s="66">
        <f>+IF($W206="","",ROUND(IF($B206&gt;Parámetros!$D$107,'Tablas Servicio'!CR206+('Tablas Servicio'!CT205-'Tablas Servicio'!CR205),CR206/(1-IF(B206&lt;=10,Parámetros!$D$100,0))),2))</f>
        <v>0</v>
      </c>
      <c r="CU206" s="66">
        <f t="shared" si="273"/>
        <v>0</v>
      </c>
      <c r="CV206" s="66">
        <f t="shared" si="273"/>
        <v>0</v>
      </c>
      <c r="CW206" s="66">
        <f>+IF($W206="","",ROUND((CT206*Parámetros!$G$85),2))</f>
        <v>0</v>
      </c>
      <c r="CX206" s="66">
        <f>+IF($W206="","",ROUND((CT206*(Parámetros!$G$86)),2))</f>
        <v>0</v>
      </c>
      <c r="CY206" s="66">
        <f t="shared" si="274"/>
        <v>0</v>
      </c>
      <c r="CZ206" t="str">
        <f t="shared" si="315"/>
        <v>00064</v>
      </c>
      <c r="DA206" s="118" t="str">
        <f t="shared" si="316"/>
        <v>Enfermedades Graves</v>
      </c>
      <c r="DB206" s="118">
        <f t="shared" si="317"/>
        <v>0</v>
      </c>
      <c r="DC206" s="118" t="str">
        <f t="shared" si="318"/>
        <v>A</v>
      </c>
      <c r="DD206" s="121" t="str">
        <f>+IF(OR($W206="",DB206=0),"",ROUND((VLOOKUP(ROUNDDOWN($D206-1/frec,0),cob_adi,CO$40,FALSE)*(1+i/frec)^-0.5*(1+Parámetros!$D$103)*(1+rec_fracc)/frec),6))</f>
        <v/>
      </c>
      <c r="DE206" s="66">
        <f t="shared" si="275"/>
        <v>0</v>
      </c>
      <c r="DF206" s="119" t="str">
        <f t="shared" si="276"/>
        <v/>
      </c>
      <c r="DG206" s="66">
        <f>+IF($W206="","",ROUND(IF($B206&gt;Parámetros!$D$107,'Tablas Servicio'!DE206+('Tablas Servicio'!DG205-'Tablas Servicio'!DE205),DE206/(1-IF(B206&lt;=10,Parámetros!$D$100,0))),2))</f>
        <v>0</v>
      </c>
      <c r="DH206" s="66">
        <f t="shared" si="277"/>
        <v>0</v>
      </c>
      <c r="DI206" s="66">
        <f t="shared" si="277"/>
        <v>0</v>
      </c>
      <c r="DJ206" s="66">
        <f>+IF($W206="","",ROUND((DG206*Parámetros!$G$85),2))</f>
        <v>0</v>
      </c>
      <c r="DK206" s="66">
        <f>+IF($W206="","",ROUND((DG206*(Parámetros!$G$86)),2))</f>
        <v>0</v>
      </c>
      <c r="DL206" s="66">
        <f t="shared" si="278"/>
        <v>0</v>
      </c>
      <c r="DM206" t="str">
        <f t="shared" si="319"/>
        <v>00065</v>
      </c>
      <c r="DN206" s="118" t="str">
        <f t="shared" si="320"/>
        <v>Exención pago de primas</v>
      </c>
      <c r="DO206" s="118">
        <f t="shared" si="321"/>
        <v>0</v>
      </c>
      <c r="DP206" s="118" t="str">
        <f t="shared" si="322"/>
        <v>A</v>
      </c>
      <c r="DQ206" s="122" t="str">
        <f>+IF(OR($W206="",DO206=0),"",ROUND((VLOOKUP(ROUNDDOWN($D206-1/frec,0),cob_adi,DB$40,FALSE)*(1+i/frec)^-0.5*(1+Parámetros!$D$103)*(1+rec_fracc)/frec),6))</f>
        <v/>
      </c>
      <c r="DR206" s="66">
        <f t="shared" si="279"/>
        <v>0</v>
      </c>
      <c r="DS206" s="68" t="str">
        <f t="shared" si="280"/>
        <v/>
      </c>
      <c r="DT206" s="66">
        <f>+IF($W206="","",ROUND(IF($B206&gt;Parámetros!$D$107,'Tablas Servicio'!DR206+('Tablas Servicio'!DT205-'Tablas Servicio'!DR205),DR206/(1-IF(B206&lt;=10,Parámetros!$D$100,0))),2))</f>
        <v>0</v>
      </c>
      <c r="DU206" s="66">
        <f t="shared" si="281"/>
        <v>0</v>
      </c>
      <c r="DV206" s="66">
        <f t="shared" si="281"/>
        <v>0</v>
      </c>
      <c r="DW206" s="66">
        <f>+IF($W206="","",ROUND((DT206*Parámetros!$G$85),2))</f>
        <v>0</v>
      </c>
      <c r="DX206" s="66">
        <f>+IF($W206="","",ROUND((DT206*(Parámetros!$G$86)),2))</f>
        <v>0</v>
      </c>
      <c r="DY206" s="66">
        <f t="shared" si="282"/>
        <v>0</v>
      </c>
      <c r="DZ206" t="str">
        <f t="shared" si="324"/>
        <v>00066</v>
      </c>
      <c r="EA206" s="118" t="str">
        <f t="shared" si="324"/>
        <v>Enfermedad terminal</v>
      </c>
      <c r="EB206" s="118">
        <f>+IF($W206="","",ROUND(IF(Parámetros!$D$25='TABLAS MORT'!$V$33,EB205,Z206/2),0))</f>
        <v>50000</v>
      </c>
      <c r="EC206" s="118" t="str">
        <f t="shared" si="324"/>
        <v>A</v>
      </c>
      <c r="ED206" s="122">
        <f>+IF(OR($W206="",EB206=0),"",ROUND((VLOOKUP(ROUNDDOWN($D206-1/frec,0),cob_adi,DO$40,FALSE)*(1+i/frec)^-0.5*(1+Parámetros!$D$103)*(1+rec_fracc)/frec),6))</f>
        <v>1.8E-5</v>
      </c>
      <c r="EE206" s="66">
        <f t="shared" si="284"/>
        <v>0.9</v>
      </c>
      <c r="EF206" s="68">
        <f t="shared" si="285"/>
        <v>1.8E-5</v>
      </c>
      <c r="EG206" s="66">
        <f>+IF($W206="","",ROUND(IF($B206&gt;Parámetros!$D$107,'Tablas Servicio'!EE206+('Tablas Servicio'!EG205-'Tablas Servicio'!EE205),EE206/(1-IF(B206&lt;=10,Parámetros!$D$100,0))),2))</f>
        <v>0.9</v>
      </c>
      <c r="EH206" s="66">
        <f t="shared" si="286"/>
        <v>0</v>
      </c>
      <c r="EI206" s="66">
        <f t="shared" si="286"/>
        <v>0</v>
      </c>
      <c r="EJ206" s="66">
        <f>+IF($W206="","",ROUND((EG206*Parámetros!$G$85),2))</f>
        <v>0.03</v>
      </c>
      <c r="EK206" s="66">
        <f>+IF($W206="","",ROUND((EG206*(Parámetros!$G$86)),2))</f>
        <v>0</v>
      </c>
      <c r="EL206" s="66">
        <f t="shared" si="287"/>
        <v>0.93</v>
      </c>
    </row>
    <row r="207" spans="1:142" x14ac:dyDescent="0.25">
      <c r="A207">
        <f>+IF($C207="","",ROUND(VLOOKUP('Tablas Servicio'!B207,Parámetros!$H$100:$J$159,IF(Parámetros!$E$16="F",2,3),FALSE),2))</f>
        <v>150</v>
      </c>
      <c r="B207">
        <f t="shared" si="238"/>
        <v>14</v>
      </c>
      <c r="C207" s="57">
        <f>+IF(D207="","",'Tablas Servicio'!C206+1)</f>
        <v>166</v>
      </c>
      <c r="D207" s="56">
        <f>+IF(D206&lt;edadmaxtabla,D206+1/Parámetros!$E$25,"")</f>
        <v>53.85333333333373</v>
      </c>
      <c r="E207" s="57">
        <f t="shared" si="248"/>
        <v>53</v>
      </c>
      <c r="F207" s="59">
        <f t="shared" si="249"/>
        <v>100000</v>
      </c>
      <c r="G207" s="66">
        <f t="shared" si="239"/>
        <v>41.199999999999996</v>
      </c>
      <c r="H207" s="66">
        <f t="shared" si="240"/>
        <v>42.839999999999996</v>
      </c>
      <c r="I207" s="66">
        <f t="shared" si="288"/>
        <v>51.160000000000004</v>
      </c>
      <c r="J207" s="66">
        <f t="shared" si="241"/>
        <v>1.44</v>
      </c>
      <c r="K207" s="66">
        <f t="shared" si="242"/>
        <v>0.2</v>
      </c>
      <c r="L207" s="66">
        <f t="shared" si="243"/>
        <v>0</v>
      </c>
      <c r="M207" s="66">
        <f t="shared" si="244"/>
        <v>0</v>
      </c>
      <c r="N207" s="66">
        <f>+IF(C207="","",ROUND(Parámetros!$D$23,2))</f>
        <v>94</v>
      </c>
      <c r="O207" s="66">
        <f t="shared" si="245"/>
        <v>28.7</v>
      </c>
      <c r="P207" s="66">
        <f>+IF($C207="","",ROUND(IF(B207&gt;Parámetros!$D$117,0,N207*Parámetros!$D$116-G207*Parámetros!$D$100),2))</f>
        <v>0</v>
      </c>
      <c r="Q207" s="75">
        <f t="shared" si="289"/>
        <v>3.4951456310679613E-2</v>
      </c>
      <c r="R207" s="75">
        <f t="shared" si="290"/>
        <v>4.8543689320388354E-3</v>
      </c>
      <c r="S207" s="117">
        <f>+IF($C207="","",ROUND((S206+I207)*(1+Parámetros!$D$91),2))</f>
        <v>11581.21</v>
      </c>
      <c r="T207" s="117">
        <f>+IF($C207="","",ROUND(S207*VLOOKUP(B207,Parámetros!$C$30:$D$39,2,TRUE),2))</f>
        <v>11581.21</v>
      </c>
      <c r="U207" s="117">
        <f>+IF($C207="","",ROUND((U206+I207)*(1+Parámetros!$D$92),2))</f>
        <v>12023.43</v>
      </c>
      <c r="V207" s="117">
        <f>+IF($C207="","",ROUND(U207*VLOOKUP(B207,Parámetros!$C$30:$D$39,2,TRUE),2))</f>
        <v>12023.43</v>
      </c>
      <c r="W207" s="57">
        <f t="shared" si="291"/>
        <v>166</v>
      </c>
      <c r="X207" t="str">
        <f t="shared" si="292"/>
        <v>00058</v>
      </c>
      <c r="Y207" t="str">
        <f t="shared" si="293"/>
        <v>MUERTE POR CUALQUIER CAUSA</v>
      </c>
      <c r="Z207" s="118">
        <f>+IF($W207="","",ROUND(IF(Parámetros!$D$25='TABLAS MORT'!$V$33,Z206,Parámetros!$D$21-'Tablas Servicio'!T206),0))</f>
        <v>100000</v>
      </c>
      <c r="AA207" s="118" t="str">
        <f t="shared" si="294"/>
        <v>P</v>
      </c>
      <c r="AB207" s="119">
        <f>+IF(W207="","",ROUND((VLOOKUP(ROUNDDOWN($D207-1/frec,0),qx_tabla,2,FALSE)*(1+i/frec)^-0.5*(1+Parámetros!$D$103)*(1+rec_fracc)/frec),6))</f>
        <v>2.7799999999999998E-4</v>
      </c>
      <c r="AC207" s="66">
        <f t="shared" si="250"/>
        <v>27.8</v>
      </c>
      <c r="AD207" s="119">
        <f t="shared" si="246"/>
        <v>4.0299999999999998E-4</v>
      </c>
      <c r="AE207" s="66">
        <f>+IF($W207="","",ROUND(IF($B207&gt;Parámetros!$D$107,'Tablas Servicio'!AC207+('Tablas Servicio'!AG206-'Tablas Servicio'!AC206),AC207/(1-IF(B207&lt;=10,Parámetros!$D$104,Parámetros!$D$105))),2))</f>
        <v>46.33</v>
      </c>
      <c r="AF207" s="66">
        <f>+IF($W207="","",ROUND(IF($B207&gt;Parámetros!$D$107,'Tablas Servicio'!AC207+('Tablas Servicio'!AG206-'Tablas Servicio'!AC206),(AC207+$A206/frec)/(1-IF(B207&lt;=Parámetros!$D$117,Parámetros!$D$100,0))),2))</f>
        <v>40.299999999999997</v>
      </c>
      <c r="AG207" s="66">
        <f t="shared" si="251"/>
        <v>40.299999999999997</v>
      </c>
      <c r="AH207" s="66">
        <f t="shared" si="252"/>
        <v>0</v>
      </c>
      <c r="AI207" s="66">
        <f t="shared" si="253"/>
        <v>0</v>
      </c>
      <c r="AJ207" s="66">
        <f>+IF($W207="","",ROUND((AG207*Parámetros!$G$85),2))</f>
        <v>1.41</v>
      </c>
      <c r="AK207" s="66">
        <f>+IF($W207="","",ROUND((AG207*(Parámetros!$G$86)),2))</f>
        <v>0.2</v>
      </c>
      <c r="AL207" s="66">
        <f t="shared" si="247"/>
        <v>41.91</v>
      </c>
      <c r="AM207" t="str">
        <f t="shared" si="295"/>
        <v>00059</v>
      </c>
      <c r="AN207" t="str">
        <f t="shared" si="296"/>
        <v>Incapacidad Total y Permanente</v>
      </c>
      <c r="AO207" s="118">
        <f t="shared" si="297"/>
        <v>0</v>
      </c>
      <c r="AP207" s="118" t="str">
        <f t="shared" si="298"/>
        <v>A</v>
      </c>
      <c r="AQ207" s="119" t="str">
        <f>+IF(OR($W207="",AO207=0),"",ROUND((VLOOKUP(ROUNDDOWN($D207-1/frec,0),cob_adi,Z$40,FALSE)*(1+i/frec)^-0.5*(1+Parámetros!$D$103)*(1+rec_fracc)/frec),6))</f>
        <v/>
      </c>
      <c r="AR207" s="66">
        <f t="shared" si="254"/>
        <v>0</v>
      </c>
      <c r="AS207" s="119" t="str">
        <f t="shared" si="255"/>
        <v/>
      </c>
      <c r="AT207" s="66">
        <f>+IF($W207="","",ROUND(IF($B207&gt;Parámetros!$D$107,'Tablas Servicio'!AR207+('Tablas Servicio'!AT206-'Tablas Servicio'!AR206),AR207/(1-IF(B207&lt;=10,Parámetros!$D$100,0))),2))</f>
        <v>0</v>
      </c>
      <c r="AU207" s="66">
        <f t="shared" si="256"/>
        <v>0</v>
      </c>
      <c r="AV207" s="66">
        <f t="shared" si="256"/>
        <v>0</v>
      </c>
      <c r="AW207" s="66">
        <f>+IF($W207="","",ROUND((AT207*Parámetros!$G$85),2))</f>
        <v>0</v>
      </c>
      <c r="AX207" s="66">
        <f>+IF($W207="","",ROUND((AT207*(Parámetros!$G$86)),2))</f>
        <v>0</v>
      </c>
      <c r="AY207" s="66">
        <f t="shared" si="257"/>
        <v>0</v>
      </c>
      <c r="AZ207" t="str">
        <f t="shared" si="299"/>
        <v>00060</v>
      </c>
      <c r="BA207" t="str">
        <f t="shared" si="300"/>
        <v>Muerte Accidental</v>
      </c>
      <c r="BB207" s="118">
        <f t="shared" si="301"/>
        <v>0</v>
      </c>
      <c r="BC207" s="118" t="str">
        <f t="shared" si="302"/>
        <v>A</v>
      </c>
      <c r="BD207" s="119" t="str">
        <f>+IF(OR($W207="",BB207=0),"",ROUND((VLOOKUP(ROUNDDOWN($D207-1/frec,0),cob_adi,AO$40,FALSE)*(1+i/frec)^-0.5*(1+Parámetros!$D$103)*(1+rec_fracc)/frec),6))</f>
        <v/>
      </c>
      <c r="BE207" s="66">
        <f t="shared" si="258"/>
        <v>0</v>
      </c>
      <c r="BF207" s="119" t="str">
        <f t="shared" si="259"/>
        <v/>
      </c>
      <c r="BG207" s="66">
        <f>+IF($W207="","",ROUND(IF($B207&gt;Parámetros!$D$107,'Tablas Servicio'!BE207+('Tablas Servicio'!BG206-'Tablas Servicio'!BE206),BE207/(1-IF(B207&lt;=10,Parámetros!$D$100,0))),2))</f>
        <v>0</v>
      </c>
      <c r="BH207" s="66">
        <f t="shared" si="260"/>
        <v>0</v>
      </c>
      <c r="BI207" s="66">
        <f t="shared" si="261"/>
        <v>0</v>
      </c>
      <c r="BJ207" s="66">
        <f>+IF($W207="","",ROUND((BG207*Parámetros!$G$85),2))</f>
        <v>0</v>
      </c>
      <c r="BK207" s="66">
        <f>+IF($W207="","",ROUND((BG207*(Parámetros!$G$86)),2))</f>
        <v>0</v>
      </c>
      <c r="BL207" s="66">
        <f t="shared" si="262"/>
        <v>0</v>
      </c>
      <c r="BM207" t="str">
        <f t="shared" si="303"/>
        <v>00061</v>
      </c>
      <c r="BN207" t="str">
        <f t="shared" si="304"/>
        <v>Gastos de Entierro</v>
      </c>
      <c r="BO207" s="118">
        <f t="shared" si="305"/>
        <v>0</v>
      </c>
      <c r="BP207" s="118" t="str">
        <f t="shared" si="306"/>
        <v>A</v>
      </c>
      <c r="BQ207" s="119" t="str">
        <f>+IF(OR($W207="",BO207=0),"",ROUND((VLOOKUP(ROUNDDOWN($D207-1/frec,0),cob_adi,BB$40,FALSE)*(1+i/frec)^-0.5*(1+Parámetros!$D$103)*(1+rec_fracc)/frec),6))</f>
        <v/>
      </c>
      <c r="BR207" s="66">
        <f t="shared" si="263"/>
        <v>0</v>
      </c>
      <c r="BS207" s="119" t="str">
        <f t="shared" si="264"/>
        <v/>
      </c>
      <c r="BT207" s="66">
        <f>+IF($W207="","",ROUND(IF($B207&gt;Parámetros!$D$107,'Tablas Servicio'!BR207+('Tablas Servicio'!BT206-'Tablas Servicio'!BR206),BR207/(1-IF(B207&lt;=10,Parámetros!$D$100,0))),2))</f>
        <v>0</v>
      </c>
      <c r="BU207" s="66">
        <f t="shared" si="265"/>
        <v>0</v>
      </c>
      <c r="BV207" s="66">
        <f t="shared" si="265"/>
        <v>0</v>
      </c>
      <c r="BW207" s="66">
        <f>+IF($W207="","",ROUND((BT207*Parámetros!$G$85),2))</f>
        <v>0</v>
      </c>
      <c r="BX207" s="66">
        <f>+IF($W207="","",ROUND((BT207*(Parámetros!$G$86)),2))</f>
        <v>0</v>
      </c>
      <c r="BY207" s="66">
        <f t="shared" si="266"/>
        <v>0</v>
      </c>
      <c r="BZ207" t="str">
        <f t="shared" si="307"/>
        <v>00062</v>
      </c>
      <c r="CA207" t="str">
        <f t="shared" si="308"/>
        <v>Gastos médicos por accidente</v>
      </c>
      <c r="CB207" s="118">
        <f t="shared" si="309"/>
        <v>0</v>
      </c>
      <c r="CC207" s="118" t="str">
        <f t="shared" si="310"/>
        <v>A</v>
      </c>
      <c r="CD207" s="119" t="str">
        <f t="shared" si="267"/>
        <v/>
      </c>
      <c r="CE207" s="66">
        <f>+IF($W207="","",ROUND((VLOOKUP(ROUNDDOWN($D207-1/frec,0),cob_adi,BO$40,FALSE)*(1+i/frec)^-0.5*(1+Parámetros!$D$103)*(1+rec_fracc)/frec*'TABLAS ADI'!$BC$17),2))</f>
        <v>0</v>
      </c>
      <c r="CF207" s="119" t="str">
        <f t="shared" si="268"/>
        <v/>
      </c>
      <c r="CG207" s="66">
        <f>+IF($W207="","",ROUND(IF($B207&gt;Parámetros!$D$107,'Tablas Servicio'!CE207+('Tablas Servicio'!CG206-'Tablas Servicio'!CE206),CE207/(1-IF(B207&lt;=10,Parámetros!$D$100,0))),2))</f>
        <v>0</v>
      </c>
      <c r="CH207" s="66">
        <f t="shared" si="269"/>
        <v>0</v>
      </c>
      <c r="CI207" s="66">
        <f t="shared" si="269"/>
        <v>0</v>
      </c>
      <c r="CJ207" s="66">
        <f>+IF($W207="","",ROUND((CG207*Parámetros!$G$85),2))</f>
        <v>0</v>
      </c>
      <c r="CK207" s="66">
        <f>+IF($W207="","",ROUND((CG207*(Parámetros!$G$86)),2))</f>
        <v>0</v>
      </c>
      <c r="CL207" s="66">
        <f t="shared" si="270"/>
        <v>0</v>
      </c>
      <c r="CM207" t="str">
        <f t="shared" si="311"/>
        <v>00063</v>
      </c>
      <c r="CN207" s="118" t="str">
        <f t="shared" si="312"/>
        <v>Renta Diaria por Hospitalización</v>
      </c>
      <c r="CO207" s="118">
        <f t="shared" si="313"/>
        <v>0</v>
      </c>
      <c r="CP207" s="118" t="str">
        <f t="shared" si="314"/>
        <v>A</v>
      </c>
      <c r="CQ207" s="119" t="str">
        <f t="shared" si="271"/>
        <v/>
      </c>
      <c r="CR207" s="66">
        <f>+IF($W207="","",ROUND((VLOOKUP(Parámetros!$F$51,'COBERTURAS ADICIONALES'!$S$4:$T$32,2,FALSE)*(1+i/frec)^-0.5*(1+Parámetros!$D$103)*(1+rec_fracc)/frec*$CO$42),2))</f>
        <v>0</v>
      </c>
      <c r="CS207" s="119" t="str">
        <f t="shared" si="272"/>
        <v/>
      </c>
      <c r="CT207" s="66">
        <f>+IF($W207="","",ROUND(IF($B207&gt;Parámetros!$D$107,'Tablas Servicio'!CR207+('Tablas Servicio'!CT206-'Tablas Servicio'!CR206),CR207/(1-IF(B207&lt;=10,Parámetros!$D$100,0))),2))</f>
        <v>0</v>
      </c>
      <c r="CU207" s="66">
        <f t="shared" si="273"/>
        <v>0</v>
      </c>
      <c r="CV207" s="66">
        <f t="shared" si="273"/>
        <v>0</v>
      </c>
      <c r="CW207" s="66">
        <f>+IF($W207="","",ROUND((CT207*Parámetros!$G$85),2))</f>
        <v>0</v>
      </c>
      <c r="CX207" s="66">
        <f>+IF($W207="","",ROUND((CT207*(Parámetros!$G$86)),2))</f>
        <v>0</v>
      </c>
      <c r="CY207" s="66">
        <f t="shared" si="274"/>
        <v>0</v>
      </c>
      <c r="CZ207" t="str">
        <f t="shared" si="315"/>
        <v>00064</v>
      </c>
      <c r="DA207" s="118" t="str">
        <f t="shared" si="316"/>
        <v>Enfermedades Graves</v>
      </c>
      <c r="DB207" s="118">
        <f t="shared" si="317"/>
        <v>0</v>
      </c>
      <c r="DC207" s="118" t="str">
        <f t="shared" si="318"/>
        <v>A</v>
      </c>
      <c r="DD207" s="121" t="str">
        <f>+IF(OR($W207="",DB207=0),"",ROUND((VLOOKUP(ROUNDDOWN($D207-1/frec,0),cob_adi,CO$40,FALSE)*(1+i/frec)^-0.5*(1+Parámetros!$D$103)*(1+rec_fracc)/frec),6))</f>
        <v/>
      </c>
      <c r="DE207" s="66">
        <f t="shared" si="275"/>
        <v>0</v>
      </c>
      <c r="DF207" s="119" t="str">
        <f t="shared" si="276"/>
        <v/>
      </c>
      <c r="DG207" s="66">
        <f>+IF($W207="","",ROUND(IF($B207&gt;Parámetros!$D$107,'Tablas Servicio'!DE207+('Tablas Servicio'!DG206-'Tablas Servicio'!DE206),DE207/(1-IF(B207&lt;=10,Parámetros!$D$100,0))),2))</f>
        <v>0</v>
      </c>
      <c r="DH207" s="66">
        <f t="shared" si="277"/>
        <v>0</v>
      </c>
      <c r="DI207" s="66">
        <f t="shared" si="277"/>
        <v>0</v>
      </c>
      <c r="DJ207" s="66">
        <f>+IF($W207="","",ROUND((DG207*Parámetros!$G$85),2))</f>
        <v>0</v>
      </c>
      <c r="DK207" s="66">
        <f>+IF($W207="","",ROUND((DG207*(Parámetros!$G$86)),2))</f>
        <v>0</v>
      </c>
      <c r="DL207" s="66">
        <f t="shared" si="278"/>
        <v>0</v>
      </c>
      <c r="DM207" t="str">
        <f t="shared" si="319"/>
        <v>00065</v>
      </c>
      <c r="DN207" s="118" t="str">
        <f t="shared" si="320"/>
        <v>Exención pago de primas</v>
      </c>
      <c r="DO207" s="118">
        <f t="shared" si="321"/>
        <v>0</v>
      </c>
      <c r="DP207" s="118" t="str">
        <f t="shared" si="322"/>
        <v>A</v>
      </c>
      <c r="DQ207" s="122" t="str">
        <f>+IF(OR($W207="",DO207=0),"",ROUND((VLOOKUP(ROUNDDOWN($D207-1/frec,0),cob_adi,DB$40,FALSE)*(1+i/frec)^-0.5*(1+Parámetros!$D$103)*(1+rec_fracc)/frec),6))</f>
        <v/>
      </c>
      <c r="DR207" s="66">
        <f t="shared" si="279"/>
        <v>0</v>
      </c>
      <c r="DS207" s="68" t="str">
        <f t="shared" si="280"/>
        <v/>
      </c>
      <c r="DT207" s="66">
        <f>+IF($W207="","",ROUND(IF($B207&gt;Parámetros!$D$107,'Tablas Servicio'!DR207+('Tablas Servicio'!DT206-'Tablas Servicio'!DR206),DR207/(1-IF(B207&lt;=10,Parámetros!$D$100,0))),2))</f>
        <v>0</v>
      </c>
      <c r="DU207" s="66">
        <f t="shared" si="281"/>
        <v>0</v>
      </c>
      <c r="DV207" s="66">
        <f t="shared" si="281"/>
        <v>0</v>
      </c>
      <c r="DW207" s="66">
        <f>+IF($W207="","",ROUND((DT207*Parámetros!$G$85),2))</f>
        <v>0</v>
      </c>
      <c r="DX207" s="66">
        <f>+IF($W207="","",ROUND((DT207*(Parámetros!$G$86)),2))</f>
        <v>0</v>
      </c>
      <c r="DY207" s="66">
        <f t="shared" si="282"/>
        <v>0</v>
      </c>
      <c r="DZ207" t="str">
        <f t="shared" si="324"/>
        <v>00066</v>
      </c>
      <c r="EA207" s="118" t="str">
        <f t="shared" si="324"/>
        <v>Enfermedad terminal</v>
      </c>
      <c r="EB207" s="118">
        <f>+IF($W207="","",ROUND(IF(Parámetros!$D$25='TABLAS MORT'!$V$33,EB206,Z207/2),0))</f>
        <v>50000</v>
      </c>
      <c r="EC207" s="118" t="str">
        <f t="shared" si="324"/>
        <v>A</v>
      </c>
      <c r="ED207" s="122">
        <f>+IF(OR($W207="",EB207=0),"",ROUND((VLOOKUP(ROUNDDOWN($D207-1/frec,0),cob_adi,DO$40,FALSE)*(1+i/frec)^-0.5*(1+Parámetros!$D$103)*(1+rec_fracc)/frec),6))</f>
        <v>1.8E-5</v>
      </c>
      <c r="EE207" s="66">
        <f t="shared" si="284"/>
        <v>0.9</v>
      </c>
      <c r="EF207" s="68">
        <f t="shared" si="285"/>
        <v>1.8E-5</v>
      </c>
      <c r="EG207" s="66">
        <f>+IF($W207="","",ROUND(IF($B207&gt;Parámetros!$D$107,'Tablas Servicio'!EE207+('Tablas Servicio'!EG206-'Tablas Servicio'!EE206),EE207/(1-IF(B207&lt;=10,Parámetros!$D$100,0))),2))</f>
        <v>0.9</v>
      </c>
      <c r="EH207" s="66">
        <f t="shared" si="286"/>
        <v>0</v>
      </c>
      <c r="EI207" s="66">
        <f t="shared" si="286"/>
        <v>0</v>
      </c>
      <c r="EJ207" s="66">
        <f>+IF($W207="","",ROUND((EG207*Parámetros!$G$85),2))</f>
        <v>0.03</v>
      </c>
      <c r="EK207" s="66">
        <f>+IF($W207="","",ROUND((EG207*(Parámetros!$G$86)),2))</f>
        <v>0</v>
      </c>
      <c r="EL207" s="66">
        <f t="shared" si="287"/>
        <v>0.93</v>
      </c>
    </row>
    <row r="208" spans="1:142" x14ac:dyDescent="0.25">
      <c r="A208">
        <f>+IF($C208="","",ROUND(VLOOKUP('Tablas Servicio'!B208,Parámetros!$H$100:$J$159,IF(Parámetros!$E$16="F",2,3),FALSE),2))</f>
        <v>150</v>
      </c>
      <c r="B208">
        <f t="shared" si="238"/>
        <v>14</v>
      </c>
      <c r="C208" s="57">
        <f>+IF(D208="","",'Tablas Servicio'!C207+1)</f>
        <v>167</v>
      </c>
      <c r="D208" s="56">
        <f>+IF(D207&lt;edadmaxtabla,D207+1/Parámetros!$E$25,"")</f>
        <v>53.936666666667065</v>
      </c>
      <c r="E208" s="57">
        <f t="shared" si="248"/>
        <v>53</v>
      </c>
      <c r="F208" s="59">
        <f t="shared" si="249"/>
        <v>100000</v>
      </c>
      <c r="G208" s="66">
        <f t="shared" si="239"/>
        <v>41.199999999999996</v>
      </c>
      <c r="H208" s="66">
        <f t="shared" si="240"/>
        <v>42.839999999999996</v>
      </c>
      <c r="I208" s="66">
        <f t="shared" si="288"/>
        <v>51.160000000000004</v>
      </c>
      <c r="J208" s="66">
        <f t="shared" si="241"/>
        <v>1.44</v>
      </c>
      <c r="K208" s="66">
        <f t="shared" si="242"/>
        <v>0.2</v>
      </c>
      <c r="L208" s="66">
        <f t="shared" si="243"/>
        <v>0</v>
      </c>
      <c r="M208" s="66">
        <f t="shared" si="244"/>
        <v>0</v>
      </c>
      <c r="N208" s="66">
        <f>+IF(C208="","",ROUND(Parámetros!$D$23,2))</f>
        <v>94</v>
      </c>
      <c r="O208" s="66">
        <f t="shared" si="245"/>
        <v>28.7</v>
      </c>
      <c r="P208" s="66">
        <f>+IF($C208="","",ROUND(IF(B208&gt;Parámetros!$D$117,0,N208*Parámetros!$D$116-G208*Parámetros!$D$100),2))</f>
        <v>0</v>
      </c>
      <c r="Q208" s="75">
        <f t="shared" si="289"/>
        <v>3.4951456310679613E-2</v>
      </c>
      <c r="R208" s="75">
        <f t="shared" si="290"/>
        <v>4.8543689320388354E-3</v>
      </c>
      <c r="S208" s="117">
        <f>+IF($C208="","",ROUND((S207+I208)*(1+Parámetros!$D$91),2))</f>
        <v>11665.36</v>
      </c>
      <c r="T208" s="117">
        <f>+IF($C208="","",ROUND(S208*VLOOKUP(B208,Parámetros!$C$30:$D$39,2,TRUE),2))</f>
        <v>11665.36</v>
      </c>
      <c r="U208" s="117">
        <f>+IF($C208="","",ROUND((U207+I208)*(1+Parámetros!$D$92),2))</f>
        <v>12113.73</v>
      </c>
      <c r="V208" s="117">
        <f>+IF($C208="","",ROUND(U208*VLOOKUP(B208,Parámetros!$C$30:$D$39,2,TRUE),2))</f>
        <v>12113.73</v>
      </c>
      <c r="W208" s="57">
        <f t="shared" si="291"/>
        <v>167</v>
      </c>
      <c r="X208" t="str">
        <f t="shared" si="292"/>
        <v>00058</v>
      </c>
      <c r="Y208" t="str">
        <f t="shared" si="293"/>
        <v>MUERTE POR CUALQUIER CAUSA</v>
      </c>
      <c r="Z208" s="118">
        <f>+IF($W208="","",ROUND(IF(Parámetros!$D$25='TABLAS MORT'!$V$33,Z207,Parámetros!$D$21-'Tablas Servicio'!T207),0))</f>
        <v>100000</v>
      </c>
      <c r="AA208" s="118" t="str">
        <f t="shared" si="294"/>
        <v>P</v>
      </c>
      <c r="AB208" s="119">
        <f>+IF(W208="","",ROUND((VLOOKUP(ROUNDDOWN($D208-1/frec,0),qx_tabla,2,FALSE)*(1+i/frec)^-0.5*(1+Parámetros!$D$103)*(1+rec_fracc)/frec),6))</f>
        <v>2.7799999999999998E-4</v>
      </c>
      <c r="AC208" s="66">
        <f t="shared" si="250"/>
        <v>27.8</v>
      </c>
      <c r="AD208" s="119">
        <f t="shared" si="246"/>
        <v>4.0299999999999998E-4</v>
      </c>
      <c r="AE208" s="66">
        <f>+IF($W208="","",ROUND(IF($B208&gt;Parámetros!$D$107,'Tablas Servicio'!AC208+('Tablas Servicio'!AG207-'Tablas Servicio'!AC207),AC208/(1-IF(B208&lt;=10,Parámetros!$D$104,Parámetros!$D$105))),2))</f>
        <v>46.33</v>
      </c>
      <c r="AF208" s="66">
        <f>+IF($W208="","",ROUND(IF($B208&gt;Parámetros!$D$107,'Tablas Servicio'!AC208+('Tablas Servicio'!AG207-'Tablas Servicio'!AC207),(AC208+$A207/frec)/(1-IF(B208&lt;=Parámetros!$D$117,Parámetros!$D$100,0))),2))</f>
        <v>40.299999999999997</v>
      </c>
      <c r="AG208" s="66">
        <f t="shared" si="251"/>
        <v>40.299999999999997</v>
      </c>
      <c r="AH208" s="66">
        <f t="shared" si="252"/>
        <v>0</v>
      </c>
      <c r="AI208" s="66">
        <f t="shared" si="253"/>
        <v>0</v>
      </c>
      <c r="AJ208" s="66">
        <f>+IF($W208="","",ROUND((AG208*Parámetros!$G$85),2))</f>
        <v>1.41</v>
      </c>
      <c r="AK208" s="66">
        <f>+IF($W208="","",ROUND((AG208*(Parámetros!$G$86)),2))</f>
        <v>0.2</v>
      </c>
      <c r="AL208" s="66">
        <f t="shared" si="247"/>
        <v>41.91</v>
      </c>
      <c r="AM208" t="str">
        <f t="shared" si="295"/>
        <v>00059</v>
      </c>
      <c r="AN208" t="str">
        <f t="shared" si="296"/>
        <v>Incapacidad Total y Permanente</v>
      </c>
      <c r="AO208" s="118">
        <f t="shared" si="297"/>
        <v>0</v>
      </c>
      <c r="AP208" s="118" t="str">
        <f t="shared" si="298"/>
        <v>A</v>
      </c>
      <c r="AQ208" s="119" t="str">
        <f>+IF(OR($W208="",AO208=0),"",ROUND((VLOOKUP(ROUNDDOWN($D208-1/frec,0),cob_adi,Z$40,FALSE)*(1+i/frec)^-0.5*(1+Parámetros!$D$103)*(1+rec_fracc)/frec),6))</f>
        <v/>
      </c>
      <c r="AR208" s="66">
        <f t="shared" si="254"/>
        <v>0</v>
      </c>
      <c r="AS208" s="119" t="str">
        <f t="shared" si="255"/>
        <v/>
      </c>
      <c r="AT208" s="66">
        <f>+IF($W208="","",ROUND(IF($B208&gt;Parámetros!$D$107,'Tablas Servicio'!AR208+('Tablas Servicio'!AT207-'Tablas Servicio'!AR207),AR208/(1-IF(B208&lt;=10,Parámetros!$D$100,0))),2))</f>
        <v>0</v>
      </c>
      <c r="AU208" s="66">
        <f t="shared" si="256"/>
        <v>0</v>
      </c>
      <c r="AV208" s="66">
        <f t="shared" si="256"/>
        <v>0</v>
      </c>
      <c r="AW208" s="66">
        <f>+IF($W208="","",ROUND((AT208*Parámetros!$G$85),2))</f>
        <v>0</v>
      </c>
      <c r="AX208" s="66">
        <f>+IF($W208="","",ROUND((AT208*(Parámetros!$G$86)),2))</f>
        <v>0</v>
      </c>
      <c r="AY208" s="66">
        <f t="shared" si="257"/>
        <v>0</v>
      </c>
      <c r="AZ208" t="str">
        <f t="shared" si="299"/>
        <v>00060</v>
      </c>
      <c r="BA208" t="str">
        <f t="shared" si="300"/>
        <v>Muerte Accidental</v>
      </c>
      <c r="BB208" s="118">
        <f t="shared" si="301"/>
        <v>0</v>
      </c>
      <c r="BC208" s="118" t="str">
        <f t="shared" si="302"/>
        <v>A</v>
      </c>
      <c r="BD208" s="119" t="str">
        <f>+IF(OR($W208="",BB208=0),"",ROUND((VLOOKUP(ROUNDDOWN($D208-1/frec,0),cob_adi,AO$40,FALSE)*(1+i/frec)^-0.5*(1+Parámetros!$D$103)*(1+rec_fracc)/frec),6))</f>
        <v/>
      </c>
      <c r="BE208" s="66">
        <f t="shared" si="258"/>
        <v>0</v>
      </c>
      <c r="BF208" s="119" t="str">
        <f t="shared" si="259"/>
        <v/>
      </c>
      <c r="BG208" s="66">
        <f>+IF($W208="","",ROUND(IF($B208&gt;Parámetros!$D$107,'Tablas Servicio'!BE208+('Tablas Servicio'!BG207-'Tablas Servicio'!BE207),BE208/(1-IF(B208&lt;=10,Parámetros!$D$100,0))),2))</f>
        <v>0</v>
      </c>
      <c r="BH208" s="66">
        <f t="shared" si="260"/>
        <v>0</v>
      </c>
      <c r="BI208" s="66">
        <f t="shared" si="261"/>
        <v>0</v>
      </c>
      <c r="BJ208" s="66">
        <f>+IF($W208="","",ROUND((BG208*Parámetros!$G$85),2))</f>
        <v>0</v>
      </c>
      <c r="BK208" s="66">
        <f>+IF($W208="","",ROUND((BG208*(Parámetros!$G$86)),2))</f>
        <v>0</v>
      </c>
      <c r="BL208" s="66">
        <f t="shared" si="262"/>
        <v>0</v>
      </c>
      <c r="BM208" t="str">
        <f t="shared" si="303"/>
        <v>00061</v>
      </c>
      <c r="BN208" t="str">
        <f t="shared" si="304"/>
        <v>Gastos de Entierro</v>
      </c>
      <c r="BO208" s="118">
        <f t="shared" si="305"/>
        <v>0</v>
      </c>
      <c r="BP208" s="118" t="str">
        <f t="shared" si="306"/>
        <v>A</v>
      </c>
      <c r="BQ208" s="119" t="str">
        <f>+IF(OR($W208="",BO208=0),"",ROUND((VLOOKUP(ROUNDDOWN($D208-1/frec,0),cob_adi,BB$40,FALSE)*(1+i/frec)^-0.5*(1+Parámetros!$D$103)*(1+rec_fracc)/frec),6))</f>
        <v/>
      </c>
      <c r="BR208" s="66">
        <f t="shared" si="263"/>
        <v>0</v>
      </c>
      <c r="BS208" s="119" t="str">
        <f t="shared" si="264"/>
        <v/>
      </c>
      <c r="BT208" s="66">
        <f>+IF($W208="","",ROUND(IF($B208&gt;Parámetros!$D$107,'Tablas Servicio'!BR208+('Tablas Servicio'!BT207-'Tablas Servicio'!BR207),BR208/(1-IF(B208&lt;=10,Parámetros!$D$100,0))),2))</f>
        <v>0</v>
      </c>
      <c r="BU208" s="66">
        <f t="shared" si="265"/>
        <v>0</v>
      </c>
      <c r="BV208" s="66">
        <f t="shared" si="265"/>
        <v>0</v>
      </c>
      <c r="BW208" s="66">
        <f>+IF($W208="","",ROUND((BT208*Parámetros!$G$85),2))</f>
        <v>0</v>
      </c>
      <c r="BX208" s="66">
        <f>+IF($W208="","",ROUND((BT208*(Parámetros!$G$86)),2))</f>
        <v>0</v>
      </c>
      <c r="BY208" s="66">
        <f t="shared" si="266"/>
        <v>0</v>
      </c>
      <c r="BZ208" t="str">
        <f t="shared" si="307"/>
        <v>00062</v>
      </c>
      <c r="CA208" t="str">
        <f t="shared" si="308"/>
        <v>Gastos médicos por accidente</v>
      </c>
      <c r="CB208" s="118">
        <f t="shared" si="309"/>
        <v>0</v>
      </c>
      <c r="CC208" s="118" t="str">
        <f t="shared" si="310"/>
        <v>A</v>
      </c>
      <c r="CD208" s="119" t="str">
        <f t="shared" si="267"/>
        <v/>
      </c>
      <c r="CE208" s="66">
        <f>+IF($W208="","",ROUND((VLOOKUP(ROUNDDOWN($D208-1/frec,0),cob_adi,BO$40,FALSE)*(1+i/frec)^-0.5*(1+Parámetros!$D$103)*(1+rec_fracc)/frec*'TABLAS ADI'!$BC$17),2))</f>
        <v>0</v>
      </c>
      <c r="CF208" s="119" t="str">
        <f t="shared" si="268"/>
        <v/>
      </c>
      <c r="CG208" s="66">
        <f>+IF($W208="","",ROUND(IF($B208&gt;Parámetros!$D$107,'Tablas Servicio'!CE208+('Tablas Servicio'!CG207-'Tablas Servicio'!CE207),CE208/(1-IF(B208&lt;=10,Parámetros!$D$100,0))),2))</f>
        <v>0</v>
      </c>
      <c r="CH208" s="66">
        <f t="shared" si="269"/>
        <v>0</v>
      </c>
      <c r="CI208" s="66">
        <f t="shared" si="269"/>
        <v>0</v>
      </c>
      <c r="CJ208" s="66">
        <f>+IF($W208="","",ROUND((CG208*Parámetros!$G$85),2))</f>
        <v>0</v>
      </c>
      <c r="CK208" s="66">
        <f>+IF($W208="","",ROUND((CG208*(Parámetros!$G$86)),2))</f>
        <v>0</v>
      </c>
      <c r="CL208" s="66">
        <f t="shared" si="270"/>
        <v>0</v>
      </c>
      <c r="CM208" t="str">
        <f t="shared" si="311"/>
        <v>00063</v>
      </c>
      <c r="CN208" s="118" t="str">
        <f t="shared" si="312"/>
        <v>Renta Diaria por Hospitalización</v>
      </c>
      <c r="CO208" s="118">
        <f t="shared" si="313"/>
        <v>0</v>
      </c>
      <c r="CP208" s="118" t="str">
        <f t="shared" si="314"/>
        <v>A</v>
      </c>
      <c r="CQ208" s="119" t="str">
        <f t="shared" si="271"/>
        <v/>
      </c>
      <c r="CR208" s="66">
        <f>+IF($W208="","",ROUND((VLOOKUP(Parámetros!$F$51,'COBERTURAS ADICIONALES'!$S$4:$T$32,2,FALSE)*(1+i/frec)^-0.5*(1+Parámetros!$D$103)*(1+rec_fracc)/frec*$CO$42),2))</f>
        <v>0</v>
      </c>
      <c r="CS208" s="119" t="str">
        <f t="shared" si="272"/>
        <v/>
      </c>
      <c r="CT208" s="66">
        <f>+IF($W208="","",ROUND(IF($B208&gt;Parámetros!$D$107,'Tablas Servicio'!CR208+('Tablas Servicio'!CT207-'Tablas Servicio'!CR207),CR208/(1-IF(B208&lt;=10,Parámetros!$D$100,0))),2))</f>
        <v>0</v>
      </c>
      <c r="CU208" s="66">
        <f t="shared" si="273"/>
        <v>0</v>
      </c>
      <c r="CV208" s="66">
        <f t="shared" si="273"/>
        <v>0</v>
      </c>
      <c r="CW208" s="66">
        <f>+IF($W208="","",ROUND((CT208*Parámetros!$G$85),2))</f>
        <v>0</v>
      </c>
      <c r="CX208" s="66">
        <f>+IF($W208="","",ROUND((CT208*(Parámetros!$G$86)),2))</f>
        <v>0</v>
      </c>
      <c r="CY208" s="66">
        <f t="shared" si="274"/>
        <v>0</v>
      </c>
      <c r="CZ208" t="str">
        <f t="shared" si="315"/>
        <v>00064</v>
      </c>
      <c r="DA208" s="118" t="str">
        <f t="shared" si="316"/>
        <v>Enfermedades Graves</v>
      </c>
      <c r="DB208" s="118">
        <f t="shared" si="317"/>
        <v>0</v>
      </c>
      <c r="DC208" s="118" t="str">
        <f t="shared" si="318"/>
        <v>A</v>
      </c>
      <c r="DD208" s="121" t="str">
        <f>+IF(OR($W208="",DB208=0),"",ROUND((VLOOKUP(ROUNDDOWN($D208-1/frec,0),cob_adi,CO$40,FALSE)*(1+i/frec)^-0.5*(1+Parámetros!$D$103)*(1+rec_fracc)/frec),6))</f>
        <v/>
      </c>
      <c r="DE208" s="66">
        <f t="shared" si="275"/>
        <v>0</v>
      </c>
      <c r="DF208" s="119" t="str">
        <f t="shared" si="276"/>
        <v/>
      </c>
      <c r="DG208" s="66">
        <f>+IF($W208="","",ROUND(IF($B208&gt;Parámetros!$D$107,'Tablas Servicio'!DE208+('Tablas Servicio'!DG207-'Tablas Servicio'!DE207),DE208/(1-IF(B208&lt;=10,Parámetros!$D$100,0))),2))</f>
        <v>0</v>
      </c>
      <c r="DH208" s="66">
        <f t="shared" si="277"/>
        <v>0</v>
      </c>
      <c r="DI208" s="66">
        <f t="shared" si="277"/>
        <v>0</v>
      </c>
      <c r="DJ208" s="66">
        <f>+IF($W208="","",ROUND((DG208*Parámetros!$G$85),2))</f>
        <v>0</v>
      </c>
      <c r="DK208" s="66">
        <f>+IF($W208="","",ROUND((DG208*(Parámetros!$G$86)),2))</f>
        <v>0</v>
      </c>
      <c r="DL208" s="66">
        <f t="shared" si="278"/>
        <v>0</v>
      </c>
      <c r="DM208" t="str">
        <f t="shared" si="319"/>
        <v>00065</v>
      </c>
      <c r="DN208" s="118" t="str">
        <f t="shared" si="320"/>
        <v>Exención pago de primas</v>
      </c>
      <c r="DO208" s="118">
        <f t="shared" si="321"/>
        <v>0</v>
      </c>
      <c r="DP208" s="118" t="str">
        <f t="shared" si="322"/>
        <v>A</v>
      </c>
      <c r="DQ208" s="122" t="str">
        <f>+IF(OR($W208="",DO208=0),"",ROUND((VLOOKUP(ROUNDDOWN($D208-1/frec,0),cob_adi,DB$40,FALSE)*(1+i/frec)^-0.5*(1+Parámetros!$D$103)*(1+rec_fracc)/frec),6))</f>
        <v/>
      </c>
      <c r="DR208" s="66">
        <f t="shared" si="279"/>
        <v>0</v>
      </c>
      <c r="DS208" s="68" t="str">
        <f t="shared" si="280"/>
        <v/>
      </c>
      <c r="DT208" s="66">
        <f>+IF($W208="","",ROUND(IF($B208&gt;Parámetros!$D$107,'Tablas Servicio'!DR208+('Tablas Servicio'!DT207-'Tablas Servicio'!DR207),DR208/(1-IF(B208&lt;=10,Parámetros!$D$100,0))),2))</f>
        <v>0</v>
      </c>
      <c r="DU208" s="66">
        <f t="shared" si="281"/>
        <v>0</v>
      </c>
      <c r="DV208" s="66">
        <f t="shared" si="281"/>
        <v>0</v>
      </c>
      <c r="DW208" s="66">
        <f>+IF($W208="","",ROUND((DT208*Parámetros!$G$85),2))</f>
        <v>0</v>
      </c>
      <c r="DX208" s="66">
        <f>+IF($W208="","",ROUND((DT208*(Parámetros!$G$86)),2))</f>
        <v>0</v>
      </c>
      <c r="DY208" s="66">
        <f t="shared" si="282"/>
        <v>0</v>
      </c>
      <c r="DZ208" t="str">
        <f t="shared" si="324"/>
        <v>00066</v>
      </c>
      <c r="EA208" s="118" t="str">
        <f t="shared" si="324"/>
        <v>Enfermedad terminal</v>
      </c>
      <c r="EB208" s="118">
        <f>+IF($W208="","",ROUND(IF(Parámetros!$D$25='TABLAS MORT'!$V$33,EB207,Z208/2),0))</f>
        <v>50000</v>
      </c>
      <c r="EC208" s="118" t="str">
        <f t="shared" si="324"/>
        <v>A</v>
      </c>
      <c r="ED208" s="122">
        <f>+IF(OR($W208="",EB208=0),"",ROUND((VLOOKUP(ROUNDDOWN($D208-1/frec,0),cob_adi,DO$40,FALSE)*(1+i/frec)^-0.5*(1+Parámetros!$D$103)*(1+rec_fracc)/frec),6))</f>
        <v>1.8E-5</v>
      </c>
      <c r="EE208" s="66">
        <f t="shared" si="284"/>
        <v>0.9</v>
      </c>
      <c r="EF208" s="68">
        <f t="shared" si="285"/>
        <v>1.8E-5</v>
      </c>
      <c r="EG208" s="66">
        <f>+IF($W208="","",ROUND(IF($B208&gt;Parámetros!$D$107,'Tablas Servicio'!EE208+('Tablas Servicio'!EG207-'Tablas Servicio'!EE207),EE208/(1-IF(B208&lt;=10,Parámetros!$D$100,0))),2))</f>
        <v>0.9</v>
      </c>
      <c r="EH208" s="66">
        <f t="shared" si="286"/>
        <v>0</v>
      </c>
      <c r="EI208" s="66">
        <f t="shared" si="286"/>
        <v>0</v>
      </c>
      <c r="EJ208" s="66">
        <f>+IF($W208="","",ROUND((EG208*Parámetros!$G$85),2))</f>
        <v>0.03</v>
      </c>
      <c r="EK208" s="66">
        <f>+IF($W208="","",ROUND((EG208*(Parámetros!$G$86)),2))</f>
        <v>0</v>
      </c>
      <c r="EL208" s="66">
        <f t="shared" si="287"/>
        <v>0.93</v>
      </c>
    </row>
    <row r="209" spans="1:142" x14ac:dyDescent="0.25">
      <c r="A209">
        <f>+IF($C209="","",ROUND(VLOOKUP('Tablas Servicio'!B209,Parámetros!$H$100:$J$159,IF(Parámetros!$E$16="F",2,3),FALSE),2))</f>
        <v>150</v>
      </c>
      <c r="B209">
        <f t="shared" si="238"/>
        <v>14</v>
      </c>
      <c r="C209" s="57">
        <f>+IF(D209="","",'Tablas Servicio'!C208+1)</f>
        <v>168</v>
      </c>
      <c r="D209" s="56">
        <f>+IF(D208&lt;edadmaxtabla,D208+1/Parámetros!$E$25,"")</f>
        <v>54.020000000000401</v>
      </c>
      <c r="E209" s="57">
        <f t="shared" si="248"/>
        <v>54</v>
      </c>
      <c r="F209" s="59">
        <f t="shared" si="249"/>
        <v>100000</v>
      </c>
      <c r="G209" s="66">
        <f t="shared" si="239"/>
        <v>41.199999999999996</v>
      </c>
      <c r="H209" s="66">
        <f t="shared" si="240"/>
        <v>42.839999999999996</v>
      </c>
      <c r="I209" s="66">
        <f t="shared" si="288"/>
        <v>51.160000000000004</v>
      </c>
      <c r="J209" s="66">
        <f t="shared" si="241"/>
        <v>1.44</v>
      </c>
      <c r="K209" s="66">
        <f t="shared" si="242"/>
        <v>0.2</v>
      </c>
      <c r="L209" s="66">
        <f t="shared" si="243"/>
        <v>0</v>
      </c>
      <c r="M209" s="66">
        <f t="shared" si="244"/>
        <v>0</v>
      </c>
      <c r="N209" s="66">
        <f>+IF(C209="","",ROUND(Parámetros!$D$23,2))</f>
        <v>94</v>
      </c>
      <c r="O209" s="66">
        <f t="shared" si="245"/>
        <v>28.7</v>
      </c>
      <c r="P209" s="66">
        <f>+IF($C209="","",ROUND(IF(B209&gt;Parámetros!$D$117,0,N209*Parámetros!$D$116-G209*Parámetros!$D$100),2))</f>
        <v>0</v>
      </c>
      <c r="Q209" s="75">
        <f t="shared" si="289"/>
        <v>3.4951456310679613E-2</v>
      </c>
      <c r="R209" s="75">
        <f t="shared" si="290"/>
        <v>4.8543689320388354E-3</v>
      </c>
      <c r="S209" s="117">
        <f>+IF($C209="","",ROUND((S208+I209)*(1+Parámetros!$D$91),2))</f>
        <v>11749.75</v>
      </c>
      <c r="T209" s="117">
        <f>+IF($C209="","",ROUND(S209*VLOOKUP(B209,Parámetros!$C$30:$D$39,2,TRUE),2))</f>
        <v>11749.75</v>
      </c>
      <c r="U209" s="117">
        <f>+IF($C209="","",ROUND((U208+I209)*(1+Parámetros!$D$92),2))</f>
        <v>12204.32</v>
      </c>
      <c r="V209" s="117">
        <f>+IF($C209="","",ROUND(U209*VLOOKUP(B209,Parámetros!$C$30:$D$39,2,TRUE),2))</f>
        <v>12204.32</v>
      </c>
      <c r="W209" s="57">
        <f t="shared" si="291"/>
        <v>168</v>
      </c>
      <c r="X209" t="str">
        <f t="shared" si="292"/>
        <v>00058</v>
      </c>
      <c r="Y209" t="str">
        <f t="shared" si="293"/>
        <v>MUERTE POR CUALQUIER CAUSA</v>
      </c>
      <c r="Z209" s="118">
        <f>+IF($W209="","",ROUND(IF(Parámetros!$D$25='TABLAS MORT'!$V$33,Z208,Parámetros!$D$21-'Tablas Servicio'!T208),0))</f>
        <v>100000</v>
      </c>
      <c r="AA209" s="118" t="str">
        <f t="shared" si="294"/>
        <v>P</v>
      </c>
      <c r="AB209" s="119">
        <f>+IF(W209="","",ROUND((VLOOKUP(ROUNDDOWN($D209-1/frec,0),qx_tabla,2,FALSE)*(1+i/frec)^-0.5*(1+Parámetros!$D$103)*(1+rec_fracc)/frec),6))</f>
        <v>2.7799999999999998E-4</v>
      </c>
      <c r="AC209" s="66">
        <f t="shared" si="250"/>
        <v>27.8</v>
      </c>
      <c r="AD209" s="119">
        <f t="shared" si="246"/>
        <v>4.0299999999999998E-4</v>
      </c>
      <c r="AE209" s="66">
        <f>+IF($W209="","",ROUND(IF($B209&gt;Parámetros!$D$107,'Tablas Servicio'!AC209+('Tablas Servicio'!AG208-'Tablas Servicio'!AC208),AC209/(1-IF(B209&lt;=10,Parámetros!$D$104,Parámetros!$D$105))),2))</f>
        <v>46.33</v>
      </c>
      <c r="AF209" s="66">
        <f>+IF($W209="","",ROUND(IF($B209&gt;Parámetros!$D$107,'Tablas Servicio'!AC209+('Tablas Servicio'!AG208-'Tablas Servicio'!AC208),(AC209+$A208/frec)/(1-IF(B209&lt;=Parámetros!$D$117,Parámetros!$D$100,0))),2))</f>
        <v>40.299999999999997</v>
      </c>
      <c r="AG209" s="66">
        <f t="shared" si="251"/>
        <v>40.299999999999997</v>
      </c>
      <c r="AH209" s="66">
        <f t="shared" si="252"/>
        <v>0</v>
      </c>
      <c r="AI209" s="66">
        <f t="shared" si="253"/>
        <v>0</v>
      </c>
      <c r="AJ209" s="66">
        <f>+IF($W209="","",ROUND((AG209*Parámetros!$G$85),2))</f>
        <v>1.41</v>
      </c>
      <c r="AK209" s="66">
        <f>+IF($W209="","",ROUND((AG209*(Parámetros!$G$86)),2))</f>
        <v>0.2</v>
      </c>
      <c r="AL209" s="66">
        <f t="shared" si="247"/>
        <v>41.91</v>
      </c>
      <c r="AM209" t="str">
        <f t="shared" si="295"/>
        <v>00059</v>
      </c>
      <c r="AN209" t="str">
        <f t="shared" si="296"/>
        <v>Incapacidad Total y Permanente</v>
      </c>
      <c r="AO209" s="118">
        <f t="shared" si="297"/>
        <v>0</v>
      </c>
      <c r="AP209" s="118" t="str">
        <f t="shared" si="298"/>
        <v>A</v>
      </c>
      <c r="AQ209" s="119" t="str">
        <f>+IF(OR($W209="",AO209=0),"",ROUND((VLOOKUP(ROUNDDOWN($D209-1/frec,0),cob_adi,Z$40,FALSE)*(1+i/frec)^-0.5*(1+Parámetros!$D$103)*(1+rec_fracc)/frec),6))</f>
        <v/>
      </c>
      <c r="AR209" s="66">
        <f t="shared" si="254"/>
        <v>0</v>
      </c>
      <c r="AS209" s="119" t="str">
        <f t="shared" si="255"/>
        <v/>
      </c>
      <c r="AT209" s="66">
        <f>+IF($W209="","",ROUND(IF($B209&gt;Parámetros!$D$107,'Tablas Servicio'!AR209+('Tablas Servicio'!AT208-'Tablas Servicio'!AR208),AR209/(1-IF(B209&lt;=10,Parámetros!$D$100,0))),2))</f>
        <v>0</v>
      </c>
      <c r="AU209" s="66">
        <f t="shared" si="256"/>
        <v>0</v>
      </c>
      <c r="AV209" s="66">
        <f t="shared" si="256"/>
        <v>0</v>
      </c>
      <c r="AW209" s="66">
        <f>+IF($W209="","",ROUND((AT209*Parámetros!$G$85),2))</f>
        <v>0</v>
      </c>
      <c r="AX209" s="66">
        <f>+IF($W209="","",ROUND((AT209*(Parámetros!$G$86)),2))</f>
        <v>0</v>
      </c>
      <c r="AY209" s="66">
        <f t="shared" si="257"/>
        <v>0</v>
      </c>
      <c r="AZ209" t="str">
        <f t="shared" si="299"/>
        <v>00060</v>
      </c>
      <c r="BA209" t="str">
        <f t="shared" si="300"/>
        <v>Muerte Accidental</v>
      </c>
      <c r="BB209" s="118">
        <f t="shared" si="301"/>
        <v>0</v>
      </c>
      <c r="BC209" s="118" t="str">
        <f t="shared" si="302"/>
        <v>A</v>
      </c>
      <c r="BD209" s="119" t="str">
        <f>+IF(OR($W209="",BB209=0),"",ROUND((VLOOKUP(ROUNDDOWN($D209-1/frec,0),cob_adi,AO$40,FALSE)*(1+i/frec)^-0.5*(1+Parámetros!$D$103)*(1+rec_fracc)/frec),6))</f>
        <v/>
      </c>
      <c r="BE209" s="66">
        <f t="shared" si="258"/>
        <v>0</v>
      </c>
      <c r="BF209" s="119" t="str">
        <f t="shared" si="259"/>
        <v/>
      </c>
      <c r="BG209" s="66">
        <f>+IF($W209="","",ROUND(IF($B209&gt;Parámetros!$D$107,'Tablas Servicio'!BE209+('Tablas Servicio'!BG208-'Tablas Servicio'!BE208),BE209/(1-IF(B209&lt;=10,Parámetros!$D$100,0))),2))</f>
        <v>0</v>
      </c>
      <c r="BH209" s="66">
        <f t="shared" si="260"/>
        <v>0</v>
      </c>
      <c r="BI209" s="66">
        <f t="shared" si="261"/>
        <v>0</v>
      </c>
      <c r="BJ209" s="66">
        <f>+IF($W209="","",ROUND((BG209*Parámetros!$G$85),2))</f>
        <v>0</v>
      </c>
      <c r="BK209" s="66">
        <f>+IF($W209="","",ROUND((BG209*(Parámetros!$G$86)),2))</f>
        <v>0</v>
      </c>
      <c r="BL209" s="66">
        <f t="shared" si="262"/>
        <v>0</v>
      </c>
      <c r="BM209" t="str">
        <f t="shared" si="303"/>
        <v>00061</v>
      </c>
      <c r="BN209" t="str">
        <f t="shared" si="304"/>
        <v>Gastos de Entierro</v>
      </c>
      <c r="BO209" s="118">
        <f t="shared" si="305"/>
        <v>0</v>
      </c>
      <c r="BP209" s="118" t="str">
        <f t="shared" si="306"/>
        <v>A</v>
      </c>
      <c r="BQ209" s="119" t="str">
        <f>+IF(OR($W209="",BO209=0),"",ROUND((VLOOKUP(ROUNDDOWN($D209-1/frec,0),cob_adi,BB$40,FALSE)*(1+i/frec)^-0.5*(1+Parámetros!$D$103)*(1+rec_fracc)/frec),6))</f>
        <v/>
      </c>
      <c r="BR209" s="66">
        <f t="shared" si="263"/>
        <v>0</v>
      </c>
      <c r="BS209" s="119" t="str">
        <f t="shared" si="264"/>
        <v/>
      </c>
      <c r="BT209" s="66">
        <f>+IF($W209="","",ROUND(IF($B209&gt;Parámetros!$D$107,'Tablas Servicio'!BR209+('Tablas Servicio'!BT208-'Tablas Servicio'!BR208),BR209/(1-IF(B209&lt;=10,Parámetros!$D$100,0))),2))</f>
        <v>0</v>
      </c>
      <c r="BU209" s="66">
        <f t="shared" si="265"/>
        <v>0</v>
      </c>
      <c r="BV209" s="66">
        <f t="shared" si="265"/>
        <v>0</v>
      </c>
      <c r="BW209" s="66">
        <f>+IF($W209="","",ROUND((BT209*Parámetros!$G$85),2))</f>
        <v>0</v>
      </c>
      <c r="BX209" s="66">
        <f>+IF($W209="","",ROUND((BT209*(Parámetros!$G$86)),2))</f>
        <v>0</v>
      </c>
      <c r="BY209" s="66">
        <f t="shared" si="266"/>
        <v>0</v>
      </c>
      <c r="BZ209" t="str">
        <f t="shared" si="307"/>
        <v>00062</v>
      </c>
      <c r="CA209" t="str">
        <f t="shared" si="308"/>
        <v>Gastos médicos por accidente</v>
      </c>
      <c r="CB209" s="118">
        <f t="shared" si="309"/>
        <v>0</v>
      </c>
      <c r="CC209" s="118" t="str">
        <f t="shared" si="310"/>
        <v>A</v>
      </c>
      <c r="CD209" s="119" t="str">
        <f t="shared" si="267"/>
        <v/>
      </c>
      <c r="CE209" s="66">
        <f>+IF($W209="","",ROUND((VLOOKUP(ROUNDDOWN($D209-1/frec,0),cob_adi,BO$40,FALSE)*(1+i/frec)^-0.5*(1+Parámetros!$D$103)*(1+rec_fracc)/frec*'TABLAS ADI'!$BC$17),2))</f>
        <v>0</v>
      </c>
      <c r="CF209" s="119" t="str">
        <f t="shared" si="268"/>
        <v/>
      </c>
      <c r="CG209" s="66">
        <f>+IF($W209="","",ROUND(IF($B209&gt;Parámetros!$D$107,'Tablas Servicio'!CE209+('Tablas Servicio'!CG208-'Tablas Servicio'!CE208),CE209/(1-IF(B209&lt;=10,Parámetros!$D$100,0))),2))</f>
        <v>0</v>
      </c>
      <c r="CH209" s="66">
        <f t="shared" si="269"/>
        <v>0</v>
      </c>
      <c r="CI209" s="66">
        <f t="shared" si="269"/>
        <v>0</v>
      </c>
      <c r="CJ209" s="66">
        <f>+IF($W209="","",ROUND((CG209*Parámetros!$G$85),2))</f>
        <v>0</v>
      </c>
      <c r="CK209" s="66">
        <f>+IF($W209="","",ROUND((CG209*(Parámetros!$G$86)),2))</f>
        <v>0</v>
      </c>
      <c r="CL209" s="66">
        <f t="shared" si="270"/>
        <v>0</v>
      </c>
      <c r="CM209" t="str">
        <f t="shared" si="311"/>
        <v>00063</v>
      </c>
      <c r="CN209" s="118" t="str">
        <f t="shared" si="312"/>
        <v>Renta Diaria por Hospitalización</v>
      </c>
      <c r="CO209" s="118">
        <f t="shared" si="313"/>
        <v>0</v>
      </c>
      <c r="CP209" s="118" t="str">
        <f t="shared" si="314"/>
        <v>A</v>
      </c>
      <c r="CQ209" s="119" t="str">
        <f t="shared" si="271"/>
        <v/>
      </c>
      <c r="CR209" s="66">
        <f>+IF($W209="","",ROUND((VLOOKUP(Parámetros!$F$51,'COBERTURAS ADICIONALES'!$S$4:$T$32,2,FALSE)*(1+i/frec)^-0.5*(1+Parámetros!$D$103)*(1+rec_fracc)/frec*$CO$42),2))</f>
        <v>0</v>
      </c>
      <c r="CS209" s="119" t="str">
        <f t="shared" si="272"/>
        <v/>
      </c>
      <c r="CT209" s="66">
        <f>+IF($W209="","",ROUND(IF($B209&gt;Parámetros!$D$107,'Tablas Servicio'!CR209+('Tablas Servicio'!CT208-'Tablas Servicio'!CR208),CR209/(1-IF(B209&lt;=10,Parámetros!$D$100,0))),2))</f>
        <v>0</v>
      </c>
      <c r="CU209" s="66">
        <f t="shared" si="273"/>
        <v>0</v>
      </c>
      <c r="CV209" s="66">
        <f t="shared" si="273"/>
        <v>0</v>
      </c>
      <c r="CW209" s="66">
        <f>+IF($W209="","",ROUND((CT209*Parámetros!$G$85),2))</f>
        <v>0</v>
      </c>
      <c r="CX209" s="66">
        <f>+IF($W209="","",ROUND((CT209*(Parámetros!$G$86)),2))</f>
        <v>0</v>
      </c>
      <c r="CY209" s="66">
        <f t="shared" si="274"/>
        <v>0</v>
      </c>
      <c r="CZ209" t="str">
        <f t="shared" si="315"/>
        <v>00064</v>
      </c>
      <c r="DA209" s="118" t="str">
        <f t="shared" si="316"/>
        <v>Enfermedades Graves</v>
      </c>
      <c r="DB209" s="118">
        <f t="shared" si="317"/>
        <v>0</v>
      </c>
      <c r="DC209" s="118" t="str">
        <f t="shared" si="318"/>
        <v>A</v>
      </c>
      <c r="DD209" s="121" t="str">
        <f>+IF(OR($W209="",DB209=0),"",ROUND((VLOOKUP(ROUNDDOWN($D209-1/frec,0),cob_adi,CO$40,FALSE)*(1+i/frec)^-0.5*(1+Parámetros!$D$103)*(1+rec_fracc)/frec),6))</f>
        <v/>
      </c>
      <c r="DE209" s="66">
        <f t="shared" si="275"/>
        <v>0</v>
      </c>
      <c r="DF209" s="119" t="str">
        <f t="shared" si="276"/>
        <v/>
      </c>
      <c r="DG209" s="66">
        <f>+IF($W209="","",ROUND(IF($B209&gt;Parámetros!$D$107,'Tablas Servicio'!DE209+('Tablas Servicio'!DG208-'Tablas Servicio'!DE208),DE209/(1-IF(B209&lt;=10,Parámetros!$D$100,0))),2))</f>
        <v>0</v>
      </c>
      <c r="DH209" s="66">
        <f t="shared" si="277"/>
        <v>0</v>
      </c>
      <c r="DI209" s="66">
        <f t="shared" si="277"/>
        <v>0</v>
      </c>
      <c r="DJ209" s="66">
        <f>+IF($W209="","",ROUND((DG209*Parámetros!$G$85),2))</f>
        <v>0</v>
      </c>
      <c r="DK209" s="66">
        <f>+IF($W209="","",ROUND((DG209*(Parámetros!$G$86)),2))</f>
        <v>0</v>
      </c>
      <c r="DL209" s="66">
        <f t="shared" si="278"/>
        <v>0</v>
      </c>
      <c r="DM209" t="str">
        <f t="shared" si="319"/>
        <v>00065</v>
      </c>
      <c r="DN209" s="118" t="str">
        <f t="shared" si="320"/>
        <v>Exención pago de primas</v>
      </c>
      <c r="DO209" s="118">
        <f t="shared" si="321"/>
        <v>0</v>
      </c>
      <c r="DP209" s="118" t="str">
        <f t="shared" si="322"/>
        <v>A</v>
      </c>
      <c r="DQ209" s="122" t="str">
        <f>+IF(OR($W209="",DO209=0),"",ROUND((VLOOKUP(ROUNDDOWN($D209-1/frec,0),cob_adi,DB$40,FALSE)*(1+i/frec)^-0.5*(1+Parámetros!$D$103)*(1+rec_fracc)/frec),6))</f>
        <v/>
      </c>
      <c r="DR209" s="66">
        <f t="shared" si="279"/>
        <v>0</v>
      </c>
      <c r="DS209" s="68" t="str">
        <f t="shared" si="280"/>
        <v/>
      </c>
      <c r="DT209" s="66">
        <f>+IF($W209="","",ROUND(IF($B209&gt;Parámetros!$D$107,'Tablas Servicio'!DR209+('Tablas Servicio'!DT208-'Tablas Servicio'!DR208),DR209/(1-IF(B209&lt;=10,Parámetros!$D$100,0))),2))</f>
        <v>0</v>
      </c>
      <c r="DU209" s="66">
        <f t="shared" si="281"/>
        <v>0</v>
      </c>
      <c r="DV209" s="66">
        <f t="shared" si="281"/>
        <v>0</v>
      </c>
      <c r="DW209" s="66">
        <f>+IF($W209="","",ROUND((DT209*Parámetros!$G$85),2))</f>
        <v>0</v>
      </c>
      <c r="DX209" s="66">
        <f>+IF($W209="","",ROUND((DT209*(Parámetros!$G$86)),2))</f>
        <v>0</v>
      </c>
      <c r="DY209" s="66">
        <f t="shared" si="282"/>
        <v>0</v>
      </c>
      <c r="DZ209" t="str">
        <f t="shared" si="324"/>
        <v>00066</v>
      </c>
      <c r="EA209" s="118" t="str">
        <f t="shared" si="324"/>
        <v>Enfermedad terminal</v>
      </c>
      <c r="EB209" s="118">
        <f>+IF($W209="","",ROUND(IF(Parámetros!$D$25='TABLAS MORT'!$V$33,EB208,Z209/2),0))</f>
        <v>50000</v>
      </c>
      <c r="EC209" s="118" t="str">
        <f t="shared" si="324"/>
        <v>A</v>
      </c>
      <c r="ED209" s="122">
        <f>+IF(OR($W209="",EB209=0),"",ROUND((VLOOKUP(ROUNDDOWN($D209-1/frec,0),cob_adi,DO$40,FALSE)*(1+i/frec)^-0.5*(1+Parámetros!$D$103)*(1+rec_fracc)/frec),6))</f>
        <v>1.8E-5</v>
      </c>
      <c r="EE209" s="66">
        <f t="shared" si="284"/>
        <v>0.9</v>
      </c>
      <c r="EF209" s="68">
        <f t="shared" si="285"/>
        <v>1.8E-5</v>
      </c>
      <c r="EG209" s="66">
        <f>+IF($W209="","",ROUND(IF($B209&gt;Parámetros!$D$107,'Tablas Servicio'!EE209+('Tablas Servicio'!EG208-'Tablas Servicio'!EE208),EE209/(1-IF(B209&lt;=10,Parámetros!$D$100,0))),2))</f>
        <v>0.9</v>
      </c>
      <c r="EH209" s="66">
        <f t="shared" si="286"/>
        <v>0</v>
      </c>
      <c r="EI209" s="66">
        <f t="shared" si="286"/>
        <v>0</v>
      </c>
      <c r="EJ209" s="66">
        <f>+IF($W209="","",ROUND((EG209*Parámetros!$G$85),2))</f>
        <v>0.03</v>
      </c>
      <c r="EK209" s="66">
        <f>+IF($W209="","",ROUND((EG209*(Parámetros!$G$86)),2))</f>
        <v>0</v>
      </c>
      <c r="EL209" s="66">
        <f t="shared" si="287"/>
        <v>0.93</v>
      </c>
    </row>
    <row r="210" spans="1:142" x14ac:dyDescent="0.25">
      <c r="A210">
        <f>+IF($C210="","",ROUND(VLOOKUP('Tablas Servicio'!B210,Parámetros!$H$100:$J$159,IF(Parámetros!$E$16="F",2,3),FALSE),2))</f>
        <v>150</v>
      </c>
      <c r="B210">
        <f t="shared" si="238"/>
        <v>15</v>
      </c>
      <c r="C210" s="57">
        <f>+IF(D210="","",'Tablas Servicio'!C209+1)</f>
        <v>169</v>
      </c>
      <c r="D210" s="56">
        <f>+IF(D209&lt;edadmaxtabla,D209+1/Parámetros!$E$25,"")</f>
        <v>54.103333333333737</v>
      </c>
      <c r="E210" s="57">
        <f t="shared" si="248"/>
        <v>54</v>
      </c>
      <c r="F210" s="59">
        <f t="shared" si="249"/>
        <v>100000</v>
      </c>
      <c r="G210" s="66">
        <f t="shared" si="239"/>
        <v>43.5</v>
      </c>
      <c r="H210" s="66">
        <f t="shared" si="240"/>
        <v>45.23</v>
      </c>
      <c r="I210" s="66">
        <f t="shared" si="288"/>
        <v>48.77</v>
      </c>
      <c r="J210" s="66">
        <f t="shared" si="241"/>
        <v>1.52</v>
      </c>
      <c r="K210" s="66">
        <f t="shared" si="242"/>
        <v>0.21</v>
      </c>
      <c r="L210" s="66">
        <f t="shared" si="243"/>
        <v>0</v>
      </c>
      <c r="M210" s="66">
        <f t="shared" si="244"/>
        <v>0</v>
      </c>
      <c r="N210" s="66">
        <f>+IF(C210="","",ROUND(Parámetros!$D$23,2))</f>
        <v>94</v>
      </c>
      <c r="O210" s="66">
        <f t="shared" si="245"/>
        <v>31</v>
      </c>
      <c r="P210" s="66">
        <f>+IF($C210="","",ROUND(IF(B210&gt;Parámetros!$D$117,0,N210*Parámetros!$D$116-G210*Parámetros!$D$100),2))</f>
        <v>0</v>
      </c>
      <c r="Q210" s="75">
        <f t="shared" si="289"/>
        <v>3.4942528735632188E-2</v>
      </c>
      <c r="R210" s="75">
        <f t="shared" si="290"/>
        <v>4.8275862068965511E-3</v>
      </c>
      <c r="S210" s="117">
        <f>+IF($C210="","",ROUND((S209+I210)*(1+Parámetros!$D$91),2))</f>
        <v>11831.99</v>
      </c>
      <c r="T210" s="117">
        <f>+IF($C210="","",ROUND(S210*VLOOKUP(B210,Parámetros!$C$30:$D$39,2,TRUE),2))</f>
        <v>11831.99</v>
      </c>
      <c r="U210" s="117">
        <f>+IF($C210="","",ROUND((U209+I210)*(1+Parámetros!$D$92),2))</f>
        <v>12292.81</v>
      </c>
      <c r="V210" s="117">
        <f>+IF($C210="","",ROUND(U210*VLOOKUP(B210,Parámetros!$C$30:$D$39,2,TRUE),2))</f>
        <v>12292.81</v>
      </c>
      <c r="W210" s="57">
        <f t="shared" si="291"/>
        <v>169</v>
      </c>
      <c r="X210" t="str">
        <f t="shared" si="292"/>
        <v>00058</v>
      </c>
      <c r="Y210" t="str">
        <f t="shared" si="293"/>
        <v>MUERTE POR CUALQUIER CAUSA</v>
      </c>
      <c r="Z210" s="118">
        <f>+IF($W210="","",ROUND(IF(Parámetros!$D$25='TABLAS MORT'!$V$33,Z209,Parámetros!$D$21-'Tablas Servicio'!T209),0))</f>
        <v>100000</v>
      </c>
      <c r="AA210" s="118" t="str">
        <f t="shared" si="294"/>
        <v>P</v>
      </c>
      <c r="AB210" s="119">
        <f>+IF(W210="","",ROUND((VLOOKUP(ROUNDDOWN($D210-1/frec,0),qx_tabla,2,FALSE)*(1+i/frec)^-0.5*(1+Parámetros!$D$103)*(1+rec_fracc)/frec),6))</f>
        <v>3.01E-4</v>
      </c>
      <c r="AC210" s="66">
        <f t="shared" si="250"/>
        <v>30.1</v>
      </c>
      <c r="AD210" s="119">
        <f t="shared" si="246"/>
        <v>4.26E-4</v>
      </c>
      <c r="AE210" s="66">
        <f>+IF($W210="","",ROUND(IF($B210&gt;Parámetros!$D$107,'Tablas Servicio'!AC210+('Tablas Servicio'!AG209-'Tablas Servicio'!AC209),AC210/(1-IF(B210&lt;=10,Parámetros!$D$104,Parámetros!$D$105))),2))</f>
        <v>50.17</v>
      </c>
      <c r="AF210" s="66">
        <f>+IF($W210="","",ROUND(IF($B210&gt;Parámetros!$D$107,'Tablas Servicio'!AC210+('Tablas Servicio'!AG209-'Tablas Servicio'!AC209),(AC210+$A209/frec)/(1-IF(B210&lt;=Parámetros!$D$117,Parámetros!$D$100,0))),2))</f>
        <v>42.6</v>
      </c>
      <c r="AG210" s="66">
        <f t="shared" si="251"/>
        <v>42.6</v>
      </c>
      <c r="AH210" s="66">
        <f t="shared" si="252"/>
        <v>0</v>
      </c>
      <c r="AI210" s="66">
        <f t="shared" si="253"/>
        <v>0</v>
      </c>
      <c r="AJ210" s="66">
        <f>+IF($W210="","",ROUND((AG210*Parámetros!$G$85),2))</f>
        <v>1.49</v>
      </c>
      <c r="AK210" s="66">
        <f>+IF($W210="","",ROUND((AG210*(Parámetros!$G$86)),2))</f>
        <v>0.21</v>
      </c>
      <c r="AL210" s="66">
        <f t="shared" si="247"/>
        <v>44.3</v>
      </c>
      <c r="AM210" t="str">
        <f t="shared" si="295"/>
        <v>00059</v>
      </c>
      <c r="AN210" t="str">
        <f t="shared" si="296"/>
        <v>Incapacidad Total y Permanente</v>
      </c>
      <c r="AO210" s="118">
        <f t="shared" si="297"/>
        <v>0</v>
      </c>
      <c r="AP210" s="118" t="str">
        <f t="shared" si="298"/>
        <v>A</v>
      </c>
      <c r="AQ210" s="119" t="str">
        <f>+IF(OR($W210="",AO210=0),"",ROUND((VLOOKUP(ROUNDDOWN($D210-1/frec,0),cob_adi,Z$40,FALSE)*(1+i/frec)^-0.5*(1+Parámetros!$D$103)*(1+rec_fracc)/frec),6))</f>
        <v/>
      </c>
      <c r="AR210" s="66">
        <f t="shared" si="254"/>
        <v>0</v>
      </c>
      <c r="AS210" s="119" t="str">
        <f t="shared" si="255"/>
        <v/>
      </c>
      <c r="AT210" s="66">
        <f>+IF($W210="","",ROUND(IF($B210&gt;Parámetros!$D$107,'Tablas Servicio'!AR210+('Tablas Servicio'!AT209-'Tablas Servicio'!AR209),AR210/(1-IF(B210&lt;=10,Parámetros!$D$100,0))),2))</f>
        <v>0</v>
      </c>
      <c r="AU210" s="66">
        <f t="shared" si="256"/>
        <v>0</v>
      </c>
      <c r="AV210" s="66">
        <f t="shared" si="256"/>
        <v>0</v>
      </c>
      <c r="AW210" s="66">
        <f>+IF($W210="","",ROUND((AT210*Parámetros!$G$85),2))</f>
        <v>0</v>
      </c>
      <c r="AX210" s="66">
        <f>+IF($W210="","",ROUND((AT210*(Parámetros!$G$86)),2))</f>
        <v>0</v>
      </c>
      <c r="AY210" s="66">
        <f t="shared" si="257"/>
        <v>0</v>
      </c>
      <c r="AZ210" t="str">
        <f t="shared" si="299"/>
        <v>00060</v>
      </c>
      <c r="BA210" t="str">
        <f t="shared" si="300"/>
        <v>Muerte Accidental</v>
      </c>
      <c r="BB210" s="118">
        <f t="shared" si="301"/>
        <v>0</v>
      </c>
      <c r="BC210" s="118" t="str">
        <f t="shared" si="302"/>
        <v>A</v>
      </c>
      <c r="BD210" s="119" t="str">
        <f>+IF(OR($W210="",BB210=0),"",ROUND((VLOOKUP(ROUNDDOWN($D210-1/frec,0),cob_adi,AO$40,FALSE)*(1+i/frec)^-0.5*(1+Parámetros!$D$103)*(1+rec_fracc)/frec),6))</f>
        <v/>
      </c>
      <c r="BE210" s="66">
        <f t="shared" si="258"/>
        <v>0</v>
      </c>
      <c r="BF210" s="119" t="str">
        <f t="shared" si="259"/>
        <v/>
      </c>
      <c r="BG210" s="66">
        <f>+IF($W210="","",ROUND(IF($B210&gt;Parámetros!$D$107,'Tablas Servicio'!BE210+('Tablas Servicio'!BG209-'Tablas Servicio'!BE209),BE210/(1-IF(B210&lt;=10,Parámetros!$D$100,0))),2))</f>
        <v>0</v>
      </c>
      <c r="BH210" s="66">
        <f t="shared" si="260"/>
        <v>0</v>
      </c>
      <c r="BI210" s="66">
        <f t="shared" si="261"/>
        <v>0</v>
      </c>
      <c r="BJ210" s="66">
        <f>+IF($W210="","",ROUND((BG210*Parámetros!$G$85),2))</f>
        <v>0</v>
      </c>
      <c r="BK210" s="66">
        <f>+IF($W210="","",ROUND((BG210*(Parámetros!$G$86)),2))</f>
        <v>0</v>
      </c>
      <c r="BL210" s="66">
        <f t="shared" si="262"/>
        <v>0</v>
      </c>
      <c r="BM210" t="str">
        <f t="shared" si="303"/>
        <v>00061</v>
      </c>
      <c r="BN210" t="str">
        <f t="shared" si="304"/>
        <v>Gastos de Entierro</v>
      </c>
      <c r="BO210" s="118">
        <f t="shared" si="305"/>
        <v>0</v>
      </c>
      <c r="BP210" s="118" t="str">
        <f t="shared" si="306"/>
        <v>A</v>
      </c>
      <c r="BQ210" s="119" t="str">
        <f>+IF(OR($W210="",BO210=0),"",ROUND((VLOOKUP(ROUNDDOWN($D210-1/frec,0),cob_adi,BB$40,FALSE)*(1+i/frec)^-0.5*(1+Parámetros!$D$103)*(1+rec_fracc)/frec),6))</f>
        <v/>
      </c>
      <c r="BR210" s="66">
        <f t="shared" si="263"/>
        <v>0</v>
      </c>
      <c r="BS210" s="119" t="str">
        <f t="shared" si="264"/>
        <v/>
      </c>
      <c r="BT210" s="66">
        <f>+IF($W210="","",ROUND(IF($B210&gt;Parámetros!$D$107,'Tablas Servicio'!BR210+('Tablas Servicio'!BT209-'Tablas Servicio'!BR209),BR210/(1-IF(B210&lt;=10,Parámetros!$D$100,0))),2))</f>
        <v>0</v>
      </c>
      <c r="BU210" s="66">
        <f t="shared" si="265"/>
        <v>0</v>
      </c>
      <c r="BV210" s="66">
        <f t="shared" si="265"/>
        <v>0</v>
      </c>
      <c r="BW210" s="66">
        <f>+IF($W210="","",ROUND((BT210*Parámetros!$G$85),2))</f>
        <v>0</v>
      </c>
      <c r="BX210" s="66">
        <f>+IF($W210="","",ROUND((BT210*(Parámetros!$G$86)),2))</f>
        <v>0</v>
      </c>
      <c r="BY210" s="66">
        <f t="shared" si="266"/>
        <v>0</v>
      </c>
      <c r="BZ210" t="str">
        <f t="shared" si="307"/>
        <v>00062</v>
      </c>
      <c r="CA210" t="str">
        <f t="shared" si="308"/>
        <v>Gastos médicos por accidente</v>
      </c>
      <c r="CB210" s="118">
        <f t="shared" si="309"/>
        <v>0</v>
      </c>
      <c r="CC210" s="118" t="str">
        <f t="shared" si="310"/>
        <v>A</v>
      </c>
      <c r="CD210" s="119" t="str">
        <f t="shared" si="267"/>
        <v/>
      </c>
      <c r="CE210" s="66">
        <f>+IF($W210="","",ROUND((VLOOKUP(ROUNDDOWN($D210-1/frec,0),cob_adi,BO$40,FALSE)*(1+i/frec)^-0.5*(1+Parámetros!$D$103)*(1+rec_fracc)/frec*'TABLAS ADI'!$BC$17),2))</f>
        <v>0</v>
      </c>
      <c r="CF210" s="119" t="str">
        <f t="shared" si="268"/>
        <v/>
      </c>
      <c r="CG210" s="66">
        <f>+IF($W210="","",ROUND(IF($B210&gt;Parámetros!$D$107,'Tablas Servicio'!CE210+('Tablas Servicio'!CG209-'Tablas Servicio'!CE209),CE210/(1-IF(B210&lt;=10,Parámetros!$D$100,0))),2))</f>
        <v>0</v>
      </c>
      <c r="CH210" s="66">
        <f t="shared" si="269"/>
        <v>0</v>
      </c>
      <c r="CI210" s="66">
        <f t="shared" si="269"/>
        <v>0</v>
      </c>
      <c r="CJ210" s="66">
        <f>+IF($W210="","",ROUND((CG210*Parámetros!$G$85),2))</f>
        <v>0</v>
      </c>
      <c r="CK210" s="66">
        <f>+IF($W210="","",ROUND((CG210*(Parámetros!$G$86)),2))</f>
        <v>0</v>
      </c>
      <c r="CL210" s="66">
        <f t="shared" si="270"/>
        <v>0</v>
      </c>
      <c r="CM210" t="str">
        <f t="shared" si="311"/>
        <v>00063</v>
      </c>
      <c r="CN210" s="118" t="str">
        <f t="shared" si="312"/>
        <v>Renta Diaria por Hospitalización</v>
      </c>
      <c r="CO210" s="118">
        <f t="shared" si="313"/>
        <v>0</v>
      </c>
      <c r="CP210" s="118" t="str">
        <f t="shared" si="314"/>
        <v>A</v>
      </c>
      <c r="CQ210" s="119" t="str">
        <f t="shared" si="271"/>
        <v/>
      </c>
      <c r="CR210" s="66">
        <f>+IF($W210="","",ROUND((VLOOKUP(Parámetros!$F$51,'COBERTURAS ADICIONALES'!$S$4:$T$32,2,FALSE)*(1+i/frec)^-0.5*(1+Parámetros!$D$103)*(1+rec_fracc)/frec*$CO$42),2))</f>
        <v>0</v>
      </c>
      <c r="CS210" s="119" t="str">
        <f t="shared" si="272"/>
        <v/>
      </c>
      <c r="CT210" s="66">
        <f>+IF($W210="","",ROUND(IF($B210&gt;Parámetros!$D$107,'Tablas Servicio'!CR210+('Tablas Servicio'!CT209-'Tablas Servicio'!CR209),CR210/(1-IF(B210&lt;=10,Parámetros!$D$100,0))),2))</f>
        <v>0</v>
      </c>
      <c r="CU210" s="66">
        <f t="shared" si="273"/>
        <v>0</v>
      </c>
      <c r="CV210" s="66">
        <f t="shared" si="273"/>
        <v>0</v>
      </c>
      <c r="CW210" s="66">
        <f>+IF($W210="","",ROUND((CT210*Parámetros!$G$85),2))</f>
        <v>0</v>
      </c>
      <c r="CX210" s="66">
        <f>+IF($W210="","",ROUND((CT210*(Parámetros!$G$86)),2))</f>
        <v>0</v>
      </c>
      <c r="CY210" s="66">
        <f t="shared" si="274"/>
        <v>0</v>
      </c>
      <c r="CZ210" t="str">
        <f t="shared" si="315"/>
        <v>00064</v>
      </c>
      <c r="DA210" s="118" t="str">
        <f t="shared" si="316"/>
        <v>Enfermedades Graves</v>
      </c>
      <c r="DB210" s="118">
        <f t="shared" si="317"/>
        <v>0</v>
      </c>
      <c r="DC210" s="118" t="str">
        <f t="shared" si="318"/>
        <v>A</v>
      </c>
      <c r="DD210" s="121" t="str">
        <f>+IF(OR($W210="",DB210=0),"",ROUND((VLOOKUP(ROUNDDOWN($D210-1/frec,0),cob_adi,CO$40,FALSE)*(1+i/frec)^-0.5*(1+Parámetros!$D$103)*(1+rec_fracc)/frec),6))</f>
        <v/>
      </c>
      <c r="DE210" s="66">
        <f t="shared" si="275"/>
        <v>0</v>
      </c>
      <c r="DF210" s="119" t="str">
        <f t="shared" si="276"/>
        <v/>
      </c>
      <c r="DG210" s="66">
        <f>+IF($W210="","",ROUND(IF($B210&gt;Parámetros!$D$107,'Tablas Servicio'!DE210+('Tablas Servicio'!DG209-'Tablas Servicio'!DE209),DE210/(1-IF(B210&lt;=10,Parámetros!$D$100,0))),2))</f>
        <v>0</v>
      </c>
      <c r="DH210" s="66">
        <f t="shared" si="277"/>
        <v>0</v>
      </c>
      <c r="DI210" s="66">
        <f t="shared" si="277"/>
        <v>0</v>
      </c>
      <c r="DJ210" s="66">
        <f>+IF($W210="","",ROUND((DG210*Parámetros!$G$85),2))</f>
        <v>0</v>
      </c>
      <c r="DK210" s="66">
        <f>+IF($W210="","",ROUND((DG210*(Parámetros!$G$86)),2))</f>
        <v>0</v>
      </c>
      <c r="DL210" s="66">
        <f t="shared" si="278"/>
        <v>0</v>
      </c>
      <c r="DM210" t="str">
        <f t="shared" si="319"/>
        <v>00065</v>
      </c>
      <c r="DN210" s="118" t="str">
        <f t="shared" si="320"/>
        <v>Exención pago de primas</v>
      </c>
      <c r="DO210" s="118">
        <f t="shared" si="321"/>
        <v>0</v>
      </c>
      <c r="DP210" s="118" t="str">
        <f t="shared" si="322"/>
        <v>A</v>
      </c>
      <c r="DQ210" s="122" t="str">
        <f>+IF(OR($W210="",DO210=0),"",ROUND((VLOOKUP(ROUNDDOWN($D210-1/frec,0),cob_adi,DB$40,FALSE)*(1+i/frec)^-0.5*(1+Parámetros!$D$103)*(1+rec_fracc)/frec),6))</f>
        <v/>
      </c>
      <c r="DR210" s="66">
        <f t="shared" si="279"/>
        <v>0</v>
      </c>
      <c r="DS210" s="68" t="str">
        <f t="shared" si="280"/>
        <v/>
      </c>
      <c r="DT210" s="66">
        <f>+IF($W210="","",ROUND(IF($B210&gt;Parámetros!$D$107,'Tablas Servicio'!DR210+('Tablas Servicio'!DT209-'Tablas Servicio'!DR209),DR210/(1-IF(B210&lt;=10,Parámetros!$D$100,0))),2))</f>
        <v>0</v>
      </c>
      <c r="DU210" s="66">
        <f t="shared" si="281"/>
        <v>0</v>
      </c>
      <c r="DV210" s="66">
        <f t="shared" si="281"/>
        <v>0</v>
      </c>
      <c r="DW210" s="66">
        <f>+IF($W210="","",ROUND((DT210*Parámetros!$G$85),2))</f>
        <v>0</v>
      </c>
      <c r="DX210" s="66">
        <f>+IF($W210="","",ROUND((DT210*(Parámetros!$G$86)),2))</f>
        <v>0</v>
      </c>
      <c r="DY210" s="66">
        <f t="shared" si="282"/>
        <v>0</v>
      </c>
      <c r="DZ210" t="str">
        <f t="shared" si="324"/>
        <v>00066</v>
      </c>
      <c r="EA210" s="118" t="str">
        <f t="shared" si="324"/>
        <v>Enfermedad terminal</v>
      </c>
      <c r="EB210" s="118">
        <f>+IF($W210="","",ROUND(IF(Parámetros!$D$25='TABLAS MORT'!$V$33,EB209,Z210/2),0))</f>
        <v>50000</v>
      </c>
      <c r="EC210" s="118" t="str">
        <f t="shared" si="324"/>
        <v>A</v>
      </c>
      <c r="ED210" s="122">
        <f>+IF(OR($W210="",EB210=0),"",ROUND((VLOOKUP(ROUNDDOWN($D210-1/frec,0),cob_adi,DO$40,FALSE)*(1+i/frec)^-0.5*(1+Parámetros!$D$103)*(1+rec_fracc)/frec),6))</f>
        <v>1.8E-5</v>
      </c>
      <c r="EE210" s="66">
        <f t="shared" si="284"/>
        <v>0.9</v>
      </c>
      <c r="EF210" s="68">
        <f t="shared" si="285"/>
        <v>1.8E-5</v>
      </c>
      <c r="EG210" s="66">
        <f>+IF($W210="","",ROUND(IF($B210&gt;Parámetros!$D$107,'Tablas Servicio'!EE210+('Tablas Servicio'!EG209-'Tablas Servicio'!EE209),EE210/(1-IF(B210&lt;=10,Parámetros!$D$100,0))),2))</f>
        <v>0.9</v>
      </c>
      <c r="EH210" s="66">
        <f t="shared" si="286"/>
        <v>0</v>
      </c>
      <c r="EI210" s="66">
        <f t="shared" si="286"/>
        <v>0</v>
      </c>
      <c r="EJ210" s="66">
        <f>+IF($W210="","",ROUND((EG210*Parámetros!$G$85),2))</f>
        <v>0.03</v>
      </c>
      <c r="EK210" s="66">
        <f>+IF($W210="","",ROUND((EG210*(Parámetros!$G$86)),2))</f>
        <v>0</v>
      </c>
      <c r="EL210" s="66">
        <f t="shared" si="287"/>
        <v>0.93</v>
      </c>
    </row>
    <row r="211" spans="1:142" x14ac:dyDescent="0.25">
      <c r="A211">
        <f>+IF($C211="","",ROUND(VLOOKUP('Tablas Servicio'!B211,Parámetros!$H$100:$J$159,IF(Parámetros!$E$16="F",2,3),FALSE),2))</f>
        <v>150</v>
      </c>
      <c r="B211">
        <f t="shared" si="238"/>
        <v>15</v>
      </c>
      <c r="C211" s="57">
        <f>+IF(D211="","",'Tablas Servicio'!C210+1)</f>
        <v>170</v>
      </c>
      <c r="D211" s="56">
        <f>+IF(D210&lt;edadmaxtabla,D210+1/Parámetros!$E$25,"")</f>
        <v>54.186666666667072</v>
      </c>
      <c r="E211" s="57">
        <f t="shared" si="248"/>
        <v>54</v>
      </c>
      <c r="F211" s="59">
        <f t="shared" si="249"/>
        <v>100000</v>
      </c>
      <c r="G211" s="66">
        <f t="shared" si="239"/>
        <v>43.5</v>
      </c>
      <c r="H211" s="66">
        <f t="shared" si="240"/>
        <v>45.23</v>
      </c>
      <c r="I211" s="66">
        <f t="shared" si="288"/>
        <v>48.77</v>
      </c>
      <c r="J211" s="66">
        <f t="shared" si="241"/>
        <v>1.52</v>
      </c>
      <c r="K211" s="66">
        <f t="shared" si="242"/>
        <v>0.21</v>
      </c>
      <c r="L211" s="66">
        <f t="shared" si="243"/>
        <v>0</v>
      </c>
      <c r="M211" s="66">
        <f t="shared" si="244"/>
        <v>0</v>
      </c>
      <c r="N211" s="66">
        <f>+IF(C211="","",ROUND(Parámetros!$D$23,2))</f>
        <v>94</v>
      </c>
      <c r="O211" s="66">
        <f t="shared" si="245"/>
        <v>31</v>
      </c>
      <c r="P211" s="66">
        <f>+IF($C211="","",ROUND(IF(B211&gt;Parámetros!$D$117,0,N211*Parámetros!$D$116-G211*Parámetros!$D$100),2))</f>
        <v>0</v>
      </c>
      <c r="Q211" s="75">
        <f t="shared" si="289"/>
        <v>3.4942528735632188E-2</v>
      </c>
      <c r="R211" s="75">
        <f t="shared" si="290"/>
        <v>4.8275862068965511E-3</v>
      </c>
      <c r="S211" s="117">
        <f>+IF($C211="","",ROUND((S210+I211)*(1+Parámetros!$D$91),2))</f>
        <v>11914.46</v>
      </c>
      <c r="T211" s="117">
        <f>+IF($C211="","",ROUND(S211*VLOOKUP(B211,Parámetros!$C$30:$D$39,2,TRUE),2))</f>
        <v>11914.46</v>
      </c>
      <c r="U211" s="117">
        <f>+IF($C211="","",ROUND((U210+I211)*(1+Parámetros!$D$92),2))</f>
        <v>12381.59</v>
      </c>
      <c r="V211" s="117">
        <f>+IF($C211="","",ROUND(U211*VLOOKUP(B211,Parámetros!$C$30:$D$39,2,TRUE),2))</f>
        <v>12381.59</v>
      </c>
      <c r="W211" s="57">
        <f t="shared" si="291"/>
        <v>170</v>
      </c>
      <c r="X211" t="str">
        <f t="shared" si="292"/>
        <v>00058</v>
      </c>
      <c r="Y211" t="str">
        <f t="shared" si="293"/>
        <v>MUERTE POR CUALQUIER CAUSA</v>
      </c>
      <c r="Z211" s="118">
        <f>+IF($W211="","",ROUND(IF(Parámetros!$D$25='TABLAS MORT'!$V$33,Z210,Parámetros!$D$21-'Tablas Servicio'!T210),0))</f>
        <v>100000</v>
      </c>
      <c r="AA211" s="118" t="str">
        <f t="shared" si="294"/>
        <v>P</v>
      </c>
      <c r="AB211" s="119">
        <f>+IF(W211="","",ROUND((VLOOKUP(ROUNDDOWN($D211-1/frec,0),qx_tabla,2,FALSE)*(1+i/frec)^-0.5*(1+Parámetros!$D$103)*(1+rec_fracc)/frec),6))</f>
        <v>3.01E-4</v>
      </c>
      <c r="AC211" s="66">
        <f t="shared" si="250"/>
        <v>30.1</v>
      </c>
      <c r="AD211" s="119">
        <f t="shared" si="246"/>
        <v>4.26E-4</v>
      </c>
      <c r="AE211" s="66">
        <f>+IF($W211="","",ROUND(IF($B211&gt;Parámetros!$D$107,'Tablas Servicio'!AC211+('Tablas Servicio'!AG210-'Tablas Servicio'!AC210),AC211/(1-IF(B211&lt;=10,Parámetros!$D$104,Parámetros!$D$105))),2))</f>
        <v>50.17</v>
      </c>
      <c r="AF211" s="66">
        <f>+IF($W211="","",ROUND(IF($B211&gt;Parámetros!$D$107,'Tablas Servicio'!AC211+('Tablas Servicio'!AG210-'Tablas Servicio'!AC210),(AC211+$A210/frec)/(1-IF(B211&lt;=Parámetros!$D$117,Parámetros!$D$100,0))),2))</f>
        <v>42.6</v>
      </c>
      <c r="AG211" s="66">
        <f t="shared" si="251"/>
        <v>42.6</v>
      </c>
      <c r="AH211" s="66">
        <f t="shared" si="252"/>
        <v>0</v>
      </c>
      <c r="AI211" s="66">
        <f t="shared" si="253"/>
        <v>0</v>
      </c>
      <c r="AJ211" s="66">
        <f>+IF($W211="","",ROUND((AG211*Parámetros!$G$85),2))</f>
        <v>1.49</v>
      </c>
      <c r="AK211" s="66">
        <f>+IF($W211="","",ROUND((AG211*(Parámetros!$G$86)),2))</f>
        <v>0.21</v>
      </c>
      <c r="AL211" s="66">
        <f t="shared" si="247"/>
        <v>44.3</v>
      </c>
      <c r="AM211" t="str">
        <f t="shared" si="295"/>
        <v>00059</v>
      </c>
      <c r="AN211" t="str">
        <f t="shared" si="296"/>
        <v>Incapacidad Total y Permanente</v>
      </c>
      <c r="AO211" s="118">
        <f t="shared" si="297"/>
        <v>0</v>
      </c>
      <c r="AP211" s="118" t="str">
        <f t="shared" si="298"/>
        <v>A</v>
      </c>
      <c r="AQ211" s="119" t="str">
        <f>+IF(OR($W211="",AO211=0),"",ROUND((VLOOKUP(ROUNDDOWN($D211-1/frec,0),cob_adi,Z$40,FALSE)*(1+i/frec)^-0.5*(1+Parámetros!$D$103)*(1+rec_fracc)/frec),6))</f>
        <v/>
      </c>
      <c r="AR211" s="66">
        <f t="shared" si="254"/>
        <v>0</v>
      </c>
      <c r="AS211" s="119" t="str">
        <f t="shared" si="255"/>
        <v/>
      </c>
      <c r="AT211" s="66">
        <f>+IF($W211="","",ROUND(IF($B211&gt;Parámetros!$D$107,'Tablas Servicio'!AR211+('Tablas Servicio'!AT210-'Tablas Servicio'!AR210),AR211/(1-IF(B211&lt;=10,Parámetros!$D$100,0))),2))</f>
        <v>0</v>
      </c>
      <c r="AU211" s="66">
        <f t="shared" si="256"/>
        <v>0</v>
      </c>
      <c r="AV211" s="66">
        <f t="shared" si="256"/>
        <v>0</v>
      </c>
      <c r="AW211" s="66">
        <f>+IF($W211="","",ROUND((AT211*Parámetros!$G$85),2))</f>
        <v>0</v>
      </c>
      <c r="AX211" s="66">
        <f>+IF($W211="","",ROUND((AT211*(Parámetros!$G$86)),2))</f>
        <v>0</v>
      </c>
      <c r="AY211" s="66">
        <f t="shared" si="257"/>
        <v>0</v>
      </c>
      <c r="AZ211" t="str">
        <f t="shared" si="299"/>
        <v>00060</v>
      </c>
      <c r="BA211" t="str">
        <f t="shared" si="300"/>
        <v>Muerte Accidental</v>
      </c>
      <c r="BB211" s="118">
        <f t="shared" si="301"/>
        <v>0</v>
      </c>
      <c r="BC211" s="118" t="str">
        <f t="shared" si="302"/>
        <v>A</v>
      </c>
      <c r="BD211" s="119" t="str">
        <f>+IF(OR($W211="",BB211=0),"",ROUND((VLOOKUP(ROUNDDOWN($D211-1/frec,0),cob_adi,AO$40,FALSE)*(1+i/frec)^-0.5*(1+Parámetros!$D$103)*(1+rec_fracc)/frec),6))</f>
        <v/>
      </c>
      <c r="BE211" s="66">
        <f t="shared" si="258"/>
        <v>0</v>
      </c>
      <c r="BF211" s="119" t="str">
        <f t="shared" si="259"/>
        <v/>
      </c>
      <c r="BG211" s="66">
        <f>+IF($W211="","",ROUND(IF($B211&gt;Parámetros!$D$107,'Tablas Servicio'!BE211+('Tablas Servicio'!BG210-'Tablas Servicio'!BE210),BE211/(1-IF(B211&lt;=10,Parámetros!$D$100,0))),2))</f>
        <v>0</v>
      </c>
      <c r="BH211" s="66">
        <f t="shared" si="260"/>
        <v>0</v>
      </c>
      <c r="BI211" s="66">
        <f t="shared" si="261"/>
        <v>0</v>
      </c>
      <c r="BJ211" s="66">
        <f>+IF($W211="","",ROUND((BG211*Parámetros!$G$85),2))</f>
        <v>0</v>
      </c>
      <c r="BK211" s="66">
        <f>+IF($W211="","",ROUND((BG211*(Parámetros!$G$86)),2))</f>
        <v>0</v>
      </c>
      <c r="BL211" s="66">
        <f t="shared" si="262"/>
        <v>0</v>
      </c>
      <c r="BM211" t="str">
        <f t="shared" si="303"/>
        <v>00061</v>
      </c>
      <c r="BN211" t="str">
        <f t="shared" si="304"/>
        <v>Gastos de Entierro</v>
      </c>
      <c r="BO211" s="118">
        <f t="shared" si="305"/>
        <v>0</v>
      </c>
      <c r="BP211" s="118" t="str">
        <f t="shared" si="306"/>
        <v>A</v>
      </c>
      <c r="BQ211" s="119" t="str">
        <f>+IF(OR($W211="",BO211=0),"",ROUND((VLOOKUP(ROUNDDOWN($D211-1/frec,0),cob_adi,BB$40,FALSE)*(1+i/frec)^-0.5*(1+Parámetros!$D$103)*(1+rec_fracc)/frec),6))</f>
        <v/>
      </c>
      <c r="BR211" s="66">
        <f t="shared" si="263"/>
        <v>0</v>
      </c>
      <c r="BS211" s="119" t="str">
        <f t="shared" si="264"/>
        <v/>
      </c>
      <c r="BT211" s="66">
        <f>+IF($W211="","",ROUND(IF($B211&gt;Parámetros!$D$107,'Tablas Servicio'!BR211+('Tablas Servicio'!BT210-'Tablas Servicio'!BR210),BR211/(1-IF(B211&lt;=10,Parámetros!$D$100,0))),2))</f>
        <v>0</v>
      </c>
      <c r="BU211" s="66">
        <f t="shared" si="265"/>
        <v>0</v>
      </c>
      <c r="BV211" s="66">
        <f t="shared" si="265"/>
        <v>0</v>
      </c>
      <c r="BW211" s="66">
        <f>+IF($W211="","",ROUND((BT211*Parámetros!$G$85),2))</f>
        <v>0</v>
      </c>
      <c r="BX211" s="66">
        <f>+IF($W211="","",ROUND((BT211*(Parámetros!$G$86)),2))</f>
        <v>0</v>
      </c>
      <c r="BY211" s="66">
        <f t="shared" si="266"/>
        <v>0</v>
      </c>
      <c r="BZ211" t="str">
        <f t="shared" si="307"/>
        <v>00062</v>
      </c>
      <c r="CA211" t="str">
        <f t="shared" si="308"/>
        <v>Gastos médicos por accidente</v>
      </c>
      <c r="CB211" s="118">
        <f t="shared" si="309"/>
        <v>0</v>
      </c>
      <c r="CC211" s="118" t="str">
        <f t="shared" si="310"/>
        <v>A</v>
      </c>
      <c r="CD211" s="119" t="str">
        <f t="shared" si="267"/>
        <v/>
      </c>
      <c r="CE211" s="66">
        <f>+IF($W211="","",ROUND((VLOOKUP(ROUNDDOWN($D211-1/frec,0),cob_adi,BO$40,FALSE)*(1+i/frec)^-0.5*(1+Parámetros!$D$103)*(1+rec_fracc)/frec*'TABLAS ADI'!$BC$17),2))</f>
        <v>0</v>
      </c>
      <c r="CF211" s="119" t="str">
        <f t="shared" si="268"/>
        <v/>
      </c>
      <c r="CG211" s="66">
        <f>+IF($W211="","",ROUND(IF($B211&gt;Parámetros!$D$107,'Tablas Servicio'!CE211+('Tablas Servicio'!CG210-'Tablas Servicio'!CE210),CE211/(1-IF(B211&lt;=10,Parámetros!$D$100,0))),2))</f>
        <v>0</v>
      </c>
      <c r="CH211" s="66">
        <f t="shared" si="269"/>
        <v>0</v>
      </c>
      <c r="CI211" s="66">
        <f t="shared" si="269"/>
        <v>0</v>
      </c>
      <c r="CJ211" s="66">
        <f>+IF($W211="","",ROUND((CG211*Parámetros!$G$85),2))</f>
        <v>0</v>
      </c>
      <c r="CK211" s="66">
        <f>+IF($W211="","",ROUND((CG211*(Parámetros!$G$86)),2))</f>
        <v>0</v>
      </c>
      <c r="CL211" s="66">
        <f t="shared" si="270"/>
        <v>0</v>
      </c>
      <c r="CM211" t="str">
        <f t="shared" si="311"/>
        <v>00063</v>
      </c>
      <c r="CN211" s="118" t="str">
        <f t="shared" si="312"/>
        <v>Renta Diaria por Hospitalización</v>
      </c>
      <c r="CO211" s="118">
        <f t="shared" si="313"/>
        <v>0</v>
      </c>
      <c r="CP211" s="118" t="str">
        <f t="shared" si="314"/>
        <v>A</v>
      </c>
      <c r="CQ211" s="119" t="str">
        <f t="shared" si="271"/>
        <v/>
      </c>
      <c r="CR211" s="66">
        <f>+IF($W211="","",ROUND((VLOOKUP(Parámetros!$F$51,'COBERTURAS ADICIONALES'!$S$4:$T$32,2,FALSE)*(1+i/frec)^-0.5*(1+Parámetros!$D$103)*(1+rec_fracc)/frec*$CO$42),2))</f>
        <v>0</v>
      </c>
      <c r="CS211" s="119" t="str">
        <f t="shared" si="272"/>
        <v/>
      </c>
      <c r="CT211" s="66">
        <f>+IF($W211="","",ROUND(IF($B211&gt;Parámetros!$D$107,'Tablas Servicio'!CR211+('Tablas Servicio'!CT210-'Tablas Servicio'!CR210),CR211/(1-IF(B211&lt;=10,Parámetros!$D$100,0))),2))</f>
        <v>0</v>
      </c>
      <c r="CU211" s="66">
        <f t="shared" si="273"/>
        <v>0</v>
      </c>
      <c r="CV211" s="66">
        <f t="shared" si="273"/>
        <v>0</v>
      </c>
      <c r="CW211" s="66">
        <f>+IF($W211="","",ROUND((CT211*Parámetros!$G$85),2))</f>
        <v>0</v>
      </c>
      <c r="CX211" s="66">
        <f>+IF($W211="","",ROUND((CT211*(Parámetros!$G$86)),2))</f>
        <v>0</v>
      </c>
      <c r="CY211" s="66">
        <f t="shared" si="274"/>
        <v>0</v>
      </c>
      <c r="CZ211" t="str">
        <f t="shared" si="315"/>
        <v>00064</v>
      </c>
      <c r="DA211" s="118" t="str">
        <f t="shared" si="316"/>
        <v>Enfermedades Graves</v>
      </c>
      <c r="DB211" s="118">
        <f t="shared" si="317"/>
        <v>0</v>
      </c>
      <c r="DC211" s="118" t="str">
        <f t="shared" si="318"/>
        <v>A</v>
      </c>
      <c r="DD211" s="121" t="str">
        <f>+IF(OR($W211="",DB211=0),"",ROUND((VLOOKUP(ROUNDDOWN($D211-1/frec,0),cob_adi,CO$40,FALSE)*(1+i/frec)^-0.5*(1+Parámetros!$D$103)*(1+rec_fracc)/frec),6))</f>
        <v/>
      </c>
      <c r="DE211" s="66">
        <f t="shared" si="275"/>
        <v>0</v>
      </c>
      <c r="DF211" s="119" t="str">
        <f t="shared" si="276"/>
        <v/>
      </c>
      <c r="DG211" s="66">
        <f>+IF($W211="","",ROUND(IF($B211&gt;Parámetros!$D$107,'Tablas Servicio'!DE211+('Tablas Servicio'!DG210-'Tablas Servicio'!DE210),DE211/(1-IF(B211&lt;=10,Parámetros!$D$100,0))),2))</f>
        <v>0</v>
      </c>
      <c r="DH211" s="66">
        <f t="shared" si="277"/>
        <v>0</v>
      </c>
      <c r="DI211" s="66">
        <f t="shared" si="277"/>
        <v>0</v>
      </c>
      <c r="DJ211" s="66">
        <f>+IF($W211="","",ROUND((DG211*Parámetros!$G$85),2))</f>
        <v>0</v>
      </c>
      <c r="DK211" s="66">
        <f>+IF($W211="","",ROUND((DG211*(Parámetros!$G$86)),2))</f>
        <v>0</v>
      </c>
      <c r="DL211" s="66">
        <f t="shared" si="278"/>
        <v>0</v>
      </c>
      <c r="DM211" t="str">
        <f t="shared" si="319"/>
        <v>00065</v>
      </c>
      <c r="DN211" s="118" t="str">
        <f t="shared" si="320"/>
        <v>Exención pago de primas</v>
      </c>
      <c r="DO211" s="118">
        <f t="shared" si="321"/>
        <v>0</v>
      </c>
      <c r="DP211" s="118" t="str">
        <f t="shared" si="322"/>
        <v>A</v>
      </c>
      <c r="DQ211" s="122" t="str">
        <f>+IF(OR($W211="",DO211=0),"",ROUND((VLOOKUP(ROUNDDOWN($D211-1/frec,0),cob_adi,DB$40,FALSE)*(1+i/frec)^-0.5*(1+Parámetros!$D$103)*(1+rec_fracc)/frec),6))</f>
        <v/>
      </c>
      <c r="DR211" s="66">
        <f t="shared" si="279"/>
        <v>0</v>
      </c>
      <c r="DS211" s="68" t="str">
        <f t="shared" si="280"/>
        <v/>
      </c>
      <c r="DT211" s="66">
        <f>+IF($W211="","",ROUND(IF($B211&gt;Parámetros!$D$107,'Tablas Servicio'!DR211+('Tablas Servicio'!DT210-'Tablas Servicio'!DR210),DR211/(1-IF(B211&lt;=10,Parámetros!$D$100,0))),2))</f>
        <v>0</v>
      </c>
      <c r="DU211" s="66">
        <f t="shared" si="281"/>
        <v>0</v>
      </c>
      <c r="DV211" s="66">
        <f t="shared" si="281"/>
        <v>0</v>
      </c>
      <c r="DW211" s="66">
        <f>+IF($W211="","",ROUND((DT211*Parámetros!$G$85),2))</f>
        <v>0</v>
      </c>
      <c r="DX211" s="66">
        <f>+IF($W211="","",ROUND((DT211*(Parámetros!$G$86)),2))</f>
        <v>0</v>
      </c>
      <c r="DY211" s="66">
        <f t="shared" si="282"/>
        <v>0</v>
      </c>
      <c r="DZ211" t="str">
        <f t="shared" si="324"/>
        <v>00066</v>
      </c>
      <c r="EA211" s="118" t="str">
        <f t="shared" si="324"/>
        <v>Enfermedad terminal</v>
      </c>
      <c r="EB211" s="118">
        <f>+IF($W211="","",ROUND(IF(Parámetros!$D$25='TABLAS MORT'!$V$33,EB210,Z211/2),0))</f>
        <v>50000</v>
      </c>
      <c r="EC211" s="118" t="str">
        <f t="shared" si="324"/>
        <v>A</v>
      </c>
      <c r="ED211" s="122">
        <f>+IF(OR($W211="",EB211=0),"",ROUND((VLOOKUP(ROUNDDOWN($D211-1/frec,0),cob_adi,DO$40,FALSE)*(1+i/frec)^-0.5*(1+Parámetros!$D$103)*(1+rec_fracc)/frec),6))</f>
        <v>1.8E-5</v>
      </c>
      <c r="EE211" s="66">
        <f t="shared" si="284"/>
        <v>0.9</v>
      </c>
      <c r="EF211" s="68">
        <f t="shared" si="285"/>
        <v>1.8E-5</v>
      </c>
      <c r="EG211" s="66">
        <f>+IF($W211="","",ROUND(IF($B211&gt;Parámetros!$D$107,'Tablas Servicio'!EE211+('Tablas Servicio'!EG210-'Tablas Servicio'!EE210),EE211/(1-IF(B211&lt;=10,Parámetros!$D$100,0))),2))</f>
        <v>0.9</v>
      </c>
      <c r="EH211" s="66">
        <f t="shared" si="286"/>
        <v>0</v>
      </c>
      <c r="EI211" s="66">
        <f t="shared" si="286"/>
        <v>0</v>
      </c>
      <c r="EJ211" s="66">
        <f>+IF($W211="","",ROUND((EG211*Parámetros!$G$85),2))</f>
        <v>0.03</v>
      </c>
      <c r="EK211" s="66">
        <f>+IF($W211="","",ROUND((EG211*(Parámetros!$G$86)),2))</f>
        <v>0</v>
      </c>
      <c r="EL211" s="66">
        <f t="shared" si="287"/>
        <v>0.93</v>
      </c>
    </row>
    <row r="212" spans="1:142" x14ac:dyDescent="0.25">
      <c r="A212">
        <f>+IF($C212="","",ROUND(VLOOKUP('Tablas Servicio'!B212,Parámetros!$H$100:$J$159,IF(Parámetros!$E$16="F",2,3),FALSE),2))</f>
        <v>150</v>
      </c>
      <c r="B212">
        <f t="shared" si="238"/>
        <v>15</v>
      </c>
      <c r="C212" s="57">
        <f>+IF(D212="","",'Tablas Servicio'!C211+1)</f>
        <v>171</v>
      </c>
      <c r="D212" s="56">
        <f>+IF(D211&lt;edadmaxtabla,D211+1/Parámetros!$E$25,"")</f>
        <v>54.270000000000408</v>
      </c>
      <c r="E212" s="57">
        <f t="shared" si="248"/>
        <v>54</v>
      </c>
      <c r="F212" s="59">
        <f t="shared" si="249"/>
        <v>100000</v>
      </c>
      <c r="G212" s="66">
        <f t="shared" si="239"/>
        <v>43.5</v>
      </c>
      <c r="H212" s="66">
        <f t="shared" si="240"/>
        <v>45.23</v>
      </c>
      <c r="I212" s="66">
        <f t="shared" si="288"/>
        <v>48.77</v>
      </c>
      <c r="J212" s="66">
        <f t="shared" si="241"/>
        <v>1.52</v>
      </c>
      <c r="K212" s="66">
        <f t="shared" si="242"/>
        <v>0.21</v>
      </c>
      <c r="L212" s="66">
        <f t="shared" si="243"/>
        <v>0</v>
      </c>
      <c r="M212" s="66">
        <f t="shared" si="244"/>
        <v>0</v>
      </c>
      <c r="N212" s="66">
        <f>+IF(C212="","",ROUND(Parámetros!$D$23,2))</f>
        <v>94</v>
      </c>
      <c r="O212" s="66">
        <f t="shared" si="245"/>
        <v>31</v>
      </c>
      <c r="P212" s="66">
        <f>+IF($C212="","",ROUND(IF(B212&gt;Parámetros!$D$117,0,N212*Parámetros!$D$116-G212*Parámetros!$D$100),2))</f>
        <v>0</v>
      </c>
      <c r="Q212" s="75">
        <f t="shared" si="289"/>
        <v>3.4942528735632188E-2</v>
      </c>
      <c r="R212" s="75">
        <f t="shared" si="290"/>
        <v>4.8275862068965511E-3</v>
      </c>
      <c r="S212" s="117">
        <f>+IF($C212="","",ROUND((S211+I212)*(1+Parámetros!$D$91),2))</f>
        <v>11997.16</v>
      </c>
      <c r="T212" s="117">
        <f>+IF($C212="","",ROUND(S212*VLOOKUP(B212,Parámetros!$C$30:$D$39,2,TRUE),2))</f>
        <v>11997.16</v>
      </c>
      <c r="U212" s="117">
        <f>+IF($C212="","",ROUND((U211+I212)*(1+Parámetros!$D$92),2))</f>
        <v>12470.66</v>
      </c>
      <c r="V212" s="117">
        <f>+IF($C212="","",ROUND(U212*VLOOKUP(B212,Parámetros!$C$30:$D$39,2,TRUE),2))</f>
        <v>12470.66</v>
      </c>
      <c r="W212" s="57">
        <f t="shared" si="291"/>
        <v>171</v>
      </c>
      <c r="X212" t="str">
        <f t="shared" si="292"/>
        <v>00058</v>
      </c>
      <c r="Y212" t="str">
        <f t="shared" si="293"/>
        <v>MUERTE POR CUALQUIER CAUSA</v>
      </c>
      <c r="Z212" s="118">
        <f>+IF($W212="","",ROUND(IF(Parámetros!$D$25='TABLAS MORT'!$V$33,Z211,Parámetros!$D$21-'Tablas Servicio'!T211),0))</f>
        <v>100000</v>
      </c>
      <c r="AA212" s="118" t="str">
        <f t="shared" si="294"/>
        <v>P</v>
      </c>
      <c r="AB212" s="119">
        <f>+IF(W212="","",ROUND((VLOOKUP(ROUNDDOWN($D212-1/frec,0),qx_tabla,2,FALSE)*(1+i/frec)^-0.5*(1+Parámetros!$D$103)*(1+rec_fracc)/frec),6))</f>
        <v>3.01E-4</v>
      </c>
      <c r="AC212" s="66">
        <f t="shared" si="250"/>
        <v>30.1</v>
      </c>
      <c r="AD212" s="119">
        <f t="shared" si="246"/>
        <v>4.26E-4</v>
      </c>
      <c r="AE212" s="66">
        <f>+IF($W212="","",ROUND(IF($B212&gt;Parámetros!$D$107,'Tablas Servicio'!AC212+('Tablas Servicio'!AG211-'Tablas Servicio'!AC211),AC212/(1-IF(B212&lt;=10,Parámetros!$D$104,Parámetros!$D$105))),2))</f>
        <v>50.17</v>
      </c>
      <c r="AF212" s="66">
        <f>+IF($W212="","",ROUND(IF($B212&gt;Parámetros!$D$107,'Tablas Servicio'!AC212+('Tablas Servicio'!AG211-'Tablas Servicio'!AC211),(AC212+$A211/frec)/(1-IF(B212&lt;=Parámetros!$D$117,Parámetros!$D$100,0))),2))</f>
        <v>42.6</v>
      </c>
      <c r="AG212" s="66">
        <f t="shared" si="251"/>
        <v>42.6</v>
      </c>
      <c r="AH212" s="66">
        <f t="shared" si="252"/>
        <v>0</v>
      </c>
      <c r="AI212" s="66">
        <f t="shared" si="253"/>
        <v>0</v>
      </c>
      <c r="AJ212" s="66">
        <f>+IF($W212="","",ROUND((AG212*Parámetros!$G$85),2))</f>
        <v>1.49</v>
      </c>
      <c r="AK212" s="66">
        <f>+IF($W212="","",ROUND((AG212*(Parámetros!$G$86)),2))</f>
        <v>0.21</v>
      </c>
      <c r="AL212" s="66">
        <f t="shared" si="247"/>
        <v>44.3</v>
      </c>
      <c r="AM212" t="str">
        <f t="shared" si="295"/>
        <v>00059</v>
      </c>
      <c r="AN212" t="str">
        <f t="shared" si="296"/>
        <v>Incapacidad Total y Permanente</v>
      </c>
      <c r="AO212" s="118">
        <f t="shared" si="297"/>
        <v>0</v>
      </c>
      <c r="AP212" s="118" t="str">
        <f t="shared" si="298"/>
        <v>A</v>
      </c>
      <c r="AQ212" s="119" t="str">
        <f>+IF(OR($W212="",AO212=0),"",ROUND((VLOOKUP(ROUNDDOWN($D212-1/frec,0),cob_adi,Z$40,FALSE)*(1+i/frec)^-0.5*(1+Parámetros!$D$103)*(1+rec_fracc)/frec),6))</f>
        <v/>
      </c>
      <c r="AR212" s="66">
        <f t="shared" si="254"/>
        <v>0</v>
      </c>
      <c r="AS212" s="119" t="str">
        <f t="shared" si="255"/>
        <v/>
      </c>
      <c r="AT212" s="66">
        <f>+IF($W212="","",ROUND(IF($B212&gt;Parámetros!$D$107,'Tablas Servicio'!AR212+('Tablas Servicio'!AT211-'Tablas Servicio'!AR211),AR212/(1-IF(B212&lt;=10,Parámetros!$D$100,0))),2))</f>
        <v>0</v>
      </c>
      <c r="AU212" s="66">
        <f t="shared" si="256"/>
        <v>0</v>
      </c>
      <c r="AV212" s="66">
        <f t="shared" si="256"/>
        <v>0</v>
      </c>
      <c r="AW212" s="66">
        <f>+IF($W212="","",ROUND((AT212*Parámetros!$G$85),2))</f>
        <v>0</v>
      </c>
      <c r="AX212" s="66">
        <f>+IF($W212="","",ROUND((AT212*(Parámetros!$G$86)),2))</f>
        <v>0</v>
      </c>
      <c r="AY212" s="66">
        <f t="shared" si="257"/>
        <v>0</v>
      </c>
      <c r="AZ212" t="str">
        <f t="shared" si="299"/>
        <v>00060</v>
      </c>
      <c r="BA212" t="str">
        <f t="shared" si="300"/>
        <v>Muerte Accidental</v>
      </c>
      <c r="BB212" s="118">
        <f t="shared" si="301"/>
        <v>0</v>
      </c>
      <c r="BC212" s="118" t="str">
        <f t="shared" si="302"/>
        <v>A</v>
      </c>
      <c r="BD212" s="119" t="str">
        <f>+IF(OR($W212="",BB212=0),"",ROUND((VLOOKUP(ROUNDDOWN($D212-1/frec,0),cob_adi,AO$40,FALSE)*(1+i/frec)^-0.5*(1+Parámetros!$D$103)*(1+rec_fracc)/frec),6))</f>
        <v/>
      </c>
      <c r="BE212" s="66">
        <f t="shared" si="258"/>
        <v>0</v>
      </c>
      <c r="BF212" s="119" t="str">
        <f t="shared" si="259"/>
        <v/>
      </c>
      <c r="BG212" s="66">
        <f>+IF($W212="","",ROUND(IF($B212&gt;Parámetros!$D$107,'Tablas Servicio'!BE212+('Tablas Servicio'!BG211-'Tablas Servicio'!BE211),BE212/(1-IF(B212&lt;=10,Parámetros!$D$100,0))),2))</f>
        <v>0</v>
      </c>
      <c r="BH212" s="66">
        <f t="shared" si="260"/>
        <v>0</v>
      </c>
      <c r="BI212" s="66">
        <f t="shared" si="261"/>
        <v>0</v>
      </c>
      <c r="BJ212" s="66">
        <f>+IF($W212="","",ROUND((BG212*Parámetros!$G$85),2))</f>
        <v>0</v>
      </c>
      <c r="BK212" s="66">
        <f>+IF($W212="","",ROUND((BG212*(Parámetros!$G$86)),2))</f>
        <v>0</v>
      </c>
      <c r="BL212" s="66">
        <f t="shared" si="262"/>
        <v>0</v>
      </c>
      <c r="BM212" t="str">
        <f t="shared" si="303"/>
        <v>00061</v>
      </c>
      <c r="BN212" t="str">
        <f t="shared" si="304"/>
        <v>Gastos de Entierro</v>
      </c>
      <c r="BO212" s="118">
        <f t="shared" si="305"/>
        <v>0</v>
      </c>
      <c r="BP212" s="118" t="str">
        <f t="shared" si="306"/>
        <v>A</v>
      </c>
      <c r="BQ212" s="119" t="str">
        <f>+IF(OR($W212="",BO212=0),"",ROUND((VLOOKUP(ROUNDDOWN($D212-1/frec,0),cob_adi,BB$40,FALSE)*(1+i/frec)^-0.5*(1+Parámetros!$D$103)*(1+rec_fracc)/frec),6))</f>
        <v/>
      </c>
      <c r="BR212" s="66">
        <f t="shared" si="263"/>
        <v>0</v>
      </c>
      <c r="BS212" s="119" t="str">
        <f t="shared" si="264"/>
        <v/>
      </c>
      <c r="BT212" s="66">
        <f>+IF($W212="","",ROUND(IF($B212&gt;Parámetros!$D$107,'Tablas Servicio'!BR212+('Tablas Servicio'!BT211-'Tablas Servicio'!BR211),BR212/(1-IF(B212&lt;=10,Parámetros!$D$100,0))),2))</f>
        <v>0</v>
      </c>
      <c r="BU212" s="66">
        <f t="shared" si="265"/>
        <v>0</v>
      </c>
      <c r="BV212" s="66">
        <f t="shared" si="265"/>
        <v>0</v>
      </c>
      <c r="BW212" s="66">
        <f>+IF($W212="","",ROUND((BT212*Parámetros!$G$85),2))</f>
        <v>0</v>
      </c>
      <c r="BX212" s="66">
        <f>+IF($W212="","",ROUND((BT212*(Parámetros!$G$86)),2))</f>
        <v>0</v>
      </c>
      <c r="BY212" s="66">
        <f t="shared" si="266"/>
        <v>0</v>
      </c>
      <c r="BZ212" t="str">
        <f t="shared" si="307"/>
        <v>00062</v>
      </c>
      <c r="CA212" t="str">
        <f t="shared" si="308"/>
        <v>Gastos médicos por accidente</v>
      </c>
      <c r="CB212" s="118">
        <f t="shared" si="309"/>
        <v>0</v>
      </c>
      <c r="CC212" s="118" t="str">
        <f t="shared" si="310"/>
        <v>A</v>
      </c>
      <c r="CD212" s="119" t="str">
        <f t="shared" si="267"/>
        <v/>
      </c>
      <c r="CE212" s="66">
        <f>+IF($W212="","",ROUND((VLOOKUP(ROUNDDOWN($D212-1/frec,0),cob_adi,BO$40,FALSE)*(1+i/frec)^-0.5*(1+Parámetros!$D$103)*(1+rec_fracc)/frec*'TABLAS ADI'!$BC$17),2))</f>
        <v>0</v>
      </c>
      <c r="CF212" s="119" t="str">
        <f t="shared" si="268"/>
        <v/>
      </c>
      <c r="CG212" s="66">
        <f>+IF($W212="","",ROUND(IF($B212&gt;Parámetros!$D$107,'Tablas Servicio'!CE212+('Tablas Servicio'!CG211-'Tablas Servicio'!CE211),CE212/(1-IF(B212&lt;=10,Parámetros!$D$100,0))),2))</f>
        <v>0</v>
      </c>
      <c r="CH212" s="66">
        <f t="shared" si="269"/>
        <v>0</v>
      </c>
      <c r="CI212" s="66">
        <f t="shared" si="269"/>
        <v>0</v>
      </c>
      <c r="CJ212" s="66">
        <f>+IF($W212="","",ROUND((CG212*Parámetros!$G$85),2))</f>
        <v>0</v>
      </c>
      <c r="CK212" s="66">
        <f>+IF($W212="","",ROUND((CG212*(Parámetros!$G$86)),2))</f>
        <v>0</v>
      </c>
      <c r="CL212" s="66">
        <f t="shared" si="270"/>
        <v>0</v>
      </c>
      <c r="CM212" t="str">
        <f t="shared" si="311"/>
        <v>00063</v>
      </c>
      <c r="CN212" s="118" t="str">
        <f t="shared" si="312"/>
        <v>Renta Diaria por Hospitalización</v>
      </c>
      <c r="CO212" s="118">
        <f t="shared" si="313"/>
        <v>0</v>
      </c>
      <c r="CP212" s="118" t="str">
        <f t="shared" si="314"/>
        <v>A</v>
      </c>
      <c r="CQ212" s="119" t="str">
        <f t="shared" si="271"/>
        <v/>
      </c>
      <c r="CR212" s="66">
        <f>+IF($W212="","",ROUND((VLOOKUP(Parámetros!$F$51,'COBERTURAS ADICIONALES'!$S$4:$T$32,2,FALSE)*(1+i/frec)^-0.5*(1+Parámetros!$D$103)*(1+rec_fracc)/frec*$CO$42),2))</f>
        <v>0</v>
      </c>
      <c r="CS212" s="119" t="str">
        <f t="shared" si="272"/>
        <v/>
      </c>
      <c r="CT212" s="66">
        <f>+IF($W212="","",ROUND(IF($B212&gt;Parámetros!$D$107,'Tablas Servicio'!CR212+('Tablas Servicio'!CT211-'Tablas Servicio'!CR211),CR212/(1-IF(B212&lt;=10,Parámetros!$D$100,0))),2))</f>
        <v>0</v>
      </c>
      <c r="CU212" s="66">
        <f t="shared" si="273"/>
        <v>0</v>
      </c>
      <c r="CV212" s="66">
        <f t="shared" si="273"/>
        <v>0</v>
      </c>
      <c r="CW212" s="66">
        <f>+IF($W212="","",ROUND((CT212*Parámetros!$G$85),2))</f>
        <v>0</v>
      </c>
      <c r="CX212" s="66">
        <f>+IF($W212="","",ROUND((CT212*(Parámetros!$G$86)),2))</f>
        <v>0</v>
      </c>
      <c r="CY212" s="66">
        <f t="shared" si="274"/>
        <v>0</v>
      </c>
      <c r="CZ212" t="str">
        <f t="shared" si="315"/>
        <v>00064</v>
      </c>
      <c r="DA212" s="118" t="str">
        <f t="shared" si="316"/>
        <v>Enfermedades Graves</v>
      </c>
      <c r="DB212" s="118">
        <f t="shared" si="317"/>
        <v>0</v>
      </c>
      <c r="DC212" s="118" t="str">
        <f t="shared" si="318"/>
        <v>A</v>
      </c>
      <c r="DD212" s="121" t="str">
        <f>+IF(OR($W212="",DB212=0),"",ROUND((VLOOKUP(ROUNDDOWN($D212-1/frec,0),cob_adi,CO$40,FALSE)*(1+i/frec)^-0.5*(1+Parámetros!$D$103)*(1+rec_fracc)/frec),6))</f>
        <v/>
      </c>
      <c r="DE212" s="66">
        <f t="shared" si="275"/>
        <v>0</v>
      </c>
      <c r="DF212" s="119" t="str">
        <f t="shared" si="276"/>
        <v/>
      </c>
      <c r="DG212" s="66">
        <f>+IF($W212="","",ROUND(IF($B212&gt;Parámetros!$D$107,'Tablas Servicio'!DE212+('Tablas Servicio'!DG211-'Tablas Servicio'!DE211),DE212/(1-IF(B212&lt;=10,Parámetros!$D$100,0))),2))</f>
        <v>0</v>
      </c>
      <c r="DH212" s="66">
        <f t="shared" si="277"/>
        <v>0</v>
      </c>
      <c r="DI212" s="66">
        <f t="shared" si="277"/>
        <v>0</v>
      </c>
      <c r="DJ212" s="66">
        <f>+IF($W212="","",ROUND((DG212*Parámetros!$G$85),2))</f>
        <v>0</v>
      </c>
      <c r="DK212" s="66">
        <f>+IF($W212="","",ROUND((DG212*(Parámetros!$G$86)),2))</f>
        <v>0</v>
      </c>
      <c r="DL212" s="66">
        <f t="shared" si="278"/>
        <v>0</v>
      </c>
      <c r="DM212" t="str">
        <f t="shared" si="319"/>
        <v>00065</v>
      </c>
      <c r="DN212" s="118" t="str">
        <f t="shared" si="320"/>
        <v>Exención pago de primas</v>
      </c>
      <c r="DO212" s="118">
        <f t="shared" si="321"/>
        <v>0</v>
      </c>
      <c r="DP212" s="118" t="str">
        <f t="shared" si="322"/>
        <v>A</v>
      </c>
      <c r="DQ212" s="122" t="str">
        <f>+IF(OR($W212="",DO212=0),"",ROUND((VLOOKUP(ROUNDDOWN($D212-1/frec,0),cob_adi,DB$40,FALSE)*(1+i/frec)^-0.5*(1+Parámetros!$D$103)*(1+rec_fracc)/frec),6))</f>
        <v/>
      </c>
      <c r="DR212" s="66">
        <f t="shared" si="279"/>
        <v>0</v>
      </c>
      <c r="DS212" s="68" t="str">
        <f t="shared" si="280"/>
        <v/>
      </c>
      <c r="DT212" s="66">
        <f>+IF($W212="","",ROUND(IF($B212&gt;Parámetros!$D$107,'Tablas Servicio'!DR212+('Tablas Servicio'!DT211-'Tablas Servicio'!DR211),DR212/(1-IF(B212&lt;=10,Parámetros!$D$100,0))),2))</f>
        <v>0</v>
      </c>
      <c r="DU212" s="66">
        <f t="shared" si="281"/>
        <v>0</v>
      </c>
      <c r="DV212" s="66">
        <f t="shared" si="281"/>
        <v>0</v>
      </c>
      <c r="DW212" s="66">
        <f>+IF($W212="","",ROUND((DT212*Parámetros!$G$85),2))</f>
        <v>0</v>
      </c>
      <c r="DX212" s="66">
        <f>+IF($W212="","",ROUND((DT212*(Parámetros!$G$86)),2))</f>
        <v>0</v>
      </c>
      <c r="DY212" s="66">
        <f t="shared" si="282"/>
        <v>0</v>
      </c>
      <c r="DZ212" t="str">
        <f t="shared" si="324"/>
        <v>00066</v>
      </c>
      <c r="EA212" s="118" t="str">
        <f t="shared" si="324"/>
        <v>Enfermedad terminal</v>
      </c>
      <c r="EB212" s="118">
        <f>+IF($W212="","",ROUND(IF(Parámetros!$D$25='TABLAS MORT'!$V$33,EB211,Z212/2),0))</f>
        <v>50000</v>
      </c>
      <c r="EC212" s="118" t="str">
        <f t="shared" si="324"/>
        <v>A</v>
      </c>
      <c r="ED212" s="122">
        <f>+IF(OR($W212="",EB212=0),"",ROUND((VLOOKUP(ROUNDDOWN($D212-1/frec,0),cob_adi,DO$40,FALSE)*(1+i/frec)^-0.5*(1+Parámetros!$D$103)*(1+rec_fracc)/frec),6))</f>
        <v>1.8E-5</v>
      </c>
      <c r="EE212" s="66">
        <f t="shared" si="284"/>
        <v>0.9</v>
      </c>
      <c r="EF212" s="68">
        <f t="shared" si="285"/>
        <v>1.8E-5</v>
      </c>
      <c r="EG212" s="66">
        <f>+IF($W212="","",ROUND(IF($B212&gt;Parámetros!$D$107,'Tablas Servicio'!EE212+('Tablas Servicio'!EG211-'Tablas Servicio'!EE211),EE212/(1-IF(B212&lt;=10,Parámetros!$D$100,0))),2))</f>
        <v>0.9</v>
      </c>
      <c r="EH212" s="66">
        <f t="shared" si="286"/>
        <v>0</v>
      </c>
      <c r="EI212" s="66">
        <f t="shared" si="286"/>
        <v>0</v>
      </c>
      <c r="EJ212" s="66">
        <f>+IF($W212="","",ROUND((EG212*Parámetros!$G$85),2))</f>
        <v>0.03</v>
      </c>
      <c r="EK212" s="66">
        <f>+IF($W212="","",ROUND((EG212*(Parámetros!$G$86)),2))</f>
        <v>0</v>
      </c>
      <c r="EL212" s="66">
        <f t="shared" si="287"/>
        <v>0.93</v>
      </c>
    </row>
    <row r="213" spans="1:142" x14ac:dyDescent="0.25">
      <c r="A213">
        <f>+IF($C213="","",ROUND(VLOOKUP('Tablas Servicio'!B213,Parámetros!$H$100:$J$159,IF(Parámetros!$E$16="F",2,3),FALSE),2))</f>
        <v>150</v>
      </c>
      <c r="B213">
        <f t="shared" si="238"/>
        <v>15</v>
      </c>
      <c r="C213" s="57">
        <f>+IF(D213="","",'Tablas Servicio'!C212+1)</f>
        <v>172</v>
      </c>
      <c r="D213" s="56">
        <f>+IF(D212&lt;edadmaxtabla,D212+1/Parámetros!$E$25,"")</f>
        <v>54.353333333333744</v>
      </c>
      <c r="E213" s="57">
        <f t="shared" si="248"/>
        <v>54</v>
      </c>
      <c r="F213" s="59">
        <f t="shared" si="249"/>
        <v>100000</v>
      </c>
      <c r="G213" s="66">
        <f t="shared" si="239"/>
        <v>43.5</v>
      </c>
      <c r="H213" s="66">
        <f t="shared" si="240"/>
        <v>45.23</v>
      </c>
      <c r="I213" s="66">
        <f t="shared" si="288"/>
        <v>48.77</v>
      </c>
      <c r="J213" s="66">
        <f t="shared" si="241"/>
        <v>1.52</v>
      </c>
      <c r="K213" s="66">
        <f t="shared" si="242"/>
        <v>0.21</v>
      </c>
      <c r="L213" s="66">
        <f t="shared" si="243"/>
        <v>0</v>
      </c>
      <c r="M213" s="66">
        <f t="shared" si="244"/>
        <v>0</v>
      </c>
      <c r="N213" s="66">
        <f>+IF(C213="","",ROUND(Parámetros!$D$23,2))</f>
        <v>94</v>
      </c>
      <c r="O213" s="66">
        <f t="shared" si="245"/>
        <v>31</v>
      </c>
      <c r="P213" s="66">
        <f>+IF($C213="","",ROUND(IF(B213&gt;Parámetros!$D$117,0,N213*Parámetros!$D$116-G213*Parámetros!$D$100),2))</f>
        <v>0</v>
      </c>
      <c r="Q213" s="75">
        <f t="shared" si="289"/>
        <v>3.4942528735632188E-2</v>
      </c>
      <c r="R213" s="75">
        <f t="shared" si="290"/>
        <v>4.8275862068965511E-3</v>
      </c>
      <c r="S213" s="117">
        <f>+IF($C213="","",ROUND((S212+I213)*(1+Parámetros!$D$91),2))</f>
        <v>12080.1</v>
      </c>
      <c r="T213" s="117">
        <f>+IF($C213="","",ROUND(S213*VLOOKUP(B213,Parámetros!$C$30:$D$39,2,TRUE),2))</f>
        <v>12080.1</v>
      </c>
      <c r="U213" s="117">
        <f>+IF($C213="","",ROUND((U212+I213)*(1+Parámetros!$D$92),2))</f>
        <v>12560.01</v>
      </c>
      <c r="V213" s="117">
        <f>+IF($C213="","",ROUND(U213*VLOOKUP(B213,Parámetros!$C$30:$D$39,2,TRUE),2))</f>
        <v>12560.01</v>
      </c>
      <c r="W213" s="57">
        <f t="shared" si="291"/>
        <v>172</v>
      </c>
      <c r="X213" t="str">
        <f t="shared" si="292"/>
        <v>00058</v>
      </c>
      <c r="Y213" t="str">
        <f t="shared" si="293"/>
        <v>MUERTE POR CUALQUIER CAUSA</v>
      </c>
      <c r="Z213" s="118">
        <f>+IF($W213="","",ROUND(IF(Parámetros!$D$25='TABLAS MORT'!$V$33,Z212,Parámetros!$D$21-'Tablas Servicio'!T212),0))</f>
        <v>100000</v>
      </c>
      <c r="AA213" s="118" t="str">
        <f t="shared" si="294"/>
        <v>P</v>
      </c>
      <c r="AB213" s="119">
        <f>+IF(W213="","",ROUND((VLOOKUP(ROUNDDOWN($D213-1/frec,0),qx_tabla,2,FALSE)*(1+i/frec)^-0.5*(1+Parámetros!$D$103)*(1+rec_fracc)/frec),6))</f>
        <v>3.01E-4</v>
      </c>
      <c r="AC213" s="66">
        <f t="shared" si="250"/>
        <v>30.1</v>
      </c>
      <c r="AD213" s="119">
        <f t="shared" si="246"/>
        <v>4.26E-4</v>
      </c>
      <c r="AE213" s="66">
        <f>+IF($W213="","",ROUND(IF($B213&gt;Parámetros!$D$107,'Tablas Servicio'!AC213+('Tablas Servicio'!AG212-'Tablas Servicio'!AC212),AC213/(1-IF(B213&lt;=10,Parámetros!$D$104,Parámetros!$D$105))),2))</f>
        <v>50.17</v>
      </c>
      <c r="AF213" s="66">
        <f>+IF($W213="","",ROUND(IF($B213&gt;Parámetros!$D$107,'Tablas Servicio'!AC213+('Tablas Servicio'!AG212-'Tablas Servicio'!AC212),(AC213+$A212/frec)/(1-IF(B213&lt;=Parámetros!$D$117,Parámetros!$D$100,0))),2))</f>
        <v>42.6</v>
      </c>
      <c r="AG213" s="66">
        <f t="shared" si="251"/>
        <v>42.6</v>
      </c>
      <c r="AH213" s="66">
        <f t="shared" si="252"/>
        <v>0</v>
      </c>
      <c r="AI213" s="66">
        <f t="shared" si="253"/>
        <v>0</v>
      </c>
      <c r="AJ213" s="66">
        <f>+IF($W213="","",ROUND((AG213*Parámetros!$G$85),2))</f>
        <v>1.49</v>
      </c>
      <c r="AK213" s="66">
        <f>+IF($W213="","",ROUND((AG213*(Parámetros!$G$86)),2))</f>
        <v>0.21</v>
      </c>
      <c r="AL213" s="66">
        <f t="shared" si="247"/>
        <v>44.3</v>
      </c>
      <c r="AM213" t="str">
        <f t="shared" si="295"/>
        <v>00059</v>
      </c>
      <c r="AN213" t="str">
        <f t="shared" si="296"/>
        <v>Incapacidad Total y Permanente</v>
      </c>
      <c r="AO213" s="118">
        <f t="shared" si="297"/>
        <v>0</v>
      </c>
      <c r="AP213" s="118" t="str">
        <f t="shared" si="298"/>
        <v>A</v>
      </c>
      <c r="AQ213" s="119" t="str">
        <f>+IF(OR($W213="",AO213=0),"",ROUND((VLOOKUP(ROUNDDOWN($D213-1/frec,0),cob_adi,Z$40,FALSE)*(1+i/frec)^-0.5*(1+Parámetros!$D$103)*(1+rec_fracc)/frec),6))</f>
        <v/>
      </c>
      <c r="AR213" s="66">
        <f t="shared" si="254"/>
        <v>0</v>
      </c>
      <c r="AS213" s="119" t="str">
        <f t="shared" si="255"/>
        <v/>
      </c>
      <c r="AT213" s="66">
        <f>+IF($W213="","",ROUND(IF($B213&gt;Parámetros!$D$107,'Tablas Servicio'!AR213+('Tablas Servicio'!AT212-'Tablas Servicio'!AR212),AR213/(1-IF(B213&lt;=10,Parámetros!$D$100,0))),2))</f>
        <v>0</v>
      </c>
      <c r="AU213" s="66">
        <f t="shared" si="256"/>
        <v>0</v>
      </c>
      <c r="AV213" s="66">
        <f t="shared" si="256"/>
        <v>0</v>
      </c>
      <c r="AW213" s="66">
        <f>+IF($W213="","",ROUND((AT213*Parámetros!$G$85),2))</f>
        <v>0</v>
      </c>
      <c r="AX213" s="66">
        <f>+IF($W213="","",ROUND((AT213*(Parámetros!$G$86)),2))</f>
        <v>0</v>
      </c>
      <c r="AY213" s="66">
        <f t="shared" si="257"/>
        <v>0</v>
      </c>
      <c r="AZ213" t="str">
        <f t="shared" si="299"/>
        <v>00060</v>
      </c>
      <c r="BA213" t="str">
        <f t="shared" si="300"/>
        <v>Muerte Accidental</v>
      </c>
      <c r="BB213" s="118">
        <f t="shared" si="301"/>
        <v>0</v>
      </c>
      <c r="BC213" s="118" t="str">
        <f t="shared" si="302"/>
        <v>A</v>
      </c>
      <c r="BD213" s="119" t="str">
        <f>+IF(OR($W213="",BB213=0),"",ROUND((VLOOKUP(ROUNDDOWN($D213-1/frec,0),cob_adi,AO$40,FALSE)*(1+i/frec)^-0.5*(1+Parámetros!$D$103)*(1+rec_fracc)/frec),6))</f>
        <v/>
      </c>
      <c r="BE213" s="66">
        <f t="shared" si="258"/>
        <v>0</v>
      </c>
      <c r="BF213" s="119" t="str">
        <f t="shared" si="259"/>
        <v/>
      </c>
      <c r="BG213" s="66">
        <f>+IF($W213="","",ROUND(IF($B213&gt;Parámetros!$D$107,'Tablas Servicio'!BE213+('Tablas Servicio'!BG212-'Tablas Servicio'!BE212),BE213/(1-IF(B213&lt;=10,Parámetros!$D$100,0))),2))</f>
        <v>0</v>
      </c>
      <c r="BH213" s="66">
        <f t="shared" si="260"/>
        <v>0</v>
      </c>
      <c r="BI213" s="66">
        <f t="shared" si="261"/>
        <v>0</v>
      </c>
      <c r="BJ213" s="66">
        <f>+IF($W213="","",ROUND((BG213*Parámetros!$G$85),2))</f>
        <v>0</v>
      </c>
      <c r="BK213" s="66">
        <f>+IF($W213="","",ROUND((BG213*(Parámetros!$G$86)),2))</f>
        <v>0</v>
      </c>
      <c r="BL213" s="66">
        <f t="shared" si="262"/>
        <v>0</v>
      </c>
      <c r="BM213" t="str">
        <f t="shared" si="303"/>
        <v>00061</v>
      </c>
      <c r="BN213" t="str">
        <f t="shared" si="304"/>
        <v>Gastos de Entierro</v>
      </c>
      <c r="BO213" s="118">
        <f t="shared" si="305"/>
        <v>0</v>
      </c>
      <c r="BP213" s="118" t="str">
        <f t="shared" si="306"/>
        <v>A</v>
      </c>
      <c r="BQ213" s="119" t="str">
        <f>+IF(OR($W213="",BO213=0),"",ROUND((VLOOKUP(ROUNDDOWN($D213-1/frec,0),cob_adi,BB$40,FALSE)*(1+i/frec)^-0.5*(1+Parámetros!$D$103)*(1+rec_fracc)/frec),6))</f>
        <v/>
      </c>
      <c r="BR213" s="66">
        <f t="shared" si="263"/>
        <v>0</v>
      </c>
      <c r="BS213" s="119" t="str">
        <f t="shared" si="264"/>
        <v/>
      </c>
      <c r="BT213" s="66">
        <f>+IF($W213="","",ROUND(IF($B213&gt;Parámetros!$D$107,'Tablas Servicio'!BR213+('Tablas Servicio'!BT212-'Tablas Servicio'!BR212),BR213/(1-IF(B213&lt;=10,Parámetros!$D$100,0))),2))</f>
        <v>0</v>
      </c>
      <c r="BU213" s="66">
        <f t="shared" si="265"/>
        <v>0</v>
      </c>
      <c r="BV213" s="66">
        <f t="shared" si="265"/>
        <v>0</v>
      </c>
      <c r="BW213" s="66">
        <f>+IF($W213="","",ROUND((BT213*Parámetros!$G$85),2))</f>
        <v>0</v>
      </c>
      <c r="BX213" s="66">
        <f>+IF($W213="","",ROUND((BT213*(Parámetros!$G$86)),2))</f>
        <v>0</v>
      </c>
      <c r="BY213" s="66">
        <f t="shared" si="266"/>
        <v>0</v>
      </c>
      <c r="BZ213" t="str">
        <f t="shared" si="307"/>
        <v>00062</v>
      </c>
      <c r="CA213" t="str">
        <f t="shared" si="308"/>
        <v>Gastos médicos por accidente</v>
      </c>
      <c r="CB213" s="118">
        <f t="shared" si="309"/>
        <v>0</v>
      </c>
      <c r="CC213" s="118" t="str">
        <f t="shared" si="310"/>
        <v>A</v>
      </c>
      <c r="CD213" s="119" t="str">
        <f t="shared" si="267"/>
        <v/>
      </c>
      <c r="CE213" s="66">
        <f>+IF($W213="","",ROUND((VLOOKUP(ROUNDDOWN($D213-1/frec,0),cob_adi,BO$40,FALSE)*(1+i/frec)^-0.5*(1+Parámetros!$D$103)*(1+rec_fracc)/frec*'TABLAS ADI'!$BC$17),2))</f>
        <v>0</v>
      </c>
      <c r="CF213" s="119" t="str">
        <f t="shared" si="268"/>
        <v/>
      </c>
      <c r="CG213" s="66">
        <f>+IF($W213="","",ROUND(IF($B213&gt;Parámetros!$D$107,'Tablas Servicio'!CE213+('Tablas Servicio'!CG212-'Tablas Servicio'!CE212),CE213/(1-IF(B213&lt;=10,Parámetros!$D$100,0))),2))</f>
        <v>0</v>
      </c>
      <c r="CH213" s="66">
        <f t="shared" si="269"/>
        <v>0</v>
      </c>
      <c r="CI213" s="66">
        <f t="shared" si="269"/>
        <v>0</v>
      </c>
      <c r="CJ213" s="66">
        <f>+IF($W213="","",ROUND((CG213*Parámetros!$G$85),2))</f>
        <v>0</v>
      </c>
      <c r="CK213" s="66">
        <f>+IF($W213="","",ROUND((CG213*(Parámetros!$G$86)),2))</f>
        <v>0</v>
      </c>
      <c r="CL213" s="66">
        <f t="shared" si="270"/>
        <v>0</v>
      </c>
      <c r="CM213" t="str">
        <f t="shared" si="311"/>
        <v>00063</v>
      </c>
      <c r="CN213" s="118" t="str">
        <f t="shared" si="312"/>
        <v>Renta Diaria por Hospitalización</v>
      </c>
      <c r="CO213" s="118">
        <f t="shared" si="313"/>
        <v>0</v>
      </c>
      <c r="CP213" s="118" t="str">
        <f t="shared" si="314"/>
        <v>A</v>
      </c>
      <c r="CQ213" s="119" t="str">
        <f t="shared" si="271"/>
        <v/>
      </c>
      <c r="CR213" s="66">
        <f>+IF($W213="","",ROUND((VLOOKUP(Parámetros!$F$51,'COBERTURAS ADICIONALES'!$S$4:$T$32,2,FALSE)*(1+i/frec)^-0.5*(1+Parámetros!$D$103)*(1+rec_fracc)/frec*$CO$42),2))</f>
        <v>0</v>
      </c>
      <c r="CS213" s="119" t="str">
        <f t="shared" si="272"/>
        <v/>
      </c>
      <c r="CT213" s="66">
        <f>+IF($W213="","",ROUND(IF($B213&gt;Parámetros!$D$107,'Tablas Servicio'!CR213+('Tablas Servicio'!CT212-'Tablas Servicio'!CR212),CR213/(1-IF(B213&lt;=10,Parámetros!$D$100,0))),2))</f>
        <v>0</v>
      </c>
      <c r="CU213" s="66">
        <f t="shared" si="273"/>
        <v>0</v>
      </c>
      <c r="CV213" s="66">
        <f t="shared" si="273"/>
        <v>0</v>
      </c>
      <c r="CW213" s="66">
        <f>+IF($W213="","",ROUND((CT213*Parámetros!$G$85),2))</f>
        <v>0</v>
      </c>
      <c r="CX213" s="66">
        <f>+IF($W213="","",ROUND((CT213*(Parámetros!$G$86)),2))</f>
        <v>0</v>
      </c>
      <c r="CY213" s="66">
        <f t="shared" si="274"/>
        <v>0</v>
      </c>
      <c r="CZ213" t="str">
        <f t="shared" si="315"/>
        <v>00064</v>
      </c>
      <c r="DA213" s="118" t="str">
        <f t="shared" si="316"/>
        <v>Enfermedades Graves</v>
      </c>
      <c r="DB213" s="118">
        <f t="shared" si="317"/>
        <v>0</v>
      </c>
      <c r="DC213" s="118" t="str">
        <f t="shared" si="318"/>
        <v>A</v>
      </c>
      <c r="DD213" s="121" t="str">
        <f>+IF(OR($W213="",DB213=0),"",ROUND((VLOOKUP(ROUNDDOWN($D213-1/frec,0),cob_adi,CO$40,FALSE)*(1+i/frec)^-0.5*(1+Parámetros!$D$103)*(1+rec_fracc)/frec),6))</f>
        <v/>
      </c>
      <c r="DE213" s="66">
        <f t="shared" si="275"/>
        <v>0</v>
      </c>
      <c r="DF213" s="119" t="str">
        <f t="shared" si="276"/>
        <v/>
      </c>
      <c r="DG213" s="66">
        <f>+IF($W213="","",ROUND(IF($B213&gt;Parámetros!$D$107,'Tablas Servicio'!DE213+('Tablas Servicio'!DG212-'Tablas Servicio'!DE212),DE213/(1-IF(B213&lt;=10,Parámetros!$D$100,0))),2))</f>
        <v>0</v>
      </c>
      <c r="DH213" s="66">
        <f t="shared" si="277"/>
        <v>0</v>
      </c>
      <c r="DI213" s="66">
        <f t="shared" si="277"/>
        <v>0</v>
      </c>
      <c r="DJ213" s="66">
        <f>+IF($W213="","",ROUND((DG213*Parámetros!$G$85),2))</f>
        <v>0</v>
      </c>
      <c r="DK213" s="66">
        <f>+IF($W213="","",ROUND((DG213*(Parámetros!$G$86)),2))</f>
        <v>0</v>
      </c>
      <c r="DL213" s="66">
        <f t="shared" si="278"/>
        <v>0</v>
      </c>
      <c r="DM213" t="str">
        <f t="shared" si="319"/>
        <v>00065</v>
      </c>
      <c r="DN213" s="118" t="str">
        <f t="shared" si="320"/>
        <v>Exención pago de primas</v>
      </c>
      <c r="DO213" s="118">
        <f t="shared" si="321"/>
        <v>0</v>
      </c>
      <c r="DP213" s="118" t="str">
        <f t="shared" si="322"/>
        <v>A</v>
      </c>
      <c r="DQ213" s="122" t="str">
        <f>+IF(OR($W213="",DO213=0),"",ROUND((VLOOKUP(ROUNDDOWN($D213-1/frec,0),cob_adi,DB$40,FALSE)*(1+i/frec)^-0.5*(1+Parámetros!$D$103)*(1+rec_fracc)/frec),6))</f>
        <v/>
      </c>
      <c r="DR213" s="66">
        <f t="shared" si="279"/>
        <v>0</v>
      </c>
      <c r="DS213" s="68" t="str">
        <f t="shared" si="280"/>
        <v/>
      </c>
      <c r="DT213" s="66">
        <f>+IF($W213="","",ROUND(IF($B213&gt;Parámetros!$D$107,'Tablas Servicio'!DR213+('Tablas Servicio'!DT212-'Tablas Servicio'!DR212),DR213/(1-IF(B213&lt;=10,Parámetros!$D$100,0))),2))</f>
        <v>0</v>
      </c>
      <c r="DU213" s="66">
        <f t="shared" si="281"/>
        <v>0</v>
      </c>
      <c r="DV213" s="66">
        <f t="shared" si="281"/>
        <v>0</v>
      </c>
      <c r="DW213" s="66">
        <f>+IF($W213="","",ROUND((DT213*Parámetros!$G$85),2))</f>
        <v>0</v>
      </c>
      <c r="DX213" s="66">
        <f>+IF($W213="","",ROUND((DT213*(Parámetros!$G$86)),2))</f>
        <v>0</v>
      </c>
      <c r="DY213" s="66">
        <f t="shared" si="282"/>
        <v>0</v>
      </c>
      <c r="DZ213" t="str">
        <f t="shared" si="324"/>
        <v>00066</v>
      </c>
      <c r="EA213" s="118" t="str">
        <f t="shared" si="324"/>
        <v>Enfermedad terminal</v>
      </c>
      <c r="EB213" s="118">
        <f>+IF($W213="","",ROUND(IF(Parámetros!$D$25='TABLAS MORT'!$V$33,EB212,Z213/2),0))</f>
        <v>50000</v>
      </c>
      <c r="EC213" s="118" t="str">
        <f t="shared" si="324"/>
        <v>A</v>
      </c>
      <c r="ED213" s="122">
        <f>+IF(OR($W213="",EB213=0),"",ROUND((VLOOKUP(ROUNDDOWN($D213-1/frec,0),cob_adi,DO$40,FALSE)*(1+i/frec)^-0.5*(1+Parámetros!$D$103)*(1+rec_fracc)/frec),6))</f>
        <v>1.8E-5</v>
      </c>
      <c r="EE213" s="66">
        <f t="shared" si="284"/>
        <v>0.9</v>
      </c>
      <c r="EF213" s="68">
        <f t="shared" si="285"/>
        <v>1.8E-5</v>
      </c>
      <c r="EG213" s="66">
        <f>+IF($W213="","",ROUND(IF($B213&gt;Parámetros!$D$107,'Tablas Servicio'!EE213+('Tablas Servicio'!EG212-'Tablas Servicio'!EE212),EE213/(1-IF(B213&lt;=10,Parámetros!$D$100,0))),2))</f>
        <v>0.9</v>
      </c>
      <c r="EH213" s="66">
        <f t="shared" si="286"/>
        <v>0</v>
      </c>
      <c r="EI213" s="66">
        <f t="shared" si="286"/>
        <v>0</v>
      </c>
      <c r="EJ213" s="66">
        <f>+IF($W213="","",ROUND((EG213*Parámetros!$G$85),2))</f>
        <v>0.03</v>
      </c>
      <c r="EK213" s="66">
        <f>+IF($W213="","",ROUND((EG213*(Parámetros!$G$86)),2))</f>
        <v>0</v>
      </c>
      <c r="EL213" s="66">
        <f t="shared" si="287"/>
        <v>0.93</v>
      </c>
    </row>
    <row r="214" spans="1:142" x14ac:dyDescent="0.25">
      <c r="A214">
        <f>+IF($C214="","",ROUND(VLOOKUP('Tablas Servicio'!B214,Parámetros!$H$100:$J$159,IF(Parámetros!$E$16="F",2,3),FALSE),2))</f>
        <v>150</v>
      </c>
      <c r="B214">
        <f t="shared" si="238"/>
        <v>15</v>
      </c>
      <c r="C214" s="57">
        <f>+IF(D214="","",'Tablas Servicio'!C213+1)</f>
        <v>173</v>
      </c>
      <c r="D214" s="56">
        <f>+IF(D213&lt;edadmaxtabla,D213+1/Parámetros!$E$25,"")</f>
        <v>54.43666666666708</v>
      </c>
      <c r="E214" s="57">
        <f t="shared" si="248"/>
        <v>54</v>
      </c>
      <c r="F214" s="59">
        <f t="shared" si="249"/>
        <v>100000</v>
      </c>
      <c r="G214" s="66">
        <f t="shared" si="239"/>
        <v>43.5</v>
      </c>
      <c r="H214" s="66">
        <f t="shared" si="240"/>
        <v>45.23</v>
      </c>
      <c r="I214" s="66">
        <f t="shared" si="288"/>
        <v>48.77</v>
      </c>
      <c r="J214" s="66">
        <f t="shared" si="241"/>
        <v>1.52</v>
      </c>
      <c r="K214" s="66">
        <f t="shared" si="242"/>
        <v>0.21</v>
      </c>
      <c r="L214" s="66">
        <f t="shared" si="243"/>
        <v>0</v>
      </c>
      <c r="M214" s="66">
        <f t="shared" si="244"/>
        <v>0</v>
      </c>
      <c r="N214" s="66">
        <f>+IF(C214="","",ROUND(Parámetros!$D$23,2))</f>
        <v>94</v>
      </c>
      <c r="O214" s="66">
        <f t="shared" si="245"/>
        <v>31</v>
      </c>
      <c r="P214" s="66">
        <f>+IF($C214="","",ROUND(IF(B214&gt;Parámetros!$D$117,0,N214*Parámetros!$D$116-G214*Parámetros!$D$100),2))</f>
        <v>0</v>
      </c>
      <c r="Q214" s="75">
        <f t="shared" si="289"/>
        <v>3.4942528735632188E-2</v>
      </c>
      <c r="R214" s="75">
        <f t="shared" si="290"/>
        <v>4.8275862068965511E-3</v>
      </c>
      <c r="S214" s="117">
        <f>+IF($C214="","",ROUND((S213+I214)*(1+Parámetros!$D$91),2))</f>
        <v>12163.27</v>
      </c>
      <c r="T214" s="117">
        <f>+IF($C214="","",ROUND(S214*VLOOKUP(B214,Parámetros!$C$30:$D$39,2,TRUE),2))</f>
        <v>12163.27</v>
      </c>
      <c r="U214" s="117">
        <f>+IF($C214="","",ROUND((U213+I214)*(1+Parámetros!$D$92),2))</f>
        <v>12649.65</v>
      </c>
      <c r="V214" s="117">
        <f>+IF($C214="","",ROUND(U214*VLOOKUP(B214,Parámetros!$C$30:$D$39,2,TRUE),2))</f>
        <v>12649.65</v>
      </c>
      <c r="W214" s="57">
        <f t="shared" si="291"/>
        <v>173</v>
      </c>
      <c r="X214" t="str">
        <f t="shared" si="292"/>
        <v>00058</v>
      </c>
      <c r="Y214" t="str">
        <f t="shared" si="293"/>
        <v>MUERTE POR CUALQUIER CAUSA</v>
      </c>
      <c r="Z214" s="118">
        <f>+IF($W214="","",ROUND(IF(Parámetros!$D$25='TABLAS MORT'!$V$33,Z213,Parámetros!$D$21-'Tablas Servicio'!T213),0))</f>
        <v>100000</v>
      </c>
      <c r="AA214" s="118" t="str">
        <f t="shared" si="294"/>
        <v>P</v>
      </c>
      <c r="AB214" s="119">
        <f>+IF(W214="","",ROUND((VLOOKUP(ROUNDDOWN($D214-1/frec,0),qx_tabla,2,FALSE)*(1+i/frec)^-0.5*(1+Parámetros!$D$103)*(1+rec_fracc)/frec),6))</f>
        <v>3.01E-4</v>
      </c>
      <c r="AC214" s="66">
        <f t="shared" si="250"/>
        <v>30.1</v>
      </c>
      <c r="AD214" s="119">
        <f t="shared" si="246"/>
        <v>4.26E-4</v>
      </c>
      <c r="AE214" s="66">
        <f>+IF($W214="","",ROUND(IF($B214&gt;Parámetros!$D$107,'Tablas Servicio'!AC214+('Tablas Servicio'!AG213-'Tablas Servicio'!AC213),AC214/(1-IF(B214&lt;=10,Parámetros!$D$104,Parámetros!$D$105))),2))</f>
        <v>50.17</v>
      </c>
      <c r="AF214" s="66">
        <f>+IF($W214="","",ROUND(IF($B214&gt;Parámetros!$D$107,'Tablas Servicio'!AC214+('Tablas Servicio'!AG213-'Tablas Servicio'!AC213),(AC214+$A213/frec)/(1-IF(B214&lt;=Parámetros!$D$117,Parámetros!$D$100,0))),2))</f>
        <v>42.6</v>
      </c>
      <c r="AG214" s="66">
        <f t="shared" si="251"/>
        <v>42.6</v>
      </c>
      <c r="AH214" s="66">
        <f t="shared" si="252"/>
        <v>0</v>
      </c>
      <c r="AI214" s="66">
        <f t="shared" si="253"/>
        <v>0</v>
      </c>
      <c r="AJ214" s="66">
        <f>+IF($W214="","",ROUND((AG214*Parámetros!$G$85),2))</f>
        <v>1.49</v>
      </c>
      <c r="AK214" s="66">
        <f>+IF($W214="","",ROUND((AG214*(Parámetros!$G$86)),2))</f>
        <v>0.21</v>
      </c>
      <c r="AL214" s="66">
        <f t="shared" si="247"/>
        <v>44.3</v>
      </c>
      <c r="AM214" t="str">
        <f t="shared" si="295"/>
        <v>00059</v>
      </c>
      <c r="AN214" t="str">
        <f t="shared" si="296"/>
        <v>Incapacidad Total y Permanente</v>
      </c>
      <c r="AO214" s="118">
        <f t="shared" si="297"/>
        <v>0</v>
      </c>
      <c r="AP214" s="118" t="str">
        <f t="shared" si="298"/>
        <v>A</v>
      </c>
      <c r="AQ214" s="119" t="str">
        <f>+IF(OR($W214="",AO214=0),"",ROUND((VLOOKUP(ROUNDDOWN($D214-1/frec,0),cob_adi,Z$40,FALSE)*(1+i/frec)^-0.5*(1+Parámetros!$D$103)*(1+rec_fracc)/frec),6))</f>
        <v/>
      </c>
      <c r="AR214" s="66">
        <f t="shared" si="254"/>
        <v>0</v>
      </c>
      <c r="AS214" s="119" t="str">
        <f t="shared" si="255"/>
        <v/>
      </c>
      <c r="AT214" s="66">
        <f>+IF($W214="","",ROUND(IF($B214&gt;Parámetros!$D$107,'Tablas Servicio'!AR214+('Tablas Servicio'!AT213-'Tablas Servicio'!AR213),AR214/(1-IF(B214&lt;=10,Parámetros!$D$100,0))),2))</f>
        <v>0</v>
      </c>
      <c r="AU214" s="66">
        <f t="shared" si="256"/>
        <v>0</v>
      </c>
      <c r="AV214" s="66">
        <f t="shared" si="256"/>
        <v>0</v>
      </c>
      <c r="AW214" s="66">
        <f>+IF($W214="","",ROUND((AT214*Parámetros!$G$85),2))</f>
        <v>0</v>
      </c>
      <c r="AX214" s="66">
        <f>+IF($W214="","",ROUND((AT214*(Parámetros!$G$86)),2))</f>
        <v>0</v>
      </c>
      <c r="AY214" s="66">
        <f t="shared" si="257"/>
        <v>0</v>
      </c>
      <c r="AZ214" t="str">
        <f t="shared" si="299"/>
        <v>00060</v>
      </c>
      <c r="BA214" t="str">
        <f t="shared" si="300"/>
        <v>Muerte Accidental</v>
      </c>
      <c r="BB214" s="118">
        <f t="shared" si="301"/>
        <v>0</v>
      </c>
      <c r="BC214" s="118" t="str">
        <f t="shared" si="302"/>
        <v>A</v>
      </c>
      <c r="BD214" s="119" t="str">
        <f>+IF(OR($W214="",BB214=0),"",ROUND((VLOOKUP(ROUNDDOWN($D214-1/frec,0),cob_adi,AO$40,FALSE)*(1+i/frec)^-0.5*(1+Parámetros!$D$103)*(1+rec_fracc)/frec),6))</f>
        <v/>
      </c>
      <c r="BE214" s="66">
        <f t="shared" si="258"/>
        <v>0</v>
      </c>
      <c r="BF214" s="119" t="str">
        <f t="shared" si="259"/>
        <v/>
      </c>
      <c r="BG214" s="66">
        <f>+IF($W214="","",ROUND(IF($B214&gt;Parámetros!$D$107,'Tablas Servicio'!BE214+('Tablas Servicio'!BG213-'Tablas Servicio'!BE213),BE214/(1-IF(B214&lt;=10,Parámetros!$D$100,0))),2))</f>
        <v>0</v>
      </c>
      <c r="BH214" s="66">
        <f t="shared" si="260"/>
        <v>0</v>
      </c>
      <c r="BI214" s="66">
        <f t="shared" si="261"/>
        <v>0</v>
      </c>
      <c r="BJ214" s="66">
        <f>+IF($W214="","",ROUND((BG214*Parámetros!$G$85),2))</f>
        <v>0</v>
      </c>
      <c r="BK214" s="66">
        <f>+IF($W214="","",ROUND((BG214*(Parámetros!$G$86)),2))</f>
        <v>0</v>
      </c>
      <c r="BL214" s="66">
        <f t="shared" si="262"/>
        <v>0</v>
      </c>
      <c r="BM214" t="str">
        <f t="shared" si="303"/>
        <v>00061</v>
      </c>
      <c r="BN214" t="str">
        <f t="shared" si="304"/>
        <v>Gastos de Entierro</v>
      </c>
      <c r="BO214" s="118">
        <f t="shared" si="305"/>
        <v>0</v>
      </c>
      <c r="BP214" s="118" t="str">
        <f t="shared" si="306"/>
        <v>A</v>
      </c>
      <c r="BQ214" s="119" t="str">
        <f>+IF(OR($W214="",BO214=0),"",ROUND((VLOOKUP(ROUNDDOWN($D214-1/frec,0),cob_adi,BB$40,FALSE)*(1+i/frec)^-0.5*(1+Parámetros!$D$103)*(1+rec_fracc)/frec),6))</f>
        <v/>
      </c>
      <c r="BR214" s="66">
        <f t="shared" si="263"/>
        <v>0</v>
      </c>
      <c r="BS214" s="119" t="str">
        <f t="shared" si="264"/>
        <v/>
      </c>
      <c r="BT214" s="66">
        <f>+IF($W214="","",ROUND(IF($B214&gt;Parámetros!$D$107,'Tablas Servicio'!BR214+('Tablas Servicio'!BT213-'Tablas Servicio'!BR213),BR214/(1-IF(B214&lt;=10,Parámetros!$D$100,0))),2))</f>
        <v>0</v>
      </c>
      <c r="BU214" s="66">
        <f t="shared" si="265"/>
        <v>0</v>
      </c>
      <c r="BV214" s="66">
        <f t="shared" si="265"/>
        <v>0</v>
      </c>
      <c r="BW214" s="66">
        <f>+IF($W214="","",ROUND((BT214*Parámetros!$G$85),2))</f>
        <v>0</v>
      </c>
      <c r="BX214" s="66">
        <f>+IF($W214="","",ROUND((BT214*(Parámetros!$G$86)),2))</f>
        <v>0</v>
      </c>
      <c r="BY214" s="66">
        <f t="shared" si="266"/>
        <v>0</v>
      </c>
      <c r="BZ214" t="str">
        <f t="shared" si="307"/>
        <v>00062</v>
      </c>
      <c r="CA214" t="str">
        <f t="shared" si="308"/>
        <v>Gastos médicos por accidente</v>
      </c>
      <c r="CB214" s="118">
        <f t="shared" si="309"/>
        <v>0</v>
      </c>
      <c r="CC214" s="118" t="str">
        <f t="shared" si="310"/>
        <v>A</v>
      </c>
      <c r="CD214" s="119" t="str">
        <f t="shared" si="267"/>
        <v/>
      </c>
      <c r="CE214" s="66">
        <f>+IF($W214="","",ROUND((VLOOKUP(ROUNDDOWN($D214-1/frec,0),cob_adi,BO$40,FALSE)*(1+i/frec)^-0.5*(1+Parámetros!$D$103)*(1+rec_fracc)/frec*'TABLAS ADI'!$BC$17),2))</f>
        <v>0</v>
      </c>
      <c r="CF214" s="119" t="str">
        <f t="shared" si="268"/>
        <v/>
      </c>
      <c r="CG214" s="66">
        <f>+IF($W214="","",ROUND(IF($B214&gt;Parámetros!$D$107,'Tablas Servicio'!CE214+('Tablas Servicio'!CG213-'Tablas Servicio'!CE213),CE214/(1-IF(B214&lt;=10,Parámetros!$D$100,0))),2))</f>
        <v>0</v>
      </c>
      <c r="CH214" s="66">
        <f t="shared" si="269"/>
        <v>0</v>
      </c>
      <c r="CI214" s="66">
        <f t="shared" si="269"/>
        <v>0</v>
      </c>
      <c r="CJ214" s="66">
        <f>+IF($W214="","",ROUND((CG214*Parámetros!$G$85),2))</f>
        <v>0</v>
      </c>
      <c r="CK214" s="66">
        <f>+IF($W214="","",ROUND((CG214*(Parámetros!$G$86)),2))</f>
        <v>0</v>
      </c>
      <c r="CL214" s="66">
        <f t="shared" si="270"/>
        <v>0</v>
      </c>
      <c r="CM214" t="str">
        <f t="shared" si="311"/>
        <v>00063</v>
      </c>
      <c r="CN214" s="118" t="str">
        <f t="shared" si="312"/>
        <v>Renta Diaria por Hospitalización</v>
      </c>
      <c r="CO214" s="118">
        <f t="shared" si="313"/>
        <v>0</v>
      </c>
      <c r="CP214" s="118" t="str">
        <f t="shared" si="314"/>
        <v>A</v>
      </c>
      <c r="CQ214" s="119" t="str">
        <f t="shared" si="271"/>
        <v/>
      </c>
      <c r="CR214" s="66">
        <f>+IF($W214="","",ROUND((VLOOKUP(Parámetros!$F$51,'COBERTURAS ADICIONALES'!$S$4:$T$32,2,FALSE)*(1+i/frec)^-0.5*(1+Parámetros!$D$103)*(1+rec_fracc)/frec*$CO$42),2))</f>
        <v>0</v>
      </c>
      <c r="CS214" s="119" t="str">
        <f t="shared" si="272"/>
        <v/>
      </c>
      <c r="CT214" s="66">
        <f>+IF($W214="","",ROUND(IF($B214&gt;Parámetros!$D$107,'Tablas Servicio'!CR214+('Tablas Servicio'!CT213-'Tablas Servicio'!CR213),CR214/(1-IF(B214&lt;=10,Parámetros!$D$100,0))),2))</f>
        <v>0</v>
      </c>
      <c r="CU214" s="66">
        <f t="shared" si="273"/>
        <v>0</v>
      </c>
      <c r="CV214" s="66">
        <f t="shared" si="273"/>
        <v>0</v>
      </c>
      <c r="CW214" s="66">
        <f>+IF($W214="","",ROUND((CT214*Parámetros!$G$85),2))</f>
        <v>0</v>
      </c>
      <c r="CX214" s="66">
        <f>+IF($W214="","",ROUND((CT214*(Parámetros!$G$86)),2))</f>
        <v>0</v>
      </c>
      <c r="CY214" s="66">
        <f t="shared" si="274"/>
        <v>0</v>
      </c>
      <c r="CZ214" t="str">
        <f t="shared" si="315"/>
        <v>00064</v>
      </c>
      <c r="DA214" s="118" t="str">
        <f t="shared" si="316"/>
        <v>Enfermedades Graves</v>
      </c>
      <c r="DB214" s="118">
        <f t="shared" si="317"/>
        <v>0</v>
      </c>
      <c r="DC214" s="118" t="str">
        <f t="shared" si="318"/>
        <v>A</v>
      </c>
      <c r="DD214" s="121" t="str">
        <f>+IF(OR($W214="",DB214=0),"",ROUND((VLOOKUP(ROUNDDOWN($D214-1/frec,0),cob_adi,CO$40,FALSE)*(1+i/frec)^-0.5*(1+Parámetros!$D$103)*(1+rec_fracc)/frec),6))</f>
        <v/>
      </c>
      <c r="DE214" s="66">
        <f t="shared" si="275"/>
        <v>0</v>
      </c>
      <c r="DF214" s="119" t="str">
        <f t="shared" si="276"/>
        <v/>
      </c>
      <c r="DG214" s="66">
        <f>+IF($W214="","",ROUND(IF($B214&gt;Parámetros!$D$107,'Tablas Servicio'!DE214+('Tablas Servicio'!DG213-'Tablas Servicio'!DE213),DE214/(1-IF(B214&lt;=10,Parámetros!$D$100,0))),2))</f>
        <v>0</v>
      </c>
      <c r="DH214" s="66">
        <f t="shared" si="277"/>
        <v>0</v>
      </c>
      <c r="DI214" s="66">
        <f t="shared" si="277"/>
        <v>0</v>
      </c>
      <c r="DJ214" s="66">
        <f>+IF($W214="","",ROUND((DG214*Parámetros!$G$85),2))</f>
        <v>0</v>
      </c>
      <c r="DK214" s="66">
        <f>+IF($W214="","",ROUND((DG214*(Parámetros!$G$86)),2))</f>
        <v>0</v>
      </c>
      <c r="DL214" s="66">
        <f t="shared" si="278"/>
        <v>0</v>
      </c>
      <c r="DM214" t="str">
        <f t="shared" si="319"/>
        <v>00065</v>
      </c>
      <c r="DN214" s="118" t="str">
        <f t="shared" si="320"/>
        <v>Exención pago de primas</v>
      </c>
      <c r="DO214" s="118">
        <f t="shared" si="321"/>
        <v>0</v>
      </c>
      <c r="DP214" s="118" t="str">
        <f t="shared" si="322"/>
        <v>A</v>
      </c>
      <c r="DQ214" s="122" t="str">
        <f>+IF(OR($W214="",DO214=0),"",ROUND((VLOOKUP(ROUNDDOWN($D214-1/frec,0),cob_adi,DB$40,FALSE)*(1+i/frec)^-0.5*(1+Parámetros!$D$103)*(1+rec_fracc)/frec),6))</f>
        <v/>
      </c>
      <c r="DR214" s="66">
        <f t="shared" si="279"/>
        <v>0</v>
      </c>
      <c r="DS214" s="68" t="str">
        <f t="shared" si="280"/>
        <v/>
      </c>
      <c r="DT214" s="66">
        <f>+IF($W214="","",ROUND(IF($B214&gt;Parámetros!$D$107,'Tablas Servicio'!DR214+('Tablas Servicio'!DT213-'Tablas Servicio'!DR213),DR214/(1-IF(B214&lt;=10,Parámetros!$D$100,0))),2))</f>
        <v>0</v>
      </c>
      <c r="DU214" s="66">
        <f t="shared" si="281"/>
        <v>0</v>
      </c>
      <c r="DV214" s="66">
        <f t="shared" si="281"/>
        <v>0</v>
      </c>
      <c r="DW214" s="66">
        <f>+IF($W214="","",ROUND((DT214*Parámetros!$G$85),2))</f>
        <v>0</v>
      </c>
      <c r="DX214" s="66">
        <f>+IF($W214="","",ROUND((DT214*(Parámetros!$G$86)),2))</f>
        <v>0</v>
      </c>
      <c r="DY214" s="66">
        <f t="shared" si="282"/>
        <v>0</v>
      </c>
      <c r="DZ214" t="str">
        <f t="shared" si="324"/>
        <v>00066</v>
      </c>
      <c r="EA214" s="118" t="str">
        <f t="shared" si="324"/>
        <v>Enfermedad terminal</v>
      </c>
      <c r="EB214" s="118">
        <f>+IF($W214="","",ROUND(IF(Parámetros!$D$25='TABLAS MORT'!$V$33,EB213,Z214/2),0))</f>
        <v>50000</v>
      </c>
      <c r="EC214" s="118" t="str">
        <f t="shared" si="324"/>
        <v>A</v>
      </c>
      <c r="ED214" s="122">
        <f>+IF(OR($W214="",EB214=0),"",ROUND((VLOOKUP(ROUNDDOWN($D214-1/frec,0),cob_adi,DO$40,FALSE)*(1+i/frec)^-0.5*(1+Parámetros!$D$103)*(1+rec_fracc)/frec),6))</f>
        <v>1.8E-5</v>
      </c>
      <c r="EE214" s="66">
        <f t="shared" si="284"/>
        <v>0.9</v>
      </c>
      <c r="EF214" s="68">
        <f t="shared" si="285"/>
        <v>1.8E-5</v>
      </c>
      <c r="EG214" s="66">
        <f>+IF($W214="","",ROUND(IF($B214&gt;Parámetros!$D$107,'Tablas Servicio'!EE214+('Tablas Servicio'!EG213-'Tablas Servicio'!EE213),EE214/(1-IF(B214&lt;=10,Parámetros!$D$100,0))),2))</f>
        <v>0.9</v>
      </c>
      <c r="EH214" s="66">
        <f t="shared" si="286"/>
        <v>0</v>
      </c>
      <c r="EI214" s="66">
        <f t="shared" si="286"/>
        <v>0</v>
      </c>
      <c r="EJ214" s="66">
        <f>+IF($W214="","",ROUND((EG214*Parámetros!$G$85),2))</f>
        <v>0.03</v>
      </c>
      <c r="EK214" s="66">
        <f>+IF($W214="","",ROUND((EG214*(Parámetros!$G$86)),2))</f>
        <v>0</v>
      </c>
      <c r="EL214" s="66">
        <f t="shared" si="287"/>
        <v>0.93</v>
      </c>
    </row>
    <row r="215" spans="1:142" x14ac:dyDescent="0.25">
      <c r="A215">
        <f>+IF($C215="","",ROUND(VLOOKUP('Tablas Servicio'!B215,Parámetros!$H$100:$J$159,IF(Parámetros!$E$16="F",2,3),FALSE),2))</f>
        <v>150</v>
      </c>
      <c r="B215">
        <f t="shared" si="238"/>
        <v>15</v>
      </c>
      <c r="C215" s="57">
        <f>+IF(D215="","",'Tablas Servicio'!C214+1)</f>
        <v>174</v>
      </c>
      <c r="D215" s="56">
        <f>+IF(D214&lt;edadmaxtabla,D214+1/Parámetros!$E$25,"")</f>
        <v>54.520000000000415</v>
      </c>
      <c r="E215" s="57">
        <f t="shared" si="248"/>
        <v>54</v>
      </c>
      <c r="F215" s="59">
        <f t="shared" si="249"/>
        <v>100000</v>
      </c>
      <c r="G215" s="66">
        <f t="shared" si="239"/>
        <v>43.5</v>
      </c>
      <c r="H215" s="66">
        <f t="shared" si="240"/>
        <v>45.23</v>
      </c>
      <c r="I215" s="66">
        <f t="shared" si="288"/>
        <v>48.77</v>
      </c>
      <c r="J215" s="66">
        <f t="shared" si="241"/>
        <v>1.52</v>
      </c>
      <c r="K215" s="66">
        <f t="shared" si="242"/>
        <v>0.21</v>
      </c>
      <c r="L215" s="66">
        <f t="shared" si="243"/>
        <v>0</v>
      </c>
      <c r="M215" s="66">
        <f t="shared" si="244"/>
        <v>0</v>
      </c>
      <c r="N215" s="66">
        <f>+IF(C215="","",ROUND(Parámetros!$D$23,2))</f>
        <v>94</v>
      </c>
      <c r="O215" s="66">
        <f t="shared" si="245"/>
        <v>31</v>
      </c>
      <c r="P215" s="66">
        <f>+IF($C215="","",ROUND(IF(B215&gt;Parámetros!$D$117,0,N215*Parámetros!$D$116-G215*Parámetros!$D$100),2))</f>
        <v>0</v>
      </c>
      <c r="Q215" s="75">
        <f t="shared" si="289"/>
        <v>3.4942528735632188E-2</v>
      </c>
      <c r="R215" s="75">
        <f t="shared" si="290"/>
        <v>4.8275862068965511E-3</v>
      </c>
      <c r="S215" s="117">
        <f>+IF($C215="","",ROUND((S214+I215)*(1+Parámetros!$D$91),2))</f>
        <v>12246.68</v>
      </c>
      <c r="T215" s="117">
        <f>+IF($C215="","",ROUND(S215*VLOOKUP(B215,Parámetros!$C$30:$D$39,2,TRUE),2))</f>
        <v>12246.68</v>
      </c>
      <c r="U215" s="117">
        <f>+IF($C215="","",ROUND((U214+I215)*(1+Parámetros!$D$92),2))</f>
        <v>12739.58</v>
      </c>
      <c r="V215" s="117">
        <f>+IF($C215="","",ROUND(U215*VLOOKUP(B215,Parámetros!$C$30:$D$39,2,TRUE),2))</f>
        <v>12739.58</v>
      </c>
      <c r="W215" s="57">
        <f t="shared" si="291"/>
        <v>174</v>
      </c>
      <c r="X215" t="str">
        <f t="shared" si="292"/>
        <v>00058</v>
      </c>
      <c r="Y215" t="str">
        <f t="shared" si="293"/>
        <v>MUERTE POR CUALQUIER CAUSA</v>
      </c>
      <c r="Z215" s="118">
        <f>+IF($W215="","",ROUND(IF(Parámetros!$D$25='TABLAS MORT'!$V$33,Z214,Parámetros!$D$21-'Tablas Servicio'!T214),0))</f>
        <v>100000</v>
      </c>
      <c r="AA215" s="118" t="str">
        <f t="shared" si="294"/>
        <v>P</v>
      </c>
      <c r="AB215" s="119">
        <f>+IF(W215="","",ROUND((VLOOKUP(ROUNDDOWN($D215-1/frec,0),qx_tabla,2,FALSE)*(1+i/frec)^-0.5*(1+Parámetros!$D$103)*(1+rec_fracc)/frec),6))</f>
        <v>3.01E-4</v>
      </c>
      <c r="AC215" s="66">
        <f t="shared" si="250"/>
        <v>30.1</v>
      </c>
      <c r="AD215" s="119">
        <f t="shared" si="246"/>
        <v>4.26E-4</v>
      </c>
      <c r="AE215" s="66">
        <f>+IF($W215="","",ROUND(IF($B215&gt;Parámetros!$D$107,'Tablas Servicio'!AC215+('Tablas Servicio'!AG214-'Tablas Servicio'!AC214),AC215/(1-IF(B215&lt;=10,Parámetros!$D$104,Parámetros!$D$105))),2))</f>
        <v>50.17</v>
      </c>
      <c r="AF215" s="66">
        <f>+IF($W215="","",ROUND(IF($B215&gt;Parámetros!$D$107,'Tablas Servicio'!AC215+('Tablas Servicio'!AG214-'Tablas Servicio'!AC214),(AC215+$A214/frec)/(1-IF(B215&lt;=Parámetros!$D$117,Parámetros!$D$100,0))),2))</f>
        <v>42.6</v>
      </c>
      <c r="AG215" s="66">
        <f t="shared" si="251"/>
        <v>42.6</v>
      </c>
      <c r="AH215" s="66">
        <f t="shared" si="252"/>
        <v>0</v>
      </c>
      <c r="AI215" s="66">
        <f t="shared" si="253"/>
        <v>0</v>
      </c>
      <c r="AJ215" s="66">
        <f>+IF($W215="","",ROUND((AG215*Parámetros!$G$85),2))</f>
        <v>1.49</v>
      </c>
      <c r="AK215" s="66">
        <f>+IF($W215="","",ROUND((AG215*(Parámetros!$G$86)),2))</f>
        <v>0.21</v>
      </c>
      <c r="AL215" s="66">
        <f t="shared" si="247"/>
        <v>44.3</v>
      </c>
      <c r="AM215" t="str">
        <f t="shared" si="295"/>
        <v>00059</v>
      </c>
      <c r="AN215" t="str">
        <f t="shared" si="296"/>
        <v>Incapacidad Total y Permanente</v>
      </c>
      <c r="AO215" s="118">
        <f t="shared" si="297"/>
        <v>0</v>
      </c>
      <c r="AP215" s="118" t="str">
        <f t="shared" si="298"/>
        <v>A</v>
      </c>
      <c r="AQ215" s="119" t="str">
        <f>+IF(OR($W215="",AO215=0),"",ROUND((VLOOKUP(ROUNDDOWN($D215-1/frec,0),cob_adi,Z$40,FALSE)*(1+i/frec)^-0.5*(1+Parámetros!$D$103)*(1+rec_fracc)/frec),6))</f>
        <v/>
      </c>
      <c r="AR215" s="66">
        <f t="shared" si="254"/>
        <v>0</v>
      </c>
      <c r="AS215" s="119" t="str">
        <f t="shared" si="255"/>
        <v/>
      </c>
      <c r="AT215" s="66">
        <f>+IF($W215="","",ROUND(IF($B215&gt;Parámetros!$D$107,'Tablas Servicio'!AR215+('Tablas Servicio'!AT214-'Tablas Servicio'!AR214),AR215/(1-IF(B215&lt;=10,Parámetros!$D$100,0))),2))</f>
        <v>0</v>
      </c>
      <c r="AU215" s="66">
        <f t="shared" si="256"/>
        <v>0</v>
      </c>
      <c r="AV215" s="66">
        <f t="shared" si="256"/>
        <v>0</v>
      </c>
      <c r="AW215" s="66">
        <f>+IF($W215="","",ROUND((AT215*Parámetros!$G$85),2))</f>
        <v>0</v>
      </c>
      <c r="AX215" s="66">
        <f>+IF($W215="","",ROUND((AT215*(Parámetros!$G$86)),2))</f>
        <v>0</v>
      </c>
      <c r="AY215" s="66">
        <f t="shared" si="257"/>
        <v>0</v>
      </c>
      <c r="AZ215" t="str">
        <f t="shared" si="299"/>
        <v>00060</v>
      </c>
      <c r="BA215" t="str">
        <f t="shared" si="300"/>
        <v>Muerte Accidental</v>
      </c>
      <c r="BB215" s="118">
        <f t="shared" si="301"/>
        <v>0</v>
      </c>
      <c r="BC215" s="118" t="str">
        <f t="shared" si="302"/>
        <v>A</v>
      </c>
      <c r="BD215" s="119" t="str">
        <f>+IF(OR($W215="",BB215=0),"",ROUND((VLOOKUP(ROUNDDOWN($D215-1/frec,0),cob_adi,AO$40,FALSE)*(1+i/frec)^-0.5*(1+Parámetros!$D$103)*(1+rec_fracc)/frec),6))</f>
        <v/>
      </c>
      <c r="BE215" s="66">
        <f t="shared" si="258"/>
        <v>0</v>
      </c>
      <c r="BF215" s="119" t="str">
        <f t="shared" si="259"/>
        <v/>
      </c>
      <c r="BG215" s="66">
        <f>+IF($W215="","",ROUND(IF($B215&gt;Parámetros!$D$107,'Tablas Servicio'!BE215+('Tablas Servicio'!BG214-'Tablas Servicio'!BE214),BE215/(1-IF(B215&lt;=10,Parámetros!$D$100,0))),2))</f>
        <v>0</v>
      </c>
      <c r="BH215" s="66">
        <f t="shared" si="260"/>
        <v>0</v>
      </c>
      <c r="BI215" s="66">
        <f t="shared" si="261"/>
        <v>0</v>
      </c>
      <c r="BJ215" s="66">
        <f>+IF($W215="","",ROUND((BG215*Parámetros!$G$85),2))</f>
        <v>0</v>
      </c>
      <c r="BK215" s="66">
        <f>+IF($W215="","",ROUND((BG215*(Parámetros!$G$86)),2))</f>
        <v>0</v>
      </c>
      <c r="BL215" s="66">
        <f t="shared" si="262"/>
        <v>0</v>
      </c>
      <c r="BM215" t="str">
        <f t="shared" si="303"/>
        <v>00061</v>
      </c>
      <c r="BN215" t="str">
        <f t="shared" si="304"/>
        <v>Gastos de Entierro</v>
      </c>
      <c r="BO215" s="118">
        <f t="shared" si="305"/>
        <v>0</v>
      </c>
      <c r="BP215" s="118" t="str">
        <f t="shared" si="306"/>
        <v>A</v>
      </c>
      <c r="BQ215" s="119" t="str">
        <f>+IF(OR($W215="",BO215=0),"",ROUND((VLOOKUP(ROUNDDOWN($D215-1/frec,0),cob_adi,BB$40,FALSE)*(1+i/frec)^-0.5*(1+Parámetros!$D$103)*(1+rec_fracc)/frec),6))</f>
        <v/>
      </c>
      <c r="BR215" s="66">
        <f t="shared" si="263"/>
        <v>0</v>
      </c>
      <c r="BS215" s="119" t="str">
        <f t="shared" si="264"/>
        <v/>
      </c>
      <c r="BT215" s="66">
        <f>+IF($W215="","",ROUND(IF($B215&gt;Parámetros!$D$107,'Tablas Servicio'!BR215+('Tablas Servicio'!BT214-'Tablas Servicio'!BR214),BR215/(1-IF(B215&lt;=10,Parámetros!$D$100,0))),2))</f>
        <v>0</v>
      </c>
      <c r="BU215" s="66">
        <f t="shared" si="265"/>
        <v>0</v>
      </c>
      <c r="BV215" s="66">
        <f t="shared" si="265"/>
        <v>0</v>
      </c>
      <c r="BW215" s="66">
        <f>+IF($W215="","",ROUND((BT215*Parámetros!$G$85),2))</f>
        <v>0</v>
      </c>
      <c r="BX215" s="66">
        <f>+IF($W215="","",ROUND((BT215*(Parámetros!$G$86)),2))</f>
        <v>0</v>
      </c>
      <c r="BY215" s="66">
        <f t="shared" si="266"/>
        <v>0</v>
      </c>
      <c r="BZ215" t="str">
        <f t="shared" si="307"/>
        <v>00062</v>
      </c>
      <c r="CA215" t="str">
        <f t="shared" si="308"/>
        <v>Gastos médicos por accidente</v>
      </c>
      <c r="CB215" s="118">
        <f t="shared" si="309"/>
        <v>0</v>
      </c>
      <c r="CC215" s="118" t="str">
        <f t="shared" si="310"/>
        <v>A</v>
      </c>
      <c r="CD215" s="119" t="str">
        <f t="shared" si="267"/>
        <v/>
      </c>
      <c r="CE215" s="66">
        <f>+IF($W215="","",ROUND((VLOOKUP(ROUNDDOWN($D215-1/frec,0),cob_adi,BO$40,FALSE)*(1+i/frec)^-0.5*(1+Parámetros!$D$103)*(1+rec_fracc)/frec*'TABLAS ADI'!$BC$17),2))</f>
        <v>0</v>
      </c>
      <c r="CF215" s="119" t="str">
        <f t="shared" si="268"/>
        <v/>
      </c>
      <c r="CG215" s="66">
        <f>+IF($W215="","",ROUND(IF($B215&gt;Parámetros!$D$107,'Tablas Servicio'!CE215+('Tablas Servicio'!CG214-'Tablas Servicio'!CE214),CE215/(1-IF(B215&lt;=10,Parámetros!$D$100,0))),2))</f>
        <v>0</v>
      </c>
      <c r="CH215" s="66">
        <f t="shared" si="269"/>
        <v>0</v>
      </c>
      <c r="CI215" s="66">
        <f t="shared" si="269"/>
        <v>0</v>
      </c>
      <c r="CJ215" s="66">
        <f>+IF($W215="","",ROUND((CG215*Parámetros!$G$85),2))</f>
        <v>0</v>
      </c>
      <c r="CK215" s="66">
        <f>+IF($W215="","",ROUND((CG215*(Parámetros!$G$86)),2))</f>
        <v>0</v>
      </c>
      <c r="CL215" s="66">
        <f t="shared" si="270"/>
        <v>0</v>
      </c>
      <c r="CM215" t="str">
        <f t="shared" si="311"/>
        <v>00063</v>
      </c>
      <c r="CN215" s="118" t="str">
        <f t="shared" si="312"/>
        <v>Renta Diaria por Hospitalización</v>
      </c>
      <c r="CO215" s="118">
        <f t="shared" si="313"/>
        <v>0</v>
      </c>
      <c r="CP215" s="118" t="str">
        <f t="shared" si="314"/>
        <v>A</v>
      </c>
      <c r="CQ215" s="119" t="str">
        <f t="shared" si="271"/>
        <v/>
      </c>
      <c r="CR215" s="66">
        <f>+IF($W215="","",ROUND((VLOOKUP(Parámetros!$F$51,'COBERTURAS ADICIONALES'!$S$4:$T$32,2,FALSE)*(1+i/frec)^-0.5*(1+Parámetros!$D$103)*(1+rec_fracc)/frec*$CO$42),2))</f>
        <v>0</v>
      </c>
      <c r="CS215" s="119" t="str">
        <f t="shared" si="272"/>
        <v/>
      </c>
      <c r="CT215" s="66">
        <f>+IF($W215="","",ROUND(IF($B215&gt;Parámetros!$D$107,'Tablas Servicio'!CR215+('Tablas Servicio'!CT214-'Tablas Servicio'!CR214),CR215/(1-IF(B215&lt;=10,Parámetros!$D$100,0))),2))</f>
        <v>0</v>
      </c>
      <c r="CU215" s="66">
        <f t="shared" si="273"/>
        <v>0</v>
      </c>
      <c r="CV215" s="66">
        <f t="shared" si="273"/>
        <v>0</v>
      </c>
      <c r="CW215" s="66">
        <f>+IF($W215="","",ROUND((CT215*Parámetros!$G$85),2))</f>
        <v>0</v>
      </c>
      <c r="CX215" s="66">
        <f>+IF($W215="","",ROUND((CT215*(Parámetros!$G$86)),2))</f>
        <v>0</v>
      </c>
      <c r="CY215" s="66">
        <f t="shared" si="274"/>
        <v>0</v>
      </c>
      <c r="CZ215" t="str">
        <f t="shared" si="315"/>
        <v>00064</v>
      </c>
      <c r="DA215" s="118" t="str">
        <f t="shared" si="316"/>
        <v>Enfermedades Graves</v>
      </c>
      <c r="DB215" s="118">
        <f t="shared" si="317"/>
        <v>0</v>
      </c>
      <c r="DC215" s="118" t="str">
        <f t="shared" si="318"/>
        <v>A</v>
      </c>
      <c r="DD215" s="121" t="str">
        <f>+IF(OR($W215="",DB215=0),"",ROUND((VLOOKUP(ROUNDDOWN($D215-1/frec,0),cob_adi,CO$40,FALSE)*(1+i/frec)^-0.5*(1+Parámetros!$D$103)*(1+rec_fracc)/frec),6))</f>
        <v/>
      </c>
      <c r="DE215" s="66">
        <f t="shared" si="275"/>
        <v>0</v>
      </c>
      <c r="DF215" s="119" t="str">
        <f t="shared" si="276"/>
        <v/>
      </c>
      <c r="DG215" s="66">
        <f>+IF($W215="","",ROUND(IF($B215&gt;Parámetros!$D$107,'Tablas Servicio'!DE215+('Tablas Servicio'!DG214-'Tablas Servicio'!DE214),DE215/(1-IF(B215&lt;=10,Parámetros!$D$100,0))),2))</f>
        <v>0</v>
      </c>
      <c r="DH215" s="66">
        <f t="shared" si="277"/>
        <v>0</v>
      </c>
      <c r="DI215" s="66">
        <f t="shared" si="277"/>
        <v>0</v>
      </c>
      <c r="DJ215" s="66">
        <f>+IF($W215="","",ROUND((DG215*Parámetros!$G$85),2))</f>
        <v>0</v>
      </c>
      <c r="DK215" s="66">
        <f>+IF($W215="","",ROUND((DG215*(Parámetros!$G$86)),2))</f>
        <v>0</v>
      </c>
      <c r="DL215" s="66">
        <f t="shared" si="278"/>
        <v>0</v>
      </c>
      <c r="DM215" t="str">
        <f t="shared" si="319"/>
        <v>00065</v>
      </c>
      <c r="DN215" s="118" t="str">
        <f t="shared" si="320"/>
        <v>Exención pago de primas</v>
      </c>
      <c r="DO215" s="118">
        <f t="shared" si="321"/>
        <v>0</v>
      </c>
      <c r="DP215" s="118" t="str">
        <f t="shared" si="322"/>
        <v>A</v>
      </c>
      <c r="DQ215" s="122" t="str">
        <f>+IF(OR($W215="",DO215=0),"",ROUND((VLOOKUP(ROUNDDOWN($D215-1/frec,0),cob_adi,DB$40,FALSE)*(1+i/frec)^-0.5*(1+Parámetros!$D$103)*(1+rec_fracc)/frec),6))</f>
        <v/>
      </c>
      <c r="DR215" s="66">
        <f t="shared" si="279"/>
        <v>0</v>
      </c>
      <c r="DS215" s="68" t="str">
        <f t="shared" si="280"/>
        <v/>
      </c>
      <c r="DT215" s="66">
        <f>+IF($W215="","",ROUND(IF($B215&gt;Parámetros!$D$107,'Tablas Servicio'!DR215+('Tablas Servicio'!DT214-'Tablas Servicio'!DR214),DR215/(1-IF(B215&lt;=10,Parámetros!$D$100,0))),2))</f>
        <v>0</v>
      </c>
      <c r="DU215" s="66">
        <f t="shared" si="281"/>
        <v>0</v>
      </c>
      <c r="DV215" s="66">
        <f t="shared" si="281"/>
        <v>0</v>
      </c>
      <c r="DW215" s="66">
        <f>+IF($W215="","",ROUND((DT215*Parámetros!$G$85),2))</f>
        <v>0</v>
      </c>
      <c r="DX215" s="66">
        <f>+IF($W215="","",ROUND((DT215*(Parámetros!$G$86)),2))</f>
        <v>0</v>
      </c>
      <c r="DY215" s="66">
        <f t="shared" si="282"/>
        <v>0</v>
      </c>
      <c r="DZ215" t="str">
        <f t="shared" si="324"/>
        <v>00066</v>
      </c>
      <c r="EA215" s="118" t="str">
        <f t="shared" si="324"/>
        <v>Enfermedad terminal</v>
      </c>
      <c r="EB215" s="118">
        <f>+IF($W215="","",ROUND(IF(Parámetros!$D$25='TABLAS MORT'!$V$33,EB214,Z215/2),0))</f>
        <v>50000</v>
      </c>
      <c r="EC215" s="118" t="str">
        <f t="shared" si="324"/>
        <v>A</v>
      </c>
      <c r="ED215" s="122">
        <f>+IF(OR($W215="",EB215=0),"",ROUND((VLOOKUP(ROUNDDOWN($D215-1/frec,0),cob_adi,DO$40,FALSE)*(1+i/frec)^-0.5*(1+Parámetros!$D$103)*(1+rec_fracc)/frec),6))</f>
        <v>1.8E-5</v>
      </c>
      <c r="EE215" s="66">
        <f t="shared" si="284"/>
        <v>0.9</v>
      </c>
      <c r="EF215" s="68">
        <f t="shared" si="285"/>
        <v>1.8E-5</v>
      </c>
      <c r="EG215" s="66">
        <f>+IF($W215="","",ROUND(IF($B215&gt;Parámetros!$D$107,'Tablas Servicio'!EE215+('Tablas Servicio'!EG214-'Tablas Servicio'!EE214),EE215/(1-IF(B215&lt;=10,Parámetros!$D$100,0))),2))</f>
        <v>0.9</v>
      </c>
      <c r="EH215" s="66">
        <f t="shared" si="286"/>
        <v>0</v>
      </c>
      <c r="EI215" s="66">
        <f t="shared" si="286"/>
        <v>0</v>
      </c>
      <c r="EJ215" s="66">
        <f>+IF($W215="","",ROUND((EG215*Parámetros!$G$85),2))</f>
        <v>0.03</v>
      </c>
      <c r="EK215" s="66">
        <f>+IF($W215="","",ROUND((EG215*(Parámetros!$G$86)),2))</f>
        <v>0</v>
      </c>
      <c r="EL215" s="66">
        <f t="shared" si="287"/>
        <v>0.93</v>
      </c>
    </row>
    <row r="216" spans="1:142" x14ac:dyDescent="0.25">
      <c r="A216">
        <f>+IF($C216="","",ROUND(VLOOKUP('Tablas Servicio'!B216,Parámetros!$H$100:$J$159,IF(Parámetros!$E$16="F",2,3),FALSE),2))</f>
        <v>150</v>
      </c>
      <c r="B216">
        <f t="shared" si="238"/>
        <v>15</v>
      </c>
      <c r="C216" s="57">
        <f>+IF(D216="","",'Tablas Servicio'!C215+1)</f>
        <v>175</v>
      </c>
      <c r="D216" s="56">
        <f>+IF(D215&lt;edadmaxtabla,D215+1/Parámetros!$E$25,"")</f>
        <v>54.603333333333751</v>
      </c>
      <c r="E216" s="57">
        <f t="shared" si="248"/>
        <v>54</v>
      </c>
      <c r="F216" s="59">
        <f t="shared" si="249"/>
        <v>100000</v>
      </c>
      <c r="G216" s="66">
        <f t="shared" si="239"/>
        <v>43.5</v>
      </c>
      <c r="H216" s="66">
        <f t="shared" si="240"/>
        <v>45.23</v>
      </c>
      <c r="I216" s="66">
        <f t="shared" si="288"/>
        <v>48.77</v>
      </c>
      <c r="J216" s="66">
        <f t="shared" si="241"/>
        <v>1.52</v>
      </c>
      <c r="K216" s="66">
        <f t="shared" si="242"/>
        <v>0.21</v>
      </c>
      <c r="L216" s="66">
        <f t="shared" si="243"/>
        <v>0</v>
      </c>
      <c r="M216" s="66">
        <f t="shared" si="244"/>
        <v>0</v>
      </c>
      <c r="N216" s="66">
        <f>+IF(C216="","",ROUND(Parámetros!$D$23,2))</f>
        <v>94</v>
      </c>
      <c r="O216" s="66">
        <f t="shared" si="245"/>
        <v>31</v>
      </c>
      <c r="P216" s="66">
        <f>+IF($C216="","",ROUND(IF(B216&gt;Parámetros!$D$117,0,N216*Parámetros!$D$116-G216*Parámetros!$D$100),2))</f>
        <v>0</v>
      </c>
      <c r="Q216" s="75">
        <f t="shared" si="289"/>
        <v>3.4942528735632188E-2</v>
      </c>
      <c r="R216" s="75">
        <f t="shared" si="290"/>
        <v>4.8275862068965511E-3</v>
      </c>
      <c r="S216" s="117">
        <f>+IF($C216="","",ROUND((S215+I216)*(1+Parámetros!$D$91),2))</f>
        <v>12330.33</v>
      </c>
      <c r="T216" s="117">
        <f>+IF($C216="","",ROUND(S216*VLOOKUP(B216,Parámetros!$C$30:$D$39,2,TRUE),2))</f>
        <v>12330.33</v>
      </c>
      <c r="U216" s="117">
        <f>+IF($C216="","",ROUND((U215+I216)*(1+Parámetros!$D$92),2))</f>
        <v>12829.81</v>
      </c>
      <c r="V216" s="117">
        <f>+IF($C216="","",ROUND(U216*VLOOKUP(B216,Parámetros!$C$30:$D$39,2,TRUE),2))</f>
        <v>12829.81</v>
      </c>
      <c r="W216" s="57">
        <f t="shared" si="291"/>
        <v>175</v>
      </c>
      <c r="X216" t="str">
        <f t="shared" si="292"/>
        <v>00058</v>
      </c>
      <c r="Y216" t="str">
        <f t="shared" si="293"/>
        <v>MUERTE POR CUALQUIER CAUSA</v>
      </c>
      <c r="Z216" s="118">
        <f>+IF($W216="","",ROUND(IF(Parámetros!$D$25='TABLAS MORT'!$V$33,Z215,Parámetros!$D$21-'Tablas Servicio'!T215),0))</f>
        <v>100000</v>
      </c>
      <c r="AA216" s="118" t="str">
        <f t="shared" si="294"/>
        <v>P</v>
      </c>
      <c r="AB216" s="119">
        <f>+IF(W216="","",ROUND((VLOOKUP(ROUNDDOWN($D216-1/frec,0),qx_tabla,2,FALSE)*(1+i/frec)^-0.5*(1+Parámetros!$D$103)*(1+rec_fracc)/frec),6))</f>
        <v>3.01E-4</v>
      </c>
      <c r="AC216" s="66">
        <f t="shared" si="250"/>
        <v>30.1</v>
      </c>
      <c r="AD216" s="119">
        <f t="shared" si="246"/>
        <v>4.26E-4</v>
      </c>
      <c r="AE216" s="66">
        <f>+IF($W216="","",ROUND(IF($B216&gt;Parámetros!$D$107,'Tablas Servicio'!AC216+('Tablas Servicio'!AG215-'Tablas Servicio'!AC215),AC216/(1-IF(B216&lt;=10,Parámetros!$D$104,Parámetros!$D$105))),2))</f>
        <v>50.17</v>
      </c>
      <c r="AF216" s="66">
        <f>+IF($W216="","",ROUND(IF($B216&gt;Parámetros!$D$107,'Tablas Servicio'!AC216+('Tablas Servicio'!AG215-'Tablas Servicio'!AC215),(AC216+$A215/frec)/(1-IF(B216&lt;=Parámetros!$D$117,Parámetros!$D$100,0))),2))</f>
        <v>42.6</v>
      </c>
      <c r="AG216" s="66">
        <f t="shared" si="251"/>
        <v>42.6</v>
      </c>
      <c r="AH216" s="66">
        <f t="shared" si="252"/>
        <v>0</v>
      </c>
      <c r="AI216" s="66">
        <f t="shared" si="253"/>
        <v>0</v>
      </c>
      <c r="AJ216" s="66">
        <f>+IF($W216="","",ROUND((AG216*Parámetros!$G$85),2))</f>
        <v>1.49</v>
      </c>
      <c r="AK216" s="66">
        <f>+IF($W216="","",ROUND((AG216*(Parámetros!$G$86)),2))</f>
        <v>0.21</v>
      </c>
      <c r="AL216" s="66">
        <f t="shared" si="247"/>
        <v>44.3</v>
      </c>
      <c r="AM216" t="str">
        <f t="shared" si="295"/>
        <v>00059</v>
      </c>
      <c r="AN216" t="str">
        <f t="shared" si="296"/>
        <v>Incapacidad Total y Permanente</v>
      </c>
      <c r="AO216" s="118">
        <f t="shared" si="297"/>
        <v>0</v>
      </c>
      <c r="AP216" s="118" t="str">
        <f t="shared" si="298"/>
        <v>A</v>
      </c>
      <c r="AQ216" s="119" t="str">
        <f>+IF(OR($W216="",AO216=0),"",ROUND((VLOOKUP(ROUNDDOWN($D216-1/frec,0),cob_adi,Z$40,FALSE)*(1+i/frec)^-0.5*(1+Parámetros!$D$103)*(1+rec_fracc)/frec),6))</f>
        <v/>
      </c>
      <c r="AR216" s="66">
        <f t="shared" si="254"/>
        <v>0</v>
      </c>
      <c r="AS216" s="119" t="str">
        <f t="shared" si="255"/>
        <v/>
      </c>
      <c r="AT216" s="66">
        <f>+IF($W216="","",ROUND(IF($B216&gt;Parámetros!$D$107,'Tablas Servicio'!AR216+('Tablas Servicio'!AT215-'Tablas Servicio'!AR215),AR216/(1-IF(B216&lt;=10,Parámetros!$D$100,0))),2))</f>
        <v>0</v>
      </c>
      <c r="AU216" s="66">
        <f t="shared" si="256"/>
        <v>0</v>
      </c>
      <c r="AV216" s="66">
        <f t="shared" si="256"/>
        <v>0</v>
      </c>
      <c r="AW216" s="66">
        <f>+IF($W216="","",ROUND((AT216*Parámetros!$G$85),2))</f>
        <v>0</v>
      </c>
      <c r="AX216" s="66">
        <f>+IF($W216="","",ROUND((AT216*(Parámetros!$G$86)),2))</f>
        <v>0</v>
      </c>
      <c r="AY216" s="66">
        <f t="shared" si="257"/>
        <v>0</v>
      </c>
      <c r="AZ216" t="str">
        <f t="shared" si="299"/>
        <v>00060</v>
      </c>
      <c r="BA216" t="str">
        <f t="shared" si="300"/>
        <v>Muerte Accidental</v>
      </c>
      <c r="BB216" s="118">
        <f t="shared" si="301"/>
        <v>0</v>
      </c>
      <c r="BC216" s="118" t="str">
        <f t="shared" si="302"/>
        <v>A</v>
      </c>
      <c r="BD216" s="119" t="str">
        <f>+IF(OR($W216="",BB216=0),"",ROUND((VLOOKUP(ROUNDDOWN($D216-1/frec,0),cob_adi,AO$40,FALSE)*(1+i/frec)^-0.5*(1+Parámetros!$D$103)*(1+rec_fracc)/frec),6))</f>
        <v/>
      </c>
      <c r="BE216" s="66">
        <f t="shared" si="258"/>
        <v>0</v>
      </c>
      <c r="BF216" s="119" t="str">
        <f t="shared" si="259"/>
        <v/>
      </c>
      <c r="BG216" s="66">
        <f>+IF($W216="","",ROUND(IF($B216&gt;Parámetros!$D$107,'Tablas Servicio'!BE216+('Tablas Servicio'!BG215-'Tablas Servicio'!BE215),BE216/(1-IF(B216&lt;=10,Parámetros!$D$100,0))),2))</f>
        <v>0</v>
      </c>
      <c r="BH216" s="66">
        <f t="shared" si="260"/>
        <v>0</v>
      </c>
      <c r="BI216" s="66">
        <f t="shared" si="261"/>
        <v>0</v>
      </c>
      <c r="BJ216" s="66">
        <f>+IF($W216="","",ROUND((BG216*Parámetros!$G$85),2))</f>
        <v>0</v>
      </c>
      <c r="BK216" s="66">
        <f>+IF($W216="","",ROUND((BG216*(Parámetros!$G$86)),2))</f>
        <v>0</v>
      </c>
      <c r="BL216" s="66">
        <f t="shared" si="262"/>
        <v>0</v>
      </c>
      <c r="BM216" t="str">
        <f t="shared" si="303"/>
        <v>00061</v>
      </c>
      <c r="BN216" t="str">
        <f t="shared" si="304"/>
        <v>Gastos de Entierro</v>
      </c>
      <c r="BO216" s="118">
        <f t="shared" si="305"/>
        <v>0</v>
      </c>
      <c r="BP216" s="118" t="str">
        <f t="shared" si="306"/>
        <v>A</v>
      </c>
      <c r="BQ216" s="119" t="str">
        <f>+IF(OR($W216="",BO216=0),"",ROUND((VLOOKUP(ROUNDDOWN($D216-1/frec,0),cob_adi,BB$40,FALSE)*(1+i/frec)^-0.5*(1+Parámetros!$D$103)*(1+rec_fracc)/frec),6))</f>
        <v/>
      </c>
      <c r="BR216" s="66">
        <f t="shared" si="263"/>
        <v>0</v>
      </c>
      <c r="BS216" s="119" t="str">
        <f t="shared" si="264"/>
        <v/>
      </c>
      <c r="BT216" s="66">
        <f>+IF($W216="","",ROUND(IF($B216&gt;Parámetros!$D$107,'Tablas Servicio'!BR216+('Tablas Servicio'!BT215-'Tablas Servicio'!BR215),BR216/(1-IF(B216&lt;=10,Parámetros!$D$100,0))),2))</f>
        <v>0</v>
      </c>
      <c r="BU216" s="66">
        <f t="shared" si="265"/>
        <v>0</v>
      </c>
      <c r="BV216" s="66">
        <f t="shared" si="265"/>
        <v>0</v>
      </c>
      <c r="BW216" s="66">
        <f>+IF($W216="","",ROUND((BT216*Parámetros!$G$85),2))</f>
        <v>0</v>
      </c>
      <c r="BX216" s="66">
        <f>+IF($W216="","",ROUND((BT216*(Parámetros!$G$86)),2))</f>
        <v>0</v>
      </c>
      <c r="BY216" s="66">
        <f t="shared" si="266"/>
        <v>0</v>
      </c>
      <c r="BZ216" t="str">
        <f t="shared" si="307"/>
        <v>00062</v>
      </c>
      <c r="CA216" t="str">
        <f t="shared" si="308"/>
        <v>Gastos médicos por accidente</v>
      </c>
      <c r="CB216" s="118">
        <f t="shared" si="309"/>
        <v>0</v>
      </c>
      <c r="CC216" s="118" t="str">
        <f t="shared" si="310"/>
        <v>A</v>
      </c>
      <c r="CD216" s="119" t="str">
        <f t="shared" si="267"/>
        <v/>
      </c>
      <c r="CE216" s="66">
        <f>+IF($W216="","",ROUND((VLOOKUP(ROUNDDOWN($D216-1/frec,0),cob_adi,BO$40,FALSE)*(1+i/frec)^-0.5*(1+Parámetros!$D$103)*(1+rec_fracc)/frec*'TABLAS ADI'!$BC$17),2))</f>
        <v>0</v>
      </c>
      <c r="CF216" s="119" t="str">
        <f t="shared" si="268"/>
        <v/>
      </c>
      <c r="CG216" s="66">
        <f>+IF($W216="","",ROUND(IF($B216&gt;Parámetros!$D$107,'Tablas Servicio'!CE216+('Tablas Servicio'!CG215-'Tablas Servicio'!CE215),CE216/(1-IF(B216&lt;=10,Parámetros!$D$100,0))),2))</f>
        <v>0</v>
      </c>
      <c r="CH216" s="66">
        <f t="shared" si="269"/>
        <v>0</v>
      </c>
      <c r="CI216" s="66">
        <f t="shared" si="269"/>
        <v>0</v>
      </c>
      <c r="CJ216" s="66">
        <f>+IF($W216="","",ROUND((CG216*Parámetros!$G$85),2))</f>
        <v>0</v>
      </c>
      <c r="CK216" s="66">
        <f>+IF($W216="","",ROUND((CG216*(Parámetros!$G$86)),2))</f>
        <v>0</v>
      </c>
      <c r="CL216" s="66">
        <f t="shared" si="270"/>
        <v>0</v>
      </c>
      <c r="CM216" t="str">
        <f t="shared" si="311"/>
        <v>00063</v>
      </c>
      <c r="CN216" s="118" t="str">
        <f t="shared" si="312"/>
        <v>Renta Diaria por Hospitalización</v>
      </c>
      <c r="CO216" s="118">
        <f t="shared" si="313"/>
        <v>0</v>
      </c>
      <c r="CP216" s="118" t="str">
        <f t="shared" si="314"/>
        <v>A</v>
      </c>
      <c r="CQ216" s="119" t="str">
        <f t="shared" si="271"/>
        <v/>
      </c>
      <c r="CR216" s="66">
        <f>+IF($W216="","",ROUND((VLOOKUP(Parámetros!$F$51,'COBERTURAS ADICIONALES'!$S$4:$T$32,2,FALSE)*(1+i/frec)^-0.5*(1+Parámetros!$D$103)*(1+rec_fracc)/frec*$CO$42),2))</f>
        <v>0</v>
      </c>
      <c r="CS216" s="119" t="str">
        <f t="shared" si="272"/>
        <v/>
      </c>
      <c r="CT216" s="66">
        <f>+IF($W216="","",ROUND(IF($B216&gt;Parámetros!$D$107,'Tablas Servicio'!CR216+('Tablas Servicio'!CT215-'Tablas Servicio'!CR215),CR216/(1-IF(B216&lt;=10,Parámetros!$D$100,0))),2))</f>
        <v>0</v>
      </c>
      <c r="CU216" s="66">
        <f t="shared" si="273"/>
        <v>0</v>
      </c>
      <c r="CV216" s="66">
        <f t="shared" si="273"/>
        <v>0</v>
      </c>
      <c r="CW216" s="66">
        <f>+IF($W216="","",ROUND((CT216*Parámetros!$G$85),2))</f>
        <v>0</v>
      </c>
      <c r="CX216" s="66">
        <f>+IF($W216="","",ROUND((CT216*(Parámetros!$G$86)),2))</f>
        <v>0</v>
      </c>
      <c r="CY216" s="66">
        <f t="shared" si="274"/>
        <v>0</v>
      </c>
      <c r="CZ216" t="str">
        <f t="shared" si="315"/>
        <v>00064</v>
      </c>
      <c r="DA216" s="118" t="str">
        <f t="shared" si="316"/>
        <v>Enfermedades Graves</v>
      </c>
      <c r="DB216" s="118">
        <f t="shared" si="317"/>
        <v>0</v>
      </c>
      <c r="DC216" s="118" t="str">
        <f t="shared" si="318"/>
        <v>A</v>
      </c>
      <c r="DD216" s="121" t="str">
        <f>+IF(OR($W216="",DB216=0),"",ROUND((VLOOKUP(ROUNDDOWN($D216-1/frec,0),cob_adi,CO$40,FALSE)*(1+i/frec)^-0.5*(1+Parámetros!$D$103)*(1+rec_fracc)/frec),6))</f>
        <v/>
      </c>
      <c r="DE216" s="66">
        <f t="shared" si="275"/>
        <v>0</v>
      </c>
      <c r="DF216" s="119" t="str">
        <f t="shared" si="276"/>
        <v/>
      </c>
      <c r="DG216" s="66">
        <f>+IF($W216="","",ROUND(IF($B216&gt;Parámetros!$D$107,'Tablas Servicio'!DE216+('Tablas Servicio'!DG215-'Tablas Servicio'!DE215),DE216/(1-IF(B216&lt;=10,Parámetros!$D$100,0))),2))</f>
        <v>0</v>
      </c>
      <c r="DH216" s="66">
        <f t="shared" si="277"/>
        <v>0</v>
      </c>
      <c r="DI216" s="66">
        <f t="shared" si="277"/>
        <v>0</v>
      </c>
      <c r="DJ216" s="66">
        <f>+IF($W216="","",ROUND((DG216*Parámetros!$G$85),2))</f>
        <v>0</v>
      </c>
      <c r="DK216" s="66">
        <f>+IF($W216="","",ROUND((DG216*(Parámetros!$G$86)),2))</f>
        <v>0</v>
      </c>
      <c r="DL216" s="66">
        <f t="shared" si="278"/>
        <v>0</v>
      </c>
      <c r="DM216" t="str">
        <f t="shared" si="319"/>
        <v>00065</v>
      </c>
      <c r="DN216" s="118" t="str">
        <f t="shared" si="320"/>
        <v>Exención pago de primas</v>
      </c>
      <c r="DO216" s="118">
        <f t="shared" si="321"/>
        <v>0</v>
      </c>
      <c r="DP216" s="118" t="str">
        <f t="shared" si="322"/>
        <v>A</v>
      </c>
      <c r="DQ216" s="122" t="str">
        <f>+IF(OR($W216="",DO216=0),"",ROUND((VLOOKUP(ROUNDDOWN($D216-1/frec,0),cob_adi,DB$40,FALSE)*(1+i/frec)^-0.5*(1+Parámetros!$D$103)*(1+rec_fracc)/frec),6))</f>
        <v/>
      </c>
      <c r="DR216" s="66">
        <f t="shared" si="279"/>
        <v>0</v>
      </c>
      <c r="DS216" s="68" t="str">
        <f t="shared" si="280"/>
        <v/>
      </c>
      <c r="DT216" s="66">
        <f>+IF($W216="","",ROUND(IF($B216&gt;Parámetros!$D$107,'Tablas Servicio'!DR216+('Tablas Servicio'!DT215-'Tablas Servicio'!DR215),DR216/(1-IF(B216&lt;=10,Parámetros!$D$100,0))),2))</f>
        <v>0</v>
      </c>
      <c r="DU216" s="66">
        <f t="shared" si="281"/>
        <v>0</v>
      </c>
      <c r="DV216" s="66">
        <f t="shared" si="281"/>
        <v>0</v>
      </c>
      <c r="DW216" s="66">
        <f>+IF($W216="","",ROUND((DT216*Parámetros!$G$85),2))</f>
        <v>0</v>
      </c>
      <c r="DX216" s="66">
        <f>+IF($W216="","",ROUND((DT216*(Parámetros!$G$86)),2))</f>
        <v>0</v>
      </c>
      <c r="DY216" s="66">
        <f t="shared" si="282"/>
        <v>0</v>
      </c>
      <c r="DZ216" t="str">
        <f t="shared" si="324"/>
        <v>00066</v>
      </c>
      <c r="EA216" s="118" t="str">
        <f t="shared" si="324"/>
        <v>Enfermedad terminal</v>
      </c>
      <c r="EB216" s="118">
        <f>+IF($W216="","",ROUND(IF(Parámetros!$D$25='TABLAS MORT'!$V$33,EB215,Z216/2),0))</f>
        <v>50000</v>
      </c>
      <c r="EC216" s="118" t="str">
        <f t="shared" si="324"/>
        <v>A</v>
      </c>
      <c r="ED216" s="122">
        <f>+IF(OR($W216="",EB216=0),"",ROUND((VLOOKUP(ROUNDDOWN($D216-1/frec,0),cob_adi,DO$40,FALSE)*(1+i/frec)^-0.5*(1+Parámetros!$D$103)*(1+rec_fracc)/frec),6))</f>
        <v>1.8E-5</v>
      </c>
      <c r="EE216" s="66">
        <f t="shared" si="284"/>
        <v>0.9</v>
      </c>
      <c r="EF216" s="68">
        <f t="shared" si="285"/>
        <v>1.8E-5</v>
      </c>
      <c r="EG216" s="66">
        <f>+IF($W216="","",ROUND(IF($B216&gt;Parámetros!$D$107,'Tablas Servicio'!EE216+('Tablas Servicio'!EG215-'Tablas Servicio'!EE215),EE216/(1-IF(B216&lt;=10,Parámetros!$D$100,0))),2))</f>
        <v>0.9</v>
      </c>
      <c r="EH216" s="66">
        <f t="shared" si="286"/>
        <v>0</v>
      </c>
      <c r="EI216" s="66">
        <f t="shared" si="286"/>
        <v>0</v>
      </c>
      <c r="EJ216" s="66">
        <f>+IF($W216="","",ROUND((EG216*Parámetros!$G$85),2))</f>
        <v>0.03</v>
      </c>
      <c r="EK216" s="66">
        <f>+IF($W216="","",ROUND((EG216*(Parámetros!$G$86)),2))</f>
        <v>0</v>
      </c>
      <c r="EL216" s="66">
        <f t="shared" si="287"/>
        <v>0.93</v>
      </c>
    </row>
    <row r="217" spans="1:142" x14ac:dyDescent="0.25">
      <c r="A217">
        <f>+IF($C217="","",ROUND(VLOOKUP('Tablas Servicio'!B217,Parámetros!$H$100:$J$159,IF(Parámetros!$E$16="F",2,3),FALSE),2))</f>
        <v>150</v>
      </c>
      <c r="B217">
        <f t="shared" si="238"/>
        <v>15</v>
      </c>
      <c r="C217" s="57">
        <f>+IF(D217="","",'Tablas Servicio'!C216+1)</f>
        <v>176</v>
      </c>
      <c r="D217" s="56">
        <f>+IF(D216&lt;edadmaxtabla,D216+1/Parámetros!$E$25,"")</f>
        <v>54.686666666667087</v>
      </c>
      <c r="E217" s="57">
        <f t="shared" si="248"/>
        <v>54</v>
      </c>
      <c r="F217" s="59">
        <f t="shared" si="249"/>
        <v>100000</v>
      </c>
      <c r="G217" s="66">
        <f t="shared" si="239"/>
        <v>43.5</v>
      </c>
      <c r="H217" s="66">
        <f t="shared" si="240"/>
        <v>45.23</v>
      </c>
      <c r="I217" s="66">
        <f t="shared" si="288"/>
        <v>48.77</v>
      </c>
      <c r="J217" s="66">
        <f t="shared" si="241"/>
        <v>1.52</v>
      </c>
      <c r="K217" s="66">
        <f t="shared" si="242"/>
        <v>0.21</v>
      </c>
      <c r="L217" s="66">
        <f t="shared" si="243"/>
        <v>0</v>
      </c>
      <c r="M217" s="66">
        <f t="shared" si="244"/>
        <v>0</v>
      </c>
      <c r="N217" s="66">
        <f>+IF(C217="","",ROUND(Parámetros!$D$23,2))</f>
        <v>94</v>
      </c>
      <c r="O217" s="66">
        <f t="shared" si="245"/>
        <v>31</v>
      </c>
      <c r="P217" s="66">
        <f>+IF($C217="","",ROUND(IF(B217&gt;Parámetros!$D$117,0,N217*Parámetros!$D$116-G217*Parámetros!$D$100),2))</f>
        <v>0</v>
      </c>
      <c r="Q217" s="75">
        <f t="shared" si="289"/>
        <v>3.4942528735632188E-2</v>
      </c>
      <c r="R217" s="75">
        <f t="shared" si="290"/>
        <v>4.8275862068965511E-3</v>
      </c>
      <c r="S217" s="117">
        <f>+IF($C217="","",ROUND((S216+I217)*(1+Parámetros!$D$91),2))</f>
        <v>12414.21</v>
      </c>
      <c r="T217" s="117">
        <f>+IF($C217="","",ROUND(S217*VLOOKUP(B217,Parámetros!$C$30:$D$39,2,TRUE),2))</f>
        <v>12414.21</v>
      </c>
      <c r="U217" s="117">
        <f>+IF($C217="","",ROUND((U216+I217)*(1+Parámetros!$D$92),2))</f>
        <v>12920.33</v>
      </c>
      <c r="V217" s="117">
        <f>+IF($C217="","",ROUND(U217*VLOOKUP(B217,Parámetros!$C$30:$D$39,2,TRUE),2))</f>
        <v>12920.33</v>
      </c>
      <c r="W217" s="57">
        <f t="shared" si="291"/>
        <v>176</v>
      </c>
      <c r="X217" t="str">
        <f t="shared" si="292"/>
        <v>00058</v>
      </c>
      <c r="Y217" t="str">
        <f t="shared" si="293"/>
        <v>MUERTE POR CUALQUIER CAUSA</v>
      </c>
      <c r="Z217" s="118">
        <f>+IF($W217="","",ROUND(IF(Parámetros!$D$25='TABLAS MORT'!$V$33,Z216,Parámetros!$D$21-'Tablas Servicio'!T216),0))</f>
        <v>100000</v>
      </c>
      <c r="AA217" s="118" t="str">
        <f t="shared" si="294"/>
        <v>P</v>
      </c>
      <c r="AB217" s="119">
        <f>+IF(W217="","",ROUND((VLOOKUP(ROUNDDOWN($D217-1/frec,0),qx_tabla,2,FALSE)*(1+i/frec)^-0.5*(1+Parámetros!$D$103)*(1+rec_fracc)/frec),6))</f>
        <v>3.01E-4</v>
      </c>
      <c r="AC217" s="66">
        <f t="shared" si="250"/>
        <v>30.1</v>
      </c>
      <c r="AD217" s="119">
        <f t="shared" si="246"/>
        <v>4.26E-4</v>
      </c>
      <c r="AE217" s="66">
        <f>+IF($W217="","",ROUND(IF($B217&gt;Parámetros!$D$107,'Tablas Servicio'!AC217+('Tablas Servicio'!AG216-'Tablas Servicio'!AC216),AC217/(1-IF(B217&lt;=10,Parámetros!$D$104,Parámetros!$D$105))),2))</f>
        <v>50.17</v>
      </c>
      <c r="AF217" s="66">
        <f>+IF($W217="","",ROUND(IF($B217&gt;Parámetros!$D$107,'Tablas Servicio'!AC217+('Tablas Servicio'!AG216-'Tablas Servicio'!AC216),(AC217+$A216/frec)/(1-IF(B217&lt;=Parámetros!$D$117,Parámetros!$D$100,0))),2))</f>
        <v>42.6</v>
      </c>
      <c r="AG217" s="66">
        <f t="shared" si="251"/>
        <v>42.6</v>
      </c>
      <c r="AH217" s="66">
        <f t="shared" si="252"/>
        <v>0</v>
      </c>
      <c r="AI217" s="66">
        <f t="shared" si="253"/>
        <v>0</v>
      </c>
      <c r="AJ217" s="66">
        <f>+IF($W217="","",ROUND((AG217*Parámetros!$G$85),2))</f>
        <v>1.49</v>
      </c>
      <c r="AK217" s="66">
        <f>+IF($W217="","",ROUND((AG217*(Parámetros!$G$86)),2))</f>
        <v>0.21</v>
      </c>
      <c r="AL217" s="66">
        <f t="shared" si="247"/>
        <v>44.3</v>
      </c>
      <c r="AM217" t="str">
        <f t="shared" si="295"/>
        <v>00059</v>
      </c>
      <c r="AN217" t="str">
        <f t="shared" si="296"/>
        <v>Incapacidad Total y Permanente</v>
      </c>
      <c r="AO217" s="118">
        <f t="shared" si="297"/>
        <v>0</v>
      </c>
      <c r="AP217" s="118" t="str">
        <f t="shared" si="298"/>
        <v>A</v>
      </c>
      <c r="AQ217" s="119" t="str">
        <f>+IF(OR($W217="",AO217=0),"",ROUND((VLOOKUP(ROUNDDOWN($D217-1/frec,0),cob_adi,Z$40,FALSE)*(1+i/frec)^-0.5*(1+Parámetros!$D$103)*(1+rec_fracc)/frec),6))</f>
        <v/>
      </c>
      <c r="AR217" s="66">
        <f t="shared" si="254"/>
        <v>0</v>
      </c>
      <c r="AS217" s="119" t="str">
        <f t="shared" si="255"/>
        <v/>
      </c>
      <c r="AT217" s="66">
        <f>+IF($W217="","",ROUND(IF($B217&gt;Parámetros!$D$107,'Tablas Servicio'!AR217+('Tablas Servicio'!AT216-'Tablas Servicio'!AR216),AR217/(1-IF(B217&lt;=10,Parámetros!$D$100,0))),2))</f>
        <v>0</v>
      </c>
      <c r="AU217" s="66">
        <f t="shared" si="256"/>
        <v>0</v>
      </c>
      <c r="AV217" s="66">
        <f t="shared" si="256"/>
        <v>0</v>
      </c>
      <c r="AW217" s="66">
        <f>+IF($W217="","",ROUND((AT217*Parámetros!$G$85),2))</f>
        <v>0</v>
      </c>
      <c r="AX217" s="66">
        <f>+IF($W217="","",ROUND((AT217*(Parámetros!$G$86)),2))</f>
        <v>0</v>
      </c>
      <c r="AY217" s="66">
        <f t="shared" si="257"/>
        <v>0</v>
      </c>
      <c r="AZ217" t="str">
        <f t="shared" si="299"/>
        <v>00060</v>
      </c>
      <c r="BA217" t="str">
        <f t="shared" si="300"/>
        <v>Muerte Accidental</v>
      </c>
      <c r="BB217" s="118">
        <f t="shared" si="301"/>
        <v>0</v>
      </c>
      <c r="BC217" s="118" t="str">
        <f t="shared" si="302"/>
        <v>A</v>
      </c>
      <c r="BD217" s="119" t="str">
        <f>+IF(OR($W217="",BB217=0),"",ROUND((VLOOKUP(ROUNDDOWN($D217-1/frec,0),cob_adi,AO$40,FALSE)*(1+i/frec)^-0.5*(1+Parámetros!$D$103)*(1+rec_fracc)/frec),6))</f>
        <v/>
      </c>
      <c r="BE217" s="66">
        <f t="shared" si="258"/>
        <v>0</v>
      </c>
      <c r="BF217" s="119" t="str">
        <f t="shared" si="259"/>
        <v/>
      </c>
      <c r="BG217" s="66">
        <f>+IF($W217="","",ROUND(IF($B217&gt;Parámetros!$D$107,'Tablas Servicio'!BE217+('Tablas Servicio'!BG216-'Tablas Servicio'!BE216),BE217/(1-IF(B217&lt;=10,Parámetros!$D$100,0))),2))</f>
        <v>0</v>
      </c>
      <c r="BH217" s="66">
        <f t="shared" si="260"/>
        <v>0</v>
      </c>
      <c r="BI217" s="66">
        <f t="shared" si="261"/>
        <v>0</v>
      </c>
      <c r="BJ217" s="66">
        <f>+IF($W217="","",ROUND((BG217*Parámetros!$G$85),2))</f>
        <v>0</v>
      </c>
      <c r="BK217" s="66">
        <f>+IF($W217="","",ROUND((BG217*(Parámetros!$G$86)),2))</f>
        <v>0</v>
      </c>
      <c r="BL217" s="66">
        <f t="shared" si="262"/>
        <v>0</v>
      </c>
      <c r="BM217" t="str">
        <f t="shared" si="303"/>
        <v>00061</v>
      </c>
      <c r="BN217" t="str">
        <f t="shared" si="304"/>
        <v>Gastos de Entierro</v>
      </c>
      <c r="BO217" s="118">
        <f t="shared" si="305"/>
        <v>0</v>
      </c>
      <c r="BP217" s="118" t="str">
        <f t="shared" si="306"/>
        <v>A</v>
      </c>
      <c r="BQ217" s="119" t="str">
        <f>+IF(OR($W217="",BO217=0),"",ROUND((VLOOKUP(ROUNDDOWN($D217-1/frec,0),cob_adi,BB$40,FALSE)*(1+i/frec)^-0.5*(1+Parámetros!$D$103)*(1+rec_fracc)/frec),6))</f>
        <v/>
      </c>
      <c r="BR217" s="66">
        <f t="shared" si="263"/>
        <v>0</v>
      </c>
      <c r="BS217" s="119" t="str">
        <f t="shared" si="264"/>
        <v/>
      </c>
      <c r="BT217" s="66">
        <f>+IF($W217="","",ROUND(IF($B217&gt;Parámetros!$D$107,'Tablas Servicio'!BR217+('Tablas Servicio'!BT216-'Tablas Servicio'!BR216),BR217/(1-IF(B217&lt;=10,Parámetros!$D$100,0))),2))</f>
        <v>0</v>
      </c>
      <c r="BU217" s="66">
        <f t="shared" si="265"/>
        <v>0</v>
      </c>
      <c r="BV217" s="66">
        <f t="shared" si="265"/>
        <v>0</v>
      </c>
      <c r="BW217" s="66">
        <f>+IF($W217="","",ROUND((BT217*Parámetros!$G$85),2))</f>
        <v>0</v>
      </c>
      <c r="BX217" s="66">
        <f>+IF($W217="","",ROUND((BT217*(Parámetros!$G$86)),2))</f>
        <v>0</v>
      </c>
      <c r="BY217" s="66">
        <f t="shared" si="266"/>
        <v>0</v>
      </c>
      <c r="BZ217" t="str">
        <f t="shared" si="307"/>
        <v>00062</v>
      </c>
      <c r="CA217" t="str">
        <f t="shared" si="308"/>
        <v>Gastos médicos por accidente</v>
      </c>
      <c r="CB217" s="118">
        <f t="shared" si="309"/>
        <v>0</v>
      </c>
      <c r="CC217" s="118" t="str">
        <f t="shared" si="310"/>
        <v>A</v>
      </c>
      <c r="CD217" s="119" t="str">
        <f t="shared" si="267"/>
        <v/>
      </c>
      <c r="CE217" s="66">
        <f>+IF($W217="","",ROUND((VLOOKUP(ROUNDDOWN($D217-1/frec,0),cob_adi,BO$40,FALSE)*(1+i/frec)^-0.5*(1+Parámetros!$D$103)*(1+rec_fracc)/frec*'TABLAS ADI'!$BC$17),2))</f>
        <v>0</v>
      </c>
      <c r="CF217" s="119" t="str">
        <f t="shared" si="268"/>
        <v/>
      </c>
      <c r="CG217" s="66">
        <f>+IF($W217="","",ROUND(IF($B217&gt;Parámetros!$D$107,'Tablas Servicio'!CE217+('Tablas Servicio'!CG216-'Tablas Servicio'!CE216),CE217/(1-IF(B217&lt;=10,Parámetros!$D$100,0))),2))</f>
        <v>0</v>
      </c>
      <c r="CH217" s="66">
        <f t="shared" si="269"/>
        <v>0</v>
      </c>
      <c r="CI217" s="66">
        <f t="shared" si="269"/>
        <v>0</v>
      </c>
      <c r="CJ217" s="66">
        <f>+IF($W217="","",ROUND((CG217*Parámetros!$G$85),2))</f>
        <v>0</v>
      </c>
      <c r="CK217" s="66">
        <f>+IF($W217="","",ROUND((CG217*(Parámetros!$G$86)),2))</f>
        <v>0</v>
      </c>
      <c r="CL217" s="66">
        <f t="shared" si="270"/>
        <v>0</v>
      </c>
      <c r="CM217" t="str">
        <f t="shared" si="311"/>
        <v>00063</v>
      </c>
      <c r="CN217" s="118" t="str">
        <f t="shared" si="312"/>
        <v>Renta Diaria por Hospitalización</v>
      </c>
      <c r="CO217" s="118">
        <f t="shared" si="313"/>
        <v>0</v>
      </c>
      <c r="CP217" s="118" t="str">
        <f t="shared" si="314"/>
        <v>A</v>
      </c>
      <c r="CQ217" s="119" t="str">
        <f t="shared" si="271"/>
        <v/>
      </c>
      <c r="CR217" s="66">
        <f>+IF($W217="","",ROUND((VLOOKUP(Parámetros!$F$51,'COBERTURAS ADICIONALES'!$S$4:$T$32,2,FALSE)*(1+i/frec)^-0.5*(1+Parámetros!$D$103)*(1+rec_fracc)/frec*$CO$42),2))</f>
        <v>0</v>
      </c>
      <c r="CS217" s="119" t="str">
        <f t="shared" si="272"/>
        <v/>
      </c>
      <c r="CT217" s="66">
        <f>+IF($W217="","",ROUND(IF($B217&gt;Parámetros!$D$107,'Tablas Servicio'!CR217+('Tablas Servicio'!CT216-'Tablas Servicio'!CR216),CR217/(1-IF(B217&lt;=10,Parámetros!$D$100,0))),2))</f>
        <v>0</v>
      </c>
      <c r="CU217" s="66">
        <f t="shared" si="273"/>
        <v>0</v>
      </c>
      <c r="CV217" s="66">
        <f t="shared" si="273"/>
        <v>0</v>
      </c>
      <c r="CW217" s="66">
        <f>+IF($W217="","",ROUND((CT217*Parámetros!$G$85),2))</f>
        <v>0</v>
      </c>
      <c r="CX217" s="66">
        <f>+IF($W217="","",ROUND((CT217*(Parámetros!$G$86)),2))</f>
        <v>0</v>
      </c>
      <c r="CY217" s="66">
        <f t="shared" si="274"/>
        <v>0</v>
      </c>
      <c r="CZ217" t="str">
        <f t="shared" si="315"/>
        <v>00064</v>
      </c>
      <c r="DA217" s="118" t="str">
        <f t="shared" si="316"/>
        <v>Enfermedades Graves</v>
      </c>
      <c r="DB217" s="118">
        <f t="shared" si="317"/>
        <v>0</v>
      </c>
      <c r="DC217" s="118" t="str">
        <f t="shared" si="318"/>
        <v>A</v>
      </c>
      <c r="DD217" s="121" t="str">
        <f>+IF(OR($W217="",DB217=0),"",ROUND((VLOOKUP(ROUNDDOWN($D217-1/frec,0),cob_adi,CO$40,FALSE)*(1+i/frec)^-0.5*(1+Parámetros!$D$103)*(1+rec_fracc)/frec),6))</f>
        <v/>
      </c>
      <c r="DE217" s="66">
        <f t="shared" si="275"/>
        <v>0</v>
      </c>
      <c r="DF217" s="119" t="str">
        <f t="shared" si="276"/>
        <v/>
      </c>
      <c r="DG217" s="66">
        <f>+IF($W217="","",ROUND(IF($B217&gt;Parámetros!$D$107,'Tablas Servicio'!DE217+('Tablas Servicio'!DG216-'Tablas Servicio'!DE216),DE217/(1-IF(B217&lt;=10,Parámetros!$D$100,0))),2))</f>
        <v>0</v>
      </c>
      <c r="DH217" s="66">
        <f t="shared" si="277"/>
        <v>0</v>
      </c>
      <c r="DI217" s="66">
        <f t="shared" si="277"/>
        <v>0</v>
      </c>
      <c r="DJ217" s="66">
        <f>+IF($W217="","",ROUND((DG217*Parámetros!$G$85),2))</f>
        <v>0</v>
      </c>
      <c r="DK217" s="66">
        <f>+IF($W217="","",ROUND((DG217*(Parámetros!$G$86)),2))</f>
        <v>0</v>
      </c>
      <c r="DL217" s="66">
        <f t="shared" si="278"/>
        <v>0</v>
      </c>
      <c r="DM217" t="str">
        <f t="shared" si="319"/>
        <v>00065</v>
      </c>
      <c r="DN217" s="118" t="str">
        <f t="shared" si="320"/>
        <v>Exención pago de primas</v>
      </c>
      <c r="DO217" s="118">
        <f t="shared" si="321"/>
        <v>0</v>
      </c>
      <c r="DP217" s="118" t="str">
        <f t="shared" si="322"/>
        <v>A</v>
      </c>
      <c r="DQ217" s="122" t="str">
        <f>+IF(OR($W217="",DO217=0),"",ROUND((VLOOKUP(ROUNDDOWN($D217-1/frec,0),cob_adi,DB$40,FALSE)*(1+i/frec)^-0.5*(1+Parámetros!$D$103)*(1+rec_fracc)/frec),6))</f>
        <v/>
      </c>
      <c r="DR217" s="66">
        <f t="shared" si="279"/>
        <v>0</v>
      </c>
      <c r="DS217" s="68" t="str">
        <f t="shared" si="280"/>
        <v/>
      </c>
      <c r="DT217" s="66">
        <f>+IF($W217="","",ROUND(IF($B217&gt;Parámetros!$D$107,'Tablas Servicio'!DR217+('Tablas Servicio'!DT216-'Tablas Servicio'!DR216),DR217/(1-IF(B217&lt;=10,Parámetros!$D$100,0))),2))</f>
        <v>0</v>
      </c>
      <c r="DU217" s="66">
        <f t="shared" si="281"/>
        <v>0</v>
      </c>
      <c r="DV217" s="66">
        <f t="shared" si="281"/>
        <v>0</v>
      </c>
      <c r="DW217" s="66">
        <f>+IF($W217="","",ROUND((DT217*Parámetros!$G$85),2))</f>
        <v>0</v>
      </c>
      <c r="DX217" s="66">
        <f>+IF($W217="","",ROUND((DT217*(Parámetros!$G$86)),2))</f>
        <v>0</v>
      </c>
      <c r="DY217" s="66">
        <f t="shared" si="282"/>
        <v>0</v>
      </c>
      <c r="DZ217" t="str">
        <f t="shared" si="324"/>
        <v>00066</v>
      </c>
      <c r="EA217" s="118" t="str">
        <f t="shared" si="324"/>
        <v>Enfermedad terminal</v>
      </c>
      <c r="EB217" s="118">
        <f>+IF($W217="","",ROUND(IF(Parámetros!$D$25='TABLAS MORT'!$V$33,EB216,Z217/2),0))</f>
        <v>50000</v>
      </c>
      <c r="EC217" s="118" t="str">
        <f t="shared" si="324"/>
        <v>A</v>
      </c>
      <c r="ED217" s="122">
        <f>+IF(OR($W217="",EB217=0),"",ROUND((VLOOKUP(ROUNDDOWN($D217-1/frec,0),cob_adi,DO$40,FALSE)*(1+i/frec)^-0.5*(1+Parámetros!$D$103)*(1+rec_fracc)/frec),6))</f>
        <v>1.8E-5</v>
      </c>
      <c r="EE217" s="66">
        <f t="shared" si="284"/>
        <v>0.9</v>
      </c>
      <c r="EF217" s="68">
        <f t="shared" si="285"/>
        <v>1.8E-5</v>
      </c>
      <c r="EG217" s="66">
        <f>+IF($W217="","",ROUND(IF($B217&gt;Parámetros!$D$107,'Tablas Servicio'!EE217+('Tablas Servicio'!EG216-'Tablas Servicio'!EE216),EE217/(1-IF(B217&lt;=10,Parámetros!$D$100,0))),2))</f>
        <v>0.9</v>
      </c>
      <c r="EH217" s="66">
        <f t="shared" si="286"/>
        <v>0</v>
      </c>
      <c r="EI217" s="66">
        <f t="shared" si="286"/>
        <v>0</v>
      </c>
      <c r="EJ217" s="66">
        <f>+IF($W217="","",ROUND((EG217*Parámetros!$G$85),2))</f>
        <v>0.03</v>
      </c>
      <c r="EK217" s="66">
        <f>+IF($W217="","",ROUND((EG217*(Parámetros!$G$86)),2))</f>
        <v>0</v>
      </c>
      <c r="EL217" s="66">
        <f t="shared" si="287"/>
        <v>0.93</v>
      </c>
    </row>
    <row r="218" spans="1:142" x14ac:dyDescent="0.25">
      <c r="A218">
        <f>+IF($C218="","",ROUND(VLOOKUP('Tablas Servicio'!B218,Parámetros!$H$100:$J$159,IF(Parámetros!$E$16="F",2,3),FALSE),2))</f>
        <v>150</v>
      </c>
      <c r="B218">
        <f t="shared" si="238"/>
        <v>15</v>
      </c>
      <c r="C218" s="57">
        <f>+IF(D218="","",'Tablas Servicio'!C217+1)</f>
        <v>177</v>
      </c>
      <c r="D218" s="56">
        <f>+IF(D217&lt;edadmaxtabla,D217+1/Parámetros!$E$25,"")</f>
        <v>54.770000000000422</v>
      </c>
      <c r="E218" s="57">
        <f t="shared" si="248"/>
        <v>54</v>
      </c>
      <c r="F218" s="59">
        <f t="shared" si="249"/>
        <v>100000</v>
      </c>
      <c r="G218" s="66">
        <f t="shared" si="239"/>
        <v>43.5</v>
      </c>
      <c r="H218" s="66">
        <f t="shared" si="240"/>
        <v>45.23</v>
      </c>
      <c r="I218" s="66">
        <f t="shared" si="288"/>
        <v>48.77</v>
      </c>
      <c r="J218" s="66">
        <f t="shared" si="241"/>
        <v>1.52</v>
      </c>
      <c r="K218" s="66">
        <f t="shared" si="242"/>
        <v>0.21</v>
      </c>
      <c r="L218" s="66">
        <f t="shared" si="243"/>
        <v>0</v>
      </c>
      <c r="M218" s="66">
        <f t="shared" si="244"/>
        <v>0</v>
      </c>
      <c r="N218" s="66">
        <f>+IF(C218="","",ROUND(Parámetros!$D$23,2))</f>
        <v>94</v>
      </c>
      <c r="O218" s="66">
        <f t="shared" si="245"/>
        <v>31</v>
      </c>
      <c r="P218" s="66">
        <f>+IF($C218="","",ROUND(IF(B218&gt;Parámetros!$D$117,0,N218*Parámetros!$D$116-G218*Parámetros!$D$100),2))</f>
        <v>0</v>
      </c>
      <c r="Q218" s="75">
        <f t="shared" si="289"/>
        <v>3.4942528735632188E-2</v>
      </c>
      <c r="R218" s="75">
        <f t="shared" si="290"/>
        <v>4.8275862068965511E-3</v>
      </c>
      <c r="S218" s="117">
        <f>+IF($C218="","",ROUND((S217+I218)*(1+Parámetros!$D$91),2))</f>
        <v>12498.33</v>
      </c>
      <c r="T218" s="117">
        <f>+IF($C218="","",ROUND(S218*VLOOKUP(B218,Parámetros!$C$30:$D$39,2,TRUE),2))</f>
        <v>12498.33</v>
      </c>
      <c r="U218" s="117">
        <f>+IF($C218="","",ROUND((U217+I218)*(1+Parámetros!$D$92),2))</f>
        <v>13011.14</v>
      </c>
      <c r="V218" s="117">
        <f>+IF($C218="","",ROUND(U218*VLOOKUP(B218,Parámetros!$C$30:$D$39,2,TRUE),2))</f>
        <v>13011.14</v>
      </c>
      <c r="W218" s="57">
        <f t="shared" si="291"/>
        <v>177</v>
      </c>
      <c r="X218" t="str">
        <f t="shared" si="292"/>
        <v>00058</v>
      </c>
      <c r="Y218" t="str">
        <f t="shared" si="293"/>
        <v>MUERTE POR CUALQUIER CAUSA</v>
      </c>
      <c r="Z218" s="118">
        <f>+IF($W218="","",ROUND(IF(Parámetros!$D$25='TABLAS MORT'!$V$33,Z217,Parámetros!$D$21-'Tablas Servicio'!T217),0))</f>
        <v>100000</v>
      </c>
      <c r="AA218" s="118" t="str">
        <f t="shared" si="294"/>
        <v>P</v>
      </c>
      <c r="AB218" s="119">
        <f>+IF(W218="","",ROUND((VLOOKUP(ROUNDDOWN($D218-1/frec,0),qx_tabla,2,FALSE)*(1+i/frec)^-0.5*(1+Parámetros!$D$103)*(1+rec_fracc)/frec),6))</f>
        <v>3.01E-4</v>
      </c>
      <c r="AC218" s="66">
        <f t="shared" si="250"/>
        <v>30.1</v>
      </c>
      <c r="AD218" s="119">
        <f t="shared" si="246"/>
        <v>4.26E-4</v>
      </c>
      <c r="AE218" s="66">
        <f>+IF($W218="","",ROUND(IF($B218&gt;Parámetros!$D$107,'Tablas Servicio'!AC218+('Tablas Servicio'!AG217-'Tablas Servicio'!AC217),AC218/(1-IF(B218&lt;=10,Parámetros!$D$104,Parámetros!$D$105))),2))</f>
        <v>50.17</v>
      </c>
      <c r="AF218" s="66">
        <f>+IF($W218="","",ROUND(IF($B218&gt;Parámetros!$D$107,'Tablas Servicio'!AC218+('Tablas Servicio'!AG217-'Tablas Servicio'!AC217),(AC218+$A217/frec)/(1-IF(B218&lt;=Parámetros!$D$117,Parámetros!$D$100,0))),2))</f>
        <v>42.6</v>
      </c>
      <c r="AG218" s="66">
        <f t="shared" si="251"/>
        <v>42.6</v>
      </c>
      <c r="AH218" s="66">
        <f t="shared" si="252"/>
        <v>0</v>
      </c>
      <c r="AI218" s="66">
        <f t="shared" si="253"/>
        <v>0</v>
      </c>
      <c r="AJ218" s="66">
        <f>+IF($W218="","",ROUND((AG218*Parámetros!$G$85),2))</f>
        <v>1.49</v>
      </c>
      <c r="AK218" s="66">
        <f>+IF($W218="","",ROUND((AG218*(Parámetros!$G$86)),2))</f>
        <v>0.21</v>
      </c>
      <c r="AL218" s="66">
        <f t="shared" si="247"/>
        <v>44.3</v>
      </c>
      <c r="AM218" t="str">
        <f t="shared" si="295"/>
        <v>00059</v>
      </c>
      <c r="AN218" t="str">
        <f t="shared" si="296"/>
        <v>Incapacidad Total y Permanente</v>
      </c>
      <c r="AO218" s="118">
        <f t="shared" si="297"/>
        <v>0</v>
      </c>
      <c r="AP218" s="118" t="str">
        <f t="shared" si="298"/>
        <v>A</v>
      </c>
      <c r="AQ218" s="119" t="str">
        <f>+IF(OR($W218="",AO218=0),"",ROUND((VLOOKUP(ROUNDDOWN($D218-1/frec,0),cob_adi,Z$40,FALSE)*(1+i/frec)^-0.5*(1+Parámetros!$D$103)*(1+rec_fracc)/frec),6))</f>
        <v/>
      </c>
      <c r="AR218" s="66">
        <f t="shared" si="254"/>
        <v>0</v>
      </c>
      <c r="AS218" s="119" t="str">
        <f t="shared" si="255"/>
        <v/>
      </c>
      <c r="AT218" s="66">
        <f>+IF($W218="","",ROUND(IF($B218&gt;Parámetros!$D$107,'Tablas Servicio'!AR218+('Tablas Servicio'!AT217-'Tablas Servicio'!AR217),AR218/(1-IF(B218&lt;=10,Parámetros!$D$100,0))),2))</f>
        <v>0</v>
      </c>
      <c r="AU218" s="66">
        <f t="shared" si="256"/>
        <v>0</v>
      </c>
      <c r="AV218" s="66">
        <f t="shared" si="256"/>
        <v>0</v>
      </c>
      <c r="AW218" s="66">
        <f>+IF($W218="","",ROUND((AT218*Parámetros!$G$85),2))</f>
        <v>0</v>
      </c>
      <c r="AX218" s="66">
        <f>+IF($W218="","",ROUND((AT218*(Parámetros!$G$86)),2))</f>
        <v>0</v>
      </c>
      <c r="AY218" s="66">
        <f t="shared" si="257"/>
        <v>0</v>
      </c>
      <c r="AZ218" t="str">
        <f t="shared" si="299"/>
        <v>00060</v>
      </c>
      <c r="BA218" t="str">
        <f t="shared" si="300"/>
        <v>Muerte Accidental</v>
      </c>
      <c r="BB218" s="118">
        <f t="shared" si="301"/>
        <v>0</v>
      </c>
      <c r="BC218" s="118" t="str">
        <f t="shared" si="302"/>
        <v>A</v>
      </c>
      <c r="BD218" s="119" t="str">
        <f>+IF(OR($W218="",BB218=0),"",ROUND((VLOOKUP(ROUNDDOWN($D218-1/frec,0),cob_adi,AO$40,FALSE)*(1+i/frec)^-0.5*(1+Parámetros!$D$103)*(1+rec_fracc)/frec),6))</f>
        <v/>
      </c>
      <c r="BE218" s="66">
        <f t="shared" si="258"/>
        <v>0</v>
      </c>
      <c r="BF218" s="119" t="str">
        <f t="shared" si="259"/>
        <v/>
      </c>
      <c r="BG218" s="66">
        <f>+IF($W218="","",ROUND(IF($B218&gt;Parámetros!$D$107,'Tablas Servicio'!BE218+('Tablas Servicio'!BG217-'Tablas Servicio'!BE217),BE218/(1-IF(B218&lt;=10,Parámetros!$D$100,0))),2))</f>
        <v>0</v>
      </c>
      <c r="BH218" s="66">
        <f t="shared" si="260"/>
        <v>0</v>
      </c>
      <c r="BI218" s="66">
        <f t="shared" si="261"/>
        <v>0</v>
      </c>
      <c r="BJ218" s="66">
        <f>+IF($W218="","",ROUND((BG218*Parámetros!$G$85),2))</f>
        <v>0</v>
      </c>
      <c r="BK218" s="66">
        <f>+IF($W218="","",ROUND((BG218*(Parámetros!$G$86)),2))</f>
        <v>0</v>
      </c>
      <c r="BL218" s="66">
        <f t="shared" si="262"/>
        <v>0</v>
      </c>
      <c r="BM218" t="str">
        <f t="shared" si="303"/>
        <v>00061</v>
      </c>
      <c r="BN218" t="str">
        <f t="shared" si="304"/>
        <v>Gastos de Entierro</v>
      </c>
      <c r="BO218" s="118">
        <f t="shared" si="305"/>
        <v>0</v>
      </c>
      <c r="BP218" s="118" t="str">
        <f t="shared" si="306"/>
        <v>A</v>
      </c>
      <c r="BQ218" s="119" t="str">
        <f>+IF(OR($W218="",BO218=0),"",ROUND((VLOOKUP(ROUNDDOWN($D218-1/frec,0),cob_adi,BB$40,FALSE)*(1+i/frec)^-0.5*(1+Parámetros!$D$103)*(1+rec_fracc)/frec),6))</f>
        <v/>
      </c>
      <c r="BR218" s="66">
        <f t="shared" si="263"/>
        <v>0</v>
      </c>
      <c r="BS218" s="119" t="str">
        <f t="shared" si="264"/>
        <v/>
      </c>
      <c r="BT218" s="66">
        <f>+IF($W218="","",ROUND(IF($B218&gt;Parámetros!$D$107,'Tablas Servicio'!BR218+('Tablas Servicio'!BT217-'Tablas Servicio'!BR217),BR218/(1-IF(B218&lt;=10,Parámetros!$D$100,0))),2))</f>
        <v>0</v>
      </c>
      <c r="BU218" s="66">
        <f t="shared" si="265"/>
        <v>0</v>
      </c>
      <c r="BV218" s="66">
        <f t="shared" si="265"/>
        <v>0</v>
      </c>
      <c r="BW218" s="66">
        <f>+IF($W218="","",ROUND((BT218*Parámetros!$G$85),2))</f>
        <v>0</v>
      </c>
      <c r="BX218" s="66">
        <f>+IF($W218="","",ROUND((BT218*(Parámetros!$G$86)),2))</f>
        <v>0</v>
      </c>
      <c r="BY218" s="66">
        <f t="shared" si="266"/>
        <v>0</v>
      </c>
      <c r="BZ218" t="str">
        <f t="shared" si="307"/>
        <v>00062</v>
      </c>
      <c r="CA218" t="str">
        <f t="shared" si="308"/>
        <v>Gastos médicos por accidente</v>
      </c>
      <c r="CB218" s="118">
        <f t="shared" si="309"/>
        <v>0</v>
      </c>
      <c r="CC218" s="118" t="str">
        <f t="shared" si="310"/>
        <v>A</v>
      </c>
      <c r="CD218" s="119" t="str">
        <f t="shared" si="267"/>
        <v/>
      </c>
      <c r="CE218" s="66">
        <f>+IF($W218="","",ROUND((VLOOKUP(ROUNDDOWN($D218-1/frec,0),cob_adi,BO$40,FALSE)*(1+i/frec)^-0.5*(1+Parámetros!$D$103)*(1+rec_fracc)/frec*'TABLAS ADI'!$BC$17),2))</f>
        <v>0</v>
      </c>
      <c r="CF218" s="119" t="str">
        <f t="shared" si="268"/>
        <v/>
      </c>
      <c r="CG218" s="66">
        <f>+IF($W218="","",ROUND(IF($B218&gt;Parámetros!$D$107,'Tablas Servicio'!CE218+('Tablas Servicio'!CG217-'Tablas Servicio'!CE217),CE218/(1-IF(B218&lt;=10,Parámetros!$D$100,0))),2))</f>
        <v>0</v>
      </c>
      <c r="CH218" s="66">
        <f t="shared" si="269"/>
        <v>0</v>
      </c>
      <c r="CI218" s="66">
        <f t="shared" si="269"/>
        <v>0</v>
      </c>
      <c r="CJ218" s="66">
        <f>+IF($W218="","",ROUND((CG218*Parámetros!$G$85),2))</f>
        <v>0</v>
      </c>
      <c r="CK218" s="66">
        <f>+IF($W218="","",ROUND((CG218*(Parámetros!$G$86)),2))</f>
        <v>0</v>
      </c>
      <c r="CL218" s="66">
        <f t="shared" si="270"/>
        <v>0</v>
      </c>
      <c r="CM218" t="str">
        <f t="shared" si="311"/>
        <v>00063</v>
      </c>
      <c r="CN218" s="118" t="str">
        <f t="shared" si="312"/>
        <v>Renta Diaria por Hospitalización</v>
      </c>
      <c r="CO218" s="118">
        <f t="shared" si="313"/>
        <v>0</v>
      </c>
      <c r="CP218" s="118" t="str">
        <f t="shared" si="314"/>
        <v>A</v>
      </c>
      <c r="CQ218" s="119" t="str">
        <f t="shared" si="271"/>
        <v/>
      </c>
      <c r="CR218" s="66">
        <f>+IF($W218="","",ROUND((VLOOKUP(Parámetros!$F$51,'COBERTURAS ADICIONALES'!$S$4:$T$32,2,FALSE)*(1+i/frec)^-0.5*(1+Parámetros!$D$103)*(1+rec_fracc)/frec*$CO$42),2))</f>
        <v>0</v>
      </c>
      <c r="CS218" s="119" t="str">
        <f t="shared" si="272"/>
        <v/>
      </c>
      <c r="CT218" s="66">
        <f>+IF($W218="","",ROUND(IF($B218&gt;Parámetros!$D$107,'Tablas Servicio'!CR218+('Tablas Servicio'!CT217-'Tablas Servicio'!CR217),CR218/(1-IF(B218&lt;=10,Parámetros!$D$100,0))),2))</f>
        <v>0</v>
      </c>
      <c r="CU218" s="66">
        <f t="shared" si="273"/>
        <v>0</v>
      </c>
      <c r="CV218" s="66">
        <f t="shared" si="273"/>
        <v>0</v>
      </c>
      <c r="CW218" s="66">
        <f>+IF($W218="","",ROUND((CT218*Parámetros!$G$85),2))</f>
        <v>0</v>
      </c>
      <c r="CX218" s="66">
        <f>+IF($W218="","",ROUND((CT218*(Parámetros!$G$86)),2))</f>
        <v>0</v>
      </c>
      <c r="CY218" s="66">
        <f t="shared" si="274"/>
        <v>0</v>
      </c>
      <c r="CZ218" t="str">
        <f t="shared" si="315"/>
        <v>00064</v>
      </c>
      <c r="DA218" s="118" t="str">
        <f t="shared" si="316"/>
        <v>Enfermedades Graves</v>
      </c>
      <c r="DB218" s="118">
        <f t="shared" si="317"/>
        <v>0</v>
      </c>
      <c r="DC218" s="118" t="str">
        <f t="shared" si="318"/>
        <v>A</v>
      </c>
      <c r="DD218" s="121" t="str">
        <f>+IF(OR($W218="",DB218=0),"",ROUND((VLOOKUP(ROUNDDOWN($D218-1/frec,0),cob_adi,CO$40,FALSE)*(1+i/frec)^-0.5*(1+Parámetros!$D$103)*(1+rec_fracc)/frec),6))</f>
        <v/>
      </c>
      <c r="DE218" s="66">
        <f t="shared" si="275"/>
        <v>0</v>
      </c>
      <c r="DF218" s="119" t="str">
        <f t="shared" si="276"/>
        <v/>
      </c>
      <c r="DG218" s="66">
        <f>+IF($W218="","",ROUND(IF($B218&gt;Parámetros!$D$107,'Tablas Servicio'!DE218+('Tablas Servicio'!DG217-'Tablas Servicio'!DE217),DE218/(1-IF(B218&lt;=10,Parámetros!$D$100,0))),2))</f>
        <v>0</v>
      </c>
      <c r="DH218" s="66">
        <f t="shared" si="277"/>
        <v>0</v>
      </c>
      <c r="DI218" s="66">
        <f t="shared" si="277"/>
        <v>0</v>
      </c>
      <c r="DJ218" s="66">
        <f>+IF($W218="","",ROUND((DG218*Parámetros!$G$85),2))</f>
        <v>0</v>
      </c>
      <c r="DK218" s="66">
        <f>+IF($W218="","",ROUND((DG218*(Parámetros!$G$86)),2))</f>
        <v>0</v>
      </c>
      <c r="DL218" s="66">
        <f t="shared" si="278"/>
        <v>0</v>
      </c>
      <c r="DM218" t="str">
        <f t="shared" si="319"/>
        <v>00065</v>
      </c>
      <c r="DN218" s="118" t="str">
        <f t="shared" si="320"/>
        <v>Exención pago de primas</v>
      </c>
      <c r="DO218" s="118">
        <f t="shared" si="321"/>
        <v>0</v>
      </c>
      <c r="DP218" s="118" t="str">
        <f t="shared" si="322"/>
        <v>A</v>
      </c>
      <c r="DQ218" s="122" t="str">
        <f>+IF(OR($W218="",DO218=0),"",ROUND((VLOOKUP(ROUNDDOWN($D218-1/frec,0),cob_adi,DB$40,FALSE)*(1+i/frec)^-0.5*(1+Parámetros!$D$103)*(1+rec_fracc)/frec),6))</f>
        <v/>
      </c>
      <c r="DR218" s="66">
        <f t="shared" si="279"/>
        <v>0</v>
      </c>
      <c r="DS218" s="68" t="str">
        <f t="shared" si="280"/>
        <v/>
      </c>
      <c r="DT218" s="66">
        <f>+IF($W218="","",ROUND(IF($B218&gt;Parámetros!$D$107,'Tablas Servicio'!DR218+('Tablas Servicio'!DT217-'Tablas Servicio'!DR217),DR218/(1-IF(B218&lt;=10,Parámetros!$D$100,0))),2))</f>
        <v>0</v>
      </c>
      <c r="DU218" s="66">
        <f t="shared" si="281"/>
        <v>0</v>
      </c>
      <c r="DV218" s="66">
        <f t="shared" si="281"/>
        <v>0</v>
      </c>
      <c r="DW218" s="66">
        <f>+IF($W218="","",ROUND((DT218*Parámetros!$G$85),2))</f>
        <v>0</v>
      </c>
      <c r="DX218" s="66">
        <f>+IF($W218="","",ROUND((DT218*(Parámetros!$G$86)),2))</f>
        <v>0</v>
      </c>
      <c r="DY218" s="66">
        <f t="shared" si="282"/>
        <v>0</v>
      </c>
      <c r="DZ218" t="str">
        <f t="shared" si="324"/>
        <v>00066</v>
      </c>
      <c r="EA218" s="118" t="str">
        <f t="shared" si="324"/>
        <v>Enfermedad terminal</v>
      </c>
      <c r="EB218" s="118">
        <f>+IF($W218="","",ROUND(IF(Parámetros!$D$25='TABLAS MORT'!$V$33,EB217,Z218/2),0))</f>
        <v>50000</v>
      </c>
      <c r="EC218" s="118" t="str">
        <f t="shared" si="324"/>
        <v>A</v>
      </c>
      <c r="ED218" s="122">
        <f>+IF(OR($W218="",EB218=0),"",ROUND((VLOOKUP(ROUNDDOWN($D218-1/frec,0),cob_adi,DO$40,FALSE)*(1+i/frec)^-0.5*(1+Parámetros!$D$103)*(1+rec_fracc)/frec),6))</f>
        <v>1.8E-5</v>
      </c>
      <c r="EE218" s="66">
        <f t="shared" si="284"/>
        <v>0.9</v>
      </c>
      <c r="EF218" s="68">
        <f t="shared" si="285"/>
        <v>1.8E-5</v>
      </c>
      <c r="EG218" s="66">
        <f>+IF($W218="","",ROUND(IF($B218&gt;Parámetros!$D$107,'Tablas Servicio'!EE218+('Tablas Servicio'!EG217-'Tablas Servicio'!EE217),EE218/(1-IF(B218&lt;=10,Parámetros!$D$100,0))),2))</f>
        <v>0.9</v>
      </c>
      <c r="EH218" s="66">
        <f t="shared" si="286"/>
        <v>0</v>
      </c>
      <c r="EI218" s="66">
        <f t="shared" si="286"/>
        <v>0</v>
      </c>
      <c r="EJ218" s="66">
        <f>+IF($W218="","",ROUND((EG218*Parámetros!$G$85),2))</f>
        <v>0.03</v>
      </c>
      <c r="EK218" s="66">
        <f>+IF($W218="","",ROUND((EG218*(Parámetros!$G$86)),2))</f>
        <v>0</v>
      </c>
      <c r="EL218" s="66">
        <f t="shared" si="287"/>
        <v>0.93</v>
      </c>
    </row>
    <row r="219" spans="1:142" x14ac:dyDescent="0.25">
      <c r="A219">
        <f>+IF($C219="","",ROUND(VLOOKUP('Tablas Servicio'!B219,Parámetros!$H$100:$J$159,IF(Parámetros!$E$16="F",2,3),FALSE),2))</f>
        <v>150</v>
      </c>
      <c r="B219">
        <f t="shared" si="238"/>
        <v>15</v>
      </c>
      <c r="C219" s="57">
        <f>+IF(D219="","",'Tablas Servicio'!C218+1)</f>
        <v>178</v>
      </c>
      <c r="D219" s="56">
        <f>+IF(D218&lt;edadmaxtabla,D218+1/Parámetros!$E$25,"")</f>
        <v>54.853333333333758</v>
      </c>
      <c r="E219" s="57">
        <f t="shared" si="248"/>
        <v>54</v>
      </c>
      <c r="F219" s="59">
        <f t="shared" si="249"/>
        <v>100000</v>
      </c>
      <c r="G219" s="66">
        <f t="shared" si="239"/>
        <v>43.5</v>
      </c>
      <c r="H219" s="66">
        <f t="shared" si="240"/>
        <v>45.23</v>
      </c>
      <c r="I219" s="66">
        <f t="shared" si="288"/>
        <v>48.77</v>
      </c>
      <c r="J219" s="66">
        <f t="shared" si="241"/>
        <v>1.52</v>
      </c>
      <c r="K219" s="66">
        <f t="shared" si="242"/>
        <v>0.21</v>
      </c>
      <c r="L219" s="66">
        <f t="shared" si="243"/>
        <v>0</v>
      </c>
      <c r="M219" s="66">
        <f t="shared" si="244"/>
        <v>0</v>
      </c>
      <c r="N219" s="66">
        <f>+IF(C219="","",ROUND(Parámetros!$D$23,2))</f>
        <v>94</v>
      </c>
      <c r="O219" s="66">
        <f t="shared" si="245"/>
        <v>31</v>
      </c>
      <c r="P219" s="66">
        <f>+IF($C219="","",ROUND(IF(B219&gt;Parámetros!$D$117,0,N219*Parámetros!$D$116-G219*Parámetros!$D$100),2))</f>
        <v>0</v>
      </c>
      <c r="Q219" s="75">
        <f t="shared" si="289"/>
        <v>3.4942528735632188E-2</v>
      </c>
      <c r="R219" s="75">
        <f t="shared" si="290"/>
        <v>4.8275862068965511E-3</v>
      </c>
      <c r="S219" s="117">
        <f>+IF($C219="","",ROUND((S218+I219)*(1+Parámetros!$D$91),2))</f>
        <v>12582.69</v>
      </c>
      <c r="T219" s="117">
        <f>+IF($C219="","",ROUND(S219*VLOOKUP(B219,Parámetros!$C$30:$D$39,2,TRUE),2))</f>
        <v>12582.69</v>
      </c>
      <c r="U219" s="117">
        <f>+IF($C219="","",ROUND((U218+I219)*(1+Parámetros!$D$92),2))</f>
        <v>13102.25</v>
      </c>
      <c r="V219" s="117">
        <f>+IF($C219="","",ROUND(U219*VLOOKUP(B219,Parámetros!$C$30:$D$39,2,TRUE),2))</f>
        <v>13102.25</v>
      </c>
      <c r="W219" s="57">
        <f t="shared" si="291"/>
        <v>178</v>
      </c>
      <c r="X219" t="str">
        <f t="shared" si="292"/>
        <v>00058</v>
      </c>
      <c r="Y219" t="str">
        <f t="shared" si="293"/>
        <v>MUERTE POR CUALQUIER CAUSA</v>
      </c>
      <c r="Z219" s="118">
        <f>+IF($W219="","",ROUND(IF(Parámetros!$D$25='TABLAS MORT'!$V$33,Z218,Parámetros!$D$21-'Tablas Servicio'!T218),0))</f>
        <v>100000</v>
      </c>
      <c r="AA219" s="118" t="str">
        <f t="shared" si="294"/>
        <v>P</v>
      </c>
      <c r="AB219" s="119">
        <f>+IF(W219="","",ROUND((VLOOKUP(ROUNDDOWN($D219-1/frec,0),qx_tabla,2,FALSE)*(1+i/frec)^-0.5*(1+Parámetros!$D$103)*(1+rec_fracc)/frec),6))</f>
        <v>3.01E-4</v>
      </c>
      <c r="AC219" s="66">
        <f t="shared" si="250"/>
        <v>30.1</v>
      </c>
      <c r="AD219" s="119">
        <f t="shared" si="246"/>
        <v>4.26E-4</v>
      </c>
      <c r="AE219" s="66">
        <f>+IF($W219="","",ROUND(IF($B219&gt;Parámetros!$D$107,'Tablas Servicio'!AC219+('Tablas Servicio'!AG218-'Tablas Servicio'!AC218),AC219/(1-IF(B219&lt;=10,Parámetros!$D$104,Parámetros!$D$105))),2))</f>
        <v>50.17</v>
      </c>
      <c r="AF219" s="66">
        <f>+IF($W219="","",ROUND(IF($B219&gt;Parámetros!$D$107,'Tablas Servicio'!AC219+('Tablas Servicio'!AG218-'Tablas Servicio'!AC218),(AC219+$A218/frec)/(1-IF(B219&lt;=Parámetros!$D$117,Parámetros!$D$100,0))),2))</f>
        <v>42.6</v>
      </c>
      <c r="AG219" s="66">
        <f t="shared" si="251"/>
        <v>42.6</v>
      </c>
      <c r="AH219" s="66">
        <f t="shared" si="252"/>
        <v>0</v>
      </c>
      <c r="AI219" s="66">
        <f t="shared" si="253"/>
        <v>0</v>
      </c>
      <c r="AJ219" s="66">
        <f>+IF($W219="","",ROUND((AG219*Parámetros!$G$85),2))</f>
        <v>1.49</v>
      </c>
      <c r="AK219" s="66">
        <f>+IF($W219="","",ROUND((AG219*(Parámetros!$G$86)),2))</f>
        <v>0.21</v>
      </c>
      <c r="AL219" s="66">
        <f t="shared" si="247"/>
        <v>44.3</v>
      </c>
      <c r="AM219" t="str">
        <f t="shared" si="295"/>
        <v>00059</v>
      </c>
      <c r="AN219" t="str">
        <f t="shared" si="296"/>
        <v>Incapacidad Total y Permanente</v>
      </c>
      <c r="AO219" s="118">
        <f t="shared" si="297"/>
        <v>0</v>
      </c>
      <c r="AP219" s="118" t="str">
        <f t="shared" si="298"/>
        <v>A</v>
      </c>
      <c r="AQ219" s="119" t="str">
        <f>+IF(OR($W219="",AO219=0),"",ROUND((VLOOKUP(ROUNDDOWN($D219-1/frec,0),cob_adi,Z$40,FALSE)*(1+i/frec)^-0.5*(1+Parámetros!$D$103)*(1+rec_fracc)/frec),6))</f>
        <v/>
      </c>
      <c r="AR219" s="66">
        <f t="shared" si="254"/>
        <v>0</v>
      </c>
      <c r="AS219" s="119" t="str">
        <f t="shared" si="255"/>
        <v/>
      </c>
      <c r="AT219" s="66">
        <f>+IF($W219="","",ROUND(IF($B219&gt;Parámetros!$D$107,'Tablas Servicio'!AR219+('Tablas Servicio'!AT218-'Tablas Servicio'!AR218),AR219/(1-IF(B219&lt;=10,Parámetros!$D$100,0))),2))</f>
        <v>0</v>
      </c>
      <c r="AU219" s="66">
        <f t="shared" si="256"/>
        <v>0</v>
      </c>
      <c r="AV219" s="66">
        <f t="shared" si="256"/>
        <v>0</v>
      </c>
      <c r="AW219" s="66">
        <f>+IF($W219="","",ROUND((AT219*Parámetros!$G$85),2))</f>
        <v>0</v>
      </c>
      <c r="AX219" s="66">
        <f>+IF($W219="","",ROUND((AT219*(Parámetros!$G$86)),2))</f>
        <v>0</v>
      </c>
      <c r="AY219" s="66">
        <f t="shared" si="257"/>
        <v>0</v>
      </c>
      <c r="AZ219" t="str">
        <f t="shared" si="299"/>
        <v>00060</v>
      </c>
      <c r="BA219" t="str">
        <f t="shared" si="300"/>
        <v>Muerte Accidental</v>
      </c>
      <c r="BB219" s="118">
        <f t="shared" si="301"/>
        <v>0</v>
      </c>
      <c r="BC219" s="118" t="str">
        <f t="shared" si="302"/>
        <v>A</v>
      </c>
      <c r="BD219" s="119" t="str">
        <f>+IF(OR($W219="",BB219=0),"",ROUND((VLOOKUP(ROUNDDOWN($D219-1/frec,0),cob_adi,AO$40,FALSE)*(1+i/frec)^-0.5*(1+Parámetros!$D$103)*(1+rec_fracc)/frec),6))</f>
        <v/>
      </c>
      <c r="BE219" s="66">
        <f t="shared" si="258"/>
        <v>0</v>
      </c>
      <c r="BF219" s="119" t="str">
        <f t="shared" si="259"/>
        <v/>
      </c>
      <c r="BG219" s="66">
        <f>+IF($W219="","",ROUND(IF($B219&gt;Parámetros!$D$107,'Tablas Servicio'!BE219+('Tablas Servicio'!BG218-'Tablas Servicio'!BE218),BE219/(1-IF(B219&lt;=10,Parámetros!$D$100,0))),2))</f>
        <v>0</v>
      </c>
      <c r="BH219" s="66">
        <f t="shared" si="260"/>
        <v>0</v>
      </c>
      <c r="BI219" s="66">
        <f t="shared" si="261"/>
        <v>0</v>
      </c>
      <c r="BJ219" s="66">
        <f>+IF($W219="","",ROUND((BG219*Parámetros!$G$85),2))</f>
        <v>0</v>
      </c>
      <c r="BK219" s="66">
        <f>+IF($W219="","",ROUND((BG219*(Parámetros!$G$86)),2))</f>
        <v>0</v>
      </c>
      <c r="BL219" s="66">
        <f t="shared" si="262"/>
        <v>0</v>
      </c>
      <c r="BM219" t="str">
        <f t="shared" si="303"/>
        <v>00061</v>
      </c>
      <c r="BN219" t="str">
        <f t="shared" si="304"/>
        <v>Gastos de Entierro</v>
      </c>
      <c r="BO219" s="118">
        <f t="shared" si="305"/>
        <v>0</v>
      </c>
      <c r="BP219" s="118" t="str">
        <f t="shared" si="306"/>
        <v>A</v>
      </c>
      <c r="BQ219" s="119" t="str">
        <f>+IF(OR($W219="",BO219=0),"",ROUND((VLOOKUP(ROUNDDOWN($D219-1/frec,0),cob_adi,BB$40,FALSE)*(1+i/frec)^-0.5*(1+Parámetros!$D$103)*(1+rec_fracc)/frec),6))</f>
        <v/>
      </c>
      <c r="BR219" s="66">
        <f t="shared" si="263"/>
        <v>0</v>
      </c>
      <c r="BS219" s="119" t="str">
        <f t="shared" si="264"/>
        <v/>
      </c>
      <c r="BT219" s="66">
        <f>+IF($W219="","",ROUND(IF($B219&gt;Parámetros!$D$107,'Tablas Servicio'!BR219+('Tablas Servicio'!BT218-'Tablas Servicio'!BR218),BR219/(1-IF(B219&lt;=10,Parámetros!$D$100,0))),2))</f>
        <v>0</v>
      </c>
      <c r="BU219" s="66">
        <f t="shared" si="265"/>
        <v>0</v>
      </c>
      <c r="BV219" s="66">
        <f t="shared" si="265"/>
        <v>0</v>
      </c>
      <c r="BW219" s="66">
        <f>+IF($W219="","",ROUND((BT219*Parámetros!$G$85),2))</f>
        <v>0</v>
      </c>
      <c r="BX219" s="66">
        <f>+IF($W219="","",ROUND((BT219*(Parámetros!$G$86)),2))</f>
        <v>0</v>
      </c>
      <c r="BY219" s="66">
        <f t="shared" si="266"/>
        <v>0</v>
      </c>
      <c r="BZ219" t="str">
        <f t="shared" si="307"/>
        <v>00062</v>
      </c>
      <c r="CA219" t="str">
        <f t="shared" si="308"/>
        <v>Gastos médicos por accidente</v>
      </c>
      <c r="CB219" s="118">
        <f t="shared" si="309"/>
        <v>0</v>
      </c>
      <c r="CC219" s="118" t="str">
        <f t="shared" si="310"/>
        <v>A</v>
      </c>
      <c r="CD219" s="119" t="str">
        <f t="shared" si="267"/>
        <v/>
      </c>
      <c r="CE219" s="66">
        <f>+IF($W219="","",ROUND((VLOOKUP(ROUNDDOWN($D219-1/frec,0),cob_adi,BO$40,FALSE)*(1+i/frec)^-0.5*(1+Parámetros!$D$103)*(1+rec_fracc)/frec*'TABLAS ADI'!$BC$17),2))</f>
        <v>0</v>
      </c>
      <c r="CF219" s="119" t="str">
        <f t="shared" si="268"/>
        <v/>
      </c>
      <c r="CG219" s="66">
        <f>+IF($W219="","",ROUND(IF($B219&gt;Parámetros!$D$107,'Tablas Servicio'!CE219+('Tablas Servicio'!CG218-'Tablas Servicio'!CE218),CE219/(1-IF(B219&lt;=10,Parámetros!$D$100,0))),2))</f>
        <v>0</v>
      </c>
      <c r="CH219" s="66">
        <f t="shared" si="269"/>
        <v>0</v>
      </c>
      <c r="CI219" s="66">
        <f t="shared" si="269"/>
        <v>0</v>
      </c>
      <c r="CJ219" s="66">
        <f>+IF($W219="","",ROUND((CG219*Parámetros!$G$85),2))</f>
        <v>0</v>
      </c>
      <c r="CK219" s="66">
        <f>+IF($W219="","",ROUND((CG219*(Parámetros!$G$86)),2))</f>
        <v>0</v>
      </c>
      <c r="CL219" s="66">
        <f t="shared" si="270"/>
        <v>0</v>
      </c>
      <c r="CM219" t="str">
        <f t="shared" si="311"/>
        <v>00063</v>
      </c>
      <c r="CN219" s="118" t="str">
        <f t="shared" si="312"/>
        <v>Renta Diaria por Hospitalización</v>
      </c>
      <c r="CO219" s="118">
        <f t="shared" si="313"/>
        <v>0</v>
      </c>
      <c r="CP219" s="118" t="str">
        <f t="shared" si="314"/>
        <v>A</v>
      </c>
      <c r="CQ219" s="119" t="str">
        <f t="shared" si="271"/>
        <v/>
      </c>
      <c r="CR219" s="66">
        <f>+IF($W219="","",ROUND((VLOOKUP(Parámetros!$F$51,'COBERTURAS ADICIONALES'!$S$4:$T$32,2,FALSE)*(1+i/frec)^-0.5*(1+Parámetros!$D$103)*(1+rec_fracc)/frec*$CO$42),2))</f>
        <v>0</v>
      </c>
      <c r="CS219" s="119" t="str">
        <f t="shared" si="272"/>
        <v/>
      </c>
      <c r="CT219" s="66">
        <f>+IF($W219="","",ROUND(IF($B219&gt;Parámetros!$D$107,'Tablas Servicio'!CR219+('Tablas Servicio'!CT218-'Tablas Servicio'!CR218),CR219/(1-IF(B219&lt;=10,Parámetros!$D$100,0))),2))</f>
        <v>0</v>
      </c>
      <c r="CU219" s="66">
        <f t="shared" si="273"/>
        <v>0</v>
      </c>
      <c r="CV219" s="66">
        <f t="shared" si="273"/>
        <v>0</v>
      </c>
      <c r="CW219" s="66">
        <f>+IF($W219="","",ROUND((CT219*Parámetros!$G$85),2))</f>
        <v>0</v>
      </c>
      <c r="CX219" s="66">
        <f>+IF($W219="","",ROUND((CT219*(Parámetros!$G$86)),2))</f>
        <v>0</v>
      </c>
      <c r="CY219" s="66">
        <f t="shared" si="274"/>
        <v>0</v>
      </c>
      <c r="CZ219" t="str">
        <f t="shared" si="315"/>
        <v>00064</v>
      </c>
      <c r="DA219" s="118" t="str">
        <f t="shared" si="316"/>
        <v>Enfermedades Graves</v>
      </c>
      <c r="DB219" s="118">
        <f t="shared" si="317"/>
        <v>0</v>
      </c>
      <c r="DC219" s="118" t="str">
        <f t="shared" si="318"/>
        <v>A</v>
      </c>
      <c r="DD219" s="121" t="str">
        <f>+IF(OR($W219="",DB219=0),"",ROUND((VLOOKUP(ROUNDDOWN($D219-1/frec,0),cob_adi,CO$40,FALSE)*(1+i/frec)^-0.5*(1+Parámetros!$D$103)*(1+rec_fracc)/frec),6))</f>
        <v/>
      </c>
      <c r="DE219" s="66">
        <f t="shared" si="275"/>
        <v>0</v>
      </c>
      <c r="DF219" s="119" t="str">
        <f t="shared" si="276"/>
        <v/>
      </c>
      <c r="DG219" s="66">
        <f>+IF($W219="","",ROUND(IF($B219&gt;Parámetros!$D$107,'Tablas Servicio'!DE219+('Tablas Servicio'!DG218-'Tablas Servicio'!DE218),DE219/(1-IF(B219&lt;=10,Parámetros!$D$100,0))),2))</f>
        <v>0</v>
      </c>
      <c r="DH219" s="66">
        <f t="shared" si="277"/>
        <v>0</v>
      </c>
      <c r="DI219" s="66">
        <f t="shared" si="277"/>
        <v>0</v>
      </c>
      <c r="DJ219" s="66">
        <f>+IF($W219="","",ROUND((DG219*Parámetros!$G$85),2))</f>
        <v>0</v>
      </c>
      <c r="DK219" s="66">
        <f>+IF($W219="","",ROUND((DG219*(Parámetros!$G$86)),2))</f>
        <v>0</v>
      </c>
      <c r="DL219" s="66">
        <f t="shared" si="278"/>
        <v>0</v>
      </c>
      <c r="DM219" t="str">
        <f t="shared" si="319"/>
        <v>00065</v>
      </c>
      <c r="DN219" s="118" t="str">
        <f t="shared" si="320"/>
        <v>Exención pago de primas</v>
      </c>
      <c r="DO219" s="118">
        <f t="shared" si="321"/>
        <v>0</v>
      </c>
      <c r="DP219" s="118" t="str">
        <f t="shared" si="322"/>
        <v>A</v>
      </c>
      <c r="DQ219" s="122" t="str">
        <f>+IF(OR($W219="",DO219=0),"",ROUND((VLOOKUP(ROUNDDOWN($D219-1/frec,0),cob_adi,DB$40,FALSE)*(1+i/frec)^-0.5*(1+Parámetros!$D$103)*(1+rec_fracc)/frec),6))</f>
        <v/>
      </c>
      <c r="DR219" s="66">
        <f t="shared" si="279"/>
        <v>0</v>
      </c>
      <c r="DS219" s="68" t="str">
        <f t="shared" si="280"/>
        <v/>
      </c>
      <c r="DT219" s="66">
        <f>+IF($W219="","",ROUND(IF($B219&gt;Parámetros!$D$107,'Tablas Servicio'!DR219+('Tablas Servicio'!DT218-'Tablas Servicio'!DR218),DR219/(1-IF(B219&lt;=10,Parámetros!$D$100,0))),2))</f>
        <v>0</v>
      </c>
      <c r="DU219" s="66">
        <f t="shared" si="281"/>
        <v>0</v>
      </c>
      <c r="DV219" s="66">
        <f t="shared" si="281"/>
        <v>0</v>
      </c>
      <c r="DW219" s="66">
        <f>+IF($W219="","",ROUND((DT219*Parámetros!$G$85),2))</f>
        <v>0</v>
      </c>
      <c r="DX219" s="66">
        <f>+IF($W219="","",ROUND((DT219*(Parámetros!$G$86)),2))</f>
        <v>0</v>
      </c>
      <c r="DY219" s="66">
        <f t="shared" si="282"/>
        <v>0</v>
      </c>
      <c r="DZ219" t="str">
        <f t="shared" ref="DZ219:EC234" si="325">+IF($W219="","",DZ218)</f>
        <v>00066</v>
      </c>
      <c r="EA219" s="118" t="str">
        <f t="shared" si="325"/>
        <v>Enfermedad terminal</v>
      </c>
      <c r="EB219" s="118">
        <f>+IF($W219="","",ROUND(IF(Parámetros!$D$25='TABLAS MORT'!$V$33,EB218,Z219/2),0))</f>
        <v>50000</v>
      </c>
      <c r="EC219" s="118" t="str">
        <f t="shared" si="325"/>
        <v>A</v>
      </c>
      <c r="ED219" s="122">
        <f>+IF(OR($W219="",EB219=0),"",ROUND((VLOOKUP(ROUNDDOWN($D219-1/frec,0),cob_adi,DO$40,FALSE)*(1+i/frec)^-0.5*(1+Parámetros!$D$103)*(1+rec_fracc)/frec),6))</f>
        <v>1.8E-5</v>
      </c>
      <c r="EE219" s="66">
        <f t="shared" si="284"/>
        <v>0.9</v>
      </c>
      <c r="EF219" s="68">
        <f t="shared" si="285"/>
        <v>1.8E-5</v>
      </c>
      <c r="EG219" s="66">
        <f>+IF($W219="","",ROUND(IF($B219&gt;Parámetros!$D$107,'Tablas Servicio'!EE219+('Tablas Servicio'!EG218-'Tablas Servicio'!EE218),EE219/(1-IF(B219&lt;=10,Parámetros!$D$100,0))),2))</f>
        <v>0.9</v>
      </c>
      <c r="EH219" s="66">
        <f t="shared" si="286"/>
        <v>0</v>
      </c>
      <c r="EI219" s="66">
        <f t="shared" si="286"/>
        <v>0</v>
      </c>
      <c r="EJ219" s="66">
        <f>+IF($W219="","",ROUND((EG219*Parámetros!$G$85),2))</f>
        <v>0.03</v>
      </c>
      <c r="EK219" s="66">
        <f>+IF($W219="","",ROUND((EG219*(Parámetros!$G$86)),2))</f>
        <v>0</v>
      </c>
      <c r="EL219" s="66">
        <f t="shared" si="287"/>
        <v>0.93</v>
      </c>
    </row>
    <row r="220" spans="1:142" x14ac:dyDescent="0.25">
      <c r="A220">
        <f>+IF($C220="","",ROUND(VLOOKUP('Tablas Servicio'!B220,Parámetros!$H$100:$J$159,IF(Parámetros!$E$16="F",2,3),FALSE),2))</f>
        <v>150</v>
      </c>
      <c r="B220">
        <f t="shared" si="238"/>
        <v>15</v>
      </c>
      <c r="C220" s="57">
        <f>+IF(D220="","",'Tablas Servicio'!C219+1)</f>
        <v>179</v>
      </c>
      <c r="D220" s="56">
        <f>+IF(D219&lt;edadmaxtabla,D219+1/Parámetros!$E$25,"")</f>
        <v>54.936666666667094</v>
      </c>
      <c r="E220" s="57">
        <f t="shared" si="248"/>
        <v>54</v>
      </c>
      <c r="F220" s="59">
        <f t="shared" si="249"/>
        <v>100000</v>
      </c>
      <c r="G220" s="66">
        <f t="shared" si="239"/>
        <v>43.5</v>
      </c>
      <c r="H220" s="66">
        <f t="shared" si="240"/>
        <v>45.23</v>
      </c>
      <c r="I220" s="66">
        <f t="shared" si="288"/>
        <v>48.77</v>
      </c>
      <c r="J220" s="66">
        <f t="shared" si="241"/>
        <v>1.52</v>
      </c>
      <c r="K220" s="66">
        <f t="shared" si="242"/>
        <v>0.21</v>
      </c>
      <c r="L220" s="66">
        <f t="shared" si="243"/>
        <v>0</v>
      </c>
      <c r="M220" s="66">
        <f t="shared" si="244"/>
        <v>0</v>
      </c>
      <c r="N220" s="66">
        <f>+IF(C220="","",ROUND(Parámetros!$D$23,2))</f>
        <v>94</v>
      </c>
      <c r="O220" s="66">
        <f t="shared" si="245"/>
        <v>31</v>
      </c>
      <c r="P220" s="66">
        <f>+IF($C220="","",ROUND(IF(B220&gt;Parámetros!$D$117,0,N220*Parámetros!$D$116-G220*Parámetros!$D$100),2))</f>
        <v>0</v>
      </c>
      <c r="Q220" s="75">
        <f t="shared" si="289"/>
        <v>3.4942528735632188E-2</v>
      </c>
      <c r="R220" s="75">
        <f t="shared" si="290"/>
        <v>4.8275862068965511E-3</v>
      </c>
      <c r="S220" s="117">
        <f>+IF($C220="","",ROUND((S219+I220)*(1+Parámetros!$D$91),2))</f>
        <v>12667.29</v>
      </c>
      <c r="T220" s="117">
        <f>+IF($C220="","",ROUND(S220*VLOOKUP(B220,Parámetros!$C$30:$D$39,2,TRUE),2))</f>
        <v>12667.29</v>
      </c>
      <c r="U220" s="117">
        <f>+IF($C220="","",ROUND((U219+I220)*(1+Parámetros!$D$92),2))</f>
        <v>13193.65</v>
      </c>
      <c r="V220" s="117">
        <f>+IF($C220="","",ROUND(U220*VLOOKUP(B220,Parámetros!$C$30:$D$39,2,TRUE),2))</f>
        <v>13193.65</v>
      </c>
      <c r="W220" s="57">
        <f t="shared" si="291"/>
        <v>179</v>
      </c>
      <c r="X220" t="str">
        <f t="shared" si="292"/>
        <v>00058</v>
      </c>
      <c r="Y220" t="str">
        <f t="shared" si="293"/>
        <v>MUERTE POR CUALQUIER CAUSA</v>
      </c>
      <c r="Z220" s="118">
        <f>+IF($W220="","",ROUND(IF(Parámetros!$D$25='TABLAS MORT'!$V$33,Z219,Parámetros!$D$21-'Tablas Servicio'!T219),0))</f>
        <v>100000</v>
      </c>
      <c r="AA220" s="118" t="str">
        <f t="shared" si="294"/>
        <v>P</v>
      </c>
      <c r="AB220" s="119">
        <f>+IF(W220="","",ROUND((VLOOKUP(ROUNDDOWN($D220-1/frec,0),qx_tabla,2,FALSE)*(1+i/frec)^-0.5*(1+Parámetros!$D$103)*(1+rec_fracc)/frec),6))</f>
        <v>3.01E-4</v>
      </c>
      <c r="AC220" s="66">
        <f t="shared" si="250"/>
        <v>30.1</v>
      </c>
      <c r="AD220" s="119">
        <f t="shared" si="246"/>
        <v>4.26E-4</v>
      </c>
      <c r="AE220" s="66">
        <f>+IF($W220="","",ROUND(IF($B220&gt;Parámetros!$D$107,'Tablas Servicio'!AC220+('Tablas Servicio'!AG219-'Tablas Servicio'!AC219),AC220/(1-IF(B220&lt;=10,Parámetros!$D$104,Parámetros!$D$105))),2))</f>
        <v>50.17</v>
      </c>
      <c r="AF220" s="66">
        <f>+IF($W220="","",ROUND(IF($B220&gt;Parámetros!$D$107,'Tablas Servicio'!AC220+('Tablas Servicio'!AG219-'Tablas Servicio'!AC219),(AC220+$A219/frec)/(1-IF(B220&lt;=Parámetros!$D$117,Parámetros!$D$100,0))),2))</f>
        <v>42.6</v>
      </c>
      <c r="AG220" s="66">
        <f t="shared" si="251"/>
        <v>42.6</v>
      </c>
      <c r="AH220" s="66">
        <f t="shared" si="252"/>
        <v>0</v>
      </c>
      <c r="AI220" s="66">
        <f t="shared" si="253"/>
        <v>0</v>
      </c>
      <c r="AJ220" s="66">
        <f>+IF($W220="","",ROUND((AG220*Parámetros!$G$85),2))</f>
        <v>1.49</v>
      </c>
      <c r="AK220" s="66">
        <f>+IF($W220="","",ROUND((AG220*(Parámetros!$G$86)),2))</f>
        <v>0.21</v>
      </c>
      <c r="AL220" s="66">
        <f t="shared" si="247"/>
        <v>44.3</v>
      </c>
      <c r="AM220" t="str">
        <f t="shared" si="295"/>
        <v>00059</v>
      </c>
      <c r="AN220" t="str">
        <f t="shared" si="296"/>
        <v>Incapacidad Total y Permanente</v>
      </c>
      <c r="AO220" s="118">
        <f t="shared" si="297"/>
        <v>0</v>
      </c>
      <c r="AP220" s="118" t="str">
        <f t="shared" si="298"/>
        <v>A</v>
      </c>
      <c r="AQ220" s="119" t="str">
        <f>+IF(OR($W220="",AO220=0),"",ROUND((VLOOKUP(ROUNDDOWN($D220-1/frec,0),cob_adi,Z$40,FALSE)*(1+i/frec)^-0.5*(1+Parámetros!$D$103)*(1+rec_fracc)/frec),6))</f>
        <v/>
      </c>
      <c r="AR220" s="66">
        <f t="shared" si="254"/>
        <v>0</v>
      </c>
      <c r="AS220" s="119" t="str">
        <f t="shared" si="255"/>
        <v/>
      </c>
      <c r="AT220" s="66">
        <f>+IF($W220="","",ROUND(IF($B220&gt;Parámetros!$D$107,'Tablas Servicio'!AR220+('Tablas Servicio'!AT219-'Tablas Servicio'!AR219),AR220/(1-IF(B220&lt;=10,Parámetros!$D$100,0))),2))</f>
        <v>0</v>
      </c>
      <c r="AU220" s="66">
        <f t="shared" si="256"/>
        <v>0</v>
      </c>
      <c r="AV220" s="66">
        <f t="shared" si="256"/>
        <v>0</v>
      </c>
      <c r="AW220" s="66">
        <f>+IF($W220="","",ROUND((AT220*Parámetros!$G$85),2))</f>
        <v>0</v>
      </c>
      <c r="AX220" s="66">
        <f>+IF($W220="","",ROUND((AT220*(Parámetros!$G$86)),2))</f>
        <v>0</v>
      </c>
      <c r="AY220" s="66">
        <f t="shared" si="257"/>
        <v>0</v>
      </c>
      <c r="AZ220" t="str">
        <f t="shared" si="299"/>
        <v>00060</v>
      </c>
      <c r="BA220" t="str">
        <f t="shared" si="300"/>
        <v>Muerte Accidental</v>
      </c>
      <c r="BB220" s="118">
        <f t="shared" si="301"/>
        <v>0</v>
      </c>
      <c r="BC220" s="118" t="str">
        <f t="shared" si="302"/>
        <v>A</v>
      </c>
      <c r="BD220" s="119" t="str">
        <f>+IF(OR($W220="",BB220=0),"",ROUND((VLOOKUP(ROUNDDOWN($D220-1/frec,0),cob_adi,AO$40,FALSE)*(1+i/frec)^-0.5*(1+Parámetros!$D$103)*(1+rec_fracc)/frec),6))</f>
        <v/>
      </c>
      <c r="BE220" s="66">
        <f t="shared" si="258"/>
        <v>0</v>
      </c>
      <c r="BF220" s="119" t="str">
        <f t="shared" si="259"/>
        <v/>
      </c>
      <c r="BG220" s="66">
        <f>+IF($W220="","",ROUND(IF($B220&gt;Parámetros!$D$107,'Tablas Servicio'!BE220+('Tablas Servicio'!BG219-'Tablas Servicio'!BE219),BE220/(1-IF(B220&lt;=10,Parámetros!$D$100,0))),2))</f>
        <v>0</v>
      </c>
      <c r="BH220" s="66">
        <f t="shared" si="260"/>
        <v>0</v>
      </c>
      <c r="BI220" s="66">
        <f t="shared" si="261"/>
        <v>0</v>
      </c>
      <c r="BJ220" s="66">
        <f>+IF($W220="","",ROUND((BG220*Parámetros!$G$85),2))</f>
        <v>0</v>
      </c>
      <c r="BK220" s="66">
        <f>+IF($W220="","",ROUND((BG220*(Parámetros!$G$86)),2))</f>
        <v>0</v>
      </c>
      <c r="BL220" s="66">
        <f t="shared" si="262"/>
        <v>0</v>
      </c>
      <c r="BM220" t="str">
        <f t="shared" si="303"/>
        <v>00061</v>
      </c>
      <c r="BN220" t="str">
        <f t="shared" si="304"/>
        <v>Gastos de Entierro</v>
      </c>
      <c r="BO220" s="118">
        <f t="shared" si="305"/>
        <v>0</v>
      </c>
      <c r="BP220" s="118" t="str">
        <f t="shared" si="306"/>
        <v>A</v>
      </c>
      <c r="BQ220" s="119" t="str">
        <f>+IF(OR($W220="",BO220=0),"",ROUND((VLOOKUP(ROUNDDOWN($D220-1/frec,0),cob_adi,BB$40,FALSE)*(1+i/frec)^-0.5*(1+Parámetros!$D$103)*(1+rec_fracc)/frec),6))</f>
        <v/>
      </c>
      <c r="BR220" s="66">
        <f t="shared" si="263"/>
        <v>0</v>
      </c>
      <c r="BS220" s="119" t="str">
        <f t="shared" si="264"/>
        <v/>
      </c>
      <c r="BT220" s="66">
        <f>+IF($W220="","",ROUND(IF($B220&gt;Parámetros!$D$107,'Tablas Servicio'!BR220+('Tablas Servicio'!BT219-'Tablas Servicio'!BR219),BR220/(1-IF(B220&lt;=10,Parámetros!$D$100,0))),2))</f>
        <v>0</v>
      </c>
      <c r="BU220" s="66">
        <f t="shared" si="265"/>
        <v>0</v>
      </c>
      <c r="BV220" s="66">
        <f t="shared" si="265"/>
        <v>0</v>
      </c>
      <c r="BW220" s="66">
        <f>+IF($W220="","",ROUND((BT220*Parámetros!$G$85),2))</f>
        <v>0</v>
      </c>
      <c r="BX220" s="66">
        <f>+IF($W220="","",ROUND((BT220*(Parámetros!$G$86)),2))</f>
        <v>0</v>
      </c>
      <c r="BY220" s="66">
        <f t="shared" si="266"/>
        <v>0</v>
      </c>
      <c r="BZ220" t="str">
        <f t="shared" si="307"/>
        <v>00062</v>
      </c>
      <c r="CA220" t="str">
        <f t="shared" si="308"/>
        <v>Gastos médicos por accidente</v>
      </c>
      <c r="CB220" s="118">
        <f t="shared" si="309"/>
        <v>0</v>
      </c>
      <c r="CC220" s="118" t="str">
        <f t="shared" si="310"/>
        <v>A</v>
      </c>
      <c r="CD220" s="119" t="str">
        <f t="shared" si="267"/>
        <v/>
      </c>
      <c r="CE220" s="66">
        <f>+IF($W220="","",ROUND((VLOOKUP(ROUNDDOWN($D220-1/frec,0),cob_adi,BO$40,FALSE)*(1+i/frec)^-0.5*(1+Parámetros!$D$103)*(1+rec_fracc)/frec*'TABLAS ADI'!$BC$17),2))</f>
        <v>0</v>
      </c>
      <c r="CF220" s="119" t="str">
        <f t="shared" si="268"/>
        <v/>
      </c>
      <c r="CG220" s="66">
        <f>+IF($W220="","",ROUND(IF($B220&gt;Parámetros!$D$107,'Tablas Servicio'!CE220+('Tablas Servicio'!CG219-'Tablas Servicio'!CE219),CE220/(1-IF(B220&lt;=10,Parámetros!$D$100,0))),2))</f>
        <v>0</v>
      </c>
      <c r="CH220" s="66">
        <f t="shared" si="269"/>
        <v>0</v>
      </c>
      <c r="CI220" s="66">
        <f t="shared" si="269"/>
        <v>0</v>
      </c>
      <c r="CJ220" s="66">
        <f>+IF($W220="","",ROUND((CG220*Parámetros!$G$85),2))</f>
        <v>0</v>
      </c>
      <c r="CK220" s="66">
        <f>+IF($W220="","",ROUND((CG220*(Parámetros!$G$86)),2))</f>
        <v>0</v>
      </c>
      <c r="CL220" s="66">
        <f t="shared" si="270"/>
        <v>0</v>
      </c>
      <c r="CM220" t="str">
        <f t="shared" si="311"/>
        <v>00063</v>
      </c>
      <c r="CN220" s="118" t="str">
        <f t="shared" si="312"/>
        <v>Renta Diaria por Hospitalización</v>
      </c>
      <c r="CO220" s="118">
        <f t="shared" si="313"/>
        <v>0</v>
      </c>
      <c r="CP220" s="118" t="str">
        <f t="shared" si="314"/>
        <v>A</v>
      </c>
      <c r="CQ220" s="119" t="str">
        <f t="shared" si="271"/>
        <v/>
      </c>
      <c r="CR220" s="66">
        <f>+IF($W220="","",ROUND((VLOOKUP(Parámetros!$F$51,'COBERTURAS ADICIONALES'!$S$4:$T$32,2,FALSE)*(1+i/frec)^-0.5*(1+Parámetros!$D$103)*(1+rec_fracc)/frec*$CO$42),2))</f>
        <v>0</v>
      </c>
      <c r="CS220" s="119" t="str">
        <f t="shared" si="272"/>
        <v/>
      </c>
      <c r="CT220" s="66">
        <f>+IF($W220="","",ROUND(IF($B220&gt;Parámetros!$D$107,'Tablas Servicio'!CR220+('Tablas Servicio'!CT219-'Tablas Servicio'!CR219),CR220/(1-IF(B220&lt;=10,Parámetros!$D$100,0))),2))</f>
        <v>0</v>
      </c>
      <c r="CU220" s="66">
        <f t="shared" si="273"/>
        <v>0</v>
      </c>
      <c r="CV220" s="66">
        <f t="shared" si="273"/>
        <v>0</v>
      </c>
      <c r="CW220" s="66">
        <f>+IF($W220="","",ROUND((CT220*Parámetros!$G$85),2))</f>
        <v>0</v>
      </c>
      <c r="CX220" s="66">
        <f>+IF($W220="","",ROUND((CT220*(Parámetros!$G$86)),2))</f>
        <v>0</v>
      </c>
      <c r="CY220" s="66">
        <f t="shared" si="274"/>
        <v>0</v>
      </c>
      <c r="CZ220" t="str">
        <f t="shared" si="315"/>
        <v>00064</v>
      </c>
      <c r="DA220" s="118" t="str">
        <f t="shared" si="316"/>
        <v>Enfermedades Graves</v>
      </c>
      <c r="DB220" s="118">
        <f t="shared" si="317"/>
        <v>0</v>
      </c>
      <c r="DC220" s="118" t="str">
        <f t="shared" si="318"/>
        <v>A</v>
      </c>
      <c r="DD220" s="121" t="str">
        <f>+IF(OR($W220="",DB220=0),"",ROUND((VLOOKUP(ROUNDDOWN($D220-1/frec,0),cob_adi,CO$40,FALSE)*(1+i/frec)^-0.5*(1+Parámetros!$D$103)*(1+rec_fracc)/frec),6))</f>
        <v/>
      </c>
      <c r="DE220" s="66">
        <f t="shared" si="275"/>
        <v>0</v>
      </c>
      <c r="DF220" s="119" t="str">
        <f t="shared" si="276"/>
        <v/>
      </c>
      <c r="DG220" s="66">
        <f>+IF($W220="","",ROUND(IF($B220&gt;Parámetros!$D$107,'Tablas Servicio'!DE220+('Tablas Servicio'!DG219-'Tablas Servicio'!DE219),DE220/(1-IF(B220&lt;=10,Parámetros!$D$100,0))),2))</f>
        <v>0</v>
      </c>
      <c r="DH220" s="66">
        <f t="shared" si="277"/>
        <v>0</v>
      </c>
      <c r="DI220" s="66">
        <f t="shared" si="277"/>
        <v>0</v>
      </c>
      <c r="DJ220" s="66">
        <f>+IF($W220="","",ROUND((DG220*Parámetros!$G$85),2))</f>
        <v>0</v>
      </c>
      <c r="DK220" s="66">
        <f>+IF($W220="","",ROUND((DG220*(Parámetros!$G$86)),2))</f>
        <v>0</v>
      </c>
      <c r="DL220" s="66">
        <f t="shared" si="278"/>
        <v>0</v>
      </c>
      <c r="DM220" t="str">
        <f t="shared" si="319"/>
        <v>00065</v>
      </c>
      <c r="DN220" s="118" t="str">
        <f t="shared" si="320"/>
        <v>Exención pago de primas</v>
      </c>
      <c r="DO220" s="118">
        <f t="shared" si="321"/>
        <v>0</v>
      </c>
      <c r="DP220" s="118" t="str">
        <f t="shared" si="322"/>
        <v>A</v>
      </c>
      <c r="DQ220" s="122" t="str">
        <f>+IF(OR($W220="",DO220=0),"",ROUND((VLOOKUP(ROUNDDOWN($D220-1/frec,0),cob_adi,DB$40,FALSE)*(1+i/frec)^-0.5*(1+Parámetros!$D$103)*(1+rec_fracc)/frec),6))</f>
        <v/>
      </c>
      <c r="DR220" s="66">
        <f t="shared" si="279"/>
        <v>0</v>
      </c>
      <c r="DS220" s="68" t="str">
        <f t="shared" si="280"/>
        <v/>
      </c>
      <c r="DT220" s="66">
        <f>+IF($W220="","",ROUND(IF($B220&gt;Parámetros!$D$107,'Tablas Servicio'!DR220+('Tablas Servicio'!DT219-'Tablas Servicio'!DR219),DR220/(1-IF(B220&lt;=10,Parámetros!$D$100,0))),2))</f>
        <v>0</v>
      </c>
      <c r="DU220" s="66">
        <f t="shared" si="281"/>
        <v>0</v>
      </c>
      <c r="DV220" s="66">
        <f t="shared" si="281"/>
        <v>0</v>
      </c>
      <c r="DW220" s="66">
        <f>+IF($W220="","",ROUND((DT220*Parámetros!$G$85),2))</f>
        <v>0</v>
      </c>
      <c r="DX220" s="66">
        <f>+IF($W220="","",ROUND((DT220*(Parámetros!$G$86)),2))</f>
        <v>0</v>
      </c>
      <c r="DY220" s="66">
        <f t="shared" si="282"/>
        <v>0</v>
      </c>
      <c r="DZ220" t="str">
        <f t="shared" si="325"/>
        <v>00066</v>
      </c>
      <c r="EA220" s="118" t="str">
        <f t="shared" si="325"/>
        <v>Enfermedad terminal</v>
      </c>
      <c r="EB220" s="118">
        <f>+IF($W220="","",ROUND(IF(Parámetros!$D$25='TABLAS MORT'!$V$33,EB219,Z220/2),0))</f>
        <v>50000</v>
      </c>
      <c r="EC220" s="118" t="str">
        <f t="shared" si="325"/>
        <v>A</v>
      </c>
      <c r="ED220" s="122">
        <f>+IF(OR($W220="",EB220=0),"",ROUND((VLOOKUP(ROUNDDOWN($D220-1/frec,0),cob_adi,DO$40,FALSE)*(1+i/frec)^-0.5*(1+Parámetros!$D$103)*(1+rec_fracc)/frec),6))</f>
        <v>1.8E-5</v>
      </c>
      <c r="EE220" s="66">
        <f t="shared" si="284"/>
        <v>0.9</v>
      </c>
      <c r="EF220" s="68">
        <f t="shared" si="285"/>
        <v>1.8E-5</v>
      </c>
      <c r="EG220" s="66">
        <f>+IF($W220="","",ROUND(IF($B220&gt;Parámetros!$D$107,'Tablas Servicio'!EE220+('Tablas Servicio'!EG219-'Tablas Servicio'!EE219),EE220/(1-IF(B220&lt;=10,Parámetros!$D$100,0))),2))</f>
        <v>0.9</v>
      </c>
      <c r="EH220" s="66">
        <f t="shared" si="286"/>
        <v>0</v>
      </c>
      <c r="EI220" s="66">
        <f t="shared" si="286"/>
        <v>0</v>
      </c>
      <c r="EJ220" s="66">
        <f>+IF($W220="","",ROUND((EG220*Parámetros!$G$85),2))</f>
        <v>0.03</v>
      </c>
      <c r="EK220" s="66">
        <f>+IF($W220="","",ROUND((EG220*(Parámetros!$G$86)),2))</f>
        <v>0</v>
      </c>
      <c r="EL220" s="66">
        <f t="shared" si="287"/>
        <v>0.93</v>
      </c>
    </row>
    <row r="221" spans="1:142" x14ac:dyDescent="0.25">
      <c r="A221">
        <f>+IF($C221="","",ROUND(VLOOKUP('Tablas Servicio'!B221,Parámetros!$H$100:$J$159,IF(Parámetros!$E$16="F",2,3),FALSE),2))</f>
        <v>150</v>
      </c>
      <c r="B221">
        <f t="shared" si="238"/>
        <v>15</v>
      </c>
      <c r="C221" s="57">
        <f>+IF(D221="","",'Tablas Servicio'!C220+1)</f>
        <v>180</v>
      </c>
      <c r="D221" s="56">
        <f>+IF(D220&lt;edadmaxtabla,D220+1/Parámetros!$E$25,"")</f>
        <v>55.020000000000429</v>
      </c>
      <c r="E221" s="57">
        <f t="shared" si="248"/>
        <v>55</v>
      </c>
      <c r="F221" s="59">
        <f t="shared" si="249"/>
        <v>100000</v>
      </c>
      <c r="G221" s="66">
        <f t="shared" si="239"/>
        <v>43.5</v>
      </c>
      <c r="H221" s="66">
        <f t="shared" si="240"/>
        <v>45.23</v>
      </c>
      <c r="I221" s="66">
        <f t="shared" si="288"/>
        <v>48.77</v>
      </c>
      <c r="J221" s="66">
        <f t="shared" si="241"/>
        <v>1.52</v>
      </c>
      <c r="K221" s="66">
        <f t="shared" si="242"/>
        <v>0.21</v>
      </c>
      <c r="L221" s="66">
        <f t="shared" si="243"/>
        <v>0</v>
      </c>
      <c r="M221" s="66">
        <f t="shared" si="244"/>
        <v>0</v>
      </c>
      <c r="N221" s="66">
        <f>+IF(C221="","",ROUND(Parámetros!$D$23,2))</f>
        <v>94</v>
      </c>
      <c r="O221" s="66">
        <f t="shared" si="245"/>
        <v>31</v>
      </c>
      <c r="P221" s="66">
        <f>+IF($C221="","",ROUND(IF(B221&gt;Parámetros!$D$117,0,N221*Parámetros!$D$116-G221*Parámetros!$D$100),2))</f>
        <v>0</v>
      </c>
      <c r="Q221" s="75">
        <f t="shared" si="289"/>
        <v>3.4942528735632188E-2</v>
      </c>
      <c r="R221" s="75">
        <f t="shared" si="290"/>
        <v>4.8275862068965511E-3</v>
      </c>
      <c r="S221" s="117">
        <f>+IF($C221="","",ROUND((S220+I221)*(1+Parámetros!$D$91),2))</f>
        <v>12752.13</v>
      </c>
      <c r="T221" s="117">
        <f>+IF($C221="","",ROUND(S221*VLOOKUP(B221,Parámetros!$C$30:$D$39,2,TRUE),2))</f>
        <v>12752.13</v>
      </c>
      <c r="U221" s="117">
        <f>+IF($C221="","",ROUND((U220+I221)*(1+Parámetros!$D$92),2))</f>
        <v>13285.35</v>
      </c>
      <c r="V221" s="117">
        <f>+IF($C221="","",ROUND(U221*VLOOKUP(B221,Parámetros!$C$30:$D$39,2,TRUE),2))</f>
        <v>13285.35</v>
      </c>
      <c r="W221" s="57">
        <f t="shared" si="291"/>
        <v>180</v>
      </c>
      <c r="X221" t="str">
        <f t="shared" si="292"/>
        <v>00058</v>
      </c>
      <c r="Y221" t="str">
        <f t="shared" si="293"/>
        <v>MUERTE POR CUALQUIER CAUSA</v>
      </c>
      <c r="Z221" s="118">
        <f>+IF($W221="","",ROUND(IF(Parámetros!$D$25='TABLAS MORT'!$V$33,Z220,Parámetros!$D$21-'Tablas Servicio'!T220),0))</f>
        <v>100000</v>
      </c>
      <c r="AA221" s="118" t="str">
        <f t="shared" si="294"/>
        <v>P</v>
      </c>
      <c r="AB221" s="119">
        <f>+IF(W221="","",ROUND((VLOOKUP(ROUNDDOWN($D221-1/frec,0),qx_tabla,2,FALSE)*(1+i/frec)^-0.5*(1+Parámetros!$D$103)*(1+rec_fracc)/frec),6))</f>
        <v>3.01E-4</v>
      </c>
      <c r="AC221" s="66">
        <f t="shared" si="250"/>
        <v>30.1</v>
      </c>
      <c r="AD221" s="119">
        <f t="shared" si="246"/>
        <v>4.26E-4</v>
      </c>
      <c r="AE221" s="66">
        <f>+IF($W221="","",ROUND(IF($B221&gt;Parámetros!$D$107,'Tablas Servicio'!AC221+('Tablas Servicio'!AG220-'Tablas Servicio'!AC220),AC221/(1-IF(B221&lt;=10,Parámetros!$D$104,Parámetros!$D$105))),2))</f>
        <v>50.17</v>
      </c>
      <c r="AF221" s="66">
        <f>+IF($W221="","",ROUND(IF($B221&gt;Parámetros!$D$107,'Tablas Servicio'!AC221+('Tablas Servicio'!AG220-'Tablas Servicio'!AC220),(AC221+$A220/frec)/(1-IF(B221&lt;=Parámetros!$D$117,Parámetros!$D$100,0))),2))</f>
        <v>42.6</v>
      </c>
      <c r="AG221" s="66">
        <f t="shared" si="251"/>
        <v>42.6</v>
      </c>
      <c r="AH221" s="66">
        <f t="shared" si="252"/>
        <v>0</v>
      </c>
      <c r="AI221" s="66">
        <f t="shared" si="253"/>
        <v>0</v>
      </c>
      <c r="AJ221" s="66">
        <f>+IF($W221="","",ROUND((AG221*Parámetros!$G$85),2))</f>
        <v>1.49</v>
      </c>
      <c r="AK221" s="66">
        <f>+IF($W221="","",ROUND((AG221*(Parámetros!$G$86)),2))</f>
        <v>0.21</v>
      </c>
      <c r="AL221" s="66">
        <f t="shared" si="247"/>
        <v>44.3</v>
      </c>
      <c r="AM221" t="str">
        <f t="shared" si="295"/>
        <v>00059</v>
      </c>
      <c r="AN221" t="str">
        <f t="shared" si="296"/>
        <v>Incapacidad Total y Permanente</v>
      </c>
      <c r="AO221" s="118">
        <f t="shared" si="297"/>
        <v>0</v>
      </c>
      <c r="AP221" s="118" t="str">
        <f t="shared" si="298"/>
        <v>A</v>
      </c>
      <c r="AQ221" s="119" t="str">
        <f>+IF(OR($W221="",AO221=0),"",ROUND((VLOOKUP(ROUNDDOWN($D221-1/frec,0),cob_adi,Z$40,FALSE)*(1+i/frec)^-0.5*(1+Parámetros!$D$103)*(1+rec_fracc)/frec),6))</f>
        <v/>
      </c>
      <c r="AR221" s="66">
        <f t="shared" si="254"/>
        <v>0</v>
      </c>
      <c r="AS221" s="119" t="str">
        <f t="shared" si="255"/>
        <v/>
      </c>
      <c r="AT221" s="66">
        <f>+IF($W221="","",ROUND(IF($B221&gt;Parámetros!$D$107,'Tablas Servicio'!AR221+('Tablas Servicio'!AT220-'Tablas Servicio'!AR220),AR221/(1-IF(B221&lt;=10,Parámetros!$D$100,0))),2))</f>
        <v>0</v>
      </c>
      <c r="AU221" s="66">
        <f t="shared" si="256"/>
        <v>0</v>
      </c>
      <c r="AV221" s="66">
        <f t="shared" si="256"/>
        <v>0</v>
      </c>
      <c r="AW221" s="66">
        <f>+IF($W221="","",ROUND((AT221*Parámetros!$G$85),2))</f>
        <v>0</v>
      </c>
      <c r="AX221" s="66">
        <f>+IF($W221="","",ROUND((AT221*(Parámetros!$G$86)),2))</f>
        <v>0</v>
      </c>
      <c r="AY221" s="66">
        <f t="shared" si="257"/>
        <v>0</v>
      </c>
      <c r="AZ221" t="str">
        <f t="shared" si="299"/>
        <v>00060</v>
      </c>
      <c r="BA221" t="str">
        <f t="shared" si="300"/>
        <v>Muerte Accidental</v>
      </c>
      <c r="BB221" s="118">
        <f t="shared" si="301"/>
        <v>0</v>
      </c>
      <c r="BC221" s="118" t="str">
        <f t="shared" si="302"/>
        <v>A</v>
      </c>
      <c r="BD221" s="119" t="str">
        <f>+IF(OR($W221="",BB221=0),"",ROUND((VLOOKUP(ROUNDDOWN($D221-1/frec,0),cob_adi,AO$40,FALSE)*(1+i/frec)^-0.5*(1+Parámetros!$D$103)*(1+rec_fracc)/frec),6))</f>
        <v/>
      </c>
      <c r="BE221" s="66">
        <f t="shared" si="258"/>
        <v>0</v>
      </c>
      <c r="BF221" s="119" t="str">
        <f t="shared" si="259"/>
        <v/>
      </c>
      <c r="BG221" s="66">
        <f>+IF($W221="","",ROUND(IF($B221&gt;Parámetros!$D$107,'Tablas Servicio'!BE221+('Tablas Servicio'!BG220-'Tablas Servicio'!BE220),BE221/(1-IF(B221&lt;=10,Parámetros!$D$100,0))),2))</f>
        <v>0</v>
      </c>
      <c r="BH221" s="66">
        <f t="shared" si="260"/>
        <v>0</v>
      </c>
      <c r="BI221" s="66">
        <f t="shared" si="261"/>
        <v>0</v>
      </c>
      <c r="BJ221" s="66">
        <f>+IF($W221="","",ROUND((BG221*Parámetros!$G$85),2))</f>
        <v>0</v>
      </c>
      <c r="BK221" s="66">
        <f>+IF($W221="","",ROUND((BG221*(Parámetros!$G$86)),2))</f>
        <v>0</v>
      </c>
      <c r="BL221" s="66">
        <f t="shared" si="262"/>
        <v>0</v>
      </c>
      <c r="BM221" t="str">
        <f t="shared" si="303"/>
        <v>00061</v>
      </c>
      <c r="BN221" t="str">
        <f t="shared" si="304"/>
        <v>Gastos de Entierro</v>
      </c>
      <c r="BO221" s="118">
        <f t="shared" si="305"/>
        <v>0</v>
      </c>
      <c r="BP221" s="118" t="str">
        <f t="shared" si="306"/>
        <v>A</v>
      </c>
      <c r="BQ221" s="119" t="str">
        <f>+IF(OR($W221="",BO221=0),"",ROUND((VLOOKUP(ROUNDDOWN($D221-1/frec,0),cob_adi,BB$40,FALSE)*(1+i/frec)^-0.5*(1+Parámetros!$D$103)*(1+rec_fracc)/frec),6))</f>
        <v/>
      </c>
      <c r="BR221" s="66">
        <f t="shared" si="263"/>
        <v>0</v>
      </c>
      <c r="BS221" s="119" t="str">
        <f t="shared" si="264"/>
        <v/>
      </c>
      <c r="BT221" s="66">
        <f>+IF($W221="","",ROUND(IF($B221&gt;Parámetros!$D$107,'Tablas Servicio'!BR221+('Tablas Servicio'!BT220-'Tablas Servicio'!BR220),BR221/(1-IF(B221&lt;=10,Parámetros!$D$100,0))),2))</f>
        <v>0</v>
      </c>
      <c r="BU221" s="66">
        <f t="shared" si="265"/>
        <v>0</v>
      </c>
      <c r="BV221" s="66">
        <f t="shared" si="265"/>
        <v>0</v>
      </c>
      <c r="BW221" s="66">
        <f>+IF($W221="","",ROUND((BT221*Parámetros!$G$85),2))</f>
        <v>0</v>
      </c>
      <c r="BX221" s="66">
        <f>+IF($W221="","",ROUND((BT221*(Parámetros!$G$86)),2))</f>
        <v>0</v>
      </c>
      <c r="BY221" s="66">
        <f t="shared" si="266"/>
        <v>0</v>
      </c>
      <c r="BZ221" t="str">
        <f t="shared" si="307"/>
        <v>00062</v>
      </c>
      <c r="CA221" t="str">
        <f t="shared" si="308"/>
        <v>Gastos médicos por accidente</v>
      </c>
      <c r="CB221" s="118">
        <f t="shared" si="309"/>
        <v>0</v>
      </c>
      <c r="CC221" s="118" t="str">
        <f t="shared" si="310"/>
        <v>A</v>
      </c>
      <c r="CD221" s="119" t="str">
        <f t="shared" si="267"/>
        <v/>
      </c>
      <c r="CE221" s="66">
        <f>+IF($W221="","",ROUND((VLOOKUP(ROUNDDOWN($D221-1/frec,0),cob_adi,BO$40,FALSE)*(1+i/frec)^-0.5*(1+Parámetros!$D$103)*(1+rec_fracc)/frec*'TABLAS ADI'!$BC$17),2))</f>
        <v>0</v>
      </c>
      <c r="CF221" s="119" t="str">
        <f t="shared" si="268"/>
        <v/>
      </c>
      <c r="CG221" s="66">
        <f>+IF($W221="","",ROUND(IF($B221&gt;Parámetros!$D$107,'Tablas Servicio'!CE221+('Tablas Servicio'!CG220-'Tablas Servicio'!CE220),CE221/(1-IF(B221&lt;=10,Parámetros!$D$100,0))),2))</f>
        <v>0</v>
      </c>
      <c r="CH221" s="66">
        <f t="shared" si="269"/>
        <v>0</v>
      </c>
      <c r="CI221" s="66">
        <f t="shared" si="269"/>
        <v>0</v>
      </c>
      <c r="CJ221" s="66">
        <f>+IF($W221="","",ROUND((CG221*Parámetros!$G$85),2))</f>
        <v>0</v>
      </c>
      <c r="CK221" s="66">
        <f>+IF($W221="","",ROUND((CG221*(Parámetros!$G$86)),2))</f>
        <v>0</v>
      </c>
      <c r="CL221" s="66">
        <f t="shared" si="270"/>
        <v>0</v>
      </c>
      <c r="CM221" t="str">
        <f t="shared" si="311"/>
        <v>00063</v>
      </c>
      <c r="CN221" s="118" t="str">
        <f t="shared" si="312"/>
        <v>Renta Diaria por Hospitalización</v>
      </c>
      <c r="CO221" s="118">
        <f t="shared" si="313"/>
        <v>0</v>
      </c>
      <c r="CP221" s="118" t="str">
        <f t="shared" si="314"/>
        <v>A</v>
      </c>
      <c r="CQ221" s="119" t="str">
        <f t="shared" si="271"/>
        <v/>
      </c>
      <c r="CR221" s="66">
        <f>+IF($W221="","",ROUND((VLOOKUP(Parámetros!$F$51,'COBERTURAS ADICIONALES'!$S$4:$T$32,2,FALSE)*(1+i/frec)^-0.5*(1+Parámetros!$D$103)*(1+rec_fracc)/frec*$CO$42),2))</f>
        <v>0</v>
      </c>
      <c r="CS221" s="119" t="str">
        <f t="shared" si="272"/>
        <v/>
      </c>
      <c r="CT221" s="66">
        <f>+IF($W221="","",ROUND(IF($B221&gt;Parámetros!$D$107,'Tablas Servicio'!CR221+('Tablas Servicio'!CT220-'Tablas Servicio'!CR220),CR221/(1-IF(B221&lt;=10,Parámetros!$D$100,0))),2))</f>
        <v>0</v>
      </c>
      <c r="CU221" s="66">
        <f t="shared" si="273"/>
        <v>0</v>
      </c>
      <c r="CV221" s="66">
        <f t="shared" si="273"/>
        <v>0</v>
      </c>
      <c r="CW221" s="66">
        <f>+IF($W221="","",ROUND((CT221*Parámetros!$G$85),2))</f>
        <v>0</v>
      </c>
      <c r="CX221" s="66">
        <f>+IF($W221="","",ROUND((CT221*(Parámetros!$G$86)),2))</f>
        <v>0</v>
      </c>
      <c r="CY221" s="66">
        <f t="shared" si="274"/>
        <v>0</v>
      </c>
      <c r="CZ221" t="str">
        <f t="shared" si="315"/>
        <v>00064</v>
      </c>
      <c r="DA221" s="118" t="str">
        <f t="shared" si="316"/>
        <v>Enfermedades Graves</v>
      </c>
      <c r="DB221" s="118">
        <f t="shared" si="317"/>
        <v>0</v>
      </c>
      <c r="DC221" s="118" t="str">
        <f t="shared" si="318"/>
        <v>A</v>
      </c>
      <c r="DD221" s="121" t="str">
        <f>+IF(OR($W221="",DB221=0),"",ROUND((VLOOKUP(ROUNDDOWN($D221-1/frec,0),cob_adi,CO$40,FALSE)*(1+i/frec)^-0.5*(1+Parámetros!$D$103)*(1+rec_fracc)/frec),6))</f>
        <v/>
      </c>
      <c r="DE221" s="66">
        <f t="shared" si="275"/>
        <v>0</v>
      </c>
      <c r="DF221" s="119" t="str">
        <f t="shared" si="276"/>
        <v/>
      </c>
      <c r="DG221" s="66">
        <f>+IF($W221="","",ROUND(IF($B221&gt;Parámetros!$D$107,'Tablas Servicio'!DE221+('Tablas Servicio'!DG220-'Tablas Servicio'!DE220),DE221/(1-IF(B221&lt;=10,Parámetros!$D$100,0))),2))</f>
        <v>0</v>
      </c>
      <c r="DH221" s="66">
        <f t="shared" si="277"/>
        <v>0</v>
      </c>
      <c r="DI221" s="66">
        <f t="shared" si="277"/>
        <v>0</v>
      </c>
      <c r="DJ221" s="66">
        <f>+IF($W221="","",ROUND((DG221*Parámetros!$G$85),2))</f>
        <v>0</v>
      </c>
      <c r="DK221" s="66">
        <f>+IF($W221="","",ROUND((DG221*(Parámetros!$G$86)),2))</f>
        <v>0</v>
      </c>
      <c r="DL221" s="66">
        <f t="shared" si="278"/>
        <v>0</v>
      </c>
      <c r="DM221" t="str">
        <f t="shared" si="319"/>
        <v>00065</v>
      </c>
      <c r="DN221" s="118" t="str">
        <f t="shared" si="320"/>
        <v>Exención pago de primas</v>
      </c>
      <c r="DO221" s="118">
        <f t="shared" si="321"/>
        <v>0</v>
      </c>
      <c r="DP221" s="118" t="str">
        <f t="shared" si="322"/>
        <v>A</v>
      </c>
      <c r="DQ221" s="122" t="str">
        <f>+IF(OR($W221="",DO221=0),"",ROUND((VLOOKUP(ROUNDDOWN($D221-1/frec,0),cob_adi,DB$40,FALSE)*(1+i/frec)^-0.5*(1+Parámetros!$D$103)*(1+rec_fracc)/frec),6))</f>
        <v/>
      </c>
      <c r="DR221" s="66">
        <f t="shared" si="279"/>
        <v>0</v>
      </c>
      <c r="DS221" s="68" t="str">
        <f t="shared" si="280"/>
        <v/>
      </c>
      <c r="DT221" s="66">
        <f>+IF($W221="","",ROUND(IF($B221&gt;Parámetros!$D$107,'Tablas Servicio'!DR221+('Tablas Servicio'!DT220-'Tablas Servicio'!DR220),DR221/(1-IF(B221&lt;=10,Parámetros!$D$100,0))),2))</f>
        <v>0</v>
      </c>
      <c r="DU221" s="66">
        <f t="shared" si="281"/>
        <v>0</v>
      </c>
      <c r="DV221" s="66">
        <f t="shared" si="281"/>
        <v>0</v>
      </c>
      <c r="DW221" s="66">
        <f>+IF($W221="","",ROUND((DT221*Parámetros!$G$85),2))</f>
        <v>0</v>
      </c>
      <c r="DX221" s="66">
        <f>+IF($W221="","",ROUND((DT221*(Parámetros!$G$86)),2))</f>
        <v>0</v>
      </c>
      <c r="DY221" s="66">
        <f t="shared" si="282"/>
        <v>0</v>
      </c>
      <c r="DZ221" t="str">
        <f t="shared" si="325"/>
        <v>00066</v>
      </c>
      <c r="EA221" s="118" t="str">
        <f t="shared" si="325"/>
        <v>Enfermedad terminal</v>
      </c>
      <c r="EB221" s="118">
        <f>+IF($W221="","",ROUND(IF(Parámetros!$D$25='TABLAS MORT'!$V$33,EB220,Z221/2),0))</f>
        <v>50000</v>
      </c>
      <c r="EC221" s="118" t="str">
        <f t="shared" si="325"/>
        <v>A</v>
      </c>
      <c r="ED221" s="122">
        <f>+IF(OR($W221="",EB221=0),"",ROUND((VLOOKUP(ROUNDDOWN($D221-1/frec,0),cob_adi,DO$40,FALSE)*(1+i/frec)^-0.5*(1+Parámetros!$D$103)*(1+rec_fracc)/frec),6))</f>
        <v>1.8E-5</v>
      </c>
      <c r="EE221" s="66">
        <f t="shared" si="284"/>
        <v>0.9</v>
      </c>
      <c r="EF221" s="68">
        <f t="shared" si="285"/>
        <v>1.8E-5</v>
      </c>
      <c r="EG221" s="66">
        <f>+IF($W221="","",ROUND(IF($B221&gt;Parámetros!$D$107,'Tablas Servicio'!EE221+('Tablas Servicio'!EG220-'Tablas Servicio'!EE220),EE221/(1-IF(B221&lt;=10,Parámetros!$D$100,0))),2))</f>
        <v>0.9</v>
      </c>
      <c r="EH221" s="66">
        <f t="shared" si="286"/>
        <v>0</v>
      </c>
      <c r="EI221" s="66">
        <f t="shared" si="286"/>
        <v>0</v>
      </c>
      <c r="EJ221" s="66">
        <f>+IF($W221="","",ROUND((EG221*Parámetros!$G$85),2))</f>
        <v>0.03</v>
      </c>
      <c r="EK221" s="66">
        <f>+IF($W221="","",ROUND((EG221*(Parámetros!$G$86)),2))</f>
        <v>0</v>
      </c>
      <c r="EL221" s="66">
        <f t="shared" si="287"/>
        <v>0.93</v>
      </c>
    </row>
    <row r="222" spans="1:142" x14ac:dyDescent="0.25">
      <c r="A222">
        <f>+IF($C222="","",ROUND(VLOOKUP('Tablas Servicio'!B222,Parámetros!$H$100:$J$159,IF(Parámetros!$E$16="F",2,3),FALSE),2))</f>
        <v>150</v>
      </c>
      <c r="B222">
        <f t="shared" si="238"/>
        <v>16</v>
      </c>
      <c r="C222" s="57">
        <f>+IF(D222="","",'Tablas Servicio'!C221+1)</f>
        <v>181</v>
      </c>
      <c r="D222" s="56">
        <f>+IF(D221&lt;edadmaxtabla,D221+1/Parámetros!$E$25,"")</f>
        <v>55.103333333333765</v>
      </c>
      <c r="E222" s="57">
        <f t="shared" si="248"/>
        <v>55</v>
      </c>
      <c r="F222" s="59">
        <f t="shared" si="249"/>
        <v>100000</v>
      </c>
      <c r="G222" s="66">
        <f t="shared" si="239"/>
        <v>46.25</v>
      </c>
      <c r="H222" s="66">
        <f t="shared" si="240"/>
        <v>48.099999999999994</v>
      </c>
      <c r="I222" s="66">
        <f t="shared" si="288"/>
        <v>45.900000000000006</v>
      </c>
      <c r="J222" s="66">
        <f t="shared" si="241"/>
        <v>1.62</v>
      </c>
      <c r="K222" s="66">
        <f t="shared" si="242"/>
        <v>0.23</v>
      </c>
      <c r="L222" s="66">
        <f t="shared" si="243"/>
        <v>0</v>
      </c>
      <c r="M222" s="66">
        <f t="shared" si="244"/>
        <v>0</v>
      </c>
      <c r="N222" s="66">
        <f>+IF(C222="","",ROUND(Parámetros!$D$23,2))</f>
        <v>94</v>
      </c>
      <c r="O222" s="66">
        <f t="shared" si="245"/>
        <v>33.75</v>
      </c>
      <c r="P222" s="66">
        <f>+IF($C222="","",ROUND(IF(B222&gt;Parámetros!$D$117,0,N222*Parámetros!$D$116-G222*Parámetros!$D$100),2))</f>
        <v>0</v>
      </c>
      <c r="Q222" s="75">
        <f t="shared" si="289"/>
        <v>3.5027027027027029E-2</v>
      </c>
      <c r="R222" s="75">
        <f t="shared" si="290"/>
        <v>4.972972972972973E-3</v>
      </c>
      <c r="S222" s="117">
        <f>+IF($C222="","",ROUND((S221+I222)*(1+Parámetros!$D$91),2))</f>
        <v>12834.33</v>
      </c>
      <c r="T222" s="117">
        <f>+IF($C222="","",ROUND(S222*VLOOKUP(B222,Parámetros!$C$30:$D$39,2,TRUE),2))</f>
        <v>12834.33</v>
      </c>
      <c r="U222" s="117">
        <f>+IF($C222="","",ROUND((U221+I222)*(1+Parámetros!$D$92),2))</f>
        <v>13374.47</v>
      </c>
      <c r="V222" s="117">
        <f>+IF($C222="","",ROUND(U222*VLOOKUP(B222,Parámetros!$C$30:$D$39,2,TRUE),2))</f>
        <v>13374.47</v>
      </c>
      <c r="W222" s="57">
        <f t="shared" si="291"/>
        <v>181</v>
      </c>
      <c r="X222" t="str">
        <f t="shared" si="292"/>
        <v>00058</v>
      </c>
      <c r="Y222" t="str">
        <f t="shared" si="293"/>
        <v>MUERTE POR CUALQUIER CAUSA</v>
      </c>
      <c r="Z222" s="118">
        <f>+IF($W222="","",ROUND(IF(Parámetros!$D$25='TABLAS MORT'!$V$33,Z221,Parámetros!$D$21-'Tablas Servicio'!T221),0))</f>
        <v>100000</v>
      </c>
      <c r="AA222" s="118" t="str">
        <f t="shared" si="294"/>
        <v>P</v>
      </c>
      <c r="AB222" s="119">
        <f>+IF(W222="","",ROUND((VLOOKUP(ROUNDDOWN($D222-1/frec,0),qx_tabla,2,FALSE)*(1+i/frec)^-0.5*(1+Parámetros!$D$103)*(1+rec_fracc)/frec),6))</f>
        <v>3.2400000000000001E-4</v>
      </c>
      <c r="AC222" s="66">
        <f t="shared" si="250"/>
        <v>32.4</v>
      </c>
      <c r="AD222" s="119">
        <f t="shared" si="246"/>
        <v>4.4900000000000002E-4</v>
      </c>
      <c r="AE222" s="66">
        <f>+IF($W222="","",ROUND(IF($B222&gt;Parámetros!$D$107,'Tablas Servicio'!AC222+('Tablas Servicio'!AG221-'Tablas Servicio'!AC221),AC222/(1-IF(B222&lt;=10,Parámetros!$D$104,Parámetros!$D$105))),2))</f>
        <v>54</v>
      </c>
      <c r="AF222" s="66">
        <f>+IF($W222="","",ROUND(IF($B222&gt;Parámetros!$D$107,'Tablas Servicio'!AC222+('Tablas Servicio'!AG221-'Tablas Servicio'!AC221),(AC222+$A221/frec)/(1-IF(B222&lt;=Parámetros!$D$117,Parámetros!$D$100,0))),2))</f>
        <v>44.9</v>
      </c>
      <c r="AG222" s="66">
        <f t="shared" si="251"/>
        <v>44.9</v>
      </c>
      <c r="AH222" s="66">
        <f t="shared" si="252"/>
        <v>0</v>
      </c>
      <c r="AI222" s="66">
        <f t="shared" si="253"/>
        <v>0</v>
      </c>
      <c r="AJ222" s="66">
        <f>+IF($W222="","",ROUND((AG222*Parámetros!$G$85),2))</f>
        <v>1.57</v>
      </c>
      <c r="AK222" s="66">
        <f>+IF($W222="","",ROUND((AG222*(Parámetros!$G$86)),2))</f>
        <v>0.22</v>
      </c>
      <c r="AL222" s="66">
        <f t="shared" si="247"/>
        <v>46.69</v>
      </c>
      <c r="AM222" t="str">
        <f t="shared" si="295"/>
        <v>00059</v>
      </c>
      <c r="AN222" t="str">
        <f t="shared" si="296"/>
        <v>Incapacidad Total y Permanente</v>
      </c>
      <c r="AO222" s="118">
        <f t="shared" si="297"/>
        <v>0</v>
      </c>
      <c r="AP222" s="118" t="str">
        <f t="shared" si="298"/>
        <v>A</v>
      </c>
      <c r="AQ222" s="119" t="str">
        <f>+IF(OR($W222="",AO222=0),"",ROUND((VLOOKUP(ROUNDDOWN($D222-1/frec,0),cob_adi,Z$40,FALSE)*(1+i/frec)^-0.5*(1+Parámetros!$D$103)*(1+rec_fracc)/frec),6))</f>
        <v/>
      </c>
      <c r="AR222" s="66">
        <f t="shared" si="254"/>
        <v>0</v>
      </c>
      <c r="AS222" s="119" t="str">
        <f t="shared" si="255"/>
        <v/>
      </c>
      <c r="AT222" s="66">
        <f>+IF($W222="","",ROUND(IF($B222&gt;Parámetros!$D$107,'Tablas Servicio'!AR222+('Tablas Servicio'!AT221-'Tablas Servicio'!AR221),AR222/(1-IF(B222&lt;=10,Parámetros!$D$100,0))),2))</f>
        <v>0</v>
      </c>
      <c r="AU222" s="66">
        <f t="shared" si="256"/>
        <v>0</v>
      </c>
      <c r="AV222" s="66">
        <f t="shared" si="256"/>
        <v>0</v>
      </c>
      <c r="AW222" s="66">
        <f>+IF($W222="","",ROUND((AT222*Parámetros!$G$85),2))</f>
        <v>0</v>
      </c>
      <c r="AX222" s="66">
        <f>+IF($W222="","",ROUND((AT222*(Parámetros!$G$86)),2))</f>
        <v>0</v>
      </c>
      <c r="AY222" s="66">
        <f t="shared" si="257"/>
        <v>0</v>
      </c>
      <c r="AZ222" t="str">
        <f t="shared" si="299"/>
        <v>00060</v>
      </c>
      <c r="BA222" t="str">
        <f t="shared" si="300"/>
        <v>Muerte Accidental</v>
      </c>
      <c r="BB222" s="118">
        <f t="shared" si="301"/>
        <v>0</v>
      </c>
      <c r="BC222" s="118" t="str">
        <f t="shared" si="302"/>
        <v>A</v>
      </c>
      <c r="BD222" s="119" t="str">
        <f>+IF(OR($W222="",BB222=0),"",ROUND((VLOOKUP(ROUNDDOWN($D222-1/frec,0),cob_adi,AO$40,FALSE)*(1+i/frec)^-0.5*(1+Parámetros!$D$103)*(1+rec_fracc)/frec),6))</f>
        <v/>
      </c>
      <c r="BE222" s="66">
        <f t="shared" si="258"/>
        <v>0</v>
      </c>
      <c r="BF222" s="119" t="str">
        <f t="shared" si="259"/>
        <v/>
      </c>
      <c r="BG222" s="66">
        <f>+IF($W222="","",ROUND(IF($B222&gt;Parámetros!$D$107,'Tablas Servicio'!BE222+('Tablas Servicio'!BG221-'Tablas Servicio'!BE221),BE222/(1-IF(B222&lt;=10,Parámetros!$D$100,0))),2))</f>
        <v>0</v>
      </c>
      <c r="BH222" s="66">
        <f t="shared" si="260"/>
        <v>0</v>
      </c>
      <c r="BI222" s="66">
        <f t="shared" si="261"/>
        <v>0</v>
      </c>
      <c r="BJ222" s="66">
        <f>+IF($W222="","",ROUND((BG222*Parámetros!$G$85),2))</f>
        <v>0</v>
      </c>
      <c r="BK222" s="66">
        <f>+IF($W222="","",ROUND((BG222*(Parámetros!$G$86)),2))</f>
        <v>0</v>
      </c>
      <c r="BL222" s="66">
        <f t="shared" si="262"/>
        <v>0</v>
      </c>
      <c r="BM222" t="str">
        <f t="shared" si="303"/>
        <v>00061</v>
      </c>
      <c r="BN222" t="str">
        <f t="shared" si="304"/>
        <v>Gastos de Entierro</v>
      </c>
      <c r="BO222" s="118">
        <f t="shared" si="305"/>
        <v>0</v>
      </c>
      <c r="BP222" s="118" t="str">
        <f t="shared" si="306"/>
        <v>A</v>
      </c>
      <c r="BQ222" s="119" t="str">
        <f>+IF(OR($W222="",BO222=0),"",ROUND((VLOOKUP(ROUNDDOWN($D222-1/frec,0),cob_adi,BB$40,FALSE)*(1+i/frec)^-0.5*(1+Parámetros!$D$103)*(1+rec_fracc)/frec),6))</f>
        <v/>
      </c>
      <c r="BR222" s="66">
        <f t="shared" si="263"/>
        <v>0</v>
      </c>
      <c r="BS222" s="119" t="str">
        <f t="shared" si="264"/>
        <v/>
      </c>
      <c r="BT222" s="66">
        <f>+IF($W222="","",ROUND(IF($B222&gt;Parámetros!$D$107,'Tablas Servicio'!BR222+('Tablas Servicio'!BT221-'Tablas Servicio'!BR221),BR222/(1-IF(B222&lt;=10,Parámetros!$D$100,0))),2))</f>
        <v>0</v>
      </c>
      <c r="BU222" s="66">
        <f t="shared" si="265"/>
        <v>0</v>
      </c>
      <c r="BV222" s="66">
        <f t="shared" si="265"/>
        <v>0</v>
      </c>
      <c r="BW222" s="66">
        <f>+IF($W222="","",ROUND((BT222*Parámetros!$G$85),2))</f>
        <v>0</v>
      </c>
      <c r="BX222" s="66">
        <f>+IF($W222="","",ROUND((BT222*(Parámetros!$G$86)),2))</f>
        <v>0</v>
      </c>
      <c r="BY222" s="66">
        <f t="shared" si="266"/>
        <v>0</v>
      </c>
      <c r="BZ222" t="str">
        <f t="shared" si="307"/>
        <v>00062</v>
      </c>
      <c r="CA222" t="str">
        <f t="shared" si="308"/>
        <v>Gastos médicos por accidente</v>
      </c>
      <c r="CB222" s="118">
        <f t="shared" si="309"/>
        <v>0</v>
      </c>
      <c r="CC222" s="118" t="str">
        <f t="shared" si="310"/>
        <v>A</v>
      </c>
      <c r="CD222" s="119" t="str">
        <f t="shared" si="267"/>
        <v/>
      </c>
      <c r="CE222" s="66">
        <f>+IF($W222="","",ROUND((VLOOKUP(ROUNDDOWN($D222-1/frec,0),cob_adi,BO$40,FALSE)*(1+i/frec)^-0.5*(1+Parámetros!$D$103)*(1+rec_fracc)/frec*'TABLAS ADI'!$BC$17),2))</f>
        <v>0</v>
      </c>
      <c r="CF222" s="119" t="str">
        <f t="shared" si="268"/>
        <v/>
      </c>
      <c r="CG222" s="66">
        <f>+IF($W222="","",ROUND(IF($B222&gt;Parámetros!$D$107,'Tablas Servicio'!CE222+('Tablas Servicio'!CG221-'Tablas Servicio'!CE221),CE222/(1-IF(B222&lt;=10,Parámetros!$D$100,0))),2))</f>
        <v>0</v>
      </c>
      <c r="CH222" s="66">
        <f t="shared" si="269"/>
        <v>0</v>
      </c>
      <c r="CI222" s="66">
        <f t="shared" si="269"/>
        <v>0</v>
      </c>
      <c r="CJ222" s="66">
        <f>+IF($W222="","",ROUND((CG222*Parámetros!$G$85),2))</f>
        <v>0</v>
      </c>
      <c r="CK222" s="66">
        <f>+IF($W222="","",ROUND((CG222*(Parámetros!$G$86)),2))</f>
        <v>0</v>
      </c>
      <c r="CL222" s="66">
        <f t="shared" si="270"/>
        <v>0</v>
      </c>
      <c r="CM222" t="str">
        <f t="shared" si="311"/>
        <v>00063</v>
      </c>
      <c r="CN222" s="118" t="str">
        <f t="shared" si="312"/>
        <v>Renta Diaria por Hospitalización</v>
      </c>
      <c r="CO222" s="118">
        <f t="shared" si="313"/>
        <v>0</v>
      </c>
      <c r="CP222" s="118" t="str">
        <f t="shared" si="314"/>
        <v>A</v>
      </c>
      <c r="CQ222" s="119" t="str">
        <f t="shared" si="271"/>
        <v/>
      </c>
      <c r="CR222" s="66">
        <f>+IF($W222="","",ROUND((VLOOKUP(Parámetros!$F$51,'COBERTURAS ADICIONALES'!$S$4:$T$32,2,FALSE)*(1+i/frec)^-0.5*(1+Parámetros!$D$103)*(1+rec_fracc)/frec*$CO$42),2))</f>
        <v>0</v>
      </c>
      <c r="CS222" s="119" t="str">
        <f t="shared" si="272"/>
        <v/>
      </c>
      <c r="CT222" s="66">
        <f>+IF($W222="","",ROUND(IF($B222&gt;Parámetros!$D$107,'Tablas Servicio'!CR222+('Tablas Servicio'!CT221-'Tablas Servicio'!CR221),CR222/(1-IF(B222&lt;=10,Parámetros!$D$100,0))),2))</f>
        <v>0</v>
      </c>
      <c r="CU222" s="66">
        <f t="shared" si="273"/>
        <v>0</v>
      </c>
      <c r="CV222" s="66">
        <f t="shared" si="273"/>
        <v>0</v>
      </c>
      <c r="CW222" s="66">
        <f>+IF($W222="","",ROUND((CT222*Parámetros!$G$85),2))</f>
        <v>0</v>
      </c>
      <c r="CX222" s="66">
        <f>+IF($W222="","",ROUND((CT222*(Parámetros!$G$86)),2))</f>
        <v>0</v>
      </c>
      <c r="CY222" s="66">
        <f t="shared" si="274"/>
        <v>0</v>
      </c>
      <c r="CZ222" t="str">
        <f t="shared" si="315"/>
        <v>00064</v>
      </c>
      <c r="DA222" s="118" t="str">
        <f t="shared" si="316"/>
        <v>Enfermedades Graves</v>
      </c>
      <c r="DB222" s="118">
        <f t="shared" si="317"/>
        <v>0</v>
      </c>
      <c r="DC222" s="118" t="str">
        <f t="shared" si="318"/>
        <v>A</v>
      </c>
      <c r="DD222" s="121" t="str">
        <f>+IF(OR($W222="",DB222=0),"",ROUND((VLOOKUP(ROUNDDOWN($D222-1/frec,0),cob_adi,CO$40,FALSE)*(1+i/frec)^-0.5*(1+Parámetros!$D$103)*(1+rec_fracc)/frec),6))</f>
        <v/>
      </c>
      <c r="DE222" s="66">
        <f t="shared" si="275"/>
        <v>0</v>
      </c>
      <c r="DF222" s="119" t="str">
        <f t="shared" si="276"/>
        <v/>
      </c>
      <c r="DG222" s="66">
        <f>+IF($W222="","",ROUND(IF($B222&gt;Parámetros!$D$107,'Tablas Servicio'!DE222+('Tablas Servicio'!DG221-'Tablas Servicio'!DE221),DE222/(1-IF(B222&lt;=10,Parámetros!$D$100,0))),2))</f>
        <v>0</v>
      </c>
      <c r="DH222" s="66">
        <f t="shared" si="277"/>
        <v>0</v>
      </c>
      <c r="DI222" s="66">
        <f t="shared" si="277"/>
        <v>0</v>
      </c>
      <c r="DJ222" s="66">
        <f>+IF($W222="","",ROUND((DG222*Parámetros!$G$85),2))</f>
        <v>0</v>
      </c>
      <c r="DK222" s="66">
        <f>+IF($W222="","",ROUND((DG222*(Parámetros!$G$86)),2))</f>
        <v>0</v>
      </c>
      <c r="DL222" s="66">
        <f t="shared" si="278"/>
        <v>0</v>
      </c>
      <c r="DM222" t="str">
        <f t="shared" si="319"/>
        <v>00065</v>
      </c>
      <c r="DN222" s="118" t="str">
        <f t="shared" si="320"/>
        <v>Exención pago de primas</v>
      </c>
      <c r="DO222" s="118">
        <f t="shared" si="321"/>
        <v>0</v>
      </c>
      <c r="DP222" s="118" t="str">
        <f t="shared" si="322"/>
        <v>A</v>
      </c>
      <c r="DQ222" s="122" t="str">
        <f>+IF(OR($W222="",DO222=0),"",ROUND((VLOOKUP(ROUNDDOWN($D222-1/frec,0),cob_adi,DB$40,FALSE)*(1+i/frec)^-0.5*(1+Parámetros!$D$103)*(1+rec_fracc)/frec),6))</f>
        <v/>
      </c>
      <c r="DR222" s="66">
        <f t="shared" si="279"/>
        <v>0</v>
      </c>
      <c r="DS222" s="68" t="str">
        <f t="shared" si="280"/>
        <v/>
      </c>
      <c r="DT222" s="66">
        <f>+IF($W222="","",ROUND(IF($B222&gt;Parámetros!$D$107,'Tablas Servicio'!DR222+('Tablas Servicio'!DT221-'Tablas Servicio'!DR221),DR222/(1-IF(B222&lt;=10,Parámetros!$D$100,0))),2))</f>
        <v>0</v>
      </c>
      <c r="DU222" s="66">
        <f t="shared" si="281"/>
        <v>0</v>
      </c>
      <c r="DV222" s="66">
        <f t="shared" si="281"/>
        <v>0</v>
      </c>
      <c r="DW222" s="66">
        <f>+IF($W222="","",ROUND((DT222*Parámetros!$G$85),2))</f>
        <v>0</v>
      </c>
      <c r="DX222" s="66">
        <f>+IF($W222="","",ROUND((DT222*(Parámetros!$G$86)),2))</f>
        <v>0</v>
      </c>
      <c r="DY222" s="66">
        <f t="shared" si="282"/>
        <v>0</v>
      </c>
      <c r="DZ222" t="str">
        <f t="shared" si="325"/>
        <v>00066</v>
      </c>
      <c r="EA222" s="118" t="str">
        <f t="shared" si="325"/>
        <v>Enfermedad terminal</v>
      </c>
      <c r="EB222" s="118">
        <f>+IF($W222="","",ROUND(IF(Parámetros!$D$25='TABLAS MORT'!$V$33,EB221,Z222/2),0))</f>
        <v>50000</v>
      </c>
      <c r="EC222" s="118" t="str">
        <f t="shared" si="325"/>
        <v>A</v>
      </c>
      <c r="ED222" s="122">
        <f>+IF(OR($W222="",EB222=0),"",ROUND((VLOOKUP(ROUNDDOWN($D222-1/frec,0),cob_adi,DO$40,FALSE)*(1+i/frec)^-0.5*(1+Parámetros!$D$103)*(1+rec_fracc)/frec),6))</f>
        <v>2.6999999999999999E-5</v>
      </c>
      <c r="EE222" s="66">
        <f t="shared" si="284"/>
        <v>1.35</v>
      </c>
      <c r="EF222" s="68">
        <f t="shared" si="285"/>
        <v>2.6999999999999999E-5</v>
      </c>
      <c r="EG222" s="66">
        <f>+IF($W222="","",ROUND(IF($B222&gt;Parámetros!$D$107,'Tablas Servicio'!EE222+('Tablas Servicio'!EG221-'Tablas Servicio'!EE221),EE222/(1-IF(B222&lt;=10,Parámetros!$D$100,0))),2))</f>
        <v>1.35</v>
      </c>
      <c r="EH222" s="66">
        <f t="shared" si="286"/>
        <v>0</v>
      </c>
      <c r="EI222" s="66">
        <f t="shared" si="286"/>
        <v>0</v>
      </c>
      <c r="EJ222" s="66">
        <f>+IF($W222="","",ROUND((EG222*Parámetros!$G$85),2))</f>
        <v>0.05</v>
      </c>
      <c r="EK222" s="66">
        <f>+IF($W222="","",ROUND((EG222*(Parámetros!$G$86)),2))</f>
        <v>0.01</v>
      </c>
      <c r="EL222" s="66">
        <f t="shared" si="287"/>
        <v>1.41</v>
      </c>
    </row>
    <row r="223" spans="1:142" x14ac:dyDescent="0.25">
      <c r="A223">
        <f>+IF($C223="","",ROUND(VLOOKUP('Tablas Servicio'!B223,Parámetros!$H$100:$J$159,IF(Parámetros!$E$16="F",2,3),FALSE),2))</f>
        <v>150</v>
      </c>
      <c r="B223">
        <f t="shared" si="238"/>
        <v>16</v>
      </c>
      <c r="C223" s="57">
        <f>+IF(D223="","",'Tablas Servicio'!C222+1)</f>
        <v>182</v>
      </c>
      <c r="D223" s="56">
        <f>+IF(D222&lt;edadmaxtabla,D222+1/Parámetros!$E$25,"")</f>
        <v>55.186666666667101</v>
      </c>
      <c r="E223" s="57">
        <f t="shared" si="248"/>
        <v>55</v>
      </c>
      <c r="F223" s="59">
        <f t="shared" si="249"/>
        <v>100000</v>
      </c>
      <c r="G223" s="66">
        <f t="shared" si="239"/>
        <v>46.25</v>
      </c>
      <c r="H223" s="66">
        <f t="shared" si="240"/>
        <v>48.099999999999994</v>
      </c>
      <c r="I223" s="66">
        <f t="shared" si="288"/>
        <v>45.900000000000006</v>
      </c>
      <c r="J223" s="66">
        <f t="shared" si="241"/>
        <v>1.62</v>
      </c>
      <c r="K223" s="66">
        <f t="shared" si="242"/>
        <v>0.23</v>
      </c>
      <c r="L223" s="66">
        <f t="shared" si="243"/>
        <v>0</v>
      </c>
      <c r="M223" s="66">
        <f t="shared" si="244"/>
        <v>0</v>
      </c>
      <c r="N223" s="66">
        <f>+IF(C223="","",ROUND(Parámetros!$D$23,2))</f>
        <v>94</v>
      </c>
      <c r="O223" s="66">
        <f t="shared" si="245"/>
        <v>33.75</v>
      </c>
      <c r="P223" s="66">
        <f>+IF($C223="","",ROUND(IF(B223&gt;Parámetros!$D$117,0,N223*Parámetros!$D$116-G223*Parámetros!$D$100),2))</f>
        <v>0</v>
      </c>
      <c r="Q223" s="75">
        <f t="shared" si="289"/>
        <v>3.5027027027027029E-2</v>
      </c>
      <c r="R223" s="75">
        <f t="shared" si="290"/>
        <v>4.972972972972973E-3</v>
      </c>
      <c r="S223" s="117">
        <f>+IF($C223="","",ROUND((S222+I223)*(1+Parámetros!$D$91),2))</f>
        <v>12916.76</v>
      </c>
      <c r="T223" s="117">
        <f>+IF($C223="","",ROUND(S223*VLOOKUP(B223,Parámetros!$C$30:$D$39,2,TRUE),2))</f>
        <v>12916.76</v>
      </c>
      <c r="U223" s="117">
        <f>+IF($C223="","",ROUND((U222+I223)*(1+Parámetros!$D$92),2))</f>
        <v>13463.87</v>
      </c>
      <c r="V223" s="117">
        <f>+IF($C223="","",ROUND(U223*VLOOKUP(B223,Parámetros!$C$30:$D$39,2,TRUE),2))</f>
        <v>13463.87</v>
      </c>
      <c r="W223" s="57">
        <f t="shared" si="291"/>
        <v>182</v>
      </c>
      <c r="X223" t="str">
        <f t="shared" si="292"/>
        <v>00058</v>
      </c>
      <c r="Y223" t="str">
        <f t="shared" si="293"/>
        <v>MUERTE POR CUALQUIER CAUSA</v>
      </c>
      <c r="Z223" s="118">
        <f>+IF($W223="","",ROUND(IF(Parámetros!$D$25='TABLAS MORT'!$V$33,Z222,Parámetros!$D$21-'Tablas Servicio'!T222),0))</f>
        <v>100000</v>
      </c>
      <c r="AA223" s="118" t="str">
        <f t="shared" si="294"/>
        <v>P</v>
      </c>
      <c r="AB223" s="119">
        <f>+IF(W223="","",ROUND((VLOOKUP(ROUNDDOWN($D223-1/frec,0),qx_tabla,2,FALSE)*(1+i/frec)^-0.5*(1+Parámetros!$D$103)*(1+rec_fracc)/frec),6))</f>
        <v>3.2400000000000001E-4</v>
      </c>
      <c r="AC223" s="66">
        <f t="shared" si="250"/>
        <v>32.4</v>
      </c>
      <c r="AD223" s="119">
        <f t="shared" si="246"/>
        <v>4.4900000000000002E-4</v>
      </c>
      <c r="AE223" s="66">
        <f>+IF($W223="","",ROUND(IF($B223&gt;Parámetros!$D$107,'Tablas Servicio'!AC223+('Tablas Servicio'!AG222-'Tablas Servicio'!AC222),AC223/(1-IF(B223&lt;=10,Parámetros!$D$104,Parámetros!$D$105))),2))</f>
        <v>54</v>
      </c>
      <c r="AF223" s="66">
        <f>+IF($W223="","",ROUND(IF($B223&gt;Parámetros!$D$107,'Tablas Servicio'!AC223+('Tablas Servicio'!AG222-'Tablas Servicio'!AC222),(AC223+$A222/frec)/(1-IF(B223&lt;=Parámetros!$D$117,Parámetros!$D$100,0))),2))</f>
        <v>44.9</v>
      </c>
      <c r="AG223" s="66">
        <f t="shared" si="251"/>
        <v>44.9</v>
      </c>
      <c r="AH223" s="66">
        <f t="shared" si="252"/>
        <v>0</v>
      </c>
      <c r="AI223" s="66">
        <f t="shared" si="253"/>
        <v>0</v>
      </c>
      <c r="AJ223" s="66">
        <f>+IF($W223="","",ROUND((AG223*Parámetros!$G$85),2))</f>
        <v>1.57</v>
      </c>
      <c r="AK223" s="66">
        <f>+IF($W223="","",ROUND((AG223*(Parámetros!$G$86)),2))</f>
        <v>0.22</v>
      </c>
      <c r="AL223" s="66">
        <f t="shared" si="247"/>
        <v>46.69</v>
      </c>
      <c r="AM223" t="str">
        <f t="shared" si="295"/>
        <v>00059</v>
      </c>
      <c r="AN223" t="str">
        <f t="shared" si="296"/>
        <v>Incapacidad Total y Permanente</v>
      </c>
      <c r="AO223" s="118">
        <f t="shared" si="297"/>
        <v>0</v>
      </c>
      <c r="AP223" s="118" t="str">
        <f t="shared" si="298"/>
        <v>A</v>
      </c>
      <c r="AQ223" s="119" t="str">
        <f>+IF(OR($W223="",AO223=0),"",ROUND((VLOOKUP(ROUNDDOWN($D223-1/frec,0),cob_adi,Z$40,FALSE)*(1+i/frec)^-0.5*(1+Parámetros!$D$103)*(1+rec_fracc)/frec),6))</f>
        <v/>
      </c>
      <c r="AR223" s="66">
        <f t="shared" si="254"/>
        <v>0</v>
      </c>
      <c r="AS223" s="119" t="str">
        <f t="shared" si="255"/>
        <v/>
      </c>
      <c r="AT223" s="66">
        <f>+IF($W223="","",ROUND(IF($B223&gt;Parámetros!$D$107,'Tablas Servicio'!AR223+('Tablas Servicio'!AT222-'Tablas Servicio'!AR222),AR223/(1-IF(B223&lt;=10,Parámetros!$D$100,0))),2))</f>
        <v>0</v>
      </c>
      <c r="AU223" s="66">
        <f t="shared" si="256"/>
        <v>0</v>
      </c>
      <c r="AV223" s="66">
        <f t="shared" si="256"/>
        <v>0</v>
      </c>
      <c r="AW223" s="66">
        <f>+IF($W223="","",ROUND((AT223*Parámetros!$G$85),2))</f>
        <v>0</v>
      </c>
      <c r="AX223" s="66">
        <f>+IF($W223="","",ROUND((AT223*(Parámetros!$G$86)),2))</f>
        <v>0</v>
      </c>
      <c r="AY223" s="66">
        <f t="shared" si="257"/>
        <v>0</v>
      </c>
      <c r="AZ223" t="str">
        <f t="shared" si="299"/>
        <v>00060</v>
      </c>
      <c r="BA223" t="str">
        <f t="shared" si="300"/>
        <v>Muerte Accidental</v>
      </c>
      <c r="BB223" s="118">
        <f t="shared" si="301"/>
        <v>0</v>
      </c>
      <c r="BC223" s="118" t="str">
        <f t="shared" si="302"/>
        <v>A</v>
      </c>
      <c r="BD223" s="119" t="str">
        <f>+IF(OR($W223="",BB223=0),"",ROUND((VLOOKUP(ROUNDDOWN($D223-1/frec,0),cob_adi,AO$40,FALSE)*(1+i/frec)^-0.5*(1+Parámetros!$D$103)*(1+rec_fracc)/frec),6))</f>
        <v/>
      </c>
      <c r="BE223" s="66">
        <f t="shared" si="258"/>
        <v>0</v>
      </c>
      <c r="BF223" s="119" t="str">
        <f t="shared" si="259"/>
        <v/>
      </c>
      <c r="BG223" s="66">
        <f>+IF($W223="","",ROUND(IF($B223&gt;Parámetros!$D$107,'Tablas Servicio'!BE223+('Tablas Servicio'!BG222-'Tablas Servicio'!BE222),BE223/(1-IF(B223&lt;=10,Parámetros!$D$100,0))),2))</f>
        <v>0</v>
      </c>
      <c r="BH223" s="66">
        <f t="shared" si="260"/>
        <v>0</v>
      </c>
      <c r="BI223" s="66">
        <f t="shared" si="261"/>
        <v>0</v>
      </c>
      <c r="BJ223" s="66">
        <f>+IF($W223="","",ROUND((BG223*Parámetros!$G$85),2))</f>
        <v>0</v>
      </c>
      <c r="BK223" s="66">
        <f>+IF($W223="","",ROUND((BG223*(Parámetros!$G$86)),2))</f>
        <v>0</v>
      </c>
      <c r="BL223" s="66">
        <f t="shared" si="262"/>
        <v>0</v>
      </c>
      <c r="BM223" t="str">
        <f t="shared" si="303"/>
        <v>00061</v>
      </c>
      <c r="BN223" t="str">
        <f t="shared" si="304"/>
        <v>Gastos de Entierro</v>
      </c>
      <c r="BO223" s="118">
        <f t="shared" si="305"/>
        <v>0</v>
      </c>
      <c r="BP223" s="118" t="str">
        <f t="shared" si="306"/>
        <v>A</v>
      </c>
      <c r="BQ223" s="119" t="str">
        <f>+IF(OR($W223="",BO223=0),"",ROUND((VLOOKUP(ROUNDDOWN($D223-1/frec,0),cob_adi,BB$40,FALSE)*(1+i/frec)^-0.5*(1+Parámetros!$D$103)*(1+rec_fracc)/frec),6))</f>
        <v/>
      </c>
      <c r="BR223" s="66">
        <f t="shared" si="263"/>
        <v>0</v>
      </c>
      <c r="BS223" s="119" t="str">
        <f t="shared" si="264"/>
        <v/>
      </c>
      <c r="BT223" s="66">
        <f>+IF($W223="","",ROUND(IF($B223&gt;Parámetros!$D$107,'Tablas Servicio'!BR223+('Tablas Servicio'!BT222-'Tablas Servicio'!BR222),BR223/(1-IF(B223&lt;=10,Parámetros!$D$100,0))),2))</f>
        <v>0</v>
      </c>
      <c r="BU223" s="66">
        <f t="shared" si="265"/>
        <v>0</v>
      </c>
      <c r="BV223" s="66">
        <f t="shared" si="265"/>
        <v>0</v>
      </c>
      <c r="BW223" s="66">
        <f>+IF($W223="","",ROUND((BT223*Parámetros!$G$85),2))</f>
        <v>0</v>
      </c>
      <c r="BX223" s="66">
        <f>+IF($W223="","",ROUND((BT223*(Parámetros!$G$86)),2))</f>
        <v>0</v>
      </c>
      <c r="BY223" s="66">
        <f t="shared" si="266"/>
        <v>0</v>
      </c>
      <c r="BZ223" t="str">
        <f t="shared" si="307"/>
        <v>00062</v>
      </c>
      <c r="CA223" t="str">
        <f t="shared" si="308"/>
        <v>Gastos médicos por accidente</v>
      </c>
      <c r="CB223" s="118">
        <f t="shared" si="309"/>
        <v>0</v>
      </c>
      <c r="CC223" s="118" t="str">
        <f t="shared" si="310"/>
        <v>A</v>
      </c>
      <c r="CD223" s="119" t="str">
        <f t="shared" si="267"/>
        <v/>
      </c>
      <c r="CE223" s="66">
        <f>+IF($W223="","",ROUND((VLOOKUP(ROUNDDOWN($D223-1/frec,0),cob_adi,BO$40,FALSE)*(1+i/frec)^-0.5*(1+Parámetros!$D$103)*(1+rec_fracc)/frec*'TABLAS ADI'!$BC$17),2))</f>
        <v>0</v>
      </c>
      <c r="CF223" s="119" t="str">
        <f t="shared" si="268"/>
        <v/>
      </c>
      <c r="CG223" s="66">
        <f>+IF($W223="","",ROUND(IF($B223&gt;Parámetros!$D$107,'Tablas Servicio'!CE223+('Tablas Servicio'!CG222-'Tablas Servicio'!CE222),CE223/(1-IF(B223&lt;=10,Parámetros!$D$100,0))),2))</f>
        <v>0</v>
      </c>
      <c r="CH223" s="66">
        <f t="shared" si="269"/>
        <v>0</v>
      </c>
      <c r="CI223" s="66">
        <f t="shared" si="269"/>
        <v>0</v>
      </c>
      <c r="CJ223" s="66">
        <f>+IF($W223="","",ROUND((CG223*Parámetros!$G$85),2))</f>
        <v>0</v>
      </c>
      <c r="CK223" s="66">
        <f>+IF($W223="","",ROUND((CG223*(Parámetros!$G$86)),2))</f>
        <v>0</v>
      </c>
      <c r="CL223" s="66">
        <f t="shared" si="270"/>
        <v>0</v>
      </c>
      <c r="CM223" t="str">
        <f t="shared" si="311"/>
        <v>00063</v>
      </c>
      <c r="CN223" s="118" t="str">
        <f t="shared" si="312"/>
        <v>Renta Diaria por Hospitalización</v>
      </c>
      <c r="CO223" s="118">
        <f t="shared" si="313"/>
        <v>0</v>
      </c>
      <c r="CP223" s="118" t="str">
        <f t="shared" si="314"/>
        <v>A</v>
      </c>
      <c r="CQ223" s="119" t="str">
        <f t="shared" si="271"/>
        <v/>
      </c>
      <c r="CR223" s="66">
        <f>+IF($W223="","",ROUND((VLOOKUP(Parámetros!$F$51,'COBERTURAS ADICIONALES'!$S$4:$T$32,2,FALSE)*(1+i/frec)^-0.5*(1+Parámetros!$D$103)*(1+rec_fracc)/frec*$CO$42),2))</f>
        <v>0</v>
      </c>
      <c r="CS223" s="119" t="str">
        <f t="shared" si="272"/>
        <v/>
      </c>
      <c r="CT223" s="66">
        <f>+IF($W223="","",ROUND(IF($B223&gt;Parámetros!$D$107,'Tablas Servicio'!CR223+('Tablas Servicio'!CT222-'Tablas Servicio'!CR222),CR223/(1-IF(B223&lt;=10,Parámetros!$D$100,0))),2))</f>
        <v>0</v>
      </c>
      <c r="CU223" s="66">
        <f t="shared" si="273"/>
        <v>0</v>
      </c>
      <c r="CV223" s="66">
        <f t="shared" si="273"/>
        <v>0</v>
      </c>
      <c r="CW223" s="66">
        <f>+IF($W223="","",ROUND((CT223*Parámetros!$G$85),2))</f>
        <v>0</v>
      </c>
      <c r="CX223" s="66">
        <f>+IF($W223="","",ROUND((CT223*(Parámetros!$G$86)),2))</f>
        <v>0</v>
      </c>
      <c r="CY223" s="66">
        <f t="shared" si="274"/>
        <v>0</v>
      </c>
      <c r="CZ223" t="str">
        <f t="shared" si="315"/>
        <v>00064</v>
      </c>
      <c r="DA223" s="118" t="str">
        <f t="shared" si="316"/>
        <v>Enfermedades Graves</v>
      </c>
      <c r="DB223" s="118">
        <f t="shared" si="317"/>
        <v>0</v>
      </c>
      <c r="DC223" s="118" t="str">
        <f t="shared" si="318"/>
        <v>A</v>
      </c>
      <c r="DD223" s="121" t="str">
        <f>+IF(OR($W223="",DB223=0),"",ROUND((VLOOKUP(ROUNDDOWN($D223-1/frec,0),cob_adi,CO$40,FALSE)*(1+i/frec)^-0.5*(1+Parámetros!$D$103)*(1+rec_fracc)/frec),6))</f>
        <v/>
      </c>
      <c r="DE223" s="66">
        <f t="shared" si="275"/>
        <v>0</v>
      </c>
      <c r="DF223" s="119" t="str">
        <f t="shared" si="276"/>
        <v/>
      </c>
      <c r="DG223" s="66">
        <f>+IF($W223="","",ROUND(IF($B223&gt;Parámetros!$D$107,'Tablas Servicio'!DE223+('Tablas Servicio'!DG222-'Tablas Servicio'!DE222),DE223/(1-IF(B223&lt;=10,Parámetros!$D$100,0))),2))</f>
        <v>0</v>
      </c>
      <c r="DH223" s="66">
        <f t="shared" si="277"/>
        <v>0</v>
      </c>
      <c r="DI223" s="66">
        <f t="shared" si="277"/>
        <v>0</v>
      </c>
      <c r="DJ223" s="66">
        <f>+IF($W223="","",ROUND((DG223*Parámetros!$G$85),2))</f>
        <v>0</v>
      </c>
      <c r="DK223" s="66">
        <f>+IF($W223="","",ROUND((DG223*(Parámetros!$G$86)),2))</f>
        <v>0</v>
      </c>
      <c r="DL223" s="66">
        <f t="shared" si="278"/>
        <v>0</v>
      </c>
      <c r="DM223" t="str">
        <f t="shared" si="319"/>
        <v>00065</v>
      </c>
      <c r="DN223" s="118" t="str">
        <f t="shared" si="320"/>
        <v>Exención pago de primas</v>
      </c>
      <c r="DO223" s="118">
        <f t="shared" si="321"/>
        <v>0</v>
      </c>
      <c r="DP223" s="118" t="str">
        <f t="shared" si="322"/>
        <v>A</v>
      </c>
      <c r="DQ223" s="122" t="str">
        <f>+IF(OR($W223="",DO223=0),"",ROUND((VLOOKUP(ROUNDDOWN($D223-1/frec,0),cob_adi,DB$40,FALSE)*(1+i/frec)^-0.5*(1+Parámetros!$D$103)*(1+rec_fracc)/frec),6))</f>
        <v/>
      </c>
      <c r="DR223" s="66">
        <f t="shared" si="279"/>
        <v>0</v>
      </c>
      <c r="DS223" s="68" t="str">
        <f t="shared" si="280"/>
        <v/>
      </c>
      <c r="DT223" s="66">
        <f>+IF($W223="","",ROUND(IF($B223&gt;Parámetros!$D$107,'Tablas Servicio'!DR223+('Tablas Servicio'!DT222-'Tablas Servicio'!DR222),DR223/(1-IF(B223&lt;=10,Parámetros!$D$100,0))),2))</f>
        <v>0</v>
      </c>
      <c r="DU223" s="66">
        <f t="shared" si="281"/>
        <v>0</v>
      </c>
      <c r="DV223" s="66">
        <f t="shared" si="281"/>
        <v>0</v>
      </c>
      <c r="DW223" s="66">
        <f>+IF($W223="","",ROUND((DT223*Parámetros!$G$85),2))</f>
        <v>0</v>
      </c>
      <c r="DX223" s="66">
        <f>+IF($W223="","",ROUND((DT223*(Parámetros!$G$86)),2))</f>
        <v>0</v>
      </c>
      <c r="DY223" s="66">
        <f t="shared" si="282"/>
        <v>0</v>
      </c>
      <c r="DZ223" t="str">
        <f t="shared" si="325"/>
        <v>00066</v>
      </c>
      <c r="EA223" s="118" t="str">
        <f t="shared" si="325"/>
        <v>Enfermedad terminal</v>
      </c>
      <c r="EB223" s="118">
        <f>+IF($W223="","",ROUND(IF(Parámetros!$D$25='TABLAS MORT'!$V$33,EB222,Z223/2),0))</f>
        <v>50000</v>
      </c>
      <c r="EC223" s="118" t="str">
        <f t="shared" si="325"/>
        <v>A</v>
      </c>
      <c r="ED223" s="122">
        <f>+IF(OR($W223="",EB223=0),"",ROUND((VLOOKUP(ROUNDDOWN($D223-1/frec,0),cob_adi,DO$40,FALSE)*(1+i/frec)^-0.5*(1+Parámetros!$D$103)*(1+rec_fracc)/frec),6))</f>
        <v>2.6999999999999999E-5</v>
      </c>
      <c r="EE223" s="66">
        <f t="shared" si="284"/>
        <v>1.35</v>
      </c>
      <c r="EF223" s="68">
        <f t="shared" si="285"/>
        <v>2.6999999999999999E-5</v>
      </c>
      <c r="EG223" s="66">
        <f>+IF($W223="","",ROUND(IF($B223&gt;Parámetros!$D$107,'Tablas Servicio'!EE223+('Tablas Servicio'!EG222-'Tablas Servicio'!EE222),EE223/(1-IF(B223&lt;=10,Parámetros!$D$100,0))),2))</f>
        <v>1.35</v>
      </c>
      <c r="EH223" s="66">
        <f t="shared" si="286"/>
        <v>0</v>
      </c>
      <c r="EI223" s="66">
        <f t="shared" si="286"/>
        <v>0</v>
      </c>
      <c r="EJ223" s="66">
        <f>+IF($W223="","",ROUND((EG223*Parámetros!$G$85),2))</f>
        <v>0.05</v>
      </c>
      <c r="EK223" s="66">
        <f>+IF($W223="","",ROUND((EG223*(Parámetros!$G$86)),2))</f>
        <v>0.01</v>
      </c>
      <c r="EL223" s="66">
        <f t="shared" si="287"/>
        <v>1.41</v>
      </c>
    </row>
    <row r="224" spans="1:142" x14ac:dyDescent="0.25">
      <c r="A224">
        <f>+IF($C224="","",ROUND(VLOOKUP('Tablas Servicio'!B224,Parámetros!$H$100:$J$159,IF(Parámetros!$E$16="F",2,3),FALSE),2))</f>
        <v>150</v>
      </c>
      <c r="B224">
        <f t="shared" si="238"/>
        <v>16</v>
      </c>
      <c r="C224" s="57">
        <f>+IF(D224="","",'Tablas Servicio'!C223+1)</f>
        <v>183</v>
      </c>
      <c r="D224" s="56">
        <f>+IF(D223&lt;edadmaxtabla,D223+1/Parámetros!$E$25,"")</f>
        <v>55.270000000000437</v>
      </c>
      <c r="E224" s="57">
        <f t="shared" si="248"/>
        <v>55</v>
      </c>
      <c r="F224" s="59">
        <f t="shared" si="249"/>
        <v>100000</v>
      </c>
      <c r="G224" s="66">
        <f t="shared" si="239"/>
        <v>46.25</v>
      </c>
      <c r="H224" s="66">
        <f t="shared" si="240"/>
        <v>48.099999999999994</v>
      </c>
      <c r="I224" s="66">
        <f t="shared" si="288"/>
        <v>45.900000000000006</v>
      </c>
      <c r="J224" s="66">
        <f t="shared" si="241"/>
        <v>1.62</v>
      </c>
      <c r="K224" s="66">
        <f t="shared" si="242"/>
        <v>0.23</v>
      </c>
      <c r="L224" s="66">
        <f t="shared" si="243"/>
        <v>0</v>
      </c>
      <c r="M224" s="66">
        <f t="shared" si="244"/>
        <v>0</v>
      </c>
      <c r="N224" s="66">
        <f>+IF(C224="","",ROUND(Parámetros!$D$23,2))</f>
        <v>94</v>
      </c>
      <c r="O224" s="66">
        <f t="shared" si="245"/>
        <v>33.75</v>
      </c>
      <c r="P224" s="66">
        <f>+IF($C224="","",ROUND(IF(B224&gt;Parámetros!$D$117,0,N224*Parámetros!$D$116-G224*Parámetros!$D$100),2))</f>
        <v>0</v>
      </c>
      <c r="Q224" s="75">
        <f t="shared" si="289"/>
        <v>3.5027027027027029E-2</v>
      </c>
      <c r="R224" s="75">
        <f t="shared" si="290"/>
        <v>4.972972972972973E-3</v>
      </c>
      <c r="S224" s="117">
        <f>+IF($C224="","",ROUND((S223+I224)*(1+Parámetros!$D$91),2))</f>
        <v>12999.43</v>
      </c>
      <c r="T224" s="117">
        <f>+IF($C224="","",ROUND(S224*VLOOKUP(B224,Parámetros!$C$30:$D$39,2,TRUE),2))</f>
        <v>12999.43</v>
      </c>
      <c r="U224" s="117">
        <f>+IF($C224="","",ROUND((U223+I224)*(1+Parámetros!$D$92),2))</f>
        <v>13553.56</v>
      </c>
      <c r="V224" s="117">
        <f>+IF($C224="","",ROUND(U224*VLOOKUP(B224,Parámetros!$C$30:$D$39,2,TRUE),2))</f>
        <v>13553.56</v>
      </c>
      <c r="W224" s="57">
        <f t="shared" si="291"/>
        <v>183</v>
      </c>
      <c r="X224" t="str">
        <f t="shared" si="292"/>
        <v>00058</v>
      </c>
      <c r="Y224" t="str">
        <f t="shared" si="293"/>
        <v>MUERTE POR CUALQUIER CAUSA</v>
      </c>
      <c r="Z224" s="118">
        <f>+IF($W224="","",ROUND(IF(Parámetros!$D$25='TABLAS MORT'!$V$33,Z223,Parámetros!$D$21-'Tablas Servicio'!T223),0))</f>
        <v>100000</v>
      </c>
      <c r="AA224" s="118" t="str">
        <f t="shared" si="294"/>
        <v>P</v>
      </c>
      <c r="AB224" s="119">
        <f>+IF(W224="","",ROUND((VLOOKUP(ROUNDDOWN($D224-1/frec,0),qx_tabla,2,FALSE)*(1+i/frec)^-0.5*(1+Parámetros!$D$103)*(1+rec_fracc)/frec),6))</f>
        <v>3.2400000000000001E-4</v>
      </c>
      <c r="AC224" s="66">
        <f t="shared" si="250"/>
        <v>32.4</v>
      </c>
      <c r="AD224" s="119">
        <f t="shared" si="246"/>
        <v>4.4900000000000002E-4</v>
      </c>
      <c r="AE224" s="66">
        <f>+IF($W224="","",ROUND(IF($B224&gt;Parámetros!$D$107,'Tablas Servicio'!AC224+('Tablas Servicio'!AG223-'Tablas Servicio'!AC223),AC224/(1-IF(B224&lt;=10,Parámetros!$D$104,Parámetros!$D$105))),2))</f>
        <v>54</v>
      </c>
      <c r="AF224" s="66">
        <f>+IF($W224="","",ROUND(IF($B224&gt;Parámetros!$D$107,'Tablas Servicio'!AC224+('Tablas Servicio'!AG223-'Tablas Servicio'!AC223),(AC224+$A223/frec)/(1-IF(B224&lt;=Parámetros!$D$117,Parámetros!$D$100,0))),2))</f>
        <v>44.9</v>
      </c>
      <c r="AG224" s="66">
        <f t="shared" si="251"/>
        <v>44.9</v>
      </c>
      <c r="AH224" s="66">
        <f t="shared" si="252"/>
        <v>0</v>
      </c>
      <c r="AI224" s="66">
        <f t="shared" si="253"/>
        <v>0</v>
      </c>
      <c r="AJ224" s="66">
        <f>+IF($W224="","",ROUND((AG224*Parámetros!$G$85),2))</f>
        <v>1.57</v>
      </c>
      <c r="AK224" s="66">
        <f>+IF($W224="","",ROUND((AG224*(Parámetros!$G$86)),2))</f>
        <v>0.22</v>
      </c>
      <c r="AL224" s="66">
        <f t="shared" si="247"/>
        <v>46.69</v>
      </c>
      <c r="AM224" t="str">
        <f t="shared" si="295"/>
        <v>00059</v>
      </c>
      <c r="AN224" t="str">
        <f t="shared" si="296"/>
        <v>Incapacidad Total y Permanente</v>
      </c>
      <c r="AO224" s="118">
        <f t="shared" si="297"/>
        <v>0</v>
      </c>
      <c r="AP224" s="118" t="str">
        <f t="shared" si="298"/>
        <v>A</v>
      </c>
      <c r="AQ224" s="119" t="str">
        <f>+IF(OR($W224="",AO224=0),"",ROUND((VLOOKUP(ROUNDDOWN($D224-1/frec,0),cob_adi,Z$40,FALSE)*(1+i/frec)^-0.5*(1+Parámetros!$D$103)*(1+rec_fracc)/frec),6))</f>
        <v/>
      </c>
      <c r="AR224" s="66">
        <f t="shared" si="254"/>
        <v>0</v>
      </c>
      <c r="AS224" s="119" t="str">
        <f t="shared" si="255"/>
        <v/>
      </c>
      <c r="AT224" s="66">
        <f>+IF($W224="","",ROUND(IF($B224&gt;Parámetros!$D$107,'Tablas Servicio'!AR224+('Tablas Servicio'!AT223-'Tablas Servicio'!AR223),AR224/(1-IF(B224&lt;=10,Parámetros!$D$100,0))),2))</f>
        <v>0</v>
      </c>
      <c r="AU224" s="66">
        <f t="shared" si="256"/>
        <v>0</v>
      </c>
      <c r="AV224" s="66">
        <f t="shared" si="256"/>
        <v>0</v>
      </c>
      <c r="AW224" s="66">
        <f>+IF($W224="","",ROUND((AT224*Parámetros!$G$85),2))</f>
        <v>0</v>
      </c>
      <c r="AX224" s="66">
        <f>+IF($W224="","",ROUND((AT224*(Parámetros!$G$86)),2))</f>
        <v>0</v>
      </c>
      <c r="AY224" s="66">
        <f t="shared" si="257"/>
        <v>0</v>
      </c>
      <c r="AZ224" t="str">
        <f t="shared" si="299"/>
        <v>00060</v>
      </c>
      <c r="BA224" t="str">
        <f t="shared" si="300"/>
        <v>Muerte Accidental</v>
      </c>
      <c r="BB224" s="118">
        <f t="shared" si="301"/>
        <v>0</v>
      </c>
      <c r="BC224" s="118" t="str">
        <f t="shared" si="302"/>
        <v>A</v>
      </c>
      <c r="BD224" s="119" t="str">
        <f>+IF(OR($W224="",BB224=0),"",ROUND((VLOOKUP(ROUNDDOWN($D224-1/frec,0),cob_adi,AO$40,FALSE)*(1+i/frec)^-0.5*(1+Parámetros!$D$103)*(1+rec_fracc)/frec),6))</f>
        <v/>
      </c>
      <c r="BE224" s="66">
        <f t="shared" si="258"/>
        <v>0</v>
      </c>
      <c r="BF224" s="119" t="str">
        <f t="shared" si="259"/>
        <v/>
      </c>
      <c r="BG224" s="66">
        <f>+IF($W224="","",ROUND(IF($B224&gt;Parámetros!$D$107,'Tablas Servicio'!BE224+('Tablas Servicio'!BG223-'Tablas Servicio'!BE223),BE224/(1-IF(B224&lt;=10,Parámetros!$D$100,0))),2))</f>
        <v>0</v>
      </c>
      <c r="BH224" s="66">
        <f t="shared" si="260"/>
        <v>0</v>
      </c>
      <c r="BI224" s="66">
        <f t="shared" si="261"/>
        <v>0</v>
      </c>
      <c r="BJ224" s="66">
        <f>+IF($W224="","",ROUND((BG224*Parámetros!$G$85),2))</f>
        <v>0</v>
      </c>
      <c r="BK224" s="66">
        <f>+IF($W224="","",ROUND((BG224*(Parámetros!$G$86)),2))</f>
        <v>0</v>
      </c>
      <c r="BL224" s="66">
        <f t="shared" si="262"/>
        <v>0</v>
      </c>
      <c r="BM224" t="str">
        <f t="shared" si="303"/>
        <v>00061</v>
      </c>
      <c r="BN224" t="str">
        <f t="shared" si="304"/>
        <v>Gastos de Entierro</v>
      </c>
      <c r="BO224" s="118">
        <f t="shared" si="305"/>
        <v>0</v>
      </c>
      <c r="BP224" s="118" t="str">
        <f t="shared" si="306"/>
        <v>A</v>
      </c>
      <c r="BQ224" s="119" t="str">
        <f>+IF(OR($W224="",BO224=0),"",ROUND((VLOOKUP(ROUNDDOWN($D224-1/frec,0),cob_adi,BB$40,FALSE)*(1+i/frec)^-0.5*(1+Parámetros!$D$103)*(1+rec_fracc)/frec),6))</f>
        <v/>
      </c>
      <c r="BR224" s="66">
        <f t="shared" si="263"/>
        <v>0</v>
      </c>
      <c r="BS224" s="119" t="str">
        <f t="shared" si="264"/>
        <v/>
      </c>
      <c r="BT224" s="66">
        <f>+IF($W224="","",ROUND(IF($B224&gt;Parámetros!$D$107,'Tablas Servicio'!BR224+('Tablas Servicio'!BT223-'Tablas Servicio'!BR223),BR224/(1-IF(B224&lt;=10,Parámetros!$D$100,0))),2))</f>
        <v>0</v>
      </c>
      <c r="BU224" s="66">
        <f t="shared" si="265"/>
        <v>0</v>
      </c>
      <c r="BV224" s="66">
        <f t="shared" si="265"/>
        <v>0</v>
      </c>
      <c r="BW224" s="66">
        <f>+IF($W224="","",ROUND((BT224*Parámetros!$G$85),2))</f>
        <v>0</v>
      </c>
      <c r="BX224" s="66">
        <f>+IF($W224="","",ROUND((BT224*(Parámetros!$G$86)),2))</f>
        <v>0</v>
      </c>
      <c r="BY224" s="66">
        <f t="shared" si="266"/>
        <v>0</v>
      </c>
      <c r="BZ224" t="str">
        <f t="shared" si="307"/>
        <v>00062</v>
      </c>
      <c r="CA224" t="str">
        <f t="shared" si="308"/>
        <v>Gastos médicos por accidente</v>
      </c>
      <c r="CB224" s="118">
        <f t="shared" si="309"/>
        <v>0</v>
      </c>
      <c r="CC224" s="118" t="str">
        <f t="shared" si="310"/>
        <v>A</v>
      </c>
      <c r="CD224" s="119" t="str">
        <f t="shared" si="267"/>
        <v/>
      </c>
      <c r="CE224" s="66">
        <f>+IF($W224="","",ROUND((VLOOKUP(ROUNDDOWN($D224-1/frec,0),cob_adi,BO$40,FALSE)*(1+i/frec)^-0.5*(1+Parámetros!$D$103)*(1+rec_fracc)/frec*'TABLAS ADI'!$BC$17),2))</f>
        <v>0</v>
      </c>
      <c r="CF224" s="119" t="str">
        <f t="shared" si="268"/>
        <v/>
      </c>
      <c r="CG224" s="66">
        <f>+IF($W224="","",ROUND(IF($B224&gt;Parámetros!$D$107,'Tablas Servicio'!CE224+('Tablas Servicio'!CG223-'Tablas Servicio'!CE223),CE224/(1-IF(B224&lt;=10,Parámetros!$D$100,0))),2))</f>
        <v>0</v>
      </c>
      <c r="CH224" s="66">
        <f t="shared" si="269"/>
        <v>0</v>
      </c>
      <c r="CI224" s="66">
        <f t="shared" si="269"/>
        <v>0</v>
      </c>
      <c r="CJ224" s="66">
        <f>+IF($W224="","",ROUND((CG224*Parámetros!$G$85),2))</f>
        <v>0</v>
      </c>
      <c r="CK224" s="66">
        <f>+IF($W224="","",ROUND((CG224*(Parámetros!$G$86)),2))</f>
        <v>0</v>
      </c>
      <c r="CL224" s="66">
        <f t="shared" si="270"/>
        <v>0</v>
      </c>
      <c r="CM224" t="str">
        <f t="shared" si="311"/>
        <v>00063</v>
      </c>
      <c r="CN224" s="118" t="str">
        <f t="shared" si="312"/>
        <v>Renta Diaria por Hospitalización</v>
      </c>
      <c r="CO224" s="118">
        <f t="shared" si="313"/>
        <v>0</v>
      </c>
      <c r="CP224" s="118" t="str">
        <f t="shared" si="314"/>
        <v>A</v>
      </c>
      <c r="CQ224" s="119" t="str">
        <f t="shared" si="271"/>
        <v/>
      </c>
      <c r="CR224" s="66">
        <f>+IF($W224="","",ROUND((VLOOKUP(Parámetros!$F$51,'COBERTURAS ADICIONALES'!$S$4:$T$32,2,FALSE)*(1+i/frec)^-0.5*(1+Parámetros!$D$103)*(1+rec_fracc)/frec*$CO$42),2))</f>
        <v>0</v>
      </c>
      <c r="CS224" s="119" t="str">
        <f t="shared" si="272"/>
        <v/>
      </c>
      <c r="CT224" s="66">
        <f>+IF($W224="","",ROUND(IF($B224&gt;Parámetros!$D$107,'Tablas Servicio'!CR224+('Tablas Servicio'!CT223-'Tablas Servicio'!CR223),CR224/(1-IF(B224&lt;=10,Parámetros!$D$100,0))),2))</f>
        <v>0</v>
      </c>
      <c r="CU224" s="66">
        <f t="shared" si="273"/>
        <v>0</v>
      </c>
      <c r="CV224" s="66">
        <f t="shared" si="273"/>
        <v>0</v>
      </c>
      <c r="CW224" s="66">
        <f>+IF($W224="","",ROUND((CT224*Parámetros!$G$85),2))</f>
        <v>0</v>
      </c>
      <c r="CX224" s="66">
        <f>+IF($W224="","",ROUND((CT224*(Parámetros!$G$86)),2))</f>
        <v>0</v>
      </c>
      <c r="CY224" s="66">
        <f t="shared" si="274"/>
        <v>0</v>
      </c>
      <c r="CZ224" t="str">
        <f t="shared" si="315"/>
        <v>00064</v>
      </c>
      <c r="DA224" s="118" t="str">
        <f t="shared" si="316"/>
        <v>Enfermedades Graves</v>
      </c>
      <c r="DB224" s="118">
        <f t="shared" si="317"/>
        <v>0</v>
      </c>
      <c r="DC224" s="118" t="str">
        <f t="shared" si="318"/>
        <v>A</v>
      </c>
      <c r="DD224" s="121" t="str">
        <f>+IF(OR($W224="",DB224=0),"",ROUND((VLOOKUP(ROUNDDOWN($D224-1/frec,0),cob_adi,CO$40,FALSE)*(1+i/frec)^-0.5*(1+Parámetros!$D$103)*(1+rec_fracc)/frec),6))</f>
        <v/>
      </c>
      <c r="DE224" s="66">
        <f t="shared" si="275"/>
        <v>0</v>
      </c>
      <c r="DF224" s="119" t="str">
        <f t="shared" si="276"/>
        <v/>
      </c>
      <c r="DG224" s="66">
        <f>+IF($W224="","",ROUND(IF($B224&gt;Parámetros!$D$107,'Tablas Servicio'!DE224+('Tablas Servicio'!DG223-'Tablas Servicio'!DE223),DE224/(1-IF(B224&lt;=10,Parámetros!$D$100,0))),2))</f>
        <v>0</v>
      </c>
      <c r="DH224" s="66">
        <f t="shared" si="277"/>
        <v>0</v>
      </c>
      <c r="DI224" s="66">
        <f t="shared" si="277"/>
        <v>0</v>
      </c>
      <c r="DJ224" s="66">
        <f>+IF($W224="","",ROUND((DG224*Parámetros!$G$85),2))</f>
        <v>0</v>
      </c>
      <c r="DK224" s="66">
        <f>+IF($W224="","",ROUND((DG224*(Parámetros!$G$86)),2))</f>
        <v>0</v>
      </c>
      <c r="DL224" s="66">
        <f t="shared" si="278"/>
        <v>0</v>
      </c>
      <c r="DM224" t="str">
        <f t="shared" si="319"/>
        <v>00065</v>
      </c>
      <c r="DN224" s="118" t="str">
        <f t="shared" si="320"/>
        <v>Exención pago de primas</v>
      </c>
      <c r="DO224" s="118">
        <f t="shared" si="321"/>
        <v>0</v>
      </c>
      <c r="DP224" s="118" t="str">
        <f t="shared" si="322"/>
        <v>A</v>
      </c>
      <c r="DQ224" s="122" t="str">
        <f>+IF(OR($W224="",DO224=0),"",ROUND((VLOOKUP(ROUNDDOWN($D224-1/frec,0),cob_adi,DB$40,FALSE)*(1+i/frec)^-0.5*(1+Parámetros!$D$103)*(1+rec_fracc)/frec),6))</f>
        <v/>
      </c>
      <c r="DR224" s="66">
        <f t="shared" si="279"/>
        <v>0</v>
      </c>
      <c r="DS224" s="68" t="str">
        <f t="shared" si="280"/>
        <v/>
      </c>
      <c r="DT224" s="66">
        <f>+IF($W224="","",ROUND(IF($B224&gt;Parámetros!$D$107,'Tablas Servicio'!DR224+('Tablas Servicio'!DT223-'Tablas Servicio'!DR223),DR224/(1-IF(B224&lt;=10,Parámetros!$D$100,0))),2))</f>
        <v>0</v>
      </c>
      <c r="DU224" s="66">
        <f t="shared" si="281"/>
        <v>0</v>
      </c>
      <c r="DV224" s="66">
        <f t="shared" si="281"/>
        <v>0</v>
      </c>
      <c r="DW224" s="66">
        <f>+IF($W224="","",ROUND((DT224*Parámetros!$G$85),2))</f>
        <v>0</v>
      </c>
      <c r="DX224" s="66">
        <f>+IF($W224="","",ROUND((DT224*(Parámetros!$G$86)),2))</f>
        <v>0</v>
      </c>
      <c r="DY224" s="66">
        <f t="shared" si="282"/>
        <v>0</v>
      </c>
      <c r="DZ224" t="str">
        <f t="shared" si="325"/>
        <v>00066</v>
      </c>
      <c r="EA224" s="118" t="str">
        <f t="shared" si="325"/>
        <v>Enfermedad terminal</v>
      </c>
      <c r="EB224" s="118">
        <f>+IF($W224="","",ROUND(IF(Parámetros!$D$25='TABLAS MORT'!$V$33,EB223,Z224/2),0))</f>
        <v>50000</v>
      </c>
      <c r="EC224" s="118" t="str">
        <f t="shared" si="325"/>
        <v>A</v>
      </c>
      <c r="ED224" s="122">
        <f>+IF(OR($W224="",EB224=0),"",ROUND((VLOOKUP(ROUNDDOWN($D224-1/frec,0),cob_adi,DO$40,FALSE)*(1+i/frec)^-0.5*(1+Parámetros!$D$103)*(1+rec_fracc)/frec),6))</f>
        <v>2.6999999999999999E-5</v>
      </c>
      <c r="EE224" s="66">
        <f t="shared" si="284"/>
        <v>1.35</v>
      </c>
      <c r="EF224" s="68">
        <f t="shared" si="285"/>
        <v>2.6999999999999999E-5</v>
      </c>
      <c r="EG224" s="66">
        <f>+IF($W224="","",ROUND(IF($B224&gt;Parámetros!$D$107,'Tablas Servicio'!EE224+('Tablas Servicio'!EG223-'Tablas Servicio'!EE223),EE224/(1-IF(B224&lt;=10,Parámetros!$D$100,0))),2))</f>
        <v>1.35</v>
      </c>
      <c r="EH224" s="66">
        <f t="shared" si="286"/>
        <v>0</v>
      </c>
      <c r="EI224" s="66">
        <f t="shared" si="286"/>
        <v>0</v>
      </c>
      <c r="EJ224" s="66">
        <f>+IF($W224="","",ROUND((EG224*Parámetros!$G$85),2))</f>
        <v>0.05</v>
      </c>
      <c r="EK224" s="66">
        <f>+IF($W224="","",ROUND((EG224*(Parámetros!$G$86)),2))</f>
        <v>0.01</v>
      </c>
      <c r="EL224" s="66">
        <f t="shared" si="287"/>
        <v>1.41</v>
      </c>
    </row>
    <row r="225" spans="1:142" x14ac:dyDescent="0.25">
      <c r="A225">
        <f>+IF($C225="","",ROUND(VLOOKUP('Tablas Servicio'!B225,Parámetros!$H$100:$J$159,IF(Parámetros!$E$16="F",2,3),FALSE),2))</f>
        <v>150</v>
      </c>
      <c r="B225">
        <f t="shared" si="238"/>
        <v>16</v>
      </c>
      <c r="C225" s="57">
        <f>+IF(D225="","",'Tablas Servicio'!C224+1)</f>
        <v>184</v>
      </c>
      <c r="D225" s="56">
        <f>+IF(D224&lt;edadmaxtabla,D224+1/Parámetros!$E$25,"")</f>
        <v>55.353333333333772</v>
      </c>
      <c r="E225" s="57">
        <f t="shared" si="248"/>
        <v>55</v>
      </c>
      <c r="F225" s="59">
        <f t="shared" si="249"/>
        <v>100000</v>
      </c>
      <c r="G225" s="66">
        <f t="shared" si="239"/>
        <v>46.25</v>
      </c>
      <c r="H225" s="66">
        <f t="shared" si="240"/>
        <v>48.099999999999994</v>
      </c>
      <c r="I225" s="66">
        <f t="shared" si="288"/>
        <v>45.900000000000006</v>
      </c>
      <c r="J225" s="66">
        <f t="shared" si="241"/>
        <v>1.62</v>
      </c>
      <c r="K225" s="66">
        <f t="shared" si="242"/>
        <v>0.23</v>
      </c>
      <c r="L225" s="66">
        <f t="shared" si="243"/>
        <v>0</v>
      </c>
      <c r="M225" s="66">
        <f t="shared" si="244"/>
        <v>0</v>
      </c>
      <c r="N225" s="66">
        <f>+IF(C225="","",ROUND(Parámetros!$D$23,2))</f>
        <v>94</v>
      </c>
      <c r="O225" s="66">
        <f t="shared" si="245"/>
        <v>33.75</v>
      </c>
      <c r="P225" s="66">
        <f>+IF($C225="","",ROUND(IF(B225&gt;Parámetros!$D$117,0,N225*Parámetros!$D$116-G225*Parámetros!$D$100),2))</f>
        <v>0</v>
      </c>
      <c r="Q225" s="75">
        <f t="shared" si="289"/>
        <v>3.5027027027027029E-2</v>
      </c>
      <c r="R225" s="75">
        <f t="shared" si="290"/>
        <v>4.972972972972973E-3</v>
      </c>
      <c r="S225" s="117">
        <f>+IF($C225="","",ROUND((S224+I225)*(1+Parámetros!$D$91),2))</f>
        <v>13082.33</v>
      </c>
      <c r="T225" s="117">
        <f>+IF($C225="","",ROUND(S225*VLOOKUP(B225,Parámetros!$C$30:$D$39,2,TRUE),2))</f>
        <v>13082.33</v>
      </c>
      <c r="U225" s="117">
        <f>+IF($C225="","",ROUND((U224+I225)*(1+Parámetros!$D$92),2))</f>
        <v>13643.54</v>
      </c>
      <c r="V225" s="117">
        <f>+IF($C225="","",ROUND(U225*VLOOKUP(B225,Parámetros!$C$30:$D$39,2,TRUE),2))</f>
        <v>13643.54</v>
      </c>
      <c r="W225" s="57">
        <f t="shared" si="291"/>
        <v>184</v>
      </c>
      <c r="X225" t="str">
        <f t="shared" si="292"/>
        <v>00058</v>
      </c>
      <c r="Y225" t="str">
        <f t="shared" si="293"/>
        <v>MUERTE POR CUALQUIER CAUSA</v>
      </c>
      <c r="Z225" s="118">
        <f>+IF($W225="","",ROUND(IF(Parámetros!$D$25='TABLAS MORT'!$V$33,Z224,Parámetros!$D$21-'Tablas Servicio'!T224),0))</f>
        <v>100000</v>
      </c>
      <c r="AA225" s="118" t="str">
        <f t="shared" si="294"/>
        <v>P</v>
      </c>
      <c r="AB225" s="119">
        <f>+IF(W225="","",ROUND((VLOOKUP(ROUNDDOWN($D225-1/frec,0),qx_tabla,2,FALSE)*(1+i/frec)^-0.5*(1+Parámetros!$D$103)*(1+rec_fracc)/frec),6))</f>
        <v>3.2400000000000001E-4</v>
      </c>
      <c r="AC225" s="66">
        <f t="shared" si="250"/>
        <v>32.4</v>
      </c>
      <c r="AD225" s="119">
        <f t="shared" si="246"/>
        <v>4.4900000000000002E-4</v>
      </c>
      <c r="AE225" s="66">
        <f>+IF($W225="","",ROUND(IF($B225&gt;Parámetros!$D$107,'Tablas Servicio'!AC225+('Tablas Servicio'!AG224-'Tablas Servicio'!AC224),AC225/(1-IF(B225&lt;=10,Parámetros!$D$104,Parámetros!$D$105))),2))</f>
        <v>54</v>
      </c>
      <c r="AF225" s="66">
        <f>+IF($W225="","",ROUND(IF($B225&gt;Parámetros!$D$107,'Tablas Servicio'!AC225+('Tablas Servicio'!AG224-'Tablas Servicio'!AC224),(AC225+$A224/frec)/(1-IF(B225&lt;=Parámetros!$D$117,Parámetros!$D$100,0))),2))</f>
        <v>44.9</v>
      </c>
      <c r="AG225" s="66">
        <f t="shared" si="251"/>
        <v>44.9</v>
      </c>
      <c r="AH225" s="66">
        <f t="shared" si="252"/>
        <v>0</v>
      </c>
      <c r="AI225" s="66">
        <f t="shared" si="253"/>
        <v>0</v>
      </c>
      <c r="AJ225" s="66">
        <f>+IF($W225="","",ROUND((AG225*Parámetros!$G$85),2))</f>
        <v>1.57</v>
      </c>
      <c r="AK225" s="66">
        <f>+IF($W225="","",ROUND((AG225*(Parámetros!$G$86)),2))</f>
        <v>0.22</v>
      </c>
      <c r="AL225" s="66">
        <f t="shared" si="247"/>
        <v>46.69</v>
      </c>
      <c r="AM225" t="str">
        <f t="shared" si="295"/>
        <v>00059</v>
      </c>
      <c r="AN225" t="str">
        <f t="shared" si="296"/>
        <v>Incapacidad Total y Permanente</v>
      </c>
      <c r="AO225" s="118">
        <f t="shared" si="297"/>
        <v>0</v>
      </c>
      <c r="AP225" s="118" t="str">
        <f t="shared" si="298"/>
        <v>A</v>
      </c>
      <c r="AQ225" s="119" t="str">
        <f>+IF(OR($W225="",AO225=0),"",ROUND((VLOOKUP(ROUNDDOWN($D225-1/frec,0),cob_adi,Z$40,FALSE)*(1+i/frec)^-0.5*(1+Parámetros!$D$103)*(1+rec_fracc)/frec),6))</f>
        <v/>
      </c>
      <c r="AR225" s="66">
        <f t="shared" si="254"/>
        <v>0</v>
      </c>
      <c r="AS225" s="119" t="str">
        <f t="shared" si="255"/>
        <v/>
      </c>
      <c r="AT225" s="66">
        <f>+IF($W225="","",ROUND(IF($B225&gt;Parámetros!$D$107,'Tablas Servicio'!AR225+('Tablas Servicio'!AT224-'Tablas Servicio'!AR224),AR225/(1-IF(B225&lt;=10,Parámetros!$D$100,0))),2))</f>
        <v>0</v>
      </c>
      <c r="AU225" s="66">
        <f t="shared" si="256"/>
        <v>0</v>
      </c>
      <c r="AV225" s="66">
        <f t="shared" si="256"/>
        <v>0</v>
      </c>
      <c r="AW225" s="66">
        <f>+IF($W225="","",ROUND((AT225*Parámetros!$G$85),2))</f>
        <v>0</v>
      </c>
      <c r="AX225" s="66">
        <f>+IF($W225="","",ROUND((AT225*(Parámetros!$G$86)),2))</f>
        <v>0</v>
      </c>
      <c r="AY225" s="66">
        <f t="shared" si="257"/>
        <v>0</v>
      </c>
      <c r="AZ225" t="str">
        <f t="shared" si="299"/>
        <v>00060</v>
      </c>
      <c r="BA225" t="str">
        <f t="shared" si="300"/>
        <v>Muerte Accidental</v>
      </c>
      <c r="BB225" s="118">
        <f t="shared" si="301"/>
        <v>0</v>
      </c>
      <c r="BC225" s="118" t="str">
        <f t="shared" si="302"/>
        <v>A</v>
      </c>
      <c r="BD225" s="119" t="str">
        <f>+IF(OR($W225="",BB225=0),"",ROUND((VLOOKUP(ROUNDDOWN($D225-1/frec,0),cob_adi,AO$40,FALSE)*(1+i/frec)^-0.5*(1+Parámetros!$D$103)*(1+rec_fracc)/frec),6))</f>
        <v/>
      </c>
      <c r="BE225" s="66">
        <f t="shared" si="258"/>
        <v>0</v>
      </c>
      <c r="BF225" s="119" t="str">
        <f t="shared" si="259"/>
        <v/>
      </c>
      <c r="BG225" s="66">
        <f>+IF($W225="","",ROUND(IF($B225&gt;Parámetros!$D$107,'Tablas Servicio'!BE225+('Tablas Servicio'!BG224-'Tablas Servicio'!BE224),BE225/(1-IF(B225&lt;=10,Parámetros!$D$100,0))),2))</f>
        <v>0</v>
      </c>
      <c r="BH225" s="66">
        <f t="shared" si="260"/>
        <v>0</v>
      </c>
      <c r="BI225" s="66">
        <f t="shared" si="261"/>
        <v>0</v>
      </c>
      <c r="BJ225" s="66">
        <f>+IF($W225="","",ROUND((BG225*Parámetros!$G$85),2))</f>
        <v>0</v>
      </c>
      <c r="BK225" s="66">
        <f>+IF($W225="","",ROUND((BG225*(Parámetros!$G$86)),2))</f>
        <v>0</v>
      </c>
      <c r="BL225" s="66">
        <f t="shared" si="262"/>
        <v>0</v>
      </c>
      <c r="BM225" t="str">
        <f t="shared" si="303"/>
        <v>00061</v>
      </c>
      <c r="BN225" t="str">
        <f t="shared" si="304"/>
        <v>Gastos de Entierro</v>
      </c>
      <c r="BO225" s="118">
        <f t="shared" si="305"/>
        <v>0</v>
      </c>
      <c r="BP225" s="118" t="str">
        <f t="shared" si="306"/>
        <v>A</v>
      </c>
      <c r="BQ225" s="119" t="str">
        <f>+IF(OR($W225="",BO225=0),"",ROUND((VLOOKUP(ROUNDDOWN($D225-1/frec,0),cob_adi,BB$40,FALSE)*(1+i/frec)^-0.5*(1+Parámetros!$D$103)*(1+rec_fracc)/frec),6))</f>
        <v/>
      </c>
      <c r="BR225" s="66">
        <f t="shared" si="263"/>
        <v>0</v>
      </c>
      <c r="BS225" s="119" t="str">
        <f t="shared" si="264"/>
        <v/>
      </c>
      <c r="BT225" s="66">
        <f>+IF($W225="","",ROUND(IF($B225&gt;Parámetros!$D$107,'Tablas Servicio'!BR225+('Tablas Servicio'!BT224-'Tablas Servicio'!BR224),BR225/(1-IF(B225&lt;=10,Parámetros!$D$100,0))),2))</f>
        <v>0</v>
      </c>
      <c r="BU225" s="66">
        <f t="shared" si="265"/>
        <v>0</v>
      </c>
      <c r="BV225" s="66">
        <f t="shared" si="265"/>
        <v>0</v>
      </c>
      <c r="BW225" s="66">
        <f>+IF($W225="","",ROUND((BT225*Parámetros!$G$85),2))</f>
        <v>0</v>
      </c>
      <c r="BX225" s="66">
        <f>+IF($W225="","",ROUND((BT225*(Parámetros!$G$86)),2))</f>
        <v>0</v>
      </c>
      <c r="BY225" s="66">
        <f t="shared" si="266"/>
        <v>0</v>
      </c>
      <c r="BZ225" t="str">
        <f t="shared" si="307"/>
        <v>00062</v>
      </c>
      <c r="CA225" t="str">
        <f t="shared" si="308"/>
        <v>Gastos médicos por accidente</v>
      </c>
      <c r="CB225" s="118">
        <f t="shared" si="309"/>
        <v>0</v>
      </c>
      <c r="CC225" s="118" t="str">
        <f t="shared" si="310"/>
        <v>A</v>
      </c>
      <c r="CD225" s="119" t="str">
        <f t="shared" si="267"/>
        <v/>
      </c>
      <c r="CE225" s="66">
        <f>+IF($W225="","",ROUND((VLOOKUP(ROUNDDOWN($D225-1/frec,0),cob_adi,BO$40,FALSE)*(1+i/frec)^-0.5*(1+Parámetros!$D$103)*(1+rec_fracc)/frec*'TABLAS ADI'!$BC$17),2))</f>
        <v>0</v>
      </c>
      <c r="CF225" s="119" t="str">
        <f t="shared" si="268"/>
        <v/>
      </c>
      <c r="CG225" s="66">
        <f>+IF($W225="","",ROUND(IF($B225&gt;Parámetros!$D$107,'Tablas Servicio'!CE225+('Tablas Servicio'!CG224-'Tablas Servicio'!CE224),CE225/(1-IF(B225&lt;=10,Parámetros!$D$100,0))),2))</f>
        <v>0</v>
      </c>
      <c r="CH225" s="66">
        <f t="shared" si="269"/>
        <v>0</v>
      </c>
      <c r="CI225" s="66">
        <f t="shared" si="269"/>
        <v>0</v>
      </c>
      <c r="CJ225" s="66">
        <f>+IF($W225="","",ROUND((CG225*Parámetros!$G$85),2))</f>
        <v>0</v>
      </c>
      <c r="CK225" s="66">
        <f>+IF($W225="","",ROUND((CG225*(Parámetros!$G$86)),2))</f>
        <v>0</v>
      </c>
      <c r="CL225" s="66">
        <f t="shared" si="270"/>
        <v>0</v>
      </c>
      <c r="CM225" t="str">
        <f t="shared" si="311"/>
        <v>00063</v>
      </c>
      <c r="CN225" s="118" t="str">
        <f t="shared" si="312"/>
        <v>Renta Diaria por Hospitalización</v>
      </c>
      <c r="CO225" s="118">
        <f t="shared" si="313"/>
        <v>0</v>
      </c>
      <c r="CP225" s="118" t="str">
        <f t="shared" si="314"/>
        <v>A</v>
      </c>
      <c r="CQ225" s="119" t="str">
        <f t="shared" si="271"/>
        <v/>
      </c>
      <c r="CR225" s="66">
        <f>+IF($W225="","",ROUND((VLOOKUP(Parámetros!$F$51,'COBERTURAS ADICIONALES'!$S$4:$T$32,2,FALSE)*(1+i/frec)^-0.5*(1+Parámetros!$D$103)*(1+rec_fracc)/frec*$CO$42),2))</f>
        <v>0</v>
      </c>
      <c r="CS225" s="119" t="str">
        <f t="shared" si="272"/>
        <v/>
      </c>
      <c r="CT225" s="66">
        <f>+IF($W225="","",ROUND(IF($B225&gt;Parámetros!$D$107,'Tablas Servicio'!CR225+('Tablas Servicio'!CT224-'Tablas Servicio'!CR224),CR225/(1-IF(B225&lt;=10,Parámetros!$D$100,0))),2))</f>
        <v>0</v>
      </c>
      <c r="CU225" s="66">
        <f t="shared" si="273"/>
        <v>0</v>
      </c>
      <c r="CV225" s="66">
        <f t="shared" si="273"/>
        <v>0</v>
      </c>
      <c r="CW225" s="66">
        <f>+IF($W225="","",ROUND((CT225*Parámetros!$G$85),2))</f>
        <v>0</v>
      </c>
      <c r="CX225" s="66">
        <f>+IF($W225="","",ROUND((CT225*(Parámetros!$G$86)),2))</f>
        <v>0</v>
      </c>
      <c r="CY225" s="66">
        <f t="shared" si="274"/>
        <v>0</v>
      </c>
      <c r="CZ225" t="str">
        <f t="shared" si="315"/>
        <v>00064</v>
      </c>
      <c r="DA225" s="118" t="str">
        <f t="shared" si="316"/>
        <v>Enfermedades Graves</v>
      </c>
      <c r="DB225" s="118">
        <f t="shared" si="317"/>
        <v>0</v>
      </c>
      <c r="DC225" s="118" t="str">
        <f t="shared" si="318"/>
        <v>A</v>
      </c>
      <c r="DD225" s="121" t="str">
        <f>+IF(OR($W225="",DB225=0),"",ROUND((VLOOKUP(ROUNDDOWN($D225-1/frec,0),cob_adi,CO$40,FALSE)*(1+i/frec)^-0.5*(1+Parámetros!$D$103)*(1+rec_fracc)/frec),6))</f>
        <v/>
      </c>
      <c r="DE225" s="66">
        <f t="shared" si="275"/>
        <v>0</v>
      </c>
      <c r="DF225" s="119" t="str">
        <f t="shared" si="276"/>
        <v/>
      </c>
      <c r="DG225" s="66">
        <f>+IF($W225="","",ROUND(IF($B225&gt;Parámetros!$D$107,'Tablas Servicio'!DE225+('Tablas Servicio'!DG224-'Tablas Servicio'!DE224),DE225/(1-IF(B225&lt;=10,Parámetros!$D$100,0))),2))</f>
        <v>0</v>
      </c>
      <c r="DH225" s="66">
        <f t="shared" si="277"/>
        <v>0</v>
      </c>
      <c r="DI225" s="66">
        <f t="shared" si="277"/>
        <v>0</v>
      </c>
      <c r="DJ225" s="66">
        <f>+IF($W225="","",ROUND((DG225*Parámetros!$G$85),2))</f>
        <v>0</v>
      </c>
      <c r="DK225" s="66">
        <f>+IF($W225="","",ROUND((DG225*(Parámetros!$G$86)),2))</f>
        <v>0</v>
      </c>
      <c r="DL225" s="66">
        <f t="shared" si="278"/>
        <v>0</v>
      </c>
      <c r="DM225" t="str">
        <f t="shared" si="319"/>
        <v>00065</v>
      </c>
      <c r="DN225" s="118" t="str">
        <f t="shared" si="320"/>
        <v>Exención pago de primas</v>
      </c>
      <c r="DO225" s="118">
        <f t="shared" si="321"/>
        <v>0</v>
      </c>
      <c r="DP225" s="118" t="str">
        <f t="shared" si="322"/>
        <v>A</v>
      </c>
      <c r="DQ225" s="122" t="str">
        <f>+IF(OR($W225="",DO225=0),"",ROUND((VLOOKUP(ROUNDDOWN($D225-1/frec,0),cob_adi,DB$40,FALSE)*(1+i/frec)^-0.5*(1+Parámetros!$D$103)*(1+rec_fracc)/frec),6))</f>
        <v/>
      </c>
      <c r="DR225" s="66">
        <f t="shared" si="279"/>
        <v>0</v>
      </c>
      <c r="DS225" s="68" t="str">
        <f t="shared" si="280"/>
        <v/>
      </c>
      <c r="DT225" s="66">
        <f>+IF($W225="","",ROUND(IF($B225&gt;Parámetros!$D$107,'Tablas Servicio'!DR225+('Tablas Servicio'!DT224-'Tablas Servicio'!DR224),DR225/(1-IF(B225&lt;=10,Parámetros!$D$100,0))),2))</f>
        <v>0</v>
      </c>
      <c r="DU225" s="66">
        <f t="shared" si="281"/>
        <v>0</v>
      </c>
      <c r="DV225" s="66">
        <f t="shared" si="281"/>
        <v>0</v>
      </c>
      <c r="DW225" s="66">
        <f>+IF($W225="","",ROUND((DT225*Parámetros!$G$85),2))</f>
        <v>0</v>
      </c>
      <c r="DX225" s="66">
        <f>+IF($W225="","",ROUND((DT225*(Parámetros!$G$86)),2))</f>
        <v>0</v>
      </c>
      <c r="DY225" s="66">
        <f t="shared" si="282"/>
        <v>0</v>
      </c>
      <c r="DZ225" t="str">
        <f t="shared" si="325"/>
        <v>00066</v>
      </c>
      <c r="EA225" s="118" t="str">
        <f t="shared" si="325"/>
        <v>Enfermedad terminal</v>
      </c>
      <c r="EB225" s="118">
        <f>+IF($W225="","",ROUND(IF(Parámetros!$D$25='TABLAS MORT'!$V$33,EB224,Z225/2),0))</f>
        <v>50000</v>
      </c>
      <c r="EC225" s="118" t="str">
        <f t="shared" si="325"/>
        <v>A</v>
      </c>
      <c r="ED225" s="122">
        <f>+IF(OR($W225="",EB225=0),"",ROUND((VLOOKUP(ROUNDDOWN($D225-1/frec,0),cob_adi,DO$40,FALSE)*(1+i/frec)^-0.5*(1+Parámetros!$D$103)*(1+rec_fracc)/frec),6))</f>
        <v>2.6999999999999999E-5</v>
      </c>
      <c r="EE225" s="66">
        <f t="shared" si="284"/>
        <v>1.35</v>
      </c>
      <c r="EF225" s="68">
        <f t="shared" si="285"/>
        <v>2.6999999999999999E-5</v>
      </c>
      <c r="EG225" s="66">
        <f>+IF($W225="","",ROUND(IF($B225&gt;Parámetros!$D$107,'Tablas Servicio'!EE225+('Tablas Servicio'!EG224-'Tablas Servicio'!EE224),EE225/(1-IF(B225&lt;=10,Parámetros!$D$100,0))),2))</f>
        <v>1.35</v>
      </c>
      <c r="EH225" s="66">
        <f t="shared" si="286"/>
        <v>0</v>
      </c>
      <c r="EI225" s="66">
        <f t="shared" si="286"/>
        <v>0</v>
      </c>
      <c r="EJ225" s="66">
        <f>+IF($W225="","",ROUND((EG225*Parámetros!$G$85),2))</f>
        <v>0.05</v>
      </c>
      <c r="EK225" s="66">
        <f>+IF($W225="","",ROUND((EG225*(Parámetros!$G$86)),2))</f>
        <v>0.01</v>
      </c>
      <c r="EL225" s="66">
        <f t="shared" si="287"/>
        <v>1.41</v>
      </c>
    </row>
    <row r="226" spans="1:142" x14ac:dyDescent="0.25">
      <c r="A226">
        <f>+IF($C226="","",ROUND(VLOOKUP('Tablas Servicio'!B226,Parámetros!$H$100:$J$159,IF(Parámetros!$E$16="F",2,3),FALSE),2))</f>
        <v>150</v>
      </c>
      <c r="B226">
        <f t="shared" si="238"/>
        <v>16</v>
      </c>
      <c r="C226" s="57">
        <f>+IF(D226="","",'Tablas Servicio'!C225+1)</f>
        <v>185</v>
      </c>
      <c r="D226" s="56">
        <f>+IF(D225&lt;edadmaxtabla,D225+1/Parámetros!$E$25,"")</f>
        <v>55.436666666667108</v>
      </c>
      <c r="E226" s="57">
        <f t="shared" si="248"/>
        <v>55</v>
      </c>
      <c r="F226" s="59">
        <f t="shared" si="249"/>
        <v>100000</v>
      </c>
      <c r="G226" s="66">
        <f t="shared" si="239"/>
        <v>46.25</v>
      </c>
      <c r="H226" s="66">
        <f t="shared" si="240"/>
        <v>48.099999999999994</v>
      </c>
      <c r="I226" s="66">
        <f t="shared" si="288"/>
        <v>45.900000000000006</v>
      </c>
      <c r="J226" s="66">
        <f t="shared" si="241"/>
        <v>1.62</v>
      </c>
      <c r="K226" s="66">
        <f t="shared" si="242"/>
        <v>0.23</v>
      </c>
      <c r="L226" s="66">
        <f t="shared" si="243"/>
        <v>0</v>
      </c>
      <c r="M226" s="66">
        <f t="shared" si="244"/>
        <v>0</v>
      </c>
      <c r="N226" s="66">
        <f>+IF(C226="","",ROUND(Parámetros!$D$23,2))</f>
        <v>94</v>
      </c>
      <c r="O226" s="66">
        <f t="shared" si="245"/>
        <v>33.75</v>
      </c>
      <c r="P226" s="66">
        <f>+IF($C226="","",ROUND(IF(B226&gt;Parámetros!$D$117,0,N226*Parámetros!$D$116-G226*Parámetros!$D$100),2))</f>
        <v>0</v>
      </c>
      <c r="Q226" s="75">
        <f t="shared" si="289"/>
        <v>3.5027027027027029E-2</v>
      </c>
      <c r="R226" s="75">
        <f t="shared" si="290"/>
        <v>4.972972972972973E-3</v>
      </c>
      <c r="S226" s="117">
        <f>+IF($C226="","",ROUND((S225+I226)*(1+Parámetros!$D$91),2))</f>
        <v>13165.47</v>
      </c>
      <c r="T226" s="117">
        <f>+IF($C226="","",ROUND(S226*VLOOKUP(B226,Parámetros!$C$30:$D$39,2,TRUE),2))</f>
        <v>13165.47</v>
      </c>
      <c r="U226" s="117">
        <f>+IF($C226="","",ROUND((U225+I226)*(1+Parámetros!$D$92),2))</f>
        <v>13733.82</v>
      </c>
      <c r="V226" s="117">
        <f>+IF($C226="","",ROUND(U226*VLOOKUP(B226,Parámetros!$C$30:$D$39,2,TRUE),2))</f>
        <v>13733.82</v>
      </c>
      <c r="W226" s="57">
        <f t="shared" si="291"/>
        <v>185</v>
      </c>
      <c r="X226" t="str">
        <f t="shared" si="292"/>
        <v>00058</v>
      </c>
      <c r="Y226" t="str">
        <f t="shared" si="293"/>
        <v>MUERTE POR CUALQUIER CAUSA</v>
      </c>
      <c r="Z226" s="118">
        <f>+IF($W226="","",ROUND(IF(Parámetros!$D$25='TABLAS MORT'!$V$33,Z225,Parámetros!$D$21-'Tablas Servicio'!T225),0))</f>
        <v>100000</v>
      </c>
      <c r="AA226" s="118" t="str">
        <f t="shared" si="294"/>
        <v>P</v>
      </c>
      <c r="AB226" s="119">
        <f>+IF(W226="","",ROUND((VLOOKUP(ROUNDDOWN($D226-1/frec,0),qx_tabla,2,FALSE)*(1+i/frec)^-0.5*(1+Parámetros!$D$103)*(1+rec_fracc)/frec),6))</f>
        <v>3.2400000000000001E-4</v>
      </c>
      <c r="AC226" s="66">
        <f t="shared" si="250"/>
        <v>32.4</v>
      </c>
      <c r="AD226" s="119">
        <f t="shared" si="246"/>
        <v>4.4900000000000002E-4</v>
      </c>
      <c r="AE226" s="66">
        <f>+IF($W226="","",ROUND(IF($B226&gt;Parámetros!$D$107,'Tablas Servicio'!AC226+('Tablas Servicio'!AG225-'Tablas Servicio'!AC225),AC226/(1-IF(B226&lt;=10,Parámetros!$D$104,Parámetros!$D$105))),2))</f>
        <v>54</v>
      </c>
      <c r="AF226" s="66">
        <f>+IF($W226="","",ROUND(IF($B226&gt;Parámetros!$D$107,'Tablas Servicio'!AC226+('Tablas Servicio'!AG225-'Tablas Servicio'!AC225),(AC226+$A225/frec)/(1-IF(B226&lt;=Parámetros!$D$117,Parámetros!$D$100,0))),2))</f>
        <v>44.9</v>
      </c>
      <c r="AG226" s="66">
        <f t="shared" si="251"/>
        <v>44.9</v>
      </c>
      <c r="AH226" s="66">
        <f t="shared" si="252"/>
        <v>0</v>
      </c>
      <c r="AI226" s="66">
        <f t="shared" si="253"/>
        <v>0</v>
      </c>
      <c r="AJ226" s="66">
        <f>+IF($W226="","",ROUND((AG226*Parámetros!$G$85),2))</f>
        <v>1.57</v>
      </c>
      <c r="AK226" s="66">
        <f>+IF($W226="","",ROUND((AG226*(Parámetros!$G$86)),2))</f>
        <v>0.22</v>
      </c>
      <c r="AL226" s="66">
        <f t="shared" si="247"/>
        <v>46.69</v>
      </c>
      <c r="AM226" t="str">
        <f t="shared" si="295"/>
        <v>00059</v>
      </c>
      <c r="AN226" t="str">
        <f t="shared" si="296"/>
        <v>Incapacidad Total y Permanente</v>
      </c>
      <c r="AO226" s="118">
        <f t="shared" si="297"/>
        <v>0</v>
      </c>
      <c r="AP226" s="118" t="str">
        <f t="shared" si="298"/>
        <v>A</v>
      </c>
      <c r="AQ226" s="119" t="str">
        <f>+IF(OR($W226="",AO226=0),"",ROUND((VLOOKUP(ROUNDDOWN($D226-1/frec,0),cob_adi,Z$40,FALSE)*(1+i/frec)^-0.5*(1+Parámetros!$D$103)*(1+rec_fracc)/frec),6))</f>
        <v/>
      </c>
      <c r="AR226" s="66">
        <f t="shared" si="254"/>
        <v>0</v>
      </c>
      <c r="AS226" s="119" t="str">
        <f t="shared" si="255"/>
        <v/>
      </c>
      <c r="AT226" s="66">
        <f>+IF($W226="","",ROUND(IF($B226&gt;Parámetros!$D$107,'Tablas Servicio'!AR226+('Tablas Servicio'!AT225-'Tablas Servicio'!AR225),AR226/(1-IF(B226&lt;=10,Parámetros!$D$100,0))),2))</f>
        <v>0</v>
      </c>
      <c r="AU226" s="66">
        <f t="shared" si="256"/>
        <v>0</v>
      </c>
      <c r="AV226" s="66">
        <f t="shared" si="256"/>
        <v>0</v>
      </c>
      <c r="AW226" s="66">
        <f>+IF($W226="","",ROUND((AT226*Parámetros!$G$85),2))</f>
        <v>0</v>
      </c>
      <c r="AX226" s="66">
        <f>+IF($W226="","",ROUND((AT226*(Parámetros!$G$86)),2))</f>
        <v>0</v>
      </c>
      <c r="AY226" s="66">
        <f t="shared" si="257"/>
        <v>0</v>
      </c>
      <c r="AZ226" t="str">
        <f t="shared" si="299"/>
        <v>00060</v>
      </c>
      <c r="BA226" t="str">
        <f t="shared" si="300"/>
        <v>Muerte Accidental</v>
      </c>
      <c r="BB226" s="118">
        <f t="shared" si="301"/>
        <v>0</v>
      </c>
      <c r="BC226" s="118" t="str">
        <f t="shared" si="302"/>
        <v>A</v>
      </c>
      <c r="BD226" s="119" t="str">
        <f>+IF(OR($W226="",BB226=0),"",ROUND((VLOOKUP(ROUNDDOWN($D226-1/frec,0),cob_adi,AO$40,FALSE)*(1+i/frec)^-0.5*(1+Parámetros!$D$103)*(1+rec_fracc)/frec),6))</f>
        <v/>
      </c>
      <c r="BE226" s="66">
        <f t="shared" si="258"/>
        <v>0</v>
      </c>
      <c r="BF226" s="119" t="str">
        <f t="shared" si="259"/>
        <v/>
      </c>
      <c r="BG226" s="66">
        <f>+IF($W226="","",ROUND(IF($B226&gt;Parámetros!$D$107,'Tablas Servicio'!BE226+('Tablas Servicio'!BG225-'Tablas Servicio'!BE225),BE226/(1-IF(B226&lt;=10,Parámetros!$D$100,0))),2))</f>
        <v>0</v>
      </c>
      <c r="BH226" s="66">
        <f t="shared" si="260"/>
        <v>0</v>
      </c>
      <c r="BI226" s="66">
        <f t="shared" si="261"/>
        <v>0</v>
      </c>
      <c r="BJ226" s="66">
        <f>+IF($W226="","",ROUND((BG226*Parámetros!$G$85),2))</f>
        <v>0</v>
      </c>
      <c r="BK226" s="66">
        <f>+IF($W226="","",ROUND((BG226*(Parámetros!$G$86)),2))</f>
        <v>0</v>
      </c>
      <c r="BL226" s="66">
        <f t="shared" si="262"/>
        <v>0</v>
      </c>
      <c r="BM226" t="str">
        <f t="shared" si="303"/>
        <v>00061</v>
      </c>
      <c r="BN226" t="str">
        <f t="shared" si="304"/>
        <v>Gastos de Entierro</v>
      </c>
      <c r="BO226" s="118">
        <f t="shared" si="305"/>
        <v>0</v>
      </c>
      <c r="BP226" s="118" t="str">
        <f t="shared" si="306"/>
        <v>A</v>
      </c>
      <c r="BQ226" s="119" t="str">
        <f>+IF(OR($W226="",BO226=0),"",ROUND((VLOOKUP(ROUNDDOWN($D226-1/frec,0),cob_adi,BB$40,FALSE)*(1+i/frec)^-0.5*(1+Parámetros!$D$103)*(1+rec_fracc)/frec),6))</f>
        <v/>
      </c>
      <c r="BR226" s="66">
        <f t="shared" si="263"/>
        <v>0</v>
      </c>
      <c r="BS226" s="119" t="str">
        <f t="shared" si="264"/>
        <v/>
      </c>
      <c r="BT226" s="66">
        <f>+IF($W226="","",ROUND(IF($B226&gt;Parámetros!$D$107,'Tablas Servicio'!BR226+('Tablas Servicio'!BT225-'Tablas Servicio'!BR225),BR226/(1-IF(B226&lt;=10,Parámetros!$D$100,0))),2))</f>
        <v>0</v>
      </c>
      <c r="BU226" s="66">
        <f t="shared" si="265"/>
        <v>0</v>
      </c>
      <c r="BV226" s="66">
        <f t="shared" si="265"/>
        <v>0</v>
      </c>
      <c r="BW226" s="66">
        <f>+IF($W226="","",ROUND((BT226*Parámetros!$G$85),2))</f>
        <v>0</v>
      </c>
      <c r="BX226" s="66">
        <f>+IF($W226="","",ROUND((BT226*(Parámetros!$G$86)),2))</f>
        <v>0</v>
      </c>
      <c r="BY226" s="66">
        <f t="shared" si="266"/>
        <v>0</v>
      </c>
      <c r="BZ226" t="str">
        <f t="shared" si="307"/>
        <v>00062</v>
      </c>
      <c r="CA226" t="str">
        <f t="shared" si="308"/>
        <v>Gastos médicos por accidente</v>
      </c>
      <c r="CB226" s="118">
        <f t="shared" si="309"/>
        <v>0</v>
      </c>
      <c r="CC226" s="118" t="str">
        <f t="shared" si="310"/>
        <v>A</v>
      </c>
      <c r="CD226" s="119" t="str">
        <f t="shared" si="267"/>
        <v/>
      </c>
      <c r="CE226" s="66">
        <f>+IF($W226="","",ROUND((VLOOKUP(ROUNDDOWN($D226-1/frec,0),cob_adi,BO$40,FALSE)*(1+i/frec)^-0.5*(1+Parámetros!$D$103)*(1+rec_fracc)/frec*'TABLAS ADI'!$BC$17),2))</f>
        <v>0</v>
      </c>
      <c r="CF226" s="119" t="str">
        <f t="shared" si="268"/>
        <v/>
      </c>
      <c r="CG226" s="66">
        <f>+IF($W226="","",ROUND(IF($B226&gt;Parámetros!$D$107,'Tablas Servicio'!CE226+('Tablas Servicio'!CG225-'Tablas Servicio'!CE225),CE226/(1-IF(B226&lt;=10,Parámetros!$D$100,0))),2))</f>
        <v>0</v>
      </c>
      <c r="CH226" s="66">
        <f t="shared" si="269"/>
        <v>0</v>
      </c>
      <c r="CI226" s="66">
        <f t="shared" si="269"/>
        <v>0</v>
      </c>
      <c r="CJ226" s="66">
        <f>+IF($W226="","",ROUND((CG226*Parámetros!$G$85),2))</f>
        <v>0</v>
      </c>
      <c r="CK226" s="66">
        <f>+IF($W226="","",ROUND((CG226*(Parámetros!$G$86)),2))</f>
        <v>0</v>
      </c>
      <c r="CL226" s="66">
        <f t="shared" si="270"/>
        <v>0</v>
      </c>
      <c r="CM226" t="str">
        <f t="shared" si="311"/>
        <v>00063</v>
      </c>
      <c r="CN226" s="118" t="str">
        <f t="shared" si="312"/>
        <v>Renta Diaria por Hospitalización</v>
      </c>
      <c r="CO226" s="118">
        <f t="shared" si="313"/>
        <v>0</v>
      </c>
      <c r="CP226" s="118" t="str">
        <f t="shared" si="314"/>
        <v>A</v>
      </c>
      <c r="CQ226" s="119" t="str">
        <f t="shared" si="271"/>
        <v/>
      </c>
      <c r="CR226" s="66">
        <f>+IF($W226="","",ROUND((VLOOKUP(Parámetros!$F$51,'COBERTURAS ADICIONALES'!$S$4:$T$32,2,FALSE)*(1+i/frec)^-0.5*(1+Parámetros!$D$103)*(1+rec_fracc)/frec*$CO$42),2))</f>
        <v>0</v>
      </c>
      <c r="CS226" s="119" t="str">
        <f t="shared" si="272"/>
        <v/>
      </c>
      <c r="CT226" s="66">
        <f>+IF($W226="","",ROUND(IF($B226&gt;Parámetros!$D$107,'Tablas Servicio'!CR226+('Tablas Servicio'!CT225-'Tablas Servicio'!CR225),CR226/(1-IF(B226&lt;=10,Parámetros!$D$100,0))),2))</f>
        <v>0</v>
      </c>
      <c r="CU226" s="66">
        <f t="shared" si="273"/>
        <v>0</v>
      </c>
      <c r="CV226" s="66">
        <f t="shared" si="273"/>
        <v>0</v>
      </c>
      <c r="CW226" s="66">
        <f>+IF($W226="","",ROUND((CT226*Parámetros!$G$85),2))</f>
        <v>0</v>
      </c>
      <c r="CX226" s="66">
        <f>+IF($W226="","",ROUND((CT226*(Parámetros!$G$86)),2))</f>
        <v>0</v>
      </c>
      <c r="CY226" s="66">
        <f t="shared" si="274"/>
        <v>0</v>
      </c>
      <c r="CZ226" t="str">
        <f t="shared" si="315"/>
        <v>00064</v>
      </c>
      <c r="DA226" s="118" t="str">
        <f t="shared" si="316"/>
        <v>Enfermedades Graves</v>
      </c>
      <c r="DB226" s="118">
        <f t="shared" si="317"/>
        <v>0</v>
      </c>
      <c r="DC226" s="118" t="str">
        <f t="shared" si="318"/>
        <v>A</v>
      </c>
      <c r="DD226" s="121" t="str">
        <f>+IF(OR($W226="",DB226=0),"",ROUND((VLOOKUP(ROUNDDOWN($D226-1/frec,0),cob_adi,CO$40,FALSE)*(1+i/frec)^-0.5*(1+Parámetros!$D$103)*(1+rec_fracc)/frec),6))</f>
        <v/>
      </c>
      <c r="DE226" s="66">
        <f t="shared" si="275"/>
        <v>0</v>
      </c>
      <c r="DF226" s="119" t="str">
        <f t="shared" si="276"/>
        <v/>
      </c>
      <c r="DG226" s="66">
        <f>+IF($W226="","",ROUND(IF($B226&gt;Parámetros!$D$107,'Tablas Servicio'!DE226+('Tablas Servicio'!DG225-'Tablas Servicio'!DE225),DE226/(1-IF(B226&lt;=10,Parámetros!$D$100,0))),2))</f>
        <v>0</v>
      </c>
      <c r="DH226" s="66">
        <f t="shared" si="277"/>
        <v>0</v>
      </c>
      <c r="DI226" s="66">
        <f t="shared" si="277"/>
        <v>0</v>
      </c>
      <c r="DJ226" s="66">
        <f>+IF($W226="","",ROUND((DG226*Parámetros!$G$85),2))</f>
        <v>0</v>
      </c>
      <c r="DK226" s="66">
        <f>+IF($W226="","",ROUND((DG226*(Parámetros!$G$86)),2))</f>
        <v>0</v>
      </c>
      <c r="DL226" s="66">
        <f t="shared" si="278"/>
        <v>0</v>
      </c>
      <c r="DM226" t="str">
        <f t="shared" si="319"/>
        <v>00065</v>
      </c>
      <c r="DN226" s="118" t="str">
        <f t="shared" si="320"/>
        <v>Exención pago de primas</v>
      </c>
      <c r="DO226" s="118">
        <f t="shared" si="321"/>
        <v>0</v>
      </c>
      <c r="DP226" s="118" t="str">
        <f t="shared" si="322"/>
        <v>A</v>
      </c>
      <c r="DQ226" s="122" t="str">
        <f>+IF(OR($W226="",DO226=0),"",ROUND((VLOOKUP(ROUNDDOWN($D226-1/frec,0),cob_adi,DB$40,FALSE)*(1+i/frec)^-0.5*(1+Parámetros!$D$103)*(1+rec_fracc)/frec),6))</f>
        <v/>
      </c>
      <c r="DR226" s="66">
        <f t="shared" si="279"/>
        <v>0</v>
      </c>
      <c r="DS226" s="68" t="str">
        <f t="shared" si="280"/>
        <v/>
      </c>
      <c r="DT226" s="66">
        <f>+IF($W226="","",ROUND(IF($B226&gt;Parámetros!$D$107,'Tablas Servicio'!DR226+('Tablas Servicio'!DT225-'Tablas Servicio'!DR225),DR226/(1-IF(B226&lt;=10,Parámetros!$D$100,0))),2))</f>
        <v>0</v>
      </c>
      <c r="DU226" s="66">
        <f t="shared" si="281"/>
        <v>0</v>
      </c>
      <c r="DV226" s="66">
        <f t="shared" si="281"/>
        <v>0</v>
      </c>
      <c r="DW226" s="66">
        <f>+IF($W226="","",ROUND((DT226*Parámetros!$G$85),2))</f>
        <v>0</v>
      </c>
      <c r="DX226" s="66">
        <f>+IF($W226="","",ROUND((DT226*(Parámetros!$G$86)),2))</f>
        <v>0</v>
      </c>
      <c r="DY226" s="66">
        <f t="shared" si="282"/>
        <v>0</v>
      </c>
      <c r="DZ226" t="str">
        <f t="shared" si="325"/>
        <v>00066</v>
      </c>
      <c r="EA226" s="118" t="str">
        <f t="shared" si="325"/>
        <v>Enfermedad terminal</v>
      </c>
      <c r="EB226" s="118">
        <f>+IF($W226="","",ROUND(IF(Parámetros!$D$25='TABLAS MORT'!$V$33,EB225,Z226/2),0))</f>
        <v>50000</v>
      </c>
      <c r="EC226" s="118" t="str">
        <f t="shared" si="325"/>
        <v>A</v>
      </c>
      <c r="ED226" s="122">
        <f>+IF(OR($W226="",EB226=0),"",ROUND((VLOOKUP(ROUNDDOWN($D226-1/frec,0),cob_adi,DO$40,FALSE)*(1+i/frec)^-0.5*(1+Parámetros!$D$103)*(1+rec_fracc)/frec),6))</f>
        <v>2.6999999999999999E-5</v>
      </c>
      <c r="EE226" s="66">
        <f t="shared" si="284"/>
        <v>1.35</v>
      </c>
      <c r="EF226" s="68">
        <f t="shared" si="285"/>
        <v>2.6999999999999999E-5</v>
      </c>
      <c r="EG226" s="66">
        <f>+IF($W226="","",ROUND(IF($B226&gt;Parámetros!$D$107,'Tablas Servicio'!EE226+('Tablas Servicio'!EG225-'Tablas Servicio'!EE225),EE226/(1-IF(B226&lt;=10,Parámetros!$D$100,0))),2))</f>
        <v>1.35</v>
      </c>
      <c r="EH226" s="66">
        <f t="shared" si="286"/>
        <v>0</v>
      </c>
      <c r="EI226" s="66">
        <f t="shared" si="286"/>
        <v>0</v>
      </c>
      <c r="EJ226" s="66">
        <f>+IF($W226="","",ROUND((EG226*Parámetros!$G$85),2))</f>
        <v>0.05</v>
      </c>
      <c r="EK226" s="66">
        <f>+IF($W226="","",ROUND((EG226*(Parámetros!$G$86)),2))</f>
        <v>0.01</v>
      </c>
      <c r="EL226" s="66">
        <f t="shared" si="287"/>
        <v>1.41</v>
      </c>
    </row>
    <row r="227" spans="1:142" x14ac:dyDescent="0.25">
      <c r="A227">
        <f>+IF($C227="","",ROUND(VLOOKUP('Tablas Servicio'!B227,Parámetros!$H$100:$J$159,IF(Parámetros!$E$16="F",2,3),FALSE),2))</f>
        <v>150</v>
      </c>
      <c r="B227">
        <f t="shared" si="238"/>
        <v>16</v>
      </c>
      <c r="C227" s="57">
        <f>+IF(D227="","",'Tablas Servicio'!C226+1)</f>
        <v>186</v>
      </c>
      <c r="D227" s="56">
        <f>+IF(D226&lt;edadmaxtabla,D226+1/Parámetros!$E$25,"")</f>
        <v>55.520000000000444</v>
      </c>
      <c r="E227" s="57">
        <f t="shared" si="248"/>
        <v>55</v>
      </c>
      <c r="F227" s="59">
        <f t="shared" si="249"/>
        <v>100000</v>
      </c>
      <c r="G227" s="66">
        <f t="shared" si="239"/>
        <v>46.25</v>
      </c>
      <c r="H227" s="66">
        <f t="shared" si="240"/>
        <v>48.099999999999994</v>
      </c>
      <c r="I227" s="66">
        <f t="shared" si="288"/>
        <v>45.900000000000006</v>
      </c>
      <c r="J227" s="66">
        <f t="shared" si="241"/>
        <v>1.62</v>
      </c>
      <c r="K227" s="66">
        <f t="shared" si="242"/>
        <v>0.23</v>
      </c>
      <c r="L227" s="66">
        <f t="shared" si="243"/>
        <v>0</v>
      </c>
      <c r="M227" s="66">
        <f t="shared" si="244"/>
        <v>0</v>
      </c>
      <c r="N227" s="66">
        <f>+IF(C227="","",ROUND(Parámetros!$D$23,2))</f>
        <v>94</v>
      </c>
      <c r="O227" s="66">
        <f t="shared" si="245"/>
        <v>33.75</v>
      </c>
      <c r="P227" s="66">
        <f>+IF($C227="","",ROUND(IF(B227&gt;Parámetros!$D$117,0,N227*Parámetros!$D$116-G227*Parámetros!$D$100),2))</f>
        <v>0</v>
      </c>
      <c r="Q227" s="75">
        <f t="shared" si="289"/>
        <v>3.5027027027027029E-2</v>
      </c>
      <c r="R227" s="75">
        <f t="shared" si="290"/>
        <v>4.972972972972973E-3</v>
      </c>
      <c r="S227" s="117">
        <f>+IF($C227="","",ROUND((S226+I227)*(1+Parámetros!$D$91),2))</f>
        <v>13248.84</v>
      </c>
      <c r="T227" s="117">
        <f>+IF($C227="","",ROUND(S227*VLOOKUP(B227,Parámetros!$C$30:$D$39,2,TRUE),2))</f>
        <v>13248.84</v>
      </c>
      <c r="U227" s="117">
        <f>+IF($C227="","",ROUND((U226+I227)*(1+Parámetros!$D$92),2))</f>
        <v>13824.39</v>
      </c>
      <c r="V227" s="117">
        <f>+IF($C227="","",ROUND(U227*VLOOKUP(B227,Parámetros!$C$30:$D$39,2,TRUE),2))</f>
        <v>13824.39</v>
      </c>
      <c r="W227" s="57">
        <f t="shared" si="291"/>
        <v>186</v>
      </c>
      <c r="X227" t="str">
        <f t="shared" si="292"/>
        <v>00058</v>
      </c>
      <c r="Y227" t="str">
        <f t="shared" si="293"/>
        <v>MUERTE POR CUALQUIER CAUSA</v>
      </c>
      <c r="Z227" s="118">
        <f>+IF($W227="","",ROUND(IF(Parámetros!$D$25='TABLAS MORT'!$V$33,Z226,Parámetros!$D$21-'Tablas Servicio'!T226),0))</f>
        <v>100000</v>
      </c>
      <c r="AA227" s="118" t="str">
        <f t="shared" si="294"/>
        <v>P</v>
      </c>
      <c r="AB227" s="119">
        <f>+IF(W227="","",ROUND((VLOOKUP(ROUNDDOWN($D227-1/frec,0),qx_tabla,2,FALSE)*(1+i/frec)^-0.5*(1+Parámetros!$D$103)*(1+rec_fracc)/frec),6))</f>
        <v>3.2400000000000001E-4</v>
      </c>
      <c r="AC227" s="66">
        <f t="shared" si="250"/>
        <v>32.4</v>
      </c>
      <c r="AD227" s="119">
        <f t="shared" si="246"/>
        <v>4.4900000000000002E-4</v>
      </c>
      <c r="AE227" s="66">
        <f>+IF($W227="","",ROUND(IF($B227&gt;Parámetros!$D$107,'Tablas Servicio'!AC227+('Tablas Servicio'!AG226-'Tablas Servicio'!AC226),AC227/(1-IF(B227&lt;=10,Parámetros!$D$104,Parámetros!$D$105))),2))</f>
        <v>54</v>
      </c>
      <c r="AF227" s="66">
        <f>+IF($W227="","",ROUND(IF($B227&gt;Parámetros!$D$107,'Tablas Servicio'!AC227+('Tablas Servicio'!AG226-'Tablas Servicio'!AC226),(AC227+$A226/frec)/(1-IF(B227&lt;=Parámetros!$D$117,Parámetros!$D$100,0))),2))</f>
        <v>44.9</v>
      </c>
      <c r="AG227" s="66">
        <f t="shared" si="251"/>
        <v>44.9</v>
      </c>
      <c r="AH227" s="66">
        <f t="shared" si="252"/>
        <v>0</v>
      </c>
      <c r="AI227" s="66">
        <f t="shared" si="253"/>
        <v>0</v>
      </c>
      <c r="AJ227" s="66">
        <f>+IF($W227="","",ROUND((AG227*Parámetros!$G$85),2))</f>
        <v>1.57</v>
      </c>
      <c r="AK227" s="66">
        <f>+IF($W227="","",ROUND((AG227*(Parámetros!$G$86)),2))</f>
        <v>0.22</v>
      </c>
      <c r="AL227" s="66">
        <f t="shared" si="247"/>
        <v>46.69</v>
      </c>
      <c r="AM227" t="str">
        <f t="shared" si="295"/>
        <v>00059</v>
      </c>
      <c r="AN227" t="str">
        <f t="shared" si="296"/>
        <v>Incapacidad Total y Permanente</v>
      </c>
      <c r="AO227" s="118">
        <f t="shared" si="297"/>
        <v>0</v>
      </c>
      <c r="AP227" s="118" t="str">
        <f t="shared" si="298"/>
        <v>A</v>
      </c>
      <c r="AQ227" s="119" t="str">
        <f>+IF(OR($W227="",AO227=0),"",ROUND((VLOOKUP(ROUNDDOWN($D227-1/frec,0),cob_adi,Z$40,FALSE)*(1+i/frec)^-0.5*(1+Parámetros!$D$103)*(1+rec_fracc)/frec),6))</f>
        <v/>
      </c>
      <c r="AR227" s="66">
        <f t="shared" si="254"/>
        <v>0</v>
      </c>
      <c r="AS227" s="119" t="str">
        <f t="shared" si="255"/>
        <v/>
      </c>
      <c r="AT227" s="66">
        <f>+IF($W227="","",ROUND(IF($B227&gt;Parámetros!$D$107,'Tablas Servicio'!AR227+('Tablas Servicio'!AT226-'Tablas Servicio'!AR226),AR227/(1-IF(B227&lt;=10,Parámetros!$D$100,0))),2))</f>
        <v>0</v>
      </c>
      <c r="AU227" s="66">
        <f t="shared" si="256"/>
        <v>0</v>
      </c>
      <c r="AV227" s="66">
        <f t="shared" si="256"/>
        <v>0</v>
      </c>
      <c r="AW227" s="66">
        <f>+IF($W227="","",ROUND((AT227*Parámetros!$G$85),2))</f>
        <v>0</v>
      </c>
      <c r="AX227" s="66">
        <f>+IF($W227="","",ROUND((AT227*(Parámetros!$G$86)),2))</f>
        <v>0</v>
      </c>
      <c r="AY227" s="66">
        <f t="shared" si="257"/>
        <v>0</v>
      </c>
      <c r="AZ227" t="str">
        <f t="shared" si="299"/>
        <v>00060</v>
      </c>
      <c r="BA227" t="str">
        <f t="shared" si="300"/>
        <v>Muerte Accidental</v>
      </c>
      <c r="BB227" s="118">
        <f t="shared" si="301"/>
        <v>0</v>
      </c>
      <c r="BC227" s="118" t="str">
        <f t="shared" si="302"/>
        <v>A</v>
      </c>
      <c r="BD227" s="119" t="str">
        <f>+IF(OR($W227="",BB227=0),"",ROUND((VLOOKUP(ROUNDDOWN($D227-1/frec,0),cob_adi,AO$40,FALSE)*(1+i/frec)^-0.5*(1+Parámetros!$D$103)*(1+rec_fracc)/frec),6))</f>
        <v/>
      </c>
      <c r="BE227" s="66">
        <f t="shared" si="258"/>
        <v>0</v>
      </c>
      <c r="BF227" s="119" t="str">
        <f t="shared" si="259"/>
        <v/>
      </c>
      <c r="BG227" s="66">
        <f>+IF($W227="","",ROUND(IF($B227&gt;Parámetros!$D$107,'Tablas Servicio'!BE227+('Tablas Servicio'!BG226-'Tablas Servicio'!BE226),BE227/(1-IF(B227&lt;=10,Parámetros!$D$100,0))),2))</f>
        <v>0</v>
      </c>
      <c r="BH227" s="66">
        <f t="shared" si="260"/>
        <v>0</v>
      </c>
      <c r="BI227" s="66">
        <f t="shared" si="261"/>
        <v>0</v>
      </c>
      <c r="BJ227" s="66">
        <f>+IF($W227="","",ROUND((BG227*Parámetros!$G$85),2))</f>
        <v>0</v>
      </c>
      <c r="BK227" s="66">
        <f>+IF($W227="","",ROUND((BG227*(Parámetros!$G$86)),2))</f>
        <v>0</v>
      </c>
      <c r="BL227" s="66">
        <f t="shared" si="262"/>
        <v>0</v>
      </c>
      <c r="BM227" t="str">
        <f t="shared" si="303"/>
        <v>00061</v>
      </c>
      <c r="BN227" t="str">
        <f t="shared" si="304"/>
        <v>Gastos de Entierro</v>
      </c>
      <c r="BO227" s="118">
        <f t="shared" si="305"/>
        <v>0</v>
      </c>
      <c r="BP227" s="118" t="str">
        <f t="shared" si="306"/>
        <v>A</v>
      </c>
      <c r="BQ227" s="119" t="str">
        <f>+IF(OR($W227="",BO227=0),"",ROUND((VLOOKUP(ROUNDDOWN($D227-1/frec,0),cob_adi,BB$40,FALSE)*(1+i/frec)^-0.5*(1+Parámetros!$D$103)*(1+rec_fracc)/frec),6))</f>
        <v/>
      </c>
      <c r="BR227" s="66">
        <f t="shared" si="263"/>
        <v>0</v>
      </c>
      <c r="BS227" s="119" t="str">
        <f t="shared" si="264"/>
        <v/>
      </c>
      <c r="BT227" s="66">
        <f>+IF($W227="","",ROUND(IF($B227&gt;Parámetros!$D$107,'Tablas Servicio'!BR227+('Tablas Servicio'!BT226-'Tablas Servicio'!BR226),BR227/(1-IF(B227&lt;=10,Parámetros!$D$100,0))),2))</f>
        <v>0</v>
      </c>
      <c r="BU227" s="66">
        <f t="shared" si="265"/>
        <v>0</v>
      </c>
      <c r="BV227" s="66">
        <f t="shared" si="265"/>
        <v>0</v>
      </c>
      <c r="BW227" s="66">
        <f>+IF($W227="","",ROUND((BT227*Parámetros!$G$85),2))</f>
        <v>0</v>
      </c>
      <c r="BX227" s="66">
        <f>+IF($W227="","",ROUND((BT227*(Parámetros!$G$86)),2))</f>
        <v>0</v>
      </c>
      <c r="BY227" s="66">
        <f t="shared" si="266"/>
        <v>0</v>
      </c>
      <c r="BZ227" t="str">
        <f t="shared" si="307"/>
        <v>00062</v>
      </c>
      <c r="CA227" t="str">
        <f t="shared" si="308"/>
        <v>Gastos médicos por accidente</v>
      </c>
      <c r="CB227" s="118">
        <f t="shared" si="309"/>
        <v>0</v>
      </c>
      <c r="CC227" s="118" t="str">
        <f t="shared" si="310"/>
        <v>A</v>
      </c>
      <c r="CD227" s="119" t="str">
        <f t="shared" si="267"/>
        <v/>
      </c>
      <c r="CE227" s="66">
        <f>+IF($W227="","",ROUND((VLOOKUP(ROUNDDOWN($D227-1/frec,0),cob_adi,BO$40,FALSE)*(1+i/frec)^-0.5*(1+Parámetros!$D$103)*(1+rec_fracc)/frec*'TABLAS ADI'!$BC$17),2))</f>
        <v>0</v>
      </c>
      <c r="CF227" s="119" t="str">
        <f t="shared" si="268"/>
        <v/>
      </c>
      <c r="CG227" s="66">
        <f>+IF($W227="","",ROUND(IF($B227&gt;Parámetros!$D$107,'Tablas Servicio'!CE227+('Tablas Servicio'!CG226-'Tablas Servicio'!CE226),CE227/(1-IF(B227&lt;=10,Parámetros!$D$100,0))),2))</f>
        <v>0</v>
      </c>
      <c r="CH227" s="66">
        <f t="shared" si="269"/>
        <v>0</v>
      </c>
      <c r="CI227" s="66">
        <f t="shared" si="269"/>
        <v>0</v>
      </c>
      <c r="CJ227" s="66">
        <f>+IF($W227="","",ROUND((CG227*Parámetros!$G$85),2))</f>
        <v>0</v>
      </c>
      <c r="CK227" s="66">
        <f>+IF($W227="","",ROUND((CG227*(Parámetros!$G$86)),2))</f>
        <v>0</v>
      </c>
      <c r="CL227" s="66">
        <f t="shared" si="270"/>
        <v>0</v>
      </c>
      <c r="CM227" t="str">
        <f t="shared" si="311"/>
        <v>00063</v>
      </c>
      <c r="CN227" s="118" t="str">
        <f t="shared" si="312"/>
        <v>Renta Diaria por Hospitalización</v>
      </c>
      <c r="CO227" s="118">
        <f t="shared" si="313"/>
        <v>0</v>
      </c>
      <c r="CP227" s="118" t="str">
        <f t="shared" si="314"/>
        <v>A</v>
      </c>
      <c r="CQ227" s="119" t="str">
        <f t="shared" si="271"/>
        <v/>
      </c>
      <c r="CR227" s="66">
        <f>+IF($W227="","",ROUND((VLOOKUP(Parámetros!$F$51,'COBERTURAS ADICIONALES'!$S$4:$T$32,2,FALSE)*(1+i/frec)^-0.5*(1+Parámetros!$D$103)*(1+rec_fracc)/frec*$CO$42),2))</f>
        <v>0</v>
      </c>
      <c r="CS227" s="119" t="str">
        <f t="shared" si="272"/>
        <v/>
      </c>
      <c r="CT227" s="66">
        <f>+IF($W227="","",ROUND(IF($B227&gt;Parámetros!$D$107,'Tablas Servicio'!CR227+('Tablas Servicio'!CT226-'Tablas Servicio'!CR226),CR227/(1-IF(B227&lt;=10,Parámetros!$D$100,0))),2))</f>
        <v>0</v>
      </c>
      <c r="CU227" s="66">
        <f t="shared" si="273"/>
        <v>0</v>
      </c>
      <c r="CV227" s="66">
        <f t="shared" si="273"/>
        <v>0</v>
      </c>
      <c r="CW227" s="66">
        <f>+IF($W227="","",ROUND((CT227*Parámetros!$G$85),2))</f>
        <v>0</v>
      </c>
      <c r="CX227" s="66">
        <f>+IF($W227="","",ROUND((CT227*(Parámetros!$G$86)),2))</f>
        <v>0</v>
      </c>
      <c r="CY227" s="66">
        <f t="shared" si="274"/>
        <v>0</v>
      </c>
      <c r="CZ227" t="str">
        <f t="shared" si="315"/>
        <v>00064</v>
      </c>
      <c r="DA227" s="118" t="str">
        <f t="shared" si="316"/>
        <v>Enfermedades Graves</v>
      </c>
      <c r="DB227" s="118">
        <f t="shared" si="317"/>
        <v>0</v>
      </c>
      <c r="DC227" s="118" t="str">
        <f t="shared" si="318"/>
        <v>A</v>
      </c>
      <c r="DD227" s="121" t="str">
        <f>+IF(OR($W227="",DB227=0),"",ROUND((VLOOKUP(ROUNDDOWN($D227-1/frec,0),cob_adi,CO$40,FALSE)*(1+i/frec)^-0.5*(1+Parámetros!$D$103)*(1+rec_fracc)/frec),6))</f>
        <v/>
      </c>
      <c r="DE227" s="66">
        <f t="shared" si="275"/>
        <v>0</v>
      </c>
      <c r="DF227" s="119" t="str">
        <f t="shared" si="276"/>
        <v/>
      </c>
      <c r="DG227" s="66">
        <f>+IF($W227="","",ROUND(IF($B227&gt;Parámetros!$D$107,'Tablas Servicio'!DE227+('Tablas Servicio'!DG226-'Tablas Servicio'!DE226),DE227/(1-IF(B227&lt;=10,Parámetros!$D$100,0))),2))</f>
        <v>0</v>
      </c>
      <c r="DH227" s="66">
        <f t="shared" si="277"/>
        <v>0</v>
      </c>
      <c r="DI227" s="66">
        <f t="shared" si="277"/>
        <v>0</v>
      </c>
      <c r="DJ227" s="66">
        <f>+IF($W227="","",ROUND((DG227*Parámetros!$G$85),2))</f>
        <v>0</v>
      </c>
      <c r="DK227" s="66">
        <f>+IF($W227="","",ROUND((DG227*(Parámetros!$G$86)),2))</f>
        <v>0</v>
      </c>
      <c r="DL227" s="66">
        <f t="shared" si="278"/>
        <v>0</v>
      </c>
      <c r="DM227" t="str">
        <f t="shared" si="319"/>
        <v>00065</v>
      </c>
      <c r="DN227" s="118" t="str">
        <f t="shared" si="320"/>
        <v>Exención pago de primas</v>
      </c>
      <c r="DO227" s="118">
        <f t="shared" si="321"/>
        <v>0</v>
      </c>
      <c r="DP227" s="118" t="str">
        <f t="shared" si="322"/>
        <v>A</v>
      </c>
      <c r="DQ227" s="122" t="str">
        <f>+IF(OR($W227="",DO227=0),"",ROUND((VLOOKUP(ROUNDDOWN($D227-1/frec,0),cob_adi,DB$40,FALSE)*(1+i/frec)^-0.5*(1+Parámetros!$D$103)*(1+rec_fracc)/frec),6))</f>
        <v/>
      </c>
      <c r="DR227" s="66">
        <f t="shared" si="279"/>
        <v>0</v>
      </c>
      <c r="DS227" s="68" t="str">
        <f t="shared" si="280"/>
        <v/>
      </c>
      <c r="DT227" s="66">
        <f>+IF($W227="","",ROUND(IF($B227&gt;Parámetros!$D$107,'Tablas Servicio'!DR227+('Tablas Servicio'!DT226-'Tablas Servicio'!DR226),DR227/(1-IF(B227&lt;=10,Parámetros!$D$100,0))),2))</f>
        <v>0</v>
      </c>
      <c r="DU227" s="66">
        <f t="shared" si="281"/>
        <v>0</v>
      </c>
      <c r="DV227" s="66">
        <f t="shared" si="281"/>
        <v>0</v>
      </c>
      <c r="DW227" s="66">
        <f>+IF($W227="","",ROUND((DT227*Parámetros!$G$85),2))</f>
        <v>0</v>
      </c>
      <c r="DX227" s="66">
        <f>+IF($W227="","",ROUND((DT227*(Parámetros!$G$86)),2))</f>
        <v>0</v>
      </c>
      <c r="DY227" s="66">
        <f t="shared" si="282"/>
        <v>0</v>
      </c>
      <c r="DZ227" t="str">
        <f t="shared" si="325"/>
        <v>00066</v>
      </c>
      <c r="EA227" s="118" t="str">
        <f t="shared" si="325"/>
        <v>Enfermedad terminal</v>
      </c>
      <c r="EB227" s="118">
        <f>+IF($W227="","",ROUND(IF(Parámetros!$D$25='TABLAS MORT'!$V$33,EB226,Z227/2),0))</f>
        <v>50000</v>
      </c>
      <c r="EC227" s="118" t="str">
        <f t="shared" si="325"/>
        <v>A</v>
      </c>
      <c r="ED227" s="122">
        <f>+IF(OR($W227="",EB227=0),"",ROUND((VLOOKUP(ROUNDDOWN($D227-1/frec,0),cob_adi,DO$40,FALSE)*(1+i/frec)^-0.5*(1+Parámetros!$D$103)*(1+rec_fracc)/frec),6))</f>
        <v>2.6999999999999999E-5</v>
      </c>
      <c r="EE227" s="66">
        <f t="shared" si="284"/>
        <v>1.35</v>
      </c>
      <c r="EF227" s="68">
        <f t="shared" si="285"/>
        <v>2.6999999999999999E-5</v>
      </c>
      <c r="EG227" s="66">
        <f>+IF($W227="","",ROUND(IF($B227&gt;Parámetros!$D$107,'Tablas Servicio'!EE227+('Tablas Servicio'!EG226-'Tablas Servicio'!EE226),EE227/(1-IF(B227&lt;=10,Parámetros!$D$100,0))),2))</f>
        <v>1.35</v>
      </c>
      <c r="EH227" s="66">
        <f t="shared" si="286"/>
        <v>0</v>
      </c>
      <c r="EI227" s="66">
        <f t="shared" si="286"/>
        <v>0</v>
      </c>
      <c r="EJ227" s="66">
        <f>+IF($W227="","",ROUND((EG227*Parámetros!$G$85),2))</f>
        <v>0.05</v>
      </c>
      <c r="EK227" s="66">
        <f>+IF($W227="","",ROUND((EG227*(Parámetros!$G$86)),2))</f>
        <v>0.01</v>
      </c>
      <c r="EL227" s="66">
        <f t="shared" si="287"/>
        <v>1.41</v>
      </c>
    </row>
    <row r="228" spans="1:142" x14ac:dyDescent="0.25">
      <c r="A228">
        <f>+IF($C228="","",ROUND(VLOOKUP('Tablas Servicio'!B228,Parámetros!$H$100:$J$159,IF(Parámetros!$E$16="F",2,3),FALSE),2))</f>
        <v>150</v>
      </c>
      <c r="B228">
        <f t="shared" si="238"/>
        <v>16</v>
      </c>
      <c r="C228" s="57">
        <f>+IF(D228="","",'Tablas Servicio'!C227+1)</f>
        <v>187</v>
      </c>
      <c r="D228" s="56">
        <f>+IF(D227&lt;edadmaxtabla,D227+1/Parámetros!$E$25,"")</f>
        <v>55.603333333333779</v>
      </c>
      <c r="E228" s="57">
        <f t="shared" si="248"/>
        <v>55</v>
      </c>
      <c r="F228" s="59">
        <f t="shared" si="249"/>
        <v>100000</v>
      </c>
      <c r="G228" s="66">
        <f t="shared" si="239"/>
        <v>46.25</v>
      </c>
      <c r="H228" s="66">
        <f t="shared" si="240"/>
        <v>48.099999999999994</v>
      </c>
      <c r="I228" s="66">
        <f t="shared" si="288"/>
        <v>45.900000000000006</v>
      </c>
      <c r="J228" s="66">
        <f t="shared" si="241"/>
        <v>1.62</v>
      </c>
      <c r="K228" s="66">
        <f t="shared" si="242"/>
        <v>0.23</v>
      </c>
      <c r="L228" s="66">
        <f t="shared" si="243"/>
        <v>0</v>
      </c>
      <c r="M228" s="66">
        <f t="shared" si="244"/>
        <v>0</v>
      </c>
      <c r="N228" s="66">
        <f>+IF(C228="","",ROUND(Parámetros!$D$23,2))</f>
        <v>94</v>
      </c>
      <c r="O228" s="66">
        <f t="shared" si="245"/>
        <v>33.75</v>
      </c>
      <c r="P228" s="66">
        <f>+IF($C228="","",ROUND(IF(B228&gt;Parámetros!$D$117,0,N228*Parámetros!$D$116-G228*Parámetros!$D$100),2))</f>
        <v>0</v>
      </c>
      <c r="Q228" s="75">
        <f t="shared" si="289"/>
        <v>3.5027027027027029E-2</v>
      </c>
      <c r="R228" s="75">
        <f t="shared" si="290"/>
        <v>4.972972972972973E-3</v>
      </c>
      <c r="S228" s="117">
        <f>+IF($C228="","",ROUND((S227+I228)*(1+Parámetros!$D$91),2))</f>
        <v>13332.45</v>
      </c>
      <c r="T228" s="117">
        <f>+IF($C228="","",ROUND(S228*VLOOKUP(B228,Parámetros!$C$30:$D$39,2,TRUE),2))</f>
        <v>13332.45</v>
      </c>
      <c r="U228" s="117">
        <f>+IF($C228="","",ROUND((U227+I228)*(1+Parámetros!$D$92),2))</f>
        <v>13915.25</v>
      </c>
      <c r="V228" s="117">
        <f>+IF($C228="","",ROUND(U228*VLOOKUP(B228,Parámetros!$C$30:$D$39,2,TRUE),2))</f>
        <v>13915.25</v>
      </c>
      <c r="W228" s="57">
        <f t="shared" si="291"/>
        <v>187</v>
      </c>
      <c r="X228" t="str">
        <f t="shared" si="292"/>
        <v>00058</v>
      </c>
      <c r="Y228" t="str">
        <f t="shared" si="293"/>
        <v>MUERTE POR CUALQUIER CAUSA</v>
      </c>
      <c r="Z228" s="118">
        <f>+IF($W228="","",ROUND(IF(Parámetros!$D$25='TABLAS MORT'!$V$33,Z227,Parámetros!$D$21-'Tablas Servicio'!T227),0))</f>
        <v>100000</v>
      </c>
      <c r="AA228" s="118" t="str">
        <f t="shared" si="294"/>
        <v>P</v>
      </c>
      <c r="AB228" s="119">
        <f>+IF(W228="","",ROUND((VLOOKUP(ROUNDDOWN($D228-1/frec,0),qx_tabla,2,FALSE)*(1+i/frec)^-0.5*(1+Parámetros!$D$103)*(1+rec_fracc)/frec),6))</f>
        <v>3.2400000000000001E-4</v>
      </c>
      <c r="AC228" s="66">
        <f t="shared" si="250"/>
        <v>32.4</v>
      </c>
      <c r="AD228" s="119">
        <f t="shared" si="246"/>
        <v>4.4900000000000002E-4</v>
      </c>
      <c r="AE228" s="66">
        <f>+IF($W228="","",ROUND(IF($B228&gt;Parámetros!$D$107,'Tablas Servicio'!AC228+('Tablas Servicio'!AG227-'Tablas Servicio'!AC227),AC228/(1-IF(B228&lt;=10,Parámetros!$D$104,Parámetros!$D$105))),2))</f>
        <v>54</v>
      </c>
      <c r="AF228" s="66">
        <f>+IF($W228="","",ROUND(IF($B228&gt;Parámetros!$D$107,'Tablas Servicio'!AC228+('Tablas Servicio'!AG227-'Tablas Servicio'!AC227),(AC228+$A227/frec)/(1-IF(B228&lt;=Parámetros!$D$117,Parámetros!$D$100,0))),2))</f>
        <v>44.9</v>
      </c>
      <c r="AG228" s="66">
        <f t="shared" si="251"/>
        <v>44.9</v>
      </c>
      <c r="AH228" s="66">
        <f t="shared" si="252"/>
        <v>0</v>
      </c>
      <c r="AI228" s="66">
        <f t="shared" si="253"/>
        <v>0</v>
      </c>
      <c r="AJ228" s="66">
        <f>+IF($W228="","",ROUND((AG228*Parámetros!$G$85),2))</f>
        <v>1.57</v>
      </c>
      <c r="AK228" s="66">
        <f>+IF($W228="","",ROUND((AG228*(Parámetros!$G$86)),2))</f>
        <v>0.22</v>
      </c>
      <c r="AL228" s="66">
        <f t="shared" si="247"/>
        <v>46.69</v>
      </c>
      <c r="AM228" t="str">
        <f t="shared" si="295"/>
        <v>00059</v>
      </c>
      <c r="AN228" t="str">
        <f t="shared" si="296"/>
        <v>Incapacidad Total y Permanente</v>
      </c>
      <c r="AO228" s="118">
        <f t="shared" si="297"/>
        <v>0</v>
      </c>
      <c r="AP228" s="118" t="str">
        <f t="shared" si="298"/>
        <v>A</v>
      </c>
      <c r="AQ228" s="119" t="str">
        <f>+IF(OR($W228="",AO228=0),"",ROUND((VLOOKUP(ROUNDDOWN($D228-1/frec,0),cob_adi,Z$40,FALSE)*(1+i/frec)^-0.5*(1+Parámetros!$D$103)*(1+rec_fracc)/frec),6))</f>
        <v/>
      </c>
      <c r="AR228" s="66">
        <f t="shared" si="254"/>
        <v>0</v>
      </c>
      <c r="AS228" s="119" t="str">
        <f t="shared" si="255"/>
        <v/>
      </c>
      <c r="AT228" s="66">
        <f>+IF($W228="","",ROUND(IF($B228&gt;Parámetros!$D$107,'Tablas Servicio'!AR228+('Tablas Servicio'!AT227-'Tablas Servicio'!AR227),AR228/(1-IF(B228&lt;=10,Parámetros!$D$100,0))),2))</f>
        <v>0</v>
      </c>
      <c r="AU228" s="66">
        <f t="shared" si="256"/>
        <v>0</v>
      </c>
      <c r="AV228" s="66">
        <f t="shared" si="256"/>
        <v>0</v>
      </c>
      <c r="AW228" s="66">
        <f>+IF($W228="","",ROUND((AT228*Parámetros!$G$85),2))</f>
        <v>0</v>
      </c>
      <c r="AX228" s="66">
        <f>+IF($W228="","",ROUND((AT228*(Parámetros!$G$86)),2))</f>
        <v>0</v>
      </c>
      <c r="AY228" s="66">
        <f t="shared" si="257"/>
        <v>0</v>
      </c>
      <c r="AZ228" t="str">
        <f t="shared" si="299"/>
        <v>00060</v>
      </c>
      <c r="BA228" t="str">
        <f t="shared" si="300"/>
        <v>Muerte Accidental</v>
      </c>
      <c r="BB228" s="118">
        <f t="shared" si="301"/>
        <v>0</v>
      </c>
      <c r="BC228" s="118" t="str">
        <f t="shared" si="302"/>
        <v>A</v>
      </c>
      <c r="BD228" s="119" t="str">
        <f>+IF(OR($W228="",BB228=0),"",ROUND((VLOOKUP(ROUNDDOWN($D228-1/frec,0),cob_adi,AO$40,FALSE)*(1+i/frec)^-0.5*(1+Parámetros!$D$103)*(1+rec_fracc)/frec),6))</f>
        <v/>
      </c>
      <c r="BE228" s="66">
        <f t="shared" si="258"/>
        <v>0</v>
      </c>
      <c r="BF228" s="119" t="str">
        <f t="shared" si="259"/>
        <v/>
      </c>
      <c r="BG228" s="66">
        <f>+IF($W228="","",ROUND(IF($B228&gt;Parámetros!$D$107,'Tablas Servicio'!BE228+('Tablas Servicio'!BG227-'Tablas Servicio'!BE227),BE228/(1-IF(B228&lt;=10,Parámetros!$D$100,0))),2))</f>
        <v>0</v>
      </c>
      <c r="BH228" s="66">
        <f t="shared" si="260"/>
        <v>0</v>
      </c>
      <c r="BI228" s="66">
        <f t="shared" si="261"/>
        <v>0</v>
      </c>
      <c r="BJ228" s="66">
        <f>+IF($W228="","",ROUND((BG228*Parámetros!$G$85),2))</f>
        <v>0</v>
      </c>
      <c r="BK228" s="66">
        <f>+IF($W228="","",ROUND((BG228*(Parámetros!$G$86)),2))</f>
        <v>0</v>
      </c>
      <c r="BL228" s="66">
        <f t="shared" si="262"/>
        <v>0</v>
      </c>
      <c r="BM228" t="str">
        <f t="shared" si="303"/>
        <v>00061</v>
      </c>
      <c r="BN228" t="str">
        <f t="shared" si="304"/>
        <v>Gastos de Entierro</v>
      </c>
      <c r="BO228" s="118">
        <f t="shared" si="305"/>
        <v>0</v>
      </c>
      <c r="BP228" s="118" t="str">
        <f t="shared" si="306"/>
        <v>A</v>
      </c>
      <c r="BQ228" s="119" t="str">
        <f>+IF(OR($W228="",BO228=0),"",ROUND((VLOOKUP(ROUNDDOWN($D228-1/frec,0),cob_adi,BB$40,FALSE)*(1+i/frec)^-0.5*(1+Parámetros!$D$103)*(1+rec_fracc)/frec),6))</f>
        <v/>
      </c>
      <c r="BR228" s="66">
        <f t="shared" si="263"/>
        <v>0</v>
      </c>
      <c r="BS228" s="119" t="str">
        <f t="shared" si="264"/>
        <v/>
      </c>
      <c r="BT228" s="66">
        <f>+IF($W228="","",ROUND(IF($B228&gt;Parámetros!$D$107,'Tablas Servicio'!BR228+('Tablas Servicio'!BT227-'Tablas Servicio'!BR227),BR228/(1-IF(B228&lt;=10,Parámetros!$D$100,0))),2))</f>
        <v>0</v>
      </c>
      <c r="BU228" s="66">
        <f t="shared" si="265"/>
        <v>0</v>
      </c>
      <c r="BV228" s="66">
        <f t="shared" si="265"/>
        <v>0</v>
      </c>
      <c r="BW228" s="66">
        <f>+IF($W228="","",ROUND((BT228*Parámetros!$G$85),2))</f>
        <v>0</v>
      </c>
      <c r="BX228" s="66">
        <f>+IF($W228="","",ROUND((BT228*(Parámetros!$G$86)),2))</f>
        <v>0</v>
      </c>
      <c r="BY228" s="66">
        <f t="shared" si="266"/>
        <v>0</v>
      </c>
      <c r="BZ228" t="str">
        <f t="shared" si="307"/>
        <v>00062</v>
      </c>
      <c r="CA228" t="str">
        <f t="shared" si="308"/>
        <v>Gastos médicos por accidente</v>
      </c>
      <c r="CB228" s="118">
        <f t="shared" si="309"/>
        <v>0</v>
      </c>
      <c r="CC228" s="118" t="str">
        <f t="shared" si="310"/>
        <v>A</v>
      </c>
      <c r="CD228" s="119" t="str">
        <f t="shared" si="267"/>
        <v/>
      </c>
      <c r="CE228" s="66">
        <f>+IF($W228="","",ROUND((VLOOKUP(ROUNDDOWN($D228-1/frec,0),cob_adi,BO$40,FALSE)*(1+i/frec)^-0.5*(1+Parámetros!$D$103)*(1+rec_fracc)/frec*'TABLAS ADI'!$BC$17),2))</f>
        <v>0</v>
      </c>
      <c r="CF228" s="119" t="str">
        <f t="shared" si="268"/>
        <v/>
      </c>
      <c r="CG228" s="66">
        <f>+IF($W228="","",ROUND(IF($B228&gt;Parámetros!$D$107,'Tablas Servicio'!CE228+('Tablas Servicio'!CG227-'Tablas Servicio'!CE227),CE228/(1-IF(B228&lt;=10,Parámetros!$D$100,0))),2))</f>
        <v>0</v>
      </c>
      <c r="CH228" s="66">
        <f t="shared" si="269"/>
        <v>0</v>
      </c>
      <c r="CI228" s="66">
        <f t="shared" si="269"/>
        <v>0</v>
      </c>
      <c r="CJ228" s="66">
        <f>+IF($W228="","",ROUND((CG228*Parámetros!$G$85),2))</f>
        <v>0</v>
      </c>
      <c r="CK228" s="66">
        <f>+IF($W228="","",ROUND((CG228*(Parámetros!$G$86)),2))</f>
        <v>0</v>
      </c>
      <c r="CL228" s="66">
        <f t="shared" si="270"/>
        <v>0</v>
      </c>
      <c r="CM228" t="str">
        <f t="shared" si="311"/>
        <v>00063</v>
      </c>
      <c r="CN228" s="118" t="str">
        <f t="shared" si="312"/>
        <v>Renta Diaria por Hospitalización</v>
      </c>
      <c r="CO228" s="118">
        <f t="shared" si="313"/>
        <v>0</v>
      </c>
      <c r="CP228" s="118" t="str">
        <f t="shared" si="314"/>
        <v>A</v>
      </c>
      <c r="CQ228" s="119" t="str">
        <f t="shared" si="271"/>
        <v/>
      </c>
      <c r="CR228" s="66">
        <f>+IF($W228="","",ROUND((VLOOKUP(Parámetros!$F$51,'COBERTURAS ADICIONALES'!$S$4:$T$32,2,FALSE)*(1+i/frec)^-0.5*(1+Parámetros!$D$103)*(1+rec_fracc)/frec*$CO$42),2))</f>
        <v>0</v>
      </c>
      <c r="CS228" s="119" t="str">
        <f t="shared" si="272"/>
        <v/>
      </c>
      <c r="CT228" s="66">
        <f>+IF($W228="","",ROUND(IF($B228&gt;Parámetros!$D$107,'Tablas Servicio'!CR228+('Tablas Servicio'!CT227-'Tablas Servicio'!CR227),CR228/(1-IF(B228&lt;=10,Parámetros!$D$100,0))),2))</f>
        <v>0</v>
      </c>
      <c r="CU228" s="66">
        <f t="shared" si="273"/>
        <v>0</v>
      </c>
      <c r="CV228" s="66">
        <f t="shared" si="273"/>
        <v>0</v>
      </c>
      <c r="CW228" s="66">
        <f>+IF($W228="","",ROUND((CT228*Parámetros!$G$85),2))</f>
        <v>0</v>
      </c>
      <c r="CX228" s="66">
        <f>+IF($W228="","",ROUND((CT228*(Parámetros!$G$86)),2))</f>
        <v>0</v>
      </c>
      <c r="CY228" s="66">
        <f t="shared" si="274"/>
        <v>0</v>
      </c>
      <c r="CZ228" t="str">
        <f t="shared" si="315"/>
        <v>00064</v>
      </c>
      <c r="DA228" s="118" t="str">
        <f t="shared" si="316"/>
        <v>Enfermedades Graves</v>
      </c>
      <c r="DB228" s="118">
        <f t="shared" si="317"/>
        <v>0</v>
      </c>
      <c r="DC228" s="118" t="str">
        <f t="shared" si="318"/>
        <v>A</v>
      </c>
      <c r="DD228" s="121" t="str">
        <f>+IF(OR($W228="",DB228=0),"",ROUND((VLOOKUP(ROUNDDOWN($D228-1/frec,0),cob_adi,CO$40,FALSE)*(1+i/frec)^-0.5*(1+Parámetros!$D$103)*(1+rec_fracc)/frec),6))</f>
        <v/>
      </c>
      <c r="DE228" s="66">
        <f t="shared" si="275"/>
        <v>0</v>
      </c>
      <c r="DF228" s="119" t="str">
        <f t="shared" si="276"/>
        <v/>
      </c>
      <c r="DG228" s="66">
        <f>+IF($W228="","",ROUND(IF($B228&gt;Parámetros!$D$107,'Tablas Servicio'!DE228+('Tablas Servicio'!DG227-'Tablas Servicio'!DE227),DE228/(1-IF(B228&lt;=10,Parámetros!$D$100,0))),2))</f>
        <v>0</v>
      </c>
      <c r="DH228" s="66">
        <f t="shared" si="277"/>
        <v>0</v>
      </c>
      <c r="DI228" s="66">
        <f t="shared" si="277"/>
        <v>0</v>
      </c>
      <c r="DJ228" s="66">
        <f>+IF($W228="","",ROUND((DG228*Parámetros!$G$85),2))</f>
        <v>0</v>
      </c>
      <c r="DK228" s="66">
        <f>+IF($W228="","",ROUND((DG228*(Parámetros!$G$86)),2))</f>
        <v>0</v>
      </c>
      <c r="DL228" s="66">
        <f t="shared" si="278"/>
        <v>0</v>
      </c>
      <c r="DM228" t="str">
        <f t="shared" si="319"/>
        <v>00065</v>
      </c>
      <c r="DN228" s="118" t="str">
        <f t="shared" si="320"/>
        <v>Exención pago de primas</v>
      </c>
      <c r="DO228" s="118">
        <f t="shared" si="321"/>
        <v>0</v>
      </c>
      <c r="DP228" s="118" t="str">
        <f t="shared" si="322"/>
        <v>A</v>
      </c>
      <c r="DQ228" s="122" t="str">
        <f>+IF(OR($W228="",DO228=0),"",ROUND((VLOOKUP(ROUNDDOWN($D228-1/frec,0),cob_adi,DB$40,FALSE)*(1+i/frec)^-0.5*(1+Parámetros!$D$103)*(1+rec_fracc)/frec),6))</f>
        <v/>
      </c>
      <c r="DR228" s="66">
        <f t="shared" si="279"/>
        <v>0</v>
      </c>
      <c r="DS228" s="68" t="str">
        <f t="shared" si="280"/>
        <v/>
      </c>
      <c r="DT228" s="66">
        <f>+IF($W228="","",ROUND(IF($B228&gt;Parámetros!$D$107,'Tablas Servicio'!DR228+('Tablas Servicio'!DT227-'Tablas Servicio'!DR227),DR228/(1-IF(B228&lt;=10,Parámetros!$D$100,0))),2))</f>
        <v>0</v>
      </c>
      <c r="DU228" s="66">
        <f t="shared" si="281"/>
        <v>0</v>
      </c>
      <c r="DV228" s="66">
        <f t="shared" si="281"/>
        <v>0</v>
      </c>
      <c r="DW228" s="66">
        <f>+IF($W228="","",ROUND((DT228*Parámetros!$G$85),2))</f>
        <v>0</v>
      </c>
      <c r="DX228" s="66">
        <f>+IF($W228="","",ROUND((DT228*(Parámetros!$G$86)),2))</f>
        <v>0</v>
      </c>
      <c r="DY228" s="66">
        <f t="shared" si="282"/>
        <v>0</v>
      </c>
      <c r="DZ228" t="str">
        <f t="shared" si="325"/>
        <v>00066</v>
      </c>
      <c r="EA228" s="118" t="str">
        <f t="shared" si="325"/>
        <v>Enfermedad terminal</v>
      </c>
      <c r="EB228" s="118">
        <f>+IF($W228="","",ROUND(IF(Parámetros!$D$25='TABLAS MORT'!$V$33,EB227,Z228/2),0))</f>
        <v>50000</v>
      </c>
      <c r="EC228" s="118" t="str">
        <f t="shared" si="325"/>
        <v>A</v>
      </c>
      <c r="ED228" s="122">
        <f>+IF(OR($W228="",EB228=0),"",ROUND((VLOOKUP(ROUNDDOWN($D228-1/frec,0),cob_adi,DO$40,FALSE)*(1+i/frec)^-0.5*(1+Parámetros!$D$103)*(1+rec_fracc)/frec),6))</f>
        <v>2.6999999999999999E-5</v>
      </c>
      <c r="EE228" s="66">
        <f t="shared" si="284"/>
        <v>1.35</v>
      </c>
      <c r="EF228" s="68">
        <f t="shared" si="285"/>
        <v>2.6999999999999999E-5</v>
      </c>
      <c r="EG228" s="66">
        <f>+IF($W228="","",ROUND(IF($B228&gt;Parámetros!$D$107,'Tablas Servicio'!EE228+('Tablas Servicio'!EG227-'Tablas Servicio'!EE227),EE228/(1-IF(B228&lt;=10,Parámetros!$D$100,0))),2))</f>
        <v>1.35</v>
      </c>
      <c r="EH228" s="66">
        <f t="shared" si="286"/>
        <v>0</v>
      </c>
      <c r="EI228" s="66">
        <f t="shared" si="286"/>
        <v>0</v>
      </c>
      <c r="EJ228" s="66">
        <f>+IF($W228="","",ROUND((EG228*Parámetros!$G$85),2))</f>
        <v>0.05</v>
      </c>
      <c r="EK228" s="66">
        <f>+IF($W228="","",ROUND((EG228*(Parámetros!$G$86)),2))</f>
        <v>0.01</v>
      </c>
      <c r="EL228" s="66">
        <f t="shared" si="287"/>
        <v>1.41</v>
      </c>
    </row>
    <row r="229" spans="1:142" x14ac:dyDescent="0.25">
      <c r="A229">
        <f>+IF($C229="","",ROUND(VLOOKUP('Tablas Servicio'!B229,Parámetros!$H$100:$J$159,IF(Parámetros!$E$16="F",2,3),FALSE),2))</f>
        <v>150</v>
      </c>
      <c r="B229">
        <f t="shared" si="238"/>
        <v>16</v>
      </c>
      <c r="C229" s="57">
        <f>+IF(D229="","",'Tablas Servicio'!C228+1)</f>
        <v>188</v>
      </c>
      <c r="D229" s="56">
        <f>+IF(D228&lt;edadmaxtabla,D228+1/Parámetros!$E$25,"")</f>
        <v>55.686666666667115</v>
      </c>
      <c r="E229" s="57">
        <f t="shared" si="248"/>
        <v>55</v>
      </c>
      <c r="F229" s="59">
        <f t="shared" si="249"/>
        <v>100000</v>
      </c>
      <c r="G229" s="66">
        <f t="shared" si="239"/>
        <v>46.25</v>
      </c>
      <c r="H229" s="66">
        <f t="shared" si="240"/>
        <v>48.099999999999994</v>
      </c>
      <c r="I229" s="66">
        <f t="shared" si="288"/>
        <v>45.900000000000006</v>
      </c>
      <c r="J229" s="66">
        <f t="shared" si="241"/>
        <v>1.62</v>
      </c>
      <c r="K229" s="66">
        <f t="shared" si="242"/>
        <v>0.23</v>
      </c>
      <c r="L229" s="66">
        <f t="shared" si="243"/>
        <v>0</v>
      </c>
      <c r="M229" s="66">
        <f t="shared" si="244"/>
        <v>0</v>
      </c>
      <c r="N229" s="66">
        <f>+IF(C229="","",ROUND(Parámetros!$D$23,2))</f>
        <v>94</v>
      </c>
      <c r="O229" s="66">
        <f t="shared" si="245"/>
        <v>33.75</v>
      </c>
      <c r="P229" s="66">
        <f>+IF($C229="","",ROUND(IF(B229&gt;Parámetros!$D$117,0,N229*Parámetros!$D$116-G229*Parámetros!$D$100),2))</f>
        <v>0</v>
      </c>
      <c r="Q229" s="75">
        <f t="shared" si="289"/>
        <v>3.5027027027027029E-2</v>
      </c>
      <c r="R229" s="75">
        <f t="shared" si="290"/>
        <v>4.972972972972973E-3</v>
      </c>
      <c r="S229" s="117">
        <f>+IF($C229="","",ROUND((S228+I229)*(1+Parámetros!$D$91),2))</f>
        <v>13416.3</v>
      </c>
      <c r="T229" s="117">
        <f>+IF($C229="","",ROUND(S229*VLOOKUP(B229,Parámetros!$C$30:$D$39,2,TRUE),2))</f>
        <v>13416.3</v>
      </c>
      <c r="U229" s="117">
        <f>+IF($C229="","",ROUND((U228+I229)*(1+Parámetros!$D$92),2))</f>
        <v>14006.41</v>
      </c>
      <c r="V229" s="117">
        <f>+IF($C229="","",ROUND(U229*VLOOKUP(B229,Parámetros!$C$30:$D$39,2,TRUE),2))</f>
        <v>14006.41</v>
      </c>
      <c r="W229" s="57">
        <f t="shared" si="291"/>
        <v>188</v>
      </c>
      <c r="X229" t="str">
        <f t="shared" si="292"/>
        <v>00058</v>
      </c>
      <c r="Y229" t="str">
        <f t="shared" si="293"/>
        <v>MUERTE POR CUALQUIER CAUSA</v>
      </c>
      <c r="Z229" s="118">
        <f>+IF($W229="","",ROUND(IF(Parámetros!$D$25='TABLAS MORT'!$V$33,Z228,Parámetros!$D$21-'Tablas Servicio'!T228),0))</f>
        <v>100000</v>
      </c>
      <c r="AA229" s="118" t="str">
        <f t="shared" si="294"/>
        <v>P</v>
      </c>
      <c r="AB229" s="119">
        <f>+IF(W229="","",ROUND((VLOOKUP(ROUNDDOWN($D229-1/frec,0),qx_tabla,2,FALSE)*(1+i/frec)^-0.5*(1+Parámetros!$D$103)*(1+rec_fracc)/frec),6))</f>
        <v>3.2400000000000001E-4</v>
      </c>
      <c r="AC229" s="66">
        <f t="shared" si="250"/>
        <v>32.4</v>
      </c>
      <c r="AD229" s="119">
        <f t="shared" si="246"/>
        <v>4.4900000000000002E-4</v>
      </c>
      <c r="AE229" s="66">
        <f>+IF($W229="","",ROUND(IF($B229&gt;Parámetros!$D$107,'Tablas Servicio'!AC229+('Tablas Servicio'!AG228-'Tablas Servicio'!AC228),AC229/(1-IF(B229&lt;=10,Parámetros!$D$104,Parámetros!$D$105))),2))</f>
        <v>54</v>
      </c>
      <c r="AF229" s="66">
        <f>+IF($W229="","",ROUND(IF($B229&gt;Parámetros!$D$107,'Tablas Servicio'!AC229+('Tablas Servicio'!AG228-'Tablas Servicio'!AC228),(AC229+$A228/frec)/(1-IF(B229&lt;=Parámetros!$D$117,Parámetros!$D$100,0))),2))</f>
        <v>44.9</v>
      </c>
      <c r="AG229" s="66">
        <f t="shared" si="251"/>
        <v>44.9</v>
      </c>
      <c r="AH229" s="66">
        <f t="shared" si="252"/>
        <v>0</v>
      </c>
      <c r="AI229" s="66">
        <f t="shared" si="253"/>
        <v>0</v>
      </c>
      <c r="AJ229" s="66">
        <f>+IF($W229="","",ROUND((AG229*Parámetros!$G$85),2))</f>
        <v>1.57</v>
      </c>
      <c r="AK229" s="66">
        <f>+IF($W229="","",ROUND((AG229*(Parámetros!$G$86)),2))</f>
        <v>0.22</v>
      </c>
      <c r="AL229" s="66">
        <f t="shared" si="247"/>
        <v>46.69</v>
      </c>
      <c r="AM229" t="str">
        <f t="shared" si="295"/>
        <v>00059</v>
      </c>
      <c r="AN229" t="str">
        <f t="shared" si="296"/>
        <v>Incapacidad Total y Permanente</v>
      </c>
      <c r="AO229" s="118">
        <f t="shared" si="297"/>
        <v>0</v>
      </c>
      <c r="AP229" s="118" t="str">
        <f t="shared" si="298"/>
        <v>A</v>
      </c>
      <c r="AQ229" s="119" t="str">
        <f>+IF(OR($W229="",AO229=0),"",ROUND((VLOOKUP(ROUNDDOWN($D229-1/frec,0),cob_adi,Z$40,FALSE)*(1+i/frec)^-0.5*(1+Parámetros!$D$103)*(1+rec_fracc)/frec),6))</f>
        <v/>
      </c>
      <c r="AR229" s="66">
        <f t="shared" si="254"/>
        <v>0</v>
      </c>
      <c r="AS229" s="119" t="str">
        <f t="shared" si="255"/>
        <v/>
      </c>
      <c r="AT229" s="66">
        <f>+IF($W229="","",ROUND(IF($B229&gt;Parámetros!$D$107,'Tablas Servicio'!AR229+('Tablas Servicio'!AT228-'Tablas Servicio'!AR228),AR229/(1-IF(B229&lt;=10,Parámetros!$D$100,0))),2))</f>
        <v>0</v>
      </c>
      <c r="AU229" s="66">
        <f t="shared" si="256"/>
        <v>0</v>
      </c>
      <c r="AV229" s="66">
        <f t="shared" si="256"/>
        <v>0</v>
      </c>
      <c r="AW229" s="66">
        <f>+IF($W229="","",ROUND((AT229*Parámetros!$G$85),2))</f>
        <v>0</v>
      </c>
      <c r="AX229" s="66">
        <f>+IF($W229="","",ROUND((AT229*(Parámetros!$G$86)),2))</f>
        <v>0</v>
      </c>
      <c r="AY229" s="66">
        <f t="shared" si="257"/>
        <v>0</v>
      </c>
      <c r="AZ229" t="str">
        <f t="shared" si="299"/>
        <v>00060</v>
      </c>
      <c r="BA229" t="str">
        <f t="shared" si="300"/>
        <v>Muerte Accidental</v>
      </c>
      <c r="BB229" s="118">
        <f t="shared" si="301"/>
        <v>0</v>
      </c>
      <c r="BC229" s="118" t="str">
        <f t="shared" si="302"/>
        <v>A</v>
      </c>
      <c r="BD229" s="119" t="str">
        <f>+IF(OR($W229="",BB229=0),"",ROUND((VLOOKUP(ROUNDDOWN($D229-1/frec,0),cob_adi,AO$40,FALSE)*(1+i/frec)^-0.5*(1+Parámetros!$D$103)*(1+rec_fracc)/frec),6))</f>
        <v/>
      </c>
      <c r="BE229" s="66">
        <f t="shared" si="258"/>
        <v>0</v>
      </c>
      <c r="BF229" s="119" t="str">
        <f t="shared" si="259"/>
        <v/>
      </c>
      <c r="BG229" s="66">
        <f>+IF($W229="","",ROUND(IF($B229&gt;Parámetros!$D$107,'Tablas Servicio'!BE229+('Tablas Servicio'!BG228-'Tablas Servicio'!BE228),BE229/(1-IF(B229&lt;=10,Parámetros!$D$100,0))),2))</f>
        <v>0</v>
      </c>
      <c r="BH229" s="66">
        <f t="shared" si="260"/>
        <v>0</v>
      </c>
      <c r="BI229" s="66">
        <f t="shared" si="261"/>
        <v>0</v>
      </c>
      <c r="BJ229" s="66">
        <f>+IF($W229="","",ROUND((BG229*Parámetros!$G$85),2))</f>
        <v>0</v>
      </c>
      <c r="BK229" s="66">
        <f>+IF($W229="","",ROUND((BG229*(Parámetros!$G$86)),2))</f>
        <v>0</v>
      </c>
      <c r="BL229" s="66">
        <f t="shared" si="262"/>
        <v>0</v>
      </c>
      <c r="BM229" t="str">
        <f t="shared" si="303"/>
        <v>00061</v>
      </c>
      <c r="BN229" t="str">
        <f t="shared" si="304"/>
        <v>Gastos de Entierro</v>
      </c>
      <c r="BO229" s="118">
        <f t="shared" si="305"/>
        <v>0</v>
      </c>
      <c r="BP229" s="118" t="str">
        <f t="shared" si="306"/>
        <v>A</v>
      </c>
      <c r="BQ229" s="119" t="str">
        <f>+IF(OR($W229="",BO229=0),"",ROUND((VLOOKUP(ROUNDDOWN($D229-1/frec,0),cob_adi,BB$40,FALSE)*(1+i/frec)^-0.5*(1+Parámetros!$D$103)*(1+rec_fracc)/frec),6))</f>
        <v/>
      </c>
      <c r="BR229" s="66">
        <f t="shared" si="263"/>
        <v>0</v>
      </c>
      <c r="BS229" s="119" t="str">
        <f t="shared" si="264"/>
        <v/>
      </c>
      <c r="BT229" s="66">
        <f>+IF($W229="","",ROUND(IF($B229&gt;Parámetros!$D$107,'Tablas Servicio'!BR229+('Tablas Servicio'!BT228-'Tablas Servicio'!BR228),BR229/(1-IF(B229&lt;=10,Parámetros!$D$100,0))),2))</f>
        <v>0</v>
      </c>
      <c r="BU229" s="66">
        <f t="shared" si="265"/>
        <v>0</v>
      </c>
      <c r="BV229" s="66">
        <f t="shared" si="265"/>
        <v>0</v>
      </c>
      <c r="BW229" s="66">
        <f>+IF($W229="","",ROUND((BT229*Parámetros!$G$85),2))</f>
        <v>0</v>
      </c>
      <c r="BX229" s="66">
        <f>+IF($W229="","",ROUND((BT229*(Parámetros!$G$86)),2))</f>
        <v>0</v>
      </c>
      <c r="BY229" s="66">
        <f t="shared" si="266"/>
        <v>0</v>
      </c>
      <c r="BZ229" t="str">
        <f t="shared" si="307"/>
        <v>00062</v>
      </c>
      <c r="CA229" t="str">
        <f t="shared" si="308"/>
        <v>Gastos médicos por accidente</v>
      </c>
      <c r="CB229" s="118">
        <f t="shared" si="309"/>
        <v>0</v>
      </c>
      <c r="CC229" s="118" t="str">
        <f t="shared" si="310"/>
        <v>A</v>
      </c>
      <c r="CD229" s="119" t="str">
        <f t="shared" si="267"/>
        <v/>
      </c>
      <c r="CE229" s="66">
        <f>+IF($W229="","",ROUND((VLOOKUP(ROUNDDOWN($D229-1/frec,0),cob_adi,BO$40,FALSE)*(1+i/frec)^-0.5*(1+Parámetros!$D$103)*(1+rec_fracc)/frec*'TABLAS ADI'!$BC$17),2))</f>
        <v>0</v>
      </c>
      <c r="CF229" s="119" t="str">
        <f t="shared" si="268"/>
        <v/>
      </c>
      <c r="CG229" s="66">
        <f>+IF($W229="","",ROUND(IF($B229&gt;Parámetros!$D$107,'Tablas Servicio'!CE229+('Tablas Servicio'!CG228-'Tablas Servicio'!CE228),CE229/(1-IF(B229&lt;=10,Parámetros!$D$100,0))),2))</f>
        <v>0</v>
      </c>
      <c r="CH229" s="66">
        <f t="shared" si="269"/>
        <v>0</v>
      </c>
      <c r="CI229" s="66">
        <f t="shared" si="269"/>
        <v>0</v>
      </c>
      <c r="CJ229" s="66">
        <f>+IF($W229="","",ROUND((CG229*Parámetros!$G$85),2))</f>
        <v>0</v>
      </c>
      <c r="CK229" s="66">
        <f>+IF($W229="","",ROUND((CG229*(Parámetros!$G$86)),2))</f>
        <v>0</v>
      </c>
      <c r="CL229" s="66">
        <f t="shared" si="270"/>
        <v>0</v>
      </c>
      <c r="CM229" t="str">
        <f t="shared" si="311"/>
        <v>00063</v>
      </c>
      <c r="CN229" s="118" t="str">
        <f t="shared" si="312"/>
        <v>Renta Diaria por Hospitalización</v>
      </c>
      <c r="CO229" s="118">
        <f t="shared" si="313"/>
        <v>0</v>
      </c>
      <c r="CP229" s="118" t="str">
        <f t="shared" si="314"/>
        <v>A</v>
      </c>
      <c r="CQ229" s="119" t="str">
        <f t="shared" si="271"/>
        <v/>
      </c>
      <c r="CR229" s="66">
        <f>+IF($W229="","",ROUND((VLOOKUP(Parámetros!$F$51,'COBERTURAS ADICIONALES'!$S$4:$T$32,2,FALSE)*(1+i/frec)^-0.5*(1+Parámetros!$D$103)*(1+rec_fracc)/frec*$CO$42),2))</f>
        <v>0</v>
      </c>
      <c r="CS229" s="119" t="str">
        <f t="shared" si="272"/>
        <v/>
      </c>
      <c r="CT229" s="66">
        <f>+IF($W229="","",ROUND(IF($B229&gt;Parámetros!$D$107,'Tablas Servicio'!CR229+('Tablas Servicio'!CT228-'Tablas Servicio'!CR228),CR229/(1-IF(B229&lt;=10,Parámetros!$D$100,0))),2))</f>
        <v>0</v>
      </c>
      <c r="CU229" s="66">
        <f t="shared" si="273"/>
        <v>0</v>
      </c>
      <c r="CV229" s="66">
        <f t="shared" si="273"/>
        <v>0</v>
      </c>
      <c r="CW229" s="66">
        <f>+IF($W229="","",ROUND((CT229*Parámetros!$G$85),2))</f>
        <v>0</v>
      </c>
      <c r="CX229" s="66">
        <f>+IF($W229="","",ROUND((CT229*(Parámetros!$G$86)),2))</f>
        <v>0</v>
      </c>
      <c r="CY229" s="66">
        <f t="shared" si="274"/>
        <v>0</v>
      </c>
      <c r="CZ229" t="str">
        <f t="shared" si="315"/>
        <v>00064</v>
      </c>
      <c r="DA229" s="118" t="str">
        <f t="shared" si="316"/>
        <v>Enfermedades Graves</v>
      </c>
      <c r="DB229" s="118">
        <f t="shared" si="317"/>
        <v>0</v>
      </c>
      <c r="DC229" s="118" t="str">
        <f t="shared" si="318"/>
        <v>A</v>
      </c>
      <c r="DD229" s="121" t="str">
        <f>+IF(OR($W229="",DB229=0),"",ROUND((VLOOKUP(ROUNDDOWN($D229-1/frec,0),cob_adi,CO$40,FALSE)*(1+i/frec)^-0.5*(1+Parámetros!$D$103)*(1+rec_fracc)/frec),6))</f>
        <v/>
      </c>
      <c r="DE229" s="66">
        <f t="shared" si="275"/>
        <v>0</v>
      </c>
      <c r="DF229" s="119" t="str">
        <f t="shared" si="276"/>
        <v/>
      </c>
      <c r="DG229" s="66">
        <f>+IF($W229="","",ROUND(IF($B229&gt;Parámetros!$D$107,'Tablas Servicio'!DE229+('Tablas Servicio'!DG228-'Tablas Servicio'!DE228),DE229/(1-IF(B229&lt;=10,Parámetros!$D$100,0))),2))</f>
        <v>0</v>
      </c>
      <c r="DH229" s="66">
        <f t="shared" si="277"/>
        <v>0</v>
      </c>
      <c r="DI229" s="66">
        <f t="shared" si="277"/>
        <v>0</v>
      </c>
      <c r="DJ229" s="66">
        <f>+IF($W229="","",ROUND((DG229*Parámetros!$G$85),2))</f>
        <v>0</v>
      </c>
      <c r="DK229" s="66">
        <f>+IF($W229="","",ROUND((DG229*(Parámetros!$G$86)),2))</f>
        <v>0</v>
      </c>
      <c r="DL229" s="66">
        <f t="shared" si="278"/>
        <v>0</v>
      </c>
      <c r="DM229" t="str">
        <f t="shared" si="319"/>
        <v>00065</v>
      </c>
      <c r="DN229" s="118" t="str">
        <f t="shared" si="320"/>
        <v>Exención pago de primas</v>
      </c>
      <c r="DO229" s="118">
        <f t="shared" si="321"/>
        <v>0</v>
      </c>
      <c r="DP229" s="118" t="str">
        <f t="shared" si="322"/>
        <v>A</v>
      </c>
      <c r="DQ229" s="122" t="str">
        <f>+IF(OR($W229="",DO229=0),"",ROUND((VLOOKUP(ROUNDDOWN($D229-1/frec,0),cob_adi,DB$40,FALSE)*(1+i/frec)^-0.5*(1+Parámetros!$D$103)*(1+rec_fracc)/frec),6))</f>
        <v/>
      </c>
      <c r="DR229" s="66">
        <f t="shared" si="279"/>
        <v>0</v>
      </c>
      <c r="DS229" s="68" t="str">
        <f t="shared" si="280"/>
        <v/>
      </c>
      <c r="DT229" s="66">
        <f>+IF($W229="","",ROUND(IF($B229&gt;Parámetros!$D$107,'Tablas Servicio'!DR229+('Tablas Servicio'!DT228-'Tablas Servicio'!DR228),DR229/(1-IF(B229&lt;=10,Parámetros!$D$100,0))),2))</f>
        <v>0</v>
      </c>
      <c r="DU229" s="66">
        <f t="shared" si="281"/>
        <v>0</v>
      </c>
      <c r="DV229" s="66">
        <f t="shared" si="281"/>
        <v>0</v>
      </c>
      <c r="DW229" s="66">
        <f>+IF($W229="","",ROUND((DT229*Parámetros!$G$85),2))</f>
        <v>0</v>
      </c>
      <c r="DX229" s="66">
        <f>+IF($W229="","",ROUND((DT229*(Parámetros!$G$86)),2))</f>
        <v>0</v>
      </c>
      <c r="DY229" s="66">
        <f t="shared" si="282"/>
        <v>0</v>
      </c>
      <c r="DZ229" t="str">
        <f t="shared" si="325"/>
        <v>00066</v>
      </c>
      <c r="EA229" s="118" t="str">
        <f t="shared" si="325"/>
        <v>Enfermedad terminal</v>
      </c>
      <c r="EB229" s="118">
        <f>+IF($W229="","",ROUND(IF(Parámetros!$D$25='TABLAS MORT'!$V$33,EB228,Z229/2),0))</f>
        <v>50000</v>
      </c>
      <c r="EC229" s="118" t="str">
        <f t="shared" si="325"/>
        <v>A</v>
      </c>
      <c r="ED229" s="122">
        <f>+IF(OR($W229="",EB229=0),"",ROUND((VLOOKUP(ROUNDDOWN($D229-1/frec,0),cob_adi,DO$40,FALSE)*(1+i/frec)^-0.5*(1+Parámetros!$D$103)*(1+rec_fracc)/frec),6))</f>
        <v>2.6999999999999999E-5</v>
      </c>
      <c r="EE229" s="66">
        <f t="shared" si="284"/>
        <v>1.35</v>
      </c>
      <c r="EF229" s="68">
        <f t="shared" si="285"/>
        <v>2.6999999999999999E-5</v>
      </c>
      <c r="EG229" s="66">
        <f>+IF($W229="","",ROUND(IF($B229&gt;Parámetros!$D$107,'Tablas Servicio'!EE229+('Tablas Servicio'!EG228-'Tablas Servicio'!EE228),EE229/(1-IF(B229&lt;=10,Parámetros!$D$100,0))),2))</f>
        <v>1.35</v>
      </c>
      <c r="EH229" s="66">
        <f t="shared" si="286"/>
        <v>0</v>
      </c>
      <c r="EI229" s="66">
        <f t="shared" si="286"/>
        <v>0</v>
      </c>
      <c r="EJ229" s="66">
        <f>+IF($W229="","",ROUND((EG229*Parámetros!$G$85),2))</f>
        <v>0.05</v>
      </c>
      <c r="EK229" s="66">
        <f>+IF($W229="","",ROUND((EG229*(Parámetros!$G$86)),2))</f>
        <v>0.01</v>
      </c>
      <c r="EL229" s="66">
        <f t="shared" si="287"/>
        <v>1.41</v>
      </c>
    </row>
    <row r="230" spans="1:142" x14ac:dyDescent="0.25">
      <c r="A230">
        <f>+IF($C230="","",ROUND(VLOOKUP('Tablas Servicio'!B230,Parámetros!$H$100:$J$159,IF(Parámetros!$E$16="F",2,3),FALSE),2))</f>
        <v>150</v>
      </c>
      <c r="B230">
        <f t="shared" si="238"/>
        <v>16</v>
      </c>
      <c r="C230" s="57">
        <f>+IF(D230="","",'Tablas Servicio'!C229+1)</f>
        <v>189</v>
      </c>
      <c r="D230" s="56">
        <f>+IF(D229&lt;edadmaxtabla,D229+1/Parámetros!$E$25,"")</f>
        <v>55.770000000000451</v>
      </c>
      <c r="E230" s="57">
        <f t="shared" si="248"/>
        <v>55</v>
      </c>
      <c r="F230" s="59">
        <f t="shared" si="249"/>
        <v>100000</v>
      </c>
      <c r="G230" s="66">
        <f t="shared" si="239"/>
        <v>46.25</v>
      </c>
      <c r="H230" s="66">
        <f t="shared" si="240"/>
        <v>48.099999999999994</v>
      </c>
      <c r="I230" s="66">
        <f t="shared" si="288"/>
        <v>45.900000000000006</v>
      </c>
      <c r="J230" s="66">
        <f t="shared" si="241"/>
        <v>1.62</v>
      </c>
      <c r="K230" s="66">
        <f t="shared" si="242"/>
        <v>0.23</v>
      </c>
      <c r="L230" s="66">
        <f t="shared" si="243"/>
        <v>0</v>
      </c>
      <c r="M230" s="66">
        <f t="shared" si="244"/>
        <v>0</v>
      </c>
      <c r="N230" s="66">
        <f>+IF(C230="","",ROUND(Parámetros!$D$23,2))</f>
        <v>94</v>
      </c>
      <c r="O230" s="66">
        <f t="shared" si="245"/>
        <v>33.75</v>
      </c>
      <c r="P230" s="66">
        <f>+IF($C230="","",ROUND(IF(B230&gt;Parámetros!$D$117,0,N230*Parámetros!$D$116-G230*Parámetros!$D$100),2))</f>
        <v>0</v>
      </c>
      <c r="Q230" s="75">
        <f t="shared" si="289"/>
        <v>3.5027027027027029E-2</v>
      </c>
      <c r="R230" s="75">
        <f t="shared" si="290"/>
        <v>4.972972972972973E-3</v>
      </c>
      <c r="S230" s="117">
        <f>+IF($C230="","",ROUND((S229+I230)*(1+Parámetros!$D$91),2))</f>
        <v>13500.38</v>
      </c>
      <c r="T230" s="117">
        <f>+IF($C230="","",ROUND(S230*VLOOKUP(B230,Parámetros!$C$30:$D$39,2,TRUE),2))</f>
        <v>13500.38</v>
      </c>
      <c r="U230" s="117">
        <f>+IF($C230="","",ROUND((U229+I230)*(1+Parámetros!$D$92),2))</f>
        <v>14097.86</v>
      </c>
      <c r="V230" s="117">
        <f>+IF($C230="","",ROUND(U230*VLOOKUP(B230,Parámetros!$C$30:$D$39,2,TRUE),2))</f>
        <v>14097.86</v>
      </c>
      <c r="W230" s="57">
        <f t="shared" si="291"/>
        <v>189</v>
      </c>
      <c r="X230" t="str">
        <f t="shared" si="292"/>
        <v>00058</v>
      </c>
      <c r="Y230" t="str">
        <f t="shared" si="293"/>
        <v>MUERTE POR CUALQUIER CAUSA</v>
      </c>
      <c r="Z230" s="118">
        <f>+IF($W230="","",ROUND(IF(Parámetros!$D$25='TABLAS MORT'!$V$33,Z229,Parámetros!$D$21-'Tablas Servicio'!T229),0))</f>
        <v>100000</v>
      </c>
      <c r="AA230" s="118" t="str">
        <f t="shared" si="294"/>
        <v>P</v>
      </c>
      <c r="AB230" s="119">
        <f>+IF(W230="","",ROUND((VLOOKUP(ROUNDDOWN($D230-1/frec,0),qx_tabla,2,FALSE)*(1+i/frec)^-0.5*(1+Parámetros!$D$103)*(1+rec_fracc)/frec),6))</f>
        <v>3.2400000000000001E-4</v>
      </c>
      <c r="AC230" s="66">
        <f t="shared" si="250"/>
        <v>32.4</v>
      </c>
      <c r="AD230" s="119">
        <f t="shared" si="246"/>
        <v>4.4900000000000002E-4</v>
      </c>
      <c r="AE230" s="66">
        <f>+IF($W230="","",ROUND(IF($B230&gt;Parámetros!$D$107,'Tablas Servicio'!AC230+('Tablas Servicio'!AG229-'Tablas Servicio'!AC229),AC230/(1-IF(B230&lt;=10,Parámetros!$D$104,Parámetros!$D$105))),2))</f>
        <v>54</v>
      </c>
      <c r="AF230" s="66">
        <f>+IF($W230="","",ROUND(IF($B230&gt;Parámetros!$D$107,'Tablas Servicio'!AC230+('Tablas Servicio'!AG229-'Tablas Servicio'!AC229),(AC230+$A229/frec)/(1-IF(B230&lt;=Parámetros!$D$117,Parámetros!$D$100,0))),2))</f>
        <v>44.9</v>
      </c>
      <c r="AG230" s="66">
        <f t="shared" si="251"/>
        <v>44.9</v>
      </c>
      <c r="AH230" s="66">
        <f t="shared" si="252"/>
        <v>0</v>
      </c>
      <c r="AI230" s="66">
        <f t="shared" si="253"/>
        <v>0</v>
      </c>
      <c r="AJ230" s="66">
        <f>+IF($W230="","",ROUND((AG230*Parámetros!$G$85),2))</f>
        <v>1.57</v>
      </c>
      <c r="AK230" s="66">
        <f>+IF($W230="","",ROUND((AG230*(Parámetros!$G$86)),2))</f>
        <v>0.22</v>
      </c>
      <c r="AL230" s="66">
        <f t="shared" si="247"/>
        <v>46.69</v>
      </c>
      <c r="AM230" t="str">
        <f t="shared" si="295"/>
        <v>00059</v>
      </c>
      <c r="AN230" t="str">
        <f t="shared" si="296"/>
        <v>Incapacidad Total y Permanente</v>
      </c>
      <c r="AO230" s="118">
        <f t="shared" si="297"/>
        <v>0</v>
      </c>
      <c r="AP230" s="118" t="str">
        <f t="shared" si="298"/>
        <v>A</v>
      </c>
      <c r="AQ230" s="119" t="str">
        <f>+IF(OR($W230="",AO230=0),"",ROUND((VLOOKUP(ROUNDDOWN($D230-1/frec,0),cob_adi,Z$40,FALSE)*(1+i/frec)^-0.5*(1+Parámetros!$D$103)*(1+rec_fracc)/frec),6))</f>
        <v/>
      </c>
      <c r="AR230" s="66">
        <f t="shared" si="254"/>
        <v>0</v>
      </c>
      <c r="AS230" s="119" t="str">
        <f t="shared" si="255"/>
        <v/>
      </c>
      <c r="AT230" s="66">
        <f>+IF($W230="","",ROUND(IF($B230&gt;Parámetros!$D$107,'Tablas Servicio'!AR230+('Tablas Servicio'!AT229-'Tablas Servicio'!AR229),AR230/(1-IF(B230&lt;=10,Parámetros!$D$100,0))),2))</f>
        <v>0</v>
      </c>
      <c r="AU230" s="66">
        <f t="shared" si="256"/>
        <v>0</v>
      </c>
      <c r="AV230" s="66">
        <f t="shared" si="256"/>
        <v>0</v>
      </c>
      <c r="AW230" s="66">
        <f>+IF($W230="","",ROUND((AT230*Parámetros!$G$85),2))</f>
        <v>0</v>
      </c>
      <c r="AX230" s="66">
        <f>+IF($W230="","",ROUND((AT230*(Parámetros!$G$86)),2))</f>
        <v>0</v>
      </c>
      <c r="AY230" s="66">
        <f t="shared" si="257"/>
        <v>0</v>
      </c>
      <c r="AZ230" t="str">
        <f t="shared" si="299"/>
        <v>00060</v>
      </c>
      <c r="BA230" t="str">
        <f t="shared" si="300"/>
        <v>Muerte Accidental</v>
      </c>
      <c r="BB230" s="118">
        <f t="shared" si="301"/>
        <v>0</v>
      </c>
      <c r="BC230" s="118" t="str">
        <f t="shared" si="302"/>
        <v>A</v>
      </c>
      <c r="BD230" s="119" t="str">
        <f>+IF(OR($W230="",BB230=0),"",ROUND((VLOOKUP(ROUNDDOWN($D230-1/frec,0),cob_adi,AO$40,FALSE)*(1+i/frec)^-0.5*(1+Parámetros!$D$103)*(1+rec_fracc)/frec),6))</f>
        <v/>
      </c>
      <c r="BE230" s="66">
        <f t="shared" si="258"/>
        <v>0</v>
      </c>
      <c r="BF230" s="119" t="str">
        <f t="shared" si="259"/>
        <v/>
      </c>
      <c r="BG230" s="66">
        <f>+IF($W230="","",ROUND(IF($B230&gt;Parámetros!$D$107,'Tablas Servicio'!BE230+('Tablas Servicio'!BG229-'Tablas Servicio'!BE229),BE230/(1-IF(B230&lt;=10,Parámetros!$D$100,0))),2))</f>
        <v>0</v>
      </c>
      <c r="BH230" s="66">
        <f t="shared" si="260"/>
        <v>0</v>
      </c>
      <c r="BI230" s="66">
        <f t="shared" si="261"/>
        <v>0</v>
      </c>
      <c r="BJ230" s="66">
        <f>+IF($W230="","",ROUND((BG230*Parámetros!$G$85),2))</f>
        <v>0</v>
      </c>
      <c r="BK230" s="66">
        <f>+IF($W230="","",ROUND((BG230*(Parámetros!$G$86)),2))</f>
        <v>0</v>
      </c>
      <c r="BL230" s="66">
        <f t="shared" si="262"/>
        <v>0</v>
      </c>
      <c r="BM230" t="str">
        <f t="shared" si="303"/>
        <v>00061</v>
      </c>
      <c r="BN230" t="str">
        <f t="shared" si="304"/>
        <v>Gastos de Entierro</v>
      </c>
      <c r="BO230" s="118">
        <f t="shared" si="305"/>
        <v>0</v>
      </c>
      <c r="BP230" s="118" t="str">
        <f t="shared" si="306"/>
        <v>A</v>
      </c>
      <c r="BQ230" s="119" t="str">
        <f>+IF(OR($W230="",BO230=0),"",ROUND((VLOOKUP(ROUNDDOWN($D230-1/frec,0),cob_adi,BB$40,FALSE)*(1+i/frec)^-0.5*(1+Parámetros!$D$103)*(1+rec_fracc)/frec),6))</f>
        <v/>
      </c>
      <c r="BR230" s="66">
        <f t="shared" si="263"/>
        <v>0</v>
      </c>
      <c r="BS230" s="119" t="str">
        <f t="shared" si="264"/>
        <v/>
      </c>
      <c r="BT230" s="66">
        <f>+IF($W230="","",ROUND(IF($B230&gt;Parámetros!$D$107,'Tablas Servicio'!BR230+('Tablas Servicio'!BT229-'Tablas Servicio'!BR229),BR230/(1-IF(B230&lt;=10,Parámetros!$D$100,0))),2))</f>
        <v>0</v>
      </c>
      <c r="BU230" s="66">
        <f t="shared" si="265"/>
        <v>0</v>
      </c>
      <c r="BV230" s="66">
        <f t="shared" si="265"/>
        <v>0</v>
      </c>
      <c r="BW230" s="66">
        <f>+IF($W230="","",ROUND((BT230*Parámetros!$G$85),2))</f>
        <v>0</v>
      </c>
      <c r="BX230" s="66">
        <f>+IF($W230="","",ROUND((BT230*(Parámetros!$G$86)),2))</f>
        <v>0</v>
      </c>
      <c r="BY230" s="66">
        <f t="shared" si="266"/>
        <v>0</v>
      </c>
      <c r="BZ230" t="str">
        <f t="shared" si="307"/>
        <v>00062</v>
      </c>
      <c r="CA230" t="str">
        <f t="shared" si="308"/>
        <v>Gastos médicos por accidente</v>
      </c>
      <c r="CB230" s="118">
        <f t="shared" si="309"/>
        <v>0</v>
      </c>
      <c r="CC230" s="118" t="str">
        <f t="shared" si="310"/>
        <v>A</v>
      </c>
      <c r="CD230" s="119" t="str">
        <f t="shared" si="267"/>
        <v/>
      </c>
      <c r="CE230" s="66">
        <f>+IF($W230="","",ROUND((VLOOKUP(ROUNDDOWN($D230-1/frec,0),cob_adi,BO$40,FALSE)*(1+i/frec)^-0.5*(1+Parámetros!$D$103)*(1+rec_fracc)/frec*'TABLAS ADI'!$BC$17),2))</f>
        <v>0</v>
      </c>
      <c r="CF230" s="119" t="str">
        <f t="shared" si="268"/>
        <v/>
      </c>
      <c r="CG230" s="66">
        <f>+IF($W230="","",ROUND(IF($B230&gt;Parámetros!$D$107,'Tablas Servicio'!CE230+('Tablas Servicio'!CG229-'Tablas Servicio'!CE229),CE230/(1-IF(B230&lt;=10,Parámetros!$D$100,0))),2))</f>
        <v>0</v>
      </c>
      <c r="CH230" s="66">
        <f t="shared" si="269"/>
        <v>0</v>
      </c>
      <c r="CI230" s="66">
        <f t="shared" si="269"/>
        <v>0</v>
      </c>
      <c r="CJ230" s="66">
        <f>+IF($W230="","",ROUND((CG230*Parámetros!$G$85),2))</f>
        <v>0</v>
      </c>
      <c r="CK230" s="66">
        <f>+IF($W230="","",ROUND((CG230*(Parámetros!$G$86)),2))</f>
        <v>0</v>
      </c>
      <c r="CL230" s="66">
        <f t="shared" si="270"/>
        <v>0</v>
      </c>
      <c r="CM230" t="str">
        <f t="shared" si="311"/>
        <v>00063</v>
      </c>
      <c r="CN230" s="118" t="str">
        <f t="shared" si="312"/>
        <v>Renta Diaria por Hospitalización</v>
      </c>
      <c r="CO230" s="118">
        <f t="shared" si="313"/>
        <v>0</v>
      </c>
      <c r="CP230" s="118" t="str">
        <f t="shared" si="314"/>
        <v>A</v>
      </c>
      <c r="CQ230" s="119" t="str">
        <f t="shared" si="271"/>
        <v/>
      </c>
      <c r="CR230" s="66">
        <f>+IF($W230="","",ROUND((VLOOKUP(Parámetros!$F$51,'COBERTURAS ADICIONALES'!$S$4:$T$32,2,FALSE)*(1+i/frec)^-0.5*(1+Parámetros!$D$103)*(1+rec_fracc)/frec*$CO$42),2))</f>
        <v>0</v>
      </c>
      <c r="CS230" s="119" t="str">
        <f t="shared" si="272"/>
        <v/>
      </c>
      <c r="CT230" s="66">
        <f>+IF($W230="","",ROUND(IF($B230&gt;Parámetros!$D$107,'Tablas Servicio'!CR230+('Tablas Servicio'!CT229-'Tablas Servicio'!CR229),CR230/(1-IF(B230&lt;=10,Parámetros!$D$100,0))),2))</f>
        <v>0</v>
      </c>
      <c r="CU230" s="66">
        <f t="shared" si="273"/>
        <v>0</v>
      </c>
      <c r="CV230" s="66">
        <f t="shared" si="273"/>
        <v>0</v>
      </c>
      <c r="CW230" s="66">
        <f>+IF($W230="","",ROUND((CT230*Parámetros!$G$85),2))</f>
        <v>0</v>
      </c>
      <c r="CX230" s="66">
        <f>+IF($W230="","",ROUND((CT230*(Parámetros!$G$86)),2))</f>
        <v>0</v>
      </c>
      <c r="CY230" s="66">
        <f t="shared" si="274"/>
        <v>0</v>
      </c>
      <c r="CZ230" t="str">
        <f t="shared" si="315"/>
        <v>00064</v>
      </c>
      <c r="DA230" s="118" t="str">
        <f t="shared" si="316"/>
        <v>Enfermedades Graves</v>
      </c>
      <c r="DB230" s="118">
        <f t="shared" si="317"/>
        <v>0</v>
      </c>
      <c r="DC230" s="118" t="str">
        <f t="shared" si="318"/>
        <v>A</v>
      </c>
      <c r="DD230" s="121" t="str">
        <f>+IF(OR($W230="",DB230=0),"",ROUND((VLOOKUP(ROUNDDOWN($D230-1/frec,0),cob_adi,CO$40,FALSE)*(1+i/frec)^-0.5*(1+Parámetros!$D$103)*(1+rec_fracc)/frec),6))</f>
        <v/>
      </c>
      <c r="DE230" s="66">
        <f t="shared" si="275"/>
        <v>0</v>
      </c>
      <c r="DF230" s="119" t="str">
        <f t="shared" si="276"/>
        <v/>
      </c>
      <c r="DG230" s="66">
        <f>+IF($W230="","",ROUND(IF($B230&gt;Parámetros!$D$107,'Tablas Servicio'!DE230+('Tablas Servicio'!DG229-'Tablas Servicio'!DE229),DE230/(1-IF(B230&lt;=10,Parámetros!$D$100,0))),2))</f>
        <v>0</v>
      </c>
      <c r="DH230" s="66">
        <f t="shared" si="277"/>
        <v>0</v>
      </c>
      <c r="DI230" s="66">
        <f t="shared" si="277"/>
        <v>0</v>
      </c>
      <c r="DJ230" s="66">
        <f>+IF($W230="","",ROUND((DG230*Parámetros!$G$85),2))</f>
        <v>0</v>
      </c>
      <c r="DK230" s="66">
        <f>+IF($W230="","",ROUND((DG230*(Parámetros!$G$86)),2))</f>
        <v>0</v>
      </c>
      <c r="DL230" s="66">
        <f t="shared" si="278"/>
        <v>0</v>
      </c>
      <c r="DM230" t="str">
        <f t="shared" si="319"/>
        <v>00065</v>
      </c>
      <c r="DN230" s="118" t="str">
        <f t="shared" si="320"/>
        <v>Exención pago de primas</v>
      </c>
      <c r="DO230" s="118">
        <f t="shared" si="321"/>
        <v>0</v>
      </c>
      <c r="DP230" s="118" t="str">
        <f t="shared" si="322"/>
        <v>A</v>
      </c>
      <c r="DQ230" s="122" t="str">
        <f>+IF(OR($W230="",DO230=0),"",ROUND((VLOOKUP(ROUNDDOWN($D230-1/frec,0),cob_adi,DB$40,FALSE)*(1+i/frec)^-0.5*(1+Parámetros!$D$103)*(1+rec_fracc)/frec),6))</f>
        <v/>
      </c>
      <c r="DR230" s="66">
        <f t="shared" si="279"/>
        <v>0</v>
      </c>
      <c r="DS230" s="68" t="str">
        <f t="shared" si="280"/>
        <v/>
      </c>
      <c r="DT230" s="66">
        <f>+IF($W230="","",ROUND(IF($B230&gt;Parámetros!$D$107,'Tablas Servicio'!DR230+('Tablas Servicio'!DT229-'Tablas Servicio'!DR229),DR230/(1-IF(B230&lt;=10,Parámetros!$D$100,0))),2))</f>
        <v>0</v>
      </c>
      <c r="DU230" s="66">
        <f t="shared" si="281"/>
        <v>0</v>
      </c>
      <c r="DV230" s="66">
        <f t="shared" si="281"/>
        <v>0</v>
      </c>
      <c r="DW230" s="66">
        <f>+IF($W230="","",ROUND((DT230*Parámetros!$G$85),2))</f>
        <v>0</v>
      </c>
      <c r="DX230" s="66">
        <f>+IF($W230="","",ROUND((DT230*(Parámetros!$G$86)),2))</f>
        <v>0</v>
      </c>
      <c r="DY230" s="66">
        <f t="shared" si="282"/>
        <v>0</v>
      </c>
      <c r="DZ230" t="str">
        <f t="shared" si="325"/>
        <v>00066</v>
      </c>
      <c r="EA230" s="118" t="str">
        <f t="shared" si="325"/>
        <v>Enfermedad terminal</v>
      </c>
      <c r="EB230" s="118">
        <f>+IF($W230="","",ROUND(IF(Parámetros!$D$25='TABLAS MORT'!$V$33,EB229,Z230/2),0))</f>
        <v>50000</v>
      </c>
      <c r="EC230" s="118" t="str">
        <f t="shared" si="325"/>
        <v>A</v>
      </c>
      <c r="ED230" s="122">
        <f>+IF(OR($W230="",EB230=0),"",ROUND((VLOOKUP(ROUNDDOWN($D230-1/frec,0),cob_adi,DO$40,FALSE)*(1+i/frec)^-0.5*(1+Parámetros!$D$103)*(1+rec_fracc)/frec),6))</f>
        <v>2.6999999999999999E-5</v>
      </c>
      <c r="EE230" s="66">
        <f t="shared" si="284"/>
        <v>1.35</v>
      </c>
      <c r="EF230" s="68">
        <f t="shared" si="285"/>
        <v>2.6999999999999999E-5</v>
      </c>
      <c r="EG230" s="66">
        <f>+IF($W230="","",ROUND(IF($B230&gt;Parámetros!$D$107,'Tablas Servicio'!EE230+('Tablas Servicio'!EG229-'Tablas Servicio'!EE229),EE230/(1-IF(B230&lt;=10,Parámetros!$D$100,0))),2))</f>
        <v>1.35</v>
      </c>
      <c r="EH230" s="66">
        <f t="shared" si="286"/>
        <v>0</v>
      </c>
      <c r="EI230" s="66">
        <f t="shared" si="286"/>
        <v>0</v>
      </c>
      <c r="EJ230" s="66">
        <f>+IF($W230="","",ROUND((EG230*Parámetros!$G$85),2))</f>
        <v>0.05</v>
      </c>
      <c r="EK230" s="66">
        <f>+IF($W230="","",ROUND((EG230*(Parámetros!$G$86)),2))</f>
        <v>0.01</v>
      </c>
      <c r="EL230" s="66">
        <f t="shared" si="287"/>
        <v>1.41</v>
      </c>
    </row>
    <row r="231" spans="1:142" x14ac:dyDescent="0.25">
      <c r="A231">
        <f>+IF($C231="","",ROUND(VLOOKUP('Tablas Servicio'!B231,Parámetros!$H$100:$J$159,IF(Parámetros!$E$16="F",2,3),FALSE),2))</f>
        <v>150</v>
      </c>
      <c r="B231">
        <f t="shared" si="238"/>
        <v>16</v>
      </c>
      <c r="C231" s="57">
        <f>+IF(D231="","",'Tablas Servicio'!C230+1)</f>
        <v>190</v>
      </c>
      <c r="D231" s="56">
        <f>+IF(D230&lt;edadmaxtabla,D230+1/Parámetros!$E$25,"")</f>
        <v>55.853333333333786</v>
      </c>
      <c r="E231" s="57">
        <f t="shared" si="248"/>
        <v>55</v>
      </c>
      <c r="F231" s="59">
        <f t="shared" si="249"/>
        <v>100000</v>
      </c>
      <c r="G231" s="66">
        <f t="shared" si="239"/>
        <v>46.25</v>
      </c>
      <c r="H231" s="66">
        <f t="shared" si="240"/>
        <v>48.099999999999994</v>
      </c>
      <c r="I231" s="66">
        <f t="shared" si="288"/>
        <v>45.900000000000006</v>
      </c>
      <c r="J231" s="66">
        <f t="shared" si="241"/>
        <v>1.62</v>
      </c>
      <c r="K231" s="66">
        <f t="shared" si="242"/>
        <v>0.23</v>
      </c>
      <c r="L231" s="66">
        <f t="shared" si="243"/>
        <v>0</v>
      </c>
      <c r="M231" s="66">
        <f t="shared" si="244"/>
        <v>0</v>
      </c>
      <c r="N231" s="66">
        <f>+IF(C231="","",ROUND(Parámetros!$D$23,2))</f>
        <v>94</v>
      </c>
      <c r="O231" s="66">
        <f t="shared" si="245"/>
        <v>33.75</v>
      </c>
      <c r="P231" s="66">
        <f>+IF($C231="","",ROUND(IF(B231&gt;Parámetros!$D$117,0,N231*Parámetros!$D$116-G231*Parámetros!$D$100),2))</f>
        <v>0</v>
      </c>
      <c r="Q231" s="75">
        <f t="shared" si="289"/>
        <v>3.5027027027027029E-2</v>
      </c>
      <c r="R231" s="75">
        <f t="shared" si="290"/>
        <v>4.972972972972973E-3</v>
      </c>
      <c r="S231" s="117">
        <f>+IF($C231="","",ROUND((S230+I231)*(1+Parámetros!$D$91),2))</f>
        <v>13584.7</v>
      </c>
      <c r="T231" s="117">
        <f>+IF($C231="","",ROUND(S231*VLOOKUP(B231,Parámetros!$C$30:$D$39,2,TRUE),2))</f>
        <v>13584.7</v>
      </c>
      <c r="U231" s="117">
        <f>+IF($C231="","",ROUND((U230+I231)*(1+Parámetros!$D$92),2))</f>
        <v>14189.61</v>
      </c>
      <c r="V231" s="117">
        <f>+IF($C231="","",ROUND(U231*VLOOKUP(B231,Parámetros!$C$30:$D$39,2,TRUE),2))</f>
        <v>14189.61</v>
      </c>
      <c r="W231" s="57">
        <f t="shared" si="291"/>
        <v>190</v>
      </c>
      <c r="X231" t="str">
        <f t="shared" si="292"/>
        <v>00058</v>
      </c>
      <c r="Y231" t="str">
        <f t="shared" si="293"/>
        <v>MUERTE POR CUALQUIER CAUSA</v>
      </c>
      <c r="Z231" s="118">
        <f>+IF($W231="","",ROUND(IF(Parámetros!$D$25='TABLAS MORT'!$V$33,Z230,Parámetros!$D$21-'Tablas Servicio'!T230),0))</f>
        <v>100000</v>
      </c>
      <c r="AA231" s="118" t="str">
        <f t="shared" si="294"/>
        <v>P</v>
      </c>
      <c r="AB231" s="119">
        <f>+IF(W231="","",ROUND((VLOOKUP(ROUNDDOWN($D231-1/frec,0),qx_tabla,2,FALSE)*(1+i/frec)^-0.5*(1+Parámetros!$D$103)*(1+rec_fracc)/frec),6))</f>
        <v>3.2400000000000001E-4</v>
      </c>
      <c r="AC231" s="66">
        <f t="shared" si="250"/>
        <v>32.4</v>
      </c>
      <c r="AD231" s="119">
        <f t="shared" si="246"/>
        <v>4.4900000000000002E-4</v>
      </c>
      <c r="AE231" s="66">
        <f>+IF($W231="","",ROUND(IF($B231&gt;Parámetros!$D$107,'Tablas Servicio'!AC231+('Tablas Servicio'!AG230-'Tablas Servicio'!AC230),AC231/(1-IF(B231&lt;=10,Parámetros!$D$104,Parámetros!$D$105))),2))</f>
        <v>54</v>
      </c>
      <c r="AF231" s="66">
        <f>+IF($W231="","",ROUND(IF($B231&gt;Parámetros!$D$107,'Tablas Servicio'!AC231+('Tablas Servicio'!AG230-'Tablas Servicio'!AC230),(AC231+$A230/frec)/(1-IF(B231&lt;=Parámetros!$D$117,Parámetros!$D$100,0))),2))</f>
        <v>44.9</v>
      </c>
      <c r="AG231" s="66">
        <f t="shared" si="251"/>
        <v>44.9</v>
      </c>
      <c r="AH231" s="66">
        <f t="shared" si="252"/>
        <v>0</v>
      </c>
      <c r="AI231" s="66">
        <f t="shared" si="253"/>
        <v>0</v>
      </c>
      <c r="AJ231" s="66">
        <f>+IF($W231="","",ROUND((AG231*Parámetros!$G$85),2))</f>
        <v>1.57</v>
      </c>
      <c r="AK231" s="66">
        <f>+IF($W231="","",ROUND((AG231*(Parámetros!$G$86)),2))</f>
        <v>0.22</v>
      </c>
      <c r="AL231" s="66">
        <f t="shared" si="247"/>
        <v>46.69</v>
      </c>
      <c r="AM231" t="str">
        <f t="shared" si="295"/>
        <v>00059</v>
      </c>
      <c r="AN231" t="str">
        <f t="shared" si="296"/>
        <v>Incapacidad Total y Permanente</v>
      </c>
      <c r="AO231" s="118">
        <f t="shared" si="297"/>
        <v>0</v>
      </c>
      <c r="AP231" s="118" t="str">
        <f t="shared" si="298"/>
        <v>A</v>
      </c>
      <c r="AQ231" s="119" t="str">
        <f>+IF(OR($W231="",AO231=0),"",ROUND((VLOOKUP(ROUNDDOWN($D231-1/frec,0),cob_adi,Z$40,FALSE)*(1+i/frec)^-0.5*(1+Parámetros!$D$103)*(1+rec_fracc)/frec),6))</f>
        <v/>
      </c>
      <c r="AR231" s="66">
        <f t="shared" si="254"/>
        <v>0</v>
      </c>
      <c r="AS231" s="119" t="str">
        <f t="shared" si="255"/>
        <v/>
      </c>
      <c r="AT231" s="66">
        <f>+IF($W231="","",ROUND(IF($B231&gt;Parámetros!$D$107,'Tablas Servicio'!AR231+('Tablas Servicio'!AT230-'Tablas Servicio'!AR230),AR231/(1-IF(B231&lt;=10,Parámetros!$D$100,0))),2))</f>
        <v>0</v>
      </c>
      <c r="AU231" s="66">
        <f t="shared" si="256"/>
        <v>0</v>
      </c>
      <c r="AV231" s="66">
        <f t="shared" si="256"/>
        <v>0</v>
      </c>
      <c r="AW231" s="66">
        <f>+IF($W231="","",ROUND((AT231*Parámetros!$G$85),2))</f>
        <v>0</v>
      </c>
      <c r="AX231" s="66">
        <f>+IF($W231="","",ROUND((AT231*(Parámetros!$G$86)),2))</f>
        <v>0</v>
      </c>
      <c r="AY231" s="66">
        <f t="shared" si="257"/>
        <v>0</v>
      </c>
      <c r="AZ231" t="str">
        <f t="shared" si="299"/>
        <v>00060</v>
      </c>
      <c r="BA231" t="str">
        <f t="shared" si="300"/>
        <v>Muerte Accidental</v>
      </c>
      <c r="BB231" s="118">
        <f t="shared" si="301"/>
        <v>0</v>
      </c>
      <c r="BC231" s="118" t="str">
        <f t="shared" si="302"/>
        <v>A</v>
      </c>
      <c r="BD231" s="119" t="str">
        <f>+IF(OR($W231="",BB231=0),"",ROUND((VLOOKUP(ROUNDDOWN($D231-1/frec,0),cob_adi,AO$40,FALSE)*(1+i/frec)^-0.5*(1+Parámetros!$D$103)*(1+rec_fracc)/frec),6))</f>
        <v/>
      </c>
      <c r="BE231" s="66">
        <f t="shared" si="258"/>
        <v>0</v>
      </c>
      <c r="BF231" s="119" t="str">
        <f t="shared" si="259"/>
        <v/>
      </c>
      <c r="BG231" s="66">
        <f>+IF($W231="","",ROUND(IF($B231&gt;Parámetros!$D$107,'Tablas Servicio'!BE231+('Tablas Servicio'!BG230-'Tablas Servicio'!BE230),BE231/(1-IF(B231&lt;=10,Parámetros!$D$100,0))),2))</f>
        <v>0</v>
      </c>
      <c r="BH231" s="66">
        <f t="shared" si="260"/>
        <v>0</v>
      </c>
      <c r="BI231" s="66">
        <f t="shared" si="261"/>
        <v>0</v>
      </c>
      <c r="BJ231" s="66">
        <f>+IF($W231="","",ROUND((BG231*Parámetros!$G$85),2))</f>
        <v>0</v>
      </c>
      <c r="BK231" s="66">
        <f>+IF($W231="","",ROUND((BG231*(Parámetros!$G$86)),2))</f>
        <v>0</v>
      </c>
      <c r="BL231" s="66">
        <f t="shared" si="262"/>
        <v>0</v>
      </c>
      <c r="BM231" t="str">
        <f t="shared" si="303"/>
        <v>00061</v>
      </c>
      <c r="BN231" t="str">
        <f t="shared" si="304"/>
        <v>Gastos de Entierro</v>
      </c>
      <c r="BO231" s="118">
        <f t="shared" si="305"/>
        <v>0</v>
      </c>
      <c r="BP231" s="118" t="str">
        <f t="shared" si="306"/>
        <v>A</v>
      </c>
      <c r="BQ231" s="119" t="str">
        <f>+IF(OR($W231="",BO231=0),"",ROUND((VLOOKUP(ROUNDDOWN($D231-1/frec,0),cob_adi,BB$40,FALSE)*(1+i/frec)^-0.5*(1+Parámetros!$D$103)*(1+rec_fracc)/frec),6))</f>
        <v/>
      </c>
      <c r="BR231" s="66">
        <f t="shared" si="263"/>
        <v>0</v>
      </c>
      <c r="BS231" s="119" t="str">
        <f t="shared" si="264"/>
        <v/>
      </c>
      <c r="BT231" s="66">
        <f>+IF($W231="","",ROUND(IF($B231&gt;Parámetros!$D$107,'Tablas Servicio'!BR231+('Tablas Servicio'!BT230-'Tablas Servicio'!BR230),BR231/(1-IF(B231&lt;=10,Parámetros!$D$100,0))),2))</f>
        <v>0</v>
      </c>
      <c r="BU231" s="66">
        <f t="shared" si="265"/>
        <v>0</v>
      </c>
      <c r="BV231" s="66">
        <f t="shared" si="265"/>
        <v>0</v>
      </c>
      <c r="BW231" s="66">
        <f>+IF($W231="","",ROUND((BT231*Parámetros!$G$85),2))</f>
        <v>0</v>
      </c>
      <c r="BX231" s="66">
        <f>+IF($W231="","",ROUND((BT231*(Parámetros!$G$86)),2))</f>
        <v>0</v>
      </c>
      <c r="BY231" s="66">
        <f t="shared" si="266"/>
        <v>0</v>
      </c>
      <c r="BZ231" t="str">
        <f t="shared" si="307"/>
        <v>00062</v>
      </c>
      <c r="CA231" t="str">
        <f t="shared" si="308"/>
        <v>Gastos médicos por accidente</v>
      </c>
      <c r="CB231" s="118">
        <f t="shared" si="309"/>
        <v>0</v>
      </c>
      <c r="CC231" s="118" t="str">
        <f t="shared" si="310"/>
        <v>A</v>
      </c>
      <c r="CD231" s="119" t="str">
        <f t="shared" si="267"/>
        <v/>
      </c>
      <c r="CE231" s="66">
        <f>+IF($W231="","",ROUND((VLOOKUP(ROUNDDOWN($D231-1/frec,0),cob_adi,BO$40,FALSE)*(1+i/frec)^-0.5*(1+Parámetros!$D$103)*(1+rec_fracc)/frec*'TABLAS ADI'!$BC$17),2))</f>
        <v>0</v>
      </c>
      <c r="CF231" s="119" t="str">
        <f t="shared" si="268"/>
        <v/>
      </c>
      <c r="CG231" s="66">
        <f>+IF($W231="","",ROUND(IF($B231&gt;Parámetros!$D$107,'Tablas Servicio'!CE231+('Tablas Servicio'!CG230-'Tablas Servicio'!CE230),CE231/(1-IF(B231&lt;=10,Parámetros!$D$100,0))),2))</f>
        <v>0</v>
      </c>
      <c r="CH231" s="66">
        <f t="shared" si="269"/>
        <v>0</v>
      </c>
      <c r="CI231" s="66">
        <f t="shared" si="269"/>
        <v>0</v>
      </c>
      <c r="CJ231" s="66">
        <f>+IF($W231="","",ROUND((CG231*Parámetros!$G$85),2))</f>
        <v>0</v>
      </c>
      <c r="CK231" s="66">
        <f>+IF($W231="","",ROUND((CG231*(Parámetros!$G$86)),2))</f>
        <v>0</v>
      </c>
      <c r="CL231" s="66">
        <f t="shared" si="270"/>
        <v>0</v>
      </c>
      <c r="CM231" t="str">
        <f t="shared" si="311"/>
        <v>00063</v>
      </c>
      <c r="CN231" s="118" t="str">
        <f t="shared" si="312"/>
        <v>Renta Diaria por Hospitalización</v>
      </c>
      <c r="CO231" s="118">
        <f t="shared" si="313"/>
        <v>0</v>
      </c>
      <c r="CP231" s="118" t="str">
        <f t="shared" si="314"/>
        <v>A</v>
      </c>
      <c r="CQ231" s="119" t="str">
        <f t="shared" si="271"/>
        <v/>
      </c>
      <c r="CR231" s="66">
        <f>+IF($W231="","",ROUND((VLOOKUP(Parámetros!$F$51,'COBERTURAS ADICIONALES'!$S$4:$T$32,2,FALSE)*(1+i/frec)^-0.5*(1+Parámetros!$D$103)*(1+rec_fracc)/frec*$CO$42),2))</f>
        <v>0</v>
      </c>
      <c r="CS231" s="119" t="str">
        <f t="shared" si="272"/>
        <v/>
      </c>
      <c r="CT231" s="66">
        <f>+IF($W231="","",ROUND(IF($B231&gt;Parámetros!$D$107,'Tablas Servicio'!CR231+('Tablas Servicio'!CT230-'Tablas Servicio'!CR230),CR231/(1-IF(B231&lt;=10,Parámetros!$D$100,0))),2))</f>
        <v>0</v>
      </c>
      <c r="CU231" s="66">
        <f t="shared" si="273"/>
        <v>0</v>
      </c>
      <c r="CV231" s="66">
        <f t="shared" si="273"/>
        <v>0</v>
      </c>
      <c r="CW231" s="66">
        <f>+IF($W231="","",ROUND((CT231*Parámetros!$G$85),2))</f>
        <v>0</v>
      </c>
      <c r="CX231" s="66">
        <f>+IF($W231="","",ROUND((CT231*(Parámetros!$G$86)),2))</f>
        <v>0</v>
      </c>
      <c r="CY231" s="66">
        <f t="shared" si="274"/>
        <v>0</v>
      </c>
      <c r="CZ231" t="str">
        <f t="shared" si="315"/>
        <v>00064</v>
      </c>
      <c r="DA231" s="118" t="str">
        <f t="shared" si="316"/>
        <v>Enfermedades Graves</v>
      </c>
      <c r="DB231" s="118">
        <f t="shared" si="317"/>
        <v>0</v>
      </c>
      <c r="DC231" s="118" t="str">
        <f t="shared" si="318"/>
        <v>A</v>
      </c>
      <c r="DD231" s="121" t="str">
        <f>+IF(OR($W231="",DB231=0),"",ROUND((VLOOKUP(ROUNDDOWN($D231-1/frec,0),cob_adi,CO$40,FALSE)*(1+i/frec)^-0.5*(1+Parámetros!$D$103)*(1+rec_fracc)/frec),6))</f>
        <v/>
      </c>
      <c r="DE231" s="66">
        <f t="shared" si="275"/>
        <v>0</v>
      </c>
      <c r="DF231" s="119" t="str">
        <f t="shared" si="276"/>
        <v/>
      </c>
      <c r="DG231" s="66">
        <f>+IF($W231="","",ROUND(IF($B231&gt;Parámetros!$D$107,'Tablas Servicio'!DE231+('Tablas Servicio'!DG230-'Tablas Servicio'!DE230),DE231/(1-IF(B231&lt;=10,Parámetros!$D$100,0))),2))</f>
        <v>0</v>
      </c>
      <c r="DH231" s="66">
        <f t="shared" si="277"/>
        <v>0</v>
      </c>
      <c r="DI231" s="66">
        <f t="shared" si="277"/>
        <v>0</v>
      </c>
      <c r="DJ231" s="66">
        <f>+IF($W231="","",ROUND((DG231*Parámetros!$G$85),2))</f>
        <v>0</v>
      </c>
      <c r="DK231" s="66">
        <f>+IF($W231="","",ROUND((DG231*(Parámetros!$G$86)),2))</f>
        <v>0</v>
      </c>
      <c r="DL231" s="66">
        <f t="shared" si="278"/>
        <v>0</v>
      </c>
      <c r="DM231" t="str">
        <f t="shared" si="319"/>
        <v>00065</v>
      </c>
      <c r="DN231" s="118" t="str">
        <f t="shared" si="320"/>
        <v>Exención pago de primas</v>
      </c>
      <c r="DO231" s="118">
        <f t="shared" si="321"/>
        <v>0</v>
      </c>
      <c r="DP231" s="118" t="str">
        <f t="shared" si="322"/>
        <v>A</v>
      </c>
      <c r="DQ231" s="122" t="str">
        <f>+IF(OR($W231="",DO231=0),"",ROUND((VLOOKUP(ROUNDDOWN($D231-1/frec,0),cob_adi,DB$40,FALSE)*(1+i/frec)^-0.5*(1+Parámetros!$D$103)*(1+rec_fracc)/frec),6))</f>
        <v/>
      </c>
      <c r="DR231" s="66">
        <f t="shared" si="279"/>
        <v>0</v>
      </c>
      <c r="DS231" s="68" t="str">
        <f t="shared" si="280"/>
        <v/>
      </c>
      <c r="DT231" s="66">
        <f>+IF($W231="","",ROUND(IF($B231&gt;Parámetros!$D$107,'Tablas Servicio'!DR231+('Tablas Servicio'!DT230-'Tablas Servicio'!DR230),DR231/(1-IF(B231&lt;=10,Parámetros!$D$100,0))),2))</f>
        <v>0</v>
      </c>
      <c r="DU231" s="66">
        <f t="shared" si="281"/>
        <v>0</v>
      </c>
      <c r="DV231" s="66">
        <f t="shared" si="281"/>
        <v>0</v>
      </c>
      <c r="DW231" s="66">
        <f>+IF($W231="","",ROUND((DT231*Parámetros!$G$85),2))</f>
        <v>0</v>
      </c>
      <c r="DX231" s="66">
        <f>+IF($W231="","",ROUND((DT231*(Parámetros!$G$86)),2))</f>
        <v>0</v>
      </c>
      <c r="DY231" s="66">
        <f t="shared" si="282"/>
        <v>0</v>
      </c>
      <c r="DZ231" t="str">
        <f t="shared" si="325"/>
        <v>00066</v>
      </c>
      <c r="EA231" s="118" t="str">
        <f t="shared" si="325"/>
        <v>Enfermedad terminal</v>
      </c>
      <c r="EB231" s="118">
        <f>+IF($W231="","",ROUND(IF(Parámetros!$D$25='TABLAS MORT'!$V$33,EB230,Z231/2),0))</f>
        <v>50000</v>
      </c>
      <c r="EC231" s="118" t="str">
        <f t="shared" si="325"/>
        <v>A</v>
      </c>
      <c r="ED231" s="122">
        <f>+IF(OR($W231="",EB231=0),"",ROUND((VLOOKUP(ROUNDDOWN($D231-1/frec,0),cob_adi,DO$40,FALSE)*(1+i/frec)^-0.5*(1+Parámetros!$D$103)*(1+rec_fracc)/frec),6))</f>
        <v>2.6999999999999999E-5</v>
      </c>
      <c r="EE231" s="66">
        <f t="shared" si="284"/>
        <v>1.35</v>
      </c>
      <c r="EF231" s="68">
        <f t="shared" si="285"/>
        <v>2.6999999999999999E-5</v>
      </c>
      <c r="EG231" s="66">
        <f>+IF($W231="","",ROUND(IF($B231&gt;Parámetros!$D$107,'Tablas Servicio'!EE231+('Tablas Servicio'!EG230-'Tablas Servicio'!EE230),EE231/(1-IF(B231&lt;=10,Parámetros!$D$100,0))),2))</f>
        <v>1.35</v>
      </c>
      <c r="EH231" s="66">
        <f t="shared" si="286"/>
        <v>0</v>
      </c>
      <c r="EI231" s="66">
        <f t="shared" si="286"/>
        <v>0</v>
      </c>
      <c r="EJ231" s="66">
        <f>+IF($W231="","",ROUND((EG231*Parámetros!$G$85),2))</f>
        <v>0.05</v>
      </c>
      <c r="EK231" s="66">
        <f>+IF($W231="","",ROUND((EG231*(Parámetros!$G$86)),2))</f>
        <v>0.01</v>
      </c>
      <c r="EL231" s="66">
        <f t="shared" si="287"/>
        <v>1.41</v>
      </c>
    </row>
    <row r="232" spans="1:142" x14ac:dyDescent="0.25">
      <c r="A232">
        <f>+IF($C232="","",ROUND(VLOOKUP('Tablas Servicio'!B232,Parámetros!$H$100:$J$159,IF(Parámetros!$E$16="F",2,3),FALSE),2))</f>
        <v>150</v>
      </c>
      <c r="B232">
        <f t="shared" si="238"/>
        <v>16</v>
      </c>
      <c r="C232" s="57">
        <f>+IF(D232="","",'Tablas Servicio'!C231+1)</f>
        <v>191</v>
      </c>
      <c r="D232" s="56">
        <f>+IF(D231&lt;edadmaxtabla,D231+1/Parámetros!$E$25,"")</f>
        <v>55.936666666667122</v>
      </c>
      <c r="E232" s="57">
        <f t="shared" si="248"/>
        <v>55</v>
      </c>
      <c r="F232" s="59">
        <f t="shared" si="249"/>
        <v>100000</v>
      </c>
      <c r="G232" s="66">
        <f t="shared" si="239"/>
        <v>46.25</v>
      </c>
      <c r="H232" s="66">
        <f t="shared" si="240"/>
        <v>48.099999999999994</v>
      </c>
      <c r="I232" s="66">
        <f t="shared" si="288"/>
        <v>45.900000000000006</v>
      </c>
      <c r="J232" s="66">
        <f t="shared" si="241"/>
        <v>1.62</v>
      </c>
      <c r="K232" s="66">
        <f t="shared" si="242"/>
        <v>0.23</v>
      </c>
      <c r="L232" s="66">
        <f t="shared" si="243"/>
        <v>0</v>
      </c>
      <c r="M232" s="66">
        <f t="shared" si="244"/>
        <v>0</v>
      </c>
      <c r="N232" s="66">
        <f>+IF(C232="","",ROUND(Parámetros!$D$23,2))</f>
        <v>94</v>
      </c>
      <c r="O232" s="66">
        <f t="shared" si="245"/>
        <v>33.75</v>
      </c>
      <c r="P232" s="66">
        <f>+IF($C232="","",ROUND(IF(B232&gt;Parámetros!$D$117,0,N232*Parámetros!$D$116-G232*Parámetros!$D$100),2))</f>
        <v>0</v>
      </c>
      <c r="Q232" s="75">
        <f t="shared" si="289"/>
        <v>3.5027027027027029E-2</v>
      </c>
      <c r="R232" s="75">
        <f t="shared" si="290"/>
        <v>4.972972972972973E-3</v>
      </c>
      <c r="S232" s="117">
        <f>+IF($C232="","",ROUND((S231+I232)*(1+Parámetros!$D$91),2))</f>
        <v>13669.26</v>
      </c>
      <c r="T232" s="117">
        <f>+IF($C232="","",ROUND(S232*VLOOKUP(B232,Parámetros!$C$30:$D$39,2,TRUE),2))</f>
        <v>13669.26</v>
      </c>
      <c r="U232" s="117">
        <f>+IF($C232="","",ROUND((U231+I232)*(1+Parámetros!$D$92),2))</f>
        <v>14281.66</v>
      </c>
      <c r="V232" s="117">
        <f>+IF($C232="","",ROUND(U232*VLOOKUP(B232,Parámetros!$C$30:$D$39,2,TRUE),2))</f>
        <v>14281.66</v>
      </c>
      <c r="W232" s="57">
        <f t="shared" si="291"/>
        <v>191</v>
      </c>
      <c r="X232" t="str">
        <f t="shared" si="292"/>
        <v>00058</v>
      </c>
      <c r="Y232" t="str">
        <f t="shared" si="293"/>
        <v>MUERTE POR CUALQUIER CAUSA</v>
      </c>
      <c r="Z232" s="118">
        <f>+IF($W232="","",ROUND(IF(Parámetros!$D$25='TABLAS MORT'!$V$33,Z231,Parámetros!$D$21-'Tablas Servicio'!T231),0))</f>
        <v>100000</v>
      </c>
      <c r="AA232" s="118" t="str">
        <f t="shared" si="294"/>
        <v>P</v>
      </c>
      <c r="AB232" s="119">
        <f>+IF(W232="","",ROUND((VLOOKUP(ROUNDDOWN($D232-1/frec,0),qx_tabla,2,FALSE)*(1+i/frec)^-0.5*(1+Parámetros!$D$103)*(1+rec_fracc)/frec),6))</f>
        <v>3.2400000000000001E-4</v>
      </c>
      <c r="AC232" s="66">
        <f t="shared" si="250"/>
        <v>32.4</v>
      </c>
      <c r="AD232" s="119">
        <f t="shared" si="246"/>
        <v>4.4900000000000002E-4</v>
      </c>
      <c r="AE232" s="66">
        <f>+IF($W232="","",ROUND(IF($B232&gt;Parámetros!$D$107,'Tablas Servicio'!AC232+('Tablas Servicio'!AG231-'Tablas Servicio'!AC231),AC232/(1-IF(B232&lt;=10,Parámetros!$D$104,Parámetros!$D$105))),2))</f>
        <v>54</v>
      </c>
      <c r="AF232" s="66">
        <f>+IF($W232="","",ROUND(IF($B232&gt;Parámetros!$D$107,'Tablas Servicio'!AC232+('Tablas Servicio'!AG231-'Tablas Servicio'!AC231),(AC232+$A231/frec)/(1-IF(B232&lt;=Parámetros!$D$117,Parámetros!$D$100,0))),2))</f>
        <v>44.9</v>
      </c>
      <c r="AG232" s="66">
        <f t="shared" si="251"/>
        <v>44.9</v>
      </c>
      <c r="AH232" s="66">
        <f t="shared" si="252"/>
        <v>0</v>
      </c>
      <c r="AI232" s="66">
        <f t="shared" si="253"/>
        <v>0</v>
      </c>
      <c r="AJ232" s="66">
        <f>+IF($W232="","",ROUND((AG232*Parámetros!$G$85),2))</f>
        <v>1.57</v>
      </c>
      <c r="AK232" s="66">
        <f>+IF($W232="","",ROUND((AG232*(Parámetros!$G$86)),2))</f>
        <v>0.22</v>
      </c>
      <c r="AL232" s="66">
        <f t="shared" si="247"/>
        <v>46.69</v>
      </c>
      <c r="AM232" t="str">
        <f t="shared" si="295"/>
        <v>00059</v>
      </c>
      <c r="AN232" t="str">
        <f t="shared" si="296"/>
        <v>Incapacidad Total y Permanente</v>
      </c>
      <c r="AO232" s="118">
        <f t="shared" si="297"/>
        <v>0</v>
      </c>
      <c r="AP232" s="118" t="str">
        <f t="shared" si="298"/>
        <v>A</v>
      </c>
      <c r="AQ232" s="119" t="str">
        <f>+IF(OR($W232="",AO232=0),"",ROUND((VLOOKUP(ROUNDDOWN($D232-1/frec,0),cob_adi,Z$40,FALSE)*(1+i/frec)^-0.5*(1+Parámetros!$D$103)*(1+rec_fracc)/frec),6))</f>
        <v/>
      </c>
      <c r="AR232" s="66">
        <f t="shared" si="254"/>
        <v>0</v>
      </c>
      <c r="AS232" s="119" t="str">
        <f t="shared" si="255"/>
        <v/>
      </c>
      <c r="AT232" s="66">
        <f>+IF($W232="","",ROUND(IF($B232&gt;Parámetros!$D$107,'Tablas Servicio'!AR232+('Tablas Servicio'!AT231-'Tablas Servicio'!AR231),AR232/(1-IF(B232&lt;=10,Parámetros!$D$100,0))),2))</f>
        <v>0</v>
      </c>
      <c r="AU232" s="66">
        <f t="shared" si="256"/>
        <v>0</v>
      </c>
      <c r="AV232" s="66">
        <f t="shared" si="256"/>
        <v>0</v>
      </c>
      <c r="AW232" s="66">
        <f>+IF($W232="","",ROUND((AT232*Parámetros!$G$85),2))</f>
        <v>0</v>
      </c>
      <c r="AX232" s="66">
        <f>+IF($W232="","",ROUND((AT232*(Parámetros!$G$86)),2))</f>
        <v>0</v>
      </c>
      <c r="AY232" s="66">
        <f t="shared" si="257"/>
        <v>0</v>
      </c>
      <c r="AZ232" t="str">
        <f t="shared" si="299"/>
        <v>00060</v>
      </c>
      <c r="BA232" t="str">
        <f t="shared" si="300"/>
        <v>Muerte Accidental</v>
      </c>
      <c r="BB232" s="118">
        <f t="shared" si="301"/>
        <v>0</v>
      </c>
      <c r="BC232" s="118" t="str">
        <f t="shared" si="302"/>
        <v>A</v>
      </c>
      <c r="BD232" s="119" t="str">
        <f>+IF(OR($W232="",BB232=0),"",ROUND((VLOOKUP(ROUNDDOWN($D232-1/frec,0),cob_adi,AO$40,FALSE)*(1+i/frec)^-0.5*(1+Parámetros!$D$103)*(1+rec_fracc)/frec),6))</f>
        <v/>
      </c>
      <c r="BE232" s="66">
        <f t="shared" si="258"/>
        <v>0</v>
      </c>
      <c r="BF232" s="119" t="str">
        <f t="shared" si="259"/>
        <v/>
      </c>
      <c r="BG232" s="66">
        <f>+IF($W232="","",ROUND(IF($B232&gt;Parámetros!$D$107,'Tablas Servicio'!BE232+('Tablas Servicio'!BG231-'Tablas Servicio'!BE231),BE232/(1-IF(B232&lt;=10,Parámetros!$D$100,0))),2))</f>
        <v>0</v>
      </c>
      <c r="BH232" s="66">
        <f t="shared" si="260"/>
        <v>0</v>
      </c>
      <c r="BI232" s="66">
        <f t="shared" si="261"/>
        <v>0</v>
      </c>
      <c r="BJ232" s="66">
        <f>+IF($W232="","",ROUND((BG232*Parámetros!$G$85),2))</f>
        <v>0</v>
      </c>
      <c r="BK232" s="66">
        <f>+IF($W232="","",ROUND((BG232*(Parámetros!$G$86)),2))</f>
        <v>0</v>
      </c>
      <c r="BL232" s="66">
        <f t="shared" si="262"/>
        <v>0</v>
      </c>
      <c r="BM232" t="str">
        <f t="shared" si="303"/>
        <v>00061</v>
      </c>
      <c r="BN232" t="str">
        <f t="shared" si="304"/>
        <v>Gastos de Entierro</v>
      </c>
      <c r="BO232" s="118">
        <f t="shared" si="305"/>
        <v>0</v>
      </c>
      <c r="BP232" s="118" t="str">
        <f t="shared" si="306"/>
        <v>A</v>
      </c>
      <c r="BQ232" s="119" t="str">
        <f>+IF(OR($W232="",BO232=0),"",ROUND((VLOOKUP(ROUNDDOWN($D232-1/frec,0),cob_adi,BB$40,FALSE)*(1+i/frec)^-0.5*(1+Parámetros!$D$103)*(1+rec_fracc)/frec),6))</f>
        <v/>
      </c>
      <c r="BR232" s="66">
        <f t="shared" si="263"/>
        <v>0</v>
      </c>
      <c r="BS232" s="119" t="str">
        <f t="shared" si="264"/>
        <v/>
      </c>
      <c r="BT232" s="66">
        <f>+IF($W232="","",ROUND(IF($B232&gt;Parámetros!$D$107,'Tablas Servicio'!BR232+('Tablas Servicio'!BT231-'Tablas Servicio'!BR231),BR232/(1-IF(B232&lt;=10,Parámetros!$D$100,0))),2))</f>
        <v>0</v>
      </c>
      <c r="BU232" s="66">
        <f t="shared" si="265"/>
        <v>0</v>
      </c>
      <c r="BV232" s="66">
        <f t="shared" si="265"/>
        <v>0</v>
      </c>
      <c r="BW232" s="66">
        <f>+IF($W232="","",ROUND((BT232*Parámetros!$G$85),2))</f>
        <v>0</v>
      </c>
      <c r="BX232" s="66">
        <f>+IF($W232="","",ROUND((BT232*(Parámetros!$G$86)),2))</f>
        <v>0</v>
      </c>
      <c r="BY232" s="66">
        <f t="shared" si="266"/>
        <v>0</v>
      </c>
      <c r="BZ232" t="str">
        <f t="shared" si="307"/>
        <v>00062</v>
      </c>
      <c r="CA232" t="str">
        <f t="shared" si="308"/>
        <v>Gastos médicos por accidente</v>
      </c>
      <c r="CB232" s="118">
        <f t="shared" si="309"/>
        <v>0</v>
      </c>
      <c r="CC232" s="118" t="str">
        <f t="shared" si="310"/>
        <v>A</v>
      </c>
      <c r="CD232" s="119" t="str">
        <f t="shared" si="267"/>
        <v/>
      </c>
      <c r="CE232" s="66">
        <f>+IF($W232="","",ROUND((VLOOKUP(ROUNDDOWN($D232-1/frec,0),cob_adi,BO$40,FALSE)*(1+i/frec)^-0.5*(1+Parámetros!$D$103)*(1+rec_fracc)/frec*'TABLAS ADI'!$BC$17),2))</f>
        <v>0</v>
      </c>
      <c r="CF232" s="119" t="str">
        <f t="shared" si="268"/>
        <v/>
      </c>
      <c r="CG232" s="66">
        <f>+IF($W232="","",ROUND(IF($B232&gt;Parámetros!$D$107,'Tablas Servicio'!CE232+('Tablas Servicio'!CG231-'Tablas Servicio'!CE231),CE232/(1-IF(B232&lt;=10,Parámetros!$D$100,0))),2))</f>
        <v>0</v>
      </c>
      <c r="CH232" s="66">
        <f t="shared" si="269"/>
        <v>0</v>
      </c>
      <c r="CI232" s="66">
        <f t="shared" si="269"/>
        <v>0</v>
      </c>
      <c r="CJ232" s="66">
        <f>+IF($W232="","",ROUND((CG232*Parámetros!$G$85),2))</f>
        <v>0</v>
      </c>
      <c r="CK232" s="66">
        <f>+IF($W232="","",ROUND((CG232*(Parámetros!$G$86)),2))</f>
        <v>0</v>
      </c>
      <c r="CL232" s="66">
        <f t="shared" si="270"/>
        <v>0</v>
      </c>
      <c r="CM232" t="str">
        <f t="shared" si="311"/>
        <v>00063</v>
      </c>
      <c r="CN232" s="118" t="str">
        <f t="shared" si="312"/>
        <v>Renta Diaria por Hospitalización</v>
      </c>
      <c r="CO232" s="118">
        <f t="shared" si="313"/>
        <v>0</v>
      </c>
      <c r="CP232" s="118" t="str">
        <f t="shared" si="314"/>
        <v>A</v>
      </c>
      <c r="CQ232" s="119" t="str">
        <f t="shared" si="271"/>
        <v/>
      </c>
      <c r="CR232" s="66">
        <f>+IF($W232="","",ROUND((VLOOKUP(Parámetros!$F$51,'COBERTURAS ADICIONALES'!$S$4:$T$32,2,FALSE)*(1+i/frec)^-0.5*(1+Parámetros!$D$103)*(1+rec_fracc)/frec*$CO$42),2))</f>
        <v>0</v>
      </c>
      <c r="CS232" s="119" t="str">
        <f t="shared" si="272"/>
        <v/>
      </c>
      <c r="CT232" s="66">
        <f>+IF($W232="","",ROUND(IF($B232&gt;Parámetros!$D$107,'Tablas Servicio'!CR232+('Tablas Servicio'!CT231-'Tablas Servicio'!CR231),CR232/(1-IF(B232&lt;=10,Parámetros!$D$100,0))),2))</f>
        <v>0</v>
      </c>
      <c r="CU232" s="66">
        <f t="shared" si="273"/>
        <v>0</v>
      </c>
      <c r="CV232" s="66">
        <f t="shared" si="273"/>
        <v>0</v>
      </c>
      <c r="CW232" s="66">
        <f>+IF($W232="","",ROUND((CT232*Parámetros!$G$85),2))</f>
        <v>0</v>
      </c>
      <c r="CX232" s="66">
        <f>+IF($W232="","",ROUND((CT232*(Parámetros!$G$86)),2))</f>
        <v>0</v>
      </c>
      <c r="CY232" s="66">
        <f t="shared" si="274"/>
        <v>0</v>
      </c>
      <c r="CZ232" t="str">
        <f t="shared" si="315"/>
        <v>00064</v>
      </c>
      <c r="DA232" s="118" t="str">
        <f t="shared" si="316"/>
        <v>Enfermedades Graves</v>
      </c>
      <c r="DB232" s="118">
        <f t="shared" si="317"/>
        <v>0</v>
      </c>
      <c r="DC232" s="118" t="str">
        <f t="shared" si="318"/>
        <v>A</v>
      </c>
      <c r="DD232" s="121" t="str">
        <f>+IF(OR($W232="",DB232=0),"",ROUND((VLOOKUP(ROUNDDOWN($D232-1/frec,0),cob_adi,CO$40,FALSE)*(1+i/frec)^-0.5*(1+Parámetros!$D$103)*(1+rec_fracc)/frec),6))</f>
        <v/>
      </c>
      <c r="DE232" s="66">
        <f t="shared" si="275"/>
        <v>0</v>
      </c>
      <c r="DF232" s="119" t="str">
        <f t="shared" si="276"/>
        <v/>
      </c>
      <c r="DG232" s="66">
        <f>+IF($W232="","",ROUND(IF($B232&gt;Parámetros!$D$107,'Tablas Servicio'!DE232+('Tablas Servicio'!DG231-'Tablas Servicio'!DE231),DE232/(1-IF(B232&lt;=10,Parámetros!$D$100,0))),2))</f>
        <v>0</v>
      </c>
      <c r="DH232" s="66">
        <f t="shared" si="277"/>
        <v>0</v>
      </c>
      <c r="DI232" s="66">
        <f t="shared" si="277"/>
        <v>0</v>
      </c>
      <c r="DJ232" s="66">
        <f>+IF($W232="","",ROUND((DG232*Parámetros!$G$85),2))</f>
        <v>0</v>
      </c>
      <c r="DK232" s="66">
        <f>+IF($W232="","",ROUND((DG232*(Parámetros!$G$86)),2))</f>
        <v>0</v>
      </c>
      <c r="DL232" s="66">
        <f t="shared" si="278"/>
        <v>0</v>
      </c>
      <c r="DM232" t="str">
        <f t="shared" si="319"/>
        <v>00065</v>
      </c>
      <c r="DN232" s="118" t="str">
        <f t="shared" si="320"/>
        <v>Exención pago de primas</v>
      </c>
      <c r="DO232" s="118">
        <f t="shared" si="321"/>
        <v>0</v>
      </c>
      <c r="DP232" s="118" t="str">
        <f t="shared" si="322"/>
        <v>A</v>
      </c>
      <c r="DQ232" s="122" t="str">
        <f>+IF(OR($W232="",DO232=0),"",ROUND((VLOOKUP(ROUNDDOWN($D232-1/frec,0),cob_adi,DB$40,FALSE)*(1+i/frec)^-0.5*(1+Parámetros!$D$103)*(1+rec_fracc)/frec),6))</f>
        <v/>
      </c>
      <c r="DR232" s="66">
        <f t="shared" si="279"/>
        <v>0</v>
      </c>
      <c r="DS232" s="68" t="str">
        <f t="shared" si="280"/>
        <v/>
      </c>
      <c r="DT232" s="66">
        <f>+IF($W232="","",ROUND(IF($B232&gt;Parámetros!$D$107,'Tablas Servicio'!DR232+('Tablas Servicio'!DT231-'Tablas Servicio'!DR231),DR232/(1-IF(B232&lt;=10,Parámetros!$D$100,0))),2))</f>
        <v>0</v>
      </c>
      <c r="DU232" s="66">
        <f t="shared" si="281"/>
        <v>0</v>
      </c>
      <c r="DV232" s="66">
        <f t="shared" si="281"/>
        <v>0</v>
      </c>
      <c r="DW232" s="66">
        <f>+IF($W232="","",ROUND((DT232*Parámetros!$G$85),2))</f>
        <v>0</v>
      </c>
      <c r="DX232" s="66">
        <f>+IF($W232="","",ROUND((DT232*(Parámetros!$G$86)),2))</f>
        <v>0</v>
      </c>
      <c r="DY232" s="66">
        <f t="shared" si="282"/>
        <v>0</v>
      </c>
      <c r="DZ232" t="str">
        <f t="shared" si="325"/>
        <v>00066</v>
      </c>
      <c r="EA232" s="118" t="str">
        <f t="shared" si="325"/>
        <v>Enfermedad terminal</v>
      </c>
      <c r="EB232" s="118">
        <f>+IF($W232="","",ROUND(IF(Parámetros!$D$25='TABLAS MORT'!$V$33,EB231,Z232/2),0))</f>
        <v>50000</v>
      </c>
      <c r="EC232" s="118" t="str">
        <f t="shared" si="325"/>
        <v>A</v>
      </c>
      <c r="ED232" s="122">
        <f>+IF(OR($W232="",EB232=0),"",ROUND((VLOOKUP(ROUNDDOWN($D232-1/frec,0),cob_adi,DO$40,FALSE)*(1+i/frec)^-0.5*(1+Parámetros!$D$103)*(1+rec_fracc)/frec),6))</f>
        <v>2.6999999999999999E-5</v>
      </c>
      <c r="EE232" s="66">
        <f t="shared" si="284"/>
        <v>1.35</v>
      </c>
      <c r="EF232" s="68">
        <f t="shared" si="285"/>
        <v>2.6999999999999999E-5</v>
      </c>
      <c r="EG232" s="66">
        <f>+IF($W232="","",ROUND(IF($B232&gt;Parámetros!$D$107,'Tablas Servicio'!EE232+('Tablas Servicio'!EG231-'Tablas Servicio'!EE231),EE232/(1-IF(B232&lt;=10,Parámetros!$D$100,0))),2))</f>
        <v>1.35</v>
      </c>
      <c r="EH232" s="66">
        <f t="shared" si="286"/>
        <v>0</v>
      </c>
      <c r="EI232" s="66">
        <f t="shared" si="286"/>
        <v>0</v>
      </c>
      <c r="EJ232" s="66">
        <f>+IF($W232="","",ROUND((EG232*Parámetros!$G$85),2))</f>
        <v>0.05</v>
      </c>
      <c r="EK232" s="66">
        <f>+IF($W232="","",ROUND((EG232*(Parámetros!$G$86)),2))</f>
        <v>0.01</v>
      </c>
      <c r="EL232" s="66">
        <f t="shared" si="287"/>
        <v>1.41</v>
      </c>
    </row>
    <row r="233" spans="1:142" x14ac:dyDescent="0.25">
      <c r="A233">
        <f>+IF($C233="","",ROUND(VLOOKUP('Tablas Servicio'!B233,Parámetros!$H$100:$J$159,IF(Parámetros!$E$16="F",2,3),FALSE),2))</f>
        <v>150</v>
      </c>
      <c r="B233">
        <f t="shared" si="238"/>
        <v>16</v>
      </c>
      <c r="C233" s="57">
        <f>+IF(D233="","",'Tablas Servicio'!C232+1)</f>
        <v>192</v>
      </c>
      <c r="D233" s="56">
        <f>+IF(D232&lt;edadmaxtabla,D232+1/Parámetros!$E$25,"")</f>
        <v>56.020000000000458</v>
      </c>
      <c r="E233" s="57">
        <f t="shared" si="248"/>
        <v>56</v>
      </c>
      <c r="F233" s="59">
        <f t="shared" si="249"/>
        <v>100000</v>
      </c>
      <c r="G233" s="66">
        <f t="shared" si="239"/>
        <v>46.25</v>
      </c>
      <c r="H233" s="66">
        <f t="shared" si="240"/>
        <v>48.099999999999994</v>
      </c>
      <c r="I233" s="66">
        <f t="shared" si="288"/>
        <v>45.900000000000006</v>
      </c>
      <c r="J233" s="66">
        <f t="shared" si="241"/>
        <v>1.62</v>
      </c>
      <c r="K233" s="66">
        <f t="shared" si="242"/>
        <v>0.23</v>
      </c>
      <c r="L233" s="66">
        <f t="shared" si="243"/>
        <v>0</v>
      </c>
      <c r="M233" s="66">
        <f t="shared" si="244"/>
        <v>0</v>
      </c>
      <c r="N233" s="66">
        <f>+IF(C233="","",ROUND(Parámetros!$D$23,2))</f>
        <v>94</v>
      </c>
      <c r="O233" s="66">
        <f t="shared" si="245"/>
        <v>33.75</v>
      </c>
      <c r="P233" s="66">
        <f>+IF($C233="","",ROUND(IF(B233&gt;Parámetros!$D$117,0,N233*Parámetros!$D$116-G233*Parámetros!$D$100),2))</f>
        <v>0</v>
      </c>
      <c r="Q233" s="75">
        <f t="shared" si="289"/>
        <v>3.5027027027027029E-2</v>
      </c>
      <c r="R233" s="75">
        <f t="shared" si="290"/>
        <v>4.972972972972973E-3</v>
      </c>
      <c r="S233" s="117">
        <f>+IF($C233="","",ROUND((S232+I233)*(1+Parámetros!$D$91),2))</f>
        <v>13754.06</v>
      </c>
      <c r="T233" s="117">
        <f>+IF($C233="","",ROUND(S233*VLOOKUP(B233,Parámetros!$C$30:$D$39,2,TRUE),2))</f>
        <v>13754.06</v>
      </c>
      <c r="U233" s="117">
        <f>+IF($C233="","",ROUND((U232+I233)*(1+Parámetros!$D$92),2))</f>
        <v>14374.01</v>
      </c>
      <c r="V233" s="117">
        <f>+IF($C233="","",ROUND(U233*VLOOKUP(B233,Parámetros!$C$30:$D$39,2,TRUE),2))</f>
        <v>14374.01</v>
      </c>
      <c r="W233" s="57">
        <f t="shared" si="291"/>
        <v>192</v>
      </c>
      <c r="X233" t="str">
        <f t="shared" si="292"/>
        <v>00058</v>
      </c>
      <c r="Y233" t="str">
        <f t="shared" si="293"/>
        <v>MUERTE POR CUALQUIER CAUSA</v>
      </c>
      <c r="Z233" s="118">
        <f>+IF($W233="","",ROUND(IF(Parámetros!$D$25='TABLAS MORT'!$V$33,Z232,Parámetros!$D$21-'Tablas Servicio'!T232),0))</f>
        <v>100000</v>
      </c>
      <c r="AA233" s="118" t="str">
        <f t="shared" si="294"/>
        <v>P</v>
      </c>
      <c r="AB233" s="119">
        <f>+IF(W233="","",ROUND((VLOOKUP(ROUNDDOWN($D233-1/frec,0),qx_tabla,2,FALSE)*(1+i/frec)^-0.5*(1+Parámetros!$D$103)*(1+rec_fracc)/frec),6))</f>
        <v>3.2400000000000001E-4</v>
      </c>
      <c r="AC233" s="66">
        <f t="shared" si="250"/>
        <v>32.4</v>
      </c>
      <c r="AD233" s="119">
        <f t="shared" si="246"/>
        <v>4.4900000000000002E-4</v>
      </c>
      <c r="AE233" s="66">
        <f>+IF($W233="","",ROUND(IF($B233&gt;Parámetros!$D$107,'Tablas Servicio'!AC233+('Tablas Servicio'!AG232-'Tablas Servicio'!AC232),AC233/(1-IF(B233&lt;=10,Parámetros!$D$104,Parámetros!$D$105))),2))</f>
        <v>54</v>
      </c>
      <c r="AF233" s="66">
        <f>+IF($W233="","",ROUND(IF($B233&gt;Parámetros!$D$107,'Tablas Servicio'!AC233+('Tablas Servicio'!AG232-'Tablas Servicio'!AC232),(AC233+$A232/frec)/(1-IF(B233&lt;=Parámetros!$D$117,Parámetros!$D$100,0))),2))</f>
        <v>44.9</v>
      </c>
      <c r="AG233" s="66">
        <f t="shared" si="251"/>
        <v>44.9</v>
      </c>
      <c r="AH233" s="66">
        <f t="shared" si="252"/>
        <v>0</v>
      </c>
      <c r="AI233" s="66">
        <f t="shared" si="253"/>
        <v>0</v>
      </c>
      <c r="AJ233" s="66">
        <f>+IF($W233="","",ROUND((AG233*Parámetros!$G$85),2))</f>
        <v>1.57</v>
      </c>
      <c r="AK233" s="66">
        <f>+IF($W233="","",ROUND((AG233*(Parámetros!$G$86)),2))</f>
        <v>0.22</v>
      </c>
      <c r="AL233" s="66">
        <f t="shared" si="247"/>
        <v>46.69</v>
      </c>
      <c r="AM233" t="str">
        <f t="shared" si="295"/>
        <v>00059</v>
      </c>
      <c r="AN233" t="str">
        <f t="shared" si="296"/>
        <v>Incapacidad Total y Permanente</v>
      </c>
      <c r="AO233" s="118">
        <f t="shared" si="297"/>
        <v>0</v>
      </c>
      <c r="AP233" s="118" t="str">
        <f t="shared" si="298"/>
        <v>A</v>
      </c>
      <c r="AQ233" s="119" t="str">
        <f>+IF(OR($W233="",AO233=0),"",ROUND((VLOOKUP(ROUNDDOWN($D233-1/frec,0),cob_adi,Z$40,FALSE)*(1+i/frec)^-0.5*(1+Parámetros!$D$103)*(1+rec_fracc)/frec),6))</f>
        <v/>
      </c>
      <c r="AR233" s="66">
        <f t="shared" si="254"/>
        <v>0</v>
      </c>
      <c r="AS233" s="119" t="str">
        <f t="shared" si="255"/>
        <v/>
      </c>
      <c r="AT233" s="66">
        <f>+IF($W233="","",ROUND(IF($B233&gt;Parámetros!$D$107,'Tablas Servicio'!AR233+('Tablas Servicio'!AT232-'Tablas Servicio'!AR232),AR233/(1-IF(B233&lt;=10,Parámetros!$D$100,0))),2))</f>
        <v>0</v>
      </c>
      <c r="AU233" s="66">
        <f t="shared" si="256"/>
        <v>0</v>
      </c>
      <c r="AV233" s="66">
        <f t="shared" si="256"/>
        <v>0</v>
      </c>
      <c r="AW233" s="66">
        <f>+IF($W233="","",ROUND((AT233*Parámetros!$G$85),2))</f>
        <v>0</v>
      </c>
      <c r="AX233" s="66">
        <f>+IF($W233="","",ROUND((AT233*(Parámetros!$G$86)),2))</f>
        <v>0</v>
      </c>
      <c r="AY233" s="66">
        <f t="shared" si="257"/>
        <v>0</v>
      </c>
      <c r="AZ233" t="str">
        <f t="shared" si="299"/>
        <v>00060</v>
      </c>
      <c r="BA233" t="str">
        <f t="shared" si="300"/>
        <v>Muerte Accidental</v>
      </c>
      <c r="BB233" s="118">
        <f t="shared" si="301"/>
        <v>0</v>
      </c>
      <c r="BC233" s="118" t="str">
        <f t="shared" si="302"/>
        <v>A</v>
      </c>
      <c r="BD233" s="119" t="str">
        <f>+IF(OR($W233="",BB233=0),"",ROUND((VLOOKUP(ROUNDDOWN($D233-1/frec,0),cob_adi,AO$40,FALSE)*(1+i/frec)^-0.5*(1+Parámetros!$D$103)*(1+rec_fracc)/frec),6))</f>
        <v/>
      </c>
      <c r="BE233" s="66">
        <f t="shared" si="258"/>
        <v>0</v>
      </c>
      <c r="BF233" s="119" t="str">
        <f t="shared" si="259"/>
        <v/>
      </c>
      <c r="BG233" s="66">
        <f>+IF($W233="","",ROUND(IF($B233&gt;Parámetros!$D$107,'Tablas Servicio'!BE233+('Tablas Servicio'!BG232-'Tablas Servicio'!BE232),BE233/(1-IF(B233&lt;=10,Parámetros!$D$100,0))),2))</f>
        <v>0</v>
      </c>
      <c r="BH233" s="66">
        <f t="shared" si="260"/>
        <v>0</v>
      </c>
      <c r="BI233" s="66">
        <f t="shared" si="261"/>
        <v>0</v>
      </c>
      <c r="BJ233" s="66">
        <f>+IF($W233="","",ROUND((BG233*Parámetros!$G$85),2))</f>
        <v>0</v>
      </c>
      <c r="BK233" s="66">
        <f>+IF($W233="","",ROUND((BG233*(Parámetros!$G$86)),2))</f>
        <v>0</v>
      </c>
      <c r="BL233" s="66">
        <f t="shared" si="262"/>
        <v>0</v>
      </c>
      <c r="BM233" t="str">
        <f t="shared" si="303"/>
        <v>00061</v>
      </c>
      <c r="BN233" t="str">
        <f t="shared" si="304"/>
        <v>Gastos de Entierro</v>
      </c>
      <c r="BO233" s="118">
        <f t="shared" si="305"/>
        <v>0</v>
      </c>
      <c r="BP233" s="118" t="str">
        <f t="shared" si="306"/>
        <v>A</v>
      </c>
      <c r="BQ233" s="119" t="str">
        <f>+IF(OR($W233="",BO233=0),"",ROUND((VLOOKUP(ROUNDDOWN($D233-1/frec,0),cob_adi,BB$40,FALSE)*(1+i/frec)^-0.5*(1+Parámetros!$D$103)*(1+rec_fracc)/frec),6))</f>
        <v/>
      </c>
      <c r="BR233" s="66">
        <f t="shared" si="263"/>
        <v>0</v>
      </c>
      <c r="BS233" s="119" t="str">
        <f t="shared" si="264"/>
        <v/>
      </c>
      <c r="BT233" s="66">
        <f>+IF($W233="","",ROUND(IF($B233&gt;Parámetros!$D$107,'Tablas Servicio'!BR233+('Tablas Servicio'!BT232-'Tablas Servicio'!BR232),BR233/(1-IF(B233&lt;=10,Parámetros!$D$100,0))),2))</f>
        <v>0</v>
      </c>
      <c r="BU233" s="66">
        <f t="shared" si="265"/>
        <v>0</v>
      </c>
      <c r="BV233" s="66">
        <f t="shared" si="265"/>
        <v>0</v>
      </c>
      <c r="BW233" s="66">
        <f>+IF($W233="","",ROUND((BT233*Parámetros!$G$85),2))</f>
        <v>0</v>
      </c>
      <c r="BX233" s="66">
        <f>+IF($W233="","",ROUND((BT233*(Parámetros!$G$86)),2))</f>
        <v>0</v>
      </c>
      <c r="BY233" s="66">
        <f t="shared" si="266"/>
        <v>0</v>
      </c>
      <c r="BZ233" t="str">
        <f t="shared" si="307"/>
        <v>00062</v>
      </c>
      <c r="CA233" t="str">
        <f t="shared" si="308"/>
        <v>Gastos médicos por accidente</v>
      </c>
      <c r="CB233" s="118">
        <f t="shared" si="309"/>
        <v>0</v>
      </c>
      <c r="CC233" s="118" t="str">
        <f t="shared" si="310"/>
        <v>A</v>
      </c>
      <c r="CD233" s="119" t="str">
        <f t="shared" si="267"/>
        <v/>
      </c>
      <c r="CE233" s="66">
        <f>+IF($W233="","",ROUND((VLOOKUP(ROUNDDOWN($D233-1/frec,0),cob_adi,BO$40,FALSE)*(1+i/frec)^-0.5*(1+Parámetros!$D$103)*(1+rec_fracc)/frec*'TABLAS ADI'!$BC$17),2))</f>
        <v>0</v>
      </c>
      <c r="CF233" s="119" t="str">
        <f t="shared" si="268"/>
        <v/>
      </c>
      <c r="CG233" s="66">
        <f>+IF($W233="","",ROUND(IF($B233&gt;Parámetros!$D$107,'Tablas Servicio'!CE233+('Tablas Servicio'!CG232-'Tablas Servicio'!CE232),CE233/(1-IF(B233&lt;=10,Parámetros!$D$100,0))),2))</f>
        <v>0</v>
      </c>
      <c r="CH233" s="66">
        <f t="shared" si="269"/>
        <v>0</v>
      </c>
      <c r="CI233" s="66">
        <f t="shared" si="269"/>
        <v>0</v>
      </c>
      <c r="CJ233" s="66">
        <f>+IF($W233="","",ROUND((CG233*Parámetros!$G$85),2))</f>
        <v>0</v>
      </c>
      <c r="CK233" s="66">
        <f>+IF($W233="","",ROUND((CG233*(Parámetros!$G$86)),2))</f>
        <v>0</v>
      </c>
      <c r="CL233" s="66">
        <f t="shared" si="270"/>
        <v>0</v>
      </c>
      <c r="CM233" t="str">
        <f t="shared" si="311"/>
        <v>00063</v>
      </c>
      <c r="CN233" s="118" t="str">
        <f t="shared" si="312"/>
        <v>Renta Diaria por Hospitalización</v>
      </c>
      <c r="CO233" s="118">
        <f t="shared" si="313"/>
        <v>0</v>
      </c>
      <c r="CP233" s="118" t="str">
        <f t="shared" si="314"/>
        <v>A</v>
      </c>
      <c r="CQ233" s="119" t="str">
        <f t="shared" si="271"/>
        <v/>
      </c>
      <c r="CR233" s="66">
        <f>+IF($W233="","",ROUND((VLOOKUP(Parámetros!$F$51,'COBERTURAS ADICIONALES'!$S$4:$T$32,2,FALSE)*(1+i/frec)^-0.5*(1+Parámetros!$D$103)*(1+rec_fracc)/frec*$CO$42),2))</f>
        <v>0</v>
      </c>
      <c r="CS233" s="119" t="str">
        <f t="shared" si="272"/>
        <v/>
      </c>
      <c r="CT233" s="66">
        <f>+IF($W233="","",ROUND(IF($B233&gt;Parámetros!$D$107,'Tablas Servicio'!CR233+('Tablas Servicio'!CT232-'Tablas Servicio'!CR232),CR233/(1-IF(B233&lt;=10,Parámetros!$D$100,0))),2))</f>
        <v>0</v>
      </c>
      <c r="CU233" s="66">
        <f t="shared" si="273"/>
        <v>0</v>
      </c>
      <c r="CV233" s="66">
        <f t="shared" si="273"/>
        <v>0</v>
      </c>
      <c r="CW233" s="66">
        <f>+IF($W233="","",ROUND((CT233*Parámetros!$G$85),2))</f>
        <v>0</v>
      </c>
      <c r="CX233" s="66">
        <f>+IF($W233="","",ROUND((CT233*(Parámetros!$G$86)),2))</f>
        <v>0</v>
      </c>
      <c r="CY233" s="66">
        <f t="shared" si="274"/>
        <v>0</v>
      </c>
      <c r="CZ233" t="str">
        <f t="shared" si="315"/>
        <v>00064</v>
      </c>
      <c r="DA233" s="118" t="str">
        <f t="shared" si="316"/>
        <v>Enfermedades Graves</v>
      </c>
      <c r="DB233" s="118">
        <f t="shared" si="317"/>
        <v>0</v>
      </c>
      <c r="DC233" s="118" t="str">
        <f t="shared" si="318"/>
        <v>A</v>
      </c>
      <c r="DD233" s="121" t="str">
        <f>+IF(OR($W233="",DB233=0),"",ROUND((VLOOKUP(ROUNDDOWN($D233-1/frec,0),cob_adi,CO$40,FALSE)*(1+i/frec)^-0.5*(1+Parámetros!$D$103)*(1+rec_fracc)/frec),6))</f>
        <v/>
      </c>
      <c r="DE233" s="66">
        <f t="shared" si="275"/>
        <v>0</v>
      </c>
      <c r="DF233" s="119" t="str">
        <f t="shared" si="276"/>
        <v/>
      </c>
      <c r="DG233" s="66">
        <f>+IF($W233="","",ROUND(IF($B233&gt;Parámetros!$D$107,'Tablas Servicio'!DE233+('Tablas Servicio'!DG232-'Tablas Servicio'!DE232),DE233/(1-IF(B233&lt;=10,Parámetros!$D$100,0))),2))</f>
        <v>0</v>
      </c>
      <c r="DH233" s="66">
        <f t="shared" si="277"/>
        <v>0</v>
      </c>
      <c r="DI233" s="66">
        <f t="shared" si="277"/>
        <v>0</v>
      </c>
      <c r="DJ233" s="66">
        <f>+IF($W233="","",ROUND((DG233*Parámetros!$G$85),2))</f>
        <v>0</v>
      </c>
      <c r="DK233" s="66">
        <f>+IF($W233="","",ROUND((DG233*(Parámetros!$G$86)),2))</f>
        <v>0</v>
      </c>
      <c r="DL233" s="66">
        <f t="shared" si="278"/>
        <v>0</v>
      </c>
      <c r="DM233" t="str">
        <f t="shared" si="319"/>
        <v>00065</v>
      </c>
      <c r="DN233" s="118" t="str">
        <f t="shared" si="320"/>
        <v>Exención pago de primas</v>
      </c>
      <c r="DO233" s="118">
        <f t="shared" si="321"/>
        <v>0</v>
      </c>
      <c r="DP233" s="118" t="str">
        <f t="shared" si="322"/>
        <v>A</v>
      </c>
      <c r="DQ233" s="122" t="str">
        <f>+IF(OR($W233="",DO233=0),"",ROUND((VLOOKUP(ROUNDDOWN($D233-1/frec,0),cob_adi,DB$40,FALSE)*(1+i/frec)^-0.5*(1+Parámetros!$D$103)*(1+rec_fracc)/frec),6))</f>
        <v/>
      </c>
      <c r="DR233" s="66">
        <f t="shared" si="279"/>
        <v>0</v>
      </c>
      <c r="DS233" s="68" t="str">
        <f t="shared" si="280"/>
        <v/>
      </c>
      <c r="DT233" s="66">
        <f>+IF($W233="","",ROUND(IF($B233&gt;Parámetros!$D$107,'Tablas Servicio'!DR233+('Tablas Servicio'!DT232-'Tablas Servicio'!DR232),DR233/(1-IF(B233&lt;=10,Parámetros!$D$100,0))),2))</f>
        <v>0</v>
      </c>
      <c r="DU233" s="66">
        <f t="shared" si="281"/>
        <v>0</v>
      </c>
      <c r="DV233" s="66">
        <f t="shared" si="281"/>
        <v>0</v>
      </c>
      <c r="DW233" s="66">
        <f>+IF($W233="","",ROUND((DT233*Parámetros!$G$85),2))</f>
        <v>0</v>
      </c>
      <c r="DX233" s="66">
        <f>+IF($W233="","",ROUND((DT233*(Parámetros!$G$86)),2))</f>
        <v>0</v>
      </c>
      <c r="DY233" s="66">
        <f t="shared" si="282"/>
        <v>0</v>
      </c>
      <c r="DZ233" t="str">
        <f t="shared" si="325"/>
        <v>00066</v>
      </c>
      <c r="EA233" s="118" t="str">
        <f t="shared" si="325"/>
        <v>Enfermedad terminal</v>
      </c>
      <c r="EB233" s="118">
        <f>+IF($W233="","",ROUND(IF(Parámetros!$D$25='TABLAS MORT'!$V$33,EB232,Z233/2),0))</f>
        <v>50000</v>
      </c>
      <c r="EC233" s="118" t="str">
        <f t="shared" si="325"/>
        <v>A</v>
      </c>
      <c r="ED233" s="122">
        <f>+IF(OR($W233="",EB233=0),"",ROUND((VLOOKUP(ROUNDDOWN($D233-1/frec,0),cob_adi,DO$40,FALSE)*(1+i/frec)^-0.5*(1+Parámetros!$D$103)*(1+rec_fracc)/frec),6))</f>
        <v>2.6999999999999999E-5</v>
      </c>
      <c r="EE233" s="66">
        <f t="shared" si="284"/>
        <v>1.35</v>
      </c>
      <c r="EF233" s="68">
        <f t="shared" si="285"/>
        <v>2.6999999999999999E-5</v>
      </c>
      <c r="EG233" s="66">
        <f>+IF($W233="","",ROUND(IF($B233&gt;Parámetros!$D$107,'Tablas Servicio'!EE233+('Tablas Servicio'!EG232-'Tablas Servicio'!EE232),EE233/(1-IF(B233&lt;=10,Parámetros!$D$100,0))),2))</f>
        <v>1.35</v>
      </c>
      <c r="EH233" s="66">
        <f t="shared" si="286"/>
        <v>0</v>
      </c>
      <c r="EI233" s="66">
        <f t="shared" si="286"/>
        <v>0</v>
      </c>
      <c r="EJ233" s="66">
        <f>+IF($W233="","",ROUND((EG233*Parámetros!$G$85),2))</f>
        <v>0.05</v>
      </c>
      <c r="EK233" s="66">
        <f>+IF($W233="","",ROUND((EG233*(Parámetros!$G$86)),2))</f>
        <v>0.01</v>
      </c>
      <c r="EL233" s="66">
        <f t="shared" si="287"/>
        <v>1.41</v>
      </c>
    </row>
    <row r="234" spans="1:142" x14ac:dyDescent="0.25">
      <c r="A234">
        <f>+IF($C234="","",ROUND(VLOOKUP('Tablas Servicio'!B234,Parámetros!$H$100:$J$159,IF(Parámetros!$E$16="F",2,3),FALSE),2))</f>
        <v>150</v>
      </c>
      <c r="B234">
        <f t="shared" ref="B234:B297" si="326">+IF(D234="","",ROUNDUP(C234/frec,0))</f>
        <v>17</v>
      </c>
      <c r="C234" s="57">
        <f>+IF(D234="","",'Tablas Servicio'!C233+1)</f>
        <v>193</v>
      </c>
      <c r="D234" s="56">
        <f>+IF(D233&lt;edadmaxtabla,D233+1/Parámetros!$E$25,"")</f>
        <v>56.103333333333794</v>
      </c>
      <c r="E234" s="57">
        <f t="shared" si="248"/>
        <v>56</v>
      </c>
      <c r="F234" s="59">
        <f t="shared" si="249"/>
        <v>100000</v>
      </c>
      <c r="G234" s="66">
        <f t="shared" ref="G234:G297" si="327">+IF($C234="","",AG234+AT234+BG234+BT234+CG234+CT234+DG234+DT234+EG234)</f>
        <v>48.75</v>
      </c>
      <c r="H234" s="66">
        <f t="shared" ref="H234:H297" si="328">+IF($C234="","",AL234+AY234+BL234+BY234+CL234+CY234+DL234+DY234+EL234)</f>
        <v>50.709999999999994</v>
      </c>
      <c r="I234" s="66">
        <f t="shared" si="288"/>
        <v>43.290000000000006</v>
      </c>
      <c r="J234" s="66">
        <f t="shared" ref="J234:J297" si="329">+IF($C234="","",AJ234+AW234+BJ234+BW234+CJ234+CW234+DJ234+DW234+EJ234)</f>
        <v>1.71</v>
      </c>
      <c r="K234" s="66">
        <f t="shared" ref="K234:K297" si="330">+IF($C234="","",AK234+AX234+BK234+BX234+CK234+CX234+DK234+DX234+EK234)</f>
        <v>0.25</v>
      </c>
      <c r="L234" s="66">
        <f t="shared" ref="L234:L297" si="331">+IF($C234="","",AH234+AU234+BH234+BU234+CH234+CU234+DH234+DU234+EH234)</f>
        <v>0</v>
      </c>
      <c r="M234" s="66">
        <f t="shared" ref="M234:M297" si="332">+IF($C234="","",AI234+AV234+BI234+BV234+CI234+CV234+DI234+DV234+EI234)</f>
        <v>0</v>
      </c>
      <c r="N234" s="66">
        <f>+IF(C234="","",ROUND(Parámetros!$D$23,2))</f>
        <v>94</v>
      </c>
      <c r="O234" s="66">
        <f t="shared" ref="O234:O297" si="333">+IF($C234="","",AC234+AR234+BE234+BR234+CE234+CR234+DE234+DR234+EE234)</f>
        <v>36.25</v>
      </c>
      <c r="P234" s="66">
        <f>+IF($C234="","",ROUND(IF(B234&gt;Parámetros!$D$117,0,N234*Parámetros!$D$116-G234*Parámetros!$D$100),2))</f>
        <v>0</v>
      </c>
      <c r="Q234" s="75">
        <f t="shared" si="289"/>
        <v>3.5076923076923075E-2</v>
      </c>
      <c r="R234" s="75">
        <f t="shared" si="290"/>
        <v>5.1282051282051282E-3</v>
      </c>
      <c r="S234" s="117">
        <f>+IF($C234="","",ROUND((S233+I234)*(1+Parámetros!$D$91),2))</f>
        <v>13836.49</v>
      </c>
      <c r="T234" s="117">
        <f>+IF($C234="","",ROUND(S234*VLOOKUP(B234,Parámetros!$C$30:$D$39,2,TRUE),2))</f>
        <v>13836.49</v>
      </c>
      <c r="U234" s="117">
        <f>+IF($C234="","",ROUND((U233+I234)*(1+Parámetros!$D$92),2))</f>
        <v>14464.04</v>
      </c>
      <c r="V234" s="117">
        <f>+IF($C234="","",ROUND(U234*VLOOKUP(B234,Parámetros!$C$30:$D$39,2,TRUE),2))</f>
        <v>14464.04</v>
      </c>
      <c r="W234" s="57">
        <f t="shared" si="291"/>
        <v>193</v>
      </c>
      <c r="X234" t="str">
        <f t="shared" si="292"/>
        <v>00058</v>
      </c>
      <c r="Y234" t="str">
        <f t="shared" si="293"/>
        <v>MUERTE POR CUALQUIER CAUSA</v>
      </c>
      <c r="Z234" s="118">
        <f>+IF($W234="","",ROUND(IF(Parámetros!$D$25='TABLAS MORT'!$V$33,Z233,Parámetros!$D$21-'Tablas Servicio'!T233),0))</f>
        <v>100000</v>
      </c>
      <c r="AA234" s="118" t="str">
        <f t="shared" si="294"/>
        <v>P</v>
      </c>
      <c r="AB234" s="119">
        <f>+IF(W234="","",ROUND((VLOOKUP(ROUNDDOWN($D234-1/frec,0),qx_tabla,2,FALSE)*(1+i/frec)^-0.5*(1+Parámetros!$D$103)*(1+rec_fracc)/frec),6))</f>
        <v>3.4900000000000003E-4</v>
      </c>
      <c r="AC234" s="66">
        <f t="shared" si="250"/>
        <v>34.9</v>
      </c>
      <c r="AD234" s="119">
        <f t="shared" ref="AD234:AD297" si="334">+IF($W234="","",ROUND((AG234/Z234),6))</f>
        <v>4.7399999999999997E-4</v>
      </c>
      <c r="AE234" s="66">
        <f>+IF($W234="","",ROUND(IF($B234&gt;Parámetros!$D$107,'Tablas Servicio'!AC234+('Tablas Servicio'!AG233-'Tablas Servicio'!AC233),AC234/(1-IF(B234&lt;=10,Parámetros!$D$104,Parámetros!$D$105))),2))</f>
        <v>58.17</v>
      </c>
      <c r="AF234" s="66">
        <f>+IF($W234="","",ROUND(IF($B234&gt;Parámetros!$D$107,'Tablas Servicio'!AC234+('Tablas Servicio'!AG233-'Tablas Servicio'!AC233),(AC234+$A233/frec)/(1-IF(B234&lt;=Parámetros!$D$117,Parámetros!$D$100,0))),2))</f>
        <v>47.4</v>
      </c>
      <c r="AG234" s="66">
        <f t="shared" si="251"/>
        <v>47.4</v>
      </c>
      <c r="AH234" s="66">
        <f t="shared" si="252"/>
        <v>0</v>
      </c>
      <c r="AI234" s="66">
        <f t="shared" si="253"/>
        <v>0</v>
      </c>
      <c r="AJ234" s="66">
        <f>+IF($W234="","",ROUND((AG234*Parámetros!$G$85),2))</f>
        <v>1.66</v>
      </c>
      <c r="AK234" s="66">
        <f>+IF($W234="","",ROUND((AG234*(Parámetros!$G$86)),2))</f>
        <v>0.24</v>
      </c>
      <c r="AL234" s="66">
        <f t="shared" ref="AL234:AL297" si="335">+IF($W234="","",ROUND((AG234+AJ234+AK234),2))</f>
        <v>49.3</v>
      </c>
      <c r="AM234" t="str">
        <f t="shared" si="295"/>
        <v>00059</v>
      </c>
      <c r="AN234" t="str">
        <f t="shared" si="296"/>
        <v>Incapacidad Total y Permanente</v>
      </c>
      <c r="AO234" s="118">
        <f t="shared" si="297"/>
        <v>0</v>
      </c>
      <c r="AP234" s="118" t="str">
        <f t="shared" si="298"/>
        <v>A</v>
      </c>
      <c r="AQ234" s="119" t="str">
        <f>+IF(OR($W234="",AO234=0),"",ROUND((VLOOKUP(ROUNDDOWN($D234-1/frec,0),cob_adi,Z$40,FALSE)*(1+i/frec)^-0.5*(1+Parámetros!$D$103)*(1+rec_fracc)/frec),6))</f>
        <v/>
      </c>
      <c r="AR234" s="66">
        <f t="shared" si="254"/>
        <v>0</v>
      </c>
      <c r="AS234" s="119" t="str">
        <f t="shared" si="255"/>
        <v/>
      </c>
      <c r="AT234" s="66">
        <f>+IF($W234="","",ROUND(IF($B234&gt;Parámetros!$D$107,'Tablas Servicio'!AR234+('Tablas Servicio'!AT233-'Tablas Servicio'!AR233),AR234/(1-IF(B234&lt;=10,Parámetros!$D$100,0))),2))</f>
        <v>0</v>
      </c>
      <c r="AU234" s="66">
        <f t="shared" si="256"/>
        <v>0</v>
      </c>
      <c r="AV234" s="66">
        <f t="shared" si="256"/>
        <v>0</v>
      </c>
      <c r="AW234" s="66">
        <f>+IF($W234="","",ROUND((AT234*Parámetros!$G$85),2))</f>
        <v>0</v>
      </c>
      <c r="AX234" s="66">
        <f>+IF($W234="","",ROUND((AT234*(Parámetros!$G$86)),2))</f>
        <v>0</v>
      </c>
      <c r="AY234" s="66">
        <f t="shared" si="257"/>
        <v>0</v>
      </c>
      <c r="AZ234" t="str">
        <f t="shared" si="299"/>
        <v>00060</v>
      </c>
      <c r="BA234" t="str">
        <f t="shared" si="300"/>
        <v>Muerte Accidental</v>
      </c>
      <c r="BB234" s="118">
        <f t="shared" si="301"/>
        <v>0</v>
      </c>
      <c r="BC234" s="118" t="str">
        <f t="shared" si="302"/>
        <v>A</v>
      </c>
      <c r="BD234" s="119" t="str">
        <f>+IF(OR($W234="",BB234=0),"",ROUND((VLOOKUP(ROUNDDOWN($D234-1/frec,0),cob_adi,AO$40,FALSE)*(1+i/frec)^-0.5*(1+Parámetros!$D$103)*(1+rec_fracc)/frec),6))</f>
        <v/>
      </c>
      <c r="BE234" s="66">
        <f t="shared" si="258"/>
        <v>0</v>
      </c>
      <c r="BF234" s="119" t="str">
        <f t="shared" si="259"/>
        <v/>
      </c>
      <c r="BG234" s="66">
        <f>+IF($W234="","",ROUND(IF($B234&gt;Parámetros!$D$107,'Tablas Servicio'!BE234+('Tablas Servicio'!BG233-'Tablas Servicio'!BE233),BE234/(1-IF(B234&lt;=10,Parámetros!$D$100,0))),2))</f>
        <v>0</v>
      </c>
      <c r="BH234" s="66">
        <f t="shared" si="260"/>
        <v>0</v>
      </c>
      <c r="BI234" s="66">
        <f t="shared" si="261"/>
        <v>0</v>
      </c>
      <c r="BJ234" s="66">
        <f>+IF($W234="","",ROUND((BG234*Parámetros!$G$85),2))</f>
        <v>0</v>
      </c>
      <c r="BK234" s="66">
        <f>+IF($W234="","",ROUND((BG234*(Parámetros!$G$86)),2))</f>
        <v>0</v>
      </c>
      <c r="BL234" s="66">
        <f t="shared" si="262"/>
        <v>0</v>
      </c>
      <c r="BM234" t="str">
        <f t="shared" si="303"/>
        <v>00061</v>
      </c>
      <c r="BN234" t="str">
        <f t="shared" si="304"/>
        <v>Gastos de Entierro</v>
      </c>
      <c r="BO234" s="118">
        <f t="shared" si="305"/>
        <v>0</v>
      </c>
      <c r="BP234" s="118" t="str">
        <f t="shared" si="306"/>
        <v>A</v>
      </c>
      <c r="BQ234" s="119" t="str">
        <f>+IF(OR($W234="",BO234=0),"",ROUND((VLOOKUP(ROUNDDOWN($D234-1/frec,0),cob_adi,BB$40,FALSE)*(1+i/frec)^-0.5*(1+Parámetros!$D$103)*(1+rec_fracc)/frec),6))</f>
        <v/>
      </c>
      <c r="BR234" s="66">
        <f t="shared" si="263"/>
        <v>0</v>
      </c>
      <c r="BS234" s="119" t="str">
        <f t="shared" si="264"/>
        <v/>
      </c>
      <c r="BT234" s="66">
        <f>+IF($W234="","",ROUND(IF($B234&gt;Parámetros!$D$107,'Tablas Servicio'!BR234+('Tablas Servicio'!BT233-'Tablas Servicio'!BR233),BR234/(1-IF(B234&lt;=10,Parámetros!$D$100,0))),2))</f>
        <v>0</v>
      </c>
      <c r="BU234" s="66">
        <f t="shared" si="265"/>
        <v>0</v>
      </c>
      <c r="BV234" s="66">
        <f t="shared" si="265"/>
        <v>0</v>
      </c>
      <c r="BW234" s="66">
        <f>+IF($W234="","",ROUND((BT234*Parámetros!$G$85),2))</f>
        <v>0</v>
      </c>
      <c r="BX234" s="66">
        <f>+IF($W234="","",ROUND((BT234*(Parámetros!$G$86)),2))</f>
        <v>0</v>
      </c>
      <c r="BY234" s="66">
        <f t="shared" si="266"/>
        <v>0</v>
      </c>
      <c r="BZ234" t="str">
        <f t="shared" si="307"/>
        <v>00062</v>
      </c>
      <c r="CA234" t="str">
        <f t="shared" si="308"/>
        <v>Gastos médicos por accidente</v>
      </c>
      <c r="CB234" s="118">
        <f t="shared" si="309"/>
        <v>0</v>
      </c>
      <c r="CC234" s="118" t="str">
        <f t="shared" si="310"/>
        <v>A</v>
      </c>
      <c r="CD234" s="119" t="str">
        <f t="shared" si="267"/>
        <v/>
      </c>
      <c r="CE234" s="66">
        <f>+IF($W234="","",ROUND((VLOOKUP(ROUNDDOWN($D234-1/frec,0),cob_adi,BO$40,FALSE)*(1+i/frec)^-0.5*(1+Parámetros!$D$103)*(1+rec_fracc)/frec*'TABLAS ADI'!$BC$17),2))</f>
        <v>0</v>
      </c>
      <c r="CF234" s="119" t="str">
        <f t="shared" si="268"/>
        <v/>
      </c>
      <c r="CG234" s="66">
        <f>+IF($W234="","",ROUND(IF($B234&gt;Parámetros!$D$107,'Tablas Servicio'!CE234+('Tablas Servicio'!CG233-'Tablas Servicio'!CE233),CE234/(1-IF(B234&lt;=10,Parámetros!$D$100,0))),2))</f>
        <v>0</v>
      </c>
      <c r="CH234" s="66">
        <f t="shared" si="269"/>
        <v>0</v>
      </c>
      <c r="CI234" s="66">
        <f t="shared" si="269"/>
        <v>0</v>
      </c>
      <c r="CJ234" s="66">
        <f>+IF($W234="","",ROUND((CG234*Parámetros!$G$85),2))</f>
        <v>0</v>
      </c>
      <c r="CK234" s="66">
        <f>+IF($W234="","",ROUND((CG234*(Parámetros!$G$86)),2))</f>
        <v>0</v>
      </c>
      <c r="CL234" s="66">
        <f t="shared" si="270"/>
        <v>0</v>
      </c>
      <c r="CM234" t="str">
        <f t="shared" si="311"/>
        <v>00063</v>
      </c>
      <c r="CN234" s="118" t="str">
        <f t="shared" si="312"/>
        <v>Renta Diaria por Hospitalización</v>
      </c>
      <c r="CO234" s="118">
        <f t="shared" si="313"/>
        <v>0</v>
      </c>
      <c r="CP234" s="118" t="str">
        <f t="shared" si="314"/>
        <v>A</v>
      </c>
      <c r="CQ234" s="119" t="str">
        <f t="shared" si="271"/>
        <v/>
      </c>
      <c r="CR234" s="66">
        <f>+IF($W234="","",ROUND((VLOOKUP(Parámetros!$F$51,'COBERTURAS ADICIONALES'!$S$4:$T$32,2,FALSE)*(1+i/frec)^-0.5*(1+Parámetros!$D$103)*(1+rec_fracc)/frec*$CO$42),2))</f>
        <v>0</v>
      </c>
      <c r="CS234" s="119" t="str">
        <f t="shared" si="272"/>
        <v/>
      </c>
      <c r="CT234" s="66">
        <f>+IF($W234="","",ROUND(IF($B234&gt;Parámetros!$D$107,'Tablas Servicio'!CR234+('Tablas Servicio'!CT233-'Tablas Servicio'!CR233),CR234/(1-IF(B234&lt;=10,Parámetros!$D$100,0))),2))</f>
        <v>0</v>
      </c>
      <c r="CU234" s="66">
        <f t="shared" si="273"/>
        <v>0</v>
      </c>
      <c r="CV234" s="66">
        <f t="shared" si="273"/>
        <v>0</v>
      </c>
      <c r="CW234" s="66">
        <f>+IF($W234="","",ROUND((CT234*Parámetros!$G$85),2))</f>
        <v>0</v>
      </c>
      <c r="CX234" s="66">
        <f>+IF($W234="","",ROUND((CT234*(Parámetros!$G$86)),2))</f>
        <v>0</v>
      </c>
      <c r="CY234" s="66">
        <f t="shared" si="274"/>
        <v>0</v>
      </c>
      <c r="CZ234" t="str">
        <f t="shared" si="315"/>
        <v>00064</v>
      </c>
      <c r="DA234" s="118" t="str">
        <f t="shared" si="316"/>
        <v>Enfermedades Graves</v>
      </c>
      <c r="DB234" s="118">
        <f t="shared" si="317"/>
        <v>0</v>
      </c>
      <c r="DC234" s="118" t="str">
        <f t="shared" si="318"/>
        <v>A</v>
      </c>
      <c r="DD234" s="121" t="str">
        <f>+IF(OR($W234="",DB234=0),"",ROUND((VLOOKUP(ROUNDDOWN($D234-1/frec,0),cob_adi,CO$40,FALSE)*(1+i/frec)^-0.5*(1+Parámetros!$D$103)*(1+rec_fracc)/frec),6))</f>
        <v/>
      </c>
      <c r="DE234" s="66">
        <f t="shared" si="275"/>
        <v>0</v>
      </c>
      <c r="DF234" s="119" t="str">
        <f t="shared" si="276"/>
        <v/>
      </c>
      <c r="DG234" s="66">
        <f>+IF($W234="","",ROUND(IF($B234&gt;Parámetros!$D$107,'Tablas Servicio'!DE234+('Tablas Servicio'!DG233-'Tablas Servicio'!DE233),DE234/(1-IF(B234&lt;=10,Parámetros!$D$100,0))),2))</f>
        <v>0</v>
      </c>
      <c r="DH234" s="66">
        <f t="shared" si="277"/>
        <v>0</v>
      </c>
      <c r="DI234" s="66">
        <f t="shared" si="277"/>
        <v>0</v>
      </c>
      <c r="DJ234" s="66">
        <f>+IF($W234="","",ROUND((DG234*Parámetros!$G$85),2))</f>
        <v>0</v>
      </c>
      <c r="DK234" s="66">
        <f>+IF($W234="","",ROUND((DG234*(Parámetros!$G$86)),2))</f>
        <v>0</v>
      </c>
      <c r="DL234" s="66">
        <f t="shared" si="278"/>
        <v>0</v>
      </c>
      <c r="DM234" t="str">
        <f t="shared" si="319"/>
        <v>00065</v>
      </c>
      <c r="DN234" s="118" t="str">
        <f t="shared" si="320"/>
        <v>Exención pago de primas</v>
      </c>
      <c r="DO234" s="118">
        <f t="shared" si="321"/>
        <v>0</v>
      </c>
      <c r="DP234" s="118" t="str">
        <f t="shared" si="322"/>
        <v>A</v>
      </c>
      <c r="DQ234" s="122" t="str">
        <f>+IF(OR($W234="",DO234=0),"",ROUND((VLOOKUP(ROUNDDOWN($D234-1/frec,0),cob_adi,DB$40,FALSE)*(1+i/frec)^-0.5*(1+Parámetros!$D$103)*(1+rec_fracc)/frec),6))</f>
        <v/>
      </c>
      <c r="DR234" s="66">
        <f t="shared" si="279"/>
        <v>0</v>
      </c>
      <c r="DS234" s="68" t="str">
        <f t="shared" si="280"/>
        <v/>
      </c>
      <c r="DT234" s="66">
        <f>+IF($W234="","",ROUND(IF($B234&gt;Parámetros!$D$107,'Tablas Servicio'!DR234+('Tablas Servicio'!DT233-'Tablas Servicio'!DR233),DR234/(1-IF(B234&lt;=10,Parámetros!$D$100,0))),2))</f>
        <v>0</v>
      </c>
      <c r="DU234" s="66">
        <f t="shared" si="281"/>
        <v>0</v>
      </c>
      <c r="DV234" s="66">
        <f t="shared" si="281"/>
        <v>0</v>
      </c>
      <c r="DW234" s="66">
        <f>+IF($W234="","",ROUND((DT234*Parámetros!$G$85),2))</f>
        <v>0</v>
      </c>
      <c r="DX234" s="66">
        <f>+IF($W234="","",ROUND((DT234*(Parámetros!$G$86)),2))</f>
        <v>0</v>
      </c>
      <c r="DY234" s="66">
        <f t="shared" si="282"/>
        <v>0</v>
      </c>
      <c r="DZ234" t="str">
        <f t="shared" si="325"/>
        <v>00066</v>
      </c>
      <c r="EA234" s="118" t="str">
        <f t="shared" si="325"/>
        <v>Enfermedad terminal</v>
      </c>
      <c r="EB234" s="118">
        <f>+IF($W234="","",ROUND(IF(Parámetros!$D$25='TABLAS MORT'!$V$33,EB233,Z234/2),0))</f>
        <v>50000</v>
      </c>
      <c r="EC234" s="118" t="str">
        <f t="shared" si="325"/>
        <v>A</v>
      </c>
      <c r="ED234" s="122">
        <f>+IF(OR($W234="",EB234=0),"",ROUND((VLOOKUP(ROUNDDOWN($D234-1/frec,0),cob_adi,DO$40,FALSE)*(1+i/frec)^-0.5*(1+Parámetros!$D$103)*(1+rec_fracc)/frec),6))</f>
        <v>2.6999999999999999E-5</v>
      </c>
      <c r="EE234" s="66">
        <f t="shared" si="284"/>
        <v>1.35</v>
      </c>
      <c r="EF234" s="68">
        <f t="shared" si="285"/>
        <v>2.6999999999999999E-5</v>
      </c>
      <c r="EG234" s="66">
        <f>+IF($W234="","",ROUND(IF($B234&gt;Parámetros!$D$107,'Tablas Servicio'!EE234+('Tablas Servicio'!EG233-'Tablas Servicio'!EE233),EE234/(1-IF(B234&lt;=10,Parámetros!$D$100,0))),2))</f>
        <v>1.35</v>
      </c>
      <c r="EH234" s="66">
        <f t="shared" si="286"/>
        <v>0</v>
      </c>
      <c r="EI234" s="66">
        <f t="shared" si="286"/>
        <v>0</v>
      </c>
      <c r="EJ234" s="66">
        <f>+IF($W234="","",ROUND((EG234*Parámetros!$G$85),2))</f>
        <v>0.05</v>
      </c>
      <c r="EK234" s="66">
        <f>+IF($W234="","",ROUND((EG234*(Parámetros!$G$86)),2))</f>
        <v>0.01</v>
      </c>
      <c r="EL234" s="66">
        <f t="shared" si="287"/>
        <v>1.41</v>
      </c>
    </row>
    <row r="235" spans="1:142" x14ac:dyDescent="0.25">
      <c r="A235">
        <f>+IF($C235="","",ROUND(VLOOKUP('Tablas Servicio'!B235,Parámetros!$H$100:$J$159,IF(Parámetros!$E$16="F",2,3),FALSE),2))</f>
        <v>150</v>
      </c>
      <c r="B235">
        <f t="shared" si="326"/>
        <v>17</v>
      </c>
      <c r="C235" s="57">
        <f>+IF(D235="","",'Tablas Servicio'!C234+1)</f>
        <v>194</v>
      </c>
      <c r="D235" s="56">
        <f>+IF(D234&lt;edadmaxtabla,D234+1/Parámetros!$E$25,"")</f>
        <v>56.186666666667129</v>
      </c>
      <c r="E235" s="57">
        <f t="shared" ref="E235:E298" si="336">+IF(D235="","",ROUNDDOWN(D235,0))</f>
        <v>56</v>
      </c>
      <c r="F235" s="59">
        <f t="shared" ref="F235:F298" si="337">+Z235</f>
        <v>100000</v>
      </c>
      <c r="G235" s="66">
        <f t="shared" si="327"/>
        <v>48.75</v>
      </c>
      <c r="H235" s="66">
        <f t="shared" si="328"/>
        <v>50.709999999999994</v>
      </c>
      <c r="I235" s="66">
        <f t="shared" si="288"/>
        <v>43.290000000000006</v>
      </c>
      <c r="J235" s="66">
        <f t="shared" si="329"/>
        <v>1.71</v>
      </c>
      <c r="K235" s="66">
        <f t="shared" si="330"/>
        <v>0.25</v>
      </c>
      <c r="L235" s="66">
        <f t="shared" si="331"/>
        <v>0</v>
      </c>
      <c r="M235" s="66">
        <f t="shared" si="332"/>
        <v>0</v>
      </c>
      <c r="N235" s="66">
        <f>+IF(C235="","",ROUND(Parámetros!$D$23,2))</f>
        <v>94</v>
      </c>
      <c r="O235" s="66">
        <f t="shared" si="333"/>
        <v>36.25</v>
      </c>
      <c r="P235" s="66">
        <f>+IF($C235="","",ROUND(IF(B235&gt;Parámetros!$D$117,0,N235*Parámetros!$D$116-G235*Parámetros!$D$100),2))</f>
        <v>0</v>
      </c>
      <c r="Q235" s="75">
        <f t="shared" si="289"/>
        <v>3.5076923076923075E-2</v>
      </c>
      <c r="R235" s="75">
        <f t="shared" si="290"/>
        <v>5.1282051282051282E-3</v>
      </c>
      <c r="S235" s="117">
        <f>+IF($C235="","",ROUND((S234+I235)*(1+Parámetros!$D$91),2))</f>
        <v>13919.15</v>
      </c>
      <c r="T235" s="117">
        <f>+IF($C235="","",ROUND(S235*VLOOKUP(B235,Parámetros!$C$30:$D$39,2,TRUE),2))</f>
        <v>13919.15</v>
      </c>
      <c r="U235" s="117">
        <f>+IF($C235="","",ROUND((U234+I235)*(1+Parámetros!$D$92),2))</f>
        <v>14554.36</v>
      </c>
      <c r="V235" s="117">
        <f>+IF($C235="","",ROUND(U235*VLOOKUP(B235,Parámetros!$C$30:$D$39,2,TRUE),2))</f>
        <v>14554.36</v>
      </c>
      <c r="W235" s="57">
        <f t="shared" si="291"/>
        <v>194</v>
      </c>
      <c r="X235" t="str">
        <f t="shared" si="292"/>
        <v>00058</v>
      </c>
      <c r="Y235" t="str">
        <f t="shared" si="293"/>
        <v>MUERTE POR CUALQUIER CAUSA</v>
      </c>
      <c r="Z235" s="118">
        <f>+IF($W235="","",ROUND(IF(Parámetros!$D$25='TABLAS MORT'!$V$33,Z234,Parámetros!$D$21-'Tablas Servicio'!T234),0))</f>
        <v>100000</v>
      </c>
      <c r="AA235" s="118" t="str">
        <f t="shared" si="294"/>
        <v>P</v>
      </c>
      <c r="AB235" s="119">
        <f>+IF(W235="","",ROUND((VLOOKUP(ROUNDDOWN($D235-1/frec,0),qx_tabla,2,FALSE)*(1+i/frec)^-0.5*(1+Parámetros!$D$103)*(1+rec_fracc)/frec),6))</f>
        <v>3.4900000000000003E-4</v>
      </c>
      <c r="AC235" s="66">
        <f t="shared" ref="AC235:AC298" si="338">+IF($W235="","",ROUND((AB235*Z235),2))</f>
        <v>34.9</v>
      </c>
      <c r="AD235" s="119">
        <f t="shared" si="334"/>
        <v>4.7399999999999997E-4</v>
      </c>
      <c r="AE235" s="66">
        <f>+IF($W235="","",ROUND(IF($B235&gt;Parámetros!$D$107,'Tablas Servicio'!AC235+('Tablas Servicio'!AG234-'Tablas Servicio'!AC234),AC235/(1-IF(B235&lt;=10,Parámetros!$D$104,Parámetros!$D$105))),2))</f>
        <v>58.17</v>
      </c>
      <c r="AF235" s="66">
        <f>+IF($W235="","",ROUND(IF($B235&gt;Parámetros!$D$107,'Tablas Servicio'!AC235+('Tablas Servicio'!AG234-'Tablas Servicio'!AC234),(AC235+$A234/frec)/(1-IF(B235&lt;=Parámetros!$D$117,Parámetros!$D$100,0))),2))</f>
        <v>47.4</v>
      </c>
      <c r="AG235" s="66">
        <f t="shared" ref="AG235:AG298" si="339">+IF($W235="","",MIN(AE235,AF235))</f>
        <v>47.4</v>
      </c>
      <c r="AH235" s="66">
        <f t="shared" ref="AH235:AH298" si="340">+IF($W235="","",0)</f>
        <v>0</v>
      </c>
      <c r="AI235" s="66">
        <f t="shared" ref="AI235:AI298" si="341">IF($W235="","",0)</f>
        <v>0</v>
      </c>
      <c r="AJ235" s="66">
        <f>+IF($W235="","",ROUND((AG235*Parámetros!$G$85),2))</f>
        <v>1.66</v>
      </c>
      <c r="AK235" s="66">
        <f>+IF($W235="","",ROUND((AG235*(Parámetros!$G$86)),2))</f>
        <v>0.24</v>
      </c>
      <c r="AL235" s="66">
        <f t="shared" si="335"/>
        <v>49.3</v>
      </c>
      <c r="AM235" t="str">
        <f t="shared" si="295"/>
        <v>00059</v>
      </c>
      <c r="AN235" t="str">
        <f t="shared" si="296"/>
        <v>Incapacidad Total y Permanente</v>
      </c>
      <c r="AO235" s="118">
        <f t="shared" si="297"/>
        <v>0</v>
      </c>
      <c r="AP235" s="118" t="str">
        <f t="shared" si="298"/>
        <v>A</v>
      </c>
      <c r="AQ235" s="119" t="str">
        <f>+IF(OR($W235="",AO235=0),"",ROUND((VLOOKUP(ROUNDDOWN($D235-1/frec,0),cob_adi,Z$40,FALSE)*(1+i/frec)^-0.5*(1+Parámetros!$D$103)*(1+rec_fracc)/frec),6))</f>
        <v/>
      </c>
      <c r="AR235" s="66">
        <f t="shared" ref="AR235:AR298" si="342">+IF(AO235=0,0,IF($W235="","",ROUND((AQ235*AO235),2)))</f>
        <v>0</v>
      </c>
      <c r="AS235" s="119" t="str">
        <f t="shared" ref="AS235:AS298" si="343">+IF(OR($W235="",AO235=0),"",ROUND((AT235/AO235),6))</f>
        <v/>
      </c>
      <c r="AT235" s="66">
        <f>+IF($W235="","",ROUND(IF($B235&gt;Parámetros!$D$107,'Tablas Servicio'!AR235+('Tablas Servicio'!AT234-'Tablas Servicio'!AR234),AR235/(1-IF(B235&lt;=10,Parámetros!$D$100,0))),2))</f>
        <v>0</v>
      </c>
      <c r="AU235" s="66">
        <f t="shared" ref="AU235:AV298" si="344">+IF($W235="","",0)</f>
        <v>0</v>
      </c>
      <c r="AV235" s="66">
        <f t="shared" si="344"/>
        <v>0</v>
      </c>
      <c r="AW235" s="66">
        <f>+IF($W235="","",ROUND((AT235*Parámetros!$G$85),2))</f>
        <v>0</v>
      </c>
      <c r="AX235" s="66">
        <f>+IF($W235="","",ROUND((AT235*(Parámetros!$G$86)),2))</f>
        <v>0</v>
      </c>
      <c r="AY235" s="66">
        <f t="shared" ref="AY235:AY298" si="345">+IF($W235="","",ROUND((AT235+AW235+AX235),2))</f>
        <v>0</v>
      </c>
      <c r="AZ235" t="str">
        <f t="shared" si="299"/>
        <v>00060</v>
      </c>
      <c r="BA235" t="str">
        <f t="shared" si="300"/>
        <v>Muerte Accidental</v>
      </c>
      <c r="BB235" s="118">
        <f t="shared" si="301"/>
        <v>0</v>
      </c>
      <c r="BC235" s="118" t="str">
        <f t="shared" si="302"/>
        <v>A</v>
      </c>
      <c r="BD235" s="119" t="str">
        <f>+IF(OR($W235="",BB235=0),"",ROUND((VLOOKUP(ROUNDDOWN($D235-1/frec,0),cob_adi,AO$40,FALSE)*(1+i/frec)^-0.5*(1+Parámetros!$D$103)*(1+rec_fracc)/frec),6))</f>
        <v/>
      </c>
      <c r="BE235" s="66">
        <f t="shared" ref="BE235:BE298" si="346">+IF(BB235=0,0,IF($W235="","",ROUND(((BD235*BB235)),2)))</f>
        <v>0</v>
      </c>
      <c r="BF235" s="119" t="str">
        <f t="shared" ref="BF235:BF298" si="347">+IF(OR($W235="",BB235=0),"",ROUND((BG235/BB235),6))</f>
        <v/>
      </c>
      <c r="BG235" s="66">
        <f>+IF($W235="","",ROUND(IF($B235&gt;Parámetros!$D$107,'Tablas Servicio'!BE235+('Tablas Servicio'!BG234-'Tablas Servicio'!BE234),BE235/(1-IF(B235&lt;=10,Parámetros!$D$100,0))),2))</f>
        <v>0</v>
      </c>
      <c r="BH235" s="66">
        <f t="shared" ref="BH235:BH298" si="348">IF($W235="","",0)</f>
        <v>0</v>
      </c>
      <c r="BI235" s="66">
        <f t="shared" ref="BI235:BI298" si="349">+IF($W235="","",0)</f>
        <v>0</v>
      </c>
      <c r="BJ235" s="66">
        <f>+IF($W235="","",ROUND((BG235*Parámetros!$G$85),2))</f>
        <v>0</v>
      </c>
      <c r="BK235" s="66">
        <f>+IF($W235="","",ROUND((BG235*(Parámetros!$G$86)),2))</f>
        <v>0</v>
      </c>
      <c r="BL235" s="66">
        <f t="shared" ref="BL235:BL298" si="350">+IF($W235="","",ROUND((BG235+BJ235+BK235),2))</f>
        <v>0</v>
      </c>
      <c r="BM235" t="str">
        <f t="shared" si="303"/>
        <v>00061</v>
      </c>
      <c r="BN235" t="str">
        <f t="shared" si="304"/>
        <v>Gastos de Entierro</v>
      </c>
      <c r="BO235" s="118">
        <f t="shared" si="305"/>
        <v>0</v>
      </c>
      <c r="BP235" s="118" t="str">
        <f t="shared" si="306"/>
        <v>A</v>
      </c>
      <c r="BQ235" s="119" t="str">
        <f>+IF(OR($W235="",BO235=0),"",ROUND((VLOOKUP(ROUNDDOWN($D235-1/frec,0),cob_adi,BB$40,FALSE)*(1+i/frec)^-0.5*(1+Parámetros!$D$103)*(1+rec_fracc)/frec),6))</f>
        <v/>
      </c>
      <c r="BR235" s="66">
        <f t="shared" ref="BR235:BR298" si="351">+IF(BO235=0,0,IF($W235="","",ROUND(((BQ235*BO235)),2)))</f>
        <v>0</v>
      </c>
      <c r="BS235" s="119" t="str">
        <f t="shared" ref="BS235:BS298" si="352">+IF(OR($W235="",BO235=0),"",ROUND((BT235/BO235),6))</f>
        <v/>
      </c>
      <c r="BT235" s="66">
        <f>+IF($W235="","",ROUND(IF($B235&gt;Parámetros!$D$107,'Tablas Servicio'!BR235+('Tablas Servicio'!BT234-'Tablas Servicio'!BR234),BR235/(1-IF(B235&lt;=10,Parámetros!$D$100,0))),2))</f>
        <v>0</v>
      </c>
      <c r="BU235" s="66">
        <f t="shared" ref="BU235:BV298" si="353">+IF($W235="","",0)</f>
        <v>0</v>
      </c>
      <c r="BV235" s="66">
        <f t="shared" si="353"/>
        <v>0</v>
      </c>
      <c r="BW235" s="66">
        <f>+IF($W235="","",ROUND((BT235*Parámetros!$G$85),2))</f>
        <v>0</v>
      </c>
      <c r="BX235" s="66">
        <f>+IF($W235="","",ROUND((BT235*(Parámetros!$G$86)),2))</f>
        <v>0</v>
      </c>
      <c r="BY235" s="66">
        <f t="shared" ref="BY235:BY298" si="354">+IF($W235="","",ROUND((BT235+BW235+BX235),2))</f>
        <v>0</v>
      </c>
      <c r="BZ235" t="str">
        <f t="shared" si="307"/>
        <v>00062</v>
      </c>
      <c r="CA235" t="str">
        <f t="shared" si="308"/>
        <v>Gastos médicos por accidente</v>
      </c>
      <c r="CB235" s="118">
        <f t="shared" si="309"/>
        <v>0</v>
      </c>
      <c r="CC235" s="118" t="str">
        <f t="shared" si="310"/>
        <v>A</v>
      </c>
      <c r="CD235" s="119" t="str">
        <f t="shared" ref="CD235:CD298" si="355">+IF(OR($W235="",CB235=0),"",ROUND((CE235/CB235),6))</f>
        <v/>
      </c>
      <c r="CE235" s="66">
        <f>+IF($W235="","",ROUND((VLOOKUP(ROUNDDOWN($D235-1/frec,0),cob_adi,BO$40,FALSE)*(1+i/frec)^-0.5*(1+Parámetros!$D$103)*(1+rec_fracc)/frec*'TABLAS ADI'!$BC$17),2))</f>
        <v>0</v>
      </c>
      <c r="CF235" s="119" t="str">
        <f t="shared" ref="CF235:CF298" si="356">+IF(OR($W235="",CB235=0),"",ROUND((CG235/CB235),6))</f>
        <v/>
      </c>
      <c r="CG235" s="66">
        <f>+IF($W235="","",ROUND(IF($B235&gt;Parámetros!$D$107,'Tablas Servicio'!CE235+('Tablas Servicio'!CG234-'Tablas Servicio'!CE234),CE235/(1-IF(B235&lt;=10,Parámetros!$D$100,0))),2))</f>
        <v>0</v>
      </c>
      <c r="CH235" s="66">
        <f t="shared" ref="CH235:CI298" si="357">+IF($W235="","",0)</f>
        <v>0</v>
      </c>
      <c r="CI235" s="66">
        <f t="shared" si="357"/>
        <v>0</v>
      </c>
      <c r="CJ235" s="66">
        <f>+IF($W235="","",ROUND((CG235*Parámetros!$G$85),2))</f>
        <v>0</v>
      </c>
      <c r="CK235" s="66">
        <f>+IF($W235="","",ROUND((CG235*(Parámetros!$G$86)),2))</f>
        <v>0</v>
      </c>
      <c r="CL235" s="66">
        <f t="shared" ref="CL235:CL298" si="358">+IF($W235="","",ROUND((CG235+CJ235+CK235),2))</f>
        <v>0</v>
      </c>
      <c r="CM235" t="str">
        <f t="shared" si="311"/>
        <v>00063</v>
      </c>
      <c r="CN235" s="118" t="str">
        <f t="shared" si="312"/>
        <v>Renta Diaria por Hospitalización</v>
      </c>
      <c r="CO235" s="118">
        <f t="shared" si="313"/>
        <v>0</v>
      </c>
      <c r="CP235" s="118" t="str">
        <f t="shared" si="314"/>
        <v>A</v>
      </c>
      <c r="CQ235" s="119" t="str">
        <f t="shared" ref="CQ235:CQ298" si="359">+IF(OR($W235="",CO235=0),"",ROUND((CR235/CO235),6))</f>
        <v/>
      </c>
      <c r="CR235" s="66">
        <f>+IF($W235="","",ROUND((VLOOKUP(Parámetros!$F$51,'COBERTURAS ADICIONALES'!$S$4:$T$32,2,FALSE)*(1+i/frec)^-0.5*(1+Parámetros!$D$103)*(1+rec_fracc)/frec*$CO$42),2))</f>
        <v>0</v>
      </c>
      <c r="CS235" s="119" t="str">
        <f t="shared" ref="CS235:CS298" si="360">+IF(OR($W235="",CO235=0),"",ROUND((CT235/CO235),6))</f>
        <v/>
      </c>
      <c r="CT235" s="66">
        <f>+IF($W235="","",ROUND(IF($B235&gt;Parámetros!$D$107,'Tablas Servicio'!CR235+('Tablas Servicio'!CT234-'Tablas Servicio'!CR234),CR235/(1-IF(B235&lt;=10,Parámetros!$D$100,0))),2))</f>
        <v>0</v>
      </c>
      <c r="CU235" s="66">
        <f t="shared" ref="CU235:CV298" si="361">+IF($W235="","",0)</f>
        <v>0</v>
      </c>
      <c r="CV235" s="66">
        <f t="shared" si="361"/>
        <v>0</v>
      </c>
      <c r="CW235" s="66">
        <f>+IF($W235="","",ROUND((CT235*Parámetros!$G$85),2))</f>
        <v>0</v>
      </c>
      <c r="CX235" s="66">
        <f>+IF($W235="","",ROUND((CT235*(Parámetros!$G$86)),2))</f>
        <v>0</v>
      </c>
      <c r="CY235" s="66">
        <f t="shared" ref="CY235:CY298" si="362">+IF($W235="","",ROUND((CT235+CW235+CX235),2))</f>
        <v>0</v>
      </c>
      <c r="CZ235" t="str">
        <f t="shared" si="315"/>
        <v>00064</v>
      </c>
      <c r="DA235" s="118" t="str">
        <f t="shared" si="316"/>
        <v>Enfermedades Graves</v>
      </c>
      <c r="DB235" s="118">
        <f t="shared" si="317"/>
        <v>0</v>
      </c>
      <c r="DC235" s="118" t="str">
        <f t="shared" si="318"/>
        <v>A</v>
      </c>
      <c r="DD235" s="121" t="str">
        <f>+IF(OR($W235="",DB235=0),"",ROUND((VLOOKUP(ROUNDDOWN($D235-1/frec,0),cob_adi,CO$40,FALSE)*(1+i/frec)^-0.5*(1+Parámetros!$D$103)*(1+rec_fracc)/frec),6))</f>
        <v/>
      </c>
      <c r="DE235" s="66">
        <f t="shared" ref="DE235:DE298" si="363">+IF(DB235=0,0,IF($W235="","",ROUND(((DD235*DB235)),2)))</f>
        <v>0</v>
      </c>
      <c r="DF235" s="119" t="str">
        <f t="shared" ref="DF235:DF298" si="364">+IF(OR($W235="",DB235=0),"",ROUND((DG235/DB235),6))</f>
        <v/>
      </c>
      <c r="DG235" s="66">
        <f>+IF($W235="","",ROUND(IF($B235&gt;Parámetros!$D$107,'Tablas Servicio'!DE235+('Tablas Servicio'!DG234-'Tablas Servicio'!DE234),DE235/(1-IF(B235&lt;=10,Parámetros!$D$100,0))),2))</f>
        <v>0</v>
      </c>
      <c r="DH235" s="66">
        <f t="shared" ref="DH235:DI298" si="365">+IF($W235="","",0)</f>
        <v>0</v>
      </c>
      <c r="DI235" s="66">
        <f t="shared" si="365"/>
        <v>0</v>
      </c>
      <c r="DJ235" s="66">
        <f>+IF($W235="","",ROUND((DG235*Parámetros!$G$85),2))</f>
        <v>0</v>
      </c>
      <c r="DK235" s="66">
        <f>+IF($W235="","",ROUND((DG235*(Parámetros!$G$86)),2))</f>
        <v>0</v>
      </c>
      <c r="DL235" s="66">
        <f t="shared" ref="DL235:DL298" si="366">+IF($W235="","",ROUND((DG235+DJ235+DK235),2))</f>
        <v>0</v>
      </c>
      <c r="DM235" t="str">
        <f t="shared" si="319"/>
        <v>00065</v>
      </c>
      <c r="DN235" s="118" t="str">
        <f t="shared" si="320"/>
        <v>Exención pago de primas</v>
      </c>
      <c r="DO235" s="118">
        <f t="shared" si="321"/>
        <v>0</v>
      </c>
      <c r="DP235" s="118" t="str">
        <f t="shared" si="322"/>
        <v>A</v>
      </c>
      <c r="DQ235" s="122" t="str">
        <f>+IF(OR($W235="",DO235=0),"",ROUND((VLOOKUP(ROUNDDOWN($D235-1/frec,0),cob_adi,DB$40,FALSE)*(1+i/frec)^-0.5*(1+Parámetros!$D$103)*(1+rec_fracc)/frec),6))</f>
        <v/>
      </c>
      <c r="DR235" s="66">
        <f t="shared" ref="DR235:DR298" si="367">+IF(DO235=0,0,IF($W235="","",ROUND(((DQ235*DO235)),2)))</f>
        <v>0</v>
      </c>
      <c r="DS235" s="68" t="str">
        <f t="shared" ref="DS235:DS298" si="368">+IF(OR($W235="",DO235=0),"",ROUND((DT235/DO235),6))</f>
        <v/>
      </c>
      <c r="DT235" s="66">
        <f>+IF($W235="","",ROUND(IF($B235&gt;Parámetros!$D$107,'Tablas Servicio'!DR235+('Tablas Servicio'!DT234-'Tablas Servicio'!DR234),DR235/(1-IF(B235&lt;=10,Parámetros!$D$100,0))),2))</f>
        <v>0</v>
      </c>
      <c r="DU235" s="66">
        <f t="shared" ref="DU235:DV298" si="369">+IF($W235="","",0)</f>
        <v>0</v>
      </c>
      <c r="DV235" s="66">
        <f t="shared" si="369"/>
        <v>0</v>
      </c>
      <c r="DW235" s="66">
        <f>+IF($W235="","",ROUND((DT235*Parámetros!$G$85),2))</f>
        <v>0</v>
      </c>
      <c r="DX235" s="66">
        <f>+IF($W235="","",ROUND((DT235*(Parámetros!$G$86)),2))</f>
        <v>0</v>
      </c>
      <c r="DY235" s="66">
        <f t="shared" ref="DY235:DY298" si="370">+IF($W235="","",ROUND((DT235+DW235+DX235),2))</f>
        <v>0</v>
      </c>
      <c r="DZ235" t="str">
        <f t="shared" ref="DZ235:EC250" si="371">+IF($W235="","",DZ234)</f>
        <v>00066</v>
      </c>
      <c r="EA235" s="118" t="str">
        <f t="shared" si="371"/>
        <v>Enfermedad terminal</v>
      </c>
      <c r="EB235" s="118">
        <f>+IF($W235="","",ROUND(IF(Parámetros!$D$25='TABLAS MORT'!$V$33,EB234,Z235/2),0))</f>
        <v>50000</v>
      </c>
      <c r="EC235" s="118" t="str">
        <f t="shared" si="371"/>
        <v>A</v>
      </c>
      <c r="ED235" s="122">
        <f>+IF(OR($W235="",EB235=0),"",ROUND((VLOOKUP(ROUNDDOWN($D235-1/frec,0),cob_adi,DO$40,FALSE)*(1+i/frec)^-0.5*(1+Parámetros!$D$103)*(1+rec_fracc)/frec),6))</f>
        <v>2.6999999999999999E-5</v>
      </c>
      <c r="EE235" s="66">
        <f t="shared" ref="EE235:EE298" si="372">+IF(EB235=0,0,IF($W235="","",ROUND(((ED235*EB235)),2)))</f>
        <v>1.35</v>
      </c>
      <c r="EF235" s="68">
        <f t="shared" ref="EF235:EF298" si="373">+IF(OR($W235="",EB235=0),"",ROUND((EG235/EB235),6))</f>
        <v>2.6999999999999999E-5</v>
      </c>
      <c r="EG235" s="66">
        <f>+IF($W235="","",ROUND(IF($B235&gt;Parámetros!$D$107,'Tablas Servicio'!EE235+('Tablas Servicio'!EG234-'Tablas Servicio'!EE234),EE235/(1-IF(B235&lt;=10,Parámetros!$D$100,0))),2))</f>
        <v>1.35</v>
      </c>
      <c r="EH235" s="66">
        <f t="shared" ref="EH235:EI298" si="374">+IF($W235="","",0)</f>
        <v>0</v>
      </c>
      <c r="EI235" s="66">
        <f t="shared" si="374"/>
        <v>0</v>
      </c>
      <c r="EJ235" s="66">
        <f>+IF($W235="","",ROUND((EG235*Parámetros!$G$85),2))</f>
        <v>0.05</v>
      </c>
      <c r="EK235" s="66">
        <f>+IF($W235="","",ROUND((EG235*(Parámetros!$G$86)),2))</f>
        <v>0.01</v>
      </c>
      <c r="EL235" s="66">
        <f t="shared" ref="EL235:EL298" si="375">+IF($W235="","",ROUND((EG235+EJ235+EK235),2))</f>
        <v>1.41</v>
      </c>
    </row>
    <row r="236" spans="1:142" x14ac:dyDescent="0.25">
      <c r="A236">
        <f>+IF($C236="","",ROUND(VLOOKUP('Tablas Servicio'!B236,Parámetros!$H$100:$J$159,IF(Parámetros!$E$16="F",2,3),FALSE),2))</f>
        <v>150</v>
      </c>
      <c r="B236">
        <f t="shared" si="326"/>
        <v>17</v>
      </c>
      <c r="C236" s="57">
        <f>+IF(D236="","",'Tablas Servicio'!C235+1)</f>
        <v>195</v>
      </c>
      <c r="D236" s="56">
        <f>+IF(D235&lt;edadmaxtabla,D235+1/Parámetros!$E$25,"")</f>
        <v>56.270000000000465</v>
      </c>
      <c r="E236" s="57">
        <f t="shared" si="336"/>
        <v>56</v>
      </c>
      <c r="F236" s="59">
        <f t="shared" si="337"/>
        <v>100000</v>
      </c>
      <c r="G236" s="66">
        <f t="shared" si="327"/>
        <v>48.75</v>
      </c>
      <c r="H236" s="66">
        <f t="shared" si="328"/>
        <v>50.709999999999994</v>
      </c>
      <c r="I236" s="66">
        <f t="shared" si="288"/>
        <v>43.290000000000006</v>
      </c>
      <c r="J236" s="66">
        <f t="shared" si="329"/>
        <v>1.71</v>
      </c>
      <c r="K236" s="66">
        <f t="shared" si="330"/>
        <v>0.25</v>
      </c>
      <c r="L236" s="66">
        <f t="shared" si="331"/>
        <v>0</v>
      </c>
      <c r="M236" s="66">
        <f t="shared" si="332"/>
        <v>0</v>
      </c>
      <c r="N236" s="66">
        <f>+IF(C236="","",ROUND(Parámetros!$D$23,2))</f>
        <v>94</v>
      </c>
      <c r="O236" s="66">
        <f t="shared" si="333"/>
        <v>36.25</v>
      </c>
      <c r="P236" s="66">
        <f>+IF($C236="","",ROUND(IF(B236&gt;Parámetros!$D$117,0,N236*Parámetros!$D$116-G236*Parámetros!$D$100),2))</f>
        <v>0</v>
      </c>
      <c r="Q236" s="75">
        <f t="shared" si="289"/>
        <v>3.5076923076923075E-2</v>
      </c>
      <c r="R236" s="75">
        <f t="shared" si="290"/>
        <v>5.1282051282051282E-3</v>
      </c>
      <c r="S236" s="117">
        <f>+IF($C236="","",ROUND((S235+I236)*(1+Parámetros!$D$91),2))</f>
        <v>14002.04</v>
      </c>
      <c r="T236" s="117">
        <f>+IF($C236="","",ROUND(S236*VLOOKUP(B236,Parámetros!$C$30:$D$39,2,TRUE),2))</f>
        <v>14002.04</v>
      </c>
      <c r="U236" s="117">
        <f>+IF($C236="","",ROUND((U235+I236)*(1+Parámetros!$D$92),2))</f>
        <v>14644.97</v>
      </c>
      <c r="V236" s="117">
        <f>+IF($C236="","",ROUND(U236*VLOOKUP(B236,Parámetros!$C$30:$D$39,2,TRUE),2))</f>
        <v>14644.97</v>
      </c>
      <c r="W236" s="57">
        <f t="shared" si="291"/>
        <v>195</v>
      </c>
      <c r="X236" t="str">
        <f t="shared" si="292"/>
        <v>00058</v>
      </c>
      <c r="Y236" t="str">
        <f t="shared" si="293"/>
        <v>MUERTE POR CUALQUIER CAUSA</v>
      </c>
      <c r="Z236" s="118">
        <f>+IF($W236="","",ROUND(IF(Parámetros!$D$25='TABLAS MORT'!$V$33,Z235,Parámetros!$D$21-'Tablas Servicio'!T235),0))</f>
        <v>100000</v>
      </c>
      <c r="AA236" s="118" t="str">
        <f t="shared" si="294"/>
        <v>P</v>
      </c>
      <c r="AB236" s="119">
        <f>+IF(W236="","",ROUND((VLOOKUP(ROUNDDOWN($D236-1/frec,0),qx_tabla,2,FALSE)*(1+i/frec)^-0.5*(1+Parámetros!$D$103)*(1+rec_fracc)/frec),6))</f>
        <v>3.4900000000000003E-4</v>
      </c>
      <c r="AC236" s="66">
        <f t="shared" si="338"/>
        <v>34.9</v>
      </c>
      <c r="AD236" s="119">
        <f t="shared" si="334"/>
        <v>4.7399999999999997E-4</v>
      </c>
      <c r="AE236" s="66">
        <f>+IF($W236="","",ROUND(IF($B236&gt;Parámetros!$D$107,'Tablas Servicio'!AC236+('Tablas Servicio'!AG235-'Tablas Servicio'!AC235),AC236/(1-IF(B236&lt;=10,Parámetros!$D$104,Parámetros!$D$105))),2))</f>
        <v>58.17</v>
      </c>
      <c r="AF236" s="66">
        <f>+IF($W236="","",ROUND(IF($B236&gt;Parámetros!$D$107,'Tablas Servicio'!AC236+('Tablas Servicio'!AG235-'Tablas Servicio'!AC235),(AC236+$A235/frec)/(1-IF(B236&lt;=Parámetros!$D$117,Parámetros!$D$100,0))),2))</f>
        <v>47.4</v>
      </c>
      <c r="AG236" s="66">
        <f t="shared" si="339"/>
        <v>47.4</v>
      </c>
      <c r="AH236" s="66">
        <f t="shared" si="340"/>
        <v>0</v>
      </c>
      <c r="AI236" s="66">
        <f t="shared" si="341"/>
        <v>0</v>
      </c>
      <c r="AJ236" s="66">
        <f>+IF($W236="","",ROUND((AG236*Parámetros!$G$85),2))</f>
        <v>1.66</v>
      </c>
      <c r="AK236" s="66">
        <f>+IF($W236="","",ROUND((AG236*(Parámetros!$G$86)),2))</f>
        <v>0.24</v>
      </c>
      <c r="AL236" s="66">
        <f t="shared" si="335"/>
        <v>49.3</v>
      </c>
      <c r="AM236" t="str">
        <f t="shared" si="295"/>
        <v>00059</v>
      </c>
      <c r="AN236" t="str">
        <f t="shared" si="296"/>
        <v>Incapacidad Total y Permanente</v>
      </c>
      <c r="AO236" s="118">
        <f t="shared" si="297"/>
        <v>0</v>
      </c>
      <c r="AP236" s="118" t="str">
        <f t="shared" si="298"/>
        <v>A</v>
      </c>
      <c r="AQ236" s="119" t="str">
        <f>+IF(OR($W236="",AO236=0),"",ROUND((VLOOKUP(ROUNDDOWN($D236-1/frec,0),cob_adi,Z$40,FALSE)*(1+i/frec)^-0.5*(1+Parámetros!$D$103)*(1+rec_fracc)/frec),6))</f>
        <v/>
      </c>
      <c r="AR236" s="66">
        <f t="shared" si="342"/>
        <v>0</v>
      </c>
      <c r="AS236" s="119" t="str">
        <f t="shared" si="343"/>
        <v/>
      </c>
      <c r="AT236" s="66">
        <f>+IF($W236="","",ROUND(IF($B236&gt;Parámetros!$D$107,'Tablas Servicio'!AR236+('Tablas Servicio'!AT235-'Tablas Servicio'!AR235),AR236/(1-IF(B236&lt;=10,Parámetros!$D$100,0))),2))</f>
        <v>0</v>
      </c>
      <c r="AU236" s="66">
        <f t="shared" si="344"/>
        <v>0</v>
      </c>
      <c r="AV236" s="66">
        <f t="shared" si="344"/>
        <v>0</v>
      </c>
      <c r="AW236" s="66">
        <f>+IF($W236="","",ROUND((AT236*Parámetros!$G$85),2))</f>
        <v>0</v>
      </c>
      <c r="AX236" s="66">
        <f>+IF($W236="","",ROUND((AT236*(Parámetros!$G$86)),2))</f>
        <v>0</v>
      </c>
      <c r="AY236" s="66">
        <f t="shared" si="345"/>
        <v>0</v>
      </c>
      <c r="AZ236" t="str">
        <f t="shared" si="299"/>
        <v>00060</v>
      </c>
      <c r="BA236" t="str">
        <f t="shared" si="300"/>
        <v>Muerte Accidental</v>
      </c>
      <c r="BB236" s="118">
        <f t="shared" si="301"/>
        <v>0</v>
      </c>
      <c r="BC236" s="118" t="str">
        <f t="shared" si="302"/>
        <v>A</v>
      </c>
      <c r="BD236" s="119" t="str">
        <f>+IF(OR($W236="",BB236=0),"",ROUND((VLOOKUP(ROUNDDOWN($D236-1/frec,0),cob_adi,AO$40,FALSE)*(1+i/frec)^-0.5*(1+Parámetros!$D$103)*(1+rec_fracc)/frec),6))</f>
        <v/>
      </c>
      <c r="BE236" s="66">
        <f t="shared" si="346"/>
        <v>0</v>
      </c>
      <c r="BF236" s="119" t="str">
        <f t="shared" si="347"/>
        <v/>
      </c>
      <c r="BG236" s="66">
        <f>+IF($W236="","",ROUND(IF($B236&gt;Parámetros!$D$107,'Tablas Servicio'!BE236+('Tablas Servicio'!BG235-'Tablas Servicio'!BE235),BE236/(1-IF(B236&lt;=10,Parámetros!$D$100,0))),2))</f>
        <v>0</v>
      </c>
      <c r="BH236" s="66">
        <f t="shared" si="348"/>
        <v>0</v>
      </c>
      <c r="BI236" s="66">
        <f t="shared" si="349"/>
        <v>0</v>
      </c>
      <c r="BJ236" s="66">
        <f>+IF($W236="","",ROUND((BG236*Parámetros!$G$85),2))</f>
        <v>0</v>
      </c>
      <c r="BK236" s="66">
        <f>+IF($W236="","",ROUND((BG236*(Parámetros!$G$86)),2))</f>
        <v>0</v>
      </c>
      <c r="BL236" s="66">
        <f t="shared" si="350"/>
        <v>0</v>
      </c>
      <c r="BM236" t="str">
        <f t="shared" si="303"/>
        <v>00061</v>
      </c>
      <c r="BN236" t="str">
        <f t="shared" si="304"/>
        <v>Gastos de Entierro</v>
      </c>
      <c r="BO236" s="118">
        <f t="shared" si="305"/>
        <v>0</v>
      </c>
      <c r="BP236" s="118" t="str">
        <f t="shared" si="306"/>
        <v>A</v>
      </c>
      <c r="BQ236" s="119" t="str">
        <f>+IF(OR($W236="",BO236=0),"",ROUND((VLOOKUP(ROUNDDOWN($D236-1/frec,0),cob_adi,BB$40,FALSE)*(1+i/frec)^-0.5*(1+Parámetros!$D$103)*(1+rec_fracc)/frec),6))</f>
        <v/>
      </c>
      <c r="BR236" s="66">
        <f t="shared" si="351"/>
        <v>0</v>
      </c>
      <c r="BS236" s="119" t="str">
        <f t="shared" si="352"/>
        <v/>
      </c>
      <c r="BT236" s="66">
        <f>+IF($W236="","",ROUND(IF($B236&gt;Parámetros!$D$107,'Tablas Servicio'!BR236+('Tablas Servicio'!BT235-'Tablas Servicio'!BR235),BR236/(1-IF(B236&lt;=10,Parámetros!$D$100,0))),2))</f>
        <v>0</v>
      </c>
      <c r="BU236" s="66">
        <f t="shared" si="353"/>
        <v>0</v>
      </c>
      <c r="BV236" s="66">
        <f t="shared" si="353"/>
        <v>0</v>
      </c>
      <c r="BW236" s="66">
        <f>+IF($W236="","",ROUND((BT236*Parámetros!$G$85),2))</f>
        <v>0</v>
      </c>
      <c r="BX236" s="66">
        <f>+IF($W236="","",ROUND((BT236*(Parámetros!$G$86)),2))</f>
        <v>0</v>
      </c>
      <c r="BY236" s="66">
        <f t="shared" si="354"/>
        <v>0</v>
      </c>
      <c r="BZ236" t="str">
        <f t="shared" si="307"/>
        <v>00062</v>
      </c>
      <c r="CA236" t="str">
        <f t="shared" si="308"/>
        <v>Gastos médicos por accidente</v>
      </c>
      <c r="CB236" s="118">
        <f t="shared" si="309"/>
        <v>0</v>
      </c>
      <c r="CC236" s="118" t="str">
        <f t="shared" si="310"/>
        <v>A</v>
      </c>
      <c r="CD236" s="119" t="str">
        <f t="shared" si="355"/>
        <v/>
      </c>
      <c r="CE236" s="66">
        <f>+IF($W236="","",ROUND((VLOOKUP(ROUNDDOWN($D236-1/frec,0),cob_adi,BO$40,FALSE)*(1+i/frec)^-0.5*(1+Parámetros!$D$103)*(1+rec_fracc)/frec*'TABLAS ADI'!$BC$17),2))</f>
        <v>0</v>
      </c>
      <c r="CF236" s="119" t="str">
        <f t="shared" si="356"/>
        <v/>
      </c>
      <c r="CG236" s="66">
        <f>+IF($W236="","",ROUND(IF($B236&gt;Parámetros!$D$107,'Tablas Servicio'!CE236+('Tablas Servicio'!CG235-'Tablas Servicio'!CE235),CE236/(1-IF(B236&lt;=10,Parámetros!$D$100,0))),2))</f>
        <v>0</v>
      </c>
      <c r="CH236" s="66">
        <f t="shared" si="357"/>
        <v>0</v>
      </c>
      <c r="CI236" s="66">
        <f t="shared" si="357"/>
        <v>0</v>
      </c>
      <c r="CJ236" s="66">
        <f>+IF($W236="","",ROUND((CG236*Parámetros!$G$85),2))</f>
        <v>0</v>
      </c>
      <c r="CK236" s="66">
        <f>+IF($W236="","",ROUND((CG236*(Parámetros!$G$86)),2))</f>
        <v>0</v>
      </c>
      <c r="CL236" s="66">
        <f t="shared" si="358"/>
        <v>0</v>
      </c>
      <c r="CM236" t="str">
        <f t="shared" si="311"/>
        <v>00063</v>
      </c>
      <c r="CN236" s="118" t="str">
        <f t="shared" si="312"/>
        <v>Renta Diaria por Hospitalización</v>
      </c>
      <c r="CO236" s="118">
        <f t="shared" si="313"/>
        <v>0</v>
      </c>
      <c r="CP236" s="118" t="str">
        <f t="shared" si="314"/>
        <v>A</v>
      </c>
      <c r="CQ236" s="119" t="str">
        <f t="shared" si="359"/>
        <v/>
      </c>
      <c r="CR236" s="66">
        <f>+IF($W236="","",ROUND((VLOOKUP(Parámetros!$F$51,'COBERTURAS ADICIONALES'!$S$4:$T$32,2,FALSE)*(1+i/frec)^-0.5*(1+Parámetros!$D$103)*(1+rec_fracc)/frec*$CO$42),2))</f>
        <v>0</v>
      </c>
      <c r="CS236" s="119" t="str">
        <f t="shared" si="360"/>
        <v/>
      </c>
      <c r="CT236" s="66">
        <f>+IF($W236="","",ROUND(IF($B236&gt;Parámetros!$D$107,'Tablas Servicio'!CR236+('Tablas Servicio'!CT235-'Tablas Servicio'!CR235),CR236/(1-IF(B236&lt;=10,Parámetros!$D$100,0))),2))</f>
        <v>0</v>
      </c>
      <c r="CU236" s="66">
        <f t="shared" si="361"/>
        <v>0</v>
      </c>
      <c r="CV236" s="66">
        <f t="shared" si="361"/>
        <v>0</v>
      </c>
      <c r="CW236" s="66">
        <f>+IF($W236="","",ROUND((CT236*Parámetros!$G$85),2))</f>
        <v>0</v>
      </c>
      <c r="CX236" s="66">
        <f>+IF($W236="","",ROUND((CT236*(Parámetros!$G$86)),2))</f>
        <v>0</v>
      </c>
      <c r="CY236" s="66">
        <f t="shared" si="362"/>
        <v>0</v>
      </c>
      <c r="CZ236" t="str">
        <f t="shared" si="315"/>
        <v>00064</v>
      </c>
      <c r="DA236" s="118" t="str">
        <f t="shared" si="316"/>
        <v>Enfermedades Graves</v>
      </c>
      <c r="DB236" s="118">
        <f t="shared" si="317"/>
        <v>0</v>
      </c>
      <c r="DC236" s="118" t="str">
        <f t="shared" si="318"/>
        <v>A</v>
      </c>
      <c r="DD236" s="121" t="str">
        <f>+IF(OR($W236="",DB236=0),"",ROUND((VLOOKUP(ROUNDDOWN($D236-1/frec,0),cob_adi,CO$40,FALSE)*(1+i/frec)^-0.5*(1+Parámetros!$D$103)*(1+rec_fracc)/frec),6))</f>
        <v/>
      </c>
      <c r="DE236" s="66">
        <f t="shared" si="363"/>
        <v>0</v>
      </c>
      <c r="DF236" s="119" t="str">
        <f t="shared" si="364"/>
        <v/>
      </c>
      <c r="DG236" s="66">
        <f>+IF($W236="","",ROUND(IF($B236&gt;Parámetros!$D$107,'Tablas Servicio'!DE236+('Tablas Servicio'!DG235-'Tablas Servicio'!DE235),DE236/(1-IF(B236&lt;=10,Parámetros!$D$100,0))),2))</f>
        <v>0</v>
      </c>
      <c r="DH236" s="66">
        <f t="shared" si="365"/>
        <v>0</v>
      </c>
      <c r="DI236" s="66">
        <f t="shared" si="365"/>
        <v>0</v>
      </c>
      <c r="DJ236" s="66">
        <f>+IF($W236="","",ROUND((DG236*Parámetros!$G$85),2))</f>
        <v>0</v>
      </c>
      <c r="DK236" s="66">
        <f>+IF($W236="","",ROUND((DG236*(Parámetros!$G$86)),2))</f>
        <v>0</v>
      </c>
      <c r="DL236" s="66">
        <f t="shared" si="366"/>
        <v>0</v>
      </c>
      <c r="DM236" t="str">
        <f t="shared" si="319"/>
        <v>00065</v>
      </c>
      <c r="DN236" s="118" t="str">
        <f t="shared" si="320"/>
        <v>Exención pago de primas</v>
      </c>
      <c r="DO236" s="118">
        <f t="shared" si="321"/>
        <v>0</v>
      </c>
      <c r="DP236" s="118" t="str">
        <f t="shared" si="322"/>
        <v>A</v>
      </c>
      <c r="DQ236" s="122" t="str">
        <f>+IF(OR($W236="",DO236=0),"",ROUND((VLOOKUP(ROUNDDOWN($D236-1/frec,0),cob_adi,DB$40,FALSE)*(1+i/frec)^-0.5*(1+Parámetros!$D$103)*(1+rec_fracc)/frec),6))</f>
        <v/>
      </c>
      <c r="DR236" s="66">
        <f t="shared" si="367"/>
        <v>0</v>
      </c>
      <c r="DS236" s="68" t="str">
        <f t="shared" si="368"/>
        <v/>
      </c>
      <c r="DT236" s="66">
        <f>+IF($W236="","",ROUND(IF($B236&gt;Parámetros!$D$107,'Tablas Servicio'!DR236+('Tablas Servicio'!DT235-'Tablas Servicio'!DR235),DR236/(1-IF(B236&lt;=10,Parámetros!$D$100,0))),2))</f>
        <v>0</v>
      </c>
      <c r="DU236" s="66">
        <f t="shared" si="369"/>
        <v>0</v>
      </c>
      <c r="DV236" s="66">
        <f t="shared" si="369"/>
        <v>0</v>
      </c>
      <c r="DW236" s="66">
        <f>+IF($W236="","",ROUND((DT236*Parámetros!$G$85),2))</f>
        <v>0</v>
      </c>
      <c r="DX236" s="66">
        <f>+IF($W236="","",ROUND((DT236*(Parámetros!$G$86)),2))</f>
        <v>0</v>
      </c>
      <c r="DY236" s="66">
        <f t="shared" si="370"/>
        <v>0</v>
      </c>
      <c r="DZ236" t="str">
        <f t="shared" si="371"/>
        <v>00066</v>
      </c>
      <c r="EA236" s="118" t="str">
        <f t="shared" si="371"/>
        <v>Enfermedad terminal</v>
      </c>
      <c r="EB236" s="118">
        <f>+IF($W236="","",ROUND(IF(Parámetros!$D$25='TABLAS MORT'!$V$33,EB235,Z236/2),0))</f>
        <v>50000</v>
      </c>
      <c r="EC236" s="118" t="str">
        <f t="shared" si="371"/>
        <v>A</v>
      </c>
      <c r="ED236" s="122">
        <f>+IF(OR($W236="",EB236=0),"",ROUND((VLOOKUP(ROUNDDOWN($D236-1/frec,0),cob_adi,DO$40,FALSE)*(1+i/frec)^-0.5*(1+Parámetros!$D$103)*(1+rec_fracc)/frec),6))</f>
        <v>2.6999999999999999E-5</v>
      </c>
      <c r="EE236" s="66">
        <f t="shared" si="372"/>
        <v>1.35</v>
      </c>
      <c r="EF236" s="68">
        <f t="shared" si="373"/>
        <v>2.6999999999999999E-5</v>
      </c>
      <c r="EG236" s="66">
        <f>+IF($W236="","",ROUND(IF($B236&gt;Parámetros!$D$107,'Tablas Servicio'!EE236+('Tablas Servicio'!EG235-'Tablas Servicio'!EE235),EE236/(1-IF(B236&lt;=10,Parámetros!$D$100,0))),2))</f>
        <v>1.35</v>
      </c>
      <c r="EH236" s="66">
        <f t="shared" si="374"/>
        <v>0</v>
      </c>
      <c r="EI236" s="66">
        <f t="shared" si="374"/>
        <v>0</v>
      </c>
      <c r="EJ236" s="66">
        <f>+IF($W236="","",ROUND((EG236*Parámetros!$G$85),2))</f>
        <v>0.05</v>
      </c>
      <c r="EK236" s="66">
        <f>+IF($W236="","",ROUND((EG236*(Parámetros!$G$86)),2))</f>
        <v>0.01</v>
      </c>
      <c r="EL236" s="66">
        <f t="shared" si="375"/>
        <v>1.41</v>
      </c>
    </row>
    <row r="237" spans="1:142" x14ac:dyDescent="0.25">
      <c r="A237">
        <f>+IF($C237="","",ROUND(VLOOKUP('Tablas Servicio'!B237,Parámetros!$H$100:$J$159,IF(Parámetros!$E$16="F",2,3),FALSE),2))</f>
        <v>150</v>
      </c>
      <c r="B237">
        <f t="shared" si="326"/>
        <v>17</v>
      </c>
      <c r="C237" s="57">
        <f>+IF(D237="","",'Tablas Servicio'!C236+1)</f>
        <v>196</v>
      </c>
      <c r="D237" s="56">
        <f>+IF(D236&lt;edadmaxtabla,D236+1/Parámetros!$E$25,"")</f>
        <v>56.353333333333801</v>
      </c>
      <c r="E237" s="57">
        <f t="shared" si="336"/>
        <v>56</v>
      </c>
      <c r="F237" s="59">
        <f t="shared" si="337"/>
        <v>100000</v>
      </c>
      <c r="G237" s="66">
        <f t="shared" si="327"/>
        <v>48.75</v>
      </c>
      <c r="H237" s="66">
        <f t="shared" si="328"/>
        <v>50.709999999999994</v>
      </c>
      <c r="I237" s="66">
        <f t="shared" si="288"/>
        <v>43.290000000000006</v>
      </c>
      <c r="J237" s="66">
        <f t="shared" si="329"/>
        <v>1.71</v>
      </c>
      <c r="K237" s="66">
        <f t="shared" si="330"/>
        <v>0.25</v>
      </c>
      <c r="L237" s="66">
        <f t="shared" si="331"/>
        <v>0</v>
      </c>
      <c r="M237" s="66">
        <f t="shared" si="332"/>
        <v>0</v>
      </c>
      <c r="N237" s="66">
        <f>+IF(C237="","",ROUND(Parámetros!$D$23,2))</f>
        <v>94</v>
      </c>
      <c r="O237" s="66">
        <f t="shared" si="333"/>
        <v>36.25</v>
      </c>
      <c r="P237" s="66">
        <f>+IF($C237="","",ROUND(IF(B237&gt;Parámetros!$D$117,0,N237*Parámetros!$D$116-G237*Parámetros!$D$100),2))</f>
        <v>0</v>
      </c>
      <c r="Q237" s="75">
        <f t="shared" si="289"/>
        <v>3.5076923076923075E-2</v>
      </c>
      <c r="R237" s="75">
        <f t="shared" si="290"/>
        <v>5.1282051282051282E-3</v>
      </c>
      <c r="S237" s="117">
        <f>+IF($C237="","",ROUND((S236+I237)*(1+Parámetros!$D$91),2))</f>
        <v>14085.17</v>
      </c>
      <c r="T237" s="117">
        <f>+IF($C237="","",ROUND(S237*VLOOKUP(B237,Parámetros!$C$30:$D$39,2,TRUE),2))</f>
        <v>14085.17</v>
      </c>
      <c r="U237" s="117">
        <f>+IF($C237="","",ROUND((U236+I237)*(1+Parámetros!$D$92),2))</f>
        <v>14735.87</v>
      </c>
      <c r="V237" s="117">
        <f>+IF($C237="","",ROUND(U237*VLOOKUP(B237,Parámetros!$C$30:$D$39,2,TRUE),2))</f>
        <v>14735.87</v>
      </c>
      <c r="W237" s="57">
        <f t="shared" si="291"/>
        <v>196</v>
      </c>
      <c r="X237" t="str">
        <f t="shared" si="292"/>
        <v>00058</v>
      </c>
      <c r="Y237" t="str">
        <f t="shared" si="293"/>
        <v>MUERTE POR CUALQUIER CAUSA</v>
      </c>
      <c r="Z237" s="118">
        <f>+IF($W237="","",ROUND(IF(Parámetros!$D$25='TABLAS MORT'!$V$33,Z236,Parámetros!$D$21-'Tablas Servicio'!T236),0))</f>
        <v>100000</v>
      </c>
      <c r="AA237" s="118" t="str">
        <f t="shared" si="294"/>
        <v>P</v>
      </c>
      <c r="AB237" s="119">
        <f>+IF(W237="","",ROUND((VLOOKUP(ROUNDDOWN($D237-1/frec,0),qx_tabla,2,FALSE)*(1+i/frec)^-0.5*(1+Parámetros!$D$103)*(1+rec_fracc)/frec),6))</f>
        <v>3.4900000000000003E-4</v>
      </c>
      <c r="AC237" s="66">
        <f t="shared" si="338"/>
        <v>34.9</v>
      </c>
      <c r="AD237" s="119">
        <f t="shared" si="334"/>
        <v>4.7399999999999997E-4</v>
      </c>
      <c r="AE237" s="66">
        <f>+IF($W237="","",ROUND(IF($B237&gt;Parámetros!$D$107,'Tablas Servicio'!AC237+('Tablas Servicio'!AG236-'Tablas Servicio'!AC236),AC237/(1-IF(B237&lt;=10,Parámetros!$D$104,Parámetros!$D$105))),2))</f>
        <v>58.17</v>
      </c>
      <c r="AF237" s="66">
        <f>+IF($W237="","",ROUND(IF($B237&gt;Parámetros!$D$107,'Tablas Servicio'!AC237+('Tablas Servicio'!AG236-'Tablas Servicio'!AC236),(AC237+$A236/frec)/(1-IF(B237&lt;=Parámetros!$D$117,Parámetros!$D$100,0))),2))</f>
        <v>47.4</v>
      </c>
      <c r="AG237" s="66">
        <f t="shared" si="339"/>
        <v>47.4</v>
      </c>
      <c r="AH237" s="66">
        <f t="shared" si="340"/>
        <v>0</v>
      </c>
      <c r="AI237" s="66">
        <f t="shared" si="341"/>
        <v>0</v>
      </c>
      <c r="AJ237" s="66">
        <f>+IF($W237="","",ROUND((AG237*Parámetros!$G$85),2))</f>
        <v>1.66</v>
      </c>
      <c r="AK237" s="66">
        <f>+IF($W237="","",ROUND((AG237*(Parámetros!$G$86)),2))</f>
        <v>0.24</v>
      </c>
      <c r="AL237" s="66">
        <f t="shared" si="335"/>
        <v>49.3</v>
      </c>
      <c r="AM237" t="str">
        <f t="shared" si="295"/>
        <v>00059</v>
      </c>
      <c r="AN237" t="str">
        <f t="shared" si="296"/>
        <v>Incapacidad Total y Permanente</v>
      </c>
      <c r="AO237" s="118">
        <f t="shared" si="297"/>
        <v>0</v>
      </c>
      <c r="AP237" s="118" t="str">
        <f t="shared" si="298"/>
        <v>A</v>
      </c>
      <c r="AQ237" s="119" t="str">
        <f>+IF(OR($W237="",AO237=0),"",ROUND((VLOOKUP(ROUNDDOWN($D237-1/frec,0),cob_adi,Z$40,FALSE)*(1+i/frec)^-0.5*(1+Parámetros!$D$103)*(1+rec_fracc)/frec),6))</f>
        <v/>
      </c>
      <c r="AR237" s="66">
        <f t="shared" si="342"/>
        <v>0</v>
      </c>
      <c r="AS237" s="119" t="str">
        <f t="shared" si="343"/>
        <v/>
      </c>
      <c r="AT237" s="66">
        <f>+IF($W237="","",ROUND(IF($B237&gt;Parámetros!$D$107,'Tablas Servicio'!AR237+('Tablas Servicio'!AT236-'Tablas Servicio'!AR236),AR237/(1-IF(B237&lt;=10,Parámetros!$D$100,0))),2))</f>
        <v>0</v>
      </c>
      <c r="AU237" s="66">
        <f t="shared" si="344"/>
        <v>0</v>
      </c>
      <c r="AV237" s="66">
        <f t="shared" si="344"/>
        <v>0</v>
      </c>
      <c r="AW237" s="66">
        <f>+IF($W237="","",ROUND((AT237*Parámetros!$G$85),2))</f>
        <v>0</v>
      </c>
      <c r="AX237" s="66">
        <f>+IF($W237="","",ROUND((AT237*(Parámetros!$G$86)),2))</f>
        <v>0</v>
      </c>
      <c r="AY237" s="66">
        <f t="shared" si="345"/>
        <v>0</v>
      </c>
      <c r="AZ237" t="str">
        <f t="shared" si="299"/>
        <v>00060</v>
      </c>
      <c r="BA237" t="str">
        <f t="shared" si="300"/>
        <v>Muerte Accidental</v>
      </c>
      <c r="BB237" s="118">
        <f t="shared" si="301"/>
        <v>0</v>
      </c>
      <c r="BC237" s="118" t="str">
        <f t="shared" si="302"/>
        <v>A</v>
      </c>
      <c r="BD237" s="119" t="str">
        <f>+IF(OR($W237="",BB237=0),"",ROUND((VLOOKUP(ROUNDDOWN($D237-1/frec,0),cob_adi,AO$40,FALSE)*(1+i/frec)^-0.5*(1+Parámetros!$D$103)*(1+rec_fracc)/frec),6))</f>
        <v/>
      </c>
      <c r="BE237" s="66">
        <f t="shared" si="346"/>
        <v>0</v>
      </c>
      <c r="BF237" s="119" t="str">
        <f t="shared" si="347"/>
        <v/>
      </c>
      <c r="BG237" s="66">
        <f>+IF($W237="","",ROUND(IF($B237&gt;Parámetros!$D$107,'Tablas Servicio'!BE237+('Tablas Servicio'!BG236-'Tablas Servicio'!BE236),BE237/(1-IF(B237&lt;=10,Parámetros!$D$100,0))),2))</f>
        <v>0</v>
      </c>
      <c r="BH237" s="66">
        <f t="shared" si="348"/>
        <v>0</v>
      </c>
      <c r="BI237" s="66">
        <f t="shared" si="349"/>
        <v>0</v>
      </c>
      <c r="BJ237" s="66">
        <f>+IF($W237="","",ROUND((BG237*Parámetros!$G$85),2))</f>
        <v>0</v>
      </c>
      <c r="BK237" s="66">
        <f>+IF($W237="","",ROUND((BG237*(Parámetros!$G$86)),2))</f>
        <v>0</v>
      </c>
      <c r="BL237" s="66">
        <f t="shared" si="350"/>
        <v>0</v>
      </c>
      <c r="BM237" t="str">
        <f t="shared" si="303"/>
        <v>00061</v>
      </c>
      <c r="BN237" t="str">
        <f t="shared" si="304"/>
        <v>Gastos de Entierro</v>
      </c>
      <c r="BO237" s="118">
        <f t="shared" si="305"/>
        <v>0</v>
      </c>
      <c r="BP237" s="118" t="str">
        <f t="shared" si="306"/>
        <v>A</v>
      </c>
      <c r="BQ237" s="119" t="str">
        <f>+IF(OR($W237="",BO237=0),"",ROUND((VLOOKUP(ROUNDDOWN($D237-1/frec,0),cob_adi,BB$40,FALSE)*(1+i/frec)^-0.5*(1+Parámetros!$D$103)*(1+rec_fracc)/frec),6))</f>
        <v/>
      </c>
      <c r="BR237" s="66">
        <f t="shared" si="351"/>
        <v>0</v>
      </c>
      <c r="BS237" s="119" t="str">
        <f t="shared" si="352"/>
        <v/>
      </c>
      <c r="BT237" s="66">
        <f>+IF($W237="","",ROUND(IF($B237&gt;Parámetros!$D$107,'Tablas Servicio'!BR237+('Tablas Servicio'!BT236-'Tablas Servicio'!BR236),BR237/(1-IF(B237&lt;=10,Parámetros!$D$100,0))),2))</f>
        <v>0</v>
      </c>
      <c r="BU237" s="66">
        <f t="shared" si="353"/>
        <v>0</v>
      </c>
      <c r="BV237" s="66">
        <f t="shared" si="353"/>
        <v>0</v>
      </c>
      <c r="BW237" s="66">
        <f>+IF($W237="","",ROUND((BT237*Parámetros!$G$85),2))</f>
        <v>0</v>
      </c>
      <c r="BX237" s="66">
        <f>+IF($W237="","",ROUND((BT237*(Parámetros!$G$86)),2))</f>
        <v>0</v>
      </c>
      <c r="BY237" s="66">
        <f t="shared" si="354"/>
        <v>0</v>
      </c>
      <c r="BZ237" t="str">
        <f t="shared" si="307"/>
        <v>00062</v>
      </c>
      <c r="CA237" t="str">
        <f t="shared" si="308"/>
        <v>Gastos médicos por accidente</v>
      </c>
      <c r="CB237" s="118">
        <f t="shared" si="309"/>
        <v>0</v>
      </c>
      <c r="CC237" s="118" t="str">
        <f t="shared" si="310"/>
        <v>A</v>
      </c>
      <c r="CD237" s="119" t="str">
        <f t="shared" si="355"/>
        <v/>
      </c>
      <c r="CE237" s="66">
        <f>+IF($W237="","",ROUND((VLOOKUP(ROUNDDOWN($D237-1/frec,0),cob_adi,BO$40,FALSE)*(1+i/frec)^-0.5*(1+Parámetros!$D$103)*(1+rec_fracc)/frec*'TABLAS ADI'!$BC$17),2))</f>
        <v>0</v>
      </c>
      <c r="CF237" s="119" t="str">
        <f t="shared" si="356"/>
        <v/>
      </c>
      <c r="CG237" s="66">
        <f>+IF($W237="","",ROUND(IF($B237&gt;Parámetros!$D$107,'Tablas Servicio'!CE237+('Tablas Servicio'!CG236-'Tablas Servicio'!CE236),CE237/(1-IF(B237&lt;=10,Parámetros!$D$100,0))),2))</f>
        <v>0</v>
      </c>
      <c r="CH237" s="66">
        <f t="shared" si="357"/>
        <v>0</v>
      </c>
      <c r="CI237" s="66">
        <f t="shared" si="357"/>
        <v>0</v>
      </c>
      <c r="CJ237" s="66">
        <f>+IF($W237="","",ROUND((CG237*Parámetros!$G$85),2))</f>
        <v>0</v>
      </c>
      <c r="CK237" s="66">
        <f>+IF($W237="","",ROUND((CG237*(Parámetros!$G$86)),2))</f>
        <v>0</v>
      </c>
      <c r="CL237" s="66">
        <f t="shared" si="358"/>
        <v>0</v>
      </c>
      <c r="CM237" t="str">
        <f t="shared" si="311"/>
        <v>00063</v>
      </c>
      <c r="CN237" s="118" t="str">
        <f t="shared" si="312"/>
        <v>Renta Diaria por Hospitalización</v>
      </c>
      <c r="CO237" s="118">
        <f t="shared" si="313"/>
        <v>0</v>
      </c>
      <c r="CP237" s="118" t="str">
        <f t="shared" si="314"/>
        <v>A</v>
      </c>
      <c r="CQ237" s="119" t="str">
        <f t="shared" si="359"/>
        <v/>
      </c>
      <c r="CR237" s="66">
        <f>+IF($W237="","",ROUND((VLOOKUP(Parámetros!$F$51,'COBERTURAS ADICIONALES'!$S$4:$T$32,2,FALSE)*(1+i/frec)^-0.5*(1+Parámetros!$D$103)*(1+rec_fracc)/frec*$CO$42),2))</f>
        <v>0</v>
      </c>
      <c r="CS237" s="119" t="str">
        <f t="shared" si="360"/>
        <v/>
      </c>
      <c r="CT237" s="66">
        <f>+IF($W237="","",ROUND(IF($B237&gt;Parámetros!$D$107,'Tablas Servicio'!CR237+('Tablas Servicio'!CT236-'Tablas Servicio'!CR236),CR237/(1-IF(B237&lt;=10,Parámetros!$D$100,0))),2))</f>
        <v>0</v>
      </c>
      <c r="CU237" s="66">
        <f t="shared" si="361"/>
        <v>0</v>
      </c>
      <c r="CV237" s="66">
        <f t="shared" si="361"/>
        <v>0</v>
      </c>
      <c r="CW237" s="66">
        <f>+IF($W237="","",ROUND((CT237*Parámetros!$G$85),2))</f>
        <v>0</v>
      </c>
      <c r="CX237" s="66">
        <f>+IF($W237="","",ROUND((CT237*(Parámetros!$G$86)),2))</f>
        <v>0</v>
      </c>
      <c r="CY237" s="66">
        <f t="shared" si="362"/>
        <v>0</v>
      </c>
      <c r="CZ237" t="str">
        <f t="shared" si="315"/>
        <v>00064</v>
      </c>
      <c r="DA237" s="118" t="str">
        <f t="shared" si="316"/>
        <v>Enfermedades Graves</v>
      </c>
      <c r="DB237" s="118">
        <f t="shared" si="317"/>
        <v>0</v>
      </c>
      <c r="DC237" s="118" t="str">
        <f t="shared" si="318"/>
        <v>A</v>
      </c>
      <c r="DD237" s="121" t="str">
        <f>+IF(OR($W237="",DB237=0),"",ROUND((VLOOKUP(ROUNDDOWN($D237-1/frec,0),cob_adi,CO$40,FALSE)*(1+i/frec)^-0.5*(1+Parámetros!$D$103)*(1+rec_fracc)/frec),6))</f>
        <v/>
      </c>
      <c r="DE237" s="66">
        <f t="shared" si="363"/>
        <v>0</v>
      </c>
      <c r="DF237" s="119" t="str">
        <f t="shared" si="364"/>
        <v/>
      </c>
      <c r="DG237" s="66">
        <f>+IF($W237="","",ROUND(IF($B237&gt;Parámetros!$D$107,'Tablas Servicio'!DE237+('Tablas Servicio'!DG236-'Tablas Servicio'!DE236),DE237/(1-IF(B237&lt;=10,Parámetros!$D$100,0))),2))</f>
        <v>0</v>
      </c>
      <c r="DH237" s="66">
        <f t="shared" si="365"/>
        <v>0</v>
      </c>
      <c r="DI237" s="66">
        <f t="shared" si="365"/>
        <v>0</v>
      </c>
      <c r="DJ237" s="66">
        <f>+IF($W237="","",ROUND((DG237*Parámetros!$G$85),2))</f>
        <v>0</v>
      </c>
      <c r="DK237" s="66">
        <f>+IF($W237="","",ROUND((DG237*(Parámetros!$G$86)),2))</f>
        <v>0</v>
      </c>
      <c r="DL237" s="66">
        <f t="shared" si="366"/>
        <v>0</v>
      </c>
      <c r="DM237" t="str">
        <f t="shared" si="319"/>
        <v>00065</v>
      </c>
      <c r="DN237" s="118" t="str">
        <f t="shared" si="320"/>
        <v>Exención pago de primas</v>
      </c>
      <c r="DO237" s="118">
        <f t="shared" si="321"/>
        <v>0</v>
      </c>
      <c r="DP237" s="118" t="str">
        <f t="shared" si="322"/>
        <v>A</v>
      </c>
      <c r="DQ237" s="122" t="str">
        <f>+IF(OR($W237="",DO237=0),"",ROUND((VLOOKUP(ROUNDDOWN($D237-1/frec,0),cob_adi,DB$40,FALSE)*(1+i/frec)^-0.5*(1+Parámetros!$D$103)*(1+rec_fracc)/frec),6))</f>
        <v/>
      </c>
      <c r="DR237" s="66">
        <f t="shared" si="367"/>
        <v>0</v>
      </c>
      <c r="DS237" s="68" t="str">
        <f t="shared" si="368"/>
        <v/>
      </c>
      <c r="DT237" s="66">
        <f>+IF($W237="","",ROUND(IF($B237&gt;Parámetros!$D$107,'Tablas Servicio'!DR237+('Tablas Servicio'!DT236-'Tablas Servicio'!DR236),DR237/(1-IF(B237&lt;=10,Parámetros!$D$100,0))),2))</f>
        <v>0</v>
      </c>
      <c r="DU237" s="66">
        <f t="shared" si="369"/>
        <v>0</v>
      </c>
      <c r="DV237" s="66">
        <f t="shared" si="369"/>
        <v>0</v>
      </c>
      <c r="DW237" s="66">
        <f>+IF($W237="","",ROUND((DT237*Parámetros!$G$85),2))</f>
        <v>0</v>
      </c>
      <c r="DX237" s="66">
        <f>+IF($W237="","",ROUND((DT237*(Parámetros!$G$86)),2))</f>
        <v>0</v>
      </c>
      <c r="DY237" s="66">
        <f t="shared" si="370"/>
        <v>0</v>
      </c>
      <c r="DZ237" t="str">
        <f t="shared" si="371"/>
        <v>00066</v>
      </c>
      <c r="EA237" s="118" t="str">
        <f t="shared" si="371"/>
        <v>Enfermedad terminal</v>
      </c>
      <c r="EB237" s="118">
        <f>+IF($W237="","",ROUND(IF(Parámetros!$D$25='TABLAS MORT'!$V$33,EB236,Z237/2),0))</f>
        <v>50000</v>
      </c>
      <c r="EC237" s="118" t="str">
        <f t="shared" si="371"/>
        <v>A</v>
      </c>
      <c r="ED237" s="122">
        <f>+IF(OR($W237="",EB237=0),"",ROUND((VLOOKUP(ROUNDDOWN($D237-1/frec,0),cob_adi,DO$40,FALSE)*(1+i/frec)^-0.5*(1+Parámetros!$D$103)*(1+rec_fracc)/frec),6))</f>
        <v>2.6999999999999999E-5</v>
      </c>
      <c r="EE237" s="66">
        <f t="shared" si="372"/>
        <v>1.35</v>
      </c>
      <c r="EF237" s="68">
        <f t="shared" si="373"/>
        <v>2.6999999999999999E-5</v>
      </c>
      <c r="EG237" s="66">
        <f>+IF($W237="","",ROUND(IF($B237&gt;Parámetros!$D$107,'Tablas Servicio'!EE237+('Tablas Servicio'!EG236-'Tablas Servicio'!EE236),EE237/(1-IF(B237&lt;=10,Parámetros!$D$100,0))),2))</f>
        <v>1.35</v>
      </c>
      <c r="EH237" s="66">
        <f t="shared" si="374"/>
        <v>0</v>
      </c>
      <c r="EI237" s="66">
        <f t="shared" si="374"/>
        <v>0</v>
      </c>
      <c r="EJ237" s="66">
        <f>+IF($W237="","",ROUND((EG237*Parámetros!$G$85),2))</f>
        <v>0.05</v>
      </c>
      <c r="EK237" s="66">
        <f>+IF($W237="","",ROUND((EG237*(Parámetros!$G$86)),2))</f>
        <v>0.01</v>
      </c>
      <c r="EL237" s="66">
        <f t="shared" si="375"/>
        <v>1.41</v>
      </c>
    </row>
    <row r="238" spans="1:142" x14ac:dyDescent="0.25">
      <c r="A238">
        <f>+IF($C238="","",ROUND(VLOOKUP('Tablas Servicio'!B238,Parámetros!$H$100:$J$159,IF(Parámetros!$E$16="F",2,3),FALSE),2))</f>
        <v>150</v>
      </c>
      <c r="B238">
        <f t="shared" si="326"/>
        <v>17</v>
      </c>
      <c r="C238" s="57">
        <f>+IF(D238="","",'Tablas Servicio'!C237+1)</f>
        <v>197</v>
      </c>
      <c r="D238" s="56">
        <f>+IF(D237&lt;edadmaxtabla,D237+1/Parámetros!$E$25,"")</f>
        <v>56.436666666667136</v>
      </c>
      <c r="E238" s="57">
        <f t="shared" si="336"/>
        <v>56</v>
      </c>
      <c r="F238" s="59">
        <f t="shared" si="337"/>
        <v>100000</v>
      </c>
      <c r="G238" s="66">
        <f t="shared" si="327"/>
        <v>48.75</v>
      </c>
      <c r="H238" s="66">
        <f t="shared" si="328"/>
        <v>50.709999999999994</v>
      </c>
      <c r="I238" s="66">
        <f t="shared" si="288"/>
        <v>43.290000000000006</v>
      </c>
      <c r="J238" s="66">
        <f t="shared" si="329"/>
        <v>1.71</v>
      </c>
      <c r="K238" s="66">
        <f t="shared" si="330"/>
        <v>0.25</v>
      </c>
      <c r="L238" s="66">
        <f t="shared" si="331"/>
        <v>0</v>
      </c>
      <c r="M238" s="66">
        <f t="shared" si="332"/>
        <v>0</v>
      </c>
      <c r="N238" s="66">
        <f>+IF(C238="","",ROUND(Parámetros!$D$23,2))</f>
        <v>94</v>
      </c>
      <c r="O238" s="66">
        <f t="shared" si="333"/>
        <v>36.25</v>
      </c>
      <c r="P238" s="66">
        <f>+IF($C238="","",ROUND(IF(B238&gt;Parámetros!$D$117,0,N238*Parámetros!$D$116-G238*Parámetros!$D$100),2))</f>
        <v>0</v>
      </c>
      <c r="Q238" s="75">
        <f t="shared" si="289"/>
        <v>3.5076923076923075E-2</v>
      </c>
      <c r="R238" s="75">
        <f t="shared" si="290"/>
        <v>5.1282051282051282E-3</v>
      </c>
      <c r="S238" s="117">
        <f>+IF($C238="","",ROUND((S237+I238)*(1+Parámetros!$D$91),2))</f>
        <v>14168.53</v>
      </c>
      <c r="T238" s="117">
        <f>+IF($C238="","",ROUND(S238*VLOOKUP(B238,Parámetros!$C$30:$D$39,2,TRUE),2))</f>
        <v>14168.53</v>
      </c>
      <c r="U238" s="117">
        <f>+IF($C238="","",ROUND((U237+I238)*(1+Parámetros!$D$92),2))</f>
        <v>14827.07</v>
      </c>
      <c r="V238" s="117">
        <f>+IF($C238="","",ROUND(U238*VLOOKUP(B238,Parámetros!$C$30:$D$39,2,TRUE),2))</f>
        <v>14827.07</v>
      </c>
      <c r="W238" s="57">
        <f t="shared" si="291"/>
        <v>197</v>
      </c>
      <c r="X238" t="str">
        <f t="shared" si="292"/>
        <v>00058</v>
      </c>
      <c r="Y238" t="str">
        <f t="shared" si="293"/>
        <v>MUERTE POR CUALQUIER CAUSA</v>
      </c>
      <c r="Z238" s="118">
        <f>+IF($W238="","",ROUND(IF(Parámetros!$D$25='TABLAS MORT'!$V$33,Z237,Parámetros!$D$21-'Tablas Servicio'!T237),0))</f>
        <v>100000</v>
      </c>
      <c r="AA238" s="118" t="str">
        <f t="shared" si="294"/>
        <v>P</v>
      </c>
      <c r="AB238" s="119">
        <f>+IF(W238="","",ROUND((VLOOKUP(ROUNDDOWN($D238-1/frec,0),qx_tabla,2,FALSE)*(1+i/frec)^-0.5*(1+Parámetros!$D$103)*(1+rec_fracc)/frec),6))</f>
        <v>3.4900000000000003E-4</v>
      </c>
      <c r="AC238" s="66">
        <f t="shared" si="338"/>
        <v>34.9</v>
      </c>
      <c r="AD238" s="119">
        <f t="shared" si="334"/>
        <v>4.7399999999999997E-4</v>
      </c>
      <c r="AE238" s="66">
        <f>+IF($W238="","",ROUND(IF($B238&gt;Parámetros!$D$107,'Tablas Servicio'!AC238+('Tablas Servicio'!AG237-'Tablas Servicio'!AC237),AC238/(1-IF(B238&lt;=10,Parámetros!$D$104,Parámetros!$D$105))),2))</f>
        <v>58.17</v>
      </c>
      <c r="AF238" s="66">
        <f>+IF($W238="","",ROUND(IF($B238&gt;Parámetros!$D$107,'Tablas Servicio'!AC238+('Tablas Servicio'!AG237-'Tablas Servicio'!AC237),(AC238+$A237/frec)/(1-IF(B238&lt;=Parámetros!$D$117,Parámetros!$D$100,0))),2))</f>
        <v>47.4</v>
      </c>
      <c r="AG238" s="66">
        <f t="shared" si="339"/>
        <v>47.4</v>
      </c>
      <c r="AH238" s="66">
        <f t="shared" si="340"/>
        <v>0</v>
      </c>
      <c r="AI238" s="66">
        <f t="shared" si="341"/>
        <v>0</v>
      </c>
      <c r="AJ238" s="66">
        <f>+IF($W238="","",ROUND((AG238*Parámetros!$G$85),2))</f>
        <v>1.66</v>
      </c>
      <c r="AK238" s="66">
        <f>+IF($W238="","",ROUND((AG238*(Parámetros!$G$86)),2))</f>
        <v>0.24</v>
      </c>
      <c r="AL238" s="66">
        <f t="shared" si="335"/>
        <v>49.3</v>
      </c>
      <c r="AM238" t="str">
        <f t="shared" si="295"/>
        <v>00059</v>
      </c>
      <c r="AN238" t="str">
        <f t="shared" si="296"/>
        <v>Incapacidad Total y Permanente</v>
      </c>
      <c r="AO238" s="118">
        <f t="shared" si="297"/>
        <v>0</v>
      </c>
      <c r="AP238" s="118" t="str">
        <f t="shared" si="298"/>
        <v>A</v>
      </c>
      <c r="AQ238" s="119" t="str">
        <f>+IF(OR($W238="",AO238=0),"",ROUND((VLOOKUP(ROUNDDOWN($D238-1/frec,0),cob_adi,Z$40,FALSE)*(1+i/frec)^-0.5*(1+Parámetros!$D$103)*(1+rec_fracc)/frec),6))</f>
        <v/>
      </c>
      <c r="AR238" s="66">
        <f t="shared" si="342"/>
        <v>0</v>
      </c>
      <c r="AS238" s="119" t="str">
        <f t="shared" si="343"/>
        <v/>
      </c>
      <c r="AT238" s="66">
        <f>+IF($W238="","",ROUND(IF($B238&gt;Parámetros!$D$107,'Tablas Servicio'!AR238+('Tablas Servicio'!AT237-'Tablas Servicio'!AR237),AR238/(1-IF(B238&lt;=10,Parámetros!$D$100,0))),2))</f>
        <v>0</v>
      </c>
      <c r="AU238" s="66">
        <f t="shared" si="344"/>
        <v>0</v>
      </c>
      <c r="AV238" s="66">
        <f t="shared" si="344"/>
        <v>0</v>
      </c>
      <c r="AW238" s="66">
        <f>+IF($W238="","",ROUND((AT238*Parámetros!$G$85),2))</f>
        <v>0</v>
      </c>
      <c r="AX238" s="66">
        <f>+IF($W238="","",ROUND((AT238*(Parámetros!$G$86)),2))</f>
        <v>0</v>
      </c>
      <c r="AY238" s="66">
        <f t="shared" si="345"/>
        <v>0</v>
      </c>
      <c r="AZ238" t="str">
        <f t="shared" si="299"/>
        <v>00060</v>
      </c>
      <c r="BA238" t="str">
        <f t="shared" si="300"/>
        <v>Muerte Accidental</v>
      </c>
      <c r="BB238" s="118">
        <f t="shared" si="301"/>
        <v>0</v>
      </c>
      <c r="BC238" s="118" t="str">
        <f t="shared" si="302"/>
        <v>A</v>
      </c>
      <c r="BD238" s="119" t="str">
        <f>+IF(OR($W238="",BB238=0),"",ROUND((VLOOKUP(ROUNDDOWN($D238-1/frec,0),cob_adi,AO$40,FALSE)*(1+i/frec)^-0.5*(1+Parámetros!$D$103)*(1+rec_fracc)/frec),6))</f>
        <v/>
      </c>
      <c r="BE238" s="66">
        <f t="shared" si="346"/>
        <v>0</v>
      </c>
      <c r="BF238" s="119" t="str">
        <f t="shared" si="347"/>
        <v/>
      </c>
      <c r="BG238" s="66">
        <f>+IF($W238="","",ROUND(IF($B238&gt;Parámetros!$D$107,'Tablas Servicio'!BE238+('Tablas Servicio'!BG237-'Tablas Servicio'!BE237),BE238/(1-IF(B238&lt;=10,Parámetros!$D$100,0))),2))</f>
        <v>0</v>
      </c>
      <c r="BH238" s="66">
        <f t="shared" si="348"/>
        <v>0</v>
      </c>
      <c r="BI238" s="66">
        <f t="shared" si="349"/>
        <v>0</v>
      </c>
      <c r="BJ238" s="66">
        <f>+IF($W238="","",ROUND((BG238*Parámetros!$G$85),2))</f>
        <v>0</v>
      </c>
      <c r="BK238" s="66">
        <f>+IF($W238="","",ROUND((BG238*(Parámetros!$G$86)),2))</f>
        <v>0</v>
      </c>
      <c r="BL238" s="66">
        <f t="shared" si="350"/>
        <v>0</v>
      </c>
      <c r="BM238" t="str">
        <f t="shared" si="303"/>
        <v>00061</v>
      </c>
      <c r="BN238" t="str">
        <f t="shared" si="304"/>
        <v>Gastos de Entierro</v>
      </c>
      <c r="BO238" s="118">
        <f t="shared" si="305"/>
        <v>0</v>
      </c>
      <c r="BP238" s="118" t="str">
        <f t="shared" si="306"/>
        <v>A</v>
      </c>
      <c r="BQ238" s="119" t="str">
        <f>+IF(OR($W238="",BO238=0),"",ROUND((VLOOKUP(ROUNDDOWN($D238-1/frec,0),cob_adi,BB$40,FALSE)*(1+i/frec)^-0.5*(1+Parámetros!$D$103)*(1+rec_fracc)/frec),6))</f>
        <v/>
      </c>
      <c r="BR238" s="66">
        <f t="shared" si="351"/>
        <v>0</v>
      </c>
      <c r="BS238" s="119" t="str">
        <f t="shared" si="352"/>
        <v/>
      </c>
      <c r="BT238" s="66">
        <f>+IF($W238="","",ROUND(IF($B238&gt;Parámetros!$D$107,'Tablas Servicio'!BR238+('Tablas Servicio'!BT237-'Tablas Servicio'!BR237),BR238/(1-IF(B238&lt;=10,Parámetros!$D$100,0))),2))</f>
        <v>0</v>
      </c>
      <c r="BU238" s="66">
        <f t="shared" si="353"/>
        <v>0</v>
      </c>
      <c r="BV238" s="66">
        <f t="shared" si="353"/>
        <v>0</v>
      </c>
      <c r="BW238" s="66">
        <f>+IF($W238="","",ROUND((BT238*Parámetros!$G$85),2))</f>
        <v>0</v>
      </c>
      <c r="BX238" s="66">
        <f>+IF($W238="","",ROUND((BT238*(Parámetros!$G$86)),2))</f>
        <v>0</v>
      </c>
      <c r="BY238" s="66">
        <f t="shared" si="354"/>
        <v>0</v>
      </c>
      <c r="BZ238" t="str">
        <f t="shared" si="307"/>
        <v>00062</v>
      </c>
      <c r="CA238" t="str">
        <f t="shared" si="308"/>
        <v>Gastos médicos por accidente</v>
      </c>
      <c r="CB238" s="118">
        <f t="shared" si="309"/>
        <v>0</v>
      </c>
      <c r="CC238" s="118" t="str">
        <f t="shared" si="310"/>
        <v>A</v>
      </c>
      <c r="CD238" s="119" t="str">
        <f t="shared" si="355"/>
        <v/>
      </c>
      <c r="CE238" s="66">
        <f>+IF($W238="","",ROUND((VLOOKUP(ROUNDDOWN($D238-1/frec,0),cob_adi,BO$40,FALSE)*(1+i/frec)^-0.5*(1+Parámetros!$D$103)*(1+rec_fracc)/frec*'TABLAS ADI'!$BC$17),2))</f>
        <v>0</v>
      </c>
      <c r="CF238" s="119" t="str">
        <f t="shared" si="356"/>
        <v/>
      </c>
      <c r="CG238" s="66">
        <f>+IF($W238="","",ROUND(IF($B238&gt;Parámetros!$D$107,'Tablas Servicio'!CE238+('Tablas Servicio'!CG237-'Tablas Servicio'!CE237),CE238/(1-IF(B238&lt;=10,Parámetros!$D$100,0))),2))</f>
        <v>0</v>
      </c>
      <c r="CH238" s="66">
        <f t="shared" si="357"/>
        <v>0</v>
      </c>
      <c r="CI238" s="66">
        <f t="shared" si="357"/>
        <v>0</v>
      </c>
      <c r="CJ238" s="66">
        <f>+IF($W238="","",ROUND((CG238*Parámetros!$G$85),2))</f>
        <v>0</v>
      </c>
      <c r="CK238" s="66">
        <f>+IF($W238="","",ROUND((CG238*(Parámetros!$G$86)),2))</f>
        <v>0</v>
      </c>
      <c r="CL238" s="66">
        <f t="shared" si="358"/>
        <v>0</v>
      </c>
      <c r="CM238" t="str">
        <f t="shared" si="311"/>
        <v>00063</v>
      </c>
      <c r="CN238" s="118" t="str">
        <f t="shared" si="312"/>
        <v>Renta Diaria por Hospitalización</v>
      </c>
      <c r="CO238" s="118">
        <f t="shared" si="313"/>
        <v>0</v>
      </c>
      <c r="CP238" s="118" t="str">
        <f t="shared" si="314"/>
        <v>A</v>
      </c>
      <c r="CQ238" s="119" t="str">
        <f t="shared" si="359"/>
        <v/>
      </c>
      <c r="CR238" s="66">
        <f>+IF($W238="","",ROUND((VLOOKUP(Parámetros!$F$51,'COBERTURAS ADICIONALES'!$S$4:$T$32,2,FALSE)*(1+i/frec)^-0.5*(1+Parámetros!$D$103)*(1+rec_fracc)/frec*$CO$42),2))</f>
        <v>0</v>
      </c>
      <c r="CS238" s="119" t="str">
        <f t="shared" si="360"/>
        <v/>
      </c>
      <c r="CT238" s="66">
        <f>+IF($W238="","",ROUND(IF($B238&gt;Parámetros!$D$107,'Tablas Servicio'!CR238+('Tablas Servicio'!CT237-'Tablas Servicio'!CR237),CR238/(1-IF(B238&lt;=10,Parámetros!$D$100,0))),2))</f>
        <v>0</v>
      </c>
      <c r="CU238" s="66">
        <f t="shared" si="361"/>
        <v>0</v>
      </c>
      <c r="CV238" s="66">
        <f t="shared" si="361"/>
        <v>0</v>
      </c>
      <c r="CW238" s="66">
        <f>+IF($W238="","",ROUND((CT238*Parámetros!$G$85),2))</f>
        <v>0</v>
      </c>
      <c r="CX238" s="66">
        <f>+IF($W238="","",ROUND((CT238*(Parámetros!$G$86)),2))</f>
        <v>0</v>
      </c>
      <c r="CY238" s="66">
        <f t="shared" si="362"/>
        <v>0</v>
      </c>
      <c r="CZ238" t="str">
        <f t="shared" si="315"/>
        <v>00064</v>
      </c>
      <c r="DA238" s="118" t="str">
        <f t="shared" si="316"/>
        <v>Enfermedades Graves</v>
      </c>
      <c r="DB238" s="118">
        <f t="shared" si="317"/>
        <v>0</v>
      </c>
      <c r="DC238" s="118" t="str">
        <f t="shared" si="318"/>
        <v>A</v>
      </c>
      <c r="DD238" s="121" t="str">
        <f>+IF(OR($W238="",DB238=0),"",ROUND((VLOOKUP(ROUNDDOWN($D238-1/frec,0),cob_adi,CO$40,FALSE)*(1+i/frec)^-0.5*(1+Parámetros!$D$103)*(1+rec_fracc)/frec),6))</f>
        <v/>
      </c>
      <c r="DE238" s="66">
        <f t="shared" si="363"/>
        <v>0</v>
      </c>
      <c r="DF238" s="119" t="str">
        <f t="shared" si="364"/>
        <v/>
      </c>
      <c r="DG238" s="66">
        <f>+IF($W238="","",ROUND(IF($B238&gt;Parámetros!$D$107,'Tablas Servicio'!DE238+('Tablas Servicio'!DG237-'Tablas Servicio'!DE237),DE238/(1-IF(B238&lt;=10,Parámetros!$D$100,0))),2))</f>
        <v>0</v>
      </c>
      <c r="DH238" s="66">
        <f t="shared" si="365"/>
        <v>0</v>
      </c>
      <c r="DI238" s="66">
        <f t="shared" si="365"/>
        <v>0</v>
      </c>
      <c r="DJ238" s="66">
        <f>+IF($W238="","",ROUND((DG238*Parámetros!$G$85),2))</f>
        <v>0</v>
      </c>
      <c r="DK238" s="66">
        <f>+IF($W238="","",ROUND((DG238*(Parámetros!$G$86)),2))</f>
        <v>0</v>
      </c>
      <c r="DL238" s="66">
        <f t="shared" si="366"/>
        <v>0</v>
      </c>
      <c r="DM238" t="str">
        <f t="shared" si="319"/>
        <v>00065</v>
      </c>
      <c r="DN238" s="118" t="str">
        <f t="shared" si="320"/>
        <v>Exención pago de primas</v>
      </c>
      <c r="DO238" s="118">
        <f t="shared" si="321"/>
        <v>0</v>
      </c>
      <c r="DP238" s="118" t="str">
        <f t="shared" si="322"/>
        <v>A</v>
      </c>
      <c r="DQ238" s="122" t="str">
        <f>+IF(OR($W238="",DO238=0),"",ROUND((VLOOKUP(ROUNDDOWN($D238-1/frec,0),cob_adi,DB$40,FALSE)*(1+i/frec)^-0.5*(1+Parámetros!$D$103)*(1+rec_fracc)/frec),6))</f>
        <v/>
      </c>
      <c r="DR238" s="66">
        <f t="shared" si="367"/>
        <v>0</v>
      </c>
      <c r="DS238" s="68" t="str">
        <f t="shared" si="368"/>
        <v/>
      </c>
      <c r="DT238" s="66">
        <f>+IF($W238="","",ROUND(IF($B238&gt;Parámetros!$D$107,'Tablas Servicio'!DR238+('Tablas Servicio'!DT237-'Tablas Servicio'!DR237),DR238/(1-IF(B238&lt;=10,Parámetros!$D$100,0))),2))</f>
        <v>0</v>
      </c>
      <c r="DU238" s="66">
        <f t="shared" si="369"/>
        <v>0</v>
      </c>
      <c r="DV238" s="66">
        <f t="shared" si="369"/>
        <v>0</v>
      </c>
      <c r="DW238" s="66">
        <f>+IF($W238="","",ROUND((DT238*Parámetros!$G$85),2))</f>
        <v>0</v>
      </c>
      <c r="DX238" s="66">
        <f>+IF($W238="","",ROUND((DT238*(Parámetros!$G$86)),2))</f>
        <v>0</v>
      </c>
      <c r="DY238" s="66">
        <f t="shared" si="370"/>
        <v>0</v>
      </c>
      <c r="DZ238" t="str">
        <f t="shared" si="371"/>
        <v>00066</v>
      </c>
      <c r="EA238" s="118" t="str">
        <f t="shared" si="371"/>
        <v>Enfermedad terminal</v>
      </c>
      <c r="EB238" s="118">
        <f>+IF($W238="","",ROUND(IF(Parámetros!$D$25='TABLAS MORT'!$V$33,EB237,Z238/2),0))</f>
        <v>50000</v>
      </c>
      <c r="EC238" s="118" t="str">
        <f t="shared" si="371"/>
        <v>A</v>
      </c>
      <c r="ED238" s="122">
        <f>+IF(OR($W238="",EB238=0),"",ROUND((VLOOKUP(ROUNDDOWN($D238-1/frec,0),cob_adi,DO$40,FALSE)*(1+i/frec)^-0.5*(1+Parámetros!$D$103)*(1+rec_fracc)/frec),6))</f>
        <v>2.6999999999999999E-5</v>
      </c>
      <c r="EE238" s="66">
        <f t="shared" si="372"/>
        <v>1.35</v>
      </c>
      <c r="EF238" s="68">
        <f t="shared" si="373"/>
        <v>2.6999999999999999E-5</v>
      </c>
      <c r="EG238" s="66">
        <f>+IF($W238="","",ROUND(IF($B238&gt;Parámetros!$D$107,'Tablas Servicio'!EE238+('Tablas Servicio'!EG237-'Tablas Servicio'!EE237),EE238/(1-IF(B238&lt;=10,Parámetros!$D$100,0))),2))</f>
        <v>1.35</v>
      </c>
      <c r="EH238" s="66">
        <f t="shared" si="374"/>
        <v>0</v>
      </c>
      <c r="EI238" s="66">
        <f t="shared" si="374"/>
        <v>0</v>
      </c>
      <c r="EJ238" s="66">
        <f>+IF($W238="","",ROUND((EG238*Parámetros!$G$85),2))</f>
        <v>0.05</v>
      </c>
      <c r="EK238" s="66">
        <f>+IF($W238="","",ROUND((EG238*(Parámetros!$G$86)),2))</f>
        <v>0.01</v>
      </c>
      <c r="EL238" s="66">
        <f t="shared" si="375"/>
        <v>1.41</v>
      </c>
    </row>
    <row r="239" spans="1:142" x14ac:dyDescent="0.25">
      <c r="A239">
        <f>+IF($C239="","",ROUND(VLOOKUP('Tablas Servicio'!B239,Parámetros!$H$100:$J$159,IF(Parámetros!$E$16="F",2,3),FALSE),2))</f>
        <v>150</v>
      </c>
      <c r="B239">
        <f t="shared" si="326"/>
        <v>17</v>
      </c>
      <c r="C239" s="57">
        <f>+IF(D239="","",'Tablas Servicio'!C238+1)</f>
        <v>198</v>
      </c>
      <c r="D239" s="56">
        <f>+IF(D238&lt;edadmaxtabla,D238+1/Parámetros!$E$25,"")</f>
        <v>56.520000000000472</v>
      </c>
      <c r="E239" s="57">
        <f t="shared" si="336"/>
        <v>56</v>
      </c>
      <c r="F239" s="59">
        <f t="shared" si="337"/>
        <v>100000</v>
      </c>
      <c r="G239" s="66">
        <f t="shared" si="327"/>
        <v>48.75</v>
      </c>
      <c r="H239" s="66">
        <f t="shared" si="328"/>
        <v>50.709999999999994</v>
      </c>
      <c r="I239" s="66">
        <f t="shared" si="288"/>
        <v>43.290000000000006</v>
      </c>
      <c r="J239" s="66">
        <f t="shared" si="329"/>
        <v>1.71</v>
      </c>
      <c r="K239" s="66">
        <f t="shared" si="330"/>
        <v>0.25</v>
      </c>
      <c r="L239" s="66">
        <f t="shared" si="331"/>
        <v>0</v>
      </c>
      <c r="M239" s="66">
        <f t="shared" si="332"/>
        <v>0</v>
      </c>
      <c r="N239" s="66">
        <f>+IF(C239="","",ROUND(Parámetros!$D$23,2))</f>
        <v>94</v>
      </c>
      <c r="O239" s="66">
        <f t="shared" si="333"/>
        <v>36.25</v>
      </c>
      <c r="P239" s="66">
        <f>+IF($C239="","",ROUND(IF(B239&gt;Parámetros!$D$117,0,N239*Parámetros!$D$116-G239*Parámetros!$D$100),2))</f>
        <v>0</v>
      </c>
      <c r="Q239" s="75">
        <f t="shared" si="289"/>
        <v>3.5076923076923075E-2</v>
      </c>
      <c r="R239" s="75">
        <f t="shared" si="290"/>
        <v>5.1282051282051282E-3</v>
      </c>
      <c r="S239" s="117">
        <f>+IF($C239="","",ROUND((S238+I239)*(1+Parámetros!$D$91),2))</f>
        <v>14252.13</v>
      </c>
      <c r="T239" s="117">
        <f>+IF($C239="","",ROUND(S239*VLOOKUP(B239,Parámetros!$C$30:$D$39,2,TRUE),2))</f>
        <v>14252.13</v>
      </c>
      <c r="U239" s="117">
        <f>+IF($C239="","",ROUND((U238+I239)*(1+Parámetros!$D$92),2))</f>
        <v>14918.56</v>
      </c>
      <c r="V239" s="117">
        <f>+IF($C239="","",ROUND(U239*VLOOKUP(B239,Parámetros!$C$30:$D$39,2,TRUE),2))</f>
        <v>14918.56</v>
      </c>
      <c r="W239" s="57">
        <f t="shared" si="291"/>
        <v>198</v>
      </c>
      <c r="X239" t="str">
        <f t="shared" si="292"/>
        <v>00058</v>
      </c>
      <c r="Y239" t="str">
        <f t="shared" si="293"/>
        <v>MUERTE POR CUALQUIER CAUSA</v>
      </c>
      <c r="Z239" s="118">
        <f>+IF($W239="","",ROUND(IF(Parámetros!$D$25='TABLAS MORT'!$V$33,Z238,Parámetros!$D$21-'Tablas Servicio'!T238),0))</f>
        <v>100000</v>
      </c>
      <c r="AA239" s="118" t="str">
        <f t="shared" si="294"/>
        <v>P</v>
      </c>
      <c r="AB239" s="119">
        <f>+IF(W239="","",ROUND((VLOOKUP(ROUNDDOWN($D239-1/frec,0),qx_tabla,2,FALSE)*(1+i/frec)^-0.5*(1+Parámetros!$D$103)*(1+rec_fracc)/frec),6))</f>
        <v>3.4900000000000003E-4</v>
      </c>
      <c r="AC239" s="66">
        <f t="shared" si="338"/>
        <v>34.9</v>
      </c>
      <c r="AD239" s="119">
        <f t="shared" si="334"/>
        <v>4.7399999999999997E-4</v>
      </c>
      <c r="AE239" s="66">
        <f>+IF($W239="","",ROUND(IF($B239&gt;Parámetros!$D$107,'Tablas Servicio'!AC239+('Tablas Servicio'!AG238-'Tablas Servicio'!AC238),AC239/(1-IF(B239&lt;=10,Parámetros!$D$104,Parámetros!$D$105))),2))</f>
        <v>58.17</v>
      </c>
      <c r="AF239" s="66">
        <f>+IF($W239="","",ROUND(IF($B239&gt;Parámetros!$D$107,'Tablas Servicio'!AC239+('Tablas Servicio'!AG238-'Tablas Servicio'!AC238),(AC239+$A238/frec)/(1-IF(B239&lt;=Parámetros!$D$117,Parámetros!$D$100,0))),2))</f>
        <v>47.4</v>
      </c>
      <c r="AG239" s="66">
        <f t="shared" si="339"/>
        <v>47.4</v>
      </c>
      <c r="AH239" s="66">
        <f t="shared" si="340"/>
        <v>0</v>
      </c>
      <c r="AI239" s="66">
        <f t="shared" si="341"/>
        <v>0</v>
      </c>
      <c r="AJ239" s="66">
        <f>+IF($W239="","",ROUND((AG239*Parámetros!$G$85),2))</f>
        <v>1.66</v>
      </c>
      <c r="AK239" s="66">
        <f>+IF($W239="","",ROUND((AG239*(Parámetros!$G$86)),2))</f>
        <v>0.24</v>
      </c>
      <c r="AL239" s="66">
        <f t="shared" si="335"/>
        <v>49.3</v>
      </c>
      <c r="AM239" t="str">
        <f t="shared" si="295"/>
        <v>00059</v>
      </c>
      <c r="AN239" t="str">
        <f t="shared" si="296"/>
        <v>Incapacidad Total y Permanente</v>
      </c>
      <c r="AO239" s="118">
        <f t="shared" si="297"/>
        <v>0</v>
      </c>
      <c r="AP239" s="118" t="str">
        <f t="shared" si="298"/>
        <v>A</v>
      </c>
      <c r="AQ239" s="119" t="str">
        <f>+IF(OR($W239="",AO239=0),"",ROUND((VLOOKUP(ROUNDDOWN($D239-1/frec,0),cob_adi,Z$40,FALSE)*(1+i/frec)^-0.5*(1+Parámetros!$D$103)*(1+rec_fracc)/frec),6))</f>
        <v/>
      </c>
      <c r="AR239" s="66">
        <f t="shared" si="342"/>
        <v>0</v>
      </c>
      <c r="AS239" s="119" t="str">
        <f t="shared" si="343"/>
        <v/>
      </c>
      <c r="AT239" s="66">
        <f>+IF($W239="","",ROUND(IF($B239&gt;Parámetros!$D$107,'Tablas Servicio'!AR239+('Tablas Servicio'!AT238-'Tablas Servicio'!AR238),AR239/(1-IF(B239&lt;=10,Parámetros!$D$100,0))),2))</f>
        <v>0</v>
      </c>
      <c r="AU239" s="66">
        <f t="shared" si="344"/>
        <v>0</v>
      </c>
      <c r="AV239" s="66">
        <f t="shared" si="344"/>
        <v>0</v>
      </c>
      <c r="AW239" s="66">
        <f>+IF($W239="","",ROUND((AT239*Parámetros!$G$85),2))</f>
        <v>0</v>
      </c>
      <c r="AX239" s="66">
        <f>+IF($W239="","",ROUND((AT239*(Parámetros!$G$86)),2))</f>
        <v>0</v>
      </c>
      <c r="AY239" s="66">
        <f t="shared" si="345"/>
        <v>0</v>
      </c>
      <c r="AZ239" t="str">
        <f t="shared" si="299"/>
        <v>00060</v>
      </c>
      <c r="BA239" t="str">
        <f t="shared" si="300"/>
        <v>Muerte Accidental</v>
      </c>
      <c r="BB239" s="118">
        <f t="shared" si="301"/>
        <v>0</v>
      </c>
      <c r="BC239" s="118" t="str">
        <f t="shared" si="302"/>
        <v>A</v>
      </c>
      <c r="BD239" s="119" t="str">
        <f>+IF(OR($W239="",BB239=0),"",ROUND((VLOOKUP(ROUNDDOWN($D239-1/frec,0),cob_adi,AO$40,FALSE)*(1+i/frec)^-0.5*(1+Parámetros!$D$103)*(1+rec_fracc)/frec),6))</f>
        <v/>
      </c>
      <c r="BE239" s="66">
        <f t="shared" si="346"/>
        <v>0</v>
      </c>
      <c r="BF239" s="119" t="str">
        <f t="shared" si="347"/>
        <v/>
      </c>
      <c r="BG239" s="66">
        <f>+IF($W239="","",ROUND(IF($B239&gt;Parámetros!$D$107,'Tablas Servicio'!BE239+('Tablas Servicio'!BG238-'Tablas Servicio'!BE238),BE239/(1-IF(B239&lt;=10,Parámetros!$D$100,0))),2))</f>
        <v>0</v>
      </c>
      <c r="BH239" s="66">
        <f t="shared" si="348"/>
        <v>0</v>
      </c>
      <c r="BI239" s="66">
        <f t="shared" si="349"/>
        <v>0</v>
      </c>
      <c r="BJ239" s="66">
        <f>+IF($W239="","",ROUND((BG239*Parámetros!$G$85),2))</f>
        <v>0</v>
      </c>
      <c r="BK239" s="66">
        <f>+IF($W239="","",ROUND((BG239*(Parámetros!$G$86)),2))</f>
        <v>0</v>
      </c>
      <c r="BL239" s="66">
        <f t="shared" si="350"/>
        <v>0</v>
      </c>
      <c r="BM239" t="str">
        <f t="shared" si="303"/>
        <v>00061</v>
      </c>
      <c r="BN239" t="str">
        <f t="shared" si="304"/>
        <v>Gastos de Entierro</v>
      </c>
      <c r="BO239" s="118">
        <f t="shared" si="305"/>
        <v>0</v>
      </c>
      <c r="BP239" s="118" t="str">
        <f t="shared" si="306"/>
        <v>A</v>
      </c>
      <c r="BQ239" s="119" t="str">
        <f>+IF(OR($W239="",BO239=0),"",ROUND((VLOOKUP(ROUNDDOWN($D239-1/frec,0),cob_adi,BB$40,FALSE)*(1+i/frec)^-0.5*(1+Parámetros!$D$103)*(1+rec_fracc)/frec),6))</f>
        <v/>
      </c>
      <c r="BR239" s="66">
        <f t="shared" si="351"/>
        <v>0</v>
      </c>
      <c r="BS239" s="119" t="str">
        <f t="shared" si="352"/>
        <v/>
      </c>
      <c r="BT239" s="66">
        <f>+IF($W239="","",ROUND(IF($B239&gt;Parámetros!$D$107,'Tablas Servicio'!BR239+('Tablas Servicio'!BT238-'Tablas Servicio'!BR238),BR239/(1-IF(B239&lt;=10,Parámetros!$D$100,0))),2))</f>
        <v>0</v>
      </c>
      <c r="BU239" s="66">
        <f t="shared" si="353"/>
        <v>0</v>
      </c>
      <c r="BV239" s="66">
        <f t="shared" si="353"/>
        <v>0</v>
      </c>
      <c r="BW239" s="66">
        <f>+IF($W239="","",ROUND((BT239*Parámetros!$G$85),2))</f>
        <v>0</v>
      </c>
      <c r="BX239" s="66">
        <f>+IF($W239="","",ROUND((BT239*(Parámetros!$G$86)),2))</f>
        <v>0</v>
      </c>
      <c r="BY239" s="66">
        <f t="shared" si="354"/>
        <v>0</v>
      </c>
      <c r="BZ239" t="str">
        <f t="shared" si="307"/>
        <v>00062</v>
      </c>
      <c r="CA239" t="str">
        <f t="shared" si="308"/>
        <v>Gastos médicos por accidente</v>
      </c>
      <c r="CB239" s="118">
        <f t="shared" si="309"/>
        <v>0</v>
      </c>
      <c r="CC239" s="118" t="str">
        <f t="shared" si="310"/>
        <v>A</v>
      </c>
      <c r="CD239" s="119" t="str">
        <f t="shared" si="355"/>
        <v/>
      </c>
      <c r="CE239" s="66">
        <f>+IF($W239="","",ROUND((VLOOKUP(ROUNDDOWN($D239-1/frec,0),cob_adi,BO$40,FALSE)*(1+i/frec)^-0.5*(1+Parámetros!$D$103)*(1+rec_fracc)/frec*'TABLAS ADI'!$BC$17),2))</f>
        <v>0</v>
      </c>
      <c r="CF239" s="119" t="str">
        <f t="shared" si="356"/>
        <v/>
      </c>
      <c r="CG239" s="66">
        <f>+IF($W239="","",ROUND(IF($B239&gt;Parámetros!$D$107,'Tablas Servicio'!CE239+('Tablas Servicio'!CG238-'Tablas Servicio'!CE238),CE239/(1-IF(B239&lt;=10,Parámetros!$D$100,0))),2))</f>
        <v>0</v>
      </c>
      <c r="CH239" s="66">
        <f t="shared" si="357"/>
        <v>0</v>
      </c>
      <c r="CI239" s="66">
        <f t="shared" si="357"/>
        <v>0</v>
      </c>
      <c r="CJ239" s="66">
        <f>+IF($W239="","",ROUND((CG239*Parámetros!$G$85),2))</f>
        <v>0</v>
      </c>
      <c r="CK239" s="66">
        <f>+IF($W239="","",ROUND((CG239*(Parámetros!$G$86)),2))</f>
        <v>0</v>
      </c>
      <c r="CL239" s="66">
        <f t="shared" si="358"/>
        <v>0</v>
      </c>
      <c r="CM239" t="str">
        <f t="shared" si="311"/>
        <v>00063</v>
      </c>
      <c r="CN239" s="118" t="str">
        <f t="shared" si="312"/>
        <v>Renta Diaria por Hospitalización</v>
      </c>
      <c r="CO239" s="118">
        <f t="shared" si="313"/>
        <v>0</v>
      </c>
      <c r="CP239" s="118" t="str">
        <f t="shared" si="314"/>
        <v>A</v>
      </c>
      <c r="CQ239" s="119" t="str">
        <f t="shared" si="359"/>
        <v/>
      </c>
      <c r="CR239" s="66">
        <f>+IF($W239="","",ROUND((VLOOKUP(Parámetros!$F$51,'COBERTURAS ADICIONALES'!$S$4:$T$32,2,FALSE)*(1+i/frec)^-0.5*(1+Parámetros!$D$103)*(1+rec_fracc)/frec*$CO$42),2))</f>
        <v>0</v>
      </c>
      <c r="CS239" s="119" t="str">
        <f t="shared" si="360"/>
        <v/>
      </c>
      <c r="CT239" s="66">
        <f>+IF($W239="","",ROUND(IF($B239&gt;Parámetros!$D$107,'Tablas Servicio'!CR239+('Tablas Servicio'!CT238-'Tablas Servicio'!CR238),CR239/(1-IF(B239&lt;=10,Parámetros!$D$100,0))),2))</f>
        <v>0</v>
      </c>
      <c r="CU239" s="66">
        <f t="shared" si="361"/>
        <v>0</v>
      </c>
      <c r="CV239" s="66">
        <f t="shared" si="361"/>
        <v>0</v>
      </c>
      <c r="CW239" s="66">
        <f>+IF($W239="","",ROUND((CT239*Parámetros!$G$85),2))</f>
        <v>0</v>
      </c>
      <c r="CX239" s="66">
        <f>+IF($W239="","",ROUND((CT239*(Parámetros!$G$86)),2))</f>
        <v>0</v>
      </c>
      <c r="CY239" s="66">
        <f t="shared" si="362"/>
        <v>0</v>
      </c>
      <c r="CZ239" t="str">
        <f t="shared" si="315"/>
        <v>00064</v>
      </c>
      <c r="DA239" s="118" t="str">
        <f t="shared" si="316"/>
        <v>Enfermedades Graves</v>
      </c>
      <c r="DB239" s="118">
        <f t="shared" si="317"/>
        <v>0</v>
      </c>
      <c r="DC239" s="118" t="str">
        <f t="shared" si="318"/>
        <v>A</v>
      </c>
      <c r="DD239" s="121" t="str">
        <f>+IF(OR($W239="",DB239=0),"",ROUND((VLOOKUP(ROUNDDOWN($D239-1/frec,0),cob_adi,CO$40,FALSE)*(1+i/frec)^-0.5*(1+Parámetros!$D$103)*(1+rec_fracc)/frec),6))</f>
        <v/>
      </c>
      <c r="DE239" s="66">
        <f t="shared" si="363"/>
        <v>0</v>
      </c>
      <c r="DF239" s="119" t="str">
        <f t="shared" si="364"/>
        <v/>
      </c>
      <c r="DG239" s="66">
        <f>+IF($W239="","",ROUND(IF($B239&gt;Parámetros!$D$107,'Tablas Servicio'!DE239+('Tablas Servicio'!DG238-'Tablas Servicio'!DE238),DE239/(1-IF(B239&lt;=10,Parámetros!$D$100,0))),2))</f>
        <v>0</v>
      </c>
      <c r="DH239" s="66">
        <f t="shared" si="365"/>
        <v>0</v>
      </c>
      <c r="DI239" s="66">
        <f t="shared" si="365"/>
        <v>0</v>
      </c>
      <c r="DJ239" s="66">
        <f>+IF($W239="","",ROUND((DG239*Parámetros!$G$85),2))</f>
        <v>0</v>
      </c>
      <c r="DK239" s="66">
        <f>+IF($W239="","",ROUND((DG239*(Parámetros!$G$86)),2))</f>
        <v>0</v>
      </c>
      <c r="DL239" s="66">
        <f t="shared" si="366"/>
        <v>0</v>
      </c>
      <c r="DM239" t="str">
        <f t="shared" si="319"/>
        <v>00065</v>
      </c>
      <c r="DN239" s="118" t="str">
        <f t="shared" si="320"/>
        <v>Exención pago de primas</v>
      </c>
      <c r="DO239" s="118">
        <f t="shared" si="321"/>
        <v>0</v>
      </c>
      <c r="DP239" s="118" t="str">
        <f t="shared" si="322"/>
        <v>A</v>
      </c>
      <c r="DQ239" s="122" t="str">
        <f>+IF(OR($W239="",DO239=0),"",ROUND((VLOOKUP(ROUNDDOWN($D239-1/frec,0),cob_adi,DB$40,FALSE)*(1+i/frec)^-0.5*(1+Parámetros!$D$103)*(1+rec_fracc)/frec),6))</f>
        <v/>
      </c>
      <c r="DR239" s="66">
        <f t="shared" si="367"/>
        <v>0</v>
      </c>
      <c r="DS239" s="68" t="str">
        <f t="shared" si="368"/>
        <v/>
      </c>
      <c r="DT239" s="66">
        <f>+IF($W239="","",ROUND(IF($B239&gt;Parámetros!$D$107,'Tablas Servicio'!DR239+('Tablas Servicio'!DT238-'Tablas Servicio'!DR238),DR239/(1-IF(B239&lt;=10,Parámetros!$D$100,0))),2))</f>
        <v>0</v>
      </c>
      <c r="DU239" s="66">
        <f t="shared" si="369"/>
        <v>0</v>
      </c>
      <c r="DV239" s="66">
        <f t="shared" si="369"/>
        <v>0</v>
      </c>
      <c r="DW239" s="66">
        <f>+IF($W239="","",ROUND((DT239*Parámetros!$G$85),2))</f>
        <v>0</v>
      </c>
      <c r="DX239" s="66">
        <f>+IF($W239="","",ROUND((DT239*(Parámetros!$G$86)),2))</f>
        <v>0</v>
      </c>
      <c r="DY239" s="66">
        <f t="shared" si="370"/>
        <v>0</v>
      </c>
      <c r="DZ239" t="str">
        <f t="shared" si="371"/>
        <v>00066</v>
      </c>
      <c r="EA239" s="118" t="str">
        <f t="shared" si="371"/>
        <v>Enfermedad terminal</v>
      </c>
      <c r="EB239" s="118">
        <f>+IF($W239="","",ROUND(IF(Parámetros!$D$25='TABLAS MORT'!$V$33,EB238,Z239/2),0))</f>
        <v>50000</v>
      </c>
      <c r="EC239" s="118" t="str">
        <f t="shared" si="371"/>
        <v>A</v>
      </c>
      <c r="ED239" s="122">
        <f>+IF(OR($W239="",EB239=0),"",ROUND((VLOOKUP(ROUNDDOWN($D239-1/frec,0),cob_adi,DO$40,FALSE)*(1+i/frec)^-0.5*(1+Parámetros!$D$103)*(1+rec_fracc)/frec),6))</f>
        <v>2.6999999999999999E-5</v>
      </c>
      <c r="EE239" s="66">
        <f t="shared" si="372"/>
        <v>1.35</v>
      </c>
      <c r="EF239" s="68">
        <f t="shared" si="373"/>
        <v>2.6999999999999999E-5</v>
      </c>
      <c r="EG239" s="66">
        <f>+IF($W239="","",ROUND(IF($B239&gt;Parámetros!$D$107,'Tablas Servicio'!EE239+('Tablas Servicio'!EG238-'Tablas Servicio'!EE238),EE239/(1-IF(B239&lt;=10,Parámetros!$D$100,0))),2))</f>
        <v>1.35</v>
      </c>
      <c r="EH239" s="66">
        <f t="shared" si="374"/>
        <v>0</v>
      </c>
      <c r="EI239" s="66">
        <f t="shared" si="374"/>
        <v>0</v>
      </c>
      <c r="EJ239" s="66">
        <f>+IF($W239="","",ROUND((EG239*Parámetros!$G$85),2))</f>
        <v>0.05</v>
      </c>
      <c r="EK239" s="66">
        <f>+IF($W239="","",ROUND((EG239*(Parámetros!$G$86)),2))</f>
        <v>0.01</v>
      </c>
      <c r="EL239" s="66">
        <f t="shared" si="375"/>
        <v>1.41</v>
      </c>
    </row>
    <row r="240" spans="1:142" x14ac:dyDescent="0.25">
      <c r="A240">
        <f>+IF($C240="","",ROUND(VLOOKUP('Tablas Servicio'!B240,Parámetros!$H$100:$J$159,IF(Parámetros!$E$16="F",2,3),FALSE),2))</f>
        <v>150</v>
      </c>
      <c r="B240">
        <f t="shared" si="326"/>
        <v>17</v>
      </c>
      <c r="C240" s="57">
        <f>+IF(D240="","",'Tablas Servicio'!C239+1)</f>
        <v>199</v>
      </c>
      <c r="D240" s="56">
        <f>+IF(D239&lt;edadmaxtabla,D239+1/Parámetros!$E$25,"")</f>
        <v>56.603333333333808</v>
      </c>
      <c r="E240" s="57">
        <f t="shared" si="336"/>
        <v>56</v>
      </c>
      <c r="F240" s="59">
        <f t="shared" si="337"/>
        <v>100000</v>
      </c>
      <c r="G240" s="66">
        <f t="shared" si="327"/>
        <v>48.75</v>
      </c>
      <c r="H240" s="66">
        <f t="shared" si="328"/>
        <v>50.709999999999994</v>
      </c>
      <c r="I240" s="66">
        <f t="shared" si="288"/>
        <v>43.290000000000006</v>
      </c>
      <c r="J240" s="66">
        <f t="shared" si="329"/>
        <v>1.71</v>
      </c>
      <c r="K240" s="66">
        <f t="shared" si="330"/>
        <v>0.25</v>
      </c>
      <c r="L240" s="66">
        <f t="shared" si="331"/>
        <v>0</v>
      </c>
      <c r="M240" s="66">
        <f t="shared" si="332"/>
        <v>0</v>
      </c>
      <c r="N240" s="66">
        <f>+IF(C240="","",ROUND(Parámetros!$D$23,2))</f>
        <v>94</v>
      </c>
      <c r="O240" s="66">
        <f t="shared" si="333"/>
        <v>36.25</v>
      </c>
      <c r="P240" s="66">
        <f>+IF($C240="","",ROUND(IF(B240&gt;Parámetros!$D$117,0,N240*Parámetros!$D$116-G240*Parámetros!$D$100),2))</f>
        <v>0</v>
      </c>
      <c r="Q240" s="75">
        <f t="shared" si="289"/>
        <v>3.5076923076923075E-2</v>
      </c>
      <c r="R240" s="75">
        <f t="shared" si="290"/>
        <v>5.1282051282051282E-3</v>
      </c>
      <c r="S240" s="117">
        <f>+IF($C240="","",ROUND((S239+I240)*(1+Parámetros!$D$91),2))</f>
        <v>14335.97</v>
      </c>
      <c r="T240" s="117">
        <f>+IF($C240="","",ROUND(S240*VLOOKUP(B240,Parámetros!$C$30:$D$39,2,TRUE),2))</f>
        <v>14335.97</v>
      </c>
      <c r="U240" s="117">
        <f>+IF($C240="","",ROUND((U239+I240)*(1+Parámetros!$D$92),2))</f>
        <v>15010.35</v>
      </c>
      <c r="V240" s="117">
        <f>+IF($C240="","",ROUND(U240*VLOOKUP(B240,Parámetros!$C$30:$D$39,2,TRUE),2))</f>
        <v>15010.35</v>
      </c>
      <c r="W240" s="57">
        <f t="shared" si="291"/>
        <v>199</v>
      </c>
      <c r="X240" t="str">
        <f t="shared" si="292"/>
        <v>00058</v>
      </c>
      <c r="Y240" t="str">
        <f t="shared" si="293"/>
        <v>MUERTE POR CUALQUIER CAUSA</v>
      </c>
      <c r="Z240" s="118">
        <f>+IF($W240="","",ROUND(IF(Parámetros!$D$25='TABLAS MORT'!$V$33,Z239,Parámetros!$D$21-'Tablas Servicio'!T239),0))</f>
        <v>100000</v>
      </c>
      <c r="AA240" s="118" t="str">
        <f t="shared" si="294"/>
        <v>P</v>
      </c>
      <c r="AB240" s="119">
        <f>+IF(W240="","",ROUND((VLOOKUP(ROUNDDOWN($D240-1/frec,0),qx_tabla,2,FALSE)*(1+i/frec)^-0.5*(1+Parámetros!$D$103)*(1+rec_fracc)/frec),6))</f>
        <v>3.4900000000000003E-4</v>
      </c>
      <c r="AC240" s="66">
        <f t="shared" si="338"/>
        <v>34.9</v>
      </c>
      <c r="AD240" s="119">
        <f t="shared" si="334"/>
        <v>4.7399999999999997E-4</v>
      </c>
      <c r="AE240" s="66">
        <f>+IF($W240="","",ROUND(IF($B240&gt;Parámetros!$D$107,'Tablas Servicio'!AC240+('Tablas Servicio'!AG239-'Tablas Servicio'!AC239),AC240/(1-IF(B240&lt;=10,Parámetros!$D$104,Parámetros!$D$105))),2))</f>
        <v>58.17</v>
      </c>
      <c r="AF240" s="66">
        <f>+IF($W240="","",ROUND(IF($B240&gt;Parámetros!$D$107,'Tablas Servicio'!AC240+('Tablas Servicio'!AG239-'Tablas Servicio'!AC239),(AC240+$A239/frec)/(1-IF(B240&lt;=Parámetros!$D$117,Parámetros!$D$100,0))),2))</f>
        <v>47.4</v>
      </c>
      <c r="AG240" s="66">
        <f t="shared" si="339"/>
        <v>47.4</v>
      </c>
      <c r="AH240" s="66">
        <f t="shared" si="340"/>
        <v>0</v>
      </c>
      <c r="AI240" s="66">
        <f t="shared" si="341"/>
        <v>0</v>
      </c>
      <c r="AJ240" s="66">
        <f>+IF($W240="","",ROUND((AG240*Parámetros!$G$85),2))</f>
        <v>1.66</v>
      </c>
      <c r="AK240" s="66">
        <f>+IF($W240="","",ROUND((AG240*(Parámetros!$G$86)),2))</f>
        <v>0.24</v>
      </c>
      <c r="AL240" s="66">
        <f t="shared" si="335"/>
        <v>49.3</v>
      </c>
      <c r="AM240" t="str">
        <f t="shared" si="295"/>
        <v>00059</v>
      </c>
      <c r="AN240" t="str">
        <f t="shared" si="296"/>
        <v>Incapacidad Total y Permanente</v>
      </c>
      <c r="AO240" s="118">
        <f t="shared" si="297"/>
        <v>0</v>
      </c>
      <c r="AP240" s="118" t="str">
        <f t="shared" si="298"/>
        <v>A</v>
      </c>
      <c r="AQ240" s="119" t="str">
        <f>+IF(OR($W240="",AO240=0),"",ROUND((VLOOKUP(ROUNDDOWN($D240-1/frec,0),cob_adi,Z$40,FALSE)*(1+i/frec)^-0.5*(1+Parámetros!$D$103)*(1+rec_fracc)/frec),6))</f>
        <v/>
      </c>
      <c r="AR240" s="66">
        <f t="shared" si="342"/>
        <v>0</v>
      </c>
      <c r="AS240" s="119" t="str">
        <f t="shared" si="343"/>
        <v/>
      </c>
      <c r="AT240" s="66">
        <f>+IF($W240="","",ROUND(IF($B240&gt;Parámetros!$D$107,'Tablas Servicio'!AR240+('Tablas Servicio'!AT239-'Tablas Servicio'!AR239),AR240/(1-IF(B240&lt;=10,Parámetros!$D$100,0))),2))</f>
        <v>0</v>
      </c>
      <c r="AU240" s="66">
        <f t="shared" si="344"/>
        <v>0</v>
      </c>
      <c r="AV240" s="66">
        <f t="shared" si="344"/>
        <v>0</v>
      </c>
      <c r="AW240" s="66">
        <f>+IF($W240="","",ROUND((AT240*Parámetros!$G$85),2))</f>
        <v>0</v>
      </c>
      <c r="AX240" s="66">
        <f>+IF($W240="","",ROUND((AT240*(Parámetros!$G$86)),2))</f>
        <v>0</v>
      </c>
      <c r="AY240" s="66">
        <f t="shared" si="345"/>
        <v>0</v>
      </c>
      <c r="AZ240" t="str">
        <f t="shared" si="299"/>
        <v>00060</v>
      </c>
      <c r="BA240" t="str">
        <f t="shared" si="300"/>
        <v>Muerte Accidental</v>
      </c>
      <c r="BB240" s="118">
        <f t="shared" si="301"/>
        <v>0</v>
      </c>
      <c r="BC240" s="118" t="str">
        <f t="shared" si="302"/>
        <v>A</v>
      </c>
      <c r="BD240" s="119" t="str">
        <f>+IF(OR($W240="",BB240=0),"",ROUND((VLOOKUP(ROUNDDOWN($D240-1/frec,0),cob_adi,AO$40,FALSE)*(1+i/frec)^-0.5*(1+Parámetros!$D$103)*(1+rec_fracc)/frec),6))</f>
        <v/>
      </c>
      <c r="BE240" s="66">
        <f t="shared" si="346"/>
        <v>0</v>
      </c>
      <c r="BF240" s="119" t="str">
        <f t="shared" si="347"/>
        <v/>
      </c>
      <c r="BG240" s="66">
        <f>+IF($W240="","",ROUND(IF($B240&gt;Parámetros!$D$107,'Tablas Servicio'!BE240+('Tablas Servicio'!BG239-'Tablas Servicio'!BE239),BE240/(1-IF(B240&lt;=10,Parámetros!$D$100,0))),2))</f>
        <v>0</v>
      </c>
      <c r="BH240" s="66">
        <f t="shared" si="348"/>
        <v>0</v>
      </c>
      <c r="BI240" s="66">
        <f t="shared" si="349"/>
        <v>0</v>
      </c>
      <c r="BJ240" s="66">
        <f>+IF($W240="","",ROUND((BG240*Parámetros!$G$85),2))</f>
        <v>0</v>
      </c>
      <c r="BK240" s="66">
        <f>+IF($W240="","",ROUND((BG240*(Parámetros!$G$86)),2))</f>
        <v>0</v>
      </c>
      <c r="BL240" s="66">
        <f t="shared" si="350"/>
        <v>0</v>
      </c>
      <c r="BM240" t="str">
        <f t="shared" si="303"/>
        <v>00061</v>
      </c>
      <c r="BN240" t="str">
        <f t="shared" si="304"/>
        <v>Gastos de Entierro</v>
      </c>
      <c r="BO240" s="118">
        <f t="shared" si="305"/>
        <v>0</v>
      </c>
      <c r="BP240" s="118" t="str">
        <f t="shared" si="306"/>
        <v>A</v>
      </c>
      <c r="BQ240" s="119" t="str">
        <f>+IF(OR($W240="",BO240=0),"",ROUND((VLOOKUP(ROUNDDOWN($D240-1/frec,0),cob_adi,BB$40,FALSE)*(1+i/frec)^-0.5*(1+Parámetros!$D$103)*(1+rec_fracc)/frec),6))</f>
        <v/>
      </c>
      <c r="BR240" s="66">
        <f t="shared" si="351"/>
        <v>0</v>
      </c>
      <c r="BS240" s="119" t="str">
        <f t="shared" si="352"/>
        <v/>
      </c>
      <c r="BT240" s="66">
        <f>+IF($W240="","",ROUND(IF($B240&gt;Parámetros!$D$107,'Tablas Servicio'!BR240+('Tablas Servicio'!BT239-'Tablas Servicio'!BR239),BR240/(1-IF(B240&lt;=10,Parámetros!$D$100,0))),2))</f>
        <v>0</v>
      </c>
      <c r="BU240" s="66">
        <f t="shared" si="353"/>
        <v>0</v>
      </c>
      <c r="BV240" s="66">
        <f t="shared" si="353"/>
        <v>0</v>
      </c>
      <c r="BW240" s="66">
        <f>+IF($W240="","",ROUND((BT240*Parámetros!$G$85),2))</f>
        <v>0</v>
      </c>
      <c r="BX240" s="66">
        <f>+IF($W240="","",ROUND((BT240*(Parámetros!$G$86)),2))</f>
        <v>0</v>
      </c>
      <c r="BY240" s="66">
        <f t="shared" si="354"/>
        <v>0</v>
      </c>
      <c r="BZ240" t="str">
        <f t="shared" si="307"/>
        <v>00062</v>
      </c>
      <c r="CA240" t="str">
        <f t="shared" si="308"/>
        <v>Gastos médicos por accidente</v>
      </c>
      <c r="CB240" s="118">
        <f t="shared" si="309"/>
        <v>0</v>
      </c>
      <c r="CC240" s="118" t="str">
        <f t="shared" si="310"/>
        <v>A</v>
      </c>
      <c r="CD240" s="119" t="str">
        <f t="shared" si="355"/>
        <v/>
      </c>
      <c r="CE240" s="66">
        <f>+IF($W240="","",ROUND((VLOOKUP(ROUNDDOWN($D240-1/frec,0),cob_adi,BO$40,FALSE)*(1+i/frec)^-0.5*(1+Parámetros!$D$103)*(1+rec_fracc)/frec*'TABLAS ADI'!$BC$17),2))</f>
        <v>0</v>
      </c>
      <c r="CF240" s="119" t="str">
        <f t="shared" si="356"/>
        <v/>
      </c>
      <c r="CG240" s="66">
        <f>+IF($W240="","",ROUND(IF($B240&gt;Parámetros!$D$107,'Tablas Servicio'!CE240+('Tablas Servicio'!CG239-'Tablas Servicio'!CE239),CE240/(1-IF(B240&lt;=10,Parámetros!$D$100,0))),2))</f>
        <v>0</v>
      </c>
      <c r="CH240" s="66">
        <f t="shared" si="357"/>
        <v>0</v>
      </c>
      <c r="CI240" s="66">
        <f t="shared" si="357"/>
        <v>0</v>
      </c>
      <c r="CJ240" s="66">
        <f>+IF($W240="","",ROUND((CG240*Parámetros!$G$85),2))</f>
        <v>0</v>
      </c>
      <c r="CK240" s="66">
        <f>+IF($W240="","",ROUND((CG240*(Parámetros!$G$86)),2))</f>
        <v>0</v>
      </c>
      <c r="CL240" s="66">
        <f t="shared" si="358"/>
        <v>0</v>
      </c>
      <c r="CM240" t="str">
        <f t="shared" si="311"/>
        <v>00063</v>
      </c>
      <c r="CN240" s="118" t="str">
        <f t="shared" si="312"/>
        <v>Renta Diaria por Hospitalización</v>
      </c>
      <c r="CO240" s="118">
        <f t="shared" si="313"/>
        <v>0</v>
      </c>
      <c r="CP240" s="118" t="str">
        <f t="shared" si="314"/>
        <v>A</v>
      </c>
      <c r="CQ240" s="119" t="str">
        <f t="shared" si="359"/>
        <v/>
      </c>
      <c r="CR240" s="66">
        <f>+IF($W240="","",ROUND((VLOOKUP(Parámetros!$F$51,'COBERTURAS ADICIONALES'!$S$4:$T$32,2,FALSE)*(1+i/frec)^-0.5*(1+Parámetros!$D$103)*(1+rec_fracc)/frec*$CO$42),2))</f>
        <v>0</v>
      </c>
      <c r="CS240" s="119" t="str">
        <f t="shared" si="360"/>
        <v/>
      </c>
      <c r="CT240" s="66">
        <f>+IF($W240="","",ROUND(IF($B240&gt;Parámetros!$D$107,'Tablas Servicio'!CR240+('Tablas Servicio'!CT239-'Tablas Servicio'!CR239),CR240/(1-IF(B240&lt;=10,Parámetros!$D$100,0))),2))</f>
        <v>0</v>
      </c>
      <c r="CU240" s="66">
        <f t="shared" si="361"/>
        <v>0</v>
      </c>
      <c r="CV240" s="66">
        <f t="shared" si="361"/>
        <v>0</v>
      </c>
      <c r="CW240" s="66">
        <f>+IF($W240="","",ROUND((CT240*Parámetros!$G$85),2))</f>
        <v>0</v>
      </c>
      <c r="CX240" s="66">
        <f>+IF($W240="","",ROUND((CT240*(Parámetros!$G$86)),2))</f>
        <v>0</v>
      </c>
      <c r="CY240" s="66">
        <f t="shared" si="362"/>
        <v>0</v>
      </c>
      <c r="CZ240" t="str">
        <f t="shared" si="315"/>
        <v>00064</v>
      </c>
      <c r="DA240" s="118" t="str">
        <f t="shared" si="316"/>
        <v>Enfermedades Graves</v>
      </c>
      <c r="DB240" s="118">
        <f t="shared" si="317"/>
        <v>0</v>
      </c>
      <c r="DC240" s="118" t="str">
        <f t="shared" si="318"/>
        <v>A</v>
      </c>
      <c r="DD240" s="121" t="str">
        <f>+IF(OR($W240="",DB240=0),"",ROUND((VLOOKUP(ROUNDDOWN($D240-1/frec,0),cob_adi,CO$40,FALSE)*(1+i/frec)^-0.5*(1+Parámetros!$D$103)*(1+rec_fracc)/frec),6))</f>
        <v/>
      </c>
      <c r="DE240" s="66">
        <f t="shared" si="363"/>
        <v>0</v>
      </c>
      <c r="DF240" s="119" t="str">
        <f t="shared" si="364"/>
        <v/>
      </c>
      <c r="DG240" s="66">
        <f>+IF($W240="","",ROUND(IF($B240&gt;Parámetros!$D$107,'Tablas Servicio'!DE240+('Tablas Servicio'!DG239-'Tablas Servicio'!DE239),DE240/(1-IF(B240&lt;=10,Parámetros!$D$100,0))),2))</f>
        <v>0</v>
      </c>
      <c r="DH240" s="66">
        <f t="shared" si="365"/>
        <v>0</v>
      </c>
      <c r="DI240" s="66">
        <f t="shared" si="365"/>
        <v>0</v>
      </c>
      <c r="DJ240" s="66">
        <f>+IF($W240="","",ROUND((DG240*Parámetros!$G$85),2))</f>
        <v>0</v>
      </c>
      <c r="DK240" s="66">
        <f>+IF($W240="","",ROUND((DG240*(Parámetros!$G$86)),2))</f>
        <v>0</v>
      </c>
      <c r="DL240" s="66">
        <f t="shared" si="366"/>
        <v>0</v>
      </c>
      <c r="DM240" t="str">
        <f t="shared" si="319"/>
        <v>00065</v>
      </c>
      <c r="DN240" s="118" t="str">
        <f t="shared" si="320"/>
        <v>Exención pago de primas</v>
      </c>
      <c r="DO240" s="118">
        <f t="shared" si="321"/>
        <v>0</v>
      </c>
      <c r="DP240" s="118" t="str">
        <f t="shared" si="322"/>
        <v>A</v>
      </c>
      <c r="DQ240" s="122" t="str">
        <f>+IF(OR($W240="",DO240=0),"",ROUND((VLOOKUP(ROUNDDOWN($D240-1/frec,0),cob_adi,DB$40,FALSE)*(1+i/frec)^-0.5*(1+Parámetros!$D$103)*(1+rec_fracc)/frec),6))</f>
        <v/>
      </c>
      <c r="DR240" s="66">
        <f t="shared" si="367"/>
        <v>0</v>
      </c>
      <c r="DS240" s="68" t="str">
        <f t="shared" si="368"/>
        <v/>
      </c>
      <c r="DT240" s="66">
        <f>+IF($W240="","",ROUND(IF($B240&gt;Parámetros!$D$107,'Tablas Servicio'!DR240+('Tablas Servicio'!DT239-'Tablas Servicio'!DR239),DR240/(1-IF(B240&lt;=10,Parámetros!$D$100,0))),2))</f>
        <v>0</v>
      </c>
      <c r="DU240" s="66">
        <f t="shared" si="369"/>
        <v>0</v>
      </c>
      <c r="DV240" s="66">
        <f t="shared" si="369"/>
        <v>0</v>
      </c>
      <c r="DW240" s="66">
        <f>+IF($W240="","",ROUND((DT240*Parámetros!$G$85),2))</f>
        <v>0</v>
      </c>
      <c r="DX240" s="66">
        <f>+IF($W240="","",ROUND((DT240*(Parámetros!$G$86)),2))</f>
        <v>0</v>
      </c>
      <c r="DY240" s="66">
        <f t="shared" si="370"/>
        <v>0</v>
      </c>
      <c r="DZ240" t="str">
        <f t="shared" si="371"/>
        <v>00066</v>
      </c>
      <c r="EA240" s="118" t="str">
        <f t="shared" si="371"/>
        <v>Enfermedad terminal</v>
      </c>
      <c r="EB240" s="118">
        <f>+IF($W240="","",ROUND(IF(Parámetros!$D$25='TABLAS MORT'!$V$33,EB239,Z240/2),0))</f>
        <v>50000</v>
      </c>
      <c r="EC240" s="118" t="str">
        <f t="shared" si="371"/>
        <v>A</v>
      </c>
      <c r="ED240" s="122">
        <f>+IF(OR($W240="",EB240=0),"",ROUND((VLOOKUP(ROUNDDOWN($D240-1/frec,0),cob_adi,DO$40,FALSE)*(1+i/frec)^-0.5*(1+Parámetros!$D$103)*(1+rec_fracc)/frec),6))</f>
        <v>2.6999999999999999E-5</v>
      </c>
      <c r="EE240" s="66">
        <f t="shared" si="372"/>
        <v>1.35</v>
      </c>
      <c r="EF240" s="68">
        <f t="shared" si="373"/>
        <v>2.6999999999999999E-5</v>
      </c>
      <c r="EG240" s="66">
        <f>+IF($W240="","",ROUND(IF($B240&gt;Parámetros!$D$107,'Tablas Servicio'!EE240+('Tablas Servicio'!EG239-'Tablas Servicio'!EE239),EE240/(1-IF(B240&lt;=10,Parámetros!$D$100,0))),2))</f>
        <v>1.35</v>
      </c>
      <c r="EH240" s="66">
        <f t="shared" si="374"/>
        <v>0</v>
      </c>
      <c r="EI240" s="66">
        <f t="shared" si="374"/>
        <v>0</v>
      </c>
      <c r="EJ240" s="66">
        <f>+IF($W240="","",ROUND((EG240*Parámetros!$G$85),2))</f>
        <v>0.05</v>
      </c>
      <c r="EK240" s="66">
        <f>+IF($W240="","",ROUND((EG240*(Parámetros!$G$86)),2))</f>
        <v>0.01</v>
      </c>
      <c r="EL240" s="66">
        <f t="shared" si="375"/>
        <v>1.41</v>
      </c>
    </row>
    <row r="241" spans="1:142" x14ac:dyDescent="0.25">
      <c r="A241">
        <f>+IF($C241="","",ROUND(VLOOKUP('Tablas Servicio'!B241,Parámetros!$H$100:$J$159,IF(Parámetros!$E$16="F",2,3),FALSE),2))</f>
        <v>150</v>
      </c>
      <c r="B241">
        <f t="shared" si="326"/>
        <v>17</v>
      </c>
      <c r="C241" s="57">
        <f>+IF(D241="","",'Tablas Servicio'!C240+1)</f>
        <v>200</v>
      </c>
      <c r="D241" s="56">
        <f>+IF(D240&lt;edadmaxtabla,D240+1/Parámetros!$E$25,"")</f>
        <v>56.686666666667143</v>
      </c>
      <c r="E241" s="57">
        <f t="shared" si="336"/>
        <v>56</v>
      </c>
      <c r="F241" s="59">
        <f t="shared" si="337"/>
        <v>100000</v>
      </c>
      <c r="G241" s="66">
        <f t="shared" si="327"/>
        <v>48.75</v>
      </c>
      <c r="H241" s="66">
        <f t="shared" si="328"/>
        <v>50.709999999999994</v>
      </c>
      <c r="I241" s="66">
        <f t="shared" si="288"/>
        <v>43.290000000000006</v>
      </c>
      <c r="J241" s="66">
        <f t="shared" si="329"/>
        <v>1.71</v>
      </c>
      <c r="K241" s="66">
        <f t="shared" si="330"/>
        <v>0.25</v>
      </c>
      <c r="L241" s="66">
        <f t="shared" si="331"/>
        <v>0</v>
      </c>
      <c r="M241" s="66">
        <f t="shared" si="332"/>
        <v>0</v>
      </c>
      <c r="N241" s="66">
        <f>+IF(C241="","",ROUND(Parámetros!$D$23,2))</f>
        <v>94</v>
      </c>
      <c r="O241" s="66">
        <f t="shared" si="333"/>
        <v>36.25</v>
      </c>
      <c r="P241" s="66">
        <f>+IF($C241="","",ROUND(IF(B241&gt;Parámetros!$D$117,0,N241*Parámetros!$D$116-G241*Parámetros!$D$100),2))</f>
        <v>0</v>
      </c>
      <c r="Q241" s="75">
        <f t="shared" si="289"/>
        <v>3.5076923076923075E-2</v>
      </c>
      <c r="R241" s="75">
        <f t="shared" si="290"/>
        <v>5.1282051282051282E-3</v>
      </c>
      <c r="S241" s="117">
        <f>+IF($C241="","",ROUND((S240+I241)*(1+Parámetros!$D$91),2))</f>
        <v>14420.05</v>
      </c>
      <c r="T241" s="117">
        <f>+IF($C241="","",ROUND(S241*VLOOKUP(B241,Parámetros!$C$30:$D$39,2,TRUE),2))</f>
        <v>14420.05</v>
      </c>
      <c r="U241" s="117">
        <f>+IF($C241="","",ROUND((U240+I241)*(1+Parámetros!$D$92),2))</f>
        <v>15102.44</v>
      </c>
      <c r="V241" s="117">
        <f>+IF($C241="","",ROUND(U241*VLOOKUP(B241,Parámetros!$C$30:$D$39,2,TRUE),2))</f>
        <v>15102.44</v>
      </c>
      <c r="W241" s="57">
        <f t="shared" si="291"/>
        <v>200</v>
      </c>
      <c r="X241" t="str">
        <f t="shared" si="292"/>
        <v>00058</v>
      </c>
      <c r="Y241" t="str">
        <f t="shared" si="293"/>
        <v>MUERTE POR CUALQUIER CAUSA</v>
      </c>
      <c r="Z241" s="118">
        <f>+IF($W241="","",ROUND(IF(Parámetros!$D$25='TABLAS MORT'!$V$33,Z240,Parámetros!$D$21-'Tablas Servicio'!T240),0))</f>
        <v>100000</v>
      </c>
      <c r="AA241" s="118" t="str">
        <f t="shared" si="294"/>
        <v>P</v>
      </c>
      <c r="AB241" s="119">
        <f>+IF(W241="","",ROUND((VLOOKUP(ROUNDDOWN($D241-1/frec,0),qx_tabla,2,FALSE)*(1+i/frec)^-0.5*(1+Parámetros!$D$103)*(1+rec_fracc)/frec),6))</f>
        <v>3.4900000000000003E-4</v>
      </c>
      <c r="AC241" s="66">
        <f t="shared" si="338"/>
        <v>34.9</v>
      </c>
      <c r="AD241" s="119">
        <f t="shared" si="334"/>
        <v>4.7399999999999997E-4</v>
      </c>
      <c r="AE241" s="66">
        <f>+IF($W241="","",ROUND(IF($B241&gt;Parámetros!$D$107,'Tablas Servicio'!AC241+('Tablas Servicio'!AG240-'Tablas Servicio'!AC240),AC241/(1-IF(B241&lt;=10,Parámetros!$D$104,Parámetros!$D$105))),2))</f>
        <v>58.17</v>
      </c>
      <c r="AF241" s="66">
        <f>+IF($W241="","",ROUND(IF($B241&gt;Parámetros!$D$107,'Tablas Servicio'!AC241+('Tablas Servicio'!AG240-'Tablas Servicio'!AC240),(AC241+$A240/frec)/(1-IF(B241&lt;=Parámetros!$D$117,Parámetros!$D$100,0))),2))</f>
        <v>47.4</v>
      </c>
      <c r="AG241" s="66">
        <f t="shared" si="339"/>
        <v>47.4</v>
      </c>
      <c r="AH241" s="66">
        <f t="shared" si="340"/>
        <v>0</v>
      </c>
      <c r="AI241" s="66">
        <f t="shared" si="341"/>
        <v>0</v>
      </c>
      <c r="AJ241" s="66">
        <f>+IF($W241="","",ROUND((AG241*Parámetros!$G$85),2))</f>
        <v>1.66</v>
      </c>
      <c r="AK241" s="66">
        <f>+IF($W241="","",ROUND((AG241*(Parámetros!$G$86)),2))</f>
        <v>0.24</v>
      </c>
      <c r="AL241" s="66">
        <f t="shared" si="335"/>
        <v>49.3</v>
      </c>
      <c r="AM241" t="str">
        <f t="shared" si="295"/>
        <v>00059</v>
      </c>
      <c r="AN241" t="str">
        <f t="shared" si="296"/>
        <v>Incapacidad Total y Permanente</v>
      </c>
      <c r="AO241" s="118">
        <f t="shared" si="297"/>
        <v>0</v>
      </c>
      <c r="AP241" s="118" t="str">
        <f t="shared" si="298"/>
        <v>A</v>
      </c>
      <c r="AQ241" s="119" t="str">
        <f>+IF(OR($W241="",AO241=0),"",ROUND((VLOOKUP(ROUNDDOWN($D241-1/frec,0),cob_adi,Z$40,FALSE)*(1+i/frec)^-0.5*(1+Parámetros!$D$103)*(1+rec_fracc)/frec),6))</f>
        <v/>
      </c>
      <c r="AR241" s="66">
        <f t="shared" si="342"/>
        <v>0</v>
      </c>
      <c r="AS241" s="119" t="str">
        <f t="shared" si="343"/>
        <v/>
      </c>
      <c r="AT241" s="66">
        <f>+IF($W241="","",ROUND(IF($B241&gt;Parámetros!$D$107,'Tablas Servicio'!AR241+('Tablas Servicio'!AT240-'Tablas Servicio'!AR240),AR241/(1-IF(B241&lt;=10,Parámetros!$D$100,0))),2))</f>
        <v>0</v>
      </c>
      <c r="AU241" s="66">
        <f t="shared" si="344"/>
        <v>0</v>
      </c>
      <c r="AV241" s="66">
        <f t="shared" si="344"/>
        <v>0</v>
      </c>
      <c r="AW241" s="66">
        <f>+IF($W241="","",ROUND((AT241*Parámetros!$G$85),2))</f>
        <v>0</v>
      </c>
      <c r="AX241" s="66">
        <f>+IF($W241="","",ROUND((AT241*(Parámetros!$G$86)),2))</f>
        <v>0</v>
      </c>
      <c r="AY241" s="66">
        <f t="shared" si="345"/>
        <v>0</v>
      </c>
      <c r="AZ241" t="str">
        <f t="shared" si="299"/>
        <v>00060</v>
      </c>
      <c r="BA241" t="str">
        <f t="shared" si="300"/>
        <v>Muerte Accidental</v>
      </c>
      <c r="BB241" s="118">
        <f t="shared" si="301"/>
        <v>0</v>
      </c>
      <c r="BC241" s="118" t="str">
        <f t="shared" si="302"/>
        <v>A</v>
      </c>
      <c r="BD241" s="119" t="str">
        <f>+IF(OR($W241="",BB241=0),"",ROUND((VLOOKUP(ROUNDDOWN($D241-1/frec,0),cob_adi,AO$40,FALSE)*(1+i/frec)^-0.5*(1+Parámetros!$D$103)*(1+rec_fracc)/frec),6))</f>
        <v/>
      </c>
      <c r="BE241" s="66">
        <f t="shared" si="346"/>
        <v>0</v>
      </c>
      <c r="BF241" s="119" t="str">
        <f t="shared" si="347"/>
        <v/>
      </c>
      <c r="BG241" s="66">
        <f>+IF($W241="","",ROUND(IF($B241&gt;Parámetros!$D$107,'Tablas Servicio'!BE241+('Tablas Servicio'!BG240-'Tablas Servicio'!BE240),BE241/(1-IF(B241&lt;=10,Parámetros!$D$100,0))),2))</f>
        <v>0</v>
      </c>
      <c r="BH241" s="66">
        <f t="shared" si="348"/>
        <v>0</v>
      </c>
      <c r="BI241" s="66">
        <f t="shared" si="349"/>
        <v>0</v>
      </c>
      <c r="BJ241" s="66">
        <f>+IF($W241="","",ROUND((BG241*Parámetros!$G$85),2))</f>
        <v>0</v>
      </c>
      <c r="BK241" s="66">
        <f>+IF($W241="","",ROUND((BG241*(Parámetros!$G$86)),2))</f>
        <v>0</v>
      </c>
      <c r="BL241" s="66">
        <f t="shared" si="350"/>
        <v>0</v>
      </c>
      <c r="BM241" t="str">
        <f t="shared" si="303"/>
        <v>00061</v>
      </c>
      <c r="BN241" t="str">
        <f t="shared" si="304"/>
        <v>Gastos de Entierro</v>
      </c>
      <c r="BO241" s="118">
        <f t="shared" si="305"/>
        <v>0</v>
      </c>
      <c r="BP241" s="118" t="str">
        <f t="shared" si="306"/>
        <v>A</v>
      </c>
      <c r="BQ241" s="119" t="str">
        <f>+IF(OR($W241="",BO241=0),"",ROUND((VLOOKUP(ROUNDDOWN($D241-1/frec,0),cob_adi,BB$40,FALSE)*(1+i/frec)^-0.5*(1+Parámetros!$D$103)*(1+rec_fracc)/frec),6))</f>
        <v/>
      </c>
      <c r="BR241" s="66">
        <f t="shared" si="351"/>
        <v>0</v>
      </c>
      <c r="BS241" s="119" t="str">
        <f t="shared" si="352"/>
        <v/>
      </c>
      <c r="BT241" s="66">
        <f>+IF($W241="","",ROUND(IF($B241&gt;Parámetros!$D$107,'Tablas Servicio'!BR241+('Tablas Servicio'!BT240-'Tablas Servicio'!BR240),BR241/(1-IF(B241&lt;=10,Parámetros!$D$100,0))),2))</f>
        <v>0</v>
      </c>
      <c r="BU241" s="66">
        <f t="shared" si="353"/>
        <v>0</v>
      </c>
      <c r="BV241" s="66">
        <f t="shared" si="353"/>
        <v>0</v>
      </c>
      <c r="BW241" s="66">
        <f>+IF($W241="","",ROUND((BT241*Parámetros!$G$85),2))</f>
        <v>0</v>
      </c>
      <c r="BX241" s="66">
        <f>+IF($W241="","",ROUND((BT241*(Parámetros!$G$86)),2))</f>
        <v>0</v>
      </c>
      <c r="BY241" s="66">
        <f t="shared" si="354"/>
        <v>0</v>
      </c>
      <c r="BZ241" t="str">
        <f t="shared" si="307"/>
        <v>00062</v>
      </c>
      <c r="CA241" t="str">
        <f t="shared" si="308"/>
        <v>Gastos médicos por accidente</v>
      </c>
      <c r="CB241" s="118">
        <f t="shared" si="309"/>
        <v>0</v>
      </c>
      <c r="CC241" s="118" t="str">
        <f t="shared" si="310"/>
        <v>A</v>
      </c>
      <c r="CD241" s="119" t="str">
        <f t="shared" si="355"/>
        <v/>
      </c>
      <c r="CE241" s="66">
        <f>+IF($W241="","",ROUND((VLOOKUP(ROUNDDOWN($D241-1/frec,0),cob_adi,BO$40,FALSE)*(1+i/frec)^-0.5*(1+Parámetros!$D$103)*(1+rec_fracc)/frec*'TABLAS ADI'!$BC$17),2))</f>
        <v>0</v>
      </c>
      <c r="CF241" s="119" t="str">
        <f t="shared" si="356"/>
        <v/>
      </c>
      <c r="CG241" s="66">
        <f>+IF($W241="","",ROUND(IF($B241&gt;Parámetros!$D$107,'Tablas Servicio'!CE241+('Tablas Servicio'!CG240-'Tablas Servicio'!CE240),CE241/(1-IF(B241&lt;=10,Parámetros!$D$100,0))),2))</f>
        <v>0</v>
      </c>
      <c r="CH241" s="66">
        <f t="shared" si="357"/>
        <v>0</v>
      </c>
      <c r="CI241" s="66">
        <f t="shared" si="357"/>
        <v>0</v>
      </c>
      <c r="CJ241" s="66">
        <f>+IF($W241="","",ROUND((CG241*Parámetros!$G$85),2))</f>
        <v>0</v>
      </c>
      <c r="CK241" s="66">
        <f>+IF($W241="","",ROUND((CG241*(Parámetros!$G$86)),2))</f>
        <v>0</v>
      </c>
      <c r="CL241" s="66">
        <f t="shared" si="358"/>
        <v>0</v>
      </c>
      <c r="CM241" t="str">
        <f t="shared" si="311"/>
        <v>00063</v>
      </c>
      <c r="CN241" s="118" t="str">
        <f t="shared" si="312"/>
        <v>Renta Diaria por Hospitalización</v>
      </c>
      <c r="CO241" s="118">
        <f t="shared" si="313"/>
        <v>0</v>
      </c>
      <c r="CP241" s="118" t="str">
        <f t="shared" si="314"/>
        <v>A</v>
      </c>
      <c r="CQ241" s="119" t="str">
        <f t="shared" si="359"/>
        <v/>
      </c>
      <c r="CR241" s="66">
        <f>+IF($W241="","",ROUND((VLOOKUP(Parámetros!$F$51,'COBERTURAS ADICIONALES'!$S$4:$T$32,2,FALSE)*(1+i/frec)^-0.5*(1+Parámetros!$D$103)*(1+rec_fracc)/frec*$CO$42),2))</f>
        <v>0</v>
      </c>
      <c r="CS241" s="119" t="str">
        <f t="shared" si="360"/>
        <v/>
      </c>
      <c r="CT241" s="66">
        <f>+IF($W241="","",ROUND(IF($B241&gt;Parámetros!$D$107,'Tablas Servicio'!CR241+('Tablas Servicio'!CT240-'Tablas Servicio'!CR240),CR241/(1-IF(B241&lt;=10,Parámetros!$D$100,0))),2))</f>
        <v>0</v>
      </c>
      <c r="CU241" s="66">
        <f t="shared" si="361"/>
        <v>0</v>
      </c>
      <c r="CV241" s="66">
        <f t="shared" si="361"/>
        <v>0</v>
      </c>
      <c r="CW241" s="66">
        <f>+IF($W241="","",ROUND((CT241*Parámetros!$G$85),2))</f>
        <v>0</v>
      </c>
      <c r="CX241" s="66">
        <f>+IF($W241="","",ROUND((CT241*(Parámetros!$G$86)),2))</f>
        <v>0</v>
      </c>
      <c r="CY241" s="66">
        <f t="shared" si="362"/>
        <v>0</v>
      </c>
      <c r="CZ241" t="str">
        <f t="shared" si="315"/>
        <v>00064</v>
      </c>
      <c r="DA241" s="118" t="str">
        <f t="shared" si="316"/>
        <v>Enfermedades Graves</v>
      </c>
      <c r="DB241" s="118">
        <f t="shared" si="317"/>
        <v>0</v>
      </c>
      <c r="DC241" s="118" t="str">
        <f t="shared" si="318"/>
        <v>A</v>
      </c>
      <c r="DD241" s="121" t="str">
        <f>+IF(OR($W241="",DB241=0),"",ROUND((VLOOKUP(ROUNDDOWN($D241-1/frec,0),cob_adi,CO$40,FALSE)*(1+i/frec)^-0.5*(1+Parámetros!$D$103)*(1+rec_fracc)/frec),6))</f>
        <v/>
      </c>
      <c r="DE241" s="66">
        <f t="shared" si="363"/>
        <v>0</v>
      </c>
      <c r="DF241" s="119" t="str">
        <f t="shared" si="364"/>
        <v/>
      </c>
      <c r="DG241" s="66">
        <f>+IF($W241="","",ROUND(IF($B241&gt;Parámetros!$D$107,'Tablas Servicio'!DE241+('Tablas Servicio'!DG240-'Tablas Servicio'!DE240),DE241/(1-IF(B241&lt;=10,Parámetros!$D$100,0))),2))</f>
        <v>0</v>
      </c>
      <c r="DH241" s="66">
        <f t="shared" si="365"/>
        <v>0</v>
      </c>
      <c r="DI241" s="66">
        <f t="shared" si="365"/>
        <v>0</v>
      </c>
      <c r="DJ241" s="66">
        <f>+IF($W241="","",ROUND((DG241*Parámetros!$G$85),2))</f>
        <v>0</v>
      </c>
      <c r="DK241" s="66">
        <f>+IF($W241="","",ROUND((DG241*(Parámetros!$G$86)),2))</f>
        <v>0</v>
      </c>
      <c r="DL241" s="66">
        <f t="shared" si="366"/>
        <v>0</v>
      </c>
      <c r="DM241" t="str">
        <f t="shared" si="319"/>
        <v>00065</v>
      </c>
      <c r="DN241" s="118" t="str">
        <f t="shared" si="320"/>
        <v>Exención pago de primas</v>
      </c>
      <c r="DO241" s="118">
        <f t="shared" si="321"/>
        <v>0</v>
      </c>
      <c r="DP241" s="118" t="str">
        <f t="shared" si="322"/>
        <v>A</v>
      </c>
      <c r="DQ241" s="122" t="str">
        <f>+IF(OR($W241="",DO241=0),"",ROUND((VLOOKUP(ROUNDDOWN($D241-1/frec,0),cob_adi,DB$40,FALSE)*(1+i/frec)^-0.5*(1+Parámetros!$D$103)*(1+rec_fracc)/frec),6))</f>
        <v/>
      </c>
      <c r="DR241" s="66">
        <f t="shared" si="367"/>
        <v>0</v>
      </c>
      <c r="DS241" s="68" t="str">
        <f t="shared" si="368"/>
        <v/>
      </c>
      <c r="DT241" s="66">
        <f>+IF($W241="","",ROUND(IF($B241&gt;Parámetros!$D$107,'Tablas Servicio'!DR241+('Tablas Servicio'!DT240-'Tablas Servicio'!DR240),DR241/(1-IF(B241&lt;=10,Parámetros!$D$100,0))),2))</f>
        <v>0</v>
      </c>
      <c r="DU241" s="66">
        <f t="shared" si="369"/>
        <v>0</v>
      </c>
      <c r="DV241" s="66">
        <f t="shared" si="369"/>
        <v>0</v>
      </c>
      <c r="DW241" s="66">
        <f>+IF($W241="","",ROUND((DT241*Parámetros!$G$85),2))</f>
        <v>0</v>
      </c>
      <c r="DX241" s="66">
        <f>+IF($W241="","",ROUND((DT241*(Parámetros!$G$86)),2))</f>
        <v>0</v>
      </c>
      <c r="DY241" s="66">
        <f t="shared" si="370"/>
        <v>0</v>
      </c>
      <c r="DZ241" t="str">
        <f t="shared" si="371"/>
        <v>00066</v>
      </c>
      <c r="EA241" s="118" t="str">
        <f t="shared" si="371"/>
        <v>Enfermedad terminal</v>
      </c>
      <c r="EB241" s="118">
        <f>+IF($W241="","",ROUND(IF(Parámetros!$D$25='TABLAS MORT'!$V$33,EB240,Z241/2),0))</f>
        <v>50000</v>
      </c>
      <c r="EC241" s="118" t="str">
        <f t="shared" si="371"/>
        <v>A</v>
      </c>
      <c r="ED241" s="122">
        <f>+IF(OR($W241="",EB241=0),"",ROUND((VLOOKUP(ROUNDDOWN($D241-1/frec,0),cob_adi,DO$40,FALSE)*(1+i/frec)^-0.5*(1+Parámetros!$D$103)*(1+rec_fracc)/frec),6))</f>
        <v>2.6999999999999999E-5</v>
      </c>
      <c r="EE241" s="66">
        <f t="shared" si="372"/>
        <v>1.35</v>
      </c>
      <c r="EF241" s="68">
        <f t="shared" si="373"/>
        <v>2.6999999999999999E-5</v>
      </c>
      <c r="EG241" s="66">
        <f>+IF($W241="","",ROUND(IF($B241&gt;Parámetros!$D$107,'Tablas Servicio'!EE241+('Tablas Servicio'!EG240-'Tablas Servicio'!EE240),EE241/(1-IF(B241&lt;=10,Parámetros!$D$100,0))),2))</f>
        <v>1.35</v>
      </c>
      <c r="EH241" s="66">
        <f t="shared" si="374"/>
        <v>0</v>
      </c>
      <c r="EI241" s="66">
        <f t="shared" si="374"/>
        <v>0</v>
      </c>
      <c r="EJ241" s="66">
        <f>+IF($W241="","",ROUND((EG241*Parámetros!$G$85),2))</f>
        <v>0.05</v>
      </c>
      <c r="EK241" s="66">
        <f>+IF($W241="","",ROUND((EG241*(Parámetros!$G$86)),2))</f>
        <v>0.01</v>
      </c>
      <c r="EL241" s="66">
        <f t="shared" si="375"/>
        <v>1.41</v>
      </c>
    </row>
    <row r="242" spans="1:142" x14ac:dyDescent="0.25">
      <c r="A242">
        <f>+IF($C242="","",ROUND(VLOOKUP('Tablas Servicio'!B242,Parámetros!$H$100:$J$159,IF(Parámetros!$E$16="F",2,3),FALSE),2))</f>
        <v>150</v>
      </c>
      <c r="B242">
        <f t="shared" si="326"/>
        <v>17</v>
      </c>
      <c r="C242" s="57">
        <f>+IF(D242="","",'Tablas Servicio'!C241+1)</f>
        <v>201</v>
      </c>
      <c r="D242" s="56">
        <f>+IF(D241&lt;edadmaxtabla,D241+1/Parámetros!$E$25,"")</f>
        <v>56.770000000000479</v>
      </c>
      <c r="E242" s="57">
        <f t="shared" si="336"/>
        <v>56</v>
      </c>
      <c r="F242" s="59">
        <f t="shared" si="337"/>
        <v>100000</v>
      </c>
      <c r="G242" s="66">
        <f t="shared" si="327"/>
        <v>48.75</v>
      </c>
      <c r="H242" s="66">
        <f t="shared" si="328"/>
        <v>50.709999999999994</v>
      </c>
      <c r="I242" s="66">
        <f t="shared" si="288"/>
        <v>43.290000000000006</v>
      </c>
      <c r="J242" s="66">
        <f t="shared" si="329"/>
        <v>1.71</v>
      </c>
      <c r="K242" s="66">
        <f t="shared" si="330"/>
        <v>0.25</v>
      </c>
      <c r="L242" s="66">
        <f t="shared" si="331"/>
        <v>0</v>
      </c>
      <c r="M242" s="66">
        <f t="shared" si="332"/>
        <v>0</v>
      </c>
      <c r="N242" s="66">
        <f>+IF(C242="","",ROUND(Parámetros!$D$23,2))</f>
        <v>94</v>
      </c>
      <c r="O242" s="66">
        <f t="shared" si="333"/>
        <v>36.25</v>
      </c>
      <c r="P242" s="66">
        <f>+IF($C242="","",ROUND(IF(B242&gt;Parámetros!$D$117,0,N242*Parámetros!$D$116-G242*Parámetros!$D$100),2))</f>
        <v>0</v>
      </c>
      <c r="Q242" s="75">
        <f t="shared" si="289"/>
        <v>3.5076923076923075E-2</v>
      </c>
      <c r="R242" s="75">
        <f t="shared" si="290"/>
        <v>5.1282051282051282E-3</v>
      </c>
      <c r="S242" s="117">
        <f>+IF($C242="","",ROUND((S241+I242)*(1+Parámetros!$D$91),2))</f>
        <v>14504.36</v>
      </c>
      <c r="T242" s="117">
        <f>+IF($C242="","",ROUND(S242*VLOOKUP(B242,Parámetros!$C$30:$D$39,2,TRUE),2))</f>
        <v>14504.36</v>
      </c>
      <c r="U242" s="117">
        <f>+IF($C242="","",ROUND((U241+I242)*(1+Parámetros!$D$92),2))</f>
        <v>15194.83</v>
      </c>
      <c r="V242" s="117">
        <f>+IF($C242="","",ROUND(U242*VLOOKUP(B242,Parámetros!$C$30:$D$39,2,TRUE),2))</f>
        <v>15194.83</v>
      </c>
      <c r="W242" s="57">
        <f t="shared" si="291"/>
        <v>201</v>
      </c>
      <c r="X242" t="str">
        <f t="shared" si="292"/>
        <v>00058</v>
      </c>
      <c r="Y242" t="str">
        <f t="shared" si="293"/>
        <v>MUERTE POR CUALQUIER CAUSA</v>
      </c>
      <c r="Z242" s="118">
        <f>+IF($W242="","",ROUND(IF(Parámetros!$D$25='TABLAS MORT'!$V$33,Z241,Parámetros!$D$21-'Tablas Servicio'!T241),0))</f>
        <v>100000</v>
      </c>
      <c r="AA242" s="118" t="str">
        <f t="shared" si="294"/>
        <v>P</v>
      </c>
      <c r="AB242" s="119">
        <f>+IF(W242="","",ROUND((VLOOKUP(ROUNDDOWN($D242-1/frec,0),qx_tabla,2,FALSE)*(1+i/frec)^-0.5*(1+Parámetros!$D$103)*(1+rec_fracc)/frec),6))</f>
        <v>3.4900000000000003E-4</v>
      </c>
      <c r="AC242" s="66">
        <f t="shared" si="338"/>
        <v>34.9</v>
      </c>
      <c r="AD242" s="119">
        <f t="shared" si="334"/>
        <v>4.7399999999999997E-4</v>
      </c>
      <c r="AE242" s="66">
        <f>+IF($W242="","",ROUND(IF($B242&gt;Parámetros!$D$107,'Tablas Servicio'!AC242+('Tablas Servicio'!AG241-'Tablas Servicio'!AC241),AC242/(1-IF(B242&lt;=10,Parámetros!$D$104,Parámetros!$D$105))),2))</f>
        <v>58.17</v>
      </c>
      <c r="AF242" s="66">
        <f>+IF($W242="","",ROUND(IF($B242&gt;Parámetros!$D$107,'Tablas Servicio'!AC242+('Tablas Servicio'!AG241-'Tablas Servicio'!AC241),(AC242+$A241/frec)/(1-IF(B242&lt;=Parámetros!$D$117,Parámetros!$D$100,0))),2))</f>
        <v>47.4</v>
      </c>
      <c r="AG242" s="66">
        <f t="shared" si="339"/>
        <v>47.4</v>
      </c>
      <c r="AH242" s="66">
        <f t="shared" si="340"/>
        <v>0</v>
      </c>
      <c r="AI242" s="66">
        <f t="shared" si="341"/>
        <v>0</v>
      </c>
      <c r="AJ242" s="66">
        <f>+IF($W242="","",ROUND((AG242*Parámetros!$G$85),2))</f>
        <v>1.66</v>
      </c>
      <c r="AK242" s="66">
        <f>+IF($W242="","",ROUND((AG242*(Parámetros!$G$86)),2))</f>
        <v>0.24</v>
      </c>
      <c r="AL242" s="66">
        <f t="shared" si="335"/>
        <v>49.3</v>
      </c>
      <c r="AM242" t="str">
        <f t="shared" si="295"/>
        <v>00059</v>
      </c>
      <c r="AN242" t="str">
        <f t="shared" si="296"/>
        <v>Incapacidad Total y Permanente</v>
      </c>
      <c r="AO242" s="118">
        <f t="shared" si="297"/>
        <v>0</v>
      </c>
      <c r="AP242" s="118" t="str">
        <f t="shared" si="298"/>
        <v>A</v>
      </c>
      <c r="AQ242" s="119" t="str">
        <f>+IF(OR($W242="",AO242=0),"",ROUND((VLOOKUP(ROUNDDOWN($D242-1/frec,0),cob_adi,Z$40,FALSE)*(1+i/frec)^-0.5*(1+Parámetros!$D$103)*(1+rec_fracc)/frec),6))</f>
        <v/>
      </c>
      <c r="AR242" s="66">
        <f t="shared" si="342"/>
        <v>0</v>
      </c>
      <c r="AS242" s="119" t="str">
        <f t="shared" si="343"/>
        <v/>
      </c>
      <c r="AT242" s="66">
        <f>+IF($W242="","",ROUND(IF($B242&gt;Parámetros!$D$107,'Tablas Servicio'!AR242+('Tablas Servicio'!AT241-'Tablas Servicio'!AR241),AR242/(1-IF(B242&lt;=10,Parámetros!$D$100,0))),2))</f>
        <v>0</v>
      </c>
      <c r="AU242" s="66">
        <f t="shared" si="344"/>
        <v>0</v>
      </c>
      <c r="AV242" s="66">
        <f t="shared" si="344"/>
        <v>0</v>
      </c>
      <c r="AW242" s="66">
        <f>+IF($W242="","",ROUND((AT242*Parámetros!$G$85),2))</f>
        <v>0</v>
      </c>
      <c r="AX242" s="66">
        <f>+IF($W242="","",ROUND((AT242*(Parámetros!$G$86)),2))</f>
        <v>0</v>
      </c>
      <c r="AY242" s="66">
        <f t="shared" si="345"/>
        <v>0</v>
      </c>
      <c r="AZ242" t="str">
        <f t="shared" si="299"/>
        <v>00060</v>
      </c>
      <c r="BA242" t="str">
        <f t="shared" si="300"/>
        <v>Muerte Accidental</v>
      </c>
      <c r="BB242" s="118">
        <f t="shared" si="301"/>
        <v>0</v>
      </c>
      <c r="BC242" s="118" t="str">
        <f t="shared" si="302"/>
        <v>A</v>
      </c>
      <c r="BD242" s="119" t="str">
        <f>+IF(OR($W242="",BB242=0),"",ROUND((VLOOKUP(ROUNDDOWN($D242-1/frec,0),cob_adi,AO$40,FALSE)*(1+i/frec)^-0.5*(1+Parámetros!$D$103)*(1+rec_fracc)/frec),6))</f>
        <v/>
      </c>
      <c r="BE242" s="66">
        <f t="shared" si="346"/>
        <v>0</v>
      </c>
      <c r="BF242" s="119" t="str">
        <f t="shared" si="347"/>
        <v/>
      </c>
      <c r="BG242" s="66">
        <f>+IF($W242="","",ROUND(IF($B242&gt;Parámetros!$D$107,'Tablas Servicio'!BE242+('Tablas Servicio'!BG241-'Tablas Servicio'!BE241),BE242/(1-IF(B242&lt;=10,Parámetros!$D$100,0))),2))</f>
        <v>0</v>
      </c>
      <c r="BH242" s="66">
        <f t="shared" si="348"/>
        <v>0</v>
      </c>
      <c r="BI242" s="66">
        <f t="shared" si="349"/>
        <v>0</v>
      </c>
      <c r="BJ242" s="66">
        <f>+IF($W242="","",ROUND((BG242*Parámetros!$G$85),2))</f>
        <v>0</v>
      </c>
      <c r="BK242" s="66">
        <f>+IF($W242="","",ROUND((BG242*(Parámetros!$G$86)),2))</f>
        <v>0</v>
      </c>
      <c r="BL242" s="66">
        <f t="shared" si="350"/>
        <v>0</v>
      </c>
      <c r="BM242" t="str">
        <f t="shared" si="303"/>
        <v>00061</v>
      </c>
      <c r="BN242" t="str">
        <f t="shared" si="304"/>
        <v>Gastos de Entierro</v>
      </c>
      <c r="BO242" s="118">
        <f t="shared" si="305"/>
        <v>0</v>
      </c>
      <c r="BP242" s="118" t="str">
        <f t="shared" si="306"/>
        <v>A</v>
      </c>
      <c r="BQ242" s="119" t="str">
        <f>+IF(OR($W242="",BO242=0),"",ROUND((VLOOKUP(ROUNDDOWN($D242-1/frec,0),cob_adi,BB$40,FALSE)*(1+i/frec)^-0.5*(1+Parámetros!$D$103)*(1+rec_fracc)/frec),6))</f>
        <v/>
      </c>
      <c r="BR242" s="66">
        <f t="shared" si="351"/>
        <v>0</v>
      </c>
      <c r="BS242" s="119" t="str">
        <f t="shared" si="352"/>
        <v/>
      </c>
      <c r="BT242" s="66">
        <f>+IF($W242="","",ROUND(IF($B242&gt;Parámetros!$D$107,'Tablas Servicio'!BR242+('Tablas Servicio'!BT241-'Tablas Servicio'!BR241),BR242/(1-IF(B242&lt;=10,Parámetros!$D$100,0))),2))</f>
        <v>0</v>
      </c>
      <c r="BU242" s="66">
        <f t="shared" si="353"/>
        <v>0</v>
      </c>
      <c r="BV242" s="66">
        <f t="shared" si="353"/>
        <v>0</v>
      </c>
      <c r="BW242" s="66">
        <f>+IF($W242="","",ROUND((BT242*Parámetros!$G$85),2))</f>
        <v>0</v>
      </c>
      <c r="BX242" s="66">
        <f>+IF($W242="","",ROUND((BT242*(Parámetros!$G$86)),2))</f>
        <v>0</v>
      </c>
      <c r="BY242" s="66">
        <f t="shared" si="354"/>
        <v>0</v>
      </c>
      <c r="BZ242" t="str">
        <f t="shared" si="307"/>
        <v>00062</v>
      </c>
      <c r="CA242" t="str">
        <f t="shared" si="308"/>
        <v>Gastos médicos por accidente</v>
      </c>
      <c r="CB242" s="118">
        <f t="shared" si="309"/>
        <v>0</v>
      </c>
      <c r="CC242" s="118" t="str">
        <f t="shared" si="310"/>
        <v>A</v>
      </c>
      <c r="CD242" s="119" t="str">
        <f t="shared" si="355"/>
        <v/>
      </c>
      <c r="CE242" s="66">
        <f>+IF($W242="","",ROUND((VLOOKUP(ROUNDDOWN($D242-1/frec,0),cob_adi,BO$40,FALSE)*(1+i/frec)^-0.5*(1+Parámetros!$D$103)*(1+rec_fracc)/frec*'TABLAS ADI'!$BC$17),2))</f>
        <v>0</v>
      </c>
      <c r="CF242" s="119" t="str">
        <f t="shared" si="356"/>
        <v/>
      </c>
      <c r="CG242" s="66">
        <f>+IF($W242="","",ROUND(IF($B242&gt;Parámetros!$D$107,'Tablas Servicio'!CE242+('Tablas Servicio'!CG241-'Tablas Servicio'!CE241),CE242/(1-IF(B242&lt;=10,Parámetros!$D$100,0))),2))</f>
        <v>0</v>
      </c>
      <c r="CH242" s="66">
        <f t="shared" si="357"/>
        <v>0</v>
      </c>
      <c r="CI242" s="66">
        <f t="shared" si="357"/>
        <v>0</v>
      </c>
      <c r="CJ242" s="66">
        <f>+IF($W242="","",ROUND((CG242*Parámetros!$G$85),2))</f>
        <v>0</v>
      </c>
      <c r="CK242" s="66">
        <f>+IF($W242="","",ROUND((CG242*(Parámetros!$G$86)),2))</f>
        <v>0</v>
      </c>
      <c r="CL242" s="66">
        <f t="shared" si="358"/>
        <v>0</v>
      </c>
      <c r="CM242" t="str">
        <f t="shared" si="311"/>
        <v>00063</v>
      </c>
      <c r="CN242" s="118" t="str">
        <f t="shared" si="312"/>
        <v>Renta Diaria por Hospitalización</v>
      </c>
      <c r="CO242" s="118">
        <f t="shared" si="313"/>
        <v>0</v>
      </c>
      <c r="CP242" s="118" t="str">
        <f t="shared" si="314"/>
        <v>A</v>
      </c>
      <c r="CQ242" s="119" t="str">
        <f t="shared" si="359"/>
        <v/>
      </c>
      <c r="CR242" s="66">
        <f>+IF($W242="","",ROUND((VLOOKUP(Parámetros!$F$51,'COBERTURAS ADICIONALES'!$S$4:$T$32,2,FALSE)*(1+i/frec)^-0.5*(1+Parámetros!$D$103)*(1+rec_fracc)/frec*$CO$42),2))</f>
        <v>0</v>
      </c>
      <c r="CS242" s="119" t="str">
        <f t="shared" si="360"/>
        <v/>
      </c>
      <c r="CT242" s="66">
        <f>+IF($W242="","",ROUND(IF($B242&gt;Parámetros!$D$107,'Tablas Servicio'!CR242+('Tablas Servicio'!CT241-'Tablas Servicio'!CR241),CR242/(1-IF(B242&lt;=10,Parámetros!$D$100,0))),2))</f>
        <v>0</v>
      </c>
      <c r="CU242" s="66">
        <f t="shared" si="361"/>
        <v>0</v>
      </c>
      <c r="CV242" s="66">
        <f t="shared" si="361"/>
        <v>0</v>
      </c>
      <c r="CW242" s="66">
        <f>+IF($W242="","",ROUND((CT242*Parámetros!$G$85),2))</f>
        <v>0</v>
      </c>
      <c r="CX242" s="66">
        <f>+IF($W242="","",ROUND((CT242*(Parámetros!$G$86)),2))</f>
        <v>0</v>
      </c>
      <c r="CY242" s="66">
        <f t="shared" si="362"/>
        <v>0</v>
      </c>
      <c r="CZ242" t="str">
        <f t="shared" si="315"/>
        <v>00064</v>
      </c>
      <c r="DA242" s="118" t="str">
        <f t="shared" si="316"/>
        <v>Enfermedades Graves</v>
      </c>
      <c r="DB242" s="118">
        <f t="shared" si="317"/>
        <v>0</v>
      </c>
      <c r="DC242" s="118" t="str">
        <f t="shared" si="318"/>
        <v>A</v>
      </c>
      <c r="DD242" s="121" t="str">
        <f>+IF(OR($W242="",DB242=0),"",ROUND((VLOOKUP(ROUNDDOWN($D242-1/frec,0),cob_adi,CO$40,FALSE)*(1+i/frec)^-0.5*(1+Parámetros!$D$103)*(1+rec_fracc)/frec),6))</f>
        <v/>
      </c>
      <c r="DE242" s="66">
        <f t="shared" si="363"/>
        <v>0</v>
      </c>
      <c r="DF242" s="119" t="str">
        <f t="shared" si="364"/>
        <v/>
      </c>
      <c r="DG242" s="66">
        <f>+IF($W242="","",ROUND(IF($B242&gt;Parámetros!$D$107,'Tablas Servicio'!DE242+('Tablas Servicio'!DG241-'Tablas Servicio'!DE241),DE242/(1-IF(B242&lt;=10,Parámetros!$D$100,0))),2))</f>
        <v>0</v>
      </c>
      <c r="DH242" s="66">
        <f t="shared" si="365"/>
        <v>0</v>
      </c>
      <c r="DI242" s="66">
        <f t="shared" si="365"/>
        <v>0</v>
      </c>
      <c r="DJ242" s="66">
        <f>+IF($W242="","",ROUND((DG242*Parámetros!$G$85),2))</f>
        <v>0</v>
      </c>
      <c r="DK242" s="66">
        <f>+IF($W242="","",ROUND((DG242*(Parámetros!$G$86)),2))</f>
        <v>0</v>
      </c>
      <c r="DL242" s="66">
        <f t="shared" si="366"/>
        <v>0</v>
      </c>
      <c r="DM242" t="str">
        <f t="shared" si="319"/>
        <v>00065</v>
      </c>
      <c r="DN242" s="118" t="str">
        <f t="shared" si="320"/>
        <v>Exención pago de primas</v>
      </c>
      <c r="DO242" s="118">
        <f t="shared" si="321"/>
        <v>0</v>
      </c>
      <c r="DP242" s="118" t="str">
        <f t="shared" si="322"/>
        <v>A</v>
      </c>
      <c r="DQ242" s="122" t="str">
        <f>+IF(OR($W242="",DO242=0),"",ROUND((VLOOKUP(ROUNDDOWN($D242-1/frec,0),cob_adi,DB$40,FALSE)*(1+i/frec)^-0.5*(1+Parámetros!$D$103)*(1+rec_fracc)/frec),6))</f>
        <v/>
      </c>
      <c r="DR242" s="66">
        <f t="shared" si="367"/>
        <v>0</v>
      </c>
      <c r="DS242" s="68" t="str">
        <f t="shared" si="368"/>
        <v/>
      </c>
      <c r="DT242" s="66">
        <f>+IF($W242="","",ROUND(IF($B242&gt;Parámetros!$D$107,'Tablas Servicio'!DR242+('Tablas Servicio'!DT241-'Tablas Servicio'!DR241),DR242/(1-IF(B242&lt;=10,Parámetros!$D$100,0))),2))</f>
        <v>0</v>
      </c>
      <c r="DU242" s="66">
        <f t="shared" si="369"/>
        <v>0</v>
      </c>
      <c r="DV242" s="66">
        <f t="shared" si="369"/>
        <v>0</v>
      </c>
      <c r="DW242" s="66">
        <f>+IF($W242="","",ROUND((DT242*Parámetros!$G$85),2))</f>
        <v>0</v>
      </c>
      <c r="DX242" s="66">
        <f>+IF($W242="","",ROUND((DT242*(Parámetros!$G$86)),2))</f>
        <v>0</v>
      </c>
      <c r="DY242" s="66">
        <f t="shared" si="370"/>
        <v>0</v>
      </c>
      <c r="DZ242" t="str">
        <f t="shared" si="371"/>
        <v>00066</v>
      </c>
      <c r="EA242" s="118" t="str">
        <f t="shared" si="371"/>
        <v>Enfermedad terminal</v>
      </c>
      <c r="EB242" s="118">
        <f>+IF($W242="","",ROUND(IF(Parámetros!$D$25='TABLAS MORT'!$V$33,EB241,Z242/2),0))</f>
        <v>50000</v>
      </c>
      <c r="EC242" s="118" t="str">
        <f t="shared" si="371"/>
        <v>A</v>
      </c>
      <c r="ED242" s="122">
        <f>+IF(OR($W242="",EB242=0),"",ROUND((VLOOKUP(ROUNDDOWN($D242-1/frec,0),cob_adi,DO$40,FALSE)*(1+i/frec)^-0.5*(1+Parámetros!$D$103)*(1+rec_fracc)/frec),6))</f>
        <v>2.6999999999999999E-5</v>
      </c>
      <c r="EE242" s="66">
        <f t="shared" si="372"/>
        <v>1.35</v>
      </c>
      <c r="EF242" s="68">
        <f t="shared" si="373"/>
        <v>2.6999999999999999E-5</v>
      </c>
      <c r="EG242" s="66">
        <f>+IF($W242="","",ROUND(IF($B242&gt;Parámetros!$D$107,'Tablas Servicio'!EE242+('Tablas Servicio'!EG241-'Tablas Servicio'!EE241),EE242/(1-IF(B242&lt;=10,Parámetros!$D$100,0))),2))</f>
        <v>1.35</v>
      </c>
      <c r="EH242" s="66">
        <f t="shared" si="374"/>
        <v>0</v>
      </c>
      <c r="EI242" s="66">
        <f t="shared" si="374"/>
        <v>0</v>
      </c>
      <c r="EJ242" s="66">
        <f>+IF($W242="","",ROUND((EG242*Parámetros!$G$85),2))</f>
        <v>0.05</v>
      </c>
      <c r="EK242" s="66">
        <f>+IF($W242="","",ROUND((EG242*(Parámetros!$G$86)),2))</f>
        <v>0.01</v>
      </c>
      <c r="EL242" s="66">
        <f t="shared" si="375"/>
        <v>1.41</v>
      </c>
    </row>
    <row r="243" spans="1:142" x14ac:dyDescent="0.25">
      <c r="A243">
        <f>+IF($C243="","",ROUND(VLOOKUP('Tablas Servicio'!B243,Parámetros!$H$100:$J$159,IF(Parámetros!$E$16="F",2,3),FALSE),2))</f>
        <v>150</v>
      </c>
      <c r="B243">
        <f t="shared" si="326"/>
        <v>17</v>
      </c>
      <c r="C243" s="57">
        <f>+IF(D243="","",'Tablas Servicio'!C242+1)</f>
        <v>202</v>
      </c>
      <c r="D243" s="56">
        <f>+IF(D242&lt;edadmaxtabla,D242+1/Parámetros!$E$25,"")</f>
        <v>56.853333333333815</v>
      </c>
      <c r="E243" s="57">
        <f t="shared" si="336"/>
        <v>56</v>
      </c>
      <c r="F243" s="59">
        <f t="shared" si="337"/>
        <v>100000</v>
      </c>
      <c r="G243" s="66">
        <f t="shared" si="327"/>
        <v>48.75</v>
      </c>
      <c r="H243" s="66">
        <f t="shared" si="328"/>
        <v>50.709999999999994</v>
      </c>
      <c r="I243" s="66">
        <f t="shared" si="288"/>
        <v>43.290000000000006</v>
      </c>
      <c r="J243" s="66">
        <f t="shared" si="329"/>
        <v>1.71</v>
      </c>
      <c r="K243" s="66">
        <f t="shared" si="330"/>
        <v>0.25</v>
      </c>
      <c r="L243" s="66">
        <f t="shared" si="331"/>
        <v>0</v>
      </c>
      <c r="M243" s="66">
        <f t="shared" si="332"/>
        <v>0</v>
      </c>
      <c r="N243" s="66">
        <f>+IF(C243="","",ROUND(Parámetros!$D$23,2))</f>
        <v>94</v>
      </c>
      <c r="O243" s="66">
        <f t="shared" si="333"/>
        <v>36.25</v>
      </c>
      <c r="P243" s="66">
        <f>+IF($C243="","",ROUND(IF(B243&gt;Parámetros!$D$117,0,N243*Parámetros!$D$116-G243*Parámetros!$D$100),2))</f>
        <v>0</v>
      </c>
      <c r="Q243" s="75">
        <f t="shared" si="289"/>
        <v>3.5076923076923075E-2</v>
      </c>
      <c r="R243" s="75">
        <f t="shared" si="290"/>
        <v>5.1282051282051282E-3</v>
      </c>
      <c r="S243" s="117">
        <f>+IF($C243="","",ROUND((S242+I243)*(1+Parámetros!$D$91),2))</f>
        <v>14588.91</v>
      </c>
      <c r="T243" s="117">
        <f>+IF($C243="","",ROUND(S243*VLOOKUP(B243,Parámetros!$C$30:$D$39,2,TRUE),2))</f>
        <v>14588.91</v>
      </c>
      <c r="U243" s="117">
        <f>+IF($C243="","",ROUND((U242+I243)*(1+Parámetros!$D$92),2))</f>
        <v>15287.52</v>
      </c>
      <c r="V243" s="117">
        <f>+IF($C243="","",ROUND(U243*VLOOKUP(B243,Parámetros!$C$30:$D$39,2,TRUE),2))</f>
        <v>15287.52</v>
      </c>
      <c r="W243" s="57">
        <f t="shared" si="291"/>
        <v>202</v>
      </c>
      <c r="X243" t="str">
        <f t="shared" si="292"/>
        <v>00058</v>
      </c>
      <c r="Y243" t="str">
        <f t="shared" si="293"/>
        <v>MUERTE POR CUALQUIER CAUSA</v>
      </c>
      <c r="Z243" s="118">
        <f>+IF($W243="","",ROUND(IF(Parámetros!$D$25='TABLAS MORT'!$V$33,Z242,Parámetros!$D$21-'Tablas Servicio'!T242),0))</f>
        <v>100000</v>
      </c>
      <c r="AA243" s="118" t="str">
        <f t="shared" si="294"/>
        <v>P</v>
      </c>
      <c r="AB243" s="119">
        <f>+IF(W243="","",ROUND((VLOOKUP(ROUNDDOWN($D243-1/frec,0),qx_tabla,2,FALSE)*(1+i/frec)^-0.5*(1+Parámetros!$D$103)*(1+rec_fracc)/frec),6))</f>
        <v>3.4900000000000003E-4</v>
      </c>
      <c r="AC243" s="66">
        <f t="shared" si="338"/>
        <v>34.9</v>
      </c>
      <c r="AD243" s="119">
        <f t="shared" si="334"/>
        <v>4.7399999999999997E-4</v>
      </c>
      <c r="AE243" s="66">
        <f>+IF($W243="","",ROUND(IF($B243&gt;Parámetros!$D$107,'Tablas Servicio'!AC243+('Tablas Servicio'!AG242-'Tablas Servicio'!AC242),AC243/(1-IF(B243&lt;=10,Parámetros!$D$104,Parámetros!$D$105))),2))</f>
        <v>58.17</v>
      </c>
      <c r="AF243" s="66">
        <f>+IF($W243="","",ROUND(IF($B243&gt;Parámetros!$D$107,'Tablas Servicio'!AC243+('Tablas Servicio'!AG242-'Tablas Servicio'!AC242),(AC243+$A242/frec)/(1-IF(B243&lt;=Parámetros!$D$117,Parámetros!$D$100,0))),2))</f>
        <v>47.4</v>
      </c>
      <c r="AG243" s="66">
        <f t="shared" si="339"/>
        <v>47.4</v>
      </c>
      <c r="AH243" s="66">
        <f t="shared" si="340"/>
        <v>0</v>
      </c>
      <c r="AI243" s="66">
        <f t="shared" si="341"/>
        <v>0</v>
      </c>
      <c r="AJ243" s="66">
        <f>+IF($W243="","",ROUND((AG243*Parámetros!$G$85),2))</f>
        <v>1.66</v>
      </c>
      <c r="AK243" s="66">
        <f>+IF($W243="","",ROUND((AG243*(Parámetros!$G$86)),2))</f>
        <v>0.24</v>
      </c>
      <c r="AL243" s="66">
        <f t="shared" si="335"/>
        <v>49.3</v>
      </c>
      <c r="AM243" t="str">
        <f t="shared" si="295"/>
        <v>00059</v>
      </c>
      <c r="AN243" t="str">
        <f t="shared" si="296"/>
        <v>Incapacidad Total y Permanente</v>
      </c>
      <c r="AO243" s="118">
        <f t="shared" si="297"/>
        <v>0</v>
      </c>
      <c r="AP243" s="118" t="str">
        <f t="shared" si="298"/>
        <v>A</v>
      </c>
      <c r="AQ243" s="119" t="str">
        <f>+IF(OR($W243="",AO243=0),"",ROUND((VLOOKUP(ROUNDDOWN($D243-1/frec,0),cob_adi,Z$40,FALSE)*(1+i/frec)^-0.5*(1+Parámetros!$D$103)*(1+rec_fracc)/frec),6))</f>
        <v/>
      </c>
      <c r="AR243" s="66">
        <f t="shared" si="342"/>
        <v>0</v>
      </c>
      <c r="AS243" s="119" t="str">
        <f t="shared" si="343"/>
        <v/>
      </c>
      <c r="AT243" s="66">
        <f>+IF($W243="","",ROUND(IF($B243&gt;Parámetros!$D$107,'Tablas Servicio'!AR243+('Tablas Servicio'!AT242-'Tablas Servicio'!AR242),AR243/(1-IF(B243&lt;=10,Parámetros!$D$100,0))),2))</f>
        <v>0</v>
      </c>
      <c r="AU243" s="66">
        <f t="shared" si="344"/>
        <v>0</v>
      </c>
      <c r="AV243" s="66">
        <f t="shared" si="344"/>
        <v>0</v>
      </c>
      <c r="AW243" s="66">
        <f>+IF($W243="","",ROUND((AT243*Parámetros!$G$85),2))</f>
        <v>0</v>
      </c>
      <c r="AX243" s="66">
        <f>+IF($W243="","",ROUND((AT243*(Parámetros!$G$86)),2))</f>
        <v>0</v>
      </c>
      <c r="AY243" s="66">
        <f t="shared" si="345"/>
        <v>0</v>
      </c>
      <c r="AZ243" t="str">
        <f t="shared" si="299"/>
        <v>00060</v>
      </c>
      <c r="BA243" t="str">
        <f t="shared" si="300"/>
        <v>Muerte Accidental</v>
      </c>
      <c r="BB243" s="118">
        <f t="shared" si="301"/>
        <v>0</v>
      </c>
      <c r="BC243" s="118" t="str">
        <f t="shared" si="302"/>
        <v>A</v>
      </c>
      <c r="BD243" s="119" t="str">
        <f>+IF(OR($W243="",BB243=0),"",ROUND((VLOOKUP(ROUNDDOWN($D243-1/frec,0),cob_adi,AO$40,FALSE)*(1+i/frec)^-0.5*(1+Parámetros!$D$103)*(1+rec_fracc)/frec),6))</f>
        <v/>
      </c>
      <c r="BE243" s="66">
        <f t="shared" si="346"/>
        <v>0</v>
      </c>
      <c r="BF243" s="119" t="str">
        <f t="shared" si="347"/>
        <v/>
      </c>
      <c r="BG243" s="66">
        <f>+IF($W243="","",ROUND(IF($B243&gt;Parámetros!$D$107,'Tablas Servicio'!BE243+('Tablas Servicio'!BG242-'Tablas Servicio'!BE242),BE243/(1-IF(B243&lt;=10,Parámetros!$D$100,0))),2))</f>
        <v>0</v>
      </c>
      <c r="BH243" s="66">
        <f t="shared" si="348"/>
        <v>0</v>
      </c>
      <c r="BI243" s="66">
        <f t="shared" si="349"/>
        <v>0</v>
      </c>
      <c r="BJ243" s="66">
        <f>+IF($W243="","",ROUND((BG243*Parámetros!$G$85),2))</f>
        <v>0</v>
      </c>
      <c r="BK243" s="66">
        <f>+IF($W243="","",ROUND((BG243*(Parámetros!$G$86)),2))</f>
        <v>0</v>
      </c>
      <c r="BL243" s="66">
        <f t="shared" si="350"/>
        <v>0</v>
      </c>
      <c r="BM243" t="str">
        <f t="shared" si="303"/>
        <v>00061</v>
      </c>
      <c r="BN243" t="str">
        <f t="shared" si="304"/>
        <v>Gastos de Entierro</v>
      </c>
      <c r="BO243" s="118">
        <f t="shared" si="305"/>
        <v>0</v>
      </c>
      <c r="BP243" s="118" t="str">
        <f t="shared" si="306"/>
        <v>A</v>
      </c>
      <c r="BQ243" s="119" t="str">
        <f>+IF(OR($W243="",BO243=0),"",ROUND((VLOOKUP(ROUNDDOWN($D243-1/frec,0),cob_adi,BB$40,FALSE)*(1+i/frec)^-0.5*(1+Parámetros!$D$103)*(1+rec_fracc)/frec),6))</f>
        <v/>
      </c>
      <c r="BR243" s="66">
        <f t="shared" si="351"/>
        <v>0</v>
      </c>
      <c r="BS243" s="119" t="str">
        <f t="shared" si="352"/>
        <v/>
      </c>
      <c r="BT243" s="66">
        <f>+IF($W243="","",ROUND(IF($B243&gt;Parámetros!$D$107,'Tablas Servicio'!BR243+('Tablas Servicio'!BT242-'Tablas Servicio'!BR242),BR243/(1-IF(B243&lt;=10,Parámetros!$D$100,0))),2))</f>
        <v>0</v>
      </c>
      <c r="BU243" s="66">
        <f t="shared" si="353"/>
        <v>0</v>
      </c>
      <c r="BV243" s="66">
        <f t="shared" si="353"/>
        <v>0</v>
      </c>
      <c r="BW243" s="66">
        <f>+IF($W243="","",ROUND((BT243*Parámetros!$G$85),2))</f>
        <v>0</v>
      </c>
      <c r="BX243" s="66">
        <f>+IF($W243="","",ROUND((BT243*(Parámetros!$G$86)),2))</f>
        <v>0</v>
      </c>
      <c r="BY243" s="66">
        <f t="shared" si="354"/>
        <v>0</v>
      </c>
      <c r="BZ243" t="str">
        <f t="shared" si="307"/>
        <v>00062</v>
      </c>
      <c r="CA243" t="str">
        <f t="shared" si="308"/>
        <v>Gastos médicos por accidente</v>
      </c>
      <c r="CB243" s="118">
        <f t="shared" si="309"/>
        <v>0</v>
      </c>
      <c r="CC243" s="118" t="str">
        <f t="shared" si="310"/>
        <v>A</v>
      </c>
      <c r="CD243" s="119" t="str">
        <f t="shared" si="355"/>
        <v/>
      </c>
      <c r="CE243" s="66">
        <f>+IF($W243="","",ROUND((VLOOKUP(ROUNDDOWN($D243-1/frec,0),cob_adi,BO$40,FALSE)*(1+i/frec)^-0.5*(1+Parámetros!$D$103)*(1+rec_fracc)/frec*'TABLAS ADI'!$BC$17),2))</f>
        <v>0</v>
      </c>
      <c r="CF243" s="119" t="str">
        <f t="shared" si="356"/>
        <v/>
      </c>
      <c r="CG243" s="66">
        <f>+IF($W243="","",ROUND(IF($B243&gt;Parámetros!$D$107,'Tablas Servicio'!CE243+('Tablas Servicio'!CG242-'Tablas Servicio'!CE242),CE243/(1-IF(B243&lt;=10,Parámetros!$D$100,0))),2))</f>
        <v>0</v>
      </c>
      <c r="CH243" s="66">
        <f t="shared" si="357"/>
        <v>0</v>
      </c>
      <c r="CI243" s="66">
        <f t="shared" si="357"/>
        <v>0</v>
      </c>
      <c r="CJ243" s="66">
        <f>+IF($W243="","",ROUND((CG243*Parámetros!$G$85),2))</f>
        <v>0</v>
      </c>
      <c r="CK243" s="66">
        <f>+IF($W243="","",ROUND((CG243*(Parámetros!$G$86)),2))</f>
        <v>0</v>
      </c>
      <c r="CL243" s="66">
        <f t="shared" si="358"/>
        <v>0</v>
      </c>
      <c r="CM243" t="str">
        <f t="shared" si="311"/>
        <v>00063</v>
      </c>
      <c r="CN243" s="118" t="str">
        <f t="shared" si="312"/>
        <v>Renta Diaria por Hospitalización</v>
      </c>
      <c r="CO243" s="118">
        <f t="shared" si="313"/>
        <v>0</v>
      </c>
      <c r="CP243" s="118" t="str">
        <f t="shared" si="314"/>
        <v>A</v>
      </c>
      <c r="CQ243" s="119" t="str">
        <f t="shared" si="359"/>
        <v/>
      </c>
      <c r="CR243" s="66">
        <f>+IF($W243="","",ROUND((VLOOKUP(Parámetros!$F$51,'COBERTURAS ADICIONALES'!$S$4:$T$32,2,FALSE)*(1+i/frec)^-0.5*(1+Parámetros!$D$103)*(1+rec_fracc)/frec*$CO$42),2))</f>
        <v>0</v>
      </c>
      <c r="CS243" s="119" t="str">
        <f t="shared" si="360"/>
        <v/>
      </c>
      <c r="CT243" s="66">
        <f>+IF($W243="","",ROUND(IF($B243&gt;Parámetros!$D$107,'Tablas Servicio'!CR243+('Tablas Servicio'!CT242-'Tablas Servicio'!CR242),CR243/(1-IF(B243&lt;=10,Parámetros!$D$100,0))),2))</f>
        <v>0</v>
      </c>
      <c r="CU243" s="66">
        <f t="shared" si="361"/>
        <v>0</v>
      </c>
      <c r="CV243" s="66">
        <f t="shared" si="361"/>
        <v>0</v>
      </c>
      <c r="CW243" s="66">
        <f>+IF($W243="","",ROUND((CT243*Parámetros!$G$85),2))</f>
        <v>0</v>
      </c>
      <c r="CX243" s="66">
        <f>+IF($W243="","",ROUND((CT243*(Parámetros!$G$86)),2))</f>
        <v>0</v>
      </c>
      <c r="CY243" s="66">
        <f t="shared" si="362"/>
        <v>0</v>
      </c>
      <c r="CZ243" t="str">
        <f t="shared" si="315"/>
        <v>00064</v>
      </c>
      <c r="DA243" s="118" t="str">
        <f t="shared" si="316"/>
        <v>Enfermedades Graves</v>
      </c>
      <c r="DB243" s="118">
        <f t="shared" si="317"/>
        <v>0</v>
      </c>
      <c r="DC243" s="118" t="str">
        <f t="shared" si="318"/>
        <v>A</v>
      </c>
      <c r="DD243" s="121" t="str">
        <f>+IF(OR($W243="",DB243=0),"",ROUND((VLOOKUP(ROUNDDOWN($D243-1/frec,0),cob_adi,CO$40,FALSE)*(1+i/frec)^-0.5*(1+Parámetros!$D$103)*(1+rec_fracc)/frec),6))</f>
        <v/>
      </c>
      <c r="DE243" s="66">
        <f t="shared" si="363"/>
        <v>0</v>
      </c>
      <c r="DF243" s="119" t="str">
        <f t="shared" si="364"/>
        <v/>
      </c>
      <c r="DG243" s="66">
        <f>+IF($W243="","",ROUND(IF($B243&gt;Parámetros!$D$107,'Tablas Servicio'!DE243+('Tablas Servicio'!DG242-'Tablas Servicio'!DE242),DE243/(1-IF(B243&lt;=10,Parámetros!$D$100,0))),2))</f>
        <v>0</v>
      </c>
      <c r="DH243" s="66">
        <f t="shared" si="365"/>
        <v>0</v>
      </c>
      <c r="DI243" s="66">
        <f t="shared" si="365"/>
        <v>0</v>
      </c>
      <c r="DJ243" s="66">
        <f>+IF($W243="","",ROUND((DG243*Parámetros!$G$85),2))</f>
        <v>0</v>
      </c>
      <c r="DK243" s="66">
        <f>+IF($W243="","",ROUND((DG243*(Parámetros!$G$86)),2))</f>
        <v>0</v>
      </c>
      <c r="DL243" s="66">
        <f t="shared" si="366"/>
        <v>0</v>
      </c>
      <c r="DM243" t="str">
        <f t="shared" si="319"/>
        <v>00065</v>
      </c>
      <c r="DN243" s="118" t="str">
        <f t="shared" si="320"/>
        <v>Exención pago de primas</v>
      </c>
      <c r="DO243" s="118">
        <f t="shared" si="321"/>
        <v>0</v>
      </c>
      <c r="DP243" s="118" t="str">
        <f t="shared" si="322"/>
        <v>A</v>
      </c>
      <c r="DQ243" s="122" t="str">
        <f>+IF(OR($W243="",DO243=0),"",ROUND((VLOOKUP(ROUNDDOWN($D243-1/frec,0),cob_adi,DB$40,FALSE)*(1+i/frec)^-0.5*(1+Parámetros!$D$103)*(1+rec_fracc)/frec),6))</f>
        <v/>
      </c>
      <c r="DR243" s="66">
        <f t="shared" si="367"/>
        <v>0</v>
      </c>
      <c r="DS243" s="68" t="str">
        <f t="shared" si="368"/>
        <v/>
      </c>
      <c r="DT243" s="66">
        <f>+IF($W243="","",ROUND(IF($B243&gt;Parámetros!$D$107,'Tablas Servicio'!DR243+('Tablas Servicio'!DT242-'Tablas Servicio'!DR242),DR243/(1-IF(B243&lt;=10,Parámetros!$D$100,0))),2))</f>
        <v>0</v>
      </c>
      <c r="DU243" s="66">
        <f t="shared" si="369"/>
        <v>0</v>
      </c>
      <c r="DV243" s="66">
        <f t="shared" si="369"/>
        <v>0</v>
      </c>
      <c r="DW243" s="66">
        <f>+IF($W243="","",ROUND((DT243*Parámetros!$G$85),2))</f>
        <v>0</v>
      </c>
      <c r="DX243" s="66">
        <f>+IF($W243="","",ROUND((DT243*(Parámetros!$G$86)),2))</f>
        <v>0</v>
      </c>
      <c r="DY243" s="66">
        <f t="shared" si="370"/>
        <v>0</v>
      </c>
      <c r="DZ243" t="str">
        <f t="shared" si="371"/>
        <v>00066</v>
      </c>
      <c r="EA243" s="118" t="str">
        <f t="shared" si="371"/>
        <v>Enfermedad terminal</v>
      </c>
      <c r="EB243" s="118">
        <f>+IF($W243="","",ROUND(IF(Parámetros!$D$25='TABLAS MORT'!$V$33,EB242,Z243/2),0))</f>
        <v>50000</v>
      </c>
      <c r="EC243" s="118" t="str">
        <f t="shared" si="371"/>
        <v>A</v>
      </c>
      <c r="ED243" s="122">
        <f>+IF(OR($W243="",EB243=0),"",ROUND((VLOOKUP(ROUNDDOWN($D243-1/frec,0),cob_adi,DO$40,FALSE)*(1+i/frec)^-0.5*(1+Parámetros!$D$103)*(1+rec_fracc)/frec),6))</f>
        <v>2.6999999999999999E-5</v>
      </c>
      <c r="EE243" s="66">
        <f t="shared" si="372"/>
        <v>1.35</v>
      </c>
      <c r="EF243" s="68">
        <f t="shared" si="373"/>
        <v>2.6999999999999999E-5</v>
      </c>
      <c r="EG243" s="66">
        <f>+IF($W243="","",ROUND(IF($B243&gt;Parámetros!$D$107,'Tablas Servicio'!EE243+('Tablas Servicio'!EG242-'Tablas Servicio'!EE242),EE243/(1-IF(B243&lt;=10,Parámetros!$D$100,0))),2))</f>
        <v>1.35</v>
      </c>
      <c r="EH243" s="66">
        <f t="shared" si="374"/>
        <v>0</v>
      </c>
      <c r="EI243" s="66">
        <f t="shared" si="374"/>
        <v>0</v>
      </c>
      <c r="EJ243" s="66">
        <f>+IF($W243="","",ROUND((EG243*Parámetros!$G$85),2))</f>
        <v>0.05</v>
      </c>
      <c r="EK243" s="66">
        <f>+IF($W243="","",ROUND((EG243*(Parámetros!$G$86)),2))</f>
        <v>0.01</v>
      </c>
      <c r="EL243" s="66">
        <f t="shared" si="375"/>
        <v>1.41</v>
      </c>
    </row>
    <row r="244" spans="1:142" x14ac:dyDescent="0.25">
      <c r="A244">
        <f>+IF($C244="","",ROUND(VLOOKUP('Tablas Servicio'!B244,Parámetros!$H$100:$J$159,IF(Parámetros!$E$16="F",2,3),FALSE),2))</f>
        <v>150</v>
      </c>
      <c r="B244">
        <f t="shared" si="326"/>
        <v>17</v>
      </c>
      <c r="C244" s="57">
        <f>+IF(D244="","",'Tablas Servicio'!C243+1)</f>
        <v>203</v>
      </c>
      <c r="D244" s="56">
        <f>+IF(D243&lt;edadmaxtabla,D243+1/Parámetros!$E$25,"")</f>
        <v>56.936666666667151</v>
      </c>
      <c r="E244" s="57">
        <f t="shared" si="336"/>
        <v>56</v>
      </c>
      <c r="F244" s="59">
        <f t="shared" si="337"/>
        <v>100000</v>
      </c>
      <c r="G244" s="66">
        <f t="shared" si="327"/>
        <v>48.75</v>
      </c>
      <c r="H244" s="66">
        <f t="shared" si="328"/>
        <v>50.709999999999994</v>
      </c>
      <c r="I244" s="66">
        <f t="shared" si="288"/>
        <v>43.290000000000006</v>
      </c>
      <c r="J244" s="66">
        <f t="shared" si="329"/>
        <v>1.71</v>
      </c>
      <c r="K244" s="66">
        <f t="shared" si="330"/>
        <v>0.25</v>
      </c>
      <c r="L244" s="66">
        <f t="shared" si="331"/>
        <v>0</v>
      </c>
      <c r="M244" s="66">
        <f t="shared" si="332"/>
        <v>0</v>
      </c>
      <c r="N244" s="66">
        <f>+IF(C244="","",ROUND(Parámetros!$D$23,2))</f>
        <v>94</v>
      </c>
      <c r="O244" s="66">
        <f t="shared" si="333"/>
        <v>36.25</v>
      </c>
      <c r="P244" s="66">
        <f>+IF($C244="","",ROUND(IF(B244&gt;Parámetros!$D$117,0,N244*Parámetros!$D$116-G244*Parámetros!$D$100),2))</f>
        <v>0</v>
      </c>
      <c r="Q244" s="75">
        <f t="shared" si="289"/>
        <v>3.5076923076923075E-2</v>
      </c>
      <c r="R244" s="75">
        <f t="shared" si="290"/>
        <v>5.1282051282051282E-3</v>
      </c>
      <c r="S244" s="117">
        <f>+IF($C244="","",ROUND((S243+I244)*(1+Parámetros!$D$91),2))</f>
        <v>14673.7</v>
      </c>
      <c r="T244" s="117">
        <f>+IF($C244="","",ROUND(S244*VLOOKUP(B244,Parámetros!$C$30:$D$39,2,TRUE),2))</f>
        <v>14673.7</v>
      </c>
      <c r="U244" s="117">
        <f>+IF($C244="","",ROUND((U243+I244)*(1+Parámetros!$D$92),2))</f>
        <v>15380.51</v>
      </c>
      <c r="V244" s="117">
        <f>+IF($C244="","",ROUND(U244*VLOOKUP(B244,Parámetros!$C$30:$D$39,2,TRUE),2))</f>
        <v>15380.51</v>
      </c>
      <c r="W244" s="57">
        <f t="shared" si="291"/>
        <v>203</v>
      </c>
      <c r="X244" t="str">
        <f t="shared" si="292"/>
        <v>00058</v>
      </c>
      <c r="Y244" t="str">
        <f t="shared" si="293"/>
        <v>MUERTE POR CUALQUIER CAUSA</v>
      </c>
      <c r="Z244" s="118">
        <f>+IF($W244="","",ROUND(IF(Parámetros!$D$25='TABLAS MORT'!$V$33,Z243,Parámetros!$D$21-'Tablas Servicio'!T243),0))</f>
        <v>100000</v>
      </c>
      <c r="AA244" s="118" t="str">
        <f t="shared" si="294"/>
        <v>P</v>
      </c>
      <c r="AB244" s="119">
        <f>+IF(W244="","",ROUND((VLOOKUP(ROUNDDOWN($D244-1/frec,0),qx_tabla,2,FALSE)*(1+i/frec)^-0.5*(1+Parámetros!$D$103)*(1+rec_fracc)/frec),6))</f>
        <v>3.4900000000000003E-4</v>
      </c>
      <c r="AC244" s="66">
        <f t="shared" si="338"/>
        <v>34.9</v>
      </c>
      <c r="AD244" s="119">
        <f t="shared" si="334"/>
        <v>4.7399999999999997E-4</v>
      </c>
      <c r="AE244" s="66">
        <f>+IF($W244="","",ROUND(IF($B244&gt;Parámetros!$D$107,'Tablas Servicio'!AC244+('Tablas Servicio'!AG243-'Tablas Servicio'!AC243),AC244/(1-IF(B244&lt;=10,Parámetros!$D$104,Parámetros!$D$105))),2))</f>
        <v>58.17</v>
      </c>
      <c r="AF244" s="66">
        <f>+IF($W244="","",ROUND(IF($B244&gt;Parámetros!$D$107,'Tablas Servicio'!AC244+('Tablas Servicio'!AG243-'Tablas Servicio'!AC243),(AC244+$A243/frec)/(1-IF(B244&lt;=Parámetros!$D$117,Parámetros!$D$100,0))),2))</f>
        <v>47.4</v>
      </c>
      <c r="AG244" s="66">
        <f t="shared" si="339"/>
        <v>47.4</v>
      </c>
      <c r="AH244" s="66">
        <f t="shared" si="340"/>
        <v>0</v>
      </c>
      <c r="AI244" s="66">
        <f t="shared" si="341"/>
        <v>0</v>
      </c>
      <c r="AJ244" s="66">
        <f>+IF($W244="","",ROUND((AG244*Parámetros!$G$85),2))</f>
        <v>1.66</v>
      </c>
      <c r="AK244" s="66">
        <f>+IF($W244="","",ROUND((AG244*(Parámetros!$G$86)),2))</f>
        <v>0.24</v>
      </c>
      <c r="AL244" s="66">
        <f t="shared" si="335"/>
        <v>49.3</v>
      </c>
      <c r="AM244" t="str">
        <f t="shared" si="295"/>
        <v>00059</v>
      </c>
      <c r="AN244" t="str">
        <f t="shared" si="296"/>
        <v>Incapacidad Total y Permanente</v>
      </c>
      <c r="AO244" s="118">
        <f t="shared" si="297"/>
        <v>0</v>
      </c>
      <c r="AP244" s="118" t="str">
        <f t="shared" si="298"/>
        <v>A</v>
      </c>
      <c r="AQ244" s="119" t="str">
        <f>+IF(OR($W244="",AO244=0),"",ROUND((VLOOKUP(ROUNDDOWN($D244-1/frec,0),cob_adi,Z$40,FALSE)*(1+i/frec)^-0.5*(1+Parámetros!$D$103)*(1+rec_fracc)/frec),6))</f>
        <v/>
      </c>
      <c r="AR244" s="66">
        <f t="shared" si="342"/>
        <v>0</v>
      </c>
      <c r="AS244" s="119" t="str">
        <f t="shared" si="343"/>
        <v/>
      </c>
      <c r="AT244" s="66">
        <f>+IF($W244="","",ROUND(IF($B244&gt;Parámetros!$D$107,'Tablas Servicio'!AR244+('Tablas Servicio'!AT243-'Tablas Servicio'!AR243),AR244/(1-IF(B244&lt;=10,Parámetros!$D$100,0))),2))</f>
        <v>0</v>
      </c>
      <c r="AU244" s="66">
        <f t="shared" si="344"/>
        <v>0</v>
      </c>
      <c r="AV244" s="66">
        <f t="shared" si="344"/>
        <v>0</v>
      </c>
      <c r="AW244" s="66">
        <f>+IF($W244="","",ROUND((AT244*Parámetros!$G$85),2))</f>
        <v>0</v>
      </c>
      <c r="AX244" s="66">
        <f>+IF($W244="","",ROUND((AT244*(Parámetros!$G$86)),2))</f>
        <v>0</v>
      </c>
      <c r="AY244" s="66">
        <f t="shared" si="345"/>
        <v>0</v>
      </c>
      <c r="AZ244" t="str">
        <f t="shared" si="299"/>
        <v>00060</v>
      </c>
      <c r="BA244" t="str">
        <f t="shared" si="300"/>
        <v>Muerte Accidental</v>
      </c>
      <c r="BB244" s="118">
        <f t="shared" si="301"/>
        <v>0</v>
      </c>
      <c r="BC244" s="118" t="str">
        <f t="shared" si="302"/>
        <v>A</v>
      </c>
      <c r="BD244" s="119" t="str">
        <f>+IF(OR($W244="",BB244=0),"",ROUND((VLOOKUP(ROUNDDOWN($D244-1/frec,0),cob_adi,AO$40,FALSE)*(1+i/frec)^-0.5*(1+Parámetros!$D$103)*(1+rec_fracc)/frec),6))</f>
        <v/>
      </c>
      <c r="BE244" s="66">
        <f t="shared" si="346"/>
        <v>0</v>
      </c>
      <c r="BF244" s="119" t="str">
        <f t="shared" si="347"/>
        <v/>
      </c>
      <c r="BG244" s="66">
        <f>+IF($W244="","",ROUND(IF($B244&gt;Parámetros!$D$107,'Tablas Servicio'!BE244+('Tablas Servicio'!BG243-'Tablas Servicio'!BE243),BE244/(1-IF(B244&lt;=10,Parámetros!$D$100,0))),2))</f>
        <v>0</v>
      </c>
      <c r="BH244" s="66">
        <f t="shared" si="348"/>
        <v>0</v>
      </c>
      <c r="BI244" s="66">
        <f t="shared" si="349"/>
        <v>0</v>
      </c>
      <c r="BJ244" s="66">
        <f>+IF($W244="","",ROUND((BG244*Parámetros!$G$85),2))</f>
        <v>0</v>
      </c>
      <c r="BK244" s="66">
        <f>+IF($W244="","",ROUND((BG244*(Parámetros!$G$86)),2))</f>
        <v>0</v>
      </c>
      <c r="BL244" s="66">
        <f t="shared" si="350"/>
        <v>0</v>
      </c>
      <c r="BM244" t="str">
        <f t="shared" si="303"/>
        <v>00061</v>
      </c>
      <c r="BN244" t="str">
        <f t="shared" si="304"/>
        <v>Gastos de Entierro</v>
      </c>
      <c r="BO244" s="118">
        <f t="shared" si="305"/>
        <v>0</v>
      </c>
      <c r="BP244" s="118" t="str">
        <f t="shared" si="306"/>
        <v>A</v>
      </c>
      <c r="BQ244" s="119" t="str">
        <f>+IF(OR($W244="",BO244=0),"",ROUND((VLOOKUP(ROUNDDOWN($D244-1/frec,0),cob_adi,BB$40,FALSE)*(1+i/frec)^-0.5*(1+Parámetros!$D$103)*(1+rec_fracc)/frec),6))</f>
        <v/>
      </c>
      <c r="BR244" s="66">
        <f t="shared" si="351"/>
        <v>0</v>
      </c>
      <c r="BS244" s="119" t="str">
        <f t="shared" si="352"/>
        <v/>
      </c>
      <c r="BT244" s="66">
        <f>+IF($W244="","",ROUND(IF($B244&gt;Parámetros!$D$107,'Tablas Servicio'!BR244+('Tablas Servicio'!BT243-'Tablas Servicio'!BR243),BR244/(1-IF(B244&lt;=10,Parámetros!$D$100,0))),2))</f>
        <v>0</v>
      </c>
      <c r="BU244" s="66">
        <f t="shared" si="353"/>
        <v>0</v>
      </c>
      <c r="BV244" s="66">
        <f t="shared" si="353"/>
        <v>0</v>
      </c>
      <c r="BW244" s="66">
        <f>+IF($W244="","",ROUND((BT244*Parámetros!$G$85),2))</f>
        <v>0</v>
      </c>
      <c r="BX244" s="66">
        <f>+IF($W244="","",ROUND((BT244*(Parámetros!$G$86)),2))</f>
        <v>0</v>
      </c>
      <c r="BY244" s="66">
        <f t="shared" si="354"/>
        <v>0</v>
      </c>
      <c r="BZ244" t="str">
        <f t="shared" si="307"/>
        <v>00062</v>
      </c>
      <c r="CA244" t="str">
        <f t="shared" si="308"/>
        <v>Gastos médicos por accidente</v>
      </c>
      <c r="CB244" s="118">
        <f t="shared" si="309"/>
        <v>0</v>
      </c>
      <c r="CC244" s="118" t="str">
        <f t="shared" si="310"/>
        <v>A</v>
      </c>
      <c r="CD244" s="119" t="str">
        <f t="shared" si="355"/>
        <v/>
      </c>
      <c r="CE244" s="66">
        <f>+IF($W244="","",ROUND((VLOOKUP(ROUNDDOWN($D244-1/frec,0),cob_adi,BO$40,FALSE)*(1+i/frec)^-0.5*(1+Parámetros!$D$103)*(1+rec_fracc)/frec*'TABLAS ADI'!$BC$17),2))</f>
        <v>0</v>
      </c>
      <c r="CF244" s="119" t="str">
        <f t="shared" si="356"/>
        <v/>
      </c>
      <c r="CG244" s="66">
        <f>+IF($W244="","",ROUND(IF($B244&gt;Parámetros!$D$107,'Tablas Servicio'!CE244+('Tablas Servicio'!CG243-'Tablas Servicio'!CE243),CE244/(1-IF(B244&lt;=10,Parámetros!$D$100,0))),2))</f>
        <v>0</v>
      </c>
      <c r="CH244" s="66">
        <f t="shared" si="357"/>
        <v>0</v>
      </c>
      <c r="CI244" s="66">
        <f t="shared" si="357"/>
        <v>0</v>
      </c>
      <c r="CJ244" s="66">
        <f>+IF($W244="","",ROUND((CG244*Parámetros!$G$85),2))</f>
        <v>0</v>
      </c>
      <c r="CK244" s="66">
        <f>+IF($W244="","",ROUND((CG244*(Parámetros!$G$86)),2))</f>
        <v>0</v>
      </c>
      <c r="CL244" s="66">
        <f t="shared" si="358"/>
        <v>0</v>
      </c>
      <c r="CM244" t="str">
        <f t="shared" si="311"/>
        <v>00063</v>
      </c>
      <c r="CN244" s="118" t="str">
        <f t="shared" si="312"/>
        <v>Renta Diaria por Hospitalización</v>
      </c>
      <c r="CO244" s="118">
        <f t="shared" si="313"/>
        <v>0</v>
      </c>
      <c r="CP244" s="118" t="str">
        <f t="shared" si="314"/>
        <v>A</v>
      </c>
      <c r="CQ244" s="119" t="str">
        <f t="shared" si="359"/>
        <v/>
      </c>
      <c r="CR244" s="66">
        <f>+IF($W244="","",ROUND((VLOOKUP(Parámetros!$F$51,'COBERTURAS ADICIONALES'!$S$4:$T$32,2,FALSE)*(1+i/frec)^-0.5*(1+Parámetros!$D$103)*(1+rec_fracc)/frec*$CO$42),2))</f>
        <v>0</v>
      </c>
      <c r="CS244" s="119" t="str">
        <f t="shared" si="360"/>
        <v/>
      </c>
      <c r="CT244" s="66">
        <f>+IF($W244="","",ROUND(IF($B244&gt;Parámetros!$D$107,'Tablas Servicio'!CR244+('Tablas Servicio'!CT243-'Tablas Servicio'!CR243),CR244/(1-IF(B244&lt;=10,Parámetros!$D$100,0))),2))</f>
        <v>0</v>
      </c>
      <c r="CU244" s="66">
        <f t="shared" si="361"/>
        <v>0</v>
      </c>
      <c r="CV244" s="66">
        <f t="shared" si="361"/>
        <v>0</v>
      </c>
      <c r="CW244" s="66">
        <f>+IF($W244="","",ROUND((CT244*Parámetros!$G$85),2))</f>
        <v>0</v>
      </c>
      <c r="CX244" s="66">
        <f>+IF($W244="","",ROUND((CT244*(Parámetros!$G$86)),2))</f>
        <v>0</v>
      </c>
      <c r="CY244" s="66">
        <f t="shared" si="362"/>
        <v>0</v>
      </c>
      <c r="CZ244" t="str">
        <f t="shared" si="315"/>
        <v>00064</v>
      </c>
      <c r="DA244" s="118" t="str">
        <f t="shared" si="316"/>
        <v>Enfermedades Graves</v>
      </c>
      <c r="DB244" s="118">
        <f t="shared" si="317"/>
        <v>0</v>
      </c>
      <c r="DC244" s="118" t="str">
        <f t="shared" si="318"/>
        <v>A</v>
      </c>
      <c r="DD244" s="121" t="str">
        <f>+IF(OR($W244="",DB244=0),"",ROUND((VLOOKUP(ROUNDDOWN($D244-1/frec,0),cob_adi,CO$40,FALSE)*(1+i/frec)^-0.5*(1+Parámetros!$D$103)*(1+rec_fracc)/frec),6))</f>
        <v/>
      </c>
      <c r="DE244" s="66">
        <f t="shared" si="363"/>
        <v>0</v>
      </c>
      <c r="DF244" s="119" t="str">
        <f t="shared" si="364"/>
        <v/>
      </c>
      <c r="DG244" s="66">
        <f>+IF($W244="","",ROUND(IF($B244&gt;Parámetros!$D$107,'Tablas Servicio'!DE244+('Tablas Servicio'!DG243-'Tablas Servicio'!DE243),DE244/(1-IF(B244&lt;=10,Parámetros!$D$100,0))),2))</f>
        <v>0</v>
      </c>
      <c r="DH244" s="66">
        <f t="shared" si="365"/>
        <v>0</v>
      </c>
      <c r="DI244" s="66">
        <f t="shared" si="365"/>
        <v>0</v>
      </c>
      <c r="DJ244" s="66">
        <f>+IF($W244="","",ROUND((DG244*Parámetros!$G$85),2))</f>
        <v>0</v>
      </c>
      <c r="DK244" s="66">
        <f>+IF($W244="","",ROUND((DG244*(Parámetros!$G$86)),2))</f>
        <v>0</v>
      </c>
      <c r="DL244" s="66">
        <f t="shared" si="366"/>
        <v>0</v>
      </c>
      <c r="DM244" t="str">
        <f t="shared" si="319"/>
        <v>00065</v>
      </c>
      <c r="DN244" s="118" t="str">
        <f t="shared" si="320"/>
        <v>Exención pago de primas</v>
      </c>
      <c r="DO244" s="118">
        <f t="shared" si="321"/>
        <v>0</v>
      </c>
      <c r="DP244" s="118" t="str">
        <f t="shared" si="322"/>
        <v>A</v>
      </c>
      <c r="DQ244" s="122" t="str">
        <f>+IF(OR($W244="",DO244=0),"",ROUND((VLOOKUP(ROUNDDOWN($D244-1/frec,0),cob_adi,DB$40,FALSE)*(1+i/frec)^-0.5*(1+Parámetros!$D$103)*(1+rec_fracc)/frec),6))</f>
        <v/>
      </c>
      <c r="DR244" s="66">
        <f t="shared" si="367"/>
        <v>0</v>
      </c>
      <c r="DS244" s="68" t="str">
        <f t="shared" si="368"/>
        <v/>
      </c>
      <c r="DT244" s="66">
        <f>+IF($W244="","",ROUND(IF($B244&gt;Parámetros!$D$107,'Tablas Servicio'!DR244+('Tablas Servicio'!DT243-'Tablas Servicio'!DR243),DR244/(1-IF(B244&lt;=10,Parámetros!$D$100,0))),2))</f>
        <v>0</v>
      </c>
      <c r="DU244" s="66">
        <f t="shared" si="369"/>
        <v>0</v>
      </c>
      <c r="DV244" s="66">
        <f t="shared" si="369"/>
        <v>0</v>
      </c>
      <c r="DW244" s="66">
        <f>+IF($W244="","",ROUND((DT244*Parámetros!$G$85),2))</f>
        <v>0</v>
      </c>
      <c r="DX244" s="66">
        <f>+IF($W244="","",ROUND((DT244*(Parámetros!$G$86)),2))</f>
        <v>0</v>
      </c>
      <c r="DY244" s="66">
        <f t="shared" si="370"/>
        <v>0</v>
      </c>
      <c r="DZ244" t="str">
        <f t="shared" si="371"/>
        <v>00066</v>
      </c>
      <c r="EA244" s="118" t="str">
        <f t="shared" si="371"/>
        <v>Enfermedad terminal</v>
      </c>
      <c r="EB244" s="118">
        <f>+IF($W244="","",ROUND(IF(Parámetros!$D$25='TABLAS MORT'!$V$33,EB243,Z244/2),0))</f>
        <v>50000</v>
      </c>
      <c r="EC244" s="118" t="str">
        <f t="shared" si="371"/>
        <v>A</v>
      </c>
      <c r="ED244" s="122">
        <f>+IF(OR($W244="",EB244=0),"",ROUND((VLOOKUP(ROUNDDOWN($D244-1/frec,0),cob_adi,DO$40,FALSE)*(1+i/frec)^-0.5*(1+Parámetros!$D$103)*(1+rec_fracc)/frec),6))</f>
        <v>2.6999999999999999E-5</v>
      </c>
      <c r="EE244" s="66">
        <f t="shared" si="372"/>
        <v>1.35</v>
      </c>
      <c r="EF244" s="68">
        <f t="shared" si="373"/>
        <v>2.6999999999999999E-5</v>
      </c>
      <c r="EG244" s="66">
        <f>+IF($W244="","",ROUND(IF($B244&gt;Parámetros!$D$107,'Tablas Servicio'!EE244+('Tablas Servicio'!EG243-'Tablas Servicio'!EE243),EE244/(1-IF(B244&lt;=10,Parámetros!$D$100,0))),2))</f>
        <v>1.35</v>
      </c>
      <c r="EH244" s="66">
        <f t="shared" si="374"/>
        <v>0</v>
      </c>
      <c r="EI244" s="66">
        <f t="shared" si="374"/>
        <v>0</v>
      </c>
      <c r="EJ244" s="66">
        <f>+IF($W244="","",ROUND((EG244*Parámetros!$G$85),2))</f>
        <v>0.05</v>
      </c>
      <c r="EK244" s="66">
        <f>+IF($W244="","",ROUND((EG244*(Parámetros!$G$86)),2))</f>
        <v>0.01</v>
      </c>
      <c r="EL244" s="66">
        <f t="shared" si="375"/>
        <v>1.41</v>
      </c>
    </row>
    <row r="245" spans="1:142" x14ac:dyDescent="0.25">
      <c r="A245">
        <f>+IF($C245="","",ROUND(VLOOKUP('Tablas Servicio'!B245,Parámetros!$H$100:$J$159,IF(Parámetros!$E$16="F",2,3),FALSE),2))</f>
        <v>150</v>
      </c>
      <c r="B245">
        <f t="shared" si="326"/>
        <v>17</v>
      </c>
      <c r="C245" s="57">
        <f>+IF(D245="","",'Tablas Servicio'!C244+1)</f>
        <v>204</v>
      </c>
      <c r="D245" s="56">
        <f>+IF(D244&lt;edadmaxtabla,D244+1/Parámetros!$E$25,"")</f>
        <v>57.020000000000486</v>
      </c>
      <c r="E245" s="57">
        <f t="shared" si="336"/>
        <v>57</v>
      </c>
      <c r="F245" s="59">
        <f t="shared" si="337"/>
        <v>100000</v>
      </c>
      <c r="G245" s="66">
        <f t="shared" si="327"/>
        <v>48.75</v>
      </c>
      <c r="H245" s="66">
        <f t="shared" si="328"/>
        <v>50.709999999999994</v>
      </c>
      <c r="I245" s="66">
        <f t="shared" si="288"/>
        <v>43.290000000000006</v>
      </c>
      <c r="J245" s="66">
        <f t="shared" si="329"/>
        <v>1.71</v>
      </c>
      <c r="K245" s="66">
        <f t="shared" si="330"/>
        <v>0.25</v>
      </c>
      <c r="L245" s="66">
        <f t="shared" si="331"/>
        <v>0</v>
      </c>
      <c r="M245" s="66">
        <f t="shared" si="332"/>
        <v>0</v>
      </c>
      <c r="N245" s="66">
        <f>+IF(C245="","",ROUND(Parámetros!$D$23,2))</f>
        <v>94</v>
      </c>
      <c r="O245" s="66">
        <f t="shared" si="333"/>
        <v>36.25</v>
      </c>
      <c r="P245" s="66">
        <f>+IF($C245="","",ROUND(IF(B245&gt;Parámetros!$D$117,0,N245*Parámetros!$D$116-G245*Parámetros!$D$100),2))</f>
        <v>0</v>
      </c>
      <c r="Q245" s="75">
        <f t="shared" si="289"/>
        <v>3.5076923076923075E-2</v>
      </c>
      <c r="R245" s="75">
        <f t="shared" si="290"/>
        <v>5.1282051282051282E-3</v>
      </c>
      <c r="S245" s="117">
        <f>+IF($C245="","",ROUND((S244+I245)*(1+Parámetros!$D$91),2))</f>
        <v>14758.73</v>
      </c>
      <c r="T245" s="117">
        <f>+IF($C245="","",ROUND(S245*VLOOKUP(B245,Parámetros!$C$30:$D$39,2,TRUE),2))</f>
        <v>14758.73</v>
      </c>
      <c r="U245" s="117">
        <f>+IF($C245="","",ROUND((U244+I245)*(1+Parámetros!$D$92),2))</f>
        <v>15473.8</v>
      </c>
      <c r="V245" s="117">
        <f>+IF($C245="","",ROUND(U245*VLOOKUP(B245,Parámetros!$C$30:$D$39,2,TRUE),2))</f>
        <v>15473.8</v>
      </c>
      <c r="W245" s="57">
        <f t="shared" si="291"/>
        <v>204</v>
      </c>
      <c r="X245" t="str">
        <f t="shared" si="292"/>
        <v>00058</v>
      </c>
      <c r="Y245" t="str">
        <f t="shared" si="293"/>
        <v>MUERTE POR CUALQUIER CAUSA</v>
      </c>
      <c r="Z245" s="118">
        <f>+IF($W245="","",ROUND(IF(Parámetros!$D$25='TABLAS MORT'!$V$33,Z244,Parámetros!$D$21-'Tablas Servicio'!T244),0))</f>
        <v>100000</v>
      </c>
      <c r="AA245" s="118" t="str">
        <f t="shared" si="294"/>
        <v>P</v>
      </c>
      <c r="AB245" s="119">
        <f>+IF(W245="","",ROUND((VLOOKUP(ROUNDDOWN($D245-1/frec,0),qx_tabla,2,FALSE)*(1+i/frec)^-0.5*(1+Parámetros!$D$103)*(1+rec_fracc)/frec),6))</f>
        <v>3.4900000000000003E-4</v>
      </c>
      <c r="AC245" s="66">
        <f t="shared" si="338"/>
        <v>34.9</v>
      </c>
      <c r="AD245" s="119">
        <f t="shared" si="334"/>
        <v>4.7399999999999997E-4</v>
      </c>
      <c r="AE245" s="66">
        <f>+IF($W245="","",ROUND(IF($B245&gt;Parámetros!$D$107,'Tablas Servicio'!AC245+('Tablas Servicio'!AG244-'Tablas Servicio'!AC244),AC245/(1-IF(B245&lt;=10,Parámetros!$D$104,Parámetros!$D$105))),2))</f>
        <v>58.17</v>
      </c>
      <c r="AF245" s="66">
        <f>+IF($W245="","",ROUND(IF($B245&gt;Parámetros!$D$107,'Tablas Servicio'!AC245+('Tablas Servicio'!AG244-'Tablas Servicio'!AC244),(AC245+$A244/frec)/(1-IF(B245&lt;=Parámetros!$D$117,Parámetros!$D$100,0))),2))</f>
        <v>47.4</v>
      </c>
      <c r="AG245" s="66">
        <f t="shared" si="339"/>
        <v>47.4</v>
      </c>
      <c r="AH245" s="66">
        <f t="shared" si="340"/>
        <v>0</v>
      </c>
      <c r="AI245" s="66">
        <f t="shared" si="341"/>
        <v>0</v>
      </c>
      <c r="AJ245" s="66">
        <f>+IF($W245="","",ROUND((AG245*Parámetros!$G$85),2))</f>
        <v>1.66</v>
      </c>
      <c r="AK245" s="66">
        <f>+IF($W245="","",ROUND((AG245*(Parámetros!$G$86)),2))</f>
        <v>0.24</v>
      </c>
      <c r="AL245" s="66">
        <f t="shared" si="335"/>
        <v>49.3</v>
      </c>
      <c r="AM245" t="str">
        <f t="shared" si="295"/>
        <v>00059</v>
      </c>
      <c r="AN245" t="str">
        <f t="shared" si="296"/>
        <v>Incapacidad Total y Permanente</v>
      </c>
      <c r="AO245" s="118">
        <f t="shared" si="297"/>
        <v>0</v>
      </c>
      <c r="AP245" s="118" t="str">
        <f t="shared" si="298"/>
        <v>A</v>
      </c>
      <c r="AQ245" s="119" t="str">
        <f>+IF(OR($W245="",AO245=0),"",ROUND((VLOOKUP(ROUNDDOWN($D245-1/frec,0),cob_adi,Z$40,FALSE)*(1+i/frec)^-0.5*(1+Parámetros!$D$103)*(1+rec_fracc)/frec),6))</f>
        <v/>
      </c>
      <c r="AR245" s="66">
        <f t="shared" si="342"/>
        <v>0</v>
      </c>
      <c r="AS245" s="119" t="str">
        <f t="shared" si="343"/>
        <v/>
      </c>
      <c r="AT245" s="66">
        <f>+IF($W245="","",ROUND(IF($B245&gt;Parámetros!$D$107,'Tablas Servicio'!AR245+('Tablas Servicio'!AT244-'Tablas Servicio'!AR244),AR245/(1-IF(B245&lt;=10,Parámetros!$D$100,0))),2))</f>
        <v>0</v>
      </c>
      <c r="AU245" s="66">
        <f t="shared" si="344"/>
        <v>0</v>
      </c>
      <c r="AV245" s="66">
        <f t="shared" si="344"/>
        <v>0</v>
      </c>
      <c r="AW245" s="66">
        <f>+IF($W245="","",ROUND((AT245*Parámetros!$G$85),2))</f>
        <v>0</v>
      </c>
      <c r="AX245" s="66">
        <f>+IF($W245="","",ROUND((AT245*(Parámetros!$G$86)),2))</f>
        <v>0</v>
      </c>
      <c r="AY245" s="66">
        <f t="shared" si="345"/>
        <v>0</v>
      </c>
      <c r="AZ245" t="str">
        <f t="shared" si="299"/>
        <v>00060</v>
      </c>
      <c r="BA245" t="str">
        <f t="shared" si="300"/>
        <v>Muerte Accidental</v>
      </c>
      <c r="BB245" s="118">
        <f t="shared" si="301"/>
        <v>0</v>
      </c>
      <c r="BC245" s="118" t="str">
        <f t="shared" si="302"/>
        <v>A</v>
      </c>
      <c r="BD245" s="119" t="str">
        <f>+IF(OR($W245="",BB245=0),"",ROUND((VLOOKUP(ROUNDDOWN($D245-1/frec,0),cob_adi,AO$40,FALSE)*(1+i/frec)^-0.5*(1+Parámetros!$D$103)*(1+rec_fracc)/frec),6))</f>
        <v/>
      </c>
      <c r="BE245" s="66">
        <f t="shared" si="346"/>
        <v>0</v>
      </c>
      <c r="BF245" s="119" t="str">
        <f t="shared" si="347"/>
        <v/>
      </c>
      <c r="BG245" s="66">
        <f>+IF($W245="","",ROUND(IF($B245&gt;Parámetros!$D$107,'Tablas Servicio'!BE245+('Tablas Servicio'!BG244-'Tablas Servicio'!BE244),BE245/(1-IF(B245&lt;=10,Parámetros!$D$100,0))),2))</f>
        <v>0</v>
      </c>
      <c r="BH245" s="66">
        <f t="shared" si="348"/>
        <v>0</v>
      </c>
      <c r="BI245" s="66">
        <f t="shared" si="349"/>
        <v>0</v>
      </c>
      <c r="BJ245" s="66">
        <f>+IF($W245="","",ROUND((BG245*Parámetros!$G$85),2))</f>
        <v>0</v>
      </c>
      <c r="BK245" s="66">
        <f>+IF($W245="","",ROUND((BG245*(Parámetros!$G$86)),2))</f>
        <v>0</v>
      </c>
      <c r="BL245" s="66">
        <f t="shared" si="350"/>
        <v>0</v>
      </c>
      <c r="BM245" t="str">
        <f t="shared" si="303"/>
        <v>00061</v>
      </c>
      <c r="BN245" t="str">
        <f t="shared" si="304"/>
        <v>Gastos de Entierro</v>
      </c>
      <c r="BO245" s="118">
        <f t="shared" si="305"/>
        <v>0</v>
      </c>
      <c r="BP245" s="118" t="str">
        <f t="shared" si="306"/>
        <v>A</v>
      </c>
      <c r="BQ245" s="119" t="str">
        <f>+IF(OR($W245="",BO245=0),"",ROUND((VLOOKUP(ROUNDDOWN($D245-1/frec,0),cob_adi,BB$40,FALSE)*(1+i/frec)^-0.5*(1+Parámetros!$D$103)*(1+rec_fracc)/frec),6))</f>
        <v/>
      </c>
      <c r="BR245" s="66">
        <f t="shared" si="351"/>
        <v>0</v>
      </c>
      <c r="BS245" s="119" t="str">
        <f t="shared" si="352"/>
        <v/>
      </c>
      <c r="BT245" s="66">
        <f>+IF($W245="","",ROUND(IF($B245&gt;Parámetros!$D$107,'Tablas Servicio'!BR245+('Tablas Servicio'!BT244-'Tablas Servicio'!BR244),BR245/(1-IF(B245&lt;=10,Parámetros!$D$100,0))),2))</f>
        <v>0</v>
      </c>
      <c r="BU245" s="66">
        <f t="shared" si="353"/>
        <v>0</v>
      </c>
      <c r="BV245" s="66">
        <f t="shared" si="353"/>
        <v>0</v>
      </c>
      <c r="BW245" s="66">
        <f>+IF($W245="","",ROUND((BT245*Parámetros!$G$85),2))</f>
        <v>0</v>
      </c>
      <c r="BX245" s="66">
        <f>+IF($W245="","",ROUND((BT245*(Parámetros!$G$86)),2))</f>
        <v>0</v>
      </c>
      <c r="BY245" s="66">
        <f t="shared" si="354"/>
        <v>0</v>
      </c>
      <c r="BZ245" t="str">
        <f t="shared" si="307"/>
        <v>00062</v>
      </c>
      <c r="CA245" t="str">
        <f t="shared" si="308"/>
        <v>Gastos médicos por accidente</v>
      </c>
      <c r="CB245" s="118">
        <f t="shared" si="309"/>
        <v>0</v>
      </c>
      <c r="CC245" s="118" t="str">
        <f t="shared" si="310"/>
        <v>A</v>
      </c>
      <c r="CD245" s="119" t="str">
        <f t="shared" si="355"/>
        <v/>
      </c>
      <c r="CE245" s="66">
        <f>+IF($W245="","",ROUND((VLOOKUP(ROUNDDOWN($D245-1/frec,0),cob_adi,BO$40,FALSE)*(1+i/frec)^-0.5*(1+Parámetros!$D$103)*(1+rec_fracc)/frec*'TABLAS ADI'!$BC$17),2))</f>
        <v>0</v>
      </c>
      <c r="CF245" s="119" t="str">
        <f t="shared" si="356"/>
        <v/>
      </c>
      <c r="CG245" s="66">
        <f>+IF($W245="","",ROUND(IF($B245&gt;Parámetros!$D$107,'Tablas Servicio'!CE245+('Tablas Servicio'!CG244-'Tablas Servicio'!CE244),CE245/(1-IF(B245&lt;=10,Parámetros!$D$100,0))),2))</f>
        <v>0</v>
      </c>
      <c r="CH245" s="66">
        <f t="shared" si="357"/>
        <v>0</v>
      </c>
      <c r="CI245" s="66">
        <f t="shared" si="357"/>
        <v>0</v>
      </c>
      <c r="CJ245" s="66">
        <f>+IF($W245="","",ROUND((CG245*Parámetros!$G$85),2))</f>
        <v>0</v>
      </c>
      <c r="CK245" s="66">
        <f>+IF($W245="","",ROUND((CG245*(Parámetros!$G$86)),2))</f>
        <v>0</v>
      </c>
      <c r="CL245" s="66">
        <f t="shared" si="358"/>
        <v>0</v>
      </c>
      <c r="CM245" t="str">
        <f t="shared" si="311"/>
        <v>00063</v>
      </c>
      <c r="CN245" s="118" t="str">
        <f t="shared" si="312"/>
        <v>Renta Diaria por Hospitalización</v>
      </c>
      <c r="CO245" s="118">
        <f t="shared" si="313"/>
        <v>0</v>
      </c>
      <c r="CP245" s="118" t="str">
        <f t="shared" si="314"/>
        <v>A</v>
      </c>
      <c r="CQ245" s="119" t="str">
        <f t="shared" si="359"/>
        <v/>
      </c>
      <c r="CR245" s="66">
        <f>+IF($W245="","",ROUND((VLOOKUP(Parámetros!$F$51,'COBERTURAS ADICIONALES'!$S$4:$T$32,2,FALSE)*(1+i/frec)^-0.5*(1+Parámetros!$D$103)*(1+rec_fracc)/frec*$CO$42),2))</f>
        <v>0</v>
      </c>
      <c r="CS245" s="119" t="str">
        <f t="shared" si="360"/>
        <v/>
      </c>
      <c r="CT245" s="66">
        <f>+IF($W245="","",ROUND(IF($B245&gt;Parámetros!$D$107,'Tablas Servicio'!CR245+('Tablas Servicio'!CT244-'Tablas Servicio'!CR244),CR245/(1-IF(B245&lt;=10,Parámetros!$D$100,0))),2))</f>
        <v>0</v>
      </c>
      <c r="CU245" s="66">
        <f t="shared" si="361"/>
        <v>0</v>
      </c>
      <c r="CV245" s="66">
        <f t="shared" si="361"/>
        <v>0</v>
      </c>
      <c r="CW245" s="66">
        <f>+IF($W245="","",ROUND((CT245*Parámetros!$G$85),2))</f>
        <v>0</v>
      </c>
      <c r="CX245" s="66">
        <f>+IF($W245="","",ROUND((CT245*(Parámetros!$G$86)),2))</f>
        <v>0</v>
      </c>
      <c r="CY245" s="66">
        <f t="shared" si="362"/>
        <v>0</v>
      </c>
      <c r="CZ245" t="str">
        <f t="shared" si="315"/>
        <v>00064</v>
      </c>
      <c r="DA245" s="118" t="str">
        <f t="shared" si="316"/>
        <v>Enfermedades Graves</v>
      </c>
      <c r="DB245" s="118">
        <f t="shared" si="317"/>
        <v>0</v>
      </c>
      <c r="DC245" s="118" t="str">
        <f t="shared" si="318"/>
        <v>A</v>
      </c>
      <c r="DD245" s="121" t="str">
        <f>+IF(OR($W245="",DB245=0),"",ROUND((VLOOKUP(ROUNDDOWN($D245-1/frec,0),cob_adi,CO$40,FALSE)*(1+i/frec)^-0.5*(1+Parámetros!$D$103)*(1+rec_fracc)/frec),6))</f>
        <v/>
      </c>
      <c r="DE245" s="66">
        <f t="shared" si="363"/>
        <v>0</v>
      </c>
      <c r="DF245" s="119" t="str">
        <f t="shared" si="364"/>
        <v/>
      </c>
      <c r="DG245" s="66">
        <f>+IF($W245="","",ROUND(IF($B245&gt;Parámetros!$D$107,'Tablas Servicio'!DE245+('Tablas Servicio'!DG244-'Tablas Servicio'!DE244),DE245/(1-IF(B245&lt;=10,Parámetros!$D$100,0))),2))</f>
        <v>0</v>
      </c>
      <c r="DH245" s="66">
        <f t="shared" si="365"/>
        <v>0</v>
      </c>
      <c r="DI245" s="66">
        <f t="shared" si="365"/>
        <v>0</v>
      </c>
      <c r="DJ245" s="66">
        <f>+IF($W245="","",ROUND((DG245*Parámetros!$G$85),2))</f>
        <v>0</v>
      </c>
      <c r="DK245" s="66">
        <f>+IF($W245="","",ROUND((DG245*(Parámetros!$G$86)),2))</f>
        <v>0</v>
      </c>
      <c r="DL245" s="66">
        <f t="shared" si="366"/>
        <v>0</v>
      </c>
      <c r="DM245" t="str">
        <f t="shared" si="319"/>
        <v>00065</v>
      </c>
      <c r="DN245" s="118" t="str">
        <f t="shared" si="320"/>
        <v>Exención pago de primas</v>
      </c>
      <c r="DO245" s="118">
        <f t="shared" si="321"/>
        <v>0</v>
      </c>
      <c r="DP245" s="118" t="str">
        <f t="shared" si="322"/>
        <v>A</v>
      </c>
      <c r="DQ245" s="122" t="str">
        <f>+IF(OR($W245="",DO245=0),"",ROUND((VLOOKUP(ROUNDDOWN($D245-1/frec,0),cob_adi,DB$40,FALSE)*(1+i/frec)^-0.5*(1+Parámetros!$D$103)*(1+rec_fracc)/frec),6))</f>
        <v/>
      </c>
      <c r="DR245" s="66">
        <f t="shared" si="367"/>
        <v>0</v>
      </c>
      <c r="DS245" s="68" t="str">
        <f t="shared" si="368"/>
        <v/>
      </c>
      <c r="DT245" s="66">
        <f>+IF($W245="","",ROUND(IF($B245&gt;Parámetros!$D$107,'Tablas Servicio'!DR245+('Tablas Servicio'!DT244-'Tablas Servicio'!DR244),DR245/(1-IF(B245&lt;=10,Parámetros!$D$100,0))),2))</f>
        <v>0</v>
      </c>
      <c r="DU245" s="66">
        <f t="shared" si="369"/>
        <v>0</v>
      </c>
      <c r="DV245" s="66">
        <f t="shared" si="369"/>
        <v>0</v>
      </c>
      <c r="DW245" s="66">
        <f>+IF($W245="","",ROUND((DT245*Parámetros!$G$85),2))</f>
        <v>0</v>
      </c>
      <c r="DX245" s="66">
        <f>+IF($W245="","",ROUND((DT245*(Parámetros!$G$86)),2))</f>
        <v>0</v>
      </c>
      <c r="DY245" s="66">
        <f t="shared" si="370"/>
        <v>0</v>
      </c>
      <c r="DZ245" t="str">
        <f t="shared" si="371"/>
        <v>00066</v>
      </c>
      <c r="EA245" s="118" t="str">
        <f t="shared" si="371"/>
        <v>Enfermedad terminal</v>
      </c>
      <c r="EB245" s="118">
        <f>+IF($W245="","",ROUND(IF(Parámetros!$D$25='TABLAS MORT'!$V$33,EB244,Z245/2),0))</f>
        <v>50000</v>
      </c>
      <c r="EC245" s="118" t="str">
        <f t="shared" si="371"/>
        <v>A</v>
      </c>
      <c r="ED245" s="122">
        <f>+IF(OR($W245="",EB245=0),"",ROUND((VLOOKUP(ROUNDDOWN($D245-1/frec,0),cob_adi,DO$40,FALSE)*(1+i/frec)^-0.5*(1+Parámetros!$D$103)*(1+rec_fracc)/frec),6))</f>
        <v>2.6999999999999999E-5</v>
      </c>
      <c r="EE245" s="66">
        <f t="shared" si="372"/>
        <v>1.35</v>
      </c>
      <c r="EF245" s="68">
        <f t="shared" si="373"/>
        <v>2.6999999999999999E-5</v>
      </c>
      <c r="EG245" s="66">
        <f>+IF($W245="","",ROUND(IF($B245&gt;Parámetros!$D$107,'Tablas Servicio'!EE245+('Tablas Servicio'!EG244-'Tablas Servicio'!EE244),EE245/(1-IF(B245&lt;=10,Parámetros!$D$100,0))),2))</f>
        <v>1.35</v>
      </c>
      <c r="EH245" s="66">
        <f t="shared" si="374"/>
        <v>0</v>
      </c>
      <c r="EI245" s="66">
        <f t="shared" si="374"/>
        <v>0</v>
      </c>
      <c r="EJ245" s="66">
        <f>+IF($W245="","",ROUND((EG245*Parámetros!$G$85),2))</f>
        <v>0.05</v>
      </c>
      <c r="EK245" s="66">
        <f>+IF($W245="","",ROUND((EG245*(Parámetros!$G$86)),2))</f>
        <v>0.01</v>
      </c>
      <c r="EL245" s="66">
        <f t="shared" si="375"/>
        <v>1.41</v>
      </c>
    </row>
    <row r="246" spans="1:142" x14ac:dyDescent="0.25">
      <c r="A246">
        <f>+IF($C246="","",ROUND(VLOOKUP('Tablas Servicio'!B246,Parámetros!$H$100:$J$159,IF(Parámetros!$E$16="F",2,3),FALSE),2))</f>
        <v>150</v>
      </c>
      <c r="B246">
        <f t="shared" si="326"/>
        <v>18</v>
      </c>
      <c r="C246" s="57">
        <f>+IF(D246="","",'Tablas Servicio'!C245+1)</f>
        <v>205</v>
      </c>
      <c r="D246" s="56">
        <f>+IF(D245&lt;edadmaxtabla,D245+1/Parámetros!$E$25,"")</f>
        <v>57.103333333333822</v>
      </c>
      <c r="E246" s="57">
        <f t="shared" si="336"/>
        <v>57</v>
      </c>
      <c r="F246" s="59">
        <f t="shared" si="337"/>
        <v>100000</v>
      </c>
      <c r="G246" s="66">
        <f t="shared" si="327"/>
        <v>51.15</v>
      </c>
      <c r="H246" s="66">
        <f t="shared" si="328"/>
        <v>53.199999999999996</v>
      </c>
      <c r="I246" s="66">
        <f t="shared" ref="I246:I309" si="376">+IF($C246="","",N246-H246-P246)</f>
        <v>40.800000000000004</v>
      </c>
      <c r="J246" s="66">
        <f t="shared" si="329"/>
        <v>1.79</v>
      </c>
      <c r="K246" s="66">
        <f t="shared" si="330"/>
        <v>0.26</v>
      </c>
      <c r="L246" s="66">
        <f t="shared" si="331"/>
        <v>0</v>
      </c>
      <c r="M246" s="66">
        <f t="shared" si="332"/>
        <v>0</v>
      </c>
      <c r="N246" s="66">
        <f>+IF(C246="","",ROUND(Parámetros!$D$23,2))</f>
        <v>94</v>
      </c>
      <c r="O246" s="66">
        <f t="shared" si="333"/>
        <v>38.65</v>
      </c>
      <c r="P246" s="66">
        <f>+IF($C246="","",ROUND(IF(B246&gt;Parámetros!$D$117,0,N246*Parámetros!$D$116-G246*Parámetros!$D$100),2))</f>
        <v>0</v>
      </c>
      <c r="Q246" s="75">
        <f t="shared" ref="Q246:Q309" si="377">+IF($C246="","",J246/$G246)</f>
        <v>3.4995112414467254E-2</v>
      </c>
      <c r="R246" s="75">
        <f t="shared" ref="R246:R309" si="378">+IF($C246="","",K246/$G246)</f>
        <v>5.083088954056696E-3</v>
      </c>
      <c r="S246" s="117">
        <f>+IF($C246="","",ROUND((S245+I246)*(1+Parámetros!$D$91),2))</f>
        <v>14841.51</v>
      </c>
      <c r="T246" s="117">
        <f>+IF($C246="","",ROUND(S246*VLOOKUP(B246,Parámetros!$C$30:$D$39,2,TRUE),2))</f>
        <v>14841.51</v>
      </c>
      <c r="U246" s="117">
        <f>+IF($C246="","",ROUND((U245+I246)*(1+Parámetros!$D$92),2))</f>
        <v>15564.89</v>
      </c>
      <c r="V246" s="117">
        <f>+IF($C246="","",ROUND(U246*VLOOKUP(B246,Parámetros!$C$30:$D$39,2,TRUE),2))</f>
        <v>15564.89</v>
      </c>
      <c r="W246" s="57">
        <f t="shared" ref="W246:W309" si="379">+C246</f>
        <v>205</v>
      </c>
      <c r="X246" t="str">
        <f t="shared" ref="X246:X309" si="380">+IF($W246="","",X245)</f>
        <v>00058</v>
      </c>
      <c r="Y246" t="str">
        <f t="shared" ref="Y246:Y309" si="381">+IF($W246="","",Y245)</f>
        <v>MUERTE POR CUALQUIER CAUSA</v>
      </c>
      <c r="Z246" s="118">
        <f>+IF($W246="","",ROUND(IF(Parámetros!$D$25='TABLAS MORT'!$V$33,Z245,Parámetros!$D$21-'Tablas Servicio'!T245),0))</f>
        <v>100000</v>
      </c>
      <c r="AA246" s="118" t="str">
        <f t="shared" ref="AA246:AA309" si="382">+IF($W246="","",AA245)</f>
        <v>P</v>
      </c>
      <c r="AB246" s="119">
        <f>+IF(W246="","",ROUND((VLOOKUP(ROUNDDOWN($D246-1/frec,0),qx_tabla,2,FALSE)*(1+i/frec)^-0.5*(1+Parámetros!$D$103)*(1+rec_fracc)/frec),6))</f>
        <v>3.7300000000000001E-4</v>
      </c>
      <c r="AC246" s="66">
        <f t="shared" si="338"/>
        <v>37.299999999999997</v>
      </c>
      <c r="AD246" s="119">
        <f t="shared" si="334"/>
        <v>4.9799999999999996E-4</v>
      </c>
      <c r="AE246" s="66">
        <f>+IF($W246="","",ROUND(IF($B246&gt;Parámetros!$D$107,'Tablas Servicio'!AC246+('Tablas Servicio'!AG245-'Tablas Servicio'!AC245),AC246/(1-IF(B246&lt;=10,Parámetros!$D$104,Parámetros!$D$105))),2))</f>
        <v>62.17</v>
      </c>
      <c r="AF246" s="66">
        <f>+IF($W246="","",ROUND(IF($B246&gt;Parámetros!$D$107,'Tablas Servicio'!AC246+('Tablas Servicio'!AG245-'Tablas Servicio'!AC245),(AC246+$A245/frec)/(1-IF(B246&lt;=Parámetros!$D$117,Parámetros!$D$100,0))),2))</f>
        <v>49.8</v>
      </c>
      <c r="AG246" s="66">
        <f t="shared" si="339"/>
        <v>49.8</v>
      </c>
      <c r="AH246" s="66">
        <f t="shared" si="340"/>
        <v>0</v>
      </c>
      <c r="AI246" s="66">
        <f t="shared" si="341"/>
        <v>0</v>
      </c>
      <c r="AJ246" s="66">
        <f>+IF($W246="","",ROUND((AG246*Parámetros!$G$85),2))</f>
        <v>1.74</v>
      </c>
      <c r="AK246" s="66">
        <f>+IF($W246="","",ROUND((AG246*(Parámetros!$G$86)),2))</f>
        <v>0.25</v>
      </c>
      <c r="AL246" s="66">
        <f t="shared" si="335"/>
        <v>51.79</v>
      </c>
      <c r="AM246" t="str">
        <f t="shared" ref="AM246:AM309" si="383">+IF($W246="","",AM245)</f>
        <v>00059</v>
      </c>
      <c r="AN246" t="str">
        <f t="shared" ref="AN246:AN309" si="384">+IF($W246="","",AN245)</f>
        <v>Incapacidad Total y Permanente</v>
      </c>
      <c r="AO246" s="118">
        <f t="shared" ref="AO246:AO309" si="385">+IF($W246="","",AO245)</f>
        <v>0</v>
      </c>
      <c r="AP246" s="118" t="str">
        <f t="shared" ref="AP246:AP309" si="386">+IF($W246="","",AP245)</f>
        <v>A</v>
      </c>
      <c r="AQ246" s="119" t="str">
        <f>+IF(OR($W246="",AO246=0),"",ROUND((VLOOKUP(ROUNDDOWN($D246-1/frec,0),cob_adi,Z$40,FALSE)*(1+i/frec)^-0.5*(1+Parámetros!$D$103)*(1+rec_fracc)/frec),6))</f>
        <v/>
      </c>
      <c r="AR246" s="66">
        <f t="shared" si="342"/>
        <v>0</v>
      </c>
      <c r="AS246" s="119" t="str">
        <f t="shared" si="343"/>
        <v/>
      </c>
      <c r="AT246" s="66">
        <f>+IF($W246="","",ROUND(IF($B246&gt;Parámetros!$D$107,'Tablas Servicio'!AR246+('Tablas Servicio'!AT245-'Tablas Servicio'!AR245),AR246/(1-IF(B246&lt;=10,Parámetros!$D$100,0))),2))</f>
        <v>0</v>
      </c>
      <c r="AU246" s="66">
        <f t="shared" si="344"/>
        <v>0</v>
      </c>
      <c r="AV246" s="66">
        <f t="shared" si="344"/>
        <v>0</v>
      </c>
      <c r="AW246" s="66">
        <f>+IF($W246="","",ROUND((AT246*Parámetros!$G$85),2))</f>
        <v>0</v>
      </c>
      <c r="AX246" s="66">
        <f>+IF($W246="","",ROUND((AT246*(Parámetros!$G$86)),2))</f>
        <v>0</v>
      </c>
      <c r="AY246" s="66">
        <f t="shared" si="345"/>
        <v>0</v>
      </c>
      <c r="AZ246" t="str">
        <f t="shared" ref="AZ246:AZ309" si="387">+IF($W246="","",AZ245)</f>
        <v>00060</v>
      </c>
      <c r="BA246" t="str">
        <f t="shared" ref="BA246:BA309" si="388">+IF($W246="","",BA245)</f>
        <v>Muerte Accidental</v>
      </c>
      <c r="BB246" s="118">
        <f t="shared" ref="BB246:BB309" si="389">+IF($W246="","",BB245)</f>
        <v>0</v>
      </c>
      <c r="BC246" s="118" t="str">
        <f t="shared" ref="BC246:BC309" si="390">+IF($W246="","",BC245)</f>
        <v>A</v>
      </c>
      <c r="BD246" s="119" t="str">
        <f>+IF(OR($W246="",BB246=0),"",ROUND((VLOOKUP(ROUNDDOWN($D246-1/frec,0),cob_adi,AO$40,FALSE)*(1+i/frec)^-0.5*(1+Parámetros!$D$103)*(1+rec_fracc)/frec),6))</f>
        <v/>
      </c>
      <c r="BE246" s="66">
        <f t="shared" si="346"/>
        <v>0</v>
      </c>
      <c r="BF246" s="119" t="str">
        <f t="shared" si="347"/>
        <v/>
      </c>
      <c r="BG246" s="66">
        <f>+IF($W246="","",ROUND(IF($B246&gt;Parámetros!$D$107,'Tablas Servicio'!BE246+('Tablas Servicio'!BG245-'Tablas Servicio'!BE245),BE246/(1-IF(B246&lt;=10,Parámetros!$D$100,0))),2))</f>
        <v>0</v>
      </c>
      <c r="BH246" s="66">
        <f t="shared" si="348"/>
        <v>0</v>
      </c>
      <c r="BI246" s="66">
        <f t="shared" si="349"/>
        <v>0</v>
      </c>
      <c r="BJ246" s="66">
        <f>+IF($W246="","",ROUND((BG246*Parámetros!$G$85),2))</f>
        <v>0</v>
      </c>
      <c r="BK246" s="66">
        <f>+IF($W246="","",ROUND((BG246*(Parámetros!$G$86)),2))</f>
        <v>0</v>
      </c>
      <c r="BL246" s="66">
        <f t="shared" si="350"/>
        <v>0</v>
      </c>
      <c r="BM246" t="str">
        <f t="shared" ref="BM246:BM309" si="391">+IF($W246="","",BM245)</f>
        <v>00061</v>
      </c>
      <c r="BN246" t="str">
        <f t="shared" ref="BN246:BN309" si="392">+IF($W246="","",BN245)</f>
        <v>Gastos de Entierro</v>
      </c>
      <c r="BO246" s="118">
        <f t="shared" ref="BO246:BO309" si="393">+IF($W246="","",BO245)</f>
        <v>0</v>
      </c>
      <c r="BP246" s="118" t="str">
        <f t="shared" ref="BP246:BP309" si="394">+IF($W246="","",BP245)</f>
        <v>A</v>
      </c>
      <c r="BQ246" s="119" t="str">
        <f>+IF(OR($W246="",BO246=0),"",ROUND((VLOOKUP(ROUNDDOWN($D246-1/frec,0),cob_adi,BB$40,FALSE)*(1+i/frec)^-0.5*(1+Parámetros!$D$103)*(1+rec_fracc)/frec),6))</f>
        <v/>
      </c>
      <c r="BR246" s="66">
        <f t="shared" si="351"/>
        <v>0</v>
      </c>
      <c r="BS246" s="119" t="str">
        <f t="shared" si="352"/>
        <v/>
      </c>
      <c r="BT246" s="66">
        <f>+IF($W246="","",ROUND(IF($B246&gt;Parámetros!$D$107,'Tablas Servicio'!BR246+('Tablas Servicio'!BT245-'Tablas Servicio'!BR245),BR246/(1-IF(B246&lt;=10,Parámetros!$D$100,0))),2))</f>
        <v>0</v>
      </c>
      <c r="BU246" s="66">
        <f t="shared" si="353"/>
        <v>0</v>
      </c>
      <c r="BV246" s="66">
        <f t="shared" si="353"/>
        <v>0</v>
      </c>
      <c r="BW246" s="66">
        <f>+IF($W246="","",ROUND((BT246*Parámetros!$G$85),2))</f>
        <v>0</v>
      </c>
      <c r="BX246" s="66">
        <f>+IF($W246="","",ROUND((BT246*(Parámetros!$G$86)),2))</f>
        <v>0</v>
      </c>
      <c r="BY246" s="66">
        <f t="shared" si="354"/>
        <v>0</v>
      </c>
      <c r="BZ246" t="str">
        <f t="shared" ref="BZ246:BZ309" si="395">+IF($W246="","",BZ245)</f>
        <v>00062</v>
      </c>
      <c r="CA246" t="str">
        <f t="shared" ref="CA246:CA309" si="396">+IF($W246="","",CA245)</f>
        <v>Gastos médicos por accidente</v>
      </c>
      <c r="CB246" s="118">
        <f t="shared" ref="CB246:CB309" si="397">+IF($W246="","",CB245)</f>
        <v>0</v>
      </c>
      <c r="CC246" s="118" t="str">
        <f t="shared" ref="CC246:CC309" si="398">+IF($W246="","",CC245)</f>
        <v>A</v>
      </c>
      <c r="CD246" s="119" t="str">
        <f t="shared" si="355"/>
        <v/>
      </c>
      <c r="CE246" s="66">
        <f>+IF($W246="","",ROUND((VLOOKUP(ROUNDDOWN($D246-1/frec,0),cob_adi,BO$40,FALSE)*(1+i/frec)^-0.5*(1+Parámetros!$D$103)*(1+rec_fracc)/frec*'TABLAS ADI'!$BC$17),2))</f>
        <v>0</v>
      </c>
      <c r="CF246" s="119" t="str">
        <f t="shared" si="356"/>
        <v/>
      </c>
      <c r="CG246" s="66">
        <f>+IF($W246="","",ROUND(IF($B246&gt;Parámetros!$D$107,'Tablas Servicio'!CE246+('Tablas Servicio'!CG245-'Tablas Servicio'!CE245),CE246/(1-IF(B246&lt;=10,Parámetros!$D$100,0))),2))</f>
        <v>0</v>
      </c>
      <c r="CH246" s="66">
        <f t="shared" si="357"/>
        <v>0</v>
      </c>
      <c r="CI246" s="66">
        <f t="shared" si="357"/>
        <v>0</v>
      </c>
      <c r="CJ246" s="66">
        <f>+IF($W246="","",ROUND((CG246*Parámetros!$G$85),2))</f>
        <v>0</v>
      </c>
      <c r="CK246" s="66">
        <f>+IF($W246="","",ROUND((CG246*(Parámetros!$G$86)),2))</f>
        <v>0</v>
      </c>
      <c r="CL246" s="66">
        <f t="shared" si="358"/>
        <v>0</v>
      </c>
      <c r="CM246" t="str">
        <f t="shared" ref="CM246:CM309" si="399">+IF($W246="","",CM245)</f>
        <v>00063</v>
      </c>
      <c r="CN246" s="118" t="str">
        <f t="shared" ref="CN246:CN309" si="400">+IF($W246="","",CN245)</f>
        <v>Renta Diaria por Hospitalización</v>
      </c>
      <c r="CO246" s="118">
        <f t="shared" ref="CO246:CO309" si="401">+IF($W246="","",CO245)</f>
        <v>0</v>
      </c>
      <c r="CP246" s="118" t="str">
        <f t="shared" ref="CP246:CP309" si="402">+IF($W246="","",CP245)</f>
        <v>A</v>
      </c>
      <c r="CQ246" s="119" t="str">
        <f t="shared" si="359"/>
        <v/>
      </c>
      <c r="CR246" s="66">
        <f>+IF($W246="","",ROUND((VLOOKUP(Parámetros!$F$51,'COBERTURAS ADICIONALES'!$S$4:$T$32,2,FALSE)*(1+i/frec)^-0.5*(1+Parámetros!$D$103)*(1+rec_fracc)/frec*$CO$42),2))</f>
        <v>0</v>
      </c>
      <c r="CS246" s="119" t="str">
        <f t="shared" si="360"/>
        <v/>
      </c>
      <c r="CT246" s="66">
        <f>+IF($W246="","",ROUND(IF($B246&gt;Parámetros!$D$107,'Tablas Servicio'!CR246+('Tablas Servicio'!CT245-'Tablas Servicio'!CR245),CR246/(1-IF(B246&lt;=10,Parámetros!$D$100,0))),2))</f>
        <v>0</v>
      </c>
      <c r="CU246" s="66">
        <f t="shared" si="361"/>
        <v>0</v>
      </c>
      <c r="CV246" s="66">
        <f t="shared" si="361"/>
        <v>0</v>
      </c>
      <c r="CW246" s="66">
        <f>+IF($W246="","",ROUND((CT246*Parámetros!$G$85),2))</f>
        <v>0</v>
      </c>
      <c r="CX246" s="66">
        <f>+IF($W246="","",ROUND((CT246*(Parámetros!$G$86)),2))</f>
        <v>0</v>
      </c>
      <c r="CY246" s="66">
        <f t="shared" si="362"/>
        <v>0</v>
      </c>
      <c r="CZ246" t="str">
        <f t="shared" ref="CZ246:CZ309" si="403">+IF($W246="","",CZ245)</f>
        <v>00064</v>
      </c>
      <c r="DA246" s="118" t="str">
        <f t="shared" ref="DA246:DA309" si="404">+IF($W246="","",DA245)</f>
        <v>Enfermedades Graves</v>
      </c>
      <c r="DB246" s="118">
        <f t="shared" ref="DB246:DB309" si="405">+IF($W246="","",DB245)</f>
        <v>0</v>
      </c>
      <c r="DC246" s="118" t="str">
        <f t="shared" ref="DC246:DC309" si="406">+IF($W246="","",DC245)</f>
        <v>A</v>
      </c>
      <c r="DD246" s="121" t="str">
        <f>+IF(OR($W246="",DB246=0),"",ROUND((VLOOKUP(ROUNDDOWN($D246-1/frec,0),cob_adi,CO$40,FALSE)*(1+i/frec)^-0.5*(1+Parámetros!$D$103)*(1+rec_fracc)/frec),6))</f>
        <v/>
      </c>
      <c r="DE246" s="66">
        <f t="shared" si="363"/>
        <v>0</v>
      </c>
      <c r="DF246" s="119" t="str">
        <f t="shared" si="364"/>
        <v/>
      </c>
      <c r="DG246" s="66">
        <f>+IF($W246="","",ROUND(IF($B246&gt;Parámetros!$D$107,'Tablas Servicio'!DE246+('Tablas Servicio'!DG245-'Tablas Servicio'!DE245),DE246/(1-IF(B246&lt;=10,Parámetros!$D$100,0))),2))</f>
        <v>0</v>
      </c>
      <c r="DH246" s="66">
        <f t="shared" si="365"/>
        <v>0</v>
      </c>
      <c r="DI246" s="66">
        <f t="shared" si="365"/>
        <v>0</v>
      </c>
      <c r="DJ246" s="66">
        <f>+IF($W246="","",ROUND((DG246*Parámetros!$G$85),2))</f>
        <v>0</v>
      </c>
      <c r="DK246" s="66">
        <f>+IF($W246="","",ROUND((DG246*(Parámetros!$G$86)),2))</f>
        <v>0</v>
      </c>
      <c r="DL246" s="66">
        <f t="shared" si="366"/>
        <v>0</v>
      </c>
      <c r="DM246" t="str">
        <f t="shared" ref="DM246:DM309" si="407">+IF($W246="","",DM245)</f>
        <v>00065</v>
      </c>
      <c r="DN246" s="118" t="str">
        <f t="shared" ref="DN246:DN309" si="408">+IF($W246="","",DN245)</f>
        <v>Exención pago de primas</v>
      </c>
      <c r="DO246" s="118">
        <f t="shared" ref="DO246:DO309" si="409">+IF($W246="","",DO245)</f>
        <v>0</v>
      </c>
      <c r="DP246" s="118" t="str">
        <f t="shared" ref="DP246:DP309" si="410">+IF($W246="","",DP245)</f>
        <v>A</v>
      </c>
      <c r="DQ246" s="122" t="str">
        <f>+IF(OR($W246="",DO246=0),"",ROUND((VLOOKUP(ROUNDDOWN($D246-1/frec,0),cob_adi,DB$40,FALSE)*(1+i/frec)^-0.5*(1+Parámetros!$D$103)*(1+rec_fracc)/frec),6))</f>
        <v/>
      </c>
      <c r="DR246" s="66">
        <f t="shared" si="367"/>
        <v>0</v>
      </c>
      <c r="DS246" s="68" t="str">
        <f t="shared" si="368"/>
        <v/>
      </c>
      <c r="DT246" s="66">
        <f>+IF($W246="","",ROUND(IF($B246&gt;Parámetros!$D$107,'Tablas Servicio'!DR246+('Tablas Servicio'!DT245-'Tablas Servicio'!DR245),DR246/(1-IF(B246&lt;=10,Parámetros!$D$100,0))),2))</f>
        <v>0</v>
      </c>
      <c r="DU246" s="66">
        <f t="shared" si="369"/>
        <v>0</v>
      </c>
      <c r="DV246" s="66">
        <f t="shared" si="369"/>
        <v>0</v>
      </c>
      <c r="DW246" s="66">
        <f>+IF($W246="","",ROUND((DT246*Parámetros!$G$85),2))</f>
        <v>0</v>
      </c>
      <c r="DX246" s="66">
        <f>+IF($W246="","",ROUND((DT246*(Parámetros!$G$86)),2))</f>
        <v>0</v>
      </c>
      <c r="DY246" s="66">
        <f t="shared" si="370"/>
        <v>0</v>
      </c>
      <c r="DZ246" t="str">
        <f t="shared" si="371"/>
        <v>00066</v>
      </c>
      <c r="EA246" s="118" t="str">
        <f t="shared" si="371"/>
        <v>Enfermedad terminal</v>
      </c>
      <c r="EB246" s="118">
        <f>+IF($W246="","",ROUND(IF(Parámetros!$D$25='TABLAS MORT'!$V$33,EB245,Z246/2),0))</f>
        <v>50000</v>
      </c>
      <c r="EC246" s="118" t="str">
        <f t="shared" si="371"/>
        <v>A</v>
      </c>
      <c r="ED246" s="122">
        <f>+IF(OR($W246="",EB246=0),"",ROUND((VLOOKUP(ROUNDDOWN($D246-1/frec,0),cob_adi,DO$40,FALSE)*(1+i/frec)^-0.5*(1+Parámetros!$D$103)*(1+rec_fracc)/frec),6))</f>
        <v>2.6999999999999999E-5</v>
      </c>
      <c r="EE246" s="66">
        <f t="shared" si="372"/>
        <v>1.35</v>
      </c>
      <c r="EF246" s="68">
        <f t="shared" si="373"/>
        <v>2.6999999999999999E-5</v>
      </c>
      <c r="EG246" s="66">
        <f>+IF($W246="","",ROUND(IF($B246&gt;Parámetros!$D$107,'Tablas Servicio'!EE246+('Tablas Servicio'!EG245-'Tablas Servicio'!EE245),EE246/(1-IF(B246&lt;=10,Parámetros!$D$100,0))),2))</f>
        <v>1.35</v>
      </c>
      <c r="EH246" s="66">
        <f t="shared" si="374"/>
        <v>0</v>
      </c>
      <c r="EI246" s="66">
        <f t="shared" si="374"/>
        <v>0</v>
      </c>
      <c r="EJ246" s="66">
        <f>+IF($W246="","",ROUND((EG246*Parámetros!$G$85),2))</f>
        <v>0.05</v>
      </c>
      <c r="EK246" s="66">
        <f>+IF($W246="","",ROUND((EG246*(Parámetros!$G$86)),2))</f>
        <v>0.01</v>
      </c>
      <c r="EL246" s="66">
        <f t="shared" si="375"/>
        <v>1.41</v>
      </c>
    </row>
    <row r="247" spans="1:142" x14ac:dyDescent="0.25">
      <c r="A247">
        <f>+IF($C247="","",ROUND(VLOOKUP('Tablas Servicio'!B247,Parámetros!$H$100:$J$159,IF(Parámetros!$E$16="F",2,3),FALSE),2))</f>
        <v>150</v>
      </c>
      <c r="B247">
        <f t="shared" si="326"/>
        <v>18</v>
      </c>
      <c r="C247" s="57">
        <f>+IF(D247="","",'Tablas Servicio'!C246+1)</f>
        <v>206</v>
      </c>
      <c r="D247" s="56">
        <f>+IF(D246&lt;edadmaxtabla,D246+1/Parámetros!$E$25,"")</f>
        <v>57.186666666667158</v>
      </c>
      <c r="E247" s="57">
        <f t="shared" si="336"/>
        <v>57</v>
      </c>
      <c r="F247" s="59">
        <f t="shared" si="337"/>
        <v>100000</v>
      </c>
      <c r="G247" s="66">
        <f t="shared" si="327"/>
        <v>51.15</v>
      </c>
      <c r="H247" s="66">
        <f t="shared" si="328"/>
        <v>53.199999999999996</v>
      </c>
      <c r="I247" s="66">
        <f t="shared" si="376"/>
        <v>40.800000000000004</v>
      </c>
      <c r="J247" s="66">
        <f t="shared" si="329"/>
        <v>1.79</v>
      </c>
      <c r="K247" s="66">
        <f t="shared" si="330"/>
        <v>0.26</v>
      </c>
      <c r="L247" s="66">
        <f t="shared" si="331"/>
        <v>0</v>
      </c>
      <c r="M247" s="66">
        <f t="shared" si="332"/>
        <v>0</v>
      </c>
      <c r="N247" s="66">
        <f>+IF(C247="","",ROUND(Parámetros!$D$23,2))</f>
        <v>94</v>
      </c>
      <c r="O247" s="66">
        <f t="shared" si="333"/>
        <v>38.65</v>
      </c>
      <c r="P247" s="66">
        <f>+IF($C247="","",ROUND(IF(B247&gt;Parámetros!$D$117,0,N247*Parámetros!$D$116-G247*Parámetros!$D$100),2))</f>
        <v>0</v>
      </c>
      <c r="Q247" s="75">
        <f t="shared" si="377"/>
        <v>3.4995112414467254E-2</v>
      </c>
      <c r="R247" s="75">
        <f t="shared" si="378"/>
        <v>5.083088954056696E-3</v>
      </c>
      <c r="S247" s="117">
        <f>+IF($C247="","",ROUND((S246+I247)*(1+Parámetros!$D$91),2))</f>
        <v>14924.52</v>
      </c>
      <c r="T247" s="117">
        <f>+IF($C247="","",ROUND(S247*VLOOKUP(B247,Parámetros!$C$30:$D$39,2,TRUE),2))</f>
        <v>14924.52</v>
      </c>
      <c r="U247" s="117">
        <f>+IF($C247="","",ROUND((U246+I247)*(1+Parámetros!$D$92),2))</f>
        <v>15656.28</v>
      </c>
      <c r="V247" s="117">
        <f>+IF($C247="","",ROUND(U247*VLOOKUP(B247,Parámetros!$C$30:$D$39,2,TRUE),2))</f>
        <v>15656.28</v>
      </c>
      <c r="W247" s="57">
        <f t="shared" si="379"/>
        <v>206</v>
      </c>
      <c r="X247" t="str">
        <f t="shared" si="380"/>
        <v>00058</v>
      </c>
      <c r="Y247" t="str">
        <f t="shared" si="381"/>
        <v>MUERTE POR CUALQUIER CAUSA</v>
      </c>
      <c r="Z247" s="118">
        <f>+IF($W247="","",ROUND(IF(Parámetros!$D$25='TABLAS MORT'!$V$33,Z246,Parámetros!$D$21-'Tablas Servicio'!T246),0))</f>
        <v>100000</v>
      </c>
      <c r="AA247" s="118" t="str">
        <f t="shared" si="382"/>
        <v>P</v>
      </c>
      <c r="AB247" s="119">
        <f>+IF(W247="","",ROUND((VLOOKUP(ROUNDDOWN($D247-1/frec,0),qx_tabla,2,FALSE)*(1+i/frec)^-0.5*(1+Parámetros!$D$103)*(1+rec_fracc)/frec),6))</f>
        <v>3.7300000000000001E-4</v>
      </c>
      <c r="AC247" s="66">
        <f t="shared" si="338"/>
        <v>37.299999999999997</v>
      </c>
      <c r="AD247" s="119">
        <f t="shared" si="334"/>
        <v>4.9799999999999996E-4</v>
      </c>
      <c r="AE247" s="66">
        <f>+IF($W247="","",ROUND(IF($B247&gt;Parámetros!$D$107,'Tablas Servicio'!AC247+('Tablas Servicio'!AG246-'Tablas Servicio'!AC246),AC247/(1-IF(B247&lt;=10,Parámetros!$D$104,Parámetros!$D$105))),2))</f>
        <v>62.17</v>
      </c>
      <c r="AF247" s="66">
        <f>+IF($W247="","",ROUND(IF($B247&gt;Parámetros!$D$107,'Tablas Servicio'!AC247+('Tablas Servicio'!AG246-'Tablas Servicio'!AC246),(AC247+$A246/frec)/(1-IF(B247&lt;=Parámetros!$D$117,Parámetros!$D$100,0))),2))</f>
        <v>49.8</v>
      </c>
      <c r="AG247" s="66">
        <f t="shared" si="339"/>
        <v>49.8</v>
      </c>
      <c r="AH247" s="66">
        <f t="shared" si="340"/>
        <v>0</v>
      </c>
      <c r="AI247" s="66">
        <f t="shared" si="341"/>
        <v>0</v>
      </c>
      <c r="AJ247" s="66">
        <f>+IF($W247="","",ROUND((AG247*Parámetros!$G$85),2))</f>
        <v>1.74</v>
      </c>
      <c r="AK247" s="66">
        <f>+IF($W247="","",ROUND((AG247*(Parámetros!$G$86)),2))</f>
        <v>0.25</v>
      </c>
      <c r="AL247" s="66">
        <f t="shared" si="335"/>
        <v>51.79</v>
      </c>
      <c r="AM247" t="str">
        <f t="shared" si="383"/>
        <v>00059</v>
      </c>
      <c r="AN247" t="str">
        <f t="shared" si="384"/>
        <v>Incapacidad Total y Permanente</v>
      </c>
      <c r="AO247" s="118">
        <f t="shared" si="385"/>
        <v>0</v>
      </c>
      <c r="AP247" s="118" t="str">
        <f t="shared" si="386"/>
        <v>A</v>
      </c>
      <c r="AQ247" s="119" t="str">
        <f>+IF(OR($W247="",AO247=0),"",ROUND((VLOOKUP(ROUNDDOWN($D247-1/frec,0),cob_adi,Z$40,FALSE)*(1+i/frec)^-0.5*(1+Parámetros!$D$103)*(1+rec_fracc)/frec),6))</f>
        <v/>
      </c>
      <c r="AR247" s="66">
        <f t="shared" si="342"/>
        <v>0</v>
      </c>
      <c r="AS247" s="119" t="str">
        <f t="shared" si="343"/>
        <v/>
      </c>
      <c r="AT247" s="66">
        <f>+IF($W247="","",ROUND(IF($B247&gt;Parámetros!$D$107,'Tablas Servicio'!AR247+('Tablas Servicio'!AT246-'Tablas Servicio'!AR246),AR247/(1-IF(B247&lt;=10,Parámetros!$D$100,0))),2))</f>
        <v>0</v>
      </c>
      <c r="AU247" s="66">
        <f t="shared" si="344"/>
        <v>0</v>
      </c>
      <c r="AV247" s="66">
        <f t="shared" si="344"/>
        <v>0</v>
      </c>
      <c r="AW247" s="66">
        <f>+IF($W247="","",ROUND((AT247*Parámetros!$G$85),2))</f>
        <v>0</v>
      </c>
      <c r="AX247" s="66">
        <f>+IF($W247="","",ROUND((AT247*(Parámetros!$G$86)),2))</f>
        <v>0</v>
      </c>
      <c r="AY247" s="66">
        <f t="shared" si="345"/>
        <v>0</v>
      </c>
      <c r="AZ247" t="str">
        <f t="shared" si="387"/>
        <v>00060</v>
      </c>
      <c r="BA247" t="str">
        <f t="shared" si="388"/>
        <v>Muerte Accidental</v>
      </c>
      <c r="BB247" s="118">
        <f t="shared" si="389"/>
        <v>0</v>
      </c>
      <c r="BC247" s="118" t="str">
        <f t="shared" si="390"/>
        <v>A</v>
      </c>
      <c r="BD247" s="119" t="str">
        <f>+IF(OR($W247="",BB247=0),"",ROUND((VLOOKUP(ROUNDDOWN($D247-1/frec,0),cob_adi,AO$40,FALSE)*(1+i/frec)^-0.5*(1+Parámetros!$D$103)*(1+rec_fracc)/frec),6))</f>
        <v/>
      </c>
      <c r="BE247" s="66">
        <f t="shared" si="346"/>
        <v>0</v>
      </c>
      <c r="BF247" s="119" t="str">
        <f t="shared" si="347"/>
        <v/>
      </c>
      <c r="BG247" s="66">
        <f>+IF($W247="","",ROUND(IF($B247&gt;Parámetros!$D$107,'Tablas Servicio'!BE247+('Tablas Servicio'!BG246-'Tablas Servicio'!BE246),BE247/(1-IF(B247&lt;=10,Parámetros!$D$100,0))),2))</f>
        <v>0</v>
      </c>
      <c r="BH247" s="66">
        <f t="shared" si="348"/>
        <v>0</v>
      </c>
      <c r="BI247" s="66">
        <f t="shared" si="349"/>
        <v>0</v>
      </c>
      <c r="BJ247" s="66">
        <f>+IF($W247="","",ROUND((BG247*Parámetros!$G$85),2))</f>
        <v>0</v>
      </c>
      <c r="BK247" s="66">
        <f>+IF($W247="","",ROUND((BG247*(Parámetros!$G$86)),2))</f>
        <v>0</v>
      </c>
      <c r="BL247" s="66">
        <f t="shared" si="350"/>
        <v>0</v>
      </c>
      <c r="BM247" t="str">
        <f t="shared" si="391"/>
        <v>00061</v>
      </c>
      <c r="BN247" t="str">
        <f t="shared" si="392"/>
        <v>Gastos de Entierro</v>
      </c>
      <c r="BO247" s="118">
        <f t="shared" si="393"/>
        <v>0</v>
      </c>
      <c r="BP247" s="118" t="str">
        <f t="shared" si="394"/>
        <v>A</v>
      </c>
      <c r="BQ247" s="119" t="str">
        <f>+IF(OR($W247="",BO247=0),"",ROUND((VLOOKUP(ROUNDDOWN($D247-1/frec,0),cob_adi,BB$40,FALSE)*(1+i/frec)^-0.5*(1+Parámetros!$D$103)*(1+rec_fracc)/frec),6))</f>
        <v/>
      </c>
      <c r="BR247" s="66">
        <f t="shared" si="351"/>
        <v>0</v>
      </c>
      <c r="BS247" s="119" t="str">
        <f t="shared" si="352"/>
        <v/>
      </c>
      <c r="BT247" s="66">
        <f>+IF($W247="","",ROUND(IF($B247&gt;Parámetros!$D$107,'Tablas Servicio'!BR247+('Tablas Servicio'!BT246-'Tablas Servicio'!BR246),BR247/(1-IF(B247&lt;=10,Parámetros!$D$100,0))),2))</f>
        <v>0</v>
      </c>
      <c r="BU247" s="66">
        <f t="shared" si="353"/>
        <v>0</v>
      </c>
      <c r="BV247" s="66">
        <f t="shared" si="353"/>
        <v>0</v>
      </c>
      <c r="BW247" s="66">
        <f>+IF($W247="","",ROUND((BT247*Parámetros!$G$85),2))</f>
        <v>0</v>
      </c>
      <c r="BX247" s="66">
        <f>+IF($W247="","",ROUND((BT247*(Parámetros!$G$86)),2))</f>
        <v>0</v>
      </c>
      <c r="BY247" s="66">
        <f t="shared" si="354"/>
        <v>0</v>
      </c>
      <c r="BZ247" t="str">
        <f t="shared" si="395"/>
        <v>00062</v>
      </c>
      <c r="CA247" t="str">
        <f t="shared" si="396"/>
        <v>Gastos médicos por accidente</v>
      </c>
      <c r="CB247" s="118">
        <f t="shared" si="397"/>
        <v>0</v>
      </c>
      <c r="CC247" s="118" t="str">
        <f t="shared" si="398"/>
        <v>A</v>
      </c>
      <c r="CD247" s="119" t="str">
        <f t="shared" si="355"/>
        <v/>
      </c>
      <c r="CE247" s="66">
        <f>+IF($W247="","",ROUND((VLOOKUP(ROUNDDOWN($D247-1/frec,0),cob_adi,BO$40,FALSE)*(1+i/frec)^-0.5*(1+Parámetros!$D$103)*(1+rec_fracc)/frec*'TABLAS ADI'!$BC$17),2))</f>
        <v>0</v>
      </c>
      <c r="CF247" s="119" t="str">
        <f t="shared" si="356"/>
        <v/>
      </c>
      <c r="CG247" s="66">
        <f>+IF($W247="","",ROUND(IF($B247&gt;Parámetros!$D$107,'Tablas Servicio'!CE247+('Tablas Servicio'!CG246-'Tablas Servicio'!CE246),CE247/(1-IF(B247&lt;=10,Parámetros!$D$100,0))),2))</f>
        <v>0</v>
      </c>
      <c r="CH247" s="66">
        <f t="shared" si="357"/>
        <v>0</v>
      </c>
      <c r="CI247" s="66">
        <f t="shared" si="357"/>
        <v>0</v>
      </c>
      <c r="CJ247" s="66">
        <f>+IF($W247="","",ROUND((CG247*Parámetros!$G$85),2))</f>
        <v>0</v>
      </c>
      <c r="CK247" s="66">
        <f>+IF($W247="","",ROUND((CG247*(Parámetros!$G$86)),2))</f>
        <v>0</v>
      </c>
      <c r="CL247" s="66">
        <f t="shared" si="358"/>
        <v>0</v>
      </c>
      <c r="CM247" t="str">
        <f t="shared" si="399"/>
        <v>00063</v>
      </c>
      <c r="CN247" s="118" t="str">
        <f t="shared" si="400"/>
        <v>Renta Diaria por Hospitalización</v>
      </c>
      <c r="CO247" s="118">
        <f t="shared" si="401"/>
        <v>0</v>
      </c>
      <c r="CP247" s="118" t="str">
        <f t="shared" si="402"/>
        <v>A</v>
      </c>
      <c r="CQ247" s="119" t="str">
        <f t="shared" si="359"/>
        <v/>
      </c>
      <c r="CR247" s="66">
        <f>+IF($W247="","",ROUND((VLOOKUP(Parámetros!$F$51,'COBERTURAS ADICIONALES'!$S$4:$T$32,2,FALSE)*(1+i/frec)^-0.5*(1+Parámetros!$D$103)*(1+rec_fracc)/frec*$CO$42),2))</f>
        <v>0</v>
      </c>
      <c r="CS247" s="119" t="str">
        <f t="shared" si="360"/>
        <v/>
      </c>
      <c r="CT247" s="66">
        <f>+IF($W247="","",ROUND(IF($B247&gt;Parámetros!$D$107,'Tablas Servicio'!CR247+('Tablas Servicio'!CT246-'Tablas Servicio'!CR246),CR247/(1-IF(B247&lt;=10,Parámetros!$D$100,0))),2))</f>
        <v>0</v>
      </c>
      <c r="CU247" s="66">
        <f t="shared" si="361"/>
        <v>0</v>
      </c>
      <c r="CV247" s="66">
        <f t="shared" si="361"/>
        <v>0</v>
      </c>
      <c r="CW247" s="66">
        <f>+IF($W247="","",ROUND((CT247*Parámetros!$G$85),2))</f>
        <v>0</v>
      </c>
      <c r="CX247" s="66">
        <f>+IF($W247="","",ROUND((CT247*(Parámetros!$G$86)),2))</f>
        <v>0</v>
      </c>
      <c r="CY247" s="66">
        <f t="shared" si="362"/>
        <v>0</v>
      </c>
      <c r="CZ247" t="str">
        <f t="shared" si="403"/>
        <v>00064</v>
      </c>
      <c r="DA247" s="118" t="str">
        <f t="shared" si="404"/>
        <v>Enfermedades Graves</v>
      </c>
      <c r="DB247" s="118">
        <f t="shared" si="405"/>
        <v>0</v>
      </c>
      <c r="DC247" s="118" t="str">
        <f t="shared" si="406"/>
        <v>A</v>
      </c>
      <c r="DD247" s="121" t="str">
        <f>+IF(OR($W247="",DB247=0),"",ROUND((VLOOKUP(ROUNDDOWN($D247-1/frec,0),cob_adi,CO$40,FALSE)*(1+i/frec)^-0.5*(1+Parámetros!$D$103)*(1+rec_fracc)/frec),6))</f>
        <v/>
      </c>
      <c r="DE247" s="66">
        <f t="shared" si="363"/>
        <v>0</v>
      </c>
      <c r="DF247" s="119" t="str">
        <f t="shared" si="364"/>
        <v/>
      </c>
      <c r="DG247" s="66">
        <f>+IF($W247="","",ROUND(IF($B247&gt;Parámetros!$D$107,'Tablas Servicio'!DE247+('Tablas Servicio'!DG246-'Tablas Servicio'!DE246),DE247/(1-IF(B247&lt;=10,Parámetros!$D$100,0))),2))</f>
        <v>0</v>
      </c>
      <c r="DH247" s="66">
        <f t="shared" si="365"/>
        <v>0</v>
      </c>
      <c r="DI247" s="66">
        <f t="shared" si="365"/>
        <v>0</v>
      </c>
      <c r="DJ247" s="66">
        <f>+IF($W247="","",ROUND((DG247*Parámetros!$G$85),2))</f>
        <v>0</v>
      </c>
      <c r="DK247" s="66">
        <f>+IF($W247="","",ROUND((DG247*(Parámetros!$G$86)),2))</f>
        <v>0</v>
      </c>
      <c r="DL247" s="66">
        <f t="shared" si="366"/>
        <v>0</v>
      </c>
      <c r="DM247" t="str">
        <f t="shared" si="407"/>
        <v>00065</v>
      </c>
      <c r="DN247" s="118" t="str">
        <f t="shared" si="408"/>
        <v>Exención pago de primas</v>
      </c>
      <c r="DO247" s="118">
        <f t="shared" si="409"/>
        <v>0</v>
      </c>
      <c r="DP247" s="118" t="str">
        <f t="shared" si="410"/>
        <v>A</v>
      </c>
      <c r="DQ247" s="122" t="str">
        <f>+IF(OR($W247="",DO247=0),"",ROUND((VLOOKUP(ROUNDDOWN($D247-1/frec,0),cob_adi,DB$40,FALSE)*(1+i/frec)^-0.5*(1+Parámetros!$D$103)*(1+rec_fracc)/frec),6))</f>
        <v/>
      </c>
      <c r="DR247" s="66">
        <f t="shared" si="367"/>
        <v>0</v>
      </c>
      <c r="DS247" s="68" t="str">
        <f t="shared" si="368"/>
        <v/>
      </c>
      <c r="DT247" s="66">
        <f>+IF($W247="","",ROUND(IF($B247&gt;Parámetros!$D$107,'Tablas Servicio'!DR247+('Tablas Servicio'!DT246-'Tablas Servicio'!DR246),DR247/(1-IF(B247&lt;=10,Parámetros!$D$100,0))),2))</f>
        <v>0</v>
      </c>
      <c r="DU247" s="66">
        <f t="shared" si="369"/>
        <v>0</v>
      </c>
      <c r="DV247" s="66">
        <f t="shared" si="369"/>
        <v>0</v>
      </c>
      <c r="DW247" s="66">
        <f>+IF($W247="","",ROUND((DT247*Parámetros!$G$85),2))</f>
        <v>0</v>
      </c>
      <c r="DX247" s="66">
        <f>+IF($W247="","",ROUND((DT247*(Parámetros!$G$86)),2))</f>
        <v>0</v>
      </c>
      <c r="DY247" s="66">
        <f t="shared" si="370"/>
        <v>0</v>
      </c>
      <c r="DZ247" t="str">
        <f t="shared" si="371"/>
        <v>00066</v>
      </c>
      <c r="EA247" s="118" t="str">
        <f t="shared" si="371"/>
        <v>Enfermedad terminal</v>
      </c>
      <c r="EB247" s="118">
        <f>+IF($W247="","",ROUND(IF(Parámetros!$D$25='TABLAS MORT'!$V$33,EB246,Z247/2),0))</f>
        <v>50000</v>
      </c>
      <c r="EC247" s="118" t="str">
        <f t="shared" si="371"/>
        <v>A</v>
      </c>
      <c r="ED247" s="122">
        <f>+IF(OR($W247="",EB247=0),"",ROUND((VLOOKUP(ROUNDDOWN($D247-1/frec,0),cob_adi,DO$40,FALSE)*(1+i/frec)^-0.5*(1+Parámetros!$D$103)*(1+rec_fracc)/frec),6))</f>
        <v>2.6999999999999999E-5</v>
      </c>
      <c r="EE247" s="66">
        <f t="shared" si="372"/>
        <v>1.35</v>
      </c>
      <c r="EF247" s="68">
        <f t="shared" si="373"/>
        <v>2.6999999999999999E-5</v>
      </c>
      <c r="EG247" s="66">
        <f>+IF($W247="","",ROUND(IF($B247&gt;Parámetros!$D$107,'Tablas Servicio'!EE247+('Tablas Servicio'!EG246-'Tablas Servicio'!EE246),EE247/(1-IF(B247&lt;=10,Parámetros!$D$100,0))),2))</f>
        <v>1.35</v>
      </c>
      <c r="EH247" s="66">
        <f t="shared" si="374"/>
        <v>0</v>
      </c>
      <c r="EI247" s="66">
        <f t="shared" si="374"/>
        <v>0</v>
      </c>
      <c r="EJ247" s="66">
        <f>+IF($W247="","",ROUND((EG247*Parámetros!$G$85),2))</f>
        <v>0.05</v>
      </c>
      <c r="EK247" s="66">
        <f>+IF($W247="","",ROUND((EG247*(Parámetros!$G$86)),2))</f>
        <v>0.01</v>
      </c>
      <c r="EL247" s="66">
        <f t="shared" si="375"/>
        <v>1.41</v>
      </c>
    </row>
    <row r="248" spans="1:142" x14ac:dyDescent="0.25">
      <c r="A248">
        <f>+IF($C248="","",ROUND(VLOOKUP('Tablas Servicio'!B248,Parámetros!$H$100:$J$159,IF(Parámetros!$E$16="F",2,3),FALSE),2))</f>
        <v>150</v>
      </c>
      <c r="B248">
        <f t="shared" si="326"/>
        <v>18</v>
      </c>
      <c r="C248" s="57">
        <f>+IF(D248="","",'Tablas Servicio'!C247+1)</f>
        <v>207</v>
      </c>
      <c r="D248" s="56">
        <f>+IF(D247&lt;edadmaxtabla,D247+1/Parámetros!$E$25,"")</f>
        <v>57.270000000000493</v>
      </c>
      <c r="E248" s="57">
        <f t="shared" si="336"/>
        <v>57</v>
      </c>
      <c r="F248" s="59">
        <f t="shared" si="337"/>
        <v>100000</v>
      </c>
      <c r="G248" s="66">
        <f t="shared" si="327"/>
        <v>51.15</v>
      </c>
      <c r="H248" s="66">
        <f t="shared" si="328"/>
        <v>53.199999999999996</v>
      </c>
      <c r="I248" s="66">
        <f t="shared" si="376"/>
        <v>40.800000000000004</v>
      </c>
      <c r="J248" s="66">
        <f t="shared" si="329"/>
        <v>1.79</v>
      </c>
      <c r="K248" s="66">
        <f t="shared" si="330"/>
        <v>0.26</v>
      </c>
      <c r="L248" s="66">
        <f t="shared" si="331"/>
        <v>0</v>
      </c>
      <c r="M248" s="66">
        <f t="shared" si="332"/>
        <v>0</v>
      </c>
      <c r="N248" s="66">
        <f>+IF(C248="","",ROUND(Parámetros!$D$23,2))</f>
        <v>94</v>
      </c>
      <c r="O248" s="66">
        <f t="shared" si="333"/>
        <v>38.65</v>
      </c>
      <c r="P248" s="66">
        <f>+IF($C248="","",ROUND(IF(B248&gt;Parámetros!$D$117,0,N248*Parámetros!$D$116-G248*Parámetros!$D$100),2))</f>
        <v>0</v>
      </c>
      <c r="Q248" s="75">
        <f t="shared" si="377"/>
        <v>3.4995112414467254E-2</v>
      </c>
      <c r="R248" s="75">
        <f t="shared" si="378"/>
        <v>5.083088954056696E-3</v>
      </c>
      <c r="S248" s="117">
        <f>+IF($C248="","",ROUND((S247+I248)*(1+Parámetros!$D$91),2))</f>
        <v>15007.77</v>
      </c>
      <c r="T248" s="117">
        <f>+IF($C248="","",ROUND(S248*VLOOKUP(B248,Parámetros!$C$30:$D$39,2,TRUE),2))</f>
        <v>15007.77</v>
      </c>
      <c r="U248" s="117">
        <f>+IF($C248="","",ROUND((U247+I248)*(1+Parámetros!$D$92),2))</f>
        <v>15747.96</v>
      </c>
      <c r="V248" s="117">
        <f>+IF($C248="","",ROUND(U248*VLOOKUP(B248,Parámetros!$C$30:$D$39,2,TRUE),2))</f>
        <v>15747.96</v>
      </c>
      <c r="W248" s="57">
        <f t="shared" si="379"/>
        <v>207</v>
      </c>
      <c r="X248" t="str">
        <f t="shared" si="380"/>
        <v>00058</v>
      </c>
      <c r="Y248" t="str">
        <f t="shared" si="381"/>
        <v>MUERTE POR CUALQUIER CAUSA</v>
      </c>
      <c r="Z248" s="118">
        <f>+IF($W248="","",ROUND(IF(Parámetros!$D$25='TABLAS MORT'!$V$33,Z247,Parámetros!$D$21-'Tablas Servicio'!T247),0))</f>
        <v>100000</v>
      </c>
      <c r="AA248" s="118" t="str">
        <f t="shared" si="382"/>
        <v>P</v>
      </c>
      <c r="AB248" s="119">
        <f>+IF(W248="","",ROUND((VLOOKUP(ROUNDDOWN($D248-1/frec,0),qx_tabla,2,FALSE)*(1+i/frec)^-0.5*(1+Parámetros!$D$103)*(1+rec_fracc)/frec),6))</f>
        <v>3.7300000000000001E-4</v>
      </c>
      <c r="AC248" s="66">
        <f t="shared" si="338"/>
        <v>37.299999999999997</v>
      </c>
      <c r="AD248" s="119">
        <f t="shared" si="334"/>
        <v>4.9799999999999996E-4</v>
      </c>
      <c r="AE248" s="66">
        <f>+IF($W248="","",ROUND(IF($B248&gt;Parámetros!$D$107,'Tablas Servicio'!AC248+('Tablas Servicio'!AG247-'Tablas Servicio'!AC247),AC248/(1-IF(B248&lt;=10,Parámetros!$D$104,Parámetros!$D$105))),2))</f>
        <v>62.17</v>
      </c>
      <c r="AF248" s="66">
        <f>+IF($W248="","",ROUND(IF($B248&gt;Parámetros!$D$107,'Tablas Servicio'!AC248+('Tablas Servicio'!AG247-'Tablas Servicio'!AC247),(AC248+$A247/frec)/(1-IF(B248&lt;=Parámetros!$D$117,Parámetros!$D$100,0))),2))</f>
        <v>49.8</v>
      </c>
      <c r="AG248" s="66">
        <f t="shared" si="339"/>
        <v>49.8</v>
      </c>
      <c r="AH248" s="66">
        <f t="shared" si="340"/>
        <v>0</v>
      </c>
      <c r="AI248" s="66">
        <f t="shared" si="341"/>
        <v>0</v>
      </c>
      <c r="AJ248" s="66">
        <f>+IF($W248="","",ROUND((AG248*Parámetros!$G$85),2))</f>
        <v>1.74</v>
      </c>
      <c r="AK248" s="66">
        <f>+IF($W248="","",ROUND((AG248*(Parámetros!$G$86)),2))</f>
        <v>0.25</v>
      </c>
      <c r="AL248" s="66">
        <f t="shared" si="335"/>
        <v>51.79</v>
      </c>
      <c r="AM248" t="str">
        <f t="shared" si="383"/>
        <v>00059</v>
      </c>
      <c r="AN248" t="str">
        <f t="shared" si="384"/>
        <v>Incapacidad Total y Permanente</v>
      </c>
      <c r="AO248" s="118">
        <f t="shared" si="385"/>
        <v>0</v>
      </c>
      <c r="AP248" s="118" t="str">
        <f t="shared" si="386"/>
        <v>A</v>
      </c>
      <c r="AQ248" s="119" t="str">
        <f>+IF(OR($W248="",AO248=0),"",ROUND((VLOOKUP(ROUNDDOWN($D248-1/frec,0),cob_adi,Z$40,FALSE)*(1+i/frec)^-0.5*(1+Parámetros!$D$103)*(1+rec_fracc)/frec),6))</f>
        <v/>
      </c>
      <c r="AR248" s="66">
        <f t="shared" si="342"/>
        <v>0</v>
      </c>
      <c r="AS248" s="119" t="str">
        <f t="shared" si="343"/>
        <v/>
      </c>
      <c r="AT248" s="66">
        <f>+IF($W248="","",ROUND(IF($B248&gt;Parámetros!$D$107,'Tablas Servicio'!AR248+('Tablas Servicio'!AT247-'Tablas Servicio'!AR247),AR248/(1-IF(B248&lt;=10,Parámetros!$D$100,0))),2))</f>
        <v>0</v>
      </c>
      <c r="AU248" s="66">
        <f t="shared" si="344"/>
        <v>0</v>
      </c>
      <c r="AV248" s="66">
        <f t="shared" si="344"/>
        <v>0</v>
      </c>
      <c r="AW248" s="66">
        <f>+IF($W248="","",ROUND((AT248*Parámetros!$G$85),2))</f>
        <v>0</v>
      </c>
      <c r="AX248" s="66">
        <f>+IF($W248="","",ROUND((AT248*(Parámetros!$G$86)),2))</f>
        <v>0</v>
      </c>
      <c r="AY248" s="66">
        <f t="shared" si="345"/>
        <v>0</v>
      </c>
      <c r="AZ248" t="str">
        <f t="shared" si="387"/>
        <v>00060</v>
      </c>
      <c r="BA248" t="str">
        <f t="shared" si="388"/>
        <v>Muerte Accidental</v>
      </c>
      <c r="BB248" s="118">
        <f t="shared" si="389"/>
        <v>0</v>
      </c>
      <c r="BC248" s="118" t="str">
        <f t="shared" si="390"/>
        <v>A</v>
      </c>
      <c r="BD248" s="119" t="str">
        <f>+IF(OR($W248="",BB248=0),"",ROUND((VLOOKUP(ROUNDDOWN($D248-1/frec,0),cob_adi,AO$40,FALSE)*(1+i/frec)^-0.5*(1+Parámetros!$D$103)*(1+rec_fracc)/frec),6))</f>
        <v/>
      </c>
      <c r="BE248" s="66">
        <f t="shared" si="346"/>
        <v>0</v>
      </c>
      <c r="BF248" s="119" t="str">
        <f t="shared" si="347"/>
        <v/>
      </c>
      <c r="BG248" s="66">
        <f>+IF($W248="","",ROUND(IF($B248&gt;Parámetros!$D$107,'Tablas Servicio'!BE248+('Tablas Servicio'!BG247-'Tablas Servicio'!BE247),BE248/(1-IF(B248&lt;=10,Parámetros!$D$100,0))),2))</f>
        <v>0</v>
      </c>
      <c r="BH248" s="66">
        <f t="shared" si="348"/>
        <v>0</v>
      </c>
      <c r="BI248" s="66">
        <f t="shared" si="349"/>
        <v>0</v>
      </c>
      <c r="BJ248" s="66">
        <f>+IF($W248="","",ROUND((BG248*Parámetros!$G$85),2))</f>
        <v>0</v>
      </c>
      <c r="BK248" s="66">
        <f>+IF($W248="","",ROUND((BG248*(Parámetros!$G$86)),2))</f>
        <v>0</v>
      </c>
      <c r="BL248" s="66">
        <f t="shared" si="350"/>
        <v>0</v>
      </c>
      <c r="BM248" t="str">
        <f t="shared" si="391"/>
        <v>00061</v>
      </c>
      <c r="BN248" t="str">
        <f t="shared" si="392"/>
        <v>Gastos de Entierro</v>
      </c>
      <c r="BO248" s="118">
        <f t="shared" si="393"/>
        <v>0</v>
      </c>
      <c r="BP248" s="118" t="str">
        <f t="shared" si="394"/>
        <v>A</v>
      </c>
      <c r="BQ248" s="119" t="str">
        <f>+IF(OR($W248="",BO248=0),"",ROUND((VLOOKUP(ROUNDDOWN($D248-1/frec,0),cob_adi,BB$40,FALSE)*(1+i/frec)^-0.5*(1+Parámetros!$D$103)*(1+rec_fracc)/frec),6))</f>
        <v/>
      </c>
      <c r="BR248" s="66">
        <f t="shared" si="351"/>
        <v>0</v>
      </c>
      <c r="BS248" s="119" t="str">
        <f t="shared" si="352"/>
        <v/>
      </c>
      <c r="BT248" s="66">
        <f>+IF($W248="","",ROUND(IF($B248&gt;Parámetros!$D$107,'Tablas Servicio'!BR248+('Tablas Servicio'!BT247-'Tablas Servicio'!BR247),BR248/(1-IF(B248&lt;=10,Parámetros!$D$100,0))),2))</f>
        <v>0</v>
      </c>
      <c r="BU248" s="66">
        <f t="shared" si="353"/>
        <v>0</v>
      </c>
      <c r="BV248" s="66">
        <f t="shared" si="353"/>
        <v>0</v>
      </c>
      <c r="BW248" s="66">
        <f>+IF($W248="","",ROUND((BT248*Parámetros!$G$85),2))</f>
        <v>0</v>
      </c>
      <c r="BX248" s="66">
        <f>+IF($W248="","",ROUND((BT248*(Parámetros!$G$86)),2))</f>
        <v>0</v>
      </c>
      <c r="BY248" s="66">
        <f t="shared" si="354"/>
        <v>0</v>
      </c>
      <c r="BZ248" t="str">
        <f t="shared" si="395"/>
        <v>00062</v>
      </c>
      <c r="CA248" t="str">
        <f t="shared" si="396"/>
        <v>Gastos médicos por accidente</v>
      </c>
      <c r="CB248" s="118">
        <f t="shared" si="397"/>
        <v>0</v>
      </c>
      <c r="CC248" s="118" t="str">
        <f t="shared" si="398"/>
        <v>A</v>
      </c>
      <c r="CD248" s="119" t="str">
        <f t="shared" si="355"/>
        <v/>
      </c>
      <c r="CE248" s="66">
        <f>+IF($W248="","",ROUND((VLOOKUP(ROUNDDOWN($D248-1/frec,0),cob_adi,BO$40,FALSE)*(1+i/frec)^-0.5*(1+Parámetros!$D$103)*(1+rec_fracc)/frec*'TABLAS ADI'!$BC$17),2))</f>
        <v>0</v>
      </c>
      <c r="CF248" s="119" t="str">
        <f t="shared" si="356"/>
        <v/>
      </c>
      <c r="CG248" s="66">
        <f>+IF($W248="","",ROUND(IF($B248&gt;Parámetros!$D$107,'Tablas Servicio'!CE248+('Tablas Servicio'!CG247-'Tablas Servicio'!CE247),CE248/(1-IF(B248&lt;=10,Parámetros!$D$100,0))),2))</f>
        <v>0</v>
      </c>
      <c r="CH248" s="66">
        <f t="shared" si="357"/>
        <v>0</v>
      </c>
      <c r="CI248" s="66">
        <f t="shared" si="357"/>
        <v>0</v>
      </c>
      <c r="CJ248" s="66">
        <f>+IF($W248="","",ROUND((CG248*Parámetros!$G$85),2))</f>
        <v>0</v>
      </c>
      <c r="CK248" s="66">
        <f>+IF($W248="","",ROUND((CG248*(Parámetros!$G$86)),2))</f>
        <v>0</v>
      </c>
      <c r="CL248" s="66">
        <f t="shared" si="358"/>
        <v>0</v>
      </c>
      <c r="CM248" t="str">
        <f t="shared" si="399"/>
        <v>00063</v>
      </c>
      <c r="CN248" s="118" t="str">
        <f t="shared" si="400"/>
        <v>Renta Diaria por Hospitalización</v>
      </c>
      <c r="CO248" s="118">
        <f t="shared" si="401"/>
        <v>0</v>
      </c>
      <c r="CP248" s="118" t="str">
        <f t="shared" si="402"/>
        <v>A</v>
      </c>
      <c r="CQ248" s="119" t="str">
        <f t="shared" si="359"/>
        <v/>
      </c>
      <c r="CR248" s="66">
        <f>+IF($W248="","",ROUND((VLOOKUP(Parámetros!$F$51,'COBERTURAS ADICIONALES'!$S$4:$T$32,2,FALSE)*(1+i/frec)^-0.5*(1+Parámetros!$D$103)*(1+rec_fracc)/frec*$CO$42),2))</f>
        <v>0</v>
      </c>
      <c r="CS248" s="119" t="str">
        <f t="shared" si="360"/>
        <v/>
      </c>
      <c r="CT248" s="66">
        <f>+IF($W248="","",ROUND(IF($B248&gt;Parámetros!$D$107,'Tablas Servicio'!CR248+('Tablas Servicio'!CT247-'Tablas Servicio'!CR247),CR248/(1-IF(B248&lt;=10,Parámetros!$D$100,0))),2))</f>
        <v>0</v>
      </c>
      <c r="CU248" s="66">
        <f t="shared" si="361"/>
        <v>0</v>
      </c>
      <c r="CV248" s="66">
        <f t="shared" si="361"/>
        <v>0</v>
      </c>
      <c r="CW248" s="66">
        <f>+IF($W248="","",ROUND((CT248*Parámetros!$G$85),2))</f>
        <v>0</v>
      </c>
      <c r="CX248" s="66">
        <f>+IF($W248="","",ROUND((CT248*(Parámetros!$G$86)),2))</f>
        <v>0</v>
      </c>
      <c r="CY248" s="66">
        <f t="shared" si="362"/>
        <v>0</v>
      </c>
      <c r="CZ248" t="str">
        <f t="shared" si="403"/>
        <v>00064</v>
      </c>
      <c r="DA248" s="118" t="str">
        <f t="shared" si="404"/>
        <v>Enfermedades Graves</v>
      </c>
      <c r="DB248" s="118">
        <f t="shared" si="405"/>
        <v>0</v>
      </c>
      <c r="DC248" s="118" t="str">
        <f t="shared" si="406"/>
        <v>A</v>
      </c>
      <c r="DD248" s="121" t="str">
        <f>+IF(OR($W248="",DB248=0),"",ROUND((VLOOKUP(ROUNDDOWN($D248-1/frec,0),cob_adi,CO$40,FALSE)*(1+i/frec)^-0.5*(1+Parámetros!$D$103)*(1+rec_fracc)/frec),6))</f>
        <v/>
      </c>
      <c r="DE248" s="66">
        <f t="shared" si="363"/>
        <v>0</v>
      </c>
      <c r="DF248" s="119" t="str">
        <f t="shared" si="364"/>
        <v/>
      </c>
      <c r="DG248" s="66">
        <f>+IF($W248="","",ROUND(IF($B248&gt;Parámetros!$D$107,'Tablas Servicio'!DE248+('Tablas Servicio'!DG247-'Tablas Servicio'!DE247),DE248/(1-IF(B248&lt;=10,Parámetros!$D$100,0))),2))</f>
        <v>0</v>
      </c>
      <c r="DH248" s="66">
        <f t="shared" si="365"/>
        <v>0</v>
      </c>
      <c r="DI248" s="66">
        <f t="shared" si="365"/>
        <v>0</v>
      </c>
      <c r="DJ248" s="66">
        <f>+IF($W248="","",ROUND((DG248*Parámetros!$G$85),2))</f>
        <v>0</v>
      </c>
      <c r="DK248" s="66">
        <f>+IF($W248="","",ROUND((DG248*(Parámetros!$G$86)),2))</f>
        <v>0</v>
      </c>
      <c r="DL248" s="66">
        <f t="shared" si="366"/>
        <v>0</v>
      </c>
      <c r="DM248" t="str">
        <f t="shared" si="407"/>
        <v>00065</v>
      </c>
      <c r="DN248" s="118" t="str">
        <f t="shared" si="408"/>
        <v>Exención pago de primas</v>
      </c>
      <c r="DO248" s="118">
        <f t="shared" si="409"/>
        <v>0</v>
      </c>
      <c r="DP248" s="118" t="str">
        <f t="shared" si="410"/>
        <v>A</v>
      </c>
      <c r="DQ248" s="122" t="str">
        <f>+IF(OR($W248="",DO248=0),"",ROUND((VLOOKUP(ROUNDDOWN($D248-1/frec,0),cob_adi,DB$40,FALSE)*(1+i/frec)^-0.5*(1+Parámetros!$D$103)*(1+rec_fracc)/frec),6))</f>
        <v/>
      </c>
      <c r="DR248" s="66">
        <f t="shared" si="367"/>
        <v>0</v>
      </c>
      <c r="DS248" s="68" t="str">
        <f t="shared" si="368"/>
        <v/>
      </c>
      <c r="DT248" s="66">
        <f>+IF($W248="","",ROUND(IF($B248&gt;Parámetros!$D$107,'Tablas Servicio'!DR248+('Tablas Servicio'!DT247-'Tablas Servicio'!DR247),DR248/(1-IF(B248&lt;=10,Parámetros!$D$100,0))),2))</f>
        <v>0</v>
      </c>
      <c r="DU248" s="66">
        <f t="shared" si="369"/>
        <v>0</v>
      </c>
      <c r="DV248" s="66">
        <f t="shared" si="369"/>
        <v>0</v>
      </c>
      <c r="DW248" s="66">
        <f>+IF($W248="","",ROUND((DT248*Parámetros!$G$85),2))</f>
        <v>0</v>
      </c>
      <c r="DX248" s="66">
        <f>+IF($W248="","",ROUND((DT248*(Parámetros!$G$86)),2))</f>
        <v>0</v>
      </c>
      <c r="DY248" s="66">
        <f t="shared" si="370"/>
        <v>0</v>
      </c>
      <c r="DZ248" t="str">
        <f t="shared" si="371"/>
        <v>00066</v>
      </c>
      <c r="EA248" s="118" t="str">
        <f t="shared" si="371"/>
        <v>Enfermedad terminal</v>
      </c>
      <c r="EB248" s="118">
        <f>+IF($W248="","",ROUND(IF(Parámetros!$D$25='TABLAS MORT'!$V$33,EB247,Z248/2),0))</f>
        <v>50000</v>
      </c>
      <c r="EC248" s="118" t="str">
        <f t="shared" si="371"/>
        <v>A</v>
      </c>
      <c r="ED248" s="122">
        <f>+IF(OR($W248="",EB248=0),"",ROUND((VLOOKUP(ROUNDDOWN($D248-1/frec,0),cob_adi,DO$40,FALSE)*(1+i/frec)^-0.5*(1+Parámetros!$D$103)*(1+rec_fracc)/frec),6))</f>
        <v>2.6999999999999999E-5</v>
      </c>
      <c r="EE248" s="66">
        <f t="shared" si="372"/>
        <v>1.35</v>
      </c>
      <c r="EF248" s="68">
        <f t="shared" si="373"/>
        <v>2.6999999999999999E-5</v>
      </c>
      <c r="EG248" s="66">
        <f>+IF($W248="","",ROUND(IF($B248&gt;Parámetros!$D$107,'Tablas Servicio'!EE248+('Tablas Servicio'!EG247-'Tablas Servicio'!EE247),EE248/(1-IF(B248&lt;=10,Parámetros!$D$100,0))),2))</f>
        <v>1.35</v>
      </c>
      <c r="EH248" s="66">
        <f t="shared" si="374"/>
        <v>0</v>
      </c>
      <c r="EI248" s="66">
        <f t="shared" si="374"/>
        <v>0</v>
      </c>
      <c r="EJ248" s="66">
        <f>+IF($W248="","",ROUND((EG248*Parámetros!$G$85),2))</f>
        <v>0.05</v>
      </c>
      <c r="EK248" s="66">
        <f>+IF($W248="","",ROUND((EG248*(Parámetros!$G$86)),2))</f>
        <v>0.01</v>
      </c>
      <c r="EL248" s="66">
        <f t="shared" si="375"/>
        <v>1.41</v>
      </c>
    </row>
    <row r="249" spans="1:142" x14ac:dyDescent="0.25">
      <c r="A249">
        <f>+IF($C249="","",ROUND(VLOOKUP('Tablas Servicio'!B249,Parámetros!$H$100:$J$159,IF(Parámetros!$E$16="F",2,3),FALSE),2))</f>
        <v>150</v>
      </c>
      <c r="B249">
        <f t="shared" si="326"/>
        <v>18</v>
      </c>
      <c r="C249" s="57">
        <f>+IF(D249="","",'Tablas Servicio'!C248+1)</f>
        <v>208</v>
      </c>
      <c r="D249" s="56">
        <f>+IF(D248&lt;edadmaxtabla,D248+1/Parámetros!$E$25,"")</f>
        <v>57.353333333333829</v>
      </c>
      <c r="E249" s="57">
        <f t="shared" si="336"/>
        <v>57</v>
      </c>
      <c r="F249" s="59">
        <f t="shared" si="337"/>
        <v>100000</v>
      </c>
      <c r="G249" s="66">
        <f t="shared" si="327"/>
        <v>51.15</v>
      </c>
      <c r="H249" s="66">
        <f t="shared" si="328"/>
        <v>53.199999999999996</v>
      </c>
      <c r="I249" s="66">
        <f t="shared" si="376"/>
        <v>40.800000000000004</v>
      </c>
      <c r="J249" s="66">
        <f t="shared" si="329"/>
        <v>1.79</v>
      </c>
      <c r="K249" s="66">
        <f t="shared" si="330"/>
        <v>0.26</v>
      </c>
      <c r="L249" s="66">
        <f t="shared" si="331"/>
        <v>0</v>
      </c>
      <c r="M249" s="66">
        <f t="shared" si="332"/>
        <v>0</v>
      </c>
      <c r="N249" s="66">
        <f>+IF(C249="","",ROUND(Parámetros!$D$23,2))</f>
        <v>94</v>
      </c>
      <c r="O249" s="66">
        <f t="shared" si="333"/>
        <v>38.65</v>
      </c>
      <c r="P249" s="66">
        <f>+IF($C249="","",ROUND(IF(B249&gt;Parámetros!$D$117,0,N249*Parámetros!$D$116-G249*Parámetros!$D$100),2))</f>
        <v>0</v>
      </c>
      <c r="Q249" s="75">
        <f t="shared" si="377"/>
        <v>3.4995112414467254E-2</v>
      </c>
      <c r="R249" s="75">
        <f t="shared" si="378"/>
        <v>5.083088954056696E-3</v>
      </c>
      <c r="S249" s="117">
        <f>+IF($C249="","",ROUND((S248+I249)*(1+Parámetros!$D$91),2))</f>
        <v>15091.25</v>
      </c>
      <c r="T249" s="117">
        <f>+IF($C249="","",ROUND(S249*VLOOKUP(B249,Parámetros!$C$30:$D$39,2,TRUE),2))</f>
        <v>15091.25</v>
      </c>
      <c r="U249" s="117">
        <f>+IF($C249="","",ROUND((U248+I249)*(1+Parámetros!$D$92),2))</f>
        <v>15839.94</v>
      </c>
      <c r="V249" s="117">
        <f>+IF($C249="","",ROUND(U249*VLOOKUP(B249,Parámetros!$C$30:$D$39,2,TRUE),2))</f>
        <v>15839.94</v>
      </c>
      <c r="W249" s="57">
        <f t="shared" si="379"/>
        <v>208</v>
      </c>
      <c r="X249" t="str">
        <f t="shared" si="380"/>
        <v>00058</v>
      </c>
      <c r="Y249" t="str">
        <f t="shared" si="381"/>
        <v>MUERTE POR CUALQUIER CAUSA</v>
      </c>
      <c r="Z249" s="118">
        <f>+IF($W249="","",ROUND(IF(Parámetros!$D$25='TABLAS MORT'!$V$33,Z248,Parámetros!$D$21-'Tablas Servicio'!T248),0))</f>
        <v>100000</v>
      </c>
      <c r="AA249" s="118" t="str">
        <f t="shared" si="382"/>
        <v>P</v>
      </c>
      <c r="AB249" s="119">
        <f>+IF(W249="","",ROUND((VLOOKUP(ROUNDDOWN($D249-1/frec,0),qx_tabla,2,FALSE)*(1+i/frec)^-0.5*(1+Parámetros!$D$103)*(1+rec_fracc)/frec),6))</f>
        <v>3.7300000000000001E-4</v>
      </c>
      <c r="AC249" s="66">
        <f t="shared" si="338"/>
        <v>37.299999999999997</v>
      </c>
      <c r="AD249" s="119">
        <f t="shared" si="334"/>
        <v>4.9799999999999996E-4</v>
      </c>
      <c r="AE249" s="66">
        <f>+IF($W249="","",ROUND(IF($B249&gt;Parámetros!$D$107,'Tablas Servicio'!AC249+('Tablas Servicio'!AG248-'Tablas Servicio'!AC248),AC249/(1-IF(B249&lt;=10,Parámetros!$D$104,Parámetros!$D$105))),2))</f>
        <v>62.17</v>
      </c>
      <c r="AF249" s="66">
        <f>+IF($W249="","",ROUND(IF($B249&gt;Parámetros!$D$107,'Tablas Servicio'!AC249+('Tablas Servicio'!AG248-'Tablas Servicio'!AC248),(AC249+$A248/frec)/(1-IF(B249&lt;=Parámetros!$D$117,Parámetros!$D$100,0))),2))</f>
        <v>49.8</v>
      </c>
      <c r="AG249" s="66">
        <f t="shared" si="339"/>
        <v>49.8</v>
      </c>
      <c r="AH249" s="66">
        <f t="shared" si="340"/>
        <v>0</v>
      </c>
      <c r="AI249" s="66">
        <f t="shared" si="341"/>
        <v>0</v>
      </c>
      <c r="AJ249" s="66">
        <f>+IF($W249="","",ROUND((AG249*Parámetros!$G$85),2))</f>
        <v>1.74</v>
      </c>
      <c r="AK249" s="66">
        <f>+IF($W249="","",ROUND((AG249*(Parámetros!$G$86)),2))</f>
        <v>0.25</v>
      </c>
      <c r="AL249" s="66">
        <f t="shared" si="335"/>
        <v>51.79</v>
      </c>
      <c r="AM249" t="str">
        <f t="shared" si="383"/>
        <v>00059</v>
      </c>
      <c r="AN249" t="str">
        <f t="shared" si="384"/>
        <v>Incapacidad Total y Permanente</v>
      </c>
      <c r="AO249" s="118">
        <f t="shared" si="385"/>
        <v>0</v>
      </c>
      <c r="AP249" s="118" t="str">
        <f t="shared" si="386"/>
        <v>A</v>
      </c>
      <c r="AQ249" s="119" t="str">
        <f>+IF(OR($W249="",AO249=0),"",ROUND((VLOOKUP(ROUNDDOWN($D249-1/frec,0),cob_adi,Z$40,FALSE)*(1+i/frec)^-0.5*(1+Parámetros!$D$103)*(1+rec_fracc)/frec),6))</f>
        <v/>
      </c>
      <c r="AR249" s="66">
        <f t="shared" si="342"/>
        <v>0</v>
      </c>
      <c r="AS249" s="119" t="str">
        <f t="shared" si="343"/>
        <v/>
      </c>
      <c r="AT249" s="66">
        <f>+IF($W249="","",ROUND(IF($B249&gt;Parámetros!$D$107,'Tablas Servicio'!AR249+('Tablas Servicio'!AT248-'Tablas Servicio'!AR248),AR249/(1-IF(B249&lt;=10,Parámetros!$D$100,0))),2))</f>
        <v>0</v>
      </c>
      <c r="AU249" s="66">
        <f t="shared" si="344"/>
        <v>0</v>
      </c>
      <c r="AV249" s="66">
        <f t="shared" si="344"/>
        <v>0</v>
      </c>
      <c r="AW249" s="66">
        <f>+IF($W249="","",ROUND((AT249*Parámetros!$G$85),2))</f>
        <v>0</v>
      </c>
      <c r="AX249" s="66">
        <f>+IF($W249="","",ROUND((AT249*(Parámetros!$G$86)),2))</f>
        <v>0</v>
      </c>
      <c r="AY249" s="66">
        <f t="shared" si="345"/>
        <v>0</v>
      </c>
      <c r="AZ249" t="str">
        <f t="shared" si="387"/>
        <v>00060</v>
      </c>
      <c r="BA249" t="str">
        <f t="shared" si="388"/>
        <v>Muerte Accidental</v>
      </c>
      <c r="BB249" s="118">
        <f t="shared" si="389"/>
        <v>0</v>
      </c>
      <c r="BC249" s="118" t="str">
        <f t="shared" si="390"/>
        <v>A</v>
      </c>
      <c r="BD249" s="119" t="str">
        <f>+IF(OR($W249="",BB249=0),"",ROUND((VLOOKUP(ROUNDDOWN($D249-1/frec,0),cob_adi,AO$40,FALSE)*(1+i/frec)^-0.5*(1+Parámetros!$D$103)*(1+rec_fracc)/frec),6))</f>
        <v/>
      </c>
      <c r="BE249" s="66">
        <f t="shared" si="346"/>
        <v>0</v>
      </c>
      <c r="BF249" s="119" t="str">
        <f t="shared" si="347"/>
        <v/>
      </c>
      <c r="BG249" s="66">
        <f>+IF($W249="","",ROUND(IF($B249&gt;Parámetros!$D$107,'Tablas Servicio'!BE249+('Tablas Servicio'!BG248-'Tablas Servicio'!BE248),BE249/(1-IF(B249&lt;=10,Parámetros!$D$100,0))),2))</f>
        <v>0</v>
      </c>
      <c r="BH249" s="66">
        <f t="shared" si="348"/>
        <v>0</v>
      </c>
      <c r="BI249" s="66">
        <f t="shared" si="349"/>
        <v>0</v>
      </c>
      <c r="BJ249" s="66">
        <f>+IF($W249="","",ROUND((BG249*Parámetros!$G$85),2))</f>
        <v>0</v>
      </c>
      <c r="BK249" s="66">
        <f>+IF($W249="","",ROUND((BG249*(Parámetros!$G$86)),2))</f>
        <v>0</v>
      </c>
      <c r="BL249" s="66">
        <f t="shared" si="350"/>
        <v>0</v>
      </c>
      <c r="BM249" t="str">
        <f t="shared" si="391"/>
        <v>00061</v>
      </c>
      <c r="BN249" t="str">
        <f t="shared" si="392"/>
        <v>Gastos de Entierro</v>
      </c>
      <c r="BO249" s="118">
        <f t="shared" si="393"/>
        <v>0</v>
      </c>
      <c r="BP249" s="118" t="str">
        <f t="shared" si="394"/>
        <v>A</v>
      </c>
      <c r="BQ249" s="119" t="str">
        <f>+IF(OR($W249="",BO249=0),"",ROUND((VLOOKUP(ROUNDDOWN($D249-1/frec,0),cob_adi,BB$40,FALSE)*(1+i/frec)^-0.5*(1+Parámetros!$D$103)*(1+rec_fracc)/frec),6))</f>
        <v/>
      </c>
      <c r="BR249" s="66">
        <f t="shared" si="351"/>
        <v>0</v>
      </c>
      <c r="BS249" s="119" t="str">
        <f t="shared" si="352"/>
        <v/>
      </c>
      <c r="BT249" s="66">
        <f>+IF($W249="","",ROUND(IF($B249&gt;Parámetros!$D$107,'Tablas Servicio'!BR249+('Tablas Servicio'!BT248-'Tablas Servicio'!BR248),BR249/(1-IF(B249&lt;=10,Parámetros!$D$100,0))),2))</f>
        <v>0</v>
      </c>
      <c r="BU249" s="66">
        <f t="shared" si="353"/>
        <v>0</v>
      </c>
      <c r="BV249" s="66">
        <f t="shared" si="353"/>
        <v>0</v>
      </c>
      <c r="BW249" s="66">
        <f>+IF($W249="","",ROUND((BT249*Parámetros!$G$85),2))</f>
        <v>0</v>
      </c>
      <c r="BX249" s="66">
        <f>+IF($W249="","",ROUND((BT249*(Parámetros!$G$86)),2))</f>
        <v>0</v>
      </c>
      <c r="BY249" s="66">
        <f t="shared" si="354"/>
        <v>0</v>
      </c>
      <c r="BZ249" t="str">
        <f t="shared" si="395"/>
        <v>00062</v>
      </c>
      <c r="CA249" t="str">
        <f t="shared" si="396"/>
        <v>Gastos médicos por accidente</v>
      </c>
      <c r="CB249" s="118">
        <f t="shared" si="397"/>
        <v>0</v>
      </c>
      <c r="CC249" s="118" t="str">
        <f t="shared" si="398"/>
        <v>A</v>
      </c>
      <c r="CD249" s="119" t="str">
        <f t="shared" si="355"/>
        <v/>
      </c>
      <c r="CE249" s="66">
        <f>+IF($W249="","",ROUND((VLOOKUP(ROUNDDOWN($D249-1/frec,0),cob_adi,BO$40,FALSE)*(1+i/frec)^-0.5*(1+Parámetros!$D$103)*(1+rec_fracc)/frec*'TABLAS ADI'!$BC$17),2))</f>
        <v>0</v>
      </c>
      <c r="CF249" s="119" t="str">
        <f t="shared" si="356"/>
        <v/>
      </c>
      <c r="CG249" s="66">
        <f>+IF($W249="","",ROUND(IF($B249&gt;Parámetros!$D$107,'Tablas Servicio'!CE249+('Tablas Servicio'!CG248-'Tablas Servicio'!CE248),CE249/(1-IF(B249&lt;=10,Parámetros!$D$100,0))),2))</f>
        <v>0</v>
      </c>
      <c r="CH249" s="66">
        <f t="shared" si="357"/>
        <v>0</v>
      </c>
      <c r="CI249" s="66">
        <f t="shared" si="357"/>
        <v>0</v>
      </c>
      <c r="CJ249" s="66">
        <f>+IF($W249="","",ROUND((CG249*Parámetros!$G$85),2))</f>
        <v>0</v>
      </c>
      <c r="CK249" s="66">
        <f>+IF($W249="","",ROUND((CG249*(Parámetros!$G$86)),2))</f>
        <v>0</v>
      </c>
      <c r="CL249" s="66">
        <f t="shared" si="358"/>
        <v>0</v>
      </c>
      <c r="CM249" t="str">
        <f t="shared" si="399"/>
        <v>00063</v>
      </c>
      <c r="CN249" s="118" t="str">
        <f t="shared" si="400"/>
        <v>Renta Diaria por Hospitalización</v>
      </c>
      <c r="CO249" s="118">
        <f t="shared" si="401"/>
        <v>0</v>
      </c>
      <c r="CP249" s="118" t="str">
        <f t="shared" si="402"/>
        <v>A</v>
      </c>
      <c r="CQ249" s="119" t="str">
        <f t="shared" si="359"/>
        <v/>
      </c>
      <c r="CR249" s="66">
        <f>+IF($W249="","",ROUND((VLOOKUP(Parámetros!$F$51,'COBERTURAS ADICIONALES'!$S$4:$T$32,2,FALSE)*(1+i/frec)^-0.5*(1+Parámetros!$D$103)*(1+rec_fracc)/frec*$CO$42),2))</f>
        <v>0</v>
      </c>
      <c r="CS249" s="119" t="str">
        <f t="shared" si="360"/>
        <v/>
      </c>
      <c r="CT249" s="66">
        <f>+IF($W249="","",ROUND(IF($B249&gt;Parámetros!$D$107,'Tablas Servicio'!CR249+('Tablas Servicio'!CT248-'Tablas Servicio'!CR248),CR249/(1-IF(B249&lt;=10,Parámetros!$D$100,0))),2))</f>
        <v>0</v>
      </c>
      <c r="CU249" s="66">
        <f t="shared" si="361"/>
        <v>0</v>
      </c>
      <c r="CV249" s="66">
        <f t="shared" si="361"/>
        <v>0</v>
      </c>
      <c r="CW249" s="66">
        <f>+IF($W249="","",ROUND((CT249*Parámetros!$G$85),2))</f>
        <v>0</v>
      </c>
      <c r="CX249" s="66">
        <f>+IF($W249="","",ROUND((CT249*(Parámetros!$G$86)),2))</f>
        <v>0</v>
      </c>
      <c r="CY249" s="66">
        <f t="shared" si="362"/>
        <v>0</v>
      </c>
      <c r="CZ249" t="str">
        <f t="shared" si="403"/>
        <v>00064</v>
      </c>
      <c r="DA249" s="118" t="str">
        <f t="shared" si="404"/>
        <v>Enfermedades Graves</v>
      </c>
      <c r="DB249" s="118">
        <f t="shared" si="405"/>
        <v>0</v>
      </c>
      <c r="DC249" s="118" t="str">
        <f t="shared" si="406"/>
        <v>A</v>
      </c>
      <c r="DD249" s="121" t="str">
        <f>+IF(OR($W249="",DB249=0),"",ROUND((VLOOKUP(ROUNDDOWN($D249-1/frec,0),cob_adi,CO$40,FALSE)*(1+i/frec)^-0.5*(1+Parámetros!$D$103)*(1+rec_fracc)/frec),6))</f>
        <v/>
      </c>
      <c r="DE249" s="66">
        <f t="shared" si="363"/>
        <v>0</v>
      </c>
      <c r="DF249" s="119" t="str">
        <f t="shared" si="364"/>
        <v/>
      </c>
      <c r="DG249" s="66">
        <f>+IF($W249="","",ROUND(IF($B249&gt;Parámetros!$D$107,'Tablas Servicio'!DE249+('Tablas Servicio'!DG248-'Tablas Servicio'!DE248),DE249/(1-IF(B249&lt;=10,Parámetros!$D$100,0))),2))</f>
        <v>0</v>
      </c>
      <c r="DH249" s="66">
        <f t="shared" si="365"/>
        <v>0</v>
      </c>
      <c r="DI249" s="66">
        <f t="shared" si="365"/>
        <v>0</v>
      </c>
      <c r="DJ249" s="66">
        <f>+IF($W249="","",ROUND((DG249*Parámetros!$G$85),2))</f>
        <v>0</v>
      </c>
      <c r="DK249" s="66">
        <f>+IF($W249="","",ROUND((DG249*(Parámetros!$G$86)),2))</f>
        <v>0</v>
      </c>
      <c r="DL249" s="66">
        <f t="shared" si="366"/>
        <v>0</v>
      </c>
      <c r="DM249" t="str">
        <f t="shared" si="407"/>
        <v>00065</v>
      </c>
      <c r="DN249" s="118" t="str">
        <f t="shared" si="408"/>
        <v>Exención pago de primas</v>
      </c>
      <c r="DO249" s="118">
        <f t="shared" si="409"/>
        <v>0</v>
      </c>
      <c r="DP249" s="118" t="str">
        <f t="shared" si="410"/>
        <v>A</v>
      </c>
      <c r="DQ249" s="122" t="str">
        <f>+IF(OR($W249="",DO249=0),"",ROUND((VLOOKUP(ROUNDDOWN($D249-1/frec,0),cob_adi,DB$40,FALSE)*(1+i/frec)^-0.5*(1+Parámetros!$D$103)*(1+rec_fracc)/frec),6))</f>
        <v/>
      </c>
      <c r="DR249" s="66">
        <f t="shared" si="367"/>
        <v>0</v>
      </c>
      <c r="DS249" s="68" t="str">
        <f t="shared" si="368"/>
        <v/>
      </c>
      <c r="DT249" s="66">
        <f>+IF($W249="","",ROUND(IF($B249&gt;Parámetros!$D$107,'Tablas Servicio'!DR249+('Tablas Servicio'!DT248-'Tablas Servicio'!DR248),DR249/(1-IF(B249&lt;=10,Parámetros!$D$100,0))),2))</f>
        <v>0</v>
      </c>
      <c r="DU249" s="66">
        <f t="shared" si="369"/>
        <v>0</v>
      </c>
      <c r="DV249" s="66">
        <f t="shared" si="369"/>
        <v>0</v>
      </c>
      <c r="DW249" s="66">
        <f>+IF($W249="","",ROUND((DT249*Parámetros!$G$85),2))</f>
        <v>0</v>
      </c>
      <c r="DX249" s="66">
        <f>+IF($W249="","",ROUND((DT249*(Parámetros!$G$86)),2))</f>
        <v>0</v>
      </c>
      <c r="DY249" s="66">
        <f t="shared" si="370"/>
        <v>0</v>
      </c>
      <c r="DZ249" t="str">
        <f t="shared" si="371"/>
        <v>00066</v>
      </c>
      <c r="EA249" s="118" t="str">
        <f t="shared" si="371"/>
        <v>Enfermedad terminal</v>
      </c>
      <c r="EB249" s="118">
        <f>+IF($W249="","",ROUND(IF(Parámetros!$D$25='TABLAS MORT'!$V$33,EB248,Z249/2),0))</f>
        <v>50000</v>
      </c>
      <c r="EC249" s="118" t="str">
        <f t="shared" si="371"/>
        <v>A</v>
      </c>
      <c r="ED249" s="122">
        <f>+IF(OR($W249="",EB249=0),"",ROUND((VLOOKUP(ROUNDDOWN($D249-1/frec,0),cob_adi,DO$40,FALSE)*(1+i/frec)^-0.5*(1+Parámetros!$D$103)*(1+rec_fracc)/frec),6))</f>
        <v>2.6999999999999999E-5</v>
      </c>
      <c r="EE249" s="66">
        <f t="shared" si="372"/>
        <v>1.35</v>
      </c>
      <c r="EF249" s="68">
        <f t="shared" si="373"/>
        <v>2.6999999999999999E-5</v>
      </c>
      <c r="EG249" s="66">
        <f>+IF($W249="","",ROUND(IF($B249&gt;Parámetros!$D$107,'Tablas Servicio'!EE249+('Tablas Servicio'!EG248-'Tablas Servicio'!EE248),EE249/(1-IF(B249&lt;=10,Parámetros!$D$100,0))),2))</f>
        <v>1.35</v>
      </c>
      <c r="EH249" s="66">
        <f t="shared" si="374"/>
        <v>0</v>
      </c>
      <c r="EI249" s="66">
        <f t="shared" si="374"/>
        <v>0</v>
      </c>
      <c r="EJ249" s="66">
        <f>+IF($W249="","",ROUND((EG249*Parámetros!$G$85),2))</f>
        <v>0.05</v>
      </c>
      <c r="EK249" s="66">
        <f>+IF($W249="","",ROUND((EG249*(Parámetros!$G$86)),2))</f>
        <v>0.01</v>
      </c>
      <c r="EL249" s="66">
        <f t="shared" si="375"/>
        <v>1.41</v>
      </c>
    </row>
    <row r="250" spans="1:142" x14ac:dyDescent="0.25">
      <c r="A250">
        <f>+IF($C250="","",ROUND(VLOOKUP('Tablas Servicio'!B250,Parámetros!$H$100:$J$159,IF(Parámetros!$E$16="F",2,3),FALSE),2))</f>
        <v>150</v>
      </c>
      <c r="B250">
        <f t="shared" si="326"/>
        <v>18</v>
      </c>
      <c r="C250" s="57">
        <f>+IF(D250="","",'Tablas Servicio'!C249+1)</f>
        <v>209</v>
      </c>
      <c r="D250" s="56">
        <f>+IF(D249&lt;edadmaxtabla,D249+1/Parámetros!$E$25,"")</f>
        <v>57.436666666667165</v>
      </c>
      <c r="E250" s="57">
        <f t="shared" si="336"/>
        <v>57</v>
      </c>
      <c r="F250" s="59">
        <f t="shared" si="337"/>
        <v>100000</v>
      </c>
      <c r="G250" s="66">
        <f t="shared" si="327"/>
        <v>51.15</v>
      </c>
      <c r="H250" s="66">
        <f t="shared" si="328"/>
        <v>53.199999999999996</v>
      </c>
      <c r="I250" s="66">
        <f t="shared" si="376"/>
        <v>40.800000000000004</v>
      </c>
      <c r="J250" s="66">
        <f t="shared" si="329"/>
        <v>1.79</v>
      </c>
      <c r="K250" s="66">
        <f t="shared" si="330"/>
        <v>0.26</v>
      </c>
      <c r="L250" s="66">
        <f t="shared" si="331"/>
        <v>0</v>
      </c>
      <c r="M250" s="66">
        <f t="shared" si="332"/>
        <v>0</v>
      </c>
      <c r="N250" s="66">
        <f>+IF(C250="","",ROUND(Parámetros!$D$23,2))</f>
        <v>94</v>
      </c>
      <c r="O250" s="66">
        <f t="shared" si="333"/>
        <v>38.65</v>
      </c>
      <c r="P250" s="66">
        <f>+IF($C250="","",ROUND(IF(B250&gt;Parámetros!$D$117,0,N250*Parámetros!$D$116-G250*Parámetros!$D$100),2))</f>
        <v>0</v>
      </c>
      <c r="Q250" s="75">
        <f t="shared" si="377"/>
        <v>3.4995112414467254E-2</v>
      </c>
      <c r="R250" s="75">
        <f t="shared" si="378"/>
        <v>5.083088954056696E-3</v>
      </c>
      <c r="S250" s="117">
        <f>+IF($C250="","",ROUND((S249+I250)*(1+Parámetros!$D$91),2))</f>
        <v>15174.97</v>
      </c>
      <c r="T250" s="117">
        <f>+IF($C250="","",ROUND(S250*VLOOKUP(B250,Parámetros!$C$30:$D$39,2,TRUE),2))</f>
        <v>15174.97</v>
      </c>
      <c r="U250" s="117">
        <f>+IF($C250="","",ROUND((U249+I250)*(1+Parámetros!$D$92),2))</f>
        <v>15932.22</v>
      </c>
      <c r="V250" s="117">
        <f>+IF($C250="","",ROUND(U250*VLOOKUP(B250,Parámetros!$C$30:$D$39,2,TRUE),2))</f>
        <v>15932.22</v>
      </c>
      <c r="W250" s="57">
        <f t="shared" si="379"/>
        <v>209</v>
      </c>
      <c r="X250" t="str">
        <f t="shared" si="380"/>
        <v>00058</v>
      </c>
      <c r="Y250" t="str">
        <f t="shared" si="381"/>
        <v>MUERTE POR CUALQUIER CAUSA</v>
      </c>
      <c r="Z250" s="118">
        <f>+IF($W250="","",ROUND(IF(Parámetros!$D$25='TABLAS MORT'!$V$33,Z249,Parámetros!$D$21-'Tablas Servicio'!T249),0))</f>
        <v>100000</v>
      </c>
      <c r="AA250" s="118" t="str">
        <f t="shared" si="382"/>
        <v>P</v>
      </c>
      <c r="AB250" s="119">
        <f>+IF(W250="","",ROUND((VLOOKUP(ROUNDDOWN($D250-1/frec,0),qx_tabla,2,FALSE)*(1+i/frec)^-0.5*(1+Parámetros!$D$103)*(1+rec_fracc)/frec),6))</f>
        <v>3.7300000000000001E-4</v>
      </c>
      <c r="AC250" s="66">
        <f t="shared" si="338"/>
        <v>37.299999999999997</v>
      </c>
      <c r="AD250" s="119">
        <f t="shared" si="334"/>
        <v>4.9799999999999996E-4</v>
      </c>
      <c r="AE250" s="66">
        <f>+IF($W250="","",ROUND(IF($B250&gt;Parámetros!$D$107,'Tablas Servicio'!AC250+('Tablas Servicio'!AG249-'Tablas Servicio'!AC249),AC250/(1-IF(B250&lt;=10,Parámetros!$D$104,Parámetros!$D$105))),2))</f>
        <v>62.17</v>
      </c>
      <c r="AF250" s="66">
        <f>+IF($W250="","",ROUND(IF($B250&gt;Parámetros!$D$107,'Tablas Servicio'!AC250+('Tablas Servicio'!AG249-'Tablas Servicio'!AC249),(AC250+$A249/frec)/(1-IF(B250&lt;=Parámetros!$D$117,Parámetros!$D$100,0))),2))</f>
        <v>49.8</v>
      </c>
      <c r="AG250" s="66">
        <f t="shared" si="339"/>
        <v>49.8</v>
      </c>
      <c r="AH250" s="66">
        <f t="shared" si="340"/>
        <v>0</v>
      </c>
      <c r="AI250" s="66">
        <f t="shared" si="341"/>
        <v>0</v>
      </c>
      <c r="AJ250" s="66">
        <f>+IF($W250="","",ROUND((AG250*Parámetros!$G$85),2))</f>
        <v>1.74</v>
      </c>
      <c r="AK250" s="66">
        <f>+IF($W250="","",ROUND((AG250*(Parámetros!$G$86)),2))</f>
        <v>0.25</v>
      </c>
      <c r="AL250" s="66">
        <f t="shared" si="335"/>
        <v>51.79</v>
      </c>
      <c r="AM250" t="str">
        <f t="shared" si="383"/>
        <v>00059</v>
      </c>
      <c r="AN250" t="str">
        <f t="shared" si="384"/>
        <v>Incapacidad Total y Permanente</v>
      </c>
      <c r="AO250" s="118">
        <f t="shared" si="385"/>
        <v>0</v>
      </c>
      <c r="AP250" s="118" t="str">
        <f t="shared" si="386"/>
        <v>A</v>
      </c>
      <c r="AQ250" s="119" t="str">
        <f>+IF(OR($W250="",AO250=0),"",ROUND((VLOOKUP(ROUNDDOWN($D250-1/frec,0),cob_adi,Z$40,FALSE)*(1+i/frec)^-0.5*(1+Parámetros!$D$103)*(1+rec_fracc)/frec),6))</f>
        <v/>
      </c>
      <c r="AR250" s="66">
        <f t="shared" si="342"/>
        <v>0</v>
      </c>
      <c r="AS250" s="119" t="str">
        <f t="shared" si="343"/>
        <v/>
      </c>
      <c r="AT250" s="66">
        <f>+IF($W250="","",ROUND(IF($B250&gt;Parámetros!$D$107,'Tablas Servicio'!AR250+('Tablas Servicio'!AT249-'Tablas Servicio'!AR249),AR250/(1-IF(B250&lt;=10,Parámetros!$D$100,0))),2))</f>
        <v>0</v>
      </c>
      <c r="AU250" s="66">
        <f t="shared" si="344"/>
        <v>0</v>
      </c>
      <c r="AV250" s="66">
        <f t="shared" si="344"/>
        <v>0</v>
      </c>
      <c r="AW250" s="66">
        <f>+IF($W250="","",ROUND((AT250*Parámetros!$G$85),2))</f>
        <v>0</v>
      </c>
      <c r="AX250" s="66">
        <f>+IF($W250="","",ROUND((AT250*(Parámetros!$G$86)),2))</f>
        <v>0</v>
      </c>
      <c r="AY250" s="66">
        <f t="shared" si="345"/>
        <v>0</v>
      </c>
      <c r="AZ250" t="str">
        <f t="shared" si="387"/>
        <v>00060</v>
      </c>
      <c r="BA250" t="str">
        <f t="shared" si="388"/>
        <v>Muerte Accidental</v>
      </c>
      <c r="BB250" s="118">
        <f t="shared" si="389"/>
        <v>0</v>
      </c>
      <c r="BC250" s="118" t="str">
        <f t="shared" si="390"/>
        <v>A</v>
      </c>
      <c r="BD250" s="119" t="str">
        <f>+IF(OR($W250="",BB250=0),"",ROUND((VLOOKUP(ROUNDDOWN($D250-1/frec,0),cob_adi,AO$40,FALSE)*(1+i/frec)^-0.5*(1+Parámetros!$D$103)*(1+rec_fracc)/frec),6))</f>
        <v/>
      </c>
      <c r="BE250" s="66">
        <f t="shared" si="346"/>
        <v>0</v>
      </c>
      <c r="BF250" s="119" t="str">
        <f t="shared" si="347"/>
        <v/>
      </c>
      <c r="BG250" s="66">
        <f>+IF($W250="","",ROUND(IF($B250&gt;Parámetros!$D$107,'Tablas Servicio'!BE250+('Tablas Servicio'!BG249-'Tablas Servicio'!BE249),BE250/(1-IF(B250&lt;=10,Parámetros!$D$100,0))),2))</f>
        <v>0</v>
      </c>
      <c r="BH250" s="66">
        <f t="shared" si="348"/>
        <v>0</v>
      </c>
      <c r="BI250" s="66">
        <f t="shared" si="349"/>
        <v>0</v>
      </c>
      <c r="BJ250" s="66">
        <f>+IF($W250="","",ROUND((BG250*Parámetros!$G$85),2))</f>
        <v>0</v>
      </c>
      <c r="BK250" s="66">
        <f>+IF($W250="","",ROUND((BG250*(Parámetros!$G$86)),2))</f>
        <v>0</v>
      </c>
      <c r="BL250" s="66">
        <f t="shared" si="350"/>
        <v>0</v>
      </c>
      <c r="BM250" t="str">
        <f t="shared" si="391"/>
        <v>00061</v>
      </c>
      <c r="BN250" t="str">
        <f t="shared" si="392"/>
        <v>Gastos de Entierro</v>
      </c>
      <c r="BO250" s="118">
        <f t="shared" si="393"/>
        <v>0</v>
      </c>
      <c r="BP250" s="118" t="str">
        <f t="shared" si="394"/>
        <v>A</v>
      </c>
      <c r="BQ250" s="119" t="str">
        <f>+IF(OR($W250="",BO250=0),"",ROUND((VLOOKUP(ROUNDDOWN($D250-1/frec,0),cob_adi,BB$40,FALSE)*(1+i/frec)^-0.5*(1+Parámetros!$D$103)*(1+rec_fracc)/frec),6))</f>
        <v/>
      </c>
      <c r="BR250" s="66">
        <f t="shared" si="351"/>
        <v>0</v>
      </c>
      <c r="BS250" s="119" t="str">
        <f t="shared" si="352"/>
        <v/>
      </c>
      <c r="BT250" s="66">
        <f>+IF($W250="","",ROUND(IF($B250&gt;Parámetros!$D$107,'Tablas Servicio'!BR250+('Tablas Servicio'!BT249-'Tablas Servicio'!BR249),BR250/(1-IF(B250&lt;=10,Parámetros!$D$100,0))),2))</f>
        <v>0</v>
      </c>
      <c r="BU250" s="66">
        <f t="shared" si="353"/>
        <v>0</v>
      </c>
      <c r="BV250" s="66">
        <f t="shared" si="353"/>
        <v>0</v>
      </c>
      <c r="BW250" s="66">
        <f>+IF($W250="","",ROUND((BT250*Parámetros!$G$85),2))</f>
        <v>0</v>
      </c>
      <c r="BX250" s="66">
        <f>+IF($W250="","",ROUND((BT250*(Parámetros!$G$86)),2))</f>
        <v>0</v>
      </c>
      <c r="BY250" s="66">
        <f t="shared" si="354"/>
        <v>0</v>
      </c>
      <c r="BZ250" t="str">
        <f t="shared" si="395"/>
        <v>00062</v>
      </c>
      <c r="CA250" t="str">
        <f t="shared" si="396"/>
        <v>Gastos médicos por accidente</v>
      </c>
      <c r="CB250" s="118">
        <f t="shared" si="397"/>
        <v>0</v>
      </c>
      <c r="CC250" s="118" t="str">
        <f t="shared" si="398"/>
        <v>A</v>
      </c>
      <c r="CD250" s="119" t="str">
        <f t="shared" si="355"/>
        <v/>
      </c>
      <c r="CE250" s="66">
        <f>+IF($W250="","",ROUND((VLOOKUP(ROUNDDOWN($D250-1/frec,0),cob_adi,BO$40,FALSE)*(1+i/frec)^-0.5*(1+Parámetros!$D$103)*(1+rec_fracc)/frec*'TABLAS ADI'!$BC$17),2))</f>
        <v>0</v>
      </c>
      <c r="CF250" s="119" t="str">
        <f t="shared" si="356"/>
        <v/>
      </c>
      <c r="CG250" s="66">
        <f>+IF($W250="","",ROUND(IF($B250&gt;Parámetros!$D$107,'Tablas Servicio'!CE250+('Tablas Servicio'!CG249-'Tablas Servicio'!CE249),CE250/(1-IF(B250&lt;=10,Parámetros!$D$100,0))),2))</f>
        <v>0</v>
      </c>
      <c r="CH250" s="66">
        <f t="shared" si="357"/>
        <v>0</v>
      </c>
      <c r="CI250" s="66">
        <f t="shared" si="357"/>
        <v>0</v>
      </c>
      <c r="CJ250" s="66">
        <f>+IF($W250="","",ROUND((CG250*Parámetros!$G$85),2))</f>
        <v>0</v>
      </c>
      <c r="CK250" s="66">
        <f>+IF($W250="","",ROUND((CG250*(Parámetros!$G$86)),2))</f>
        <v>0</v>
      </c>
      <c r="CL250" s="66">
        <f t="shared" si="358"/>
        <v>0</v>
      </c>
      <c r="CM250" t="str">
        <f t="shared" si="399"/>
        <v>00063</v>
      </c>
      <c r="CN250" s="118" t="str">
        <f t="shared" si="400"/>
        <v>Renta Diaria por Hospitalización</v>
      </c>
      <c r="CO250" s="118">
        <f t="shared" si="401"/>
        <v>0</v>
      </c>
      <c r="CP250" s="118" t="str">
        <f t="shared" si="402"/>
        <v>A</v>
      </c>
      <c r="CQ250" s="119" t="str">
        <f t="shared" si="359"/>
        <v/>
      </c>
      <c r="CR250" s="66">
        <f>+IF($W250="","",ROUND((VLOOKUP(Parámetros!$F$51,'COBERTURAS ADICIONALES'!$S$4:$T$32,2,FALSE)*(1+i/frec)^-0.5*(1+Parámetros!$D$103)*(1+rec_fracc)/frec*$CO$42),2))</f>
        <v>0</v>
      </c>
      <c r="CS250" s="119" t="str">
        <f t="shared" si="360"/>
        <v/>
      </c>
      <c r="CT250" s="66">
        <f>+IF($W250="","",ROUND(IF($B250&gt;Parámetros!$D$107,'Tablas Servicio'!CR250+('Tablas Servicio'!CT249-'Tablas Servicio'!CR249),CR250/(1-IF(B250&lt;=10,Parámetros!$D$100,0))),2))</f>
        <v>0</v>
      </c>
      <c r="CU250" s="66">
        <f t="shared" si="361"/>
        <v>0</v>
      </c>
      <c r="CV250" s="66">
        <f t="shared" si="361"/>
        <v>0</v>
      </c>
      <c r="CW250" s="66">
        <f>+IF($W250="","",ROUND((CT250*Parámetros!$G$85),2))</f>
        <v>0</v>
      </c>
      <c r="CX250" s="66">
        <f>+IF($W250="","",ROUND((CT250*(Parámetros!$G$86)),2))</f>
        <v>0</v>
      </c>
      <c r="CY250" s="66">
        <f t="shared" si="362"/>
        <v>0</v>
      </c>
      <c r="CZ250" t="str">
        <f t="shared" si="403"/>
        <v>00064</v>
      </c>
      <c r="DA250" s="118" t="str">
        <f t="shared" si="404"/>
        <v>Enfermedades Graves</v>
      </c>
      <c r="DB250" s="118">
        <f t="shared" si="405"/>
        <v>0</v>
      </c>
      <c r="DC250" s="118" t="str">
        <f t="shared" si="406"/>
        <v>A</v>
      </c>
      <c r="DD250" s="121" t="str">
        <f>+IF(OR($W250="",DB250=0),"",ROUND((VLOOKUP(ROUNDDOWN($D250-1/frec,0),cob_adi,CO$40,FALSE)*(1+i/frec)^-0.5*(1+Parámetros!$D$103)*(1+rec_fracc)/frec),6))</f>
        <v/>
      </c>
      <c r="DE250" s="66">
        <f t="shared" si="363"/>
        <v>0</v>
      </c>
      <c r="DF250" s="119" t="str">
        <f t="shared" si="364"/>
        <v/>
      </c>
      <c r="DG250" s="66">
        <f>+IF($W250="","",ROUND(IF($B250&gt;Parámetros!$D$107,'Tablas Servicio'!DE250+('Tablas Servicio'!DG249-'Tablas Servicio'!DE249),DE250/(1-IF(B250&lt;=10,Parámetros!$D$100,0))),2))</f>
        <v>0</v>
      </c>
      <c r="DH250" s="66">
        <f t="shared" si="365"/>
        <v>0</v>
      </c>
      <c r="DI250" s="66">
        <f t="shared" si="365"/>
        <v>0</v>
      </c>
      <c r="DJ250" s="66">
        <f>+IF($W250="","",ROUND((DG250*Parámetros!$G$85),2))</f>
        <v>0</v>
      </c>
      <c r="DK250" s="66">
        <f>+IF($W250="","",ROUND((DG250*(Parámetros!$G$86)),2))</f>
        <v>0</v>
      </c>
      <c r="DL250" s="66">
        <f t="shared" si="366"/>
        <v>0</v>
      </c>
      <c r="DM250" t="str">
        <f t="shared" si="407"/>
        <v>00065</v>
      </c>
      <c r="DN250" s="118" t="str">
        <f t="shared" si="408"/>
        <v>Exención pago de primas</v>
      </c>
      <c r="DO250" s="118">
        <f t="shared" si="409"/>
        <v>0</v>
      </c>
      <c r="DP250" s="118" t="str">
        <f t="shared" si="410"/>
        <v>A</v>
      </c>
      <c r="DQ250" s="122" t="str">
        <f>+IF(OR($W250="",DO250=0),"",ROUND((VLOOKUP(ROUNDDOWN($D250-1/frec,0),cob_adi,DB$40,FALSE)*(1+i/frec)^-0.5*(1+Parámetros!$D$103)*(1+rec_fracc)/frec),6))</f>
        <v/>
      </c>
      <c r="DR250" s="66">
        <f t="shared" si="367"/>
        <v>0</v>
      </c>
      <c r="DS250" s="68" t="str">
        <f t="shared" si="368"/>
        <v/>
      </c>
      <c r="DT250" s="66">
        <f>+IF($W250="","",ROUND(IF($B250&gt;Parámetros!$D$107,'Tablas Servicio'!DR250+('Tablas Servicio'!DT249-'Tablas Servicio'!DR249),DR250/(1-IF(B250&lt;=10,Parámetros!$D$100,0))),2))</f>
        <v>0</v>
      </c>
      <c r="DU250" s="66">
        <f t="shared" si="369"/>
        <v>0</v>
      </c>
      <c r="DV250" s="66">
        <f t="shared" si="369"/>
        <v>0</v>
      </c>
      <c r="DW250" s="66">
        <f>+IF($W250="","",ROUND((DT250*Parámetros!$G$85),2))</f>
        <v>0</v>
      </c>
      <c r="DX250" s="66">
        <f>+IF($W250="","",ROUND((DT250*(Parámetros!$G$86)),2))</f>
        <v>0</v>
      </c>
      <c r="DY250" s="66">
        <f t="shared" si="370"/>
        <v>0</v>
      </c>
      <c r="DZ250" t="str">
        <f t="shared" si="371"/>
        <v>00066</v>
      </c>
      <c r="EA250" s="118" t="str">
        <f t="shared" si="371"/>
        <v>Enfermedad terminal</v>
      </c>
      <c r="EB250" s="118">
        <f>+IF($W250="","",ROUND(IF(Parámetros!$D$25='TABLAS MORT'!$V$33,EB249,Z250/2),0))</f>
        <v>50000</v>
      </c>
      <c r="EC250" s="118" t="str">
        <f t="shared" si="371"/>
        <v>A</v>
      </c>
      <c r="ED250" s="122">
        <f>+IF(OR($W250="",EB250=0),"",ROUND((VLOOKUP(ROUNDDOWN($D250-1/frec,0),cob_adi,DO$40,FALSE)*(1+i/frec)^-0.5*(1+Parámetros!$D$103)*(1+rec_fracc)/frec),6))</f>
        <v>2.6999999999999999E-5</v>
      </c>
      <c r="EE250" s="66">
        <f t="shared" si="372"/>
        <v>1.35</v>
      </c>
      <c r="EF250" s="68">
        <f t="shared" si="373"/>
        <v>2.6999999999999999E-5</v>
      </c>
      <c r="EG250" s="66">
        <f>+IF($W250="","",ROUND(IF($B250&gt;Parámetros!$D$107,'Tablas Servicio'!EE250+('Tablas Servicio'!EG249-'Tablas Servicio'!EE249),EE250/(1-IF(B250&lt;=10,Parámetros!$D$100,0))),2))</f>
        <v>1.35</v>
      </c>
      <c r="EH250" s="66">
        <f t="shared" si="374"/>
        <v>0</v>
      </c>
      <c r="EI250" s="66">
        <f t="shared" si="374"/>
        <v>0</v>
      </c>
      <c r="EJ250" s="66">
        <f>+IF($W250="","",ROUND((EG250*Parámetros!$G$85),2))</f>
        <v>0.05</v>
      </c>
      <c r="EK250" s="66">
        <f>+IF($W250="","",ROUND((EG250*(Parámetros!$G$86)),2))</f>
        <v>0.01</v>
      </c>
      <c r="EL250" s="66">
        <f t="shared" si="375"/>
        <v>1.41</v>
      </c>
    </row>
    <row r="251" spans="1:142" x14ac:dyDescent="0.25">
      <c r="A251">
        <f>+IF($C251="","",ROUND(VLOOKUP('Tablas Servicio'!B251,Parámetros!$H$100:$J$159,IF(Parámetros!$E$16="F",2,3),FALSE),2))</f>
        <v>150</v>
      </c>
      <c r="B251">
        <f t="shared" si="326"/>
        <v>18</v>
      </c>
      <c r="C251" s="57">
        <f>+IF(D251="","",'Tablas Servicio'!C250+1)</f>
        <v>210</v>
      </c>
      <c r="D251" s="56">
        <f>+IF(D250&lt;edadmaxtabla,D250+1/Parámetros!$E$25,"")</f>
        <v>57.520000000000501</v>
      </c>
      <c r="E251" s="57">
        <f t="shared" si="336"/>
        <v>57</v>
      </c>
      <c r="F251" s="59">
        <f t="shared" si="337"/>
        <v>100000</v>
      </c>
      <c r="G251" s="66">
        <f t="shared" si="327"/>
        <v>51.15</v>
      </c>
      <c r="H251" s="66">
        <f t="shared" si="328"/>
        <v>53.199999999999996</v>
      </c>
      <c r="I251" s="66">
        <f t="shared" si="376"/>
        <v>40.800000000000004</v>
      </c>
      <c r="J251" s="66">
        <f t="shared" si="329"/>
        <v>1.79</v>
      </c>
      <c r="K251" s="66">
        <f t="shared" si="330"/>
        <v>0.26</v>
      </c>
      <c r="L251" s="66">
        <f t="shared" si="331"/>
        <v>0</v>
      </c>
      <c r="M251" s="66">
        <f t="shared" si="332"/>
        <v>0</v>
      </c>
      <c r="N251" s="66">
        <f>+IF(C251="","",ROUND(Parámetros!$D$23,2))</f>
        <v>94</v>
      </c>
      <c r="O251" s="66">
        <f t="shared" si="333"/>
        <v>38.65</v>
      </c>
      <c r="P251" s="66">
        <f>+IF($C251="","",ROUND(IF(B251&gt;Parámetros!$D$117,0,N251*Parámetros!$D$116-G251*Parámetros!$D$100),2))</f>
        <v>0</v>
      </c>
      <c r="Q251" s="75">
        <f t="shared" si="377"/>
        <v>3.4995112414467254E-2</v>
      </c>
      <c r="R251" s="75">
        <f t="shared" si="378"/>
        <v>5.083088954056696E-3</v>
      </c>
      <c r="S251" s="117">
        <f>+IF($C251="","",ROUND((S250+I251)*(1+Parámetros!$D$91),2))</f>
        <v>15258.93</v>
      </c>
      <c r="T251" s="117">
        <f>+IF($C251="","",ROUND(S251*VLOOKUP(B251,Parámetros!$C$30:$D$39,2,TRUE),2))</f>
        <v>15258.93</v>
      </c>
      <c r="U251" s="117">
        <f>+IF($C251="","",ROUND((U250+I251)*(1+Parámetros!$D$92),2))</f>
        <v>16024.8</v>
      </c>
      <c r="V251" s="117">
        <f>+IF($C251="","",ROUND(U251*VLOOKUP(B251,Parámetros!$C$30:$D$39,2,TRUE),2))</f>
        <v>16024.8</v>
      </c>
      <c r="W251" s="57">
        <f t="shared" si="379"/>
        <v>210</v>
      </c>
      <c r="X251" t="str">
        <f t="shared" si="380"/>
        <v>00058</v>
      </c>
      <c r="Y251" t="str">
        <f t="shared" si="381"/>
        <v>MUERTE POR CUALQUIER CAUSA</v>
      </c>
      <c r="Z251" s="118">
        <f>+IF($W251="","",ROUND(IF(Parámetros!$D$25='TABLAS MORT'!$V$33,Z250,Parámetros!$D$21-'Tablas Servicio'!T250),0))</f>
        <v>100000</v>
      </c>
      <c r="AA251" s="118" t="str">
        <f t="shared" si="382"/>
        <v>P</v>
      </c>
      <c r="AB251" s="119">
        <f>+IF(W251="","",ROUND((VLOOKUP(ROUNDDOWN($D251-1/frec,0),qx_tabla,2,FALSE)*(1+i/frec)^-0.5*(1+Parámetros!$D$103)*(1+rec_fracc)/frec),6))</f>
        <v>3.7300000000000001E-4</v>
      </c>
      <c r="AC251" s="66">
        <f t="shared" si="338"/>
        <v>37.299999999999997</v>
      </c>
      <c r="AD251" s="119">
        <f t="shared" si="334"/>
        <v>4.9799999999999996E-4</v>
      </c>
      <c r="AE251" s="66">
        <f>+IF($W251="","",ROUND(IF($B251&gt;Parámetros!$D$107,'Tablas Servicio'!AC251+('Tablas Servicio'!AG250-'Tablas Servicio'!AC250),AC251/(1-IF(B251&lt;=10,Parámetros!$D$104,Parámetros!$D$105))),2))</f>
        <v>62.17</v>
      </c>
      <c r="AF251" s="66">
        <f>+IF($W251="","",ROUND(IF($B251&gt;Parámetros!$D$107,'Tablas Servicio'!AC251+('Tablas Servicio'!AG250-'Tablas Servicio'!AC250),(AC251+$A250/frec)/(1-IF(B251&lt;=Parámetros!$D$117,Parámetros!$D$100,0))),2))</f>
        <v>49.8</v>
      </c>
      <c r="AG251" s="66">
        <f t="shared" si="339"/>
        <v>49.8</v>
      </c>
      <c r="AH251" s="66">
        <f t="shared" si="340"/>
        <v>0</v>
      </c>
      <c r="AI251" s="66">
        <f t="shared" si="341"/>
        <v>0</v>
      </c>
      <c r="AJ251" s="66">
        <f>+IF($W251="","",ROUND((AG251*Parámetros!$G$85),2))</f>
        <v>1.74</v>
      </c>
      <c r="AK251" s="66">
        <f>+IF($W251="","",ROUND((AG251*(Parámetros!$G$86)),2))</f>
        <v>0.25</v>
      </c>
      <c r="AL251" s="66">
        <f t="shared" si="335"/>
        <v>51.79</v>
      </c>
      <c r="AM251" t="str">
        <f t="shared" si="383"/>
        <v>00059</v>
      </c>
      <c r="AN251" t="str">
        <f t="shared" si="384"/>
        <v>Incapacidad Total y Permanente</v>
      </c>
      <c r="AO251" s="118">
        <f t="shared" si="385"/>
        <v>0</v>
      </c>
      <c r="AP251" s="118" t="str">
        <f t="shared" si="386"/>
        <v>A</v>
      </c>
      <c r="AQ251" s="119" t="str">
        <f>+IF(OR($W251="",AO251=0),"",ROUND((VLOOKUP(ROUNDDOWN($D251-1/frec,0),cob_adi,Z$40,FALSE)*(1+i/frec)^-0.5*(1+Parámetros!$D$103)*(1+rec_fracc)/frec),6))</f>
        <v/>
      </c>
      <c r="AR251" s="66">
        <f t="shared" si="342"/>
        <v>0</v>
      </c>
      <c r="AS251" s="119" t="str">
        <f t="shared" si="343"/>
        <v/>
      </c>
      <c r="AT251" s="66">
        <f>+IF($W251="","",ROUND(IF($B251&gt;Parámetros!$D$107,'Tablas Servicio'!AR251+('Tablas Servicio'!AT250-'Tablas Servicio'!AR250),AR251/(1-IF(B251&lt;=10,Parámetros!$D$100,0))),2))</f>
        <v>0</v>
      </c>
      <c r="AU251" s="66">
        <f t="shared" si="344"/>
        <v>0</v>
      </c>
      <c r="AV251" s="66">
        <f t="shared" si="344"/>
        <v>0</v>
      </c>
      <c r="AW251" s="66">
        <f>+IF($W251="","",ROUND((AT251*Parámetros!$G$85),2))</f>
        <v>0</v>
      </c>
      <c r="AX251" s="66">
        <f>+IF($W251="","",ROUND((AT251*(Parámetros!$G$86)),2))</f>
        <v>0</v>
      </c>
      <c r="AY251" s="66">
        <f t="shared" si="345"/>
        <v>0</v>
      </c>
      <c r="AZ251" t="str">
        <f t="shared" si="387"/>
        <v>00060</v>
      </c>
      <c r="BA251" t="str">
        <f t="shared" si="388"/>
        <v>Muerte Accidental</v>
      </c>
      <c r="BB251" s="118">
        <f t="shared" si="389"/>
        <v>0</v>
      </c>
      <c r="BC251" s="118" t="str">
        <f t="shared" si="390"/>
        <v>A</v>
      </c>
      <c r="BD251" s="119" t="str">
        <f>+IF(OR($W251="",BB251=0),"",ROUND((VLOOKUP(ROUNDDOWN($D251-1/frec,0),cob_adi,AO$40,FALSE)*(1+i/frec)^-0.5*(1+Parámetros!$D$103)*(1+rec_fracc)/frec),6))</f>
        <v/>
      </c>
      <c r="BE251" s="66">
        <f t="shared" si="346"/>
        <v>0</v>
      </c>
      <c r="BF251" s="119" t="str">
        <f t="shared" si="347"/>
        <v/>
      </c>
      <c r="BG251" s="66">
        <f>+IF($W251="","",ROUND(IF($B251&gt;Parámetros!$D$107,'Tablas Servicio'!BE251+('Tablas Servicio'!BG250-'Tablas Servicio'!BE250),BE251/(1-IF(B251&lt;=10,Parámetros!$D$100,0))),2))</f>
        <v>0</v>
      </c>
      <c r="BH251" s="66">
        <f t="shared" si="348"/>
        <v>0</v>
      </c>
      <c r="BI251" s="66">
        <f t="shared" si="349"/>
        <v>0</v>
      </c>
      <c r="BJ251" s="66">
        <f>+IF($W251="","",ROUND((BG251*Parámetros!$G$85),2))</f>
        <v>0</v>
      </c>
      <c r="BK251" s="66">
        <f>+IF($W251="","",ROUND((BG251*(Parámetros!$G$86)),2))</f>
        <v>0</v>
      </c>
      <c r="BL251" s="66">
        <f t="shared" si="350"/>
        <v>0</v>
      </c>
      <c r="BM251" t="str">
        <f t="shared" si="391"/>
        <v>00061</v>
      </c>
      <c r="BN251" t="str">
        <f t="shared" si="392"/>
        <v>Gastos de Entierro</v>
      </c>
      <c r="BO251" s="118">
        <f t="shared" si="393"/>
        <v>0</v>
      </c>
      <c r="BP251" s="118" t="str">
        <f t="shared" si="394"/>
        <v>A</v>
      </c>
      <c r="BQ251" s="119" t="str">
        <f>+IF(OR($W251="",BO251=0),"",ROUND((VLOOKUP(ROUNDDOWN($D251-1/frec,0),cob_adi,BB$40,FALSE)*(1+i/frec)^-0.5*(1+Parámetros!$D$103)*(1+rec_fracc)/frec),6))</f>
        <v/>
      </c>
      <c r="BR251" s="66">
        <f t="shared" si="351"/>
        <v>0</v>
      </c>
      <c r="BS251" s="119" t="str">
        <f t="shared" si="352"/>
        <v/>
      </c>
      <c r="BT251" s="66">
        <f>+IF($W251="","",ROUND(IF($B251&gt;Parámetros!$D$107,'Tablas Servicio'!BR251+('Tablas Servicio'!BT250-'Tablas Servicio'!BR250),BR251/(1-IF(B251&lt;=10,Parámetros!$D$100,0))),2))</f>
        <v>0</v>
      </c>
      <c r="BU251" s="66">
        <f t="shared" si="353"/>
        <v>0</v>
      </c>
      <c r="BV251" s="66">
        <f t="shared" si="353"/>
        <v>0</v>
      </c>
      <c r="BW251" s="66">
        <f>+IF($W251="","",ROUND((BT251*Parámetros!$G$85),2))</f>
        <v>0</v>
      </c>
      <c r="BX251" s="66">
        <f>+IF($W251="","",ROUND((BT251*(Parámetros!$G$86)),2))</f>
        <v>0</v>
      </c>
      <c r="BY251" s="66">
        <f t="shared" si="354"/>
        <v>0</v>
      </c>
      <c r="BZ251" t="str">
        <f t="shared" si="395"/>
        <v>00062</v>
      </c>
      <c r="CA251" t="str">
        <f t="shared" si="396"/>
        <v>Gastos médicos por accidente</v>
      </c>
      <c r="CB251" s="118">
        <f t="shared" si="397"/>
        <v>0</v>
      </c>
      <c r="CC251" s="118" t="str">
        <f t="shared" si="398"/>
        <v>A</v>
      </c>
      <c r="CD251" s="119" t="str">
        <f t="shared" si="355"/>
        <v/>
      </c>
      <c r="CE251" s="66">
        <f>+IF($W251="","",ROUND((VLOOKUP(ROUNDDOWN($D251-1/frec,0),cob_adi,BO$40,FALSE)*(1+i/frec)^-0.5*(1+Parámetros!$D$103)*(1+rec_fracc)/frec*'TABLAS ADI'!$BC$17),2))</f>
        <v>0</v>
      </c>
      <c r="CF251" s="119" t="str">
        <f t="shared" si="356"/>
        <v/>
      </c>
      <c r="CG251" s="66">
        <f>+IF($W251="","",ROUND(IF($B251&gt;Parámetros!$D$107,'Tablas Servicio'!CE251+('Tablas Servicio'!CG250-'Tablas Servicio'!CE250),CE251/(1-IF(B251&lt;=10,Parámetros!$D$100,0))),2))</f>
        <v>0</v>
      </c>
      <c r="CH251" s="66">
        <f t="shared" si="357"/>
        <v>0</v>
      </c>
      <c r="CI251" s="66">
        <f t="shared" si="357"/>
        <v>0</v>
      </c>
      <c r="CJ251" s="66">
        <f>+IF($W251="","",ROUND((CG251*Parámetros!$G$85),2))</f>
        <v>0</v>
      </c>
      <c r="CK251" s="66">
        <f>+IF($W251="","",ROUND((CG251*(Parámetros!$G$86)),2))</f>
        <v>0</v>
      </c>
      <c r="CL251" s="66">
        <f t="shared" si="358"/>
        <v>0</v>
      </c>
      <c r="CM251" t="str">
        <f t="shared" si="399"/>
        <v>00063</v>
      </c>
      <c r="CN251" s="118" t="str">
        <f t="shared" si="400"/>
        <v>Renta Diaria por Hospitalización</v>
      </c>
      <c r="CO251" s="118">
        <f t="shared" si="401"/>
        <v>0</v>
      </c>
      <c r="CP251" s="118" t="str">
        <f t="shared" si="402"/>
        <v>A</v>
      </c>
      <c r="CQ251" s="119" t="str">
        <f t="shared" si="359"/>
        <v/>
      </c>
      <c r="CR251" s="66">
        <f>+IF($W251="","",ROUND((VLOOKUP(Parámetros!$F$51,'COBERTURAS ADICIONALES'!$S$4:$T$32,2,FALSE)*(1+i/frec)^-0.5*(1+Parámetros!$D$103)*(1+rec_fracc)/frec*$CO$42),2))</f>
        <v>0</v>
      </c>
      <c r="CS251" s="119" t="str">
        <f t="shared" si="360"/>
        <v/>
      </c>
      <c r="CT251" s="66">
        <f>+IF($W251="","",ROUND(IF($B251&gt;Parámetros!$D$107,'Tablas Servicio'!CR251+('Tablas Servicio'!CT250-'Tablas Servicio'!CR250),CR251/(1-IF(B251&lt;=10,Parámetros!$D$100,0))),2))</f>
        <v>0</v>
      </c>
      <c r="CU251" s="66">
        <f t="shared" si="361"/>
        <v>0</v>
      </c>
      <c r="CV251" s="66">
        <f t="shared" si="361"/>
        <v>0</v>
      </c>
      <c r="CW251" s="66">
        <f>+IF($W251="","",ROUND((CT251*Parámetros!$G$85),2))</f>
        <v>0</v>
      </c>
      <c r="CX251" s="66">
        <f>+IF($W251="","",ROUND((CT251*(Parámetros!$G$86)),2))</f>
        <v>0</v>
      </c>
      <c r="CY251" s="66">
        <f t="shared" si="362"/>
        <v>0</v>
      </c>
      <c r="CZ251" t="str">
        <f t="shared" si="403"/>
        <v>00064</v>
      </c>
      <c r="DA251" s="118" t="str">
        <f t="shared" si="404"/>
        <v>Enfermedades Graves</v>
      </c>
      <c r="DB251" s="118">
        <f t="shared" si="405"/>
        <v>0</v>
      </c>
      <c r="DC251" s="118" t="str">
        <f t="shared" si="406"/>
        <v>A</v>
      </c>
      <c r="DD251" s="121" t="str">
        <f>+IF(OR($W251="",DB251=0),"",ROUND((VLOOKUP(ROUNDDOWN($D251-1/frec,0),cob_adi,CO$40,FALSE)*(1+i/frec)^-0.5*(1+Parámetros!$D$103)*(1+rec_fracc)/frec),6))</f>
        <v/>
      </c>
      <c r="DE251" s="66">
        <f t="shared" si="363"/>
        <v>0</v>
      </c>
      <c r="DF251" s="119" t="str">
        <f t="shared" si="364"/>
        <v/>
      </c>
      <c r="DG251" s="66">
        <f>+IF($W251="","",ROUND(IF($B251&gt;Parámetros!$D$107,'Tablas Servicio'!DE251+('Tablas Servicio'!DG250-'Tablas Servicio'!DE250),DE251/(1-IF(B251&lt;=10,Parámetros!$D$100,0))),2))</f>
        <v>0</v>
      </c>
      <c r="DH251" s="66">
        <f t="shared" si="365"/>
        <v>0</v>
      </c>
      <c r="DI251" s="66">
        <f t="shared" si="365"/>
        <v>0</v>
      </c>
      <c r="DJ251" s="66">
        <f>+IF($W251="","",ROUND((DG251*Parámetros!$G$85),2))</f>
        <v>0</v>
      </c>
      <c r="DK251" s="66">
        <f>+IF($W251="","",ROUND((DG251*(Parámetros!$G$86)),2))</f>
        <v>0</v>
      </c>
      <c r="DL251" s="66">
        <f t="shared" si="366"/>
        <v>0</v>
      </c>
      <c r="DM251" t="str">
        <f t="shared" si="407"/>
        <v>00065</v>
      </c>
      <c r="DN251" s="118" t="str">
        <f t="shared" si="408"/>
        <v>Exención pago de primas</v>
      </c>
      <c r="DO251" s="118">
        <f t="shared" si="409"/>
        <v>0</v>
      </c>
      <c r="DP251" s="118" t="str">
        <f t="shared" si="410"/>
        <v>A</v>
      </c>
      <c r="DQ251" s="122" t="str">
        <f>+IF(OR($W251="",DO251=0),"",ROUND((VLOOKUP(ROUNDDOWN($D251-1/frec,0),cob_adi,DB$40,FALSE)*(1+i/frec)^-0.5*(1+Parámetros!$D$103)*(1+rec_fracc)/frec),6))</f>
        <v/>
      </c>
      <c r="DR251" s="66">
        <f t="shared" si="367"/>
        <v>0</v>
      </c>
      <c r="DS251" s="68" t="str">
        <f t="shared" si="368"/>
        <v/>
      </c>
      <c r="DT251" s="66">
        <f>+IF($W251="","",ROUND(IF($B251&gt;Parámetros!$D$107,'Tablas Servicio'!DR251+('Tablas Servicio'!DT250-'Tablas Servicio'!DR250),DR251/(1-IF(B251&lt;=10,Parámetros!$D$100,0))),2))</f>
        <v>0</v>
      </c>
      <c r="DU251" s="66">
        <f t="shared" si="369"/>
        <v>0</v>
      </c>
      <c r="DV251" s="66">
        <f t="shared" si="369"/>
        <v>0</v>
      </c>
      <c r="DW251" s="66">
        <f>+IF($W251="","",ROUND((DT251*Parámetros!$G$85),2))</f>
        <v>0</v>
      </c>
      <c r="DX251" s="66">
        <f>+IF($W251="","",ROUND((DT251*(Parámetros!$G$86)),2))</f>
        <v>0</v>
      </c>
      <c r="DY251" s="66">
        <f t="shared" si="370"/>
        <v>0</v>
      </c>
      <c r="DZ251" t="str">
        <f t="shared" ref="DZ251:EC266" si="411">+IF($W251="","",DZ250)</f>
        <v>00066</v>
      </c>
      <c r="EA251" s="118" t="str">
        <f t="shared" si="411"/>
        <v>Enfermedad terminal</v>
      </c>
      <c r="EB251" s="118">
        <f>+IF($W251="","",ROUND(IF(Parámetros!$D$25='TABLAS MORT'!$V$33,EB250,Z251/2),0))</f>
        <v>50000</v>
      </c>
      <c r="EC251" s="118" t="str">
        <f t="shared" si="411"/>
        <v>A</v>
      </c>
      <c r="ED251" s="122">
        <f>+IF(OR($W251="",EB251=0),"",ROUND((VLOOKUP(ROUNDDOWN($D251-1/frec,0),cob_adi,DO$40,FALSE)*(1+i/frec)^-0.5*(1+Parámetros!$D$103)*(1+rec_fracc)/frec),6))</f>
        <v>2.6999999999999999E-5</v>
      </c>
      <c r="EE251" s="66">
        <f t="shared" si="372"/>
        <v>1.35</v>
      </c>
      <c r="EF251" s="68">
        <f t="shared" si="373"/>
        <v>2.6999999999999999E-5</v>
      </c>
      <c r="EG251" s="66">
        <f>+IF($W251="","",ROUND(IF($B251&gt;Parámetros!$D$107,'Tablas Servicio'!EE251+('Tablas Servicio'!EG250-'Tablas Servicio'!EE250),EE251/(1-IF(B251&lt;=10,Parámetros!$D$100,0))),2))</f>
        <v>1.35</v>
      </c>
      <c r="EH251" s="66">
        <f t="shared" si="374"/>
        <v>0</v>
      </c>
      <c r="EI251" s="66">
        <f t="shared" si="374"/>
        <v>0</v>
      </c>
      <c r="EJ251" s="66">
        <f>+IF($W251="","",ROUND((EG251*Parámetros!$G$85),2))</f>
        <v>0.05</v>
      </c>
      <c r="EK251" s="66">
        <f>+IF($W251="","",ROUND((EG251*(Parámetros!$G$86)),2))</f>
        <v>0.01</v>
      </c>
      <c r="EL251" s="66">
        <f t="shared" si="375"/>
        <v>1.41</v>
      </c>
    </row>
    <row r="252" spans="1:142" x14ac:dyDescent="0.25">
      <c r="A252">
        <f>+IF($C252="","",ROUND(VLOOKUP('Tablas Servicio'!B252,Parámetros!$H$100:$J$159,IF(Parámetros!$E$16="F",2,3),FALSE),2))</f>
        <v>150</v>
      </c>
      <c r="B252">
        <f t="shared" si="326"/>
        <v>18</v>
      </c>
      <c r="C252" s="57">
        <f>+IF(D252="","",'Tablas Servicio'!C251+1)</f>
        <v>211</v>
      </c>
      <c r="D252" s="56">
        <f>+IF(D251&lt;edadmaxtabla,D251+1/Parámetros!$E$25,"")</f>
        <v>57.603333333333836</v>
      </c>
      <c r="E252" s="57">
        <f t="shared" si="336"/>
        <v>57</v>
      </c>
      <c r="F252" s="59">
        <f t="shared" si="337"/>
        <v>100000</v>
      </c>
      <c r="G252" s="66">
        <f t="shared" si="327"/>
        <v>51.15</v>
      </c>
      <c r="H252" s="66">
        <f t="shared" si="328"/>
        <v>53.199999999999996</v>
      </c>
      <c r="I252" s="66">
        <f t="shared" si="376"/>
        <v>40.800000000000004</v>
      </c>
      <c r="J252" s="66">
        <f t="shared" si="329"/>
        <v>1.79</v>
      </c>
      <c r="K252" s="66">
        <f t="shared" si="330"/>
        <v>0.26</v>
      </c>
      <c r="L252" s="66">
        <f t="shared" si="331"/>
        <v>0</v>
      </c>
      <c r="M252" s="66">
        <f t="shared" si="332"/>
        <v>0</v>
      </c>
      <c r="N252" s="66">
        <f>+IF(C252="","",ROUND(Parámetros!$D$23,2))</f>
        <v>94</v>
      </c>
      <c r="O252" s="66">
        <f t="shared" si="333"/>
        <v>38.65</v>
      </c>
      <c r="P252" s="66">
        <f>+IF($C252="","",ROUND(IF(B252&gt;Parámetros!$D$117,0,N252*Parámetros!$D$116-G252*Parámetros!$D$100),2))</f>
        <v>0</v>
      </c>
      <c r="Q252" s="75">
        <f t="shared" si="377"/>
        <v>3.4995112414467254E-2</v>
      </c>
      <c r="R252" s="75">
        <f t="shared" si="378"/>
        <v>5.083088954056696E-3</v>
      </c>
      <c r="S252" s="117">
        <f>+IF($C252="","",ROUND((S251+I252)*(1+Parámetros!$D$91),2))</f>
        <v>15343.13</v>
      </c>
      <c r="T252" s="117">
        <f>+IF($C252="","",ROUND(S252*VLOOKUP(B252,Parámetros!$C$30:$D$39,2,TRUE),2))</f>
        <v>15343.13</v>
      </c>
      <c r="U252" s="117">
        <f>+IF($C252="","",ROUND((U251+I252)*(1+Parámetros!$D$92),2))</f>
        <v>16117.68</v>
      </c>
      <c r="V252" s="117">
        <f>+IF($C252="","",ROUND(U252*VLOOKUP(B252,Parámetros!$C$30:$D$39,2,TRUE),2))</f>
        <v>16117.68</v>
      </c>
      <c r="W252" s="57">
        <f t="shared" si="379"/>
        <v>211</v>
      </c>
      <c r="X252" t="str">
        <f t="shared" si="380"/>
        <v>00058</v>
      </c>
      <c r="Y252" t="str">
        <f t="shared" si="381"/>
        <v>MUERTE POR CUALQUIER CAUSA</v>
      </c>
      <c r="Z252" s="118">
        <f>+IF($W252="","",ROUND(IF(Parámetros!$D$25='TABLAS MORT'!$V$33,Z251,Parámetros!$D$21-'Tablas Servicio'!T251),0))</f>
        <v>100000</v>
      </c>
      <c r="AA252" s="118" t="str">
        <f t="shared" si="382"/>
        <v>P</v>
      </c>
      <c r="AB252" s="119">
        <f>+IF(W252="","",ROUND((VLOOKUP(ROUNDDOWN($D252-1/frec,0),qx_tabla,2,FALSE)*(1+i/frec)^-0.5*(1+Parámetros!$D$103)*(1+rec_fracc)/frec),6))</f>
        <v>3.7300000000000001E-4</v>
      </c>
      <c r="AC252" s="66">
        <f t="shared" si="338"/>
        <v>37.299999999999997</v>
      </c>
      <c r="AD252" s="119">
        <f t="shared" si="334"/>
        <v>4.9799999999999996E-4</v>
      </c>
      <c r="AE252" s="66">
        <f>+IF($W252="","",ROUND(IF($B252&gt;Parámetros!$D$107,'Tablas Servicio'!AC252+('Tablas Servicio'!AG251-'Tablas Servicio'!AC251),AC252/(1-IF(B252&lt;=10,Parámetros!$D$104,Parámetros!$D$105))),2))</f>
        <v>62.17</v>
      </c>
      <c r="AF252" s="66">
        <f>+IF($W252="","",ROUND(IF($B252&gt;Parámetros!$D$107,'Tablas Servicio'!AC252+('Tablas Servicio'!AG251-'Tablas Servicio'!AC251),(AC252+$A251/frec)/(1-IF(B252&lt;=Parámetros!$D$117,Parámetros!$D$100,0))),2))</f>
        <v>49.8</v>
      </c>
      <c r="AG252" s="66">
        <f t="shared" si="339"/>
        <v>49.8</v>
      </c>
      <c r="AH252" s="66">
        <f t="shared" si="340"/>
        <v>0</v>
      </c>
      <c r="AI252" s="66">
        <f t="shared" si="341"/>
        <v>0</v>
      </c>
      <c r="AJ252" s="66">
        <f>+IF($W252="","",ROUND((AG252*Parámetros!$G$85),2))</f>
        <v>1.74</v>
      </c>
      <c r="AK252" s="66">
        <f>+IF($W252="","",ROUND((AG252*(Parámetros!$G$86)),2))</f>
        <v>0.25</v>
      </c>
      <c r="AL252" s="66">
        <f t="shared" si="335"/>
        <v>51.79</v>
      </c>
      <c r="AM252" t="str">
        <f t="shared" si="383"/>
        <v>00059</v>
      </c>
      <c r="AN252" t="str">
        <f t="shared" si="384"/>
        <v>Incapacidad Total y Permanente</v>
      </c>
      <c r="AO252" s="118">
        <f t="shared" si="385"/>
        <v>0</v>
      </c>
      <c r="AP252" s="118" t="str">
        <f t="shared" si="386"/>
        <v>A</v>
      </c>
      <c r="AQ252" s="119" t="str">
        <f>+IF(OR($W252="",AO252=0),"",ROUND((VLOOKUP(ROUNDDOWN($D252-1/frec,0),cob_adi,Z$40,FALSE)*(1+i/frec)^-0.5*(1+Parámetros!$D$103)*(1+rec_fracc)/frec),6))</f>
        <v/>
      </c>
      <c r="AR252" s="66">
        <f t="shared" si="342"/>
        <v>0</v>
      </c>
      <c r="AS252" s="119" t="str">
        <f t="shared" si="343"/>
        <v/>
      </c>
      <c r="AT252" s="66">
        <f>+IF($W252="","",ROUND(IF($B252&gt;Parámetros!$D$107,'Tablas Servicio'!AR252+('Tablas Servicio'!AT251-'Tablas Servicio'!AR251),AR252/(1-IF(B252&lt;=10,Parámetros!$D$100,0))),2))</f>
        <v>0</v>
      </c>
      <c r="AU252" s="66">
        <f t="shared" si="344"/>
        <v>0</v>
      </c>
      <c r="AV252" s="66">
        <f t="shared" si="344"/>
        <v>0</v>
      </c>
      <c r="AW252" s="66">
        <f>+IF($W252="","",ROUND((AT252*Parámetros!$G$85),2))</f>
        <v>0</v>
      </c>
      <c r="AX252" s="66">
        <f>+IF($W252="","",ROUND((AT252*(Parámetros!$G$86)),2))</f>
        <v>0</v>
      </c>
      <c r="AY252" s="66">
        <f t="shared" si="345"/>
        <v>0</v>
      </c>
      <c r="AZ252" t="str">
        <f t="shared" si="387"/>
        <v>00060</v>
      </c>
      <c r="BA252" t="str">
        <f t="shared" si="388"/>
        <v>Muerte Accidental</v>
      </c>
      <c r="BB252" s="118">
        <f t="shared" si="389"/>
        <v>0</v>
      </c>
      <c r="BC252" s="118" t="str">
        <f t="shared" si="390"/>
        <v>A</v>
      </c>
      <c r="BD252" s="119" t="str">
        <f>+IF(OR($W252="",BB252=0),"",ROUND((VLOOKUP(ROUNDDOWN($D252-1/frec,0),cob_adi,AO$40,FALSE)*(1+i/frec)^-0.5*(1+Parámetros!$D$103)*(1+rec_fracc)/frec),6))</f>
        <v/>
      </c>
      <c r="BE252" s="66">
        <f t="shared" si="346"/>
        <v>0</v>
      </c>
      <c r="BF252" s="119" t="str">
        <f t="shared" si="347"/>
        <v/>
      </c>
      <c r="BG252" s="66">
        <f>+IF($W252="","",ROUND(IF($B252&gt;Parámetros!$D$107,'Tablas Servicio'!BE252+('Tablas Servicio'!BG251-'Tablas Servicio'!BE251),BE252/(1-IF(B252&lt;=10,Parámetros!$D$100,0))),2))</f>
        <v>0</v>
      </c>
      <c r="BH252" s="66">
        <f t="shared" si="348"/>
        <v>0</v>
      </c>
      <c r="BI252" s="66">
        <f t="shared" si="349"/>
        <v>0</v>
      </c>
      <c r="BJ252" s="66">
        <f>+IF($W252="","",ROUND((BG252*Parámetros!$G$85),2))</f>
        <v>0</v>
      </c>
      <c r="BK252" s="66">
        <f>+IF($W252="","",ROUND((BG252*(Parámetros!$G$86)),2))</f>
        <v>0</v>
      </c>
      <c r="BL252" s="66">
        <f t="shared" si="350"/>
        <v>0</v>
      </c>
      <c r="BM252" t="str">
        <f t="shared" si="391"/>
        <v>00061</v>
      </c>
      <c r="BN252" t="str">
        <f t="shared" si="392"/>
        <v>Gastos de Entierro</v>
      </c>
      <c r="BO252" s="118">
        <f t="shared" si="393"/>
        <v>0</v>
      </c>
      <c r="BP252" s="118" t="str">
        <f t="shared" si="394"/>
        <v>A</v>
      </c>
      <c r="BQ252" s="119" t="str">
        <f>+IF(OR($W252="",BO252=0),"",ROUND((VLOOKUP(ROUNDDOWN($D252-1/frec,0),cob_adi,BB$40,FALSE)*(1+i/frec)^-0.5*(1+Parámetros!$D$103)*(1+rec_fracc)/frec),6))</f>
        <v/>
      </c>
      <c r="BR252" s="66">
        <f t="shared" si="351"/>
        <v>0</v>
      </c>
      <c r="BS252" s="119" t="str">
        <f t="shared" si="352"/>
        <v/>
      </c>
      <c r="BT252" s="66">
        <f>+IF($W252="","",ROUND(IF($B252&gt;Parámetros!$D$107,'Tablas Servicio'!BR252+('Tablas Servicio'!BT251-'Tablas Servicio'!BR251),BR252/(1-IF(B252&lt;=10,Parámetros!$D$100,0))),2))</f>
        <v>0</v>
      </c>
      <c r="BU252" s="66">
        <f t="shared" si="353"/>
        <v>0</v>
      </c>
      <c r="BV252" s="66">
        <f t="shared" si="353"/>
        <v>0</v>
      </c>
      <c r="BW252" s="66">
        <f>+IF($W252="","",ROUND((BT252*Parámetros!$G$85),2))</f>
        <v>0</v>
      </c>
      <c r="BX252" s="66">
        <f>+IF($W252="","",ROUND((BT252*(Parámetros!$G$86)),2))</f>
        <v>0</v>
      </c>
      <c r="BY252" s="66">
        <f t="shared" si="354"/>
        <v>0</v>
      </c>
      <c r="BZ252" t="str">
        <f t="shared" si="395"/>
        <v>00062</v>
      </c>
      <c r="CA252" t="str">
        <f t="shared" si="396"/>
        <v>Gastos médicos por accidente</v>
      </c>
      <c r="CB252" s="118">
        <f t="shared" si="397"/>
        <v>0</v>
      </c>
      <c r="CC252" s="118" t="str">
        <f t="shared" si="398"/>
        <v>A</v>
      </c>
      <c r="CD252" s="119" t="str">
        <f t="shared" si="355"/>
        <v/>
      </c>
      <c r="CE252" s="66">
        <f>+IF($W252="","",ROUND((VLOOKUP(ROUNDDOWN($D252-1/frec,0),cob_adi,BO$40,FALSE)*(1+i/frec)^-0.5*(1+Parámetros!$D$103)*(1+rec_fracc)/frec*'TABLAS ADI'!$BC$17),2))</f>
        <v>0</v>
      </c>
      <c r="CF252" s="119" t="str">
        <f t="shared" si="356"/>
        <v/>
      </c>
      <c r="CG252" s="66">
        <f>+IF($W252="","",ROUND(IF($B252&gt;Parámetros!$D$107,'Tablas Servicio'!CE252+('Tablas Servicio'!CG251-'Tablas Servicio'!CE251),CE252/(1-IF(B252&lt;=10,Parámetros!$D$100,0))),2))</f>
        <v>0</v>
      </c>
      <c r="CH252" s="66">
        <f t="shared" si="357"/>
        <v>0</v>
      </c>
      <c r="CI252" s="66">
        <f t="shared" si="357"/>
        <v>0</v>
      </c>
      <c r="CJ252" s="66">
        <f>+IF($W252="","",ROUND((CG252*Parámetros!$G$85),2))</f>
        <v>0</v>
      </c>
      <c r="CK252" s="66">
        <f>+IF($W252="","",ROUND((CG252*(Parámetros!$G$86)),2))</f>
        <v>0</v>
      </c>
      <c r="CL252" s="66">
        <f t="shared" si="358"/>
        <v>0</v>
      </c>
      <c r="CM252" t="str">
        <f t="shared" si="399"/>
        <v>00063</v>
      </c>
      <c r="CN252" s="118" t="str">
        <f t="shared" si="400"/>
        <v>Renta Diaria por Hospitalización</v>
      </c>
      <c r="CO252" s="118">
        <f t="shared" si="401"/>
        <v>0</v>
      </c>
      <c r="CP252" s="118" t="str">
        <f t="shared" si="402"/>
        <v>A</v>
      </c>
      <c r="CQ252" s="119" t="str">
        <f t="shared" si="359"/>
        <v/>
      </c>
      <c r="CR252" s="66">
        <f>+IF($W252="","",ROUND((VLOOKUP(Parámetros!$F$51,'COBERTURAS ADICIONALES'!$S$4:$T$32,2,FALSE)*(1+i/frec)^-0.5*(1+Parámetros!$D$103)*(1+rec_fracc)/frec*$CO$42),2))</f>
        <v>0</v>
      </c>
      <c r="CS252" s="119" t="str">
        <f t="shared" si="360"/>
        <v/>
      </c>
      <c r="CT252" s="66">
        <f>+IF($W252="","",ROUND(IF($B252&gt;Parámetros!$D$107,'Tablas Servicio'!CR252+('Tablas Servicio'!CT251-'Tablas Servicio'!CR251),CR252/(1-IF(B252&lt;=10,Parámetros!$D$100,0))),2))</f>
        <v>0</v>
      </c>
      <c r="CU252" s="66">
        <f t="shared" si="361"/>
        <v>0</v>
      </c>
      <c r="CV252" s="66">
        <f t="shared" si="361"/>
        <v>0</v>
      </c>
      <c r="CW252" s="66">
        <f>+IF($W252="","",ROUND((CT252*Parámetros!$G$85),2))</f>
        <v>0</v>
      </c>
      <c r="CX252" s="66">
        <f>+IF($W252="","",ROUND((CT252*(Parámetros!$G$86)),2))</f>
        <v>0</v>
      </c>
      <c r="CY252" s="66">
        <f t="shared" si="362"/>
        <v>0</v>
      </c>
      <c r="CZ252" t="str">
        <f t="shared" si="403"/>
        <v>00064</v>
      </c>
      <c r="DA252" s="118" t="str">
        <f t="shared" si="404"/>
        <v>Enfermedades Graves</v>
      </c>
      <c r="DB252" s="118">
        <f t="shared" si="405"/>
        <v>0</v>
      </c>
      <c r="DC252" s="118" t="str">
        <f t="shared" si="406"/>
        <v>A</v>
      </c>
      <c r="DD252" s="121" t="str">
        <f>+IF(OR($W252="",DB252=0),"",ROUND((VLOOKUP(ROUNDDOWN($D252-1/frec,0),cob_adi,CO$40,FALSE)*(1+i/frec)^-0.5*(1+Parámetros!$D$103)*(1+rec_fracc)/frec),6))</f>
        <v/>
      </c>
      <c r="DE252" s="66">
        <f t="shared" si="363"/>
        <v>0</v>
      </c>
      <c r="DF252" s="119" t="str">
        <f t="shared" si="364"/>
        <v/>
      </c>
      <c r="DG252" s="66">
        <f>+IF($W252="","",ROUND(IF($B252&gt;Parámetros!$D$107,'Tablas Servicio'!DE252+('Tablas Servicio'!DG251-'Tablas Servicio'!DE251),DE252/(1-IF(B252&lt;=10,Parámetros!$D$100,0))),2))</f>
        <v>0</v>
      </c>
      <c r="DH252" s="66">
        <f t="shared" si="365"/>
        <v>0</v>
      </c>
      <c r="DI252" s="66">
        <f t="shared" si="365"/>
        <v>0</v>
      </c>
      <c r="DJ252" s="66">
        <f>+IF($W252="","",ROUND((DG252*Parámetros!$G$85),2))</f>
        <v>0</v>
      </c>
      <c r="DK252" s="66">
        <f>+IF($W252="","",ROUND((DG252*(Parámetros!$G$86)),2))</f>
        <v>0</v>
      </c>
      <c r="DL252" s="66">
        <f t="shared" si="366"/>
        <v>0</v>
      </c>
      <c r="DM252" t="str">
        <f t="shared" si="407"/>
        <v>00065</v>
      </c>
      <c r="DN252" s="118" t="str">
        <f t="shared" si="408"/>
        <v>Exención pago de primas</v>
      </c>
      <c r="DO252" s="118">
        <f t="shared" si="409"/>
        <v>0</v>
      </c>
      <c r="DP252" s="118" t="str">
        <f t="shared" si="410"/>
        <v>A</v>
      </c>
      <c r="DQ252" s="122" t="str">
        <f>+IF(OR($W252="",DO252=0),"",ROUND((VLOOKUP(ROUNDDOWN($D252-1/frec,0),cob_adi,DB$40,FALSE)*(1+i/frec)^-0.5*(1+Parámetros!$D$103)*(1+rec_fracc)/frec),6))</f>
        <v/>
      </c>
      <c r="DR252" s="66">
        <f t="shared" si="367"/>
        <v>0</v>
      </c>
      <c r="DS252" s="68" t="str">
        <f t="shared" si="368"/>
        <v/>
      </c>
      <c r="DT252" s="66">
        <f>+IF($W252="","",ROUND(IF($B252&gt;Parámetros!$D$107,'Tablas Servicio'!DR252+('Tablas Servicio'!DT251-'Tablas Servicio'!DR251),DR252/(1-IF(B252&lt;=10,Parámetros!$D$100,0))),2))</f>
        <v>0</v>
      </c>
      <c r="DU252" s="66">
        <f t="shared" si="369"/>
        <v>0</v>
      </c>
      <c r="DV252" s="66">
        <f t="shared" si="369"/>
        <v>0</v>
      </c>
      <c r="DW252" s="66">
        <f>+IF($W252="","",ROUND((DT252*Parámetros!$G$85),2))</f>
        <v>0</v>
      </c>
      <c r="DX252" s="66">
        <f>+IF($W252="","",ROUND((DT252*(Parámetros!$G$86)),2))</f>
        <v>0</v>
      </c>
      <c r="DY252" s="66">
        <f t="shared" si="370"/>
        <v>0</v>
      </c>
      <c r="DZ252" t="str">
        <f t="shared" si="411"/>
        <v>00066</v>
      </c>
      <c r="EA252" s="118" t="str">
        <f t="shared" si="411"/>
        <v>Enfermedad terminal</v>
      </c>
      <c r="EB252" s="118">
        <f>+IF($W252="","",ROUND(IF(Parámetros!$D$25='TABLAS MORT'!$V$33,EB251,Z252/2),0))</f>
        <v>50000</v>
      </c>
      <c r="EC252" s="118" t="str">
        <f t="shared" si="411"/>
        <v>A</v>
      </c>
      <c r="ED252" s="122">
        <f>+IF(OR($W252="",EB252=0),"",ROUND((VLOOKUP(ROUNDDOWN($D252-1/frec,0),cob_adi,DO$40,FALSE)*(1+i/frec)^-0.5*(1+Parámetros!$D$103)*(1+rec_fracc)/frec),6))</f>
        <v>2.6999999999999999E-5</v>
      </c>
      <c r="EE252" s="66">
        <f t="shared" si="372"/>
        <v>1.35</v>
      </c>
      <c r="EF252" s="68">
        <f t="shared" si="373"/>
        <v>2.6999999999999999E-5</v>
      </c>
      <c r="EG252" s="66">
        <f>+IF($W252="","",ROUND(IF($B252&gt;Parámetros!$D$107,'Tablas Servicio'!EE252+('Tablas Servicio'!EG251-'Tablas Servicio'!EE251),EE252/(1-IF(B252&lt;=10,Parámetros!$D$100,0))),2))</f>
        <v>1.35</v>
      </c>
      <c r="EH252" s="66">
        <f t="shared" si="374"/>
        <v>0</v>
      </c>
      <c r="EI252" s="66">
        <f t="shared" si="374"/>
        <v>0</v>
      </c>
      <c r="EJ252" s="66">
        <f>+IF($W252="","",ROUND((EG252*Parámetros!$G$85),2))</f>
        <v>0.05</v>
      </c>
      <c r="EK252" s="66">
        <f>+IF($W252="","",ROUND((EG252*(Parámetros!$G$86)),2))</f>
        <v>0.01</v>
      </c>
      <c r="EL252" s="66">
        <f t="shared" si="375"/>
        <v>1.41</v>
      </c>
    </row>
    <row r="253" spans="1:142" x14ac:dyDescent="0.25">
      <c r="A253">
        <f>+IF($C253="","",ROUND(VLOOKUP('Tablas Servicio'!B253,Parámetros!$H$100:$J$159,IF(Parámetros!$E$16="F",2,3),FALSE),2))</f>
        <v>150</v>
      </c>
      <c r="B253">
        <f t="shared" si="326"/>
        <v>18</v>
      </c>
      <c r="C253" s="57">
        <f>+IF(D253="","",'Tablas Servicio'!C252+1)</f>
        <v>212</v>
      </c>
      <c r="D253" s="56">
        <f>+IF(D252&lt;edadmaxtabla,D252+1/Parámetros!$E$25,"")</f>
        <v>57.686666666667172</v>
      </c>
      <c r="E253" s="57">
        <f t="shared" si="336"/>
        <v>57</v>
      </c>
      <c r="F253" s="59">
        <f t="shared" si="337"/>
        <v>100000</v>
      </c>
      <c r="G253" s="66">
        <f t="shared" si="327"/>
        <v>51.15</v>
      </c>
      <c r="H253" s="66">
        <f t="shared" si="328"/>
        <v>53.199999999999996</v>
      </c>
      <c r="I253" s="66">
        <f t="shared" si="376"/>
        <v>40.800000000000004</v>
      </c>
      <c r="J253" s="66">
        <f t="shared" si="329"/>
        <v>1.79</v>
      </c>
      <c r="K253" s="66">
        <f t="shared" si="330"/>
        <v>0.26</v>
      </c>
      <c r="L253" s="66">
        <f t="shared" si="331"/>
        <v>0</v>
      </c>
      <c r="M253" s="66">
        <f t="shared" si="332"/>
        <v>0</v>
      </c>
      <c r="N253" s="66">
        <f>+IF(C253="","",ROUND(Parámetros!$D$23,2))</f>
        <v>94</v>
      </c>
      <c r="O253" s="66">
        <f t="shared" si="333"/>
        <v>38.65</v>
      </c>
      <c r="P253" s="66">
        <f>+IF($C253="","",ROUND(IF(B253&gt;Parámetros!$D$117,0,N253*Parámetros!$D$116-G253*Parámetros!$D$100),2))</f>
        <v>0</v>
      </c>
      <c r="Q253" s="75">
        <f t="shared" si="377"/>
        <v>3.4995112414467254E-2</v>
      </c>
      <c r="R253" s="75">
        <f t="shared" si="378"/>
        <v>5.083088954056696E-3</v>
      </c>
      <c r="S253" s="117">
        <f>+IF($C253="","",ROUND((S252+I253)*(1+Parámetros!$D$91),2))</f>
        <v>15427.57</v>
      </c>
      <c r="T253" s="117">
        <f>+IF($C253="","",ROUND(S253*VLOOKUP(B253,Parámetros!$C$30:$D$39,2,TRUE),2))</f>
        <v>15427.57</v>
      </c>
      <c r="U253" s="117">
        <f>+IF($C253="","",ROUND((U252+I253)*(1+Parámetros!$D$92),2))</f>
        <v>16210.86</v>
      </c>
      <c r="V253" s="117">
        <f>+IF($C253="","",ROUND(U253*VLOOKUP(B253,Parámetros!$C$30:$D$39,2,TRUE),2))</f>
        <v>16210.86</v>
      </c>
      <c r="W253" s="57">
        <f t="shared" si="379"/>
        <v>212</v>
      </c>
      <c r="X253" t="str">
        <f t="shared" si="380"/>
        <v>00058</v>
      </c>
      <c r="Y253" t="str">
        <f t="shared" si="381"/>
        <v>MUERTE POR CUALQUIER CAUSA</v>
      </c>
      <c r="Z253" s="118">
        <f>+IF($W253="","",ROUND(IF(Parámetros!$D$25='TABLAS MORT'!$V$33,Z252,Parámetros!$D$21-'Tablas Servicio'!T252),0))</f>
        <v>100000</v>
      </c>
      <c r="AA253" s="118" t="str">
        <f t="shared" si="382"/>
        <v>P</v>
      </c>
      <c r="AB253" s="119">
        <f>+IF(W253="","",ROUND((VLOOKUP(ROUNDDOWN($D253-1/frec,0),qx_tabla,2,FALSE)*(1+i/frec)^-0.5*(1+Parámetros!$D$103)*(1+rec_fracc)/frec),6))</f>
        <v>3.7300000000000001E-4</v>
      </c>
      <c r="AC253" s="66">
        <f t="shared" si="338"/>
        <v>37.299999999999997</v>
      </c>
      <c r="AD253" s="119">
        <f t="shared" si="334"/>
        <v>4.9799999999999996E-4</v>
      </c>
      <c r="AE253" s="66">
        <f>+IF($W253="","",ROUND(IF($B253&gt;Parámetros!$D$107,'Tablas Servicio'!AC253+('Tablas Servicio'!AG252-'Tablas Servicio'!AC252),AC253/(1-IF(B253&lt;=10,Parámetros!$D$104,Parámetros!$D$105))),2))</f>
        <v>62.17</v>
      </c>
      <c r="AF253" s="66">
        <f>+IF($W253="","",ROUND(IF($B253&gt;Parámetros!$D$107,'Tablas Servicio'!AC253+('Tablas Servicio'!AG252-'Tablas Servicio'!AC252),(AC253+$A252/frec)/(1-IF(B253&lt;=Parámetros!$D$117,Parámetros!$D$100,0))),2))</f>
        <v>49.8</v>
      </c>
      <c r="AG253" s="66">
        <f t="shared" si="339"/>
        <v>49.8</v>
      </c>
      <c r="AH253" s="66">
        <f t="shared" si="340"/>
        <v>0</v>
      </c>
      <c r="AI253" s="66">
        <f t="shared" si="341"/>
        <v>0</v>
      </c>
      <c r="AJ253" s="66">
        <f>+IF($W253="","",ROUND((AG253*Parámetros!$G$85),2))</f>
        <v>1.74</v>
      </c>
      <c r="AK253" s="66">
        <f>+IF($W253="","",ROUND((AG253*(Parámetros!$G$86)),2))</f>
        <v>0.25</v>
      </c>
      <c r="AL253" s="66">
        <f t="shared" si="335"/>
        <v>51.79</v>
      </c>
      <c r="AM253" t="str">
        <f t="shared" si="383"/>
        <v>00059</v>
      </c>
      <c r="AN253" t="str">
        <f t="shared" si="384"/>
        <v>Incapacidad Total y Permanente</v>
      </c>
      <c r="AO253" s="118">
        <f t="shared" si="385"/>
        <v>0</v>
      </c>
      <c r="AP253" s="118" t="str">
        <f t="shared" si="386"/>
        <v>A</v>
      </c>
      <c r="AQ253" s="119" t="str">
        <f>+IF(OR($W253="",AO253=0),"",ROUND((VLOOKUP(ROUNDDOWN($D253-1/frec,0),cob_adi,Z$40,FALSE)*(1+i/frec)^-0.5*(1+Parámetros!$D$103)*(1+rec_fracc)/frec),6))</f>
        <v/>
      </c>
      <c r="AR253" s="66">
        <f t="shared" si="342"/>
        <v>0</v>
      </c>
      <c r="AS253" s="119" t="str">
        <f t="shared" si="343"/>
        <v/>
      </c>
      <c r="AT253" s="66">
        <f>+IF($W253="","",ROUND(IF($B253&gt;Parámetros!$D$107,'Tablas Servicio'!AR253+('Tablas Servicio'!AT252-'Tablas Servicio'!AR252),AR253/(1-IF(B253&lt;=10,Parámetros!$D$100,0))),2))</f>
        <v>0</v>
      </c>
      <c r="AU253" s="66">
        <f t="shared" si="344"/>
        <v>0</v>
      </c>
      <c r="AV253" s="66">
        <f t="shared" si="344"/>
        <v>0</v>
      </c>
      <c r="AW253" s="66">
        <f>+IF($W253="","",ROUND((AT253*Parámetros!$G$85),2))</f>
        <v>0</v>
      </c>
      <c r="AX253" s="66">
        <f>+IF($W253="","",ROUND((AT253*(Parámetros!$G$86)),2))</f>
        <v>0</v>
      </c>
      <c r="AY253" s="66">
        <f t="shared" si="345"/>
        <v>0</v>
      </c>
      <c r="AZ253" t="str">
        <f t="shared" si="387"/>
        <v>00060</v>
      </c>
      <c r="BA253" t="str">
        <f t="shared" si="388"/>
        <v>Muerte Accidental</v>
      </c>
      <c r="BB253" s="118">
        <f t="shared" si="389"/>
        <v>0</v>
      </c>
      <c r="BC253" s="118" t="str">
        <f t="shared" si="390"/>
        <v>A</v>
      </c>
      <c r="BD253" s="119" t="str">
        <f>+IF(OR($W253="",BB253=0),"",ROUND((VLOOKUP(ROUNDDOWN($D253-1/frec,0),cob_adi,AO$40,FALSE)*(1+i/frec)^-0.5*(1+Parámetros!$D$103)*(1+rec_fracc)/frec),6))</f>
        <v/>
      </c>
      <c r="BE253" s="66">
        <f t="shared" si="346"/>
        <v>0</v>
      </c>
      <c r="BF253" s="119" t="str">
        <f t="shared" si="347"/>
        <v/>
      </c>
      <c r="BG253" s="66">
        <f>+IF($W253="","",ROUND(IF($B253&gt;Parámetros!$D$107,'Tablas Servicio'!BE253+('Tablas Servicio'!BG252-'Tablas Servicio'!BE252),BE253/(1-IF(B253&lt;=10,Parámetros!$D$100,0))),2))</f>
        <v>0</v>
      </c>
      <c r="BH253" s="66">
        <f t="shared" si="348"/>
        <v>0</v>
      </c>
      <c r="BI253" s="66">
        <f t="shared" si="349"/>
        <v>0</v>
      </c>
      <c r="BJ253" s="66">
        <f>+IF($W253="","",ROUND((BG253*Parámetros!$G$85),2))</f>
        <v>0</v>
      </c>
      <c r="BK253" s="66">
        <f>+IF($W253="","",ROUND((BG253*(Parámetros!$G$86)),2))</f>
        <v>0</v>
      </c>
      <c r="BL253" s="66">
        <f t="shared" si="350"/>
        <v>0</v>
      </c>
      <c r="BM253" t="str">
        <f t="shared" si="391"/>
        <v>00061</v>
      </c>
      <c r="BN253" t="str">
        <f t="shared" si="392"/>
        <v>Gastos de Entierro</v>
      </c>
      <c r="BO253" s="118">
        <f t="shared" si="393"/>
        <v>0</v>
      </c>
      <c r="BP253" s="118" t="str">
        <f t="shared" si="394"/>
        <v>A</v>
      </c>
      <c r="BQ253" s="119" t="str">
        <f>+IF(OR($W253="",BO253=0),"",ROUND((VLOOKUP(ROUNDDOWN($D253-1/frec,0),cob_adi,BB$40,FALSE)*(1+i/frec)^-0.5*(1+Parámetros!$D$103)*(1+rec_fracc)/frec),6))</f>
        <v/>
      </c>
      <c r="BR253" s="66">
        <f t="shared" si="351"/>
        <v>0</v>
      </c>
      <c r="BS253" s="119" t="str">
        <f t="shared" si="352"/>
        <v/>
      </c>
      <c r="BT253" s="66">
        <f>+IF($W253="","",ROUND(IF($B253&gt;Parámetros!$D$107,'Tablas Servicio'!BR253+('Tablas Servicio'!BT252-'Tablas Servicio'!BR252),BR253/(1-IF(B253&lt;=10,Parámetros!$D$100,0))),2))</f>
        <v>0</v>
      </c>
      <c r="BU253" s="66">
        <f t="shared" si="353"/>
        <v>0</v>
      </c>
      <c r="BV253" s="66">
        <f t="shared" si="353"/>
        <v>0</v>
      </c>
      <c r="BW253" s="66">
        <f>+IF($W253="","",ROUND((BT253*Parámetros!$G$85),2))</f>
        <v>0</v>
      </c>
      <c r="BX253" s="66">
        <f>+IF($W253="","",ROUND((BT253*(Parámetros!$G$86)),2))</f>
        <v>0</v>
      </c>
      <c r="BY253" s="66">
        <f t="shared" si="354"/>
        <v>0</v>
      </c>
      <c r="BZ253" t="str">
        <f t="shared" si="395"/>
        <v>00062</v>
      </c>
      <c r="CA253" t="str">
        <f t="shared" si="396"/>
        <v>Gastos médicos por accidente</v>
      </c>
      <c r="CB253" s="118">
        <f t="shared" si="397"/>
        <v>0</v>
      </c>
      <c r="CC253" s="118" t="str">
        <f t="shared" si="398"/>
        <v>A</v>
      </c>
      <c r="CD253" s="119" t="str">
        <f t="shared" si="355"/>
        <v/>
      </c>
      <c r="CE253" s="66">
        <f>+IF($W253="","",ROUND((VLOOKUP(ROUNDDOWN($D253-1/frec,0),cob_adi,BO$40,FALSE)*(1+i/frec)^-0.5*(1+Parámetros!$D$103)*(1+rec_fracc)/frec*'TABLAS ADI'!$BC$17),2))</f>
        <v>0</v>
      </c>
      <c r="CF253" s="119" t="str">
        <f t="shared" si="356"/>
        <v/>
      </c>
      <c r="CG253" s="66">
        <f>+IF($W253="","",ROUND(IF($B253&gt;Parámetros!$D$107,'Tablas Servicio'!CE253+('Tablas Servicio'!CG252-'Tablas Servicio'!CE252),CE253/(1-IF(B253&lt;=10,Parámetros!$D$100,0))),2))</f>
        <v>0</v>
      </c>
      <c r="CH253" s="66">
        <f t="shared" si="357"/>
        <v>0</v>
      </c>
      <c r="CI253" s="66">
        <f t="shared" si="357"/>
        <v>0</v>
      </c>
      <c r="CJ253" s="66">
        <f>+IF($W253="","",ROUND((CG253*Parámetros!$G$85),2))</f>
        <v>0</v>
      </c>
      <c r="CK253" s="66">
        <f>+IF($W253="","",ROUND((CG253*(Parámetros!$G$86)),2))</f>
        <v>0</v>
      </c>
      <c r="CL253" s="66">
        <f t="shared" si="358"/>
        <v>0</v>
      </c>
      <c r="CM253" t="str">
        <f t="shared" si="399"/>
        <v>00063</v>
      </c>
      <c r="CN253" s="118" t="str">
        <f t="shared" si="400"/>
        <v>Renta Diaria por Hospitalización</v>
      </c>
      <c r="CO253" s="118">
        <f t="shared" si="401"/>
        <v>0</v>
      </c>
      <c r="CP253" s="118" t="str">
        <f t="shared" si="402"/>
        <v>A</v>
      </c>
      <c r="CQ253" s="119" t="str">
        <f t="shared" si="359"/>
        <v/>
      </c>
      <c r="CR253" s="66">
        <f>+IF($W253="","",ROUND((VLOOKUP(Parámetros!$F$51,'COBERTURAS ADICIONALES'!$S$4:$T$32,2,FALSE)*(1+i/frec)^-0.5*(1+Parámetros!$D$103)*(1+rec_fracc)/frec*$CO$42),2))</f>
        <v>0</v>
      </c>
      <c r="CS253" s="119" t="str">
        <f t="shared" si="360"/>
        <v/>
      </c>
      <c r="CT253" s="66">
        <f>+IF($W253="","",ROUND(IF($B253&gt;Parámetros!$D$107,'Tablas Servicio'!CR253+('Tablas Servicio'!CT252-'Tablas Servicio'!CR252),CR253/(1-IF(B253&lt;=10,Parámetros!$D$100,0))),2))</f>
        <v>0</v>
      </c>
      <c r="CU253" s="66">
        <f t="shared" si="361"/>
        <v>0</v>
      </c>
      <c r="CV253" s="66">
        <f t="shared" si="361"/>
        <v>0</v>
      </c>
      <c r="CW253" s="66">
        <f>+IF($W253="","",ROUND((CT253*Parámetros!$G$85),2))</f>
        <v>0</v>
      </c>
      <c r="CX253" s="66">
        <f>+IF($W253="","",ROUND((CT253*(Parámetros!$G$86)),2))</f>
        <v>0</v>
      </c>
      <c r="CY253" s="66">
        <f t="shared" si="362"/>
        <v>0</v>
      </c>
      <c r="CZ253" t="str">
        <f t="shared" si="403"/>
        <v>00064</v>
      </c>
      <c r="DA253" s="118" t="str">
        <f t="shared" si="404"/>
        <v>Enfermedades Graves</v>
      </c>
      <c r="DB253" s="118">
        <f t="shared" si="405"/>
        <v>0</v>
      </c>
      <c r="DC253" s="118" t="str">
        <f t="shared" si="406"/>
        <v>A</v>
      </c>
      <c r="DD253" s="121" t="str">
        <f>+IF(OR($W253="",DB253=0),"",ROUND((VLOOKUP(ROUNDDOWN($D253-1/frec,0),cob_adi,CO$40,FALSE)*(1+i/frec)^-0.5*(1+Parámetros!$D$103)*(1+rec_fracc)/frec),6))</f>
        <v/>
      </c>
      <c r="DE253" s="66">
        <f t="shared" si="363"/>
        <v>0</v>
      </c>
      <c r="DF253" s="119" t="str">
        <f t="shared" si="364"/>
        <v/>
      </c>
      <c r="DG253" s="66">
        <f>+IF($W253="","",ROUND(IF($B253&gt;Parámetros!$D$107,'Tablas Servicio'!DE253+('Tablas Servicio'!DG252-'Tablas Servicio'!DE252),DE253/(1-IF(B253&lt;=10,Parámetros!$D$100,0))),2))</f>
        <v>0</v>
      </c>
      <c r="DH253" s="66">
        <f t="shared" si="365"/>
        <v>0</v>
      </c>
      <c r="DI253" s="66">
        <f t="shared" si="365"/>
        <v>0</v>
      </c>
      <c r="DJ253" s="66">
        <f>+IF($W253="","",ROUND((DG253*Parámetros!$G$85),2))</f>
        <v>0</v>
      </c>
      <c r="DK253" s="66">
        <f>+IF($W253="","",ROUND((DG253*(Parámetros!$G$86)),2))</f>
        <v>0</v>
      </c>
      <c r="DL253" s="66">
        <f t="shared" si="366"/>
        <v>0</v>
      </c>
      <c r="DM253" t="str">
        <f t="shared" si="407"/>
        <v>00065</v>
      </c>
      <c r="DN253" s="118" t="str">
        <f t="shared" si="408"/>
        <v>Exención pago de primas</v>
      </c>
      <c r="DO253" s="118">
        <f t="shared" si="409"/>
        <v>0</v>
      </c>
      <c r="DP253" s="118" t="str">
        <f t="shared" si="410"/>
        <v>A</v>
      </c>
      <c r="DQ253" s="122" t="str">
        <f>+IF(OR($W253="",DO253=0),"",ROUND((VLOOKUP(ROUNDDOWN($D253-1/frec,0),cob_adi,DB$40,FALSE)*(1+i/frec)^-0.5*(1+Parámetros!$D$103)*(1+rec_fracc)/frec),6))</f>
        <v/>
      </c>
      <c r="DR253" s="66">
        <f t="shared" si="367"/>
        <v>0</v>
      </c>
      <c r="DS253" s="68" t="str">
        <f t="shared" si="368"/>
        <v/>
      </c>
      <c r="DT253" s="66">
        <f>+IF($W253="","",ROUND(IF($B253&gt;Parámetros!$D$107,'Tablas Servicio'!DR253+('Tablas Servicio'!DT252-'Tablas Servicio'!DR252),DR253/(1-IF(B253&lt;=10,Parámetros!$D$100,0))),2))</f>
        <v>0</v>
      </c>
      <c r="DU253" s="66">
        <f t="shared" si="369"/>
        <v>0</v>
      </c>
      <c r="DV253" s="66">
        <f t="shared" si="369"/>
        <v>0</v>
      </c>
      <c r="DW253" s="66">
        <f>+IF($W253="","",ROUND((DT253*Parámetros!$G$85),2))</f>
        <v>0</v>
      </c>
      <c r="DX253" s="66">
        <f>+IF($W253="","",ROUND((DT253*(Parámetros!$G$86)),2))</f>
        <v>0</v>
      </c>
      <c r="DY253" s="66">
        <f t="shared" si="370"/>
        <v>0</v>
      </c>
      <c r="DZ253" t="str">
        <f t="shared" si="411"/>
        <v>00066</v>
      </c>
      <c r="EA253" s="118" t="str">
        <f t="shared" si="411"/>
        <v>Enfermedad terminal</v>
      </c>
      <c r="EB253" s="118">
        <f>+IF($W253="","",ROUND(IF(Parámetros!$D$25='TABLAS MORT'!$V$33,EB252,Z253/2),0))</f>
        <v>50000</v>
      </c>
      <c r="EC253" s="118" t="str">
        <f t="shared" si="411"/>
        <v>A</v>
      </c>
      <c r="ED253" s="122">
        <f>+IF(OR($W253="",EB253=0),"",ROUND((VLOOKUP(ROUNDDOWN($D253-1/frec,0),cob_adi,DO$40,FALSE)*(1+i/frec)^-0.5*(1+Parámetros!$D$103)*(1+rec_fracc)/frec),6))</f>
        <v>2.6999999999999999E-5</v>
      </c>
      <c r="EE253" s="66">
        <f t="shared" si="372"/>
        <v>1.35</v>
      </c>
      <c r="EF253" s="68">
        <f t="shared" si="373"/>
        <v>2.6999999999999999E-5</v>
      </c>
      <c r="EG253" s="66">
        <f>+IF($W253="","",ROUND(IF($B253&gt;Parámetros!$D$107,'Tablas Servicio'!EE253+('Tablas Servicio'!EG252-'Tablas Servicio'!EE252),EE253/(1-IF(B253&lt;=10,Parámetros!$D$100,0))),2))</f>
        <v>1.35</v>
      </c>
      <c r="EH253" s="66">
        <f t="shared" si="374"/>
        <v>0</v>
      </c>
      <c r="EI253" s="66">
        <f t="shared" si="374"/>
        <v>0</v>
      </c>
      <c r="EJ253" s="66">
        <f>+IF($W253="","",ROUND((EG253*Parámetros!$G$85),2))</f>
        <v>0.05</v>
      </c>
      <c r="EK253" s="66">
        <f>+IF($W253="","",ROUND((EG253*(Parámetros!$G$86)),2))</f>
        <v>0.01</v>
      </c>
      <c r="EL253" s="66">
        <f t="shared" si="375"/>
        <v>1.41</v>
      </c>
    </row>
    <row r="254" spans="1:142" x14ac:dyDescent="0.25">
      <c r="A254">
        <f>+IF($C254="","",ROUND(VLOOKUP('Tablas Servicio'!B254,Parámetros!$H$100:$J$159,IF(Parámetros!$E$16="F",2,3),FALSE),2))</f>
        <v>150</v>
      </c>
      <c r="B254">
        <f t="shared" si="326"/>
        <v>18</v>
      </c>
      <c r="C254" s="57">
        <f>+IF(D254="","",'Tablas Servicio'!C253+1)</f>
        <v>213</v>
      </c>
      <c r="D254" s="56">
        <f>+IF(D253&lt;edadmaxtabla,D253+1/Parámetros!$E$25,"")</f>
        <v>57.770000000000508</v>
      </c>
      <c r="E254" s="57">
        <f t="shared" si="336"/>
        <v>57</v>
      </c>
      <c r="F254" s="59">
        <f t="shared" si="337"/>
        <v>100000</v>
      </c>
      <c r="G254" s="66">
        <f t="shared" si="327"/>
        <v>51.15</v>
      </c>
      <c r="H254" s="66">
        <f t="shared" si="328"/>
        <v>53.199999999999996</v>
      </c>
      <c r="I254" s="66">
        <f t="shared" si="376"/>
        <v>40.800000000000004</v>
      </c>
      <c r="J254" s="66">
        <f t="shared" si="329"/>
        <v>1.79</v>
      </c>
      <c r="K254" s="66">
        <f t="shared" si="330"/>
        <v>0.26</v>
      </c>
      <c r="L254" s="66">
        <f t="shared" si="331"/>
        <v>0</v>
      </c>
      <c r="M254" s="66">
        <f t="shared" si="332"/>
        <v>0</v>
      </c>
      <c r="N254" s="66">
        <f>+IF(C254="","",ROUND(Parámetros!$D$23,2))</f>
        <v>94</v>
      </c>
      <c r="O254" s="66">
        <f t="shared" si="333"/>
        <v>38.65</v>
      </c>
      <c r="P254" s="66">
        <f>+IF($C254="","",ROUND(IF(B254&gt;Parámetros!$D$117,0,N254*Parámetros!$D$116-G254*Parámetros!$D$100),2))</f>
        <v>0</v>
      </c>
      <c r="Q254" s="75">
        <f t="shared" si="377"/>
        <v>3.4995112414467254E-2</v>
      </c>
      <c r="R254" s="75">
        <f t="shared" si="378"/>
        <v>5.083088954056696E-3</v>
      </c>
      <c r="S254" s="117">
        <f>+IF($C254="","",ROUND((S253+I254)*(1+Parámetros!$D$91),2))</f>
        <v>15512.25</v>
      </c>
      <c r="T254" s="117">
        <f>+IF($C254="","",ROUND(S254*VLOOKUP(B254,Parámetros!$C$30:$D$39,2,TRUE),2))</f>
        <v>15512.25</v>
      </c>
      <c r="U254" s="117">
        <f>+IF($C254="","",ROUND((U253+I254)*(1+Parámetros!$D$92),2))</f>
        <v>16304.34</v>
      </c>
      <c r="V254" s="117">
        <f>+IF($C254="","",ROUND(U254*VLOOKUP(B254,Parámetros!$C$30:$D$39,2,TRUE),2))</f>
        <v>16304.34</v>
      </c>
      <c r="W254" s="57">
        <f t="shared" si="379"/>
        <v>213</v>
      </c>
      <c r="X254" t="str">
        <f t="shared" si="380"/>
        <v>00058</v>
      </c>
      <c r="Y254" t="str">
        <f t="shared" si="381"/>
        <v>MUERTE POR CUALQUIER CAUSA</v>
      </c>
      <c r="Z254" s="118">
        <f>+IF($W254="","",ROUND(IF(Parámetros!$D$25='TABLAS MORT'!$V$33,Z253,Parámetros!$D$21-'Tablas Servicio'!T253),0))</f>
        <v>100000</v>
      </c>
      <c r="AA254" s="118" t="str">
        <f t="shared" si="382"/>
        <v>P</v>
      </c>
      <c r="AB254" s="119">
        <f>+IF(W254="","",ROUND((VLOOKUP(ROUNDDOWN($D254-1/frec,0),qx_tabla,2,FALSE)*(1+i/frec)^-0.5*(1+Parámetros!$D$103)*(1+rec_fracc)/frec),6))</f>
        <v>3.7300000000000001E-4</v>
      </c>
      <c r="AC254" s="66">
        <f t="shared" si="338"/>
        <v>37.299999999999997</v>
      </c>
      <c r="AD254" s="119">
        <f t="shared" si="334"/>
        <v>4.9799999999999996E-4</v>
      </c>
      <c r="AE254" s="66">
        <f>+IF($W254="","",ROUND(IF($B254&gt;Parámetros!$D$107,'Tablas Servicio'!AC254+('Tablas Servicio'!AG253-'Tablas Servicio'!AC253),AC254/(1-IF(B254&lt;=10,Parámetros!$D$104,Parámetros!$D$105))),2))</f>
        <v>62.17</v>
      </c>
      <c r="AF254" s="66">
        <f>+IF($W254="","",ROUND(IF($B254&gt;Parámetros!$D$107,'Tablas Servicio'!AC254+('Tablas Servicio'!AG253-'Tablas Servicio'!AC253),(AC254+$A253/frec)/(1-IF(B254&lt;=Parámetros!$D$117,Parámetros!$D$100,0))),2))</f>
        <v>49.8</v>
      </c>
      <c r="AG254" s="66">
        <f t="shared" si="339"/>
        <v>49.8</v>
      </c>
      <c r="AH254" s="66">
        <f t="shared" si="340"/>
        <v>0</v>
      </c>
      <c r="AI254" s="66">
        <f t="shared" si="341"/>
        <v>0</v>
      </c>
      <c r="AJ254" s="66">
        <f>+IF($W254="","",ROUND((AG254*Parámetros!$G$85),2))</f>
        <v>1.74</v>
      </c>
      <c r="AK254" s="66">
        <f>+IF($W254="","",ROUND((AG254*(Parámetros!$G$86)),2))</f>
        <v>0.25</v>
      </c>
      <c r="AL254" s="66">
        <f t="shared" si="335"/>
        <v>51.79</v>
      </c>
      <c r="AM254" t="str">
        <f t="shared" si="383"/>
        <v>00059</v>
      </c>
      <c r="AN254" t="str">
        <f t="shared" si="384"/>
        <v>Incapacidad Total y Permanente</v>
      </c>
      <c r="AO254" s="118">
        <f t="shared" si="385"/>
        <v>0</v>
      </c>
      <c r="AP254" s="118" t="str">
        <f t="shared" si="386"/>
        <v>A</v>
      </c>
      <c r="AQ254" s="119" t="str">
        <f>+IF(OR($W254="",AO254=0),"",ROUND((VLOOKUP(ROUNDDOWN($D254-1/frec,0),cob_adi,Z$40,FALSE)*(1+i/frec)^-0.5*(1+Parámetros!$D$103)*(1+rec_fracc)/frec),6))</f>
        <v/>
      </c>
      <c r="AR254" s="66">
        <f t="shared" si="342"/>
        <v>0</v>
      </c>
      <c r="AS254" s="119" t="str">
        <f t="shared" si="343"/>
        <v/>
      </c>
      <c r="AT254" s="66">
        <f>+IF($W254="","",ROUND(IF($B254&gt;Parámetros!$D$107,'Tablas Servicio'!AR254+('Tablas Servicio'!AT253-'Tablas Servicio'!AR253),AR254/(1-IF(B254&lt;=10,Parámetros!$D$100,0))),2))</f>
        <v>0</v>
      </c>
      <c r="AU254" s="66">
        <f t="shared" si="344"/>
        <v>0</v>
      </c>
      <c r="AV254" s="66">
        <f t="shared" si="344"/>
        <v>0</v>
      </c>
      <c r="AW254" s="66">
        <f>+IF($W254="","",ROUND((AT254*Parámetros!$G$85),2))</f>
        <v>0</v>
      </c>
      <c r="AX254" s="66">
        <f>+IF($W254="","",ROUND((AT254*(Parámetros!$G$86)),2))</f>
        <v>0</v>
      </c>
      <c r="AY254" s="66">
        <f t="shared" si="345"/>
        <v>0</v>
      </c>
      <c r="AZ254" t="str">
        <f t="shared" si="387"/>
        <v>00060</v>
      </c>
      <c r="BA254" t="str">
        <f t="shared" si="388"/>
        <v>Muerte Accidental</v>
      </c>
      <c r="BB254" s="118">
        <f t="shared" si="389"/>
        <v>0</v>
      </c>
      <c r="BC254" s="118" t="str">
        <f t="shared" si="390"/>
        <v>A</v>
      </c>
      <c r="BD254" s="119" t="str">
        <f>+IF(OR($W254="",BB254=0),"",ROUND((VLOOKUP(ROUNDDOWN($D254-1/frec,0),cob_adi,AO$40,FALSE)*(1+i/frec)^-0.5*(1+Parámetros!$D$103)*(1+rec_fracc)/frec),6))</f>
        <v/>
      </c>
      <c r="BE254" s="66">
        <f t="shared" si="346"/>
        <v>0</v>
      </c>
      <c r="BF254" s="119" t="str">
        <f t="shared" si="347"/>
        <v/>
      </c>
      <c r="BG254" s="66">
        <f>+IF($W254="","",ROUND(IF($B254&gt;Parámetros!$D$107,'Tablas Servicio'!BE254+('Tablas Servicio'!BG253-'Tablas Servicio'!BE253),BE254/(1-IF(B254&lt;=10,Parámetros!$D$100,0))),2))</f>
        <v>0</v>
      </c>
      <c r="BH254" s="66">
        <f t="shared" si="348"/>
        <v>0</v>
      </c>
      <c r="BI254" s="66">
        <f t="shared" si="349"/>
        <v>0</v>
      </c>
      <c r="BJ254" s="66">
        <f>+IF($W254="","",ROUND((BG254*Parámetros!$G$85),2))</f>
        <v>0</v>
      </c>
      <c r="BK254" s="66">
        <f>+IF($W254="","",ROUND((BG254*(Parámetros!$G$86)),2))</f>
        <v>0</v>
      </c>
      <c r="BL254" s="66">
        <f t="shared" si="350"/>
        <v>0</v>
      </c>
      <c r="BM254" t="str">
        <f t="shared" si="391"/>
        <v>00061</v>
      </c>
      <c r="BN254" t="str">
        <f t="shared" si="392"/>
        <v>Gastos de Entierro</v>
      </c>
      <c r="BO254" s="118">
        <f t="shared" si="393"/>
        <v>0</v>
      </c>
      <c r="BP254" s="118" t="str">
        <f t="shared" si="394"/>
        <v>A</v>
      </c>
      <c r="BQ254" s="119" t="str">
        <f>+IF(OR($W254="",BO254=0),"",ROUND((VLOOKUP(ROUNDDOWN($D254-1/frec,0),cob_adi,BB$40,FALSE)*(1+i/frec)^-0.5*(1+Parámetros!$D$103)*(1+rec_fracc)/frec),6))</f>
        <v/>
      </c>
      <c r="BR254" s="66">
        <f t="shared" si="351"/>
        <v>0</v>
      </c>
      <c r="BS254" s="119" t="str">
        <f t="shared" si="352"/>
        <v/>
      </c>
      <c r="BT254" s="66">
        <f>+IF($W254="","",ROUND(IF($B254&gt;Parámetros!$D$107,'Tablas Servicio'!BR254+('Tablas Servicio'!BT253-'Tablas Servicio'!BR253),BR254/(1-IF(B254&lt;=10,Parámetros!$D$100,0))),2))</f>
        <v>0</v>
      </c>
      <c r="BU254" s="66">
        <f t="shared" si="353"/>
        <v>0</v>
      </c>
      <c r="BV254" s="66">
        <f t="shared" si="353"/>
        <v>0</v>
      </c>
      <c r="BW254" s="66">
        <f>+IF($W254="","",ROUND((BT254*Parámetros!$G$85),2))</f>
        <v>0</v>
      </c>
      <c r="BX254" s="66">
        <f>+IF($W254="","",ROUND((BT254*(Parámetros!$G$86)),2))</f>
        <v>0</v>
      </c>
      <c r="BY254" s="66">
        <f t="shared" si="354"/>
        <v>0</v>
      </c>
      <c r="BZ254" t="str">
        <f t="shared" si="395"/>
        <v>00062</v>
      </c>
      <c r="CA254" t="str">
        <f t="shared" si="396"/>
        <v>Gastos médicos por accidente</v>
      </c>
      <c r="CB254" s="118">
        <f t="shared" si="397"/>
        <v>0</v>
      </c>
      <c r="CC254" s="118" t="str">
        <f t="shared" si="398"/>
        <v>A</v>
      </c>
      <c r="CD254" s="119" t="str">
        <f t="shared" si="355"/>
        <v/>
      </c>
      <c r="CE254" s="66">
        <f>+IF($W254="","",ROUND((VLOOKUP(ROUNDDOWN($D254-1/frec,0),cob_adi,BO$40,FALSE)*(1+i/frec)^-0.5*(1+Parámetros!$D$103)*(1+rec_fracc)/frec*'TABLAS ADI'!$BC$17),2))</f>
        <v>0</v>
      </c>
      <c r="CF254" s="119" t="str">
        <f t="shared" si="356"/>
        <v/>
      </c>
      <c r="CG254" s="66">
        <f>+IF($W254="","",ROUND(IF($B254&gt;Parámetros!$D$107,'Tablas Servicio'!CE254+('Tablas Servicio'!CG253-'Tablas Servicio'!CE253),CE254/(1-IF(B254&lt;=10,Parámetros!$D$100,0))),2))</f>
        <v>0</v>
      </c>
      <c r="CH254" s="66">
        <f t="shared" si="357"/>
        <v>0</v>
      </c>
      <c r="CI254" s="66">
        <f t="shared" si="357"/>
        <v>0</v>
      </c>
      <c r="CJ254" s="66">
        <f>+IF($W254="","",ROUND((CG254*Parámetros!$G$85),2))</f>
        <v>0</v>
      </c>
      <c r="CK254" s="66">
        <f>+IF($W254="","",ROUND((CG254*(Parámetros!$G$86)),2))</f>
        <v>0</v>
      </c>
      <c r="CL254" s="66">
        <f t="shared" si="358"/>
        <v>0</v>
      </c>
      <c r="CM254" t="str">
        <f t="shared" si="399"/>
        <v>00063</v>
      </c>
      <c r="CN254" s="118" t="str">
        <f t="shared" si="400"/>
        <v>Renta Diaria por Hospitalización</v>
      </c>
      <c r="CO254" s="118">
        <f t="shared" si="401"/>
        <v>0</v>
      </c>
      <c r="CP254" s="118" t="str">
        <f t="shared" si="402"/>
        <v>A</v>
      </c>
      <c r="CQ254" s="119" t="str">
        <f t="shared" si="359"/>
        <v/>
      </c>
      <c r="CR254" s="66">
        <f>+IF($W254="","",ROUND((VLOOKUP(Parámetros!$F$51,'COBERTURAS ADICIONALES'!$S$4:$T$32,2,FALSE)*(1+i/frec)^-0.5*(1+Parámetros!$D$103)*(1+rec_fracc)/frec*$CO$42),2))</f>
        <v>0</v>
      </c>
      <c r="CS254" s="119" t="str">
        <f t="shared" si="360"/>
        <v/>
      </c>
      <c r="CT254" s="66">
        <f>+IF($W254="","",ROUND(IF($B254&gt;Parámetros!$D$107,'Tablas Servicio'!CR254+('Tablas Servicio'!CT253-'Tablas Servicio'!CR253),CR254/(1-IF(B254&lt;=10,Parámetros!$D$100,0))),2))</f>
        <v>0</v>
      </c>
      <c r="CU254" s="66">
        <f t="shared" si="361"/>
        <v>0</v>
      </c>
      <c r="CV254" s="66">
        <f t="shared" si="361"/>
        <v>0</v>
      </c>
      <c r="CW254" s="66">
        <f>+IF($W254="","",ROUND((CT254*Parámetros!$G$85),2))</f>
        <v>0</v>
      </c>
      <c r="CX254" s="66">
        <f>+IF($W254="","",ROUND((CT254*(Parámetros!$G$86)),2))</f>
        <v>0</v>
      </c>
      <c r="CY254" s="66">
        <f t="shared" si="362"/>
        <v>0</v>
      </c>
      <c r="CZ254" t="str">
        <f t="shared" si="403"/>
        <v>00064</v>
      </c>
      <c r="DA254" s="118" t="str">
        <f t="shared" si="404"/>
        <v>Enfermedades Graves</v>
      </c>
      <c r="DB254" s="118">
        <f t="shared" si="405"/>
        <v>0</v>
      </c>
      <c r="DC254" s="118" t="str">
        <f t="shared" si="406"/>
        <v>A</v>
      </c>
      <c r="DD254" s="121" t="str">
        <f>+IF(OR($W254="",DB254=0),"",ROUND((VLOOKUP(ROUNDDOWN($D254-1/frec,0),cob_adi,CO$40,FALSE)*(1+i/frec)^-0.5*(1+Parámetros!$D$103)*(1+rec_fracc)/frec),6))</f>
        <v/>
      </c>
      <c r="DE254" s="66">
        <f t="shared" si="363"/>
        <v>0</v>
      </c>
      <c r="DF254" s="119" t="str">
        <f t="shared" si="364"/>
        <v/>
      </c>
      <c r="DG254" s="66">
        <f>+IF($W254="","",ROUND(IF($B254&gt;Parámetros!$D$107,'Tablas Servicio'!DE254+('Tablas Servicio'!DG253-'Tablas Servicio'!DE253),DE254/(1-IF(B254&lt;=10,Parámetros!$D$100,0))),2))</f>
        <v>0</v>
      </c>
      <c r="DH254" s="66">
        <f t="shared" si="365"/>
        <v>0</v>
      </c>
      <c r="DI254" s="66">
        <f t="shared" si="365"/>
        <v>0</v>
      </c>
      <c r="DJ254" s="66">
        <f>+IF($W254="","",ROUND((DG254*Parámetros!$G$85),2))</f>
        <v>0</v>
      </c>
      <c r="DK254" s="66">
        <f>+IF($W254="","",ROUND((DG254*(Parámetros!$G$86)),2))</f>
        <v>0</v>
      </c>
      <c r="DL254" s="66">
        <f t="shared" si="366"/>
        <v>0</v>
      </c>
      <c r="DM254" t="str">
        <f t="shared" si="407"/>
        <v>00065</v>
      </c>
      <c r="DN254" s="118" t="str">
        <f t="shared" si="408"/>
        <v>Exención pago de primas</v>
      </c>
      <c r="DO254" s="118">
        <f t="shared" si="409"/>
        <v>0</v>
      </c>
      <c r="DP254" s="118" t="str">
        <f t="shared" si="410"/>
        <v>A</v>
      </c>
      <c r="DQ254" s="122" t="str">
        <f>+IF(OR($W254="",DO254=0),"",ROUND((VLOOKUP(ROUNDDOWN($D254-1/frec,0),cob_adi,DB$40,FALSE)*(1+i/frec)^-0.5*(1+Parámetros!$D$103)*(1+rec_fracc)/frec),6))</f>
        <v/>
      </c>
      <c r="DR254" s="66">
        <f t="shared" si="367"/>
        <v>0</v>
      </c>
      <c r="DS254" s="68" t="str">
        <f t="shared" si="368"/>
        <v/>
      </c>
      <c r="DT254" s="66">
        <f>+IF($W254="","",ROUND(IF($B254&gt;Parámetros!$D$107,'Tablas Servicio'!DR254+('Tablas Servicio'!DT253-'Tablas Servicio'!DR253),DR254/(1-IF(B254&lt;=10,Parámetros!$D$100,0))),2))</f>
        <v>0</v>
      </c>
      <c r="DU254" s="66">
        <f t="shared" si="369"/>
        <v>0</v>
      </c>
      <c r="DV254" s="66">
        <f t="shared" si="369"/>
        <v>0</v>
      </c>
      <c r="DW254" s="66">
        <f>+IF($W254="","",ROUND((DT254*Parámetros!$G$85),2))</f>
        <v>0</v>
      </c>
      <c r="DX254" s="66">
        <f>+IF($W254="","",ROUND((DT254*(Parámetros!$G$86)),2))</f>
        <v>0</v>
      </c>
      <c r="DY254" s="66">
        <f t="shared" si="370"/>
        <v>0</v>
      </c>
      <c r="DZ254" t="str">
        <f t="shared" si="411"/>
        <v>00066</v>
      </c>
      <c r="EA254" s="118" t="str">
        <f t="shared" si="411"/>
        <v>Enfermedad terminal</v>
      </c>
      <c r="EB254" s="118">
        <f>+IF($W254="","",ROUND(IF(Parámetros!$D$25='TABLAS MORT'!$V$33,EB253,Z254/2),0))</f>
        <v>50000</v>
      </c>
      <c r="EC254" s="118" t="str">
        <f t="shared" si="411"/>
        <v>A</v>
      </c>
      <c r="ED254" s="122">
        <f>+IF(OR($W254="",EB254=0),"",ROUND((VLOOKUP(ROUNDDOWN($D254-1/frec,0),cob_adi,DO$40,FALSE)*(1+i/frec)^-0.5*(1+Parámetros!$D$103)*(1+rec_fracc)/frec),6))</f>
        <v>2.6999999999999999E-5</v>
      </c>
      <c r="EE254" s="66">
        <f t="shared" si="372"/>
        <v>1.35</v>
      </c>
      <c r="EF254" s="68">
        <f t="shared" si="373"/>
        <v>2.6999999999999999E-5</v>
      </c>
      <c r="EG254" s="66">
        <f>+IF($W254="","",ROUND(IF($B254&gt;Parámetros!$D$107,'Tablas Servicio'!EE254+('Tablas Servicio'!EG253-'Tablas Servicio'!EE253),EE254/(1-IF(B254&lt;=10,Parámetros!$D$100,0))),2))</f>
        <v>1.35</v>
      </c>
      <c r="EH254" s="66">
        <f t="shared" si="374"/>
        <v>0</v>
      </c>
      <c r="EI254" s="66">
        <f t="shared" si="374"/>
        <v>0</v>
      </c>
      <c r="EJ254" s="66">
        <f>+IF($W254="","",ROUND((EG254*Parámetros!$G$85),2))</f>
        <v>0.05</v>
      </c>
      <c r="EK254" s="66">
        <f>+IF($W254="","",ROUND((EG254*(Parámetros!$G$86)),2))</f>
        <v>0.01</v>
      </c>
      <c r="EL254" s="66">
        <f t="shared" si="375"/>
        <v>1.41</v>
      </c>
    </row>
    <row r="255" spans="1:142" x14ac:dyDescent="0.25">
      <c r="A255">
        <f>+IF($C255="","",ROUND(VLOOKUP('Tablas Servicio'!B255,Parámetros!$H$100:$J$159,IF(Parámetros!$E$16="F",2,3),FALSE),2))</f>
        <v>150</v>
      </c>
      <c r="B255">
        <f t="shared" si="326"/>
        <v>18</v>
      </c>
      <c r="C255" s="57">
        <f>+IF(D255="","",'Tablas Servicio'!C254+1)</f>
        <v>214</v>
      </c>
      <c r="D255" s="56">
        <f>+IF(D254&lt;edadmaxtabla,D254+1/Parámetros!$E$25,"")</f>
        <v>57.853333333333843</v>
      </c>
      <c r="E255" s="57">
        <f t="shared" si="336"/>
        <v>57</v>
      </c>
      <c r="F255" s="59">
        <f t="shared" si="337"/>
        <v>100000</v>
      </c>
      <c r="G255" s="66">
        <f t="shared" si="327"/>
        <v>51.15</v>
      </c>
      <c r="H255" s="66">
        <f t="shared" si="328"/>
        <v>53.199999999999996</v>
      </c>
      <c r="I255" s="66">
        <f t="shared" si="376"/>
        <v>40.800000000000004</v>
      </c>
      <c r="J255" s="66">
        <f t="shared" si="329"/>
        <v>1.79</v>
      </c>
      <c r="K255" s="66">
        <f t="shared" si="330"/>
        <v>0.26</v>
      </c>
      <c r="L255" s="66">
        <f t="shared" si="331"/>
        <v>0</v>
      </c>
      <c r="M255" s="66">
        <f t="shared" si="332"/>
        <v>0</v>
      </c>
      <c r="N255" s="66">
        <f>+IF(C255="","",ROUND(Parámetros!$D$23,2))</f>
        <v>94</v>
      </c>
      <c r="O255" s="66">
        <f t="shared" si="333"/>
        <v>38.65</v>
      </c>
      <c r="P255" s="66">
        <f>+IF($C255="","",ROUND(IF(B255&gt;Parámetros!$D$117,0,N255*Parámetros!$D$116-G255*Parámetros!$D$100),2))</f>
        <v>0</v>
      </c>
      <c r="Q255" s="75">
        <f t="shared" si="377"/>
        <v>3.4995112414467254E-2</v>
      </c>
      <c r="R255" s="75">
        <f t="shared" si="378"/>
        <v>5.083088954056696E-3</v>
      </c>
      <c r="S255" s="117">
        <f>+IF($C255="","",ROUND((S254+I255)*(1+Parámetros!$D$91),2))</f>
        <v>15597.17</v>
      </c>
      <c r="T255" s="117">
        <f>+IF($C255="","",ROUND(S255*VLOOKUP(B255,Parámetros!$C$30:$D$39,2,TRUE),2))</f>
        <v>15597.17</v>
      </c>
      <c r="U255" s="117">
        <f>+IF($C255="","",ROUND((U254+I255)*(1+Parámetros!$D$92),2))</f>
        <v>16398.13</v>
      </c>
      <c r="V255" s="117">
        <f>+IF($C255="","",ROUND(U255*VLOOKUP(B255,Parámetros!$C$30:$D$39,2,TRUE),2))</f>
        <v>16398.13</v>
      </c>
      <c r="W255" s="57">
        <f t="shared" si="379"/>
        <v>214</v>
      </c>
      <c r="X255" t="str">
        <f t="shared" si="380"/>
        <v>00058</v>
      </c>
      <c r="Y255" t="str">
        <f t="shared" si="381"/>
        <v>MUERTE POR CUALQUIER CAUSA</v>
      </c>
      <c r="Z255" s="118">
        <f>+IF($W255="","",ROUND(IF(Parámetros!$D$25='TABLAS MORT'!$V$33,Z254,Parámetros!$D$21-'Tablas Servicio'!T254),0))</f>
        <v>100000</v>
      </c>
      <c r="AA255" s="118" t="str">
        <f t="shared" si="382"/>
        <v>P</v>
      </c>
      <c r="AB255" s="119">
        <f>+IF(W255="","",ROUND((VLOOKUP(ROUNDDOWN($D255-1/frec,0),qx_tabla,2,FALSE)*(1+i/frec)^-0.5*(1+Parámetros!$D$103)*(1+rec_fracc)/frec),6))</f>
        <v>3.7300000000000001E-4</v>
      </c>
      <c r="AC255" s="66">
        <f t="shared" si="338"/>
        <v>37.299999999999997</v>
      </c>
      <c r="AD255" s="119">
        <f t="shared" si="334"/>
        <v>4.9799999999999996E-4</v>
      </c>
      <c r="AE255" s="66">
        <f>+IF($W255="","",ROUND(IF($B255&gt;Parámetros!$D$107,'Tablas Servicio'!AC255+('Tablas Servicio'!AG254-'Tablas Servicio'!AC254),AC255/(1-IF(B255&lt;=10,Parámetros!$D$104,Parámetros!$D$105))),2))</f>
        <v>62.17</v>
      </c>
      <c r="AF255" s="66">
        <f>+IF($W255="","",ROUND(IF($B255&gt;Parámetros!$D$107,'Tablas Servicio'!AC255+('Tablas Servicio'!AG254-'Tablas Servicio'!AC254),(AC255+$A254/frec)/(1-IF(B255&lt;=Parámetros!$D$117,Parámetros!$D$100,0))),2))</f>
        <v>49.8</v>
      </c>
      <c r="AG255" s="66">
        <f t="shared" si="339"/>
        <v>49.8</v>
      </c>
      <c r="AH255" s="66">
        <f t="shared" si="340"/>
        <v>0</v>
      </c>
      <c r="AI255" s="66">
        <f t="shared" si="341"/>
        <v>0</v>
      </c>
      <c r="AJ255" s="66">
        <f>+IF($W255="","",ROUND((AG255*Parámetros!$G$85),2))</f>
        <v>1.74</v>
      </c>
      <c r="AK255" s="66">
        <f>+IF($W255="","",ROUND((AG255*(Parámetros!$G$86)),2))</f>
        <v>0.25</v>
      </c>
      <c r="AL255" s="66">
        <f t="shared" si="335"/>
        <v>51.79</v>
      </c>
      <c r="AM255" t="str">
        <f t="shared" si="383"/>
        <v>00059</v>
      </c>
      <c r="AN255" t="str">
        <f t="shared" si="384"/>
        <v>Incapacidad Total y Permanente</v>
      </c>
      <c r="AO255" s="118">
        <f t="shared" si="385"/>
        <v>0</v>
      </c>
      <c r="AP255" s="118" t="str">
        <f t="shared" si="386"/>
        <v>A</v>
      </c>
      <c r="AQ255" s="119" t="str">
        <f>+IF(OR($W255="",AO255=0),"",ROUND((VLOOKUP(ROUNDDOWN($D255-1/frec,0),cob_adi,Z$40,FALSE)*(1+i/frec)^-0.5*(1+Parámetros!$D$103)*(1+rec_fracc)/frec),6))</f>
        <v/>
      </c>
      <c r="AR255" s="66">
        <f t="shared" si="342"/>
        <v>0</v>
      </c>
      <c r="AS255" s="119" t="str">
        <f t="shared" si="343"/>
        <v/>
      </c>
      <c r="AT255" s="66">
        <f>+IF($W255="","",ROUND(IF($B255&gt;Parámetros!$D$107,'Tablas Servicio'!AR255+('Tablas Servicio'!AT254-'Tablas Servicio'!AR254),AR255/(1-IF(B255&lt;=10,Parámetros!$D$100,0))),2))</f>
        <v>0</v>
      </c>
      <c r="AU255" s="66">
        <f t="shared" si="344"/>
        <v>0</v>
      </c>
      <c r="AV255" s="66">
        <f t="shared" si="344"/>
        <v>0</v>
      </c>
      <c r="AW255" s="66">
        <f>+IF($W255="","",ROUND((AT255*Parámetros!$G$85),2))</f>
        <v>0</v>
      </c>
      <c r="AX255" s="66">
        <f>+IF($W255="","",ROUND((AT255*(Parámetros!$G$86)),2))</f>
        <v>0</v>
      </c>
      <c r="AY255" s="66">
        <f t="shared" si="345"/>
        <v>0</v>
      </c>
      <c r="AZ255" t="str">
        <f t="shared" si="387"/>
        <v>00060</v>
      </c>
      <c r="BA255" t="str">
        <f t="shared" si="388"/>
        <v>Muerte Accidental</v>
      </c>
      <c r="BB255" s="118">
        <f t="shared" si="389"/>
        <v>0</v>
      </c>
      <c r="BC255" s="118" t="str">
        <f t="shared" si="390"/>
        <v>A</v>
      </c>
      <c r="BD255" s="119" t="str">
        <f>+IF(OR($W255="",BB255=0),"",ROUND((VLOOKUP(ROUNDDOWN($D255-1/frec,0),cob_adi,AO$40,FALSE)*(1+i/frec)^-0.5*(1+Parámetros!$D$103)*(1+rec_fracc)/frec),6))</f>
        <v/>
      </c>
      <c r="BE255" s="66">
        <f t="shared" si="346"/>
        <v>0</v>
      </c>
      <c r="BF255" s="119" t="str">
        <f t="shared" si="347"/>
        <v/>
      </c>
      <c r="BG255" s="66">
        <f>+IF($W255="","",ROUND(IF($B255&gt;Parámetros!$D$107,'Tablas Servicio'!BE255+('Tablas Servicio'!BG254-'Tablas Servicio'!BE254),BE255/(1-IF(B255&lt;=10,Parámetros!$D$100,0))),2))</f>
        <v>0</v>
      </c>
      <c r="BH255" s="66">
        <f t="shared" si="348"/>
        <v>0</v>
      </c>
      <c r="BI255" s="66">
        <f t="shared" si="349"/>
        <v>0</v>
      </c>
      <c r="BJ255" s="66">
        <f>+IF($W255="","",ROUND((BG255*Parámetros!$G$85),2))</f>
        <v>0</v>
      </c>
      <c r="BK255" s="66">
        <f>+IF($W255="","",ROUND((BG255*(Parámetros!$G$86)),2))</f>
        <v>0</v>
      </c>
      <c r="BL255" s="66">
        <f t="shared" si="350"/>
        <v>0</v>
      </c>
      <c r="BM255" t="str">
        <f t="shared" si="391"/>
        <v>00061</v>
      </c>
      <c r="BN255" t="str">
        <f t="shared" si="392"/>
        <v>Gastos de Entierro</v>
      </c>
      <c r="BO255" s="118">
        <f t="shared" si="393"/>
        <v>0</v>
      </c>
      <c r="BP255" s="118" t="str">
        <f t="shared" si="394"/>
        <v>A</v>
      </c>
      <c r="BQ255" s="119" t="str">
        <f>+IF(OR($W255="",BO255=0),"",ROUND((VLOOKUP(ROUNDDOWN($D255-1/frec,0),cob_adi,BB$40,FALSE)*(1+i/frec)^-0.5*(1+Parámetros!$D$103)*(1+rec_fracc)/frec),6))</f>
        <v/>
      </c>
      <c r="BR255" s="66">
        <f t="shared" si="351"/>
        <v>0</v>
      </c>
      <c r="BS255" s="119" t="str">
        <f t="shared" si="352"/>
        <v/>
      </c>
      <c r="BT255" s="66">
        <f>+IF($W255="","",ROUND(IF($B255&gt;Parámetros!$D$107,'Tablas Servicio'!BR255+('Tablas Servicio'!BT254-'Tablas Servicio'!BR254),BR255/(1-IF(B255&lt;=10,Parámetros!$D$100,0))),2))</f>
        <v>0</v>
      </c>
      <c r="BU255" s="66">
        <f t="shared" si="353"/>
        <v>0</v>
      </c>
      <c r="BV255" s="66">
        <f t="shared" si="353"/>
        <v>0</v>
      </c>
      <c r="BW255" s="66">
        <f>+IF($W255="","",ROUND((BT255*Parámetros!$G$85),2))</f>
        <v>0</v>
      </c>
      <c r="BX255" s="66">
        <f>+IF($W255="","",ROUND((BT255*(Parámetros!$G$86)),2))</f>
        <v>0</v>
      </c>
      <c r="BY255" s="66">
        <f t="shared" si="354"/>
        <v>0</v>
      </c>
      <c r="BZ255" t="str">
        <f t="shared" si="395"/>
        <v>00062</v>
      </c>
      <c r="CA255" t="str">
        <f t="shared" si="396"/>
        <v>Gastos médicos por accidente</v>
      </c>
      <c r="CB255" s="118">
        <f t="shared" si="397"/>
        <v>0</v>
      </c>
      <c r="CC255" s="118" t="str">
        <f t="shared" si="398"/>
        <v>A</v>
      </c>
      <c r="CD255" s="119" t="str">
        <f t="shared" si="355"/>
        <v/>
      </c>
      <c r="CE255" s="66">
        <f>+IF($W255="","",ROUND((VLOOKUP(ROUNDDOWN($D255-1/frec,0),cob_adi,BO$40,FALSE)*(1+i/frec)^-0.5*(1+Parámetros!$D$103)*(1+rec_fracc)/frec*'TABLAS ADI'!$BC$17),2))</f>
        <v>0</v>
      </c>
      <c r="CF255" s="119" t="str">
        <f t="shared" si="356"/>
        <v/>
      </c>
      <c r="CG255" s="66">
        <f>+IF($W255="","",ROUND(IF($B255&gt;Parámetros!$D$107,'Tablas Servicio'!CE255+('Tablas Servicio'!CG254-'Tablas Servicio'!CE254),CE255/(1-IF(B255&lt;=10,Parámetros!$D$100,0))),2))</f>
        <v>0</v>
      </c>
      <c r="CH255" s="66">
        <f t="shared" si="357"/>
        <v>0</v>
      </c>
      <c r="CI255" s="66">
        <f t="shared" si="357"/>
        <v>0</v>
      </c>
      <c r="CJ255" s="66">
        <f>+IF($W255="","",ROUND((CG255*Parámetros!$G$85),2))</f>
        <v>0</v>
      </c>
      <c r="CK255" s="66">
        <f>+IF($W255="","",ROUND((CG255*(Parámetros!$G$86)),2))</f>
        <v>0</v>
      </c>
      <c r="CL255" s="66">
        <f t="shared" si="358"/>
        <v>0</v>
      </c>
      <c r="CM255" t="str">
        <f t="shared" si="399"/>
        <v>00063</v>
      </c>
      <c r="CN255" s="118" t="str">
        <f t="shared" si="400"/>
        <v>Renta Diaria por Hospitalización</v>
      </c>
      <c r="CO255" s="118">
        <f t="shared" si="401"/>
        <v>0</v>
      </c>
      <c r="CP255" s="118" t="str">
        <f t="shared" si="402"/>
        <v>A</v>
      </c>
      <c r="CQ255" s="119" t="str">
        <f t="shared" si="359"/>
        <v/>
      </c>
      <c r="CR255" s="66">
        <f>+IF($W255="","",ROUND((VLOOKUP(Parámetros!$F$51,'COBERTURAS ADICIONALES'!$S$4:$T$32,2,FALSE)*(1+i/frec)^-0.5*(1+Parámetros!$D$103)*(1+rec_fracc)/frec*$CO$42),2))</f>
        <v>0</v>
      </c>
      <c r="CS255" s="119" t="str">
        <f t="shared" si="360"/>
        <v/>
      </c>
      <c r="CT255" s="66">
        <f>+IF($W255="","",ROUND(IF($B255&gt;Parámetros!$D$107,'Tablas Servicio'!CR255+('Tablas Servicio'!CT254-'Tablas Servicio'!CR254),CR255/(1-IF(B255&lt;=10,Parámetros!$D$100,0))),2))</f>
        <v>0</v>
      </c>
      <c r="CU255" s="66">
        <f t="shared" si="361"/>
        <v>0</v>
      </c>
      <c r="CV255" s="66">
        <f t="shared" si="361"/>
        <v>0</v>
      </c>
      <c r="CW255" s="66">
        <f>+IF($W255="","",ROUND((CT255*Parámetros!$G$85),2))</f>
        <v>0</v>
      </c>
      <c r="CX255" s="66">
        <f>+IF($W255="","",ROUND((CT255*(Parámetros!$G$86)),2))</f>
        <v>0</v>
      </c>
      <c r="CY255" s="66">
        <f t="shared" si="362"/>
        <v>0</v>
      </c>
      <c r="CZ255" t="str">
        <f t="shared" si="403"/>
        <v>00064</v>
      </c>
      <c r="DA255" s="118" t="str">
        <f t="shared" si="404"/>
        <v>Enfermedades Graves</v>
      </c>
      <c r="DB255" s="118">
        <f t="shared" si="405"/>
        <v>0</v>
      </c>
      <c r="DC255" s="118" t="str">
        <f t="shared" si="406"/>
        <v>A</v>
      </c>
      <c r="DD255" s="121" t="str">
        <f>+IF(OR($W255="",DB255=0),"",ROUND((VLOOKUP(ROUNDDOWN($D255-1/frec,0),cob_adi,CO$40,FALSE)*(1+i/frec)^-0.5*(1+Parámetros!$D$103)*(1+rec_fracc)/frec),6))</f>
        <v/>
      </c>
      <c r="DE255" s="66">
        <f t="shared" si="363"/>
        <v>0</v>
      </c>
      <c r="DF255" s="119" t="str">
        <f t="shared" si="364"/>
        <v/>
      </c>
      <c r="DG255" s="66">
        <f>+IF($W255="","",ROUND(IF($B255&gt;Parámetros!$D$107,'Tablas Servicio'!DE255+('Tablas Servicio'!DG254-'Tablas Servicio'!DE254),DE255/(1-IF(B255&lt;=10,Parámetros!$D$100,0))),2))</f>
        <v>0</v>
      </c>
      <c r="DH255" s="66">
        <f t="shared" si="365"/>
        <v>0</v>
      </c>
      <c r="DI255" s="66">
        <f t="shared" si="365"/>
        <v>0</v>
      </c>
      <c r="DJ255" s="66">
        <f>+IF($W255="","",ROUND((DG255*Parámetros!$G$85),2))</f>
        <v>0</v>
      </c>
      <c r="DK255" s="66">
        <f>+IF($W255="","",ROUND((DG255*(Parámetros!$G$86)),2))</f>
        <v>0</v>
      </c>
      <c r="DL255" s="66">
        <f t="shared" si="366"/>
        <v>0</v>
      </c>
      <c r="DM255" t="str">
        <f t="shared" si="407"/>
        <v>00065</v>
      </c>
      <c r="DN255" s="118" t="str">
        <f t="shared" si="408"/>
        <v>Exención pago de primas</v>
      </c>
      <c r="DO255" s="118">
        <f t="shared" si="409"/>
        <v>0</v>
      </c>
      <c r="DP255" s="118" t="str">
        <f t="shared" si="410"/>
        <v>A</v>
      </c>
      <c r="DQ255" s="122" t="str">
        <f>+IF(OR($W255="",DO255=0),"",ROUND((VLOOKUP(ROUNDDOWN($D255-1/frec,0),cob_adi,DB$40,FALSE)*(1+i/frec)^-0.5*(1+Parámetros!$D$103)*(1+rec_fracc)/frec),6))</f>
        <v/>
      </c>
      <c r="DR255" s="66">
        <f t="shared" si="367"/>
        <v>0</v>
      </c>
      <c r="DS255" s="68" t="str">
        <f t="shared" si="368"/>
        <v/>
      </c>
      <c r="DT255" s="66">
        <f>+IF($W255="","",ROUND(IF($B255&gt;Parámetros!$D$107,'Tablas Servicio'!DR255+('Tablas Servicio'!DT254-'Tablas Servicio'!DR254),DR255/(1-IF(B255&lt;=10,Parámetros!$D$100,0))),2))</f>
        <v>0</v>
      </c>
      <c r="DU255" s="66">
        <f t="shared" si="369"/>
        <v>0</v>
      </c>
      <c r="DV255" s="66">
        <f t="shared" si="369"/>
        <v>0</v>
      </c>
      <c r="DW255" s="66">
        <f>+IF($W255="","",ROUND((DT255*Parámetros!$G$85),2))</f>
        <v>0</v>
      </c>
      <c r="DX255" s="66">
        <f>+IF($W255="","",ROUND((DT255*(Parámetros!$G$86)),2))</f>
        <v>0</v>
      </c>
      <c r="DY255" s="66">
        <f t="shared" si="370"/>
        <v>0</v>
      </c>
      <c r="DZ255" t="str">
        <f t="shared" si="411"/>
        <v>00066</v>
      </c>
      <c r="EA255" s="118" t="str">
        <f t="shared" si="411"/>
        <v>Enfermedad terminal</v>
      </c>
      <c r="EB255" s="118">
        <f>+IF($W255="","",ROUND(IF(Parámetros!$D$25='TABLAS MORT'!$V$33,EB254,Z255/2),0))</f>
        <v>50000</v>
      </c>
      <c r="EC255" s="118" t="str">
        <f t="shared" si="411"/>
        <v>A</v>
      </c>
      <c r="ED255" s="122">
        <f>+IF(OR($W255="",EB255=0),"",ROUND((VLOOKUP(ROUNDDOWN($D255-1/frec,0),cob_adi,DO$40,FALSE)*(1+i/frec)^-0.5*(1+Parámetros!$D$103)*(1+rec_fracc)/frec),6))</f>
        <v>2.6999999999999999E-5</v>
      </c>
      <c r="EE255" s="66">
        <f t="shared" si="372"/>
        <v>1.35</v>
      </c>
      <c r="EF255" s="68">
        <f t="shared" si="373"/>
        <v>2.6999999999999999E-5</v>
      </c>
      <c r="EG255" s="66">
        <f>+IF($W255="","",ROUND(IF($B255&gt;Parámetros!$D$107,'Tablas Servicio'!EE255+('Tablas Servicio'!EG254-'Tablas Servicio'!EE254),EE255/(1-IF(B255&lt;=10,Parámetros!$D$100,0))),2))</f>
        <v>1.35</v>
      </c>
      <c r="EH255" s="66">
        <f t="shared" si="374"/>
        <v>0</v>
      </c>
      <c r="EI255" s="66">
        <f t="shared" si="374"/>
        <v>0</v>
      </c>
      <c r="EJ255" s="66">
        <f>+IF($W255="","",ROUND((EG255*Parámetros!$G$85),2))</f>
        <v>0.05</v>
      </c>
      <c r="EK255" s="66">
        <f>+IF($W255="","",ROUND((EG255*(Parámetros!$G$86)),2))</f>
        <v>0.01</v>
      </c>
      <c r="EL255" s="66">
        <f t="shared" si="375"/>
        <v>1.41</v>
      </c>
    </row>
    <row r="256" spans="1:142" x14ac:dyDescent="0.25">
      <c r="A256">
        <f>+IF($C256="","",ROUND(VLOOKUP('Tablas Servicio'!B256,Parámetros!$H$100:$J$159,IF(Parámetros!$E$16="F",2,3),FALSE),2))</f>
        <v>150</v>
      </c>
      <c r="B256">
        <f t="shared" si="326"/>
        <v>18</v>
      </c>
      <c r="C256" s="57">
        <f>+IF(D256="","",'Tablas Servicio'!C255+1)</f>
        <v>215</v>
      </c>
      <c r="D256" s="56">
        <f>+IF(D255&lt;edadmaxtabla,D255+1/Parámetros!$E$25,"")</f>
        <v>57.936666666667179</v>
      </c>
      <c r="E256" s="57">
        <f t="shared" si="336"/>
        <v>57</v>
      </c>
      <c r="F256" s="59">
        <f t="shared" si="337"/>
        <v>100000</v>
      </c>
      <c r="G256" s="66">
        <f t="shared" si="327"/>
        <v>51.15</v>
      </c>
      <c r="H256" s="66">
        <f t="shared" si="328"/>
        <v>53.199999999999996</v>
      </c>
      <c r="I256" s="66">
        <f t="shared" si="376"/>
        <v>40.800000000000004</v>
      </c>
      <c r="J256" s="66">
        <f t="shared" si="329"/>
        <v>1.79</v>
      </c>
      <c r="K256" s="66">
        <f t="shared" si="330"/>
        <v>0.26</v>
      </c>
      <c r="L256" s="66">
        <f t="shared" si="331"/>
        <v>0</v>
      </c>
      <c r="M256" s="66">
        <f t="shared" si="332"/>
        <v>0</v>
      </c>
      <c r="N256" s="66">
        <f>+IF(C256="","",ROUND(Parámetros!$D$23,2))</f>
        <v>94</v>
      </c>
      <c r="O256" s="66">
        <f t="shared" si="333"/>
        <v>38.65</v>
      </c>
      <c r="P256" s="66">
        <f>+IF($C256="","",ROUND(IF(B256&gt;Parámetros!$D$117,0,N256*Parámetros!$D$116-G256*Parámetros!$D$100),2))</f>
        <v>0</v>
      </c>
      <c r="Q256" s="75">
        <f t="shared" si="377"/>
        <v>3.4995112414467254E-2</v>
      </c>
      <c r="R256" s="75">
        <f t="shared" si="378"/>
        <v>5.083088954056696E-3</v>
      </c>
      <c r="S256" s="117">
        <f>+IF($C256="","",ROUND((S255+I256)*(1+Parámetros!$D$91),2))</f>
        <v>15682.33</v>
      </c>
      <c r="T256" s="117">
        <f>+IF($C256="","",ROUND(S256*VLOOKUP(B256,Parámetros!$C$30:$D$39,2,TRUE),2))</f>
        <v>15682.33</v>
      </c>
      <c r="U256" s="117">
        <f>+IF($C256="","",ROUND((U255+I256)*(1+Parámetros!$D$92),2))</f>
        <v>16492.22</v>
      </c>
      <c r="V256" s="117">
        <f>+IF($C256="","",ROUND(U256*VLOOKUP(B256,Parámetros!$C$30:$D$39,2,TRUE),2))</f>
        <v>16492.22</v>
      </c>
      <c r="W256" s="57">
        <f t="shared" si="379"/>
        <v>215</v>
      </c>
      <c r="X256" t="str">
        <f t="shared" si="380"/>
        <v>00058</v>
      </c>
      <c r="Y256" t="str">
        <f t="shared" si="381"/>
        <v>MUERTE POR CUALQUIER CAUSA</v>
      </c>
      <c r="Z256" s="118">
        <f>+IF($W256="","",ROUND(IF(Parámetros!$D$25='TABLAS MORT'!$V$33,Z255,Parámetros!$D$21-'Tablas Servicio'!T255),0))</f>
        <v>100000</v>
      </c>
      <c r="AA256" s="118" t="str">
        <f t="shared" si="382"/>
        <v>P</v>
      </c>
      <c r="AB256" s="119">
        <f>+IF(W256="","",ROUND((VLOOKUP(ROUNDDOWN($D256-1/frec,0),qx_tabla,2,FALSE)*(1+i/frec)^-0.5*(1+Parámetros!$D$103)*(1+rec_fracc)/frec),6))</f>
        <v>3.7300000000000001E-4</v>
      </c>
      <c r="AC256" s="66">
        <f t="shared" si="338"/>
        <v>37.299999999999997</v>
      </c>
      <c r="AD256" s="119">
        <f t="shared" si="334"/>
        <v>4.9799999999999996E-4</v>
      </c>
      <c r="AE256" s="66">
        <f>+IF($W256="","",ROUND(IF($B256&gt;Parámetros!$D$107,'Tablas Servicio'!AC256+('Tablas Servicio'!AG255-'Tablas Servicio'!AC255),AC256/(1-IF(B256&lt;=10,Parámetros!$D$104,Parámetros!$D$105))),2))</f>
        <v>62.17</v>
      </c>
      <c r="AF256" s="66">
        <f>+IF($W256="","",ROUND(IF($B256&gt;Parámetros!$D$107,'Tablas Servicio'!AC256+('Tablas Servicio'!AG255-'Tablas Servicio'!AC255),(AC256+$A255/frec)/(1-IF(B256&lt;=Parámetros!$D$117,Parámetros!$D$100,0))),2))</f>
        <v>49.8</v>
      </c>
      <c r="AG256" s="66">
        <f t="shared" si="339"/>
        <v>49.8</v>
      </c>
      <c r="AH256" s="66">
        <f t="shared" si="340"/>
        <v>0</v>
      </c>
      <c r="AI256" s="66">
        <f t="shared" si="341"/>
        <v>0</v>
      </c>
      <c r="AJ256" s="66">
        <f>+IF($W256="","",ROUND((AG256*Parámetros!$G$85),2))</f>
        <v>1.74</v>
      </c>
      <c r="AK256" s="66">
        <f>+IF($W256="","",ROUND((AG256*(Parámetros!$G$86)),2))</f>
        <v>0.25</v>
      </c>
      <c r="AL256" s="66">
        <f t="shared" si="335"/>
        <v>51.79</v>
      </c>
      <c r="AM256" t="str">
        <f t="shared" si="383"/>
        <v>00059</v>
      </c>
      <c r="AN256" t="str">
        <f t="shared" si="384"/>
        <v>Incapacidad Total y Permanente</v>
      </c>
      <c r="AO256" s="118">
        <f t="shared" si="385"/>
        <v>0</v>
      </c>
      <c r="AP256" s="118" t="str">
        <f t="shared" si="386"/>
        <v>A</v>
      </c>
      <c r="AQ256" s="119" t="str">
        <f>+IF(OR($W256="",AO256=0),"",ROUND((VLOOKUP(ROUNDDOWN($D256-1/frec,0),cob_adi,Z$40,FALSE)*(1+i/frec)^-0.5*(1+Parámetros!$D$103)*(1+rec_fracc)/frec),6))</f>
        <v/>
      </c>
      <c r="AR256" s="66">
        <f t="shared" si="342"/>
        <v>0</v>
      </c>
      <c r="AS256" s="119" t="str">
        <f t="shared" si="343"/>
        <v/>
      </c>
      <c r="AT256" s="66">
        <f>+IF($W256="","",ROUND(IF($B256&gt;Parámetros!$D$107,'Tablas Servicio'!AR256+('Tablas Servicio'!AT255-'Tablas Servicio'!AR255),AR256/(1-IF(B256&lt;=10,Parámetros!$D$100,0))),2))</f>
        <v>0</v>
      </c>
      <c r="AU256" s="66">
        <f t="shared" si="344"/>
        <v>0</v>
      </c>
      <c r="AV256" s="66">
        <f t="shared" si="344"/>
        <v>0</v>
      </c>
      <c r="AW256" s="66">
        <f>+IF($W256="","",ROUND((AT256*Parámetros!$G$85),2))</f>
        <v>0</v>
      </c>
      <c r="AX256" s="66">
        <f>+IF($W256="","",ROUND((AT256*(Parámetros!$G$86)),2))</f>
        <v>0</v>
      </c>
      <c r="AY256" s="66">
        <f t="shared" si="345"/>
        <v>0</v>
      </c>
      <c r="AZ256" t="str">
        <f t="shared" si="387"/>
        <v>00060</v>
      </c>
      <c r="BA256" t="str">
        <f t="shared" si="388"/>
        <v>Muerte Accidental</v>
      </c>
      <c r="BB256" s="118">
        <f t="shared" si="389"/>
        <v>0</v>
      </c>
      <c r="BC256" s="118" t="str">
        <f t="shared" si="390"/>
        <v>A</v>
      </c>
      <c r="BD256" s="119" t="str">
        <f>+IF(OR($W256="",BB256=0),"",ROUND((VLOOKUP(ROUNDDOWN($D256-1/frec,0),cob_adi,AO$40,FALSE)*(1+i/frec)^-0.5*(1+Parámetros!$D$103)*(1+rec_fracc)/frec),6))</f>
        <v/>
      </c>
      <c r="BE256" s="66">
        <f t="shared" si="346"/>
        <v>0</v>
      </c>
      <c r="BF256" s="119" t="str">
        <f t="shared" si="347"/>
        <v/>
      </c>
      <c r="BG256" s="66">
        <f>+IF($W256="","",ROUND(IF($B256&gt;Parámetros!$D$107,'Tablas Servicio'!BE256+('Tablas Servicio'!BG255-'Tablas Servicio'!BE255),BE256/(1-IF(B256&lt;=10,Parámetros!$D$100,0))),2))</f>
        <v>0</v>
      </c>
      <c r="BH256" s="66">
        <f t="shared" si="348"/>
        <v>0</v>
      </c>
      <c r="BI256" s="66">
        <f t="shared" si="349"/>
        <v>0</v>
      </c>
      <c r="BJ256" s="66">
        <f>+IF($W256="","",ROUND((BG256*Parámetros!$G$85),2))</f>
        <v>0</v>
      </c>
      <c r="BK256" s="66">
        <f>+IF($W256="","",ROUND((BG256*(Parámetros!$G$86)),2))</f>
        <v>0</v>
      </c>
      <c r="BL256" s="66">
        <f t="shared" si="350"/>
        <v>0</v>
      </c>
      <c r="BM256" t="str">
        <f t="shared" si="391"/>
        <v>00061</v>
      </c>
      <c r="BN256" t="str">
        <f t="shared" si="392"/>
        <v>Gastos de Entierro</v>
      </c>
      <c r="BO256" s="118">
        <f t="shared" si="393"/>
        <v>0</v>
      </c>
      <c r="BP256" s="118" t="str">
        <f t="shared" si="394"/>
        <v>A</v>
      </c>
      <c r="BQ256" s="119" t="str">
        <f>+IF(OR($W256="",BO256=0),"",ROUND((VLOOKUP(ROUNDDOWN($D256-1/frec,0),cob_adi,BB$40,FALSE)*(1+i/frec)^-0.5*(1+Parámetros!$D$103)*(1+rec_fracc)/frec),6))</f>
        <v/>
      </c>
      <c r="BR256" s="66">
        <f t="shared" si="351"/>
        <v>0</v>
      </c>
      <c r="BS256" s="119" t="str">
        <f t="shared" si="352"/>
        <v/>
      </c>
      <c r="BT256" s="66">
        <f>+IF($W256="","",ROUND(IF($B256&gt;Parámetros!$D$107,'Tablas Servicio'!BR256+('Tablas Servicio'!BT255-'Tablas Servicio'!BR255),BR256/(1-IF(B256&lt;=10,Parámetros!$D$100,0))),2))</f>
        <v>0</v>
      </c>
      <c r="BU256" s="66">
        <f t="shared" si="353"/>
        <v>0</v>
      </c>
      <c r="BV256" s="66">
        <f t="shared" si="353"/>
        <v>0</v>
      </c>
      <c r="BW256" s="66">
        <f>+IF($W256="","",ROUND((BT256*Parámetros!$G$85),2))</f>
        <v>0</v>
      </c>
      <c r="BX256" s="66">
        <f>+IF($W256="","",ROUND((BT256*(Parámetros!$G$86)),2))</f>
        <v>0</v>
      </c>
      <c r="BY256" s="66">
        <f t="shared" si="354"/>
        <v>0</v>
      </c>
      <c r="BZ256" t="str">
        <f t="shared" si="395"/>
        <v>00062</v>
      </c>
      <c r="CA256" t="str">
        <f t="shared" si="396"/>
        <v>Gastos médicos por accidente</v>
      </c>
      <c r="CB256" s="118">
        <f t="shared" si="397"/>
        <v>0</v>
      </c>
      <c r="CC256" s="118" t="str">
        <f t="shared" si="398"/>
        <v>A</v>
      </c>
      <c r="CD256" s="119" t="str">
        <f t="shared" si="355"/>
        <v/>
      </c>
      <c r="CE256" s="66">
        <f>+IF($W256="","",ROUND((VLOOKUP(ROUNDDOWN($D256-1/frec,0),cob_adi,BO$40,FALSE)*(1+i/frec)^-0.5*(1+Parámetros!$D$103)*(1+rec_fracc)/frec*'TABLAS ADI'!$BC$17),2))</f>
        <v>0</v>
      </c>
      <c r="CF256" s="119" t="str">
        <f t="shared" si="356"/>
        <v/>
      </c>
      <c r="CG256" s="66">
        <f>+IF($W256="","",ROUND(IF($B256&gt;Parámetros!$D$107,'Tablas Servicio'!CE256+('Tablas Servicio'!CG255-'Tablas Servicio'!CE255),CE256/(1-IF(B256&lt;=10,Parámetros!$D$100,0))),2))</f>
        <v>0</v>
      </c>
      <c r="CH256" s="66">
        <f t="shared" si="357"/>
        <v>0</v>
      </c>
      <c r="CI256" s="66">
        <f t="shared" si="357"/>
        <v>0</v>
      </c>
      <c r="CJ256" s="66">
        <f>+IF($W256="","",ROUND((CG256*Parámetros!$G$85),2))</f>
        <v>0</v>
      </c>
      <c r="CK256" s="66">
        <f>+IF($W256="","",ROUND((CG256*(Parámetros!$G$86)),2))</f>
        <v>0</v>
      </c>
      <c r="CL256" s="66">
        <f t="shared" si="358"/>
        <v>0</v>
      </c>
      <c r="CM256" t="str">
        <f t="shared" si="399"/>
        <v>00063</v>
      </c>
      <c r="CN256" s="118" t="str">
        <f t="shared" si="400"/>
        <v>Renta Diaria por Hospitalización</v>
      </c>
      <c r="CO256" s="118">
        <f t="shared" si="401"/>
        <v>0</v>
      </c>
      <c r="CP256" s="118" t="str">
        <f t="shared" si="402"/>
        <v>A</v>
      </c>
      <c r="CQ256" s="119" t="str">
        <f t="shared" si="359"/>
        <v/>
      </c>
      <c r="CR256" s="66">
        <f>+IF($W256="","",ROUND((VLOOKUP(Parámetros!$F$51,'COBERTURAS ADICIONALES'!$S$4:$T$32,2,FALSE)*(1+i/frec)^-0.5*(1+Parámetros!$D$103)*(1+rec_fracc)/frec*$CO$42),2))</f>
        <v>0</v>
      </c>
      <c r="CS256" s="119" t="str">
        <f t="shared" si="360"/>
        <v/>
      </c>
      <c r="CT256" s="66">
        <f>+IF($W256="","",ROUND(IF($B256&gt;Parámetros!$D$107,'Tablas Servicio'!CR256+('Tablas Servicio'!CT255-'Tablas Servicio'!CR255),CR256/(1-IF(B256&lt;=10,Parámetros!$D$100,0))),2))</f>
        <v>0</v>
      </c>
      <c r="CU256" s="66">
        <f t="shared" si="361"/>
        <v>0</v>
      </c>
      <c r="CV256" s="66">
        <f t="shared" si="361"/>
        <v>0</v>
      </c>
      <c r="CW256" s="66">
        <f>+IF($W256="","",ROUND((CT256*Parámetros!$G$85),2))</f>
        <v>0</v>
      </c>
      <c r="CX256" s="66">
        <f>+IF($W256="","",ROUND((CT256*(Parámetros!$G$86)),2))</f>
        <v>0</v>
      </c>
      <c r="CY256" s="66">
        <f t="shared" si="362"/>
        <v>0</v>
      </c>
      <c r="CZ256" t="str">
        <f t="shared" si="403"/>
        <v>00064</v>
      </c>
      <c r="DA256" s="118" t="str">
        <f t="shared" si="404"/>
        <v>Enfermedades Graves</v>
      </c>
      <c r="DB256" s="118">
        <f t="shared" si="405"/>
        <v>0</v>
      </c>
      <c r="DC256" s="118" t="str">
        <f t="shared" si="406"/>
        <v>A</v>
      </c>
      <c r="DD256" s="121" t="str">
        <f>+IF(OR($W256="",DB256=0),"",ROUND((VLOOKUP(ROUNDDOWN($D256-1/frec,0),cob_adi,CO$40,FALSE)*(1+i/frec)^-0.5*(1+Parámetros!$D$103)*(1+rec_fracc)/frec),6))</f>
        <v/>
      </c>
      <c r="DE256" s="66">
        <f t="shared" si="363"/>
        <v>0</v>
      </c>
      <c r="DF256" s="119" t="str">
        <f t="shared" si="364"/>
        <v/>
      </c>
      <c r="DG256" s="66">
        <f>+IF($W256="","",ROUND(IF($B256&gt;Parámetros!$D$107,'Tablas Servicio'!DE256+('Tablas Servicio'!DG255-'Tablas Servicio'!DE255),DE256/(1-IF(B256&lt;=10,Parámetros!$D$100,0))),2))</f>
        <v>0</v>
      </c>
      <c r="DH256" s="66">
        <f t="shared" si="365"/>
        <v>0</v>
      </c>
      <c r="DI256" s="66">
        <f t="shared" si="365"/>
        <v>0</v>
      </c>
      <c r="DJ256" s="66">
        <f>+IF($W256="","",ROUND((DG256*Parámetros!$G$85),2))</f>
        <v>0</v>
      </c>
      <c r="DK256" s="66">
        <f>+IF($W256="","",ROUND((DG256*(Parámetros!$G$86)),2))</f>
        <v>0</v>
      </c>
      <c r="DL256" s="66">
        <f t="shared" si="366"/>
        <v>0</v>
      </c>
      <c r="DM256" t="str">
        <f t="shared" si="407"/>
        <v>00065</v>
      </c>
      <c r="DN256" s="118" t="str">
        <f t="shared" si="408"/>
        <v>Exención pago de primas</v>
      </c>
      <c r="DO256" s="118">
        <f t="shared" si="409"/>
        <v>0</v>
      </c>
      <c r="DP256" s="118" t="str">
        <f t="shared" si="410"/>
        <v>A</v>
      </c>
      <c r="DQ256" s="122" t="str">
        <f>+IF(OR($W256="",DO256=0),"",ROUND((VLOOKUP(ROUNDDOWN($D256-1/frec,0),cob_adi,DB$40,FALSE)*(1+i/frec)^-0.5*(1+Parámetros!$D$103)*(1+rec_fracc)/frec),6))</f>
        <v/>
      </c>
      <c r="DR256" s="66">
        <f t="shared" si="367"/>
        <v>0</v>
      </c>
      <c r="DS256" s="68" t="str">
        <f t="shared" si="368"/>
        <v/>
      </c>
      <c r="DT256" s="66">
        <f>+IF($W256="","",ROUND(IF($B256&gt;Parámetros!$D$107,'Tablas Servicio'!DR256+('Tablas Servicio'!DT255-'Tablas Servicio'!DR255),DR256/(1-IF(B256&lt;=10,Parámetros!$D$100,0))),2))</f>
        <v>0</v>
      </c>
      <c r="DU256" s="66">
        <f t="shared" si="369"/>
        <v>0</v>
      </c>
      <c r="DV256" s="66">
        <f t="shared" si="369"/>
        <v>0</v>
      </c>
      <c r="DW256" s="66">
        <f>+IF($W256="","",ROUND((DT256*Parámetros!$G$85),2))</f>
        <v>0</v>
      </c>
      <c r="DX256" s="66">
        <f>+IF($W256="","",ROUND((DT256*(Parámetros!$G$86)),2))</f>
        <v>0</v>
      </c>
      <c r="DY256" s="66">
        <f t="shared" si="370"/>
        <v>0</v>
      </c>
      <c r="DZ256" t="str">
        <f t="shared" si="411"/>
        <v>00066</v>
      </c>
      <c r="EA256" s="118" t="str">
        <f t="shared" si="411"/>
        <v>Enfermedad terminal</v>
      </c>
      <c r="EB256" s="118">
        <f>+IF($W256="","",ROUND(IF(Parámetros!$D$25='TABLAS MORT'!$V$33,EB255,Z256/2),0))</f>
        <v>50000</v>
      </c>
      <c r="EC256" s="118" t="str">
        <f t="shared" si="411"/>
        <v>A</v>
      </c>
      <c r="ED256" s="122">
        <f>+IF(OR($W256="",EB256=0),"",ROUND((VLOOKUP(ROUNDDOWN($D256-1/frec,0),cob_adi,DO$40,FALSE)*(1+i/frec)^-0.5*(1+Parámetros!$D$103)*(1+rec_fracc)/frec),6))</f>
        <v>2.6999999999999999E-5</v>
      </c>
      <c r="EE256" s="66">
        <f t="shared" si="372"/>
        <v>1.35</v>
      </c>
      <c r="EF256" s="68">
        <f t="shared" si="373"/>
        <v>2.6999999999999999E-5</v>
      </c>
      <c r="EG256" s="66">
        <f>+IF($W256="","",ROUND(IF($B256&gt;Parámetros!$D$107,'Tablas Servicio'!EE256+('Tablas Servicio'!EG255-'Tablas Servicio'!EE255),EE256/(1-IF(B256&lt;=10,Parámetros!$D$100,0))),2))</f>
        <v>1.35</v>
      </c>
      <c r="EH256" s="66">
        <f t="shared" si="374"/>
        <v>0</v>
      </c>
      <c r="EI256" s="66">
        <f t="shared" si="374"/>
        <v>0</v>
      </c>
      <c r="EJ256" s="66">
        <f>+IF($W256="","",ROUND((EG256*Parámetros!$G$85),2))</f>
        <v>0.05</v>
      </c>
      <c r="EK256" s="66">
        <f>+IF($W256="","",ROUND((EG256*(Parámetros!$G$86)),2))</f>
        <v>0.01</v>
      </c>
      <c r="EL256" s="66">
        <f t="shared" si="375"/>
        <v>1.41</v>
      </c>
    </row>
    <row r="257" spans="1:142" x14ac:dyDescent="0.25">
      <c r="A257">
        <f>+IF($C257="","",ROUND(VLOOKUP('Tablas Servicio'!B257,Parámetros!$H$100:$J$159,IF(Parámetros!$E$16="F",2,3),FALSE),2))</f>
        <v>150</v>
      </c>
      <c r="B257">
        <f t="shared" si="326"/>
        <v>18</v>
      </c>
      <c r="C257" s="57">
        <f>+IF(D257="","",'Tablas Servicio'!C256+1)</f>
        <v>216</v>
      </c>
      <c r="D257" s="56">
        <f>+IF(D256&lt;edadmaxtabla,D256+1/Parámetros!$E$25,"")</f>
        <v>58.020000000000515</v>
      </c>
      <c r="E257" s="57">
        <f t="shared" si="336"/>
        <v>58</v>
      </c>
      <c r="F257" s="59">
        <f t="shared" si="337"/>
        <v>100000</v>
      </c>
      <c r="G257" s="66">
        <f t="shared" si="327"/>
        <v>51.15</v>
      </c>
      <c r="H257" s="66">
        <f t="shared" si="328"/>
        <v>53.199999999999996</v>
      </c>
      <c r="I257" s="66">
        <f t="shared" si="376"/>
        <v>40.800000000000004</v>
      </c>
      <c r="J257" s="66">
        <f t="shared" si="329"/>
        <v>1.79</v>
      </c>
      <c r="K257" s="66">
        <f t="shared" si="330"/>
        <v>0.26</v>
      </c>
      <c r="L257" s="66">
        <f t="shared" si="331"/>
        <v>0</v>
      </c>
      <c r="M257" s="66">
        <f t="shared" si="332"/>
        <v>0</v>
      </c>
      <c r="N257" s="66">
        <f>+IF(C257="","",ROUND(Parámetros!$D$23,2))</f>
        <v>94</v>
      </c>
      <c r="O257" s="66">
        <f t="shared" si="333"/>
        <v>38.65</v>
      </c>
      <c r="P257" s="66">
        <f>+IF($C257="","",ROUND(IF(B257&gt;Parámetros!$D$117,0,N257*Parámetros!$D$116-G257*Parámetros!$D$100),2))</f>
        <v>0</v>
      </c>
      <c r="Q257" s="75">
        <f t="shared" si="377"/>
        <v>3.4995112414467254E-2</v>
      </c>
      <c r="R257" s="75">
        <f t="shared" si="378"/>
        <v>5.083088954056696E-3</v>
      </c>
      <c r="S257" s="117">
        <f>+IF($C257="","",ROUND((S256+I257)*(1+Parámetros!$D$91),2))</f>
        <v>15767.73</v>
      </c>
      <c r="T257" s="117">
        <f>+IF($C257="","",ROUND(S257*VLOOKUP(B257,Parámetros!$C$30:$D$39,2,TRUE),2))</f>
        <v>15767.73</v>
      </c>
      <c r="U257" s="117">
        <f>+IF($C257="","",ROUND((U256+I257)*(1+Parámetros!$D$92),2))</f>
        <v>16586.61</v>
      </c>
      <c r="V257" s="117">
        <f>+IF($C257="","",ROUND(U257*VLOOKUP(B257,Parámetros!$C$30:$D$39,2,TRUE),2))</f>
        <v>16586.61</v>
      </c>
      <c r="W257" s="57">
        <f t="shared" si="379"/>
        <v>216</v>
      </c>
      <c r="X257" t="str">
        <f t="shared" si="380"/>
        <v>00058</v>
      </c>
      <c r="Y257" t="str">
        <f t="shared" si="381"/>
        <v>MUERTE POR CUALQUIER CAUSA</v>
      </c>
      <c r="Z257" s="118">
        <f>+IF($W257="","",ROUND(IF(Parámetros!$D$25='TABLAS MORT'!$V$33,Z256,Parámetros!$D$21-'Tablas Servicio'!T256),0))</f>
        <v>100000</v>
      </c>
      <c r="AA257" s="118" t="str">
        <f t="shared" si="382"/>
        <v>P</v>
      </c>
      <c r="AB257" s="119">
        <f>+IF(W257="","",ROUND((VLOOKUP(ROUNDDOWN($D257-1/frec,0),qx_tabla,2,FALSE)*(1+i/frec)^-0.5*(1+Parámetros!$D$103)*(1+rec_fracc)/frec),6))</f>
        <v>3.7300000000000001E-4</v>
      </c>
      <c r="AC257" s="66">
        <f t="shared" si="338"/>
        <v>37.299999999999997</v>
      </c>
      <c r="AD257" s="119">
        <f t="shared" si="334"/>
        <v>4.9799999999999996E-4</v>
      </c>
      <c r="AE257" s="66">
        <f>+IF($W257="","",ROUND(IF($B257&gt;Parámetros!$D$107,'Tablas Servicio'!AC257+('Tablas Servicio'!AG256-'Tablas Servicio'!AC256),AC257/(1-IF(B257&lt;=10,Parámetros!$D$104,Parámetros!$D$105))),2))</f>
        <v>62.17</v>
      </c>
      <c r="AF257" s="66">
        <f>+IF($W257="","",ROUND(IF($B257&gt;Parámetros!$D$107,'Tablas Servicio'!AC257+('Tablas Servicio'!AG256-'Tablas Servicio'!AC256),(AC257+$A256/frec)/(1-IF(B257&lt;=Parámetros!$D$117,Parámetros!$D$100,0))),2))</f>
        <v>49.8</v>
      </c>
      <c r="AG257" s="66">
        <f t="shared" si="339"/>
        <v>49.8</v>
      </c>
      <c r="AH257" s="66">
        <f t="shared" si="340"/>
        <v>0</v>
      </c>
      <c r="AI257" s="66">
        <f t="shared" si="341"/>
        <v>0</v>
      </c>
      <c r="AJ257" s="66">
        <f>+IF($W257="","",ROUND((AG257*Parámetros!$G$85),2))</f>
        <v>1.74</v>
      </c>
      <c r="AK257" s="66">
        <f>+IF($W257="","",ROUND((AG257*(Parámetros!$G$86)),2))</f>
        <v>0.25</v>
      </c>
      <c r="AL257" s="66">
        <f t="shared" si="335"/>
        <v>51.79</v>
      </c>
      <c r="AM257" t="str">
        <f t="shared" si="383"/>
        <v>00059</v>
      </c>
      <c r="AN257" t="str">
        <f t="shared" si="384"/>
        <v>Incapacidad Total y Permanente</v>
      </c>
      <c r="AO257" s="118">
        <f t="shared" si="385"/>
        <v>0</v>
      </c>
      <c r="AP257" s="118" t="str">
        <f t="shared" si="386"/>
        <v>A</v>
      </c>
      <c r="AQ257" s="119" t="str">
        <f>+IF(OR($W257="",AO257=0),"",ROUND((VLOOKUP(ROUNDDOWN($D257-1/frec,0),cob_adi,Z$40,FALSE)*(1+i/frec)^-0.5*(1+Parámetros!$D$103)*(1+rec_fracc)/frec),6))</f>
        <v/>
      </c>
      <c r="AR257" s="66">
        <f t="shared" si="342"/>
        <v>0</v>
      </c>
      <c r="AS257" s="119" t="str">
        <f t="shared" si="343"/>
        <v/>
      </c>
      <c r="AT257" s="66">
        <f>+IF($W257="","",ROUND(IF($B257&gt;Parámetros!$D$107,'Tablas Servicio'!AR257+('Tablas Servicio'!AT256-'Tablas Servicio'!AR256),AR257/(1-IF(B257&lt;=10,Parámetros!$D$100,0))),2))</f>
        <v>0</v>
      </c>
      <c r="AU257" s="66">
        <f t="shared" si="344"/>
        <v>0</v>
      </c>
      <c r="AV257" s="66">
        <f t="shared" si="344"/>
        <v>0</v>
      </c>
      <c r="AW257" s="66">
        <f>+IF($W257="","",ROUND((AT257*Parámetros!$G$85),2))</f>
        <v>0</v>
      </c>
      <c r="AX257" s="66">
        <f>+IF($W257="","",ROUND((AT257*(Parámetros!$G$86)),2))</f>
        <v>0</v>
      </c>
      <c r="AY257" s="66">
        <f t="shared" si="345"/>
        <v>0</v>
      </c>
      <c r="AZ257" t="str">
        <f t="shared" si="387"/>
        <v>00060</v>
      </c>
      <c r="BA257" t="str">
        <f t="shared" si="388"/>
        <v>Muerte Accidental</v>
      </c>
      <c r="BB257" s="118">
        <f t="shared" si="389"/>
        <v>0</v>
      </c>
      <c r="BC257" s="118" t="str">
        <f t="shared" si="390"/>
        <v>A</v>
      </c>
      <c r="BD257" s="119" t="str">
        <f>+IF(OR($W257="",BB257=0),"",ROUND((VLOOKUP(ROUNDDOWN($D257-1/frec,0),cob_adi,AO$40,FALSE)*(1+i/frec)^-0.5*(1+Parámetros!$D$103)*(1+rec_fracc)/frec),6))</f>
        <v/>
      </c>
      <c r="BE257" s="66">
        <f t="shared" si="346"/>
        <v>0</v>
      </c>
      <c r="BF257" s="119" t="str">
        <f t="shared" si="347"/>
        <v/>
      </c>
      <c r="BG257" s="66">
        <f>+IF($W257="","",ROUND(IF($B257&gt;Parámetros!$D$107,'Tablas Servicio'!BE257+('Tablas Servicio'!BG256-'Tablas Servicio'!BE256),BE257/(1-IF(B257&lt;=10,Parámetros!$D$100,0))),2))</f>
        <v>0</v>
      </c>
      <c r="BH257" s="66">
        <f t="shared" si="348"/>
        <v>0</v>
      </c>
      <c r="BI257" s="66">
        <f t="shared" si="349"/>
        <v>0</v>
      </c>
      <c r="BJ257" s="66">
        <f>+IF($W257="","",ROUND((BG257*Parámetros!$G$85),2))</f>
        <v>0</v>
      </c>
      <c r="BK257" s="66">
        <f>+IF($W257="","",ROUND((BG257*(Parámetros!$G$86)),2))</f>
        <v>0</v>
      </c>
      <c r="BL257" s="66">
        <f t="shared" si="350"/>
        <v>0</v>
      </c>
      <c r="BM257" t="str">
        <f t="shared" si="391"/>
        <v>00061</v>
      </c>
      <c r="BN257" t="str">
        <f t="shared" si="392"/>
        <v>Gastos de Entierro</v>
      </c>
      <c r="BO257" s="118">
        <f t="shared" si="393"/>
        <v>0</v>
      </c>
      <c r="BP257" s="118" t="str">
        <f t="shared" si="394"/>
        <v>A</v>
      </c>
      <c r="BQ257" s="119" t="str">
        <f>+IF(OR($W257="",BO257=0),"",ROUND((VLOOKUP(ROUNDDOWN($D257-1/frec,0),cob_adi,BB$40,FALSE)*(1+i/frec)^-0.5*(1+Parámetros!$D$103)*(1+rec_fracc)/frec),6))</f>
        <v/>
      </c>
      <c r="BR257" s="66">
        <f t="shared" si="351"/>
        <v>0</v>
      </c>
      <c r="BS257" s="119" t="str">
        <f t="shared" si="352"/>
        <v/>
      </c>
      <c r="BT257" s="66">
        <f>+IF($W257="","",ROUND(IF($B257&gt;Parámetros!$D$107,'Tablas Servicio'!BR257+('Tablas Servicio'!BT256-'Tablas Servicio'!BR256),BR257/(1-IF(B257&lt;=10,Parámetros!$D$100,0))),2))</f>
        <v>0</v>
      </c>
      <c r="BU257" s="66">
        <f t="shared" si="353"/>
        <v>0</v>
      </c>
      <c r="BV257" s="66">
        <f t="shared" si="353"/>
        <v>0</v>
      </c>
      <c r="BW257" s="66">
        <f>+IF($W257="","",ROUND((BT257*Parámetros!$G$85),2))</f>
        <v>0</v>
      </c>
      <c r="BX257" s="66">
        <f>+IF($W257="","",ROUND((BT257*(Parámetros!$G$86)),2))</f>
        <v>0</v>
      </c>
      <c r="BY257" s="66">
        <f t="shared" si="354"/>
        <v>0</v>
      </c>
      <c r="BZ257" t="str">
        <f t="shared" si="395"/>
        <v>00062</v>
      </c>
      <c r="CA257" t="str">
        <f t="shared" si="396"/>
        <v>Gastos médicos por accidente</v>
      </c>
      <c r="CB257" s="118">
        <f t="shared" si="397"/>
        <v>0</v>
      </c>
      <c r="CC257" s="118" t="str">
        <f t="shared" si="398"/>
        <v>A</v>
      </c>
      <c r="CD257" s="119" t="str">
        <f t="shared" si="355"/>
        <v/>
      </c>
      <c r="CE257" s="66">
        <f>+IF($W257="","",ROUND((VLOOKUP(ROUNDDOWN($D257-1/frec,0),cob_adi,BO$40,FALSE)*(1+i/frec)^-0.5*(1+Parámetros!$D$103)*(1+rec_fracc)/frec*'TABLAS ADI'!$BC$17),2))</f>
        <v>0</v>
      </c>
      <c r="CF257" s="119" t="str">
        <f t="shared" si="356"/>
        <v/>
      </c>
      <c r="CG257" s="66">
        <f>+IF($W257="","",ROUND(IF($B257&gt;Parámetros!$D$107,'Tablas Servicio'!CE257+('Tablas Servicio'!CG256-'Tablas Servicio'!CE256),CE257/(1-IF(B257&lt;=10,Parámetros!$D$100,0))),2))</f>
        <v>0</v>
      </c>
      <c r="CH257" s="66">
        <f t="shared" si="357"/>
        <v>0</v>
      </c>
      <c r="CI257" s="66">
        <f t="shared" si="357"/>
        <v>0</v>
      </c>
      <c r="CJ257" s="66">
        <f>+IF($W257="","",ROUND((CG257*Parámetros!$G$85),2))</f>
        <v>0</v>
      </c>
      <c r="CK257" s="66">
        <f>+IF($W257="","",ROUND((CG257*(Parámetros!$G$86)),2))</f>
        <v>0</v>
      </c>
      <c r="CL257" s="66">
        <f t="shared" si="358"/>
        <v>0</v>
      </c>
      <c r="CM257" t="str">
        <f t="shared" si="399"/>
        <v>00063</v>
      </c>
      <c r="CN257" s="118" t="str">
        <f t="shared" si="400"/>
        <v>Renta Diaria por Hospitalización</v>
      </c>
      <c r="CO257" s="118">
        <f t="shared" si="401"/>
        <v>0</v>
      </c>
      <c r="CP257" s="118" t="str">
        <f t="shared" si="402"/>
        <v>A</v>
      </c>
      <c r="CQ257" s="119" t="str">
        <f t="shared" si="359"/>
        <v/>
      </c>
      <c r="CR257" s="66">
        <f>+IF($W257="","",ROUND((VLOOKUP(Parámetros!$F$51,'COBERTURAS ADICIONALES'!$S$4:$T$32,2,FALSE)*(1+i/frec)^-0.5*(1+Parámetros!$D$103)*(1+rec_fracc)/frec*$CO$42),2))</f>
        <v>0</v>
      </c>
      <c r="CS257" s="119" t="str">
        <f t="shared" si="360"/>
        <v/>
      </c>
      <c r="CT257" s="66">
        <f>+IF($W257="","",ROUND(IF($B257&gt;Parámetros!$D$107,'Tablas Servicio'!CR257+('Tablas Servicio'!CT256-'Tablas Servicio'!CR256),CR257/(1-IF(B257&lt;=10,Parámetros!$D$100,0))),2))</f>
        <v>0</v>
      </c>
      <c r="CU257" s="66">
        <f t="shared" si="361"/>
        <v>0</v>
      </c>
      <c r="CV257" s="66">
        <f t="shared" si="361"/>
        <v>0</v>
      </c>
      <c r="CW257" s="66">
        <f>+IF($W257="","",ROUND((CT257*Parámetros!$G$85),2))</f>
        <v>0</v>
      </c>
      <c r="CX257" s="66">
        <f>+IF($W257="","",ROUND((CT257*(Parámetros!$G$86)),2))</f>
        <v>0</v>
      </c>
      <c r="CY257" s="66">
        <f t="shared" si="362"/>
        <v>0</v>
      </c>
      <c r="CZ257" t="str">
        <f t="shared" si="403"/>
        <v>00064</v>
      </c>
      <c r="DA257" s="118" t="str">
        <f t="shared" si="404"/>
        <v>Enfermedades Graves</v>
      </c>
      <c r="DB257" s="118">
        <f t="shared" si="405"/>
        <v>0</v>
      </c>
      <c r="DC257" s="118" t="str">
        <f t="shared" si="406"/>
        <v>A</v>
      </c>
      <c r="DD257" s="121" t="str">
        <f>+IF(OR($W257="",DB257=0),"",ROUND((VLOOKUP(ROUNDDOWN($D257-1/frec,0),cob_adi,CO$40,FALSE)*(1+i/frec)^-0.5*(1+Parámetros!$D$103)*(1+rec_fracc)/frec),6))</f>
        <v/>
      </c>
      <c r="DE257" s="66">
        <f t="shared" si="363"/>
        <v>0</v>
      </c>
      <c r="DF257" s="119" t="str">
        <f t="shared" si="364"/>
        <v/>
      </c>
      <c r="DG257" s="66">
        <f>+IF($W257="","",ROUND(IF($B257&gt;Parámetros!$D$107,'Tablas Servicio'!DE257+('Tablas Servicio'!DG256-'Tablas Servicio'!DE256),DE257/(1-IF(B257&lt;=10,Parámetros!$D$100,0))),2))</f>
        <v>0</v>
      </c>
      <c r="DH257" s="66">
        <f t="shared" si="365"/>
        <v>0</v>
      </c>
      <c r="DI257" s="66">
        <f t="shared" si="365"/>
        <v>0</v>
      </c>
      <c r="DJ257" s="66">
        <f>+IF($W257="","",ROUND((DG257*Parámetros!$G$85),2))</f>
        <v>0</v>
      </c>
      <c r="DK257" s="66">
        <f>+IF($W257="","",ROUND((DG257*(Parámetros!$G$86)),2))</f>
        <v>0</v>
      </c>
      <c r="DL257" s="66">
        <f t="shared" si="366"/>
        <v>0</v>
      </c>
      <c r="DM257" t="str">
        <f t="shared" si="407"/>
        <v>00065</v>
      </c>
      <c r="DN257" s="118" t="str">
        <f t="shared" si="408"/>
        <v>Exención pago de primas</v>
      </c>
      <c r="DO257" s="118">
        <f t="shared" si="409"/>
        <v>0</v>
      </c>
      <c r="DP257" s="118" t="str">
        <f t="shared" si="410"/>
        <v>A</v>
      </c>
      <c r="DQ257" s="122" t="str">
        <f>+IF(OR($W257="",DO257=0),"",ROUND((VLOOKUP(ROUNDDOWN($D257-1/frec,0),cob_adi,DB$40,FALSE)*(1+i/frec)^-0.5*(1+Parámetros!$D$103)*(1+rec_fracc)/frec),6))</f>
        <v/>
      </c>
      <c r="DR257" s="66">
        <f t="shared" si="367"/>
        <v>0</v>
      </c>
      <c r="DS257" s="68" t="str">
        <f t="shared" si="368"/>
        <v/>
      </c>
      <c r="DT257" s="66">
        <f>+IF($W257="","",ROUND(IF($B257&gt;Parámetros!$D$107,'Tablas Servicio'!DR257+('Tablas Servicio'!DT256-'Tablas Servicio'!DR256),DR257/(1-IF(B257&lt;=10,Parámetros!$D$100,0))),2))</f>
        <v>0</v>
      </c>
      <c r="DU257" s="66">
        <f t="shared" si="369"/>
        <v>0</v>
      </c>
      <c r="DV257" s="66">
        <f t="shared" si="369"/>
        <v>0</v>
      </c>
      <c r="DW257" s="66">
        <f>+IF($W257="","",ROUND((DT257*Parámetros!$G$85),2))</f>
        <v>0</v>
      </c>
      <c r="DX257" s="66">
        <f>+IF($W257="","",ROUND((DT257*(Parámetros!$G$86)),2))</f>
        <v>0</v>
      </c>
      <c r="DY257" s="66">
        <f t="shared" si="370"/>
        <v>0</v>
      </c>
      <c r="DZ257" t="str">
        <f t="shared" si="411"/>
        <v>00066</v>
      </c>
      <c r="EA257" s="118" t="str">
        <f t="shared" si="411"/>
        <v>Enfermedad terminal</v>
      </c>
      <c r="EB257" s="118">
        <f>+IF($W257="","",ROUND(IF(Parámetros!$D$25='TABLAS MORT'!$V$33,EB256,Z257/2),0))</f>
        <v>50000</v>
      </c>
      <c r="EC257" s="118" t="str">
        <f t="shared" si="411"/>
        <v>A</v>
      </c>
      <c r="ED257" s="122">
        <f>+IF(OR($W257="",EB257=0),"",ROUND((VLOOKUP(ROUNDDOWN($D257-1/frec,0),cob_adi,DO$40,FALSE)*(1+i/frec)^-0.5*(1+Parámetros!$D$103)*(1+rec_fracc)/frec),6))</f>
        <v>2.6999999999999999E-5</v>
      </c>
      <c r="EE257" s="66">
        <f t="shared" si="372"/>
        <v>1.35</v>
      </c>
      <c r="EF257" s="68">
        <f t="shared" si="373"/>
        <v>2.6999999999999999E-5</v>
      </c>
      <c r="EG257" s="66">
        <f>+IF($W257="","",ROUND(IF($B257&gt;Parámetros!$D$107,'Tablas Servicio'!EE257+('Tablas Servicio'!EG256-'Tablas Servicio'!EE256),EE257/(1-IF(B257&lt;=10,Parámetros!$D$100,0))),2))</f>
        <v>1.35</v>
      </c>
      <c r="EH257" s="66">
        <f t="shared" si="374"/>
        <v>0</v>
      </c>
      <c r="EI257" s="66">
        <f t="shared" si="374"/>
        <v>0</v>
      </c>
      <c r="EJ257" s="66">
        <f>+IF($W257="","",ROUND((EG257*Parámetros!$G$85),2))</f>
        <v>0.05</v>
      </c>
      <c r="EK257" s="66">
        <f>+IF($W257="","",ROUND((EG257*(Parámetros!$G$86)),2))</f>
        <v>0.01</v>
      </c>
      <c r="EL257" s="66">
        <f t="shared" si="375"/>
        <v>1.41</v>
      </c>
    </row>
    <row r="258" spans="1:142" x14ac:dyDescent="0.25">
      <c r="A258">
        <f>+IF($C258="","",ROUND(VLOOKUP('Tablas Servicio'!B258,Parámetros!$H$100:$J$159,IF(Parámetros!$E$16="F",2,3),FALSE),2))</f>
        <v>150</v>
      </c>
      <c r="B258">
        <f t="shared" si="326"/>
        <v>19</v>
      </c>
      <c r="C258" s="57">
        <f>+IF(D258="","",'Tablas Servicio'!C257+1)</f>
        <v>217</v>
      </c>
      <c r="D258" s="56">
        <f>+IF(D257&lt;edadmaxtabla,D257+1/Parámetros!$E$25,"")</f>
        <v>58.10333333333385</v>
      </c>
      <c r="E258" s="57">
        <f t="shared" si="336"/>
        <v>58</v>
      </c>
      <c r="F258" s="59">
        <f t="shared" si="337"/>
        <v>100000</v>
      </c>
      <c r="G258" s="66">
        <f t="shared" si="327"/>
        <v>53.45</v>
      </c>
      <c r="H258" s="66">
        <f t="shared" si="328"/>
        <v>55.589999999999996</v>
      </c>
      <c r="I258" s="66">
        <f t="shared" si="376"/>
        <v>38.410000000000004</v>
      </c>
      <c r="J258" s="66">
        <f t="shared" si="329"/>
        <v>1.87</v>
      </c>
      <c r="K258" s="66">
        <f t="shared" si="330"/>
        <v>0.27</v>
      </c>
      <c r="L258" s="66">
        <f t="shared" si="331"/>
        <v>0</v>
      </c>
      <c r="M258" s="66">
        <f t="shared" si="332"/>
        <v>0</v>
      </c>
      <c r="N258" s="66">
        <f>+IF(C258="","",ROUND(Parámetros!$D$23,2))</f>
        <v>94</v>
      </c>
      <c r="O258" s="66">
        <f t="shared" si="333"/>
        <v>40.950000000000003</v>
      </c>
      <c r="P258" s="66">
        <f>+IF($C258="","",ROUND(IF(B258&gt;Parámetros!$D$117,0,N258*Parámetros!$D$116-G258*Parámetros!$D$100),2))</f>
        <v>0</v>
      </c>
      <c r="Q258" s="75">
        <f t="shared" si="377"/>
        <v>3.498596819457437E-2</v>
      </c>
      <c r="R258" s="75">
        <f t="shared" si="378"/>
        <v>5.0514499532273152E-3</v>
      </c>
      <c r="S258" s="117">
        <f>+IF($C258="","",ROUND((S257+I258)*(1+Parámetros!$D$91),2))</f>
        <v>15850.97</v>
      </c>
      <c r="T258" s="117">
        <f>+IF($C258="","",ROUND(S258*VLOOKUP(B258,Parámetros!$C$30:$D$39,2,TRUE),2))</f>
        <v>15850.97</v>
      </c>
      <c r="U258" s="117">
        <f>+IF($C258="","",ROUND((U257+I258)*(1+Parámetros!$D$92),2))</f>
        <v>16678.91</v>
      </c>
      <c r="V258" s="117">
        <f>+IF($C258="","",ROUND(U258*VLOOKUP(B258,Parámetros!$C$30:$D$39,2,TRUE),2))</f>
        <v>16678.91</v>
      </c>
      <c r="W258" s="57">
        <f t="shared" si="379"/>
        <v>217</v>
      </c>
      <c r="X258" t="str">
        <f t="shared" si="380"/>
        <v>00058</v>
      </c>
      <c r="Y258" t="str">
        <f t="shared" si="381"/>
        <v>MUERTE POR CUALQUIER CAUSA</v>
      </c>
      <c r="Z258" s="118">
        <f>+IF($W258="","",ROUND(IF(Parámetros!$D$25='TABLAS MORT'!$V$33,Z257,Parámetros!$D$21-'Tablas Servicio'!T257),0))</f>
        <v>100000</v>
      </c>
      <c r="AA258" s="118" t="str">
        <f t="shared" si="382"/>
        <v>P</v>
      </c>
      <c r="AB258" s="119">
        <f>+IF(W258="","",ROUND((VLOOKUP(ROUNDDOWN($D258-1/frec,0),qx_tabla,2,FALSE)*(1+i/frec)^-0.5*(1+Parámetros!$D$103)*(1+rec_fracc)/frec),6))</f>
        <v>3.9599999999999998E-4</v>
      </c>
      <c r="AC258" s="66">
        <f t="shared" si="338"/>
        <v>39.6</v>
      </c>
      <c r="AD258" s="119">
        <f t="shared" si="334"/>
        <v>5.2099999999999998E-4</v>
      </c>
      <c r="AE258" s="66">
        <f>+IF($W258="","",ROUND(IF($B258&gt;Parámetros!$D$107,'Tablas Servicio'!AC258+('Tablas Servicio'!AG257-'Tablas Servicio'!AC257),AC258/(1-IF(B258&lt;=10,Parámetros!$D$104,Parámetros!$D$105))),2))</f>
        <v>66</v>
      </c>
      <c r="AF258" s="66">
        <f>+IF($W258="","",ROUND(IF($B258&gt;Parámetros!$D$107,'Tablas Servicio'!AC258+('Tablas Servicio'!AG257-'Tablas Servicio'!AC257),(AC258+$A257/frec)/(1-IF(B258&lt;=Parámetros!$D$117,Parámetros!$D$100,0))),2))</f>
        <v>52.1</v>
      </c>
      <c r="AG258" s="66">
        <f t="shared" si="339"/>
        <v>52.1</v>
      </c>
      <c r="AH258" s="66">
        <f t="shared" si="340"/>
        <v>0</v>
      </c>
      <c r="AI258" s="66">
        <f t="shared" si="341"/>
        <v>0</v>
      </c>
      <c r="AJ258" s="66">
        <f>+IF($W258="","",ROUND((AG258*Parámetros!$G$85),2))</f>
        <v>1.82</v>
      </c>
      <c r="AK258" s="66">
        <f>+IF($W258="","",ROUND((AG258*(Parámetros!$G$86)),2))</f>
        <v>0.26</v>
      </c>
      <c r="AL258" s="66">
        <f t="shared" si="335"/>
        <v>54.18</v>
      </c>
      <c r="AM258" t="str">
        <f t="shared" si="383"/>
        <v>00059</v>
      </c>
      <c r="AN258" t="str">
        <f t="shared" si="384"/>
        <v>Incapacidad Total y Permanente</v>
      </c>
      <c r="AO258" s="118">
        <f t="shared" si="385"/>
        <v>0</v>
      </c>
      <c r="AP258" s="118" t="str">
        <f t="shared" si="386"/>
        <v>A</v>
      </c>
      <c r="AQ258" s="119" t="str">
        <f>+IF(OR($W258="",AO258=0),"",ROUND((VLOOKUP(ROUNDDOWN($D258-1/frec,0),cob_adi,Z$40,FALSE)*(1+i/frec)^-0.5*(1+Parámetros!$D$103)*(1+rec_fracc)/frec),6))</f>
        <v/>
      </c>
      <c r="AR258" s="66">
        <f t="shared" si="342"/>
        <v>0</v>
      </c>
      <c r="AS258" s="119" t="str">
        <f t="shared" si="343"/>
        <v/>
      </c>
      <c r="AT258" s="66">
        <f>+IF($W258="","",ROUND(IF($B258&gt;Parámetros!$D$107,'Tablas Servicio'!AR258+('Tablas Servicio'!AT257-'Tablas Servicio'!AR257),AR258/(1-IF(B258&lt;=10,Parámetros!$D$100,0))),2))</f>
        <v>0</v>
      </c>
      <c r="AU258" s="66">
        <f t="shared" si="344"/>
        <v>0</v>
      </c>
      <c r="AV258" s="66">
        <f t="shared" si="344"/>
        <v>0</v>
      </c>
      <c r="AW258" s="66">
        <f>+IF($W258="","",ROUND((AT258*Parámetros!$G$85),2))</f>
        <v>0</v>
      </c>
      <c r="AX258" s="66">
        <f>+IF($W258="","",ROUND((AT258*(Parámetros!$G$86)),2))</f>
        <v>0</v>
      </c>
      <c r="AY258" s="66">
        <f t="shared" si="345"/>
        <v>0</v>
      </c>
      <c r="AZ258" t="str">
        <f t="shared" si="387"/>
        <v>00060</v>
      </c>
      <c r="BA258" t="str">
        <f t="shared" si="388"/>
        <v>Muerte Accidental</v>
      </c>
      <c r="BB258" s="118">
        <f t="shared" si="389"/>
        <v>0</v>
      </c>
      <c r="BC258" s="118" t="str">
        <f t="shared" si="390"/>
        <v>A</v>
      </c>
      <c r="BD258" s="119" t="str">
        <f>+IF(OR($W258="",BB258=0),"",ROUND((VLOOKUP(ROUNDDOWN($D258-1/frec,0),cob_adi,AO$40,FALSE)*(1+i/frec)^-0.5*(1+Parámetros!$D$103)*(1+rec_fracc)/frec),6))</f>
        <v/>
      </c>
      <c r="BE258" s="66">
        <f t="shared" si="346"/>
        <v>0</v>
      </c>
      <c r="BF258" s="119" t="str">
        <f t="shared" si="347"/>
        <v/>
      </c>
      <c r="BG258" s="66">
        <f>+IF($W258="","",ROUND(IF($B258&gt;Parámetros!$D$107,'Tablas Servicio'!BE258+('Tablas Servicio'!BG257-'Tablas Servicio'!BE257),BE258/(1-IF(B258&lt;=10,Parámetros!$D$100,0))),2))</f>
        <v>0</v>
      </c>
      <c r="BH258" s="66">
        <f t="shared" si="348"/>
        <v>0</v>
      </c>
      <c r="BI258" s="66">
        <f t="shared" si="349"/>
        <v>0</v>
      </c>
      <c r="BJ258" s="66">
        <f>+IF($W258="","",ROUND((BG258*Parámetros!$G$85),2))</f>
        <v>0</v>
      </c>
      <c r="BK258" s="66">
        <f>+IF($W258="","",ROUND((BG258*(Parámetros!$G$86)),2))</f>
        <v>0</v>
      </c>
      <c r="BL258" s="66">
        <f t="shared" si="350"/>
        <v>0</v>
      </c>
      <c r="BM258" t="str">
        <f t="shared" si="391"/>
        <v>00061</v>
      </c>
      <c r="BN258" t="str">
        <f t="shared" si="392"/>
        <v>Gastos de Entierro</v>
      </c>
      <c r="BO258" s="118">
        <f t="shared" si="393"/>
        <v>0</v>
      </c>
      <c r="BP258" s="118" t="str">
        <f t="shared" si="394"/>
        <v>A</v>
      </c>
      <c r="BQ258" s="119" t="str">
        <f>+IF(OR($W258="",BO258=0),"",ROUND((VLOOKUP(ROUNDDOWN($D258-1/frec,0),cob_adi,BB$40,FALSE)*(1+i/frec)^-0.5*(1+Parámetros!$D$103)*(1+rec_fracc)/frec),6))</f>
        <v/>
      </c>
      <c r="BR258" s="66">
        <f t="shared" si="351"/>
        <v>0</v>
      </c>
      <c r="BS258" s="119" t="str">
        <f t="shared" si="352"/>
        <v/>
      </c>
      <c r="BT258" s="66">
        <f>+IF($W258="","",ROUND(IF($B258&gt;Parámetros!$D$107,'Tablas Servicio'!BR258+('Tablas Servicio'!BT257-'Tablas Servicio'!BR257),BR258/(1-IF(B258&lt;=10,Parámetros!$D$100,0))),2))</f>
        <v>0</v>
      </c>
      <c r="BU258" s="66">
        <f t="shared" si="353"/>
        <v>0</v>
      </c>
      <c r="BV258" s="66">
        <f t="shared" si="353"/>
        <v>0</v>
      </c>
      <c r="BW258" s="66">
        <f>+IF($W258="","",ROUND((BT258*Parámetros!$G$85),2))</f>
        <v>0</v>
      </c>
      <c r="BX258" s="66">
        <f>+IF($W258="","",ROUND((BT258*(Parámetros!$G$86)),2))</f>
        <v>0</v>
      </c>
      <c r="BY258" s="66">
        <f t="shared" si="354"/>
        <v>0</v>
      </c>
      <c r="BZ258" t="str">
        <f t="shared" si="395"/>
        <v>00062</v>
      </c>
      <c r="CA258" t="str">
        <f t="shared" si="396"/>
        <v>Gastos médicos por accidente</v>
      </c>
      <c r="CB258" s="118">
        <f t="shared" si="397"/>
        <v>0</v>
      </c>
      <c r="CC258" s="118" t="str">
        <f t="shared" si="398"/>
        <v>A</v>
      </c>
      <c r="CD258" s="119" t="str">
        <f t="shared" si="355"/>
        <v/>
      </c>
      <c r="CE258" s="66">
        <f>+IF($W258="","",ROUND((VLOOKUP(ROUNDDOWN($D258-1/frec,0),cob_adi,BO$40,FALSE)*(1+i/frec)^-0.5*(1+Parámetros!$D$103)*(1+rec_fracc)/frec*'TABLAS ADI'!$BC$17),2))</f>
        <v>0</v>
      </c>
      <c r="CF258" s="119" t="str">
        <f t="shared" si="356"/>
        <v/>
      </c>
      <c r="CG258" s="66">
        <f>+IF($W258="","",ROUND(IF($B258&gt;Parámetros!$D$107,'Tablas Servicio'!CE258+('Tablas Servicio'!CG257-'Tablas Servicio'!CE257),CE258/(1-IF(B258&lt;=10,Parámetros!$D$100,0))),2))</f>
        <v>0</v>
      </c>
      <c r="CH258" s="66">
        <f t="shared" si="357"/>
        <v>0</v>
      </c>
      <c r="CI258" s="66">
        <f t="shared" si="357"/>
        <v>0</v>
      </c>
      <c r="CJ258" s="66">
        <f>+IF($W258="","",ROUND((CG258*Parámetros!$G$85),2))</f>
        <v>0</v>
      </c>
      <c r="CK258" s="66">
        <f>+IF($W258="","",ROUND((CG258*(Parámetros!$G$86)),2))</f>
        <v>0</v>
      </c>
      <c r="CL258" s="66">
        <f t="shared" si="358"/>
        <v>0</v>
      </c>
      <c r="CM258" t="str">
        <f t="shared" si="399"/>
        <v>00063</v>
      </c>
      <c r="CN258" s="118" t="str">
        <f t="shared" si="400"/>
        <v>Renta Diaria por Hospitalización</v>
      </c>
      <c r="CO258" s="118">
        <f t="shared" si="401"/>
        <v>0</v>
      </c>
      <c r="CP258" s="118" t="str">
        <f t="shared" si="402"/>
        <v>A</v>
      </c>
      <c r="CQ258" s="119" t="str">
        <f t="shared" si="359"/>
        <v/>
      </c>
      <c r="CR258" s="66">
        <f>+IF($W258="","",ROUND((VLOOKUP(Parámetros!$F$51,'COBERTURAS ADICIONALES'!$S$4:$T$32,2,FALSE)*(1+i/frec)^-0.5*(1+Parámetros!$D$103)*(1+rec_fracc)/frec*$CO$42),2))</f>
        <v>0</v>
      </c>
      <c r="CS258" s="119" t="str">
        <f t="shared" si="360"/>
        <v/>
      </c>
      <c r="CT258" s="66">
        <f>+IF($W258="","",ROUND(IF($B258&gt;Parámetros!$D$107,'Tablas Servicio'!CR258+('Tablas Servicio'!CT257-'Tablas Servicio'!CR257),CR258/(1-IF(B258&lt;=10,Parámetros!$D$100,0))),2))</f>
        <v>0</v>
      </c>
      <c r="CU258" s="66">
        <f t="shared" si="361"/>
        <v>0</v>
      </c>
      <c r="CV258" s="66">
        <f t="shared" si="361"/>
        <v>0</v>
      </c>
      <c r="CW258" s="66">
        <f>+IF($W258="","",ROUND((CT258*Parámetros!$G$85),2))</f>
        <v>0</v>
      </c>
      <c r="CX258" s="66">
        <f>+IF($W258="","",ROUND((CT258*(Parámetros!$G$86)),2))</f>
        <v>0</v>
      </c>
      <c r="CY258" s="66">
        <f t="shared" si="362"/>
        <v>0</v>
      </c>
      <c r="CZ258" t="str">
        <f t="shared" si="403"/>
        <v>00064</v>
      </c>
      <c r="DA258" s="118" t="str">
        <f t="shared" si="404"/>
        <v>Enfermedades Graves</v>
      </c>
      <c r="DB258" s="118">
        <f t="shared" si="405"/>
        <v>0</v>
      </c>
      <c r="DC258" s="118" t="str">
        <f t="shared" si="406"/>
        <v>A</v>
      </c>
      <c r="DD258" s="121" t="str">
        <f>+IF(OR($W258="",DB258=0),"",ROUND((VLOOKUP(ROUNDDOWN($D258-1/frec,0),cob_adi,CO$40,FALSE)*(1+i/frec)^-0.5*(1+Parámetros!$D$103)*(1+rec_fracc)/frec),6))</f>
        <v/>
      </c>
      <c r="DE258" s="66">
        <f t="shared" si="363"/>
        <v>0</v>
      </c>
      <c r="DF258" s="119" t="str">
        <f t="shared" si="364"/>
        <v/>
      </c>
      <c r="DG258" s="66">
        <f>+IF($W258="","",ROUND(IF($B258&gt;Parámetros!$D$107,'Tablas Servicio'!DE258+('Tablas Servicio'!DG257-'Tablas Servicio'!DE257),DE258/(1-IF(B258&lt;=10,Parámetros!$D$100,0))),2))</f>
        <v>0</v>
      </c>
      <c r="DH258" s="66">
        <f t="shared" si="365"/>
        <v>0</v>
      </c>
      <c r="DI258" s="66">
        <f t="shared" si="365"/>
        <v>0</v>
      </c>
      <c r="DJ258" s="66">
        <f>+IF($W258="","",ROUND((DG258*Parámetros!$G$85),2))</f>
        <v>0</v>
      </c>
      <c r="DK258" s="66">
        <f>+IF($W258="","",ROUND((DG258*(Parámetros!$G$86)),2))</f>
        <v>0</v>
      </c>
      <c r="DL258" s="66">
        <f t="shared" si="366"/>
        <v>0</v>
      </c>
      <c r="DM258" t="str">
        <f t="shared" si="407"/>
        <v>00065</v>
      </c>
      <c r="DN258" s="118" t="str">
        <f t="shared" si="408"/>
        <v>Exención pago de primas</v>
      </c>
      <c r="DO258" s="118">
        <f t="shared" si="409"/>
        <v>0</v>
      </c>
      <c r="DP258" s="118" t="str">
        <f t="shared" si="410"/>
        <v>A</v>
      </c>
      <c r="DQ258" s="122" t="str">
        <f>+IF(OR($W258="",DO258=0),"",ROUND((VLOOKUP(ROUNDDOWN($D258-1/frec,0),cob_adi,DB$40,FALSE)*(1+i/frec)^-0.5*(1+Parámetros!$D$103)*(1+rec_fracc)/frec),6))</f>
        <v/>
      </c>
      <c r="DR258" s="66">
        <f t="shared" si="367"/>
        <v>0</v>
      </c>
      <c r="DS258" s="68" t="str">
        <f t="shared" si="368"/>
        <v/>
      </c>
      <c r="DT258" s="66">
        <f>+IF($W258="","",ROUND(IF($B258&gt;Parámetros!$D$107,'Tablas Servicio'!DR258+('Tablas Servicio'!DT257-'Tablas Servicio'!DR257),DR258/(1-IF(B258&lt;=10,Parámetros!$D$100,0))),2))</f>
        <v>0</v>
      </c>
      <c r="DU258" s="66">
        <f t="shared" si="369"/>
        <v>0</v>
      </c>
      <c r="DV258" s="66">
        <f t="shared" si="369"/>
        <v>0</v>
      </c>
      <c r="DW258" s="66">
        <f>+IF($W258="","",ROUND((DT258*Parámetros!$G$85),2))</f>
        <v>0</v>
      </c>
      <c r="DX258" s="66">
        <f>+IF($W258="","",ROUND((DT258*(Parámetros!$G$86)),2))</f>
        <v>0</v>
      </c>
      <c r="DY258" s="66">
        <f t="shared" si="370"/>
        <v>0</v>
      </c>
      <c r="DZ258" t="str">
        <f t="shared" si="411"/>
        <v>00066</v>
      </c>
      <c r="EA258" s="118" t="str">
        <f t="shared" si="411"/>
        <v>Enfermedad terminal</v>
      </c>
      <c r="EB258" s="118">
        <f>+IF($W258="","",ROUND(IF(Parámetros!$D$25='TABLAS MORT'!$V$33,EB257,Z258/2),0))</f>
        <v>50000</v>
      </c>
      <c r="EC258" s="118" t="str">
        <f t="shared" si="411"/>
        <v>A</v>
      </c>
      <c r="ED258" s="122">
        <f>+IF(OR($W258="",EB258=0),"",ROUND((VLOOKUP(ROUNDDOWN($D258-1/frec,0),cob_adi,DO$40,FALSE)*(1+i/frec)^-0.5*(1+Parámetros!$D$103)*(1+rec_fracc)/frec),6))</f>
        <v>2.6999999999999999E-5</v>
      </c>
      <c r="EE258" s="66">
        <f t="shared" si="372"/>
        <v>1.35</v>
      </c>
      <c r="EF258" s="68">
        <f t="shared" si="373"/>
        <v>2.6999999999999999E-5</v>
      </c>
      <c r="EG258" s="66">
        <f>+IF($W258="","",ROUND(IF($B258&gt;Parámetros!$D$107,'Tablas Servicio'!EE258+('Tablas Servicio'!EG257-'Tablas Servicio'!EE257),EE258/(1-IF(B258&lt;=10,Parámetros!$D$100,0))),2))</f>
        <v>1.35</v>
      </c>
      <c r="EH258" s="66">
        <f t="shared" si="374"/>
        <v>0</v>
      </c>
      <c r="EI258" s="66">
        <f t="shared" si="374"/>
        <v>0</v>
      </c>
      <c r="EJ258" s="66">
        <f>+IF($W258="","",ROUND((EG258*Parámetros!$G$85),2))</f>
        <v>0.05</v>
      </c>
      <c r="EK258" s="66">
        <f>+IF($W258="","",ROUND((EG258*(Parámetros!$G$86)),2))</f>
        <v>0.01</v>
      </c>
      <c r="EL258" s="66">
        <f t="shared" si="375"/>
        <v>1.41</v>
      </c>
    </row>
    <row r="259" spans="1:142" x14ac:dyDescent="0.25">
      <c r="A259">
        <f>+IF($C259="","",ROUND(VLOOKUP('Tablas Servicio'!B259,Parámetros!$H$100:$J$159,IF(Parámetros!$E$16="F",2,3),FALSE),2))</f>
        <v>150</v>
      </c>
      <c r="B259">
        <f t="shared" si="326"/>
        <v>19</v>
      </c>
      <c r="C259" s="57">
        <f>+IF(D259="","",'Tablas Servicio'!C258+1)</f>
        <v>218</v>
      </c>
      <c r="D259" s="56">
        <f>+IF(D258&lt;edadmaxtabla,D258+1/Parámetros!$E$25,"")</f>
        <v>58.186666666667186</v>
      </c>
      <c r="E259" s="57">
        <f t="shared" si="336"/>
        <v>58</v>
      </c>
      <c r="F259" s="59">
        <f t="shared" si="337"/>
        <v>100000</v>
      </c>
      <c r="G259" s="66">
        <f t="shared" si="327"/>
        <v>53.45</v>
      </c>
      <c r="H259" s="66">
        <f t="shared" si="328"/>
        <v>55.589999999999996</v>
      </c>
      <c r="I259" s="66">
        <f t="shared" si="376"/>
        <v>38.410000000000004</v>
      </c>
      <c r="J259" s="66">
        <f t="shared" si="329"/>
        <v>1.87</v>
      </c>
      <c r="K259" s="66">
        <f t="shared" si="330"/>
        <v>0.27</v>
      </c>
      <c r="L259" s="66">
        <f t="shared" si="331"/>
        <v>0</v>
      </c>
      <c r="M259" s="66">
        <f t="shared" si="332"/>
        <v>0</v>
      </c>
      <c r="N259" s="66">
        <f>+IF(C259="","",ROUND(Parámetros!$D$23,2))</f>
        <v>94</v>
      </c>
      <c r="O259" s="66">
        <f t="shared" si="333"/>
        <v>40.950000000000003</v>
      </c>
      <c r="P259" s="66">
        <f>+IF($C259="","",ROUND(IF(B259&gt;Parámetros!$D$117,0,N259*Parámetros!$D$116-G259*Parámetros!$D$100),2))</f>
        <v>0</v>
      </c>
      <c r="Q259" s="75">
        <f t="shared" si="377"/>
        <v>3.498596819457437E-2</v>
      </c>
      <c r="R259" s="75">
        <f t="shared" si="378"/>
        <v>5.0514499532273152E-3</v>
      </c>
      <c r="S259" s="117">
        <f>+IF($C259="","",ROUND((S258+I259)*(1+Parámetros!$D$91),2))</f>
        <v>15934.45</v>
      </c>
      <c r="T259" s="117">
        <f>+IF($C259="","",ROUND(S259*VLOOKUP(B259,Parámetros!$C$30:$D$39,2,TRUE),2))</f>
        <v>15934.45</v>
      </c>
      <c r="U259" s="117">
        <f>+IF($C259="","",ROUND((U258+I259)*(1+Parámetros!$D$92),2))</f>
        <v>16771.509999999998</v>
      </c>
      <c r="V259" s="117">
        <f>+IF($C259="","",ROUND(U259*VLOOKUP(B259,Parámetros!$C$30:$D$39,2,TRUE),2))</f>
        <v>16771.509999999998</v>
      </c>
      <c r="W259" s="57">
        <f t="shared" si="379"/>
        <v>218</v>
      </c>
      <c r="X259" t="str">
        <f t="shared" si="380"/>
        <v>00058</v>
      </c>
      <c r="Y259" t="str">
        <f t="shared" si="381"/>
        <v>MUERTE POR CUALQUIER CAUSA</v>
      </c>
      <c r="Z259" s="118">
        <f>+IF($W259="","",ROUND(IF(Parámetros!$D$25='TABLAS MORT'!$V$33,Z258,Parámetros!$D$21-'Tablas Servicio'!T258),0))</f>
        <v>100000</v>
      </c>
      <c r="AA259" s="118" t="str">
        <f t="shared" si="382"/>
        <v>P</v>
      </c>
      <c r="AB259" s="119">
        <f>+IF(W259="","",ROUND((VLOOKUP(ROUNDDOWN($D259-1/frec,0),qx_tabla,2,FALSE)*(1+i/frec)^-0.5*(1+Parámetros!$D$103)*(1+rec_fracc)/frec),6))</f>
        <v>3.9599999999999998E-4</v>
      </c>
      <c r="AC259" s="66">
        <f t="shared" si="338"/>
        <v>39.6</v>
      </c>
      <c r="AD259" s="119">
        <f t="shared" si="334"/>
        <v>5.2099999999999998E-4</v>
      </c>
      <c r="AE259" s="66">
        <f>+IF($W259="","",ROUND(IF($B259&gt;Parámetros!$D$107,'Tablas Servicio'!AC259+('Tablas Servicio'!AG258-'Tablas Servicio'!AC258),AC259/(1-IF(B259&lt;=10,Parámetros!$D$104,Parámetros!$D$105))),2))</f>
        <v>66</v>
      </c>
      <c r="AF259" s="66">
        <f>+IF($W259="","",ROUND(IF($B259&gt;Parámetros!$D$107,'Tablas Servicio'!AC259+('Tablas Servicio'!AG258-'Tablas Servicio'!AC258),(AC259+$A258/frec)/(1-IF(B259&lt;=Parámetros!$D$117,Parámetros!$D$100,0))),2))</f>
        <v>52.1</v>
      </c>
      <c r="AG259" s="66">
        <f t="shared" si="339"/>
        <v>52.1</v>
      </c>
      <c r="AH259" s="66">
        <f t="shared" si="340"/>
        <v>0</v>
      </c>
      <c r="AI259" s="66">
        <f t="shared" si="341"/>
        <v>0</v>
      </c>
      <c r="AJ259" s="66">
        <f>+IF($W259="","",ROUND((AG259*Parámetros!$G$85),2))</f>
        <v>1.82</v>
      </c>
      <c r="AK259" s="66">
        <f>+IF($W259="","",ROUND((AG259*(Parámetros!$G$86)),2))</f>
        <v>0.26</v>
      </c>
      <c r="AL259" s="66">
        <f t="shared" si="335"/>
        <v>54.18</v>
      </c>
      <c r="AM259" t="str">
        <f t="shared" si="383"/>
        <v>00059</v>
      </c>
      <c r="AN259" t="str">
        <f t="shared" si="384"/>
        <v>Incapacidad Total y Permanente</v>
      </c>
      <c r="AO259" s="118">
        <f t="shared" si="385"/>
        <v>0</v>
      </c>
      <c r="AP259" s="118" t="str">
        <f t="shared" si="386"/>
        <v>A</v>
      </c>
      <c r="AQ259" s="119" t="str">
        <f>+IF(OR($W259="",AO259=0),"",ROUND((VLOOKUP(ROUNDDOWN($D259-1/frec,0),cob_adi,Z$40,FALSE)*(1+i/frec)^-0.5*(1+Parámetros!$D$103)*(1+rec_fracc)/frec),6))</f>
        <v/>
      </c>
      <c r="AR259" s="66">
        <f t="shared" si="342"/>
        <v>0</v>
      </c>
      <c r="AS259" s="119" t="str">
        <f t="shared" si="343"/>
        <v/>
      </c>
      <c r="AT259" s="66">
        <f>+IF($W259="","",ROUND(IF($B259&gt;Parámetros!$D$107,'Tablas Servicio'!AR259+('Tablas Servicio'!AT258-'Tablas Servicio'!AR258),AR259/(1-IF(B259&lt;=10,Parámetros!$D$100,0))),2))</f>
        <v>0</v>
      </c>
      <c r="AU259" s="66">
        <f t="shared" si="344"/>
        <v>0</v>
      </c>
      <c r="AV259" s="66">
        <f t="shared" si="344"/>
        <v>0</v>
      </c>
      <c r="AW259" s="66">
        <f>+IF($W259="","",ROUND((AT259*Parámetros!$G$85),2))</f>
        <v>0</v>
      </c>
      <c r="AX259" s="66">
        <f>+IF($W259="","",ROUND((AT259*(Parámetros!$G$86)),2))</f>
        <v>0</v>
      </c>
      <c r="AY259" s="66">
        <f t="shared" si="345"/>
        <v>0</v>
      </c>
      <c r="AZ259" t="str">
        <f t="shared" si="387"/>
        <v>00060</v>
      </c>
      <c r="BA259" t="str">
        <f t="shared" si="388"/>
        <v>Muerte Accidental</v>
      </c>
      <c r="BB259" s="118">
        <f t="shared" si="389"/>
        <v>0</v>
      </c>
      <c r="BC259" s="118" t="str">
        <f t="shared" si="390"/>
        <v>A</v>
      </c>
      <c r="BD259" s="119" t="str">
        <f>+IF(OR($W259="",BB259=0),"",ROUND((VLOOKUP(ROUNDDOWN($D259-1/frec,0),cob_adi,AO$40,FALSE)*(1+i/frec)^-0.5*(1+Parámetros!$D$103)*(1+rec_fracc)/frec),6))</f>
        <v/>
      </c>
      <c r="BE259" s="66">
        <f t="shared" si="346"/>
        <v>0</v>
      </c>
      <c r="BF259" s="119" t="str">
        <f t="shared" si="347"/>
        <v/>
      </c>
      <c r="BG259" s="66">
        <f>+IF($W259="","",ROUND(IF($B259&gt;Parámetros!$D$107,'Tablas Servicio'!BE259+('Tablas Servicio'!BG258-'Tablas Servicio'!BE258),BE259/(1-IF(B259&lt;=10,Parámetros!$D$100,0))),2))</f>
        <v>0</v>
      </c>
      <c r="BH259" s="66">
        <f t="shared" si="348"/>
        <v>0</v>
      </c>
      <c r="BI259" s="66">
        <f t="shared" si="349"/>
        <v>0</v>
      </c>
      <c r="BJ259" s="66">
        <f>+IF($W259="","",ROUND((BG259*Parámetros!$G$85),2))</f>
        <v>0</v>
      </c>
      <c r="BK259" s="66">
        <f>+IF($W259="","",ROUND((BG259*(Parámetros!$G$86)),2))</f>
        <v>0</v>
      </c>
      <c r="BL259" s="66">
        <f t="shared" si="350"/>
        <v>0</v>
      </c>
      <c r="BM259" t="str">
        <f t="shared" si="391"/>
        <v>00061</v>
      </c>
      <c r="BN259" t="str">
        <f t="shared" si="392"/>
        <v>Gastos de Entierro</v>
      </c>
      <c r="BO259" s="118">
        <f t="shared" si="393"/>
        <v>0</v>
      </c>
      <c r="BP259" s="118" t="str">
        <f t="shared" si="394"/>
        <v>A</v>
      </c>
      <c r="BQ259" s="119" t="str">
        <f>+IF(OR($W259="",BO259=0),"",ROUND((VLOOKUP(ROUNDDOWN($D259-1/frec,0),cob_adi,BB$40,FALSE)*(1+i/frec)^-0.5*(1+Parámetros!$D$103)*(1+rec_fracc)/frec),6))</f>
        <v/>
      </c>
      <c r="BR259" s="66">
        <f t="shared" si="351"/>
        <v>0</v>
      </c>
      <c r="BS259" s="119" t="str">
        <f t="shared" si="352"/>
        <v/>
      </c>
      <c r="BT259" s="66">
        <f>+IF($W259="","",ROUND(IF($B259&gt;Parámetros!$D$107,'Tablas Servicio'!BR259+('Tablas Servicio'!BT258-'Tablas Servicio'!BR258),BR259/(1-IF(B259&lt;=10,Parámetros!$D$100,0))),2))</f>
        <v>0</v>
      </c>
      <c r="BU259" s="66">
        <f t="shared" si="353"/>
        <v>0</v>
      </c>
      <c r="BV259" s="66">
        <f t="shared" si="353"/>
        <v>0</v>
      </c>
      <c r="BW259" s="66">
        <f>+IF($W259="","",ROUND((BT259*Parámetros!$G$85),2))</f>
        <v>0</v>
      </c>
      <c r="BX259" s="66">
        <f>+IF($W259="","",ROUND((BT259*(Parámetros!$G$86)),2))</f>
        <v>0</v>
      </c>
      <c r="BY259" s="66">
        <f t="shared" si="354"/>
        <v>0</v>
      </c>
      <c r="BZ259" t="str">
        <f t="shared" si="395"/>
        <v>00062</v>
      </c>
      <c r="CA259" t="str">
        <f t="shared" si="396"/>
        <v>Gastos médicos por accidente</v>
      </c>
      <c r="CB259" s="118">
        <f t="shared" si="397"/>
        <v>0</v>
      </c>
      <c r="CC259" s="118" t="str">
        <f t="shared" si="398"/>
        <v>A</v>
      </c>
      <c r="CD259" s="119" t="str">
        <f t="shared" si="355"/>
        <v/>
      </c>
      <c r="CE259" s="66">
        <f>+IF($W259="","",ROUND((VLOOKUP(ROUNDDOWN($D259-1/frec,0),cob_adi,BO$40,FALSE)*(1+i/frec)^-0.5*(1+Parámetros!$D$103)*(1+rec_fracc)/frec*'TABLAS ADI'!$BC$17),2))</f>
        <v>0</v>
      </c>
      <c r="CF259" s="119" t="str">
        <f t="shared" si="356"/>
        <v/>
      </c>
      <c r="CG259" s="66">
        <f>+IF($W259="","",ROUND(IF($B259&gt;Parámetros!$D$107,'Tablas Servicio'!CE259+('Tablas Servicio'!CG258-'Tablas Servicio'!CE258),CE259/(1-IF(B259&lt;=10,Parámetros!$D$100,0))),2))</f>
        <v>0</v>
      </c>
      <c r="CH259" s="66">
        <f t="shared" si="357"/>
        <v>0</v>
      </c>
      <c r="CI259" s="66">
        <f t="shared" si="357"/>
        <v>0</v>
      </c>
      <c r="CJ259" s="66">
        <f>+IF($W259="","",ROUND((CG259*Parámetros!$G$85),2))</f>
        <v>0</v>
      </c>
      <c r="CK259" s="66">
        <f>+IF($W259="","",ROUND((CG259*(Parámetros!$G$86)),2))</f>
        <v>0</v>
      </c>
      <c r="CL259" s="66">
        <f t="shared" si="358"/>
        <v>0</v>
      </c>
      <c r="CM259" t="str">
        <f t="shared" si="399"/>
        <v>00063</v>
      </c>
      <c r="CN259" s="118" t="str">
        <f t="shared" si="400"/>
        <v>Renta Diaria por Hospitalización</v>
      </c>
      <c r="CO259" s="118">
        <f t="shared" si="401"/>
        <v>0</v>
      </c>
      <c r="CP259" s="118" t="str">
        <f t="shared" si="402"/>
        <v>A</v>
      </c>
      <c r="CQ259" s="119" t="str">
        <f t="shared" si="359"/>
        <v/>
      </c>
      <c r="CR259" s="66">
        <f>+IF($W259="","",ROUND((VLOOKUP(Parámetros!$F$51,'COBERTURAS ADICIONALES'!$S$4:$T$32,2,FALSE)*(1+i/frec)^-0.5*(1+Parámetros!$D$103)*(1+rec_fracc)/frec*$CO$42),2))</f>
        <v>0</v>
      </c>
      <c r="CS259" s="119" t="str">
        <f t="shared" si="360"/>
        <v/>
      </c>
      <c r="CT259" s="66">
        <f>+IF($W259="","",ROUND(IF($B259&gt;Parámetros!$D$107,'Tablas Servicio'!CR259+('Tablas Servicio'!CT258-'Tablas Servicio'!CR258),CR259/(1-IF(B259&lt;=10,Parámetros!$D$100,0))),2))</f>
        <v>0</v>
      </c>
      <c r="CU259" s="66">
        <f t="shared" si="361"/>
        <v>0</v>
      </c>
      <c r="CV259" s="66">
        <f t="shared" si="361"/>
        <v>0</v>
      </c>
      <c r="CW259" s="66">
        <f>+IF($W259="","",ROUND((CT259*Parámetros!$G$85),2))</f>
        <v>0</v>
      </c>
      <c r="CX259" s="66">
        <f>+IF($W259="","",ROUND((CT259*(Parámetros!$G$86)),2))</f>
        <v>0</v>
      </c>
      <c r="CY259" s="66">
        <f t="shared" si="362"/>
        <v>0</v>
      </c>
      <c r="CZ259" t="str">
        <f t="shared" si="403"/>
        <v>00064</v>
      </c>
      <c r="DA259" s="118" t="str">
        <f t="shared" si="404"/>
        <v>Enfermedades Graves</v>
      </c>
      <c r="DB259" s="118">
        <f t="shared" si="405"/>
        <v>0</v>
      </c>
      <c r="DC259" s="118" t="str">
        <f t="shared" si="406"/>
        <v>A</v>
      </c>
      <c r="DD259" s="121" t="str">
        <f>+IF(OR($W259="",DB259=0),"",ROUND((VLOOKUP(ROUNDDOWN($D259-1/frec,0),cob_adi,CO$40,FALSE)*(1+i/frec)^-0.5*(1+Parámetros!$D$103)*(1+rec_fracc)/frec),6))</f>
        <v/>
      </c>
      <c r="DE259" s="66">
        <f t="shared" si="363"/>
        <v>0</v>
      </c>
      <c r="DF259" s="119" t="str">
        <f t="shared" si="364"/>
        <v/>
      </c>
      <c r="DG259" s="66">
        <f>+IF($W259="","",ROUND(IF($B259&gt;Parámetros!$D$107,'Tablas Servicio'!DE259+('Tablas Servicio'!DG258-'Tablas Servicio'!DE258),DE259/(1-IF(B259&lt;=10,Parámetros!$D$100,0))),2))</f>
        <v>0</v>
      </c>
      <c r="DH259" s="66">
        <f t="shared" si="365"/>
        <v>0</v>
      </c>
      <c r="DI259" s="66">
        <f t="shared" si="365"/>
        <v>0</v>
      </c>
      <c r="DJ259" s="66">
        <f>+IF($W259="","",ROUND((DG259*Parámetros!$G$85),2))</f>
        <v>0</v>
      </c>
      <c r="DK259" s="66">
        <f>+IF($W259="","",ROUND((DG259*(Parámetros!$G$86)),2))</f>
        <v>0</v>
      </c>
      <c r="DL259" s="66">
        <f t="shared" si="366"/>
        <v>0</v>
      </c>
      <c r="DM259" t="str">
        <f t="shared" si="407"/>
        <v>00065</v>
      </c>
      <c r="DN259" s="118" t="str">
        <f t="shared" si="408"/>
        <v>Exención pago de primas</v>
      </c>
      <c r="DO259" s="118">
        <f t="shared" si="409"/>
        <v>0</v>
      </c>
      <c r="DP259" s="118" t="str">
        <f t="shared" si="410"/>
        <v>A</v>
      </c>
      <c r="DQ259" s="122" t="str">
        <f>+IF(OR($W259="",DO259=0),"",ROUND((VLOOKUP(ROUNDDOWN($D259-1/frec,0),cob_adi,DB$40,FALSE)*(1+i/frec)^-0.5*(1+Parámetros!$D$103)*(1+rec_fracc)/frec),6))</f>
        <v/>
      </c>
      <c r="DR259" s="66">
        <f t="shared" si="367"/>
        <v>0</v>
      </c>
      <c r="DS259" s="68" t="str">
        <f t="shared" si="368"/>
        <v/>
      </c>
      <c r="DT259" s="66">
        <f>+IF($W259="","",ROUND(IF($B259&gt;Parámetros!$D$107,'Tablas Servicio'!DR259+('Tablas Servicio'!DT258-'Tablas Servicio'!DR258),DR259/(1-IF(B259&lt;=10,Parámetros!$D$100,0))),2))</f>
        <v>0</v>
      </c>
      <c r="DU259" s="66">
        <f t="shared" si="369"/>
        <v>0</v>
      </c>
      <c r="DV259" s="66">
        <f t="shared" si="369"/>
        <v>0</v>
      </c>
      <c r="DW259" s="66">
        <f>+IF($W259="","",ROUND((DT259*Parámetros!$G$85),2))</f>
        <v>0</v>
      </c>
      <c r="DX259" s="66">
        <f>+IF($W259="","",ROUND((DT259*(Parámetros!$G$86)),2))</f>
        <v>0</v>
      </c>
      <c r="DY259" s="66">
        <f t="shared" si="370"/>
        <v>0</v>
      </c>
      <c r="DZ259" t="str">
        <f t="shared" si="411"/>
        <v>00066</v>
      </c>
      <c r="EA259" s="118" t="str">
        <f t="shared" si="411"/>
        <v>Enfermedad terminal</v>
      </c>
      <c r="EB259" s="118">
        <f>+IF($W259="","",ROUND(IF(Parámetros!$D$25='TABLAS MORT'!$V$33,EB258,Z259/2),0))</f>
        <v>50000</v>
      </c>
      <c r="EC259" s="118" t="str">
        <f t="shared" si="411"/>
        <v>A</v>
      </c>
      <c r="ED259" s="122">
        <f>+IF(OR($W259="",EB259=0),"",ROUND((VLOOKUP(ROUNDDOWN($D259-1/frec,0),cob_adi,DO$40,FALSE)*(1+i/frec)^-0.5*(1+Parámetros!$D$103)*(1+rec_fracc)/frec),6))</f>
        <v>2.6999999999999999E-5</v>
      </c>
      <c r="EE259" s="66">
        <f t="shared" si="372"/>
        <v>1.35</v>
      </c>
      <c r="EF259" s="68">
        <f t="shared" si="373"/>
        <v>2.6999999999999999E-5</v>
      </c>
      <c r="EG259" s="66">
        <f>+IF($W259="","",ROUND(IF($B259&gt;Parámetros!$D$107,'Tablas Servicio'!EE259+('Tablas Servicio'!EG258-'Tablas Servicio'!EE258),EE259/(1-IF(B259&lt;=10,Parámetros!$D$100,0))),2))</f>
        <v>1.35</v>
      </c>
      <c r="EH259" s="66">
        <f t="shared" si="374"/>
        <v>0</v>
      </c>
      <c r="EI259" s="66">
        <f t="shared" si="374"/>
        <v>0</v>
      </c>
      <c r="EJ259" s="66">
        <f>+IF($W259="","",ROUND((EG259*Parámetros!$G$85),2))</f>
        <v>0.05</v>
      </c>
      <c r="EK259" s="66">
        <f>+IF($W259="","",ROUND((EG259*(Parámetros!$G$86)),2))</f>
        <v>0.01</v>
      </c>
      <c r="EL259" s="66">
        <f t="shared" si="375"/>
        <v>1.41</v>
      </c>
    </row>
    <row r="260" spans="1:142" x14ac:dyDescent="0.25">
      <c r="A260">
        <f>+IF($C260="","",ROUND(VLOOKUP('Tablas Servicio'!B260,Parámetros!$H$100:$J$159,IF(Parámetros!$E$16="F",2,3),FALSE),2))</f>
        <v>150</v>
      </c>
      <c r="B260">
        <f t="shared" si="326"/>
        <v>19</v>
      </c>
      <c r="C260" s="57">
        <f>+IF(D260="","",'Tablas Servicio'!C259+1)</f>
        <v>219</v>
      </c>
      <c r="D260" s="56">
        <f>+IF(D259&lt;edadmaxtabla,D259+1/Parámetros!$E$25,"")</f>
        <v>58.270000000000522</v>
      </c>
      <c r="E260" s="57">
        <f t="shared" si="336"/>
        <v>58</v>
      </c>
      <c r="F260" s="59">
        <f t="shared" si="337"/>
        <v>100000</v>
      </c>
      <c r="G260" s="66">
        <f t="shared" si="327"/>
        <v>53.45</v>
      </c>
      <c r="H260" s="66">
        <f t="shared" si="328"/>
        <v>55.589999999999996</v>
      </c>
      <c r="I260" s="66">
        <f t="shared" si="376"/>
        <v>38.410000000000004</v>
      </c>
      <c r="J260" s="66">
        <f t="shared" si="329"/>
        <v>1.87</v>
      </c>
      <c r="K260" s="66">
        <f t="shared" si="330"/>
        <v>0.27</v>
      </c>
      <c r="L260" s="66">
        <f t="shared" si="331"/>
        <v>0</v>
      </c>
      <c r="M260" s="66">
        <f t="shared" si="332"/>
        <v>0</v>
      </c>
      <c r="N260" s="66">
        <f>+IF(C260="","",ROUND(Parámetros!$D$23,2))</f>
        <v>94</v>
      </c>
      <c r="O260" s="66">
        <f t="shared" si="333"/>
        <v>40.950000000000003</v>
      </c>
      <c r="P260" s="66">
        <f>+IF($C260="","",ROUND(IF(B260&gt;Parámetros!$D$117,0,N260*Parámetros!$D$116-G260*Parámetros!$D$100),2))</f>
        <v>0</v>
      </c>
      <c r="Q260" s="75">
        <f t="shared" si="377"/>
        <v>3.498596819457437E-2</v>
      </c>
      <c r="R260" s="75">
        <f t="shared" si="378"/>
        <v>5.0514499532273152E-3</v>
      </c>
      <c r="S260" s="117">
        <f>+IF($C260="","",ROUND((S259+I260)*(1+Parámetros!$D$91),2))</f>
        <v>16018.17</v>
      </c>
      <c r="T260" s="117">
        <f>+IF($C260="","",ROUND(S260*VLOOKUP(B260,Parámetros!$C$30:$D$39,2,TRUE),2))</f>
        <v>16018.17</v>
      </c>
      <c r="U260" s="117">
        <f>+IF($C260="","",ROUND((U259+I260)*(1+Parámetros!$D$92),2))</f>
        <v>16864.41</v>
      </c>
      <c r="V260" s="117">
        <f>+IF($C260="","",ROUND(U260*VLOOKUP(B260,Parámetros!$C$30:$D$39,2,TRUE),2))</f>
        <v>16864.41</v>
      </c>
      <c r="W260" s="57">
        <f t="shared" si="379"/>
        <v>219</v>
      </c>
      <c r="X260" t="str">
        <f t="shared" si="380"/>
        <v>00058</v>
      </c>
      <c r="Y260" t="str">
        <f t="shared" si="381"/>
        <v>MUERTE POR CUALQUIER CAUSA</v>
      </c>
      <c r="Z260" s="118">
        <f>+IF($W260="","",ROUND(IF(Parámetros!$D$25='TABLAS MORT'!$V$33,Z259,Parámetros!$D$21-'Tablas Servicio'!T259),0))</f>
        <v>100000</v>
      </c>
      <c r="AA260" s="118" t="str">
        <f t="shared" si="382"/>
        <v>P</v>
      </c>
      <c r="AB260" s="119">
        <f>+IF(W260="","",ROUND((VLOOKUP(ROUNDDOWN($D260-1/frec,0),qx_tabla,2,FALSE)*(1+i/frec)^-0.5*(1+Parámetros!$D$103)*(1+rec_fracc)/frec),6))</f>
        <v>3.9599999999999998E-4</v>
      </c>
      <c r="AC260" s="66">
        <f t="shared" si="338"/>
        <v>39.6</v>
      </c>
      <c r="AD260" s="119">
        <f t="shared" si="334"/>
        <v>5.2099999999999998E-4</v>
      </c>
      <c r="AE260" s="66">
        <f>+IF($W260="","",ROUND(IF($B260&gt;Parámetros!$D$107,'Tablas Servicio'!AC260+('Tablas Servicio'!AG259-'Tablas Servicio'!AC259),AC260/(1-IF(B260&lt;=10,Parámetros!$D$104,Parámetros!$D$105))),2))</f>
        <v>66</v>
      </c>
      <c r="AF260" s="66">
        <f>+IF($W260="","",ROUND(IF($B260&gt;Parámetros!$D$107,'Tablas Servicio'!AC260+('Tablas Servicio'!AG259-'Tablas Servicio'!AC259),(AC260+$A259/frec)/(1-IF(B260&lt;=Parámetros!$D$117,Parámetros!$D$100,0))),2))</f>
        <v>52.1</v>
      </c>
      <c r="AG260" s="66">
        <f t="shared" si="339"/>
        <v>52.1</v>
      </c>
      <c r="AH260" s="66">
        <f t="shared" si="340"/>
        <v>0</v>
      </c>
      <c r="AI260" s="66">
        <f t="shared" si="341"/>
        <v>0</v>
      </c>
      <c r="AJ260" s="66">
        <f>+IF($W260="","",ROUND((AG260*Parámetros!$G$85),2))</f>
        <v>1.82</v>
      </c>
      <c r="AK260" s="66">
        <f>+IF($W260="","",ROUND((AG260*(Parámetros!$G$86)),2))</f>
        <v>0.26</v>
      </c>
      <c r="AL260" s="66">
        <f t="shared" si="335"/>
        <v>54.18</v>
      </c>
      <c r="AM260" t="str">
        <f t="shared" si="383"/>
        <v>00059</v>
      </c>
      <c r="AN260" t="str">
        <f t="shared" si="384"/>
        <v>Incapacidad Total y Permanente</v>
      </c>
      <c r="AO260" s="118">
        <f t="shared" si="385"/>
        <v>0</v>
      </c>
      <c r="AP260" s="118" t="str">
        <f t="shared" si="386"/>
        <v>A</v>
      </c>
      <c r="AQ260" s="119" t="str">
        <f>+IF(OR($W260="",AO260=0),"",ROUND((VLOOKUP(ROUNDDOWN($D260-1/frec,0),cob_adi,Z$40,FALSE)*(1+i/frec)^-0.5*(1+Parámetros!$D$103)*(1+rec_fracc)/frec),6))</f>
        <v/>
      </c>
      <c r="AR260" s="66">
        <f t="shared" si="342"/>
        <v>0</v>
      </c>
      <c r="AS260" s="119" t="str">
        <f t="shared" si="343"/>
        <v/>
      </c>
      <c r="AT260" s="66">
        <f>+IF($W260="","",ROUND(IF($B260&gt;Parámetros!$D$107,'Tablas Servicio'!AR260+('Tablas Servicio'!AT259-'Tablas Servicio'!AR259),AR260/(1-IF(B260&lt;=10,Parámetros!$D$100,0))),2))</f>
        <v>0</v>
      </c>
      <c r="AU260" s="66">
        <f t="shared" si="344"/>
        <v>0</v>
      </c>
      <c r="AV260" s="66">
        <f t="shared" si="344"/>
        <v>0</v>
      </c>
      <c r="AW260" s="66">
        <f>+IF($W260="","",ROUND((AT260*Parámetros!$G$85),2))</f>
        <v>0</v>
      </c>
      <c r="AX260" s="66">
        <f>+IF($W260="","",ROUND((AT260*(Parámetros!$G$86)),2))</f>
        <v>0</v>
      </c>
      <c r="AY260" s="66">
        <f t="shared" si="345"/>
        <v>0</v>
      </c>
      <c r="AZ260" t="str">
        <f t="shared" si="387"/>
        <v>00060</v>
      </c>
      <c r="BA260" t="str">
        <f t="shared" si="388"/>
        <v>Muerte Accidental</v>
      </c>
      <c r="BB260" s="118">
        <f t="shared" si="389"/>
        <v>0</v>
      </c>
      <c r="BC260" s="118" t="str">
        <f t="shared" si="390"/>
        <v>A</v>
      </c>
      <c r="BD260" s="119" t="str">
        <f>+IF(OR($W260="",BB260=0),"",ROUND((VLOOKUP(ROUNDDOWN($D260-1/frec,0),cob_adi,AO$40,FALSE)*(1+i/frec)^-0.5*(1+Parámetros!$D$103)*(1+rec_fracc)/frec),6))</f>
        <v/>
      </c>
      <c r="BE260" s="66">
        <f t="shared" si="346"/>
        <v>0</v>
      </c>
      <c r="BF260" s="119" t="str">
        <f t="shared" si="347"/>
        <v/>
      </c>
      <c r="BG260" s="66">
        <f>+IF($W260="","",ROUND(IF($B260&gt;Parámetros!$D$107,'Tablas Servicio'!BE260+('Tablas Servicio'!BG259-'Tablas Servicio'!BE259),BE260/(1-IF(B260&lt;=10,Parámetros!$D$100,0))),2))</f>
        <v>0</v>
      </c>
      <c r="BH260" s="66">
        <f t="shared" si="348"/>
        <v>0</v>
      </c>
      <c r="BI260" s="66">
        <f t="shared" si="349"/>
        <v>0</v>
      </c>
      <c r="BJ260" s="66">
        <f>+IF($W260="","",ROUND((BG260*Parámetros!$G$85),2))</f>
        <v>0</v>
      </c>
      <c r="BK260" s="66">
        <f>+IF($W260="","",ROUND((BG260*(Parámetros!$G$86)),2))</f>
        <v>0</v>
      </c>
      <c r="BL260" s="66">
        <f t="shared" si="350"/>
        <v>0</v>
      </c>
      <c r="BM260" t="str">
        <f t="shared" si="391"/>
        <v>00061</v>
      </c>
      <c r="BN260" t="str">
        <f t="shared" si="392"/>
        <v>Gastos de Entierro</v>
      </c>
      <c r="BO260" s="118">
        <f t="shared" si="393"/>
        <v>0</v>
      </c>
      <c r="BP260" s="118" t="str">
        <f t="shared" si="394"/>
        <v>A</v>
      </c>
      <c r="BQ260" s="119" t="str">
        <f>+IF(OR($W260="",BO260=0),"",ROUND((VLOOKUP(ROUNDDOWN($D260-1/frec,0),cob_adi,BB$40,FALSE)*(1+i/frec)^-0.5*(1+Parámetros!$D$103)*(1+rec_fracc)/frec),6))</f>
        <v/>
      </c>
      <c r="BR260" s="66">
        <f t="shared" si="351"/>
        <v>0</v>
      </c>
      <c r="BS260" s="119" t="str">
        <f t="shared" si="352"/>
        <v/>
      </c>
      <c r="BT260" s="66">
        <f>+IF($W260="","",ROUND(IF($B260&gt;Parámetros!$D$107,'Tablas Servicio'!BR260+('Tablas Servicio'!BT259-'Tablas Servicio'!BR259),BR260/(1-IF(B260&lt;=10,Parámetros!$D$100,0))),2))</f>
        <v>0</v>
      </c>
      <c r="BU260" s="66">
        <f t="shared" si="353"/>
        <v>0</v>
      </c>
      <c r="BV260" s="66">
        <f t="shared" si="353"/>
        <v>0</v>
      </c>
      <c r="BW260" s="66">
        <f>+IF($W260="","",ROUND((BT260*Parámetros!$G$85),2))</f>
        <v>0</v>
      </c>
      <c r="BX260" s="66">
        <f>+IF($W260="","",ROUND((BT260*(Parámetros!$G$86)),2))</f>
        <v>0</v>
      </c>
      <c r="BY260" s="66">
        <f t="shared" si="354"/>
        <v>0</v>
      </c>
      <c r="BZ260" t="str">
        <f t="shared" si="395"/>
        <v>00062</v>
      </c>
      <c r="CA260" t="str">
        <f t="shared" si="396"/>
        <v>Gastos médicos por accidente</v>
      </c>
      <c r="CB260" s="118">
        <f t="shared" si="397"/>
        <v>0</v>
      </c>
      <c r="CC260" s="118" t="str">
        <f t="shared" si="398"/>
        <v>A</v>
      </c>
      <c r="CD260" s="119" t="str">
        <f t="shared" si="355"/>
        <v/>
      </c>
      <c r="CE260" s="66">
        <f>+IF($W260="","",ROUND((VLOOKUP(ROUNDDOWN($D260-1/frec,0),cob_adi,BO$40,FALSE)*(1+i/frec)^-0.5*(1+Parámetros!$D$103)*(1+rec_fracc)/frec*'TABLAS ADI'!$BC$17),2))</f>
        <v>0</v>
      </c>
      <c r="CF260" s="119" t="str">
        <f t="shared" si="356"/>
        <v/>
      </c>
      <c r="CG260" s="66">
        <f>+IF($W260="","",ROUND(IF($B260&gt;Parámetros!$D$107,'Tablas Servicio'!CE260+('Tablas Servicio'!CG259-'Tablas Servicio'!CE259),CE260/(1-IF(B260&lt;=10,Parámetros!$D$100,0))),2))</f>
        <v>0</v>
      </c>
      <c r="CH260" s="66">
        <f t="shared" si="357"/>
        <v>0</v>
      </c>
      <c r="CI260" s="66">
        <f t="shared" si="357"/>
        <v>0</v>
      </c>
      <c r="CJ260" s="66">
        <f>+IF($W260="","",ROUND((CG260*Parámetros!$G$85),2))</f>
        <v>0</v>
      </c>
      <c r="CK260" s="66">
        <f>+IF($W260="","",ROUND((CG260*(Parámetros!$G$86)),2))</f>
        <v>0</v>
      </c>
      <c r="CL260" s="66">
        <f t="shared" si="358"/>
        <v>0</v>
      </c>
      <c r="CM260" t="str">
        <f t="shared" si="399"/>
        <v>00063</v>
      </c>
      <c r="CN260" s="118" t="str">
        <f t="shared" si="400"/>
        <v>Renta Diaria por Hospitalización</v>
      </c>
      <c r="CO260" s="118">
        <f t="shared" si="401"/>
        <v>0</v>
      </c>
      <c r="CP260" s="118" t="str">
        <f t="shared" si="402"/>
        <v>A</v>
      </c>
      <c r="CQ260" s="119" t="str">
        <f t="shared" si="359"/>
        <v/>
      </c>
      <c r="CR260" s="66">
        <f>+IF($W260="","",ROUND((VLOOKUP(Parámetros!$F$51,'COBERTURAS ADICIONALES'!$S$4:$T$32,2,FALSE)*(1+i/frec)^-0.5*(1+Parámetros!$D$103)*(1+rec_fracc)/frec*$CO$42),2))</f>
        <v>0</v>
      </c>
      <c r="CS260" s="119" t="str">
        <f t="shared" si="360"/>
        <v/>
      </c>
      <c r="CT260" s="66">
        <f>+IF($W260="","",ROUND(IF($B260&gt;Parámetros!$D$107,'Tablas Servicio'!CR260+('Tablas Servicio'!CT259-'Tablas Servicio'!CR259),CR260/(1-IF(B260&lt;=10,Parámetros!$D$100,0))),2))</f>
        <v>0</v>
      </c>
      <c r="CU260" s="66">
        <f t="shared" si="361"/>
        <v>0</v>
      </c>
      <c r="CV260" s="66">
        <f t="shared" si="361"/>
        <v>0</v>
      </c>
      <c r="CW260" s="66">
        <f>+IF($W260="","",ROUND((CT260*Parámetros!$G$85),2))</f>
        <v>0</v>
      </c>
      <c r="CX260" s="66">
        <f>+IF($W260="","",ROUND((CT260*(Parámetros!$G$86)),2))</f>
        <v>0</v>
      </c>
      <c r="CY260" s="66">
        <f t="shared" si="362"/>
        <v>0</v>
      </c>
      <c r="CZ260" t="str">
        <f t="shared" si="403"/>
        <v>00064</v>
      </c>
      <c r="DA260" s="118" t="str">
        <f t="shared" si="404"/>
        <v>Enfermedades Graves</v>
      </c>
      <c r="DB260" s="118">
        <f t="shared" si="405"/>
        <v>0</v>
      </c>
      <c r="DC260" s="118" t="str">
        <f t="shared" si="406"/>
        <v>A</v>
      </c>
      <c r="DD260" s="121" t="str">
        <f>+IF(OR($W260="",DB260=0),"",ROUND((VLOOKUP(ROUNDDOWN($D260-1/frec,0),cob_adi,CO$40,FALSE)*(1+i/frec)^-0.5*(1+Parámetros!$D$103)*(1+rec_fracc)/frec),6))</f>
        <v/>
      </c>
      <c r="DE260" s="66">
        <f t="shared" si="363"/>
        <v>0</v>
      </c>
      <c r="DF260" s="119" t="str">
        <f t="shared" si="364"/>
        <v/>
      </c>
      <c r="DG260" s="66">
        <f>+IF($W260="","",ROUND(IF($B260&gt;Parámetros!$D$107,'Tablas Servicio'!DE260+('Tablas Servicio'!DG259-'Tablas Servicio'!DE259),DE260/(1-IF(B260&lt;=10,Parámetros!$D$100,0))),2))</f>
        <v>0</v>
      </c>
      <c r="DH260" s="66">
        <f t="shared" si="365"/>
        <v>0</v>
      </c>
      <c r="DI260" s="66">
        <f t="shared" si="365"/>
        <v>0</v>
      </c>
      <c r="DJ260" s="66">
        <f>+IF($W260="","",ROUND((DG260*Parámetros!$G$85),2))</f>
        <v>0</v>
      </c>
      <c r="DK260" s="66">
        <f>+IF($W260="","",ROUND((DG260*(Parámetros!$G$86)),2))</f>
        <v>0</v>
      </c>
      <c r="DL260" s="66">
        <f t="shared" si="366"/>
        <v>0</v>
      </c>
      <c r="DM260" t="str">
        <f t="shared" si="407"/>
        <v>00065</v>
      </c>
      <c r="DN260" s="118" t="str">
        <f t="shared" si="408"/>
        <v>Exención pago de primas</v>
      </c>
      <c r="DO260" s="118">
        <f t="shared" si="409"/>
        <v>0</v>
      </c>
      <c r="DP260" s="118" t="str">
        <f t="shared" si="410"/>
        <v>A</v>
      </c>
      <c r="DQ260" s="122" t="str">
        <f>+IF(OR($W260="",DO260=0),"",ROUND((VLOOKUP(ROUNDDOWN($D260-1/frec,0),cob_adi,DB$40,FALSE)*(1+i/frec)^-0.5*(1+Parámetros!$D$103)*(1+rec_fracc)/frec),6))</f>
        <v/>
      </c>
      <c r="DR260" s="66">
        <f t="shared" si="367"/>
        <v>0</v>
      </c>
      <c r="DS260" s="68" t="str">
        <f t="shared" si="368"/>
        <v/>
      </c>
      <c r="DT260" s="66">
        <f>+IF($W260="","",ROUND(IF($B260&gt;Parámetros!$D$107,'Tablas Servicio'!DR260+('Tablas Servicio'!DT259-'Tablas Servicio'!DR259),DR260/(1-IF(B260&lt;=10,Parámetros!$D$100,0))),2))</f>
        <v>0</v>
      </c>
      <c r="DU260" s="66">
        <f t="shared" si="369"/>
        <v>0</v>
      </c>
      <c r="DV260" s="66">
        <f t="shared" si="369"/>
        <v>0</v>
      </c>
      <c r="DW260" s="66">
        <f>+IF($W260="","",ROUND((DT260*Parámetros!$G$85),2))</f>
        <v>0</v>
      </c>
      <c r="DX260" s="66">
        <f>+IF($W260="","",ROUND((DT260*(Parámetros!$G$86)),2))</f>
        <v>0</v>
      </c>
      <c r="DY260" s="66">
        <f t="shared" si="370"/>
        <v>0</v>
      </c>
      <c r="DZ260" t="str">
        <f t="shared" si="411"/>
        <v>00066</v>
      </c>
      <c r="EA260" s="118" t="str">
        <f t="shared" si="411"/>
        <v>Enfermedad terminal</v>
      </c>
      <c r="EB260" s="118">
        <f>+IF($W260="","",ROUND(IF(Parámetros!$D$25='TABLAS MORT'!$V$33,EB259,Z260/2),0))</f>
        <v>50000</v>
      </c>
      <c r="EC260" s="118" t="str">
        <f t="shared" si="411"/>
        <v>A</v>
      </c>
      <c r="ED260" s="122">
        <f>+IF(OR($W260="",EB260=0),"",ROUND((VLOOKUP(ROUNDDOWN($D260-1/frec,0),cob_adi,DO$40,FALSE)*(1+i/frec)^-0.5*(1+Parámetros!$D$103)*(1+rec_fracc)/frec),6))</f>
        <v>2.6999999999999999E-5</v>
      </c>
      <c r="EE260" s="66">
        <f t="shared" si="372"/>
        <v>1.35</v>
      </c>
      <c r="EF260" s="68">
        <f t="shared" si="373"/>
        <v>2.6999999999999999E-5</v>
      </c>
      <c r="EG260" s="66">
        <f>+IF($W260="","",ROUND(IF($B260&gt;Parámetros!$D$107,'Tablas Servicio'!EE260+('Tablas Servicio'!EG259-'Tablas Servicio'!EE259),EE260/(1-IF(B260&lt;=10,Parámetros!$D$100,0))),2))</f>
        <v>1.35</v>
      </c>
      <c r="EH260" s="66">
        <f t="shared" si="374"/>
        <v>0</v>
      </c>
      <c r="EI260" s="66">
        <f t="shared" si="374"/>
        <v>0</v>
      </c>
      <c r="EJ260" s="66">
        <f>+IF($W260="","",ROUND((EG260*Parámetros!$G$85),2))</f>
        <v>0.05</v>
      </c>
      <c r="EK260" s="66">
        <f>+IF($W260="","",ROUND((EG260*(Parámetros!$G$86)),2))</f>
        <v>0.01</v>
      </c>
      <c r="EL260" s="66">
        <f t="shared" si="375"/>
        <v>1.41</v>
      </c>
    </row>
    <row r="261" spans="1:142" x14ac:dyDescent="0.25">
      <c r="A261">
        <f>+IF($C261="","",ROUND(VLOOKUP('Tablas Servicio'!B261,Parámetros!$H$100:$J$159,IF(Parámetros!$E$16="F",2,3),FALSE),2))</f>
        <v>150</v>
      </c>
      <c r="B261">
        <f t="shared" si="326"/>
        <v>19</v>
      </c>
      <c r="C261" s="57">
        <f>+IF(D261="","",'Tablas Servicio'!C260+1)</f>
        <v>220</v>
      </c>
      <c r="D261" s="56">
        <f>+IF(D260&lt;edadmaxtabla,D260+1/Parámetros!$E$25,"")</f>
        <v>58.353333333333858</v>
      </c>
      <c r="E261" s="57">
        <f t="shared" si="336"/>
        <v>58</v>
      </c>
      <c r="F261" s="59">
        <f t="shared" si="337"/>
        <v>100000</v>
      </c>
      <c r="G261" s="66">
        <f t="shared" si="327"/>
        <v>53.45</v>
      </c>
      <c r="H261" s="66">
        <f t="shared" si="328"/>
        <v>55.589999999999996</v>
      </c>
      <c r="I261" s="66">
        <f t="shared" si="376"/>
        <v>38.410000000000004</v>
      </c>
      <c r="J261" s="66">
        <f t="shared" si="329"/>
        <v>1.87</v>
      </c>
      <c r="K261" s="66">
        <f t="shared" si="330"/>
        <v>0.27</v>
      </c>
      <c r="L261" s="66">
        <f t="shared" si="331"/>
        <v>0</v>
      </c>
      <c r="M261" s="66">
        <f t="shared" si="332"/>
        <v>0</v>
      </c>
      <c r="N261" s="66">
        <f>+IF(C261="","",ROUND(Parámetros!$D$23,2))</f>
        <v>94</v>
      </c>
      <c r="O261" s="66">
        <f t="shared" si="333"/>
        <v>40.950000000000003</v>
      </c>
      <c r="P261" s="66">
        <f>+IF($C261="","",ROUND(IF(B261&gt;Parámetros!$D$117,0,N261*Parámetros!$D$116-G261*Parámetros!$D$100),2))</f>
        <v>0</v>
      </c>
      <c r="Q261" s="75">
        <f t="shared" si="377"/>
        <v>3.498596819457437E-2</v>
      </c>
      <c r="R261" s="75">
        <f t="shared" si="378"/>
        <v>5.0514499532273152E-3</v>
      </c>
      <c r="S261" s="117">
        <f>+IF($C261="","",ROUND((S260+I261)*(1+Parámetros!$D$91),2))</f>
        <v>16102.12</v>
      </c>
      <c r="T261" s="117">
        <f>+IF($C261="","",ROUND(S261*VLOOKUP(B261,Parámetros!$C$30:$D$39,2,TRUE),2))</f>
        <v>16102.12</v>
      </c>
      <c r="U261" s="117">
        <f>+IF($C261="","",ROUND((U260+I261)*(1+Parámetros!$D$92),2))</f>
        <v>16957.61</v>
      </c>
      <c r="V261" s="117">
        <f>+IF($C261="","",ROUND(U261*VLOOKUP(B261,Parámetros!$C$30:$D$39,2,TRUE),2))</f>
        <v>16957.61</v>
      </c>
      <c r="W261" s="57">
        <f t="shared" si="379"/>
        <v>220</v>
      </c>
      <c r="X261" t="str">
        <f t="shared" si="380"/>
        <v>00058</v>
      </c>
      <c r="Y261" t="str">
        <f t="shared" si="381"/>
        <v>MUERTE POR CUALQUIER CAUSA</v>
      </c>
      <c r="Z261" s="118">
        <f>+IF($W261="","",ROUND(IF(Parámetros!$D$25='TABLAS MORT'!$V$33,Z260,Parámetros!$D$21-'Tablas Servicio'!T260),0))</f>
        <v>100000</v>
      </c>
      <c r="AA261" s="118" t="str">
        <f t="shared" si="382"/>
        <v>P</v>
      </c>
      <c r="AB261" s="119">
        <f>+IF(W261="","",ROUND((VLOOKUP(ROUNDDOWN($D261-1/frec,0),qx_tabla,2,FALSE)*(1+i/frec)^-0.5*(1+Parámetros!$D$103)*(1+rec_fracc)/frec),6))</f>
        <v>3.9599999999999998E-4</v>
      </c>
      <c r="AC261" s="66">
        <f t="shared" si="338"/>
        <v>39.6</v>
      </c>
      <c r="AD261" s="119">
        <f t="shared" si="334"/>
        <v>5.2099999999999998E-4</v>
      </c>
      <c r="AE261" s="66">
        <f>+IF($W261="","",ROUND(IF($B261&gt;Parámetros!$D$107,'Tablas Servicio'!AC261+('Tablas Servicio'!AG260-'Tablas Servicio'!AC260),AC261/(1-IF(B261&lt;=10,Parámetros!$D$104,Parámetros!$D$105))),2))</f>
        <v>66</v>
      </c>
      <c r="AF261" s="66">
        <f>+IF($W261="","",ROUND(IF($B261&gt;Parámetros!$D$107,'Tablas Servicio'!AC261+('Tablas Servicio'!AG260-'Tablas Servicio'!AC260),(AC261+$A260/frec)/(1-IF(B261&lt;=Parámetros!$D$117,Parámetros!$D$100,0))),2))</f>
        <v>52.1</v>
      </c>
      <c r="AG261" s="66">
        <f t="shared" si="339"/>
        <v>52.1</v>
      </c>
      <c r="AH261" s="66">
        <f t="shared" si="340"/>
        <v>0</v>
      </c>
      <c r="AI261" s="66">
        <f t="shared" si="341"/>
        <v>0</v>
      </c>
      <c r="AJ261" s="66">
        <f>+IF($W261="","",ROUND((AG261*Parámetros!$G$85),2))</f>
        <v>1.82</v>
      </c>
      <c r="AK261" s="66">
        <f>+IF($W261="","",ROUND((AG261*(Parámetros!$G$86)),2))</f>
        <v>0.26</v>
      </c>
      <c r="AL261" s="66">
        <f t="shared" si="335"/>
        <v>54.18</v>
      </c>
      <c r="AM261" t="str">
        <f t="shared" si="383"/>
        <v>00059</v>
      </c>
      <c r="AN261" t="str">
        <f t="shared" si="384"/>
        <v>Incapacidad Total y Permanente</v>
      </c>
      <c r="AO261" s="118">
        <f t="shared" si="385"/>
        <v>0</v>
      </c>
      <c r="AP261" s="118" t="str">
        <f t="shared" si="386"/>
        <v>A</v>
      </c>
      <c r="AQ261" s="119" t="str">
        <f>+IF(OR($W261="",AO261=0),"",ROUND((VLOOKUP(ROUNDDOWN($D261-1/frec,0),cob_adi,Z$40,FALSE)*(1+i/frec)^-0.5*(1+Parámetros!$D$103)*(1+rec_fracc)/frec),6))</f>
        <v/>
      </c>
      <c r="AR261" s="66">
        <f t="shared" si="342"/>
        <v>0</v>
      </c>
      <c r="AS261" s="119" t="str">
        <f t="shared" si="343"/>
        <v/>
      </c>
      <c r="AT261" s="66">
        <f>+IF($W261="","",ROUND(IF($B261&gt;Parámetros!$D$107,'Tablas Servicio'!AR261+('Tablas Servicio'!AT260-'Tablas Servicio'!AR260),AR261/(1-IF(B261&lt;=10,Parámetros!$D$100,0))),2))</f>
        <v>0</v>
      </c>
      <c r="AU261" s="66">
        <f t="shared" si="344"/>
        <v>0</v>
      </c>
      <c r="AV261" s="66">
        <f t="shared" si="344"/>
        <v>0</v>
      </c>
      <c r="AW261" s="66">
        <f>+IF($W261="","",ROUND((AT261*Parámetros!$G$85),2))</f>
        <v>0</v>
      </c>
      <c r="AX261" s="66">
        <f>+IF($W261="","",ROUND((AT261*(Parámetros!$G$86)),2))</f>
        <v>0</v>
      </c>
      <c r="AY261" s="66">
        <f t="shared" si="345"/>
        <v>0</v>
      </c>
      <c r="AZ261" t="str">
        <f t="shared" si="387"/>
        <v>00060</v>
      </c>
      <c r="BA261" t="str">
        <f t="shared" si="388"/>
        <v>Muerte Accidental</v>
      </c>
      <c r="BB261" s="118">
        <f t="shared" si="389"/>
        <v>0</v>
      </c>
      <c r="BC261" s="118" t="str">
        <f t="shared" si="390"/>
        <v>A</v>
      </c>
      <c r="BD261" s="119" t="str">
        <f>+IF(OR($W261="",BB261=0),"",ROUND((VLOOKUP(ROUNDDOWN($D261-1/frec,0),cob_adi,AO$40,FALSE)*(1+i/frec)^-0.5*(1+Parámetros!$D$103)*(1+rec_fracc)/frec),6))</f>
        <v/>
      </c>
      <c r="BE261" s="66">
        <f t="shared" si="346"/>
        <v>0</v>
      </c>
      <c r="BF261" s="119" t="str">
        <f t="shared" si="347"/>
        <v/>
      </c>
      <c r="BG261" s="66">
        <f>+IF($W261="","",ROUND(IF($B261&gt;Parámetros!$D$107,'Tablas Servicio'!BE261+('Tablas Servicio'!BG260-'Tablas Servicio'!BE260),BE261/(1-IF(B261&lt;=10,Parámetros!$D$100,0))),2))</f>
        <v>0</v>
      </c>
      <c r="BH261" s="66">
        <f t="shared" si="348"/>
        <v>0</v>
      </c>
      <c r="BI261" s="66">
        <f t="shared" si="349"/>
        <v>0</v>
      </c>
      <c r="BJ261" s="66">
        <f>+IF($W261="","",ROUND((BG261*Parámetros!$G$85),2))</f>
        <v>0</v>
      </c>
      <c r="BK261" s="66">
        <f>+IF($W261="","",ROUND((BG261*(Parámetros!$G$86)),2))</f>
        <v>0</v>
      </c>
      <c r="BL261" s="66">
        <f t="shared" si="350"/>
        <v>0</v>
      </c>
      <c r="BM261" t="str">
        <f t="shared" si="391"/>
        <v>00061</v>
      </c>
      <c r="BN261" t="str">
        <f t="shared" si="392"/>
        <v>Gastos de Entierro</v>
      </c>
      <c r="BO261" s="118">
        <f t="shared" si="393"/>
        <v>0</v>
      </c>
      <c r="BP261" s="118" t="str">
        <f t="shared" si="394"/>
        <v>A</v>
      </c>
      <c r="BQ261" s="119" t="str">
        <f>+IF(OR($W261="",BO261=0),"",ROUND((VLOOKUP(ROUNDDOWN($D261-1/frec,0),cob_adi,BB$40,FALSE)*(1+i/frec)^-0.5*(1+Parámetros!$D$103)*(1+rec_fracc)/frec),6))</f>
        <v/>
      </c>
      <c r="BR261" s="66">
        <f t="shared" si="351"/>
        <v>0</v>
      </c>
      <c r="BS261" s="119" t="str">
        <f t="shared" si="352"/>
        <v/>
      </c>
      <c r="BT261" s="66">
        <f>+IF($W261="","",ROUND(IF($B261&gt;Parámetros!$D$107,'Tablas Servicio'!BR261+('Tablas Servicio'!BT260-'Tablas Servicio'!BR260),BR261/(1-IF(B261&lt;=10,Parámetros!$D$100,0))),2))</f>
        <v>0</v>
      </c>
      <c r="BU261" s="66">
        <f t="shared" si="353"/>
        <v>0</v>
      </c>
      <c r="BV261" s="66">
        <f t="shared" si="353"/>
        <v>0</v>
      </c>
      <c r="BW261" s="66">
        <f>+IF($W261="","",ROUND((BT261*Parámetros!$G$85),2))</f>
        <v>0</v>
      </c>
      <c r="BX261" s="66">
        <f>+IF($W261="","",ROUND((BT261*(Parámetros!$G$86)),2))</f>
        <v>0</v>
      </c>
      <c r="BY261" s="66">
        <f t="shared" si="354"/>
        <v>0</v>
      </c>
      <c r="BZ261" t="str">
        <f t="shared" si="395"/>
        <v>00062</v>
      </c>
      <c r="CA261" t="str">
        <f t="shared" si="396"/>
        <v>Gastos médicos por accidente</v>
      </c>
      <c r="CB261" s="118">
        <f t="shared" si="397"/>
        <v>0</v>
      </c>
      <c r="CC261" s="118" t="str">
        <f t="shared" si="398"/>
        <v>A</v>
      </c>
      <c r="CD261" s="119" t="str">
        <f t="shared" si="355"/>
        <v/>
      </c>
      <c r="CE261" s="66">
        <f>+IF($W261="","",ROUND((VLOOKUP(ROUNDDOWN($D261-1/frec,0),cob_adi,BO$40,FALSE)*(1+i/frec)^-0.5*(1+Parámetros!$D$103)*(1+rec_fracc)/frec*'TABLAS ADI'!$BC$17),2))</f>
        <v>0</v>
      </c>
      <c r="CF261" s="119" t="str">
        <f t="shared" si="356"/>
        <v/>
      </c>
      <c r="CG261" s="66">
        <f>+IF($W261="","",ROUND(IF($B261&gt;Parámetros!$D$107,'Tablas Servicio'!CE261+('Tablas Servicio'!CG260-'Tablas Servicio'!CE260),CE261/(1-IF(B261&lt;=10,Parámetros!$D$100,0))),2))</f>
        <v>0</v>
      </c>
      <c r="CH261" s="66">
        <f t="shared" si="357"/>
        <v>0</v>
      </c>
      <c r="CI261" s="66">
        <f t="shared" si="357"/>
        <v>0</v>
      </c>
      <c r="CJ261" s="66">
        <f>+IF($W261="","",ROUND((CG261*Parámetros!$G$85),2))</f>
        <v>0</v>
      </c>
      <c r="CK261" s="66">
        <f>+IF($W261="","",ROUND((CG261*(Parámetros!$G$86)),2))</f>
        <v>0</v>
      </c>
      <c r="CL261" s="66">
        <f t="shared" si="358"/>
        <v>0</v>
      </c>
      <c r="CM261" t="str">
        <f t="shared" si="399"/>
        <v>00063</v>
      </c>
      <c r="CN261" s="118" t="str">
        <f t="shared" si="400"/>
        <v>Renta Diaria por Hospitalización</v>
      </c>
      <c r="CO261" s="118">
        <f t="shared" si="401"/>
        <v>0</v>
      </c>
      <c r="CP261" s="118" t="str">
        <f t="shared" si="402"/>
        <v>A</v>
      </c>
      <c r="CQ261" s="119" t="str">
        <f t="shared" si="359"/>
        <v/>
      </c>
      <c r="CR261" s="66">
        <f>+IF($W261="","",ROUND((VLOOKUP(Parámetros!$F$51,'COBERTURAS ADICIONALES'!$S$4:$T$32,2,FALSE)*(1+i/frec)^-0.5*(1+Parámetros!$D$103)*(1+rec_fracc)/frec*$CO$42),2))</f>
        <v>0</v>
      </c>
      <c r="CS261" s="119" t="str">
        <f t="shared" si="360"/>
        <v/>
      </c>
      <c r="CT261" s="66">
        <f>+IF($W261="","",ROUND(IF($B261&gt;Parámetros!$D$107,'Tablas Servicio'!CR261+('Tablas Servicio'!CT260-'Tablas Servicio'!CR260),CR261/(1-IF(B261&lt;=10,Parámetros!$D$100,0))),2))</f>
        <v>0</v>
      </c>
      <c r="CU261" s="66">
        <f t="shared" si="361"/>
        <v>0</v>
      </c>
      <c r="CV261" s="66">
        <f t="shared" si="361"/>
        <v>0</v>
      </c>
      <c r="CW261" s="66">
        <f>+IF($W261="","",ROUND((CT261*Parámetros!$G$85),2))</f>
        <v>0</v>
      </c>
      <c r="CX261" s="66">
        <f>+IF($W261="","",ROUND((CT261*(Parámetros!$G$86)),2))</f>
        <v>0</v>
      </c>
      <c r="CY261" s="66">
        <f t="shared" si="362"/>
        <v>0</v>
      </c>
      <c r="CZ261" t="str">
        <f t="shared" si="403"/>
        <v>00064</v>
      </c>
      <c r="DA261" s="118" t="str">
        <f t="shared" si="404"/>
        <v>Enfermedades Graves</v>
      </c>
      <c r="DB261" s="118">
        <f t="shared" si="405"/>
        <v>0</v>
      </c>
      <c r="DC261" s="118" t="str">
        <f t="shared" si="406"/>
        <v>A</v>
      </c>
      <c r="DD261" s="121" t="str">
        <f>+IF(OR($W261="",DB261=0),"",ROUND((VLOOKUP(ROUNDDOWN($D261-1/frec,0),cob_adi,CO$40,FALSE)*(1+i/frec)^-0.5*(1+Parámetros!$D$103)*(1+rec_fracc)/frec),6))</f>
        <v/>
      </c>
      <c r="DE261" s="66">
        <f t="shared" si="363"/>
        <v>0</v>
      </c>
      <c r="DF261" s="119" t="str">
        <f t="shared" si="364"/>
        <v/>
      </c>
      <c r="DG261" s="66">
        <f>+IF($W261="","",ROUND(IF($B261&gt;Parámetros!$D$107,'Tablas Servicio'!DE261+('Tablas Servicio'!DG260-'Tablas Servicio'!DE260),DE261/(1-IF(B261&lt;=10,Parámetros!$D$100,0))),2))</f>
        <v>0</v>
      </c>
      <c r="DH261" s="66">
        <f t="shared" si="365"/>
        <v>0</v>
      </c>
      <c r="DI261" s="66">
        <f t="shared" si="365"/>
        <v>0</v>
      </c>
      <c r="DJ261" s="66">
        <f>+IF($W261="","",ROUND((DG261*Parámetros!$G$85),2))</f>
        <v>0</v>
      </c>
      <c r="DK261" s="66">
        <f>+IF($W261="","",ROUND((DG261*(Parámetros!$G$86)),2))</f>
        <v>0</v>
      </c>
      <c r="DL261" s="66">
        <f t="shared" si="366"/>
        <v>0</v>
      </c>
      <c r="DM261" t="str">
        <f t="shared" si="407"/>
        <v>00065</v>
      </c>
      <c r="DN261" s="118" t="str">
        <f t="shared" si="408"/>
        <v>Exención pago de primas</v>
      </c>
      <c r="DO261" s="118">
        <f t="shared" si="409"/>
        <v>0</v>
      </c>
      <c r="DP261" s="118" t="str">
        <f t="shared" si="410"/>
        <v>A</v>
      </c>
      <c r="DQ261" s="122" t="str">
        <f>+IF(OR($W261="",DO261=0),"",ROUND((VLOOKUP(ROUNDDOWN($D261-1/frec,0),cob_adi,DB$40,FALSE)*(1+i/frec)^-0.5*(1+Parámetros!$D$103)*(1+rec_fracc)/frec),6))</f>
        <v/>
      </c>
      <c r="DR261" s="66">
        <f t="shared" si="367"/>
        <v>0</v>
      </c>
      <c r="DS261" s="68" t="str">
        <f t="shared" si="368"/>
        <v/>
      </c>
      <c r="DT261" s="66">
        <f>+IF($W261="","",ROUND(IF($B261&gt;Parámetros!$D$107,'Tablas Servicio'!DR261+('Tablas Servicio'!DT260-'Tablas Servicio'!DR260),DR261/(1-IF(B261&lt;=10,Parámetros!$D$100,0))),2))</f>
        <v>0</v>
      </c>
      <c r="DU261" s="66">
        <f t="shared" si="369"/>
        <v>0</v>
      </c>
      <c r="DV261" s="66">
        <f t="shared" si="369"/>
        <v>0</v>
      </c>
      <c r="DW261" s="66">
        <f>+IF($W261="","",ROUND((DT261*Parámetros!$G$85),2))</f>
        <v>0</v>
      </c>
      <c r="DX261" s="66">
        <f>+IF($W261="","",ROUND((DT261*(Parámetros!$G$86)),2))</f>
        <v>0</v>
      </c>
      <c r="DY261" s="66">
        <f t="shared" si="370"/>
        <v>0</v>
      </c>
      <c r="DZ261" t="str">
        <f t="shared" si="411"/>
        <v>00066</v>
      </c>
      <c r="EA261" s="118" t="str">
        <f t="shared" si="411"/>
        <v>Enfermedad terminal</v>
      </c>
      <c r="EB261" s="118">
        <f>+IF($W261="","",ROUND(IF(Parámetros!$D$25='TABLAS MORT'!$V$33,EB260,Z261/2),0))</f>
        <v>50000</v>
      </c>
      <c r="EC261" s="118" t="str">
        <f t="shared" si="411"/>
        <v>A</v>
      </c>
      <c r="ED261" s="122">
        <f>+IF(OR($W261="",EB261=0),"",ROUND((VLOOKUP(ROUNDDOWN($D261-1/frec,0),cob_adi,DO$40,FALSE)*(1+i/frec)^-0.5*(1+Parámetros!$D$103)*(1+rec_fracc)/frec),6))</f>
        <v>2.6999999999999999E-5</v>
      </c>
      <c r="EE261" s="66">
        <f t="shared" si="372"/>
        <v>1.35</v>
      </c>
      <c r="EF261" s="68">
        <f t="shared" si="373"/>
        <v>2.6999999999999999E-5</v>
      </c>
      <c r="EG261" s="66">
        <f>+IF($W261="","",ROUND(IF($B261&gt;Parámetros!$D$107,'Tablas Servicio'!EE261+('Tablas Servicio'!EG260-'Tablas Servicio'!EE260),EE261/(1-IF(B261&lt;=10,Parámetros!$D$100,0))),2))</f>
        <v>1.35</v>
      </c>
      <c r="EH261" s="66">
        <f t="shared" si="374"/>
        <v>0</v>
      </c>
      <c r="EI261" s="66">
        <f t="shared" si="374"/>
        <v>0</v>
      </c>
      <c r="EJ261" s="66">
        <f>+IF($W261="","",ROUND((EG261*Parámetros!$G$85),2))</f>
        <v>0.05</v>
      </c>
      <c r="EK261" s="66">
        <f>+IF($W261="","",ROUND((EG261*(Parámetros!$G$86)),2))</f>
        <v>0.01</v>
      </c>
      <c r="EL261" s="66">
        <f t="shared" si="375"/>
        <v>1.41</v>
      </c>
    </row>
    <row r="262" spans="1:142" x14ac:dyDescent="0.25">
      <c r="A262">
        <f>+IF($C262="","",ROUND(VLOOKUP('Tablas Servicio'!B262,Parámetros!$H$100:$J$159,IF(Parámetros!$E$16="F",2,3),FALSE),2))</f>
        <v>150</v>
      </c>
      <c r="B262">
        <f t="shared" si="326"/>
        <v>19</v>
      </c>
      <c r="C262" s="57">
        <f>+IF(D262="","",'Tablas Servicio'!C261+1)</f>
        <v>221</v>
      </c>
      <c r="D262" s="56">
        <f>+IF(D261&lt;edadmaxtabla,D261+1/Parámetros!$E$25,"")</f>
        <v>58.436666666667193</v>
      </c>
      <c r="E262" s="57">
        <f t="shared" si="336"/>
        <v>58</v>
      </c>
      <c r="F262" s="59">
        <f t="shared" si="337"/>
        <v>100000</v>
      </c>
      <c r="G262" s="66">
        <f t="shared" si="327"/>
        <v>53.45</v>
      </c>
      <c r="H262" s="66">
        <f t="shared" si="328"/>
        <v>55.589999999999996</v>
      </c>
      <c r="I262" s="66">
        <f t="shared" si="376"/>
        <v>38.410000000000004</v>
      </c>
      <c r="J262" s="66">
        <f t="shared" si="329"/>
        <v>1.87</v>
      </c>
      <c r="K262" s="66">
        <f t="shared" si="330"/>
        <v>0.27</v>
      </c>
      <c r="L262" s="66">
        <f t="shared" si="331"/>
        <v>0</v>
      </c>
      <c r="M262" s="66">
        <f t="shared" si="332"/>
        <v>0</v>
      </c>
      <c r="N262" s="66">
        <f>+IF(C262="","",ROUND(Parámetros!$D$23,2))</f>
        <v>94</v>
      </c>
      <c r="O262" s="66">
        <f t="shared" si="333"/>
        <v>40.950000000000003</v>
      </c>
      <c r="P262" s="66">
        <f>+IF($C262="","",ROUND(IF(B262&gt;Parámetros!$D$117,0,N262*Parámetros!$D$116-G262*Parámetros!$D$100),2))</f>
        <v>0</v>
      </c>
      <c r="Q262" s="75">
        <f t="shared" si="377"/>
        <v>3.498596819457437E-2</v>
      </c>
      <c r="R262" s="75">
        <f t="shared" si="378"/>
        <v>5.0514499532273152E-3</v>
      </c>
      <c r="S262" s="117">
        <f>+IF($C262="","",ROUND((S261+I262)*(1+Parámetros!$D$91),2))</f>
        <v>16186.31</v>
      </c>
      <c r="T262" s="117">
        <f>+IF($C262="","",ROUND(S262*VLOOKUP(B262,Parámetros!$C$30:$D$39,2,TRUE),2))</f>
        <v>16186.31</v>
      </c>
      <c r="U262" s="117">
        <f>+IF($C262="","",ROUND((U261+I262)*(1+Parámetros!$D$92),2))</f>
        <v>17051.12</v>
      </c>
      <c r="V262" s="117">
        <f>+IF($C262="","",ROUND(U262*VLOOKUP(B262,Parámetros!$C$30:$D$39,2,TRUE),2))</f>
        <v>17051.12</v>
      </c>
      <c r="W262" s="57">
        <f t="shared" si="379"/>
        <v>221</v>
      </c>
      <c r="X262" t="str">
        <f t="shared" si="380"/>
        <v>00058</v>
      </c>
      <c r="Y262" t="str">
        <f t="shared" si="381"/>
        <v>MUERTE POR CUALQUIER CAUSA</v>
      </c>
      <c r="Z262" s="118">
        <f>+IF($W262="","",ROUND(IF(Parámetros!$D$25='TABLAS MORT'!$V$33,Z261,Parámetros!$D$21-'Tablas Servicio'!T261),0))</f>
        <v>100000</v>
      </c>
      <c r="AA262" s="118" t="str">
        <f t="shared" si="382"/>
        <v>P</v>
      </c>
      <c r="AB262" s="119">
        <f>+IF(W262="","",ROUND((VLOOKUP(ROUNDDOWN($D262-1/frec,0),qx_tabla,2,FALSE)*(1+i/frec)^-0.5*(1+Parámetros!$D$103)*(1+rec_fracc)/frec),6))</f>
        <v>3.9599999999999998E-4</v>
      </c>
      <c r="AC262" s="66">
        <f t="shared" si="338"/>
        <v>39.6</v>
      </c>
      <c r="AD262" s="119">
        <f t="shared" si="334"/>
        <v>5.2099999999999998E-4</v>
      </c>
      <c r="AE262" s="66">
        <f>+IF($W262="","",ROUND(IF($B262&gt;Parámetros!$D$107,'Tablas Servicio'!AC262+('Tablas Servicio'!AG261-'Tablas Servicio'!AC261),AC262/(1-IF(B262&lt;=10,Parámetros!$D$104,Parámetros!$D$105))),2))</f>
        <v>66</v>
      </c>
      <c r="AF262" s="66">
        <f>+IF($W262="","",ROUND(IF($B262&gt;Parámetros!$D$107,'Tablas Servicio'!AC262+('Tablas Servicio'!AG261-'Tablas Servicio'!AC261),(AC262+$A261/frec)/(1-IF(B262&lt;=Parámetros!$D$117,Parámetros!$D$100,0))),2))</f>
        <v>52.1</v>
      </c>
      <c r="AG262" s="66">
        <f t="shared" si="339"/>
        <v>52.1</v>
      </c>
      <c r="AH262" s="66">
        <f t="shared" si="340"/>
        <v>0</v>
      </c>
      <c r="AI262" s="66">
        <f t="shared" si="341"/>
        <v>0</v>
      </c>
      <c r="AJ262" s="66">
        <f>+IF($W262="","",ROUND((AG262*Parámetros!$G$85),2))</f>
        <v>1.82</v>
      </c>
      <c r="AK262" s="66">
        <f>+IF($W262="","",ROUND((AG262*(Parámetros!$G$86)),2))</f>
        <v>0.26</v>
      </c>
      <c r="AL262" s="66">
        <f t="shared" si="335"/>
        <v>54.18</v>
      </c>
      <c r="AM262" t="str">
        <f t="shared" si="383"/>
        <v>00059</v>
      </c>
      <c r="AN262" t="str">
        <f t="shared" si="384"/>
        <v>Incapacidad Total y Permanente</v>
      </c>
      <c r="AO262" s="118">
        <f t="shared" si="385"/>
        <v>0</v>
      </c>
      <c r="AP262" s="118" t="str">
        <f t="shared" si="386"/>
        <v>A</v>
      </c>
      <c r="AQ262" s="119" t="str">
        <f>+IF(OR($W262="",AO262=0),"",ROUND((VLOOKUP(ROUNDDOWN($D262-1/frec,0),cob_adi,Z$40,FALSE)*(1+i/frec)^-0.5*(1+Parámetros!$D$103)*(1+rec_fracc)/frec),6))</f>
        <v/>
      </c>
      <c r="AR262" s="66">
        <f t="shared" si="342"/>
        <v>0</v>
      </c>
      <c r="AS262" s="119" t="str">
        <f t="shared" si="343"/>
        <v/>
      </c>
      <c r="AT262" s="66">
        <f>+IF($W262="","",ROUND(IF($B262&gt;Parámetros!$D$107,'Tablas Servicio'!AR262+('Tablas Servicio'!AT261-'Tablas Servicio'!AR261),AR262/(1-IF(B262&lt;=10,Parámetros!$D$100,0))),2))</f>
        <v>0</v>
      </c>
      <c r="AU262" s="66">
        <f t="shared" si="344"/>
        <v>0</v>
      </c>
      <c r="AV262" s="66">
        <f t="shared" si="344"/>
        <v>0</v>
      </c>
      <c r="AW262" s="66">
        <f>+IF($W262="","",ROUND((AT262*Parámetros!$G$85),2))</f>
        <v>0</v>
      </c>
      <c r="AX262" s="66">
        <f>+IF($W262="","",ROUND((AT262*(Parámetros!$G$86)),2))</f>
        <v>0</v>
      </c>
      <c r="AY262" s="66">
        <f t="shared" si="345"/>
        <v>0</v>
      </c>
      <c r="AZ262" t="str">
        <f t="shared" si="387"/>
        <v>00060</v>
      </c>
      <c r="BA262" t="str">
        <f t="shared" si="388"/>
        <v>Muerte Accidental</v>
      </c>
      <c r="BB262" s="118">
        <f t="shared" si="389"/>
        <v>0</v>
      </c>
      <c r="BC262" s="118" t="str">
        <f t="shared" si="390"/>
        <v>A</v>
      </c>
      <c r="BD262" s="119" t="str">
        <f>+IF(OR($W262="",BB262=0),"",ROUND((VLOOKUP(ROUNDDOWN($D262-1/frec,0),cob_adi,AO$40,FALSE)*(1+i/frec)^-0.5*(1+Parámetros!$D$103)*(1+rec_fracc)/frec),6))</f>
        <v/>
      </c>
      <c r="BE262" s="66">
        <f t="shared" si="346"/>
        <v>0</v>
      </c>
      <c r="BF262" s="119" t="str">
        <f t="shared" si="347"/>
        <v/>
      </c>
      <c r="BG262" s="66">
        <f>+IF($W262="","",ROUND(IF($B262&gt;Parámetros!$D$107,'Tablas Servicio'!BE262+('Tablas Servicio'!BG261-'Tablas Servicio'!BE261),BE262/(1-IF(B262&lt;=10,Parámetros!$D$100,0))),2))</f>
        <v>0</v>
      </c>
      <c r="BH262" s="66">
        <f t="shared" si="348"/>
        <v>0</v>
      </c>
      <c r="BI262" s="66">
        <f t="shared" si="349"/>
        <v>0</v>
      </c>
      <c r="BJ262" s="66">
        <f>+IF($W262="","",ROUND((BG262*Parámetros!$G$85),2))</f>
        <v>0</v>
      </c>
      <c r="BK262" s="66">
        <f>+IF($W262="","",ROUND((BG262*(Parámetros!$G$86)),2))</f>
        <v>0</v>
      </c>
      <c r="BL262" s="66">
        <f t="shared" si="350"/>
        <v>0</v>
      </c>
      <c r="BM262" t="str">
        <f t="shared" si="391"/>
        <v>00061</v>
      </c>
      <c r="BN262" t="str">
        <f t="shared" si="392"/>
        <v>Gastos de Entierro</v>
      </c>
      <c r="BO262" s="118">
        <f t="shared" si="393"/>
        <v>0</v>
      </c>
      <c r="BP262" s="118" t="str">
        <f t="shared" si="394"/>
        <v>A</v>
      </c>
      <c r="BQ262" s="119" t="str">
        <f>+IF(OR($W262="",BO262=0),"",ROUND((VLOOKUP(ROUNDDOWN($D262-1/frec,0),cob_adi,BB$40,FALSE)*(1+i/frec)^-0.5*(1+Parámetros!$D$103)*(1+rec_fracc)/frec),6))</f>
        <v/>
      </c>
      <c r="BR262" s="66">
        <f t="shared" si="351"/>
        <v>0</v>
      </c>
      <c r="BS262" s="119" t="str">
        <f t="shared" si="352"/>
        <v/>
      </c>
      <c r="BT262" s="66">
        <f>+IF($W262="","",ROUND(IF($B262&gt;Parámetros!$D$107,'Tablas Servicio'!BR262+('Tablas Servicio'!BT261-'Tablas Servicio'!BR261),BR262/(1-IF(B262&lt;=10,Parámetros!$D$100,0))),2))</f>
        <v>0</v>
      </c>
      <c r="BU262" s="66">
        <f t="shared" si="353"/>
        <v>0</v>
      </c>
      <c r="BV262" s="66">
        <f t="shared" si="353"/>
        <v>0</v>
      </c>
      <c r="BW262" s="66">
        <f>+IF($W262="","",ROUND((BT262*Parámetros!$G$85),2))</f>
        <v>0</v>
      </c>
      <c r="BX262" s="66">
        <f>+IF($W262="","",ROUND((BT262*(Parámetros!$G$86)),2))</f>
        <v>0</v>
      </c>
      <c r="BY262" s="66">
        <f t="shared" si="354"/>
        <v>0</v>
      </c>
      <c r="BZ262" t="str">
        <f t="shared" si="395"/>
        <v>00062</v>
      </c>
      <c r="CA262" t="str">
        <f t="shared" si="396"/>
        <v>Gastos médicos por accidente</v>
      </c>
      <c r="CB262" s="118">
        <f t="shared" si="397"/>
        <v>0</v>
      </c>
      <c r="CC262" s="118" t="str">
        <f t="shared" si="398"/>
        <v>A</v>
      </c>
      <c r="CD262" s="119" t="str">
        <f t="shared" si="355"/>
        <v/>
      </c>
      <c r="CE262" s="66">
        <f>+IF($W262="","",ROUND((VLOOKUP(ROUNDDOWN($D262-1/frec,0),cob_adi,BO$40,FALSE)*(1+i/frec)^-0.5*(1+Parámetros!$D$103)*(1+rec_fracc)/frec*'TABLAS ADI'!$BC$17),2))</f>
        <v>0</v>
      </c>
      <c r="CF262" s="119" t="str">
        <f t="shared" si="356"/>
        <v/>
      </c>
      <c r="CG262" s="66">
        <f>+IF($W262="","",ROUND(IF($B262&gt;Parámetros!$D$107,'Tablas Servicio'!CE262+('Tablas Servicio'!CG261-'Tablas Servicio'!CE261),CE262/(1-IF(B262&lt;=10,Parámetros!$D$100,0))),2))</f>
        <v>0</v>
      </c>
      <c r="CH262" s="66">
        <f t="shared" si="357"/>
        <v>0</v>
      </c>
      <c r="CI262" s="66">
        <f t="shared" si="357"/>
        <v>0</v>
      </c>
      <c r="CJ262" s="66">
        <f>+IF($W262="","",ROUND((CG262*Parámetros!$G$85),2))</f>
        <v>0</v>
      </c>
      <c r="CK262" s="66">
        <f>+IF($W262="","",ROUND((CG262*(Parámetros!$G$86)),2))</f>
        <v>0</v>
      </c>
      <c r="CL262" s="66">
        <f t="shared" si="358"/>
        <v>0</v>
      </c>
      <c r="CM262" t="str">
        <f t="shared" si="399"/>
        <v>00063</v>
      </c>
      <c r="CN262" s="118" t="str">
        <f t="shared" si="400"/>
        <v>Renta Diaria por Hospitalización</v>
      </c>
      <c r="CO262" s="118">
        <f t="shared" si="401"/>
        <v>0</v>
      </c>
      <c r="CP262" s="118" t="str">
        <f t="shared" si="402"/>
        <v>A</v>
      </c>
      <c r="CQ262" s="119" t="str">
        <f t="shared" si="359"/>
        <v/>
      </c>
      <c r="CR262" s="66">
        <f>+IF($W262="","",ROUND((VLOOKUP(Parámetros!$F$51,'COBERTURAS ADICIONALES'!$S$4:$T$32,2,FALSE)*(1+i/frec)^-0.5*(1+Parámetros!$D$103)*(1+rec_fracc)/frec*$CO$42),2))</f>
        <v>0</v>
      </c>
      <c r="CS262" s="119" t="str">
        <f t="shared" si="360"/>
        <v/>
      </c>
      <c r="CT262" s="66">
        <f>+IF($W262="","",ROUND(IF($B262&gt;Parámetros!$D$107,'Tablas Servicio'!CR262+('Tablas Servicio'!CT261-'Tablas Servicio'!CR261),CR262/(1-IF(B262&lt;=10,Parámetros!$D$100,0))),2))</f>
        <v>0</v>
      </c>
      <c r="CU262" s="66">
        <f t="shared" si="361"/>
        <v>0</v>
      </c>
      <c r="CV262" s="66">
        <f t="shared" si="361"/>
        <v>0</v>
      </c>
      <c r="CW262" s="66">
        <f>+IF($W262="","",ROUND((CT262*Parámetros!$G$85),2))</f>
        <v>0</v>
      </c>
      <c r="CX262" s="66">
        <f>+IF($W262="","",ROUND((CT262*(Parámetros!$G$86)),2))</f>
        <v>0</v>
      </c>
      <c r="CY262" s="66">
        <f t="shared" si="362"/>
        <v>0</v>
      </c>
      <c r="CZ262" t="str">
        <f t="shared" si="403"/>
        <v>00064</v>
      </c>
      <c r="DA262" s="118" t="str">
        <f t="shared" si="404"/>
        <v>Enfermedades Graves</v>
      </c>
      <c r="DB262" s="118">
        <f t="shared" si="405"/>
        <v>0</v>
      </c>
      <c r="DC262" s="118" t="str">
        <f t="shared" si="406"/>
        <v>A</v>
      </c>
      <c r="DD262" s="121" t="str">
        <f>+IF(OR($W262="",DB262=0),"",ROUND((VLOOKUP(ROUNDDOWN($D262-1/frec,0),cob_adi,CO$40,FALSE)*(1+i/frec)^-0.5*(1+Parámetros!$D$103)*(1+rec_fracc)/frec),6))</f>
        <v/>
      </c>
      <c r="DE262" s="66">
        <f t="shared" si="363"/>
        <v>0</v>
      </c>
      <c r="DF262" s="119" t="str">
        <f t="shared" si="364"/>
        <v/>
      </c>
      <c r="DG262" s="66">
        <f>+IF($W262="","",ROUND(IF($B262&gt;Parámetros!$D$107,'Tablas Servicio'!DE262+('Tablas Servicio'!DG261-'Tablas Servicio'!DE261),DE262/(1-IF(B262&lt;=10,Parámetros!$D$100,0))),2))</f>
        <v>0</v>
      </c>
      <c r="DH262" s="66">
        <f t="shared" si="365"/>
        <v>0</v>
      </c>
      <c r="DI262" s="66">
        <f t="shared" si="365"/>
        <v>0</v>
      </c>
      <c r="DJ262" s="66">
        <f>+IF($W262="","",ROUND((DG262*Parámetros!$G$85),2))</f>
        <v>0</v>
      </c>
      <c r="DK262" s="66">
        <f>+IF($W262="","",ROUND((DG262*(Parámetros!$G$86)),2))</f>
        <v>0</v>
      </c>
      <c r="DL262" s="66">
        <f t="shared" si="366"/>
        <v>0</v>
      </c>
      <c r="DM262" t="str">
        <f t="shared" si="407"/>
        <v>00065</v>
      </c>
      <c r="DN262" s="118" t="str">
        <f t="shared" si="408"/>
        <v>Exención pago de primas</v>
      </c>
      <c r="DO262" s="118">
        <f t="shared" si="409"/>
        <v>0</v>
      </c>
      <c r="DP262" s="118" t="str">
        <f t="shared" si="410"/>
        <v>A</v>
      </c>
      <c r="DQ262" s="122" t="str">
        <f>+IF(OR($W262="",DO262=0),"",ROUND((VLOOKUP(ROUNDDOWN($D262-1/frec,0),cob_adi,DB$40,FALSE)*(1+i/frec)^-0.5*(1+Parámetros!$D$103)*(1+rec_fracc)/frec),6))</f>
        <v/>
      </c>
      <c r="DR262" s="66">
        <f t="shared" si="367"/>
        <v>0</v>
      </c>
      <c r="DS262" s="68" t="str">
        <f t="shared" si="368"/>
        <v/>
      </c>
      <c r="DT262" s="66">
        <f>+IF($W262="","",ROUND(IF($B262&gt;Parámetros!$D$107,'Tablas Servicio'!DR262+('Tablas Servicio'!DT261-'Tablas Servicio'!DR261),DR262/(1-IF(B262&lt;=10,Parámetros!$D$100,0))),2))</f>
        <v>0</v>
      </c>
      <c r="DU262" s="66">
        <f t="shared" si="369"/>
        <v>0</v>
      </c>
      <c r="DV262" s="66">
        <f t="shared" si="369"/>
        <v>0</v>
      </c>
      <c r="DW262" s="66">
        <f>+IF($W262="","",ROUND((DT262*Parámetros!$G$85),2))</f>
        <v>0</v>
      </c>
      <c r="DX262" s="66">
        <f>+IF($W262="","",ROUND((DT262*(Parámetros!$G$86)),2))</f>
        <v>0</v>
      </c>
      <c r="DY262" s="66">
        <f t="shared" si="370"/>
        <v>0</v>
      </c>
      <c r="DZ262" t="str">
        <f t="shared" si="411"/>
        <v>00066</v>
      </c>
      <c r="EA262" s="118" t="str">
        <f t="shared" si="411"/>
        <v>Enfermedad terminal</v>
      </c>
      <c r="EB262" s="118">
        <f>+IF($W262="","",ROUND(IF(Parámetros!$D$25='TABLAS MORT'!$V$33,EB261,Z262/2),0))</f>
        <v>50000</v>
      </c>
      <c r="EC262" s="118" t="str">
        <f t="shared" si="411"/>
        <v>A</v>
      </c>
      <c r="ED262" s="122">
        <f>+IF(OR($W262="",EB262=0),"",ROUND((VLOOKUP(ROUNDDOWN($D262-1/frec,0),cob_adi,DO$40,FALSE)*(1+i/frec)^-0.5*(1+Parámetros!$D$103)*(1+rec_fracc)/frec),6))</f>
        <v>2.6999999999999999E-5</v>
      </c>
      <c r="EE262" s="66">
        <f t="shared" si="372"/>
        <v>1.35</v>
      </c>
      <c r="EF262" s="68">
        <f t="shared" si="373"/>
        <v>2.6999999999999999E-5</v>
      </c>
      <c r="EG262" s="66">
        <f>+IF($W262="","",ROUND(IF($B262&gt;Parámetros!$D$107,'Tablas Servicio'!EE262+('Tablas Servicio'!EG261-'Tablas Servicio'!EE261),EE262/(1-IF(B262&lt;=10,Parámetros!$D$100,0))),2))</f>
        <v>1.35</v>
      </c>
      <c r="EH262" s="66">
        <f t="shared" si="374"/>
        <v>0</v>
      </c>
      <c r="EI262" s="66">
        <f t="shared" si="374"/>
        <v>0</v>
      </c>
      <c r="EJ262" s="66">
        <f>+IF($W262="","",ROUND((EG262*Parámetros!$G$85),2))</f>
        <v>0.05</v>
      </c>
      <c r="EK262" s="66">
        <f>+IF($W262="","",ROUND((EG262*(Parámetros!$G$86)),2))</f>
        <v>0.01</v>
      </c>
      <c r="EL262" s="66">
        <f t="shared" si="375"/>
        <v>1.41</v>
      </c>
    </row>
    <row r="263" spans="1:142" x14ac:dyDescent="0.25">
      <c r="A263">
        <f>+IF($C263="","",ROUND(VLOOKUP('Tablas Servicio'!B263,Parámetros!$H$100:$J$159,IF(Parámetros!$E$16="F",2,3),FALSE),2))</f>
        <v>150</v>
      </c>
      <c r="B263">
        <f t="shared" si="326"/>
        <v>19</v>
      </c>
      <c r="C263" s="57">
        <f>+IF(D263="","",'Tablas Servicio'!C262+1)</f>
        <v>222</v>
      </c>
      <c r="D263" s="56">
        <f>+IF(D262&lt;edadmaxtabla,D262+1/Parámetros!$E$25,"")</f>
        <v>58.520000000000529</v>
      </c>
      <c r="E263" s="57">
        <f t="shared" si="336"/>
        <v>58</v>
      </c>
      <c r="F263" s="59">
        <f t="shared" si="337"/>
        <v>100000</v>
      </c>
      <c r="G263" s="66">
        <f t="shared" si="327"/>
        <v>53.45</v>
      </c>
      <c r="H263" s="66">
        <f t="shared" si="328"/>
        <v>55.589999999999996</v>
      </c>
      <c r="I263" s="66">
        <f t="shared" si="376"/>
        <v>38.410000000000004</v>
      </c>
      <c r="J263" s="66">
        <f t="shared" si="329"/>
        <v>1.87</v>
      </c>
      <c r="K263" s="66">
        <f t="shared" si="330"/>
        <v>0.27</v>
      </c>
      <c r="L263" s="66">
        <f t="shared" si="331"/>
        <v>0</v>
      </c>
      <c r="M263" s="66">
        <f t="shared" si="332"/>
        <v>0</v>
      </c>
      <c r="N263" s="66">
        <f>+IF(C263="","",ROUND(Parámetros!$D$23,2))</f>
        <v>94</v>
      </c>
      <c r="O263" s="66">
        <f t="shared" si="333"/>
        <v>40.950000000000003</v>
      </c>
      <c r="P263" s="66">
        <f>+IF($C263="","",ROUND(IF(B263&gt;Parámetros!$D$117,0,N263*Parámetros!$D$116-G263*Parámetros!$D$100),2))</f>
        <v>0</v>
      </c>
      <c r="Q263" s="75">
        <f t="shared" si="377"/>
        <v>3.498596819457437E-2</v>
      </c>
      <c r="R263" s="75">
        <f t="shared" si="378"/>
        <v>5.0514499532273152E-3</v>
      </c>
      <c r="S263" s="117">
        <f>+IF($C263="","",ROUND((S262+I263)*(1+Parámetros!$D$91),2))</f>
        <v>16270.74</v>
      </c>
      <c r="T263" s="117">
        <f>+IF($C263="","",ROUND(S263*VLOOKUP(B263,Parámetros!$C$30:$D$39,2,TRUE),2))</f>
        <v>16270.74</v>
      </c>
      <c r="U263" s="117">
        <f>+IF($C263="","",ROUND((U262+I263)*(1+Parámetros!$D$92),2))</f>
        <v>17144.93</v>
      </c>
      <c r="V263" s="117">
        <f>+IF($C263="","",ROUND(U263*VLOOKUP(B263,Parámetros!$C$30:$D$39,2,TRUE),2))</f>
        <v>17144.93</v>
      </c>
      <c r="W263" s="57">
        <f t="shared" si="379"/>
        <v>222</v>
      </c>
      <c r="X263" t="str">
        <f t="shared" si="380"/>
        <v>00058</v>
      </c>
      <c r="Y263" t="str">
        <f t="shared" si="381"/>
        <v>MUERTE POR CUALQUIER CAUSA</v>
      </c>
      <c r="Z263" s="118">
        <f>+IF($W263="","",ROUND(IF(Parámetros!$D$25='TABLAS MORT'!$V$33,Z262,Parámetros!$D$21-'Tablas Servicio'!T262),0))</f>
        <v>100000</v>
      </c>
      <c r="AA263" s="118" t="str">
        <f t="shared" si="382"/>
        <v>P</v>
      </c>
      <c r="AB263" s="119">
        <f>+IF(W263="","",ROUND((VLOOKUP(ROUNDDOWN($D263-1/frec,0),qx_tabla,2,FALSE)*(1+i/frec)^-0.5*(1+Parámetros!$D$103)*(1+rec_fracc)/frec),6))</f>
        <v>3.9599999999999998E-4</v>
      </c>
      <c r="AC263" s="66">
        <f t="shared" si="338"/>
        <v>39.6</v>
      </c>
      <c r="AD263" s="119">
        <f t="shared" si="334"/>
        <v>5.2099999999999998E-4</v>
      </c>
      <c r="AE263" s="66">
        <f>+IF($W263="","",ROUND(IF($B263&gt;Parámetros!$D$107,'Tablas Servicio'!AC263+('Tablas Servicio'!AG262-'Tablas Servicio'!AC262),AC263/(1-IF(B263&lt;=10,Parámetros!$D$104,Parámetros!$D$105))),2))</f>
        <v>66</v>
      </c>
      <c r="AF263" s="66">
        <f>+IF($W263="","",ROUND(IF($B263&gt;Parámetros!$D$107,'Tablas Servicio'!AC263+('Tablas Servicio'!AG262-'Tablas Servicio'!AC262),(AC263+$A262/frec)/(1-IF(B263&lt;=Parámetros!$D$117,Parámetros!$D$100,0))),2))</f>
        <v>52.1</v>
      </c>
      <c r="AG263" s="66">
        <f t="shared" si="339"/>
        <v>52.1</v>
      </c>
      <c r="AH263" s="66">
        <f t="shared" si="340"/>
        <v>0</v>
      </c>
      <c r="AI263" s="66">
        <f t="shared" si="341"/>
        <v>0</v>
      </c>
      <c r="AJ263" s="66">
        <f>+IF($W263="","",ROUND((AG263*Parámetros!$G$85),2))</f>
        <v>1.82</v>
      </c>
      <c r="AK263" s="66">
        <f>+IF($W263="","",ROUND((AG263*(Parámetros!$G$86)),2))</f>
        <v>0.26</v>
      </c>
      <c r="AL263" s="66">
        <f t="shared" si="335"/>
        <v>54.18</v>
      </c>
      <c r="AM263" t="str">
        <f t="shared" si="383"/>
        <v>00059</v>
      </c>
      <c r="AN263" t="str">
        <f t="shared" si="384"/>
        <v>Incapacidad Total y Permanente</v>
      </c>
      <c r="AO263" s="118">
        <f t="shared" si="385"/>
        <v>0</v>
      </c>
      <c r="AP263" s="118" t="str">
        <f t="shared" si="386"/>
        <v>A</v>
      </c>
      <c r="AQ263" s="119" t="str">
        <f>+IF(OR($W263="",AO263=0),"",ROUND((VLOOKUP(ROUNDDOWN($D263-1/frec,0),cob_adi,Z$40,FALSE)*(1+i/frec)^-0.5*(1+Parámetros!$D$103)*(1+rec_fracc)/frec),6))</f>
        <v/>
      </c>
      <c r="AR263" s="66">
        <f t="shared" si="342"/>
        <v>0</v>
      </c>
      <c r="AS263" s="119" t="str">
        <f t="shared" si="343"/>
        <v/>
      </c>
      <c r="AT263" s="66">
        <f>+IF($W263="","",ROUND(IF($B263&gt;Parámetros!$D$107,'Tablas Servicio'!AR263+('Tablas Servicio'!AT262-'Tablas Servicio'!AR262),AR263/(1-IF(B263&lt;=10,Parámetros!$D$100,0))),2))</f>
        <v>0</v>
      </c>
      <c r="AU263" s="66">
        <f t="shared" si="344"/>
        <v>0</v>
      </c>
      <c r="AV263" s="66">
        <f t="shared" si="344"/>
        <v>0</v>
      </c>
      <c r="AW263" s="66">
        <f>+IF($W263="","",ROUND((AT263*Parámetros!$G$85),2))</f>
        <v>0</v>
      </c>
      <c r="AX263" s="66">
        <f>+IF($W263="","",ROUND((AT263*(Parámetros!$G$86)),2))</f>
        <v>0</v>
      </c>
      <c r="AY263" s="66">
        <f t="shared" si="345"/>
        <v>0</v>
      </c>
      <c r="AZ263" t="str">
        <f t="shared" si="387"/>
        <v>00060</v>
      </c>
      <c r="BA263" t="str">
        <f t="shared" si="388"/>
        <v>Muerte Accidental</v>
      </c>
      <c r="BB263" s="118">
        <f t="shared" si="389"/>
        <v>0</v>
      </c>
      <c r="BC263" s="118" t="str">
        <f t="shared" si="390"/>
        <v>A</v>
      </c>
      <c r="BD263" s="119" t="str">
        <f>+IF(OR($W263="",BB263=0),"",ROUND((VLOOKUP(ROUNDDOWN($D263-1/frec,0),cob_adi,AO$40,FALSE)*(1+i/frec)^-0.5*(1+Parámetros!$D$103)*(1+rec_fracc)/frec),6))</f>
        <v/>
      </c>
      <c r="BE263" s="66">
        <f t="shared" si="346"/>
        <v>0</v>
      </c>
      <c r="BF263" s="119" t="str">
        <f t="shared" si="347"/>
        <v/>
      </c>
      <c r="BG263" s="66">
        <f>+IF($W263="","",ROUND(IF($B263&gt;Parámetros!$D$107,'Tablas Servicio'!BE263+('Tablas Servicio'!BG262-'Tablas Servicio'!BE262),BE263/(1-IF(B263&lt;=10,Parámetros!$D$100,0))),2))</f>
        <v>0</v>
      </c>
      <c r="BH263" s="66">
        <f t="shared" si="348"/>
        <v>0</v>
      </c>
      <c r="BI263" s="66">
        <f t="shared" si="349"/>
        <v>0</v>
      </c>
      <c r="BJ263" s="66">
        <f>+IF($W263="","",ROUND((BG263*Parámetros!$G$85),2))</f>
        <v>0</v>
      </c>
      <c r="BK263" s="66">
        <f>+IF($W263="","",ROUND((BG263*(Parámetros!$G$86)),2))</f>
        <v>0</v>
      </c>
      <c r="BL263" s="66">
        <f t="shared" si="350"/>
        <v>0</v>
      </c>
      <c r="BM263" t="str">
        <f t="shared" si="391"/>
        <v>00061</v>
      </c>
      <c r="BN263" t="str">
        <f t="shared" si="392"/>
        <v>Gastos de Entierro</v>
      </c>
      <c r="BO263" s="118">
        <f t="shared" si="393"/>
        <v>0</v>
      </c>
      <c r="BP263" s="118" t="str">
        <f t="shared" si="394"/>
        <v>A</v>
      </c>
      <c r="BQ263" s="119" t="str">
        <f>+IF(OR($W263="",BO263=0),"",ROUND((VLOOKUP(ROUNDDOWN($D263-1/frec,0),cob_adi,BB$40,FALSE)*(1+i/frec)^-0.5*(1+Parámetros!$D$103)*(1+rec_fracc)/frec),6))</f>
        <v/>
      </c>
      <c r="BR263" s="66">
        <f t="shared" si="351"/>
        <v>0</v>
      </c>
      <c r="BS263" s="119" t="str">
        <f t="shared" si="352"/>
        <v/>
      </c>
      <c r="BT263" s="66">
        <f>+IF($W263="","",ROUND(IF($B263&gt;Parámetros!$D$107,'Tablas Servicio'!BR263+('Tablas Servicio'!BT262-'Tablas Servicio'!BR262),BR263/(1-IF(B263&lt;=10,Parámetros!$D$100,0))),2))</f>
        <v>0</v>
      </c>
      <c r="BU263" s="66">
        <f t="shared" si="353"/>
        <v>0</v>
      </c>
      <c r="BV263" s="66">
        <f t="shared" si="353"/>
        <v>0</v>
      </c>
      <c r="BW263" s="66">
        <f>+IF($W263="","",ROUND((BT263*Parámetros!$G$85),2))</f>
        <v>0</v>
      </c>
      <c r="BX263" s="66">
        <f>+IF($W263="","",ROUND((BT263*(Parámetros!$G$86)),2))</f>
        <v>0</v>
      </c>
      <c r="BY263" s="66">
        <f t="shared" si="354"/>
        <v>0</v>
      </c>
      <c r="BZ263" t="str">
        <f t="shared" si="395"/>
        <v>00062</v>
      </c>
      <c r="CA263" t="str">
        <f t="shared" si="396"/>
        <v>Gastos médicos por accidente</v>
      </c>
      <c r="CB263" s="118">
        <f t="shared" si="397"/>
        <v>0</v>
      </c>
      <c r="CC263" s="118" t="str">
        <f t="shared" si="398"/>
        <v>A</v>
      </c>
      <c r="CD263" s="119" t="str">
        <f t="shared" si="355"/>
        <v/>
      </c>
      <c r="CE263" s="66">
        <f>+IF($W263="","",ROUND((VLOOKUP(ROUNDDOWN($D263-1/frec,0),cob_adi,BO$40,FALSE)*(1+i/frec)^-0.5*(1+Parámetros!$D$103)*(1+rec_fracc)/frec*'TABLAS ADI'!$BC$17),2))</f>
        <v>0</v>
      </c>
      <c r="CF263" s="119" t="str">
        <f t="shared" si="356"/>
        <v/>
      </c>
      <c r="CG263" s="66">
        <f>+IF($W263="","",ROUND(IF($B263&gt;Parámetros!$D$107,'Tablas Servicio'!CE263+('Tablas Servicio'!CG262-'Tablas Servicio'!CE262),CE263/(1-IF(B263&lt;=10,Parámetros!$D$100,0))),2))</f>
        <v>0</v>
      </c>
      <c r="CH263" s="66">
        <f t="shared" si="357"/>
        <v>0</v>
      </c>
      <c r="CI263" s="66">
        <f t="shared" si="357"/>
        <v>0</v>
      </c>
      <c r="CJ263" s="66">
        <f>+IF($W263="","",ROUND((CG263*Parámetros!$G$85),2))</f>
        <v>0</v>
      </c>
      <c r="CK263" s="66">
        <f>+IF($W263="","",ROUND((CG263*(Parámetros!$G$86)),2))</f>
        <v>0</v>
      </c>
      <c r="CL263" s="66">
        <f t="shared" si="358"/>
        <v>0</v>
      </c>
      <c r="CM263" t="str">
        <f t="shared" si="399"/>
        <v>00063</v>
      </c>
      <c r="CN263" s="118" t="str">
        <f t="shared" si="400"/>
        <v>Renta Diaria por Hospitalización</v>
      </c>
      <c r="CO263" s="118">
        <f t="shared" si="401"/>
        <v>0</v>
      </c>
      <c r="CP263" s="118" t="str">
        <f t="shared" si="402"/>
        <v>A</v>
      </c>
      <c r="CQ263" s="119" t="str">
        <f t="shared" si="359"/>
        <v/>
      </c>
      <c r="CR263" s="66">
        <f>+IF($W263="","",ROUND((VLOOKUP(Parámetros!$F$51,'COBERTURAS ADICIONALES'!$S$4:$T$32,2,FALSE)*(1+i/frec)^-0.5*(1+Parámetros!$D$103)*(1+rec_fracc)/frec*$CO$42),2))</f>
        <v>0</v>
      </c>
      <c r="CS263" s="119" t="str">
        <f t="shared" si="360"/>
        <v/>
      </c>
      <c r="CT263" s="66">
        <f>+IF($W263="","",ROUND(IF($B263&gt;Parámetros!$D$107,'Tablas Servicio'!CR263+('Tablas Servicio'!CT262-'Tablas Servicio'!CR262),CR263/(1-IF(B263&lt;=10,Parámetros!$D$100,0))),2))</f>
        <v>0</v>
      </c>
      <c r="CU263" s="66">
        <f t="shared" si="361"/>
        <v>0</v>
      </c>
      <c r="CV263" s="66">
        <f t="shared" si="361"/>
        <v>0</v>
      </c>
      <c r="CW263" s="66">
        <f>+IF($W263="","",ROUND((CT263*Parámetros!$G$85),2))</f>
        <v>0</v>
      </c>
      <c r="CX263" s="66">
        <f>+IF($W263="","",ROUND((CT263*(Parámetros!$G$86)),2))</f>
        <v>0</v>
      </c>
      <c r="CY263" s="66">
        <f t="shared" si="362"/>
        <v>0</v>
      </c>
      <c r="CZ263" t="str">
        <f t="shared" si="403"/>
        <v>00064</v>
      </c>
      <c r="DA263" s="118" t="str">
        <f t="shared" si="404"/>
        <v>Enfermedades Graves</v>
      </c>
      <c r="DB263" s="118">
        <f t="shared" si="405"/>
        <v>0</v>
      </c>
      <c r="DC263" s="118" t="str">
        <f t="shared" si="406"/>
        <v>A</v>
      </c>
      <c r="DD263" s="121" t="str">
        <f>+IF(OR($W263="",DB263=0),"",ROUND((VLOOKUP(ROUNDDOWN($D263-1/frec,0),cob_adi,CO$40,FALSE)*(1+i/frec)^-0.5*(1+Parámetros!$D$103)*(1+rec_fracc)/frec),6))</f>
        <v/>
      </c>
      <c r="DE263" s="66">
        <f t="shared" si="363"/>
        <v>0</v>
      </c>
      <c r="DF263" s="119" t="str">
        <f t="shared" si="364"/>
        <v/>
      </c>
      <c r="DG263" s="66">
        <f>+IF($W263="","",ROUND(IF($B263&gt;Parámetros!$D$107,'Tablas Servicio'!DE263+('Tablas Servicio'!DG262-'Tablas Servicio'!DE262),DE263/(1-IF(B263&lt;=10,Parámetros!$D$100,0))),2))</f>
        <v>0</v>
      </c>
      <c r="DH263" s="66">
        <f t="shared" si="365"/>
        <v>0</v>
      </c>
      <c r="DI263" s="66">
        <f t="shared" si="365"/>
        <v>0</v>
      </c>
      <c r="DJ263" s="66">
        <f>+IF($W263="","",ROUND((DG263*Parámetros!$G$85),2))</f>
        <v>0</v>
      </c>
      <c r="DK263" s="66">
        <f>+IF($W263="","",ROUND((DG263*(Parámetros!$G$86)),2))</f>
        <v>0</v>
      </c>
      <c r="DL263" s="66">
        <f t="shared" si="366"/>
        <v>0</v>
      </c>
      <c r="DM263" t="str">
        <f t="shared" si="407"/>
        <v>00065</v>
      </c>
      <c r="DN263" s="118" t="str">
        <f t="shared" si="408"/>
        <v>Exención pago de primas</v>
      </c>
      <c r="DO263" s="118">
        <f t="shared" si="409"/>
        <v>0</v>
      </c>
      <c r="DP263" s="118" t="str">
        <f t="shared" si="410"/>
        <v>A</v>
      </c>
      <c r="DQ263" s="122" t="str">
        <f>+IF(OR($W263="",DO263=0),"",ROUND((VLOOKUP(ROUNDDOWN($D263-1/frec,0),cob_adi,DB$40,FALSE)*(1+i/frec)^-0.5*(1+Parámetros!$D$103)*(1+rec_fracc)/frec),6))</f>
        <v/>
      </c>
      <c r="DR263" s="66">
        <f t="shared" si="367"/>
        <v>0</v>
      </c>
      <c r="DS263" s="68" t="str">
        <f t="shared" si="368"/>
        <v/>
      </c>
      <c r="DT263" s="66">
        <f>+IF($W263="","",ROUND(IF($B263&gt;Parámetros!$D$107,'Tablas Servicio'!DR263+('Tablas Servicio'!DT262-'Tablas Servicio'!DR262),DR263/(1-IF(B263&lt;=10,Parámetros!$D$100,0))),2))</f>
        <v>0</v>
      </c>
      <c r="DU263" s="66">
        <f t="shared" si="369"/>
        <v>0</v>
      </c>
      <c r="DV263" s="66">
        <f t="shared" si="369"/>
        <v>0</v>
      </c>
      <c r="DW263" s="66">
        <f>+IF($W263="","",ROUND((DT263*Parámetros!$G$85),2))</f>
        <v>0</v>
      </c>
      <c r="DX263" s="66">
        <f>+IF($W263="","",ROUND((DT263*(Parámetros!$G$86)),2))</f>
        <v>0</v>
      </c>
      <c r="DY263" s="66">
        <f t="shared" si="370"/>
        <v>0</v>
      </c>
      <c r="DZ263" t="str">
        <f t="shared" si="411"/>
        <v>00066</v>
      </c>
      <c r="EA263" s="118" t="str">
        <f t="shared" si="411"/>
        <v>Enfermedad terminal</v>
      </c>
      <c r="EB263" s="118">
        <f>+IF($W263="","",ROUND(IF(Parámetros!$D$25='TABLAS MORT'!$V$33,EB262,Z263/2),0))</f>
        <v>50000</v>
      </c>
      <c r="EC263" s="118" t="str">
        <f t="shared" si="411"/>
        <v>A</v>
      </c>
      <c r="ED263" s="122">
        <f>+IF(OR($W263="",EB263=0),"",ROUND((VLOOKUP(ROUNDDOWN($D263-1/frec,0),cob_adi,DO$40,FALSE)*(1+i/frec)^-0.5*(1+Parámetros!$D$103)*(1+rec_fracc)/frec),6))</f>
        <v>2.6999999999999999E-5</v>
      </c>
      <c r="EE263" s="66">
        <f t="shared" si="372"/>
        <v>1.35</v>
      </c>
      <c r="EF263" s="68">
        <f t="shared" si="373"/>
        <v>2.6999999999999999E-5</v>
      </c>
      <c r="EG263" s="66">
        <f>+IF($W263="","",ROUND(IF($B263&gt;Parámetros!$D$107,'Tablas Servicio'!EE263+('Tablas Servicio'!EG262-'Tablas Servicio'!EE262),EE263/(1-IF(B263&lt;=10,Parámetros!$D$100,0))),2))</f>
        <v>1.35</v>
      </c>
      <c r="EH263" s="66">
        <f t="shared" si="374"/>
        <v>0</v>
      </c>
      <c r="EI263" s="66">
        <f t="shared" si="374"/>
        <v>0</v>
      </c>
      <c r="EJ263" s="66">
        <f>+IF($W263="","",ROUND((EG263*Parámetros!$G$85),2))</f>
        <v>0.05</v>
      </c>
      <c r="EK263" s="66">
        <f>+IF($W263="","",ROUND((EG263*(Parámetros!$G$86)),2))</f>
        <v>0.01</v>
      </c>
      <c r="EL263" s="66">
        <f t="shared" si="375"/>
        <v>1.41</v>
      </c>
    </row>
    <row r="264" spans="1:142" x14ac:dyDescent="0.25">
      <c r="A264">
        <f>+IF($C264="","",ROUND(VLOOKUP('Tablas Servicio'!B264,Parámetros!$H$100:$J$159,IF(Parámetros!$E$16="F",2,3),FALSE),2))</f>
        <v>150</v>
      </c>
      <c r="B264">
        <f t="shared" si="326"/>
        <v>19</v>
      </c>
      <c r="C264" s="57">
        <f>+IF(D264="","",'Tablas Servicio'!C263+1)</f>
        <v>223</v>
      </c>
      <c r="D264" s="56">
        <f>+IF(D263&lt;edadmaxtabla,D263+1/Parámetros!$E$25,"")</f>
        <v>58.603333333333865</v>
      </c>
      <c r="E264" s="57">
        <f t="shared" si="336"/>
        <v>58</v>
      </c>
      <c r="F264" s="59">
        <f t="shared" si="337"/>
        <v>100000</v>
      </c>
      <c r="G264" s="66">
        <f t="shared" si="327"/>
        <v>53.45</v>
      </c>
      <c r="H264" s="66">
        <f t="shared" si="328"/>
        <v>55.589999999999996</v>
      </c>
      <c r="I264" s="66">
        <f t="shared" si="376"/>
        <v>38.410000000000004</v>
      </c>
      <c r="J264" s="66">
        <f t="shared" si="329"/>
        <v>1.87</v>
      </c>
      <c r="K264" s="66">
        <f t="shared" si="330"/>
        <v>0.27</v>
      </c>
      <c r="L264" s="66">
        <f t="shared" si="331"/>
        <v>0</v>
      </c>
      <c r="M264" s="66">
        <f t="shared" si="332"/>
        <v>0</v>
      </c>
      <c r="N264" s="66">
        <f>+IF(C264="","",ROUND(Parámetros!$D$23,2))</f>
        <v>94</v>
      </c>
      <c r="O264" s="66">
        <f t="shared" si="333"/>
        <v>40.950000000000003</v>
      </c>
      <c r="P264" s="66">
        <f>+IF($C264="","",ROUND(IF(B264&gt;Parámetros!$D$117,0,N264*Parámetros!$D$116-G264*Parámetros!$D$100),2))</f>
        <v>0</v>
      </c>
      <c r="Q264" s="75">
        <f t="shared" si="377"/>
        <v>3.498596819457437E-2</v>
      </c>
      <c r="R264" s="75">
        <f t="shared" si="378"/>
        <v>5.0514499532273152E-3</v>
      </c>
      <c r="S264" s="117">
        <f>+IF($C264="","",ROUND((S263+I264)*(1+Parámetros!$D$91),2))</f>
        <v>16355.41</v>
      </c>
      <c r="T264" s="117">
        <f>+IF($C264="","",ROUND(S264*VLOOKUP(B264,Parámetros!$C$30:$D$39,2,TRUE),2))</f>
        <v>16355.41</v>
      </c>
      <c r="U264" s="117">
        <f>+IF($C264="","",ROUND((U263+I264)*(1+Parámetros!$D$92),2))</f>
        <v>17239.04</v>
      </c>
      <c r="V264" s="117">
        <f>+IF($C264="","",ROUND(U264*VLOOKUP(B264,Parámetros!$C$30:$D$39,2,TRUE),2))</f>
        <v>17239.04</v>
      </c>
      <c r="W264" s="57">
        <f t="shared" si="379"/>
        <v>223</v>
      </c>
      <c r="X264" t="str">
        <f t="shared" si="380"/>
        <v>00058</v>
      </c>
      <c r="Y264" t="str">
        <f t="shared" si="381"/>
        <v>MUERTE POR CUALQUIER CAUSA</v>
      </c>
      <c r="Z264" s="118">
        <f>+IF($W264="","",ROUND(IF(Parámetros!$D$25='TABLAS MORT'!$V$33,Z263,Parámetros!$D$21-'Tablas Servicio'!T263),0))</f>
        <v>100000</v>
      </c>
      <c r="AA264" s="118" t="str">
        <f t="shared" si="382"/>
        <v>P</v>
      </c>
      <c r="AB264" s="119">
        <f>+IF(W264="","",ROUND((VLOOKUP(ROUNDDOWN($D264-1/frec,0),qx_tabla,2,FALSE)*(1+i/frec)^-0.5*(1+Parámetros!$D$103)*(1+rec_fracc)/frec),6))</f>
        <v>3.9599999999999998E-4</v>
      </c>
      <c r="AC264" s="66">
        <f t="shared" si="338"/>
        <v>39.6</v>
      </c>
      <c r="AD264" s="119">
        <f t="shared" si="334"/>
        <v>5.2099999999999998E-4</v>
      </c>
      <c r="AE264" s="66">
        <f>+IF($W264="","",ROUND(IF($B264&gt;Parámetros!$D$107,'Tablas Servicio'!AC264+('Tablas Servicio'!AG263-'Tablas Servicio'!AC263),AC264/(1-IF(B264&lt;=10,Parámetros!$D$104,Parámetros!$D$105))),2))</f>
        <v>66</v>
      </c>
      <c r="AF264" s="66">
        <f>+IF($W264="","",ROUND(IF($B264&gt;Parámetros!$D$107,'Tablas Servicio'!AC264+('Tablas Servicio'!AG263-'Tablas Servicio'!AC263),(AC264+$A263/frec)/(1-IF(B264&lt;=Parámetros!$D$117,Parámetros!$D$100,0))),2))</f>
        <v>52.1</v>
      </c>
      <c r="AG264" s="66">
        <f t="shared" si="339"/>
        <v>52.1</v>
      </c>
      <c r="AH264" s="66">
        <f t="shared" si="340"/>
        <v>0</v>
      </c>
      <c r="AI264" s="66">
        <f t="shared" si="341"/>
        <v>0</v>
      </c>
      <c r="AJ264" s="66">
        <f>+IF($W264="","",ROUND((AG264*Parámetros!$G$85),2))</f>
        <v>1.82</v>
      </c>
      <c r="AK264" s="66">
        <f>+IF($W264="","",ROUND((AG264*(Parámetros!$G$86)),2))</f>
        <v>0.26</v>
      </c>
      <c r="AL264" s="66">
        <f t="shared" si="335"/>
        <v>54.18</v>
      </c>
      <c r="AM264" t="str">
        <f t="shared" si="383"/>
        <v>00059</v>
      </c>
      <c r="AN264" t="str">
        <f t="shared" si="384"/>
        <v>Incapacidad Total y Permanente</v>
      </c>
      <c r="AO264" s="118">
        <f t="shared" si="385"/>
        <v>0</v>
      </c>
      <c r="AP264" s="118" t="str">
        <f t="shared" si="386"/>
        <v>A</v>
      </c>
      <c r="AQ264" s="119" t="str">
        <f>+IF(OR($W264="",AO264=0),"",ROUND((VLOOKUP(ROUNDDOWN($D264-1/frec,0),cob_adi,Z$40,FALSE)*(1+i/frec)^-0.5*(1+Parámetros!$D$103)*(1+rec_fracc)/frec),6))</f>
        <v/>
      </c>
      <c r="AR264" s="66">
        <f t="shared" si="342"/>
        <v>0</v>
      </c>
      <c r="AS264" s="119" t="str">
        <f t="shared" si="343"/>
        <v/>
      </c>
      <c r="AT264" s="66">
        <f>+IF($W264="","",ROUND(IF($B264&gt;Parámetros!$D$107,'Tablas Servicio'!AR264+('Tablas Servicio'!AT263-'Tablas Servicio'!AR263),AR264/(1-IF(B264&lt;=10,Parámetros!$D$100,0))),2))</f>
        <v>0</v>
      </c>
      <c r="AU264" s="66">
        <f t="shared" si="344"/>
        <v>0</v>
      </c>
      <c r="AV264" s="66">
        <f t="shared" si="344"/>
        <v>0</v>
      </c>
      <c r="AW264" s="66">
        <f>+IF($W264="","",ROUND((AT264*Parámetros!$G$85),2))</f>
        <v>0</v>
      </c>
      <c r="AX264" s="66">
        <f>+IF($W264="","",ROUND((AT264*(Parámetros!$G$86)),2))</f>
        <v>0</v>
      </c>
      <c r="AY264" s="66">
        <f t="shared" si="345"/>
        <v>0</v>
      </c>
      <c r="AZ264" t="str">
        <f t="shared" si="387"/>
        <v>00060</v>
      </c>
      <c r="BA264" t="str">
        <f t="shared" si="388"/>
        <v>Muerte Accidental</v>
      </c>
      <c r="BB264" s="118">
        <f t="shared" si="389"/>
        <v>0</v>
      </c>
      <c r="BC264" s="118" t="str">
        <f t="shared" si="390"/>
        <v>A</v>
      </c>
      <c r="BD264" s="119" t="str">
        <f>+IF(OR($W264="",BB264=0),"",ROUND((VLOOKUP(ROUNDDOWN($D264-1/frec,0),cob_adi,AO$40,FALSE)*(1+i/frec)^-0.5*(1+Parámetros!$D$103)*(1+rec_fracc)/frec),6))</f>
        <v/>
      </c>
      <c r="BE264" s="66">
        <f t="shared" si="346"/>
        <v>0</v>
      </c>
      <c r="BF264" s="119" t="str">
        <f t="shared" si="347"/>
        <v/>
      </c>
      <c r="BG264" s="66">
        <f>+IF($W264="","",ROUND(IF($B264&gt;Parámetros!$D$107,'Tablas Servicio'!BE264+('Tablas Servicio'!BG263-'Tablas Servicio'!BE263),BE264/(1-IF(B264&lt;=10,Parámetros!$D$100,0))),2))</f>
        <v>0</v>
      </c>
      <c r="BH264" s="66">
        <f t="shared" si="348"/>
        <v>0</v>
      </c>
      <c r="BI264" s="66">
        <f t="shared" si="349"/>
        <v>0</v>
      </c>
      <c r="BJ264" s="66">
        <f>+IF($W264="","",ROUND((BG264*Parámetros!$G$85),2))</f>
        <v>0</v>
      </c>
      <c r="BK264" s="66">
        <f>+IF($W264="","",ROUND((BG264*(Parámetros!$G$86)),2))</f>
        <v>0</v>
      </c>
      <c r="BL264" s="66">
        <f t="shared" si="350"/>
        <v>0</v>
      </c>
      <c r="BM264" t="str">
        <f t="shared" si="391"/>
        <v>00061</v>
      </c>
      <c r="BN264" t="str">
        <f t="shared" si="392"/>
        <v>Gastos de Entierro</v>
      </c>
      <c r="BO264" s="118">
        <f t="shared" si="393"/>
        <v>0</v>
      </c>
      <c r="BP264" s="118" t="str">
        <f t="shared" si="394"/>
        <v>A</v>
      </c>
      <c r="BQ264" s="119" t="str">
        <f>+IF(OR($W264="",BO264=0),"",ROUND((VLOOKUP(ROUNDDOWN($D264-1/frec,0),cob_adi,BB$40,FALSE)*(1+i/frec)^-0.5*(1+Parámetros!$D$103)*(1+rec_fracc)/frec),6))</f>
        <v/>
      </c>
      <c r="BR264" s="66">
        <f t="shared" si="351"/>
        <v>0</v>
      </c>
      <c r="BS264" s="119" t="str">
        <f t="shared" si="352"/>
        <v/>
      </c>
      <c r="BT264" s="66">
        <f>+IF($W264="","",ROUND(IF($B264&gt;Parámetros!$D$107,'Tablas Servicio'!BR264+('Tablas Servicio'!BT263-'Tablas Servicio'!BR263),BR264/(1-IF(B264&lt;=10,Parámetros!$D$100,0))),2))</f>
        <v>0</v>
      </c>
      <c r="BU264" s="66">
        <f t="shared" si="353"/>
        <v>0</v>
      </c>
      <c r="BV264" s="66">
        <f t="shared" si="353"/>
        <v>0</v>
      </c>
      <c r="BW264" s="66">
        <f>+IF($W264="","",ROUND((BT264*Parámetros!$G$85),2))</f>
        <v>0</v>
      </c>
      <c r="BX264" s="66">
        <f>+IF($W264="","",ROUND((BT264*(Parámetros!$G$86)),2))</f>
        <v>0</v>
      </c>
      <c r="BY264" s="66">
        <f t="shared" si="354"/>
        <v>0</v>
      </c>
      <c r="BZ264" t="str">
        <f t="shared" si="395"/>
        <v>00062</v>
      </c>
      <c r="CA264" t="str">
        <f t="shared" si="396"/>
        <v>Gastos médicos por accidente</v>
      </c>
      <c r="CB264" s="118">
        <f t="shared" si="397"/>
        <v>0</v>
      </c>
      <c r="CC264" s="118" t="str">
        <f t="shared" si="398"/>
        <v>A</v>
      </c>
      <c r="CD264" s="119" t="str">
        <f t="shared" si="355"/>
        <v/>
      </c>
      <c r="CE264" s="66">
        <f>+IF($W264="","",ROUND((VLOOKUP(ROUNDDOWN($D264-1/frec,0),cob_adi,BO$40,FALSE)*(1+i/frec)^-0.5*(1+Parámetros!$D$103)*(1+rec_fracc)/frec*'TABLAS ADI'!$BC$17),2))</f>
        <v>0</v>
      </c>
      <c r="CF264" s="119" t="str">
        <f t="shared" si="356"/>
        <v/>
      </c>
      <c r="CG264" s="66">
        <f>+IF($W264="","",ROUND(IF($B264&gt;Parámetros!$D$107,'Tablas Servicio'!CE264+('Tablas Servicio'!CG263-'Tablas Servicio'!CE263),CE264/(1-IF(B264&lt;=10,Parámetros!$D$100,0))),2))</f>
        <v>0</v>
      </c>
      <c r="CH264" s="66">
        <f t="shared" si="357"/>
        <v>0</v>
      </c>
      <c r="CI264" s="66">
        <f t="shared" si="357"/>
        <v>0</v>
      </c>
      <c r="CJ264" s="66">
        <f>+IF($W264="","",ROUND((CG264*Parámetros!$G$85),2))</f>
        <v>0</v>
      </c>
      <c r="CK264" s="66">
        <f>+IF($W264="","",ROUND((CG264*(Parámetros!$G$86)),2))</f>
        <v>0</v>
      </c>
      <c r="CL264" s="66">
        <f t="shared" si="358"/>
        <v>0</v>
      </c>
      <c r="CM264" t="str">
        <f t="shared" si="399"/>
        <v>00063</v>
      </c>
      <c r="CN264" s="118" t="str">
        <f t="shared" si="400"/>
        <v>Renta Diaria por Hospitalización</v>
      </c>
      <c r="CO264" s="118">
        <f t="shared" si="401"/>
        <v>0</v>
      </c>
      <c r="CP264" s="118" t="str">
        <f t="shared" si="402"/>
        <v>A</v>
      </c>
      <c r="CQ264" s="119" t="str">
        <f t="shared" si="359"/>
        <v/>
      </c>
      <c r="CR264" s="66">
        <f>+IF($W264="","",ROUND((VLOOKUP(Parámetros!$F$51,'COBERTURAS ADICIONALES'!$S$4:$T$32,2,FALSE)*(1+i/frec)^-0.5*(1+Parámetros!$D$103)*(1+rec_fracc)/frec*$CO$42),2))</f>
        <v>0</v>
      </c>
      <c r="CS264" s="119" t="str">
        <f t="shared" si="360"/>
        <v/>
      </c>
      <c r="CT264" s="66">
        <f>+IF($W264="","",ROUND(IF($B264&gt;Parámetros!$D$107,'Tablas Servicio'!CR264+('Tablas Servicio'!CT263-'Tablas Servicio'!CR263),CR264/(1-IF(B264&lt;=10,Parámetros!$D$100,0))),2))</f>
        <v>0</v>
      </c>
      <c r="CU264" s="66">
        <f t="shared" si="361"/>
        <v>0</v>
      </c>
      <c r="CV264" s="66">
        <f t="shared" si="361"/>
        <v>0</v>
      </c>
      <c r="CW264" s="66">
        <f>+IF($W264="","",ROUND((CT264*Parámetros!$G$85),2))</f>
        <v>0</v>
      </c>
      <c r="CX264" s="66">
        <f>+IF($W264="","",ROUND((CT264*(Parámetros!$G$86)),2))</f>
        <v>0</v>
      </c>
      <c r="CY264" s="66">
        <f t="shared" si="362"/>
        <v>0</v>
      </c>
      <c r="CZ264" t="str">
        <f t="shared" si="403"/>
        <v>00064</v>
      </c>
      <c r="DA264" s="118" t="str">
        <f t="shared" si="404"/>
        <v>Enfermedades Graves</v>
      </c>
      <c r="DB264" s="118">
        <f t="shared" si="405"/>
        <v>0</v>
      </c>
      <c r="DC264" s="118" t="str">
        <f t="shared" si="406"/>
        <v>A</v>
      </c>
      <c r="DD264" s="121" t="str">
        <f>+IF(OR($W264="",DB264=0),"",ROUND((VLOOKUP(ROUNDDOWN($D264-1/frec,0),cob_adi,CO$40,FALSE)*(1+i/frec)^-0.5*(1+Parámetros!$D$103)*(1+rec_fracc)/frec),6))</f>
        <v/>
      </c>
      <c r="DE264" s="66">
        <f t="shared" si="363"/>
        <v>0</v>
      </c>
      <c r="DF264" s="119" t="str">
        <f t="shared" si="364"/>
        <v/>
      </c>
      <c r="DG264" s="66">
        <f>+IF($W264="","",ROUND(IF($B264&gt;Parámetros!$D$107,'Tablas Servicio'!DE264+('Tablas Servicio'!DG263-'Tablas Servicio'!DE263),DE264/(1-IF(B264&lt;=10,Parámetros!$D$100,0))),2))</f>
        <v>0</v>
      </c>
      <c r="DH264" s="66">
        <f t="shared" si="365"/>
        <v>0</v>
      </c>
      <c r="DI264" s="66">
        <f t="shared" si="365"/>
        <v>0</v>
      </c>
      <c r="DJ264" s="66">
        <f>+IF($W264="","",ROUND((DG264*Parámetros!$G$85),2))</f>
        <v>0</v>
      </c>
      <c r="DK264" s="66">
        <f>+IF($W264="","",ROUND((DG264*(Parámetros!$G$86)),2))</f>
        <v>0</v>
      </c>
      <c r="DL264" s="66">
        <f t="shared" si="366"/>
        <v>0</v>
      </c>
      <c r="DM264" t="str">
        <f t="shared" si="407"/>
        <v>00065</v>
      </c>
      <c r="DN264" s="118" t="str">
        <f t="shared" si="408"/>
        <v>Exención pago de primas</v>
      </c>
      <c r="DO264" s="118">
        <f t="shared" si="409"/>
        <v>0</v>
      </c>
      <c r="DP264" s="118" t="str">
        <f t="shared" si="410"/>
        <v>A</v>
      </c>
      <c r="DQ264" s="122" t="str">
        <f>+IF(OR($W264="",DO264=0),"",ROUND((VLOOKUP(ROUNDDOWN($D264-1/frec,0),cob_adi,DB$40,FALSE)*(1+i/frec)^-0.5*(1+Parámetros!$D$103)*(1+rec_fracc)/frec),6))</f>
        <v/>
      </c>
      <c r="DR264" s="66">
        <f t="shared" si="367"/>
        <v>0</v>
      </c>
      <c r="DS264" s="68" t="str">
        <f t="shared" si="368"/>
        <v/>
      </c>
      <c r="DT264" s="66">
        <f>+IF($W264="","",ROUND(IF($B264&gt;Parámetros!$D$107,'Tablas Servicio'!DR264+('Tablas Servicio'!DT263-'Tablas Servicio'!DR263),DR264/(1-IF(B264&lt;=10,Parámetros!$D$100,0))),2))</f>
        <v>0</v>
      </c>
      <c r="DU264" s="66">
        <f t="shared" si="369"/>
        <v>0</v>
      </c>
      <c r="DV264" s="66">
        <f t="shared" si="369"/>
        <v>0</v>
      </c>
      <c r="DW264" s="66">
        <f>+IF($W264="","",ROUND((DT264*Parámetros!$G$85),2))</f>
        <v>0</v>
      </c>
      <c r="DX264" s="66">
        <f>+IF($W264="","",ROUND((DT264*(Parámetros!$G$86)),2))</f>
        <v>0</v>
      </c>
      <c r="DY264" s="66">
        <f t="shared" si="370"/>
        <v>0</v>
      </c>
      <c r="DZ264" t="str">
        <f t="shared" si="411"/>
        <v>00066</v>
      </c>
      <c r="EA264" s="118" t="str">
        <f t="shared" si="411"/>
        <v>Enfermedad terminal</v>
      </c>
      <c r="EB264" s="118">
        <f>+IF($W264="","",ROUND(IF(Parámetros!$D$25='TABLAS MORT'!$V$33,EB263,Z264/2),0))</f>
        <v>50000</v>
      </c>
      <c r="EC264" s="118" t="str">
        <f t="shared" si="411"/>
        <v>A</v>
      </c>
      <c r="ED264" s="122">
        <f>+IF(OR($W264="",EB264=0),"",ROUND((VLOOKUP(ROUNDDOWN($D264-1/frec,0),cob_adi,DO$40,FALSE)*(1+i/frec)^-0.5*(1+Parámetros!$D$103)*(1+rec_fracc)/frec),6))</f>
        <v>2.6999999999999999E-5</v>
      </c>
      <c r="EE264" s="66">
        <f t="shared" si="372"/>
        <v>1.35</v>
      </c>
      <c r="EF264" s="68">
        <f t="shared" si="373"/>
        <v>2.6999999999999999E-5</v>
      </c>
      <c r="EG264" s="66">
        <f>+IF($W264="","",ROUND(IF($B264&gt;Parámetros!$D$107,'Tablas Servicio'!EE264+('Tablas Servicio'!EG263-'Tablas Servicio'!EE263),EE264/(1-IF(B264&lt;=10,Parámetros!$D$100,0))),2))</f>
        <v>1.35</v>
      </c>
      <c r="EH264" s="66">
        <f t="shared" si="374"/>
        <v>0</v>
      </c>
      <c r="EI264" s="66">
        <f t="shared" si="374"/>
        <v>0</v>
      </c>
      <c r="EJ264" s="66">
        <f>+IF($W264="","",ROUND((EG264*Parámetros!$G$85),2))</f>
        <v>0.05</v>
      </c>
      <c r="EK264" s="66">
        <f>+IF($W264="","",ROUND((EG264*(Parámetros!$G$86)),2))</f>
        <v>0.01</v>
      </c>
      <c r="EL264" s="66">
        <f t="shared" si="375"/>
        <v>1.41</v>
      </c>
    </row>
    <row r="265" spans="1:142" x14ac:dyDescent="0.25">
      <c r="A265">
        <f>+IF($C265="","",ROUND(VLOOKUP('Tablas Servicio'!B265,Parámetros!$H$100:$J$159,IF(Parámetros!$E$16="F",2,3),FALSE),2))</f>
        <v>150</v>
      </c>
      <c r="B265">
        <f t="shared" si="326"/>
        <v>19</v>
      </c>
      <c r="C265" s="57">
        <f>+IF(D265="","",'Tablas Servicio'!C264+1)</f>
        <v>224</v>
      </c>
      <c r="D265" s="56">
        <f>+IF(D264&lt;edadmaxtabla,D264+1/Parámetros!$E$25,"")</f>
        <v>58.6866666666672</v>
      </c>
      <c r="E265" s="57">
        <f t="shared" si="336"/>
        <v>58</v>
      </c>
      <c r="F265" s="59">
        <f t="shared" si="337"/>
        <v>100000</v>
      </c>
      <c r="G265" s="66">
        <f t="shared" si="327"/>
        <v>53.45</v>
      </c>
      <c r="H265" s="66">
        <f t="shared" si="328"/>
        <v>55.589999999999996</v>
      </c>
      <c r="I265" s="66">
        <f t="shared" si="376"/>
        <v>38.410000000000004</v>
      </c>
      <c r="J265" s="66">
        <f t="shared" si="329"/>
        <v>1.87</v>
      </c>
      <c r="K265" s="66">
        <f t="shared" si="330"/>
        <v>0.27</v>
      </c>
      <c r="L265" s="66">
        <f t="shared" si="331"/>
        <v>0</v>
      </c>
      <c r="M265" s="66">
        <f t="shared" si="332"/>
        <v>0</v>
      </c>
      <c r="N265" s="66">
        <f>+IF(C265="","",ROUND(Parámetros!$D$23,2))</f>
        <v>94</v>
      </c>
      <c r="O265" s="66">
        <f t="shared" si="333"/>
        <v>40.950000000000003</v>
      </c>
      <c r="P265" s="66">
        <f>+IF($C265="","",ROUND(IF(B265&gt;Parámetros!$D$117,0,N265*Parámetros!$D$116-G265*Parámetros!$D$100),2))</f>
        <v>0</v>
      </c>
      <c r="Q265" s="75">
        <f t="shared" si="377"/>
        <v>3.498596819457437E-2</v>
      </c>
      <c r="R265" s="75">
        <f t="shared" si="378"/>
        <v>5.0514499532273152E-3</v>
      </c>
      <c r="S265" s="117">
        <f>+IF($C265="","",ROUND((S264+I265)*(1+Parámetros!$D$91),2))</f>
        <v>16440.32</v>
      </c>
      <c r="T265" s="117">
        <f>+IF($C265="","",ROUND(S265*VLOOKUP(B265,Parámetros!$C$30:$D$39,2,TRUE),2))</f>
        <v>16440.32</v>
      </c>
      <c r="U265" s="117">
        <f>+IF($C265="","",ROUND((U264+I265)*(1+Parámetros!$D$92),2))</f>
        <v>17333.46</v>
      </c>
      <c r="V265" s="117">
        <f>+IF($C265="","",ROUND(U265*VLOOKUP(B265,Parámetros!$C$30:$D$39,2,TRUE),2))</f>
        <v>17333.46</v>
      </c>
      <c r="W265" s="57">
        <f t="shared" si="379"/>
        <v>224</v>
      </c>
      <c r="X265" t="str">
        <f t="shared" si="380"/>
        <v>00058</v>
      </c>
      <c r="Y265" t="str">
        <f t="shared" si="381"/>
        <v>MUERTE POR CUALQUIER CAUSA</v>
      </c>
      <c r="Z265" s="118">
        <f>+IF($W265="","",ROUND(IF(Parámetros!$D$25='TABLAS MORT'!$V$33,Z264,Parámetros!$D$21-'Tablas Servicio'!T264),0))</f>
        <v>100000</v>
      </c>
      <c r="AA265" s="118" t="str">
        <f t="shared" si="382"/>
        <v>P</v>
      </c>
      <c r="AB265" s="119">
        <f>+IF(W265="","",ROUND((VLOOKUP(ROUNDDOWN($D265-1/frec,0),qx_tabla,2,FALSE)*(1+i/frec)^-0.5*(1+Parámetros!$D$103)*(1+rec_fracc)/frec),6))</f>
        <v>3.9599999999999998E-4</v>
      </c>
      <c r="AC265" s="66">
        <f t="shared" si="338"/>
        <v>39.6</v>
      </c>
      <c r="AD265" s="119">
        <f t="shared" si="334"/>
        <v>5.2099999999999998E-4</v>
      </c>
      <c r="AE265" s="66">
        <f>+IF($W265="","",ROUND(IF($B265&gt;Parámetros!$D$107,'Tablas Servicio'!AC265+('Tablas Servicio'!AG264-'Tablas Servicio'!AC264),AC265/(1-IF(B265&lt;=10,Parámetros!$D$104,Parámetros!$D$105))),2))</f>
        <v>66</v>
      </c>
      <c r="AF265" s="66">
        <f>+IF($W265="","",ROUND(IF($B265&gt;Parámetros!$D$107,'Tablas Servicio'!AC265+('Tablas Servicio'!AG264-'Tablas Servicio'!AC264),(AC265+$A264/frec)/(1-IF(B265&lt;=Parámetros!$D$117,Parámetros!$D$100,0))),2))</f>
        <v>52.1</v>
      </c>
      <c r="AG265" s="66">
        <f t="shared" si="339"/>
        <v>52.1</v>
      </c>
      <c r="AH265" s="66">
        <f t="shared" si="340"/>
        <v>0</v>
      </c>
      <c r="AI265" s="66">
        <f t="shared" si="341"/>
        <v>0</v>
      </c>
      <c r="AJ265" s="66">
        <f>+IF($W265="","",ROUND((AG265*Parámetros!$G$85),2))</f>
        <v>1.82</v>
      </c>
      <c r="AK265" s="66">
        <f>+IF($W265="","",ROUND((AG265*(Parámetros!$G$86)),2))</f>
        <v>0.26</v>
      </c>
      <c r="AL265" s="66">
        <f t="shared" si="335"/>
        <v>54.18</v>
      </c>
      <c r="AM265" t="str">
        <f t="shared" si="383"/>
        <v>00059</v>
      </c>
      <c r="AN265" t="str">
        <f t="shared" si="384"/>
        <v>Incapacidad Total y Permanente</v>
      </c>
      <c r="AO265" s="118">
        <f t="shared" si="385"/>
        <v>0</v>
      </c>
      <c r="AP265" s="118" t="str">
        <f t="shared" si="386"/>
        <v>A</v>
      </c>
      <c r="AQ265" s="119" t="str">
        <f>+IF(OR($W265="",AO265=0),"",ROUND((VLOOKUP(ROUNDDOWN($D265-1/frec,0),cob_adi,Z$40,FALSE)*(1+i/frec)^-0.5*(1+Parámetros!$D$103)*(1+rec_fracc)/frec),6))</f>
        <v/>
      </c>
      <c r="AR265" s="66">
        <f t="shared" si="342"/>
        <v>0</v>
      </c>
      <c r="AS265" s="119" t="str">
        <f t="shared" si="343"/>
        <v/>
      </c>
      <c r="AT265" s="66">
        <f>+IF($W265="","",ROUND(IF($B265&gt;Parámetros!$D$107,'Tablas Servicio'!AR265+('Tablas Servicio'!AT264-'Tablas Servicio'!AR264),AR265/(1-IF(B265&lt;=10,Parámetros!$D$100,0))),2))</f>
        <v>0</v>
      </c>
      <c r="AU265" s="66">
        <f t="shared" si="344"/>
        <v>0</v>
      </c>
      <c r="AV265" s="66">
        <f t="shared" si="344"/>
        <v>0</v>
      </c>
      <c r="AW265" s="66">
        <f>+IF($W265="","",ROUND((AT265*Parámetros!$G$85),2))</f>
        <v>0</v>
      </c>
      <c r="AX265" s="66">
        <f>+IF($W265="","",ROUND((AT265*(Parámetros!$G$86)),2))</f>
        <v>0</v>
      </c>
      <c r="AY265" s="66">
        <f t="shared" si="345"/>
        <v>0</v>
      </c>
      <c r="AZ265" t="str">
        <f t="shared" si="387"/>
        <v>00060</v>
      </c>
      <c r="BA265" t="str">
        <f t="shared" si="388"/>
        <v>Muerte Accidental</v>
      </c>
      <c r="BB265" s="118">
        <f t="shared" si="389"/>
        <v>0</v>
      </c>
      <c r="BC265" s="118" t="str">
        <f t="shared" si="390"/>
        <v>A</v>
      </c>
      <c r="BD265" s="119" t="str">
        <f>+IF(OR($W265="",BB265=0),"",ROUND((VLOOKUP(ROUNDDOWN($D265-1/frec,0),cob_adi,AO$40,FALSE)*(1+i/frec)^-0.5*(1+Parámetros!$D$103)*(1+rec_fracc)/frec),6))</f>
        <v/>
      </c>
      <c r="BE265" s="66">
        <f t="shared" si="346"/>
        <v>0</v>
      </c>
      <c r="BF265" s="119" t="str">
        <f t="shared" si="347"/>
        <v/>
      </c>
      <c r="BG265" s="66">
        <f>+IF($W265="","",ROUND(IF($B265&gt;Parámetros!$D$107,'Tablas Servicio'!BE265+('Tablas Servicio'!BG264-'Tablas Servicio'!BE264),BE265/(1-IF(B265&lt;=10,Parámetros!$D$100,0))),2))</f>
        <v>0</v>
      </c>
      <c r="BH265" s="66">
        <f t="shared" si="348"/>
        <v>0</v>
      </c>
      <c r="BI265" s="66">
        <f t="shared" si="349"/>
        <v>0</v>
      </c>
      <c r="BJ265" s="66">
        <f>+IF($W265="","",ROUND((BG265*Parámetros!$G$85),2))</f>
        <v>0</v>
      </c>
      <c r="BK265" s="66">
        <f>+IF($W265="","",ROUND((BG265*(Parámetros!$G$86)),2))</f>
        <v>0</v>
      </c>
      <c r="BL265" s="66">
        <f t="shared" si="350"/>
        <v>0</v>
      </c>
      <c r="BM265" t="str">
        <f t="shared" si="391"/>
        <v>00061</v>
      </c>
      <c r="BN265" t="str">
        <f t="shared" si="392"/>
        <v>Gastos de Entierro</v>
      </c>
      <c r="BO265" s="118">
        <f t="shared" si="393"/>
        <v>0</v>
      </c>
      <c r="BP265" s="118" t="str">
        <f t="shared" si="394"/>
        <v>A</v>
      </c>
      <c r="BQ265" s="119" t="str">
        <f>+IF(OR($W265="",BO265=0),"",ROUND((VLOOKUP(ROUNDDOWN($D265-1/frec,0),cob_adi,BB$40,FALSE)*(1+i/frec)^-0.5*(1+Parámetros!$D$103)*(1+rec_fracc)/frec),6))</f>
        <v/>
      </c>
      <c r="BR265" s="66">
        <f t="shared" si="351"/>
        <v>0</v>
      </c>
      <c r="BS265" s="119" t="str">
        <f t="shared" si="352"/>
        <v/>
      </c>
      <c r="BT265" s="66">
        <f>+IF($W265="","",ROUND(IF($B265&gt;Parámetros!$D$107,'Tablas Servicio'!BR265+('Tablas Servicio'!BT264-'Tablas Servicio'!BR264),BR265/(1-IF(B265&lt;=10,Parámetros!$D$100,0))),2))</f>
        <v>0</v>
      </c>
      <c r="BU265" s="66">
        <f t="shared" si="353"/>
        <v>0</v>
      </c>
      <c r="BV265" s="66">
        <f t="shared" si="353"/>
        <v>0</v>
      </c>
      <c r="BW265" s="66">
        <f>+IF($W265="","",ROUND((BT265*Parámetros!$G$85),2))</f>
        <v>0</v>
      </c>
      <c r="BX265" s="66">
        <f>+IF($W265="","",ROUND((BT265*(Parámetros!$G$86)),2))</f>
        <v>0</v>
      </c>
      <c r="BY265" s="66">
        <f t="shared" si="354"/>
        <v>0</v>
      </c>
      <c r="BZ265" t="str">
        <f t="shared" si="395"/>
        <v>00062</v>
      </c>
      <c r="CA265" t="str">
        <f t="shared" si="396"/>
        <v>Gastos médicos por accidente</v>
      </c>
      <c r="CB265" s="118">
        <f t="shared" si="397"/>
        <v>0</v>
      </c>
      <c r="CC265" s="118" t="str">
        <f t="shared" si="398"/>
        <v>A</v>
      </c>
      <c r="CD265" s="119" t="str">
        <f t="shared" si="355"/>
        <v/>
      </c>
      <c r="CE265" s="66">
        <f>+IF($W265="","",ROUND((VLOOKUP(ROUNDDOWN($D265-1/frec,0),cob_adi,BO$40,FALSE)*(1+i/frec)^-0.5*(1+Parámetros!$D$103)*(1+rec_fracc)/frec*'TABLAS ADI'!$BC$17),2))</f>
        <v>0</v>
      </c>
      <c r="CF265" s="119" t="str">
        <f t="shared" si="356"/>
        <v/>
      </c>
      <c r="CG265" s="66">
        <f>+IF($W265="","",ROUND(IF($B265&gt;Parámetros!$D$107,'Tablas Servicio'!CE265+('Tablas Servicio'!CG264-'Tablas Servicio'!CE264),CE265/(1-IF(B265&lt;=10,Parámetros!$D$100,0))),2))</f>
        <v>0</v>
      </c>
      <c r="CH265" s="66">
        <f t="shared" si="357"/>
        <v>0</v>
      </c>
      <c r="CI265" s="66">
        <f t="shared" si="357"/>
        <v>0</v>
      </c>
      <c r="CJ265" s="66">
        <f>+IF($W265="","",ROUND((CG265*Parámetros!$G$85),2))</f>
        <v>0</v>
      </c>
      <c r="CK265" s="66">
        <f>+IF($W265="","",ROUND((CG265*(Parámetros!$G$86)),2))</f>
        <v>0</v>
      </c>
      <c r="CL265" s="66">
        <f t="shared" si="358"/>
        <v>0</v>
      </c>
      <c r="CM265" t="str">
        <f t="shared" si="399"/>
        <v>00063</v>
      </c>
      <c r="CN265" s="118" t="str">
        <f t="shared" si="400"/>
        <v>Renta Diaria por Hospitalización</v>
      </c>
      <c r="CO265" s="118">
        <f t="shared" si="401"/>
        <v>0</v>
      </c>
      <c r="CP265" s="118" t="str">
        <f t="shared" si="402"/>
        <v>A</v>
      </c>
      <c r="CQ265" s="119" t="str">
        <f t="shared" si="359"/>
        <v/>
      </c>
      <c r="CR265" s="66">
        <f>+IF($W265="","",ROUND((VLOOKUP(Parámetros!$F$51,'COBERTURAS ADICIONALES'!$S$4:$T$32,2,FALSE)*(1+i/frec)^-0.5*(1+Parámetros!$D$103)*(1+rec_fracc)/frec*$CO$42),2))</f>
        <v>0</v>
      </c>
      <c r="CS265" s="119" t="str">
        <f t="shared" si="360"/>
        <v/>
      </c>
      <c r="CT265" s="66">
        <f>+IF($W265="","",ROUND(IF($B265&gt;Parámetros!$D$107,'Tablas Servicio'!CR265+('Tablas Servicio'!CT264-'Tablas Servicio'!CR264),CR265/(1-IF(B265&lt;=10,Parámetros!$D$100,0))),2))</f>
        <v>0</v>
      </c>
      <c r="CU265" s="66">
        <f t="shared" si="361"/>
        <v>0</v>
      </c>
      <c r="CV265" s="66">
        <f t="shared" si="361"/>
        <v>0</v>
      </c>
      <c r="CW265" s="66">
        <f>+IF($W265="","",ROUND((CT265*Parámetros!$G$85),2))</f>
        <v>0</v>
      </c>
      <c r="CX265" s="66">
        <f>+IF($W265="","",ROUND((CT265*(Parámetros!$G$86)),2))</f>
        <v>0</v>
      </c>
      <c r="CY265" s="66">
        <f t="shared" si="362"/>
        <v>0</v>
      </c>
      <c r="CZ265" t="str">
        <f t="shared" si="403"/>
        <v>00064</v>
      </c>
      <c r="DA265" s="118" t="str">
        <f t="shared" si="404"/>
        <v>Enfermedades Graves</v>
      </c>
      <c r="DB265" s="118">
        <f t="shared" si="405"/>
        <v>0</v>
      </c>
      <c r="DC265" s="118" t="str">
        <f t="shared" si="406"/>
        <v>A</v>
      </c>
      <c r="DD265" s="121" t="str">
        <f>+IF(OR($W265="",DB265=0),"",ROUND((VLOOKUP(ROUNDDOWN($D265-1/frec,0),cob_adi,CO$40,FALSE)*(1+i/frec)^-0.5*(1+Parámetros!$D$103)*(1+rec_fracc)/frec),6))</f>
        <v/>
      </c>
      <c r="DE265" s="66">
        <f t="shared" si="363"/>
        <v>0</v>
      </c>
      <c r="DF265" s="119" t="str">
        <f t="shared" si="364"/>
        <v/>
      </c>
      <c r="DG265" s="66">
        <f>+IF($W265="","",ROUND(IF($B265&gt;Parámetros!$D$107,'Tablas Servicio'!DE265+('Tablas Servicio'!DG264-'Tablas Servicio'!DE264),DE265/(1-IF(B265&lt;=10,Parámetros!$D$100,0))),2))</f>
        <v>0</v>
      </c>
      <c r="DH265" s="66">
        <f t="shared" si="365"/>
        <v>0</v>
      </c>
      <c r="DI265" s="66">
        <f t="shared" si="365"/>
        <v>0</v>
      </c>
      <c r="DJ265" s="66">
        <f>+IF($W265="","",ROUND((DG265*Parámetros!$G$85),2))</f>
        <v>0</v>
      </c>
      <c r="DK265" s="66">
        <f>+IF($W265="","",ROUND((DG265*(Parámetros!$G$86)),2))</f>
        <v>0</v>
      </c>
      <c r="DL265" s="66">
        <f t="shared" si="366"/>
        <v>0</v>
      </c>
      <c r="DM265" t="str">
        <f t="shared" si="407"/>
        <v>00065</v>
      </c>
      <c r="DN265" s="118" t="str">
        <f t="shared" si="408"/>
        <v>Exención pago de primas</v>
      </c>
      <c r="DO265" s="118">
        <f t="shared" si="409"/>
        <v>0</v>
      </c>
      <c r="DP265" s="118" t="str">
        <f t="shared" si="410"/>
        <v>A</v>
      </c>
      <c r="DQ265" s="122" t="str">
        <f>+IF(OR($W265="",DO265=0),"",ROUND((VLOOKUP(ROUNDDOWN($D265-1/frec,0),cob_adi,DB$40,FALSE)*(1+i/frec)^-0.5*(1+Parámetros!$D$103)*(1+rec_fracc)/frec),6))</f>
        <v/>
      </c>
      <c r="DR265" s="66">
        <f t="shared" si="367"/>
        <v>0</v>
      </c>
      <c r="DS265" s="68" t="str">
        <f t="shared" si="368"/>
        <v/>
      </c>
      <c r="DT265" s="66">
        <f>+IF($W265="","",ROUND(IF($B265&gt;Parámetros!$D$107,'Tablas Servicio'!DR265+('Tablas Servicio'!DT264-'Tablas Servicio'!DR264),DR265/(1-IF(B265&lt;=10,Parámetros!$D$100,0))),2))</f>
        <v>0</v>
      </c>
      <c r="DU265" s="66">
        <f t="shared" si="369"/>
        <v>0</v>
      </c>
      <c r="DV265" s="66">
        <f t="shared" si="369"/>
        <v>0</v>
      </c>
      <c r="DW265" s="66">
        <f>+IF($W265="","",ROUND((DT265*Parámetros!$G$85),2))</f>
        <v>0</v>
      </c>
      <c r="DX265" s="66">
        <f>+IF($W265="","",ROUND((DT265*(Parámetros!$G$86)),2))</f>
        <v>0</v>
      </c>
      <c r="DY265" s="66">
        <f t="shared" si="370"/>
        <v>0</v>
      </c>
      <c r="DZ265" t="str">
        <f t="shared" si="411"/>
        <v>00066</v>
      </c>
      <c r="EA265" s="118" t="str">
        <f t="shared" si="411"/>
        <v>Enfermedad terminal</v>
      </c>
      <c r="EB265" s="118">
        <f>+IF($W265="","",ROUND(IF(Parámetros!$D$25='TABLAS MORT'!$V$33,EB264,Z265/2),0))</f>
        <v>50000</v>
      </c>
      <c r="EC265" s="118" t="str">
        <f t="shared" si="411"/>
        <v>A</v>
      </c>
      <c r="ED265" s="122">
        <f>+IF(OR($W265="",EB265=0),"",ROUND((VLOOKUP(ROUNDDOWN($D265-1/frec,0),cob_adi,DO$40,FALSE)*(1+i/frec)^-0.5*(1+Parámetros!$D$103)*(1+rec_fracc)/frec),6))</f>
        <v>2.6999999999999999E-5</v>
      </c>
      <c r="EE265" s="66">
        <f t="shared" si="372"/>
        <v>1.35</v>
      </c>
      <c r="EF265" s="68">
        <f t="shared" si="373"/>
        <v>2.6999999999999999E-5</v>
      </c>
      <c r="EG265" s="66">
        <f>+IF($W265="","",ROUND(IF($B265&gt;Parámetros!$D$107,'Tablas Servicio'!EE265+('Tablas Servicio'!EG264-'Tablas Servicio'!EE264),EE265/(1-IF(B265&lt;=10,Parámetros!$D$100,0))),2))</f>
        <v>1.35</v>
      </c>
      <c r="EH265" s="66">
        <f t="shared" si="374"/>
        <v>0</v>
      </c>
      <c r="EI265" s="66">
        <f t="shared" si="374"/>
        <v>0</v>
      </c>
      <c r="EJ265" s="66">
        <f>+IF($W265="","",ROUND((EG265*Parámetros!$G$85),2))</f>
        <v>0.05</v>
      </c>
      <c r="EK265" s="66">
        <f>+IF($W265="","",ROUND((EG265*(Parámetros!$G$86)),2))</f>
        <v>0.01</v>
      </c>
      <c r="EL265" s="66">
        <f t="shared" si="375"/>
        <v>1.41</v>
      </c>
    </row>
    <row r="266" spans="1:142" x14ac:dyDescent="0.25">
      <c r="A266">
        <f>+IF($C266="","",ROUND(VLOOKUP('Tablas Servicio'!B266,Parámetros!$H$100:$J$159,IF(Parámetros!$E$16="F",2,3),FALSE),2))</f>
        <v>150</v>
      </c>
      <c r="B266">
        <f t="shared" si="326"/>
        <v>19</v>
      </c>
      <c r="C266" s="57">
        <f>+IF(D266="","",'Tablas Servicio'!C265+1)</f>
        <v>225</v>
      </c>
      <c r="D266" s="56">
        <f>+IF(D265&lt;edadmaxtabla,D265+1/Parámetros!$E$25,"")</f>
        <v>58.770000000000536</v>
      </c>
      <c r="E266" s="57">
        <f t="shared" si="336"/>
        <v>58</v>
      </c>
      <c r="F266" s="59">
        <f t="shared" si="337"/>
        <v>100000</v>
      </c>
      <c r="G266" s="66">
        <f t="shared" si="327"/>
        <v>53.45</v>
      </c>
      <c r="H266" s="66">
        <f t="shared" si="328"/>
        <v>55.589999999999996</v>
      </c>
      <c r="I266" s="66">
        <f t="shared" si="376"/>
        <v>38.410000000000004</v>
      </c>
      <c r="J266" s="66">
        <f t="shared" si="329"/>
        <v>1.87</v>
      </c>
      <c r="K266" s="66">
        <f t="shared" si="330"/>
        <v>0.27</v>
      </c>
      <c r="L266" s="66">
        <f t="shared" si="331"/>
        <v>0</v>
      </c>
      <c r="M266" s="66">
        <f t="shared" si="332"/>
        <v>0</v>
      </c>
      <c r="N266" s="66">
        <f>+IF(C266="","",ROUND(Parámetros!$D$23,2))</f>
        <v>94</v>
      </c>
      <c r="O266" s="66">
        <f t="shared" si="333"/>
        <v>40.950000000000003</v>
      </c>
      <c r="P266" s="66">
        <f>+IF($C266="","",ROUND(IF(B266&gt;Parámetros!$D$117,0,N266*Parámetros!$D$116-G266*Parámetros!$D$100),2))</f>
        <v>0</v>
      </c>
      <c r="Q266" s="75">
        <f t="shared" si="377"/>
        <v>3.498596819457437E-2</v>
      </c>
      <c r="R266" s="75">
        <f t="shared" si="378"/>
        <v>5.0514499532273152E-3</v>
      </c>
      <c r="S266" s="117">
        <f>+IF($C266="","",ROUND((S265+I266)*(1+Parámetros!$D$91),2))</f>
        <v>16525.47</v>
      </c>
      <c r="T266" s="117">
        <f>+IF($C266="","",ROUND(S266*VLOOKUP(B266,Parámetros!$C$30:$D$39,2,TRUE),2))</f>
        <v>16525.47</v>
      </c>
      <c r="U266" s="117">
        <f>+IF($C266="","",ROUND((U265+I266)*(1+Parámetros!$D$92),2))</f>
        <v>17428.18</v>
      </c>
      <c r="V266" s="117">
        <f>+IF($C266="","",ROUND(U266*VLOOKUP(B266,Parámetros!$C$30:$D$39,2,TRUE),2))</f>
        <v>17428.18</v>
      </c>
      <c r="W266" s="57">
        <f t="shared" si="379"/>
        <v>225</v>
      </c>
      <c r="X266" t="str">
        <f t="shared" si="380"/>
        <v>00058</v>
      </c>
      <c r="Y266" t="str">
        <f t="shared" si="381"/>
        <v>MUERTE POR CUALQUIER CAUSA</v>
      </c>
      <c r="Z266" s="118">
        <f>+IF($W266="","",ROUND(IF(Parámetros!$D$25='TABLAS MORT'!$V$33,Z265,Parámetros!$D$21-'Tablas Servicio'!T265),0))</f>
        <v>100000</v>
      </c>
      <c r="AA266" s="118" t="str">
        <f t="shared" si="382"/>
        <v>P</v>
      </c>
      <c r="AB266" s="119">
        <f>+IF(W266="","",ROUND((VLOOKUP(ROUNDDOWN($D266-1/frec,0),qx_tabla,2,FALSE)*(1+i/frec)^-0.5*(1+Parámetros!$D$103)*(1+rec_fracc)/frec),6))</f>
        <v>3.9599999999999998E-4</v>
      </c>
      <c r="AC266" s="66">
        <f t="shared" si="338"/>
        <v>39.6</v>
      </c>
      <c r="AD266" s="119">
        <f t="shared" si="334"/>
        <v>5.2099999999999998E-4</v>
      </c>
      <c r="AE266" s="66">
        <f>+IF($W266="","",ROUND(IF($B266&gt;Parámetros!$D$107,'Tablas Servicio'!AC266+('Tablas Servicio'!AG265-'Tablas Servicio'!AC265),AC266/(1-IF(B266&lt;=10,Parámetros!$D$104,Parámetros!$D$105))),2))</f>
        <v>66</v>
      </c>
      <c r="AF266" s="66">
        <f>+IF($W266="","",ROUND(IF($B266&gt;Parámetros!$D$107,'Tablas Servicio'!AC266+('Tablas Servicio'!AG265-'Tablas Servicio'!AC265),(AC266+$A265/frec)/(1-IF(B266&lt;=Parámetros!$D$117,Parámetros!$D$100,0))),2))</f>
        <v>52.1</v>
      </c>
      <c r="AG266" s="66">
        <f t="shared" si="339"/>
        <v>52.1</v>
      </c>
      <c r="AH266" s="66">
        <f t="shared" si="340"/>
        <v>0</v>
      </c>
      <c r="AI266" s="66">
        <f t="shared" si="341"/>
        <v>0</v>
      </c>
      <c r="AJ266" s="66">
        <f>+IF($W266="","",ROUND((AG266*Parámetros!$G$85),2))</f>
        <v>1.82</v>
      </c>
      <c r="AK266" s="66">
        <f>+IF($W266="","",ROUND((AG266*(Parámetros!$G$86)),2))</f>
        <v>0.26</v>
      </c>
      <c r="AL266" s="66">
        <f t="shared" si="335"/>
        <v>54.18</v>
      </c>
      <c r="AM266" t="str">
        <f t="shared" si="383"/>
        <v>00059</v>
      </c>
      <c r="AN266" t="str">
        <f t="shared" si="384"/>
        <v>Incapacidad Total y Permanente</v>
      </c>
      <c r="AO266" s="118">
        <f t="shared" si="385"/>
        <v>0</v>
      </c>
      <c r="AP266" s="118" t="str">
        <f t="shared" si="386"/>
        <v>A</v>
      </c>
      <c r="AQ266" s="119" t="str">
        <f>+IF(OR($W266="",AO266=0),"",ROUND((VLOOKUP(ROUNDDOWN($D266-1/frec,0),cob_adi,Z$40,FALSE)*(1+i/frec)^-0.5*(1+Parámetros!$D$103)*(1+rec_fracc)/frec),6))</f>
        <v/>
      </c>
      <c r="AR266" s="66">
        <f t="shared" si="342"/>
        <v>0</v>
      </c>
      <c r="AS266" s="119" t="str">
        <f t="shared" si="343"/>
        <v/>
      </c>
      <c r="AT266" s="66">
        <f>+IF($W266="","",ROUND(IF($B266&gt;Parámetros!$D$107,'Tablas Servicio'!AR266+('Tablas Servicio'!AT265-'Tablas Servicio'!AR265),AR266/(1-IF(B266&lt;=10,Parámetros!$D$100,0))),2))</f>
        <v>0</v>
      </c>
      <c r="AU266" s="66">
        <f t="shared" si="344"/>
        <v>0</v>
      </c>
      <c r="AV266" s="66">
        <f t="shared" si="344"/>
        <v>0</v>
      </c>
      <c r="AW266" s="66">
        <f>+IF($W266="","",ROUND((AT266*Parámetros!$G$85),2))</f>
        <v>0</v>
      </c>
      <c r="AX266" s="66">
        <f>+IF($W266="","",ROUND((AT266*(Parámetros!$G$86)),2))</f>
        <v>0</v>
      </c>
      <c r="AY266" s="66">
        <f t="shared" si="345"/>
        <v>0</v>
      </c>
      <c r="AZ266" t="str">
        <f t="shared" si="387"/>
        <v>00060</v>
      </c>
      <c r="BA266" t="str">
        <f t="shared" si="388"/>
        <v>Muerte Accidental</v>
      </c>
      <c r="BB266" s="118">
        <f t="shared" si="389"/>
        <v>0</v>
      </c>
      <c r="BC266" s="118" t="str">
        <f t="shared" si="390"/>
        <v>A</v>
      </c>
      <c r="BD266" s="119" t="str">
        <f>+IF(OR($W266="",BB266=0),"",ROUND((VLOOKUP(ROUNDDOWN($D266-1/frec,0),cob_adi,AO$40,FALSE)*(1+i/frec)^-0.5*(1+Parámetros!$D$103)*(1+rec_fracc)/frec),6))</f>
        <v/>
      </c>
      <c r="BE266" s="66">
        <f t="shared" si="346"/>
        <v>0</v>
      </c>
      <c r="BF266" s="119" t="str">
        <f t="shared" si="347"/>
        <v/>
      </c>
      <c r="BG266" s="66">
        <f>+IF($W266="","",ROUND(IF($B266&gt;Parámetros!$D$107,'Tablas Servicio'!BE266+('Tablas Servicio'!BG265-'Tablas Servicio'!BE265),BE266/(1-IF(B266&lt;=10,Parámetros!$D$100,0))),2))</f>
        <v>0</v>
      </c>
      <c r="BH266" s="66">
        <f t="shared" si="348"/>
        <v>0</v>
      </c>
      <c r="BI266" s="66">
        <f t="shared" si="349"/>
        <v>0</v>
      </c>
      <c r="BJ266" s="66">
        <f>+IF($W266="","",ROUND((BG266*Parámetros!$G$85),2))</f>
        <v>0</v>
      </c>
      <c r="BK266" s="66">
        <f>+IF($W266="","",ROUND((BG266*(Parámetros!$G$86)),2))</f>
        <v>0</v>
      </c>
      <c r="BL266" s="66">
        <f t="shared" si="350"/>
        <v>0</v>
      </c>
      <c r="BM266" t="str">
        <f t="shared" si="391"/>
        <v>00061</v>
      </c>
      <c r="BN266" t="str">
        <f t="shared" si="392"/>
        <v>Gastos de Entierro</v>
      </c>
      <c r="BO266" s="118">
        <f t="shared" si="393"/>
        <v>0</v>
      </c>
      <c r="BP266" s="118" t="str">
        <f t="shared" si="394"/>
        <v>A</v>
      </c>
      <c r="BQ266" s="119" t="str">
        <f>+IF(OR($W266="",BO266=0),"",ROUND((VLOOKUP(ROUNDDOWN($D266-1/frec,0),cob_adi,BB$40,FALSE)*(1+i/frec)^-0.5*(1+Parámetros!$D$103)*(1+rec_fracc)/frec),6))</f>
        <v/>
      </c>
      <c r="BR266" s="66">
        <f t="shared" si="351"/>
        <v>0</v>
      </c>
      <c r="BS266" s="119" t="str">
        <f t="shared" si="352"/>
        <v/>
      </c>
      <c r="BT266" s="66">
        <f>+IF($W266="","",ROUND(IF($B266&gt;Parámetros!$D$107,'Tablas Servicio'!BR266+('Tablas Servicio'!BT265-'Tablas Servicio'!BR265),BR266/(1-IF(B266&lt;=10,Parámetros!$D$100,0))),2))</f>
        <v>0</v>
      </c>
      <c r="BU266" s="66">
        <f t="shared" si="353"/>
        <v>0</v>
      </c>
      <c r="BV266" s="66">
        <f t="shared" si="353"/>
        <v>0</v>
      </c>
      <c r="BW266" s="66">
        <f>+IF($W266="","",ROUND((BT266*Parámetros!$G$85),2))</f>
        <v>0</v>
      </c>
      <c r="BX266" s="66">
        <f>+IF($W266="","",ROUND((BT266*(Parámetros!$G$86)),2))</f>
        <v>0</v>
      </c>
      <c r="BY266" s="66">
        <f t="shared" si="354"/>
        <v>0</v>
      </c>
      <c r="BZ266" t="str">
        <f t="shared" si="395"/>
        <v>00062</v>
      </c>
      <c r="CA266" t="str">
        <f t="shared" si="396"/>
        <v>Gastos médicos por accidente</v>
      </c>
      <c r="CB266" s="118">
        <f t="shared" si="397"/>
        <v>0</v>
      </c>
      <c r="CC266" s="118" t="str">
        <f t="shared" si="398"/>
        <v>A</v>
      </c>
      <c r="CD266" s="119" t="str">
        <f t="shared" si="355"/>
        <v/>
      </c>
      <c r="CE266" s="66">
        <f>+IF($W266="","",ROUND((VLOOKUP(ROUNDDOWN($D266-1/frec,0),cob_adi,BO$40,FALSE)*(1+i/frec)^-0.5*(1+Parámetros!$D$103)*(1+rec_fracc)/frec*'TABLAS ADI'!$BC$17),2))</f>
        <v>0</v>
      </c>
      <c r="CF266" s="119" t="str">
        <f t="shared" si="356"/>
        <v/>
      </c>
      <c r="CG266" s="66">
        <f>+IF($W266="","",ROUND(IF($B266&gt;Parámetros!$D$107,'Tablas Servicio'!CE266+('Tablas Servicio'!CG265-'Tablas Servicio'!CE265),CE266/(1-IF(B266&lt;=10,Parámetros!$D$100,0))),2))</f>
        <v>0</v>
      </c>
      <c r="CH266" s="66">
        <f t="shared" si="357"/>
        <v>0</v>
      </c>
      <c r="CI266" s="66">
        <f t="shared" si="357"/>
        <v>0</v>
      </c>
      <c r="CJ266" s="66">
        <f>+IF($W266="","",ROUND((CG266*Parámetros!$G$85),2))</f>
        <v>0</v>
      </c>
      <c r="CK266" s="66">
        <f>+IF($W266="","",ROUND((CG266*(Parámetros!$G$86)),2))</f>
        <v>0</v>
      </c>
      <c r="CL266" s="66">
        <f t="shared" si="358"/>
        <v>0</v>
      </c>
      <c r="CM266" t="str">
        <f t="shared" si="399"/>
        <v>00063</v>
      </c>
      <c r="CN266" s="118" t="str">
        <f t="shared" si="400"/>
        <v>Renta Diaria por Hospitalización</v>
      </c>
      <c r="CO266" s="118">
        <f t="shared" si="401"/>
        <v>0</v>
      </c>
      <c r="CP266" s="118" t="str">
        <f t="shared" si="402"/>
        <v>A</v>
      </c>
      <c r="CQ266" s="119" t="str">
        <f t="shared" si="359"/>
        <v/>
      </c>
      <c r="CR266" s="66">
        <f>+IF($W266="","",ROUND((VLOOKUP(Parámetros!$F$51,'COBERTURAS ADICIONALES'!$S$4:$T$32,2,FALSE)*(1+i/frec)^-0.5*(1+Parámetros!$D$103)*(1+rec_fracc)/frec*$CO$42),2))</f>
        <v>0</v>
      </c>
      <c r="CS266" s="119" t="str">
        <f t="shared" si="360"/>
        <v/>
      </c>
      <c r="CT266" s="66">
        <f>+IF($W266="","",ROUND(IF($B266&gt;Parámetros!$D$107,'Tablas Servicio'!CR266+('Tablas Servicio'!CT265-'Tablas Servicio'!CR265),CR266/(1-IF(B266&lt;=10,Parámetros!$D$100,0))),2))</f>
        <v>0</v>
      </c>
      <c r="CU266" s="66">
        <f t="shared" si="361"/>
        <v>0</v>
      </c>
      <c r="CV266" s="66">
        <f t="shared" si="361"/>
        <v>0</v>
      </c>
      <c r="CW266" s="66">
        <f>+IF($W266="","",ROUND((CT266*Parámetros!$G$85),2))</f>
        <v>0</v>
      </c>
      <c r="CX266" s="66">
        <f>+IF($W266="","",ROUND((CT266*(Parámetros!$G$86)),2))</f>
        <v>0</v>
      </c>
      <c r="CY266" s="66">
        <f t="shared" si="362"/>
        <v>0</v>
      </c>
      <c r="CZ266" t="str">
        <f t="shared" si="403"/>
        <v>00064</v>
      </c>
      <c r="DA266" s="118" t="str">
        <f t="shared" si="404"/>
        <v>Enfermedades Graves</v>
      </c>
      <c r="DB266" s="118">
        <f t="shared" si="405"/>
        <v>0</v>
      </c>
      <c r="DC266" s="118" t="str">
        <f t="shared" si="406"/>
        <v>A</v>
      </c>
      <c r="DD266" s="121" t="str">
        <f>+IF(OR($W266="",DB266=0),"",ROUND((VLOOKUP(ROUNDDOWN($D266-1/frec,0),cob_adi,CO$40,FALSE)*(1+i/frec)^-0.5*(1+Parámetros!$D$103)*(1+rec_fracc)/frec),6))</f>
        <v/>
      </c>
      <c r="DE266" s="66">
        <f t="shared" si="363"/>
        <v>0</v>
      </c>
      <c r="DF266" s="119" t="str">
        <f t="shared" si="364"/>
        <v/>
      </c>
      <c r="DG266" s="66">
        <f>+IF($W266="","",ROUND(IF($B266&gt;Parámetros!$D$107,'Tablas Servicio'!DE266+('Tablas Servicio'!DG265-'Tablas Servicio'!DE265),DE266/(1-IF(B266&lt;=10,Parámetros!$D$100,0))),2))</f>
        <v>0</v>
      </c>
      <c r="DH266" s="66">
        <f t="shared" si="365"/>
        <v>0</v>
      </c>
      <c r="DI266" s="66">
        <f t="shared" si="365"/>
        <v>0</v>
      </c>
      <c r="DJ266" s="66">
        <f>+IF($W266="","",ROUND((DG266*Parámetros!$G$85),2))</f>
        <v>0</v>
      </c>
      <c r="DK266" s="66">
        <f>+IF($W266="","",ROUND((DG266*(Parámetros!$G$86)),2))</f>
        <v>0</v>
      </c>
      <c r="DL266" s="66">
        <f t="shared" si="366"/>
        <v>0</v>
      </c>
      <c r="DM266" t="str">
        <f t="shared" si="407"/>
        <v>00065</v>
      </c>
      <c r="DN266" s="118" t="str">
        <f t="shared" si="408"/>
        <v>Exención pago de primas</v>
      </c>
      <c r="DO266" s="118">
        <f t="shared" si="409"/>
        <v>0</v>
      </c>
      <c r="DP266" s="118" t="str">
        <f t="shared" si="410"/>
        <v>A</v>
      </c>
      <c r="DQ266" s="122" t="str">
        <f>+IF(OR($W266="",DO266=0),"",ROUND((VLOOKUP(ROUNDDOWN($D266-1/frec,0),cob_adi,DB$40,FALSE)*(1+i/frec)^-0.5*(1+Parámetros!$D$103)*(1+rec_fracc)/frec),6))</f>
        <v/>
      </c>
      <c r="DR266" s="66">
        <f t="shared" si="367"/>
        <v>0</v>
      </c>
      <c r="DS266" s="68" t="str">
        <f t="shared" si="368"/>
        <v/>
      </c>
      <c r="DT266" s="66">
        <f>+IF($W266="","",ROUND(IF($B266&gt;Parámetros!$D$107,'Tablas Servicio'!DR266+('Tablas Servicio'!DT265-'Tablas Servicio'!DR265),DR266/(1-IF(B266&lt;=10,Parámetros!$D$100,0))),2))</f>
        <v>0</v>
      </c>
      <c r="DU266" s="66">
        <f t="shared" si="369"/>
        <v>0</v>
      </c>
      <c r="DV266" s="66">
        <f t="shared" si="369"/>
        <v>0</v>
      </c>
      <c r="DW266" s="66">
        <f>+IF($W266="","",ROUND((DT266*Parámetros!$G$85),2))</f>
        <v>0</v>
      </c>
      <c r="DX266" s="66">
        <f>+IF($W266="","",ROUND((DT266*(Parámetros!$G$86)),2))</f>
        <v>0</v>
      </c>
      <c r="DY266" s="66">
        <f t="shared" si="370"/>
        <v>0</v>
      </c>
      <c r="DZ266" t="str">
        <f t="shared" si="411"/>
        <v>00066</v>
      </c>
      <c r="EA266" s="118" t="str">
        <f t="shared" si="411"/>
        <v>Enfermedad terminal</v>
      </c>
      <c r="EB266" s="118">
        <f>+IF($W266="","",ROUND(IF(Parámetros!$D$25='TABLAS MORT'!$V$33,EB265,Z266/2),0))</f>
        <v>50000</v>
      </c>
      <c r="EC266" s="118" t="str">
        <f t="shared" si="411"/>
        <v>A</v>
      </c>
      <c r="ED266" s="122">
        <f>+IF(OR($W266="",EB266=0),"",ROUND((VLOOKUP(ROUNDDOWN($D266-1/frec,0),cob_adi,DO$40,FALSE)*(1+i/frec)^-0.5*(1+Parámetros!$D$103)*(1+rec_fracc)/frec),6))</f>
        <v>2.6999999999999999E-5</v>
      </c>
      <c r="EE266" s="66">
        <f t="shared" si="372"/>
        <v>1.35</v>
      </c>
      <c r="EF266" s="68">
        <f t="shared" si="373"/>
        <v>2.6999999999999999E-5</v>
      </c>
      <c r="EG266" s="66">
        <f>+IF($W266="","",ROUND(IF($B266&gt;Parámetros!$D$107,'Tablas Servicio'!EE266+('Tablas Servicio'!EG265-'Tablas Servicio'!EE265),EE266/(1-IF(B266&lt;=10,Parámetros!$D$100,0))),2))</f>
        <v>1.35</v>
      </c>
      <c r="EH266" s="66">
        <f t="shared" si="374"/>
        <v>0</v>
      </c>
      <c r="EI266" s="66">
        <f t="shared" si="374"/>
        <v>0</v>
      </c>
      <c r="EJ266" s="66">
        <f>+IF($W266="","",ROUND((EG266*Parámetros!$G$85),2))</f>
        <v>0.05</v>
      </c>
      <c r="EK266" s="66">
        <f>+IF($W266="","",ROUND((EG266*(Parámetros!$G$86)),2))</f>
        <v>0.01</v>
      </c>
      <c r="EL266" s="66">
        <f t="shared" si="375"/>
        <v>1.41</v>
      </c>
    </row>
    <row r="267" spans="1:142" x14ac:dyDescent="0.25">
      <c r="A267">
        <f>+IF($C267="","",ROUND(VLOOKUP('Tablas Servicio'!B267,Parámetros!$H$100:$J$159,IF(Parámetros!$E$16="F",2,3),FALSE),2))</f>
        <v>150</v>
      </c>
      <c r="B267">
        <f t="shared" si="326"/>
        <v>19</v>
      </c>
      <c r="C267" s="57">
        <f>+IF(D267="","",'Tablas Servicio'!C266+1)</f>
        <v>226</v>
      </c>
      <c r="D267" s="56">
        <f>+IF(D266&lt;edadmaxtabla,D266+1/Parámetros!$E$25,"")</f>
        <v>58.853333333333872</v>
      </c>
      <c r="E267" s="57">
        <f t="shared" si="336"/>
        <v>58</v>
      </c>
      <c r="F267" s="59">
        <f t="shared" si="337"/>
        <v>100000</v>
      </c>
      <c r="G267" s="66">
        <f t="shared" si="327"/>
        <v>53.45</v>
      </c>
      <c r="H267" s="66">
        <f t="shared" si="328"/>
        <v>55.589999999999996</v>
      </c>
      <c r="I267" s="66">
        <f t="shared" si="376"/>
        <v>38.410000000000004</v>
      </c>
      <c r="J267" s="66">
        <f t="shared" si="329"/>
        <v>1.87</v>
      </c>
      <c r="K267" s="66">
        <f t="shared" si="330"/>
        <v>0.27</v>
      </c>
      <c r="L267" s="66">
        <f t="shared" si="331"/>
        <v>0</v>
      </c>
      <c r="M267" s="66">
        <f t="shared" si="332"/>
        <v>0</v>
      </c>
      <c r="N267" s="66">
        <f>+IF(C267="","",ROUND(Parámetros!$D$23,2))</f>
        <v>94</v>
      </c>
      <c r="O267" s="66">
        <f t="shared" si="333"/>
        <v>40.950000000000003</v>
      </c>
      <c r="P267" s="66">
        <f>+IF($C267="","",ROUND(IF(B267&gt;Parámetros!$D$117,0,N267*Parámetros!$D$116-G267*Parámetros!$D$100),2))</f>
        <v>0</v>
      </c>
      <c r="Q267" s="75">
        <f t="shared" si="377"/>
        <v>3.498596819457437E-2</v>
      </c>
      <c r="R267" s="75">
        <f t="shared" si="378"/>
        <v>5.0514499532273152E-3</v>
      </c>
      <c r="S267" s="117">
        <f>+IF($C267="","",ROUND((S266+I267)*(1+Parámetros!$D$91),2))</f>
        <v>16610.86</v>
      </c>
      <c r="T267" s="117">
        <f>+IF($C267="","",ROUND(S267*VLOOKUP(B267,Parámetros!$C$30:$D$39,2,TRUE),2))</f>
        <v>16610.86</v>
      </c>
      <c r="U267" s="117">
        <f>+IF($C267="","",ROUND((U266+I267)*(1+Parámetros!$D$92),2))</f>
        <v>17523.21</v>
      </c>
      <c r="V267" s="117">
        <f>+IF($C267="","",ROUND(U267*VLOOKUP(B267,Parámetros!$C$30:$D$39,2,TRUE),2))</f>
        <v>17523.21</v>
      </c>
      <c r="W267" s="57">
        <f t="shared" si="379"/>
        <v>226</v>
      </c>
      <c r="X267" t="str">
        <f t="shared" si="380"/>
        <v>00058</v>
      </c>
      <c r="Y267" t="str">
        <f t="shared" si="381"/>
        <v>MUERTE POR CUALQUIER CAUSA</v>
      </c>
      <c r="Z267" s="118">
        <f>+IF($W267="","",ROUND(IF(Parámetros!$D$25='TABLAS MORT'!$V$33,Z266,Parámetros!$D$21-'Tablas Servicio'!T266),0))</f>
        <v>100000</v>
      </c>
      <c r="AA267" s="118" t="str">
        <f t="shared" si="382"/>
        <v>P</v>
      </c>
      <c r="AB267" s="119">
        <f>+IF(W267="","",ROUND((VLOOKUP(ROUNDDOWN($D267-1/frec,0),qx_tabla,2,FALSE)*(1+i/frec)^-0.5*(1+Parámetros!$D$103)*(1+rec_fracc)/frec),6))</f>
        <v>3.9599999999999998E-4</v>
      </c>
      <c r="AC267" s="66">
        <f t="shared" si="338"/>
        <v>39.6</v>
      </c>
      <c r="AD267" s="119">
        <f t="shared" si="334"/>
        <v>5.2099999999999998E-4</v>
      </c>
      <c r="AE267" s="66">
        <f>+IF($W267="","",ROUND(IF($B267&gt;Parámetros!$D$107,'Tablas Servicio'!AC267+('Tablas Servicio'!AG266-'Tablas Servicio'!AC266),AC267/(1-IF(B267&lt;=10,Parámetros!$D$104,Parámetros!$D$105))),2))</f>
        <v>66</v>
      </c>
      <c r="AF267" s="66">
        <f>+IF($W267="","",ROUND(IF($B267&gt;Parámetros!$D$107,'Tablas Servicio'!AC267+('Tablas Servicio'!AG266-'Tablas Servicio'!AC266),(AC267+$A266/frec)/(1-IF(B267&lt;=Parámetros!$D$117,Parámetros!$D$100,0))),2))</f>
        <v>52.1</v>
      </c>
      <c r="AG267" s="66">
        <f t="shared" si="339"/>
        <v>52.1</v>
      </c>
      <c r="AH267" s="66">
        <f t="shared" si="340"/>
        <v>0</v>
      </c>
      <c r="AI267" s="66">
        <f t="shared" si="341"/>
        <v>0</v>
      </c>
      <c r="AJ267" s="66">
        <f>+IF($W267="","",ROUND((AG267*Parámetros!$G$85),2))</f>
        <v>1.82</v>
      </c>
      <c r="AK267" s="66">
        <f>+IF($W267="","",ROUND((AG267*(Parámetros!$G$86)),2))</f>
        <v>0.26</v>
      </c>
      <c r="AL267" s="66">
        <f t="shared" si="335"/>
        <v>54.18</v>
      </c>
      <c r="AM267" t="str">
        <f t="shared" si="383"/>
        <v>00059</v>
      </c>
      <c r="AN267" t="str">
        <f t="shared" si="384"/>
        <v>Incapacidad Total y Permanente</v>
      </c>
      <c r="AO267" s="118">
        <f t="shared" si="385"/>
        <v>0</v>
      </c>
      <c r="AP267" s="118" t="str">
        <f t="shared" si="386"/>
        <v>A</v>
      </c>
      <c r="AQ267" s="119" t="str">
        <f>+IF(OR($W267="",AO267=0),"",ROUND((VLOOKUP(ROUNDDOWN($D267-1/frec,0),cob_adi,Z$40,FALSE)*(1+i/frec)^-0.5*(1+Parámetros!$D$103)*(1+rec_fracc)/frec),6))</f>
        <v/>
      </c>
      <c r="AR267" s="66">
        <f t="shared" si="342"/>
        <v>0</v>
      </c>
      <c r="AS267" s="119" t="str">
        <f t="shared" si="343"/>
        <v/>
      </c>
      <c r="AT267" s="66">
        <f>+IF($W267="","",ROUND(IF($B267&gt;Parámetros!$D$107,'Tablas Servicio'!AR267+('Tablas Servicio'!AT266-'Tablas Servicio'!AR266),AR267/(1-IF(B267&lt;=10,Parámetros!$D$100,0))),2))</f>
        <v>0</v>
      </c>
      <c r="AU267" s="66">
        <f t="shared" si="344"/>
        <v>0</v>
      </c>
      <c r="AV267" s="66">
        <f t="shared" si="344"/>
        <v>0</v>
      </c>
      <c r="AW267" s="66">
        <f>+IF($W267="","",ROUND((AT267*Parámetros!$G$85),2))</f>
        <v>0</v>
      </c>
      <c r="AX267" s="66">
        <f>+IF($W267="","",ROUND((AT267*(Parámetros!$G$86)),2))</f>
        <v>0</v>
      </c>
      <c r="AY267" s="66">
        <f t="shared" si="345"/>
        <v>0</v>
      </c>
      <c r="AZ267" t="str">
        <f t="shared" si="387"/>
        <v>00060</v>
      </c>
      <c r="BA267" t="str">
        <f t="shared" si="388"/>
        <v>Muerte Accidental</v>
      </c>
      <c r="BB267" s="118">
        <f t="shared" si="389"/>
        <v>0</v>
      </c>
      <c r="BC267" s="118" t="str">
        <f t="shared" si="390"/>
        <v>A</v>
      </c>
      <c r="BD267" s="119" t="str">
        <f>+IF(OR($W267="",BB267=0),"",ROUND((VLOOKUP(ROUNDDOWN($D267-1/frec,0),cob_adi,AO$40,FALSE)*(1+i/frec)^-0.5*(1+Parámetros!$D$103)*(1+rec_fracc)/frec),6))</f>
        <v/>
      </c>
      <c r="BE267" s="66">
        <f t="shared" si="346"/>
        <v>0</v>
      </c>
      <c r="BF267" s="119" t="str">
        <f t="shared" si="347"/>
        <v/>
      </c>
      <c r="BG267" s="66">
        <f>+IF($W267="","",ROUND(IF($B267&gt;Parámetros!$D$107,'Tablas Servicio'!BE267+('Tablas Servicio'!BG266-'Tablas Servicio'!BE266),BE267/(1-IF(B267&lt;=10,Parámetros!$D$100,0))),2))</f>
        <v>0</v>
      </c>
      <c r="BH267" s="66">
        <f t="shared" si="348"/>
        <v>0</v>
      </c>
      <c r="BI267" s="66">
        <f t="shared" si="349"/>
        <v>0</v>
      </c>
      <c r="BJ267" s="66">
        <f>+IF($W267="","",ROUND((BG267*Parámetros!$G$85),2))</f>
        <v>0</v>
      </c>
      <c r="BK267" s="66">
        <f>+IF($W267="","",ROUND((BG267*(Parámetros!$G$86)),2))</f>
        <v>0</v>
      </c>
      <c r="BL267" s="66">
        <f t="shared" si="350"/>
        <v>0</v>
      </c>
      <c r="BM267" t="str">
        <f t="shared" si="391"/>
        <v>00061</v>
      </c>
      <c r="BN267" t="str">
        <f t="shared" si="392"/>
        <v>Gastos de Entierro</v>
      </c>
      <c r="BO267" s="118">
        <f t="shared" si="393"/>
        <v>0</v>
      </c>
      <c r="BP267" s="118" t="str">
        <f t="shared" si="394"/>
        <v>A</v>
      </c>
      <c r="BQ267" s="119" t="str">
        <f>+IF(OR($W267="",BO267=0),"",ROUND((VLOOKUP(ROUNDDOWN($D267-1/frec,0),cob_adi,BB$40,FALSE)*(1+i/frec)^-0.5*(1+Parámetros!$D$103)*(1+rec_fracc)/frec),6))</f>
        <v/>
      </c>
      <c r="BR267" s="66">
        <f t="shared" si="351"/>
        <v>0</v>
      </c>
      <c r="BS267" s="119" t="str">
        <f t="shared" si="352"/>
        <v/>
      </c>
      <c r="BT267" s="66">
        <f>+IF($W267="","",ROUND(IF($B267&gt;Parámetros!$D$107,'Tablas Servicio'!BR267+('Tablas Servicio'!BT266-'Tablas Servicio'!BR266),BR267/(1-IF(B267&lt;=10,Parámetros!$D$100,0))),2))</f>
        <v>0</v>
      </c>
      <c r="BU267" s="66">
        <f t="shared" si="353"/>
        <v>0</v>
      </c>
      <c r="BV267" s="66">
        <f t="shared" si="353"/>
        <v>0</v>
      </c>
      <c r="BW267" s="66">
        <f>+IF($W267="","",ROUND((BT267*Parámetros!$G$85),2))</f>
        <v>0</v>
      </c>
      <c r="BX267" s="66">
        <f>+IF($W267="","",ROUND((BT267*(Parámetros!$G$86)),2))</f>
        <v>0</v>
      </c>
      <c r="BY267" s="66">
        <f t="shared" si="354"/>
        <v>0</v>
      </c>
      <c r="BZ267" t="str">
        <f t="shared" si="395"/>
        <v>00062</v>
      </c>
      <c r="CA267" t="str">
        <f t="shared" si="396"/>
        <v>Gastos médicos por accidente</v>
      </c>
      <c r="CB267" s="118">
        <f t="shared" si="397"/>
        <v>0</v>
      </c>
      <c r="CC267" s="118" t="str">
        <f t="shared" si="398"/>
        <v>A</v>
      </c>
      <c r="CD267" s="119" t="str">
        <f t="shared" si="355"/>
        <v/>
      </c>
      <c r="CE267" s="66">
        <f>+IF($W267="","",ROUND((VLOOKUP(ROUNDDOWN($D267-1/frec,0),cob_adi,BO$40,FALSE)*(1+i/frec)^-0.5*(1+Parámetros!$D$103)*(1+rec_fracc)/frec*'TABLAS ADI'!$BC$17),2))</f>
        <v>0</v>
      </c>
      <c r="CF267" s="119" t="str">
        <f t="shared" si="356"/>
        <v/>
      </c>
      <c r="CG267" s="66">
        <f>+IF($W267="","",ROUND(IF($B267&gt;Parámetros!$D$107,'Tablas Servicio'!CE267+('Tablas Servicio'!CG266-'Tablas Servicio'!CE266),CE267/(1-IF(B267&lt;=10,Parámetros!$D$100,0))),2))</f>
        <v>0</v>
      </c>
      <c r="CH267" s="66">
        <f t="shared" si="357"/>
        <v>0</v>
      </c>
      <c r="CI267" s="66">
        <f t="shared" si="357"/>
        <v>0</v>
      </c>
      <c r="CJ267" s="66">
        <f>+IF($W267="","",ROUND((CG267*Parámetros!$G$85),2))</f>
        <v>0</v>
      </c>
      <c r="CK267" s="66">
        <f>+IF($W267="","",ROUND((CG267*(Parámetros!$G$86)),2))</f>
        <v>0</v>
      </c>
      <c r="CL267" s="66">
        <f t="shared" si="358"/>
        <v>0</v>
      </c>
      <c r="CM267" t="str">
        <f t="shared" si="399"/>
        <v>00063</v>
      </c>
      <c r="CN267" s="118" t="str">
        <f t="shared" si="400"/>
        <v>Renta Diaria por Hospitalización</v>
      </c>
      <c r="CO267" s="118">
        <f t="shared" si="401"/>
        <v>0</v>
      </c>
      <c r="CP267" s="118" t="str">
        <f t="shared" si="402"/>
        <v>A</v>
      </c>
      <c r="CQ267" s="119" t="str">
        <f t="shared" si="359"/>
        <v/>
      </c>
      <c r="CR267" s="66">
        <f>+IF($W267="","",ROUND((VLOOKUP(Parámetros!$F$51,'COBERTURAS ADICIONALES'!$S$4:$T$32,2,FALSE)*(1+i/frec)^-0.5*(1+Parámetros!$D$103)*(1+rec_fracc)/frec*$CO$42),2))</f>
        <v>0</v>
      </c>
      <c r="CS267" s="119" t="str">
        <f t="shared" si="360"/>
        <v/>
      </c>
      <c r="CT267" s="66">
        <f>+IF($W267="","",ROUND(IF($B267&gt;Parámetros!$D$107,'Tablas Servicio'!CR267+('Tablas Servicio'!CT266-'Tablas Servicio'!CR266),CR267/(1-IF(B267&lt;=10,Parámetros!$D$100,0))),2))</f>
        <v>0</v>
      </c>
      <c r="CU267" s="66">
        <f t="shared" si="361"/>
        <v>0</v>
      </c>
      <c r="CV267" s="66">
        <f t="shared" si="361"/>
        <v>0</v>
      </c>
      <c r="CW267" s="66">
        <f>+IF($W267="","",ROUND((CT267*Parámetros!$G$85),2))</f>
        <v>0</v>
      </c>
      <c r="CX267" s="66">
        <f>+IF($W267="","",ROUND((CT267*(Parámetros!$G$86)),2))</f>
        <v>0</v>
      </c>
      <c r="CY267" s="66">
        <f t="shared" si="362"/>
        <v>0</v>
      </c>
      <c r="CZ267" t="str">
        <f t="shared" si="403"/>
        <v>00064</v>
      </c>
      <c r="DA267" s="118" t="str">
        <f t="shared" si="404"/>
        <v>Enfermedades Graves</v>
      </c>
      <c r="DB267" s="118">
        <f t="shared" si="405"/>
        <v>0</v>
      </c>
      <c r="DC267" s="118" t="str">
        <f t="shared" si="406"/>
        <v>A</v>
      </c>
      <c r="DD267" s="121" t="str">
        <f>+IF(OR($W267="",DB267=0),"",ROUND((VLOOKUP(ROUNDDOWN($D267-1/frec,0),cob_adi,CO$40,FALSE)*(1+i/frec)^-0.5*(1+Parámetros!$D$103)*(1+rec_fracc)/frec),6))</f>
        <v/>
      </c>
      <c r="DE267" s="66">
        <f t="shared" si="363"/>
        <v>0</v>
      </c>
      <c r="DF267" s="119" t="str">
        <f t="shared" si="364"/>
        <v/>
      </c>
      <c r="DG267" s="66">
        <f>+IF($W267="","",ROUND(IF($B267&gt;Parámetros!$D$107,'Tablas Servicio'!DE267+('Tablas Servicio'!DG266-'Tablas Servicio'!DE266),DE267/(1-IF(B267&lt;=10,Parámetros!$D$100,0))),2))</f>
        <v>0</v>
      </c>
      <c r="DH267" s="66">
        <f t="shared" si="365"/>
        <v>0</v>
      </c>
      <c r="DI267" s="66">
        <f t="shared" si="365"/>
        <v>0</v>
      </c>
      <c r="DJ267" s="66">
        <f>+IF($W267="","",ROUND((DG267*Parámetros!$G$85),2))</f>
        <v>0</v>
      </c>
      <c r="DK267" s="66">
        <f>+IF($W267="","",ROUND((DG267*(Parámetros!$G$86)),2))</f>
        <v>0</v>
      </c>
      <c r="DL267" s="66">
        <f t="shared" si="366"/>
        <v>0</v>
      </c>
      <c r="DM267" t="str">
        <f t="shared" si="407"/>
        <v>00065</v>
      </c>
      <c r="DN267" s="118" t="str">
        <f t="shared" si="408"/>
        <v>Exención pago de primas</v>
      </c>
      <c r="DO267" s="118">
        <f t="shared" si="409"/>
        <v>0</v>
      </c>
      <c r="DP267" s="118" t="str">
        <f t="shared" si="410"/>
        <v>A</v>
      </c>
      <c r="DQ267" s="122" t="str">
        <f>+IF(OR($W267="",DO267=0),"",ROUND((VLOOKUP(ROUNDDOWN($D267-1/frec,0),cob_adi,DB$40,FALSE)*(1+i/frec)^-0.5*(1+Parámetros!$D$103)*(1+rec_fracc)/frec),6))</f>
        <v/>
      </c>
      <c r="DR267" s="66">
        <f t="shared" si="367"/>
        <v>0</v>
      </c>
      <c r="DS267" s="68" t="str">
        <f t="shared" si="368"/>
        <v/>
      </c>
      <c r="DT267" s="66">
        <f>+IF($W267="","",ROUND(IF($B267&gt;Parámetros!$D$107,'Tablas Servicio'!DR267+('Tablas Servicio'!DT266-'Tablas Servicio'!DR266),DR267/(1-IF(B267&lt;=10,Parámetros!$D$100,0))),2))</f>
        <v>0</v>
      </c>
      <c r="DU267" s="66">
        <f t="shared" si="369"/>
        <v>0</v>
      </c>
      <c r="DV267" s="66">
        <f t="shared" si="369"/>
        <v>0</v>
      </c>
      <c r="DW267" s="66">
        <f>+IF($W267="","",ROUND((DT267*Parámetros!$G$85),2))</f>
        <v>0</v>
      </c>
      <c r="DX267" s="66">
        <f>+IF($W267="","",ROUND((DT267*(Parámetros!$G$86)),2))</f>
        <v>0</v>
      </c>
      <c r="DY267" s="66">
        <f t="shared" si="370"/>
        <v>0</v>
      </c>
      <c r="DZ267" t="str">
        <f t="shared" ref="DZ267:EC282" si="412">+IF($W267="","",DZ266)</f>
        <v>00066</v>
      </c>
      <c r="EA267" s="118" t="str">
        <f t="shared" si="412"/>
        <v>Enfermedad terminal</v>
      </c>
      <c r="EB267" s="118">
        <f>+IF($W267="","",ROUND(IF(Parámetros!$D$25='TABLAS MORT'!$V$33,EB266,Z267/2),0))</f>
        <v>50000</v>
      </c>
      <c r="EC267" s="118" t="str">
        <f t="shared" si="412"/>
        <v>A</v>
      </c>
      <c r="ED267" s="122">
        <f>+IF(OR($W267="",EB267=0),"",ROUND((VLOOKUP(ROUNDDOWN($D267-1/frec,0),cob_adi,DO$40,FALSE)*(1+i/frec)^-0.5*(1+Parámetros!$D$103)*(1+rec_fracc)/frec),6))</f>
        <v>2.6999999999999999E-5</v>
      </c>
      <c r="EE267" s="66">
        <f t="shared" si="372"/>
        <v>1.35</v>
      </c>
      <c r="EF267" s="68">
        <f t="shared" si="373"/>
        <v>2.6999999999999999E-5</v>
      </c>
      <c r="EG267" s="66">
        <f>+IF($W267="","",ROUND(IF($B267&gt;Parámetros!$D$107,'Tablas Servicio'!EE267+('Tablas Servicio'!EG266-'Tablas Servicio'!EE266),EE267/(1-IF(B267&lt;=10,Parámetros!$D$100,0))),2))</f>
        <v>1.35</v>
      </c>
      <c r="EH267" s="66">
        <f t="shared" si="374"/>
        <v>0</v>
      </c>
      <c r="EI267" s="66">
        <f t="shared" si="374"/>
        <v>0</v>
      </c>
      <c r="EJ267" s="66">
        <f>+IF($W267="","",ROUND((EG267*Parámetros!$G$85),2))</f>
        <v>0.05</v>
      </c>
      <c r="EK267" s="66">
        <f>+IF($W267="","",ROUND((EG267*(Parámetros!$G$86)),2))</f>
        <v>0.01</v>
      </c>
      <c r="EL267" s="66">
        <f t="shared" si="375"/>
        <v>1.41</v>
      </c>
    </row>
    <row r="268" spans="1:142" x14ac:dyDescent="0.25">
      <c r="A268">
        <f>+IF($C268="","",ROUND(VLOOKUP('Tablas Servicio'!B268,Parámetros!$H$100:$J$159,IF(Parámetros!$E$16="F",2,3),FALSE),2))</f>
        <v>150</v>
      </c>
      <c r="B268">
        <f t="shared" si="326"/>
        <v>19</v>
      </c>
      <c r="C268" s="57">
        <f>+IF(D268="","",'Tablas Servicio'!C267+1)</f>
        <v>227</v>
      </c>
      <c r="D268" s="56">
        <f>+IF(D267&lt;edadmaxtabla,D267+1/Parámetros!$E$25,"")</f>
        <v>58.936666666667207</v>
      </c>
      <c r="E268" s="57">
        <f t="shared" si="336"/>
        <v>58</v>
      </c>
      <c r="F268" s="59">
        <f t="shared" si="337"/>
        <v>100000</v>
      </c>
      <c r="G268" s="66">
        <f t="shared" si="327"/>
        <v>53.45</v>
      </c>
      <c r="H268" s="66">
        <f t="shared" si="328"/>
        <v>55.589999999999996</v>
      </c>
      <c r="I268" s="66">
        <f t="shared" si="376"/>
        <v>38.410000000000004</v>
      </c>
      <c r="J268" s="66">
        <f t="shared" si="329"/>
        <v>1.87</v>
      </c>
      <c r="K268" s="66">
        <f t="shared" si="330"/>
        <v>0.27</v>
      </c>
      <c r="L268" s="66">
        <f t="shared" si="331"/>
        <v>0</v>
      </c>
      <c r="M268" s="66">
        <f t="shared" si="332"/>
        <v>0</v>
      </c>
      <c r="N268" s="66">
        <f>+IF(C268="","",ROUND(Parámetros!$D$23,2))</f>
        <v>94</v>
      </c>
      <c r="O268" s="66">
        <f t="shared" si="333"/>
        <v>40.950000000000003</v>
      </c>
      <c r="P268" s="66">
        <f>+IF($C268="","",ROUND(IF(B268&gt;Parámetros!$D$117,0,N268*Parámetros!$D$116-G268*Parámetros!$D$100),2))</f>
        <v>0</v>
      </c>
      <c r="Q268" s="75">
        <f t="shared" si="377"/>
        <v>3.498596819457437E-2</v>
      </c>
      <c r="R268" s="75">
        <f t="shared" si="378"/>
        <v>5.0514499532273152E-3</v>
      </c>
      <c r="S268" s="117">
        <f>+IF($C268="","",ROUND((S267+I268)*(1+Parámetros!$D$91),2))</f>
        <v>16696.490000000002</v>
      </c>
      <c r="T268" s="117">
        <f>+IF($C268="","",ROUND(S268*VLOOKUP(B268,Parámetros!$C$30:$D$39,2,TRUE),2))</f>
        <v>16696.490000000002</v>
      </c>
      <c r="U268" s="117">
        <f>+IF($C268="","",ROUND((U267+I268)*(1+Parámetros!$D$92),2))</f>
        <v>17618.55</v>
      </c>
      <c r="V268" s="117">
        <f>+IF($C268="","",ROUND(U268*VLOOKUP(B268,Parámetros!$C$30:$D$39,2,TRUE),2))</f>
        <v>17618.55</v>
      </c>
      <c r="W268" s="57">
        <f t="shared" si="379"/>
        <v>227</v>
      </c>
      <c r="X268" t="str">
        <f t="shared" si="380"/>
        <v>00058</v>
      </c>
      <c r="Y268" t="str">
        <f t="shared" si="381"/>
        <v>MUERTE POR CUALQUIER CAUSA</v>
      </c>
      <c r="Z268" s="118">
        <f>+IF($W268="","",ROUND(IF(Parámetros!$D$25='TABLAS MORT'!$V$33,Z267,Parámetros!$D$21-'Tablas Servicio'!T267),0))</f>
        <v>100000</v>
      </c>
      <c r="AA268" s="118" t="str">
        <f t="shared" si="382"/>
        <v>P</v>
      </c>
      <c r="AB268" s="119">
        <f>+IF(W268="","",ROUND((VLOOKUP(ROUNDDOWN($D268-1/frec,0),qx_tabla,2,FALSE)*(1+i/frec)^-0.5*(1+Parámetros!$D$103)*(1+rec_fracc)/frec),6))</f>
        <v>3.9599999999999998E-4</v>
      </c>
      <c r="AC268" s="66">
        <f t="shared" si="338"/>
        <v>39.6</v>
      </c>
      <c r="AD268" s="119">
        <f t="shared" si="334"/>
        <v>5.2099999999999998E-4</v>
      </c>
      <c r="AE268" s="66">
        <f>+IF($W268="","",ROUND(IF($B268&gt;Parámetros!$D$107,'Tablas Servicio'!AC268+('Tablas Servicio'!AG267-'Tablas Servicio'!AC267),AC268/(1-IF(B268&lt;=10,Parámetros!$D$104,Parámetros!$D$105))),2))</f>
        <v>66</v>
      </c>
      <c r="AF268" s="66">
        <f>+IF($W268="","",ROUND(IF($B268&gt;Parámetros!$D$107,'Tablas Servicio'!AC268+('Tablas Servicio'!AG267-'Tablas Servicio'!AC267),(AC268+$A267/frec)/(1-IF(B268&lt;=Parámetros!$D$117,Parámetros!$D$100,0))),2))</f>
        <v>52.1</v>
      </c>
      <c r="AG268" s="66">
        <f t="shared" si="339"/>
        <v>52.1</v>
      </c>
      <c r="AH268" s="66">
        <f t="shared" si="340"/>
        <v>0</v>
      </c>
      <c r="AI268" s="66">
        <f t="shared" si="341"/>
        <v>0</v>
      </c>
      <c r="AJ268" s="66">
        <f>+IF($W268="","",ROUND((AG268*Parámetros!$G$85),2))</f>
        <v>1.82</v>
      </c>
      <c r="AK268" s="66">
        <f>+IF($W268="","",ROUND((AG268*(Parámetros!$G$86)),2))</f>
        <v>0.26</v>
      </c>
      <c r="AL268" s="66">
        <f t="shared" si="335"/>
        <v>54.18</v>
      </c>
      <c r="AM268" t="str">
        <f t="shared" si="383"/>
        <v>00059</v>
      </c>
      <c r="AN268" t="str">
        <f t="shared" si="384"/>
        <v>Incapacidad Total y Permanente</v>
      </c>
      <c r="AO268" s="118">
        <f t="shared" si="385"/>
        <v>0</v>
      </c>
      <c r="AP268" s="118" t="str">
        <f t="shared" si="386"/>
        <v>A</v>
      </c>
      <c r="AQ268" s="119" t="str">
        <f>+IF(OR($W268="",AO268=0),"",ROUND((VLOOKUP(ROUNDDOWN($D268-1/frec,0),cob_adi,Z$40,FALSE)*(1+i/frec)^-0.5*(1+Parámetros!$D$103)*(1+rec_fracc)/frec),6))</f>
        <v/>
      </c>
      <c r="AR268" s="66">
        <f t="shared" si="342"/>
        <v>0</v>
      </c>
      <c r="AS268" s="119" t="str">
        <f t="shared" si="343"/>
        <v/>
      </c>
      <c r="AT268" s="66">
        <f>+IF($W268="","",ROUND(IF($B268&gt;Parámetros!$D$107,'Tablas Servicio'!AR268+('Tablas Servicio'!AT267-'Tablas Servicio'!AR267),AR268/(1-IF(B268&lt;=10,Parámetros!$D$100,0))),2))</f>
        <v>0</v>
      </c>
      <c r="AU268" s="66">
        <f t="shared" si="344"/>
        <v>0</v>
      </c>
      <c r="AV268" s="66">
        <f t="shared" si="344"/>
        <v>0</v>
      </c>
      <c r="AW268" s="66">
        <f>+IF($W268="","",ROUND((AT268*Parámetros!$G$85),2))</f>
        <v>0</v>
      </c>
      <c r="AX268" s="66">
        <f>+IF($W268="","",ROUND((AT268*(Parámetros!$G$86)),2))</f>
        <v>0</v>
      </c>
      <c r="AY268" s="66">
        <f t="shared" si="345"/>
        <v>0</v>
      </c>
      <c r="AZ268" t="str">
        <f t="shared" si="387"/>
        <v>00060</v>
      </c>
      <c r="BA268" t="str">
        <f t="shared" si="388"/>
        <v>Muerte Accidental</v>
      </c>
      <c r="BB268" s="118">
        <f t="shared" si="389"/>
        <v>0</v>
      </c>
      <c r="BC268" s="118" t="str">
        <f t="shared" si="390"/>
        <v>A</v>
      </c>
      <c r="BD268" s="119" t="str">
        <f>+IF(OR($W268="",BB268=0),"",ROUND((VLOOKUP(ROUNDDOWN($D268-1/frec,0),cob_adi,AO$40,FALSE)*(1+i/frec)^-0.5*(1+Parámetros!$D$103)*(1+rec_fracc)/frec),6))</f>
        <v/>
      </c>
      <c r="BE268" s="66">
        <f t="shared" si="346"/>
        <v>0</v>
      </c>
      <c r="BF268" s="119" t="str">
        <f t="shared" si="347"/>
        <v/>
      </c>
      <c r="BG268" s="66">
        <f>+IF($W268="","",ROUND(IF($B268&gt;Parámetros!$D$107,'Tablas Servicio'!BE268+('Tablas Servicio'!BG267-'Tablas Servicio'!BE267),BE268/(1-IF(B268&lt;=10,Parámetros!$D$100,0))),2))</f>
        <v>0</v>
      </c>
      <c r="BH268" s="66">
        <f t="shared" si="348"/>
        <v>0</v>
      </c>
      <c r="BI268" s="66">
        <f t="shared" si="349"/>
        <v>0</v>
      </c>
      <c r="BJ268" s="66">
        <f>+IF($W268="","",ROUND((BG268*Parámetros!$G$85),2))</f>
        <v>0</v>
      </c>
      <c r="BK268" s="66">
        <f>+IF($W268="","",ROUND((BG268*(Parámetros!$G$86)),2))</f>
        <v>0</v>
      </c>
      <c r="BL268" s="66">
        <f t="shared" si="350"/>
        <v>0</v>
      </c>
      <c r="BM268" t="str">
        <f t="shared" si="391"/>
        <v>00061</v>
      </c>
      <c r="BN268" t="str">
        <f t="shared" si="392"/>
        <v>Gastos de Entierro</v>
      </c>
      <c r="BO268" s="118">
        <f t="shared" si="393"/>
        <v>0</v>
      </c>
      <c r="BP268" s="118" t="str">
        <f t="shared" si="394"/>
        <v>A</v>
      </c>
      <c r="BQ268" s="119" t="str">
        <f>+IF(OR($W268="",BO268=0),"",ROUND((VLOOKUP(ROUNDDOWN($D268-1/frec,0),cob_adi,BB$40,FALSE)*(1+i/frec)^-0.5*(1+Parámetros!$D$103)*(1+rec_fracc)/frec),6))</f>
        <v/>
      </c>
      <c r="BR268" s="66">
        <f t="shared" si="351"/>
        <v>0</v>
      </c>
      <c r="BS268" s="119" t="str">
        <f t="shared" si="352"/>
        <v/>
      </c>
      <c r="BT268" s="66">
        <f>+IF($W268="","",ROUND(IF($B268&gt;Parámetros!$D$107,'Tablas Servicio'!BR268+('Tablas Servicio'!BT267-'Tablas Servicio'!BR267),BR268/(1-IF(B268&lt;=10,Parámetros!$D$100,0))),2))</f>
        <v>0</v>
      </c>
      <c r="BU268" s="66">
        <f t="shared" si="353"/>
        <v>0</v>
      </c>
      <c r="BV268" s="66">
        <f t="shared" si="353"/>
        <v>0</v>
      </c>
      <c r="BW268" s="66">
        <f>+IF($W268="","",ROUND((BT268*Parámetros!$G$85),2))</f>
        <v>0</v>
      </c>
      <c r="BX268" s="66">
        <f>+IF($W268="","",ROUND((BT268*(Parámetros!$G$86)),2))</f>
        <v>0</v>
      </c>
      <c r="BY268" s="66">
        <f t="shared" si="354"/>
        <v>0</v>
      </c>
      <c r="BZ268" t="str">
        <f t="shared" si="395"/>
        <v>00062</v>
      </c>
      <c r="CA268" t="str">
        <f t="shared" si="396"/>
        <v>Gastos médicos por accidente</v>
      </c>
      <c r="CB268" s="118">
        <f t="shared" si="397"/>
        <v>0</v>
      </c>
      <c r="CC268" s="118" t="str">
        <f t="shared" si="398"/>
        <v>A</v>
      </c>
      <c r="CD268" s="119" t="str">
        <f t="shared" si="355"/>
        <v/>
      </c>
      <c r="CE268" s="66">
        <f>+IF($W268="","",ROUND((VLOOKUP(ROUNDDOWN($D268-1/frec,0),cob_adi,BO$40,FALSE)*(1+i/frec)^-0.5*(1+Parámetros!$D$103)*(1+rec_fracc)/frec*'TABLAS ADI'!$BC$17),2))</f>
        <v>0</v>
      </c>
      <c r="CF268" s="119" t="str">
        <f t="shared" si="356"/>
        <v/>
      </c>
      <c r="CG268" s="66">
        <f>+IF($W268="","",ROUND(IF($B268&gt;Parámetros!$D$107,'Tablas Servicio'!CE268+('Tablas Servicio'!CG267-'Tablas Servicio'!CE267),CE268/(1-IF(B268&lt;=10,Parámetros!$D$100,0))),2))</f>
        <v>0</v>
      </c>
      <c r="CH268" s="66">
        <f t="shared" si="357"/>
        <v>0</v>
      </c>
      <c r="CI268" s="66">
        <f t="shared" si="357"/>
        <v>0</v>
      </c>
      <c r="CJ268" s="66">
        <f>+IF($W268="","",ROUND((CG268*Parámetros!$G$85),2))</f>
        <v>0</v>
      </c>
      <c r="CK268" s="66">
        <f>+IF($W268="","",ROUND((CG268*(Parámetros!$G$86)),2))</f>
        <v>0</v>
      </c>
      <c r="CL268" s="66">
        <f t="shared" si="358"/>
        <v>0</v>
      </c>
      <c r="CM268" t="str">
        <f t="shared" si="399"/>
        <v>00063</v>
      </c>
      <c r="CN268" s="118" t="str">
        <f t="shared" si="400"/>
        <v>Renta Diaria por Hospitalización</v>
      </c>
      <c r="CO268" s="118">
        <f t="shared" si="401"/>
        <v>0</v>
      </c>
      <c r="CP268" s="118" t="str">
        <f t="shared" si="402"/>
        <v>A</v>
      </c>
      <c r="CQ268" s="119" t="str">
        <f t="shared" si="359"/>
        <v/>
      </c>
      <c r="CR268" s="66">
        <f>+IF($W268="","",ROUND((VLOOKUP(Parámetros!$F$51,'COBERTURAS ADICIONALES'!$S$4:$T$32,2,FALSE)*(1+i/frec)^-0.5*(1+Parámetros!$D$103)*(1+rec_fracc)/frec*$CO$42),2))</f>
        <v>0</v>
      </c>
      <c r="CS268" s="119" t="str">
        <f t="shared" si="360"/>
        <v/>
      </c>
      <c r="CT268" s="66">
        <f>+IF($W268="","",ROUND(IF($B268&gt;Parámetros!$D$107,'Tablas Servicio'!CR268+('Tablas Servicio'!CT267-'Tablas Servicio'!CR267),CR268/(1-IF(B268&lt;=10,Parámetros!$D$100,0))),2))</f>
        <v>0</v>
      </c>
      <c r="CU268" s="66">
        <f t="shared" si="361"/>
        <v>0</v>
      </c>
      <c r="CV268" s="66">
        <f t="shared" si="361"/>
        <v>0</v>
      </c>
      <c r="CW268" s="66">
        <f>+IF($W268="","",ROUND((CT268*Parámetros!$G$85),2))</f>
        <v>0</v>
      </c>
      <c r="CX268" s="66">
        <f>+IF($W268="","",ROUND((CT268*(Parámetros!$G$86)),2))</f>
        <v>0</v>
      </c>
      <c r="CY268" s="66">
        <f t="shared" si="362"/>
        <v>0</v>
      </c>
      <c r="CZ268" t="str">
        <f t="shared" si="403"/>
        <v>00064</v>
      </c>
      <c r="DA268" s="118" t="str">
        <f t="shared" si="404"/>
        <v>Enfermedades Graves</v>
      </c>
      <c r="DB268" s="118">
        <f t="shared" si="405"/>
        <v>0</v>
      </c>
      <c r="DC268" s="118" t="str">
        <f t="shared" si="406"/>
        <v>A</v>
      </c>
      <c r="DD268" s="121" t="str">
        <f>+IF(OR($W268="",DB268=0),"",ROUND((VLOOKUP(ROUNDDOWN($D268-1/frec,0),cob_adi,CO$40,FALSE)*(1+i/frec)^-0.5*(1+Parámetros!$D$103)*(1+rec_fracc)/frec),6))</f>
        <v/>
      </c>
      <c r="DE268" s="66">
        <f t="shared" si="363"/>
        <v>0</v>
      </c>
      <c r="DF268" s="119" t="str">
        <f t="shared" si="364"/>
        <v/>
      </c>
      <c r="DG268" s="66">
        <f>+IF($W268="","",ROUND(IF($B268&gt;Parámetros!$D$107,'Tablas Servicio'!DE268+('Tablas Servicio'!DG267-'Tablas Servicio'!DE267),DE268/(1-IF(B268&lt;=10,Parámetros!$D$100,0))),2))</f>
        <v>0</v>
      </c>
      <c r="DH268" s="66">
        <f t="shared" si="365"/>
        <v>0</v>
      </c>
      <c r="DI268" s="66">
        <f t="shared" si="365"/>
        <v>0</v>
      </c>
      <c r="DJ268" s="66">
        <f>+IF($W268="","",ROUND((DG268*Parámetros!$G$85),2))</f>
        <v>0</v>
      </c>
      <c r="DK268" s="66">
        <f>+IF($W268="","",ROUND((DG268*(Parámetros!$G$86)),2))</f>
        <v>0</v>
      </c>
      <c r="DL268" s="66">
        <f t="shared" si="366"/>
        <v>0</v>
      </c>
      <c r="DM268" t="str">
        <f t="shared" si="407"/>
        <v>00065</v>
      </c>
      <c r="DN268" s="118" t="str">
        <f t="shared" si="408"/>
        <v>Exención pago de primas</v>
      </c>
      <c r="DO268" s="118">
        <f t="shared" si="409"/>
        <v>0</v>
      </c>
      <c r="DP268" s="118" t="str">
        <f t="shared" si="410"/>
        <v>A</v>
      </c>
      <c r="DQ268" s="122" t="str">
        <f>+IF(OR($W268="",DO268=0),"",ROUND((VLOOKUP(ROUNDDOWN($D268-1/frec,0),cob_adi,DB$40,FALSE)*(1+i/frec)^-0.5*(1+Parámetros!$D$103)*(1+rec_fracc)/frec),6))</f>
        <v/>
      </c>
      <c r="DR268" s="66">
        <f t="shared" si="367"/>
        <v>0</v>
      </c>
      <c r="DS268" s="68" t="str">
        <f t="shared" si="368"/>
        <v/>
      </c>
      <c r="DT268" s="66">
        <f>+IF($W268="","",ROUND(IF($B268&gt;Parámetros!$D$107,'Tablas Servicio'!DR268+('Tablas Servicio'!DT267-'Tablas Servicio'!DR267),DR268/(1-IF(B268&lt;=10,Parámetros!$D$100,0))),2))</f>
        <v>0</v>
      </c>
      <c r="DU268" s="66">
        <f t="shared" si="369"/>
        <v>0</v>
      </c>
      <c r="DV268" s="66">
        <f t="shared" si="369"/>
        <v>0</v>
      </c>
      <c r="DW268" s="66">
        <f>+IF($W268="","",ROUND((DT268*Parámetros!$G$85),2))</f>
        <v>0</v>
      </c>
      <c r="DX268" s="66">
        <f>+IF($W268="","",ROUND((DT268*(Parámetros!$G$86)),2))</f>
        <v>0</v>
      </c>
      <c r="DY268" s="66">
        <f t="shared" si="370"/>
        <v>0</v>
      </c>
      <c r="DZ268" t="str">
        <f t="shared" si="412"/>
        <v>00066</v>
      </c>
      <c r="EA268" s="118" t="str">
        <f t="shared" si="412"/>
        <v>Enfermedad terminal</v>
      </c>
      <c r="EB268" s="118">
        <f>+IF($W268="","",ROUND(IF(Parámetros!$D$25='TABLAS MORT'!$V$33,EB267,Z268/2),0))</f>
        <v>50000</v>
      </c>
      <c r="EC268" s="118" t="str">
        <f t="shared" si="412"/>
        <v>A</v>
      </c>
      <c r="ED268" s="122">
        <f>+IF(OR($W268="",EB268=0),"",ROUND((VLOOKUP(ROUNDDOWN($D268-1/frec,0),cob_adi,DO$40,FALSE)*(1+i/frec)^-0.5*(1+Parámetros!$D$103)*(1+rec_fracc)/frec),6))</f>
        <v>2.6999999999999999E-5</v>
      </c>
      <c r="EE268" s="66">
        <f t="shared" si="372"/>
        <v>1.35</v>
      </c>
      <c r="EF268" s="68">
        <f t="shared" si="373"/>
        <v>2.6999999999999999E-5</v>
      </c>
      <c r="EG268" s="66">
        <f>+IF($W268="","",ROUND(IF($B268&gt;Parámetros!$D$107,'Tablas Servicio'!EE268+('Tablas Servicio'!EG267-'Tablas Servicio'!EE267),EE268/(1-IF(B268&lt;=10,Parámetros!$D$100,0))),2))</f>
        <v>1.35</v>
      </c>
      <c r="EH268" s="66">
        <f t="shared" si="374"/>
        <v>0</v>
      </c>
      <c r="EI268" s="66">
        <f t="shared" si="374"/>
        <v>0</v>
      </c>
      <c r="EJ268" s="66">
        <f>+IF($W268="","",ROUND((EG268*Parámetros!$G$85),2))</f>
        <v>0.05</v>
      </c>
      <c r="EK268" s="66">
        <f>+IF($W268="","",ROUND((EG268*(Parámetros!$G$86)),2))</f>
        <v>0.01</v>
      </c>
      <c r="EL268" s="66">
        <f t="shared" si="375"/>
        <v>1.41</v>
      </c>
    </row>
    <row r="269" spans="1:142" x14ac:dyDescent="0.25">
      <c r="A269">
        <f>+IF($C269="","",ROUND(VLOOKUP('Tablas Servicio'!B269,Parámetros!$H$100:$J$159,IF(Parámetros!$E$16="F",2,3),FALSE),2))</f>
        <v>150</v>
      </c>
      <c r="B269">
        <f t="shared" si="326"/>
        <v>19</v>
      </c>
      <c r="C269" s="57">
        <f>+IF(D269="","",'Tablas Servicio'!C268+1)</f>
        <v>228</v>
      </c>
      <c r="D269" s="56">
        <f>+IF(D268&lt;edadmaxtabla,D268+1/Parámetros!$E$25,"")</f>
        <v>59.020000000000543</v>
      </c>
      <c r="E269" s="57">
        <f t="shared" si="336"/>
        <v>59</v>
      </c>
      <c r="F269" s="59">
        <f t="shared" si="337"/>
        <v>100000</v>
      </c>
      <c r="G269" s="66">
        <f t="shared" si="327"/>
        <v>53.45</v>
      </c>
      <c r="H269" s="66">
        <f t="shared" si="328"/>
        <v>55.589999999999996</v>
      </c>
      <c r="I269" s="66">
        <f t="shared" si="376"/>
        <v>38.410000000000004</v>
      </c>
      <c r="J269" s="66">
        <f t="shared" si="329"/>
        <v>1.87</v>
      </c>
      <c r="K269" s="66">
        <f t="shared" si="330"/>
        <v>0.27</v>
      </c>
      <c r="L269" s="66">
        <f t="shared" si="331"/>
        <v>0</v>
      </c>
      <c r="M269" s="66">
        <f t="shared" si="332"/>
        <v>0</v>
      </c>
      <c r="N269" s="66">
        <f>+IF(C269="","",ROUND(Parámetros!$D$23,2))</f>
        <v>94</v>
      </c>
      <c r="O269" s="66">
        <f t="shared" si="333"/>
        <v>40.950000000000003</v>
      </c>
      <c r="P269" s="66">
        <f>+IF($C269="","",ROUND(IF(B269&gt;Parámetros!$D$117,0,N269*Parámetros!$D$116-G269*Parámetros!$D$100),2))</f>
        <v>0</v>
      </c>
      <c r="Q269" s="75">
        <f t="shared" si="377"/>
        <v>3.498596819457437E-2</v>
      </c>
      <c r="R269" s="75">
        <f t="shared" si="378"/>
        <v>5.0514499532273152E-3</v>
      </c>
      <c r="S269" s="117">
        <f>+IF($C269="","",ROUND((S268+I269)*(1+Parámetros!$D$91),2))</f>
        <v>16782.37</v>
      </c>
      <c r="T269" s="117">
        <f>+IF($C269="","",ROUND(S269*VLOOKUP(B269,Parámetros!$C$30:$D$39,2,TRUE),2))</f>
        <v>16782.37</v>
      </c>
      <c r="U269" s="117">
        <f>+IF($C269="","",ROUND((U268+I269)*(1+Parámetros!$D$92),2))</f>
        <v>17714.2</v>
      </c>
      <c r="V269" s="117">
        <f>+IF($C269="","",ROUND(U269*VLOOKUP(B269,Parámetros!$C$30:$D$39,2,TRUE),2))</f>
        <v>17714.2</v>
      </c>
      <c r="W269" s="57">
        <f t="shared" si="379"/>
        <v>228</v>
      </c>
      <c r="X269" t="str">
        <f t="shared" si="380"/>
        <v>00058</v>
      </c>
      <c r="Y269" t="str">
        <f t="shared" si="381"/>
        <v>MUERTE POR CUALQUIER CAUSA</v>
      </c>
      <c r="Z269" s="118">
        <f>+IF($W269="","",ROUND(IF(Parámetros!$D$25='TABLAS MORT'!$V$33,Z268,Parámetros!$D$21-'Tablas Servicio'!T268),0))</f>
        <v>100000</v>
      </c>
      <c r="AA269" s="118" t="str">
        <f t="shared" si="382"/>
        <v>P</v>
      </c>
      <c r="AB269" s="119">
        <f>+IF(W269="","",ROUND((VLOOKUP(ROUNDDOWN($D269-1/frec,0),qx_tabla,2,FALSE)*(1+i/frec)^-0.5*(1+Parámetros!$D$103)*(1+rec_fracc)/frec),6))</f>
        <v>3.9599999999999998E-4</v>
      </c>
      <c r="AC269" s="66">
        <f t="shared" si="338"/>
        <v>39.6</v>
      </c>
      <c r="AD269" s="119">
        <f t="shared" si="334"/>
        <v>5.2099999999999998E-4</v>
      </c>
      <c r="AE269" s="66">
        <f>+IF($W269="","",ROUND(IF($B269&gt;Parámetros!$D$107,'Tablas Servicio'!AC269+('Tablas Servicio'!AG268-'Tablas Servicio'!AC268),AC269/(1-IF(B269&lt;=10,Parámetros!$D$104,Parámetros!$D$105))),2))</f>
        <v>66</v>
      </c>
      <c r="AF269" s="66">
        <f>+IF($W269="","",ROUND(IF($B269&gt;Parámetros!$D$107,'Tablas Servicio'!AC269+('Tablas Servicio'!AG268-'Tablas Servicio'!AC268),(AC269+$A268/frec)/(1-IF(B269&lt;=Parámetros!$D$117,Parámetros!$D$100,0))),2))</f>
        <v>52.1</v>
      </c>
      <c r="AG269" s="66">
        <f t="shared" si="339"/>
        <v>52.1</v>
      </c>
      <c r="AH269" s="66">
        <f t="shared" si="340"/>
        <v>0</v>
      </c>
      <c r="AI269" s="66">
        <f t="shared" si="341"/>
        <v>0</v>
      </c>
      <c r="AJ269" s="66">
        <f>+IF($W269="","",ROUND((AG269*Parámetros!$G$85),2))</f>
        <v>1.82</v>
      </c>
      <c r="AK269" s="66">
        <f>+IF($W269="","",ROUND((AG269*(Parámetros!$G$86)),2))</f>
        <v>0.26</v>
      </c>
      <c r="AL269" s="66">
        <f t="shared" si="335"/>
        <v>54.18</v>
      </c>
      <c r="AM269" t="str">
        <f t="shared" si="383"/>
        <v>00059</v>
      </c>
      <c r="AN269" t="str">
        <f t="shared" si="384"/>
        <v>Incapacidad Total y Permanente</v>
      </c>
      <c r="AO269" s="118">
        <f t="shared" si="385"/>
        <v>0</v>
      </c>
      <c r="AP269" s="118" t="str">
        <f t="shared" si="386"/>
        <v>A</v>
      </c>
      <c r="AQ269" s="119" t="str">
        <f>+IF(OR($W269="",AO269=0),"",ROUND((VLOOKUP(ROUNDDOWN($D269-1/frec,0),cob_adi,Z$40,FALSE)*(1+i/frec)^-0.5*(1+Parámetros!$D$103)*(1+rec_fracc)/frec),6))</f>
        <v/>
      </c>
      <c r="AR269" s="66">
        <f t="shared" si="342"/>
        <v>0</v>
      </c>
      <c r="AS269" s="119" t="str">
        <f t="shared" si="343"/>
        <v/>
      </c>
      <c r="AT269" s="66">
        <f>+IF($W269="","",ROUND(IF($B269&gt;Parámetros!$D$107,'Tablas Servicio'!AR269+('Tablas Servicio'!AT268-'Tablas Servicio'!AR268),AR269/(1-IF(B269&lt;=10,Parámetros!$D$100,0))),2))</f>
        <v>0</v>
      </c>
      <c r="AU269" s="66">
        <f t="shared" si="344"/>
        <v>0</v>
      </c>
      <c r="AV269" s="66">
        <f t="shared" si="344"/>
        <v>0</v>
      </c>
      <c r="AW269" s="66">
        <f>+IF($W269="","",ROUND((AT269*Parámetros!$G$85),2))</f>
        <v>0</v>
      </c>
      <c r="AX269" s="66">
        <f>+IF($W269="","",ROUND((AT269*(Parámetros!$G$86)),2))</f>
        <v>0</v>
      </c>
      <c r="AY269" s="66">
        <f t="shared" si="345"/>
        <v>0</v>
      </c>
      <c r="AZ269" t="str">
        <f t="shared" si="387"/>
        <v>00060</v>
      </c>
      <c r="BA269" t="str">
        <f t="shared" si="388"/>
        <v>Muerte Accidental</v>
      </c>
      <c r="BB269" s="118">
        <f t="shared" si="389"/>
        <v>0</v>
      </c>
      <c r="BC269" s="118" t="str">
        <f t="shared" si="390"/>
        <v>A</v>
      </c>
      <c r="BD269" s="119" t="str">
        <f>+IF(OR($W269="",BB269=0),"",ROUND((VLOOKUP(ROUNDDOWN($D269-1/frec,0),cob_adi,AO$40,FALSE)*(1+i/frec)^-0.5*(1+Parámetros!$D$103)*(1+rec_fracc)/frec),6))</f>
        <v/>
      </c>
      <c r="BE269" s="66">
        <f t="shared" si="346"/>
        <v>0</v>
      </c>
      <c r="BF269" s="119" t="str">
        <f t="shared" si="347"/>
        <v/>
      </c>
      <c r="BG269" s="66">
        <f>+IF($W269="","",ROUND(IF($B269&gt;Parámetros!$D$107,'Tablas Servicio'!BE269+('Tablas Servicio'!BG268-'Tablas Servicio'!BE268),BE269/(1-IF(B269&lt;=10,Parámetros!$D$100,0))),2))</f>
        <v>0</v>
      </c>
      <c r="BH269" s="66">
        <f t="shared" si="348"/>
        <v>0</v>
      </c>
      <c r="BI269" s="66">
        <f t="shared" si="349"/>
        <v>0</v>
      </c>
      <c r="BJ269" s="66">
        <f>+IF($W269="","",ROUND((BG269*Parámetros!$G$85),2))</f>
        <v>0</v>
      </c>
      <c r="BK269" s="66">
        <f>+IF($W269="","",ROUND((BG269*(Parámetros!$G$86)),2))</f>
        <v>0</v>
      </c>
      <c r="BL269" s="66">
        <f t="shared" si="350"/>
        <v>0</v>
      </c>
      <c r="BM269" t="str">
        <f t="shared" si="391"/>
        <v>00061</v>
      </c>
      <c r="BN269" t="str">
        <f t="shared" si="392"/>
        <v>Gastos de Entierro</v>
      </c>
      <c r="BO269" s="118">
        <f t="shared" si="393"/>
        <v>0</v>
      </c>
      <c r="BP269" s="118" t="str">
        <f t="shared" si="394"/>
        <v>A</v>
      </c>
      <c r="BQ269" s="119" t="str">
        <f>+IF(OR($W269="",BO269=0),"",ROUND((VLOOKUP(ROUNDDOWN($D269-1/frec,0),cob_adi,BB$40,FALSE)*(1+i/frec)^-0.5*(1+Parámetros!$D$103)*(1+rec_fracc)/frec),6))</f>
        <v/>
      </c>
      <c r="BR269" s="66">
        <f t="shared" si="351"/>
        <v>0</v>
      </c>
      <c r="BS269" s="119" t="str">
        <f t="shared" si="352"/>
        <v/>
      </c>
      <c r="BT269" s="66">
        <f>+IF($W269="","",ROUND(IF($B269&gt;Parámetros!$D$107,'Tablas Servicio'!BR269+('Tablas Servicio'!BT268-'Tablas Servicio'!BR268),BR269/(1-IF(B269&lt;=10,Parámetros!$D$100,0))),2))</f>
        <v>0</v>
      </c>
      <c r="BU269" s="66">
        <f t="shared" si="353"/>
        <v>0</v>
      </c>
      <c r="BV269" s="66">
        <f t="shared" si="353"/>
        <v>0</v>
      </c>
      <c r="BW269" s="66">
        <f>+IF($W269="","",ROUND((BT269*Parámetros!$G$85),2))</f>
        <v>0</v>
      </c>
      <c r="BX269" s="66">
        <f>+IF($W269="","",ROUND((BT269*(Parámetros!$G$86)),2))</f>
        <v>0</v>
      </c>
      <c r="BY269" s="66">
        <f t="shared" si="354"/>
        <v>0</v>
      </c>
      <c r="BZ269" t="str">
        <f t="shared" si="395"/>
        <v>00062</v>
      </c>
      <c r="CA269" t="str">
        <f t="shared" si="396"/>
        <v>Gastos médicos por accidente</v>
      </c>
      <c r="CB269" s="118">
        <f t="shared" si="397"/>
        <v>0</v>
      </c>
      <c r="CC269" s="118" t="str">
        <f t="shared" si="398"/>
        <v>A</v>
      </c>
      <c r="CD269" s="119" t="str">
        <f t="shared" si="355"/>
        <v/>
      </c>
      <c r="CE269" s="66">
        <f>+IF($W269="","",ROUND((VLOOKUP(ROUNDDOWN($D269-1/frec,0),cob_adi,BO$40,FALSE)*(1+i/frec)^-0.5*(1+Parámetros!$D$103)*(1+rec_fracc)/frec*'TABLAS ADI'!$BC$17),2))</f>
        <v>0</v>
      </c>
      <c r="CF269" s="119" t="str">
        <f t="shared" si="356"/>
        <v/>
      </c>
      <c r="CG269" s="66">
        <f>+IF($W269="","",ROUND(IF($B269&gt;Parámetros!$D$107,'Tablas Servicio'!CE269+('Tablas Servicio'!CG268-'Tablas Servicio'!CE268),CE269/(1-IF(B269&lt;=10,Parámetros!$D$100,0))),2))</f>
        <v>0</v>
      </c>
      <c r="CH269" s="66">
        <f t="shared" si="357"/>
        <v>0</v>
      </c>
      <c r="CI269" s="66">
        <f t="shared" si="357"/>
        <v>0</v>
      </c>
      <c r="CJ269" s="66">
        <f>+IF($W269="","",ROUND((CG269*Parámetros!$G$85),2))</f>
        <v>0</v>
      </c>
      <c r="CK269" s="66">
        <f>+IF($W269="","",ROUND((CG269*(Parámetros!$G$86)),2))</f>
        <v>0</v>
      </c>
      <c r="CL269" s="66">
        <f t="shared" si="358"/>
        <v>0</v>
      </c>
      <c r="CM269" t="str">
        <f t="shared" si="399"/>
        <v>00063</v>
      </c>
      <c r="CN269" s="118" t="str">
        <f t="shared" si="400"/>
        <v>Renta Diaria por Hospitalización</v>
      </c>
      <c r="CO269" s="118">
        <f t="shared" si="401"/>
        <v>0</v>
      </c>
      <c r="CP269" s="118" t="str">
        <f t="shared" si="402"/>
        <v>A</v>
      </c>
      <c r="CQ269" s="119" t="str">
        <f t="shared" si="359"/>
        <v/>
      </c>
      <c r="CR269" s="66">
        <f>+IF($W269="","",ROUND((VLOOKUP(Parámetros!$F$51,'COBERTURAS ADICIONALES'!$S$4:$T$32,2,FALSE)*(1+i/frec)^-0.5*(1+Parámetros!$D$103)*(1+rec_fracc)/frec*$CO$42),2))</f>
        <v>0</v>
      </c>
      <c r="CS269" s="119" t="str">
        <f t="shared" si="360"/>
        <v/>
      </c>
      <c r="CT269" s="66">
        <f>+IF($W269="","",ROUND(IF($B269&gt;Parámetros!$D$107,'Tablas Servicio'!CR269+('Tablas Servicio'!CT268-'Tablas Servicio'!CR268),CR269/(1-IF(B269&lt;=10,Parámetros!$D$100,0))),2))</f>
        <v>0</v>
      </c>
      <c r="CU269" s="66">
        <f t="shared" si="361"/>
        <v>0</v>
      </c>
      <c r="CV269" s="66">
        <f t="shared" si="361"/>
        <v>0</v>
      </c>
      <c r="CW269" s="66">
        <f>+IF($W269="","",ROUND((CT269*Parámetros!$G$85),2))</f>
        <v>0</v>
      </c>
      <c r="CX269" s="66">
        <f>+IF($W269="","",ROUND((CT269*(Parámetros!$G$86)),2))</f>
        <v>0</v>
      </c>
      <c r="CY269" s="66">
        <f t="shared" si="362"/>
        <v>0</v>
      </c>
      <c r="CZ269" t="str">
        <f t="shared" si="403"/>
        <v>00064</v>
      </c>
      <c r="DA269" s="118" t="str">
        <f t="shared" si="404"/>
        <v>Enfermedades Graves</v>
      </c>
      <c r="DB269" s="118">
        <f t="shared" si="405"/>
        <v>0</v>
      </c>
      <c r="DC269" s="118" t="str">
        <f t="shared" si="406"/>
        <v>A</v>
      </c>
      <c r="DD269" s="121" t="str">
        <f>+IF(OR($W269="",DB269=0),"",ROUND((VLOOKUP(ROUNDDOWN($D269-1/frec,0),cob_adi,CO$40,FALSE)*(1+i/frec)^-0.5*(1+Parámetros!$D$103)*(1+rec_fracc)/frec),6))</f>
        <v/>
      </c>
      <c r="DE269" s="66">
        <f t="shared" si="363"/>
        <v>0</v>
      </c>
      <c r="DF269" s="119" t="str">
        <f t="shared" si="364"/>
        <v/>
      </c>
      <c r="DG269" s="66">
        <f>+IF($W269="","",ROUND(IF($B269&gt;Parámetros!$D$107,'Tablas Servicio'!DE269+('Tablas Servicio'!DG268-'Tablas Servicio'!DE268),DE269/(1-IF(B269&lt;=10,Parámetros!$D$100,0))),2))</f>
        <v>0</v>
      </c>
      <c r="DH269" s="66">
        <f t="shared" si="365"/>
        <v>0</v>
      </c>
      <c r="DI269" s="66">
        <f t="shared" si="365"/>
        <v>0</v>
      </c>
      <c r="DJ269" s="66">
        <f>+IF($W269="","",ROUND((DG269*Parámetros!$G$85),2))</f>
        <v>0</v>
      </c>
      <c r="DK269" s="66">
        <f>+IF($W269="","",ROUND((DG269*(Parámetros!$G$86)),2))</f>
        <v>0</v>
      </c>
      <c r="DL269" s="66">
        <f t="shared" si="366"/>
        <v>0</v>
      </c>
      <c r="DM269" t="str">
        <f t="shared" si="407"/>
        <v>00065</v>
      </c>
      <c r="DN269" s="118" t="str">
        <f t="shared" si="408"/>
        <v>Exención pago de primas</v>
      </c>
      <c r="DO269" s="118">
        <f t="shared" si="409"/>
        <v>0</v>
      </c>
      <c r="DP269" s="118" t="str">
        <f t="shared" si="410"/>
        <v>A</v>
      </c>
      <c r="DQ269" s="122" t="str">
        <f>+IF(OR($W269="",DO269=0),"",ROUND((VLOOKUP(ROUNDDOWN($D269-1/frec,0),cob_adi,DB$40,FALSE)*(1+i/frec)^-0.5*(1+Parámetros!$D$103)*(1+rec_fracc)/frec),6))</f>
        <v/>
      </c>
      <c r="DR269" s="66">
        <f t="shared" si="367"/>
        <v>0</v>
      </c>
      <c r="DS269" s="68" t="str">
        <f t="shared" si="368"/>
        <v/>
      </c>
      <c r="DT269" s="66">
        <f>+IF($W269="","",ROUND(IF($B269&gt;Parámetros!$D$107,'Tablas Servicio'!DR269+('Tablas Servicio'!DT268-'Tablas Servicio'!DR268),DR269/(1-IF(B269&lt;=10,Parámetros!$D$100,0))),2))</f>
        <v>0</v>
      </c>
      <c r="DU269" s="66">
        <f t="shared" si="369"/>
        <v>0</v>
      </c>
      <c r="DV269" s="66">
        <f t="shared" si="369"/>
        <v>0</v>
      </c>
      <c r="DW269" s="66">
        <f>+IF($W269="","",ROUND((DT269*Parámetros!$G$85),2))</f>
        <v>0</v>
      </c>
      <c r="DX269" s="66">
        <f>+IF($W269="","",ROUND((DT269*(Parámetros!$G$86)),2))</f>
        <v>0</v>
      </c>
      <c r="DY269" s="66">
        <f t="shared" si="370"/>
        <v>0</v>
      </c>
      <c r="DZ269" t="str">
        <f t="shared" si="412"/>
        <v>00066</v>
      </c>
      <c r="EA269" s="118" t="str">
        <f t="shared" si="412"/>
        <v>Enfermedad terminal</v>
      </c>
      <c r="EB269" s="118">
        <f>+IF($W269="","",ROUND(IF(Parámetros!$D$25='TABLAS MORT'!$V$33,EB268,Z269/2),0))</f>
        <v>50000</v>
      </c>
      <c r="EC269" s="118" t="str">
        <f t="shared" si="412"/>
        <v>A</v>
      </c>
      <c r="ED269" s="122">
        <f>+IF(OR($W269="",EB269=0),"",ROUND((VLOOKUP(ROUNDDOWN($D269-1/frec,0),cob_adi,DO$40,FALSE)*(1+i/frec)^-0.5*(1+Parámetros!$D$103)*(1+rec_fracc)/frec),6))</f>
        <v>2.6999999999999999E-5</v>
      </c>
      <c r="EE269" s="66">
        <f t="shared" si="372"/>
        <v>1.35</v>
      </c>
      <c r="EF269" s="68">
        <f t="shared" si="373"/>
        <v>2.6999999999999999E-5</v>
      </c>
      <c r="EG269" s="66">
        <f>+IF($W269="","",ROUND(IF($B269&gt;Parámetros!$D$107,'Tablas Servicio'!EE269+('Tablas Servicio'!EG268-'Tablas Servicio'!EE268),EE269/(1-IF(B269&lt;=10,Parámetros!$D$100,0))),2))</f>
        <v>1.35</v>
      </c>
      <c r="EH269" s="66">
        <f t="shared" si="374"/>
        <v>0</v>
      </c>
      <c r="EI269" s="66">
        <f t="shared" si="374"/>
        <v>0</v>
      </c>
      <c r="EJ269" s="66">
        <f>+IF($W269="","",ROUND((EG269*Parámetros!$G$85),2))</f>
        <v>0.05</v>
      </c>
      <c r="EK269" s="66">
        <f>+IF($W269="","",ROUND((EG269*(Parámetros!$G$86)),2))</f>
        <v>0.01</v>
      </c>
      <c r="EL269" s="66">
        <f t="shared" si="375"/>
        <v>1.41</v>
      </c>
    </row>
    <row r="270" spans="1:142" x14ac:dyDescent="0.25">
      <c r="A270">
        <f>+IF($C270="","",ROUND(VLOOKUP('Tablas Servicio'!B270,Parámetros!$H$100:$J$159,IF(Parámetros!$E$16="F",2,3),FALSE),2))</f>
        <v>150</v>
      </c>
      <c r="B270">
        <f t="shared" si="326"/>
        <v>20</v>
      </c>
      <c r="C270" s="57">
        <f>+IF(D270="","",'Tablas Servicio'!C269+1)</f>
        <v>229</v>
      </c>
      <c r="D270" s="56">
        <f>+IF(D269&lt;edadmaxtabla,D269+1/Parámetros!$E$25,"")</f>
        <v>59.103333333333879</v>
      </c>
      <c r="E270" s="57">
        <f t="shared" si="336"/>
        <v>59</v>
      </c>
      <c r="F270" s="59">
        <f t="shared" si="337"/>
        <v>100000</v>
      </c>
      <c r="G270" s="66">
        <f t="shared" si="327"/>
        <v>55.95</v>
      </c>
      <c r="H270" s="66">
        <f t="shared" si="328"/>
        <v>58.19</v>
      </c>
      <c r="I270" s="66">
        <f t="shared" si="376"/>
        <v>35.81</v>
      </c>
      <c r="J270" s="66">
        <f t="shared" si="329"/>
        <v>1.96</v>
      </c>
      <c r="K270" s="66">
        <f t="shared" si="330"/>
        <v>0.28000000000000003</v>
      </c>
      <c r="L270" s="66">
        <f t="shared" si="331"/>
        <v>0</v>
      </c>
      <c r="M270" s="66">
        <f t="shared" si="332"/>
        <v>0</v>
      </c>
      <c r="N270" s="66">
        <f>+IF(C270="","",ROUND(Parámetros!$D$23,2))</f>
        <v>94</v>
      </c>
      <c r="O270" s="66">
        <f t="shared" si="333"/>
        <v>43.45</v>
      </c>
      <c r="P270" s="66">
        <f>+IF($C270="","",ROUND(IF(B270&gt;Parámetros!$D$117,0,N270*Parámetros!$D$116-G270*Parámetros!$D$100),2))</f>
        <v>0</v>
      </c>
      <c r="Q270" s="75">
        <f t="shared" si="377"/>
        <v>3.5031277926720283E-2</v>
      </c>
      <c r="R270" s="75">
        <f t="shared" si="378"/>
        <v>5.0044682752457556E-3</v>
      </c>
      <c r="S270" s="117">
        <f>+IF($C270="","",ROUND((S269+I270)*(1+Parámetros!$D$91),2))</f>
        <v>16865.88</v>
      </c>
      <c r="T270" s="117">
        <f>+IF($C270="","",ROUND(S270*VLOOKUP(B270,Parámetros!$C$30:$D$39,2,TRUE),2))</f>
        <v>16865.88</v>
      </c>
      <c r="U270" s="117">
        <f>+IF($C270="","",ROUND((U269+I270)*(1+Parámetros!$D$92),2))</f>
        <v>17807.55</v>
      </c>
      <c r="V270" s="117">
        <f>+IF($C270="","",ROUND(U270*VLOOKUP(B270,Parámetros!$C$30:$D$39,2,TRUE),2))</f>
        <v>17807.55</v>
      </c>
      <c r="W270" s="57">
        <f t="shared" si="379"/>
        <v>229</v>
      </c>
      <c r="X270" t="str">
        <f t="shared" si="380"/>
        <v>00058</v>
      </c>
      <c r="Y270" t="str">
        <f t="shared" si="381"/>
        <v>MUERTE POR CUALQUIER CAUSA</v>
      </c>
      <c r="Z270" s="118">
        <f>+IF($W270="","",ROUND(IF(Parámetros!$D$25='TABLAS MORT'!$V$33,Z269,Parámetros!$D$21-'Tablas Servicio'!T269),0))</f>
        <v>100000</v>
      </c>
      <c r="AA270" s="118" t="str">
        <f t="shared" si="382"/>
        <v>P</v>
      </c>
      <c r="AB270" s="119">
        <f>+IF(W270="","",ROUND((VLOOKUP(ROUNDDOWN($D270-1/frec,0),qx_tabla,2,FALSE)*(1+i/frec)^-0.5*(1+Parámetros!$D$103)*(1+rec_fracc)/frec),6))</f>
        <v>4.2099999999999999E-4</v>
      </c>
      <c r="AC270" s="66">
        <f t="shared" si="338"/>
        <v>42.1</v>
      </c>
      <c r="AD270" s="119">
        <f t="shared" si="334"/>
        <v>5.4600000000000004E-4</v>
      </c>
      <c r="AE270" s="66">
        <f>+IF($W270="","",ROUND(IF($B270&gt;Parámetros!$D$107,'Tablas Servicio'!AC270+('Tablas Servicio'!AG269-'Tablas Servicio'!AC269),AC270/(1-IF(B270&lt;=10,Parámetros!$D$104,Parámetros!$D$105))),2))</f>
        <v>70.17</v>
      </c>
      <c r="AF270" s="66">
        <f>+IF($W270="","",ROUND(IF($B270&gt;Parámetros!$D$107,'Tablas Servicio'!AC270+('Tablas Servicio'!AG269-'Tablas Servicio'!AC269),(AC270+$A269/frec)/(1-IF(B270&lt;=Parámetros!$D$117,Parámetros!$D$100,0))),2))</f>
        <v>54.6</v>
      </c>
      <c r="AG270" s="66">
        <f t="shared" si="339"/>
        <v>54.6</v>
      </c>
      <c r="AH270" s="66">
        <f t="shared" si="340"/>
        <v>0</v>
      </c>
      <c r="AI270" s="66">
        <f t="shared" si="341"/>
        <v>0</v>
      </c>
      <c r="AJ270" s="66">
        <f>+IF($W270="","",ROUND((AG270*Parámetros!$G$85),2))</f>
        <v>1.91</v>
      </c>
      <c r="AK270" s="66">
        <f>+IF($W270="","",ROUND((AG270*(Parámetros!$G$86)),2))</f>
        <v>0.27</v>
      </c>
      <c r="AL270" s="66">
        <f t="shared" si="335"/>
        <v>56.78</v>
      </c>
      <c r="AM270" t="str">
        <f t="shared" si="383"/>
        <v>00059</v>
      </c>
      <c r="AN270" t="str">
        <f t="shared" si="384"/>
        <v>Incapacidad Total y Permanente</v>
      </c>
      <c r="AO270" s="118">
        <f t="shared" si="385"/>
        <v>0</v>
      </c>
      <c r="AP270" s="118" t="str">
        <f t="shared" si="386"/>
        <v>A</v>
      </c>
      <c r="AQ270" s="119" t="str">
        <f>+IF(OR($W270="",AO270=0),"",ROUND((VLOOKUP(ROUNDDOWN($D270-1/frec,0),cob_adi,Z$40,FALSE)*(1+i/frec)^-0.5*(1+Parámetros!$D$103)*(1+rec_fracc)/frec),6))</f>
        <v/>
      </c>
      <c r="AR270" s="66">
        <f t="shared" si="342"/>
        <v>0</v>
      </c>
      <c r="AS270" s="119" t="str">
        <f t="shared" si="343"/>
        <v/>
      </c>
      <c r="AT270" s="66">
        <f>+IF($W270="","",ROUND(IF($B270&gt;Parámetros!$D$107,'Tablas Servicio'!AR270+('Tablas Servicio'!AT269-'Tablas Servicio'!AR269),AR270/(1-IF(B270&lt;=10,Parámetros!$D$100,0))),2))</f>
        <v>0</v>
      </c>
      <c r="AU270" s="66">
        <f t="shared" si="344"/>
        <v>0</v>
      </c>
      <c r="AV270" s="66">
        <f t="shared" si="344"/>
        <v>0</v>
      </c>
      <c r="AW270" s="66">
        <f>+IF($W270="","",ROUND((AT270*Parámetros!$G$85),2))</f>
        <v>0</v>
      </c>
      <c r="AX270" s="66">
        <f>+IF($W270="","",ROUND((AT270*(Parámetros!$G$86)),2))</f>
        <v>0</v>
      </c>
      <c r="AY270" s="66">
        <f t="shared" si="345"/>
        <v>0</v>
      </c>
      <c r="AZ270" t="str">
        <f t="shared" si="387"/>
        <v>00060</v>
      </c>
      <c r="BA270" t="str">
        <f t="shared" si="388"/>
        <v>Muerte Accidental</v>
      </c>
      <c r="BB270" s="118">
        <f t="shared" si="389"/>
        <v>0</v>
      </c>
      <c r="BC270" s="118" t="str">
        <f t="shared" si="390"/>
        <v>A</v>
      </c>
      <c r="BD270" s="119" t="str">
        <f>+IF(OR($W270="",BB270=0),"",ROUND((VLOOKUP(ROUNDDOWN($D270-1/frec,0),cob_adi,AO$40,FALSE)*(1+i/frec)^-0.5*(1+Parámetros!$D$103)*(1+rec_fracc)/frec),6))</f>
        <v/>
      </c>
      <c r="BE270" s="66">
        <f t="shared" si="346"/>
        <v>0</v>
      </c>
      <c r="BF270" s="119" t="str">
        <f t="shared" si="347"/>
        <v/>
      </c>
      <c r="BG270" s="66">
        <f>+IF($W270="","",ROUND(IF($B270&gt;Parámetros!$D$107,'Tablas Servicio'!BE270+('Tablas Servicio'!BG269-'Tablas Servicio'!BE269),BE270/(1-IF(B270&lt;=10,Parámetros!$D$100,0))),2))</f>
        <v>0</v>
      </c>
      <c r="BH270" s="66">
        <f t="shared" si="348"/>
        <v>0</v>
      </c>
      <c r="BI270" s="66">
        <f t="shared" si="349"/>
        <v>0</v>
      </c>
      <c r="BJ270" s="66">
        <f>+IF($W270="","",ROUND((BG270*Parámetros!$G$85),2))</f>
        <v>0</v>
      </c>
      <c r="BK270" s="66">
        <f>+IF($W270="","",ROUND((BG270*(Parámetros!$G$86)),2))</f>
        <v>0</v>
      </c>
      <c r="BL270" s="66">
        <f t="shared" si="350"/>
        <v>0</v>
      </c>
      <c r="BM270" t="str">
        <f t="shared" si="391"/>
        <v>00061</v>
      </c>
      <c r="BN270" t="str">
        <f t="shared" si="392"/>
        <v>Gastos de Entierro</v>
      </c>
      <c r="BO270" s="118">
        <f t="shared" si="393"/>
        <v>0</v>
      </c>
      <c r="BP270" s="118" t="str">
        <f t="shared" si="394"/>
        <v>A</v>
      </c>
      <c r="BQ270" s="119" t="str">
        <f>+IF(OR($W270="",BO270=0),"",ROUND((VLOOKUP(ROUNDDOWN($D270-1/frec,0),cob_adi,BB$40,FALSE)*(1+i/frec)^-0.5*(1+Parámetros!$D$103)*(1+rec_fracc)/frec),6))</f>
        <v/>
      </c>
      <c r="BR270" s="66">
        <f t="shared" si="351"/>
        <v>0</v>
      </c>
      <c r="BS270" s="119" t="str">
        <f t="shared" si="352"/>
        <v/>
      </c>
      <c r="BT270" s="66">
        <f>+IF($W270="","",ROUND(IF($B270&gt;Parámetros!$D$107,'Tablas Servicio'!BR270+('Tablas Servicio'!BT269-'Tablas Servicio'!BR269),BR270/(1-IF(B270&lt;=10,Parámetros!$D$100,0))),2))</f>
        <v>0</v>
      </c>
      <c r="BU270" s="66">
        <f t="shared" si="353"/>
        <v>0</v>
      </c>
      <c r="BV270" s="66">
        <f t="shared" si="353"/>
        <v>0</v>
      </c>
      <c r="BW270" s="66">
        <f>+IF($W270="","",ROUND((BT270*Parámetros!$G$85),2))</f>
        <v>0</v>
      </c>
      <c r="BX270" s="66">
        <f>+IF($W270="","",ROUND((BT270*(Parámetros!$G$86)),2))</f>
        <v>0</v>
      </c>
      <c r="BY270" s="66">
        <f t="shared" si="354"/>
        <v>0</v>
      </c>
      <c r="BZ270" t="str">
        <f t="shared" si="395"/>
        <v>00062</v>
      </c>
      <c r="CA270" t="str">
        <f t="shared" si="396"/>
        <v>Gastos médicos por accidente</v>
      </c>
      <c r="CB270" s="118">
        <f t="shared" si="397"/>
        <v>0</v>
      </c>
      <c r="CC270" s="118" t="str">
        <f t="shared" si="398"/>
        <v>A</v>
      </c>
      <c r="CD270" s="119" t="str">
        <f t="shared" si="355"/>
        <v/>
      </c>
      <c r="CE270" s="66">
        <f>+IF($W270="","",ROUND((VLOOKUP(ROUNDDOWN($D270-1/frec,0),cob_adi,BO$40,FALSE)*(1+i/frec)^-0.5*(1+Parámetros!$D$103)*(1+rec_fracc)/frec*'TABLAS ADI'!$BC$17),2))</f>
        <v>0</v>
      </c>
      <c r="CF270" s="119" t="str">
        <f t="shared" si="356"/>
        <v/>
      </c>
      <c r="CG270" s="66">
        <f>+IF($W270="","",ROUND(IF($B270&gt;Parámetros!$D$107,'Tablas Servicio'!CE270+('Tablas Servicio'!CG269-'Tablas Servicio'!CE269),CE270/(1-IF(B270&lt;=10,Parámetros!$D$100,0))),2))</f>
        <v>0</v>
      </c>
      <c r="CH270" s="66">
        <f t="shared" si="357"/>
        <v>0</v>
      </c>
      <c r="CI270" s="66">
        <f t="shared" si="357"/>
        <v>0</v>
      </c>
      <c r="CJ270" s="66">
        <f>+IF($W270="","",ROUND((CG270*Parámetros!$G$85),2))</f>
        <v>0</v>
      </c>
      <c r="CK270" s="66">
        <f>+IF($W270="","",ROUND((CG270*(Parámetros!$G$86)),2))</f>
        <v>0</v>
      </c>
      <c r="CL270" s="66">
        <f t="shared" si="358"/>
        <v>0</v>
      </c>
      <c r="CM270" t="str">
        <f t="shared" si="399"/>
        <v>00063</v>
      </c>
      <c r="CN270" s="118" t="str">
        <f t="shared" si="400"/>
        <v>Renta Diaria por Hospitalización</v>
      </c>
      <c r="CO270" s="118">
        <f t="shared" si="401"/>
        <v>0</v>
      </c>
      <c r="CP270" s="118" t="str">
        <f t="shared" si="402"/>
        <v>A</v>
      </c>
      <c r="CQ270" s="119" t="str">
        <f t="shared" si="359"/>
        <v/>
      </c>
      <c r="CR270" s="66">
        <f>+IF($W270="","",ROUND((VLOOKUP(Parámetros!$F$51,'COBERTURAS ADICIONALES'!$S$4:$T$32,2,FALSE)*(1+i/frec)^-0.5*(1+Parámetros!$D$103)*(1+rec_fracc)/frec*$CO$42),2))</f>
        <v>0</v>
      </c>
      <c r="CS270" s="119" t="str">
        <f t="shared" si="360"/>
        <v/>
      </c>
      <c r="CT270" s="66">
        <f>+IF($W270="","",ROUND(IF($B270&gt;Parámetros!$D$107,'Tablas Servicio'!CR270+('Tablas Servicio'!CT269-'Tablas Servicio'!CR269),CR270/(1-IF(B270&lt;=10,Parámetros!$D$100,0))),2))</f>
        <v>0</v>
      </c>
      <c r="CU270" s="66">
        <f t="shared" si="361"/>
        <v>0</v>
      </c>
      <c r="CV270" s="66">
        <f t="shared" si="361"/>
        <v>0</v>
      </c>
      <c r="CW270" s="66">
        <f>+IF($W270="","",ROUND((CT270*Parámetros!$G$85),2))</f>
        <v>0</v>
      </c>
      <c r="CX270" s="66">
        <f>+IF($W270="","",ROUND((CT270*(Parámetros!$G$86)),2))</f>
        <v>0</v>
      </c>
      <c r="CY270" s="66">
        <f t="shared" si="362"/>
        <v>0</v>
      </c>
      <c r="CZ270" t="str">
        <f t="shared" si="403"/>
        <v>00064</v>
      </c>
      <c r="DA270" s="118" t="str">
        <f t="shared" si="404"/>
        <v>Enfermedades Graves</v>
      </c>
      <c r="DB270" s="118">
        <f t="shared" si="405"/>
        <v>0</v>
      </c>
      <c r="DC270" s="118" t="str">
        <f t="shared" si="406"/>
        <v>A</v>
      </c>
      <c r="DD270" s="121" t="str">
        <f>+IF(OR($W270="",DB270=0),"",ROUND((VLOOKUP(ROUNDDOWN($D270-1/frec,0),cob_adi,CO$40,FALSE)*(1+i/frec)^-0.5*(1+Parámetros!$D$103)*(1+rec_fracc)/frec),6))</f>
        <v/>
      </c>
      <c r="DE270" s="66">
        <f t="shared" si="363"/>
        <v>0</v>
      </c>
      <c r="DF270" s="119" t="str">
        <f t="shared" si="364"/>
        <v/>
      </c>
      <c r="DG270" s="66">
        <f>+IF($W270="","",ROUND(IF($B270&gt;Parámetros!$D$107,'Tablas Servicio'!DE270+('Tablas Servicio'!DG269-'Tablas Servicio'!DE269),DE270/(1-IF(B270&lt;=10,Parámetros!$D$100,0))),2))</f>
        <v>0</v>
      </c>
      <c r="DH270" s="66">
        <f t="shared" si="365"/>
        <v>0</v>
      </c>
      <c r="DI270" s="66">
        <f t="shared" si="365"/>
        <v>0</v>
      </c>
      <c r="DJ270" s="66">
        <f>+IF($W270="","",ROUND((DG270*Parámetros!$G$85),2))</f>
        <v>0</v>
      </c>
      <c r="DK270" s="66">
        <f>+IF($W270="","",ROUND((DG270*(Parámetros!$G$86)),2))</f>
        <v>0</v>
      </c>
      <c r="DL270" s="66">
        <f t="shared" si="366"/>
        <v>0</v>
      </c>
      <c r="DM270" t="str">
        <f t="shared" si="407"/>
        <v>00065</v>
      </c>
      <c r="DN270" s="118" t="str">
        <f t="shared" si="408"/>
        <v>Exención pago de primas</v>
      </c>
      <c r="DO270" s="118">
        <f t="shared" si="409"/>
        <v>0</v>
      </c>
      <c r="DP270" s="118" t="str">
        <f t="shared" si="410"/>
        <v>A</v>
      </c>
      <c r="DQ270" s="122" t="str">
        <f>+IF(OR($W270="",DO270=0),"",ROUND((VLOOKUP(ROUNDDOWN($D270-1/frec,0),cob_adi,DB$40,FALSE)*(1+i/frec)^-0.5*(1+Parámetros!$D$103)*(1+rec_fracc)/frec),6))</f>
        <v/>
      </c>
      <c r="DR270" s="66">
        <f t="shared" si="367"/>
        <v>0</v>
      </c>
      <c r="DS270" s="68" t="str">
        <f t="shared" si="368"/>
        <v/>
      </c>
      <c r="DT270" s="66">
        <f>+IF($W270="","",ROUND(IF($B270&gt;Parámetros!$D$107,'Tablas Servicio'!DR270+('Tablas Servicio'!DT269-'Tablas Servicio'!DR269),DR270/(1-IF(B270&lt;=10,Parámetros!$D$100,0))),2))</f>
        <v>0</v>
      </c>
      <c r="DU270" s="66">
        <f t="shared" si="369"/>
        <v>0</v>
      </c>
      <c r="DV270" s="66">
        <f t="shared" si="369"/>
        <v>0</v>
      </c>
      <c r="DW270" s="66">
        <f>+IF($W270="","",ROUND((DT270*Parámetros!$G$85),2))</f>
        <v>0</v>
      </c>
      <c r="DX270" s="66">
        <f>+IF($W270="","",ROUND((DT270*(Parámetros!$G$86)),2))</f>
        <v>0</v>
      </c>
      <c r="DY270" s="66">
        <f t="shared" si="370"/>
        <v>0</v>
      </c>
      <c r="DZ270" t="str">
        <f t="shared" si="412"/>
        <v>00066</v>
      </c>
      <c r="EA270" s="118" t="str">
        <f t="shared" si="412"/>
        <v>Enfermedad terminal</v>
      </c>
      <c r="EB270" s="118">
        <f>+IF($W270="","",ROUND(IF(Parámetros!$D$25='TABLAS MORT'!$V$33,EB269,Z270/2),0))</f>
        <v>50000</v>
      </c>
      <c r="EC270" s="118" t="str">
        <f t="shared" si="412"/>
        <v>A</v>
      </c>
      <c r="ED270" s="122">
        <f>+IF(OR($W270="",EB270=0),"",ROUND((VLOOKUP(ROUNDDOWN($D270-1/frec,0),cob_adi,DO$40,FALSE)*(1+i/frec)^-0.5*(1+Parámetros!$D$103)*(1+rec_fracc)/frec),6))</f>
        <v>2.6999999999999999E-5</v>
      </c>
      <c r="EE270" s="66">
        <f t="shared" si="372"/>
        <v>1.35</v>
      </c>
      <c r="EF270" s="68">
        <f t="shared" si="373"/>
        <v>2.6999999999999999E-5</v>
      </c>
      <c r="EG270" s="66">
        <f>+IF($W270="","",ROUND(IF($B270&gt;Parámetros!$D$107,'Tablas Servicio'!EE270+('Tablas Servicio'!EG269-'Tablas Servicio'!EE269),EE270/(1-IF(B270&lt;=10,Parámetros!$D$100,0))),2))</f>
        <v>1.35</v>
      </c>
      <c r="EH270" s="66">
        <f t="shared" si="374"/>
        <v>0</v>
      </c>
      <c r="EI270" s="66">
        <f t="shared" si="374"/>
        <v>0</v>
      </c>
      <c r="EJ270" s="66">
        <f>+IF($W270="","",ROUND((EG270*Parámetros!$G$85),2))</f>
        <v>0.05</v>
      </c>
      <c r="EK270" s="66">
        <f>+IF($W270="","",ROUND((EG270*(Parámetros!$G$86)),2))</f>
        <v>0.01</v>
      </c>
      <c r="EL270" s="66">
        <f t="shared" si="375"/>
        <v>1.41</v>
      </c>
    </row>
    <row r="271" spans="1:142" x14ac:dyDescent="0.25">
      <c r="A271">
        <f>+IF($C271="","",ROUND(VLOOKUP('Tablas Servicio'!B271,Parámetros!$H$100:$J$159,IF(Parámetros!$E$16="F",2,3),FALSE),2))</f>
        <v>150</v>
      </c>
      <c r="B271">
        <f t="shared" si="326"/>
        <v>20</v>
      </c>
      <c r="C271" s="57">
        <f>+IF(D271="","",'Tablas Servicio'!C270+1)</f>
        <v>230</v>
      </c>
      <c r="D271" s="56">
        <f>+IF(D270&lt;edadmaxtabla,D270+1/Parámetros!$E$25,"")</f>
        <v>59.186666666667215</v>
      </c>
      <c r="E271" s="57">
        <f t="shared" si="336"/>
        <v>59</v>
      </c>
      <c r="F271" s="59">
        <f t="shared" si="337"/>
        <v>100000</v>
      </c>
      <c r="G271" s="66">
        <f t="shared" si="327"/>
        <v>55.95</v>
      </c>
      <c r="H271" s="66">
        <f t="shared" si="328"/>
        <v>58.19</v>
      </c>
      <c r="I271" s="66">
        <f t="shared" si="376"/>
        <v>35.81</v>
      </c>
      <c r="J271" s="66">
        <f t="shared" si="329"/>
        <v>1.96</v>
      </c>
      <c r="K271" s="66">
        <f t="shared" si="330"/>
        <v>0.28000000000000003</v>
      </c>
      <c r="L271" s="66">
        <f t="shared" si="331"/>
        <v>0</v>
      </c>
      <c r="M271" s="66">
        <f t="shared" si="332"/>
        <v>0</v>
      </c>
      <c r="N271" s="66">
        <f>+IF(C271="","",ROUND(Parámetros!$D$23,2))</f>
        <v>94</v>
      </c>
      <c r="O271" s="66">
        <f t="shared" si="333"/>
        <v>43.45</v>
      </c>
      <c r="P271" s="66">
        <f>+IF($C271="","",ROUND(IF(B271&gt;Parámetros!$D$117,0,N271*Parámetros!$D$116-G271*Parámetros!$D$100),2))</f>
        <v>0</v>
      </c>
      <c r="Q271" s="75">
        <f t="shared" si="377"/>
        <v>3.5031277926720283E-2</v>
      </c>
      <c r="R271" s="75">
        <f t="shared" si="378"/>
        <v>5.0044682752457556E-3</v>
      </c>
      <c r="S271" s="117">
        <f>+IF($C271="","",ROUND((S270+I271)*(1+Parámetros!$D$91),2))</f>
        <v>16949.63</v>
      </c>
      <c r="T271" s="117">
        <f>+IF($C271="","",ROUND(S271*VLOOKUP(B271,Parámetros!$C$30:$D$39,2,TRUE),2))</f>
        <v>16949.63</v>
      </c>
      <c r="U271" s="117">
        <f>+IF($C271="","",ROUND((U270+I271)*(1+Parámetros!$D$92),2))</f>
        <v>17901.2</v>
      </c>
      <c r="V271" s="117">
        <f>+IF($C271="","",ROUND(U271*VLOOKUP(B271,Parámetros!$C$30:$D$39,2,TRUE),2))</f>
        <v>17901.2</v>
      </c>
      <c r="W271" s="57">
        <f t="shared" si="379"/>
        <v>230</v>
      </c>
      <c r="X271" t="str">
        <f t="shared" si="380"/>
        <v>00058</v>
      </c>
      <c r="Y271" t="str">
        <f t="shared" si="381"/>
        <v>MUERTE POR CUALQUIER CAUSA</v>
      </c>
      <c r="Z271" s="118">
        <f>+IF($W271="","",ROUND(IF(Parámetros!$D$25='TABLAS MORT'!$V$33,Z270,Parámetros!$D$21-'Tablas Servicio'!T270),0))</f>
        <v>100000</v>
      </c>
      <c r="AA271" s="118" t="str">
        <f t="shared" si="382"/>
        <v>P</v>
      </c>
      <c r="AB271" s="119">
        <f>+IF(W271="","",ROUND((VLOOKUP(ROUNDDOWN($D271-1/frec,0),qx_tabla,2,FALSE)*(1+i/frec)^-0.5*(1+Parámetros!$D$103)*(1+rec_fracc)/frec),6))</f>
        <v>4.2099999999999999E-4</v>
      </c>
      <c r="AC271" s="66">
        <f t="shared" si="338"/>
        <v>42.1</v>
      </c>
      <c r="AD271" s="119">
        <f t="shared" si="334"/>
        <v>5.4600000000000004E-4</v>
      </c>
      <c r="AE271" s="66">
        <f>+IF($W271="","",ROUND(IF($B271&gt;Parámetros!$D$107,'Tablas Servicio'!AC271+('Tablas Servicio'!AG270-'Tablas Servicio'!AC270),AC271/(1-IF(B271&lt;=10,Parámetros!$D$104,Parámetros!$D$105))),2))</f>
        <v>70.17</v>
      </c>
      <c r="AF271" s="66">
        <f>+IF($W271="","",ROUND(IF($B271&gt;Parámetros!$D$107,'Tablas Servicio'!AC271+('Tablas Servicio'!AG270-'Tablas Servicio'!AC270),(AC271+$A270/frec)/(1-IF(B271&lt;=Parámetros!$D$117,Parámetros!$D$100,0))),2))</f>
        <v>54.6</v>
      </c>
      <c r="AG271" s="66">
        <f t="shared" si="339"/>
        <v>54.6</v>
      </c>
      <c r="AH271" s="66">
        <f t="shared" si="340"/>
        <v>0</v>
      </c>
      <c r="AI271" s="66">
        <f t="shared" si="341"/>
        <v>0</v>
      </c>
      <c r="AJ271" s="66">
        <f>+IF($W271="","",ROUND((AG271*Parámetros!$G$85),2))</f>
        <v>1.91</v>
      </c>
      <c r="AK271" s="66">
        <f>+IF($W271="","",ROUND((AG271*(Parámetros!$G$86)),2))</f>
        <v>0.27</v>
      </c>
      <c r="AL271" s="66">
        <f t="shared" si="335"/>
        <v>56.78</v>
      </c>
      <c r="AM271" t="str">
        <f t="shared" si="383"/>
        <v>00059</v>
      </c>
      <c r="AN271" t="str">
        <f t="shared" si="384"/>
        <v>Incapacidad Total y Permanente</v>
      </c>
      <c r="AO271" s="118">
        <f t="shared" si="385"/>
        <v>0</v>
      </c>
      <c r="AP271" s="118" t="str">
        <f t="shared" si="386"/>
        <v>A</v>
      </c>
      <c r="AQ271" s="119" t="str">
        <f>+IF(OR($W271="",AO271=0),"",ROUND((VLOOKUP(ROUNDDOWN($D271-1/frec,0),cob_adi,Z$40,FALSE)*(1+i/frec)^-0.5*(1+Parámetros!$D$103)*(1+rec_fracc)/frec),6))</f>
        <v/>
      </c>
      <c r="AR271" s="66">
        <f t="shared" si="342"/>
        <v>0</v>
      </c>
      <c r="AS271" s="119" t="str">
        <f t="shared" si="343"/>
        <v/>
      </c>
      <c r="AT271" s="66">
        <f>+IF($W271="","",ROUND(IF($B271&gt;Parámetros!$D$107,'Tablas Servicio'!AR271+('Tablas Servicio'!AT270-'Tablas Servicio'!AR270),AR271/(1-IF(B271&lt;=10,Parámetros!$D$100,0))),2))</f>
        <v>0</v>
      </c>
      <c r="AU271" s="66">
        <f t="shared" si="344"/>
        <v>0</v>
      </c>
      <c r="AV271" s="66">
        <f t="shared" si="344"/>
        <v>0</v>
      </c>
      <c r="AW271" s="66">
        <f>+IF($W271="","",ROUND((AT271*Parámetros!$G$85),2))</f>
        <v>0</v>
      </c>
      <c r="AX271" s="66">
        <f>+IF($W271="","",ROUND((AT271*(Parámetros!$G$86)),2))</f>
        <v>0</v>
      </c>
      <c r="AY271" s="66">
        <f t="shared" si="345"/>
        <v>0</v>
      </c>
      <c r="AZ271" t="str">
        <f t="shared" si="387"/>
        <v>00060</v>
      </c>
      <c r="BA271" t="str">
        <f t="shared" si="388"/>
        <v>Muerte Accidental</v>
      </c>
      <c r="BB271" s="118">
        <f t="shared" si="389"/>
        <v>0</v>
      </c>
      <c r="BC271" s="118" t="str">
        <f t="shared" si="390"/>
        <v>A</v>
      </c>
      <c r="BD271" s="119" t="str">
        <f>+IF(OR($W271="",BB271=0),"",ROUND((VLOOKUP(ROUNDDOWN($D271-1/frec,0),cob_adi,AO$40,FALSE)*(1+i/frec)^-0.5*(1+Parámetros!$D$103)*(1+rec_fracc)/frec),6))</f>
        <v/>
      </c>
      <c r="BE271" s="66">
        <f t="shared" si="346"/>
        <v>0</v>
      </c>
      <c r="BF271" s="119" t="str">
        <f t="shared" si="347"/>
        <v/>
      </c>
      <c r="BG271" s="66">
        <f>+IF($W271="","",ROUND(IF($B271&gt;Parámetros!$D$107,'Tablas Servicio'!BE271+('Tablas Servicio'!BG270-'Tablas Servicio'!BE270),BE271/(1-IF(B271&lt;=10,Parámetros!$D$100,0))),2))</f>
        <v>0</v>
      </c>
      <c r="BH271" s="66">
        <f t="shared" si="348"/>
        <v>0</v>
      </c>
      <c r="BI271" s="66">
        <f t="shared" si="349"/>
        <v>0</v>
      </c>
      <c r="BJ271" s="66">
        <f>+IF($W271="","",ROUND((BG271*Parámetros!$G$85),2))</f>
        <v>0</v>
      </c>
      <c r="BK271" s="66">
        <f>+IF($W271="","",ROUND((BG271*(Parámetros!$G$86)),2))</f>
        <v>0</v>
      </c>
      <c r="BL271" s="66">
        <f t="shared" si="350"/>
        <v>0</v>
      </c>
      <c r="BM271" t="str">
        <f t="shared" si="391"/>
        <v>00061</v>
      </c>
      <c r="BN271" t="str">
        <f t="shared" si="392"/>
        <v>Gastos de Entierro</v>
      </c>
      <c r="BO271" s="118">
        <f t="shared" si="393"/>
        <v>0</v>
      </c>
      <c r="BP271" s="118" t="str">
        <f t="shared" si="394"/>
        <v>A</v>
      </c>
      <c r="BQ271" s="119" t="str">
        <f>+IF(OR($W271="",BO271=0),"",ROUND((VLOOKUP(ROUNDDOWN($D271-1/frec,0),cob_adi,BB$40,FALSE)*(1+i/frec)^-0.5*(1+Parámetros!$D$103)*(1+rec_fracc)/frec),6))</f>
        <v/>
      </c>
      <c r="BR271" s="66">
        <f t="shared" si="351"/>
        <v>0</v>
      </c>
      <c r="BS271" s="119" t="str">
        <f t="shared" si="352"/>
        <v/>
      </c>
      <c r="BT271" s="66">
        <f>+IF($W271="","",ROUND(IF($B271&gt;Parámetros!$D$107,'Tablas Servicio'!BR271+('Tablas Servicio'!BT270-'Tablas Servicio'!BR270),BR271/(1-IF(B271&lt;=10,Parámetros!$D$100,0))),2))</f>
        <v>0</v>
      </c>
      <c r="BU271" s="66">
        <f t="shared" si="353"/>
        <v>0</v>
      </c>
      <c r="BV271" s="66">
        <f t="shared" si="353"/>
        <v>0</v>
      </c>
      <c r="BW271" s="66">
        <f>+IF($W271="","",ROUND((BT271*Parámetros!$G$85),2))</f>
        <v>0</v>
      </c>
      <c r="BX271" s="66">
        <f>+IF($W271="","",ROUND((BT271*(Parámetros!$G$86)),2))</f>
        <v>0</v>
      </c>
      <c r="BY271" s="66">
        <f t="shared" si="354"/>
        <v>0</v>
      </c>
      <c r="BZ271" t="str">
        <f t="shared" si="395"/>
        <v>00062</v>
      </c>
      <c r="CA271" t="str">
        <f t="shared" si="396"/>
        <v>Gastos médicos por accidente</v>
      </c>
      <c r="CB271" s="118">
        <f t="shared" si="397"/>
        <v>0</v>
      </c>
      <c r="CC271" s="118" t="str">
        <f t="shared" si="398"/>
        <v>A</v>
      </c>
      <c r="CD271" s="119" t="str">
        <f t="shared" si="355"/>
        <v/>
      </c>
      <c r="CE271" s="66">
        <f>+IF($W271="","",ROUND((VLOOKUP(ROUNDDOWN($D271-1/frec,0),cob_adi,BO$40,FALSE)*(1+i/frec)^-0.5*(1+Parámetros!$D$103)*(1+rec_fracc)/frec*'TABLAS ADI'!$BC$17),2))</f>
        <v>0</v>
      </c>
      <c r="CF271" s="119" t="str">
        <f t="shared" si="356"/>
        <v/>
      </c>
      <c r="CG271" s="66">
        <f>+IF($W271="","",ROUND(IF($B271&gt;Parámetros!$D$107,'Tablas Servicio'!CE271+('Tablas Servicio'!CG270-'Tablas Servicio'!CE270),CE271/(1-IF(B271&lt;=10,Parámetros!$D$100,0))),2))</f>
        <v>0</v>
      </c>
      <c r="CH271" s="66">
        <f t="shared" si="357"/>
        <v>0</v>
      </c>
      <c r="CI271" s="66">
        <f t="shared" si="357"/>
        <v>0</v>
      </c>
      <c r="CJ271" s="66">
        <f>+IF($W271="","",ROUND((CG271*Parámetros!$G$85),2))</f>
        <v>0</v>
      </c>
      <c r="CK271" s="66">
        <f>+IF($W271="","",ROUND((CG271*(Parámetros!$G$86)),2))</f>
        <v>0</v>
      </c>
      <c r="CL271" s="66">
        <f t="shared" si="358"/>
        <v>0</v>
      </c>
      <c r="CM271" t="str">
        <f t="shared" si="399"/>
        <v>00063</v>
      </c>
      <c r="CN271" s="118" t="str">
        <f t="shared" si="400"/>
        <v>Renta Diaria por Hospitalización</v>
      </c>
      <c r="CO271" s="118">
        <f t="shared" si="401"/>
        <v>0</v>
      </c>
      <c r="CP271" s="118" t="str">
        <f t="shared" si="402"/>
        <v>A</v>
      </c>
      <c r="CQ271" s="119" t="str">
        <f t="shared" si="359"/>
        <v/>
      </c>
      <c r="CR271" s="66">
        <f>+IF($W271="","",ROUND((VLOOKUP(Parámetros!$F$51,'COBERTURAS ADICIONALES'!$S$4:$T$32,2,FALSE)*(1+i/frec)^-0.5*(1+Parámetros!$D$103)*(1+rec_fracc)/frec*$CO$42),2))</f>
        <v>0</v>
      </c>
      <c r="CS271" s="119" t="str">
        <f t="shared" si="360"/>
        <v/>
      </c>
      <c r="CT271" s="66">
        <f>+IF($W271="","",ROUND(IF($B271&gt;Parámetros!$D$107,'Tablas Servicio'!CR271+('Tablas Servicio'!CT270-'Tablas Servicio'!CR270),CR271/(1-IF(B271&lt;=10,Parámetros!$D$100,0))),2))</f>
        <v>0</v>
      </c>
      <c r="CU271" s="66">
        <f t="shared" si="361"/>
        <v>0</v>
      </c>
      <c r="CV271" s="66">
        <f t="shared" si="361"/>
        <v>0</v>
      </c>
      <c r="CW271" s="66">
        <f>+IF($W271="","",ROUND((CT271*Parámetros!$G$85),2))</f>
        <v>0</v>
      </c>
      <c r="CX271" s="66">
        <f>+IF($W271="","",ROUND((CT271*(Parámetros!$G$86)),2))</f>
        <v>0</v>
      </c>
      <c r="CY271" s="66">
        <f t="shared" si="362"/>
        <v>0</v>
      </c>
      <c r="CZ271" t="str">
        <f t="shared" si="403"/>
        <v>00064</v>
      </c>
      <c r="DA271" s="118" t="str">
        <f t="shared" si="404"/>
        <v>Enfermedades Graves</v>
      </c>
      <c r="DB271" s="118">
        <f t="shared" si="405"/>
        <v>0</v>
      </c>
      <c r="DC271" s="118" t="str">
        <f t="shared" si="406"/>
        <v>A</v>
      </c>
      <c r="DD271" s="121" t="str">
        <f>+IF(OR($W271="",DB271=0),"",ROUND((VLOOKUP(ROUNDDOWN($D271-1/frec,0),cob_adi,CO$40,FALSE)*(1+i/frec)^-0.5*(1+Parámetros!$D$103)*(1+rec_fracc)/frec),6))</f>
        <v/>
      </c>
      <c r="DE271" s="66">
        <f t="shared" si="363"/>
        <v>0</v>
      </c>
      <c r="DF271" s="119" t="str">
        <f t="shared" si="364"/>
        <v/>
      </c>
      <c r="DG271" s="66">
        <f>+IF($W271="","",ROUND(IF($B271&gt;Parámetros!$D$107,'Tablas Servicio'!DE271+('Tablas Servicio'!DG270-'Tablas Servicio'!DE270),DE271/(1-IF(B271&lt;=10,Parámetros!$D$100,0))),2))</f>
        <v>0</v>
      </c>
      <c r="DH271" s="66">
        <f t="shared" si="365"/>
        <v>0</v>
      </c>
      <c r="DI271" s="66">
        <f t="shared" si="365"/>
        <v>0</v>
      </c>
      <c r="DJ271" s="66">
        <f>+IF($W271="","",ROUND((DG271*Parámetros!$G$85),2))</f>
        <v>0</v>
      </c>
      <c r="DK271" s="66">
        <f>+IF($W271="","",ROUND((DG271*(Parámetros!$G$86)),2))</f>
        <v>0</v>
      </c>
      <c r="DL271" s="66">
        <f t="shared" si="366"/>
        <v>0</v>
      </c>
      <c r="DM271" t="str">
        <f t="shared" si="407"/>
        <v>00065</v>
      </c>
      <c r="DN271" s="118" t="str">
        <f t="shared" si="408"/>
        <v>Exención pago de primas</v>
      </c>
      <c r="DO271" s="118">
        <f t="shared" si="409"/>
        <v>0</v>
      </c>
      <c r="DP271" s="118" t="str">
        <f t="shared" si="410"/>
        <v>A</v>
      </c>
      <c r="DQ271" s="122" t="str">
        <f>+IF(OR($W271="",DO271=0),"",ROUND((VLOOKUP(ROUNDDOWN($D271-1/frec,0),cob_adi,DB$40,FALSE)*(1+i/frec)^-0.5*(1+Parámetros!$D$103)*(1+rec_fracc)/frec),6))</f>
        <v/>
      </c>
      <c r="DR271" s="66">
        <f t="shared" si="367"/>
        <v>0</v>
      </c>
      <c r="DS271" s="68" t="str">
        <f t="shared" si="368"/>
        <v/>
      </c>
      <c r="DT271" s="66">
        <f>+IF($W271="","",ROUND(IF($B271&gt;Parámetros!$D$107,'Tablas Servicio'!DR271+('Tablas Servicio'!DT270-'Tablas Servicio'!DR270),DR271/(1-IF(B271&lt;=10,Parámetros!$D$100,0))),2))</f>
        <v>0</v>
      </c>
      <c r="DU271" s="66">
        <f t="shared" si="369"/>
        <v>0</v>
      </c>
      <c r="DV271" s="66">
        <f t="shared" si="369"/>
        <v>0</v>
      </c>
      <c r="DW271" s="66">
        <f>+IF($W271="","",ROUND((DT271*Parámetros!$G$85),2))</f>
        <v>0</v>
      </c>
      <c r="DX271" s="66">
        <f>+IF($W271="","",ROUND((DT271*(Parámetros!$G$86)),2))</f>
        <v>0</v>
      </c>
      <c r="DY271" s="66">
        <f t="shared" si="370"/>
        <v>0</v>
      </c>
      <c r="DZ271" t="str">
        <f t="shared" si="412"/>
        <v>00066</v>
      </c>
      <c r="EA271" s="118" t="str">
        <f t="shared" si="412"/>
        <v>Enfermedad terminal</v>
      </c>
      <c r="EB271" s="118">
        <f>+IF($W271="","",ROUND(IF(Parámetros!$D$25='TABLAS MORT'!$V$33,EB270,Z271/2),0))</f>
        <v>50000</v>
      </c>
      <c r="EC271" s="118" t="str">
        <f t="shared" si="412"/>
        <v>A</v>
      </c>
      <c r="ED271" s="122">
        <f>+IF(OR($W271="",EB271=0),"",ROUND((VLOOKUP(ROUNDDOWN($D271-1/frec,0),cob_adi,DO$40,FALSE)*(1+i/frec)^-0.5*(1+Parámetros!$D$103)*(1+rec_fracc)/frec),6))</f>
        <v>2.6999999999999999E-5</v>
      </c>
      <c r="EE271" s="66">
        <f t="shared" si="372"/>
        <v>1.35</v>
      </c>
      <c r="EF271" s="68">
        <f t="shared" si="373"/>
        <v>2.6999999999999999E-5</v>
      </c>
      <c r="EG271" s="66">
        <f>+IF($W271="","",ROUND(IF($B271&gt;Parámetros!$D$107,'Tablas Servicio'!EE271+('Tablas Servicio'!EG270-'Tablas Servicio'!EE270),EE271/(1-IF(B271&lt;=10,Parámetros!$D$100,0))),2))</f>
        <v>1.35</v>
      </c>
      <c r="EH271" s="66">
        <f t="shared" si="374"/>
        <v>0</v>
      </c>
      <c r="EI271" s="66">
        <f t="shared" si="374"/>
        <v>0</v>
      </c>
      <c r="EJ271" s="66">
        <f>+IF($W271="","",ROUND((EG271*Parámetros!$G$85),2))</f>
        <v>0.05</v>
      </c>
      <c r="EK271" s="66">
        <f>+IF($W271="","",ROUND((EG271*(Parámetros!$G$86)),2))</f>
        <v>0.01</v>
      </c>
      <c r="EL271" s="66">
        <f t="shared" si="375"/>
        <v>1.41</v>
      </c>
    </row>
    <row r="272" spans="1:142" x14ac:dyDescent="0.25">
      <c r="A272">
        <f>+IF($C272="","",ROUND(VLOOKUP('Tablas Servicio'!B272,Parámetros!$H$100:$J$159,IF(Parámetros!$E$16="F",2,3),FALSE),2))</f>
        <v>150</v>
      </c>
      <c r="B272">
        <f t="shared" si="326"/>
        <v>20</v>
      </c>
      <c r="C272" s="57">
        <f>+IF(D272="","",'Tablas Servicio'!C271+1)</f>
        <v>231</v>
      </c>
      <c r="D272" s="56">
        <f>+IF(D271&lt;edadmaxtabla,D271+1/Parámetros!$E$25,"")</f>
        <v>59.27000000000055</v>
      </c>
      <c r="E272" s="57">
        <f t="shared" si="336"/>
        <v>59</v>
      </c>
      <c r="F272" s="59">
        <f t="shared" si="337"/>
        <v>100000</v>
      </c>
      <c r="G272" s="66">
        <f t="shared" si="327"/>
        <v>55.95</v>
      </c>
      <c r="H272" s="66">
        <f t="shared" si="328"/>
        <v>58.19</v>
      </c>
      <c r="I272" s="66">
        <f t="shared" si="376"/>
        <v>35.81</v>
      </c>
      <c r="J272" s="66">
        <f t="shared" si="329"/>
        <v>1.96</v>
      </c>
      <c r="K272" s="66">
        <f t="shared" si="330"/>
        <v>0.28000000000000003</v>
      </c>
      <c r="L272" s="66">
        <f t="shared" si="331"/>
        <v>0</v>
      </c>
      <c r="M272" s="66">
        <f t="shared" si="332"/>
        <v>0</v>
      </c>
      <c r="N272" s="66">
        <f>+IF(C272="","",ROUND(Parámetros!$D$23,2))</f>
        <v>94</v>
      </c>
      <c r="O272" s="66">
        <f t="shared" si="333"/>
        <v>43.45</v>
      </c>
      <c r="P272" s="66">
        <f>+IF($C272="","",ROUND(IF(B272&gt;Parámetros!$D$117,0,N272*Parámetros!$D$116-G272*Parámetros!$D$100),2))</f>
        <v>0</v>
      </c>
      <c r="Q272" s="75">
        <f t="shared" si="377"/>
        <v>3.5031277926720283E-2</v>
      </c>
      <c r="R272" s="75">
        <f t="shared" si="378"/>
        <v>5.0044682752457556E-3</v>
      </c>
      <c r="S272" s="117">
        <f>+IF($C272="","",ROUND((S271+I272)*(1+Parámetros!$D$91),2))</f>
        <v>17033.62</v>
      </c>
      <c r="T272" s="117">
        <f>+IF($C272="","",ROUND(S272*VLOOKUP(B272,Parámetros!$C$30:$D$39,2,TRUE),2))</f>
        <v>17033.62</v>
      </c>
      <c r="U272" s="117">
        <f>+IF($C272="","",ROUND((U271+I272)*(1+Parámetros!$D$92),2))</f>
        <v>17995.16</v>
      </c>
      <c r="V272" s="117">
        <f>+IF($C272="","",ROUND(U272*VLOOKUP(B272,Parámetros!$C$30:$D$39,2,TRUE),2))</f>
        <v>17995.16</v>
      </c>
      <c r="W272" s="57">
        <f t="shared" si="379"/>
        <v>231</v>
      </c>
      <c r="X272" t="str">
        <f t="shared" si="380"/>
        <v>00058</v>
      </c>
      <c r="Y272" t="str">
        <f t="shared" si="381"/>
        <v>MUERTE POR CUALQUIER CAUSA</v>
      </c>
      <c r="Z272" s="118">
        <f>+IF($W272="","",ROUND(IF(Parámetros!$D$25='TABLAS MORT'!$V$33,Z271,Parámetros!$D$21-'Tablas Servicio'!T271),0))</f>
        <v>100000</v>
      </c>
      <c r="AA272" s="118" t="str">
        <f t="shared" si="382"/>
        <v>P</v>
      </c>
      <c r="AB272" s="119">
        <f>+IF(W272="","",ROUND((VLOOKUP(ROUNDDOWN($D272-1/frec,0),qx_tabla,2,FALSE)*(1+i/frec)^-0.5*(1+Parámetros!$D$103)*(1+rec_fracc)/frec),6))</f>
        <v>4.2099999999999999E-4</v>
      </c>
      <c r="AC272" s="66">
        <f t="shared" si="338"/>
        <v>42.1</v>
      </c>
      <c r="AD272" s="119">
        <f t="shared" si="334"/>
        <v>5.4600000000000004E-4</v>
      </c>
      <c r="AE272" s="66">
        <f>+IF($W272="","",ROUND(IF($B272&gt;Parámetros!$D$107,'Tablas Servicio'!AC272+('Tablas Servicio'!AG271-'Tablas Servicio'!AC271),AC272/(1-IF(B272&lt;=10,Parámetros!$D$104,Parámetros!$D$105))),2))</f>
        <v>70.17</v>
      </c>
      <c r="AF272" s="66">
        <f>+IF($W272="","",ROUND(IF($B272&gt;Parámetros!$D$107,'Tablas Servicio'!AC272+('Tablas Servicio'!AG271-'Tablas Servicio'!AC271),(AC272+$A271/frec)/(1-IF(B272&lt;=Parámetros!$D$117,Parámetros!$D$100,0))),2))</f>
        <v>54.6</v>
      </c>
      <c r="AG272" s="66">
        <f t="shared" si="339"/>
        <v>54.6</v>
      </c>
      <c r="AH272" s="66">
        <f t="shared" si="340"/>
        <v>0</v>
      </c>
      <c r="AI272" s="66">
        <f t="shared" si="341"/>
        <v>0</v>
      </c>
      <c r="AJ272" s="66">
        <f>+IF($W272="","",ROUND((AG272*Parámetros!$G$85),2))</f>
        <v>1.91</v>
      </c>
      <c r="AK272" s="66">
        <f>+IF($W272="","",ROUND((AG272*(Parámetros!$G$86)),2))</f>
        <v>0.27</v>
      </c>
      <c r="AL272" s="66">
        <f t="shared" si="335"/>
        <v>56.78</v>
      </c>
      <c r="AM272" t="str">
        <f t="shared" si="383"/>
        <v>00059</v>
      </c>
      <c r="AN272" t="str">
        <f t="shared" si="384"/>
        <v>Incapacidad Total y Permanente</v>
      </c>
      <c r="AO272" s="118">
        <f t="shared" si="385"/>
        <v>0</v>
      </c>
      <c r="AP272" s="118" t="str">
        <f t="shared" si="386"/>
        <v>A</v>
      </c>
      <c r="AQ272" s="119" t="str">
        <f>+IF(OR($W272="",AO272=0),"",ROUND((VLOOKUP(ROUNDDOWN($D272-1/frec,0),cob_adi,Z$40,FALSE)*(1+i/frec)^-0.5*(1+Parámetros!$D$103)*(1+rec_fracc)/frec),6))</f>
        <v/>
      </c>
      <c r="AR272" s="66">
        <f t="shared" si="342"/>
        <v>0</v>
      </c>
      <c r="AS272" s="119" t="str">
        <f t="shared" si="343"/>
        <v/>
      </c>
      <c r="AT272" s="66">
        <f>+IF($W272="","",ROUND(IF($B272&gt;Parámetros!$D$107,'Tablas Servicio'!AR272+('Tablas Servicio'!AT271-'Tablas Servicio'!AR271),AR272/(1-IF(B272&lt;=10,Parámetros!$D$100,0))),2))</f>
        <v>0</v>
      </c>
      <c r="AU272" s="66">
        <f t="shared" si="344"/>
        <v>0</v>
      </c>
      <c r="AV272" s="66">
        <f t="shared" si="344"/>
        <v>0</v>
      </c>
      <c r="AW272" s="66">
        <f>+IF($W272="","",ROUND((AT272*Parámetros!$G$85),2))</f>
        <v>0</v>
      </c>
      <c r="AX272" s="66">
        <f>+IF($W272="","",ROUND((AT272*(Parámetros!$G$86)),2))</f>
        <v>0</v>
      </c>
      <c r="AY272" s="66">
        <f t="shared" si="345"/>
        <v>0</v>
      </c>
      <c r="AZ272" t="str">
        <f t="shared" si="387"/>
        <v>00060</v>
      </c>
      <c r="BA272" t="str">
        <f t="shared" si="388"/>
        <v>Muerte Accidental</v>
      </c>
      <c r="BB272" s="118">
        <f t="shared" si="389"/>
        <v>0</v>
      </c>
      <c r="BC272" s="118" t="str">
        <f t="shared" si="390"/>
        <v>A</v>
      </c>
      <c r="BD272" s="119" t="str">
        <f>+IF(OR($W272="",BB272=0),"",ROUND((VLOOKUP(ROUNDDOWN($D272-1/frec,0),cob_adi,AO$40,FALSE)*(1+i/frec)^-0.5*(1+Parámetros!$D$103)*(1+rec_fracc)/frec),6))</f>
        <v/>
      </c>
      <c r="BE272" s="66">
        <f t="shared" si="346"/>
        <v>0</v>
      </c>
      <c r="BF272" s="119" t="str">
        <f t="shared" si="347"/>
        <v/>
      </c>
      <c r="BG272" s="66">
        <f>+IF($W272="","",ROUND(IF($B272&gt;Parámetros!$D$107,'Tablas Servicio'!BE272+('Tablas Servicio'!BG271-'Tablas Servicio'!BE271),BE272/(1-IF(B272&lt;=10,Parámetros!$D$100,0))),2))</f>
        <v>0</v>
      </c>
      <c r="BH272" s="66">
        <f t="shared" si="348"/>
        <v>0</v>
      </c>
      <c r="BI272" s="66">
        <f t="shared" si="349"/>
        <v>0</v>
      </c>
      <c r="BJ272" s="66">
        <f>+IF($W272="","",ROUND((BG272*Parámetros!$G$85),2))</f>
        <v>0</v>
      </c>
      <c r="BK272" s="66">
        <f>+IF($W272="","",ROUND((BG272*(Parámetros!$G$86)),2))</f>
        <v>0</v>
      </c>
      <c r="BL272" s="66">
        <f t="shared" si="350"/>
        <v>0</v>
      </c>
      <c r="BM272" t="str">
        <f t="shared" si="391"/>
        <v>00061</v>
      </c>
      <c r="BN272" t="str">
        <f t="shared" si="392"/>
        <v>Gastos de Entierro</v>
      </c>
      <c r="BO272" s="118">
        <f t="shared" si="393"/>
        <v>0</v>
      </c>
      <c r="BP272" s="118" t="str">
        <f t="shared" si="394"/>
        <v>A</v>
      </c>
      <c r="BQ272" s="119" t="str">
        <f>+IF(OR($W272="",BO272=0),"",ROUND((VLOOKUP(ROUNDDOWN($D272-1/frec,0),cob_adi,BB$40,FALSE)*(1+i/frec)^-0.5*(1+Parámetros!$D$103)*(1+rec_fracc)/frec),6))</f>
        <v/>
      </c>
      <c r="BR272" s="66">
        <f t="shared" si="351"/>
        <v>0</v>
      </c>
      <c r="BS272" s="119" t="str">
        <f t="shared" si="352"/>
        <v/>
      </c>
      <c r="BT272" s="66">
        <f>+IF($W272="","",ROUND(IF($B272&gt;Parámetros!$D$107,'Tablas Servicio'!BR272+('Tablas Servicio'!BT271-'Tablas Servicio'!BR271),BR272/(1-IF(B272&lt;=10,Parámetros!$D$100,0))),2))</f>
        <v>0</v>
      </c>
      <c r="BU272" s="66">
        <f t="shared" si="353"/>
        <v>0</v>
      </c>
      <c r="BV272" s="66">
        <f t="shared" si="353"/>
        <v>0</v>
      </c>
      <c r="BW272" s="66">
        <f>+IF($W272="","",ROUND((BT272*Parámetros!$G$85),2))</f>
        <v>0</v>
      </c>
      <c r="BX272" s="66">
        <f>+IF($W272="","",ROUND((BT272*(Parámetros!$G$86)),2))</f>
        <v>0</v>
      </c>
      <c r="BY272" s="66">
        <f t="shared" si="354"/>
        <v>0</v>
      </c>
      <c r="BZ272" t="str">
        <f t="shared" si="395"/>
        <v>00062</v>
      </c>
      <c r="CA272" t="str">
        <f t="shared" si="396"/>
        <v>Gastos médicos por accidente</v>
      </c>
      <c r="CB272" s="118">
        <f t="shared" si="397"/>
        <v>0</v>
      </c>
      <c r="CC272" s="118" t="str">
        <f t="shared" si="398"/>
        <v>A</v>
      </c>
      <c r="CD272" s="119" t="str">
        <f t="shared" si="355"/>
        <v/>
      </c>
      <c r="CE272" s="66">
        <f>+IF($W272="","",ROUND((VLOOKUP(ROUNDDOWN($D272-1/frec,0),cob_adi,BO$40,FALSE)*(1+i/frec)^-0.5*(1+Parámetros!$D$103)*(1+rec_fracc)/frec*'TABLAS ADI'!$BC$17),2))</f>
        <v>0</v>
      </c>
      <c r="CF272" s="119" t="str">
        <f t="shared" si="356"/>
        <v/>
      </c>
      <c r="CG272" s="66">
        <f>+IF($W272="","",ROUND(IF($B272&gt;Parámetros!$D$107,'Tablas Servicio'!CE272+('Tablas Servicio'!CG271-'Tablas Servicio'!CE271),CE272/(1-IF(B272&lt;=10,Parámetros!$D$100,0))),2))</f>
        <v>0</v>
      </c>
      <c r="CH272" s="66">
        <f t="shared" si="357"/>
        <v>0</v>
      </c>
      <c r="CI272" s="66">
        <f t="shared" si="357"/>
        <v>0</v>
      </c>
      <c r="CJ272" s="66">
        <f>+IF($W272="","",ROUND((CG272*Parámetros!$G$85),2))</f>
        <v>0</v>
      </c>
      <c r="CK272" s="66">
        <f>+IF($W272="","",ROUND((CG272*(Parámetros!$G$86)),2))</f>
        <v>0</v>
      </c>
      <c r="CL272" s="66">
        <f t="shared" si="358"/>
        <v>0</v>
      </c>
      <c r="CM272" t="str">
        <f t="shared" si="399"/>
        <v>00063</v>
      </c>
      <c r="CN272" s="118" t="str">
        <f t="shared" si="400"/>
        <v>Renta Diaria por Hospitalización</v>
      </c>
      <c r="CO272" s="118">
        <f t="shared" si="401"/>
        <v>0</v>
      </c>
      <c r="CP272" s="118" t="str">
        <f t="shared" si="402"/>
        <v>A</v>
      </c>
      <c r="CQ272" s="119" t="str">
        <f t="shared" si="359"/>
        <v/>
      </c>
      <c r="CR272" s="66">
        <f>+IF($W272="","",ROUND((VLOOKUP(Parámetros!$F$51,'COBERTURAS ADICIONALES'!$S$4:$T$32,2,FALSE)*(1+i/frec)^-0.5*(1+Parámetros!$D$103)*(1+rec_fracc)/frec*$CO$42),2))</f>
        <v>0</v>
      </c>
      <c r="CS272" s="119" t="str">
        <f t="shared" si="360"/>
        <v/>
      </c>
      <c r="CT272" s="66">
        <f>+IF($W272="","",ROUND(IF($B272&gt;Parámetros!$D$107,'Tablas Servicio'!CR272+('Tablas Servicio'!CT271-'Tablas Servicio'!CR271),CR272/(1-IF(B272&lt;=10,Parámetros!$D$100,0))),2))</f>
        <v>0</v>
      </c>
      <c r="CU272" s="66">
        <f t="shared" si="361"/>
        <v>0</v>
      </c>
      <c r="CV272" s="66">
        <f t="shared" si="361"/>
        <v>0</v>
      </c>
      <c r="CW272" s="66">
        <f>+IF($W272="","",ROUND((CT272*Parámetros!$G$85),2))</f>
        <v>0</v>
      </c>
      <c r="CX272" s="66">
        <f>+IF($W272="","",ROUND((CT272*(Parámetros!$G$86)),2))</f>
        <v>0</v>
      </c>
      <c r="CY272" s="66">
        <f t="shared" si="362"/>
        <v>0</v>
      </c>
      <c r="CZ272" t="str">
        <f t="shared" si="403"/>
        <v>00064</v>
      </c>
      <c r="DA272" s="118" t="str">
        <f t="shared" si="404"/>
        <v>Enfermedades Graves</v>
      </c>
      <c r="DB272" s="118">
        <f t="shared" si="405"/>
        <v>0</v>
      </c>
      <c r="DC272" s="118" t="str">
        <f t="shared" si="406"/>
        <v>A</v>
      </c>
      <c r="DD272" s="121" t="str">
        <f>+IF(OR($W272="",DB272=0),"",ROUND((VLOOKUP(ROUNDDOWN($D272-1/frec,0),cob_adi,CO$40,FALSE)*(1+i/frec)^-0.5*(1+Parámetros!$D$103)*(1+rec_fracc)/frec),6))</f>
        <v/>
      </c>
      <c r="DE272" s="66">
        <f t="shared" si="363"/>
        <v>0</v>
      </c>
      <c r="DF272" s="119" t="str">
        <f t="shared" si="364"/>
        <v/>
      </c>
      <c r="DG272" s="66">
        <f>+IF($W272="","",ROUND(IF($B272&gt;Parámetros!$D$107,'Tablas Servicio'!DE272+('Tablas Servicio'!DG271-'Tablas Servicio'!DE271),DE272/(1-IF(B272&lt;=10,Parámetros!$D$100,0))),2))</f>
        <v>0</v>
      </c>
      <c r="DH272" s="66">
        <f t="shared" si="365"/>
        <v>0</v>
      </c>
      <c r="DI272" s="66">
        <f t="shared" si="365"/>
        <v>0</v>
      </c>
      <c r="DJ272" s="66">
        <f>+IF($W272="","",ROUND((DG272*Parámetros!$G$85),2))</f>
        <v>0</v>
      </c>
      <c r="DK272" s="66">
        <f>+IF($W272="","",ROUND((DG272*(Parámetros!$G$86)),2))</f>
        <v>0</v>
      </c>
      <c r="DL272" s="66">
        <f t="shared" si="366"/>
        <v>0</v>
      </c>
      <c r="DM272" t="str">
        <f t="shared" si="407"/>
        <v>00065</v>
      </c>
      <c r="DN272" s="118" t="str">
        <f t="shared" si="408"/>
        <v>Exención pago de primas</v>
      </c>
      <c r="DO272" s="118">
        <f t="shared" si="409"/>
        <v>0</v>
      </c>
      <c r="DP272" s="118" t="str">
        <f t="shared" si="410"/>
        <v>A</v>
      </c>
      <c r="DQ272" s="122" t="str">
        <f>+IF(OR($W272="",DO272=0),"",ROUND((VLOOKUP(ROUNDDOWN($D272-1/frec,0),cob_adi,DB$40,FALSE)*(1+i/frec)^-0.5*(1+Parámetros!$D$103)*(1+rec_fracc)/frec),6))</f>
        <v/>
      </c>
      <c r="DR272" s="66">
        <f t="shared" si="367"/>
        <v>0</v>
      </c>
      <c r="DS272" s="68" t="str">
        <f t="shared" si="368"/>
        <v/>
      </c>
      <c r="DT272" s="66">
        <f>+IF($W272="","",ROUND(IF($B272&gt;Parámetros!$D$107,'Tablas Servicio'!DR272+('Tablas Servicio'!DT271-'Tablas Servicio'!DR271),DR272/(1-IF(B272&lt;=10,Parámetros!$D$100,0))),2))</f>
        <v>0</v>
      </c>
      <c r="DU272" s="66">
        <f t="shared" si="369"/>
        <v>0</v>
      </c>
      <c r="DV272" s="66">
        <f t="shared" si="369"/>
        <v>0</v>
      </c>
      <c r="DW272" s="66">
        <f>+IF($W272="","",ROUND((DT272*Parámetros!$G$85),2))</f>
        <v>0</v>
      </c>
      <c r="DX272" s="66">
        <f>+IF($W272="","",ROUND((DT272*(Parámetros!$G$86)),2))</f>
        <v>0</v>
      </c>
      <c r="DY272" s="66">
        <f t="shared" si="370"/>
        <v>0</v>
      </c>
      <c r="DZ272" t="str">
        <f t="shared" si="412"/>
        <v>00066</v>
      </c>
      <c r="EA272" s="118" t="str">
        <f t="shared" si="412"/>
        <v>Enfermedad terminal</v>
      </c>
      <c r="EB272" s="118">
        <f>+IF($W272="","",ROUND(IF(Parámetros!$D$25='TABLAS MORT'!$V$33,EB271,Z272/2),0))</f>
        <v>50000</v>
      </c>
      <c r="EC272" s="118" t="str">
        <f t="shared" si="412"/>
        <v>A</v>
      </c>
      <c r="ED272" s="122">
        <f>+IF(OR($W272="",EB272=0),"",ROUND((VLOOKUP(ROUNDDOWN($D272-1/frec,0),cob_adi,DO$40,FALSE)*(1+i/frec)^-0.5*(1+Parámetros!$D$103)*(1+rec_fracc)/frec),6))</f>
        <v>2.6999999999999999E-5</v>
      </c>
      <c r="EE272" s="66">
        <f t="shared" si="372"/>
        <v>1.35</v>
      </c>
      <c r="EF272" s="68">
        <f t="shared" si="373"/>
        <v>2.6999999999999999E-5</v>
      </c>
      <c r="EG272" s="66">
        <f>+IF($W272="","",ROUND(IF($B272&gt;Parámetros!$D$107,'Tablas Servicio'!EE272+('Tablas Servicio'!EG271-'Tablas Servicio'!EE271),EE272/(1-IF(B272&lt;=10,Parámetros!$D$100,0))),2))</f>
        <v>1.35</v>
      </c>
      <c r="EH272" s="66">
        <f t="shared" si="374"/>
        <v>0</v>
      </c>
      <c r="EI272" s="66">
        <f t="shared" si="374"/>
        <v>0</v>
      </c>
      <c r="EJ272" s="66">
        <f>+IF($W272="","",ROUND((EG272*Parámetros!$G$85),2))</f>
        <v>0.05</v>
      </c>
      <c r="EK272" s="66">
        <f>+IF($W272="","",ROUND((EG272*(Parámetros!$G$86)),2))</f>
        <v>0.01</v>
      </c>
      <c r="EL272" s="66">
        <f t="shared" si="375"/>
        <v>1.41</v>
      </c>
    </row>
    <row r="273" spans="1:142" x14ac:dyDescent="0.25">
      <c r="A273">
        <f>+IF($C273="","",ROUND(VLOOKUP('Tablas Servicio'!B273,Parámetros!$H$100:$J$159,IF(Parámetros!$E$16="F",2,3),FALSE),2))</f>
        <v>150</v>
      </c>
      <c r="B273">
        <f t="shared" si="326"/>
        <v>20</v>
      </c>
      <c r="C273" s="57">
        <f>+IF(D273="","",'Tablas Servicio'!C272+1)</f>
        <v>232</v>
      </c>
      <c r="D273" s="56">
        <f>+IF(D272&lt;edadmaxtabla,D272+1/Parámetros!$E$25,"")</f>
        <v>59.353333333333886</v>
      </c>
      <c r="E273" s="57">
        <f t="shared" si="336"/>
        <v>59</v>
      </c>
      <c r="F273" s="59">
        <f t="shared" si="337"/>
        <v>100000</v>
      </c>
      <c r="G273" s="66">
        <f t="shared" si="327"/>
        <v>55.95</v>
      </c>
      <c r="H273" s="66">
        <f t="shared" si="328"/>
        <v>58.19</v>
      </c>
      <c r="I273" s="66">
        <f t="shared" si="376"/>
        <v>35.81</v>
      </c>
      <c r="J273" s="66">
        <f t="shared" si="329"/>
        <v>1.96</v>
      </c>
      <c r="K273" s="66">
        <f t="shared" si="330"/>
        <v>0.28000000000000003</v>
      </c>
      <c r="L273" s="66">
        <f t="shared" si="331"/>
        <v>0</v>
      </c>
      <c r="M273" s="66">
        <f t="shared" si="332"/>
        <v>0</v>
      </c>
      <c r="N273" s="66">
        <f>+IF(C273="","",ROUND(Parámetros!$D$23,2))</f>
        <v>94</v>
      </c>
      <c r="O273" s="66">
        <f t="shared" si="333"/>
        <v>43.45</v>
      </c>
      <c r="P273" s="66">
        <f>+IF($C273="","",ROUND(IF(B273&gt;Parámetros!$D$117,0,N273*Parámetros!$D$116-G273*Parámetros!$D$100),2))</f>
        <v>0</v>
      </c>
      <c r="Q273" s="75">
        <f t="shared" si="377"/>
        <v>3.5031277926720283E-2</v>
      </c>
      <c r="R273" s="75">
        <f t="shared" si="378"/>
        <v>5.0044682752457556E-3</v>
      </c>
      <c r="S273" s="117">
        <f>+IF($C273="","",ROUND((S272+I273)*(1+Parámetros!$D$91),2))</f>
        <v>17117.849999999999</v>
      </c>
      <c r="T273" s="117">
        <f>+IF($C273="","",ROUND(S273*VLOOKUP(B273,Parámetros!$C$30:$D$39,2,TRUE),2))</f>
        <v>17117.849999999999</v>
      </c>
      <c r="U273" s="117">
        <f>+IF($C273="","",ROUND((U272+I273)*(1+Parámetros!$D$92),2))</f>
        <v>18089.419999999998</v>
      </c>
      <c r="V273" s="117">
        <f>+IF($C273="","",ROUND(U273*VLOOKUP(B273,Parámetros!$C$30:$D$39,2,TRUE),2))</f>
        <v>18089.419999999998</v>
      </c>
      <c r="W273" s="57">
        <f t="shared" si="379"/>
        <v>232</v>
      </c>
      <c r="X273" t="str">
        <f t="shared" si="380"/>
        <v>00058</v>
      </c>
      <c r="Y273" t="str">
        <f t="shared" si="381"/>
        <v>MUERTE POR CUALQUIER CAUSA</v>
      </c>
      <c r="Z273" s="118">
        <f>+IF($W273="","",ROUND(IF(Parámetros!$D$25='TABLAS MORT'!$V$33,Z272,Parámetros!$D$21-'Tablas Servicio'!T272),0))</f>
        <v>100000</v>
      </c>
      <c r="AA273" s="118" t="str">
        <f t="shared" si="382"/>
        <v>P</v>
      </c>
      <c r="AB273" s="119">
        <f>+IF(W273="","",ROUND((VLOOKUP(ROUNDDOWN($D273-1/frec,0),qx_tabla,2,FALSE)*(1+i/frec)^-0.5*(1+Parámetros!$D$103)*(1+rec_fracc)/frec),6))</f>
        <v>4.2099999999999999E-4</v>
      </c>
      <c r="AC273" s="66">
        <f t="shared" si="338"/>
        <v>42.1</v>
      </c>
      <c r="AD273" s="119">
        <f t="shared" si="334"/>
        <v>5.4600000000000004E-4</v>
      </c>
      <c r="AE273" s="66">
        <f>+IF($W273="","",ROUND(IF($B273&gt;Parámetros!$D$107,'Tablas Servicio'!AC273+('Tablas Servicio'!AG272-'Tablas Servicio'!AC272),AC273/(1-IF(B273&lt;=10,Parámetros!$D$104,Parámetros!$D$105))),2))</f>
        <v>70.17</v>
      </c>
      <c r="AF273" s="66">
        <f>+IF($W273="","",ROUND(IF($B273&gt;Parámetros!$D$107,'Tablas Servicio'!AC273+('Tablas Servicio'!AG272-'Tablas Servicio'!AC272),(AC273+$A272/frec)/(1-IF(B273&lt;=Parámetros!$D$117,Parámetros!$D$100,0))),2))</f>
        <v>54.6</v>
      </c>
      <c r="AG273" s="66">
        <f t="shared" si="339"/>
        <v>54.6</v>
      </c>
      <c r="AH273" s="66">
        <f t="shared" si="340"/>
        <v>0</v>
      </c>
      <c r="AI273" s="66">
        <f t="shared" si="341"/>
        <v>0</v>
      </c>
      <c r="AJ273" s="66">
        <f>+IF($W273="","",ROUND((AG273*Parámetros!$G$85),2))</f>
        <v>1.91</v>
      </c>
      <c r="AK273" s="66">
        <f>+IF($W273="","",ROUND((AG273*(Parámetros!$G$86)),2))</f>
        <v>0.27</v>
      </c>
      <c r="AL273" s="66">
        <f t="shared" si="335"/>
        <v>56.78</v>
      </c>
      <c r="AM273" t="str">
        <f t="shared" si="383"/>
        <v>00059</v>
      </c>
      <c r="AN273" t="str">
        <f t="shared" si="384"/>
        <v>Incapacidad Total y Permanente</v>
      </c>
      <c r="AO273" s="118">
        <f t="shared" si="385"/>
        <v>0</v>
      </c>
      <c r="AP273" s="118" t="str">
        <f t="shared" si="386"/>
        <v>A</v>
      </c>
      <c r="AQ273" s="119" t="str">
        <f>+IF(OR($W273="",AO273=0),"",ROUND((VLOOKUP(ROUNDDOWN($D273-1/frec,0),cob_adi,Z$40,FALSE)*(1+i/frec)^-0.5*(1+Parámetros!$D$103)*(1+rec_fracc)/frec),6))</f>
        <v/>
      </c>
      <c r="AR273" s="66">
        <f t="shared" si="342"/>
        <v>0</v>
      </c>
      <c r="AS273" s="119" t="str">
        <f t="shared" si="343"/>
        <v/>
      </c>
      <c r="AT273" s="66">
        <f>+IF($W273="","",ROUND(IF($B273&gt;Parámetros!$D$107,'Tablas Servicio'!AR273+('Tablas Servicio'!AT272-'Tablas Servicio'!AR272),AR273/(1-IF(B273&lt;=10,Parámetros!$D$100,0))),2))</f>
        <v>0</v>
      </c>
      <c r="AU273" s="66">
        <f t="shared" si="344"/>
        <v>0</v>
      </c>
      <c r="AV273" s="66">
        <f t="shared" si="344"/>
        <v>0</v>
      </c>
      <c r="AW273" s="66">
        <f>+IF($W273="","",ROUND((AT273*Parámetros!$G$85),2))</f>
        <v>0</v>
      </c>
      <c r="AX273" s="66">
        <f>+IF($W273="","",ROUND((AT273*(Parámetros!$G$86)),2))</f>
        <v>0</v>
      </c>
      <c r="AY273" s="66">
        <f t="shared" si="345"/>
        <v>0</v>
      </c>
      <c r="AZ273" t="str">
        <f t="shared" si="387"/>
        <v>00060</v>
      </c>
      <c r="BA273" t="str">
        <f t="shared" si="388"/>
        <v>Muerte Accidental</v>
      </c>
      <c r="BB273" s="118">
        <f t="shared" si="389"/>
        <v>0</v>
      </c>
      <c r="BC273" s="118" t="str">
        <f t="shared" si="390"/>
        <v>A</v>
      </c>
      <c r="BD273" s="119" t="str">
        <f>+IF(OR($W273="",BB273=0),"",ROUND((VLOOKUP(ROUNDDOWN($D273-1/frec,0),cob_adi,AO$40,FALSE)*(1+i/frec)^-0.5*(1+Parámetros!$D$103)*(1+rec_fracc)/frec),6))</f>
        <v/>
      </c>
      <c r="BE273" s="66">
        <f t="shared" si="346"/>
        <v>0</v>
      </c>
      <c r="BF273" s="119" t="str">
        <f t="shared" si="347"/>
        <v/>
      </c>
      <c r="BG273" s="66">
        <f>+IF($W273="","",ROUND(IF($B273&gt;Parámetros!$D$107,'Tablas Servicio'!BE273+('Tablas Servicio'!BG272-'Tablas Servicio'!BE272),BE273/(1-IF(B273&lt;=10,Parámetros!$D$100,0))),2))</f>
        <v>0</v>
      </c>
      <c r="BH273" s="66">
        <f t="shared" si="348"/>
        <v>0</v>
      </c>
      <c r="BI273" s="66">
        <f t="shared" si="349"/>
        <v>0</v>
      </c>
      <c r="BJ273" s="66">
        <f>+IF($W273="","",ROUND((BG273*Parámetros!$G$85),2))</f>
        <v>0</v>
      </c>
      <c r="BK273" s="66">
        <f>+IF($W273="","",ROUND((BG273*(Parámetros!$G$86)),2))</f>
        <v>0</v>
      </c>
      <c r="BL273" s="66">
        <f t="shared" si="350"/>
        <v>0</v>
      </c>
      <c r="BM273" t="str">
        <f t="shared" si="391"/>
        <v>00061</v>
      </c>
      <c r="BN273" t="str">
        <f t="shared" si="392"/>
        <v>Gastos de Entierro</v>
      </c>
      <c r="BO273" s="118">
        <f t="shared" si="393"/>
        <v>0</v>
      </c>
      <c r="BP273" s="118" t="str">
        <f t="shared" si="394"/>
        <v>A</v>
      </c>
      <c r="BQ273" s="119" t="str">
        <f>+IF(OR($W273="",BO273=0),"",ROUND((VLOOKUP(ROUNDDOWN($D273-1/frec,0),cob_adi,BB$40,FALSE)*(1+i/frec)^-0.5*(1+Parámetros!$D$103)*(1+rec_fracc)/frec),6))</f>
        <v/>
      </c>
      <c r="BR273" s="66">
        <f t="shared" si="351"/>
        <v>0</v>
      </c>
      <c r="BS273" s="119" t="str">
        <f t="shared" si="352"/>
        <v/>
      </c>
      <c r="BT273" s="66">
        <f>+IF($W273="","",ROUND(IF($B273&gt;Parámetros!$D$107,'Tablas Servicio'!BR273+('Tablas Servicio'!BT272-'Tablas Servicio'!BR272),BR273/(1-IF(B273&lt;=10,Parámetros!$D$100,0))),2))</f>
        <v>0</v>
      </c>
      <c r="BU273" s="66">
        <f t="shared" si="353"/>
        <v>0</v>
      </c>
      <c r="BV273" s="66">
        <f t="shared" si="353"/>
        <v>0</v>
      </c>
      <c r="BW273" s="66">
        <f>+IF($W273="","",ROUND((BT273*Parámetros!$G$85),2))</f>
        <v>0</v>
      </c>
      <c r="BX273" s="66">
        <f>+IF($W273="","",ROUND((BT273*(Parámetros!$G$86)),2))</f>
        <v>0</v>
      </c>
      <c r="BY273" s="66">
        <f t="shared" si="354"/>
        <v>0</v>
      </c>
      <c r="BZ273" t="str">
        <f t="shared" si="395"/>
        <v>00062</v>
      </c>
      <c r="CA273" t="str">
        <f t="shared" si="396"/>
        <v>Gastos médicos por accidente</v>
      </c>
      <c r="CB273" s="118">
        <f t="shared" si="397"/>
        <v>0</v>
      </c>
      <c r="CC273" s="118" t="str">
        <f t="shared" si="398"/>
        <v>A</v>
      </c>
      <c r="CD273" s="119" t="str">
        <f t="shared" si="355"/>
        <v/>
      </c>
      <c r="CE273" s="66">
        <f>+IF($W273="","",ROUND((VLOOKUP(ROUNDDOWN($D273-1/frec,0),cob_adi,BO$40,FALSE)*(1+i/frec)^-0.5*(1+Parámetros!$D$103)*(1+rec_fracc)/frec*'TABLAS ADI'!$BC$17),2))</f>
        <v>0</v>
      </c>
      <c r="CF273" s="119" t="str">
        <f t="shared" si="356"/>
        <v/>
      </c>
      <c r="CG273" s="66">
        <f>+IF($W273="","",ROUND(IF($B273&gt;Parámetros!$D$107,'Tablas Servicio'!CE273+('Tablas Servicio'!CG272-'Tablas Servicio'!CE272),CE273/(1-IF(B273&lt;=10,Parámetros!$D$100,0))),2))</f>
        <v>0</v>
      </c>
      <c r="CH273" s="66">
        <f t="shared" si="357"/>
        <v>0</v>
      </c>
      <c r="CI273" s="66">
        <f t="shared" si="357"/>
        <v>0</v>
      </c>
      <c r="CJ273" s="66">
        <f>+IF($W273="","",ROUND((CG273*Parámetros!$G$85),2))</f>
        <v>0</v>
      </c>
      <c r="CK273" s="66">
        <f>+IF($W273="","",ROUND((CG273*(Parámetros!$G$86)),2))</f>
        <v>0</v>
      </c>
      <c r="CL273" s="66">
        <f t="shared" si="358"/>
        <v>0</v>
      </c>
      <c r="CM273" t="str">
        <f t="shared" si="399"/>
        <v>00063</v>
      </c>
      <c r="CN273" s="118" t="str">
        <f t="shared" si="400"/>
        <v>Renta Diaria por Hospitalización</v>
      </c>
      <c r="CO273" s="118">
        <f t="shared" si="401"/>
        <v>0</v>
      </c>
      <c r="CP273" s="118" t="str">
        <f t="shared" si="402"/>
        <v>A</v>
      </c>
      <c r="CQ273" s="119" t="str">
        <f t="shared" si="359"/>
        <v/>
      </c>
      <c r="CR273" s="66">
        <f>+IF($W273="","",ROUND((VLOOKUP(Parámetros!$F$51,'COBERTURAS ADICIONALES'!$S$4:$T$32,2,FALSE)*(1+i/frec)^-0.5*(1+Parámetros!$D$103)*(1+rec_fracc)/frec*$CO$42),2))</f>
        <v>0</v>
      </c>
      <c r="CS273" s="119" t="str">
        <f t="shared" si="360"/>
        <v/>
      </c>
      <c r="CT273" s="66">
        <f>+IF($W273="","",ROUND(IF($B273&gt;Parámetros!$D$107,'Tablas Servicio'!CR273+('Tablas Servicio'!CT272-'Tablas Servicio'!CR272),CR273/(1-IF(B273&lt;=10,Parámetros!$D$100,0))),2))</f>
        <v>0</v>
      </c>
      <c r="CU273" s="66">
        <f t="shared" si="361"/>
        <v>0</v>
      </c>
      <c r="CV273" s="66">
        <f t="shared" si="361"/>
        <v>0</v>
      </c>
      <c r="CW273" s="66">
        <f>+IF($W273="","",ROUND((CT273*Parámetros!$G$85),2))</f>
        <v>0</v>
      </c>
      <c r="CX273" s="66">
        <f>+IF($W273="","",ROUND((CT273*(Parámetros!$G$86)),2))</f>
        <v>0</v>
      </c>
      <c r="CY273" s="66">
        <f t="shared" si="362"/>
        <v>0</v>
      </c>
      <c r="CZ273" t="str">
        <f t="shared" si="403"/>
        <v>00064</v>
      </c>
      <c r="DA273" s="118" t="str">
        <f t="shared" si="404"/>
        <v>Enfermedades Graves</v>
      </c>
      <c r="DB273" s="118">
        <f t="shared" si="405"/>
        <v>0</v>
      </c>
      <c r="DC273" s="118" t="str">
        <f t="shared" si="406"/>
        <v>A</v>
      </c>
      <c r="DD273" s="121" t="str">
        <f>+IF(OR($W273="",DB273=0),"",ROUND((VLOOKUP(ROUNDDOWN($D273-1/frec,0),cob_adi,CO$40,FALSE)*(1+i/frec)^-0.5*(1+Parámetros!$D$103)*(1+rec_fracc)/frec),6))</f>
        <v/>
      </c>
      <c r="DE273" s="66">
        <f t="shared" si="363"/>
        <v>0</v>
      </c>
      <c r="DF273" s="119" t="str">
        <f t="shared" si="364"/>
        <v/>
      </c>
      <c r="DG273" s="66">
        <f>+IF($W273="","",ROUND(IF($B273&gt;Parámetros!$D$107,'Tablas Servicio'!DE273+('Tablas Servicio'!DG272-'Tablas Servicio'!DE272),DE273/(1-IF(B273&lt;=10,Parámetros!$D$100,0))),2))</f>
        <v>0</v>
      </c>
      <c r="DH273" s="66">
        <f t="shared" si="365"/>
        <v>0</v>
      </c>
      <c r="DI273" s="66">
        <f t="shared" si="365"/>
        <v>0</v>
      </c>
      <c r="DJ273" s="66">
        <f>+IF($W273="","",ROUND((DG273*Parámetros!$G$85),2))</f>
        <v>0</v>
      </c>
      <c r="DK273" s="66">
        <f>+IF($W273="","",ROUND((DG273*(Parámetros!$G$86)),2))</f>
        <v>0</v>
      </c>
      <c r="DL273" s="66">
        <f t="shared" si="366"/>
        <v>0</v>
      </c>
      <c r="DM273" t="str">
        <f t="shared" si="407"/>
        <v>00065</v>
      </c>
      <c r="DN273" s="118" t="str">
        <f t="shared" si="408"/>
        <v>Exención pago de primas</v>
      </c>
      <c r="DO273" s="118">
        <f t="shared" si="409"/>
        <v>0</v>
      </c>
      <c r="DP273" s="118" t="str">
        <f t="shared" si="410"/>
        <v>A</v>
      </c>
      <c r="DQ273" s="122" t="str">
        <f>+IF(OR($W273="",DO273=0),"",ROUND((VLOOKUP(ROUNDDOWN($D273-1/frec,0),cob_adi,DB$40,FALSE)*(1+i/frec)^-0.5*(1+Parámetros!$D$103)*(1+rec_fracc)/frec),6))</f>
        <v/>
      </c>
      <c r="DR273" s="66">
        <f t="shared" si="367"/>
        <v>0</v>
      </c>
      <c r="DS273" s="68" t="str">
        <f t="shared" si="368"/>
        <v/>
      </c>
      <c r="DT273" s="66">
        <f>+IF($W273="","",ROUND(IF($B273&gt;Parámetros!$D$107,'Tablas Servicio'!DR273+('Tablas Servicio'!DT272-'Tablas Servicio'!DR272),DR273/(1-IF(B273&lt;=10,Parámetros!$D$100,0))),2))</f>
        <v>0</v>
      </c>
      <c r="DU273" s="66">
        <f t="shared" si="369"/>
        <v>0</v>
      </c>
      <c r="DV273" s="66">
        <f t="shared" si="369"/>
        <v>0</v>
      </c>
      <c r="DW273" s="66">
        <f>+IF($W273="","",ROUND((DT273*Parámetros!$G$85),2))</f>
        <v>0</v>
      </c>
      <c r="DX273" s="66">
        <f>+IF($W273="","",ROUND((DT273*(Parámetros!$G$86)),2))</f>
        <v>0</v>
      </c>
      <c r="DY273" s="66">
        <f t="shared" si="370"/>
        <v>0</v>
      </c>
      <c r="DZ273" t="str">
        <f t="shared" si="412"/>
        <v>00066</v>
      </c>
      <c r="EA273" s="118" t="str">
        <f t="shared" si="412"/>
        <v>Enfermedad terminal</v>
      </c>
      <c r="EB273" s="118">
        <f>+IF($W273="","",ROUND(IF(Parámetros!$D$25='TABLAS MORT'!$V$33,EB272,Z273/2),0))</f>
        <v>50000</v>
      </c>
      <c r="EC273" s="118" t="str">
        <f t="shared" si="412"/>
        <v>A</v>
      </c>
      <c r="ED273" s="122">
        <f>+IF(OR($W273="",EB273=0),"",ROUND((VLOOKUP(ROUNDDOWN($D273-1/frec,0),cob_adi,DO$40,FALSE)*(1+i/frec)^-0.5*(1+Parámetros!$D$103)*(1+rec_fracc)/frec),6))</f>
        <v>2.6999999999999999E-5</v>
      </c>
      <c r="EE273" s="66">
        <f t="shared" si="372"/>
        <v>1.35</v>
      </c>
      <c r="EF273" s="68">
        <f t="shared" si="373"/>
        <v>2.6999999999999999E-5</v>
      </c>
      <c r="EG273" s="66">
        <f>+IF($W273="","",ROUND(IF($B273&gt;Parámetros!$D$107,'Tablas Servicio'!EE273+('Tablas Servicio'!EG272-'Tablas Servicio'!EE272),EE273/(1-IF(B273&lt;=10,Parámetros!$D$100,0))),2))</f>
        <v>1.35</v>
      </c>
      <c r="EH273" s="66">
        <f t="shared" si="374"/>
        <v>0</v>
      </c>
      <c r="EI273" s="66">
        <f t="shared" si="374"/>
        <v>0</v>
      </c>
      <c r="EJ273" s="66">
        <f>+IF($W273="","",ROUND((EG273*Parámetros!$G$85),2))</f>
        <v>0.05</v>
      </c>
      <c r="EK273" s="66">
        <f>+IF($W273="","",ROUND((EG273*(Parámetros!$G$86)),2))</f>
        <v>0.01</v>
      </c>
      <c r="EL273" s="66">
        <f t="shared" si="375"/>
        <v>1.41</v>
      </c>
    </row>
    <row r="274" spans="1:142" x14ac:dyDescent="0.25">
      <c r="A274">
        <f>+IF($C274="","",ROUND(VLOOKUP('Tablas Servicio'!B274,Parámetros!$H$100:$J$159,IF(Parámetros!$E$16="F",2,3),FALSE),2))</f>
        <v>150</v>
      </c>
      <c r="B274">
        <f t="shared" si="326"/>
        <v>20</v>
      </c>
      <c r="C274" s="57">
        <f>+IF(D274="","",'Tablas Servicio'!C273+1)</f>
        <v>233</v>
      </c>
      <c r="D274" s="56">
        <f>+IF(D273&lt;edadmaxtabla,D273+1/Parámetros!$E$25,"")</f>
        <v>59.436666666667222</v>
      </c>
      <c r="E274" s="57">
        <f t="shared" si="336"/>
        <v>59</v>
      </c>
      <c r="F274" s="59">
        <f t="shared" si="337"/>
        <v>100000</v>
      </c>
      <c r="G274" s="66">
        <f t="shared" si="327"/>
        <v>55.95</v>
      </c>
      <c r="H274" s="66">
        <f t="shared" si="328"/>
        <v>58.19</v>
      </c>
      <c r="I274" s="66">
        <f t="shared" si="376"/>
        <v>35.81</v>
      </c>
      <c r="J274" s="66">
        <f t="shared" si="329"/>
        <v>1.96</v>
      </c>
      <c r="K274" s="66">
        <f t="shared" si="330"/>
        <v>0.28000000000000003</v>
      </c>
      <c r="L274" s="66">
        <f t="shared" si="331"/>
        <v>0</v>
      </c>
      <c r="M274" s="66">
        <f t="shared" si="332"/>
        <v>0</v>
      </c>
      <c r="N274" s="66">
        <f>+IF(C274="","",ROUND(Parámetros!$D$23,2))</f>
        <v>94</v>
      </c>
      <c r="O274" s="66">
        <f t="shared" si="333"/>
        <v>43.45</v>
      </c>
      <c r="P274" s="66">
        <f>+IF($C274="","",ROUND(IF(B274&gt;Parámetros!$D$117,0,N274*Parámetros!$D$116-G274*Parámetros!$D$100),2))</f>
        <v>0</v>
      </c>
      <c r="Q274" s="75">
        <f t="shared" si="377"/>
        <v>3.5031277926720283E-2</v>
      </c>
      <c r="R274" s="75">
        <f t="shared" si="378"/>
        <v>5.0044682752457556E-3</v>
      </c>
      <c r="S274" s="117">
        <f>+IF($C274="","",ROUND((S273+I274)*(1+Parámetros!$D$91),2))</f>
        <v>17202.32</v>
      </c>
      <c r="T274" s="117">
        <f>+IF($C274="","",ROUND(S274*VLOOKUP(B274,Parámetros!$C$30:$D$39,2,TRUE),2))</f>
        <v>17202.32</v>
      </c>
      <c r="U274" s="117">
        <f>+IF($C274="","",ROUND((U273+I274)*(1+Parámetros!$D$92),2))</f>
        <v>18183.990000000002</v>
      </c>
      <c r="V274" s="117">
        <f>+IF($C274="","",ROUND(U274*VLOOKUP(B274,Parámetros!$C$30:$D$39,2,TRUE),2))</f>
        <v>18183.990000000002</v>
      </c>
      <c r="W274" s="57">
        <f t="shared" si="379"/>
        <v>233</v>
      </c>
      <c r="X274" t="str">
        <f t="shared" si="380"/>
        <v>00058</v>
      </c>
      <c r="Y274" t="str">
        <f t="shared" si="381"/>
        <v>MUERTE POR CUALQUIER CAUSA</v>
      </c>
      <c r="Z274" s="118">
        <f>+IF($W274="","",ROUND(IF(Parámetros!$D$25='TABLAS MORT'!$V$33,Z273,Parámetros!$D$21-'Tablas Servicio'!T273),0))</f>
        <v>100000</v>
      </c>
      <c r="AA274" s="118" t="str">
        <f t="shared" si="382"/>
        <v>P</v>
      </c>
      <c r="AB274" s="119">
        <f>+IF(W274="","",ROUND((VLOOKUP(ROUNDDOWN($D274-1/frec,0),qx_tabla,2,FALSE)*(1+i/frec)^-0.5*(1+Parámetros!$D$103)*(1+rec_fracc)/frec),6))</f>
        <v>4.2099999999999999E-4</v>
      </c>
      <c r="AC274" s="66">
        <f t="shared" si="338"/>
        <v>42.1</v>
      </c>
      <c r="AD274" s="119">
        <f t="shared" si="334"/>
        <v>5.4600000000000004E-4</v>
      </c>
      <c r="AE274" s="66">
        <f>+IF($W274="","",ROUND(IF($B274&gt;Parámetros!$D$107,'Tablas Servicio'!AC274+('Tablas Servicio'!AG273-'Tablas Servicio'!AC273),AC274/(1-IF(B274&lt;=10,Parámetros!$D$104,Parámetros!$D$105))),2))</f>
        <v>70.17</v>
      </c>
      <c r="AF274" s="66">
        <f>+IF($W274="","",ROUND(IF($B274&gt;Parámetros!$D$107,'Tablas Servicio'!AC274+('Tablas Servicio'!AG273-'Tablas Servicio'!AC273),(AC274+$A273/frec)/(1-IF(B274&lt;=Parámetros!$D$117,Parámetros!$D$100,0))),2))</f>
        <v>54.6</v>
      </c>
      <c r="AG274" s="66">
        <f t="shared" si="339"/>
        <v>54.6</v>
      </c>
      <c r="AH274" s="66">
        <f t="shared" si="340"/>
        <v>0</v>
      </c>
      <c r="AI274" s="66">
        <f t="shared" si="341"/>
        <v>0</v>
      </c>
      <c r="AJ274" s="66">
        <f>+IF($W274="","",ROUND((AG274*Parámetros!$G$85),2))</f>
        <v>1.91</v>
      </c>
      <c r="AK274" s="66">
        <f>+IF($W274="","",ROUND((AG274*(Parámetros!$G$86)),2))</f>
        <v>0.27</v>
      </c>
      <c r="AL274" s="66">
        <f t="shared" si="335"/>
        <v>56.78</v>
      </c>
      <c r="AM274" t="str">
        <f t="shared" si="383"/>
        <v>00059</v>
      </c>
      <c r="AN274" t="str">
        <f t="shared" si="384"/>
        <v>Incapacidad Total y Permanente</v>
      </c>
      <c r="AO274" s="118">
        <f t="shared" si="385"/>
        <v>0</v>
      </c>
      <c r="AP274" s="118" t="str">
        <f t="shared" si="386"/>
        <v>A</v>
      </c>
      <c r="AQ274" s="119" t="str">
        <f>+IF(OR($W274="",AO274=0),"",ROUND((VLOOKUP(ROUNDDOWN($D274-1/frec,0),cob_adi,Z$40,FALSE)*(1+i/frec)^-0.5*(1+Parámetros!$D$103)*(1+rec_fracc)/frec),6))</f>
        <v/>
      </c>
      <c r="AR274" s="66">
        <f t="shared" si="342"/>
        <v>0</v>
      </c>
      <c r="AS274" s="119" t="str">
        <f t="shared" si="343"/>
        <v/>
      </c>
      <c r="AT274" s="66">
        <f>+IF($W274="","",ROUND(IF($B274&gt;Parámetros!$D$107,'Tablas Servicio'!AR274+('Tablas Servicio'!AT273-'Tablas Servicio'!AR273),AR274/(1-IF(B274&lt;=10,Parámetros!$D$100,0))),2))</f>
        <v>0</v>
      </c>
      <c r="AU274" s="66">
        <f t="shared" si="344"/>
        <v>0</v>
      </c>
      <c r="AV274" s="66">
        <f t="shared" si="344"/>
        <v>0</v>
      </c>
      <c r="AW274" s="66">
        <f>+IF($W274="","",ROUND((AT274*Parámetros!$G$85),2))</f>
        <v>0</v>
      </c>
      <c r="AX274" s="66">
        <f>+IF($W274="","",ROUND((AT274*(Parámetros!$G$86)),2))</f>
        <v>0</v>
      </c>
      <c r="AY274" s="66">
        <f t="shared" si="345"/>
        <v>0</v>
      </c>
      <c r="AZ274" t="str">
        <f t="shared" si="387"/>
        <v>00060</v>
      </c>
      <c r="BA274" t="str">
        <f t="shared" si="388"/>
        <v>Muerte Accidental</v>
      </c>
      <c r="BB274" s="118">
        <f t="shared" si="389"/>
        <v>0</v>
      </c>
      <c r="BC274" s="118" t="str">
        <f t="shared" si="390"/>
        <v>A</v>
      </c>
      <c r="BD274" s="119" t="str">
        <f>+IF(OR($W274="",BB274=0),"",ROUND((VLOOKUP(ROUNDDOWN($D274-1/frec,0),cob_adi,AO$40,FALSE)*(1+i/frec)^-0.5*(1+Parámetros!$D$103)*(1+rec_fracc)/frec),6))</f>
        <v/>
      </c>
      <c r="BE274" s="66">
        <f t="shared" si="346"/>
        <v>0</v>
      </c>
      <c r="BF274" s="119" t="str">
        <f t="shared" si="347"/>
        <v/>
      </c>
      <c r="BG274" s="66">
        <f>+IF($W274="","",ROUND(IF($B274&gt;Parámetros!$D$107,'Tablas Servicio'!BE274+('Tablas Servicio'!BG273-'Tablas Servicio'!BE273),BE274/(1-IF(B274&lt;=10,Parámetros!$D$100,0))),2))</f>
        <v>0</v>
      </c>
      <c r="BH274" s="66">
        <f t="shared" si="348"/>
        <v>0</v>
      </c>
      <c r="BI274" s="66">
        <f t="shared" si="349"/>
        <v>0</v>
      </c>
      <c r="BJ274" s="66">
        <f>+IF($W274="","",ROUND((BG274*Parámetros!$G$85),2))</f>
        <v>0</v>
      </c>
      <c r="BK274" s="66">
        <f>+IF($W274="","",ROUND((BG274*(Parámetros!$G$86)),2))</f>
        <v>0</v>
      </c>
      <c r="BL274" s="66">
        <f t="shared" si="350"/>
        <v>0</v>
      </c>
      <c r="BM274" t="str">
        <f t="shared" si="391"/>
        <v>00061</v>
      </c>
      <c r="BN274" t="str">
        <f t="shared" si="392"/>
        <v>Gastos de Entierro</v>
      </c>
      <c r="BO274" s="118">
        <f t="shared" si="393"/>
        <v>0</v>
      </c>
      <c r="BP274" s="118" t="str">
        <f t="shared" si="394"/>
        <v>A</v>
      </c>
      <c r="BQ274" s="119" t="str">
        <f>+IF(OR($W274="",BO274=0),"",ROUND((VLOOKUP(ROUNDDOWN($D274-1/frec,0),cob_adi,BB$40,FALSE)*(1+i/frec)^-0.5*(1+Parámetros!$D$103)*(1+rec_fracc)/frec),6))</f>
        <v/>
      </c>
      <c r="BR274" s="66">
        <f t="shared" si="351"/>
        <v>0</v>
      </c>
      <c r="BS274" s="119" t="str">
        <f t="shared" si="352"/>
        <v/>
      </c>
      <c r="BT274" s="66">
        <f>+IF($W274="","",ROUND(IF($B274&gt;Parámetros!$D$107,'Tablas Servicio'!BR274+('Tablas Servicio'!BT273-'Tablas Servicio'!BR273),BR274/(1-IF(B274&lt;=10,Parámetros!$D$100,0))),2))</f>
        <v>0</v>
      </c>
      <c r="BU274" s="66">
        <f t="shared" si="353"/>
        <v>0</v>
      </c>
      <c r="BV274" s="66">
        <f t="shared" si="353"/>
        <v>0</v>
      </c>
      <c r="BW274" s="66">
        <f>+IF($W274="","",ROUND((BT274*Parámetros!$G$85),2))</f>
        <v>0</v>
      </c>
      <c r="BX274" s="66">
        <f>+IF($W274="","",ROUND((BT274*(Parámetros!$G$86)),2))</f>
        <v>0</v>
      </c>
      <c r="BY274" s="66">
        <f t="shared" si="354"/>
        <v>0</v>
      </c>
      <c r="BZ274" t="str">
        <f t="shared" si="395"/>
        <v>00062</v>
      </c>
      <c r="CA274" t="str">
        <f t="shared" si="396"/>
        <v>Gastos médicos por accidente</v>
      </c>
      <c r="CB274" s="118">
        <f t="shared" si="397"/>
        <v>0</v>
      </c>
      <c r="CC274" s="118" t="str">
        <f t="shared" si="398"/>
        <v>A</v>
      </c>
      <c r="CD274" s="119" t="str">
        <f t="shared" si="355"/>
        <v/>
      </c>
      <c r="CE274" s="66">
        <f>+IF($W274="","",ROUND((VLOOKUP(ROUNDDOWN($D274-1/frec,0),cob_adi,BO$40,FALSE)*(1+i/frec)^-0.5*(1+Parámetros!$D$103)*(1+rec_fracc)/frec*'TABLAS ADI'!$BC$17),2))</f>
        <v>0</v>
      </c>
      <c r="CF274" s="119" t="str">
        <f t="shared" si="356"/>
        <v/>
      </c>
      <c r="CG274" s="66">
        <f>+IF($W274="","",ROUND(IF($B274&gt;Parámetros!$D$107,'Tablas Servicio'!CE274+('Tablas Servicio'!CG273-'Tablas Servicio'!CE273),CE274/(1-IF(B274&lt;=10,Parámetros!$D$100,0))),2))</f>
        <v>0</v>
      </c>
      <c r="CH274" s="66">
        <f t="shared" si="357"/>
        <v>0</v>
      </c>
      <c r="CI274" s="66">
        <f t="shared" si="357"/>
        <v>0</v>
      </c>
      <c r="CJ274" s="66">
        <f>+IF($W274="","",ROUND((CG274*Parámetros!$G$85),2))</f>
        <v>0</v>
      </c>
      <c r="CK274" s="66">
        <f>+IF($W274="","",ROUND((CG274*(Parámetros!$G$86)),2))</f>
        <v>0</v>
      </c>
      <c r="CL274" s="66">
        <f t="shared" si="358"/>
        <v>0</v>
      </c>
      <c r="CM274" t="str">
        <f t="shared" si="399"/>
        <v>00063</v>
      </c>
      <c r="CN274" s="118" t="str">
        <f t="shared" si="400"/>
        <v>Renta Diaria por Hospitalización</v>
      </c>
      <c r="CO274" s="118">
        <f t="shared" si="401"/>
        <v>0</v>
      </c>
      <c r="CP274" s="118" t="str">
        <f t="shared" si="402"/>
        <v>A</v>
      </c>
      <c r="CQ274" s="119" t="str">
        <f t="shared" si="359"/>
        <v/>
      </c>
      <c r="CR274" s="66">
        <f>+IF($W274="","",ROUND((VLOOKUP(Parámetros!$F$51,'COBERTURAS ADICIONALES'!$S$4:$T$32,2,FALSE)*(1+i/frec)^-0.5*(1+Parámetros!$D$103)*(1+rec_fracc)/frec*$CO$42),2))</f>
        <v>0</v>
      </c>
      <c r="CS274" s="119" t="str">
        <f t="shared" si="360"/>
        <v/>
      </c>
      <c r="CT274" s="66">
        <f>+IF($W274="","",ROUND(IF($B274&gt;Parámetros!$D$107,'Tablas Servicio'!CR274+('Tablas Servicio'!CT273-'Tablas Servicio'!CR273),CR274/(1-IF(B274&lt;=10,Parámetros!$D$100,0))),2))</f>
        <v>0</v>
      </c>
      <c r="CU274" s="66">
        <f t="shared" si="361"/>
        <v>0</v>
      </c>
      <c r="CV274" s="66">
        <f t="shared" si="361"/>
        <v>0</v>
      </c>
      <c r="CW274" s="66">
        <f>+IF($W274="","",ROUND((CT274*Parámetros!$G$85),2))</f>
        <v>0</v>
      </c>
      <c r="CX274" s="66">
        <f>+IF($W274="","",ROUND((CT274*(Parámetros!$G$86)),2))</f>
        <v>0</v>
      </c>
      <c r="CY274" s="66">
        <f t="shared" si="362"/>
        <v>0</v>
      </c>
      <c r="CZ274" t="str">
        <f t="shared" si="403"/>
        <v>00064</v>
      </c>
      <c r="DA274" s="118" t="str">
        <f t="shared" si="404"/>
        <v>Enfermedades Graves</v>
      </c>
      <c r="DB274" s="118">
        <f t="shared" si="405"/>
        <v>0</v>
      </c>
      <c r="DC274" s="118" t="str">
        <f t="shared" si="406"/>
        <v>A</v>
      </c>
      <c r="DD274" s="121" t="str">
        <f>+IF(OR($W274="",DB274=0),"",ROUND((VLOOKUP(ROUNDDOWN($D274-1/frec,0),cob_adi,CO$40,FALSE)*(1+i/frec)^-0.5*(1+Parámetros!$D$103)*(1+rec_fracc)/frec),6))</f>
        <v/>
      </c>
      <c r="DE274" s="66">
        <f t="shared" si="363"/>
        <v>0</v>
      </c>
      <c r="DF274" s="119" t="str">
        <f t="shared" si="364"/>
        <v/>
      </c>
      <c r="DG274" s="66">
        <f>+IF($W274="","",ROUND(IF($B274&gt;Parámetros!$D$107,'Tablas Servicio'!DE274+('Tablas Servicio'!DG273-'Tablas Servicio'!DE273),DE274/(1-IF(B274&lt;=10,Parámetros!$D$100,0))),2))</f>
        <v>0</v>
      </c>
      <c r="DH274" s="66">
        <f t="shared" si="365"/>
        <v>0</v>
      </c>
      <c r="DI274" s="66">
        <f t="shared" si="365"/>
        <v>0</v>
      </c>
      <c r="DJ274" s="66">
        <f>+IF($W274="","",ROUND((DG274*Parámetros!$G$85),2))</f>
        <v>0</v>
      </c>
      <c r="DK274" s="66">
        <f>+IF($W274="","",ROUND((DG274*(Parámetros!$G$86)),2))</f>
        <v>0</v>
      </c>
      <c r="DL274" s="66">
        <f t="shared" si="366"/>
        <v>0</v>
      </c>
      <c r="DM274" t="str">
        <f t="shared" si="407"/>
        <v>00065</v>
      </c>
      <c r="DN274" s="118" t="str">
        <f t="shared" si="408"/>
        <v>Exención pago de primas</v>
      </c>
      <c r="DO274" s="118">
        <f t="shared" si="409"/>
        <v>0</v>
      </c>
      <c r="DP274" s="118" t="str">
        <f t="shared" si="410"/>
        <v>A</v>
      </c>
      <c r="DQ274" s="122" t="str">
        <f>+IF(OR($W274="",DO274=0),"",ROUND((VLOOKUP(ROUNDDOWN($D274-1/frec,0),cob_adi,DB$40,FALSE)*(1+i/frec)^-0.5*(1+Parámetros!$D$103)*(1+rec_fracc)/frec),6))</f>
        <v/>
      </c>
      <c r="DR274" s="66">
        <f t="shared" si="367"/>
        <v>0</v>
      </c>
      <c r="DS274" s="68" t="str">
        <f t="shared" si="368"/>
        <v/>
      </c>
      <c r="DT274" s="66">
        <f>+IF($W274="","",ROUND(IF($B274&gt;Parámetros!$D$107,'Tablas Servicio'!DR274+('Tablas Servicio'!DT273-'Tablas Servicio'!DR273),DR274/(1-IF(B274&lt;=10,Parámetros!$D$100,0))),2))</f>
        <v>0</v>
      </c>
      <c r="DU274" s="66">
        <f t="shared" si="369"/>
        <v>0</v>
      </c>
      <c r="DV274" s="66">
        <f t="shared" si="369"/>
        <v>0</v>
      </c>
      <c r="DW274" s="66">
        <f>+IF($W274="","",ROUND((DT274*Parámetros!$G$85),2))</f>
        <v>0</v>
      </c>
      <c r="DX274" s="66">
        <f>+IF($W274="","",ROUND((DT274*(Parámetros!$G$86)),2))</f>
        <v>0</v>
      </c>
      <c r="DY274" s="66">
        <f t="shared" si="370"/>
        <v>0</v>
      </c>
      <c r="DZ274" t="str">
        <f t="shared" si="412"/>
        <v>00066</v>
      </c>
      <c r="EA274" s="118" t="str">
        <f t="shared" si="412"/>
        <v>Enfermedad terminal</v>
      </c>
      <c r="EB274" s="118">
        <f>+IF($W274="","",ROUND(IF(Parámetros!$D$25='TABLAS MORT'!$V$33,EB273,Z274/2),0))</f>
        <v>50000</v>
      </c>
      <c r="EC274" s="118" t="str">
        <f t="shared" si="412"/>
        <v>A</v>
      </c>
      <c r="ED274" s="122">
        <f>+IF(OR($W274="",EB274=0),"",ROUND((VLOOKUP(ROUNDDOWN($D274-1/frec,0),cob_adi,DO$40,FALSE)*(1+i/frec)^-0.5*(1+Parámetros!$D$103)*(1+rec_fracc)/frec),6))</f>
        <v>2.6999999999999999E-5</v>
      </c>
      <c r="EE274" s="66">
        <f t="shared" si="372"/>
        <v>1.35</v>
      </c>
      <c r="EF274" s="68">
        <f t="shared" si="373"/>
        <v>2.6999999999999999E-5</v>
      </c>
      <c r="EG274" s="66">
        <f>+IF($W274="","",ROUND(IF($B274&gt;Parámetros!$D$107,'Tablas Servicio'!EE274+('Tablas Servicio'!EG273-'Tablas Servicio'!EE273),EE274/(1-IF(B274&lt;=10,Parámetros!$D$100,0))),2))</f>
        <v>1.35</v>
      </c>
      <c r="EH274" s="66">
        <f t="shared" si="374"/>
        <v>0</v>
      </c>
      <c r="EI274" s="66">
        <f t="shared" si="374"/>
        <v>0</v>
      </c>
      <c r="EJ274" s="66">
        <f>+IF($W274="","",ROUND((EG274*Parámetros!$G$85),2))</f>
        <v>0.05</v>
      </c>
      <c r="EK274" s="66">
        <f>+IF($W274="","",ROUND((EG274*(Parámetros!$G$86)),2))</f>
        <v>0.01</v>
      </c>
      <c r="EL274" s="66">
        <f t="shared" si="375"/>
        <v>1.41</v>
      </c>
    </row>
    <row r="275" spans="1:142" x14ac:dyDescent="0.25">
      <c r="A275">
        <f>+IF($C275="","",ROUND(VLOOKUP('Tablas Servicio'!B275,Parámetros!$H$100:$J$159,IF(Parámetros!$E$16="F",2,3),FALSE),2))</f>
        <v>150</v>
      </c>
      <c r="B275">
        <f t="shared" si="326"/>
        <v>20</v>
      </c>
      <c r="C275" s="57">
        <f>+IF(D275="","",'Tablas Servicio'!C274+1)</f>
        <v>234</v>
      </c>
      <c r="D275" s="56">
        <f>+IF(D274&lt;edadmaxtabla,D274+1/Parámetros!$E$25,"")</f>
        <v>59.520000000000557</v>
      </c>
      <c r="E275" s="57">
        <f t="shared" si="336"/>
        <v>59</v>
      </c>
      <c r="F275" s="59">
        <f t="shared" si="337"/>
        <v>100000</v>
      </c>
      <c r="G275" s="66">
        <f t="shared" si="327"/>
        <v>55.95</v>
      </c>
      <c r="H275" s="66">
        <f t="shared" si="328"/>
        <v>58.19</v>
      </c>
      <c r="I275" s="66">
        <f t="shared" si="376"/>
        <v>35.81</v>
      </c>
      <c r="J275" s="66">
        <f t="shared" si="329"/>
        <v>1.96</v>
      </c>
      <c r="K275" s="66">
        <f t="shared" si="330"/>
        <v>0.28000000000000003</v>
      </c>
      <c r="L275" s="66">
        <f t="shared" si="331"/>
        <v>0</v>
      </c>
      <c r="M275" s="66">
        <f t="shared" si="332"/>
        <v>0</v>
      </c>
      <c r="N275" s="66">
        <f>+IF(C275="","",ROUND(Parámetros!$D$23,2))</f>
        <v>94</v>
      </c>
      <c r="O275" s="66">
        <f t="shared" si="333"/>
        <v>43.45</v>
      </c>
      <c r="P275" s="66">
        <f>+IF($C275="","",ROUND(IF(B275&gt;Parámetros!$D$117,0,N275*Parámetros!$D$116-G275*Parámetros!$D$100),2))</f>
        <v>0</v>
      </c>
      <c r="Q275" s="75">
        <f t="shared" si="377"/>
        <v>3.5031277926720283E-2</v>
      </c>
      <c r="R275" s="75">
        <f t="shared" si="378"/>
        <v>5.0044682752457556E-3</v>
      </c>
      <c r="S275" s="117">
        <f>+IF($C275="","",ROUND((S274+I275)*(1+Parámetros!$D$91),2))</f>
        <v>17287.03</v>
      </c>
      <c r="T275" s="117">
        <f>+IF($C275="","",ROUND(S275*VLOOKUP(B275,Parámetros!$C$30:$D$39,2,TRUE),2))</f>
        <v>17287.03</v>
      </c>
      <c r="U275" s="117">
        <f>+IF($C275="","",ROUND((U274+I275)*(1+Parámetros!$D$92),2))</f>
        <v>18278.86</v>
      </c>
      <c r="V275" s="117">
        <f>+IF($C275="","",ROUND(U275*VLOOKUP(B275,Parámetros!$C$30:$D$39,2,TRUE),2))</f>
        <v>18278.86</v>
      </c>
      <c r="W275" s="57">
        <f t="shared" si="379"/>
        <v>234</v>
      </c>
      <c r="X275" t="str">
        <f t="shared" si="380"/>
        <v>00058</v>
      </c>
      <c r="Y275" t="str">
        <f t="shared" si="381"/>
        <v>MUERTE POR CUALQUIER CAUSA</v>
      </c>
      <c r="Z275" s="118">
        <f>+IF($W275="","",ROUND(IF(Parámetros!$D$25='TABLAS MORT'!$V$33,Z274,Parámetros!$D$21-'Tablas Servicio'!T274),0))</f>
        <v>100000</v>
      </c>
      <c r="AA275" s="118" t="str">
        <f t="shared" si="382"/>
        <v>P</v>
      </c>
      <c r="AB275" s="119">
        <f>+IF(W275="","",ROUND((VLOOKUP(ROUNDDOWN($D275-1/frec,0),qx_tabla,2,FALSE)*(1+i/frec)^-0.5*(1+Parámetros!$D$103)*(1+rec_fracc)/frec),6))</f>
        <v>4.2099999999999999E-4</v>
      </c>
      <c r="AC275" s="66">
        <f t="shared" si="338"/>
        <v>42.1</v>
      </c>
      <c r="AD275" s="119">
        <f t="shared" si="334"/>
        <v>5.4600000000000004E-4</v>
      </c>
      <c r="AE275" s="66">
        <f>+IF($W275="","",ROUND(IF($B275&gt;Parámetros!$D$107,'Tablas Servicio'!AC275+('Tablas Servicio'!AG274-'Tablas Servicio'!AC274),AC275/(1-IF(B275&lt;=10,Parámetros!$D$104,Parámetros!$D$105))),2))</f>
        <v>70.17</v>
      </c>
      <c r="AF275" s="66">
        <f>+IF($W275="","",ROUND(IF($B275&gt;Parámetros!$D$107,'Tablas Servicio'!AC275+('Tablas Servicio'!AG274-'Tablas Servicio'!AC274),(AC275+$A274/frec)/(1-IF(B275&lt;=Parámetros!$D$117,Parámetros!$D$100,0))),2))</f>
        <v>54.6</v>
      </c>
      <c r="AG275" s="66">
        <f t="shared" si="339"/>
        <v>54.6</v>
      </c>
      <c r="AH275" s="66">
        <f t="shared" si="340"/>
        <v>0</v>
      </c>
      <c r="AI275" s="66">
        <f t="shared" si="341"/>
        <v>0</v>
      </c>
      <c r="AJ275" s="66">
        <f>+IF($W275="","",ROUND((AG275*Parámetros!$G$85),2))</f>
        <v>1.91</v>
      </c>
      <c r="AK275" s="66">
        <f>+IF($W275="","",ROUND((AG275*(Parámetros!$G$86)),2))</f>
        <v>0.27</v>
      </c>
      <c r="AL275" s="66">
        <f t="shared" si="335"/>
        <v>56.78</v>
      </c>
      <c r="AM275" t="str">
        <f t="shared" si="383"/>
        <v>00059</v>
      </c>
      <c r="AN275" t="str">
        <f t="shared" si="384"/>
        <v>Incapacidad Total y Permanente</v>
      </c>
      <c r="AO275" s="118">
        <f t="shared" si="385"/>
        <v>0</v>
      </c>
      <c r="AP275" s="118" t="str">
        <f t="shared" si="386"/>
        <v>A</v>
      </c>
      <c r="AQ275" s="119" t="str">
        <f>+IF(OR($W275="",AO275=0),"",ROUND((VLOOKUP(ROUNDDOWN($D275-1/frec,0),cob_adi,Z$40,FALSE)*(1+i/frec)^-0.5*(1+Parámetros!$D$103)*(1+rec_fracc)/frec),6))</f>
        <v/>
      </c>
      <c r="AR275" s="66">
        <f t="shared" si="342"/>
        <v>0</v>
      </c>
      <c r="AS275" s="119" t="str">
        <f t="shared" si="343"/>
        <v/>
      </c>
      <c r="AT275" s="66">
        <f>+IF($W275="","",ROUND(IF($B275&gt;Parámetros!$D$107,'Tablas Servicio'!AR275+('Tablas Servicio'!AT274-'Tablas Servicio'!AR274),AR275/(1-IF(B275&lt;=10,Parámetros!$D$100,0))),2))</f>
        <v>0</v>
      </c>
      <c r="AU275" s="66">
        <f t="shared" si="344"/>
        <v>0</v>
      </c>
      <c r="AV275" s="66">
        <f t="shared" si="344"/>
        <v>0</v>
      </c>
      <c r="AW275" s="66">
        <f>+IF($W275="","",ROUND((AT275*Parámetros!$G$85),2))</f>
        <v>0</v>
      </c>
      <c r="AX275" s="66">
        <f>+IF($W275="","",ROUND((AT275*(Parámetros!$G$86)),2))</f>
        <v>0</v>
      </c>
      <c r="AY275" s="66">
        <f t="shared" si="345"/>
        <v>0</v>
      </c>
      <c r="AZ275" t="str">
        <f t="shared" si="387"/>
        <v>00060</v>
      </c>
      <c r="BA275" t="str">
        <f t="shared" si="388"/>
        <v>Muerte Accidental</v>
      </c>
      <c r="BB275" s="118">
        <f t="shared" si="389"/>
        <v>0</v>
      </c>
      <c r="BC275" s="118" t="str">
        <f t="shared" si="390"/>
        <v>A</v>
      </c>
      <c r="BD275" s="119" t="str">
        <f>+IF(OR($W275="",BB275=0),"",ROUND((VLOOKUP(ROUNDDOWN($D275-1/frec,0),cob_adi,AO$40,FALSE)*(1+i/frec)^-0.5*(1+Parámetros!$D$103)*(1+rec_fracc)/frec),6))</f>
        <v/>
      </c>
      <c r="BE275" s="66">
        <f t="shared" si="346"/>
        <v>0</v>
      </c>
      <c r="BF275" s="119" t="str">
        <f t="shared" si="347"/>
        <v/>
      </c>
      <c r="BG275" s="66">
        <f>+IF($W275="","",ROUND(IF($B275&gt;Parámetros!$D$107,'Tablas Servicio'!BE275+('Tablas Servicio'!BG274-'Tablas Servicio'!BE274),BE275/(1-IF(B275&lt;=10,Parámetros!$D$100,0))),2))</f>
        <v>0</v>
      </c>
      <c r="BH275" s="66">
        <f t="shared" si="348"/>
        <v>0</v>
      </c>
      <c r="BI275" s="66">
        <f t="shared" si="349"/>
        <v>0</v>
      </c>
      <c r="BJ275" s="66">
        <f>+IF($W275="","",ROUND((BG275*Parámetros!$G$85),2))</f>
        <v>0</v>
      </c>
      <c r="BK275" s="66">
        <f>+IF($W275="","",ROUND((BG275*(Parámetros!$G$86)),2))</f>
        <v>0</v>
      </c>
      <c r="BL275" s="66">
        <f t="shared" si="350"/>
        <v>0</v>
      </c>
      <c r="BM275" t="str">
        <f t="shared" si="391"/>
        <v>00061</v>
      </c>
      <c r="BN275" t="str">
        <f t="shared" si="392"/>
        <v>Gastos de Entierro</v>
      </c>
      <c r="BO275" s="118">
        <f t="shared" si="393"/>
        <v>0</v>
      </c>
      <c r="BP275" s="118" t="str">
        <f t="shared" si="394"/>
        <v>A</v>
      </c>
      <c r="BQ275" s="119" t="str">
        <f>+IF(OR($W275="",BO275=0),"",ROUND((VLOOKUP(ROUNDDOWN($D275-1/frec,0),cob_adi,BB$40,FALSE)*(1+i/frec)^-0.5*(1+Parámetros!$D$103)*(1+rec_fracc)/frec),6))</f>
        <v/>
      </c>
      <c r="BR275" s="66">
        <f t="shared" si="351"/>
        <v>0</v>
      </c>
      <c r="BS275" s="119" t="str">
        <f t="shared" si="352"/>
        <v/>
      </c>
      <c r="BT275" s="66">
        <f>+IF($W275="","",ROUND(IF($B275&gt;Parámetros!$D$107,'Tablas Servicio'!BR275+('Tablas Servicio'!BT274-'Tablas Servicio'!BR274),BR275/(1-IF(B275&lt;=10,Parámetros!$D$100,0))),2))</f>
        <v>0</v>
      </c>
      <c r="BU275" s="66">
        <f t="shared" si="353"/>
        <v>0</v>
      </c>
      <c r="BV275" s="66">
        <f t="shared" si="353"/>
        <v>0</v>
      </c>
      <c r="BW275" s="66">
        <f>+IF($W275="","",ROUND((BT275*Parámetros!$G$85),2))</f>
        <v>0</v>
      </c>
      <c r="BX275" s="66">
        <f>+IF($W275="","",ROUND((BT275*(Parámetros!$G$86)),2))</f>
        <v>0</v>
      </c>
      <c r="BY275" s="66">
        <f t="shared" si="354"/>
        <v>0</v>
      </c>
      <c r="BZ275" t="str">
        <f t="shared" si="395"/>
        <v>00062</v>
      </c>
      <c r="CA275" t="str">
        <f t="shared" si="396"/>
        <v>Gastos médicos por accidente</v>
      </c>
      <c r="CB275" s="118">
        <f t="shared" si="397"/>
        <v>0</v>
      </c>
      <c r="CC275" s="118" t="str">
        <f t="shared" si="398"/>
        <v>A</v>
      </c>
      <c r="CD275" s="119" t="str">
        <f t="shared" si="355"/>
        <v/>
      </c>
      <c r="CE275" s="66">
        <f>+IF($W275="","",ROUND((VLOOKUP(ROUNDDOWN($D275-1/frec,0),cob_adi,BO$40,FALSE)*(1+i/frec)^-0.5*(1+Parámetros!$D$103)*(1+rec_fracc)/frec*'TABLAS ADI'!$BC$17),2))</f>
        <v>0</v>
      </c>
      <c r="CF275" s="119" t="str">
        <f t="shared" si="356"/>
        <v/>
      </c>
      <c r="CG275" s="66">
        <f>+IF($W275="","",ROUND(IF($B275&gt;Parámetros!$D$107,'Tablas Servicio'!CE275+('Tablas Servicio'!CG274-'Tablas Servicio'!CE274),CE275/(1-IF(B275&lt;=10,Parámetros!$D$100,0))),2))</f>
        <v>0</v>
      </c>
      <c r="CH275" s="66">
        <f t="shared" si="357"/>
        <v>0</v>
      </c>
      <c r="CI275" s="66">
        <f t="shared" si="357"/>
        <v>0</v>
      </c>
      <c r="CJ275" s="66">
        <f>+IF($W275="","",ROUND((CG275*Parámetros!$G$85),2))</f>
        <v>0</v>
      </c>
      <c r="CK275" s="66">
        <f>+IF($W275="","",ROUND((CG275*(Parámetros!$G$86)),2))</f>
        <v>0</v>
      </c>
      <c r="CL275" s="66">
        <f t="shared" si="358"/>
        <v>0</v>
      </c>
      <c r="CM275" t="str">
        <f t="shared" si="399"/>
        <v>00063</v>
      </c>
      <c r="CN275" s="118" t="str">
        <f t="shared" si="400"/>
        <v>Renta Diaria por Hospitalización</v>
      </c>
      <c r="CO275" s="118">
        <f t="shared" si="401"/>
        <v>0</v>
      </c>
      <c r="CP275" s="118" t="str">
        <f t="shared" si="402"/>
        <v>A</v>
      </c>
      <c r="CQ275" s="119" t="str">
        <f t="shared" si="359"/>
        <v/>
      </c>
      <c r="CR275" s="66">
        <f>+IF($W275="","",ROUND((VLOOKUP(Parámetros!$F$51,'COBERTURAS ADICIONALES'!$S$4:$T$32,2,FALSE)*(1+i/frec)^-0.5*(1+Parámetros!$D$103)*(1+rec_fracc)/frec*$CO$42),2))</f>
        <v>0</v>
      </c>
      <c r="CS275" s="119" t="str">
        <f t="shared" si="360"/>
        <v/>
      </c>
      <c r="CT275" s="66">
        <f>+IF($W275="","",ROUND(IF($B275&gt;Parámetros!$D$107,'Tablas Servicio'!CR275+('Tablas Servicio'!CT274-'Tablas Servicio'!CR274),CR275/(1-IF(B275&lt;=10,Parámetros!$D$100,0))),2))</f>
        <v>0</v>
      </c>
      <c r="CU275" s="66">
        <f t="shared" si="361"/>
        <v>0</v>
      </c>
      <c r="CV275" s="66">
        <f t="shared" si="361"/>
        <v>0</v>
      </c>
      <c r="CW275" s="66">
        <f>+IF($W275="","",ROUND((CT275*Parámetros!$G$85),2))</f>
        <v>0</v>
      </c>
      <c r="CX275" s="66">
        <f>+IF($W275="","",ROUND((CT275*(Parámetros!$G$86)),2))</f>
        <v>0</v>
      </c>
      <c r="CY275" s="66">
        <f t="shared" si="362"/>
        <v>0</v>
      </c>
      <c r="CZ275" t="str">
        <f t="shared" si="403"/>
        <v>00064</v>
      </c>
      <c r="DA275" s="118" t="str">
        <f t="shared" si="404"/>
        <v>Enfermedades Graves</v>
      </c>
      <c r="DB275" s="118">
        <f t="shared" si="405"/>
        <v>0</v>
      </c>
      <c r="DC275" s="118" t="str">
        <f t="shared" si="406"/>
        <v>A</v>
      </c>
      <c r="DD275" s="121" t="str">
        <f>+IF(OR($W275="",DB275=0),"",ROUND((VLOOKUP(ROUNDDOWN($D275-1/frec,0),cob_adi,CO$40,FALSE)*(1+i/frec)^-0.5*(1+Parámetros!$D$103)*(1+rec_fracc)/frec),6))</f>
        <v/>
      </c>
      <c r="DE275" s="66">
        <f t="shared" si="363"/>
        <v>0</v>
      </c>
      <c r="DF275" s="119" t="str">
        <f t="shared" si="364"/>
        <v/>
      </c>
      <c r="DG275" s="66">
        <f>+IF($W275="","",ROUND(IF($B275&gt;Parámetros!$D$107,'Tablas Servicio'!DE275+('Tablas Servicio'!DG274-'Tablas Servicio'!DE274),DE275/(1-IF(B275&lt;=10,Parámetros!$D$100,0))),2))</f>
        <v>0</v>
      </c>
      <c r="DH275" s="66">
        <f t="shared" si="365"/>
        <v>0</v>
      </c>
      <c r="DI275" s="66">
        <f t="shared" si="365"/>
        <v>0</v>
      </c>
      <c r="DJ275" s="66">
        <f>+IF($W275="","",ROUND((DG275*Parámetros!$G$85),2))</f>
        <v>0</v>
      </c>
      <c r="DK275" s="66">
        <f>+IF($W275="","",ROUND((DG275*(Parámetros!$G$86)),2))</f>
        <v>0</v>
      </c>
      <c r="DL275" s="66">
        <f t="shared" si="366"/>
        <v>0</v>
      </c>
      <c r="DM275" t="str">
        <f t="shared" si="407"/>
        <v>00065</v>
      </c>
      <c r="DN275" s="118" t="str">
        <f t="shared" si="408"/>
        <v>Exención pago de primas</v>
      </c>
      <c r="DO275" s="118">
        <f t="shared" si="409"/>
        <v>0</v>
      </c>
      <c r="DP275" s="118" t="str">
        <f t="shared" si="410"/>
        <v>A</v>
      </c>
      <c r="DQ275" s="122" t="str">
        <f>+IF(OR($W275="",DO275=0),"",ROUND((VLOOKUP(ROUNDDOWN($D275-1/frec,0),cob_adi,DB$40,FALSE)*(1+i/frec)^-0.5*(1+Parámetros!$D$103)*(1+rec_fracc)/frec),6))</f>
        <v/>
      </c>
      <c r="DR275" s="66">
        <f t="shared" si="367"/>
        <v>0</v>
      </c>
      <c r="DS275" s="68" t="str">
        <f t="shared" si="368"/>
        <v/>
      </c>
      <c r="DT275" s="66">
        <f>+IF($W275="","",ROUND(IF($B275&gt;Parámetros!$D$107,'Tablas Servicio'!DR275+('Tablas Servicio'!DT274-'Tablas Servicio'!DR274),DR275/(1-IF(B275&lt;=10,Parámetros!$D$100,0))),2))</f>
        <v>0</v>
      </c>
      <c r="DU275" s="66">
        <f t="shared" si="369"/>
        <v>0</v>
      </c>
      <c r="DV275" s="66">
        <f t="shared" si="369"/>
        <v>0</v>
      </c>
      <c r="DW275" s="66">
        <f>+IF($W275="","",ROUND((DT275*Parámetros!$G$85),2))</f>
        <v>0</v>
      </c>
      <c r="DX275" s="66">
        <f>+IF($W275="","",ROUND((DT275*(Parámetros!$G$86)),2))</f>
        <v>0</v>
      </c>
      <c r="DY275" s="66">
        <f t="shared" si="370"/>
        <v>0</v>
      </c>
      <c r="DZ275" t="str">
        <f t="shared" si="412"/>
        <v>00066</v>
      </c>
      <c r="EA275" s="118" t="str">
        <f t="shared" si="412"/>
        <v>Enfermedad terminal</v>
      </c>
      <c r="EB275" s="118">
        <f>+IF($W275="","",ROUND(IF(Parámetros!$D$25='TABLAS MORT'!$V$33,EB274,Z275/2),0))</f>
        <v>50000</v>
      </c>
      <c r="EC275" s="118" t="str">
        <f t="shared" si="412"/>
        <v>A</v>
      </c>
      <c r="ED275" s="122">
        <f>+IF(OR($W275="",EB275=0),"",ROUND((VLOOKUP(ROUNDDOWN($D275-1/frec,0),cob_adi,DO$40,FALSE)*(1+i/frec)^-0.5*(1+Parámetros!$D$103)*(1+rec_fracc)/frec),6))</f>
        <v>2.6999999999999999E-5</v>
      </c>
      <c r="EE275" s="66">
        <f t="shared" si="372"/>
        <v>1.35</v>
      </c>
      <c r="EF275" s="68">
        <f t="shared" si="373"/>
        <v>2.6999999999999999E-5</v>
      </c>
      <c r="EG275" s="66">
        <f>+IF($W275="","",ROUND(IF($B275&gt;Parámetros!$D$107,'Tablas Servicio'!EE275+('Tablas Servicio'!EG274-'Tablas Servicio'!EE274),EE275/(1-IF(B275&lt;=10,Parámetros!$D$100,0))),2))</f>
        <v>1.35</v>
      </c>
      <c r="EH275" s="66">
        <f t="shared" si="374"/>
        <v>0</v>
      </c>
      <c r="EI275" s="66">
        <f t="shared" si="374"/>
        <v>0</v>
      </c>
      <c r="EJ275" s="66">
        <f>+IF($W275="","",ROUND((EG275*Parámetros!$G$85),2))</f>
        <v>0.05</v>
      </c>
      <c r="EK275" s="66">
        <f>+IF($W275="","",ROUND((EG275*(Parámetros!$G$86)),2))</f>
        <v>0.01</v>
      </c>
      <c r="EL275" s="66">
        <f t="shared" si="375"/>
        <v>1.41</v>
      </c>
    </row>
    <row r="276" spans="1:142" x14ac:dyDescent="0.25">
      <c r="A276">
        <f>+IF($C276="","",ROUND(VLOOKUP('Tablas Servicio'!B276,Parámetros!$H$100:$J$159,IF(Parámetros!$E$16="F",2,3),FALSE),2))</f>
        <v>150</v>
      </c>
      <c r="B276">
        <f t="shared" si="326"/>
        <v>20</v>
      </c>
      <c r="C276" s="57">
        <f>+IF(D276="","",'Tablas Servicio'!C275+1)</f>
        <v>235</v>
      </c>
      <c r="D276" s="56">
        <f>+IF(D275&lt;edadmaxtabla,D275+1/Parámetros!$E$25,"")</f>
        <v>59.603333333333893</v>
      </c>
      <c r="E276" s="57">
        <f t="shared" si="336"/>
        <v>59</v>
      </c>
      <c r="F276" s="59">
        <f t="shared" si="337"/>
        <v>100000</v>
      </c>
      <c r="G276" s="66">
        <f t="shared" si="327"/>
        <v>55.95</v>
      </c>
      <c r="H276" s="66">
        <f t="shared" si="328"/>
        <v>58.19</v>
      </c>
      <c r="I276" s="66">
        <f t="shared" si="376"/>
        <v>35.81</v>
      </c>
      <c r="J276" s="66">
        <f t="shared" si="329"/>
        <v>1.96</v>
      </c>
      <c r="K276" s="66">
        <f t="shared" si="330"/>
        <v>0.28000000000000003</v>
      </c>
      <c r="L276" s="66">
        <f t="shared" si="331"/>
        <v>0</v>
      </c>
      <c r="M276" s="66">
        <f t="shared" si="332"/>
        <v>0</v>
      </c>
      <c r="N276" s="66">
        <f>+IF(C276="","",ROUND(Parámetros!$D$23,2))</f>
        <v>94</v>
      </c>
      <c r="O276" s="66">
        <f t="shared" si="333"/>
        <v>43.45</v>
      </c>
      <c r="P276" s="66">
        <f>+IF($C276="","",ROUND(IF(B276&gt;Parámetros!$D$117,0,N276*Parámetros!$D$116-G276*Parámetros!$D$100),2))</f>
        <v>0</v>
      </c>
      <c r="Q276" s="75">
        <f t="shared" si="377"/>
        <v>3.5031277926720283E-2</v>
      </c>
      <c r="R276" s="75">
        <f t="shared" si="378"/>
        <v>5.0044682752457556E-3</v>
      </c>
      <c r="S276" s="117">
        <f>+IF($C276="","",ROUND((S275+I276)*(1+Parámetros!$D$91),2))</f>
        <v>17371.98</v>
      </c>
      <c r="T276" s="117">
        <f>+IF($C276="","",ROUND(S276*VLOOKUP(B276,Parámetros!$C$30:$D$39,2,TRUE),2))</f>
        <v>17371.98</v>
      </c>
      <c r="U276" s="117">
        <f>+IF($C276="","",ROUND((U275+I276)*(1+Parámetros!$D$92),2))</f>
        <v>18374.04</v>
      </c>
      <c r="V276" s="117">
        <f>+IF($C276="","",ROUND(U276*VLOOKUP(B276,Parámetros!$C$30:$D$39,2,TRUE),2))</f>
        <v>18374.04</v>
      </c>
      <c r="W276" s="57">
        <f t="shared" si="379"/>
        <v>235</v>
      </c>
      <c r="X276" t="str">
        <f t="shared" si="380"/>
        <v>00058</v>
      </c>
      <c r="Y276" t="str">
        <f t="shared" si="381"/>
        <v>MUERTE POR CUALQUIER CAUSA</v>
      </c>
      <c r="Z276" s="118">
        <f>+IF($W276="","",ROUND(IF(Parámetros!$D$25='TABLAS MORT'!$V$33,Z275,Parámetros!$D$21-'Tablas Servicio'!T275),0))</f>
        <v>100000</v>
      </c>
      <c r="AA276" s="118" t="str">
        <f t="shared" si="382"/>
        <v>P</v>
      </c>
      <c r="AB276" s="119">
        <f>+IF(W276="","",ROUND((VLOOKUP(ROUNDDOWN($D276-1/frec,0),qx_tabla,2,FALSE)*(1+i/frec)^-0.5*(1+Parámetros!$D$103)*(1+rec_fracc)/frec),6))</f>
        <v>4.2099999999999999E-4</v>
      </c>
      <c r="AC276" s="66">
        <f t="shared" si="338"/>
        <v>42.1</v>
      </c>
      <c r="AD276" s="119">
        <f t="shared" si="334"/>
        <v>5.4600000000000004E-4</v>
      </c>
      <c r="AE276" s="66">
        <f>+IF($W276="","",ROUND(IF($B276&gt;Parámetros!$D$107,'Tablas Servicio'!AC276+('Tablas Servicio'!AG275-'Tablas Servicio'!AC275),AC276/(1-IF(B276&lt;=10,Parámetros!$D$104,Parámetros!$D$105))),2))</f>
        <v>70.17</v>
      </c>
      <c r="AF276" s="66">
        <f>+IF($W276="","",ROUND(IF($B276&gt;Parámetros!$D$107,'Tablas Servicio'!AC276+('Tablas Servicio'!AG275-'Tablas Servicio'!AC275),(AC276+$A275/frec)/(1-IF(B276&lt;=Parámetros!$D$117,Parámetros!$D$100,0))),2))</f>
        <v>54.6</v>
      </c>
      <c r="AG276" s="66">
        <f t="shared" si="339"/>
        <v>54.6</v>
      </c>
      <c r="AH276" s="66">
        <f t="shared" si="340"/>
        <v>0</v>
      </c>
      <c r="AI276" s="66">
        <f t="shared" si="341"/>
        <v>0</v>
      </c>
      <c r="AJ276" s="66">
        <f>+IF($W276="","",ROUND((AG276*Parámetros!$G$85),2))</f>
        <v>1.91</v>
      </c>
      <c r="AK276" s="66">
        <f>+IF($W276="","",ROUND((AG276*(Parámetros!$G$86)),2))</f>
        <v>0.27</v>
      </c>
      <c r="AL276" s="66">
        <f t="shared" si="335"/>
        <v>56.78</v>
      </c>
      <c r="AM276" t="str">
        <f t="shared" si="383"/>
        <v>00059</v>
      </c>
      <c r="AN276" t="str">
        <f t="shared" si="384"/>
        <v>Incapacidad Total y Permanente</v>
      </c>
      <c r="AO276" s="118">
        <f t="shared" si="385"/>
        <v>0</v>
      </c>
      <c r="AP276" s="118" t="str">
        <f t="shared" si="386"/>
        <v>A</v>
      </c>
      <c r="AQ276" s="119" t="str">
        <f>+IF(OR($W276="",AO276=0),"",ROUND((VLOOKUP(ROUNDDOWN($D276-1/frec,0),cob_adi,Z$40,FALSE)*(1+i/frec)^-0.5*(1+Parámetros!$D$103)*(1+rec_fracc)/frec),6))</f>
        <v/>
      </c>
      <c r="AR276" s="66">
        <f t="shared" si="342"/>
        <v>0</v>
      </c>
      <c r="AS276" s="119" t="str">
        <f t="shared" si="343"/>
        <v/>
      </c>
      <c r="AT276" s="66">
        <f>+IF($W276="","",ROUND(IF($B276&gt;Parámetros!$D$107,'Tablas Servicio'!AR276+('Tablas Servicio'!AT275-'Tablas Servicio'!AR275),AR276/(1-IF(B276&lt;=10,Parámetros!$D$100,0))),2))</f>
        <v>0</v>
      </c>
      <c r="AU276" s="66">
        <f t="shared" si="344"/>
        <v>0</v>
      </c>
      <c r="AV276" s="66">
        <f t="shared" si="344"/>
        <v>0</v>
      </c>
      <c r="AW276" s="66">
        <f>+IF($W276="","",ROUND((AT276*Parámetros!$G$85),2))</f>
        <v>0</v>
      </c>
      <c r="AX276" s="66">
        <f>+IF($W276="","",ROUND((AT276*(Parámetros!$G$86)),2))</f>
        <v>0</v>
      </c>
      <c r="AY276" s="66">
        <f t="shared" si="345"/>
        <v>0</v>
      </c>
      <c r="AZ276" t="str">
        <f t="shared" si="387"/>
        <v>00060</v>
      </c>
      <c r="BA276" t="str">
        <f t="shared" si="388"/>
        <v>Muerte Accidental</v>
      </c>
      <c r="BB276" s="118">
        <f t="shared" si="389"/>
        <v>0</v>
      </c>
      <c r="BC276" s="118" t="str">
        <f t="shared" si="390"/>
        <v>A</v>
      </c>
      <c r="BD276" s="119" t="str">
        <f>+IF(OR($W276="",BB276=0),"",ROUND((VLOOKUP(ROUNDDOWN($D276-1/frec,0),cob_adi,AO$40,FALSE)*(1+i/frec)^-0.5*(1+Parámetros!$D$103)*(1+rec_fracc)/frec),6))</f>
        <v/>
      </c>
      <c r="BE276" s="66">
        <f t="shared" si="346"/>
        <v>0</v>
      </c>
      <c r="BF276" s="119" t="str">
        <f t="shared" si="347"/>
        <v/>
      </c>
      <c r="BG276" s="66">
        <f>+IF($W276="","",ROUND(IF($B276&gt;Parámetros!$D$107,'Tablas Servicio'!BE276+('Tablas Servicio'!BG275-'Tablas Servicio'!BE275),BE276/(1-IF(B276&lt;=10,Parámetros!$D$100,0))),2))</f>
        <v>0</v>
      </c>
      <c r="BH276" s="66">
        <f t="shared" si="348"/>
        <v>0</v>
      </c>
      <c r="BI276" s="66">
        <f t="shared" si="349"/>
        <v>0</v>
      </c>
      <c r="BJ276" s="66">
        <f>+IF($W276="","",ROUND((BG276*Parámetros!$G$85),2))</f>
        <v>0</v>
      </c>
      <c r="BK276" s="66">
        <f>+IF($W276="","",ROUND((BG276*(Parámetros!$G$86)),2))</f>
        <v>0</v>
      </c>
      <c r="BL276" s="66">
        <f t="shared" si="350"/>
        <v>0</v>
      </c>
      <c r="BM276" t="str">
        <f t="shared" si="391"/>
        <v>00061</v>
      </c>
      <c r="BN276" t="str">
        <f t="shared" si="392"/>
        <v>Gastos de Entierro</v>
      </c>
      <c r="BO276" s="118">
        <f t="shared" si="393"/>
        <v>0</v>
      </c>
      <c r="BP276" s="118" t="str">
        <f t="shared" si="394"/>
        <v>A</v>
      </c>
      <c r="BQ276" s="119" t="str">
        <f>+IF(OR($W276="",BO276=0),"",ROUND((VLOOKUP(ROUNDDOWN($D276-1/frec,0),cob_adi,BB$40,FALSE)*(1+i/frec)^-0.5*(1+Parámetros!$D$103)*(1+rec_fracc)/frec),6))</f>
        <v/>
      </c>
      <c r="BR276" s="66">
        <f t="shared" si="351"/>
        <v>0</v>
      </c>
      <c r="BS276" s="119" t="str">
        <f t="shared" si="352"/>
        <v/>
      </c>
      <c r="BT276" s="66">
        <f>+IF($W276="","",ROUND(IF($B276&gt;Parámetros!$D$107,'Tablas Servicio'!BR276+('Tablas Servicio'!BT275-'Tablas Servicio'!BR275),BR276/(1-IF(B276&lt;=10,Parámetros!$D$100,0))),2))</f>
        <v>0</v>
      </c>
      <c r="BU276" s="66">
        <f t="shared" si="353"/>
        <v>0</v>
      </c>
      <c r="BV276" s="66">
        <f t="shared" si="353"/>
        <v>0</v>
      </c>
      <c r="BW276" s="66">
        <f>+IF($W276="","",ROUND((BT276*Parámetros!$G$85),2))</f>
        <v>0</v>
      </c>
      <c r="BX276" s="66">
        <f>+IF($W276="","",ROUND((BT276*(Parámetros!$G$86)),2))</f>
        <v>0</v>
      </c>
      <c r="BY276" s="66">
        <f t="shared" si="354"/>
        <v>0</v>
      </c>
      <c r="BZ276" t="str">
        <f t="shared" si="395"/>
        <v>00062</v>
      </c>
      <c r="CA276" t="str">
        <f t="shared" si="396"/>
        <v>Gastos médicos por accidente</v>
      </c>
      <c r="CB276" s="118">
        <f t="shared" si="397"/>
        <v>0</v>
      </c>
      <c r="CC276" s="118" t="str">
        <f t="shared" si="398"/>
        <v>A</v>
      </c>
      <c r="CD276" s="119" t="str">
        <f t="shared" si="355"/>
        <v/>
      </c>
      <c r="CE276" s="66">
        <f>+IF($W276="","",ROUND((VLOOKUP(ROUNDDOWN($D276-1/frec,0),cob_adi,BO$40,FALSE)*(1+i/frec)^-0.5*(1+Parámetros!$D$103)*(1+rec_fracc)/frec*'TABLAS ADI'!$BC$17),2))</f>
        <v>0</v>
      </c>
      <c r="CF276" s="119" t="str">
        <f t="shared" si="356"/>
        <v/>
      </c>
      <c r="CG276" s="66">
        <f>+IF($W276="","",ROUND(IF($B276&gt;Parámetros!$D$107,'Tablas Servicio'!CE276+('Tablas Servicio'!CG275-'Tablas Servicio'!CE275),CE276/(1-IF(B276&lt;=10,Parámetros!$D$100,0))),2))</f>
        <v>0</v>
      </c>
      <c r="CH276" s="66">
        <f t="shared" si="357"/>
        <v>0</v>
      </c>
      <c r="CI276" s="66">
        <f t="shared" si="357"/>
        <v>0</v>
      </c>
      <c r="CJ276" s="66">
        <f>+IF($W276="","",ROUND((CG276*Parámetros!$G$85),2))</f>
        <v>0</v>
      </c>
      <c r="CK276" s="66">
        <f>+IF($W276="","",ROUND((CG276*(Parámetros!$G$86)),2))</f>
        <v>0</v>
      </c>
      <c r="CL276" s="66">
        <f t="shared" si="358"/>
        <v>0</v>
      </c>
      <c r="CM276" t="str">
        <f t="shared" si="399"/>
        <v>00063</v>
      </c>
      <c r="CN276" s="118" t="str">
        <f t="shared" si="400"/>
        <v>Renta Diaria por Hospitalización</v>
      </c>
      <c r="CO276" s="118">
        <f t="shared" si="401"/>
        <v>0</v>
      </c>
      <c r="CP276" s="118" t="str">
        <f t="shared" si="402"/>
        <v>A</v>
      </c>
      <c r="CQ276" s="119" t="str">
        <f t="shared" si="359"/>
        <v/>
      </c>
      <c r="CR276" s="66">
        <f>+IF($W276="","",ROUND((VLOOKUP(Parámetros!$F$51,'COBERTURAS ADICIONALES'!$S$4:$T$32,2,FALSE)*(1+i/frec)^-0.5*(1+Parámetros!$D$103)*(1+rec_fracc)/frec*$CO$42),2))</f>
        <v>0</v>
      </c>
      <c r="CS276" s="119" t="str">
        <f t="shared" si="360"/>
        <v/>
      </c>
      <c r="CT276" s="66">
        <f>+IF($W276="","",ROUND(IF($B276&gt;Parámetros!$D$107,'Tablas Servicio'!CR276+('Tablas Servicio'!CT275-'Tablas Servicio'!CR275),CR276/(1-IF(B276&lt;=10,Parámetros!$D$100,0))),2))</f>
        <v>0</v>
      </c>
      <c r="CU276" s="66">
        <f t="shared" si="361"/>
        <v>0</v>
      </c>
      <c r="CV276" s="66">
        <f t="shared" si="361"/>
        <v>0</v>
      </c>
      <c r="CW276" s="66">
        <f>+IF($W276="","",ROUND((CT276*Parámetros!$G$85),2))</f>
        <v>0</v>
      </c>
      <c r="CX276" s="66">
        <f>+IF($W276="","",ROUND((CT276*(Parámetros!$G$86)),2))</f>
        <v>0</v>
      </c>
      <c r="CY276" s="66">
        <f t="shared" si="362"/>
        <v>0</v>
      </c>
      <c r="CZ276" t="str">
        <f t="shared" si="403"/>
        <v>00064</v>
      </c>
      <c r="DA276" s="118" t="str">
        <f t="shared" si="404"/>
        <v>Enfermedades Graves</v>
      </c>
      <c r="DB276" s="118">
        <f t="shared" si="405"/>
        <v>0</v>
      </c>
      <c r="DC276" s="118" t="str">
        <f t="shared" si="406"/>
        <v>A</v>
      </c>
      <c r="DD276" s="121" t="str">
        <f>+IF(OR($W276="",DB276=0),"",ROUND((VLOOKUP(ROUNDDOWN($D276-1/frec,0),cob_adi,CO$40,FALSE)*(1+i/frec)^-0.5*(1+Parámetros!$D$103)*(1+rec_fracc)/frec),6))</f>
        <v/>
      </c>
      <c r="DE276" s="66">
        <f t="shared" si="363"/>
        <v>0</v>
      </c>
      <c r="DF276" s="119" t="str">
        <f t="shared" si="364"/>
        <v/>
      </c>
      <c r="DG276" s="66">
        <f>+IF($W276="","",ROUND(IF($B276&gt;Parámetros!$D$107,'Tablas Servicio'!DE276+('Tablas Servicio'!DG275-'Tablas Servicio'!DE275),DE276/(1-IF(B276&lt;=10,Parámetros!$D$100,0))),2))</f>
        <v>0</v>
      </c>
      <c r="DH276" s="66">
        <f t="shared" si="365"/>
        <v>0</v>
      </c>
      <c r="DI276" s="66">
        <f t="shared" si="365"/>
        <v>0</v>
      </c>
      <c r="DJ276" s="66">
        <f>+IF($W276="","",ROUND((DG276*Parámetros!$G$85),2))</f>
        <v>0</v>
      </c>
      <c r="DK276" s="66">
        <f>+IF($W276="","",ROUND((DG276*(Parámetros!$G$86)),2))</f>
        <v>0</v>
      </c>
      <c r="DL276" s="66">
        <f t="shared" si="366"/>
        <v>0</v>
      </c>
      <c r="DM276" t="str">
        <f t="shared" si="407"/>
        <v>00065</v>
      </c>
      <c r="DN276" s="118" t="str">
        <f t="shared" si="408"/>
        <v>Exención pago de primas</v>
      </c>
      <c r="DO276" s="118">
        <f t="shared" si="409"/>
        <v>0</v>
      </c>
      <c r="DP276" s="118" t="str">
        <f t="shared" si="410"/>
        <v>A</v>
      </c>
      <c r="DQ276" s="122" t="str">
        <f>+IF(OR($W276="",DO276=0),"",ROUND((VLOOKUP(ROUNDDOWN($D276-1/frec,0),cob_adi,DB$40,FALSE)*(1+i/frec)^-0.5*(1+Parámetros!$D$103)*(1+rec_fracc)/frec),6))</f>
        <v/>
      </c>
      <c r="DR276" s="66">
        <f t="shared" si="367"/>
        <v>0</v>
      </c>
      <c r="DS276" s="68" t="str">
        <f t="shared" si="368"/>
        <v/>
      </c>
      <c r="DT276" s="66">
        <f>+IF($W276="","",ROUND(IF($B276&gt;Parámetros!$D$107,'Tablas Servicio'!DR276+('Tablas Servicio'!DT275-'Tablas Servicio'!DR275),DR276/(1-IF(B276&lt;=10,Parámetros!$D$100,0))),2))</f>
        <v>0</v>
      </c>
      <c r="DU276" s="66">
        <f t="shared" si="369"/>
        <v>0</v>
      </c>
      <c r="DV276" s="66">
        <f t="shared" si="369"/>
        <v>0</v>
      </c>
      <c r="DW276" s="66">
        <f>+IF($W276="","",ROUND((DT276*Parámetros!$G$85),2))</f>
        <v>0</v>
      </c>
      <c r="DX276" s="66">
        <f>+IF($W276="","",ROUND((DT276*(Parámetros!$G$86)),2))</f>
        <v>0</v>
      </c>
      <c r="DY276" s="66">
        <f t="shared" si="370"/>
        <v>0</v>
      </c>
      <c r="DZ276" t="str">
        <f t="shared" si="412"/>
        <v>00066</v>
      </c>
      <c r="EA276" s="118" t="str">
        <f t="shared" si="412"/>
        <v>Enfermedad terminal</v>
      </c>
      <c r="EB276" s="118">
        <f>+IF($W276="","",ROUND(IF(Parámetros!$D$25='TABLAS MORT'!$V$33,EB275,Z276/2),0))</f>
        <v>50000</v>
      </c>
      <c r="EC276" s="118" t="str">
        <f t="shared" si="412"/>
        <v>A</v>
      </c>
      <c r="ED276" s="122">
        <f>+IF(OR($W276="",EB276=0),"",ROUND((VLOOKUP(ROUNDDOWN($D276-1/frec,0),cob_adi,DO$40,FALSE)*(1+i/frec)^-0.5*(1+Parámetros!$D$103)*(1+rec_fracc)/frec),6))</f>
        <v>2.6999999999999999E-5</v>
      </c>
      <c r="EE276" s="66">
        <f t="shared" si="372"/>
        <v>1.35</v>
      </c>
      <c r="EF276" s="68">
        <f t="shared" si="373"/>
        <v>2.6999999999999999E-5</v>
      </c>
      <c r="EG276" s="66">
        <f>+IF($W276="","",ROUND(IF($B276&gt;Parámetros!$D$107,'Tablas Servicio'!EE276+('Tablas Servicio'!EG275-'Tablas Servicio'!EE275),EE276/(1-IF(B276&lt;=10,Parámetros!$D$100,0))),2))</f>
        <v>1.35</v>
      </c>
      <c r="EH276" s="66">
        <f t="shared" si="374"/>
        <v>0</v>
      </c>
      <c r="EI276" s="66">
        <f t="shared" si="374"/>
        <v>0</v>
      </c>
      <c r="EJ276" s="66">
        <f>+IF($W276="","",ROUND((EG276*Parámetros!$G$85),2))</f>
        <v>0.05</v>
      </c>
      <c r="EK276" s="66">
        <f>+IF($W276="","",ROUND((EG276*(Parámetros!$G$86)),2))</f>
        <v>0.01</v>
      </c>
      <c r="EL276" s="66">
        <f t="shared" si="375"/>
        <v>1.41</v>
      </c>
    </row>
    <row r="277" spans="1:142" x14ac:dyDescent="0.25">
      <c r="A277">
        <f>+IF($C277="","",ROUND(VLOOKUP('Tablas Servicio'!B277,Parámetros!$H$100:$J$159,IF(Parámetros!$E$16="F",2,3),FALSE),2))</f>
        <v>150</v>
      </c>
      <c r="B277">
        <f t="shared" si="326"/>
        <v>20</v>
      </c>
      <c r="C277" s="57">
        <f>+IF(D277="","",'Tablas Servicio'!C276+1)</f>
        <v>236</v>
      </c>
      <c r="D277" s="56">
        <f>+IF(D276&lt;edadmaxtabla,D276+1/Parámetros!$E$25,"")</f>
        <v>59.686666666667229</v>
      </c>
      <c r="E277" s="57">
        <f t="shared" si="336"/>
        <v>59</v>
      </c>
      <c r="F277" s="59">
        <f t="shared" si="337"/>
        <v>100000</v>
      </c>
      <c r="G277" s="66">
        <f t="shared" si="327"/>
        <v>55.95</v>
      </c>
      <c r="H277" s="66">
        <f t="shared" si="328"/>
        <v>58.19</v>
      </c>
      <c r="I277" s="66">
        <f t="shared" si="376"/>
        <v>35.81</v>
      </c>
      <c r="J277" s="66">
        <f t="shared" si="329"/>
        <v>1.96</v>
      </c>
      <c r="K277" s="66">
        <f t="shared" si="330"/>
        <v>0.28000000000000003</v>
      </c>
      <c r="L277" s="66">
        <f t="shared" si="331"/>
        <v>0</v>
      </c>
      <c r="M277" s="66">
        <f t="shared" si="332"/>
        <v>0</v>
      </c>
      <c r="N277" s="66">
        <f>+IF(C277="","",ROUND(Parámetros!$D$23,2))</f>
        <v>94</v>
      </c>
      <c r="O277" s="66">
        <f t="shared" si="333"/>
        <v>43.45</v>
      </c>
      <c r="P277" s="66">
        <f>+IF($C277="","",ROUND(IF(B277&gt;Parámetros!$D$117,0,N277*Parámetros!$D$116-G277*Parámetros!$D$100),2))</f>
        <v>0</v>
      </c>
      <c r="Q277" s="75">
        <f t="shared" si="377"/>
        <v>3.5031277926720283E-2</v>
      </c>
      <c r="R277" s="75">
        <f t="shared" si="378"/>
        <v>5.0044682752457556E-3</v>
      </c>
      <c r="S277" s="117">
        <f>+IF($C277="","",ROUND((S276+I277)*(1+Parámetros!$D$91),2))</f>
        <v>17457.169999999998</v>
      </c>
      <c r="T277" s="117">
        <f>+IF($C277="","",ROUND(S277*VLOOKUP(B277,Parámetros!$C$30:$D$39,2,TRUE),2))</f>
        <v>17457.169999999998</v>
      </c>
      <c r="U277" s="117">
        <f>+IF($C277="","",ROUND((U276+I277)*(1+Parámetros!$D$92),2))</f>
        <v>18469.53</v>
      </c>
      <c r="V277" s="117">
        <f>+IF($C277="","",ROUND(U277*VLOOKUP(B277,Parámetros!$C$30:$D$39,2,TRUE),2))</f>
        <v>18469.53</v>
      </c>
      <c r="W277" s="57">
        <f t="shared" si="379"/>
        <v>236</v>
      </c>
      <c r="X277" t="str">
        <f t="shared" si="380"/>
        <v>00058</v>
      </c>
      <c r="Y277" t="str">
        <f t="shared" si="381"/>
        <v>MUERTE POR CUALQUIER CAUSA</v>
      </c>
      <c r="Z277" s="118">
        <f>+IF($W277="","",ROUND(IF(Parámetros!$D$25='TABLAS MORT'!$V$33,Z276,Parámetros!$D$21-'Tablas Servicio'!T276),0))</f>
        <v>100000</v>
      </c>
      <c r="AA277" s="118" t="str">
        <f t="shared" si="382"/>
        <v>P</v>
      </c>
      <c r="AB277" s="119">
        <f>+IF(W277="","",ROUND((VLOOKUP(ROUNDDOWN($D277-1/frec,0),qx_tabla,2,FALSE)*(1+i/frec)^-0.5*(1+Parámetros!$D$103)*(1+rec_fracc)/frec),6))</f>
        <v>4.2099999999999999E-4</v>
      </c>
      <c r="AC277" s="66">
        <f t="shared" si="338"/>
        <v>42.1</v>
      </c>
      <c r="AD277" s="119">
        <f t="shared" si="334"/>
        <v>5.4600000000000004E-4</v>
      </c>
      <c r="AE277" s="66">
        <f>+IF($W277="","",ROUND(IF($B277&gt;Parámetros!$D$107,'Tablas Servicio'!AC277+('Tablas Servicio'!AG276-'Tablas Servicio'!AC276),AC277/(1-IF(B277&lt;=10,Parámetros!$D$104,Parámetros!$D$105))),2))</f>
        <v>70.17</v>
      </c>
      <c r="AF277" s="66">
        <f>+IF($W277="","",ROUND(IF($B277&gt;Parámetros!$D$107,'Tablas Servicio'!AC277+('Tablas Servicio'!AG276-'Tablas Servicio'!AC276),(AC277+$A276/frec)/(1-IF(B277&lt;=Parámetros!$D$117,Parámetros!$D$100,0))),2))</f>
        <v>54.6</v>
      </c>
      <c r="AG277" s="66">
        <f t="shared" si="339"/>
        <v>54.6</v>
      </c>
      <c r="AH277" s="66">
        <f t="shared" si="340"/>
        <v>0</v>
      </c>
      <c r="AI277" s="66">
        <f t="shared" si="341"/>
        <v>0</v>
      </c>
      <c r="AJ277" s="66">
        <f>+IF($W277="","",ROUND((AG277*Parámetros!$G$85),2))</f>
        <v>1.91</v>
      </c>
      <c r="AK277" s="66">
        <f>+IF($W277="","",ROUND((AG277*(Parámetros!$G$86)),2))</f>
        <v>0.27</v>
      </c>
      <c r="AL277" s="66">
        <f t="shared" si="335"/>
        <v>56.78</v>
      </c>
      <c r="AM277" t="str">
        <f t="shared" si="383"/>
        <v>00059</v>
      </c>
      <c r="AN277" t="str">
        <f t="shared" si="384"/>
        <v>Incapacidad Total y Permanente</v>
      </c>
      <c r="AO277" s="118">
        <f t="shared" si="385"/>
        <v>0</v>
      </c>
      <c r="AP277" s="118" t="str">
        <f t="shared" si="386"/>
        <v>A</v>
      </c>
      <c r="AQ277" s="119" t="str">
        <f>+IF(OR($W277="",AO277=0),"",ROUND((VLOOKUP(ROUNDDOWN($D277-1/frec,0),cob_adi,Z$40,FALSE)*(1+i/frec)^-0.5*(1+Parámetros!$D$103)*(1+rec_fracc)/frec),6))</f>
        <v/>
      </c>
      <c r="AR277" s="66">
        <f t="shared" si="342"/>
        <v>0</v>
      </c>
      <c r="AS277" s="119" t="str">
        <f t="shared" si="343"/>
        <v/>
      </c>
      <c r="AT277" s="66">
        <f>+IF($W277="","",ROUND(IF($B277&gt;Parámetros!$D$107,'Tablas Servicio'!AR277+('Tablas Servicio'!AT276-'Tablas Servicio'!AR276),AR277/(1-IF(B277&lt;=10,Parámetros!$D$100,0))),2))</f>
        <v>0</v>
      </c>
      <c r="AU277" s="66">
        <f t="shared" si="344"/>
        <v>0</v>
      </c>
      <c r="AV277" s="66">
        <f t="shared" si="344"/>
        <v>0</v>
      </c>
      <c r="AW277" s="66">
        <f>+IF($W277="","",ROUND((AT277*Parámetros!$G$85),2))</f>
        <v>0</v>
      </c>
      <c r="AX277" s="66">
        <f>+IF($W277="","",ROUND((AT277*(Parámetros!$G$86)),2))</f>
        <v>0</v>
      </c>
      <c r="AY277" s="66">
        <f t="shared" si="345"/>
        <v>0</v>
      </c>
      <c r="AZ277" t="str">
        <f t="shared" si="387"/>
        <v>00060</v>
      </c>
      <c r="BA277" t="str">
        <f t="shared" si="388"/>
        <v>Muerte Accidental</v>
      </c>
      <c r="BB277" s="118">
        <f t="shared" si="389"/>
        <v>0</v>
      </c>
      <c r="BC277" s="118" t="str">
        <f t="shared" si="390"/>
        <v>A</v>
      </c>
      <c r="BD277" s="119" t="str">
        <f>+IF(OR($W277="",BB277=0),"",ROUND((VLOOKUP(ROUNDDOWN($D277-1/frec,0),cob_adi,AO$40,FALSE)*(1+i/frec)^-0.5*(1+Parámetros!$D$103)*(1+rec_fracc)/frec),6))</f>
        <v/>
      </c>
      <c r="BE277" s="66">
        <f t="shared" si="346"/>
        <v>0</v>
      </c>
      <c r="BF277" s="119" t="str">
        <f t="shared" si="347"/>
        <v/>
      </c>
      <c r="BG277" s="66">
        <f>+IF($W277="","",ROUND(IF($B277&gt;Parámetros!$D$107,'Tablas Servicio'!BE277+('Tablas Servicio'!BG276-'Tablas Servicio'!BE276),BE277/(1-IF(B277&lt;=10,Parámetros!$D$100,0))),2))</f>
        <v>0</v>
      </c>
      <c r="BH277" s="66">
        <f t="shared" si="348"/>
        <v>0</v>
      </c>
      <c r="BI277" s="66">
        <f t="shared" si="349"/>
        <v>0</v>
      </c>
      <c r="BJ277" s="66">
        <f>+IF($W277="","",ROUND((BG277*Parámetros!$G$85),2))</f>
        <v>0</v>
      </c>
      <c r="BK277" s="66">
        <f>+IF($W277="","",ROUND((BG277*(Parámetros!$G$86)),2))</f>
        <v>0</v>
      </c>
      <c r="BL277" s="66">
        <f t="shared" si="350"/>
        <v>0</v>
      </c>
      <c r="BM277" t="str">
        <f t="shared" si="391"/>
        <v>00061</v>
      </c>
      <c r="BN277" t="str">
        <f t="shared" si="392"/>
        <v>Gastos de Entierro</v>
      </c>
      <c r="BO277" s="118">
        <f t="shared" si="393"/>
        <v>0</v>
      </c>
      <c r="BP277" s="118" t="str">
        <f t="shared" si="394"/>
        <v>A</v>
      </c>
      <c r="BQ277" s="119" t="str">
        <f>+IF(OR($W277="",BO277=0),"",ROUND((VLOOKUP(ROUNDDOWN($D277-1/frec,0),cob_adi,BB$40,FALSE)*(1+i/frec)^-0.5*(1+Parámetros!$D$103)*(1+rec_fracc)/frec),6))</f>
        <v/>
      </c>
      <c r="BR277" s="66">
        <f t="shared" si="351"/>
        <v>0</v>
      </c>
      <c r="BS277" s="119" t="str">
        <f t="shared" si="352"/>
        <v/>
      </c>
      <c r="BT277" s="66">
        <f>+IF($W277="","",ROUND(IF($B277&gt;Parámetros!$D$107,'Tablas Servicio'!BR277+('Tablas Servicio'!BT276-'Tablas Servicio'!BR276),BR277/(1-IF(B277&lt;=10,Parámetros!$D$100,0))),2))</f>
        <v>0</v>
      </c>
      <c r="BU277" s="66">
        <f t="shared" si="353"/>
        <v>0</v>
      </c>
      <c r="BV277" s="66">
        <f t="shared" si="353"/>
        <v>0</v>
      </c>
      <c r="BW277" s="66">
        <f>+IF($W277="","",ROUND((BT277*Parámetros!$G$85),2))</f>
        <v>0</v>
      </c>
      <c r="BX277" s="66">
        <f>+IF($W277="","",ROUND((BT277*(Parámetros!$G$86)),2))</f>
        <v>0</v>
      </c>
      <c r="BY277" s="66">
        <f t="shared" si="354"/>
        <v>0</v>
      </c>
      <c r="BZ277" t="str">
        <f t="shared" si="395"/>
        <v>00062</v>
      </c>
      <c r="CA277" t="str">
        <f t="shared" si="396"/>
        <v>Gastos médicos por accidente</v>
      </c>
      <c r="CB277" s="118">
        <f t="shared" si="397"/>
        <v>0</v>
      </c>
      <c r="CC277" s="118" t="str">
        <f t="shared" si="398"/>
        <v>A</v>
      </c>
      <c r="CD277" s="119" t="str">
        <f t="shared" si="355"/>
        <v/>
      </c>
      <c r="CE277" s="66">
        <f>+IF($W277="","",ROUND((VLOOKUP(ROUNDDOWN($D277-1/frec,0),cob_adi,BO$40,FALSE)*(1+i/frec)^-0.5*(1+Parámetros!$D$103)*(1+rec_fracc)/frec*'TABLAS ADI'!$BC$17),2))</f>
        <v>0</v>
      </c>
      <c r="CF277" s="119" t="str">
        <f t="shared" si="356"/>
        <v/>
      </c>
      <c r="CG277" s="66">
        <f>+IF($W277="","",ROUND(IF($B277&gt;Parámetros!$D$107,'Tablas Servicio'!CE277+('Tablas Servicio'!CG276-'Tablas Servicio'!CE276),CE277/(1-IF(B277&lt;=10,Parámetros!$D$100,0))),2))</f>
        <v>0</v>
      </c>
      <c r="CH277" s="66">
        <f t="shared" si="357"/>
        <v>0</v>
      </c>
      <c r="CI277" s="66">
        <f t="shared" si="357"/>
        <v>0</v>
      </c>
      <c r="CJ277" s="66">
        <f>+IF($W277="","",ROUND((CG277*Parámetros!$G$85),2))</f>
        <v>0</v>
      </c>
      <c r="CK277" s="66">
        <f>+IF($W277="","",ROUND((CG277*(Parámetros!$G$86)),2))</f>
        <v>0</v>
      </c>
      <c r="CL277" s="66">
        <f t="shared" si="358"/>
        <v>0</v>
      </c>
      <c r="CM277" t="str">
        <f t="shared" si="399"/>
        <v>00063</v>
      </c>
      <c r="CN277" s="118" t="str">
        <f t="shared" si="400"/>
        <v>Renta Diaria por Hospitalización</v>
      </c>
      <c r="CO277" s="118">
        <f t="shared" si="401"/>
        <v>0</v>
      </c>
      <c r="CP277" s="118" t="str">
        <f t="shared" si="402"/>
        <v>A</v>
      </c>
      <c r="CQ277" s="119" t="str">
        <f t="shared" si="359"/>
        <v/>
      </c>
      <c r="CR277" s="66">
        <f>+IF($W277="","",ROUND((VLOOKUP(Parámetros!$F$51,'COBERTURAS ADICIONALES'!$S$4:$T$32,2,FALSE)*(1+i/frec)^-0.5*(1+Parámetros!$D$103)*(1+rec_fracc)/frec*$CO$42),2))</f>
        <v>0</v>
      </c>
      <c r="CS277" s="119" t="str">
        <f t="shared" si="360"/>
        <v/>
      </c>
      <c r="CT277" s="66">
        <f>+IF($W277="","",ROUND(IF($B277&gt;Parámetros!$D$107,'Tablas Servicio'!CR277+('Tablas Servicio'!CT276-'Tablas Servicio'!CR276),CR277/(1-IF(B277&lt;=10,Parámetros!$D$100,0))),2))</f>
        <v>0</v>
      </c>
      <c r="CU277" s="66">
        <f t="shared" si="361"/>
        <v>0</v>
      </c>
      <c r="CV277" s="66">
        <f t="shared" si="361"/>
        <v>0</v>
      </c>
      <c r="CW277" s="66">
        <f>+IF($W277="","",ROUND((CT277*Parámetros!$G$85),2))</f>
        <v>0</v>
      </c>
      <c r="CX277" s="66">
        <f>+IF($W277="","",ROUND((CT277*(Parámetros!$G$86)),2))</f>
        <v>0</v>
      </c>
      <c r="CY277" s="66">
        <f t="shared" si="362"/>
        <v>0</v>
      </c>
      <c r="CZ277" t="str">
        <f t="shared" si="403"/>
        <v>00064</v>
      </c>
      <c r="DA277" s="118" t="str">
        <f t="shared" si="404"/>
        <v>Enfermedades Graves</v>
      </c>
      <c r="DB277" s="118">
        <f t="shared" si="405"/>
        <v>0</v>
      </c>
      <c r="DC277" s="118" t="str">
        <f t="shared" si="406"/>
        <v>A</v>
      </c>
      <c r="DD277" s="121" t="str">
        <f>+IF(OR($W277="",DB277=0),"",ROUND((VLOOKUP(ROUNDDOWN($D277-1/frec,0),cob_adi,CO$40,FALSE)*(1+i/frec)^-0.5*(1+Parámetros!$D$103)*(1+rec_fracc)/frec),6))</f>
        <v/>
      </c>
      <c r="DE277" s="66">
        <f t="shared" si="363"/>
        <v>0</v>
      </c>
      <c r="DF277" s="119" t="str">
        <f t="shared" si="364"/>
        <v/>
      </c>
      <c r="DG277" s="66">
        <f>+IF($W277="","",ROUND(IF($B277&gt;Parámetros!$D$107,'Tablas Servicio'!DE277+('Tablas Servicio'!DG276-'Tablas Servicio'!DE276),DE277/(1-IF(B277&lt;=10,Parámetros!$D$100,0))),2))</f>
        <v>0</v>
      </c>
      <c r="DH277" s="66">
        <f t="shared" si="365"/>
        <v>0</v>
      </c>
      <c r="DI277" s="66">
        <f t="shared" si="365"/>
        <v>0</v>
      </c>
      <c r="DJ277" s="66">
        <f>+IF($W277="","",ROUND((DG277*Parámetros!$G$85),2))</f>
        <v>0</v>
      </c>
      <c r="DK277" s="66">
        <f>+IF($W277="","",ROUND((DG277*(Parámetros!$G$86)),2))</f>
        <v>0</v>
      </c>
      <c r="DL277" s="66">
        <f t="shared" si="366"/>
        <v>0</v>
      </c>
      <c r="DM277" t="str">
        <f t="shared" si="407"/>
        <v>00065</v>
      </c>
      <c r="DN277" s="118" t="str">
        <f t="shared" si="408"/>
        <v>Exención pago de primas</v>
      </c>
      <c r="DO277" s="118">
        <f t="shared" si="409"/>
        <v>0</v>
      </c>
      <c r="DP277" s="118" t="str">
        <f t="shared" si="410"/>
        <v>A</v>
      </c>
      <c r="DQ277" s="122" t="str">
        <f>+IF(OR($W277="",DO277=0),"",ROUND((VLOOKUP(ROUNDDOWN($D277-1/frec,0),cob_adi,DB$40,FALSE)*(1+i/frec)^-0.5*(1+Parámetros!$D$103)*(1+rec_fracc)/frec),6))</f>
        <v/>
      </c>
      <c r="DR277" s="66">
        <f t="shared" si="367"/>
        <v>0</v>
      </c>
      <c r="DS277" s="68" t="str">
        <f t="shared" si="368"/>
        <v/>
      </c>
      <c r="DT277" s="66">
        <f>+IF($W277="","",ROUND(IF($B277&gt;Parámetros!$D$107,'Tablas Servicio'!DR277+('Tablas Servicio'!DT276-'Tablas Servicio'!DR276),DR277/(1-IF(B277&lt;=10,Parámetros!$D$100,0))),2))</f>
        <v>0</v>
      </c>
      <c r="DU277" s="66">
        <f t="shared" si="369"/>
        <v>0</v>
      </c>
      <c r="DV277" s="66">
        <f t="shared" si="369"/>
        <v>0</v>
      </c>
      <c r="DW277" s="66">
        <f>+IF($W277="","",ROUND((DT277*Parámetros!$G$85),2))</f>
        <v>0</v>
      </c>
      <c r="DX277" s="66">
        <f>+IF($W277="","",ROUND((DT277*(Parámetros!$G$86)),2))</f>
        <v>0</v>
      </c>
      <c r="DY277" s="66">
        <f t="shared" si="370"/>
        <v>0</v>
      </c>
      <c r="DZ277" t="str">
        <f t="shared" si="412"/>
        <v>00066</v>
      </c>
      <c r="EA277" s="118" t="str">
        <f t="shared" si="412"/>
        <v>Enfermedad terminal</v>
      </c>
      <c r="EB277" s="118">
        <f>+IF($W277="","",ROUND(IF(Parámetros!$D$25='TABLAS MORT'!$V$33,EB276,Z277/2),0))</f>
        <v>50000</v>
      </c>
      <c r="EC277" s="118" t="str">
        <f t="shared" si="412"/>
        <v>A</v>
      </c>
      <c r="ED277" s="122">
        <f>+IF(OR($W277="",EB277=0),"",ROUND((VLOOKUP(ROUNDDOWN($D277-1/frec,0),cob_adi,DO$40,FALSE)*(1+i/frec)^-0.5*(1+Parámetros!$D$103)*(1+rec_fracc)/frec),6))</f>
        <v>2.6999999999999999E-5</v>
      </c>
      <c r="EE277" s="66">
        <f t="shared" si="372"/>
        <v>1.35</v>
      </c>
      <c r="EF277" s="68">
        <f t="shared" si="373"/>
        <v>2.6999999999999999E-5</v>
      </c>
      <c r="EG277" s="66">
        <f>+IF($W277="","",ROUND(IF($B277&gt;Parámetros!$D$107,'Tablas Servicio'!EE277+('Tablas Servicio'!EG276-'Tablas Servicio'!EE276),EE277/(1-IF(B277&lt;=10,Parámetros!$D$100,0))),2))</f>
        <v>1.35</v>
      </c>
      <c r="EH277" s="66">
        <f t="shared" si="374"/>
        <v>0</v>
      </c>
      <c r="EI277" s="66">
        <f t="shared" si="374"/>
        <v>0</v>
      </c>
      <c r="EJ277" s="66">
        <f>+IF($W277="","",ROUND((EG277*Parámetros!$G$85),2))</f>
        <v>0.05</v>
      </c>
      <c r="EK277" s="66">
        <f>+IF($W277="","",ROUND((EG277*(Parámetros!$G$86)),2))</f>
        <v>0.01</v>
      </c>
      <c r="EL277" s="66">
        <f t="shared" si="375"/>
        <v>1.41</v>
      </c>
    </row>
    <row r="278" spans="1:142" x14ac:dyDescent="0.25">
      <c r="A278">
        <f>+IF($C278="","",ROUND(VLOOKUP('Tablas Servicio'!B278,Parámetros!$H$100:$J$159,IF(Parámetros!$E$16="F",2,3),FALSE),2))</f>
        <v>150</v>
      </c>
      <c r="B278">
        <f t="shared" si="326"/>
        <v>20</v>
      </c>
      <c r="C278" s="57">
        <f>+IF(D278="","",'Tablas Servicio'!C277+1)</f>
        <v>237</v>
      </c>
      <c r="D278" s="56">
        <f>+IF(D277&lt;edadmaxtabla,D277+1/Parámetros!$E$25,"")</f>
        <v>59.770000000000564</v>
      </c>
      <c r="E278" s="57">
        <f t="shared" si="336"/>
        <v>59</v>
      </c>
      <c r="F278" s="59">
        <f t="shared" si="337"/>
        <v>100000</v>
      </c>
      <c r="G278" s="66">
        <f t="shared" si="327"/>
        <v>55.95</v>
      </c>
      <c r="H278" s="66">
        <f t="shared" si="328"/>
        <v>58.19</v>
      </c>
      <c r="I278" s="66">
        <f t="shared" si="376"/>
        <v>35.81</v>
      </c>
      <c r="J278" s="66">
        <f t="shared" si="329"/>
        <v>1.96</v>
      </c>
      <c r="K278" s="66">
        <f t="shared" si="330"/>
        <v>0.28000000000000003</v>
      </c>
      <c r="L278" s="66">
        <f t="shared" si="331"/>
        <v>0</v>
      </c>
      <c r="M278" s="66">
        <f t="shared" si="332"/>
        <v>0</v>
      </c>
      <c r="N278" s="66">
        <f>+IF(C278="","",ROUND(Parámetros!$D$23,2))</f>
        <v>94</v>
      </c>
      <c r="O278" s="66">
        <f t="shared" si="333"/>
        <v>43.45</v>
      </c>
      <c r="P278" s="66">
        <f>+IF($C278="","",ROUND(IF(B278&gt;Parámetros!$D$117,0,N278*Parámetros!$D$116-G278*Parámetros!$D$100),2))</f>
        <v>0</v>
      </c>
      <c r="Q278" s="75">
        <f t="shared" si="377"/>
        <v>3.5031277926720283E-2</v>
      </c>
      <c r="R278" s="75">
        <f t="shared" si="378"/>
        <v>5.0044682752457556E-3</v>
      </c>
      <c r="S278" s="117">
        <f>+IF($C278="","",ROUND((S277+I278)*(1+Parámetros!$D$91),2))</f>
        <v>17542.599999999999</v>
      </c>
      <c r="T278" s="117">
        <f>+IF($C278="","",ROUND(S278*VLOOKUP(B278,Parámetros!$C$30:$D$39,2,TRUE),2))</f>
        <v>17542.599999999999</v>
      </c>
      <c r="U278" s="117">
        <f>+IF($C278="","",ROUND((U277+I278)*(1+Parámetros!$D$92),2))</f>
        <v>18565.330000000002</v>
      </c>
      <c r="V278" s="117">
        <f>+IF($C278="","",ROUND(U278*VLOOKUP(B278,Parámetros!$C$30:$D$39,2,TRUE),2))</f>
        <v>18565.330000000002</v>
      </c>
      <c r="W278" s="57">
        <f t="shared" si="379"/>
        <v>237</v>
      </c>
      <c r="X278" t="str">
        <f t="shared" si="380"/>
        <v>00058</v>
      </c>
      <c r="Y278" t="str">
        <f t="shared" si="381"/>
        <v>MUERTE POR CUALQUIER CAUSA</v>
      </c>
      <c r="Z278" s="118">
        <f>+IF($W278="","",ROUND(IF(Parámetros!$D$25='TABLAS MORT'!$V$33,Z277,Parámetros!$D$21-'Tablas Servicio'!T277),0))</f>
        <v>100000</v>
      </c>
      <c r="AA278" s="118" t="str">
        <f t="shared" si="382"/>
        <v>P</v>
      </c>
      <c r="AB278" s="119">
        <f>+IF(W278="","",ROUND((VLOOKUP(ROUNDDOWN($D278-1/frec,0),qx_tabla,2,FALSE)*(1+i/frec)^-0.5*(1+Parámetros!$D$103)*(1+rec_fracc)/frec),6))</f>
        <v>4.2099999999999999E-4</v>
      </c>
      <c r="AC278" s="66">
        <f t="shared" si="338"/>
        <v>42.1</v>
      </c>
      <c r="AD278" s="119">
        <f t="shared" si="334"/>
        <v>5.4600000000000004E-4</v>
      </c>
      <c r="AE278" s="66">
        <f>+IF($W278="","",ROUND(IF($B278&gt;Parámetros!$D$107,'Tablas Servicio'!AC278+('Tablas Servicio'!AG277-'Tablas Servicio'!AC277),AC278/(1-IF(B278&lt;=10,Parámetros!$D$104,Parámetros!$D$105))),2))</f>
        <v>70.17</v>
      </c>
      <c r="AF278" s="66">
        <f>+IF($W278="","",ROUND(IF($B278&gt;Parámetros!$D$107,'Tablas Servicio'!AC278+('Tablas Servicio'!AG277-'Tablas Servicio'!AC277),(AC278+$A277/frec)/(1-IF(B278&lt;=Parámetros!$D$117,Parámetros!$D$100,0))),2))</f>
        <v>54.6</v>
      </c>
      <c r="AG278" s="66">
        <f t="shared" si="339"/>
        <v>54.6</v>
      </c>
      <c r="AH278" s="66">
        <f t="shared" si="340"/>
        <v>0</v>
      </c>
      <c r="AI278" s="66">
        <f t="shared" si="341"/>
        <v>0</v>
      </c>
      <c r="AJ278" s="66">
        <f>+IF($W278="","",ROUND((AG278*Parámetros!$G$85),2))</f>
        <v>1.91</v>
      </c>
      <c r="AK278" s="66">
        <f>+IF($W278="","",ROUND((AG278*(Parámetros!$G$86)),2))</f>
        <v>0.27</v>
      </c>
      <c r="AL278" s="66">
        <f t="shared" si="335"/>
        <v>56.78</v>
      </c>
      <c r="AM278" t="str">
        <f t="shared" si="383"/>
        <v>00059</v>
      </c>
      <c r="AN278" t="str">
        <f t="shared" si="384"/>
        <v>Incapacidad Total y Permanente</v>
      </c>
      <c r="AO278" s="118">
        <f t="shared" si="385"/>
        <v>0</v>
      </c>
      <c r="AP278" s="118" t="str">
        <f t="shared" si="386"/>
        <v>A</v>
      </c>
      <c r="AQ278" s="119" t="str">
        <f>+IF(OR($W278="",AO278=0),"",ROUND((VLOOKUP(ROUNDDOWN($D278-1/frec,0),cob_adi,Z$40,FALSE)*(1+i/frec)^-0.5*(1+Parámetros!$D$103)*(1+rec_fracc)/frec),6))</f>
        <v/>
      </c>
      <c r="AR278" s="66">
        <f t="shared" si="342"/>
        <v>0</v>
      </c>
      <c r="AS278" s="119" t="str">
        <f t="shared" si="343"/>
        <v/>
      </c>
      <c r="AT278" s="66">
        <f>+IF($W278="","",ROUND(IF($B278&gt;Parámetros!$D$107,'Tablas Servicio'!AR278+('Tablas Servicio'!AT277-'Tablas Servicio'!AR277),AR278/(1-IF(B278&lt;=10,Parámetros!$D$100,0))),2))</f>
        <v>0</v>
      </c>
      <c r="AU278" s="66">
        <f t="shared" si="344"/>
        <v>0</v>
      </c>
      <c r="AV278" s="66">
        <f t="shared" si="344"/>
        <v>0</v>
      </c>
      <c r="AW278" s="66">
        <f>+IF($W278="","",ROUND((AT278*Parámetros!$G$85),2))</f>
        <v>0</v>
      </c>
      <c r="AX278" s="66">
        <f>+IF($W278="","",ROUND((AT278*(Parámetros!$G$86)),2))</f>
        <v>0</v>
      </c>
      <c r="AY278" s="66">
        <f t="shared" si="345"/>
        <v>0</v>
      </c>
      <c r="AZ278" t="str">
        <f t="shared" si="387"/>
        <v>00060</v>
      </c>
      <c r="BA278" t="str">
        <f t="shared" si="388"/>
        <v>Muerte Accidental</v>
      </c>
      <c r="BB278" s="118">
        <f t="shared" si="389"/>
        <v>0</v>
      </c>
      <c r="BC278" s="118" t="str">
        <f t="shared" si="390"/>
        <v>A</v>
      </c>
      <c r="BD278" s="119" t="str">
        <f>+IF(OR($W278="",BB278=0),"",ROUND((VLOOKUP(ROUNDDOWN($D278-1/frec,0),cob_adi,AO$40,FALSE)*(1+i/frec)^-0.5*(1+Parámetros!$D$103)*(1+rec_fracc)/frec),6))</f>
        <v/>
      </c>
      <c r="BE278" s="66">
        <f t="shared" si="346"/>
        <v>0</v>
      </c>
      <c r="BF278" s="119" t="str">
        <f t="shared" si="347"/>
        <v/>
      </c>
      <c r="BG278" s="66">
        <f>+IF($W278="","",ROUND(IF($B278&gt;Parámetros!$D$107,'Tablas Servicio'!BE278+('Tablas Servicio'!BG277-'Tablas Servicio'!BE277),BE278/(1-IF(B278&lt;=10,Parámetros!$D$100,0))),2))</f>
        <v>0</v>
      </c>
      <c r="BH278" s="66">
        <f t="shared" si="348"/>
        <v>0</v>
      </c>
      <c r="BI278" s="66">
        <f t="shared" si="349"/>
        <v>0</v>
      </c>
      <c r="BJ278" s="66">
        <f>+IF($W278="","",ROUND((BG278*Parámetros!$G$85),2))</f>
        <v>0</v>
      </c>
      <c r="BK278" s="66">
        <f>+IF($W278="","",ROUND((BG278*(Parámetros!$G$86)),2))</f>
        <v>0</v>
      </c>
      <c r="BL278" s="66">
        <f t="shared" si="350"/>
        <v>0</v>
      </c>
      <c r="BM278" t="str">
        <f t="shared" si="391"/>
        <v>00061</v>
      </c>
      <c r="BN278" t="str">
        <f t="shared" si="392"/>
        <v>Gastos de Entierro</v>
      </c>
      <c r="BO278" s="118">
        <f t="shared" si="393"/>
        <v>0</v>
      </c>
      <c r="BP278" s="118" t="str">
        <f t="shared" si="394"/>
        <v>A</v>
      </c>
      <c r="BQ278" s="119" t="str">
        <f>+IF(OR($W278="",BO278=0),"",ROUND((VLOOKUP(ROUNDDOWN($D278-1/frec,0),cob_adi,BB$40,FALSE)*(1+i/frec)^-0.5*(1+Parámetros!$D$103)*(1+rec_fracc)/frec),6))</f>
        <v/>
      </c>
      <c r="BR278" s="66">
        <f t="shared" si="351"/>
        <v>0</v>
      </c>
      <c r="BS278" s="119" t="str">
        <f t="shared" si="352"/>
        <v/>
      </c>
      <c r="BT278" s="66">
        <f>+IF($W278="","",ROUND(IF($B278&gt;Parámetros!$D$107,'Tablas Servicio'!BR278+('Tablas Servicio'!BT277-'Tablas Servicio'!BR277),BR278/(1-IF(B278&lt;=10,Parámetros!$D$100,0))),2))</f>
        <v>0</v>
      </c>
      <c r="BU278" s="66">
        <f t="shared" si="353"/>
        <v>0</v>
      </c>
      <c r="BV278" s="66">
        <f t="shared" si="353"/>
        <v>0</v>
      </c>
      <c r="BW278" s="66">
        <f>+IF($W278="","",ROUND((BT278*Parámetros!$G$85),2))</f>
        <v>0</v>
      </c>
      <c r="BX278" s="66">
        <f>+IF($W278="","",ROUND((BT278*(Parámetros!$G$86)),2))</f>
        <v>0</v>
      </c>
      <c r="BY278" s="66">
        <f t="shared" si="354"/>
        <v>0</v>
      </c>
      <c r="BZ278" t="str">
        <f t="shared" si="395"/>
        <v>00062</v>
      </c>
      <c r="CA278" t="str">
        <f t="shared" si="396"/>
        <v>Gastos médicos por accidente</v>
      </c>
      <c r="CB278" s="118">
        <f t="shared" si="397"/>
        <v>0</v>
      </c>
      <c r="CC278" s="118" t="str">
        <f t="shared" si="398"/>
        <v>A</v>
      </c>
      <c r="CD278" s="119" t="str">
        <f t="shared" si="355"/>
        <v/>
      </c>
      <c r="CE278" s="66">
        <f>+IF($W278="","",ROUND((VLOOKUP(ROUNDDOWN($D278-1/frec,0),cob_adi,BO$40,FALSE)*(1+i/frec)^-0.5*(1+Parámetros!$D$103)*(1+rec_fracc)/frec*'TABLAS ADI'!$BC$17),2))</f>
        <v>0</v>
      </c>
      <c r="CF278" s="119" t="str">
        <f t="shared" si="356"/>
        <v/>
      </c>
      <c r="CG278" s="66">
        <f>+IF($W278="","",ROUND(IF($B278&gt;Parámetros!$D$107,'Tablas Servicio'!CE278+('Tablas Servicio'!CG277-'Tablas Servicio'!CE277),CE278/(1-IF(B278&lt;=10,Parámetros!$D$100,0))),2))</f>
        <v>0</v>
      </c>
      <c r="CH278" s="66">
        <f t="shared" si="357"/>
        <v>0</v>
      </c>
      <c r="CI278" s="66">
        <f t="shared" si="357"/>
        <v>0</v>
      </c>
      <c r="CJ278" s="66">
        <f>+IF($W278="","",ROUND((CG278*Parámetros!$G$85),2))</f>
        <v>0</v>
      </c>
      <c r="CK278" s="66">
        <f>+IF($W278="","",ROUND((CG278*(Parámetros!$G$86)),2))</f>
        <v>0</v>
      </c>
      <c r="CL278" s="66">
        <f t="shared" si="358"/>
        <v>0</v>
      </c>
      <c r="CM278" t="str">
        <f t="shared" si="399"/>
        <v>00063</v>
      </c>
      <c r="CN278" s="118" t="str">
        <f t="shared" si="400"/>
        <v>Renta Diaria por Hospitalización</v>
      </c>
      <c r="CO278" s="118">
        <f t="shared" si="401"/>
        <v>0</v>
      </c>
      <c r="CP278" s="118" t="str">
        <f t="shared" si="402"/>
        <v>A</v>
      </c>
      <c r="CQ278" s="119" t="str">
        <f t="shared" si="359"/>
        <v/>
      </c>
      <c r="CR278" s="66">
        <f>+IF($W278="","",ROUND((VLOOKUP(Parámetros!$F$51,'COBERTURAS ADICIONALES'!$S$4:$T$32,2,FALSE)*(1+i/frec)^-0.5*(1+Parámetros!$D$103)*(1+rec_fracc)/frec*$CO$42),2))</f>
        <v>0</v>
      </c>
      <c r="CS278" s="119" t="str">
        <f t="shared" si="360"/>
        <v/>
      </c>
      <c r="CT278" s="66">
        <f>+IF($W278="","",ROUND(IF($B278&gt;Parámetros!$D$107,'Tablas Servicio'!CR278+('Tablas Servicio'!CT277-'Tablas Servicio'!CR277),CR278/(1-IF(B278&lt;=10,Parámetros!$D$100,0))),2))</f>
        <v>0</v>
      </c>
      <c r="CU278" s="66">
        <f t="shared" si="361"/>
        <v>0</v>
      </c>
      <c r="CV278" s="66">
        <f t="shared" si="361"/>
        <v>0</v>
      </c>
      <c r="CW278" s="66">
        <f>+IF($W278="","",ROUND((CT278*Parámetros!$G$85),2))</f>
        <v>0</v>
      </c>
      <c r="CX278" s="66">
        <f>+IF($W278="","",ROUND((CT278*(Parámetros!$G$86)),2))</f>
        <v>0</v>
      </c>
      <c r="CY278" s="66">
        <f t="shared" si="362"/>
        <v>0</v>
      </c>
      <c r="CZ278" t="str">
        <f t="shared" si="403"/>
        <v>00064</v>
      </c>
      <c r="DA278" s="118" t="str">
        <f t="shared" si="404"/>
        <v>Enfermedades Graves</v>
      </c>
      <c r="DB278" s="118">
        <f t="shared" si="405"/>
        <v>0</v>
      </c>
      <c r="DC278" s="118" t="str">
        <f t="shared" si="406"/>
        <v>A</v>
      </c>
      <c r="DD278" s="121" t="str">
        <f>+IF(OR($W278="",DB278=0),"",ROUND((VLOOKUP(ROUNDDOWN($D278-1/frec,0),cob_adi,CO$40,FALSE)*(1+i/frec)^-0.5*(1+Parámetros!$D$103)*(1+rec_fracc)/frec),6))</f>
        <v/>
      </c>
      <c r="DE278" s="66">
        <f t="shared" si="363"/>
        <v>0</v>
      </c>
      <c r="DF278" s="119" t="str">
        <f t="shared" si="364"/>
        <v/>
      </c>
      <c r="DG278" s="66">
        <f>+IF($W278="","",ROUND(IF($B278&gt;Parámetros!$D$107,'Tablas Servicio'!DE278+('Tablas Servicio'!DG277-'Tablas Servicio'!DE277),DE278/(1-IF(B278&lt;=10,Parámetros!$D$100,0))),2))</f>
        <v>0</v>
      </c>
      <c r="DH278" s="66">
        <f t="shared" si="365"/>
        <v>0</v>
      </c>
      <c r="DI278" s="66">
        <f t="shared" si="365"/>
        <v>0</v>
      </c>
      <c r="DJ278" s="66">
        <f>+IF($W278="","",ROUND((DG278*Parámetros!$G$85),2))</f>
        <v>0</v>
      </c>
      <c r="DK278" s="66">
        <f>+IF($W278="","",ROUND((DG278*(Parámetros!$G$86)),2))</f>
        <v>0</v>
      </c>
      <c r="DL278" s="66">
        <f t="shared" si="366"/>
        <v>0</v>
      </c>
      <c r="DM278" t="str">
        <f t="shared" si="407"/>
        <v>00065</v>
      </c>
      <c r="DN278" s="118" t="str">
        <f t="shared" si="408"/>
        <v>Exención pago de primas</v>
      </c>
      <c r="DO278" s="118">
        <f t="shared" si="409"/>
        <v>0</v>
      </c>
      <c r="DP278" s="118" t="str">
        <f t="shared" si="410"/>
        <v>A</v>
      </c>
      <c r="DQ278" s="122" t="str">
        <f>+IF(OR($W278="",DO278=0),"",ROUND((VLOOKUP(ROUNDDOWN($D278-1/frec,0),cob_adi,DB$40,FALSE)*(1+i/frec)^-0.5*(1+Parámetros!$D$103)*(1+rec_fracc)/frec),6))</f>
        <v/>
      </c>
      <c r="DR278" s="66">
        <f t="shared" si="367"/>
        <v>0</v>
      </c>
      <c r="DS278" s="68" t="str">
        <f t="shared" si="368"/>
        <v/>
      </c>
      <c r="DT278" s="66">
        <f>+IF($W278="","",ROUND(IF($B278&gt;Parámetros!$D$107,'Tablas Servicio'!DR278+('Tablas Servicio'!DT277-'Tablas Servicio'!DR277),DR278/(1-IF(B278&lt;=10,Parámetros!$D$100,0))),2))</f>
        <v>0</v>
      </c>
      <c r="DU278" s="66">
        <f t="shared" si="369"/>
        <v>0</v>
      </c>
      <c r="DV278" s="66">
        <f t="shared" si="369"/>
        <v>0</v>
      </c>
      <c r="DW278" s="66">
        <f>+IF($W278="","",ROUND((DT278*Parámetros!$G$85),2))</f>
        <v>0</v>
      </c>
      <c r="DX278" s="66">
        <f>+IF($W278="","",ROUND((DT278*(Parámetros!$G$86)),2))</f>
        <v>0</v>
      </c>
      <c r="DY278" s="66">
        <f t="shared" si="370"/>
        <v>0</v>
      </c>
      <c r="DZ278" t="str">
        <f t="shared" si="412"/>
        <v>00066</v>
      </c>
      <c r="EA278" s="118" t="str">
        <f t="shared" si="412"/>
        <v>Enfermedad terminal</v>
      </c>
      <c r="EB278" s="118">
        <f>+IF($W278="","",ROUND(IF(Parámetros!$D$25='TABLAS MORT'!$V$33,EB277,Z278/2),0))</f>
        <v>50000</v>
      </c>
      <c r="EC278" s="118" t="str">
        <f t="shared" si="412"/>
        <v>A</v>
      </c>
      <c r="ED278" s="122">
        <f>+IF(OR($W278="",EB278=0),"",ROUND((VLOOKUP(ROUNDDOWN($D278-1/frec,0),cob_adi,DO$40,FALSE)*(1+i/frec)^-0.5*(1+Parámetros!$D$103)*(1+rec_fracc)/frec),6))</f>
        <v>2.6999999999999999E-5</v>
      </c>
      <c r="EE278" s="66">
        <f t="shared" si="372"/>
        <v>1.35</v>
      </c>
      <c r="EF278" s="68">
        <f t="shared" si="373"/>
        <v>2.6999999999999999E-5</v>
      </c>
      <c r="EG278" s="66">
        <f>+IF($W278="","",ROUND(IF($B278&gt;Parámetros!$D$107,'Tablas Servicio'!EE278+('Tablas Servicio'!EG277-'Tablas Servicio'!EE277),EE278/(1-IF(B278&lt;=10,Parámetros!$D$100,0))),2))</f>
        <v>1.35</v>
      </c>
      <c r="EH278" s="66">
        <f t="shared" si="374"/>
        <v>0</v>
      </c>
      <c r="EI278" s="66">
        <f t="shared" si="374"/>
        <v>0</v>
      </c>
      <c r="EJ278" s="66">
        <f>+IF($W278="","",ROUND((EG278*Parámetros!$G$85),2))</f>
        <v>0.05</v>
      </c>
      <c r="EK278" s="66">
        <f>+IF($W278="","",ROUND((EG278*(Parámetros!$G$86)),2))</f>
        <v>0.01</v>
      </c>
      <c r="EL278" s="66">
        <f t="shared" si="375"/>
        <v>1.41</v>
      </c>
    </row>
    <row r="279" spans="1:142" x14ac:dyDescent="0.25">
      <c r="A279">
        <f>+IF($C279="","",ROUND(VLOOKUP('Tablas Servicio'!B279,Parámetros!$H$100:$J$159,IF(Parámetros!$E$16="F",2,3),FALSE),2))</f>
        <v>150</v>
      </c>
      <c r="B279">
        <f t="shared" si="326"/>
        <v>20</v>
      </c>
      <c r="C279" s="57">
        <f>+IF(D279="","",'Tablas Servicio'!C278+1)</f>
        <v>238</v>
      </c>
      <c r="D279" s="56">
        <f>+IF(D278&lt;edadmaxtabla,D278+1/Parámetros!$E$25,"")</f>
        <v>59.8533333333339</v>
      </c>
      <c r="E279" s="57">
        <f t="shared" si="336"/>
        <v>59</v>
      </c>
      <c r="F279" s="59">
        <f t="shared" si="337"/>
        <v>100000</v>
      </c>
      <c r="G279" s="66">
        <f t="shared" si="327"/>
        <v>55.95</v>
      </c>
      <c r="H279" s="66">
        <f t="shared" si="328"/>
        <v>58.19</v>
      </c>
      <c r="I279" s="66">
        <f t="shared" si="376"/>
        <v>35.81</v>
      </c>
      <c r="J279" s="66">
        <f t="shared" si="329"/>
        <v>1.96</v>
      </c>
      <c r="K279" s="66">
        <f t="shared" si="330"/>
        <v>0.28000000000000003</v>
      </c>
      <c r="L279" s="66">
        <f t="shared" si="331"/>
        <v>0</v>
      </c>
      <c r="M279" s="66">
        <f t="shared" si="332"/>
        <v>0</v>
      </c>
      <c r="N279" s="66">
        <f>+IF(C279="","",ROUND(Parámetros!$D$23,2))</f>
        <v>94</v>
      </c>
      <c r="O279" s="66">
        <f t="shared" si="333"/>
        <v>43.45</v>
      </c>
      <c r="P279" s="66">
        <f>+IF($C279="","",ROUND(IF(B279&gt;Parámetros!$D$117,0,N279*Parámetros!$D$116-G279*Parámetros!$D$100),2))</f>
        <v>0</v>
      </c>
      <c r="Q279" s="75">
        <f t="shared" si="377"/>
        <v>3.5031277926720283E-2</v>
      </c>
      <c r="R279" s="75">
        <f t="shared" si="378"/>
        <v>5.0044682752457556E-3</v>
      </c>
      <c r="S279" s="117">
        <f>+IF($C279="","",ROUND((S278+I279)*(1+Parámetros!$D$91),2))</f>
        <v>17628.27</v>
      </c>
      <c r="T279" s="117">
        <f>+IF($C279="","",ROUND(S279*VLOOKUP(B279,Parámetros!$C$30:$D$39,2,TRUE),2))</f>
        <v>17628.27</v>
      </c>
      <c r="U279" s="117">
        <f>+IF($C279="","",ROUND((U278+I279)*(1+Parámetros!$D$92),2))</f>
        <v>18661.439999999999</v>
      </c>
      <c r="V279" s="117">
        <f>+IF($C279="","",ROUND(U279*VLOOKUP(B279,Parámetros!$C$30:$D$39,2,TRUE),2))</f>
        <v>18661.439999999999</v>
      </c>
      <c r="W279" s="57">
        <f t="shared" si="379"/>
        <v>238</v>
      </c>
      <c r="X279" t="str">
        <f t="shared" si="380"/>
        <v>00058</v>
      </c>
      <c r="Y279" t="str">
        <f t="shared" si="381"/>
        <v>MUERTE POR CUALQUIER CAUSA</v>
      </c>
      <c r="Z279" s="118">
        <f>+IF($W279="","",ROUND(IF(Parámetros!$D$25='TABLAS MORT'!$V$33,Z278,Parámetros!$D$21-'Tablas Servicio'!T278),0))</f>
        <v>100000</v>
      </c>
      <c r="AA279" s="118" t="str">
        <f t="shared" si="382"/>
        <v>P</v>
      </c>
      <c r="AB279" s="119">
        <f>+IF(W279="","",ROUND((VLOOKUP(ROUNDDOWN($D279-1/frec,0),qx_tabla,2,FALSE)*(1+i/frec)^-0.5*(1+Parámetros!$D$103)*(1+rec_fracc)/frec),6))</f>
        <v>4.2099999999999999E-4</v>
      </c>
      <c r="AC279" s="66">
        <f t="shared" si="338"/>
        <v>42.1</v>
      </c>
      <c r="AD279" s="119">
        <f t="shared" si="334"/>
        <v>5.4600000000000004E-4</v>
      </c>
      <c r="AE279" s="66">
        <f>+IF($W279="","",ROUND(IF($B279&gt;Parámetros!$D$107,'Tablas Servicio'!AC279+('Tablas Servicio'!AG278-'Tablas Servicio'!AC278),AC279/(1-IF(B279&lt;=10,Parámetros!$D$104,Parámetros!$D$105))),2))</f>
        <v>70.17</v>
      </c>
      <c r="AF279" s="66">
        <f>+IF($W279="","",ROUND(IF($B279&gt;Parámetros!$D$107,'Tablas Servicio'!AC279+('Tablas Servicio'!AG278-'Tablas Servicio'!AC278),(AC279+$A278/frec)/(1-IF(B279&lt;=Parámetros!$D$117,Parámetros!$D$100,0))),2))</f>
        <v>54.6</v>
      </c>
      <c r="AG279" s="66">
        <f t="shared" si="339"/>
        <v>54.6</v>
      </c>
      <c r="AH279" s="66">
        <f t="shared" si="340"/>
        <v>0</v>
      </c>
      <c r="AI279" s="66">
        <f t="shared" si="341"/>
        <v>0</v>
      </c>
      <c r="AJ279" s="66">
        <f>+IF($W279="","",ROUND((AG279*Parámetros!$G$85),2))</f>
        <v>1.91</v>
      </c>
      <c r="AK279" s="66">
        <f>+IF($W279="","",ROUND((AG279*(Parámetros!$G$86)),2))</f>
        <v>0.27</v>
      </c>
      <c r="AL279" s="66">
        <f t="shared" si="335"/>
        <v>56.78</v>
      </c>
      <c r="AM279" t="str">
        <f t="shared" si="383"/>
        <v>00059</v>
      </c>
      <c r="AN279" t="str">
        <f t="shared" si="384"/>
        <v>Incapacidad Total y Permanente</v>
      </c>
      <c r="AO279" s="118">
        <f t="shared" si="385"/>
        <v>0</v>
      </c>
      <c r="AP279" s="118" t="str">
        <f t="shared" si="386"/>
        <v>A</v>
      </c>
      <c r="AQ279" s="119" t="str">
        <f>+IF(OR($W279="",AO279=0),"",ROUND((VLOOKUP(ROUNDDOWN($D279-1/frec,0),cob_adi,Z$40,FALSE)*(1+i/frec)^-0.5*(1+Parámetros!$D$103)*(1+rec_fracc)/frec),6))</f>
        <v/>
      </c>
      <c r="AR279" s="66">
        <f t="shared" si="342"/>
        <v>0</v>
      </c>
      <c r="AS279" s="119" t="str">
        <f t="shared" si="343"/>
        <v/>
      </c>
      <c r="AT279" s="66">
        <f>+IF($W279="","",ROUND(IF($B279&gt;Parámetros!$D$107,'Tablas Servicio'!AR279+('Tablas Servicio'!AT278-'Tablas Servicio'!AR278),AR279/(1-IF(B279&lt;=10,Parámetros!$D$100,0))),2))</f>
        <v>0</v>
      </c>
      <c r="AU279" s="66">
        <f t="shared" si="344"/>
        <v>0</v>
      </c>
      <c r="AV279" s="66">
        <f t="shared" si="344"/>
        <v>0</v>
      </c>
      <c r="AW279" s="66">
        <f>+IF($W279="","",ROUND((AT279*Parámetros!$G$85),2))</f>
        <v>0</v>
      </c>
      <c r="AX279" s="66">
        <f>+IF($W279="","",ROUND((AT279*(Parámetros!$G$86)),2))</f>
        <v>0</v>
      </c>
      <c r="AY279" s="66">
        <f t="shared" si="345"/>
        <v>0</v>
      </c>
      <c r="AZ279" t="str">
        <f t="shared" si="387"/>
        <v>00060</v>
      </c>
      <c r="BA279" t="str">
        <f t="shared" si="388"/>
        <v>Muerte Accidental</v>
      </c>
      <c r="BB279" s="118">
        <f t="shared" si="389"/>
        <v>0</v>
      </c>
      <c r="BC279" s="118" t="str">
        <f t="shared" si="390"/>
        <v>A</v>
      </c>
      <c r="BD279" s="119" t="str">
        <f>+IF(OR($W279="",BB279=0),"",ROUND((VLOOKUP(ROUNDDOWN($D279-1/frec,0),cob_adi,AO$40,FALSE)*(1+i/frec)^-0.5*(1+Parámetros!$D$103)*(1+rec_fracc)/frec),6))</f>
        <v/>
      </c>
      <c r="BE279" s="66">
        <f t="shared" si="346"/>
        <v>0</v>
      </c>
      <c r="BF279" s="119" t="str">
        <f t="shared" si="347"/>
        <v/>
      </c>
      <c r="BG279" s="66">
        <f>+IF($W279="","",ROUND(IF($B279&gt;Parámetros!$D$107,'Tablas Servicio'!BE279+('Tablas Servicio'!BG278-'Tablas Servicio'!BE278),BE279/(1-IF(B279&lt;=10,Parámetros!$D$100,0))),2))</f>
        <v>0</v>
      </c>
      <c r="BH279" s="66">
        <f t="shared" si="348"/>
        <v>0</v>
      </c>
      <c r="BI279" s="66">
        <f t="shared" si="349"/>
        <v>0</v>
      </c>
      <c r="BJ279" s="66">
        <f>+IF($W279="","",ROUND((BG279*Parámetros!$G$85),2))</f>
        <v>0</v>
      </c>
      <c r="BK279" s="66">
        <f>+IF($W279="","",ROUND((BG279*(Parámetros!$G$86)),2))</f>
        <v>0</v>
      </c>
      <c r="BL279" s="66">
        <f t="shared" si="350"/>
        <v>0</v>
      </c>
      <c r="BM279" t="str">
        <f t="shared" si="391"/>
        <v>00061</v>
      </c>
      <c r="BN279" t="str">
        <f t="shared" si="392"/>
        <v>Gastos de Entierro</v>
      </c>
      <c r="BO279" s="118">
        <f t="shared" si="393"/>
        <v>0</v>
      </c>
      <c r="BP279" s="118" t="str">
        <f t="shared" si="394"/>
        <v>A</v>
      </c>
      <c r="BQ279" s="119" t="str">
        <f>+IF(OR($W279="",BO279=0),"",ROUND((VLOOKUP(ROUNDDOWN($D279-1/frec,0),cob_adi,BB$40,FALSE)*(1+i/frec)^-0.5*(1+Parámetros!$D$103)*(1+rec_fracc)/frec),6))</f>
        <v/>
      </c>
      <c r="BR279" s="66">
        <f t="shared" si="351"/>
        <v>0</v>
      </c>
      <c r="BS279" s="119" t="str">
        <f t="shared" si="352"/>
        <v/>
      </c>
      <c r="BT279" s="66">
        <f>+IF($W279="","",ROUND(IF($B279&gt;Parámetros!$D$107,'Tablas Servicio'!BR279+('Tablas Servicio'!BT278-'Tablas Servicio'!BR278),BR279/(1-IF(B279&lt;=10,Parámetros!$D$100,0))),2))</f>
        <v>0</v>
      </c>
      <c r="BU279" s="66">
        <f t="shared" si="353"/>
        <v>0</v>
      </c>
      <c r="BV279" s="66">
        <f t="shared" si="353"/>
        <v>0</v>
      </c>
      <c r="BW279" s="66">
        <f>+IF($W279="","",ROUND((BT279*Parámetros!$G$85),2))</f>
        <v>0</v>
      </c>
      <c r="BX279" s="66">
        <f>+IF($W279="","",ROUND((BT279*(Parámetros!$G$86)),2))</f>
        <v>0</v>
      </c>
      <c r="BY279" s="66">
        <f t="shared" si="354"/>
        <v>0</v>
      </c>
      <c r="BZ279" t="str">
        <f t="shared" si="395"/>
        <v>00062</v>
      </c>
      <c r="CA279" t="str">
        <f t="shared" si="396"/>
        <v>Gastos médicos por accidente</v>
      </c>
      <c r="CB279" s="118">
        <f t="shared" si="397"/>
        <v>0</v>
      </c>
      <c r="CC279" s="118" t="str">
        <f t="shared" si="398"/>
        <v>A</v>
      </c>
      <c r="CD279" s="119" t="str">
        <f t="shared" si="355"/>
        <v/>
      </c>
      <c r="CE279" s="66">
        <f>+IF($W279="","",ROUND((VLOOKUP(ROUNDDOWN($D279-1/frec,0),cob_adi,BO$40,FALSE)*(1+i/frec)^-0.5*(1+Parámetros!$D$103)*(1+rec_fracc)/frec*'TABLAS ADI'!$BC$17),2))</f>
        <v>0</v>
      </c>
      <c r="CF279" s="119" t="str">
        <f t="shared" si="356"/>
        <v/>
      </c>
      <c r="CG279" s="66">
        <f>+IF($W279="","",ROUND(IF($B279&gt;Parámetros!$D$107,'Tablas Servicio'!CE279+('Tablas Servicio'!CG278-'Tablas Servicio'!CE278),CE279/(1-IF(B279&lt;=10,Parámetros!$D$100,0))),2))</f>
        <v>0</v>
      </c>
      <c r="CH279" s="66">
        <f t="shared" si="357"/>
        <v>0</v>
      </c>
      <c r="CI279" s="66">
        <f t="shared" si="357"/>
        <v>0</v>
      </c>
      <c r="CJ279" s="66">
        <f>+IF($W279="","",ROUND((CG279*Parámetros!$G$85),2))</f>
        <v>0</v>
      </c>
      <c r="CK279" s="66">
        <f>+IF($W279="","",ROUND((CG279*(Parámetros!$G$86)),2))</f>
        <v>0</v>
      </c>
      <c r="CL279" s="66">
        <f t="shared" si="358"/>
        <v>0</v>
      </c>
      <c r="CM279" t="str">
        <f t="shared" si="399"/>
        <v>00063</v>
      </c>
      <c r="CN279" s="118" t="str">
        <f t="shared" si="400"/>
        <v>Renta Diaria por Hospitalización</v>
      </c>
      <c r="CO279" s="118">
        <f t="shared" si="401"/>
        <v>0</v>
      </c>
      <c r="CP279" s="118" t="str">
        <f t="shared" si="402"/>
        <v>A</v>
      </c>
      <c r="CQ279" s="119" t="str">
        <f t="shared" si="359"/>
        <v/>
      </c>
      <c r="CR279" s="66">
        <f>+IF($W279="","",ROUND((VLOOKUP(Parámetros!$F$51,'COBERTURAS ADICIONALES'!$S$4:$T$32,2,FALSE)*(1+i/frec)^-0.5*(1+Parámetros!$D$103)*(1+rec_fracc)/frec*$CO$42),2))</f>
        <v>0</v>
      </c>
      <c r="CS279" s="119" t="str">
        <f t="shared" si="360"/>
        <v/>
      </c>
      <c r="CT279" s="66">
        <f>+IF($W279="","",ROUND(IF($B279&gt;Parámetros!$D$107,'Tablas Servicio'!CR279+('Tablas Servicio'!CT278-'Tablas Servicio'!CR278),CR279/(1-IF(B279&lt;=10,Parámetros!$D$100,0))),2))</f>
        <v>0</v>
      </c>
      <c r="CU279" s="66">
        <f t="shared" si="361"/>
        <v>0</v>
      </c>
      <c r="CV279" s="66">
        <f t="shared" si="361"/>
        <v>0</v>
      </c>
      <c r="CW279" s="66">
        <f>+IF($W279="","",ROUND((CT279*Parámetros!$G$85),2))</f>
        <v>0</v>
      </c>
      <c r="CX279" s="66">
        <f>+IF($W279="","",ROUND((CT279*(Parámetros!$G$86)),2))</f>
        <v>0</v>
      </c>
      <c r="CY279" s="66">
        <f t="shared" si="362"/>
        <v>0</v>
      </c>
      <c r="CZ279" t="str">
        <f t="shared" si="403"/>
        <v>00064</v>
      </c>
      <c r="DA279" s="118" t="str">
        <f t="shared" si="404"/>
        <v>Enfermedades Graves</v>
      </c>
      <c r="DB279" s="118">
        <f t="shared" si="405"/>
        <v>0</v>
      </c>
      <c r="DC279" s="118" t="str">
        <f t="shared" si="406"/>
        <v>A</v>
      </c>
      <c r="DD279" s="121" t="str">
        <f>+IF(OR($W279="",DB279=0),"",ROUND((VLOOKUP(ROUNDDOWN($D279-1/frec,0),cob_adi,CO$40,FALSE)*(1+i/frec)^-0.5*(1+Parámetros!$D$103)*(1+rec_fracc)/frec),6))</f>
        <v/>
      </c>
      <c r="DE279" s="66">
        <f t="shared" si="363"/>
        <v>0</v>
      </c>
      <c r="DF279" s="119" t="str">
        <f t="shared" si="364"/>
        <v/>
      </c>
      <c r="DG279" s="66">
        <f>+IF($W279="","",ROUND(IF($B279&gt;Parámetros!$D$107,'Tablas Servicio'!DE279+('Tablas Servicio'!DG278-'Tablas Servicio'!DE278),DE279/(1-IF(B279&lt;=10,Parámetros!$D$100,0))),2))</f>
        <v>0</v>
      </c>
      <c r="DH279" s="66">
        <f t="shared" si="365"/>
        <v>0</v>
      </c>
      <c r="DI279" s="66">
        <f t="shared" si="365"/>
        <v>0</v>
      </c>
      <c r="DJ279" s="66">
        <f>+IF($W279="","",ROUND((DG279*Parámetros!$G$85),2))</f>
        <v>0</v>
      </c>
      <c r="DK279" s="66">
        <f>+IF($W279="","",ROUND((DG279*(Parámetros!$G$86)),2))</f>
        <v>0</v>
      </c>
      <c r="DL279" s="66">
        <f t="shared" si="366"/>
        <v>0</v>
      </c>
      <c r="DM279" t="str">
        <f t="shared" si="407"/>
        <v>00065</v>
      </c>
      <c r="DN279" s="118" t="str">
        <f t="shared" si="408"/>
        <v>Exención pago de primas</v>
      </c>
      <c r="DO279" s="118">
        <f t="shared" si="409"/>
        <v>0</v>
      </c>
      <c r="DP279" s="118" t="str">
        <f t="shared" si="410"/>
        <v>A</v>
      </c>
      <c r="DQ279" s="122" t="str">
        <f>+IF(OR($W279="",DO279=0),"",ROUND((VLOOKUP(ROUNDDOWN($D279-1/frec,0),cob_adi,DB$40,FALSE)*(1+i/frec)^-0.5*(1+Parámetros!$D$103)*(1+rec_fracc)/frec),6))</f>
        <v/>
      </c>
      <c r="DR279" s="66">
        <f t="shared" si="367"/>
        <v>0</v>
      </c>
      <c r="DS279" s="68" t="str">
        <f t="shared" si="368"/>
        <v/>
      </c>
      <c r="DT279" s="66">
        <f>+IF($W279="","",ROUND(IF($B279&gt;Parámetros!$D$107,'Tablas Servicio'!DR279+('Tablas Servicio'!DT278-'Tablas Servicio'!DR278),DR279/(1-IF(B279&lt;=10,Parámetros!$D$100,0))),2))</f>
        <v>0</v>
      </c>
      <c r="DU279" s="66">
        <f t="shared" si="369"/>
        <v>0</v>
      </c>
      <c r="DV279" s="66">
        <f t="shared" si="369"/>
        <v>0</v>
      </c>
      <c r="DW279" s="66">
        <f>+IF($W279="","",ROUND((DT279*Parámetros!$G$85),2))</f>
        <v>0</v>
      </c>
      <c r="DX279" s="66">
        <f>+IF($W279="","",ROUND((DT279*(Parámetros!$G$86)),2))</f>
        <v>0</v>
      </c>
      <c r="DY279" s="66">
        <f t="shared" si="370"/>
        <v>0</v>
      </c>
      <c r="DZ279" t="str">
        <f t="shared" si="412"/>
        <v>00066</v>
      </c>
      <c r="EA279" s="118" t="str">
        <f t="shared" si="412"/>
        <v>Enfermedad terminal</v>
      </c>
      <c r="EB279" s="118">
        <f>+IF($W279="","",ROUND(IF(Parámetros!$D$25='TABLAS MORT'!$V$33,EB278,Z279/2),0))</f>
        <v>50000</v>
      </c>
      <c r="EC279" s="118" t="str">
        <f t="shared" si="412"/>
        <v>A</v>
      </c>
      <c r="ED279" s="122">
        <f>+IF(OR($W279="",EB279=0),"",ROUND((VLOOKUP(ROUNDDOWN($D279-1/frec,0),cob_adi,DO$40,FALSE)*(1+i/frec)^-0.5*(1+Parámetros!$D$103)*(1+rec_fracc)/frec),6))</f>
        <v>2.6999999999999999E-5</v>
      </c>
      <c r="EE279" s="66">
        <f t="shared" si="372"/>
        <v>1.35</v>
      </c>
      <c r="EF279" s="68">
        <f t="shared" si="373"/>
        <v>2.6999999999999999E-5</v>
      </c>
      <c r="EG279" s="66">
        <f>+IF($W279="","",ROUND(IF($B279&gt;Parámetros!$D$107,'Tablas Servicio'!EE279+('Tablas Servicio'!EG278-'Tablas Servicio'!EE278),EE279/(1-IF(B279&lt;=10,Parámetros!$D$100,0))),2))</f>
        <v>1.35</v>
      </c>
      <c r="EH279" s="66">
        <f t="shared" si="374"/>
        <v>0</v>
      </c>
      <c r="EI279" s="66">
        <f t="shared" si="374"/>
        <v>0</v>
      </c>
      <c r="EJ279" s="66">
        <f>+IF($W279="","",ROUND((EG279*Parámetros!$G$85),2))</f>
        <v>0.05</v>
      </c>
      <c r="EK279" s="66">
        <f>+IF($W279="","",ROUND((EG279*(Parámetros!$G$86)),2))</f>
        <v>0.01</v>
      </c>
      <c r="EL279" s="66">
        <f t="shared" si="375"/>
        <v>1.41</v>
      </c>
    </row>
    <row r="280" spans="1:142" x14ac:dyDescent="0.25">
      <c r="A280">
        <f>+IF($C280="","",ROUND(VLOOKUP('Tablas Servicio'!B280,Parámetros!$H$100:$J$159,IF(Parámetros!$E$16="F",2,3),FALSE),2))</f>
        <v>150</v>
      </c>
      <c r="B280">
        <f t="shared" si="326"/>
        <v>20</v>
      </c>
      <c r="C280" s="57">
        <f>+IF(D280="","",'Tablas Servicio'!C279+1)</f>
        <v>239</v>
      </c>
      <c r="D280" s="56">
        <f>+IF(D279&lt;edadmaxtabla,D279+1/Parámetros!$E$25,"")</f>
        <v>59.936666666667236</v>
      </c>
      <c r="E280" s="57">
        <f t="shared" si="336"/>
        <v>59</v>
      </c>
      <c r="F280" s="59">
        <f t="shared" si="337"/>
        <v>100000</v>
      </c>
      <c r="G280" s="66">
        <f t="shared" si="327"/>
        <v>55.95</v>
      </c>
      <c r="H280" s="66">
        <f t="shared" si="328"/>
        <v>58.19</v>
      </c>
      <c r="I280" s="66">
        <f t="shared" si="376"/>
        <v>35.81</v>
      </c>
      <c r="J280" s="66">
        <f t="shared" si="329"/>
        <v>1.96</v>
      </c>
      <c r="K280" s="66">
        <f t="shared" si="330"/>
        <v>0.28000000000000003</v>
      </c>
      <c r="L280" s="66">
        <f t="shared" si="331"/>
        <v>0</v>
      </c>
      <c r="M280" s="66">
        <f t="shared" si="332"/>
        <v>0</v>
      </c>
      <c r="N280" s="66">
        <f>+IF(C280="","",ROUND(Parámetros!$D$23,2))</f>
        <v>94</v>
      </c>
      <c r="O280" s="66">
        <f t="shared" si="333"/>
        <v>43.45</v>
      </c>
      <c r="P280" s="66">
        <f>+IF($C280="","",ROUND(IF(B280&gt;Parámetros!$D$117,0,N280*Parámetros!$D$116-G280*Parámetros!$D$100),2))</f>
        <v>0</v>
      </c>
      <c r="Q280" s="75">
        <f t="shared" si="377"/>
        <v>3.5031277926720283E-2</v>
      </c>
      <c r="R280" s="75">
        <f t="shared" si="378"/>
        <v>5.0044682752457556E-3</v>
      </c>
      <c r="S280" s="117">
        <f>+IF($C280="","",ROUND((S279+I280)*(1+Parámetros!$D$91),2))</f>
        <v>17714.18</v>
      </c>
      <c r="T280" s="117">
        <f>+IF($C280="","",ROUND(S280*VLOOKUP(B280,Parámetros!$C$30:$D$39,2,TRUE),2))</f>
        <v>17714.18</v>
      </c>
      <c r="U280" s="117">
        <f>+IF($C280="","",ROUND((U279+I280)*(1+Parámetros!$D$92),2))</f>
        <v>18757.86</v>
      </c>
      <c r="V280" s="117">
        <f>+IF($C280="","",ROUND(U280*VLOOKUP(B280,Parámetros!$C$30:$D$39,2,TRUE),2))</f>
        <v>18757.86</v>
      </c>
      <c r="W280" s="57">
        <f t="shared" si="379"/>
        <v>239</v>
      </c>
      <c r="X280" t="str">
        <f t="shared" si="380"/>
        <v>00058</v>
      </c>
      <c r="Y280" t="str">
        <f t="shared" si="381"/>
        <v>MUERTE POR CUALQUIER CAUSA</v>
      </c>
      <c r="Z280" s="118">
        <f>+IF($W280="","",ROUND(IF(Parámetros!$D$25='TABLAS MORT'!$V$33,Z279,Parámetros!$D$21-'Tablas Servicio'!T279),0))</f>
        <v>100000</v>
      </c>
      <c r="AA280" s="118" t="str">
        <f t="shared" si="382"/>
        <v>P</v>
      </c>
      <c r="AB280" s="119">
        <f>+IF(W280="","",ROUND((VLOOKUP(ROUNDDOWN($D280-1/frec,0),qx_tabla,2,FALSE)*(1+i/frec)^-0.5*(1+Parámetros!$D$103)*(1+rec_fracc)/frec),6))</f>
        <v>4.2099999999999999E-4</v>
      </c>
      <c r="AC280" s="66">
        <f t="shared" si="338"/>
        <v>42.1</v>
      </c>
      <c r="AD280" s="119">
        <f t="shared" si="334"/>
        <v>5.4600000000000004E-4</v>
      </c>
      <c r="AE280" s="66">
        <f>+IF($W280="","",ROUND(IF($B280&gt;Parámetros!$D$107,'Tablas Servicio'!AC280+('Tablas Servicio'!AG279-'Tablas Servicio'!AC279),AC280/(1-IF(B280&lt;=10,Parámetros!$D$104,Parámetros!$D$105))),2))</f>
        <v>70.17</v>
      </c>
      <c r="AF280" s="66">
        <f>+IF($W280="","",ROUND(IF($B280&gt;Parámetros!$D$107,'Tablas Servicio'!AC280+('Tablas Servicio'!AG279-'Tablas Servicio'!AC279),(AC280+$A279/frec)/(1-IF(B280&lt;=Parámetros!$D$117,Parámetros!$D$100,0))),2))</f>
        <v>54.6</v>
      </c>
      <c r="AG280" s="66">
        <f t="shared" si="339"/>
        <v>54.6</v>
      </c>
      <c r="AH280" s="66">
        <f t="shared" si="340"/>
        <v>0</v>
      </c>
      <c r="AI280" s="66">
        <f t="shared" si="341"/>
        <v>0</v>
      </c>
      <c r="AJ280" s="66">
        <f>+IF($W280="","",ROUND((AG280*Parámetros!$G$85),2))</f>
        <v>1.91</v>
      </c>
      <c r="AK280" s="66">
        <f>+IF($W280="","",ROUND((AG280*(Parámetros!$G$86)),2))</f>
        <v>0.27</v>
      </c>
      <c r="AL280" s="66">
        <f t="shared" si="335"/>
        <v>56.78</v>
      </c>
      <c r="AM280" t="str">
        <f t="shared" si="383"/>
        <v>00059</v>
      </c>
      <c r="AN280" t="str">
        <f t="shared" si="384"/>
        <v>Incapacidad Total y Permanente</v>
      </c>
      <c r="AO280" s="118">
        <f t="shared" si="385"/>
        <v>0</v>
      </c>
      <c r="AP280" s="118" t="str">
        <f t="shared" si="386"/>
        <v>A</v>
      </c>
      <c r="AQ280" s="119" t="str">
        <f>+IF(OR($W280="",AO280=0),"",ROUND((VLOOKUP(ROUNDDOWN($D280-1/frec,0),cob_adi,Z$40,FALSE)*(1+i/frec)^-0.5*(1+Parámetros!$D$103)*(1+rec_fracc)/frec),6))</f>
        <v/>
      </c>
      <c r="AR280" s="66">
        <f t="shared" si="342"/>
        <v>0</v>
      </c>
      <c r="AS280" s="119" t="str">
        <f t="shared" si="343"/>
        <v/>
      </c>
      <c r="AT280" s="66">
        <f>+IF($W280="","",ROUND(IF($B280&gt;Parámetros!$D$107,'Tablas Servicio'!AR280+('Tablas Servicio'!AT279-'Tablas Servicio'!AR279),AR280/(1-IF(B280&lt;=10,Parámetros!$D$100,0))),2))</f>
        <v>0</v>
      </c>
      <c r="AU280" s="66">
        <f t="shared" si="344"/>
        <v>0</v>
      </c>
      <c r="AV280" s="66">
        <f t="shared" si="344"/>
        <v>0</v>
      </c>
      <c r="AW280" s="66">
        <f>+IF($W280="","",ROUND((AT280*Parámetros!$G$85),2))</f>
        <v>0</v>
      </c>
      <c r="AX280" s="66">
        <f>+IF($W280="","",ROUND((AT280*(Parámetros!$G$86)),2))</f>
        <v>0</v>
      </c>
      <c r="AY280" s="66">
        <f t="shared" si="345"/>
        <v>0</v>
      </c>
      <c r="AZ280" t="str">
        <f t="shared" si="387"/>
        <v>00060</v>
      </c>
      <c r="BA280" t="str">
        <f t="shared" si="388"/>
        <v>Muerte Accidental</v>
      </c>
      <c r="BB280" s="118">
        <f t="shared" si="389"/>
        <v>0</v>
      </c>
      <c r="BC280" s="118" t="str">
        <f t="shared" si="390"/>
        <v>A</v>
      </c>
      <c r="BD280" s="119" t="str">
        <f>+IF(OR($W280="",BB280=0),"",ROUND((VLOOKUP(ROUNDDOWN($D280-1/frec,0),cob_adi,AO$40,FALSE)*(1+i/frec)^-0.5*(1+Parámetros!$D$103)*(1+rec_fracc)/frec),6))</f>
        <v/>
      </c>
      <c r="BE280" s="66">
        <f t="shared" si="346"/>
        <v>0</v>
      </c>
      <c r="BF280" s="119" t="str">
        <f t="shared" si="347"/>
        <v/>
      </c>
      <c r="BG280" s="66">
        <f>+IF($W280="","",ROUND(IF($B280&gt;Parámetros!$D$107,'Tablas Servicio'!BE280+('Tablas Servicio'!BG279-'Tablas Servicio'!BE279),BE280/(1-IF(B280&lt;=10,Parámetros!$D$100,0))),2))</f>
        <v>0</v>
      </c>
      <c r="BH280" s="66">
        <f t="shared" si="348"/>
        <v>0</v>
      </c>
      <c r="BI280" s="66">
        <f t="shared" si="349"/>
        <v>0</v>
      </c>
      <c r="BJ280" s="66">
        <f>+IF($W280="","",ROUND((BG280*Parámetros!$G$85),2))</f>
        <v>0</v>
      </c>
      <c r="BK280" s="66">
        <f>+IF($W280="","",ROUND((BG280*(Parámetros!$G$86)),2))</f>
        <v>0</v>
      </c>
      <c r="BL280" s="66">
        <f t="shared" si="350"/>
        <v>0</v>
      </c>
      <c r="BM280" t="str">
        <f t="shared" si="391"/>
        <v>00061</v>
      </c>
      <c r="BN280" t="str">
        <f t="shared" si="392"/>
        <v>Gastos de Entierro</v>
      </c>
      <c r="BO280" s="118">
        <f t="shared" si="393"/>
        <v>0</v>
      </c>
      <c r="BP280" s="118" t="str">
        <f t="shared" si="394"/>
        <v>A</v>
      </c>
      <c r="BQ280" s="119" t="str">
        <f>+IF(OR($W280="",BO280=0),"",ROUND((VLOOKUP(ROUNDDOWN($D280-1/frec,0),cob_adi,BB$40,FALSE)*(1+i/frec)^-0.5*(1+Parámetros!$D$103)*(1+rec_fracc)/frec),6))</f>
        <v/>
      </c>
      <c r="BR280" s="66">
        <f t="shared" si="351"/>
        <v>0</v>
      </c>
      <c r="BS280" s="119" t="str">
        <f t="shared" si="352"/>
        <v/>
      </c>
      <c r="BT280" s="66">
        <f>+IF($W280="","",ROUND(IF($B280&gt;Parámetros!$D$107,'Tablas Servicio'!BR280+('Tablas Servicio'!BT279-'Tablas Servicio'!BR279),BR280/(1-IF(B280&lt;=10,Parámetros!$D$100,0))),2))</f>
        <v>0</v>
      </c>
      <c r="BU280" s="66">
        <f t="shared" si="353"/>
        <v>0</v>
      </c>
      <c r="BV280" s="66">
        <f t="shared" si="353"/>
        <v>0</v>
      </c>
      <c r="BW280" s="66">
        <f>+IF($W280="","",ROUND((BT280*Parámetros!$G$85),2))</f>
        <v>0</v>
      </c>
      <c r="BX280" s="66">
        <f>+IF($W280="","",ROUND((BT280*(Parámetros!$G$86)),2))</f>
        <v>0</v>
      </c>
      <c r="BY280" s="66">
        <f t="shared" si="354"/>
        <v>0</v>
      </c>
      <c r="BZ280" t="str">
        <f t="shared" si="395"/>
        <v>00062</v>
      </c>
      <c r="CA280" t="str">
        <f t="shared" si="396"/>
        <v>Gastos médicos por accidente</v>
      </c>
      <c r="CB280" s="118">
        <f t="shared" si="397"/>
        <v>0</v>
      </c>
      <c r="CC280" s="118" t="str">
        <f t="shared" si="398"/>
        <v>A</v>
      </c>
      <c r="CD280" s="119" t="str">
        <f t="shared" si="355"/>
        <v/>
      </c>
      <c r="CE280" s="66">
        <f>+IF($W280="","",ROUND((VLOOKUP(ROUNDDOWN($D280-1/frec,0),cob_adi,BO$40,FALSE)*(1+i/frec)^-0.5*(1+Parámetros!$D$103)*(1+rec_fracc)/frec*'TABLAS ADI'!$BC$17),2))</f>
        <v>0</v>
      </c>
      <c r="CF280" s="119" t="str">
        <f t="shared" si="356"/>
        <v/>
      </c>
      <c r="CG280" s="66">
        <f>+IF($W280="","",ROUND(IF($B280&gt;Parámetros!$D$107,'Tablas Servicio'!CE280+('Tablas Servicio'!CG279-'Tablas Servicio'!CE279),CE280/(1-IF(B280&lt;=10,Parámetros!$D$100,0))),2))</f>
        <v>0</v>
      </c>
      <c r="CH280" s="66">
        <f t="shared" si="357"/>
        <v>0</v>
      </c>
      <c r="CI280" s="66">
        <f t="shared" si="357"/>
        <v>0</v>
      </c>
      <c r="CJ280" s="66">
        <f>+IF($W280="","",ROUND((CG280*Parámetros!$G$85),2))</f>
        <v>0</v>
      </c>
      <c r="CK280" s="66">
        <f>+IF($W280="","",ROUND((CG280*(Parámetros!$G$86)),2))</f>
        <v>0</v>
      </c>
      <c r="CL280" s="66">
        <f t="shared" si="358"/>
        <v>0</v>
      </c>
      <c r="CM280" t="str">
        <f t="shared" si="399"/>
        <v>00063</v>
      </c>
      <c r="CN280" s="118" t="str">
        <f t="shared" si="400"/>
        <v>Renta Diaria por Hospitalización</v>
      </c>
      <c r="CO280" s="118">
        <f t="shared" si="401"/>
        <v>0</v>
      </c>
      <c r="CP280" s="118" t="str">
        <f t="shared" si="402"/>
        <v>A</v>
      </c>
      <c r="CQ280" s="119" t="str">
        <f t="shared" si="359"/>
        <v/>
      </c>
      <c r="CR280" s="66">
        <f>+IF($W280="","",ROUND((VLOOKUP(Parámetros!$F$51,'COBERTURAS ADICIONALES'!$S$4:$T$32,2,FALSE)*(1+i/frec)^-0.5*(1+Parámetros!$D$103)*(1+rec_fracc)/frec*$CO$42),2))</f>
        <v>0</v>
      </c>
      <c r="CS280" s="119" t="str">
        <f t="shared" si="360"/>
        <v/>
      </c>
      <c r="CT280" s="66">
        <f>+IF($W280="","",ROUND(IF($B280&gt;Parámetros!$D$107,'Tablas Servicio'!CR280+('Tablas Servicio'!CT279-'Tablas Servicio'!CR279),CR280/(1-IF(B280&lt;=10,Parámetros!$D$100,0))),2))</f>
        <v>0</v>
      </c>
      <c r="CU280" s="66">
        <f t="shared" si="361"/>
        <v>0</v>
      </c>
      <c r="CV280" s="66">
        <f t="shared" si="361"/>
        <v>0</v>
      </c>
      <c r="CW280" s="66">
        <f>+IF($W280="","",ROUND((CT280*Parámetros!$G$85),2))</f>
        <v>0</v>
      </c>
      <c r="CX280" s="66">
        <f>+IF($W280="","",ROUND((CT280*(Parámetros!$G$86)),2))</f>
        <v>0</v>
      </c>
      <c r="CY280" s="66">
        <f t="shared" si="362"/>
        <v>0</v>
      </c>
      <c r="CZ280" t="str">
        <f t="shared" si="403"/>
        <v>00064</v>
      </c>
      <c r="DA280" s="118" t="str">
        <f t="shared" si="404"/>
        <v>Enfermedades Graves</v>
      </c>
      <c r="DB280" s="118">
        <f t="shared" si="405"/>
        <v>0</v>
      </c>
      <c r="DC280" s="118" t="str">
        <f t="shared" si="406"/>
        <v>A</v>
      </c>
      <c r="DD280" s="121" t="str">
        <f>+IF(OR($W280="",DB280=0),"",ROUND((VLOOKUP(ROUNDDOWN($D280-1/frec,0),cob_adi,CO$40,FALSE)*(1+i/frec)^-0.5*(1+Parámetros!$D$103)*(1+rec_fracc)/frec),6))</f>
        <v/>
      </c>
      <c r="DE280" s="66">
        <f t="shared" si="363"/>
        <v>0</v>
      </c>
      <c r="DF280" s="119" t="str">
        <f t="shared" si="364"/>
        <v/>
      </c>
      <c r="DG280" s="66">
        <f>+IF($W280="","",ROUND(IF($B280&gt;Parámetros!$D$107,'Tablas Servicio'!DE280+('Tablas Servicio'!DG279-'Tablas Servicio'!DE279),DE280/(1-IF(B280&lt;=10,Parámetros!$D$100,0))),2))</f>
        <v>0</v>
      </c>
      <c r="DH280" s="66">
        <f t="shared" si="365"/>
        <v>0</v>
      </c>
      <c r="DI280" s="66">
        <f t="shared" si="365"/>
        <v>0</v>
      </c>
      <c r="DJ280" s="66">
        <f>+IF($W280="","",ROUND((DG280*Parámetros!$G$85),2))</f>
        <v>0</v>
      </c>
      <c r="DK280" s="66">
        <f>+IF($W280="","",ROUND((DG280*(Parámetros!$G$86)),2))</f>
        <v>0</v>
      </c>
      <c r="DL280" s="66">
        <f t="shared" si="366"/>
        <v>0</v>
      </c>
      <c r="DM280" t="str">
        <f t="shared" si="407"/>
        <v>00065</v>
      </c>
      <c r="DN280" s="118" t="str">
        <f t="shared" si="408"/>
        <v>Exención pago de primas</v>
      </c>
      <c r="DO280" s="118">
        <f t="shared" si="409"/>
        <v>0</v>
      </c>
      <c r="DP280" s="118" t="str">
        <f t="shared" si="410"/>
        <v>A</v>
      </c>
      <c r="DQ280" s="122" t="str">
        <f>+IF(OR($W280="",DO280=0),"",ROUND((VLOOKUP(ROUNDDOWN($D280-1/frec,0),cob_adi,DB$40,FALSE)*(1+i/frec)^-0.5*(1+Parámetros!$D$103)*(1+rec_fracc)/frec),6))</f>
        <v/>
      </c>
      <c r="DR280" s="66">
        <f t="shared" si="367"/>
        <v>0</v>
      </c>
      <c r="DS280" s="68" t="str">
        <f t="shared" si="368"/>
        <v/>
      </c>
      <c r="DT280" s="66">
        <f>+IF($W280="","",ROUND(IF($B280&gt;Parámetros!$D$107,'Tablas Servicio'!DR280+('Tablas Servicio'!DT279-'Tablas Servicio'!DR279),DR280/(1-IF(B280&lt;=10,Parámetros!$D$100,0))),2))</f>
        <v>0</v>
      </c>
      <c r="DU280" s="66">
        <f t="shared" si="369"/>
        <v>0</v>
      </c>
      <c r="DV280" s="66">
        <f t="shared" si="369"/>
        <v>0</v>
      </c>
      <c r="DW280" s="66">
        <f>+IF($W280="","",ROUND((DT280*Parámetros!$G$85),2))</f>
        <v>0</v>
      </c>
      <c r="DX280" s="66">
        <f>+IF($W280="","",ROUND((DT280*(Parámetros!$G$86)),2))</f>
        <v>0</v>
      </c>
      <c r="DY280" s="66">
        <f t="shared" si="370"/>
        <v>0</v>
      </c>
      <c r="DZ280" t="str">
        <f t="shared" si="412"/>
        <v>00066</v>
      </c>
      <c r="EA280" s="118" t="str">
        <f t="shared" si="412"/>
        <v>Enfermedad terminal</v>
      </c>
      <c r="EB280" s="118">
        <f>+IF($W280="","",ROUND(IF(Parámetros!$D$25='TABLAS MORT'!$V$33,EB279,Z280/2),0))</f>
        <v>50000</v>
      </c>
      <c r="EC280" s="118" t="str">
        <f t="shared" si="412"/>
        <v>A</v>
      </c>
      <c r="ED280" s="122">
        <f>+IF(OR($W280="",EB280=0),"",ROUND((VLOOKUP(ROUNDDOWN($D280-1/frec,0),cob_adi,DO$40,FALSE)*(1+i/frec)^-0.5*(1+Parámetros!$D$103)*(1+rec_fracc)/frec),6))</f>
        <v>2.6999999999999999E-5</v>
      </c>
      <c r="EE280" s="66">
        <f t="shared" si="372"/>
        <v>1.35</v>
      </c>
      <c r="EF280" s="68">
        <f t="shared" si="373"/>
        <v>2.6999999999999999E-5</v>
      </c>
      <c r="EG280" s="66">
        <f>+IF($W280="","",ROUND(IF($B280&gt;Parámetros!$D$107,'Tablas Servicio'!EE280+('Tablas Servicio'!EG279-'Tablas Servicio'!EE279),EE280/(1-IF(B280&lt;=10,Parámetros!$D$100,0))),2))</f>
        <v>1.35</v>
      </c>
      <c r="EH280" s="66">
        <f t="shared" si="374"/>
        <v>0</v>
      </c>
      <c r="EI280" s="66">
        <f t="shared" si="374"/>
        <v>0</v>
      </c>
      <c r="EJ280" s="66">
        <f>+IF($W280="","",ROUND((EG280*Parámetros!$G$85),2))</f>
        <v>0.05</v>
      </c>
      <c r="EK280" s="66">
        <f>+IF($W280="","",ROUND((EG280*(Parámetros!$G$86)),2))</f>
        <v>0.01</v>
      </c>
      <c r="EL280" s="66">
        <f t="shared" si="375"/>
        <v>1.41</v>
      </c>
    </row>
    <row r="281" spans="1:142" x14ac:dyDescent="0.25">
      <c r="A281">
        <f>+IF($C281="","",ROUND(VLOOKUP('Tablas Servicio'!B281,Parámetros!$H$100:$J$159,IF(Parámetros!$E$16="F",2,3),FALSE),2))</f>
        <v>150</v>
      </c>
      <c r="B281">
        <f t="shared" si="326"/>
        <v>20</v>
      </c>
      <c r="C281" s="57">
        <f>+IF(D281="","",'Tablas Servicio'!C280+1)</f>
        <v>240</v>
      </c>
      <c r="D281" s="56">
        <f>+IF(D280&lt;edadmaxtabla,D280+1/Parámetros!$E$25,"")</f>
        <v>60.020000000000572</v>
      </c>
      <c r="E281" s="57">
        <f t="shared" si="336"/>
        <v>60</v>
      </c>
      <c r="F281" s="59">
        <f t="shared" si="337"/>
        <v>100000</v>
      </c>
      <c r="G281" s="66">
        <f t="shared" si="327"/>
        <v>55.95</v>
      </c>
      <c r="H281" s="66">
        <f t="shared" si="328"/>
        <v>58.19</v>
      </c>
      <c r="I281" s="66">
        <f t="shared" si="376"/>
        <v>35.81</v>
      </c>
      <c r="J281" s="66">
        <f t="shared" si="329"/>
        <v>1.96</v>
      </c>
      <c r="K281" s="66">
        <f t="shared" si="330"/>
        <v>0.28000000000000003</v>
      </c>
      <c r="L281" s="66">
        <f t="shared" si="331"/>
        <v>0</v>
      </c>
      <c r="M281" s="66">
        <f t="shared" si="332"/>
        <v>0</v>
      </c>
      <c r="N281" s="66">
        <f>+IF(C281="","",ROUND(Parámetros!$D$23,2))</f>
        <v>94</v>
      </c>
      <c r="O281" s="66">
        <f t="shared" si="333"/>
        <v>43.45</v>
      </c>
      <c r="P281" s="66">
        <f>+IF($C281="","",ROUND(IF(B281&gt;Parámetros!$D$117,0,N281*Parámetros!$D$116-G281*Parámetros!$D$100),2))</f>
        <v>0</v>
      </c>
      <c r="Q281" s="75">
        <f t="shared" si="377"/>
        <v>3.5031277926720283E-2</v>
      </c>
      <c r="R281" s="75">
        <f t="shared" si="378"/>
        <v>5.0044682752457556E-3</v>
      </c>
      <c r="S281" s="117">
        <f>+IF($C281="","",ROUND((S280+I281)*(1+Parámetros!$D$91),2))</f>
        <v>17800.34</v>
      </c>
      <c r="T281" s="117">
        <f>+IF($C281="","",ROUND(S281*VLOOKUP(B281,Parámetros!$C$30:$D$39,2,TRUE),2))</f>
        <v>17800.34</v>
      </c>
      <c r="U281" s="117">
        <f>+IF($C281="","",ROUND((U280+I281)*(1+Parámetros!$D$92),2))</f>
        <v>18854.59</v>
      </c>
      <c r="V281" s="117">
        <f>+IF($C281="","",ROUND(U281*VLOOKUP(B281,Parámetros!$C$30:$D$39,2,TRUE),2))</f>
        <v>18854.59</v>
      </c>
      <c r="W281" s="57">
        <f t="shared" si="379"/>
        <v>240</v>
      </c>
      <c r="X281" t="str">
        <f t="shared" si="380"/>
        <v>00058</v>
      </c>
      <c r="Y281" t="str">
        <f t="shared" si="381"/>
        <v>MUERTE POR CUALQUIER CAUSA</v>
      </c>
      <c r="Z281" s="118">
        <f>+IF($W281="","",ROUND(IF(Parámetros!$D$25='TABLAS MORT'!$V$33,Z280,Parámetros!$D$21-'Tablas Servicio'!T280),0))</f>
        <v>100000</v>
      </c>
      <c r="AA281" s="118" t="str">
        <f t="shared" si="382"/>
        <v>P</v>
      </c>
      <c r="AB281" s="119">
        <f>+IF(W281="","",ROUND((VLOOKUP(ROUNDDOWN($D281-1/frec,0),qx_tabla,2,FALSE)*(1+i/frec)^-0.5*(1+Parámetros!$D$103)*(1+rec_fracc)/frec),6))</f>
        <v>4.2099999999999999E-4</v>
      </c>
      <c r="AC281" s="66">
        <f t="shared" si="338"/>
        <v>42.1</v>
      </c>
      <c r="AD281" s="119">
        <f t="shared" si="334"/>
        <v>5.4600000000000004E-4</v>
      </c>
      <c r="AE281" s="66">
        <f>+IF($W281="","",ROUND(IF($B281&gt;Parámetros!$D$107,'Tablas Servicio'!AC281+('Tablas Servicio'!AG280-'Tablas Servicio'!AC280),AC281/(1-IF(B281&lt;=10,Parámetros!$D$104,Parámetros!$D$105))),2))</f>
        <v>70.17</v>
      </c>
      <c r="AF281" s="66">
        <f>+IF($W281="","",ROUND(IF($B281&gt;Parámetros!$D$107,'Tablas Servicio'!AC281+('Tablas Servicio'!AG280-'Tablas Servicio'!AC280),(AC281+$A280/frec)/(1-IF(B281&lt;=Parámetros!$D$117,Parámetros!$D$100,0))),2))</f>
        <v>54.6</v>
      </c>
      <c r="AG281" s="66">
        <f t="shared" si="339"/>
        <v>54.6</v>
      </c>
      <c r="AH281" s="66">
        <f t="shared" si="340"/>
        <v>0</v>
      </c>
      <c r="AI281" s="66">
        <f t="shared" si="341"/>
        <v>0</v>
      </c>
      <c r="AJ281" s="66">
        <f>+IF($W281="","",ROUND((AG281*Parámetros!$G$85),2))</f>
        <v>1.91</v>
      </c>
      <c r="AK281" s="66">
        <f>+IF($W281="","",ROUND((AG281*(Parámetros!$G$86)),2))</f>
        <v>0.27</v>
      </c>
      <c r="AL281" s="66">
        <f t="shared" si="335"/>
        <v>56.78</v>
      </c>
      <c r="AM281" t="str">
        <f t="shared" si="383"/>
        <v>00059</v>
      </c>
      <c r="AN281" t="str">
        <f t="shared" si="384"/>
        <v>Incapacidad Total y Permanente</v>
      </c>
      <c r="AO281" s="118">
        <f t="shared" si="385"/>
        <v>0</v>
      </c>
      <c r="AP281" s="118" t="str">
        <f t="shared" si="386"/>
        <v>A</v>
      </c>
      <c r="AQ281" s="119" t="str">
        <f>+IF(OR($W281="",AO281=0),"",ROUND((VLOOKUP(ROUNDDOWN($D281-1/frec,0),cob_adi,Z$40,FALSE)*(1+i/frec)^-0.5*(1+Parámetros!$D$103)*(1+rec_fracc)/frec),6))</f>
        <v/>
      </c>
      <c r="AR281" s="66">
        <f t="shared" si="342"/>
        <v>0</v>
      </c>
      <c r="AS281" s="119" t="str">
        <f t="shared" si="343"/>
        <v/>
      </c>
      <c r="AT281" s="66">
        <f>+IF($W281="","",ROUND(IF($B281&gt;Parámetros!$D$107,'Tablas Servicio'!AR281+('Tablas Servicio'!AT280-'Tablas Servicio'!AR280),AR281/(1-IF(B281&lt;=10,Parámetros!$D$100,0))),2))</f>
        <v>0</v>
      </c>
      <c r="AU281" s="66">
        <f t="shared" si="344"/>
        <v>0</v>
      </c>
      <c r="AV281" s="66">
        <f t="shared" si="344"/>
        <v>0</v>
      </c>
      <c r="AW281" s="66">
        <f>+IF($W281="","",ROUND((AT281*Parámetros!$G$85),2))</f>
        <v>0</v>
      </c>
      <c r="AX281" s="66">
        <f>+IF($W281="","",ROUND((AT281*(Parámetros!$G$86)),2))</f>
        <v>0</v>
      </c>
      <c r="AY281" s="66">
        <f t="shared" si="345"/>
        <v>0</v>
      </c>
      <c r="AZ281" t="str">
        <f t="shared" si="387"/>
        <v>00060</v>
      </c>
      <c r="BA281" t="str">
        <f t="shared" si="388"/>
        <v>Muerte Accidental</v>
      </c>
      <c r="BB281" s="118">
        <f t="shared" si="389"/>
        <v>0</v>
      </c>
      <c r="BC281" s="118" t="str">
        <f t="shared" si="390"/>
        <v>A</v>
      </c>
      <c r="BD281" s="119" t="str">
        <f>+IF(OR($W281="",BB281=0),"",ROUND((VLOOKUP(ROUNDDOWN($D281-1/frec,0),cob_adi,AO$40,FALSE)*(1+i/frec)^-0.5*(1+Parámetros!$D$103)*(1+rec_fracc)/frec),6))</f>
        <v/>
      </c>
      <c r="BE281" s="66">
        <f t="shared" si="346"/>
        <v>0</v>
      </c>
      <c r="BF281" s="119" t="str">
        <f t="shared" si="347"/>
        <v/>
      </c>
      <c r="BG281" s="66">
        <f>+IF($W281="","",ROUND(IF($B281&gt;Parámetros!$D$107,'Tablas Servicio'!BE281+('Tablas Servicio'!BG280-'Tablas Servicio'!BE280),BE281/(1-IF(B281&lt;=10,Parámetros!$D$100,0))),2))</f>
        <v>0</v>
      </c>
      <c r="BH281" s="66">
        <f t="shared" si="348"/>
        <v>0</v>
      </c>
      <c r="BI281" s="66">
        <f t="shared" si="349"/>
        <v>0</v>
      </c>
      <c r="BJ281" s="66">
        <f>+IF($W281="","",ROUND((BG281*Parámetros!$G$85),2))</f>
        <v>0</v>
      </c>
      <c r="BK281" s="66">
        <f>+IF($W281="","",ROUND((BG281*(Parámetros!$G$86)),2))</f>
        <v>0</v>
      </c>
      <c r="BL281" s="66">
        <f t="shared" si="350"/>
        <v>0</v>
      </c>
      <c r="BM281" t="str">
        <f t="shared" si="391"/>
        <v>00061</v>
      </c>
      <c r="BN281" t="str">
        <f t="shared" si="392"/>
        <v>Gastos de Entierro</v>
      </c>
      <c r="BO281" s="118">
        <f t="shared" si="393"/>
        <v>0</v>
      </c>
      <c r="BP281" s="118" t="str">
        <f t="shared" si="394"/>
        <v>A</v>
      </c>
      <c r="BQ281" s="119" t="str">
        <f>+IF(OR($W281="",BO281=0),"",ROUND((VLOOKUP(ROUNDDOWN($D281-1/frec,0),cob_adi,BB$40,FALSE)*(1+i/frec)^-0.5*(1+Parámetros!$D$103)*(1+rec_fracc)/frec),6))</f>
        <v/>
      </c>
      <c r="BR281" s="66">
        <f t="shared" si="351"/>
        <v>0</v>
      </c>
      <c r="BS281" s="119" t="str">
        <f t="shared" si="352"/>
        <v/>
      </c>
      <c r="BT281" s="66">
        <f>+IF($W281="","",ROUND(IF($B281&gt;Parámetros!$D$107,'Tablas Servicio'!BR281+('Tablas Servicio'!BT280-'Tablas Servicio'!BR280),BR281/(1-IF(B281&lt;=10,Parámetros!$D$100,0))),2))</f>
        <v>0</v>
      </c>
      <c r="BU281" s="66">
        <f t="shared" si="353"/>
        <v>0</v>
      </c>
      <c r="BV281" s="66">
        <f t="shared" si="353"/>
        <v>0</v>
      </c>
      <c r="BW281" s="66">
        <f>+IF($W281="","",ROUND((BT281*Parámetros!$G$85),2))</f>
        <v>0</v>
      </c>
      <c r="BX281" s="66">
        <f>+IF($W281="","",ROUND((BT281*(Parámetros!$G$86)),2))</f>
        <v>0</v>
      </c>
      <c r="BY281" s="66">
        <f t="shared" si="354"/>
        <v>0</v>
      </c>
      <c r="BZ281" t="str">
        <f t="shared" si="395"/>
        <v>00062</v>
      </c>
      <c r="CA281" t="str">
        <f t="shared" si="396"/>
        <v>Gastos médicos por accidente</v>
      </c>
      <c r="CB281" s="118">
        <f t="shared" si="397"/>
        <v>0</v>
      </c>
      <c r="CC281" s="118" t="str">
        <f t="shared" si="398"/>
        <v>A</v>
      </c>
      <c r="CD281" s="119" t="str">
        <f t="shared" si="355"/>
        <v/>
      </c>
      <c r="CE281" s="66">
        <f>+IF($W281="","",ROUND((VLOOKUP(ROUNDDOWN($D281-1/frec,0),cob_adi,BO$40,FALSE)*(1+i/frec)^-0.5*(1+Parámetros!$D$103)*(1+rec_fracc)/frec*'TABLAS ADI'!$BC$17),2))</f>
        <v>0</v>
      </c>
      <c r="CF281" s="119" t="str">
        <f t="shared" si="356"/>
        <v/>
      </c>
      <c r="CG281" s="66">
        <f>+IF($W281="","",ROUND(IF($B281&gt;Parámetros!$D$107,'Tablas Servicio'!CE281+('Tablas Servicio'!CG280-'Tablas Servicio'!CE280),CE281/(1-IF(B281&lt;=10,Parámetros!$D$100,0))),2))</f>
        <v>0</v>
      </c>
      <c r="CH281" s="66">
        <f t="shared" si="357"/>
        <v>0</v>
      </c>
      <c r="CI281" s="66">
        <f t="shared" si="357"/>
        <v>0</v>
      </c>
      <c r="CJ281" s="66">
        <f>+IF($W281="","",ROUND((CG281*Parámetros!$G$85),2))</f>
        <v>0</v>
      </c>
      <c r="CK281" s="66">
        <f>+IF($W281="","",ROUND((CG281*(Parámetros!$G$86)),2))</f>
        <v>0</v>
      </c>
      <c r="CL281" s="66">
        <f t="shared" si="358"/>
        <v>0</v>
      </c>
      <c r="CM281" t="str">
        <f t="shared" si="399"/>
        <v>00063</v>
      </c>
      <c r="CN281" s="118" t="str">
        <f t="shared" si="400"/>
        <v>Renta Diaria por Hospitalización</v>
      </c>
      <c r="CO281" s="118">
        <f t="shared" si="401"/>
        <v>0</v>
      </c>
      <c r="CP281" s="118" t="str">
        <f t="shared" si="402"/>
        <v>A</v>
      </c>
      <c r="CQ281" s="119" t="str">
        <f t="shared" si="359"/>
        <v/>
      </c>
      <c r="CR281" s="66">
        <f>+IF($W281="","",ROUND((VLOOKUP(Parámetros!$F$51,'COBERTURAS ADICIONALES'!$S$4:$T$32,2,FALSE)*(1+i/frec)^-0.5*(1+Parámetros!$D$103)*(1+rec_fracc)/frec*$CO$42),2))</f>
        <v>0</v>
      </c>
      <c r="CS281" s="119" t="str">
        <f t="shared" si="360"/>
        <v/>
      </c>
      <c r="CT281" s="66">
        <f>+IF($W281="","",ROUND(IF($B281&gt;Parámetros!$D$107,'Tablas Servicio'!CR281+('Tablas Servicio'!CT280-'Tablas Servicio'!CR280),CR281/(1-IF(B281&lt;=10,Parámetros!$D$100,0))),2))</f>
        <v>0</v>
      </c>
      <c r="CU281" s="66">
        <f t="shared" si="361"/>
        <v>0</v>
      </c>
      <c r="CV281" s="66">
        <f t="shared" si="361"/>
        <v>0</v>
      </c>
      <c r="CW281" s="66">
        <f>+IF($W281="","",ROUND((CT281*Parámetros!$G$85),2))</f>
        <v>0</v>
      </c>
      <c r="CX281" s="66">
        <f>+IF($W281="","",ROUND((CT281*(Parámetros!$G$86)),2))</f>
        <v>0</v>
      </c>
      <c r="CY281" s="66">
        <f t="shared" si="362"/>
        <v>0</v>
      </c>
      <c r="CZ281" t="str">
        <f t="shared" si="403"/>
        <v>00064</v>
      </c>
      <c r="DA281" s="118" t="str">
        <f t="shared" si="404"/>
        <v>Enfermedades Graves</v>
      </c>
      <c r="DB281" s="118">
        <f t="shared" si="405"/>
        <v>0</v>
      </c>
      <c r="DC281" s="118" t="str">
        <f t="shared" si="406"/>
        <v>A</v>
      </c>
      <c r="DD281" s="121" t="str">
        <f>+IF(OR($W281="",DB281=0),"",ROUND((VLOOKUP(ROUNDDOWN($D281-1/frec,0),cob_adi,CO$40,FALSE)*(1+i/frec)^-0.5*(1+Parámetros!$D$103)*(1+rec_fracc)/frec),6))</f>
        <v/>
      </c>
      <c r="DE281" s="66">
        <f t="shared" si="363"/>
        <v>0</v>
      </c>
      <c r="DF281" s="119" t="str">
        <f t="shared" si="364"/>
        <v/>
      </c>
      <c r="DG281" s="66">
        <f>+IF($W281="","",ROUND(IF($B281&gt;Parámetros!$D$107,'Tablas Servicio'!DE281+('Tablas Servicio'!DG280-'Tablas Servicio'!DE280),DE281/(1-IF(B281&lt;=10,Parámetros!$D$100,0))),2))</f>
        <v>0</v>
      </c>
      <c r="DH281" s="66">
        <f t="shared" si="365"/>
        <v>0</v>
      </c>
      <c r="DI281" s="66">
        <f t="shared" si="365"/>
        <v>0</v>
      </c>
      <c r="DJ281" s="66">
        <f>+IF($W281="","",ROUND((DG281*Parámetros!$G$85),2))</f>
        <v>0</v>
      </c>
      <c r="DK281" s="66">
        <f>+IF($W281="","",ROUND((DG281*(Parámetros!$G$86)),2))</f>
        <v>0</v>
      </c>
      <c r="DL281" s="66">
        <f t="shared" si="366"/>
        <v>0</v>
      </c>
      <c r="DM281" t="str">
        <f t="shared" si="407"/>
        <v>00065</v>
      </c>
      <c r="DN281" s="118" t="str">
        <f t="shared" si="408"/>
        <v>Exención pago de primas</v>
      </c>
      <c r="DO281" s="118">
        <f t="shared" si="409"/>
        <v>0</v>
      </c>
      <c r="DP281" s="118" t="str">
        <f t="shared" si="410"/>
        <v>A</v>
      </c>
      <c r="DQ281" s="122" t="str">
        <f>+IF(OR($W281="",DO281=0),"",ROUND((VLOOKUP(ROUNDDOWN($D281-1/frec,0),cob_adi,DB$40,FALSE)*(1+i/frec)^-0.5*(1+Parámetros!$D$103)*(1+rec_fracc)/frec),6))</f>
        <v/>
      </c>
      <c r="DR281" s="66">
        <f t="shared" si="367"/>
        <v>0</v>
      </c>
      <c r="DS281" s="68" t="str">
        <f t="shared" si="368"/>
        <v/>
      </c>
      <c r="DT281" s="66">
        <f>+IF($W281="","",ROUND(IF($B281&gt;Parámetros!$D$107,'Tablas Servicio'!DR281+('Tablas Servicio'!DT280-'Tablas Servicio'!DR280),DR281/(1-IF(B281&lt;=10,Parámetros!$D$100,0))),2))</f>
        <v>0</v>
      </c>
      <c r="DU281" s="66">
        <f t="shared" si="369"/>
        <v>0</v>
      </c>
      <c r="DV281" s="66">
        <f t="shared" si="369"/>
        <v>0</v>
      </c>
      <c r="DW281" s="66">
        <f>+IF($W281="","",ROUND((DT281*Parámetros!$G$85),2))</f>
        <v>0</v>
      </c>
      <c r="DX281" s="66">
        <f>+IF($W281="","",ROUND((DT281*(Parámetros!$G$86)),2))</f>
        <v>0</v>
      </c>
      <c r="DY281" s="66">
        <f t="shared" si="370"/>
        <v>0</v>
      </c>
      <c r="DZ281" t="str">
        <f t="shared" si="412"/>
        <v>00066</v>
      </c>
      <c r="EA281" s="118" t="str">
        <f t="shared" si="412"/>
        <v>Enfermedad terminal</v>
      </c>
      <c r="EB281" s="118">
        <f>+IF($W281="","",ROUND(IF(Parámetros!$D$25='TABLAS MORT'!$V$33,EB280,Z281/2),0))</f>
        <v>50000</v>
      </c>
      <c r="EC281" s="118" t="str">
        <f t="shared" si="412"/>
        <v>A</v>
      </c>
      <c r="ED281" s="122">
        <f>+IF(OR($W281="",EB281=0),"",ROUND((VLOOKUP(ROUNDDOWN($D281-1/frec,0),cob_adi,DO$40,FALSE)*(1+i/frec)^-0.5*(1+Parámetros!$D$103)*(1+rec_fracc)/frec),6))</f>
        <v>2.6999999999999999E-5</v>
      </c>
      <c r="EE281" s="66">
        <f t="shared" si="372"/>
        <v>1.35</v>
      </c>
      <c r="EF281" s="68">
        <f t="shared" si="373"/>
        <v>2.6999999999999999E-5</v>
      </c>
      <c r="EG281" s="66">
        <f>+IF($W281="","",ROUND(IF($B281&gt;Parámetros!$D$107,'Tablas Servicio'!EE281+('Tablas Servicio'!EG280-'Tablas Servicio'!EE280),EE281/(1-IF(B281&lt;=10,Parámetros!$D$100,0))),2))</f>
        <v>1.35</v>
      </c>
      <c r="EH281" s="66">
        <f t="shared" si="374"/>
        <v>0</v>
      </c>
      <c r="EI281" s="66">
        <f t="shared" si="374"/>
        <v>0</v>
      </c>
      <c r="EJ281" s="66">
        <f>+IF($W281="","",ROUND((EG281*Parámetros!$G$85),2))</f>
        <v>0.05</v>
      </c>
      <c r="EK281" s="66">
        <f>+IF($W281="","",ROUND((EG281*(Parámetros!$G$86)),2))</f>
        <v>0.01</v>
      </c>
      <c r="EL281" s="66">
        <f t="shared" si="375"/>
        <v>1.41</v>
      </c>
    </row>
    <row r="282" spans="1:142" x14ac:dyDescent="0.25">
      <c r="A282">
        <f>+IF($C282="","",ROUND(VLOOKUP('Tablas Servicio'!B282,Parámetros!$H$100:$J$159,IF(Parámetros!$E$16="F",2,3),FALSE),2))</f>
        <v>150</v>
      </c>
      <c r="B282">
        <f t="shared" si="326"/>
        <v>21</v>
      </c>
      <c r="C282" s="57">
        <f>+IF(D282="","",'Tablas Servicio'!C281+1)</f>
        <v>241</v>
      </c>
      <c r="D282" s="56">
        <f>+IF(D281&lt;edadmaxtabla,D281+1/Parámetros!$E$25,"")</f>
        <v>60.103333333333907</v>
      </c>
      <c r="E282" s="57">
        <f t="shared" si="336"/>
        <v>60</v>
      </c>
      <c r="F282" s="59">
        <f t="shared" si="337"/>
        <v>100000</v>
      </c>
      <c r="G282" s="66">
        <f t="shared" si="327"/>
        <v>59.550000000000004</v>
      </c>
      <c r="H282" s="66">
        <f t="shared" si="328"/>
        <v>61.94</v>
      </c>
      <c r="I282" s="66">
        <f t="shared" si="376"/>
        <v>32.06</v>
      </c>
      <c r="J282" s="66">
        <f t="shared" si="329"/>
        <v>2.09</v>
      </c>
      <c r="K282" s="66">
        <f t="shared" si="330"/>
        <v>0.3</v>
      </c>
      <c r="L282" s="66">
        <f t="shared" si="331"/>
        <v>0</v>
      </c>
      <c r="M282" s="66">
        <f t="shared" si="332"/>
        <v>0</v>
      </c>
      <c r="N282" s="66">
        <f>+IF(C282="","",ROUND(Parámetros!$D$23,2))</f>
        <v>94</v>
      </c>
      <c r="O282" s="66">
        <f t="shared" si="333"/>
        <v>47.050000000000004</v>
      </c>
      <c r="P282" s="66">
        <f>+IF($C282="","",ROUND(IF(B282&gt;Parámetros!$D$117,0,N282*Parámetros!$D$116-G282*Parámetros!$D$100),2))</f>
        <v>0</v>
      </c>
      <c r="Q282" s="75">
        <f t="shared" si="377"/>
        <v>3.5096557514693531E-2</v>
      </c>
      <c r="R282" s="75">
        <f t="shared" si="378"/>
        <v>5.0377833753148613E-3</v>
      </c>
      <c r="S282" s="117">
        <f>+IF($C282="","",ROUND((S281+I282)*(1+Parámetros!$D$91),2))</f>
        <v>17882.98</v>
      </c>
      <c r="T282" s="117">
        <f>+IF($C282="","",ROUND(S282*VLOOKUP(B282,Parámetros!$C$30:$D$39,2,TRUE),2))</f>
        <v>17882.98</v>
      </c>
      <c r="U282" s="117">
        <f>+IF($C282="","",ROUND((U281+I282)*(1+Parámetros!$D$92),2))</f>
        <v>18947.87</v>
      </c>
      <c r="V282" s="117">
        <f>+IF($C282="","",ROUND(U282*VLOOKUP(B282,Parámetros!$C$30:$D$39,2,TRUE),2))</f>
        <v>18947.87</v>
      </c>
      <c r="W282" s="57">
        <f t="shared" si="379"/>
        <v>241</v>
      </c>
      <c r="X282" t="str">
        <f t="shared" si="380"/>
        <v>00058</v>
      </c>
      <c r="Y282" t="str">
        <f t="shared" si="381"/>
        <v>MUERTE POR CUALQUIER CAUSA</v>
      </c>
      <c r="Z282" s="118">
        <f>+IF($W282="","",ROUND(IF(Parámetros!$D$25='TABLAS MORT'!$V$33,Z281,Parámetros!$D$21-'Tablas Servicio'!T281),0))</f>
        <v>100000</v>
      </c>
      <c r="AA282" s="118" t="str">
        <f t="shared" si="382"/>
        <v>P</v>
      </c>
      <c r="AB282" s="119">
        <f>+IF(W282="","",ROUND((VLOOKUP(ROUNDDOWN($D282-1/frec,0),qx_tabla,2,FALSE)*(1+i/frec)^-0.5*(1+Parámetros!$D$103)*(1+rec_fracc)/frec),6))</f>
        <v>4.5100000000000001E-4</v>
      </c>
      <c r="AC282" s="66">
        <f t="shared" si="338"/>
        <v>45.1</v>
      </c>
      <c r="AD282" s="119">
        <f t="shared" si="334"/>
        <v>5.7600000000000001E-4</v>
      </c>
      <c r="AE282" s="66">
        <f>+IF($W282="","",ROUND(IF($B282&gt;Parámetros!$D$107,'Tablas Servicio'!AC282+('Tablas Servicio'!AG281-'Tablas Servicio'!AC281),AC282/(1-IF(B282&lt;=10,Parámetros!$D$104,Parámetros!$D$105))),2))</f>
        <v>75.17</v>
      </c>
      <c r="AF282" s="66">
        <f>+IF($W282="","",ROUND(IF($B282&gt;Parámetros!$D$107,'Tablas Servicio'!AC282+('Tablas Servicio'!AG281-'Tablas Servicio'!AC281),(AC282+$A281/frec)/(1-IF(B282&lt;=Parámetros!$D$117,Parámetros!$D$100,0))),2))</f>
        <v>57.6</v>
      </c>
      <c r="AG282" s="66">
        <f t="shared" si="339"/>
        <v>57.6</v>
      </c>
      <c r="AH282" s="66">
        <f t="shared" si="340"/>
        <v>0</v>
      </c>
      <c r="AI282" s="66">
        <f t="shared" si="341"/>
        <v>0</v>
      </c>
      <c r="AJ282" s="66">
        <f>+IF($W282="","",ROUND((AG282*Parámetros!$G$85),2))</f>
        <v>2.02</v>
      </c>
      <c r="AK282" s="66">
        <f>+IF($W282="","",ROUND((AG282*(Parámetros!$G$86)),2))</f>
        <v>0.28999999999999998</v>
      </c>
      <c r="AL282" s="66">
        <f t="shared" si="335"/>
        <v>59.91</v>
      </c>
      <c r="AM282" t="str">
        <f t="shared" si="383"/>
        <v>00059</v>
      </c>
      <c r="AN282" t="str">
        <f t="shared" si="384"/>
        <v>Incapacidad Total y Permanente</v>
      </c>
      <c r="AO282" s="118">
        <f t="shared" si="385"/>
        <v>0</v>
      </c>
      <c r="AP282" s="118" t="str">
        <f t="shared" si="386"/>
        <v>A</v>
      </c>
      <c r="AQ282" s="119" t="str">
        <f>+IF(OR($W282="",AO282=0),"",ROUND((VLOOKUP(ROUNDDOWN($D282-1/frec,0),cob_adi,Z$40,FALSE)*(1+i/frec)^-0.5*(1+Parámetros!$D$103)*(1+rec_fracc)/frec),6))</f>
        <v/>
      </c>
      <c r="AR282" s="66">
        <f t="shared" si="342"/>
        <v>0</v>
      </c>
      <c r="AS282" s="119" t="str">
        <f t="shared" si="343"/>
        <v/>
      </c>
      <c r="AT282" s="66">
        <f>+IF($W282="","",ROUND(IF($B282&gt;Parámetros!$D$107,'Tablas Servicio'!AR282+('Tablas Servicio'!AT281-'Tablas Servicio'!AR281),AR282/(1-IF(B282&lt;=10,Parámetros!$D$100,0))),2))</f>
        <v>0</v>
      </c>
      <c r="AU282" s="66">
        <f t="shared" si="344"/>
        <v>0</v>
      </c>
      <c r="AV282" s="66">
        <f t="shared" si="344"/>
        <v>0</v>
      </c>
      <c r="AW282" s="66">
        <f>+IF($W282="","",ROUND((AT282*Parámetros!$G$85),2))</f>
        <v>0</v>
      </c>
      <c r="AX282" s="66">
        <f>+IF($W282="","",ROUND((AT282*(Parámetros!$G$86)),2))</f>
        <v>0</v>
      </c>
      <c r="AY282" s="66">
        <f t="shared" si="345"/>
        <v>0</v>
      </c>
      <c r="AZ282" t="str">
        <f t="shared" si="387"/>
        <v>00060</v>
      </c>
      <c r="BA282" t="str">
        <f t="shared" si="388"/>
        <v>Muerte Accidental</v>
      </c>
      <c r="BB282" s="118">
        <f t="shared" si="389"/>
        <v>0</v>
      </c>
      <c r="BC282" s="118" t="str">
        <f t="shared" si="390"/>
        <v>A</v>
      </c>
      <c r="BD282" s="119" t="str">
        <f>+IF(OR($W282="",BB282=0),"",ROUND((VLOOKUP(ROUNDDOWN($D282-1/frec,0),cob_adi,AO$40,FALSE)*(1+i/frec)^-0.5*(1+Parámetros!$D$103)*(1+rec_fracc)/frec),6))</f>
        <v/>
      </c>
      <c r="BE282" s="66">
        <f t="shared" si="346"/>
        <v>0</v>
      </c>
      <c r="BF282" s="119" t="str">
        <f t="shared" si="347"/>
        <v/>
      </c>
      <c r="BG282" s="66">
        <f>+IF($W282="","",ROUND(IF($B282&gt;Parámetros!$D$107,'Tablas Servicio'!BE282+('Tablas Servicio'!BG281-'Tablas Servicio'!BE281),BE282/(1-IF(B282&lt;=10,Parámetros!$D$100,0))),2))</f>
        <v>0</v>
      </c>
      <c r="BH282" s="66">
        <f t="shared" si="348"/>
        <v>0</v>
      </c>
      <c r="BI282" s="66">
        <f t="shared" si="349"/>
        <v>0</v>
      </c>
      <c r="BJ282" s="66">
        <f>+IF($W282="","",ROUND((BG282*Parámetros!$G$85),2))</f>
        <v>0</v>
      </c>
      <c r="BK282" s="66">
        <f>+IF($W282="","",ROUND((BG282*(Parámetros!$G$86)),2))</f>
        <v>0</v>
      </c>
      <c r="BL282" s="66">
        <f t="shared" si="350"/>
        <v>0</v>
      </c>
      <c r="BM282" t="str">
        <f t="shared" si="391"/>
        <v>00061</v>
      </c>
      <c r="BN282" t="str">
        <f t="shared" si="392"/>
        <v>Gastos de Entierro</v>
      </c>
      <c r="BO282" s="118">
        <f t="shared" si="393"/>
        <v>0</v>
      </c>
      <c r="BP282" s="118" t="str">
        <f t="shared" si="394"/>
        <v>A</v>
      </c>
      <c r="BQ282" s="119" t="str">
        <f>+IF(OR($W282="",BO282=0),"",ROUND((VLOOKUP(ROUNDDOWN($D282-1/frec,0),cob_adi,BB$40,FALSE)*(1+i/frec)^-0.5*(1+Parámetros!$D$103)*(1+rec_fracc)/frec),6))</f>
        <v/>
      </c>
      <c r="BR282" s="66">
        <f t="shared" si="351"/>
        <v>0</v>
      </c>
      <c r="BS282" s="119" t="str">
        <f t="shared" si="352"/>
        <v/>
      </c>
      <c r="BT282" s="66">
        <f>+IF($W282="","",ROUND(IF($B282&gt;Parámetros!$D$107,'Tablas Servicio'!BR282+('Tablas Servicio'!BT281-'Tablas Servicio'!BR281),BR282/(1-IF(B282&lt;=10,Parámetros!$D$100,0))),2))</f>
        <v>0</v>
      </c>
      <c r="BU282" s="66">
        <f t="shared" si="353"/>
        <v>0</v>
      </c>
      <c r="BV282" s="66">
        <f t="shared" si="353"/>
        <v>0</v>
      </c>
      <c r="BW282" s="66">
        <f>+IF($W282="","",ROUND((BT282*Parámetros!$G$85),2))</f>
        <v>0</v>
      </c>
      <c r="BX282" s="66">
        <f>+IF($W282="","",ROUND((BT282*(Parámetros!$G$86)),2))</f>
        <v>0</v>
      </c>
      <c r="BY282" s="66">
        <f t="shared" si="354"/>
        <v>0</v>
      </c>
      <c r="BZ282" t="str">
        <f t="shared" si="395"/>
        <v>00062</v>
      </c>
      <c r="CA282" t="str">
        <f t="shared" si="396"/>
        <v>Gastos médicos por accidente</v>
      </c>
      <c r="CB282" s="118">
        <f t="shared" si="397"/>
        <v>0</v>
      </c>
      <c r="CC282" s="118" t="str">
        <f t="shared" si="398"/>
        <v>A</v>
      </c>
      <c r="CD282" s="119" t="str">
        <f t="shared" si="355"/>
        <v/>
      </c>
      <c r="CE282" s="66">
        <f>+IF($W282="","",ROUND((VLOOKUP(ROUNDDOWN($D282-1/frec,0),cob_adi,BO$40,FALSE)*(1+i/frec)^-0.5*(1+Parámetros!$D$103)*(1+rec_fracc)/frec*'TABLAS ADI'!$BC$17),2))</f>
        <v>0</v>
      </c>
      <c r="CF282" s="119" t="str">
        <f t="shared" si="356"/>
        <v/>
      </c>
      <c r="CG282" s="66">
        <f>+IF($W282="","",ROUND(IF($B282&gt;Parámetros!$D$107,'Tablas Servicio'!CE282+('Tablas Servicio'!CG281-'Tablas Servicio'!CE281),CE282/(1-IF(B282&lt;=10,Parámetros!$D$100,0))),2))</f>
        <v>0</v>
      </c>
      <c r="CH282" s="66">
        <f t="shared" si="357"/>
        <v>0</v>
      </c>
      <c r="CI282" s="66">
        <f t="shared" si="357"/>
        <v>0</v>
      </c>
      <c r="CJ282" s="66">
        <f>+IF($W282="","",ROUND((CG282*Parámetros!$G$85),2))</f>
        <v>0</v>
      </c>
      <c r="CK282" s="66">
        <f>+IF($W282="","",ROUND((CG282*(Parámetros!$G$86)),2))</f>
        <v>0</v>
      </c>
      <c r="CL282" s="66">
        <f t="shared" si="358"/>
        <v>0</v>
      </c>
      <c r="CM282" t="str">
        <f t="shared" si="399"/>
        <v>00063</v>
      </c>
      <c r="CN282" s="118" t="str">
        <f t="shared" si="400"/>
        <v>Renta Diaria por Hospitalización</v>
      </c>
      <c r="CO282" s="118">
        <f t="shared" si="401"/>
        <v>0</v>
      </c>
      <c r="CP282" s="118" t="str">
        <f t="shared" si="402"/>
        <v>A</v>
      </c>
      <c r="CQ282" s="119" t="str">
        <f t="shared" si="359"/>
        <v/>
      </c>
      <c r="CR282" s="66">
        <f>+IF($W282="","",ROUND((VLOOKUP(Parámetros!$F$51,'COBERTURAS ADICIONALES'!$S$4:$T$32,2,FALSE)*(1+i/frec)^-0.5*(1+Parámetros!$D$103)*(1+rec_fracc)/frec*$CO$42),2))</f>
        <v>0</v>
      </c>
      <c r="CS282" s="119" t="str">
        <f t="shared" si="360"/>
        <v/>
      </c>
      <c r="CT282" s="66">
        <f>+IF($W282="","",ROUND(IF($B282&gt;Parámetros!$D$107,'Tablas Servicio'!CR282+('Tablas Servicio'!CT281-'Tablas Servicio'!CR281),CR282/(1-IF(B282&lt;=10,Parámetros!$D$100,0))),2))</f>
        <v>0</v>
      </c>
      <c r="CU282" s="66">
        <f t="shared" si="361"/>
        <v>0</v>
      </c>
      <c r="CV282" s="66">
        <f t="shared" si="361"/>
        <v>0</v>
      </c>
      <c r="CW282" s="66">
        <f>+IF($W282="","",ROUND((CT282*Parámetros!$G$85),2))</f>
        <v>0</v>
      </c>
      <c r="CX282" s="66">
        <f>+IF($W282="","",ROUND((CT282*(Parámetros!$G$86)),2))</f>
        <v>0</v>
      </c>
      <c r="CY282" s="66">
        <f t="shared" si="362"/>
        <v>0</v>
      </c>
      <c r="CZ282" t="str">
        <f t="shared" si="403"/>
        <v>00064</v>
      </c>
      <c r="DA282" s="118" t="str">
        <f t="shared" si="404"/>
        <v>Enfermedades Graves</v>
      </c>
      <c r="DB282" s="118">
        <f t="shared" si="405"/>
        <v>0</v>
      </c>
      <c r="DC282" s="118" t="str">
        <f t="shared" si="406"/>
        <v>A</v>
      </c>
      <c r="DD282" s="121" t="str">
        <f>+IF(OR($W282="",DB282=0),"",ROUND((VLOOKUP(ROUNDDOWN($D282-1/frec,0),cob_adi,CO$40,FALSE)*(1+i/frec)^-0.5*(1+Parámetros!$D$103)*(1+rec_fracc)/frec),6))</f>
        <v/>
      </c>
      <c r="DE282" s="66">
        <f t="shared" si="363"/>
        <v>0</v>
      </c>
      <c r="DF282" s="119" t="str">
        <f t="shared" si="364"/>
        <v/>
      </c>
      <c r="DG282" s="66">
        <f>+IF($W282="","",ROUND(IF($B282&gt;Parámetros!$D$107,'Tablas Servicio'!DE282+('Tablas Servicio'!DG281-'Tablas Servicio'!DE281),DE282/(1-IF(B282&lt;=10,Parámetros!$D$100,0))),2))</f>
        <v>0</v>
      </c>
      <c r="DH282" s="66">
        <f t="shared" si="365"/>
        <v>0</v>
      </c>
      <c r="DI282" s="66">
        <f t="shared" si="365"/>
        <v>0</v>
      </c>
      <c r="DJ282" s="66">
        <f>+IF($W282="","",ROUND((DG282*Parámetros!$G$85),2))</f>
        <v>0</v>
      </c>
      <c r="DK282" s="66">
        <f>+IF($W282="","",ROUND((DG282*(Parámetros!$G$86)),2))</f>
        <v>0</v>
      </c>
      <c r="DL282" s="66">
        <f t="shared" si="366"/>
        <v>0</v>
      </c>
      <c r="DM282" t="str">
        <f t="shared" si="407"/>
        <v>00065</v>
      </c>
      <c r="DN282" s="118" t="str">
        <f t="shared" si="408"/>
        <v>Exención pago de primas</v>
      </c>
      <c r="DO282" s="118">
        <f t="shared" si="409"/>
        <v>0</v>
      </c>
      <c r="DP282" s="118" t="str">
        <f t="shared" si="410"/>
        <v>A</v>
      </c>
      <c r="DQ282" s="122" t="str">
        <f>+IF(OR($W282="",DO282=0),"",ROUND((VLOOKUP(ROUNDDOWN($D282-1/frec,0),cob_adi,DB$40,FALSE)*(1+i/frec)^-0.5*(1+Parámetros!$D$103)*(1+rec_fracc)/frec),6))</f>
        <v/>
      </c>
      <c r="DR282" s="66">
        <f t="shared" si="367"/>
        <v>0</v>
      </c>
      <c r="DS282" s="68" t="str">
        <f t="shared" si="368"/>
        <v/>
      </c>
      <c r="DT282" s="66">
        <f>+IF($W282="","",ROUND(IF($B282&gt;Parámetros!$D$107,'Tablas Servicio'!DR282+('Tablas Servicio'!DT281-'Tablas Servicio'!DR281),DR282/(1-IF(B282&lt;=10,Parámetros!$D$100,0))),2))</f>
        <v>0</v>
      </c>
      <c r="DU282" s="66">
        <f t="shared" si="369"/>
        <v>0</v>
      </c>
      <c r="DV282" s="66">
        <f t="shared" si="369"/>
        <v>0</v>
      </c>
      <c r="DW282" s="66">
        <f>+IF($W282="","",ROUND((DT282*Parámetros!$G$85),2))</f>
        <v>0</v>
      </c>
      <c r="DX282" s="66">
        <f>+IF($W282="","",ROUND((DT282*(Parámetros!$G$86)),2))</f>
        <v>0</v>
      </c>
      <c r="DY282" s="66">
        <f t="shared" si="370"/>
        <v>0</v>
      </c>
      <c r="DZ282" t="str">
        <f t="shared" si="412"/>
        <v>00066</v>
      </c>
      <c r="EA282" s="118" t="str">
        <f t="shared" si="412"/>
        <v>Enfermedad terminal</v>
      </c>
      <c r="EB282" s="118">
        <f>+IF($W282="","",ROUND(IF(Parámetros!$D$25='TABLAS MORT'!$V$33,EB281,Z282/2),0))</f>
        <v>50000</v>
      </c>
      <c r="EC282" s="118" t="str">
        <f t="shared" si="412"/>
        <v>A</v>
      </c>
      <c r="ED282" s="122">
        <f>+IF(OR($W282="",EB282=0),"",ROUND((VLOOKUP(ROUNDDOWN($D282-1/frec,0),cob_adi,DO$40,FALSE)*(1+i/frec)^-0.5*(1+Parámetros!$D$103)*(1+rec_fracc)/frec),6))</f>
        <v>3.8999999999999999E-5</v>
      </c>
      <c r="EE282" s="66">
        <f t="shared" si="372"/>
        <v>1.95</v>
      </c>
      <c r="EF282" s="68">
        <f t="shared" si="373"/>
        <v>3.8999999999999999E-5</v>
      </c>
      <c r="EG282" s="66">
        <f>+IF($W282="","",ROUND(IF($B282&gt;Parámetros!$D$107,'Tablas Servicio'!EE282+('Tablas Servicio'!EG281-'Tablas Servicio'!EE281),EE282/(1-IF(B282&lt;=10,Parámetros!$D$100,0))),2))</f>
        <v>1.95</v>
      </c>
      <c r="EH282" s="66">
        <f t="shared" si="374"/>
        <v>0</v>
      </c>
      <c r="EI282" s="66">
        <f t="shared" si="374"/>
        <v>0</v>
      </c>
      <c r="EJ282" s="66">
        <f>+IF($W282="","",ROUND((EG282*Parámetros!$G$85),2))</f>
        <v>7.0000000000000007E-2</v>
      </c>
      <c r="EK282" s="66">
        <f>+IF($W282="","",ROUND((EG282*(Parámetros!$G$86)),2))</f>
        <v>0.01</v>
      </c>
      <c r="EL282" s="66">
        <f t="shared" si="375"/>
        <v>2.0299999999999998</v>
      </c>
    </row>
    <row r="283" spans="1:142" x14ac:dyDescent="0.25">
      <c r="A283">
        <f>+IF($C283="","",ROUND(VLOOKUP('Tablas Servicio'!B283,Parámetros!$H$100:$J$159,IF(Parámetros!$E$16="F",2,3),FALSE),2))</f>
        <v>150</v>
      </c>
      <c r="B283">
        <f t="shared" si="326"/>
        <v>21</v>
      </c>
      <c r="C283" s="57">
        <f>+IF(D283="","",'Tablas Servicio'!C282+1)</f>
        <v>242</v>
      </c>
      <c r="D283" s="56">
        <f>+IF(D282&lt;edadmaxtabla,D282+1/Parámetros!$E$25,"")</f>
        <v>60.186666666667243</v>
      </c>
      <c r="E283" s="57">
        <f t="shared" si="336"/>
        <v>60</v>
      </c>
      <c r="F283" s="59">
        <f t="shared" si="337"/>
        <v>100000</v>
      </c>
      <c r="G283" s="66">
        <f t="shared" si="327"/>
        <v>59.550000000000004</v>
      </c>
      <c r="H283" s="66">
        <f t="shared" si="328"/>
        <v>61.94</v>
      </c>
      <c r="I283" s="66">
        <f t="shared" si="376"/>
        <v>32.06</v>
      </c>
      <c r="J283" s="66">
        <f t="shared" si="329"/>
        <v>2.09</v>
      </c>
      <c r="K283" s="66">
        <f t="shared" si="330"/>
        <v>0.3</v>
      </c>
      <c r="L283" s="66">
        <f t="shared" si="331"/>
        <v>0</v>
      </c>
      <c r="M283" s="66">
        <f t="shared" si="332"/>
        <v>0</v>
      </c>
      <c r="N283" s="66">
        <f>+IF(C283="","",ROUND(Parámetros!$D$23,2))</f>
        <v>94</v>
      </c>
      <c r="O283" s="66">
        <f t="shared" si="333"/>
        <v>47.050000000000004</v>
      </c>
      <c r="P283" s="66">
        <f>+IF($C283="","",ROUND(IF(B283&gt;Parámetros!$D$117,0,N283*Parámetros!$D$116-G283*Parámetros!$D$100),2))</f>
        <v>0</v>
      </c>
      <c r="Q283" s="75">
        <f t="shared" si="377"/>
        <v>3.5096557514693531E-2</v>
      </c>
      <c r="R283" s="75">
        <f t="shared" si="378"/>
        <v>5.0377833753148613E-3</v>
      </c>
      <c r="S283" s="117">
        <f>+IF($C283="","",ROUND((S282+I283)*(1+Parámetros!$D$91),2))</f>
        <v>17965.86</v>
      </c>
      <c r="T283" s="117">
        <f>+IF($C283="","",ROUND(S283*VLOOKUP(B283,Parámetros!$C$30:$D$39,2,TRUE),2))</f>
        <v>17965.86</v>
      </c>
      <c r="U283" s="117">
        <f>+IF($C283="","",ROUND((U282+I283)*(1+Parámetros!$D$92),2))</f>
        <v>19041.46</v>
      </c>
      <c r="V283" s="117">
        <f>+IF($C283="","",ROUND(U283*VLOOKUP(B283,Parámetros!$C$30:$D$39,2,TRUE),2))</f>
        <v>19041.46</v>
      </c>
      <c r="W283" s="57">
        <f t="shared" si="379"/>
        <v>242</v>
      </c>
      <c r="X283" t="str">
        <f t="shared" si="380"/>
        <v>00058</v>
      </c>
      <c r="Y283" t="str">
        <f t="shared" si="381"/>
        <v>MUERTE POR CUALQUIER CAUSA</v>
      </c>
      <c r="Z283" s="118">
        <f>+IF($W283="","",ROUND(IF(Parámetros!$D$25='TABLAS MORT'!$V$33,Z282,Parámetros!$D$21-'Tablas Servicio'!T282),0))</f>
        <v>100000</v>
      </c>
      <c r="AA283" s="118" t="str">
        <f t="shared" si="382"/>
        <v>P</v>
      </c>
      <c r="AB283" s="119">
        <f>+IF(W283="","",ROUND((VLOOKUP(ROUNDDOWN($D283-1/frec,0),qx_tabla,2,FALSE)*(1+i/frec)^-0.5*(1+Parámetros!$D$103)*(1+rec_fracc)/frec),6))</f>
        <v>4.5100000000000001E-4</v>
      </c>
      <c r="AC283" s="66">
        <f t="shared" si="338"/>
        <v>45.1</v>
      </c>
      <c r="AD283" s="119">
        <f t="shared" si="334"/>
        <v>5.7600000000000001E-4</v>
      </c>
      <c r="AE283" s="66">
        <f>+IF($W283="","",ROUND(IF($B283&gt;Parámetros!$D$107,'Tablas Servicio'!AC283+('Tablas Servicio'!AG282-'Tablas Servicio'!AC282),AC283/(1-IF(B283&lt;=10,Parámetros!$D$104,Parámetros!$D$105))),2))</f>
        <v>75.17</v>
      </c>
      <c r="AF283" s="66">
        <f>+IF($W283="","",ROUND(IF($B283&gt;Parámetros!$D$107,'Tablas Servicio'!AC283+('Tablas Servicio'!AG282-'Tablas Servicio'!AC282),(AC283+$A282/frec)/(1-IF(B283&lt;=Parámetros!$D$117,Parámetros!$D$100,0))),2))</f>
        <v>57.6</v>
      </c>
      <c r="AG283" s="66">
        <f t="shared" si="339"/>
        <v>57.6</v>
      </c>
      <c r="AH283" s="66">
        <f t="shared" si="340"/>
        <v>0</v>
      </c>
      <c r="AI283" s="66">
        <f t="shared" si="341"/>
        <v>0</v>
      </c>
      <c r="AJ283" s="66">
        <f>+IF($W283="","",ROUND((AG283*Parámetros!$G$85),2))</f>
        <v>2.02</v>
      </c>
      <c r="AK283" s="66">
        <f>+IF($W283="","",ROUND((AG283*(Parámetros!$G$86)),2))</f>
        <v>0.28999999999999998</v>
      </c>
      <c r="AL283" s="66">
        <f t="shared" si="335"/>
        <v>59.91</v>
      </c>
      <c r="AM283" t="str">
        <f t="shared" si="383"/>
        <v>00059</v>
      </c>
      <c r="AN283" t="str">
        <f t="shared" si="384"/>
        <v>Incapacidad Total y Permanente</v>
      </c>
      <c r="AO283" s="118">
        <f t="shared" si="385"/>
        <v>0</v>
      </c>
      <c r="AP283" s="118" t="str">
        <f t="shared" si="386"/>
        <v>A</v>
      </c>
      <c r="AQ283" s="119" t="str">
        <f>+IF(OR($W283="",AO283=0),"",ROUND((VLOOKUP(ROUNDDOWN($D283-1/frec,0),cob_adi,Z$40,FALSE)*(1+i/frec)^-0.5*(1+Parámetros!$D$103)*(1+rec_fracc)/frec),6))</f>
        <v/>
      </c>
      <c r="AR283" s="66">
        <f t="shared" si="342"/>
        <v>0</v>
      </c>
      <c r="AS283" s="119" t="str">
        <f t="shared" si="343"/>
        <v/>
      </c>
      <c r="AT283" s="66">
        <f>+IF($W283="","",ROUND(IF($B283&gt;Parámetros!$D$107,'Tablas Servicio'!AR283+('Tablas Servicio'!AT282-'Tablas Servicio'!AR282),AR283/(1-IF(B283&lt;=10,Parámetros!$D$100,0))),2))</f>
        <v>0</v>
      </c>
      <c r="AU283" s="66">
        <f t="shared" si="344"/>
        <v>0</v>
      </c>
      <c r="AV283" s="66">
        <f t="shared" si="344"/>
        <v>0</v>
      </c>
      <c r="AW283" s="66">
        <f>+IF($W283="","",ROUND((AT283*Parámetros!$G$85),2))</f>
        <v>0</v>
      </c>
      <c r="AX283" s="66">
        <f>+IF($W283="","",ROUND((AT283*(Parámetros!$G$86)),2))</f>
        <v>0</v>
      </c>
      <c r="AY283" s="66">
        <f t="shared" si="345"/>
        <v>0</v>
      </c>
      <c r="AZ283" t="str">
        <f t="shared" si="387"/>
        <v>00060</v>
      </c>
      <c r="BA283" t="str">
        <f t="shared" si="388"/>
        <v>Muerte Accidental</v>
      </c>
      <c r="BB283" s="118">
        <f t="shared" si="389"/>
        <v>0</v>
      </c>
      <c r="BC283" s="118" t="str">
        <f t="shared" si="390"/>
        <v>A</v>
      </c>
      <c r="BD283" s="119" t="str">
        <f>+IF(OR($W283="",BB283=0),"",ROUND((VLOOKUP(ROUNDDOWN($D283-1/frec,0),cob_adi,AO$40,FALSE)*(1+i/frec)^-0.5*(1+Parámetros!$D$103)*(1+rec_fracc)/frec),6))</f>
        <v/>
      </c>
      <c r="BE283" s="66">
        <f t="shared" si="346"/>
        <v>0</v>
      </c>
      <c r="BF283" s="119" t="str">
        <f t="shared" si="347"/>
        <v/>
      </c>
      <c r="BG283" s="66">
        <f>+IF($W283="","",ROUND(IF($B283&gt;Parámetros!$D$107,'Tablas Servicio'!BE283+('Tablas Servicio'!BG282-'Tablas Servicio'!BE282),BE283/(1-IF(B283&lt;=10,Parámetros!$D$100,0))),2))</f>
        <v>0</v>
      </c>
      <c r="BH283" s="66">
        <f t="shared" si="348"/>
        <v>0</v>
      </c>
      <c r="BI283" s="66">
        <f t="shared" si="349"/>
        <v>0</v>
      </c>
      <c r="BJ283" s="66">
        <f>+IF($W283="","",ROUND((BG283*Parámetros!$G$85),2))</f>
        <v>0</v>
      </c>
      <c r="BK283" s="66">
        <f>+IF($W283="","",ROUND((BG283*(Parámetros!$G$86)),2))</f>
        <v>0</v>
      </c>
      <c r="BL283" s="66">
        <f t="shared" si="350"/>
        <v>0</v>
      </c>
      <c r="BM283" t="str">
        <f t="shared" si="391"/>
        <v>00061</v>
      </c>
      <c r="BN283" t="str">
        <f t="shared" si="392"/>
        <v>Gastos de Entierro</v>
      </c>
      <c r="BO283" s="118">
        <f t="shared" si="393"/>
        <v>0</v>
      </c>
      <c r="BP283" s="118" t="str">
        <f t="shared" si="394"/>
        <v>A</v>
      </c>
      <c r="BQ283" s="119" t="str">
        <f>+IF(OR($W283="",BO283=0),"",ROUND((VLOOKUP(ROUNDDOWN($D283-1/frec,0),cob_adi,BB$40,FALSE)*(1+i/frec)^-0.5*(1+Parámetros!$D$103)*(1+rec_fracc)/frec),6))</f>
        <v/>
      </c>
      <c r="BR283" s="66">
        <f t="shared" si="351"/>
        <v>0</v>
      </c>
      <c r="BS283" s="119" t="str">
        <f t="shared" si="352"/>
        <v/>
      </c>
      <c r="BT283" s="66">
        <f>+IF($W283="","",ROUND(IF($B283&gt;Parámetros!$D$107,'Tablas Servicio'!BR283+('Tablas Servicio'!BT282-'Tablas Servicio'!BR282),BR283/(1-IF(B283&lt;=10,Parámetros!$D$100,0))),2))</f>
        <v>0</v>
      </c>
      <c r="BU283" s="66">
        <f t="shared" si="353"/>
        <v>0</v>
      </c>
      <c r="BV283" s="66">
        <f t="shared" si="353"/>
        <v>0</v>
      </c>
      <c r="BW283" s="66">
        <f>+IF($W283="","",ROUND((BT283*Parámetros!$G$85),2))</f>
        <v>0</v>
      </c>
      <c r="BX283" s="66">
        <f>+IF($W283="","",ROUND((BT283*(Parámetros!$G$86)),2))</f>
        <v>0</v>
      </c>
      <c r="BY283" s="66">
        <f t="shared" si="354"/>
        <v>0</v>
      </c>
      <c r="BZ283" t="str">
        <f t="shared" si="395"/>
        <v>00062</v>
      </c>
      <c r="CA283" t="str">
        <f t="shared" si="396"/>
        <v>Gastos médicos por accidente</v>
      </c>
      <c r="CB283" s="118">
        <f t="shared" si="397"/>
        <v>0</v>
      </c>
      <c r="CC283" s="118" t="str">
        <f t="shared" si="398"/>
        <v>A</v>
      </c>
      <c r="CD283" s="119" t="str">
        <f t="shared" si="355"/>
        <v/>
      </c>
      <c r="CE283" s="66">
        <f>+IF($W283="","",ROUND((VLOOKUP(ROUNDDOWN($D283-1/frec,0),cob_adi,BO$40,FALSE)*(1+i/frec)^-0.5*(1+Parámetros!$D$103)*(1+rec_fracc)/frec*'TABLAS ADI'!$BC$17),2))</f>
        <v>0</v>
      </c>
      <c r="CF283" s="119" t="str">
        <f t="shared" si="356"/>
        <v/>
      </c>
      <c r="CG283" s="66">
        <f>+IF($W283="","",ROUND(IF($B283&gt;Parámetros!$D$107,'Tablas Servicio'!CE283+('Tablas Servicio'!CG282-'Tablas Servicio'!CE282),CE283/(1-IF(B283&lt;=10,Parámetros!$D$100,0))),2))</f>
        <v>0</v>
      </c>
      <c r="CH283" s="66">
        <f t="shared" si="357"/>
        <v>0</v>
      </c>
      <c r="CI283" s="66">
        <f t="shared" si="357"/>
        <v>0</v>
      </c>
      <c r="CJ283" s="66">
        <f>+IF($W283="","",ROUND((CG283*Parámetros!$G$85),2))</f>
        <v>0</v>
      </c>
      <c r="CK283" s="66">
        <f>+IF($W283="","",ROUND((CG283*(Parámetros!$G$86)),2))</f>
        <v>0</v>
      </c>
      <c r="CL283" s="66">
        <f t="shared" si="358"/>
        <v>0</v>
      </c>
      <c r="CM283" t="str">
        <f t="shared" si="399"/>
        <v>00063</v>
      </c>
      <c r="CN283" s="118" t="str">
        <f t="shared" si="400"/>
        <v>Renta Diaria por Hospitalización</v>
      </c>
      <c r="CO283" s="118">
        <f t="shared" si="401"/>
        <v>0</v>
      </c>
      <c r="CP283" s="118" t="str">
        <f t="shared" si="402"/>
        <v>A</v>
      </c>
      <c r="CQ283" s="119" t="str">
        <f t="shared" si="359"/>
        <v/>
      </c>
      <c r="CR283" s="66">
        <f>+IF($W283="","",ROUND((VLOOKUP(Parámetros!$F$51,'COBERTURAS ADICIONALES'!$S$4:$T$32,2,FALSE)*(1+i/frec)^-0.5*(1+Parámetros!$D$103)*(1+rec_fracc)/frec*$CO$42),2))</f>
        <v>0</v>
      </c>
      <c r="CS283" s="119" t="str">
        <f t="shared" si="360"/>
        <v/>
      </c>
      <c r="CT283" s="66">
        <f>+IF($W283="","",ROUND(IF($B283&gt;Parámetros!$D$107,'Tablas Servicio'!CR283+('Tablas Servicio'!CT282-'Tablas Servicio'!CR282),CR283/(1-IF(B283&lt;=10,Parámetros!$D$100,0))),2))</f>
        <v>0</v>
      </c>
      <c r="CU283" s="66">
        <f t="shared" si="361"/>
        <v>0</v>
      </c>
      <c r="CV283" s="66">
        <f t="shared" si="361"/>
        <v>0</v>
      </c>
      <c r="CW283" s="66">
        <f>+IF($W283="","",ROUND((CT283*Parámetros!$G$85),2))</f>
        <v>0</v>
      </c>
      <c r="CX283" s="66">
        <f>+IF($W283="","",ROUND((CT283*(Parámetros!$G$86)),2))</f>
        <v>0</v>
      </c>
      <c r="CY283" s="66">
        <f t="shared" si="362"/>
        <v>0</v>
      </c>
      <c r="CZ283" t="str">
        <f t="shared" si="403"/>
        <v>00064</v>
      </c>
      <c r="DA283" s="118" t="str">
        <f t="shared" si="404"/>
        <v>Enfermedades Graves</v>
      </c>
      <c r="DB283" s="118">
        <f t="shared" si="405"/>
        <v>0</v>
      </c>
      <c r="DC283" s="118" t="str">
        <f t="shared" si="406"/>
        <v>A</v>
      </c>
      <c r="DD283" s="121" t="str">
        <f>+IF(OR($W283="",DB283=0),"",ROUND((VLOOKUP(ROUNDDOWN($D283-1/frec,0),cob_adi,CO$40,FALSE)*(1+i/frec)^-0.5*(1+Parámetros!$D$103)*(1+rec_fracc)/frec),6))</f>
        <v/>
      </c>
      <c r="DE283" s="66">
        <f t="shared" si="363"/>
        <v>0</v>
      </c>
      <c r="DF283" s="119" t="str">
        <f t="shared" si="364"/>
        <v/>
      </c>
      <c r="DG283" s="66">
        <f>+IF($W283="","",ROUND(IF($B283&gt;Parámetros!$D$107,'Tablas Servicio'!DE283+('Tablas Servicio'!DG282-'Tablas Servicio'!DE282),DE283/(1-IF(B283&lt;=10,Parámetros!$D$100,0))),2))</f>
        <v>0</v>
      </c>
      <c r="DH283" s="66">
        <f t="shared" si="365"/>
        <v>0</v>
      </c>
      <c r="DI283" s="66">
        <f t="shared" si="365"/>
        <v>0</v>
      </c>
      <c r="DJ283" s="66">
        <f>+IF($W283="","",ROUND((DG283*Parámetros!$G$85),2))</f>
        <v>0</v>
      </c>
      <c r="DK283" s="66">
        <f>+IF($W283="","",ROUND((DG283*(Parámetros!$G$86)),2))</f>
        <v>0</v>
      </c>
      <c r="DL283" s="66">
        <f t="shared" si="366"/>
        <v>0</v>
      </c>
      <c r="DM283" t="str">
        <f t="shared" si="407"/>
        <v>00065</v>
      </c>
      <c r="DN283" s="118" t="str">
        <f t="shared" si="408"/>
        <v>Exención pago de primas</v>
      </c>
      <c r="DO283" s="118">
        <f t="shared" si="409"/>
        <v>0</v>
      </c>
      <c r="DP283" s="118" t="str">
        <f t="shared" si="410"/>
        <v>A</v>
      </c>
      <c r="DQ283" s="122" t="str">
        <f>+IF(OR($W283="",DO283=0),"",ROUND((VLOOKUP(ROUNDDOWN($D283-1/frec,0),cob_adi,DB$40,FALSE)*(1+i/frec)^-0.5*(1+Parámetros!$D$103)*(1+rec_fracc)/frec),6))</f>
        <v/>
      </c>
      <c r="DR283" s="66">
        <f t="shared" si="367"/>
        <v>0</v>
      </c>
      <c r="DS283" s="68" t="str">
        <f t="shared" si="368"/>
        <v/>
      </c>
      <c r="DT283" s="66">
        <f>+IF($W283="","",ROUND(IF($B283&gt;Parámetros!$D$107,'Tablas Servicio'!DR283+('Tablas Servicio'!DT282-'Tablas Servicio'!DR282),DR283/(1-IF(B283&lt;=10,Parámetros!$D$100,0))),2))</f>
        <v>0</v>
      </c>
      <c r="DU283" s="66">
        <f t="shared" si="369"/>
        <v>0</v>
      </c>
      <c r="DV283" s="66">
        <f t="shared" si="369"/>
        <v>0</v>
      </c>
      <c r="DW283" s="66">
        <f>+IF($W283="","",ROUND((DT283*Parámetros!$G$85),2))</f>
        <v>0</v>
      </c>
      <c r="DX283" s="66">
        <f>+IF($W283="","",ROUND((DT283*(Parámetros!$G$86)),2))</f>
        <v>0</v>
      </c>
      <c r="DY283" s="66">
        <f t="shared" si="370"/>
        <v>0</v>
      </c>
      <c r="DZ283" t="str">
        <f t="shared" ref="DZ283:EC298" si="413">+IF($W283="","",DZ282)</f>
        <v>00066</v>
      </c>
      <c r="EA283" s="118" t="str">
        <f t="shared" si="413"/>
        <v>Enfermedad terminal</v>
      </c>
      <c r="EB283" s="118">
        <f>+IF($W283="","",ROUND(IF(Parámetros!$D$25='TABLAS MORT'!$V$33,EB282,Z283/2),0))</f>
        <v>50000</v>
      </c>
      <c r="EC283" s="118" t="str">
        <f t="shared" si="413"/>
        <v>A</v>
      </c>
      <c r="ED283" s="122">
        <f>+IF(OR($W283="",EB283=0),"",ROUND((VLOOKUP(ROUNDDOWN($D283-1/frec,0),cob_adi,DO$40,FALSE)*(1+i/frec)^-0.5*(1+Parámetros!$D$103)*(1+rec_fracc)/frec),6))</f>
        <v>3.8999999999999999E-5</v>
      </c>
      <c r="EE283" s="66">
        <f t="shared" si="372"/>
        <v>1.95</v>
      </c>
      <c r="EF283" s="68">
        <f t="shared" si="373"/>
        <v>3.8999999999999999E-5</v>
      </c>
      <c r="EG283" s="66">
        <f>+IF($W283="","",ROUND(IF($B283&gt;Parámetros!$D$107,'Tablas Servicio'!EE283+('Tablas Servicio'!EG282-'Tablas Servicio'!EE282),EE283/(1-IF(B283&lt;=10,Parámetros!$D$100,0))),2))</f>
        <v>1.95</v>
      </c>
      <c r="EH283" s="66">
        <f t="shared" si="374"/>
        <v>0</v>
      </c>
      <c r="EI283" s="66">
        <f t="shared" si="374"/>
        <v>0</v>
      </c>
      <c r="EJ283" s="66">
        <f>+IF($W283="","",ROUND((EG283*Parámetros!$G$85),2))</f>
        <v>7.0000000000000007E-2</v>
      </c>
      <c r="EK283" s="66">
        <f>+IF($W283="","",ROUND((EG283*(Parámetros!$G$86)),2))</f>
        <v>0.01</v>
      </c>
      <c r="EL283" s="66">
        <f t="shared" si="375"/>
        <v>2.0299999999999998</v>
      </c>
    </row>
    <row r="284" spans="1:142" x14ac:dyDescent="0.25">
      <c r="A284">
        <f>+IF($C284="","",ROUND(VLOOKUP('Tablas Servicio'!B284,Parámetros!$H$100:$J$159,IF(Parámetros!$E$16="F",2,3),FALSE),2))</f>
        <v>150</v>
      </c>
      <c r="B284">
        <f t="shared" si="326"/>
        <v>21</v>
      </c>
      <c r="C284" s="57">
        <f>+IF(D284="","",'Tablas Servicio'!C283+1)</f>
        <v>243</v>
      </c>
      <c r="D284" s="56">
        <f>+IF(D283&lt;edadmaxtabla,D283+1/Parámetros!$E$25,"")</f>
        <v>60.270000000000579</v>
      </c>
      <c r="E284" s="57">
        <f t="shared" si="336"/>
        <v>60</v>
      </c>
      <c r="F284" s="59">
        <f t="shared" si="337"/>
        <v>100000</v>
      </c>
      <c r="G284" s="66">
        <f t="shared" si="327"/>
        <v>59.550000000000004</v>
      </c>
      <c r="H284" s="66">
        <f t="shared" si="328"/>
        <v>61.94</v>
      </c>
      <c r="I284" s="66">
        <f t="shared" si="376"/>
        <v>32.06</v>
      </c>
      <c r="J284" s="66">
        <f t="shared" si="329"/>
        <v>2.09</v>
      </c>
      <c r="K284" s="66">
        <f t="shared" si="330"/>
        <v>0.3</v>
      </c>
      <c r="L284" s="66">
        <f t="shared" si="331"/>
        <v>0</v>
      </c>
      <c r="M284" s="66">
        <f t="shared" si="332"/>
        <v>0</v>
      </c>
      <c r="N284" s="66">
        <f>+IF(C284="","",ROUND(Parámetros!$D$23,2))</f>
        <v>94</v>
      </c>
      <c r="O284" s="66">
        <f t="shared" si="333"/>
        <v>47.050000000000004</v>
      </c>
      <c r="P284" s="66">
        <f>+IF($C284="","",ROUND(IF(B284&gt;Parámetros!$D$117,0,N284*Parámetros!$D$116-G284*Parámetros!$D$100),2))</f>
        <v>0</v>
      </c>
      <c r="Q284" s="75">
        <f t="shared" si="377"/>
        <v>3.5096557514693531E-2</v>
      </c>
      <c r="R284" s="75">
        <f t="shared" si="378"/>
        <v>5.0377833753148613E-3</v>
      </c>
      <c r="S284" s="117">
        <f>+IF($C284="","",ROUND((S283+I284)*(1+Parámetros!$D$91),2))</f>
        <v>18048.97</v>
      </c>
      <c r="T284" s="117">
        <f>+IF($C284="","",ROUND(S284*VLOOKUP(B284,Parámetros!$C$30:$D$39,2,TRUE),2))</f>
        <v>18048.97</v>
      </c>
      <c r="U284" s="117">
        <f>+IF($C284="","",ROUND((U283+I284)*(1+Parámetros!$D$92),2))</f>
        <v>19135.349999999999</v>
      </c>
      <c r="V284" s="117">
        <f>+IF($C284="","",ROUND(U284*VLOOKUP(B284,Parámetros!$C$30:$D$39,2,TRUE),2))</f>
        <v>19135.349999999999</v>
      </c>
      <c r="W284" s="57">
        <f t="shared" si="379"/>
        <v>243</v>
      </c>
      <c r="X284" t="str">
        <f t="shared" si="380"/>
        <v>00058</v>
      </c>
      <c r="Y284" t="str">
        <f t="shared" si="381"/>
        <v>MUERTE POR CUALQUIER CAUSA</v>
      </c>
      <c r="Z284" s="118">
        <f>+IF($W284="","",ROUND(IF(Parámetros!$D$25='TABLAS MORT'!$V$33,Z283,Parámetros!$D$21-'Tablas Servicio'!T283),0))</f>
        <v>100000</v>
      </c>
      <c r="AA284" s="118" t="str">
        <f t="shared" si="382"/>
        <v>P</v>
      </c>
      <c r="AB284" s="119">
        <f>+IF(W284="","",ROUND((VLOOKUP(ROUNDDOWN($D284-1/frec,0),qx_tabla,2,FALSE)*(1+i/frec)^-0.5*(1+Parámetros!$D$103)*(1+rec_fracc)/frec),6))</f>
        <v>4.5100000000000001E-4</v>
      </c>
      <c r="AC284" s="66">
        <f t="shared" si="338"/>
        <v>45.1</v>
      </c>
      <c r="AD284" s="119">
        <f t="shared" si="334"/>
        <v>5.7600000000000001E-4</v>
      </c>
      <c r="AE284" s="66">
        <f>+IF($W284="","",ROUND(IF($B284&gt;Parámetros!$D$107,'Tablas Servicio'!AC284+('Tablas Servicio'!AG283-'Tablas Servicio'!AC283),AC284/(1-IF(B284&lt;=10,Parámetros!$D$104,Parámetros!$D$105))),2))</f>
        <v>75.17</v>
      </c>
      <c r="AF284" s="66">
        <f>+IF($W284="","",ROUND(IF($B284&gt;Parámetros!$D$107,'Tablas Servicio'!AC284+('Tablas Servicio'!AG283-'Tablas Servicio'!AC283),(AC284+$A283/frec)/(1-IF(B284&lt;=Parámetros!$D$117,Parámetros!$D$100,0))),2))</f>
        <v>57.6</v>
      </c>
      <c r="AG284" s="66">
        <f t="shared" si="339"/>
        <v>57.6</v>
      </c>
      <c r="AH284" s="66">
        <f t="shared" si="340"/>
        <v>0</v>
      </c>
      <c r="AI284" s="66">
        <f t="shared" si="341"/>
        <v>0</v>
      </c>
      <c r="AJ284" s="66">
        <f>+IF($W284="","",ROUND((AG284*Parámetros!$G$85),2))</f>
        <v>2.02</v>
      </c>
      <c r="AK284" s="66">
        <f>+IF($W284="","",ROUND((AG284*(Parámetros!$G$86)),2))</f>
        <v>0.28999999999999998</v>
      </c>
      <c r="AL284" s="66">
        <f t="shared" si="335"/>
        <v>59.91</v>
      </c>
      <c r="AM284" t="str">
        <f t="shared" si="383"/>
        <v>00059</v>
      </c>
      <c r="AN284" t="str">
        <f t="shared" si="384"/>
        <v>Incapacidad Total y Permanente</v>
      </c>
      <c r="AO284" s="118">
        <f t="shared" si="385"/>
        <v>0</v>
      </c>
      <c r="AP284" s="118" t="str">
        <f t="shared" si="386"/>
        <v>A</v>
      </c>
      <c r="AQ284" s="119" t="str">
        <f>+IF(OR($W284="",AO284=0),"",ROUND((VLOOKUP(ROUNDDOWN($D284-1/frec,0),cob_adi,Z$40,FALSE)*(1+i/frec)^-0.5*(1+Parámetros!$D$103)*(1+rec_fracc)/frec),6))</f>
        <v/>
      </c>
      <c r="AR284" s="66">
        <f t="shared" si="342"/>
        <v>0</v>
      </c>
      <c r="AS284" s="119" t="str">
        <f t="shared" si="343"/>
        <v/>
      </c>
      <c r="AT284" s="66">
        <f>+IF($W284="","",ROUND(IF($B284&gt;Parámetros!$D$107,'Tablas Servicio'!AR284+('Tablas Servicio'!AT283-'Tablas Servicio'!AR283),AR284/(1-IF(B284&lt;=10,Parámetros!$D$100,0))),2))</f>
        <v>0</v>
      </c>
      <c r="AU284" s="66">
        <f t="shared" si="344"/>
        <v>0</v>
      </c>
      <c r="AV284" s="66">
        <f t="shared" si="344"/>
        <v>0</v>
      </c>
      <c r="AW284" s="66">
        <f>+IF($W284="","",ROUND((AT284*Parámetros!$G$85),2))</f>
        <v>0</v>
      </c>
      <c r="AX284" s="66">
        <f>+IF($W284="","",ROUND((AT284*(Parámetros!$G$86)),2))</f>
        <v>0</v>
      </c>
      <c r="AY284" s="66">
        <f t="shared" si="345"/>
        <v>0</v>
      </c>
      <c r="AZ284" t="str">
        <f t="shared" si="387"/>
        <v>00060</v>
      </c>
      <c r="BA284" t="str">
        <f t="shared" si="388"/>
        <v>Muerte Accidental</v>
      </c>
      <c r="BB284" s="118">
        <f t="shared" si="389"/>
        <v>0</v>
      </c>
      <c r="BC284" s="118" t="str">
        <f t="shared" si="390"/>
        <v>A</v>
      </c>
      <c r="BD284" s="119" t="str">
        <f>+IF(OR($W284="",BB284=0),"",ROUND((VLOOKUP(ROUNDDOWN($D284-1/frec,0),cob_adi,AO$40,FALSE)*(1+i/frec)^-0.5*(1+Parámetros!$D$103)*(1+rec_fracc)/frec),6))</f>
        <v/>
      </c>
      <c r="BE284" s="66">
        <f t="shared" si="346"/>
        <v>0</v>
      </c>
      <c r="BF284" s="119" t="str">
        <f t="shared" si="347"/>
        <v/>
      </c>
      <c r="BG284" s="66">
        <f>+IF($W284="","",ROUND(IF($B284&gt;Parámetros!$D$107,'Tablas Servicio'!BE284+('Tablas Servicio'!BG283-'Tablas Servicio'!BE283),BE284/(1-IF(B284&lt;=10,Parámetros!$D$100,0))),2))</f>
        <v>0</v>
      </c>
      <c r="BH284" s="66">
        <f t="shared" si="348"/>
        <v>0</v>
      </c>
      <c r="BI284" s="66">
        <f t="shared" si="349"/>
        <v>0</v>
      </c>
      <c r="BJ284" s="66">
        <f>+IF($W284="","",ROUND((BG284*Parámetros!$G$85),2))</f>
        <v>0</v>
      </c>
      <c r="BK284" s="66">
        <f>+IF($W284="","",ROUND((BG284*(Parámetros!$G$86)),2))</f>
        <v>0</v>
      </c>
      <c r="BL284" s="66">
        <f t="shared" si="350"/>
        <v>0</v>
      </c>
      <c r="BM284" t="str">
        <f t="shared" si="391"/>
        <v>00061</v>
      </c>
      <c r="BN284" t="str">
        <f t="shared" si="392"/>
        <v>Gastos de Entierro</v>
      </c>
      <c r="BO284" s="118">
        <f t="shared" si="393"/>
        <v>0</v>
      </c>
      <c r="BP284" s="118" t="str">
        <f t="shared" si="394"/>
        <v>A</v>
      </c>
      <c r="BQ284" s="119" t="str">
        <f>+IF(OR($W284="",BO284=0),"",ROUND((VLOOKUP(ROUNDDOWN($D284-1/frec,0),cob_adi,BB$40,FALSE)*(1+i/frec)^-0.5*(1+Parámetros!$D$103)*(1+rec_fracc)/frec),6))</f>
        <v/>
      </c>
      <c r="BR284" s="66">
        <f t="shared" si="351"/>
        <v>0</v>
      </c>
      <c r="BS284" s="119" t="str">
        <f t="shared" si="352"/>
        <v/>
      </c>
      <c r="BT284" s="66">
        <f>+IF($W284="","",ROUND(IF($B284&gt;Parámetros!$D$107,'Tablas Servicio'!BR284+('Tablas Servicio'!BT283-'Tablas Servicio'!BR283),BR284/(1-IF(B284&lt;=10,Parámetros!$D$100,0))),2))</f>
        <v>0</v>
      </c>
      <c r="BU284" s="66">
        <f t="shared" si="353"/>
        <v>0</v>
      </c>
      <c r="BV284" s="66">
        <f t="shared" si="353"/>
        <v>0</v>
      </c>
      <c r="BW284" s="66">
        <f>+IF($W284="","",ROUND((BT284*Parámetros!$G$85),2))</f>
        <v>0</v>
      </c>
      <c r="BX284" s="66">
        <f>+IF($W284="","",ROUND((BT284*(Parámetros!$G$86)),2))</f>
        <v>0</v>
      </c>
      <c r="BY284" s="66">
        <f t="shared" si="354"/>
        <v>0</v>
      </c>
      <c r="BZ284" t="str">
        <f t="shared" si="395"/>
        <v>00062</v>
      </c>
      <c r="CA284" t="str">
        <f t="shared" si="396"/>
        <v>Gastos médicos por accidente</v>
      </c>
      <c r="CB284" s="118">
        <f t="shared" si="397"/>
        <v>0</v>
      </c>
      <c r="CC284" s="118" t="str">
        <f t="shared" si="398"/>
        <v>A</v>
      </c>
      <c r="CD284" s="119" t="str">
        <f t="shared" si="355"/>
        <v/>
      </c>
      <c r="CE284" s="66">
        <f>+IF($W284="","",ROUND((VLOOKUP(ROUNDDOWN($D284-1/frec,0),cob_adi,BO$40,FALSE)*(1+i/frec)^-0.5*(1+Parámetros!$D$103)*(1+rec_fracc)/frec*'TABLAS ADI'!$BC$17),2))</f>
        <v>0</v>
      </c>
      <c r="CF284" s="119" t="str">
        <f t="shared" si="356"/>
        <v/>
      </c>
      <c r="CG284" s="66">
        <f>+IF($W284="","",ROUND(IF($B284&gt;Parámetros!$D$107,'Tablas Servicio'!CE284+('Tablas Servicio'!CG283-'Tablas Servicio'!CE283),CE284/(1-IF(B284&lt;=10,Parámetros!$D$100,0))),2))</f>
        <v>0</v>
      </c>
      <c r="CH284" s="66">
        <f t="shared" si="357"/>
        <v>0</v>
      </c>
      <c r="CI284" s="66">
        <f t="shared" si="357"/>
        <v>0</v>
      </c>
      <c r="CJ284" s="66">
        <f>+IF($W284="","",ROUND((CG284*Parámetros!$G$85),2))</f>
        <v>0</v>
      </c>
      <c r="CK284" s="66">
        <f>+IF($W284="","",ROUND((CG284*(Parámetros!$G$86)),2))</f>
        <v>0</v>
      </c>
      <c r="CL284" s="66">
        <f t="shared" si="358"/>
        <v>0</v>
      </c>
      <c r="CM284" t="str">
        <f t="shared" si="399"/>
        <v>00063</v>
      </c>
      <c r="CN284" s="118" t="str">
        <f t="shared" si="400"/>
        <v>Renta Diaria por Hospitalización</v>
      </c>
      <c r="CO284" s="118">
        <f t="shared" si="401"/>
        <v>0</v>
      </c>
      <c r="CP284" s="118" t="str">
        <f t="shared" si="402"/>
        <v>A</v>
      </c>
      <c r="CQ284" s="119" t="str">
        <f t="shared" si="359"/>
        <v/>
      </c>
      <c r="CR284" s="66">
        <f>+IF($W284="","",ROUND((VLOOKUP(Parámetros!$F$51,'COBERTURAS ADICIONALES'!$S$4:$T$32,2,FALSE)*(1+i/frec)^-0.5*(1+Parámetros!$D$103)*(1+rec_fracc)/frec*$CO$42),2))</f>
        <v>0</v>
      </c>
      <c r="CS284" s="119" t="str">
        <f t="shared" si="360"/>
        <v/>
      </c>
      <c r="CT284" s="66">
        <f>+IF($W284="","",ROUND(IF($B284&gt;Parámetros!$D$107,'Tablas Servicio'!CR284+('Tablas Servicio'!CT283-'Tablas Servicio'!CR283),CR284/(1-IF(B284&lt;=10,Parámetros!$D$100,0))),2))</f>
        <v>0</v>
      </c>
      <c r="CU284" s="66">
        <f t="shared" si="361"/>
        <v>0</v>
      </c>
      <c r="CV284" s="66">
        <f t="shared" si="361"/>
        <v>0</v>
      </c>
      <c r="CW284" s="66">
        <f>+IF($W284="","",ROUND((CT284*Parámetros!$G$85),2))</f>
        <v>0</v>
      </c>
      <c r="CX284" s="66">
        <f>+IF($W284="","",ROUND((CT284*(Parámetros!$G$86)),2))</f>
        <v>0</v>
      </c>
      <c r="CY284" s="66">
        <f t="shared" si="362"/>
        <v>0</v>
      </c>
      <c r="CZ284" t="str">
        <f t="shared" si="403"/>
        <v>00064</v>
      </c>
      <c r="DA284" s="118" t="str">
        <f t="shared" si="404"/>
        <v>Enfermedades Graves</v>
      </c>
      <c r="DB284" s="118">
        <f t="shared" si="405"/>
        <v>0</v>
      </c>
      <c r="DC284" s="118" t="str">
        <f t="shared" si="406"/>
        <v>A</v>
      </c>
      <c r="DD284" s="121" t="str">
        <f>+IF(OR($W284="",DB284=0),"",ROUND((VLOOKUP(ROUNDDOWN($D284-1/frec,0),cob_adi,CO$40,FALSE)*(1+i/frec)^-0.5*(1+Parámetros!$D$103)*(1+rec_fracc)/frec),6))</f>
        <v/>
      </c>
      <c r="DE284" s="66">
        <f t="shared" si="363"/>
        <v>0</v>
      </c>
      <c r="DF284" s="119" t="str">
        <f t="shared" si="364"/>
        <v/>
      </c>
      <c r="DG284" s="66">
        <f>+IF($W284="","",ROUND(IF($B284&gt;Parámetros!$D$107,'Tablas Servicio'!DE284+('Tablas Servicio'!DG283-'Tablas Servicio'!DE283),DE284/(1-IF(B284&lt;=10,Parámetros!$D$100,0))),2))</f>
        <v>0</v>
      </c>
      <c r="DH284" s="66">
        <f t="shared" si="365"/>
        <v>0</v>
      </c>
      <c r="DI284" s="66">
        <f t="shared" si="365"/>
        <v>0</v>
      </c>
      <c r="DJ284" s="66">
        <f>+IF($W284="","",ROUND((DG284*Parámetros!$G$85),2))</f>
        <v>0</v>
      </c>
      <c r="DK284" s="66">
        <f>+IF($W284="","",ROUND((DG284*(Parámetros!$G$86)),2))</f>
        <v>0</v>
      </c>
      <c r="DL284" s="66">
        <f t="shared" si="366"/>
        <v>0</v>
      </c>
      <c r="DM284" t="str">
        <f t="shared" si="407"/>
        <v>00065</v>
      </c>
      <c r="DN284" s="118" t="str">
        <f t="shared" si="408"/>
        <v>Exención pago de primas</v>
      </c>
      <c r="DO284" s="118">
        <f t="shared" si="409"/>
        <v>0</v>
      </c>
      <c r="DP284" s="118" t="str">
        <f t="shared" si="410"/>
        <v>A</v>
      </c>
      <c r="DQ284" s="122" t="str">
        <f>+IF(OR($W284="",DO284=0),"",ROUND((VLOOKUP(ROUNDDOWN($D284-1/frec,0),cob_adi,DB$40,FALSE)*(1+i/frec)^-0.5*(1+Parámetros!$D$103)*(1+rec_fracc)/frec),6))</f>
        <v/>
      </c>
      <c r="DR284" s="66">
        <f t="shared" si="367"/>
        <v>0</v>
      </c>
      <c r="DS284" s="68" t="str">
        <f t="shared" si="368"/>
        <v/>
      </c>
      <c r="DT284" s="66">
        <f>+IF($W284="","",ROUND(IF($B284&gt;Parámetros!$D$107,'Tablas Servicio'!DR284+('Tablas Servicio'!DT283-'Tablas Servicio'!DR283),DR284/(1-IF(B284&lt;=10,Parámetros!$D$100,0))),2))</f>
        <v>0</v>
      </c>
      <c r="DU284" s="66">
        <f t="shared" si="369"/>
        <v>0</v>
      </c>
      <c r="DV284" s="66">
        <f t="shared" si="369"/>
        <v>0</v>
      </c>
      <c r="DW284" s="66">
        <f>+IF($W284="","",ROUND((DT284*Parámetros!$G$85),2))</f>
        <v>0</v>
      </c>
      <c r="DX284" s="66">
        <f>+IF($W284="","",ROUND((DT284*(Parámetros!$G$86)),2))</f>
        <v>0</v>
      </c>
      <c r="DY284" s="66">
        <f t="shared" si="370"/>
        <v>0</v>
      </c>
      <c r="DZ284" t="str">
        <f t="shared" si="413"/>
        <v>00066</v>
      </c>
      <c r="EA284" s="118" t="str">
        <f t="shared" si="413"/>
        <v>Enfermedad terminal</v>
      </c>
      <c r="EB284" s="118">
        <f>+IF($W284="","",ROUND(IF(Parámetros!$D$25='TABLAS MORT'!$V$33,EB283,Z284/2),0))</f>
        <v>50000</v>
      </c>
      <c r="EC284" s="118" t="str">
        <f t="shared" si="413"/>
        <v>A</v>
      </c>
      <c r="ED284" s="122">
        <f>+IF(OR($W284="",EB284=0),"",ROUND((VLOOKUP(ROUNDDOWN($D284-1/frec,0),cob_adi,DO$40,FALSE)*(1+i/frec)^-0.5*(1+Parámetros!$D$103)*(1+rec_fracc)/frec),6))</f>
        <v>3.8999999999999999E-5</v>
      </c>
      <c r="EE284" s="66">
        <f t="shared" si="372"/>
        <v>1.95</v>
      </c>
      <c r="EF284" s="68">
        <f t="shared" si="373"/>
        <v>3.8999999999999999E-5</v>
      </c>
      <c r="EG284" s="66">
        <f>+IF($W284="","",ROUND(IF($B284&gt;Parámetros!$D$107,'Tablas Servicio'!EE284+('Tablas Servicio'!EG283-'Tablas Servicio'!EE283),EE284/(1-IF(B284&lt;=10,Parámetros!$D$100,0))),2))</f>
        <v>1.95</v>
      </c>
      <c r="EH284" s="66">
        <f t="shared" si="374"/>
        <v>0</v>
      </c>
      <c r="EI284" s="66">
        <f t="shared" si="374"/>
        <v>0</v>
      </c>
      <c r="EJ284" s="66">
        <f>+IF($W284="","",ROUND((EG284*Parámetros!$G$85),2))</f>
        <v>7.0000000000000007E-2</v>
      </c>
      <c r="EK284" s="66">
        <f>+IF($W284="","",ROUND((EG284*(Parámetros!$G$86)),2))</f>
        <v>0.01</v>
      </c>
      <c r="EL284" s="66">
        <f t="shared" si="375"/>
        <v>2.0299999999999998</v>
      </c>
    </row>
    <row r="285" spans="1:142" x14ac:dyDescent="0.25">
      <c r="A285">
        <f>+IF($C285="","",ROUND(VLOOKUP('Tablas Servicio'!B285,Parámetros!$H$100:$J$159,IF(Parámetros!$E$16="F",2,3),FALSE),2))</f>
        <v>150</v>
      </c>
      <c r="B285">
        <f t="shared" si="326"/>
        <v>21</v>
      </c>
      <c r="C285" s="57">
        <f>+IF(D285="","",'Tablas Servicio'!C284+1)</f>
        <v>244</v>
      </c>
      <c r="D285" s="56">
        <f>+IF(D284&lt;edadmaxtabla,D284+1/Parámetros!$E$25,"")</f>
        <v>60.353333333333914</v>
      </c>
      <c r="E285" s="57">
        <f t="shared" si="336"/>
        <v>60</v>
      </c>
      <c r="F285" s="59">
        <f t="shared" si="337"/>
        <v>100000</v>
      </c>
      <c r="G285" s="66">
        <f t="shared" si="327"/>
        <v>59.550000000000004</v>
      </c>
      <c r="H285" s="66">
        <f t="shared" si="328"/>
        <v>61.94</v>
      </c>
      <c r="I285" s="66">
        <f t="shared" si="376"/>
        <v>32.06</v>
      </c>
      <c r="J285" s="66">
        <f t="shared" si="329"/>
        <v>2.09</v>
      </c>
      <c r="K285" s="66">
        <f t="shared" si="330"/>
        <v>0.3</v>
      </c>
      <c r="L285" s="66">
        <f t="shared" si="331"/>
        <v>0</v>
      </c>
      <c r="M285" s="66">
        <f t="shared" si="332"/>
        <v>0</v>
      </c>
      <c r="N285" s="66">
        <f>+IF(C285="","",ROUND(Parámetros!$D$23,2))</f>
        <v>94</v>
      </c>
      <c r="O285" s="66">
        <f t="shared" si="333"/>
        <v>47.050000000000004</v>
      </c>
      <c r="P285" s="66">
        <f>+IF($C285="","",ROUND(IF(B285&gt;Parámetros!$D$117,0,N285*Parámetros!$D$116-G285*Parámetros!$D$100),2))</f>
        <v>0</v>
      </c>
      <c r="Q285" s="75">
        <f t="shared" si="377"/>
        <v>3.5096557514693531E-2</v>
      </c>
      <c r="R285" s="75">
        <f t="shared" si="378"/>
        <v>5.0377833753148613E-3</v>
      </c>
      <c r="S285" s="117">
        <f>+IF($C285="","",ROUND((S284+I285)*(1+Parámetros!$D$91),2))</f>
        <v>18132.32</v>
      </c>
      <c r="T285" s="117">
        <f>+IF($C285="","",ROUND(S285*VLOOKUP(B285,Parámetros!$C$30:$D$39,2,TRUE),2))</f>
        <v>18132.32</v>
      </c>
      <c r="U285" s="117">
        <f>+IF($C285="","",ROUND((U284+I285)*(1+Parámetros!$D$92),2))</f>
        <v>19229.54</v>
      </c>
      <c r="V285" s="117">
        <f>+IF($C285="","",ROUND(U285*VLOOKUP(B285,Parámetros!$C$30:$D$39,2,TRUE),2))</f>
        <v>19229.54</v>
      </c>
      <c r="W285" s="57">
        <f t="shared" si="379"/>
        <v>244</v>
      </c>
      <c r="X285" t="str">
        <f t="shared" si="380"/>
        <v>00058</v>
      </c>
      <c r="Y285" t="str">
        <f t="shared" si="381"/>
        <v>MUERTE POR CUALQUIER CAUSA</v>
      </c>
      <c r="Z285" s="118">
        <f>+IF($W285="","",ROUND(IF(Parámetros!$D$25='TABLAS MORT'!$V$33,Z284,Parámetros!$D$21-'Tablas Servicio'!T284),0))</f>
        <v>100000</v>
      </c>
      <c r="AA285" s="118" t="str">
        <f t="shared" si="382"/>
        <v>P</v>
      </c>
      <c r="AB285" s="119">
        <f>+IF(W285="","",ROUND((VLOOKUP(ROUNDDOWN($D285-1/frec,0),qx_tabla,2,FALSE)*(1+i/frec)^-0.5*(1+Parámetros!$D$103)*(1+rec_fracc)/frec),6))</f>
        <v>4.5100000000000001E-4</v>
      </c>
      <c r="AC285" s="66">
        <f t="shared" si="338"/>
        <v>45.1</v>
      </c>
      <c r="AD285" s="119">
        <f t="shared" si="334"/>
        <v>5.7600000000000001E-4</v>
      </c>
      <c r="AE285" s="66">
        <f>+IF($W285="","",ROUND(IF($B285&gt;Parámetros!$D$107,'Tablas Servicio'!AC285+('Tablas Servicio'!AG284-'Tablas Servicio'!AC284),AC285/(1-IF(B285&lt;=10,Parámetros!$D$104,Parámetros!$D$105))),2))</f>
        <v>75.17</v>
      </c>
      <c r="AF285" s="66">
        <f>+IF($W285="","",ROUND(IF($B285&gt;Parámetros!$D$107,'Tablas Servicio'!AC285+('Tablas Servicio'!AG284-'Tablas Servicio'!AC284),(AC285+$A284/frec)/(1-IF(B285&lt;=Parámetros!$D$117,Parámetros!$D$100,0))),2))</f>
        <v>57.6</v>
      </c>
      <c r="AG285" s="66">
        <f t="shared" si="339"/>
        <v>57.6</v>
      </c>
      <c r="AH285" s="66">
        <f t="shared" si="340"/>
        <v>0</v>
      </c>
      <c r="AI285" s="66">
        <f t="shared" si="341"/>
        <v>0</v>
      </c>
      <c r="AJ285" s="66">
        <f>+IF($W285="","",ROUND((AG285*Parámetros!$G$85),2))</f>
        <v>2.02</v>
      </c>
      <c r="AK285" s="66">
        <f>+IF($W285="","",ROUND((AG285*(Parámetros!$G$86)),2))</f>
        <v>0.28999999999999998</v>
      </c>
      <c r="AL285" s="66">
        <f t="shared" si="335"/>
        <v>59.91</v>
      </c>
      <c r="AM285" t="str">
        <f t="shared" si="383"/>
        <v>00059</v>
      </c>
      <c r="AN285" t="str">
        <f t="shared" si="384"/>
        <v>Incapacidad Total y Permanente</v>
      </c>
      <c r="AO285" s="118">
        <f t="shared" si="385"/>
        <v>0</v>
      </c>
      <c r="AP285" s="118" t="str">
        <f t="shared" si="386"/>
        <v>A</v>
      </c>
      <c r="AQ285" s="119" t="str">
        <f>+IF(OR($W285="",AO285=0),"",ROUND((VLOOKUP(ROUNDDOWN($D285-1/frec,0),cob_adi,Z$40,FALSE)*(1+i/frec)^-0.5*(1+Parámetros!$D$103)*(1+rec_fracc)/frec),6))</f>
        <v/>
      </c>
      <c r="AR285" s="66">
        <f t="shared" si="342"/>
        <v>0</v>
      </c>
      <c r="AS285" s="119" t="str">
        <f t="shared" si="343"/>
        <v/>
      </c>
      <c r="AT285" s="66">
        <f>+IF($W285="","",ROUND(IF($B285&gt;Parámetros!$D$107,'Tablas Servicio'!AR285+('Tablas Servicio'!AT284-'Tablas Servicio'!AR284),AR285/(1-IF(B285&lt;=10,Parámetros!$D$100,0))),2))</f>
        <v>0</v>
      </c>
      <c r="AU285" s="66">
        <f t="shared" si="344"/>
        <v>0</v>
      </c>
      <c r="AV285" s="66">
        <f t="shared" si="344"/>
        <v>0</v>
      </c>
      <c r="AW285" s="66">
        <f>+IF($W285="","",ROUND((AT285*Parámetros!$G$85),2))</f>
        <v>0</v>
      </c>
      <c r="AX285" s="66">
        <f>+IF($W285="","",ROUND((AT285*(Parámetros!$G$86)),2))</f>
        <v>0</v>
      </c>
      <c r="AY285" s="66">
        <f t="shared" si="345"/>
        <v>0</v>
      </c>
      <c r="AZ285" t="str">
        <f t="shared" si="387"/>
        <v>00060</v>
      </c>
      <c r="BA285" t="str">
        <f t="shared" si="388"/>
        <v>Muerte Accidental</v>
      </c>
      <c r="BB285" s="118">
        <f t="shared" si="389"/>
        <v>0</v>
      </c>
      <c r="BC285" s="118" t="str">
        <f t="shared" si="390"/>
        <v>A</v>
      </c>
      <c r="BD285" s="119" t="str">
        <f>+IF(OR($W285="",BB285=0),"",ROUND((VLOOKUP(ROUNDDOWN($D285-1/frec,0),cob_adi,AO$40,FALSE)*(1+i/frec)^-0.5*(1+Parámetros!$D$103)*(1+rec_fracc)/frec),6))</f>
        <v/>
      </c>
      <c r="BE285" s="66">
        <f t="shared" si="346"/>
        <v>0</v>
      </c>
      <c r="BF285" s="119" t="str">
        <f t="shared" si="347"/>
        <v/>
      </c>
      <c r="BG285" s="66">
        <f>+IF($W285="","",ROUND(IF($B285&gt;Parámetros!$D$107,'Tablas Servicio'!BE285+('Tablas Servicio'!BG284-'Tablas Servicio'!BE284),BE285/(1-IF(B285&lt;=10,Parámetros!$D$100,0))),2))</f>
        <v>0</v>
      </c>
      <c r="BH285" s="66">
        <f t="shared" si="348"/>
        <v>0</v>
      </c>
      <c r="BI285" s="66">
        <f t="shared" si="349"/>
        <v>0</v>
      </c>
      <c r="BJ285" s="66">
        <f>+IF($W285="","",ROUND((BG285*Parámetros!$G$85),2))</f>
        <v>0</v>
      </c>
      <c r="BK285" s="66">
        <f>+IF($W285="","",ROUND((BG285*(Parámetros!$G$86)),2))</f>
        <v>0</v>
      </c>
      <c r="BL285" s="66">
        <f t="shared" si="350"/>
        <v>0</v>
      </c>
      <c r="BM285" t="str">
        <f t="shared" si="391"/>
        <v>00061</v>
      </c>
      <c r="BN285" t="str">
        <f t="shared" si="392"/>
        <v>Gastos de Entierro</v>
      </c>
      <c r="BO285" s="118">
        <f t="shared" si="393"/>
        <v>0</v>
      </c>
      <c r="BP285" s="118" t="str">
        <f t="shared" si="394"/>
        <v>A</v>
      </c>
      <c r="BQ285" s="119" t="str">
        <f>+IF(OR($W285="",BO285=0),"",ROUND((VLOOKUP(ROUNDDOWN($D285-1/frec,0),cob_adi,BB$40,FALSE)*(1+i/frec)^-0.5*(1+Parámetros!$D$103)*(1+rec_fracc)/frec),6))</f>
        <v/>
      </c>
      <c r="BR285" s="66">
        <f t="shared" si="351"/>
        <v>0</v>
      </c>
      <c r="BS285" s="119" t="str">
        <f t="shared" si="352"/>
        <v/>
      </c>
      <c r="BT285" s="66">
        <f>+IF($W285="","",ROUND(IF($B285&gt;Parámetros!$D$107,'Tablas Servicio'!BR285+('Tablas Servicio'!BT284-'Tablas Servicio'!BR284),BR285/(1-IF(B285&lt;=10,Parámetros!$D$100,0))),2))</f>
        <v>0</v>
      </c>
      <c r="BU285" s="66">
        <f t="shared" si="353"/>
        <v>0</v>
      </c>
      <c r="BV285" s="66">
        <f t="shared" si="353"/>
        <v>0</v>
      </c>
      <c r="BW285" s="66">
        <f>+IF($W285="","",ROUND((BT285*Parámetros!$G$85),2))</f>
        <v>0</v>
      </c>
      <c r="BX285" s="66">
        <f>+IF($W285="","",ROUND((BT285*(Parámetros!$G$86)),2))</f>
        <v>0</v>
      </c>
      <c r="BY285" s="66">
        <f t="shared" si="354"/>
        <v>0</v>
      </c>
      <c r="BZ285" t="str">
        <f t="shared" si="395"/>
        <v>00062</v>
      </c>
      <c r="CA285" t="str">
        <f t="shared" si="396"/>
        <v>Gastos médicos por accidente</v>
      </c>
      <c r="CB285" s="118">
        <f t="shared" si="397"/>
        <v>0</v>
      </c>
      <c r="CC285" s="118" t="str">
        <f t="shared" si="398"/>
        <v>A</v>
      </c>
      <c r="CD285" s="119" t="str">
        <f t="shared" si="355"/>
        <v/>
      </c>
      <c r="CE285" s="66">
        <f>+IF($W285="","",ROUND((VLOOKUP(ROUNDDOWN($D285-1/frec,0),cob_adi,BO$40,FALSE)*(1+i/frec)^-0.5*(1+Parámetros!$D$103)*(1+rec_fracc)/frec*'TABLAS ADI'!$BC$17),2))</f>
        <v>0</v>
      </c>
      <c r="CF285" s="119" t="str">
        <f t="shared" si="356"/>
        <v/>
      </c>
      <c r="CG285" s="66">
        <f>+IF($W285="","",ROUND(IF($B285&gt;Parámetros!$D$107,'Tablas Servicio'!CE285+('Tablas Servicio'!CG284-'Tablas Servicio'!CE284),CE285/(1-IF(B285&lt;=10,Parámetros!$D$100,0))),2))</f>
        <v>0</v>
      </c>
      <c r="CH285" s="66">
        <f t="shared" si="357"/>
        <v>0</v>
      </c>
      <c r="CI285" s="66">
        <f t="shared" si="357"/>
        <v>0</v>
      </c>
      <c r="CJ285" s="66">
        <f>+IF($W285="","",ROUND((CG285*Parámetros!$G$85),2))</f>
        <v>0</v>
      </c>
      <c r="CK285" s="66">
        <f>+IF($W285="","",ROUND((CG285*(Parámetros!$G$86)),2))</f>
        <v>0</v>
      </c>
      <c r="CL285" s="66">
        <f t="shared" si="358"/>
        <v>0</v>
      </c>
      <c r="CM285" t="str">
        <f t="shared" si="399"/>
        <v>00063</v>
      </c>
      <c r="CN285" s="118" t="str">
        <f t="shared" si="400"/>
        <v>Renta Diaria por Hospitalización</v>
      </c>
      <c r="CO285" s="118">
        <f t="shared" si="401"/>
        <v>0</v>
      </c>
      <c r="CP285" s="118" t="str">
        <f t="shared" si="402"/>
        <v>A</v>
      </c>
      <c r="CQ285" s="119" t="str">
        <f t="shared" si="359"/>
        <v/>
      </c>
      <c r="CR285" s="66">
        <f>+IF($W285="","",ROUND((VLOOKUP(Parámetros!$F$51,'COBERTURAS ADICIONALES'!$S$4:$T$32,2,FALSE)*(1+i/frec)^-0.5*(1+Parámetros!$D$103)*(1+rec_fracc)/frec*$CO$42),2))</f>
        <v>0</v>
      </c>
      <c r="CS285" s="119" t="str">
        <f t="shared" si="360"/>
        <v/>
      </c>
      <c r="CT285" s="66">
        <f>+IF($W285="","",ROUND(IF($B285&gt;Parámetros!$D$107,'Tablas Servicio'!CR285+('Tablas Servicio'!CT284-'Tablas Servicio'!CR284),CR285/(1-IF(B285&lt;=10,Parámetros!$D$100,0))),2))</f>
        <v>0</v>
      </c>
      <c r="CU285" s="66">
        <f t="shared" si="361"/>
        <v>0</v>
      </c>
      <c r="CV285" s="66">
        <f t="shared" si="361"/>
        <v>0</v>
      </c>
      <c r="CW285" s="66">
        <f>+IF($W285="","",ROUND((CT285*Parámetros!$G$85),2))</f>
        <v>0</v>
      </c>
      <c r="CX285" s="66">
        <f>+IF($W285="","",ROUND((CT285*(Parámetros!$G$86)),2))</f>
        <v>0</v>
      </c>
      <c r="CY285" s="66">
        <f t="shared" si="362"/>
        <v>0</v>
      </c>
      <c r="CZ285" t="str">
        <f t="shared" si="403"/>
        <v>00064</v>
      </c>
      <c r="DA285" s="118" t="str">
        <f t="shared" si="404"/>
        <v>Enfermedades Graves</v>
      </c>
      <c r="DB285" s="118">
        <f t="shared" si="405"/>
        <v>0</v>
      </c>
      <c r="DC285" s="118" t="str">
        <f t="shared" si="406"/>
        <v>A</v>
      </c>
      <c r="DD285" s="121" t="str">
        <f>+IF(OR($W285="",DB285=0),"",ROUND((VLOOKUP(ROUNDDOWN($D285-1/frec,0),cob_adi,CO$40,FALSE)*(1+i/frec)^-0.5*(1+Parámetros!$D$103)*(1+rec_fracc)/frec),6))</f>
        <v/>
      </c>
      <c r="DE285" s="66">
        <f t="shared" si="363"/>
        <v>0</v>
      </c>
      <c r="DF285" s="119" t="str">
        <f t="shared" si="364"/>
        <v/>
      </c>
      <c r="DG285" s="66">
        <f>+IF($W285="","",ROUND(IF($B285&gt;Parámetros!$D$107,'Tablas Servicio'!DE285+('Tablas Servicio'!DG284-'Tablas Servicio'!DE284),DE285/(1-IF(B285&lt;=10,Parámetros!$D$100,0))),2))</f>
        <v>0</v>
      </c>
      <c r="DH285" s="66">
        <f t="shared" si="365"/>
        <v>0</v>
      </c>
      <c r="DI285" s="66">
        <f t="shared" si="365"/>
        <v>0</v>
      </c>
      <c r="DJ285" s="66">
        <f>+IF($W285="","",ROUND((DG285*Parámetros!$G$85),2))</f>
        <v>0</v>
      </c>
      <c r="DK285" s="66">
        <f>+IF($W285="","",ROUND((DG285*(Parámetros!$G$86)),2))</f>
        <v>0</v>
      </c>
      <c r="DL285" s="66">
        <f t="shared" si="366"/>
        <v>0</v>
      </c>
      <c r="DM285" t="str">
        <f t="shared" si="407"/>
        <v>00065</v>
      </c>
      <c r="DN285" s="118" t="str">
        <f t="shared" si="408"/>
        <v>Exención pago de primas</v>
      </c>
      <c r="DO285" s="118">
        <f t="shared" si="409"/>
        <v>0</v>
      </c>
      <c r="DP285" s="118" t="str">
        <f t="shared" si="410"/>
        <v>A</v>
      </c>
      <c r="DQ285" s="122" t="str">
        <f>+IF(OR($W285="",DO285=0),"",ROUND((VLOOKUP(ROUNDDOWN($D285-1/frec,0),cob_adi,DB$40,FALSE)*(1+i/frec)^-0.5*(1+Parámetros!$D$103)*(1+rec_fracc)/frec),6))</f>
        <v/>
      </c>
      <c r="DR285" s="66">
        <f t="shared" si="367"/>
        <v>0</v>
      </c>
      <c r="DS285" s="68" t="str">
        <f t="shared" si="368"/>
        <v/>
      </c>
      <c r="DT285" s="66">
        <f>+IF($W285="","",ROUND(IF($B285&gt;Parámetros!$D$107,'Tablas Servicio'!DR285+('Tablas Servicio'!DT284-'Tablas Servicio'!DR284),DR285/(1-IF(B285&lt;=10,Parámetros!$D$100,0))),2))</f>
        <v>0</v>
      </c>
      <c r="DU285" s="66">
        <f t="shared" si="369"/>
        <v>0</v>
      </c>
      <c r="DV285" s="66">
        <f t="shared" si="369"/>
        <v>0</v>
      </c>
      <c r="DW285" s="66">
        <f>+IF($W285="","",ROUND((DT285*Parámetros!$G$85),2))</f>
        <v>0</v>
      </c>
      <c r="DX285" s="66">
        <f>+IF($W285="","",ROUND((DT285*(Parámetros!$G$86)),2))</f>
        <v>0</v>
      </c>
      <c r="DY285" s="66">
        <f t="shared" si="370"/>
        <v>0</v>
      </c>
      <c r="DZ285" t="str">
        <f t="shared" si="413"/>
        <v>00066</v>
      </c>
      <c r="EA285" s="118" t="str">
        <f t="shared" si="413"/>
        <v>Enfermedad terminal</v>
      </c>
      <c r="EB285" s="118">
        <f>+IF($W285="","",ROUND(IF(Parámetros!$D$25='TABLAS MORT'!$V$33,EB284,Z285/2),0))</f>
        <v>50000</v>
      </c>
      <c r="EC285" s="118" t="str">
        <f t="shared" si="413"/>
        <v>A</v>
      </c>
      <c r="ED285" s="122">
        <f>+IF(OR($W285="",EB285=0),"",ROUND((VLOOKUP(ROUNDDOWN($D285-1/frec,0),cob_adi,DO$40,FALSE)*(1+i/frec)^-0.5*(1+Parámetros!$D$103)*(1+rec_fracc)/frec),6))</f>
        <v>3.8999999999999999E-5</v>
      </c>
      <c r="EE285" s="66">
        <f t="shared" si="372"/>
        <v>1.95</v>
      </c>
      <c r="EF285" s="68">
        <f t="shared" si="373"/>
        <v>3.8999999999999999E-5</v>
      </c>
      <c r="EG285" s="66">
        <f>+IF($W285="","",ROUND(IF($B285&gt;Parámetros!$D$107,'Tablas Servicio'!EE285+('Tablas Servicio'!EG284-'Tablas Servicio'!EE284),EE285/(1-IF(B285&lt;=10,Parámetros!$D$100,0))),2))</f>
        <v>1.95</v>
      </c>
      <c r="EH285" s="66">
        <f t="shared" si="374"/>
        <v>0</v>
      </c>
      <c r="EI285" s="66">
        <f t="shared" si="374"/>
        <v>0</v>
      </c>
      <c r="EJ285" s="66">
        <f>+IF($W285="","",ROUND((EG285*Parámetros!$G$85),2))</f>
        <v>7.0000000000000007E-2</v>
      </c>
      <c r="EK285" s="66">
        <f>+IF($W285="","",ROUND((EG285*(Parámetros!$G$86)),2))</f>
        <v>0.01</v>
      </c>
      <c r="EL285" s="66">
        <f t="shared" si="375"/>
        <v>2.0299999999999998</v>
      </c>
    </row>
    <row r="286" spans="1:142" x14ac:dyDescent="0.25">
      <c r="A286">
        <f>+IF($C286="","",ROUND(VLOOKUP('Tablas Servicio'!B286,Parámetros!$H$100:$J$159,IF(Parámetros!$E$16="F",2,3),FALSE),2))</f>
        <v>150</v>
      </c>
      <c r="B286">
        <f t="shared" si="326"/>
        <v>21</v>
      </c>
      <c r="C286" s="57">
        <f>+IF(D286="","",'Tablas Servicio'!C285+1)</f>
        <v>245</v>
      </c>
      <c r="D286" s="56">
        <f>+IF(D285&lt;edadmaxtabla,D285+1/Parámetros!$E$25,"")</f>
        <v>60.43666666666725</v>
      </c>
      <c r="E286" s="57">
        <f t="shared" si="336"/>
        <v>60</v>
      </c>
      <c r="F286" s="59">
        <f t="shared" si="337"/>
        <v>100000</v>
      </c>
      <c r="G286" s="66">
        <f t="shared" si="327"/>
        <v>59.550000000000004</v>
      </c>
      <c r="H286" s="66">
        <f t="shared" si="328"/>
        <v>61.94</v>
      </c>
      <c r="I286" s="66">
        <f t="shared" si="376"/>
        <v>32.06</v>
      </c>
      <c r="J286" s="66">
        <f t="shared" si="329"/>
        <v>2.09</v>
      </c>
      <c r="K286" s="66">
        <f t="shared" si="330"/>
        <v>0.3</v>
      </c>
      <c r="L286" s="66">
        <f t="shared" si="331"/>
        <v>0</v>
      </c>
      <c r="M286" s="66">
        <f t="shared" si="332"/>
        <v>0</v>
      </c>
      <c r="N286" s="66">
        <f>+IF(C286="","",ROUND(Parámetros!$D$23,2))</f>
        <v>94</v>
      </c>
      <c r="O286" s="66">
        <f t="shared" si="333"/>
        <v>47.050000000000004</v>
      </c>
      <c r="P286" s="66">
        <f>+IF($C286="","",ROUND(IF(B286&gt;Parámetros!$D$117,0,N286*Parámetros!$D$116-G286*Parámetros!$D$100),2))</f>
        <v>0</v>
      </c>
      <c r="Q286" s="75">
        <f t="shared" si="377"/>
        <v>3.5096557514693531E-2</v>
      </c>
      <c r="R286" s="75">
        <f t="shared" si="378"/>
        <v>5.0377833753148613E-3</v>
      </c>
      <c r="S286" s="117">
        <f>+IF($C286="","",ROUND((S285+I286)*(1+Parámetros!$D$91),2))</f>
        <v>18215.900000000001</v>
      </c>
      <c r="T286" s="117">
        <f>+IF($C286="","",ROUND(S286*VLOOKUP(B286,Parámetros!$C$30:$D$39,2,TRUE),2))</f>
        <v>18215.900000000001</v>
      </c>
      <c r="U286" s="117">
        <f>+IF($C286="","",ROUND((U285+I286)*(1+Parámetros!$D$92),2))</f>
        <v>19324.04</v>
      </c>
      <c r="V286" s="117">
        <f>+IF($C286="","",ROUND(U286*VLOOKUP(B286,Parámetros!$C$30:$D$39,2,TRUE),2))</f>
        <v>19324.04</v>
      </c>
      <c r="W286" s="57">
        <f t="shared" si="379"/>
        <v>245</v>
      </c>
      <c r="X286" t="str">
        <f t="shared" si="380"/>
        <v>00058</v>
      </c>
      <c r="Y286" t="str">
        <f t="shared" si="381"/>
        <v>MUERTE POR CUALQUIER CAUSA</v>
      </c>
      <c r="Z286" s="118">
        <f>+IF($W286="","",ROUND(IF(Parámetros!$D$25='TABLAS MORT'!$V$33,Z285,Parámetros!$D$21-'Tablas Servicio'!T285),0))</f>
        <v>100000</v>
      </c>
      <c r="AA286" s="118" t="str">
        <f t="shared" si="382"/>
        <v>P</v>
      </c>
      <c r="AB286" s="119">
        <f>+IF(W286="","",ROUND((VLOOKUP(ROUNDDOWN($D286-1/frec,0),qx_tabla,2,FALSE)*(1+i/frec)^-0.5*(1+Parámetros!$D$103)*(1+rec_fracc)/frec),6))</f>
        <v>4.5100000000000001E-4</v>
      </c>
      <c r="AC286" s="66">
        <f t="shared" si="338"/>
        <v>45.1</v>
      </c>
      <c r="AD286" s="119">
        <f t="shared" si="334"/>
        <v>5.7600000000000001E-4</v>
      </c>
      <c r="AE286" s="66">
        <f>+IF($W286="","",ROUND(IF($B286&gt;Parámetros!$D$107,'Tablas Servicio'!AC286+('Tablas Servicio'!AG285-'Tablas Servicio'!AC285),AC286/(1-IF(B286&lt;=10,Parámetros!$D$104,Parámetros!$D$105))),2))</f>
        <v>75.17</v>
      </c>
      <c r="AF286" s="66">
        <f>+IF($W286="","",ROUND(IF($B286&gt;Parámetros!$D$107,'Tablas Servicio'!AC286+('Tablas Servicio'!AG285-'Tablas Servicio'!AC285),(AC286+$A285/frec)/(1-IF(B286&lt;=Parámetros!$D$117,Parámetros!$D$100,0))),2))</f>
        <v>57.6</v>
      </c>
      <c r="AG286" s="66">
        <f t="shared" si="339"/>
        <v>57.6</v>
      </c>
      <c r="AH286" s="66">
        <f t="shared" si="340"/>
        <v>0</v>
      </c>
      <c r="AI286" s="66">
        <f t="shared" si="341"/>
        <v>0</v>
      </c>
      <c r="AJ286" s="66">
        <f>+IF($W286="","",ROUND((AG286*Parámetros!$G$85),2))</f>
        <v>2.02</v>
      </c>
      <c r="AK286" s="66">
        <f>+IF($W286="","",ROUND((AG286*(Parámetros!$G$86)),2))</f>
        <v>0.28999999999999998</v>
      </c>
      <c r="AL286" s="66">
        <f t="shared" si="335"/>
        <v>59.91</v>
      </c>
      <c r="AM286" t="str">
        <f t="shared" si="383"/>
        <v>00059</v>
      </c>
      <c r="AN286" t="str">
        <f t="shared" si="384"/>
        <v>Incapacidad Total y Permanente</v>
      </c>
      <c r="AO286" s="118">
        <f t="shared" si="385"/>
        <v>0</v>
      </c>
      <c r="AP286" s="118" t="str">
        <f t="shared" si="386"/>
        <v>A</v>
      </c>
      <c r="AQ286" s="119" t="str">
        <f>+IF(OR($W286="",AO286=0),"",ROUND((VLOOKUP(ROUNDDOWN($D286-1/frec,0),cob_adi,Z$40,FALSE)*(1+i/frec)^-0.5*(1+Parámetros!$D$103)*(1+rec_fracc)/frec),6))</f>
        <v/>
      </c>
      <c r="AR286" s="66">
        <f t="shared" si="342"/>
        <v>0</v>
      </c>
      <c r="AS286" s="119" t="str">
        <f t="shared" si="343"/>
        <v/>
      </c>
      <c r="AT286" s="66">
        <f>+IF($W286="","",ROUND(IF($B286&gt;Parámetros!$D$107,'Tablas Servicio'!AR286+('Tablas Servicio'!AT285-'Tablas Servicio'!AR285),AR286/(1-IF(B286&lt;=10,Parámetros!$D$100,0))),2))</f>
        <v>0</v>
      </c>
      <c r="AU286" s="66">
        <f t="shared" si="344"/>
        <v>0</v>
      </c>
      <c r="AV286" s="66">
        <f t="shared" si="344"/>
        <v>0</v>
      </c>
      <c r="AW286" s="66">
        <f>+IF($W286="","",ROUND((AT286*Parámetros!$G$85),2))</f>
        <v>0</v>
      </c>
      <c r="AX286" s="66">
        <f>+IF($W286="","",ROUND((AT286*(Parámetros!$G$86)),2))</f>
        <v>0</v>
      </c>
      <c r="AY286" s="66">
        <f t="shared" si="345"/>
        <v>0</v>
      </c>
      <c r="AZ286" t="str">
        <f t="shared" si="387"/>
        <v>00060</v>
      </c>
      <c r="BA286" t="str">
        <f t="shared" si="388"/>
        <v>Muerte Accidental</v>
      </c>
      <c r="BB286" s="118">
        <f t="shared" si="389"/>
        <v>0</v>
      </c>
      <c r="BC286" s="118" t="str">
        <f t="shared" si="390"/>
        <v>A</v>
      </c>
      <c r="BD286" s="119" t="str">
        <f>+IF(OR($W286="",BB286=0),"",ROUND((VLOOKUP(ROUNDDOWN($D286-1/frec,0),cob_adi,AO$40,FALSE)*(1+i/frec)^-0.5*(1+Parámetros!$D$103)*(1+rec_fracc)/frec),6))</f>
        <v/>
      </c>
      <c r="BE286" s="66">
        <f t="shared" si="346"/>
        <v>0</v>
      </c>
      <c r="BF286" s="119" t="str">
        <f t="shared" si="347"/>
        <v/>
      </c>
      <c r="BG286" s="66">
        <f>+IF($W286="","",ROUND(IF($B286&gt;Parámetros!$D$107,'Tablas Servicio'!BE286+('Tablas Servicio'!BG285-'Tablas Servicio'!BE285),BE286/(1-IF(B286&lt;=10,Parámetros!$D$100,0))),2))</f>
        <v>0</v>
      </c>
      <c r="BH286" s="66">
        <f t="shared" si="348"/>
        <v>0</v>
      </c>
      <c r="BI286" s="66">
        <f t="shared" si="349"/>
        <v>0</v>
      </c>
      <c r="BJ286" s="66">
        <f>+IF($W286="","",ROUND((BG286*Parámetros!$G$85),2))</f>
        <v>0</v>
      </c>
      <c r="BK286" s="66">
        <f>+IF($W286="","",ROUND((BG286*(Parámetros!$G$86)),2))</f>
        <v>0</v>
      </c>
      <c r="BL286" s="66">
        <f t="shared" si="350"/>
        <v>0</v>
      </c>
      <c r="BM286" t="str">
        <f t="shared" si="391"/>
        <v>00061</v>
      </c>
      <c r="BN286" t="str">
        <f t="shared" si="392"/>
        <v>Gastos de Entierro</v>
      </c>
      <c r="BO286" s="118">
        <f t="shared" si="393"/>
        <v>0</v>
      </c>
      <c r="BP286" s="118" t="str">
        <f t="shared" si="394"/>
        <v>A</v>
      </c>
      <c r="BQ286" s="119" t="str">
        <f>+IF(OR($W286="",BO286=0),"",ROUND((VLOOKUP(ROUNDDOWN($D286-1/frec,0),cob_adi,BB$40,FALSE)*(1+i/frec)^-0.5*(1+Parámetros!$D$103)*(1+rec_fracc)/frec),6))</f>
        <v/>
      </c>
      <c r="BR286" s="66">
        <f t="shared" si="351"/>
        <v>0</v>
      </c>
      <c r="BS286" s="119" t="str">
        <f t="shared" si="352"/>
        <v/>
      </c>
      <c r="BT286" s="66">
        <f>+IF($W286="","",ROUND(IF($B286&gt;Parámetros!$D$107,'Tablas Servicio'!BR286+('Tablas Servicio'!BT285-'Tablas Servicio'!BR285),BR286/(1-IF(B286&lt;=10,Parámetros!$D$100,0))),2))</f>
        <v>0</v>
      </c>
      <c r="BU286" s="66">
        <f t="shared" si="353"/>
        <v>0</v>
      </c>
      <c r="BV286" s="66">
        <f t="shared" si="353"/>
        <v>0</v>
      </c>
      <c r="BW286" s="66">
        <f>+IF($W286="","",ROUND((BT286*Parámetros!$G$85),2))</f>
        <v>0</v>
      </c>
      <c r="BX286" s="66">
        <f>+IF($W286="","",ROUND((BT286*(Parámetros!$G$86)),2))</f>
        <v>0</v>
      </c>
      <c r="BY286" s="66">
        <f t="shared" si="354"/>
        <v>0</v>
      </c>
      <c r="BZ286" t="str">
        <f t="shared" si="395"/>
        <v>00062</v>
      </c>
      <c r="CA286" t="str">
        <f t="shared" si="396"/>
        <v>Gastos médicos por accidente</v>
      </c>
      <c r="CB286" s="118">
        <f t="shared" si="397"/>
        <v>0</v>
      </c>
      <c r="CC286" s="118" t="str">
        <f t="shared" si="398"/>
        <v>A</v>
      </c>
      <c r="CD286" s="119" t="str">
        <f t="shared" si="355"/>
        <v/>
      </c>
      <c r="CE286" s="66">
        <f>+IF($W286="","",ROUND((VLOOKUP(ROUNDDOWN($D286-1/frec,0),cob_adi,BO$40,FALSE)*(1+i/frec)^-0.5*(1+Parámetros!$D$103)*(1+rec_fracc)/frec*'TABLAS ADI'!$BC$17),2))</f>
        <v>0</v>
      </c>
      <c r="CF286" s="119" t="str">
        <f t="shared" si="356"/>
        <v/>
      </c>
      <c r="CG286" s="66">
        <f>+IF($W286="","",ROUND(IF($B286&gt;Parámetros!$D$107,'Tablas Servicio'!CE286+('Tablas Servicio'!CG285-'Tablas Servicio'!CE285),CE286/(1-IF(B286&lt;=10,Parámetros!$D$100,0))),2))</f>
        <v>0</v>
      </c>
      <c r="CH286" s="66">
        <f t="shared" si="357"/>
        <v>0</v>
      </c>
      <c r="CI286" s="66">
        <f t="shared" si="357"/>
        <v>0</v>
      </c>
      <c r="CJ286" s="66">
        <f>+IF($W286="","",ROUND((CG286*Parámetros!$G$85),2))</f>
        <v>0</v>
      </c>
      <c r="CK286" s="66">
        <f>+IF($W286="","",ROUND((CG286*(Parámetros!$G$86)),2))</f>
        <v>0</v>
      </c>
      <c r="CL286" s="66">
        <f t="shared" si="358"/>
        <v>0</v>
      </c>
      <c r="CM286" t="str">
        <f t="shared" si="399"/>
        <v>00063</v>
      </c>
      <c r="CN286" s="118" t="str">
        <f t="shared" si="400"/>
        <v>Renta Diaria por Hospitalización</v>
      </c>
      <c r="CO286" s="118">
        <f t="shared" si="401"/>
        <v>0</v>
      </c>
      <c r="CP286" s="118" t="str">
        <f t="shared" si="402"/>
        <v>A</v>
      </c>
      <c r="CQ286" s="119" t="str">
        <f t="shared" si="359"/>
        <v/>
      </c>
      <c r="CR286" s="66">
        <f>+IF($W286="","",ROUND((VLOOKUP(Parámetros!$F$51,'COBERTURAS ADICIONALES'!$S$4:$T$32,2,FALSE)*(1+i/frec)^-0.5*(1+Parámetros!$D$103)*(1+rec_fracc)/frec*$CO$42),2))</f>
        <v>0</v>
      </c>
      <c r="CS286" s="119" t="str">
        <f t="shared" si="360"/>
        <v/>
      </c>
      <c r="CT286" s="66">
        <f>+IF($W286="","",ROUND(IF($B286&gt;Parámetros!$D$107,'Tablas Servicio'!CR286+('Tablas Servicio'!CT285-'Tablas Servicio'!CR285),CR286/(1-IF(B286&lt;=10,Parámetros!$D$100,0))),2))</f>
        <v>0</v>
      </c>
      <c r="CU286" s="66">
        <f t="shared" si="361"/>
        <v>0</v>
      </c>
      <c r="CV286" s="66">
        <f t="shared" si="361"/>
        <v>0</v>
      </c>
      <c r="CW286" s="66">
        <f>+IF($W286="","",ROUND((CT286*Parámetros!$G$85),2))</f>
        <v>0</v>
      </c>
      <c r="CX286" s="66">
        <f>+IF($W286="","",ROUND((CT286*(Parámetros!$G$86)),2))</f>
        <v>0</v>
      </c>
      <c r="CY286" s="66">
        <f t="shared" si="362"/>
        <v>0</v>
      </c>
      <c r="CZ286" t="str">
        <f t="shared" si="403"/>
        <v>00064</v>
      </c>
      <c r="DA286" s="118" t="str">
        <f t="shared" si="404"/>
        <v>Enfermedades Graves</v>
      </c>
      <c r="DB286" s="118">
        <f t="shared" si="405"/>
        <v>0</v>
      </c>
      <c r="DC286" s="118" t="str">
        <f t="shared" si="406"/>
        <v>A</v>
      </c>
      <c r="DD286" s="121" t="str">
        <f>+IF(OR($W286="",DB286=0),"",ROUND((VLOOKUP(ROUNDDOWN($D286-1/frec,0),cob_adi,CO$40,FALSE)*(1+i/frec)^-0.5*(1+Parámetros!$D$103)*(1+rec_fracc)/frec),6))</f>
        <v/>
      </c>
      <c r="DE286" s="66">
        <f t="shared" si="363"/>
        <v>0</v>
      </c>
      <c r="DF286" s="119" t="str">
        <f t="shared" si="364"/>
        <v/>
      </c>
      <c r="DG286" s="66">
        <f>+IF($W286="","",ROUND(IF($B286&gt;Parámetros!$D$107,'Tablas Servicio'!DE286+('Tablas Servicio'!DG285-'Tablas Servicio'!DE285),DE286/(1-IF(B286&lt;=10,Parámetros!$D$100,0))),2))</f>
        <v>0</v>
      </c>
      <c r="DH286" s="66">
        <f t="shared" si="365"/>
        <v>0</v>
      </c>
      <c r="DI286" s="66">
        <f t="shared" si="365"/>
        <v>0</v>
      </c>
      <c r="DJ286" s="66">
        <f>+IF($W286="","",ROUND((DG286*Parámetros!$G$85),2))</f>
        <v>0</v>
      </c>
      <c r="DK286" s="66">
        <f>+IF($W286="","",ROUND((DG286*(Parámetros!$G$86)),2))</f>
        <v>0</v>
      </c>
      <c r="DL286" s="66">
        <f t="shared" si="366"/>
        <v>0</v>
      </c>
      <c r="DM286" t="str">
        <f t="shared" si="407"/>
        <v>00065</v>
      </c>
      <c r="DN286" s="118" t="str">
        <f t="shared" si="408"/>
        <v>Exención pago de primas</v>
      </c>
      <c r="DO286" s="118">
        <f t="shared" si="409"/>
        <v>0</v>
      </c>
      <c r="DP286" s="118" t="str">
        <f t="shared" si="410"/>
        <v>A</v>
      </c>
      <c r="DQ286" s="122" t="str">
        <f>+IF(OR($W286="",DO286=0),"",ROUND((VLOOKUP(ROUNDDOWN($D286-1/frec,0),cob_adi,DB$40,FALSE)*(1+i/frec)^-0.5*(1+Parámetros!$D$103)*(1+rec_fracc)/frec),6))</f>
        <v/>
      </c>
      <c r="DR286" s="66">
        <f t="shared" si="367"/>
        <v>0</v>
      </c>
      <c r="DS286" s="68" t="str">
        <f t="shared" si="368"/>
        <v/>
      </c>
      <c r="DT286" s="66">
        <f>+IF($W286="","",ROUND(IF($B286&gt;Parámetros!$D$107,'Tablas Servicio'!DR286+('Tablas Servicio'!DT285-'Tablas Servicio'!DR285),DR286/(1-IF(B286&lt;=10,Parámetros!$D$100,0))),2))</f>
        <v>0</v>
      </c>
      <c r="DU286" s="66">
        <f t="shared" si="369"/>
        <v>0</v>
      </c>
      <c r="DV286" s="66">
        <f t="shared" si="369"/>
        <v>0</v>
      </c>
      <c r="DW286" s="66">
        <f>+IF($W286="","",ROUND((DT286*Parámetros!$G$85),2))</f>
        <v>0</v>
      </c>
      <c r="DX286" s="66">
        <f>+IF($W286="","",ROUND((DT286*(Parámetros!$G$86)),2))</f>
        <v>0</v>
      </c>
      <c r="DY286" s="66">
        <f t="shared" si="370"/>
        <v>0</v>
      </c>
      <c r="DZ286" t="str">
        <f t="shared" si="413"/>
        <v>00066</v>
      </c>
      <c r="EA286" s="118" t="str">
        <f t="shared" si="413"/>
        <v>Enfermedad terminal</v>
      </c>
      <c r="EB286" s="118">
        <f>+IF($W286="","",ROUND(IF(Parámetros!$D$25='TABLAS MORT'!$V$33,EB285,Z286/2),0))</f>
        <v>50000</v>
      </c>
      <c r="EC286" s="118" t="str">
        <f t="shared" si="413"/>
        <v>A</v>
      </c>
      <c r="ED286" s="122">
        <f>+IF(OR($W286="",EB286=0),"",ROUND((VLOOKUP(ROUNDDOWN($D286-1/frec,0),cob_adi,DO$40,FALSE)*(1+i/frec)^-0.5*(1+Parámetros!$D$103)*(1+rec_fracc)/frec),6))</f>
        <v>3.8999999999999999E-5</v>
      </c>
      <c r="EE286" s="66">
        <f t="shared" si="372"/>
        <v>1.95</v>
      </c>
      <c r="EF286" s="68">
        <f t="shared" si="373"/>
        <v>3.8999999999999999E-5</v>
      </c>
      <c r="EG286" s="66">
        <f>+IF($W286="","",ROUND(IF($B286&gt;Parámetros!$D$107,'Tablas Servicio'!EE286+('Tablas Servicio'!EG285-'Tablas Servicio'!EE285),EE286/(1-IF(B286&lt;=10,Parámetros!$D$100,0))),2))</f>
        <v>1.95</v>
      </c>
      <c r="EH286" s="66">
        <f t="shared" si="374"/>
        <v>0</v>
      </c>
      <c r="EI286" s="66">
        <f t="shared" si="374"/>
        <v>0</v>
      </c>
      <c r="EJ286" s="66">
        <f>+IF($W286="","",ROUND((EG286*Parámetros!$G$85),2))</f>
        <v>7.0000000000000007E-2</v>
      </c>
      <c r="EK286" s="66">
        <f>+IF($W286="","",ROUND((EG286*(Parámetros!$G$86)),2))</f>
        <v>0.01</v>
      </c>
      <c r="EL286" s="66">
        <f t="shared" si="375"/>
        <v>2.0299999999999998</v>
      </c>
    </row>
    <row r="287" spans="1:142" x14ac:dyDescent="0.25">
      <c r="A287">
        <f>+IF($C287="","",ROUND(VLOOKUP('Tablas Servicio'!B287,Parámetros!$H$100:$J$159,IF(Parámetros!$E$16="F",2,3),FALSE),2))</f>
        <v>150</v>
      </c>
      <c r="B287">
        <f t="shared" si="326"/>
        <v>21</v>
      </c>
      <c r="C287" s="57">
        <f>+IF(D287="","",'Tablas Servicio'!C286+1)</f>
        <v>246</v>
      </c>
      <c r="D287" s="56">
        <f>+IF(D286&lt;edadmaxtabla,D286+1/Parámetros!$E$25,"")</f>
        <v>60.520000000000586</v>
      </c>
      <c r="E287" s="57">
        <f t="shared" si="336"/>
        <v>60</v>
      </c>
      <c r="F287" s="59">
        <f t="shared" si="337"/>
        <v>100000</v>
      </c>
      <c r="G287" s="66">
        <f t="shared" si="327"/>
        <v>59.550000000000004</v>
      </c>
      <c r="H287" s="66">
        <f t="shared" si="328"/>
        <v>61.94</v>
      </c>
      <c r="I287" s="66">
        <f t="shared" si="376"/>
        <v>32.06</v>
      </c>
      <c r="J287" s="66">
        <f t="shared" si="329"/>
        <v>2.09</v>
      </c>
      <c r="K287" s="66">
        <f t="shared" si="330"/>
        <v>0.3</v>
      </c>
      <c r="L287" s="66">
        <f t="shared" si="331"/>
        <v>0</v>
      </c>
      <c r="M287" s="66">
        <f t="shared" si="332"/>
        <v>0</v>
      </c>
      <c r="N287" s="66">
        <f>+IF(C287="","",ROUND(Parámetros!$D$23,2))</f>
        <v>94</v>
      </c>
      <c r="O287" s="66">
        <f t="shared" si="333"/>
        <v>47.050000000000004</v>
      </c>
      <c r="P287" s="66">
        <f>+IF($C287="","",ROUND(IF(B287&gt;Parámetros!$D$117,0,N287*Parámetros!$D$116-G287*Parámetros!$D$100),2))</f>
        <v>0</v>
      </c>
      <c r="Q287" s="75">
        <f t="shared" si="377"/>
        <v>3.5096557514693531E-2</v>
      </c>
      <c r="R287" s="75">
        <f t="shared" si="378"/>
        <v>5.0377833753148613E-3</v>
      </c>
      <c r="S287" s="117">
        <f>+IF($C287="","",ROUND((S286+I287)*(1+Parámetros!$D$91),2))</f>
        <v>18299.72</v>
      </c>
      <c r="T287" s="117">
        <f>+IF($C287="","",ROUND(S287*VLOOKUP(B287,Parámetros!$C$30:$D$39,2,TRUE),2))</f>
        <v>18299.72</v>
      </c>
      <c r="U287" s="117">
        <f>+IF($C287="","",ROUND((U286+I287)*(1+Parámetros!$D$92),2))</f>
        <v>19418.849999999999</v>
      </c>
      <c r="V287" s="117">
        <f>+IF($C287="","",ROUND(U287*VLOOKUP(B287,Parámetros!$C$30:$D$39,2,TRUE),2))</f>
        <v>19418.849999999999</v>
      </c>
      <c r="W287" s="57">
        <f t="shared" si="379"/>
        <v>246</v>
      </c>
      <c r="X287" t="str">
        <f t="shared" si="380"/>
        <v>00058</v>
      </c>
      <c r="Y287" t="str">
        <f t="shared" si="381"/>
        <v>MUERTE POR CUALQUIER CAUSA</v>
      </c>
      <c r="Z287" s="118">
        <f>+IF($W287="","",ROUND(IF(Parámetros!$D$25='TABLAS MORT'!$V$33,Z286,Parámetros!$D$21-'Tablas Servicio'!T286),0))</f>
        <v>100000</v>
      </c>
      <c r="AA287" s="118" t="str">
        <f t="shared" si="382"/>
        <v>P</v>
      </c>
      <c r="AB287" s="119">
        <f>+IF(W287="","",ROUND((VLOOKUP(ROUNDDOWN($D287-1/frec,0),qx_tabla,2,FALSE)*(1+i/frec)^-0.5*(1+Parámetros!$D$103)*(1+rec_fracc)/frec),6))</f>
        <v>4.5100000000000001E-4</v>
      </c>
      <c r="AC287" s="66">
        <f t="shared" si="338"/>
        <v>45.1</v>
      </c>
      <c r="AD287" s="119">
        <f t="shared" si="334"/>
        <v>5.7600000000000001E-4</v>
      </c>
      <c r="AE287" s="66">
        <f>+IF($W287="","",ROUND(IF($B287&gt;Parámetros!$D$107,'Tablas Servicio'!AC287+('Tablas Servicio'!AG286-'Tablas Servicio'!AC286),AC287/(1-IF(B287&lt;=10,Parámetros!$D$104,Parámetros!$D$105))),2))</f>
        <v>75.17</v>
      </c>
      <c r="AF287" s="66">
        <f>+IF($W287="","",ROUND(IF($B287&gt;Parámetros!$D$107,'Tablas Servicio'!AC287+('Tablas Servicio'!AG286-'Tablas Servicio'!AC286),(AC287+$A286/frec)/(1-IF(B287&lt;=Parámetros!$D$117,Parámetros!$D$100,0))),2))</f>
        <v>57.6</v>
      </c>
      <c r="AG287" s="66">
        <f t="shared" si="339"/>
        <v>57.6</v>
      </c>
      <c r="AH287" s="66">
        <f t="shared" si="340"/>
        <v>0</v>
      </c>
      <c r="AI287" s="66">
        <f t="shared" si="341"/>
        <v>0</v>
      </c>
      <c r="AJ287" s="66">
        <f>+IF($W287="","",ROUND((AG287*Parámetros!$G$85),2))</f>
        <v>2.02</v>
      </c>
      <c r="AK287" s="66">
        <f>+IF($W287="","",ROUND((AG287*(Parámetros!$G$86)),2))</f>
        <v>0.28999999999999998</v>
      </c>
      <c r="AL287" s="66">
        <f t="shared" si="335"/>
        <v>59.91</v>
      </c>
      <c r="AM287" t="str">
        <f t="shared" si="383"/>
        <v>00059</v>
      </c>
      <c r="AN287" t="str">
        <f t="shared" si="384"/>
        <v>Incapacidad Total y Permanente</v>
      </c>
      <c r="AO287" s="118">
        <f t="shared" si="385"/>
        <v>0</v>
      </c>
      <c r="AP287" s="118" t="str">
        <f t="shared" si="386"/>
        <v>A</v>
      </c>
      <c r="AQ287" s="119" t="str">
        <f>+IF(OR($W287="",AO287=0),"",ROUND((VLOOKUP(ROUNDDOWN($D287-1/frec,0),cob_adi,Z$40,FALSE)*(1+i/frec)^-0.5*(1+Parámetros!$D$103)*(1+rec_fracc)/frec),6))</f>
        <v/>
      </c>
      <c r="AR287" s="66">
        <f t="shared" si="342"/>
        <v>0</v>
      </c>
      <c r="AS287" s="119" t="str">
        <f t="shared" si="343"/>
        <v/>
      </c>
      <c r="AT287" s="66">
        <f>+IF($W287="","",ROUND(IF($B287&gt;Parámetros!$D$107,'Tablas Servicio'!AR287+('Tablas Servicio'!AT286-'Tablas Servicio'!AR286),AR287/(1-IF(B287&lt;=10,Parámetros!$D$100,0))),2))</f>
        <v>0</v>
      </c>
      <c r="AU287" s="66">
        <f t="shared" si="344"/>
        <v>0</v>
      </c>
      <c r="AV287" s="66">
        <f t="shared" si="344"/>
        <v>0</v>
      </c>
      <c r="AW287" s="66">
        <f>+IF($W287="","",ROUND((AT287*Parámetros!$G$85),2))</f>
        <v>0</v>
      </c>
      <c r="AX287" s="66">
        <f>+IF($W287="","",ROUND((AT287*(Parámetros!$G$86)),2))</f>
        <v>0</v>
      </c>
      <c r="AY287" s="66">
        <f t="shared" si="345"/>
        <v>0</v>
      </c>
      <c r="AZ287" t="str">
        <f t="shared" si="387"/>
        <v>00060</v>
      </c>
      <c r="BA287" t="str">
        <f t="shared" si="388"/>
        <v>Muerte Accidental</v>
      </c>
      <c r="BB287" s="118">
        <f t="shared" si="389"/>
        <v>0</v>
      </c>
      <c r="BC287" s="118" t="str">
        <f t="shared" si="390"/>
        <v>A</v>
      </c>
      <c r="BD287" s="119" t="str">
        <f>+IF(OR($W287="",BB287=0),"",ROUND((VLOOKUP(ROUNDDOWN($D287-1/frec,0),cob_adi,AO$40,FALSE)*(1+i/frec)^-0.5*(1+Parámetros!$D$103)*(1+rec_fracc)/frec),6))</f>
        <v/>
      </c>
      <c r="BE287" s="66">
        <f t="shared" si="346"/>
        <v>0</v>
      </c>
      <c r="BF287" s="119" t="str">
        <f t="shared" si="347"/>
        <v/>
      </c>
      <c r="BG287" s="66">
        <f>+IF($W287="","",ROUND(IF($B287&gt;Parámetros!$D$107,'Tablas Servicio'!BE287+('Tablas Servicio'!BG286-'Tablas Servicio'!BE286),BE287/(1-IF(B287&lt;=10,Parámetros!$D$100,0))),2))</f>
        <v>0</v>
      </c>
      <c r="BH287" s="66">
        <f t="shared" si="348"/>
        <v>0</v>
      </c>
      <c r="BI287" s="66">
        <f t="shared" si="349"/>
        <v>0</v>
      </c>
      <c r="BJ287" s="66">
        <f>+IF($W287="","",ROUND((BG287*Parámetros!$G$85),2))</f>
        <v>0</v>
      </c>
      <c r="BK287" s="66">
        <f>+IF($W287="","",ROUND((BG287*(Parámetros!$G$86)),2))</f>
        <v>0</v>
      </c>
      <c r="BL287" s="66">
        <f t="shared" si="350"/>
        <v>0</v>
      </c>
      <c r="BM287" t="str">
        <f t="shared" si="391"/>
        <v>00061</v>
      </c>
      <c r="BN287" t="str">
        <f t="shared" si="392"/>
        <v>Gastos de Entierro</v>
      </c>
      <c r="BO287" s="118">
        <f t="shared" si="393"/>
        <v>0</v>
      </c>
      <c r="BP287" s="118" t="str">
        <f t="shared" si="394"/>
        <v>A</v>
      </c>
      <c r="BQ287" s="119" t="str">
        <f>+IF(OR($W287="",BO287=0),"",ROUND((VLOOKUP(ROUNDDOWN($D287-1/frec,0),cob_adi,BB$40,FALSE)*(1+i/frec)^-0.5*(1+Parámetros!$D$103)*(1+rec_fracc)/frec),6))</f>
        <v/>
      </c>
      <c r="BR287" s="66">
        <f t="shared" si="351"/>
        <v>0</v>
      </c>
      <c r="BS287" s="119" t="str">
        <f t="shared" si="352"/>
        <v/>
      </c>
      <c r="BT287" s="66">
        <f>+IF($W287="","",ROUND(IF($B287&gt;Parámetros!$D$107,'Tablas Servicio'!BR287+('Tablas Servicio'!BT286-'Tablas Servicio'!BR286),BR287/(1-IF(B287&lt;=10,Parámetros!$D$100,0))),2))</f>
        <v>0</v>
      </c>
      <c r="BU287" s="66">
        <f t="shared" si="353"/>
        <v>0</v>
      </c>
      <c r="BV287" s="66">
        <f t="shared" si="353"/>
        <v>0</v>
      </c>
      <c r="BW287" s="66">
        <f>+IF($W287="","",ROUND((BT287*Parámetros!$G$85),2))</f>
        <v>0</v>
      </c>
      <c r="BX287" s="66">
        <f>+IF($W287="","",ROUND((BT287*(Parámetros!$G$86)),2))</f>
        <v>0</v>
      </c>
      <c r="BY287" s="66">
        <f t="shared" si="354"/>
        <v>0</v>
      </c>
      <c r="BZ287" t="str">
        <f t="shared" si="395"/>
        <v>00062</v>
      </c>
      <c r="CA287" t="str">
        <f t="shared" si="396"/>
        <v>Gastos médicos por accidente</v>
      </c>
      <c r="CB287" s="118">
        <f t="shared" si="397"/>
        <v>0</v>
      </c>
      <c r="CC287" s="118" t="str">
        <f t="shared" si="398"/>
        <v>A</v>
      </c>
      <c r="CD287" s="119" t="str">
        <f t="shared" si="355"/>
        <v/>
      </c>
      <c r="CE287" s="66">
        <f>+IF($W287="","",ROUND((VLOOKUP(ROUNDDOWN($D287-1/frec,0),cob_adi,BO$40,FALSE)*(1+i/frec)^-0.5*(1+Parámetros!$D$103)*(1+rec_fracc)/frec*'TABLAS ADI'!$BC$17),2))</f>
        <v>0</v>
      </c>
      <c r="CF287" s="119" t="str">
        <f t="shared" si="356"/>
        <v/>
      </c>
      <c r="CG287" s="66">
        <f>+IF($W287="","",ROUND(IF($B287&gt;Parámetros!$D$107,'Tablas Servicio'!CE287+('Tablas Servicio'!CG286-'Tablas Servicio'!CE286),CE287/(1-IF(B287&lt;=10,Parámetros!$D$100,0))),2))</f>
        <v>0</v>
      </c>
      <c r="CH287" s="66">
        <f t="shared" si="357"/>
        <v>0</v>
      </c>
      <c r="CI287" s="66">
        <f t="shared" si="357"/>
        <v>0</v>
      </c>
      <c r="CJ287" s="66">
        <f>+IF($W287="","",ROUND((CG287*Parámetros!$G$85),2))</f>
        <v>0</v>
      </c>
      <c r="CK287" s="66">
        <f>+IF($W287="","",ROUND((CG287*(Parámetros!$G$86)),2))</f>
        <v>0</v>
      </c>
      <c r="CL287" s="66">
        <f t="shared" si="358"/>
        <v>0</v>
      </c>
      <c r="CM287" t="str">
        <f t="shared" si="399"/>
        <v>00063</v>
      </c>
      <c r="CN287" s="118" t="str">
        <f t="shared" si="400"/>
        <v>Renta Diaria por Hospitalización</v>
      </c>
      <c r="CO287" s="118">
        <f t="shared" si="401"/>
        <v>0</v>
      </c>
      <c r="CP287" s="118" t="str">
        <f t="shared" si="402"/>
        <v>A</v>
      </c>
      <c r="CQ287" s="119" t="str">
        <f t="shared" si="359"/>
        <v/>
      </c>
      <c r="CR287" s="66">
        <f>+IF($W287="","",ROUND((VLOOKUP(Parámetros!$F$51,'COBERTURAS ADICIONALES'!$S$4:$T$32,2,FALSE)*(1+i/frec)^-0.5*(1+Parámetros!$D$103)*(1+rec_fracc)/frec*$CO$42),2))</f>
        <v>0</v>
      </c>
      <c r="CS287" s="119" t="str">
        <f t="shared" si="360"/>
        <v/>
      </c>
      <c r="CT287" s="66">
        <f>+IF($W287="","",ROUND(IF($B287&gt;Parámetros!$D$107,'Tablas Servicio'!CR287+('Tablas Servicio'!CT286-'Tablas Servicio'!CR286),CR287/(1-IF(B287&lt;=10,Parámetros!$D$100,0))),2))</f>
        <v>0</v>
      </c>
      <c r="CU287" s="66">
        <f t="shared" si="361"/>
        <v>0</v>
      </c>
      <c r="CV287" s="66">
        <f t="shared" si="361"/>
        <v>0</v>
      </c>
      <c r="CW287" s="66">
        <f>+IF($W287="","",ROUND((CT287*Parámetros!$G$85),2))</f>
        <v>0</v>
      </c>
      <c r="CX287" s="66">
        <f>+IF($W287="","",ROUND((CT287*(Parámetros!$G$86)),2))</f>
        <v>0</v>
      </c>
      <c r="CY287" s="66">
        <f t="shared" si="362"/>
        <v>0</v>
      </c>
      <c r="CZ287" t="str">
        <f t="shared" si="403"/>
        <v>00064</v>
      </c>
      <c r="DA287" s="118" t="str">
        <f t="shared" si="404"/>
        <v>Enfermedades Graves</v>
      </c>
      <c r="DB287" s="118">
        <f t="shared" si="405"/>
        <v>0</v>
      </c>
      <c r="DC287" s="118" t="str">
        <f t="shared" si="406"/>
        <v>A</v>
      </c>
      <c r="DD287" s="121" t="str">
        <f>+IF(OR($W287="",DB287=0),"",ROUND((VLOOKUP(ROUNDDOWN($D287-1/frec,0),cob_adi,CO$40,FALSE)*(1+i/frec)^-0.5*(1+Parámetros!$D$103)*(1+rec_fracc)/frec),6))</f>
        <v/>
      </c>
      <c r="DE287" s="66">
        <f t="shared" si="363"/>
        <v>0</v>
      </c>
      <c r="DF287" s="119" t="str">
        <f t="shared" si="364"/>
        <v/>
      </c>
      <c r="DG287" s="66">
        <f>+IF($W287="","",ROUND(IF($B287&gt;Parámetros!$D$107,'Tablas Servicio'!DE287+('Tablas Servicio'!DG286-'Tablas Servicio'!DE286),DE287/(1-IF(B287&lt;=10,Parámetros!$D$100,0))),2))</f>
        <v>0</v>
      </c>
      <c r="DH287" s="66">
        <f t="shared" si="365"/>
        <v>0</v>
      </c>
      <c r="DI287" s="66">
        <f t="shared" si="365"/>
        <v>0</v>
      </c>
      <c r="DJ287" s="66">
        <f>+IF($W287="","",ROUND((DG287*Parámetros!$G$85),2))</f>
        <v>0</v>
      </c>
      <c r="DK287" s="66">
        <f>+IF($W287="","",ROUND((DG287*(Parámetros!$G$86)),2))</f>
        <v>0</v>
      </c>
      <c r="DL287" s="66">
        <f t="shared" si="366"/>
        <v>0</v>
      </c>
      <c r="DM287" t="str">
        <f t="shared" si="407"/>
        <v>00065</v>
      </c>
      <c r="DN287" s="118" t="str">
        <f t="shared" si="408"/>
        <v>Exención pago de primas</v>
      </c>
      <c r="DO287" s="118">
        <f t="shared" si="409"/>
        <v>0</v>
      </c>
      <c r="DP287" s="118" t="str">
        <f t="shared" si="410"/>
        <v>A</v>
      </c>
      <c r="DQ287" s="122" t="str">
        <f>+IF(OR($W287="",DO287=0),"",ROUND((VLOOKUP(ROUNDDOWN($D287-1/frec,0),cob_adi,DB$40,FALSE)*(1+i/frec)^-0.5*(1+Parámetros!$D$103)*(1+rec_fracc)/frec),6))</f>
        <v/>
      </c>
      <c r="DR287" s="66">
        <f t="shared" si="367"/>
        <v>0</v>
      </c>
      <c r="DS287" s="68" t="str">
        <f t="shared" si="368"/>
        <v/>
      </c>
      <c r="DT287" s="66">
        <f>+IF($W287="","",ROUND(IF($B287&gt;Parámetros!$D$107,'Tablas Servicio'!DR287+('Tablas Servicio'!DT286-'Tablas Servicio'!DR286),DR287/(1-IF(B287&lt;=10,Parámetros!$D$100,0))),2))</f>
        <v>0</v>
      </c>
      <c r="DU287" s="66">
        <f t="shared" si="369"/>
        <v>0</v>
      </c>
      <c r="DV287" s="66">
        <f t="shared" si="369"/>
        <v>0</v>
      </c>
      <c r="DW287" s="66">
        <f>+IF($W287="","",ROUND((DT287*Parámetros!$G$85),2))</f>
        <v>0</v>
      </c>
      <c r="DX287" s="66">
        <f>+IF($W287="","",ROUND((DT287*(Parámetros!$G$86)),2))</f>
        <v>0</v>
      </c>
      <c r="DY287" s="66">
        <f t="shared" si="370"/>
        <v>0</v>
      </c>
      <c r="DZ287" t="str">
        <f t="shared" si="413"/>
        <v>00066</v>
      </c>
      <c r="EA287" s="118" t="str">
        <f t="shared" si="413"/>
        <v>Enfermedad terminal</v>
      </c>
      <c r="EB287" s="118">
        <f>+IF($W287="","",ROUND(IF(Parámetros!$D$25='TABLAS MORT'!$V$33,EB286,Z287/2),0))</f>
        <v>50000</v>
      </c>
      <c r="EC287" s="118" t="str">
        <f t="shared" si="413"/>
        <v>A</v>
      </c>
      <c r="ED287" s="122">
        <f>+IF(OR($W287="",EB287=0),"",ROUND((VLOOKUP(ROUNDDOWN($D287-1/frec,0),cob_adi,DO$40,FALSE)*(1+i/frec)^-0.5*(1+Parámetros!$D$103)*(1+rec_fracc)/frec),6))</f>
        <v>3.8999999999999999E-5</v>
      </c>
      <c r="EE287" s="66">
        <f t="shared" si="372"/>
        <v>1.95</v>
      </c>
      <c r="EF287" s="68">
        <f t="shared" si="373"/>
        <v>3.8999999999999999E-5</v>
      </c>
      <c r="EG287" s="66">
        <f>+IF($W287="","",ROUND(IF($B287&gt;Parámetros!$D$107,'Tablas Servicio'!EE287+('Tablas Servicio'!EG286-'Tablas Servicio'!EE286),EE287/(1-IF(B287&lt;=10,Parámetros!$D$100,0))),2))</f>
        <v>1.95</v>
      </c>
      <c r="EH287" s="66">
        <f t="shared" si="374"/>
        <v>0</v>
      </c>
      <c r="EI287" s="66">
        <f t="shared" si="374"/>
        <v>0</v>
      </c>
      <c r="EJ287" s="66">
        <f>+IF($W287="","",ROUND((EG287*Parámetros!$G$85),2))</f>
        <v>7.0000000000000007E-2</v>
      </c>
      <c r="EK287" s="66">
        <f>+IF($W287="","",ROUND((EG287*(Parámetros!$G$86)),2))</f>
        <v>0.01</v>
      </c>
      <c r="EL287" s="66">
        <f t="shared" si="375"/>
        <v>2.0299999999999998</v>
      </c>
    </row>
    <row r="288" spans="1:142" x14ac:dyDescent="0.25">
      <c r="A288">
        <f>+IF($C288="","",ROUND(VLOOKUP('Tablas Servicio'!B288,Parámetros!$H$100:$J$159,IF(Parámetros!$E$16="F",2,3),FALSE),2))</f>
        <v>150</v>
      </c>
      <c r="B288">
        <f t="shared" si="326"/>
        <v>21</v>
      </c>
      <c r="C288" s="57">
        <f>+IF(D288="","",'Tablas Servicio'!C287+1)</f>
        <v>247</v>
      </c>
      <c r="D288" s="56">
        <f>+IF(D287&lt;edadmaxtabla,D287+1/Parámetros!$E$25,"")</f>
        <v>60.603333333333921</v>
      </c>
      <c r="E288" s="57">
        <f t="shared" si="336"/>
        <v>60</v>
      </c>
      <c r="F288" s="59">
        <f t="shared" si="337"/>
        <v>100000</v>
      </c>
      <c r="G288" s="66">
        <f t="shared" si="327"/>
        <v>59.550000000000004</v>
      </c>
      <c r="H288" s="66">
        <f t="shared" si="328"/>
        <v>61.94</v>
      </c>
      <c r="I288" s="66">
        <f t="shared" si="376"/>
        <v>32.06</v>
      </c>
      <c r="J288" s="66">
        <f t="shared" si="329"/>
        <v>2.09</v>
      </c>
      <c r="K288" s="66">
        <f t="shared" si="330"/>
        <v>0.3</v>
      </c>
      <c r="L288" s="66">
        <f t="shared" si="331"/>
        <v>0</v>
      </c>
      <c r="M288" s="66">
        <f t="shared" si="332"/>
        <v>0</v>
      </c>
      <c r="N288" s="66">
        <f>+IF(C288="","",ROUND(Parámetros!$D$23,2))</f>
        <v>94</v>
      </c>
      <c r="O288" s="66">
        <f t="shared" si="333"/>
        <v>47.050000000000004</v>
      </c>
      <c r="P288" s="66">
        <f>+IF($C288="","",ROUND(IF(B288&gt;Parámetros!$D$117,0,N288*Parámetros!$D$116-G288*Parámetros!$D$100),2))</f>
        <v>0</v>
      </c>
      <c r="Q288" s="75">
        <f t="shared" si="377"/>
        <v>3.5096557514693531E-2</v>
      </c>
      <c r="R288" s="75">
        <f t="shared" si="378"/>
        <v>5.0377833753148613E-3</v>
      </c>
      <c r="S288" s="117">
        <f>+IF($C288="","",ROUND((S287+I288)*(1+Parámetros!$D$91),2))</f>
        <v>18383.78</v>
      </c>
      <c r="T288" s="117">
        <f>+IF($C288="","",ROUND(S288*VLOOKUP(B288,Parámetros!$C$30:$D$39,2,TRUE),2))</f>
        <v>18383.78</v>
      </c>
      <c r="U288" s="117">
        <f>+IF($C288="","",ROUND((U287+I288)*(1+Parámetros!$D$92),2))</f>
        <v>19513.96</v>
      </c>
      <c r="V288" s="117">
        <f>+IF($C288="","",ROUND(U288*VLOOKUP(B288,Parámetros!$C$30:$D$39,2,TRUE),2))</f>
        <v>19513.96</v>
      </c>
      <c r="W288" s="57">
        <f t="shared" si="379"/>
        <v>247</v>
      </c>
      <c r="X288" t="str">
        <f t="shared" si="380"/>
        <v>00058</v>
      </c>
      <c r="Y288" t="str">
        <f t="shared" si="381"/>
        <v>MUERTE POR CUALQUIER CAUSA</v>
      </c>
      <c r="Z288" s="118">
        <f>+IF($W288="","",ROUND(IF(Parámetros!$D$25='TABLAS MORT'!$V$33,Z287,Parámetros!$D$21-'Tablas Servicio'!T287),0))</f>
        <v>100000</v>
      </c>
      <c r="AA288" s="118" t="str">
        <f t="shared" si="382"/>
        <v>P</v>
      </c>
      <c r="AB288" s="119">
        <f>+IF(W288="","",ROUND((VLOOKUP(ROUNDDOWN($D288-1/frec,0),qx_tabla,2,FALSE)*(1+i/frec)^-0.5*(1+Parámetros!$D$103)*(1+rec_fracc)/frec),6))</f>
        <v>4.5100000000000001E-4</v>
      </c>
      <c r="AC288" s="66">
        <f t="shared" si="338"/>
        <v>45.1</v>
      </c>
      <c r="AD288" s="119">
        <f t="shared" si="334"/>
        <v>5.7600000000000001E-4</v>
      </c>
      <c r="AE288" s="66">
        <f>+IF($W288="","",ROUND(IF($B288&gt;Parámetros!$D$107,'Tablas Servicio'!AC288+('Tablas Servicio'!AG287-'Tablas Servicio'!AC287),AC288/(1-IF(B288&lt;=10,Parámetros!$D$104,Parámetros!$D$105))),2))</f>
        <v>75.17</v>
      </c>
      <c r="AF288" s="66">
        <f>+IF($W288="","",ROUND(IF($B288&gt;Parámetros!$D$107,'Tablas Servicio'!AC288+('Tablas Servicio'!AG287-'Tablas Servicio'!AC287),(AC288+$A287/frec)/(1-IF(B288&lt;=Parámetros!$D$117,Parámetros!$D$100,0))),2))</f>
        <v>57.6</v>
      </c>
      <c r="AG288" s="66">
        <f t="shared" si="339"/>
        <v>57.6</v>
      </c>
      <c r="AH288" s="66">
        <f t="shared" si="340"/>
        <v>0</v>
      </c>
      <c r="AI288" s="66">
        <f t="shared" si="341"/>
        <v>0</v>
      </c>
      <c r="AJ288" s="66">
        <f>+IF($W288="","",ROUND((AG288*Parámetros!$G$85),2))</f>
        <v>2.02</v>
      </c>
      <c r="AK288" s="66">
        <f>+IF($W288="","",ROUND((AG288*(Parámetros!$G$86)),2))</f>
        <v>0.28999999999999998</v>
      </c>
      <c r="AL288" s="66">
        <f t="shared" si="335"/>
        <v>59.91</v>
      </c>
      <c r="AM288" t="str">
        <f t="shared" si="383"/>
        <v>00059</v>
      </c>
      <c r="AN288" t="str">
        <f t="shared" si="384"/>
        <v>Incapacidad Total y Permanente</v>
      </c>
      <c r="AO288" s="118">
        <f t="shared" si="385"/>
        <v>0</v>
      </c>
      <c r="AP288" s="118" t="str">
        <f t="shared" si="386"/>
        <v>A</v>
      </c>
      <c r="AQ288" s="119" t="str">
        <f>+IF(OR($W288="",AO288=0),"",ROUND((VLOOKUP(ROUNDDOWN($D288-1/frec,0),cob_adi,Z$40,FALSE)*(1+i/frec)^-0.5*(1+Parámetros!$D$103)*(1+rec_fracc)/frec),6))</f>
        <v/>
      </c>
      <c r="AR288" s="66">
        <f t="shared" si="342"/>
        <v>0</v>
      </c>
      <c r="AS288" s="119" t="str">
        <f t="shared" si="343"/>
        <v/>
      </c>
      <c r="AT288" s="66">
        <f>+IF($W288="","",ROUND(IF($B288&gt;Parámetros!$D$107,'Tablas Servicio'!AR288+('Tablas Servicio'!AT287-'Tablas Servicio'!AR287),AR288/(1-IF(B288&lt;=10,Parámetros!$D$100,0))),2))</f>
        <v>0</v>
      </c>
      <c r="AU288" s="66">
        <f t="shared" si="344"/>
        <v>0</v>
      </c>
      <c r="AV288" s="66">
        <f t="shared" si="344"/>
        <v>0</v>
      </c>
      <c r="AW288" s="66">
        <f>+IF($W288="","",ROUND((AT288*Parámetros!$G$85),2))</f>
        <v>0</v>
      </c>
      <c r="AX288" s="66">
        <f>+IF($W288="","",ROUND((AT288*(Parámetros!$G$86)),2))</f>
        <v>0</v>
      </c>
      <c r="AY288" s="66">
        <f t="shared" si="345"/>
        <v>0</v>
      </c>
      <c r="AZ288" t="str">
        <f t="shared" si="387"/>
        <v>00060</v>
      </c>
      <c r="BA288" t="str">
        <f t="shared" si="388"/>
        <v>Muerte Accidental</v>
      </c>
      <c r="BB288" s="118">
        <f t="shared" si="389"/>
        <v>0</v>
      </c>
      <c r="BC288" s="118" t="str">
        <f t="shared" si="390"/>
        <v>A</v>
      </c>
      <c r="BD288" s="119" t="str">
        <f>+IF(OR($W288="",BB288=0),"",ROUND((VLOOKUP(ROUNDDOWN($D288-1/frec,0),cob_adi,AO$40,FALSE)*(1+i/frec)^-0.5*(1+Parámetros!$D$103)*(1+rec_fracc)/frec),6))</f>
        <v/>
      </c>
      <c r="BE288" s="66">
        <f t="shared" si="346"/>
        <v>0</v>
      </c>
      <c r="BF288" s="119" t="str">
        <f t="shared" si="347"/>
        <v/>
      </c>
      <c r="BG288" s="66">
        <f>+IF($W288="","",ROUND(IF($B288&gt;Parámetros!$D$107,'Tablas Servicio'!BE288+('Tablas Servicio'!BG287-'Tablas Servicio'!BE287),BE288/(1-IF(B288&lt;=10,Parámetros!$D$100,0))),2))</f>
        <v>0</v>
      </c>
      <c r="BH288" s="66">
        <f t="shared" si="348"/>
        <v>0</v>
      </c>
      <c r="BI288" s="66">
        <f t="shared" si="349"/>
        <v>0</v>
      </c>
      <c r="BJ288" s="66">
        <f>+IF($W288="","",ROUND((BG288*Parámetros!$G$85),2))</f>
        <v>0</v>
      </c>
      <c r="BK288" s="66">
        <f>+IF($W288="","",ROUND((BG288*(Parámetros!$G$86)),2))</f>
        <v>0</v>
      </c>
      <c r="BL288" s="66">
        <f t="shared" si="350"/>
        <v>0</v>
      </c>
      <c r="BM288" t="str">
        <f t="shared" si="391"/>
        <v>00061</v>
      </c>
      <c r="BN288" t="str">
        <f t="shared" si="392"/>
        <v>Gastos de Entierro</v>
      </c>
      <c r="BO288" s="118">
        <f t="shared" si="393"/>
        <v>0</v>
      </c>
      <c r="BP288" s="118" t="str">
        <f t="shared" si="394"/>
        <v>A</v>
      </c>
      <c r="BQ288" s="119" t="str">
        <f>+IF(OR($W288="",BO288=0),"",ROUND((VLOOKUP(ROUNDDOWN($D288-1/frec,0),cob_adi,BB$40,FALSE)*(1+i/frec)^-0.5*(1+Parámetros!$D$103)*(1+rec_fracc)/frec),6))</f>
        <v/>
      </c>
      <c r="BR288" s="66">
        <f t="shared" si="351"/>
        <v>0</v>
      </c>
      <c r="BS288" s="119" t="str">
        <f t="shared" si="352"/>
        <v/>
      </c>
      <c r="BT288" s="66">
        <f>+IF($W288="","",ROUND(IF($B288&gt;Parámetros!$D$107,'Tablas Servicio'!BR288+('Tablas Servicio'!BT287-'Tablas Servicio'!BR287),BR288/(1-IF(B288&lt;=10,Parámetros!$D$100,0))),2))</f>
        <v>0</v>
      </c>
      <c r="BU288" s="66">
        <f t="shared" si="353"/>
        <v>0</v>
      </c>
      <c r="BV288" s="66">
        <f t="shared" si="353"/>
        <v>0</v>
      </c>
      <c r="BW288" s="66">
        <f>+IF($W288="","",ROUND((BT288*Parámetros!$G$85),2))</f>
        <v>0</v>
      </c>
      <c r="BX288" s="66">
        <f>+IF($W288="","",ROUND((BT288*(Parámetros!$G$86)),2))</f>
        <v>0</v>
      </c>
      <c r="BY288" s="66">
        <f t="shared" si="354"/>
        <v>0</v>
      </c>
      <c r="BZ288" t="str">
        <f t="shared" si="395"/>
        <v>00062</v>
      </c>
      <c r="CA288" t="str">
        <f t="shared" si="396"/>
        <v>Gastos médicos por accidente</v>
      </c>
      <c r="CB288" s="118">
        <f t="shared" si="397"/>
        <v>0</v>
      </c>
      <c r="CC288" s="118" t="str">
        <f t="shared" si="398"/>
        <v>A</v>
      </c>
      <c r="CD288" s="119" t="str">
        <f t="shared" si="355"/>
        <v/>
      </c>
      <c r="CE288" s="66">
        <f>+IF($W288="","",ROUND((VLOOKUP(ROUNDDOWN($D288-1/frec,0),cob_adi,BO$40,FALSE)*(1+i/frec)^-0.5*(1+Parámetros!$D$103)*(1+rec_fracc)/frec*'TABLAS ADI'!$BC$17),2))</f>
        <v>0</v>
      </c>
      <c r="CF288" s="119" t="str">
        <f t="shared" si="356"/>
        <v/>
      </c>
      <c r="CG288" s="66">
        <f>+IF($W288="","",ROUND(IF($B288&gt;Parámetros!$D$107,'Tablas Servicio'!CE288+('Tablas Servicio'!CG287-'Tablas Servicio'!CE287),CE288/(1-IF(B288&lt;=10,Parámetros!$D$100,0))),2))</f>
        <v>0</v>
      </c>
      <c r="CH288" s="66">
        <f t="shared" si="357"/>
        <v>0</v>
      </c>
      <c r="CI288" s="66">
        <f t="shared" si="357"/>
        <v>0</v>
      </c>
      <c r="CJ288" s="66">
        <f>+IF($W288="","",ROUND((CG288*Parámetros!$G$85),2))</f>
        <v>0</v>
      </c>
      <c r="CK288" s="66">
        <f>+IF($W288="","",ROUND((CG288*(Parámetros!$G$86)),2))</f>
        <v>0</v>
      </c>
      <c r="CL288" s="66">
        <f t="shared" si="358"/>
        <v>0</v>
      </c>
      <c r="CM288" t="str">
        <f t="shared" si="399"/>
        <v>00063</v>
      </c>
      <c r="CN288" s="118" t="str">
        <f t="shared" si="400"/>
        <v>Renta Diaria por Hospitalización</v>
      </c>
      <c r="CO288" s="118">
        <f t="shared" si="401"/>
        <v>0</v>
      </c>
      <c r="CP288" s="118" t="str">
        <f t="shared" si="402"/>
        <v>A</v>
      </c>
      <c r="CQ288" s="119" t="str">
        <f t="shared" si="359"/>
        <v/>
      </c>
      <c r="CR288" s="66">
        <f>+IF($W288="","",ROUND((VLOOKUP(Parámetros!$F$51,'COBERTURAS ADICIONALES'!$S$4:$T$32,2,FALSE)*(1+i/frec)^-0.5*(1+Parámetros!$D$103)*(1+rec_fracc)/frec*$CO$42),2))</f>
        <v>0</v>
      </c>
      <c r="CS288" s="119" t="str">
        <f t="shared" si="360"/>
        <v/>
      </c>
      <c r="CT288" s="66">
        <f>+IF($W288="","",ROUND(IF($B288&gt;Parámetros!$D$107,'Tablas Servicio'!CR288+('Tablas Servicio'!CT287-'Tablas Servicio'!CR287),CR288/(1-IF(B288&lt;=10,Parámetros!$D$100,0))),2))</f>
        <v>0</v>
      </c>
      <c r="CU288" s="66">
        <f t="shared" si="361"/>
        <v>0</v>
      </c>
      <c r="CV288" s="66">
        <f t="shared" si="361"/>
        <v>0</v>
      </c>
      <c r="CW288" s="66">
        <f>+IF($W288="","",ROUND((CT288*Parámetros!$G$85),2))</f>
        <v>0</v>
      </c>
      <c r="CX288" s="66">
        <f>+IF($W288="","",ROUND((CT288*(Parámetros!$G$86)),2))</f>
        <v>0</v>
      </c>
      <c r="CY288" s="66">
        <f t="shared" si="362"/>
        <v>0</v>
      </c>
      <c r="CZ288" t="str">
        <f t="shared" si="403"/>
        <v>00064</v>
      </c>
      <c r="DA288" s="118" t="str">
        <f t="shared" si="404"/>
        <v>Enfermedades Graves</v>
      </c>
      <c r="DB288" s="118">
        <f t="shared" si="405"/>
        <v>0</v>
      </c>
      <c r="DC288" s="118" t="str">
        <f t="shared" si="406"/>
        <v>A</v>
      </c>
      <c r="DD288" s="121" t="str">
        <f>+IF(OR($W288="",DB288=0),"",ROUND((VLOOKUP(ROUNDDOWN($D288-1/frec,0),cob_adi,CO$40,FALSE)*(1+i/frec)^-0.5*(1+Parámetros!$D$103)*(1+rec_fracc)/frec),6))</f>
        <v/>
      </c>
      <c r="DE288" s="66">
        <f t="shared" si="363"/>
        <v>0</v>
      </c>
      <c r="DF288" s="119" t="str">
        <f t="shared" si="364"/>
        <v/>
      </c>
      <c r="DG288" s="66">
        <f>+IF($W288="","",ROUND(IF($B288&gt;Parámetros!$D$107,'Tablas Servicio'!DE288+('Tablas Servicio'!DG287-'Tablas Servicio'!DE287),DE288/(1-IF(B288&lt;=10,Parámetros!$D$100,0))),2))</f>
        <v>0</v>
      </c>
      <c r="DH288" s="66">
        <f t="shared" si="365"/>
        <v>0</v>
      </c>
      <c r="DI288" s="66">
        <f t="shared" si="365"/>
        <v>0</v>
      </c>
      <c r="DJ288" s="66">
        <f>+IF($W288="","",ROUND((DG288*Parámetros!$G$85),2))</f>
        <v>0</v>
      </c>
      <c r="DK288" s="66">
        <f>+IF($W288="","",ROUND((DG288*(Parámetros!$G$86)),2))</f>
        <v>0</v>
      </c>
      <c r="DL288" s="66">
        <f t="shared" si="366"/>
        <v>0</v>
      </c>
      <c r="DM288" t="str">
        <f t="shared" si="407"/>
        <v>00065</v>
      </c>
      <c r="DN288" s="118" t="str">
        <f t="shared" si="408"/>
        <v>Exención pago de primas</v>
      </c>
      <c r="DO288" s="118">
        <f t="shared" si="409"/>
        <v>0</v>
      </c>
      <c r="DP288" s="118" t="str">
        <f t="shared" si="410"/>
        <v>A</v>
      </c>
      <c r="DQ288" s="122" t="str">
        <f>+IF(OR($W288="",DO288=0),"",ROUND((VLOOKUP(ROUNDDOWN($D288-1/frec,0),cob_adi,DB$40,FALSE)*(1+i/frec)^-0.5*(1+Parámetros!$D$103)*(1+rec_fracc)/frec),6))</f>
        <v/>
      </c>
      <c r="DR288" s="66">
        <f t="shared" si="367"/>
        <v>0</v>
      </c>
      <c r="DS288" s="68" t="str">
        <f t="shared" si="368"/>
        <v/>
      </c>
      <c r="DT288" s="66">
        <f>+IF($W288="","",ROUND(IF($B288&gt;Parámetros!$D$107,'Tablas Servicio'!DR288+('Tablas Servicio'!DT287-'Tablas Servicio'!DR287),DR288/(1-IF(B288&lt;=10,Parámetros!$D$100,0))),2))</f>
        <v>0</v>
      </c>
      <c r="DU288" s="66">
        <f t="shared" si="369"/>
        <v>0</v>
      </c>
      <c r="DV288" s="66">
        <f t="shared" si="369"/>
        <v>0</v>
      </c>
      <c r="DW288" s="66">
        <f>+IF($W288="","",ROUND((DT288*Parámetros!$G$85),2))</f>
        <v>0</v>
      </c>
      <c r="DX288" s="66">
        <f>+IF($W288="","",ROUND((DT288*(Parámetros!$G$86)),2))</f>
        <v>0</v>
      </c>
      <c r="DY288" s="66">
        <f t="shared" si="370"/>
        <v>0</v>
      </c>
      <c r="DZ288" t="str">
        <f t="shared" si="413"/>
        <v>00066</v>
      </c>
      <c r="EA288" s="118" t="str">
        <f t="shared" si="413"/>
        <v>Enfermedad terminal</v>
      </c>
      <c r="EB288" s="118">
        <f>+IF($W288="","",ROUND(IF(Parámetros!$D$25='TABLAS MORT'!$V$33,EB287,Z288/2),0))</f>
        <v>50000</v>
      </c>
      <c r="EC288" s="118" t="str">
        <f t="shared" si="413"/>
        <v>A</v>
      </c>
      <c r="ED288" s="122">
        <f>+IF(OR($W288="",EB288=0),"",ROUND((VLOOKUP(ROUNDDOWN($D288-1/frec,0),cob_adi,DO$40,FALSE)*(1+i/frec)^-0.5*(1+Parámetros!$D$103)*(1+rec_fracc)/frec),6))</f>
        <v>3.8999999999999999E-5</v>
      </c>
      <c r="EE288" s="66">
        <f t="shared" si="372"/>
        <v>1.95</v>
      </c>
      <c r="EF288" s="68">
        <f t="shared" si="373"/>
        <v>3.8999999999999999E-5</v>
      </c>
      <c r="EG288" s="66">
        <f>+IF($W288="","",ROUND(IF($B288&gt;Parámetros!$D$107,'Tablas Servicio'!EE288+('Tablas Servicio'!EG287-'Tablas Servicio'!EE287),EE288/(1-IF(B288&lt;=10,Parámetros!$D$100,0))),2))</f>
        <v>1.95</v>
      </c>
      <c r="EH288" s="66">
        <f t="shared" si="374"/>
        <v>0</v>
      </c>
      <c r="EI288" s="66">
        <f t="shared" si="374"/>
        <v>0</v>
      </c>
      <c r="EJ288" s="66">
        <f>+IF($W288="","",ROUND((EG288*Parámetros!$G$85),2))</f>
        <v>7.0000000000000007E-2</v>
      </c>
      <c r="EK288" s="66">
        <f>+IF($W288="","",ROUND((EG288*(Parámetros!$G$86)),2))</f>
        <v>0.01</v>
      </c>
      <c r="EL288" s="66">
        <f t="shared" si="375"/>
        <v>2.0299999999999998</v>
      </c>
    </row>
    <row r="289" spans="1:142" x14ac:dyDescent="0.25">
      <c r="A289">
        <f>+IF($C289="","",ROUND(VLOOKUP('Tablas Servicio'!B289,Parámetros!$H$100:$J$159,IF(Parámetros!$E$16="F",2,3),FALSE),2))</f>
        <v>150</v>
      </c>
      <c r="B289">
        <f t="shared" si="326"/>
        <v>21</v>
      </c>
      <c r="C289" s="57">
        <f>+IF(D289="","",'Tablas Servicio'!C288+1)</f>
        <v>248</v>
      </c>
      <c r="D289" s="56">
        <f>+IF(D288&lt;edadmaxtabla,D288+1/Parámetros!$E$25,"")</f>
        <v>60.686666666667257</v>
      </c>
      <c r="E289" s="57">
        <f t="shared" si="336"/>
        <v>60</v>
      </c>
      <c r="F289" s="59">
        <f t="shared" si="337"/>
        <v>100000</v>
      </c>
      <c r="G289" s="66">
        <f t="shared" si="327"/>
        <v>59.550000000000004</v>
      </c>
      <c r="H289" s="66">
        <f t="shared" si="328"/>
        <v>61.94</v>
      </c>
      <c r="I289" s="66">
        <f t="shared" si="376"/>
        <v>32.06</v>
      </c>
      <c r="J289" s="66">
        <f t="shared" si="329"/>
        <v>2.09</v>
      </c>
      <c r="K289" s="66">
        <f t="shared" si="330"/>
        <v>0.3</v>
      </c>
      <c r="L289" s="66">
        <f t="shared" si="331"/>
        <v>0</v>
      </c>
      <c r="M289" s="66">
        <f t="shared" si="332"/>
        <v>0</v>
      </c>
      <c r="N289" s="66">
        <f>+IF(C289="","",ROUND(Parámetros!$D$23,2))</f>
        <v>94</v>
      </c>
      <c r="O289" s="66">
        <f t="shared" si="333"/>
        <v>47.050000000000004</v>
      </c>
      <c r="P289" s="66">
        <f>+IF($C289="","",ROUND(IF(B289&gt;Parámetros!$D$117,0,N289*Parámetros!$D$116-G289*Parámetros!$D$100),2))</f>
        <v>0</v>
      </c>
      <c r="Q289" s="75">
        <f t="shared" si="377"/>
        <v>3.5096557514693531E-2</v>
      </c>
      <c r="R289" s="75">
        <f t="shared" si="378"/>
        <v>5.0377833753148613E-3</v>
      </c>
      <c r="S289" s="117">
        <f>+IF($C289="","",ROUND((S288+I289)*(1+Parámetros!$D$91),2))</f>
        <v>18468.080000000002</v>
      </c>
      <c r="T289" s="117">
        <f>+IF($C289="","",ROUND(S289*VLOOKUP(B289,Parámetros!$C$30:$D$39,2,TRUE),2))</f>
        <v>18468.080000000002</v>
      </c>
      <c r="U289" s="117">
        <f>+IF($C289="","",ROUND((U288+I289)*(1+Parámetros!$D$92),2))</f>
        <v>19609.38</v>
      </c>
      <c r="V289" s="117">
        <f>+IF($C289="","",ROUND(U289*VLOOKUP(B289,Parámetros!$C$30:$D$39,2,TRUE),2))</f>
        <v>19609.38</v>
      </c>
      <c r="W289" s="57">
        <f t="shared" si="379"/>
        <v>248</v>
      </c>
      <c r="X289" t="str">
        <f t="shared" si="380"/>
        <v>00058</v>
      </c>
      <c r="Y289" t="str">
        <f t="shared" si="381"/>
        <v>MUERTE POR CUALQUIER CAUSA</v>
      </c>
      <c r="Z289" s="118">
        <f>+IF($W289="","",ROUND(IF(Parámetros!$D$25='TABLAS MORT'!$V$33,Z288,Parámetros!$D$21-'Tablas Servicio'!T288),0))</f>
        <v>100000</v>
      </c>
      <c r="AA289" s="118" t="str">
        <f t="shared" si="382"/>
        <v>P</v>
      </c>
      <c r="AB289" s="119">
        <f>+IF(W289="","",ROUND((VLOOKUP(ROUNDDOWN($D289-1/frec,0),qx_tabla,2,FALSE)*(1+i/frec)^-0.5*(1+Parámetros!$D$103)*(1+rec_fracc)/frec),6))</f>
        <v>4.5100000000000001E-4</v>
      </c>
      <c r="AC289" s="66">
        <f t="shared" si="338"/>
        <v>45.1</v>
      </c>
      <c r="AD289" s="119">
        <f t="shared" si="334"/>
        <v>5.7600000000000001E-4</v>
      </c>
      <c r="AE289" s="66">
        <f>+IF($W289="","",ROUND(IF($B289&gt;Parámetros!$D$107,'Tablas Servicio'!AC289+('Tablas Servicio'!AG288-'Tablas Servicio'!AC288),AC289/(1-IF(B289&lt;=10,Parámetros!$D$104,Parámetros!$D$105))),2))</f>
        <v>75.17</v>
      </c>
      <c r="AF289" s="66">
        <f>+IF($W289="","",ROUND(IF($B289&gt;Parámetros!$D$107,'Tablas Servicio'!AC289+('Tablas Servicio'!AG288-'Tablas Servicio'!AC288),(AC289+$A288/frec)/(1-IF(B289&lt;=Parámetros!$D$117,Parámetros!$D$100,0))),2))</f>
        <v>57.6</v>
      </c>
      <c r="AG289" s="66">
        <f t="shared" si="339"/>
        <v>57.6</v>
      </c>
      <c r="AH289" s="66">
        <f t="shared" si="340"/>
        <v>0</v>
      </c>
      <c r="AI289" s="66">
        <f t="shared" si="341"/>
        <v>0</v>
      </c>
      <c r="AJ289" s="66">
        <f>+IF($W289="","",ROUND((AG289*Parámetros!$G$85),2))</f>
        <v>2.02</v>
      </c>
      <c r="AK289" s="66">
        <f>+IF($W289="","",ROUND((AG289*(Parámetros!$G$86)),2))</f>
        <v>0.28999999999999998</v>
      </c>
      <c r="AL289" s="66">
        <f t="shared" si="335"/>
        <v>59.91</v>
      </c>
      <c r="AM289" t="str">
        <f t="shared" si="383"/>
        <v>00059</v>
      </c>
      <c r="AN289" t="str">
        <f t="shared" si="384"/>
        <v>Incapacidad Total y Permanente</v>
      </c>
      <c r="AO289" s="118">
        <f t="shared" si="385"/>
        <v>0</v>
      </c>
      <c r="AP289" s="118" t="str">
        <f t="shared" si="386"/>
        <v>A</v>
      </c>
      <c r="AQ289" s="119" t="str">
        <f>+IF(OR($W289="",AO289=0),"",ROUND((VLOOKUP(ROUNDDOWN($D289-1/frec,0),cob_adi,Z$40,FALSE)*(1+i/frec)^-0.5*(1+Parámetros!$D$103)*(1+rec_fracc)/frec),6))</f>
        <v/>
      </c>
      <c r="AR289" s="66">
        <f t="shared" si="342"/>
        <v>0</v>
      </c>
      <c r="AS289" s="119" t="str">
        <f t="shared" si="343"/>
        <v/>
      </c>
      <c r="AT289" s="66">
        <f>+IF($W289="","",ROUND(IF($B289&gt;Parámetros!$D$107,'Tablas Servicio'!AR289+('Tablas Servicio'!AT288-'Tablas Servicio'!AR288),AR289/(1-IF(B289&lt;=10,Parámetros!$D$100,0))),2))</f>
        <v>0</v>
      </c>
      <c r="AU289" s="66">
        <f t="shared" si="344"/>
        <v>0</v>
      </c>
      <c r="AV289" s="66">
        <f t="shared" si="344"/>
        <v>0</v>
      </c>
      <c r="AW289" s="66">
        <f>+IF($W289="","",ROUND((AT289*Parámetros!$G$85),2))</f>
        <v>0</v>
      </c>
      <c r="AX289" s="66">
        <f>+IF($W289="","",ROUND((AT289*(Parámetros!$G$86)),2))</f>
        <v>0</v>
      </c>
      <c r="AY289" s="66">
        <f t="shared" si="345"/>
        <v>0</v>
      </c>
      <c r="AZ289" t="str">
        <f t="shared" si="387"/>
        <v>00060</v>
      </c>
      <c r="BA289" t="str">
        <f t="shared" si="388"/>
        <v>Muerte Accidental</v>
      </c>
      <c r="BB289" s="118">
        <f t="shared" si="389"/>
        <v>0</v>
      </c>
      <c r="BC289" s="118" t="str">
        <f t="shared" si="390"/>
        <v>A</v>
      </c>
      <c r="BD289" s="119" t="str">
        <f>+IF(OR($W289="",BB289=0),"",ROUND((VLOOKUP(ROUNDDOWN($D289-1/frec,0),cob_adi,AO$40,FALSE)*(1+i/frec)^-0.5*(1+Parámetros!$D$103)*(1+rec_fracc)/frec),6))</f>
        <v/>
      </c>
      <c r="BE289" s="66">
        <f t="shared" si="346"/>
        <v>0</v>
      </c>
      <c r="BF289" s="119" t="str">
        <f t="shared" si="347"/>
        <v/>
      </c>
      <c r="BG289" s="66">
        <f>+IF($W289="","",ROUND(IF($B289&gt;Parámetros!$D$107,'Tablas Servicio'!BE289+('Tablas Servicio'!BG288-'Tablas Servicio'!BE288),BE289/(1-IF(B289&lt;=10,Parámetros!$D$100,0))),2))</f>
        <v>0</v>
      </c>
      <c r="BH289" s="66">
        <f t="shared" si="348"/>
        <v>0</v>
      </c>
      <c r="BI289" s="66">
        <f t="shared" si="349"/>
        <v>0</v>
      </c>
      <c r="BJ289" s="66">
        <f>+IF($W289="","",ROUND((BG289*Parámetros!$G$85),2))</f>
        <v>0</v>
      </c>
      <c r="BK289" s="66">
        <f>+IF($W289="","",ROUND((BG289*(Parámetros!$G$86)),2))</f>
        <v>0</v>
      </c>
      <c r="BL289" s="66">
        <f t="shared" si="350"/>
        <v>0</v>
      </c>
      <c r="BM289" t="str">
        <f t="shared" si="391"/>
        <v>00061</v>
      </c>
      <c r="BN289" t="str">
        <f t="shared" si="392"/>
        <v>Gastos de Entierro</v>
      </c>
      <c r="BO289" s="118">
        <f t="shared" si="393"/>
        <v>0</v>
      </c>
      <c r="BP289" s="118" t="str">
        <f t="shared" si="394"/>
        <v>A</v>
      </c>
      <c r="BQ289" s="119" t="str">
        <f>+IF(OR($W289="",BO289=0),"",ROUND((VLOOKUP(ROUNDDOWN($D289-1/frec,0),cob_adi,BB$40,FALSE)*(1+i/frec)^-0.5*(1+Parámetros!$D$103)*(1+rec_fracc)/frec),6))</f>
        <v/>
      </c>
      <c r="BR289" s="66">
        <f t="shared" si="351"/>
        <v>0</v>
      </c>
      <c r="BS289" s="119" t="str">
        <f t="shared" si="352"/>
        <v/>
      </c>
      <c r="BT289" s="66">
        <f>+IF($W289="","",ROUND(IF($B289&gt;Parámetros!$D$107,'Tablas Servicio'!BR289+('Tablas Servicio'!BT288-'Tablas Servicio'!BR288),BR289/(1-IF(B289&lt;=10,Parámetros!$D$100,0))),2))</f>
        <v>0</v>
      </c>
      <c r="BU289" s="66">
        <f t="shared" si="353"/>
        <v>0</v>
      </c>
      <c r="BV289" s="66">
        <f t="shared" si="353"/>
        <v>0</v>
      </c>
      <c r="BW289" s="66">
        <f>+IF($W289="","",ROUND((BT289*Parámetros!$G$85),2))</f>
        <v>0</v>
      </c>
      <c r="BX289" s="66">
        <f>+IF($W289="","",ROUND((BT289*(Parámetros!$G$86)),2))</f>
        <v>0</v>
      </c>
      <c r="BY289" s="66">
        <f t="shared" si="354"/>
        <v>0</v>
      </c>
      <c r="BZ289" t="str">
        <f t="shared" si="395"/>
        <v>00062</v>
      </c>
      <c r="CA289" t="str">
        <f t="shared" si="396"/>
        <v>Gastos médicos por accidente</v>
      </c>
      <c r="CB289" s="118">
        <f t="shared" si="397"/>
        <v>0</v>
      </c>
      <c r="CC289" s="118" t="str">
        <f t="shared" si="398"/>
        <v>A</v>
      </c>
      <c r="CD289" s="119" t="str">
        <f t="shared" si="355"/>
        <v/>
      </c>
      <c r="CE289" s="66">
        <f>+IF($W289="","",ROUND((VLOOKUP(ROUNDDOWN($D289-1/frec,0),cob_adi,BO$40,FALSE)*(1+i/frec)^-0.5*(1+Parámetros!$D$103)*(1+rec_fracc)/frec*'TABLAS ADI'!$BC$17),2))</f>
        <v>0</v>
      </c>
      <c r="CF289" s="119" t="str">
        <f t="shared" si="356"/>
        <v/>
      </c>
      <c r="CG289" s="66">
        <f>+IF($W289="","",ROUND(IF($B289&gt;Parámetros!$D$107,'Tablas Servicio'!CE289+('Tablas Servicio'!CG288-'Tablas Servicio'!CE288),CE289/(1-IF(B289&lt;=10,Parámetros!$D$100,0))),2))</f>
        <v>0</v>
      </c>
      <c r="CH289" s="66">
        <f t="shared" si="357"/>
        <v>0</v>
      </c>
      <c r="CI289" s="66">
        <f t="shared" si="357"/>
        <v>0</v>
      </c>
      <c r="CJ289" s="66">
        <f>+IF($W289="","",ROUND((CG289*Parámetros!$G$85),2))</f>
        <v>0</v>
      </c>
      <c r="CK289" s="66">
        <f>+IF($W289="","",ROUND((CG289*(Parámetros!$G$86)),2))</f>
        <v>0</v>
      </c>
      <c r="CL289" s="66">
        <f t="shared" si="358"/>
        <v>0</v>
      </c>
      <c r="CM289" t="str">
        <f t="shared" si="399"/>
        <v>00063</v>
      </c>
      <c r="CN289" s="118" t="str">
        <f t="shared" si="400"/>
        <v>Renta Diaria por Hospitalización</v>
      </c>
      <c r="CO289" s="118">
        <f t="shared" si="401"/>
        <v>0</v>
      </c>
      <c r="CP289" s="118" t="str">
        <f t="shared" si="402"/>
        <v>A</v>
      </c>
      <c r="CQ289" s="119" t="str">
        <f t="shared" si="359"/>
        <v/>
      </c>
      <c r="CR289" s="66">
        <f>+IF($W289="","",ROUND((VLOOKUP(Parámetros!$F$51,'COBERTURAS ADICIONALES'!$S$4:$T$32,2,FALSE)*(1+i/frec)^-0.5*(1+Parámetros!$D$103)*(1+rec_fracc)/frec*$CO$42),2))</f>
        <v>0</v>
      </c>
      <c r="CS289" s="119" t="str">
        <f t="shared" si="360"/>
        <v/>
      </c>
      <c r="CT289" s="66">
        <f>+IF($W289="","",ROUND(IF($B289&gt;Parámetros!$D$107,'Tablas Servicio'!CR289+('Tablas Servicio'!CT288-'Tablas Servicio'!CR288),CR289/(1-IF(B289&lt;=10,Parámetros!$D$100,0))),2))</f>
        <v>0</v>
      </c>
      <c r="CU289" s="66">
        <f t="shared" si="361"/>
        <v>0</v>
      </c>
      <c r="CV289" s="66">
        <f t="shared" si="361"/>
        <v>0</v>
      </c>
      <c r="CW289" s="66">
        <f>+IF($W289="","",ROUND((CT289*Parámetros!$G$85),2))</f>
        <v>0</v>
      </c>
      <c r="CX289" s="66">
        <f>+IF($W289="","",ROUND((CT289*(Parámetros!$G$86)),2))</f>
        <v>0</v>
      </c>
      <c r="CY289" s="66">
        <f t="shared" si="362"/>
        <v>0</v>
      </c>
      <c r="CZ289" t="str">
        <f t="shared" si="403"/>
        <v>00064</v>
      </c>
      <c r="DA289" s="118" t="str">
        <f t="shared" si="404"/>
        <v>Enfermedades Graves</v>
      </c>
      <c r="DB289" s="118">
        <f t="shared" si="405"/>
        <v>0</v>
      </c>
      <c r="DC289" s="118" t="str">
        <f t="shared" si="406"/>
        <v>A</v>
      </c>
      <c r="DD289" s="121" t="str">
        <f>+IF(OR($W289="",DB289=0),"",ROUND((VLOOKUP(ROUNDDOWN($D289-1/frec,0),cob_adi,CO$40,FALSE)*(1+i/frec)^-0.5*(1+Parámetros!$D$103)*(1+rec_fracc)/frec),6))</f>
        <v/>
      </c>
      <c r="DE289" s="66">
        <f t="shared" si="363"/>
        <v>0</v>
      </c>
      <c r="DF289" s="119" t="str">
        <f t="shared" si="364"/>
        <v/>
      </c>
      <c r="DG289" s="66">
        <f>+IF($W289="","",ROUND(IF($B289&gt;Parámetros!$D$107,'Tablas Servicio'!DE289+('Tablas Servicio'!DG288-'Tablas Servicio'!DE288),DE289/(1-IF(B289&lt;=10,Parámetros!$D$100,0))),2))</f>
        <v>0</v>
      </c>
      <c r="DH289" s="66">
        <f t="shared" si="365"/>
        <v>0</v>
      </c>
      <c r="DI289" s="66">
        <f t="shared" si="365"/>
        <v>0</v>
      </c>
      <c r="DJ289" s="66">
        <f>+IF($W289="","",ROUND((DG289*Parámetros!$G$85),2))</f>
        <v>0</v>
      </c>
      <c r="DK289" s="66">
        <f>+IF($W289="","",ROUND((DG289*(Parámetros!$G$86)),2))</f>
        <v>0</v>
      </c>
      <c r="DL289" s="66">
        <f t="shared" si="366"/>
        <v>0</v>
      </c>
      <c r="DM289" t="str">
        <f t="shared" si="407"/>
        <v>00065</v>
      </c>
      <c r="DN289" s="118" t="str">
        <f t="shared" si="408"/>
        <v>Exención pago de primas</v>
      </c>
      <c r="DO289" s="118">
        <f t="shared" si="409"/>
        <v>0</v>
      </c>
      <c r="DP289" s="118" t="str">
        <f t="shared" si="410"/>
        <v>A</v>
      </c>
      <c r="DQ289" s="122" t="str">
        <f>+IF(OR($W289="",DO289=0),"",ROUND((VLOOKUP(ROUNDDOWN($D289-1/frec,0),cob_adi,DB$40,FALSE)*(1+i/frec)^-0.5*(1+Parámetros!$D$103)*(1+rec_fracc)/frec),6))</f>
        <v/>
      </c>
      <c r="DR289" s="66">
        <f t="shared" si="367"/>
        <v>0</v>
      </c>
      <c r="DS289" s="68" t="str">
        <f t="shared" si="368"/>
        <v/>
      </c>
      <c r="DT289" s="66">
        <f>+IF($W289="","",ROUND(IF($B289&gt;Parámetros!$D$107,'Tablas Servicio'!DR289+('Tablas Servicio'!DT288-'Tablas Servicio'!DR288),DR289/(1-IF(B289&lt;=10,Parámetros!$D$100,0))),2))</f>
        <v>0</v>
      </c>
      <c r="DU289" s="66">
        <f t="shared" si="369"/>
        <v>0</v>
      </c>
      <c r="DV289" s="66">
        <f t="shared" si="369"/>
        <v>0</v>
      </c>
      <c r="DW289" s="66">
        <f>+IF($W289="","",ROUND((DT289*Parámetros!$G$85),2))</f>
        <v>0</v>
      </c>
      <c r="DX289" s="66">
        <f>+IF($W289="","",ROUND((DT289*(Parámetros!$G$86)),2))</f>
        <v>0</v>
      </c>
      <c r="DY289" s="66">
        <f t="shared" si="370"/>
        <v>0</v>
      </c>
      <c r="DZ289" t="str">
        <f t="shared" si="413"/>
        <v>00066</v>
      </c>
      <c r="EA289" s="118" t="str">
        <f t="shared" si="413"/>
        <v>Enfermedad terminal</v>
      </c>
      <c r="EB289" s="118">
        <f>+IF($W289="","",ROUND(IF(Parámetros!$D$25='TABLAS MORT'!$V$33,EB288,Z289/2),0))</f>
        <v>50000</v>
      </c>
      <c r="EC289" s="118" t="str">
        <f t="shared" si="413"/>
        <v>A</v>
      </c>
      <c r="ED289" s="122">
        <f>+IF(OR($W289="",EB289=0),"",ROUND((VLOOKUP(ROUNDDOWN($D289-1/frec,0),cob_adi,DO$40,FALSE)*(1+i/frec)^-0.5*(1+Parámetros!$D$103)*(1+rec_fracc)/frec),6))</f>
        <v>3.8999999999999999E-5</v>
      </c>
      <c r="EE289" s="66">
        <f t="shared" si="372"/>
        <v>1.95</v>
      </c>
      <c r="EF289" s="68">
        <f t="shared" si="373"/>
        <v>3.8999999999999999E-5</v>
      </c>
      <c r="EG289" s="66">
        <f>+IF($W289="","",ROUND(IF($B289&gt;Parámetros!$D$107,'Tablas Servicio'!EE289+('Tablas Servicio'!EG288-'Tablas Servicio'!EE288),EE289/(1-IF(B289&lt;=10,Parámetros!$D$100,0))),2))</f>
        <v>1.95</v>
      </c>
      <c r="EH289" s="66">
        <f t="shared" si="374"/>
        <v>0</v>
      </c>
      <c r="EI289" s="66">
        <f t="shared" si="374"/>
        <v>0</v>
      </c>
      <c r="EJ289" s="66">
        <f>+IF($W289="","",ROUND((EG289*Parámetros!$G$85),2))</f>
        <v>7.0000000000000007E-2</v>
      </c>
      <c r="EK289" s="66">
        <f>+IF($W289="","",ROUND((EG289*(Parámetros!$G$86)),2))</f>
        <v>0.01</v>
      </c>
      <c r="EL289" s="66">
        <f t="shared" si="375"/>
        <v>2.0299999999999998</v>
      </c>
    </row>
    <row r="290" spans="1:142" x14ac:dyDescent="0.25">
      <c r="A290">
        <f>+IF($C290="","",ROUND(VLOOKUP('Tablas Servicio'!B290,Parámetros!$H$100:$J$159,IF(Parámetros!$E$16="F",2,3),FALSE),2))</f>
        <v>150</v>
      </c>
      <c r="B290">
        <f t="shared" si="326"/>
        <v>21</v>
      </c>
      <c r="C290" s="57">
        <f>+IF(D290="","",'Tablas Servicio'!C289+1)</f>
        <v>249</v>
      </c>
      <c r="D290" s="56">
        <f>+IF(D289&lt;edadmaxtabla,D289+1/Parámetros!$E$25,"")</f>
        <v>60.770000000000593</v>
      </c>
      <c r="E290" s="57">
        <f t="shared" si="336"/>
        <v>60</v>
      </c>
      <c r="F290" s="59">
        <f t="shared" si="337"/>
        <v>100000</v>
      </c>
      <c r="G290" s="66">
        <f t="shared" si="327"/>
        <v>59.550000000000004</v>
      </c>
      <c r="H290" s="66">
        <f t="shared" si="328"/>
        <v>61.94</v>
      </c>
      <c r="I290" s="66">
        <f t="shared" si="376"/>
        <v>32.06</v>
      </c>
      <c r="J290" s="66">
        <f t="shared" si="329"/>
        <v>2.09</v>
      </c>
      <c r="K290" s="66">
        <f t="shared" si="330"/>
        <v>0.3</v>
      </c>
      <c r="L290" s="66">
        <f t="shared" si="331"/>
        <v>0</v>
      </c>
      <c r="M290" s="66">
        <f t="shared" si="332"/>
        <v>0</v>
      </c>
      <c r="N290" s="66">
        <f>+IF(C290="","",ROUND(Parámetros!$D$23,2))</f>
        <v>94</v>
      </c>
      <c r="O290" s="66">
        <f t="shared" si="333"/>
        <v>47.050000000000004</v>
      </c>
      <c r="P290" s="66">
        <f>+IF($C290="","",ROUND(IF(B290&gt;Parámetros!$D$117,0,N290*Parámetros!$D$116-G290*Parámetros!$D$100),2))</f>
        <v>0</v>
      </c>
      <c r="Q290" s="75">
        <f t="shared" si="377"/>
        <v>3.5096557514693531E-2</v>
      </c>
      <c r="R290" s="75">
        <f t="shared" si="378"/>
        <v>5.0377833753148613E-3</v>
      </c>
      <c r="S290" s="117">
        <f>+IF($C290="","",ROUND((S289+I290)*(1+Parámetros!$D$91),2))</f>
        <v>18552.61</v>
      </c>
      <c r="T290" s="117">
        <f>+IF($C290="","",ROUND(S290*VLOOKUP(B290,Parámetros!$C$30:$D$39,2,TRUE),2))</f>
        <v>18552.61</v>
      </c>
      <c r="U290" s="117">
        <f>+IF($C290="","",ROUND((U289+I290)*(1+Parámetros!$D$92),2))</f>
        <v>19705.11</v>
      </c>
      <c r="V290" s="117">
        <f>+IF($C290="","",ROUND(U290*VLOOKUP(B290,Parámetros!$C$30:$D$39,2,TRUE),2))</f>
        <v>19705.11</v>
      </c>
      <c r="W290" s="57">
        <f t="shared" si="379"/>
        <v>249</v>
      </c>
      <c r="X290" t="str">
        <f t="shared" si="380"/>
        <v>00058</v>
      </c>
      <c r="Y290" t="str">
        <f t="shared" si="381"/>
        <v>MUERTE POR CUALQUIER CAUSA</v>
      </c>
      <c r="Z290" s="118">
        <f>+IF($W290="","",ROUND(IF(Parámetros!$D$25='TABLAS MORT'!$V$33,Z289,Parámetros!$D$21-'Tablas Servicio'!T289),0))</f>
        <v>100000</v>
      </c>
      <c r="AA290" s="118" t="str">
        <f t="shared" si="382"/>
        <v>P</v>
      </c>
      <c r="AB290" s="119">
        <f>+IF(W290="","",ROUND((VLOOKUP(ROUNDDOWN($D290-1/frec,0),qx_tabla,2,FALSE)*(1+i/frec)^-0.5*(1+Parámetros!$D$103)*(1+rec_fracc)/frec),6))</f>
        <v>4.5100000000000001E-4</v>
      </c>
      <c r="AC290" s="66">
        <f t="shared" si="338"/>
        <v>45.1</v>
      </c>
      <c r="AD290" s="119">
        <f t="shared" si="334"/>
        <v>5.7600000000000001E-4</v>
      </c>
      <c r="AE290" s="66">
        <f>+IF($W290="","",ROUND(IF($B290&gt;Parámetros!$D$107,'Tablas Servicio'!AC290+('Tablas Servicio'!AG289-'Tablas Servicio'!AC289),AC290/(1-IF(B290&lt;=10,Parámetros!$D$104,Parámetros!$D$105))),2))</f>
        <v>75.17</v>
      </c>
      <c r="AF290" s="66">
        <f>+IF($W290="","",ROUND(IF($B290&gt;Parámetros!$D$107,'Tablas Servicio'!AC290+('Tablas Servicio'!AG289-'Tablas Servicio'!AC289),(AC290+$A289/frec)/(1-IF(B290&lt;=Parámetros!$D$117,Parámetros!$D$100,0))),2))</f>
        <v>57.6</v>
      </c>
      <c r="AG290" s="66">
        <f t="shared" si="339"/>
        <v>57.6</v>
      </c>
      <c r="AH290" s="66">
        <f t="shared" si="340"/>
        <v>0</v>
      </c>
      <c r="AI290" s="66">
        <f t="shared" si="341"/>
        <v>0</v>
      </c>
      <c r="AJ290" s="66">
        <f>+IF($W290="","",ROUND((AG290*Parámetros!$G$85),2))</f>
        <v>2.02</v>
      </c>
      <c r="AK290" s="66">
        <f>+IF($W290="","",ROUND((AG290*(Parámetros!$G$86)),2))</f>
        <v>0.28999999999999998</v>
      </c>
      <c r="AL290" s="66">
        <f t="shared" si="335"/>
        <v>59.91</v>
      </c>
      <c r="AM290" t="str">
        <f t="shared" si="383"/>
        <v>00059</v>
      </c>
      <c r="AN290" t="str">
        <f t="shared" si="384"/>
        <v>Incapacidad Total y Permanente</v>
      </c>
      <c r="AO290" s="118">
        <f t="shared" si="385"/>
        <v>0</v>
      </c>
      <c r="AP290" s="118" t="str">
        <f t="shared" si="386"/>
        <v>A</v>
      </c>
      <c r="AQ290" s="119" t="str">
        <f>+IF(OR($W290="",AO290=0),"",ROUND((VLOOKUP(ROUNDDOWN($D290-1/frec,0),cob_adi,Z$40,FALSE)*(1+i/frec)^-0.5*(1+Parámetros!$D$103)*(1+rec_fracc)/frec),6))</f>
        <v/>
      </c>
      <c r="AR290" s="66">
        <f t="shared" si="342"/>
        <v>0</v>
      </c>
      <c r="AS290" s="119" t="str">
        <f t="shared" si="343"/>
        <v/>
      </c>
      <c r="AT290" s="66">
        <f>+IF($W290="","",ROUND(IF($B290&gt;Parámetros!$D$107,'Tablas Servicio'!AR290+('Tablas Servicio'!AT289-'Tablas Servicio'!AR289),AR290/(1-IF(B290&lt;=10,Parámetros!$D$100,0))),2))</f>
        <v>0</v>
      </c>
      <c r="AU290" s="66">
        <f t="shared" si="344"/>
        <v>0</v>
      </c>
      <c r="AV290" s="66">
        <f t="shared" si="344"/>
        <v>0</v>
      </c>
      <c r="AW290" s="66">
        <f>+IF($W290="","",ROUND((AT290*Parámetros!$G$85),2))</f>
        <v>0</v>
      </c>
      <c r="AX290" s="66">
        <f>+IF($W290="","",ROUND((AT290*(Parámetros!$G$86)),2))</f>
        <v>0</v>
      </c>
      <c r="AY290" s="66">
        <f t="shared" si="345"/>
        <v>0</v>
      </c>
      <c r="AZ290" t="str">
        <f t="shared" si="387"/>
        <v>00060</v>
      </c>
      <c r="BA290" t="str">
        <f t="shared" si="388"/>
        <v>Muerte Accidental</v>
      </c>
      <c r="BB290" s="118">
        <f t="shared" si="389"/>
        <v>0</v>
      </c>
      <c r="BC290" s="118" t="str">
        <f t="shared" si="390"/>
        <v>A</v>
      </c>
      <c r="BD290" s="119" t="str">
        <f>+IF(OR($W290="",BB290=0),"",ROUND((VLOOKUP(ROUNDDOWN($D290-1/frec,0),cob_adi,AO$40,FALSE)*(1+i/frec)^-0.5*(1+Parámetros!$D$103)*(1+rec_fracc)/frec),6))</f>
        <v/>
      </c>
      <c r="BE290" s="66">
        <f t="shared" si="346"/>
        <v>0</v>
      </c>
      <c r="BF290" s="119" t="str">
        <f t="shared" si="347"/>
        <v/>
      </c>
      <c r="BG290" s="66">
        <f>+IF($W290="","",ROUND(IF($B290&gt;Parámetros!$D$107,'Tablas Servicio'!BE290+('Tablas Servicio'!BG289-'Tablas Servicio'!BE289),BE290/(1-IF(B290&lt;=10,Parámetros!$D$100,0))),2))</f>
        <v>0</v>
      </c>
      <c r="BH290" s="66">
        <f t="shared" si="348"/>
        <v>0</v>
      </c>
      <c r="BI290" s="66">
        <f t="shared" si="349"/>
        <v>0</v>
      </c>
      <c r="BJ290" s="66">
        <f>+IF($W290="","",ROUND((BG290*Parámetros!$G$85),2))</f>
        <v>0</v>
      </c>
      <c r="BK290" s="66">
        <f>+IF($W290="","",ROUND((BG290*(Parámetros!$G$86)),2))</f>
        <v>0</v>
      </c>
      <c r="BL290" s="66">
        <f t="shared" si="350"/>
        <v>0</v>
      </c>
      <c r="BM290" t="str">
        <f t="shared" si="391"/>
        <v>00061</v>
      </c>
      <c r="BN290" t="str">
        <f t="shared" si="392"/>
        <v>Gastos de Entierro</v>
      </c>
      <c r="BO290" s="118">
        <f t="shared" si="393"/>
        <v>0</v>
      </c>
      <c r="BP290" s="118" t="str">
        <f t="shared" si="394"/>
        <v>A</v>
      </c>
      <c r="BQ290" s="119" t="str">
        <f>+IF(OR($W290="",BO290=0),"",ROUND((VLOOKUP(ROUNDDOWN($D290-1/frec,0),cob_adi,BB$40,FALSE)*(1+i/frec)^-0.5*(1+Parámetros!$D$103)*(1+rec_fracc)/frec),6))</f>
        <v/>
      </c>
      <c r="BR290" s="66">
        <f t="shared" si="351"/>
        <v>0</v>
      </c>
      <c r="BS290" s="119" t="str">
        <f t="shared" si="352"/>
        <v/>
      </c>
      <c r="BT290" s="66">
        <f>+IF($W290="","",ROUND(IF($B290&gt;Parámetros!$D$107,'Tablas Servicio'!BR290+('Tablas Servicio'!BT289-'Tablas Servicio'!BR289),BR290/(1-IF(B290&lt;=10,Parámetros!$D$100,0))),2))</f>
        <v>0</v>
      </c>
      <c r="BU290" s="66">
        <f t="shared" si="353"/>
        <v>0</v>
      </c>
      <c r="BV290" s="66">
        <f t="shared" si="353"/>
        <v>0</v>
      </c>
      <c r="BW290" s="66">
        <f>+IF($W290="","",ROUND((BT290*Parámetros!$G$85),2))</f>
        <v>0</v>
      </c>
      <c r="BX290" s="66">
        <f>+IF($W290="","",ROUND((BT290*(Parámetros!$G$86)),2))</f>
        <v>0</v>
      </c>
      <c r="BY290" s="66">
        <f t="shared" si="354"/>
        <v>0</v>
      </c>
      <c r="BZ290" t="str">
        <f t="shared" si="395"/>
        <v>00062</v>
      </c>
      <c r="CA290" t="str">
        <f t="shared" si="396"/>
        <v>Gastos médicos por accidente</v>
      </c>
      <c r="CB290" s="118">
        <f t="shared" si="397"/>
        <v>0</v>
      </c>
      <c r="CC290" s="118" t="str">
        <f t="shared" si="398"/>
        <v>A</v>
      </c>
      <c r="CD290" s="119" t="str">
        <f t="shared" si="355"/>
        <v/>
      </c>
      <c r="CE290" s="66">
        <f>+IF($W290="","",ROUND((VLOOKUP(ROUNDDOWN($D290-1/frec,0),cob_adi,BO$40,FALSE)*(1+i/frec)^-0.5*(1+Parámetros!$D$103)*(1+rec_fracc)/frec*'TABLAS ADI'!$BC$17),2))</f>
        <v>0</v>
      </c>
      <c r="CF290" s="119" t="str">
        <f t="shared" si="356"/>
        <v/>
      </c>
      <c r="CG290" s="66">
        <f>+IF($W290="","",ROUND(IF($B290&gt;Parámetros!$D$107,'Tablas Servicio'!CE290+('Tablas Servicio'!CG289-'Tablas Servicio'!CE289),CE290/(1-IF(B290&lt;=10,Parámetros!$D$100,0))),2))</f>
        <v>0</v>
      </c>
      <c r="CH290" s="66">
        <f t="shared" si="357"/>
        <v>0</v>
      </c>
      <c r="CI290" s="66">
        <f t="shared" si="357"/>
        <v>0</v>
      </c>
      <c r="CJ290" s="66">
        <f>+IF($W290="","",ROUND((CG290*Parámetros!$G$85),2))</f>
        <v>0</v>
      </c>
      <c r="CK290" s="66">
        <f>+IF($W290="","",ROUND((CG290*(Parámetros!$G$86)),2))</f>
        <v>0</v>
      </c>
      <c r="CL290" s="66">
        <f t="shared" si="358"/>
        <v>0</v>
      </c>
      <c r="CM290" t="str">
        <f t="shared" si="399"/>
        <v>00063</v>
      </c>
      <c r="CN290" s="118" t="str">
        <f t="shared" si="400"/>
        <v>Renta Diaria por Hospitalización</v>
      </c>
      <c r="CO290" s="118">
        <f t="shared" si="401"/>
        <v>0</v>
      </c>
      <c r="CP290" s="118" t="str">
        <f t="shared" si="402"/>
        <v>A</v>
      </c>
      <c r="CQ290" s="119" t="str">
        <f t="shared" si="359"/>
        <v/>
      </c>
      <c r="CR290" s="66">
        <f>+IF($W290="","",ROUND((VLOOKUP(Parámetros!$F$51,'COBERTURAS ADICIONALES'!$S$4:$T$32,2,FALSE)*(1+i/frec)^-0.5*(1+Parámetros!$D$103)*(1+rec_fracc)/frec*$CO$42),2))</f>
        <v>0</v>
      </c>
      <c r="CS290" s="119" t="str">
        <f t="shared" si="360"/>
        <v/>
      </c>
      <c r="CT290" s="66">
        <f>+IF($W290="","",ROUND(IF($B290&gt;Parámetros!$D$107,'Tablas Servicio'!CR290+('Tablas Servicio'!CT289-'Tablas Servicio'!CR289),CR290/(1-IF(B290&lt;=10,Parámetros!$D$100,0))),2))</f>
        <v>0</v>
      </c>
      <c r="CU290" s="66">
        <f t="shared" si="361"/>
        <v>0</v>
      </c>
      <c r="CV290" s="66">
        <f t="shared" si="361"/>
        <v>0</v>
      </c>
      <c r="CW290" s="66">
        <f>+IF($W290="","",ROUND((CT290*Parámetros!$G$85),2))</f>
        <v>0</v>
      </c>
      <c r="CX290" s="66">
        <f>+IF($W290="","",ROUND((CT290*(Parámetros!$G$86)),2))</f>
        <v>0</v>
      </c>
      <c r="CY290" s="66">
        <f t="shared" si="362"/>
        <v>0</v>
      </c>
      <c r="CZ290" t="str">
        <f t="shared" si="403"/>
        <v>00064</v>
      </c>
      <c r="DA290" s="118" t="str">
        <f t="shared" si="404"/>
        <v>Enfermedades Graves</v>
      </c>
      <c r="DB290" s="118">
        <f t="shared" si="405"/>
        <v>0</v>
      </c>
      <c r="DC290" s="118" t="str">
        <f t="shared" si="406"/>
        <v>A</v>
      </c>
      <c r="DD290" s="121" t="str">
        <f>+IF(OR($W290="",DB290=0),"",ROUND((VLOOKUP(ROUNDDOWN($D290-1/frec,0),cob_adi,CO$40,FALSE)*(1+i/frec)^-0.5*(1+Parámetros!$D$103)*(1+rec_fracc)/frec),6))</f>
        <v/>
      </c>
      <c r="DE290" s="66">
        <f t="shared" si="363"/>
        <v>0</v>
      </c>
      <c r="DF290" s="119" t="str">
        <f t="shared" si="364"/>
        <v/>
      </c>
      <c r="DG290" s="66">
        <f>+IF($W290="","",ROUND(IF($B290&gt;Parámetros!$D$107,'Tablas Servicio'!DE290+('Tablas Servicio'!DG289-'Tablas Servicio'!DE289),DE290/(1-IF(B290&lt;=10,Parámetros!$D$100,0))),2))</f>
        <v>0</v>
      </c>
      <c r="DH290" s="66">
        <f t="shared" si="365"/>
        <v>0</v>
      </c>
      <c r="DI290" s="66">
        <f t="shared" si="365"/>
        <v>0</v>
      </c>
      <c r="DJ290" s="66">
        <f>+IF($W290="","",ROUND((DG290*Parámetros!$G$85),2))</f>
        <v>0</v>
      </c>
      <c r="DK290" s="66">
        <f>+IF($W290="","",ROUND((DG290*(Parámetros!$G$86)),2))</f>
        <v>0</v>
      </c>
      <c r="DL290" s="66">
        <f t="shared" si="366"/>
        <v>0</v>
      </c>
      <c r="DM290" t="str">
        <f t="shared" si="407"/>
        <v>00065</v>
      </c>
      <c r="DN290" s="118" t="str">
        <f t="shared" si="408"/>
        <v>Exención pago de primas</v>
      </c>
      <c r="DO290" s="118">
        <f t="shared" si="409"/>
        <v>0</v>
      </c>
      <c r="DP290" s="118" t="str">
        <f t="shared" si="410"/>
        <v>A</v>
      </c>
      <c r="DQ290" s="122" t="str">
        <f>+IF(OR($W290="",DO290=0),"",ROUND((VLOOKUP(ROUNDDOWN($D290-1/frec,0),cob_adi,DB$40,FALSE)*(1+i/frec)^-0.5*(1+Parámetros!$D$103)*(1+rec_fracc)/frec),6))</f>
        <v/>
      </c>
      <c r="DR290" s="66">
        <f t="shared" si="367"/>
        <v>0</v>
      </c>
      <c r="DS290" s="68" t="str">
        <f t="shared" si="368"/>
        <v/>
      </c>
      <c r="DT290" s="66">
        <f>+IF($W290="","",ROUND(IF($B290&gt;Parámetros!$D$107,'Tablas Servicio'!DR290+('Tablas Servicio'!DT289-'Tablas Servicio'!DR289),DR290/(1-IF(B290&lt;=10,Parámetros!$D$100,0))),2))</f>
        <v>0</v>
      </c>
      <c r="DU290" s="66">
        <f t="shared" si="369"/>
        <v>0</v>
      </c>
      <c r="DV290" s="66">
        <f t="shared" si="369"/>
        <v>0</v>
      </c>
      <c r="DW290" s="66">
        <f>+IF($W290="","",ROUND((DT290*Parámetros!$G$85),2))</f>
        <v>0</v>
      </c>
      <c r="DX290" s="66">
        <f>+IF($W290="","",ROUND((DT290*(Parámetros!$G$86)),2))</f>
        <v>0</v>
      </c>
      <c r="DY290" s="66">
        <f t="shared" si="370"/>
        <v>0</v>
      </c>
      <c r="DZ290" t="str">
        <f t="shared" si="413"/>
        <v>00066</v>
      </c>
      <c r="EA290" s="118" t="str">
        <f t="shared" si="413"/>
        <v>Enfermedad terminal</v>
      </c>
      <c r="EB290" s="118">
        <f>+IF($W290="","",ROUND(IF(Parámetros!$D$25='TABLAS MORT'!$V$33,EB289,Z290/2),0))</f>
        <v>50000</v>
      </c>
      <c r="EC290" s="118" t="str">
        <f t="shared" si="413"/>
        <v>A</v>
      </c>
      <c r="ED290" s="122">
        <f>+IF(OR($W290="",EB290=0),"",ROUND((VLOOKUP(ROUNDDOWN($D290-1/frec,0),cob_adi,DO$40,FALSE)*(1+i/frec)^-0.5*(1+Parámetros!$D$103)*(1+rec_fracc)/frec),6))</f>
        <v>3.8999999999999999E-5</v>
      </c>
      <c r="EE290" s="66">
        <f t="shared" si="372"/>
        <v>1.95</v>
      </c>
      <c r="EF290" s="68">
        <f t="shared" si="373"/>
        <v>3.8999999999999999E-5</v>
      </c>
      <c r="EG290" s="66">
        <f>+IF($W290="","",ROUND(IF($B290&gt;Parámetros!$D$107,'Tablas Servicio'!EE290+('Tablas Servicio'!EG289-'Tablas Servicio'!EE289),EE290/(1-IF(B290&lt;=10,Parámetros!$D$100,0))),2))</f>
        <v>1.95</v>
      </c>
      <c r="EH290" s="66">
        <f t="shared" si="374"/>
        <v>0</v>
      </c>
      <c r="EI290" s="66">
        <f t="shared" si="374"/>
        <v>0</v>
      </c>
      <c r="EJ290" s="66">
        <f>+IF($W290="","",ROUND((EG290*Parámetros!$G$85),2))</f>
        <v>7.0000000000000007E-2</v>
      </c>
      <c r="EK290" s="66">
        <f>+IF($W290="","",ROUND((EG290*(Parámetros!$G$86)),2))</f>
        <v>0.01</v>
      </c>
      <c r="EL290" s="66">
        <f t="shared" si="375"/>
        <v>2.0299999999999998</v>
      </c>
    </row>
    <row r="291" spans="1:142" x14ac:dyDescent="0.25">
      <c r="A291">
        <f>+IF($C291="","",ROUND(VLOOKUP('Tablas Servicio'!B291,Parámetros!$H$100:$J$159,IF(Parámetros!$E$16="F",2,3),FALSE),2))</f>
        <v>150</v>
      </c>
      <c r="B291">
        <f t="shared" si="326"/>
        <v>21</v>
      </c>
      <c r="C291" s="57">
        <f>+IF(D291="","",'Tablas Servicio'!C290+1)</f>
        <v>250</v>
      </c>
      <c r="D291" s="56">
        <f>+IF(D290&lt;edadmaxtabla,D290+1/Parámetros!$E$25,"")</f>
        <v>60.853333333333929</v>
      </c>
      <c r="E291" s="57">
        <f t="shared" si="336"/>
        <v>60</v>
      </c>
      <c r="F291" s="59">
        <f t="shared" si="337"/>
        <v>100000</v>
      </c>
      <c r="G291" s="66">
        <f t="shared" si="327"/>
        <v>59.550000000000004</v>
      </c>
      <c r="H291" s="66">
        <f t="shared" si="328"/>
        <v>61.94</v>
      </c>
      <c r="I291" s="66">
        <f t="shared" si="376"/>
        <v>32.06</v>
      </c>
      <c r="J291" s="66">
        <f t="shared" si="329"/>
        <v>2.09</v>
      </c>
      <c r="K291" s="66">
        <f t="shared" si="330"/>
        <v>0.3</v>
      </c>
      <c r="L291" s="66">
        <f t="shared" si="331"/>
        <v>0</v>
      </c>
      <c r="M291" s="66">
        <f t="shared" si="332"/>
        <v>0</v>
      </c>
      <c r="N291" s="66">
        <f>+IF(C291="","",ROUND(Parámetros!$D$23,2))</f>
        <v>94</v>
      </c>
      <c r="O291" s="66">
        <f t="shared" si="333"/>
        <v>47.050000000000004</v>
      </c>
      <c r="P291" s="66">
        <f>+IF($C291="","",ROUND(IF(B291&gt;Parámetros!$D$117,0,N291*Parámetros!$D$116-G291*Parámetros!$D$100),2))</f>
        <v>0</v>
      </c>
      <c r="Q291" s="75">
        <f t="shared" si="377"/>
        <v>3.5096557514693531E-2</v>
      </c>
      <c r="R291" s="75">
        <f t="shared" si="378"/>
        <v>5.0377833753148613E-3</v>
      </c>
      <c r="S291" s="117">
        <f>+IF($C291="","",ROUND((S290+I291)*(1+Parámetros!$D$91),2))</f>
        <v>18637.38</v>
      </c>
      <c r="T291" s="117">
        <f>+IF($C291="","",ROUND(S291*VLOOKUP(B291,Parámetros!$C$30:$D$39,2,TRUE),2))</f>
        <v>18637.38</v>
      </c>
      <c r="U291" s="117">
        <f>+IF($C291="","",ROUND((U290+I291)*(1+Parámetros!$D$92),2))</f>
        <v>19801.150000000001</v>
      </c>
      <c r="V291" s="117">
        <f>+IF($C291="","",ROUND(U291*VLOOKUP(B291,Parámetros!$C$30:$D$39,2,TRUE),2))</f>
        <v>19801.150000000001</v>
      </c>
      <c r="W291" s="57">
        <f t="shared" si="379"/>
        <v>250</v>
      </c>
      <c r="X291" t="str">
        <f t="shared" si="380"/>
        <v>00058</v>
      </c>
      <c r="Y291" t="str">
        <f t="shared" si="381"/>
        <v>MUERTE POR CUALQUIER CAUSA</v>
      </c>
      <c r="Z291" s="118">
        <f>+IF($W291="","",ROUND(IF(Parámetros!$D$25='TABLAS MORT'!$V$33,Z290,Parámetros!$D$21-'Tablas Servicio'!T290),0))</f>
        <v>100000</v>
      </c>
      <c r="AA291" s="118" t="str">
        <f t="shared" si="382"/>
        <v>P</v>
      </c>
      <c r="AB291" s="119">
        <f>+IF(W291="","",ROUND((VLOOKUP(ROUNDDOWN($D291-1/frec,0),qx_tabla,2,FALSE)*(1+i/frec)^-0.5*(1+Parámetros!$D$103)*(1+rec_fracc)/frec),6))</f>
        <v>4.5100000000000001E-4</v>
      </c>
      <c r="AC291" s="66">
        <f t="shared" si="338"/>
        <v>45.1</v>
      </c>
      <c r="AD291" s="119">
        <f t="shared" si="334"/>
        <v>5.7600000000000001E-4</v>
      </c>
      <c r="AE291" s="66">
        <f>+IF($W291="","",ROUND(IF($B291&gt;Parámetros!$D$107,'Tablas Servicio'!AC291+('Tablas Servicio'!AG290-'Tablas Servicio'!AC290),AC291/(1-IF(B291&lt;=10,Parámetros!$D$104,Parámetros!$D$105))),2))</f>
        <v>75.17</v>
      </c>
      <c r="AF291" s="66">
        <f>+IF($W291="","",ROUND(IF($B291&gt;Parámetros!$D$107,'Tablas Servicio'!AC291+('Tablas Servicio'!AG290-'Tablas Servicio'!AC290),(AC291+$A290/frec)/(1-IF(B291&lt;=Parámetros!$D$117,Parámetros!$D$100,0))),2))</f>
        <v>57.6</v>
      </c>
      <c r="AG291" s="66">
        <f t="shared" si="339"/>
        <v>57.6</v>
      </c>
      <c r="AH291" s="66">
        <f t="shared" si="340"/>
        <v>0</v>
      </c>
      <c r="AI291" s="66">
        <f t="shared" si="341"/>
        <v>0</v>
      </c>
      <c r="AJ291" s="66">
        <f>+IF($W291="","",ROUND((AG291*Parámetros!$G$85),2))</f>
        <v>2.02</v>
      </c>
      <c r="AK291" s="66">
        <f>+IF($W291="","",ROUND((AG291*(Parámetros!$G$86)),2))</f>
        <v>0.28999999999999998</v>
      </c>
      <c r="AL291" s="66">
        <f t="shared" si="335"/>
        <v>59.91</v>
      </c>
      <c r="AM291" t="str">
        <f t="shared" si="383"/>
        <v>00059</v>
      </c>
      <c r="AN291" t="str">
        <f t="shared" si="384"/>
        <v>Incapacidad Total y Permanente</v>
      </c>
      <c r="AO291" s="118">
        <f t="shared" si="385"/>
        <v>0</v>
      </c>
      <c r="AP291" s="118" t="str">
        <f t="shared" si="386"/>
        <v>A</v>
      </c>
      <c r="AQ291" s="119" t="str">
        <f>+IF(OR($W291="",AO291=0),"",ROUND((VLOOKUP(ROUNDDOWN($D291-1/frec,0),cob_adi,Z$40,FALSE)*(1+i/frec)^-0.5*(1+Parámetros!$D$103)*(1+rec_fracc)/frec),6))</f>
        <v/>
      </c>
      <c r="AR291" s="66">
        <f t="shared" si="342"/>
        <v>0</v>
      </c>
      <c r="AS291" s="119" t="str">
        <f t="shared" si="343"/>
        <v/>
      </c>
      <c r="AT291" s="66">
        <f>+IF($W291="","",ROUND(IF($B291&gt;Parámetros!$D$107,'Tablas Servicio'!AR291+('Tablas Servicio'!AT290-'Tablas Servicio'!AR290),AR291/(1-IF(B291&lt;=10,Parámetros!$D$100,0))),2))</f>
        <v>0</v>
      </c>
      <c r="AU291" s="66">
        <f t="shared" si="344"/>
        <v>0</v>
      </c>
      <c r="AV291" s="66">
        <f t="shared" si="344"/>
        <v>0</v>
      </c>
      <c r="AW291" s="66">
        <f>+IF($W291="","",ROUND((AT291*Parámetros!$G$85),2))</f>
        <v>0</v>
      </c>
      <c r="AX291" s="66">
        <f>+IF($W291="","",ROUND((AT291*(Parámetros!$G$86)),2))</f>
        <v>0</v>
      </c>
      <c r="AY291" s="66">
        <f t="shared" si="345"/>
        <v>0</v>
      </c>
      <c r="AZ291" t="str">
        <f t="shared" si="387"/>
        <v>00060</v>
      </c>
      <c r="BA291" t="str">
        <f t="shared" si="388"/>
        <v>Muerte Accidental</v>
      </c>
      <c r="BB291" s="118">
        <f t="shared" si="389"/>
        <v>0</v>
      </c>
      <c r="BC291" s="118" t="str">
        <f t="shared" si="390"/>
        <v>A</v>
      </c>
      <c r="BD291" s="119" t="str">
        <f>+IF(OR($W291="",BB291=0),"",ROUND((VLOOKUP(ROUNDDOWN($D291-1/frec,0),cob_adi,AO$40,FALSE)*(1+i/frec)^-0.5*(1+Parámetros!$D$103)*(1+rec_fracc)/frec),6))</f>
        <v/>
      </c>
      <c r="BE291" s="66">
        <f t="shared" si="346"/>
        <v>0</v>
      </c>
      <c r="BF291" s="119" t="str">
        <f t="shared" si="347"/>
        <v/>
      </c>
      <c r="BG291" s="66">
        <f>+IF($W291="","",ROUND(IF($B291&gt;Parámetros!$D$107,'Tablas Servicio'!BE291+('Tablas Servicio'!BG290-'Tablas Servicio'!BE290),BE291/(1-IF(B291&lt;=10,Parámetros!$D$100,0))),2))</f>
        <v>0</v>
      </c>
      <c r="BH291" s="66">
        <f t="shared" si="348"/>
        <v>0</v>
      </c>
      <c r="BI291" s="66">
        <f t="shared" si="349"/>
        <v>0</v>
      </c>
      <c r="BJ291" s="66">
        <f>+IF($W291="","",ROUND((BG291*Parámetros!$G$85),2))</f>
        <v>0</v>
      </c>
      <c r="BK291" s="66">
        <f>+IF($W291="","",ROUND((BG291*(Parámetros!$G$86)),2))</f>
        <v>0</v>
      </c>
      <c r="BL291" s="66">
        <f t="shared" si="350"/>
        <v>0</v>
      </c>
      <c r="BM291" t="str">
        <f t="shared" si="391"/>
        <v>00061</v>
      </c>
      <c r="BN291" t="str">
        <f t="shared" si="392"/>
        <v>Gastos de Entierro</v>
      </c>
      <c r="BO291" s="118">
        <f t="shared" si="393"/>
        <v>0</v>
      </c>
      <c r="BP291" s="118" t="str">
        <f t="shared" si="394"/>
        <v>A</v>
      </c>
      <c r="BQ291" s="119" t="str">
        <f>+IF(OR($W291="",BO291=0),"",ROUND((VLOOKUP(ROUNDDOWN($D291-1/frec,0),cob_adi,BB$40,FALSE)*(1+i/frec)^-0.5*(1+Parámetros!$D$103)*(1+rec_fracc)/frec),6))</f>
        <v/>
      </c>
      <c r="BR291" s="66">
        <f t="shared" si="351"/>
        <v>0</v>
      </c>
      <c r="BS291" s="119" t="str">
        <f t="shared" si="352"/>
        <v/>
      </c>
      <c r="BT291" s="66">
        <f>+IF($W291="","",ROUND(IF($B291&gt;Parámetros!$D$107,'Tablas Servicio'!BR291+('Tablas Servicio'!BT290-'Tablas Servicio'!BR290),BR291/(1-IF(B291&lt;=10,Parámetros!$D$100,0))),2))</f>
        <v>0</v>
      </c>
      <c r="BU291" s="66">
        <f t="shared" si="353"/>
        <v>0</v>
      </c>
      <c r="BV291" s="66">
        <f t="shared" si="353"/>
        <v>0</v>
      </c>
      <c r="BW291" s="66">
        <f>+IF($W291="","",ROUND((BT291*Parámetros!$G$85),2))</f>
        <v>0</v>
      </c>
      <c r="BX291" s="66">
        <f>+IF($W291="","",ROUND((BT291*(Parámetros!$G$86)),2))</f>
        <v>0</v>
      </c>
      <c r="BY291" s="66">
        <f t="shared" si="354"/>
        <v>0</v>
      </c>
      <c r="BZ291" t="str">
        <f t="shared" si="395"/>
        <v>00062</v>
      </c>
      <c r="CA291" t="str">
        <f t="shared" si="396"/>
        <v>Gastos médicos por accidente</v>
      </c>
      <c r="CB291" s="118">
        <f t="shared" si="397"/>
        <v>0</v>
      </c>
      <c r="CC291" s="118" t="str">
        <f t="shared" si="398"/>
        <v>A</v>
      </c>
      <c r="CD291" s="119" t="str">
        <f t="shared" si="355"/>
        <v/>
      </c>
      <c r="CE291" s="66">
        <f>+IF($W291="","",ROUND((VLOOKUP(ROUNDDOWN($D291-1/frec,0),cob_adi,BO$40,FALSE)*(1+i/frec)^-0.5*(1+Parámetros!$D$103)*(1+rec_fracc)/frec*'TABLAS ADI'!$BC$17),2))</f>
        <v>0</v>
      </c>
      <c r="CF291" s="119" t="str">
        <f t="shared" si="356"/>
        <v/>
      </c>
      <c r="CG291" s="66">
        <f>+IF($W291="","",ROUND(IF($B291&gt;Parámetros!$D$107,'Tablas Servicio'!CE291+('Tablas Servicio'!CG290-'Tablas Servicio'!CE290),CE291/(1-IF(B291&lt;=10,Parámetros!$D$100,0))),2))</f>
        <v>0</v>
      </c>
      <c r="CH291" s="66">
        <f t="shared" si="357"/>
        <v>0</v>
      </c>
      <c r="CI291" s="66">
        <f t="shared" si="357"/>
        <v>0</v>
      </c>
      <c r="CJ291" s="66">
        <f>+IF($W291="","",ROUND((CG291*Parámetros!$G$85),2))</f>
        <v>0</v>
      </c>
      <c r="CK291" s="66">
        <f>+IF($W291="","",ROUND((CG291*(Parámetros!$G$86)),2))</f>
        <v>0</v>
      </c>
      <c r="CL291" s="66">
        <f t="shared" si="358"/>
        <v>0</v>
      </c>
      <c r="CM291" t="str">
        <f t="shared" si="399"/>
        <v>00063</v>
      </c>
      <c r="CN291" s="118" t="str">
        <f t="shared" si="400"/>
        <v>Renta Diaria por Hospitalización</v>
      </c>
      <c r="CO291" s="118">
        <f t="shared" si="401"/>
        <v>0</v>
      </c>
      <c r="CP291" s="118" t="str">
        <f t="shared" si="402"/>
        <v>A</v>
      </c>
      <c r="CQ291" s="119" t="str">
        <f t="shared" si="359"/>
        <v/>
      </c>
      <c r="CR291" s="66">
        <f>+IF($W291="","",ROUND((VLOOKUP(Parámetros!$F$51,'COBERTURAS ADICIONALES'!$S$4:$T$32,2,FALSE)*(1+i/frec)^-0.5*(1+Parámetros!$D$103)*(1+rec_fracc)/frec*$CO$42),2))</f>
        <v>0</v>
      </c>
      <c r="CS291" s="119" t="str">
        <f t="shared" si="360"/>
        <v/>
      </c>
      <c r="CT291" s="66">
        <f>+IF($W291="","",ROUND(IF($B291&gt;Parámetros!$D$107,'Tablas Servicio'!CR291+('Tablas Servicio'!CT290-'Tablas Servicio'!CR290),CR291/(1-IF(B291&lt;=10,Parámetros!$D$100,0))),2))</f>
        <v>0</v>
      </c>
      <c r="CU291" s="66">
        <f t="shared" si="361"/>
        <v>0</v>
      </c>
      <c r="CV291" s="66">
        <f t="shared" si="361"/>
        <v>0</v>
      </c>
      <c r="CW291" s="66">
        <f>+IF($W291="","",ROUND((CT291*Parámetros!$G$85),2))</f>
        <v>0</v>
      </c>
      <c r="CX291" s="66">
        <f>+IF($W291="","",ROUND((CT291*(Parámetros!$G$86)),2))</f>
        <v>0</v>
      </c>
      <c r="CY291" s="66">
        <f t="shared" si="362"/>
        <v>0</v>
      </c>
      <c r="CZ291" t="str">
        <f t="shared" si="403"/>
        <v>00064</v>
      </c>
      <c r="DA291" s="118" t="str">
        <f t="shared" si="404"/>
        <v>Enfermedades Graves</v>
      </c>
      <c r="DB291" s="118">
        <f t="shared" si="405"/>
        <v>0</v>
      </c>
      <c r="DC291" s="118" t="str">
        <f t="shared" si="406"/>
        <v>A</v>
      </c>
      <c r="DD291" s="121" t="str">
        <f>+IF(OR($W291="",DB291=0),"",ROUND((VLOOKUP(ROUNDDOWN($D291-1/frec,0),cob_adi,CO$40,FALSE)*(1+i/frec)^-0.5*(1+Parámetros!$D$103)*(1+rec_fracc)/frec),6))</f>
        <v/>
      </c>
      <c r="DE291" s="66">
        <f t="shared" si="363"/>
        <v>0</v>
      </c>
      <c r="DF291" s="119" t="str">
        <f t="shared" si="364"/>
        <v/>
      </c>
      <c r="DG291" s="66">
        <f>+IF($W291="","",ROUND(IF($B291&gt;Parámetros!$D$107,'Tablas Servicio'!DE291+('Tablas Servicio'!DG290-'Tablas Servicio'!DE290),DE291/(1-IF(B291&lt;=10,Parámetros!$D$100,0))),2))</f>
        <v>0</v>
      </c>
      <c r="DH291" s="66">
        <f t="shared" si="365"/>
        <v>0</v>
      </c>
      <c r="DI291" s="66">
        <f t="shared" si="365"/>
        <v>0</v>
      </c>
      <c r="DJ291" s="66">
        <f>+IF($W291="","",ROUND((DG291*Parámetros!$G$85),2))</f>
        <v>0</v>
      </c>
      <c r="DK291" s="66">
        <f>+IF($W291="","",ROUND((DG291*(Parámetros!$G$86)),2))</f>
        <v>0</v>
      </c>
      <c r="DL291" s="66">
        <f t="shared" si="366"/>
        <v>0</v>
      </c>
      <c r="DM291" t="str">
        <f t="shared" si="407"/>
        <v>00065</v>
      </c>
      <c r="DN291" s="118" t="str">
        <f t="shared" si="408"/>
        <v>Exención pago de primas</v>
      </c>
      <c r="DO291" s="118">
        <f t="shared" si="409"/>
        <v>0</v>
      </c>
      <c r="DP291" s="118" t="str">
        <f t="shared" si="410"/>
        <v>A</v>
      </c>
      <c r="DQ291" s="122" t="str">
        <f>+IF(OR($W291="",DO291=0),"",ROUND((VLOOKUP(ROUNDDOWN($D291-1/frec,0),cob_adi,DB$40,FALSE)*(1+i/frec)^-0.5*(1+Parámetros!$D$103)*(1+rec_fracc)/frec),6))</f>
        <v/>
      </c>
      <c r="DR291" s="66">
        <f t="shared" si="367"/>
        <v>0</v>
      </c>
      <c r="DS291" s="68" t="str">
        <f t="shared" si="368"/>
        <v/>
      </c>
      <c r="DT291" s="66">
        <f>+IF($W291="","",ROUND(IF($B291&gt;Parámetros!$D$107,'Tablas Servicio'!DR291+('Tablas Servicio'!DT290-'Tablas Servicio'!DR290),DR291/(1-IF(B291&lt;=10,Parámetros!$D$100,0))),2))</f>
        <v>0</v>
      </c>
      <c r="DU291" s="66">
        <f t="shared" si="369"/>
        <v>0</v>
      </c>
      <c r="DV291" s="66">
        <f t="shared" si="369"/>
        <v>0</v>
      </c>
      <c r="DW291" s="66">
        <f>+IF($W291="","",ROUND((DT291*Parámetros!$G$85),2))</f>
        <v>0</v>
      </c>
      <c r="DX291" s="66">
        <f>+IF($W291="","",ROUND((DT291*(Parámetros!$G$86)),2))</f>
        <v>0</v>
      </c>
      <c r="DY291" s="66">
        <f t="shared" si="370"/>
        <v>0</v>
      </c>
      <c r="DZ291" t="str">
        <f t="shared" si="413"/>
        <v>00066</v>
      </c>
      <c r="EA291" s="118" t="str">
        <f t="shared" si="413"/>
        <v>Enfermedad terminal</v>
      </c>
      <c r="EB291" s="118">
        <f>+IF($W291="","",ROUND(IF(Parámetros!$D$25='TABLAS MORT'!$V$33,EB290,Z291/2),0))</f>
        <v>50000</v>
      </c>
      <c r="EC291" s="118" t="str">
        <f t="shared" si="413"/>
        <v>A</v>
      </c>
      <c r="ED291" s="122">
        <f>+IF(OR($W291="",EB291=0),"",ROUND((VLOOKUP(ROUNDDOWN($D291-1/frec,0),cob_adi,DO$40,FALSE)*(1+i/frec)^-0.5*(1+Parámetros!$D$103)*(1+rec_fracc)/frec),6))</f>
        <v>3.8999999999999999E-5</v>
      </c>
      <c r="EE291" s="66">
        <f t="shared" si="372"/>
        <v>1.95</v>
      </c>
      <c r="EF291" s="68">
        <f t="shared" si="373"/>
        <v>3.8999999999999999E-5</v>
      </c>
      <c r="EG291" s="66">
        <f>+IF($W291="","",ROUND(IF($B291&gt;Parámetros!$D$107,'Tablas Servicio'!EE291+('Tablas Servicio'!EG290-'Tablas Servicio'!EE290),EE291/(1-IF(B291&lt;=10,Parámetros!$D$100,0))),2))</f>
        <v>1.95</v>
      </c>
      <c r="EH291" s="66">
        <f t="shared" si="374"/>
        <v>0</v>
      </c>
      <c r="EI291" s="66">
        <f t="shared" si="374"/>
        <v>0</v>
      </c>
      <c r="EJ291" s="66">
        <f>+IF($W291="","",ROUND((EG291*Parámetros!$G$85),2))</f>
        <v>7.0000000000000007E-2</v>
      </c>
      <c r="EK291" s="66">
        <f>+IF($W291="","",ROUND((EG291*(Parámetros!$G$86)),2))</f>
        <v>0.01</v>
      </c>
      <c r="EL291" s="66">
        <f t="shared" si="375"/>
        <v>2.0299999999999998</v>
      </c>
    </row>
    <row r="292" spans="1:142" x14ac:dyDescent="0.25">
      <c r="A292">
        <f>+IF($C292="","",ROUND(VLOOKUP('Tablas Servicio'!B292,Parámetros!$H$100:$J$159,IF(Parámetros!$E$16="F",2,3),FALSE),2))</f>
        <v>150</v>
      </c>
      <c r="B292">
        <f t="shared" si="326"/>
        <v>21</v>
      </c>
      <c r="C292" s="57">
        <f>+IF(D292="","",'Tablas Servicio'!C291+1)</f>
        <v>251</v>
      </c>
      <c r="D292" s="56">
        <f>+IF(D291&lt;edadmaxtabla,D291+1/Parámetros!$E$25,"")</f>
        <v>60.936666666667264</v>
      </c>
      <c r="E292" s="57">
        <f t="shared" si="336"/>
        <v>60</v>
      </c>
      <c r="F292" s="59">
        <f t="shared" si="337"/>
        <v>100000</v>
      </c>
      <c r="G292" s="66">
        <f t="shared" si="327"/>
        <v>59.550000000000004</v>
      </c>
      <c r="H292" s="66">
        <f t="shared" si="328"/>
        <v>61.94</v>
      </c>
      <c r="I292" s="66">
        <f t="shared" si="376"/>
        <v>32.06</v>
      </c>
      <c r="J292" s="66">
        <f t="shared" si="329"/>
        <v>2.09</v>
      </c>
      <c r="K292" s="66">
        <f t="shared" si="330"/>
        <v>0.3</v>
      </c>
      <c r="L292" s="66">
        <f t="shared" si="331"/>
        <v>0</v>
      </c>
      <c r="M292" s="66">
        <f t="shared" si="332"/>
        <v>0</v>
      </c>
      <c r="N292" s="66">
        <f>+IF(C292="","",ROUND(Parámetros!$D$23,2))</f>
        <v>94</v>
      </c>
      <c r="O292" s="66">
        <f t="shared" si="333"/>
        <v>47.050000000000004</v>
      </c>
      <c r="P292" s="66">
        <f>+IF($C292="","",ROUND(IF(B292&gt;Parámetros!$D$117,0,N292*Parámetros!$D$116-G292*Parámetros!$D$100),2))</f>
        <v>0</v>
      </c>
      <c r="Q292" s="75">
        <f t="shared" si="377"/>
        <v>3.5096557514693531E-2</v>
      </c>
      <c r="R292" s="75">
        <f t="shared" si="378"/>
        <v>5.0377833753148613E-3</v>
      </c>
      <c r="S292" s="117">
        <f>+IF($C292="","",ROUND((S291+I292)*(1+Parámetros!$D$91),2))</f>
        <v>18722.400000000001</v>
      </c>
      <c r="T292" s="117">
        <f>+IF($C292="","",ROUND(S292*VLOOKUP(B292,Parámetros!$C$30:$D$39,2,TRUE),2))</f>
        <v>18722.400000000001</v>
      </c>
      <c r="U292" s="117">
        <f>+IF($C292="","",ROUND((U291+I292)*(1+Parámetros!$D$92),2))</f>
        <v>19897.5</v>
      </c>
      <c r="V292" s="117">
        <f>+IF($C292="","",ROUND(U292*VLOOKUP(B292,Parámetros!$C$30:$D$39,2,TRUE),2))</f>
        <v>19897.5</v>
      </c>
      <c r="W292" s="57">
        <f t="shared" si="379"/>
        <v>251</v>
      </c>
      <c r="X292" t="str">
        <f t="shared" si="380"/>
        <v>00058</v>
      </c>
      <c r="Y292" t="str">
        <f t="shared" si="381"/>
        <v>MUERTE POR CUALQUIER CAUSA</v>
      </c>
      <c r="Z292" s="118">
        <f>+IF($W292="","",ROUND(IF(Parámetros!$D$25='TABLAS MORT'!$V$33,Z291,Parámetros!$D$21-'Tablas Servicio'!T291),0))</f>
        <v>100000</v>
      </c>
      <c r="AA292" s="118" t="str">
        <f t="shared" si="382"/>
        <v>P</v>
      </c>
      <c r="AB292" s="119">
        <f>+IF(W292="","",ROUND((VLOOKUP(ROUNDDOWN($D292-1/frec,0),qx_tabla,2,FALSE)*(1+i/frec)^-0.5*(1+Parámetros!$D$103)*(1+rec_fracc)/frec),6))</f>
        <v>4.5100000000000001E-4</v>
      </c>
      <c r="AC292" s="66">
        <f t="shared" si="338"/>
        <v>45.1</v>
      </c>
      <c r="AD292" s="119">
        <f t="shared" si="334"/>
        <v>5.7600000000000001E-4</v>
      </c>
      <c r="AE292" s="66">
        <f>+IF($W292="","",ROUND(IF($B292&gt;Parámetros!$D$107,'Tablas Servicio'!AC292+('Tablas Servicio'!AG291-'Tablas Servicio'!AC291),AC292/(1-IF(B292&lt;=10,Parámetros!$D$104,Parámetros!$D$105))),2))</f>
        <v>75.17</v>
      </c>
      <c r="AF292" s="66">
        <f>+IF($W292="","",ROUND(IF($B292&gt;Parámetros!$D$107,'Tablas Servicio'!AC292+('Tablas Servicio'!AG291-'Tablas Servicio'!AC291),(AC292+$A291/frec)/(1-IF(B292&lt;=Parámetros!$D$117,Parámetros!$D$100,0))),2))</f>
        <v>57.6</v>
      </c>
      <c r="AG292" s="66">
        <f t="shared" si="339"/>
        <v>57.6</v>
      </c>
      <c r="AH292" s="66">
        <f t="shared" si="340"/>
        <v>0</v>
      </c>
      <c r="AI292" s="66">
        <f t="shared" si="341"/>
        <v>0</v>
      </c>
      <c r="AJ292" s="66">
        <f>+IF($W292="","",ROUND((AG292*Parámetros!$G$85),2))</f>
        <v>2.02</v>
      </c>
      <c r="AK292" s="66">
        <f>+IF($W292="","",ROUND((AG292*(Parámetros!$G$86)),2))</f>
        <v>0.28999999999999998</v>
      </c>
      <c r="AL292" s="66">
        <f t="shared" si="335"/>
        <v>59.91</v>
      </c>
      <c r="AM292" t="str">
        <f t="shared" si="383"/>
        <v>00059</v>
      </c>
      <c r="AN292" t="str">
        <f t="shared" si="384"/>
        <v>Incapacidad Total y Permanente</v>
      </c>
      <c r="AO292" s="118">
        <f t="shared" si="385"/>
        <v>0</v>
      </c>
      <c r="AP292" s="118" t="str">
        <f t="shared" si="386"/>
        <v>A</v>
      </c>
      <c r="AQ292" s="119" t="str">
        <f>+IF(OR($W292="",AO292=0),"",ROUND((VLOOKUP(ROUNDDOWN($D292-1/frec,0),cob_adi,Z$40,FALSE)*(1+i/frec)^-0.5*(1+Parámetros!$D$103)*(1+rec_fracc)/frec),6))</f>
        <v/>
      </c>
      <c r="AR292" s="66">
        <f t="shared" si="342"/>
        <v>0</v>
      </c>
      <c r="AS292" s="119" t="str">
        <f t="shared" si="343"/>
        <v/>
      </c>
      <c r="AT292" s="66">
        <f>+IF($W292="","",ROUND(IF($B292&gt;Parámetros!$D$107,'Tablas Servicio'!AR292+('Tablas Servicio'!AT291-'Tablas Servicio'!AR291),AR292/(1-IF(B292&lt;=10,Parámetros!$D$100,0))),2))</f>
        <v>0</v>
      </c>
      <c r="AU292" s="66">
        <f t="shared" si="344"/>
        <v>0</v>
      </c>
      <c r="AV292" s="66">
        <f t="shared" si="344"/>
        <v>0</v>
      </c>
      <c r="AW292" s="66">
        <f>+IF($W292="","",ROUND((AT292*Parámetros!$G$85),2))</f>
        <v>0</v>
      </c>
      <c r="AX292" s="66">
        <f>+IF($W292="","",ROUND((AT292*(Parámetros!$G$86)),2))</f>
        <v>0</v>
      </c>
      <c r="AY292" s="66">
        <f t="shared" si="345"/>
        <v>0</v>
      </c>
      <c r="AZ292" t="str">
        <f t="shared" si="387"/>
        <v>00060</v>
      </c>
      <c r="BA292" t="str">
        <f t="shared" si="388"/>
        <v>Muerte Accidental</v>
      </c>
      <c r="BB292" s="118">
        <f t="shared" si="389"/>
        <v>0</v>
      </c>
      <c r="BC292" s="118" t="str">
        <f t="shared" si="390"/>
        <v>A</v>
      </c>
      <c r="BD292" s="119" t="str">
        <f>+IF(OR($W292="",BB292=0),"",ROUND((VLOOKUP(ROUNDDOWN($D292-1/frec,0),cob_adi,AO$40,FALSE)*(1+i/frec)^-0.5*(1+Parámetros!$D$103)*(1+rec_fracc)/frec),6))</f>
        <v/>
      </c>
      <c r="BE292" s="66">
        <f t="shared" si="346"/>
        <v>0</v>
      </c>
      <c r="BF292" s="119" t="str">
        <f t="shared" si="347"/>
        <v/>
      </c>
      <c r="BG292" s="66">
        <f>+IF($W292="","",ROUND(IF($B292&gt;Parámetros!$D$107,'Tablas Servicio'!BE292+('Tablas Servicio'!BG291-'Tablas Servicio'!BE291),BE292/(1-IF(B292&lt;=10,Parámetros!$D$100,0))),2))</f>
        <v>0</v>
      </c>
      <c r="BH292" s="66">
        <f t="shared" si="348"/>
        <v>0</v>
      </c>
      <c r="BI292" s="66">
        <f t="shared" si="349"/>
        <v>0</v>
      </c>
      <c r="BJ292" s="66">
        <f>+IF($W292="","",ROUND((BG292*Parámetros!$G$85),2))</f>
        <v>0</v>
      </c>
      <c r="BK292" s="66">
        <f>+IF($W292="","",ROUND((BG292*(Parámetros!$G$86)),2))</f>
        <v>0</v>
      </c>
      <c r="BL292" s="66">
        <f t="shared" si="350"/>
        <v>0</v>
      </c>
      <c r="BM292" t="str">
        <f t="shared" si="391"/>
        <v>00061</v>
      </c>
      <c r="BN292" t="str">
        <f t="shared" si="392"/>
        <v>Gastos de Entierro</v>
      </c>
      <c r="BO292" s="118">
        <f t="shared" si="393"/>
        <v>0</v>
      </c>
      <c r="BP292" s="118" t="str">
        <f t="shared" si="394"/>
        <v>A</v>
      </c>
      <c r="BQ292" s="119" t="str">
        <f>+IF(OR($W292="",BO292=0),"",ROUND((VLOOKUP(ROUNDDOWN($D292-1/frec,0),cob_adi,BB$40,FALSE)*(1+i/frec)^-0.5*(1+Parámetros!$D$103)*(1+rec_fracc)/frec),6))</f>
        <v/>
      </c>
      <c r="BR292" s="66">
        <f t="shared" si="351"/>
        <v>0</v>
      </c>
      <c r="BS292" s="119" t="str">
        <f t="shared" si="352"/>
        <v/>
      </c>
      <c r="BT292" s="66">
        <f>+IF($W292="","",ROUND(IF($B292&gt;Parámetros!$D$107,'Tablas Servicio'!BR292+('Tablas Servicio'!BT291-'Tablas Servicio'!BR291),BR292/(1-IF(B292&lt;=10,Parámetros!$D$100,0))),2))</f>
        <v>0</v>
      </c>
      <c r="BU292" s="66">
        <f t="shared" si="353"/>
        <v>0</v>
      </c>
      <c r="BV292" s="66">
        <f t="shared" si="353"/>
        <v>0</v>
      </c>
      <c r="BW292" s="66">
        <f>+IF($W292="","",ROUND((BT292*Parámetros!$G$85),2))</f>
        <v>0</v>
      </c>
      <c r="BX292" s="66">
        <f>+IF($W292="","",ROUND((BT292*(Parámetros!$G$86)),2))</f>
        <v>0</v>
      </c>
      <c r="BY292" s="66">
        <f t="shared" si="354"/>
        <v>0</v>
      </c>
      <c r="BZ292" t="str">
        <f t="shared" si="395"/>
        <v>00062</v>
      </c>
      <c r="CA292" t="str">
        <f t="shared" si="396"/>
        <v>Gastos médicos por accidente</v>
      </c>
      <c r="CB292" s="118">
        <f t="shared" si="397"/>
        <v>0</v>
      </c>
      <c r="CC292" s="118" t="str">
        <f t="shared" si="398"/>
        <v>A</v>
      </c>
      <c r="CD292" s="119" t="str">
        <f t="shared" si="355"/>
        <v/>
      </c>
      <c r="CE292" s="66">
        <f>+IF($W292="","",ROUND((VLOOKUP(ROUNDDOWN($D292-1/frec,0),cob_adi,BO$40,FALSE)*(1+i/frec)^-0.5*(1+Parámetros!$D$103)*(1+rec_fracc)/frec*'TABLAS ADI'!$BC$17),2))</f>
        <v>0</v>
      </c>
      <c r="CF292" s="119" t="str">
        <f t="shared" si="356"/>
        <v/>
      </c>
      <c r="CG292" s="66">
        <f>+IF($W292="","",ROUND(IF($B292&gt;Parámetros!$D$107,'Tablas Servicio'!CE292+('Tablas Servicio'!CG291-'Tablas Servicio'!CE291),CE292/(1-IF(B292&lt;=10,Parámetros!$D$100,0))),2))</f>
        <v>0</v>
      </c>
      <c r="CH292" s="66">
        <f t="shared" si="357"/>
        <v>0</v>
      </c>
      <c r="CI292" s="66">
        <f t="shared" si="357"/>
        <v>0</v>
      </c>
      <c r="CJ292" s="66">
        <f>+IF($W292="","",ROUND((CG292*Parámetros!$G$85),2))</f>
        <v>0</v>
      </c>
      <c r="CK292" s="66">
        <f>+IF($W292="","",ROUND((CG292*(Parámetros!$G$86)),2))</f>
        <v>0</v>
      </c>
      <c r="CL292" s="66">
        <f t="shared" si="358"/>
        <v>0</v>
      </c>
      <c r="CM292" t="str">
        <f t="shared" si="399"/>
        <v>00063</v>
      </c>
      <c r="CN292" s="118" t="str">
        <f t="shared" si="400"/>
        <v>Renta Diaria por Hospitalización</v>
      </c>
      <c r="CO292" s="118">
        <f t="shared" si="401"/>
        <v>0</v>
      </c>
      <c r="CP292" s="118" t="str">
        <f t="shared" si="402"/>
        <v>A</v>
      </c>
      <c r="CQ292" s="119" t="str">
        <f t="shared" si="359"/>
        <v/>
      </c>
      <c r="CR292" s="66">
        <f>+IF($W292="","",ROUND((VLOOKUP(Parámetros!$F$51,'COBERTURAS ADICIONALES'!$S$4:$T$32,2,FALSE)*(1+i/frec)^-0.5*(1+Parámetros!$D$103)*(1+rec_fracc)/frec*$CO$42),2))</f>
        <v>0</v>
      </c>
      <c r="CS292" s="119" t="str">
        <f t="shared" si="360"/>
        <v/>
      </c>
      <c r="CT292" s="66">
        <f>+IF($W292="","",ROUND(IF($B292&gt;Parámetros!$D$107,'Tablas Servicio'!CR292+('Tablas Servicio'!CT291-'Tablas Servicio'!CR291),CR292/(1-IF(B292&lt;=10,Parámetros!$D$100,0))),2))</f>
        <v>0</v>
      </c>
      <c r="CU292" s="66">
        <f t="shared" si="361"/>
        <v>0</v>
      </c>
      <c r="CV292" s="66">
        <f t="shared" si="361"/>
        <v>0</v>
      </c>
      <c r="CW292" s="66">
        <f>+IF($W292="","",ROUND((CT292*Parámetros!$G$85),2))</f>
        <v>0</v>
      </c>
      <c r="CX292" s="66">
        <f>+IF($W292="","",ROUND((CT292*(Parámetros!$G$86)),2))</f>
        <v>0</v>
      </c>
      <c r="CY292" s="66">
        <f t="shared" si="362"/>
        <v>0</v>
      </c>
      <c r="CZ292" t="str">
        <f t="shared" si="403"/>
        <v>00064</v>
      </c>
      <c r="DA292" s="118" t="str">
        <f t="shared" si="404"/>
        <v>Enfermedades Graves</v>
      </c>
      <c r="DB292" s="118">
        <f t="shared" si="405"/>
        <v>0</v>
      </c>
      <c r="DC292" s="118" t="str">
        <f t="shared" si="406"/>
        <v>A</v>
      </c>
      <c r="DD292" s="121" t="str">
        <f>+IF(OR($W292="",DB292=0),"",ROUND((VLOOKUP(ROUNDDOWN($D292-1/frec,0),cob_adi,CO$40,FALSE)*(1+i/frec)^-0.5*(1+Parámetros!$D$103)*(1+rec_fracc)/frec),6))</f>
        <v/>
      </c>
      <c r="DE292" s="66">
        <f t="shared" si="363"/>
        <v>0</v>
      </c>
      <c r="DF292" s="119" t="str">
        <f t="shared" si="364"/>
        <v/>
      </c>
      <c r="DG292" s="66">
        <f>+IF($W292="","",ROUND(IF($B292&gt;Parámetros!$D$107,'Tablas Servicio'!DE292+('Tablas Servicio'!DG291-'Tablas Servicio'!DE291),DE292/(1-IF(B292&lt;=10,Parámetros!$D$100,0))),2))</f>
        <v>0</v>
      </c>
      <c r="DH292" s="66">
        <f t="shared" si="365"/>
        <v>0</v>
      </c>
      <c r="DI292" s="66">
        <f t="shared" si="365"/>
        <v>0</v>
      </c>
      <c r="DJ292" s="66">
        <f>+IF($W292="","",ROUND((DG292*Parámetros!$G$85),2))</f>
        <v>0</v>
      </c>
      <c r="DK292" s="66">
        <f>+IF($W292="","",ROUND((DG292*(Parámetros!$G$86)),2))</f>
        <v>0</v>
      </c>
      <c r="DL292" s="66">
        <f t="shared" si="366"/>
        <v>0</v>
      </c>
      <c r="DM292" t="str">
        <f t="shared" si="407"/>
        <v>00065</v>
      </c>
      <c r="DN292" s="118" t="str">
        <f t="shared" si="408"/>
        <v>Exención pago de primas</v>
      </c>
      <c r="DO292" s="118">
        <f t="shared" si="409"/>
        <v>0</v>
      </c>
      <c r="DP292" s="118" t="str">
        <f t="shared" si="410"/>
        <v>A</v>
      </c>
      <c r="DQ292" s="122" t="str">
        <f>+IF(OR($W292="",DO292=0),"",ROUND((VLOOKUP(ROUNDDOWN($D292-1/frec,0),cob_adi,DB$40,FALSE)*(1+i/frec)^-0.5*(1+Parámetros!$D$103)*(1+rec_fracc)/frec),6))</f>
        <v/>
      </c>
      <c r="DR292" s="66">
        <f t="shared" si="367"/>
        <v>0</v>
      </c>
      <c r="DS292" s="68" t="str">
        <f t="shared" si="368"/>
        <v/>
      </c>
      <c r="DT292" s="66">
        <f>+IF($W292="","",ROUND(IF($B292&gt;Parámetros!$D$107,'Tablas Servicio'!DR292+('Tablas Servicio'!DT291-'Tablas Servicio'!DR291),DR292/(1-IF(B292&lt;=10,Parámetros!$D$100,0))),2))</f>
        <v>0</v>
      </c>
      <c r="DU292" s="66">
        <f t="shared" si="369"/>
        <v>0</v>
      </c>
      <c r="DV292" s="66">
        <f t="shared" si="369"/>
        <v>0</v>
      </c>
      <c r="DW292" s="66">
        <f>+IF($W292="","",ROUND((DT292*Parámetros!$G$85),2))</f>
        <v>0</v>
      </c>
      <c r="DX292" s="66">
        <f>+IF($W292="","",ROUND((DT292*(Parámetros!$G$86)),2))</f>
        <v>0</v>
      </c>
      <c r="DY292" s="66">
        <f t="shared" si="370"/>
        <v>0</v>
      </c>
      <c r="DZ292" t="str">
        <f t="shared" si="413"/>
        <v>00066</v>
      </c>
      <c r="EA292" s="118" t="str">
        <f t="shared" si="413"/>
        <v>Enfermedad terminal</v>
      </c>
      <c r="EB292" s="118">
        <f>+IF($W292="","",ROUND(IF(Parámetros!$D$25='TABLAS MORT'!$V$33,EB291,Z292/2),0))</f>
        <v>50000</v>
      </c>
      <c r="EC292" s="118" t="str">
        <f t="shared" si="413"/>
        <v>A</v>
      </c>
      <c r="ED292" s="122">
        <f>+IF(OR($W292="",EB292=0),"",ROUND((VLOOKUP(ROUNDDOWN($D292-1/frec,0),cob_adi,DO$40,FALSE)*(1+i/frec)^-0.5*(1+Parámetros!$D$103)*(1+rec_fracc)/frec),6))</f>
        <v>3.8999999999999999E-5</v>
      </c>
      <c r="EE292" s="66">
        <f t="shared" si="372"/>
        <v>1.95</v>
      </c>
      <c r="EF292" s="68">
        <f t="shared" si="373"/>
        <v>3.8999999999999999E-5</v>
      </c>
      <c r="EG292" s="66">
        <f>+IF($W292="","",ROUND(IF($B292&gt;Parámetros!$D$107,'Tablas Servicio'!EE292+('Tablas Servicio'!EG291-'Tablas Servicio'!EE291),EE292/(1-IF(B292&lt;=10,Parámetros!$D$100,0))),2))</f>
        <v>1.95</v>
      </c>
      <c r="EH292" s="66">
        <f t="shared" si="374"/>
        <v>0</v>
      </c>
      <c r="EI292" s="66">
        <f t="shared" si="374"/>
        <v>0</v>
      </c>
      <c r="EJ292" s="66">
        <f>+IF($W292="","",ROUND((EG292*Parámetros!$G$85),2))</f>
        <v>7.0000000000000007E-2</v>
      </c>
      <c r="EK292" s="66">
        <f>+IF($W292="","",ROUND((EG292*(Parámetros!$G$86)),2))</f>
        <v>0.01</v>
      </c>
      <c r="EL292" s="66">
        <f t="shared" si="375"/>
        <v>2.0299999999999998</v>
      </c>
    </row>
    <row r="293" spans="1:142" x14ac:dyDescent="0.25">
      <c r="A293">
        <f>+IF($C293="","",ROUND(VLOOKUP('Tablas Servicio'!B293,Parámetros!$H$100:$J$159,IF(Parámetros!$E$16="F",2,3),FALSE),2))</f>
        <v>150</v>
      </c>
      <c r="B293">
        <f t="shared" si="326"/>
        <v>21</v>
      </c>
      <c r="C293" s="57">
        <f>+IF(D293="","",'Tablas Servicio'!C292+1)</f>
        <v>252</v>
      </c>
      <c r="D293" s="56">
        <f>+IF(D292&lt;edadmaxtabla,D292+1/Parámetros!$E$25,"")</f>
        <v>61.0200000000006</v>
      </c>
      <c r="E293" s="57">
        <f t="shared" si="336"/>
        <v>61</v>
      </c>
      <c r="F293" s="59">
        <f t="shared" si="337"/>
        <v>100000</v>
      </c>
      <c r="G293" s="66">
        <f t="shared" si="327"/>
        <v>59.550000000000004</v>
      </c>
      <c r="H293" s="66">
        <f t="shared" si="328"/>
        <v>61.94</v>
      </c>
      <c r="I293" s="66">
        <f t="shared" si="376"/>
        <v>32.06</v>
      </c>
      <c r="J293" s="66">
        <f t="shared" si="329"/>
        <v>2.09</v>
      </c>
      <c r="K293" s="66">
        <f t="shared" si="330"/>
        <v>0.3</v>
      </c>
      <c r="L293" s="66">
        <f t="shared" si="331"/>
        <v>0</v>
      </c>
      <c r="M293" s="66">
        <f t="shared" si="332"/>
        <v>0</v>
      </c>
      <c r="N293" s="66">
        <f>+IF(C293="","",ROUND(Parámetros!$D$23,2))</f>
        <v>94</v>
      </c>
      <c r="O293" s="66">
        <f t="shared" si="333"/>
        <v>47.050000000000004</v>
      </c>
      <c r="P293" s="66">
        <f>+IF($C293="","",ROUND(IF(B293&gt;Parámetros!$D$117,0,N293*Parámetros!$D$116-G293*Parámetros!$D$100),2))</f>
        <v>0</v>
      </c>
      <c r="Q293" s="75">
        <f t="shared" si="377"/>
        <v>3.5096557514693531E-2</v>
      </c>
      <c r="R293" s="75">
        <f t="shared" si="378"/>
        <v>5.0377833753148613E-3</v>
      </c>
      <c r="S293" s="117">
        <f>+IF($C293="","",ROUND((S292+I293)*(1+Parámetros!$D$91),2))</f>
        <v>18807.66</v>
      </c>
      <c r="T293" s="117">
        <f>+IF($C293="","",ROUND(S293*VLOOKUP(B293,Parámetros!$C$30:$D$39,2,TRUE),2))</f>
        <v>18807.66</v>
      </c>
      <c r="U293" s="117">
        <f>+IF($C293="","",ROUND((U292+I293)*(1+Parámetros!$D$92),2))</f>
        <v>19994.16</v>
      </c>
      <c r="V293" s="117">
        <f>+IF($C293="","",ROUND(U293*VLOOKUP(B293,Parámetros!$C$30:$D$39,2,TRUE),2))</f>
        <v>19994.16</v>
      </c>
      <c r="W293" s="57">
        <f t="shared" si="379"/>
        <v>252</v>
      </c>
      <c r="X293" t="str">
        <f t="shared" si="380"/>
        <v>00058</v>
      </c>
      <c r="Y293" t="str">
        <f t="shared" si="381"/>
        <v>MUERTE POR CUALQUIER CAUSA</v>
      </c>
      <c r="Z293" s="118">
        <f>+IF($W293="","",ROUND(IF(Parámetros!$D$25='TABLAS MORT'!$V$33,Z292,Parámetros!$D$21-'Tablas Servicio'!T292),0))</f>
        <v>100000</v>
      </c>
      <c r="AA293" s="118" t="str">
        <f t="shared" si="382"/>
        <v>P</v>
      </c>
      <c r="AB293" s="119">
        <f>+IF(W293="","",ROUND((VLOOKUP(ROUNDDOWN($D293-1/frec,0),qx_tabla,2,FALSE)*(1+i/frec)^-0.5*(1+Parámetros!$D$103)*(1+rec_fracc)/frec),6))</f>
        <v>4.5100000000000001E-4</v>
      </c>
      <c r="AC293" s="66">
        <f t="shared" si="338"/>
        <v>45.1</v>
      </c>
      <c r="AD293" s="119">
        <f t="shared" si="334"/>
        <v>5.7600000000000001E-4</v>
      </c>
      <c r="AE293" s="66">
        <f>+IF($W293="","",ROUND(IF($B293&gt;Parámetros!$D$107,'Tablas Servicio'!AC293+('Tablas Servicio'!AG292-'Tablas Servicio'!AC292),AC293/(1-IF(B293&lt;=10,Parámetros!$D$104,Parámetros!$D$105))),2))</f>
        <v>75.17</v>
      </c>
      <c r="AF293" s="66">
        <f>+IF($W293="","",ROUND(IF($B293&gt;Parámetros!$D$107,'Tablas Servicio'!AC293+('Tablas Servicio'!AG292-'Tablas Servicio'!AC292),(AC293+$A292/frec)/(1-IF(B293&lt;=Parámetros!$D$117,Parámetros!$D$100,0))),2))</f>
        <v>57.6</v>
      </c>
      <c r="AG293" s="66">
        <f t="shared" si="339"/>
        <v>57.6</v>
      </c>
      <c r="AH293" s="66">
        <f t="shared" si="340"/>
        <v>0</v>
      </c>
      <c r="AI293" s="66">
        <f t="shared" si="341"/>
        <v>0</v>
      </c>
      <c r="AJ293" s="66">
        <f>+IF($W293="","",ROUND((AG293*Parámetros!$G$85),2))</f>
        <v>2.02</v>
      </c>
      <c r="AK293" s="66">
        <f>+IF($W293="","",ROUND((AG293*(Parámetros!$G$86)),2))</f>
        <v>0.28999999999999998</v>
      </c>
      <c r="AL293" s="66">
        <f t="shared" si="335"/>
        <v>59.91</v>
      </c>
      <c r="AM293" t="str">
        <f t="shared" si="383"/>
        <v>00059</v>
      </c>
      <c r="AN293" t="str">
        <f t="shared" si="384"/>
        <v>Incapacidad Total y Permanente</v>
      </c>
      <c r="AO293" s="118">
        <f t="shared" si="385"/>
        <v>0</v>
      </c>
      <c r="AP293" s="118" t="str">
        <f t="shared" si="386"/>
        <v>A</v>
      </c>
      <c r="AQ293" s="119" t="str">
        <f>+IF(OR($W293="",AO293=0),"",ROUND((VLOOKUP(ROUNDDOWN($D293-1/frec,0),cob_adi,Z$40,FALSE)*(1+i/frec)^-0.5*(1+Parámetros!$D$103)*(1+rec_fracc)/frec),6))</f>
        <v/>
      </c>
      <c r="AR293" s="66">
        <f t="shared" si="342"/>
        <v>0</v>
      </c>
      <c r="AS293" s="119" t="str">
        <f t="shared" si="343"/>
        <v/>
      </c>
      <c r="AT293" s="66">
        <f>+IF($W293="","",ROUND(IF($B293&gt;Parámetros!$D$107,'Tablas Servicio'!AR293+('Tablas Servicio'!AT292-'Tablas Servicio'!AR292),AR293/(1-IF(B293&lt;=10,Parámetros!$D$100,0))),2))</f>
        <v>0</v>
      </c>
      <c r="AU293" s="66">
        <f t="shared" si="344"/>
        <v>0</v>
      </c>
      <c r="AV293" s="66">
        <f t="shared" si="344"/>
        <v>0</v>
      </c>
      <c r="AW293" s="66">
        <f>+IF($W293="","",ROUND((AT293*Parámetros!$G$85),2))</f>
        <v>0</v>
      </c>
      <c r="AX293" s="66">
        <f>+IF($W293="","",ROUND((AT293*(Parámetros!$G$86)),2))</f>
        <v>0</v>
      </c>
      <c r="AY293" s="66">
        <f t="shared" si="345"/>
        <v>0</v>
      </c>
      <c r="AZ293" t="str">
        <f t="shared" si="387"/>
        <v>00060</v>
      </c>
      <c r="BA293" t="str">
        <f t="shared" si="388"/>
        <v>Muerte Accidental</v>
      </c>
      <c r="BB293" s="118">
        <f t="shared" si="389"/>
        <v>0</v>
      </c>
      <c r="BC293" s="118" t="str">
        <f t="shared" si="390"/>
        <v>A</v>
      </c>
      <c r="BD293" s="119" t="str">
        <f>+IF(OR($W293="",BB293=0),"",ROUND((VLOOKUP(ROUNDDOWN($D293-1/frec,0),cob_adi,AO$40,FALSE)*(1+i/frec)^-0.5*(1+Parámetros!$D$103)*(1+rec_fracc)/frec),6))</f>
        <v/>
      </c>
      <c r="BE293" s="66">
        <f t="shared" si="346"/>
        <v>0</v>
      </c>
      <c r="BF293" s="119" t="str">
        <f t="shared" si="347"/>
        <v/>
      </c>
      <c r="BG293" s="66">
        <f>+IF($W293="","",ROUND(IF($B293&gt;Parámetros!$D$107,'Tablas Servicio'!BE293+('Tablas Servicio'!BG292-'Tablas Servicio'!BE292),BE293/(1-IF(B293&lt;=10,Parámetros!$D$100,0))),2))</f>
        <v>0</v>
      </c>
      <c r="BH293" s="66">
        <f t="shared" si="348"/>
        <v>0</v>
      </c>
      <c r="BI293" s="66">
        <f t="shared" si="349"/>
        <v>0</v>
      </c>
      <c r="BJ293" s="66">
        <f>+IF($W293="","",ROUND((BG293*Parámetros!$G$85),2))</f>
        <v>0</v>
      </c>
      <c r="BK293" s="66">
        <f>+IF($W293="","",ROUND((BG293*(Parámetros!$G$86)),2))</f>
        <v>0</v>
      </c>
      <c r="BL293" s="66">
        <f t="shared" si="350"/>
        <v>0</v>
      </c>
      <c r="BM293" t="str">
        <f t="shared" si="391"/>
        <v>00061</v>
      </c>
      <c r="BN293" t="str">
        <f t="shared" si="392"/>
        <v>Gastos de Entierro</v>
      </c>
      <c r="BO293" s="118">
        <f t="shared" si="393"/>
        <v>0</v>
      </c>
      <c r="BP293" s="118" t="str">
        <f t="shared" si="394"/>
        <v>A</v>
      </c>
      <c r="BQ293" s="119" t="str">
        <f>+IF(OR($W293="",BO293=0),"",ROUND((VLOOKUP(ROUNDDOWN($D293-1/frec,0),cob_adi,BB$40,FALSE)*(1+i/frec)^-0.5*(1+Parámetros!$D$103)*(1+rec_fracc)/frec),6))</f>
        <v/>
      </c>
      <c r="BR293" s="66">
        <f t="shared" si="351"/>
        <v>0</v>
      </c>
      <c r="BS293" s="119" t="str">
        <f t="shared" si="352"/>
        <v/>
      </c>
      <c r="BT293" s="66">
        <f>+IF($W293="","",ROUND(IF($B293&gt;Parámetros!$D$107,'Tablas Servicio'!BR293+('Tablas Servicio'!BT292-'Tablas Servicio'!BR292),BR293/(1-IF(B293&lt;=10,Parámetros!$D$100,0))),2))</f>
        <v>0</v>
      </c>
      <c r="BU293" s="66">
        <f t="shared" si="353"/>
        <v>0</v>
      </c>
      <c r="BV293" s="66">
        <f t="shared" si="353"/>
        <v>0</v>
      </c>
      <c r="BW293" s="66">
        <f>+IF($W293="","",ROUND((BT293*Parámetros!$G$85),2))</f>
        <v>0</v>
      </c>
      <c r="BX293" s="66">
        <f>+IF($W293="","",ROUND((BT293*(Parámetros!$G$86)),2))</f>
        <v>0</v>
      </c>
      <c r="BY293" s="66">
        <f t="shared" si="354"/>
        <v>0</v>
      </c>
      <c r="BZ293" t="str">
        <f t="shared" si="395"/>
        <v>00062</v>
      </c>
      <c r="CA293" t="str">
        <f t="shared" si="396"/>
        <v>Gastos médicos por accidente</v>
      </c>
      <c r="CB293" s="118">
        <f t="shared" si="397"/>
        <v>0</v>
      </c>
      <c r="CC293" s="118" t="str">
        <f t="shared" si="398"/>
        <v>A</v>
      </c>
      <c r="CD293" s="119" t="str">
        <f t="shared" si="355"/>
        <v/>
      </c>
      <c r="CE293" s="66">
        <f>+IF($W293="","",ROUND((VLOOKUP(ROUNDDOWN($D293-1/frec,0),cob_adi,BO$40,FALSE)*(1+i/frec)^-0.5*(1+Parámetros!$D$103)*(1+rec_fracc)/frec*'TABLAS ADI'!$BC$17),2))</f>
        <v>0</v>
      </c>
      <c r="CF293" s="119" t="str">
        <f t="shared" si="356"/>
        <v/>
      </c>
      <c r="CG293" s="66">
        <f>+IF($W293="","",ROUND(IF($B293&gt;Parámetros!$D$107,'Tablas Servicio'!CE293+('Tablas Servicio'!CG292-'Tablas Servicio'!CE292),CE293/(1-IF(B293&lt;=10,Parámetros!$D$100,0))),2))</f>
        <v>0</v>
      </c>
      <c r="CH293" s="66">
        <f t="shared" si="357"/>
        <v>0</v>
      </c>
      <c r="CI293" s="66">
        <f t="shared" si="357"/>
        <v>0</v>
      </c>
      <c r="CJ293" s="66">
        <f>+IF($W293="","",ROUND((CG293*Parámetros!$G$85),2))</f>
        <v>0</v>
      </c>
      <c r="CK293" s="66">
        <f>+IF($W293="","",ROUND((CG293*(Parámetros!$G$86)),2))</f>
        <v>0</v>
      </c>
      <c r="CL293" s="66">
        <f t="shared" si="358"/>
        <v>0</v>
      </c>
      <c r="CM293" t="str">
        <f t="shared" si="399"/>
        <v>00063</v>
      </c>
      <c r="CN293" s="118" t="str">
        <f t="shared" si="400"/>
        <v>Renta Diaria por Hospitalización</v>
      </c>
      <c r="CO293" s="118">
        <f t="shared" si="401"/>
        <v>0</v>
      </c>
      <c r="CP293" s="118" t="str">
        <f t="shared" si="402"/>
        <v>A</v>
      </c>
      <c r="CQ293" s="119" t="str">
        <f t="shared" si="359"/>
        <v/>
      </c>
      <c r="CR293" s="66">
        <f>+IF($W293="","",ROUND((VLOOKUP(Parámetros!$F$51,'COBERTURAS ADICIONALES'!$S$4:$T$32,2,FALSE)*(1+i/frec)^-0.5*(1+Parámetros!$D$103)*(1+rec_fracc)/frec*$CO$42),2))</f>
        <v>0</v>
      </c>
      <c r="CS293" s="119" t="str">
        <f t="shared" si="360"/>
        <v/>
      </c>
      <c r="CT293" s="66">
        <f>+IF($W293="","",ROUND(IF($B293&gt;Parámetros!$D$107,'Tablas Servicio'!CR293+('Tablas Servicio'!CT292-'Tablas Servicio'!CR292),CR293/(1-IF(B293&lt;=10,Parámetros!$D$100,0))),2))</f>
        <v>0</v>
      </c>
      <c r="CU293" s="66">
        <f t="shared" si="361"/>
        <v>0</v>
      </c>
      <c r="CV293" s="66">
        <f t="shared" si="361"/>
        <v>0</v>
      </c>
      <c r="CW293" s="66">
        <f>+IF($W293="","",ROUND((CT293*Parámetros!$G$85),2))</f>
        <v>0</v>
      </c>
      <c r="CX293" s="66">
        <f>+IF($W293="","",ROUND((CT293*(Parámetros!$G$86)),2))</f>
        <v>0</v>
      </c>
      <c r="CY293" s="66">
        <f t="shared" si="362"/>
        <v>0</v>
      </c>
      <c r="CZ293" t="str">
        <f t="shared" si="403"/>
        <v>00064</v>
      </c>
      <c r="DA293" s="118" t="str">
        <f t="shared" si="404"/>
        <v>Enfermedades Graves</v>
      </c>
      <c r="DB293" s="118">
        <f t="shared" si="405"/>
        <v>0</v>
      </c>
      <c r="DC293" s="118" t="str">
        <f t="shared" si="406"/>
        <v>A</v>
      </c>
      <c r="DD293" s="121" t="str">
        <f>+IF(OR($W293="",DB293=0),"",ROUND((VLOOKUP(ROUNDDOWN($D293-1/frec,0),cob_adi,CO$40,FALSE)*(1+i/frec)^-0.5*(1+Parámetros!$D$103)*(1+rec_fracc)/frec),6))</f>
        <v/>
      </c>
      <c r="DE293" s="66">
        <f t="shared" si="363"/>
        <v>0</v>
      </c>
      <c r="DF293" s="119" t="str">
        <f t="shared" si="364"/>
        <v/>
      </c>
      <c r="DG293" s="66">
        <f>+IF($W293="","",ROUND(IF($B293&gt;Parámetros!$D$107,'Tablas Servicio'!DE293+('Tablas Servicio'!DG292-'Tablas Servicio'!DE292),DE293/(1-IF(B293&lt;=10,Parámetros!$D$100,0))),2))</f>
        <v>0</v>
      </c>
      <c r="DH293" s="66">
        <f t="shared" si="365"/>
        <v>0</v>
      </c>
      <c r="DI293" s="66">
        <f t="shared" si="365"/>
        <v>0</v>
      </c>
      <c r="DJ293" s="66">
        <f>+IF($W293="","",ROUND((DG293*Parámetros!$G$85),2))</f>
        <v>0</v>
      </c>
      <c r="DK293" s="66">
        <f>+IF($W293="","",ROUND((DG293*(Parámetros!$G$86)),2))</f>
        <v>0</v>
      </c>
      <c r="DL293" s="66">
        <f t="shared" si="366"/>
        <v>0</v>
      </c>
      <c r="DM293" t="str">
        <f t="shared" si="407"/>
        <v>00065</v>
      </c>
      <c r="DN293" s="118" t="str">
        <f t="shared" si="408"/>
        <v>Exención pago de primas</v>
      </c>
      <c r="DO293" s="118">
        <f t="shared" si="409"/>
        <v>0</v>
      </c>
      <c r="DP293" s="118" t="str">
        <f t="shared" si="410"/>
        <v>A</v>
      </c>
      <c r="DQ293" s="122" t="str">
        <f>+IF(OR($W293="",DO293=0),"",ROUND((VLOOKUP(ROUNDDOWN($D293-1/frec,0),cob_adi,DB$40,FALSE)*(1+i/frec)^-0.5*(1+Parámetros!$D$103)*(1+rec_fracc)/frec),6))</f>
        <v/>
      </c>
      <c r="DR293" s="66">
        <f t="shared" si="367"/>
        <v>0</v>
      </c>
      <c r="DS293" s="68" t="str">
        <f t="shared" si="368"/>
        <v/>
      </c>
      <c r="DT293" s="66">
        <f>+IF($W293="","",ROUND(IF($B293&gt;Parámetros!$D$107,'Tablas Servicio'!DR293+('Tablas Servicio'!DT292-'Tablas Servicio'!DR292),DR293/(1-IF(B293&lt;=10,Parámetros!$D$100,0))),2))</f>
        <v>0</v>
      </c>
      <c r="DU293" s="66">
        <f t="shared" si="369"/>
        <v>0</v>
      </c>
      <c r="DV293" s="66">
        <f t="shared" si="369"/>
        <v>0</v>
      </c>
      <c r="DW293" s="66">
        <f>+IF($W293="","",ROUND((DT293*Parámetros!$G$85),2))</f>
        <v>0</v>
      </c>
      <c r="DX293" s="66">
        <f>+IF($W293="","",ROUND((DT293*(Parámetros!$G$86)),2))</f>
        <v>0</v>
      </c>
      <c r="DY293" s="66">
        <f t="shared" si="370"/>
        <v>0</v>
      </c>
      <c r="DZ293" t="str">
        <f t="shared" si="413"/>
        <v>00066</v>
      </c>
      <c r="EA293" s="118" t="str">
        <f t="shared" si="413"/>
        <v>Enfermedad terminal</v>
      </c>
      <c r="EB293" s="118">
        <f>+IF($W293="","",ROUND(IF(Parámetros!$D$25='TABLAS MORT'!$V$33,EB292,Z293/2),0))</f>
        <v>50000</v>
      </c>
      <c r="EC293" s="118" t="str">
        <f t="shared" si="413"/>
        <v>A</v>
      </c>
      <c r="ED293" s="122">
        <f>+IF(OR($W293="",EB293=0),"",ROUND((VLOOKUP(ROUNDDOWN($D293-1/frec,0),cob_adi,DO$40,FALSE)*(1+i/frec)^-0.5*(1+Parámetros!$D$103)*(1+rec_fracc)/frec),6))</f>
        <v>3.8999999999999999E-5</v>
      </c>
      <c r="EE293" s="66">
        <f t="shared" si="372"/>
        <v>1.95</v>
      </c>
      <c r="EF293" s="68">
        <f t="shared" si="373"/>
        <v>3.8999999999999999E-5</v>
      </c>
      <c r="EG293" s="66">
        <f>+IF($W293="","",ROUND(IF($B293&gt;Parámetros!$D$107,'Tablas Servicio'!EE293+('Tablas Servicio'!EG292-'Tablas Servicio'!EE292),EE293/(1-IF(B293&lt;=10,Parámetros!$D$100,0))),2))</f>
        <v>1.95</v>
      </c>
      <c r="EH293" s="66">
        <f t="shared" si="374"/>
        <v>0</v>
      </c>
      <c r="EI293" s="66">
        <f t="shared" si="374"/>
        <v>0</v>
      </c>
      <c r="EJ293" s="66">
        <f>+IF($W293="","",ROUND((EG293*Parámetros!$G$85),2))</f>
        <v>7.0000000000000007E-2</v>
      </c>
      <c r="EK293" s="66">
        <f>+IF($W293="","",ROUND((EG293*(Parámetros!$G$86)),2))</f>
        <v>0.01</v>
      </c>
      <c r="EL293" s="66">
        <f t="shared" si="375"/>
        <v>2.0299999999999998</v>
      </c>
    </row>
    <row r="294" spans="1:142" x14ac:dyDescent="0.25">
      <c r="A294">
        <f>+IF($C294="","",ROUND(VLOOKUP('Tablas Servicio'!B294,Parámetros!$H$100:$J$159,IF(Parámetros!$E$16="F",2,3),FALSE),2))</f>
        <v>150</v>
      </c>
      <c r="B294">
        <f t="shared" si="326"/>
        <v>22</v>
      </c>
      <c r="C294" s="57">
        <f>+IF(D294="","",'Tablas Servicio'!C293+1)</f>
        <v>253</v>
      </c>
      <c r="D294" s="56">
        <f>+IF(D293&lt;edadmaxtabla,D293+1/Parámetros!$E$25,"")</f>
        <v>61.103333333333936</v>
      </c>
      <c r="E294" s="57">
        <f t="shared" si="336"/>
        <v>61</v>
      </c>
      <c r="F294" s="59">
        <f t="shared" si="337"/>
        <v>100000</v>
      </c>
      <c r="G294" s="66">
        <f t="shared" si="327"/>
        <v>62.95</v>
      </c>
      <c r="H294" s="66">
        <f t="shared" si="328"/>
        <v>65.48</v>
      </c>
      <c r="I294" s="66">
        <f t="shared" si="376"/>
        <v>28.519999999999996</v>
      </c>
      <c r="J294" s="66">
        <f t="shared" si="329"/>
        <v>2.21</v>
      </c>
      <c r="K294" s="66">
        <f t="shared" si="330"/>
        <v>0.32</v>
      </c>
      <c r="L294" s="66">
        <f t="shared" si="331"/>
        <v>0</v>
      </c>
      <c r="M294" s="66">
        <f t="shared" si="332"/>
        <v>0</v>
      </c>
      <c r="N294" s="66">
        <f>+IF(C294="","",ROUND(Parámetros!$D$23,2))</f>
        <v>94</v>
      </c>
      <c r="O294" s="66">
        <f t="shared" si="333"/>
        <v>50.45</v>
      </c>
      <c r="P294" s="66">
        <f>+IF($C294="","",ROUND(IF(B294&gt;Parámetros!$D$117,0,N294*Parámetros!$D$116-G294*Parámetros!$D$100),2))</f>
        <v>0</v>
      </c>
      <c r="Q294" s="75">
        <f t="shared" si="377"/>
        <v>3.5107227958697376E-2</v>
      </c>
      <c r="R294" s="75">
        <f t="shared" si="378"/>
        <v>5.0833995234312946E-3</v>
      </c>
      <c r="S294" s="117">
        <f>+IF($C294="","",ROUND((S293+I294)*(1+Parámetros!$D$91),2))</f>
        <v>18889.61</v>
      </c>
      <c r="T294" s="117">
        <f>+IF($C294="","",ROUND(S294*VLOOKUP(B294,Parámetros!$C$30:$D$39,2,TRUE),2))</f>
        <v>18889.61</v>
      </c>
      <c r="U294" s="117">
        <f>+IF($C294="","",ROUND((U293+I294)*(1+Parámetros!$D$92),2))</f>
        <v>20087.59</v>
      </c>
      <c r="V294" s="117">
        <f>+IF($C294="","",ROUND(U294*VLOOKUP(B294,Parámetros!$C$30:$D$39,2,TRUE),2))</f>
        <v>20087.59</v>
      </c>
      <c r="W294" s="57">
        <f t="shared" si="379"/>
        <v>253</v>
      </c>
      <c r="X294" t="str">
        <f t="shared" si="380"/>
        <v>00058</v>
      </c>
      <c r="Y294" t="str">
        <f t="shared" si="381"/>
        <v>MUERTE POR CUALQUIER CAUSA</v>
      </c>
      <c r="Z294" s="118">
        <f>+IF($W294="","",ROUND(IF(Parámetros!$D$25='TABLAS MORT'!$V$33,Z293,Parámetros!$D$21-'Tablas Servicio'!T293),0))</f>
        <v>100000</v>
      </c>
      <c r="AA294" s="118" t="str">
        <f t="shared" si="382"/>
        <v>P</v>
      </c>
      <c r="AB294" s="119">
        <f>+IF(W294="","",ROUND((VLOOKUP(ROUNDDOWN($D294-1/frec,0),qx_tabla,2,FALSE)*(1+i/frec)^-0.5*(1+Parámetros!$D$103)*(1+rec_fracc)/frec),6))</f>
        <v>4.8500000000000003E-4</v>
      </c>
      <c r="AC294" s="66">
        <f t="shared" si="338"/>
        <v>48.5</v>
      </c>
      <c r="AD294" s="119">
        <f t="shared" si="334"/>
        <v>6.0999999999999997E-4</v>
      </c>
      <c r="AE294" s="66">
        <f>+IF($W294="","",ROUND(IF($B294&gt;Parámetros!$D$107,'Tablas Servicio'!AC294+('Tablas Servicio'!AG293-'Tablas Servicio'!AC293),AC294/(1-IF(B294&lt;=10,Parámetros!$D$104,Parámetros!$D$105))),2))</f>
        <v>80.83</v>
      </c>
      <c r="AF294" s="66">
        <f>+IF($W294="","",ROUND(IF($B294&gt;Parámetros!$D$107,'Tablas Servicio'!AC294+('Tablas Servicio'!AG293-'Tablas Servicio'!AC293),(AC294+$A293/frec)/(1-IF(B294&lt;=Parámetros!$D$117,Parámetros!$D$100,0))),2))</f>
        <v>61</v>
      </c>
      <c r="AG294" s="66">
        <f t="shared" si="339"/>
        <v>61</v>
      </c>
      <c r="AH294" s="66">
        <f t="shared" si="340"/>
        <v>0</v>
      </c>
      <c r="AI294" s="66">
        <f t="shared" si="341"/>
        <v>0</v>
      </c>
      <c r="AJ294" s="66">
        <f>+IF($W294="","",ROUND((AG294*Parámetros!$G$85),2))</f>
        <v>2.14</v>
      </c>
      <c r="AK294" s="66">
        <f>+IF($W294="","",ROUND((AG294*(Parámetros!$G$86)),2))</f>
        <v>0.31</v>
      </c>
      <c r="AL294" s="66">
        <f t="shared" si="335"/>
        <v>63.45</v>
      </c>
      <c r="AM294" t="str">
        <f t="shared" si="383"/>
        <v>00059</v>
      </c>
      <c r="AN294" t="str">
        <f t="shared" si="384"/>
        <v>Incapacidad Total y Permanente</v>
      </c>
      <c r="AO294" s="118">
        <f t="shared" si="385"/>
        <v>0</v>
      </c>
      <c r="AP294" s="118" t="str">
        <f t="shared" si="386"/>
        <v>A</v>
      </c>
      <c r="AQ294" s="119" t="str">
        <f>+IF(OR($W294="",AO294=0),"",ROUND((VLOOKUP(ROUNDDOWN($D294-1/frec,0),cob_adi,Z$40,FALSE)*(1+i/frec)^-0.5*(1+Parámetros!$D$103)*(1+rec_fracc)/frec),6))</f>
        <v/>
      </c>
      <c r="AR294" s="66">
        <f t="shared" si="342"/>
        <v>0</v>
      </c>
      <c r="AS294" s="119" t="str">
        <f t="shared" si="343"/>
        <v/>
      </c>
      <c r="AT294" s="66">
        <f>+IF($W294="","",ROUND(IF($B294&gt;Parámetros!$D$107,'Tablas Servicio'!AR294+('Tablas Servicio'!AT293-'Tablas Servicio'!AR293),AR294/(1-IF(B294&lt;=10,Parámetros!$D$100,0))),2))</f>
        <v>0</v>
      </c>
      <c r="AU294" s="66">
        <f t="shared" si="344"/>
        <v>0</v>
      </c>
      <c r="AV294" s="66">
        <f t="shared" si="344"/>
        <v>0</v>
      </c>
      <c r="AW294" s="66">
        <f>+IF($W294="","",ROUND((AT294*Parámetros!$G$85),2))</f>
        <v>0</v>
      </c>
      <c r="AX294" s="66">
        <f>+IF($W294="","",ROUND((AT294*(Parámetros!$G$86)),2))</f>
        <v>0</v>
      </c>
      <c r="AY294" s="66">
        <f t="shared" si="345"/>
        <v>0</v>
      </c>
      <c r="AZ294" t="str">
        <f t="shared" si="387"/>
        <v>00060</v>
      </c>
      <c r="BA294" t="str">
        <f t="shared" si="388"/>
        <v>Muerte Accidental</v>
      </c>
      <c r="BB294" s="118">
        <f t="shared" si="389"/>
        <v>0</v>
      </c>
      <c r="BC294" s="118" t="str">
        <f t="shared" si="390"/>
        <v>A</v>
      </c>
      <c r="BD294" s="119" t="str">
        <f>+IF(OR($W294="",BB294=0),"",ROUND((VLOOKUP(ROUNDDOWN($D294-1/frec,0),cob_adi,AO$40,FALSE)*(1+i/frec)^-0.5*(1+Parámetros!$D$103)*(1+rec_fracc)/frec),6))</f>
        <v/>
      </c>
      <c r="BE294" s="66">
        <f t="shared" si="346"/>
        <v>0</v>
      </c>
      <c r="BF294" s="119" t="str">
        <f t="shared" si="347"/>
        <v/>
      </c>
      <c r="BG294" s="66">
        <f>+IF($W294="","",ROUND(IF($B294&gt;Parámetros!$D$107,'Tablas Servicio'!BE294+('Tablas Servicio'!BG293-'Tablas Servicio'!BE293),BE294/(1-IF(B294&lt;=10,Parámetros!$D$100,0))),2))</f>
        <v>0</v>
      </c>
      <c r="BH294" s="66">
        <f t="shared" si="348"/>
        <v>0</v>
      </c>
      <c r="BI294" s="66">
        <f t="shared" si="349"/>
        <v>0</v>
      </c>
      <c r="BJ294" s="66">
        <f>+IF($W294="","",ROUND((BG294*Parámetros!$G$85),2))</f>
        <v>0</v>
      </c>
      <c r="BK294" s="66">
        <f>+IF($W294="","",ROUND((BG294*(Parámetros!$G$86)),2))</f>
        <v>0</v>
      </c>
      <c r="BL294" s="66">
        <f t="shared" si="350"/>
        <v>0</v>
      </c>
      <c r="BM294" t="str">
        <f t="shared" si="391"/>
        <v>00061</v>
      </c>
      <c r="BN294" t="str">
        <f t="shared" si="392"/>
        <v>Gastos de Entierro</v>
      </c>
      <c r="BO294" s="118">
        <f t="shared" si="393"/>
        <v>0</v>
      </c>
      <c r="BP294" s="118" t="str">
        <f t="shared" si="394"/>
        <v>A</v>
      </c>
      <c r="BQ294" s="119" t="str">
        <f>+IF(OR($W294="",BO294=0),"",ROUND((VLOOKUP(ROUNDDOWN($D294-1/frec,0),cob_adi,BB$40,FALSE)*(1+i/frec)^-0.5*(1+Parámetros!$D$103)*(1+rec_fracc)/frec),6))</f>
        <v/>
      </c>
      <c r="BR294" s="66">
        <f t="shared" si="351"/>
        <v>0</v>
      </c>
      <c r="BS294" s="119" t="str">
        <f t="shared" si="352"/>
        <v/>
      </c>
      <c r="BT294" s="66">
        <f>+IF($W294="","",ROUND(IF($B294&gt;Parámetros!$D$107,'Tablas Servicio'!BR294+('Tablas Servicio'!BT293-'Tablas Servicio'!BR293),BR294/(1-IF(B294&lt;=10,Parámetros!$D$100,0))),2))</f>
        <v>0</v>
      </c>
      <c r="BU294" s="66">
        <f t="shared" si="353"/>
        <v>0</v>
      </c>
      <c r="BV294" s="66">
        <f t="shared" si="353"/>
        <v>0</v>
      </c>
      <c r="BW294" s="66">
        <f>+IF($W294="","",ROUND((BT294*Parámetros!$G$85),2))</f>
        <v>0</v>
      </c>
      <c r="BX294" s="66">
        <f>+IF($W294="","",ROUND((BT294*(Parámetros!$G$86)),2))</f>
        <v>0</v>
      </c>
      <c r="BY294" s="66">
        <f t="shared" si="354"/>
        <v>0</v>
      </c>
      <c r="BZ294" t="str">
        <f t="shared" si="395"/>
        <v>00062</v>
      </c>
      <c r="CA294" t="str">
        <f t="shared" si="396"/>
        <v>Gastos médicos por accidente</v>
      </c>
      <c r="CB294" s="118">
        <f t="shared" si="397"/>
        <v>0</v>
      </c>
      <c r="CC294" s="118" t="str">
        <f t="shared" si="398"/>
        <v>A</v>
      </c>
      <c r="CD294" s="119" t="str">
        <f t="shared" si="355"/>
        <v/>
      </c>
      <c r="CE294" s="66">
        <f>+IF($W294="","",ROUND((VLOOKUP(ROUNDDOWN($D294-1/frec,0),cob_adi,BO$40,FALSE)*(1+i/frec)^-0.5*(1+Parámetros!$D$103)*(1+rec_fracc)/frec*'TABLAS ADI'!$BC$17),2))</f>
        <v>0</v>
      </c>
      <c r="CF294" s="119" t="str">
        <f t="shared" si="356"/>
        <v/>
      </c>
      <c r="CG294" s="66">
        <f>+IF($W294="","",ROUND(IF($B294&gt;Parámetros!$D$107,'Tablas Servicio'!CE294+('Tablas Servicio'!CG293-'Tablas Servicio'!CE293),CE294/(1-IF(B294&lt;=10,Parámetros!$D$100,0))),2))</f>
        <v>0</v>
      </c>
      <c r="CH294" s="66">
        <f t="shared" si="357"/>
        <v>0</v>
      </c>
      <c r="CI294" s="66">
        <f t="shared" si="357"/>
        <v>0</v>
      </c>
      <c r="CJ294" s="66">
        <f>+IF($W294="","",ROUND((CG294*Parámetros!$G$85),2))</f>
        <v>0</v>
      </c>
      <c r="CK294" s="66">
        <f>+IF($W294="","",ROUND((CG294*(Parámetros!$G$86)),2))</f>
        <v>0</v>
      </c>
      <c r="CL294" s="66">
        <f t="shared" si="358"/>
        <v>0</v>
      </c>
      <c r="CM294" t="str">
        <f t="shared" si="399"/>
        <v>00063</v>
      </c>
      <c r="CN294" s="118" t="str">
        <f t="shared" si="400"/>
        <v>Renta Diaria por Hospitalización</v>
      </c>
      <c r="CO294" s="118">
        <f t="shared" si="401"/>
        <v>0</v>
      </c>
      <c r="CP294" s="118" t="str">
        <f t="shared" si="402"/>
        <v>A</v>
      </c>
      <c r="CQ294" s="119" t="str">
        <f t="shared" si="359"/>
        <v/>
      </c>
      <c r="CR294" s="66">
        <f>+IF($W294="","",ROUND((VLOOKUP(Parámetros!$F$51,'COBERTURAS ADICIONALES'!$S$4:$T$32,2,FALSE)*(1+i/frec)^-0.5*(1+Parámetros!$D$103)*(1+rec_fracc)/frec*$CO$42),2))</f>
        <v>0</v>
      </c>
      <c r="CS294" s="119" t="str">
        <f t="shared" si="360"/>
        <v/>
      </c>
      <c r="CT294" s="66">
        <f>+IF($W294="","",ROUND(IF($B294&gt;Parámetros!$D$107,'Tablas Servicio'!CR294+('Tablas Servicio'!CT293-'Tablas Servicio'!CR293),CR294/(1-IF(B294&lt;=10,Parámetros!$D$100,0))),2))</f>
        <v>0</v>
      </c>
      <c r="CU294" s="66">
        <f t="shared" si="361"/>
        <v>0</v>
      </c>
      <c r="CV294" s="66">
        <f t="shared" si="361"/>
        <v>0</v>
      </c>
      <c r="CW294" s="66">
        <f>+IF($W294="","",ROUND((CT294*Parámetros!$G$85),2))</f>
        <v>0</v>
      </c>
      <c r="CX294" s="66">
        <f>+IF($W294="","",ROUND((CT294*(Parámetros!$G$86)),2))</f>
        <v>0</v>
      </c>
      <c r="CY294" s="66">
        <f t="shared" si="362"/>
        <v>0</v>
      </c>
      <c r="CZ294" t="str">
        <f t="shared" si="403"/>
        <v>00064</v>
      </c>
      <c r="DA294" s="118" t="str">
        <f t="shared" si="404"/>
        <v>Enfermedades Graves</v>
      </c>
      <c r="DB294" s="118">
        <f t="shared" si="405"/>
        <v>0</v>
      </c>
      <c r="DC294" s="118" t="str">
        <f t="shared" si="406"/>
        <v>A</v>
      </c>
      <c r="DD294" s="121" t="str">
        <f>+IF(OR($W294="",DB294=0),"",ROUND((VLOOKUP(ROUNDDOWN($D294-1/frec,0),cob_adi,CO$40,FALSE)*(1+i/frec)^-0.5*(1+Parámetros!$D$103)*(1+rec_fracc)/frec),6))</f>
        <v/>
      </c>
      <c r="DE294" s="66">
        <f t="shared" si="363"/>
        <v>0</v>
      </c>
      <c r="DF294" s="119" t="str">
        <f t="shared" si="364"/>
        <v/>
      </c>
      <c r="DG294" s="66">
        <f>+IF($W294="","",ROUND(IF($B294&gt;Parámetros!$D$107,'Tablas Servicio'!DE294+('Tablas Servicio'!DG293-'Tablas Servicio'!DE293),DE294/(1-IF(B294&lt;=10,Parámetros!$D$100,0))),2))</f>
        <v>0</v>
      </c>
      <c r="DH294" s="66">
        <f t="shared" si="365"/>
        <v>0</v>
      </c>
      <c r="DI294" s="66">
        <f t="shared" si="365"/>
        <v>0</v>
      </c>
      <c r="DJ294" s="66">
        <f>+IF($W294="","",ROUND((DG294*Parámetros!$G$85),2))</f>
        <v>0</v>
      </c>
      <c r="DK294" s="66">
        <f>+IF($W294="","",ROUND((DG294*(Parámetros!$G$86)),2))</f>
        <v>0</v>
      </c>
      <c r="DL294" s="66">
        <f t="shared" si="366"/>
        <v>0</v>
      </c>
      <c r="DM294" t="str">
        <f t="shared" si="407"/>
        <v>00065</v>
      </c>
      <c r="DN294" s="118" t="str">
        <f t="shared" si="408"/>
        <v>Exención pago de primas</v>
      </c>
      <c r="DO294" s="118">
        <f t="shared" si="409"/>
        <v>0</v>
      </c>
      <c r="DP294" s="118" t="str">
        <f t="shared" si="410"/>
        <v>A</v>
      </c>
      <c r="DQ294" s="122" t="str">
        <f>+IF(OR($W294="",DO294=0),"",ROUND((VLOOKUP(ROUNDDOWN($D294-1/frec,0),cob_adi,DB$40,FALSE)*(1+i/frec)^-0.5*(1+Parámetros!$D$103)*(1+rec_fracc)/frec),6))</f>
        <v/>
      </c>
      <c r="DR294" s="66">
        <f t="shared" si="367"/>
        <v>0</v>
      </c>
      <c r="DS294" s="68" t="str">
        <f t="shared" si="368"/>
        <v/>
      </c>
      <c r="DT294" s="66">
        <f>+IF($W294="","",ROUND(IF($B294&gt;Parámetros!$D$107,'Tablas Servicio'!DR294+('Tablas Servicio'!DT293-'Tablas Servicio'!DR293),DR294/(1-IF(B294&lt;=10,Parámetros!$D$100,0))),2))</f>
        <v>0</v>
      </c>
      <c r="DU294" s="66">
        <f t="shared" si="369"/>
        <v>0</v>
      </c>
      <c r="DV294" s="66">
        <f t="shared" si="369"/>
        <v>0</v>
      </c>
      <c r="DW294" s="66">
        <f>+IF($W294="","",ROUND((DT294*Parámetros!$G$85),2))</f>
        <v>0</v>
      </c>
      <c r="DX294" s="66">
        <f>+IF($W294="","",ROUND((DT294*(Parámetros!$G$86)),2))</f>
        <v>0</v>
      </c>
      <c r="DY294" s="66">
        <f t="shared" si="370"/>
        <v>0</v>
      </c>
      <c r="DZ294" t="str">
        <f t="shared" si="413"/>
        <v>00066</v>
      </c>
      <c r="EA294" s="118" t="str">
        <f t="shared" si="413"/>
        <v>Enfermedad terminal</v>
      </c>
      <c r="EB294" s="118">
        <f>+IF($W294="","",ROUND(IF(Parámetros!$D$25='TABLAS MORT'!$V$33,EB293,Z294/2),0))</f>
        <v>50000</v>
      </c>
      <c r="EC294" s="118" t="str">
        <f t="shared" si="413"/>
        <v>A</v>
      </c>
      <c r="ED294" s="122">
        <f>+IF(OR($W294="",EB294=0),"",ROUND((VLOOKUP(ROUNDDOWN($D294-1/frec,0),cob_adi,DO$40,FALSE)*(1+i/frec)^-0.5*(1+Parámetros!$D$103)*(1+rec_fracc)/frec),6))</f>
        <v>3.8999999999999999E-5</v>
      </c>
      <c r="EE294" s="66">
        <f t="shared" si="372"/>
        <v>1.95</v>
      </c>
      <c r="EF294" s="68">
        <f t="shared" si="373"/>
        <v>3.8999999999999999E-5</v>
      </c>
      <c r="EG294" s="66">
        <f>+IF($W294="","",ROUND(IF($B294&gt;Parámetros!$D$107,'Tablas Servicio'!EE294+('Tablas Servicio'!EG293-'Tablas Servicio'!EE293),EE294/(1-IF(B294&lt;=10,Parámetros!$D$100,0))),2))</f>
        <v>1.95</v>
      </c>
      <c r="EH294" s="66">
        <f t="shared" si="374"/>
        <v>0</v>
      </c>
      <c r="EI294" s="66">
        <f t="shared" si="374"/>
        <v>0</v>
      </c>
      <c r="EJ294" s="66">
        <f>+IF($W294="","",ROUND((EG294*Parámetros!$G$85),2))</f>
        <v>7.0000000000000007E-2</v>
      </c>
      <c r="EK294" s="66">
        <f>+IF($W294="","",ROUND((EG294*(Parámetros!$G$86)),2))</f>
        <v>0.01</v>
      </c>
      <c r="EL294" s="66">
        <f t="shared" si="375"/>
        <v>2.0299999999999998</v>
      </c>
    </row>
    <row r="295" spans="1:142" x14ac:dyDescent="0.25">
      <c r="A295">
        <f>+IF($C295="","",ROUND(VLOOKUP('Tablas Servicio'!B295,Parámetros!$H$100:$J$159,IF(Parámetros!$E$16="F",2,3),FALSE),2))</f>
        <v>150</v>
      </c>
      <c r="B295">
        <f t="shared" si="326"/>
        <v>22</v>
      </c>
      <c r="C295" s="57">
        <f>+IF(D295="","",'Tablas Servicio'!C294+1)</f>
        <v>254</v>
      </c>
      <c r="D295" s="56">
        <f>+IF(D294&lt;edadmaxtabla,D294+1/Parámetros!$E$25,"")</f>
        <v>61.186666666667271</v>
      </c>
      <c r="E295" s="57">
        <f t="shared" si="336"/>
        <v>61</v>
      </c>
      <c r="F295" s="59">
        <f t="shared" si="337"/>
        <v>100000</v>
      </c>
      <c r="G295" s="66">
        <f t="shared" si="327"/>
        <v>62.95</v>
      </c>
      <c r="H295" s="66">
        <f t="shared" si="328"/>
        <v>65.48</v>
      </c>
      <c r="I295" s="66">
        <f t="shared" si="376"/>
        <v>28.519999999999996</v>
      </c>
      <c r="J295" s="66">
        <f t="shared" si="329"/>
        <v>2.21</v>
      </c>
      <c r="K295" s="66">
        <f t="shared" si="330"/>
        <v>0.32</v>
      </c>
      <c r="L295" s="66">
        <f t="shared" si="331"/>
        <v>0</v>
      </c>
      <c r="M295" s="66">
        <f t="shared" si="332"/>
        <v>0</v>
      </c>
      <c r="N295" s="66">
        <f>+IF(C295="","",ROUND(Parámetros!$D$23,2))</f>
        <v>94</v>
      </c>
      <c r="O295" s="66">
        <f t="shared" si="333"/>
        <v>50.45</v>
      </c>
      <c r="P295" s="66">
        <f>+IF($C295="","",ROUND(IF(B295&gt;Parámetros!$D$117,0,N295*Parámetros!$D$116-G295*Parámetros!$D$100),2))</f>
        <v>0</v>
      </c>
      <c r="Q295" s="75">
        <f t="shared" si="377"/>
        <v>3.5107227958697376E-2</v>
      </c>
      <c r="R295" s="75">
        <f t="shared" si="378"/>
        <v>5.0833995234312946E-3</v>
      </c>
      <c r="S295" s="117">
        <f>+IF($C295="","",ROUND((S294+I295)*(1+Parámetros!$D$91),2))</f>
        <v>18971.79</v>
      </c>
      <c r="T295" s="117">
        <f>+IF($C295="","",ROUND(S295*VLOOKUP(B295,Parámetros!$C$30:$D$39,2,TRUE),2))</f>
        <v>18971.79</v>
      </c>
      <c r="U295" s="117">
        <f>+IF($C295="","",ROUND((U294+I295)*(1+Parámetros!$D$92),2))</f>
        <v>20181.32</v>
      </c>
      <c r="V295" s="117">
        <f>+IF($C295="","",ROUND(U295*VLOOKUP(B295,Parámetros!$C$30:$D$39,2,TRUE),2))</f>
        <v>20181.32</v>
      </c>
      <c r="W295" s="57">
        <f t="shared" si="379"/>
        <v>254</v>
      </c>
      <c r="X295" t="str">
        <f t="shared" si="380"/>
        <v>00058</v>
      </c>
      <c r="Y295" t="str">
        <f t="shared" si="381"/>
        <v>MUERTE POR CUALQUIER CAUSA</v>
      </c>
      <c r="Z295" s="118">
        <f>+IF($W295="","",ROUND(IF(Parámetros!$D$25='TABLAS MORT'!$V$33,Z294,Parámetros!$D$21-'Tablas Servicio'!T294),0))</f>
        <v>100000</v>
      </c>
      <c r="AA295" s="118" t="str">
        <f t="shared" si="382"/>
        <v>P</v>
      </c>
      <c r="AB295" s="119">
        <f>+IF(W295="","",ROUND((VLOOKUP(ROUNDDOWN($D295-1/frec,0),qx_tabla,2,FALSE)*(1+i/frec)^-0.5*(1+Parámetros!$D$103)*(1+rec_fracc)/frec),6))</f>
        <v>4.8500000000000003E-4</v>
      </c>
      <c r="AC295" s="66">
        <f t="shared" si="338"/>
        <v>48.5</v>
      </c>
      <c r="AD295" s="119">
        <f t="shared" si="334"/>
        <v>6.0999999999999997E-4</v>
      </c>
      <c r="AE295" s="66">
        <f>+IF($W295="","",ROUND(IF($B295&gt;Parámetros!$D$107,'Tablas Servicio'!AC295+('Tablas Servicio'!AG294-'Tablas Servicio'!AC294),AC295/(1-IF(B295&lt;=10,Parámetros!$D$104,Parámetros!$D$105))),2))</f>
        <v>80.83</v>
      </c>
      <c r="AF295" s="66">
        <f>+IF($W295="","",ROUND(IF($B295&gt;Parámetros!$D$107,'Tablas Servicio'!AC295+('Tablas Servicio'!AG294-'Tablas Servicio'!AC294),(AC295+$A294/frec)/(1-IF(B295&lt;=Parámetros!$D$117,Parámetros!$D$100,0))),2))</f>
        <v>61</v>
      </c>
      <c r="AG295" s="66">
        <f t="shared" si="339"/>
        <v>61</v>
      </c>
      <c r="AH295" s="66">
        <f t="shared" si="340"/>
        <v>0</v>
      </c>
      <c r="AI295" s="66">
        <f t="shared" si="341"/>
        <v>0</v>
      </c>
      <c r="AJ295" s="66">
        <f>+IF($W295="","",ROUND((AG295*Parámetros!$G$85),2))</f>
        <v>2.14</v>
      </c>
      <c r="AK295" s="66">
        <f>+IF($W295="","",ROUND((AG295*(Parámetros!$G$86)),2))</f>
        <v>0.31</v>
      </c>
      <c r="AL295" s="66">
        <f t="shared" si="335"/>
        <v>63.45</v>
      </c>
      <c r="AM295" t="str">
        <f t="shared" si="383"/>
        <v>00059</v>
      </c>
      <c r="AN295" t="str">
        <f t="shared" si="384"/>
        <v>Incapacidad Total y Permanente</v>
      </c>
      <c r="AO295" s="118">
        <f t="shared" si="385"/>
        <v>0</v>
      </c>
      <c r="AP295" s="118" t="str">
        <f t="shared" si="386"/>
        <v>A</v>
      </c>
      <c r="AQ295" s="119" t="str">
        <f>+IF(OR($W295="",AO295=0),"",ROUND((VLOOKUP(ROUNDDOWN($D295-1/frec,0),cob_adi,Z$40,FALSE)*(1+i/frec)^-0.5*(1+Parámetros!$D$103)*(1+rec_fracc)/frec),6))</f>
        <v/>
      </c>
      <c r="AR295" s="66">
        <f t="shared" si="342"/>
        <v>0</v>
      </c>
      <c r="AS295" s="119" t="str">
        <f t="shared" si="343"/>
        <v/>
      </c>
      <c r="AT295" s="66">
        <f>+IF($W295="","",ROUND(IF($B295&gt;Parámetros!$D$107,'Tablas Servicio'!AR295+('Tablas Servicio'!AT294-'Tablas Servicio'!AR294),AR295/(1-IF(B295&lt;=10,Parámetros!$D$100,0))),2))</f>
        <v>0</v>
      </c>
      <c r="AU295" s="66">
        <f t="shared" si="344"/>
        <v>0</v>
      </c>
      <c r="AV295" s="66">
        <f t="shared" si="344"/>
        <v>0</v>
      </c>
      <c r="AW295" s="66">
        <f>+IF($W295="","",ROUND((AT295*Parámetros!$G$85),2))</f>
        <v>0</v>
      </c>
      <c r="AX295" s="66">
        <f>+IF($W295="","",ROUND((AT295*(Parámetros!$G$86)),2))</f>
        <v>0</v>
      </c>
      <c r="AY295" s="66">
        <f t="shared" si="345"/>
        <v>0</v>
      </c>
      <c r="AZ295" t="str">
        <f t="shared" si="387"/>
        <v>00060</v>
      </c>
      <c r="BA295" t="str">
        <f t="shared" si="388"/>
        <v>Muerte Accidental</v>
      </c>
      <c r="BB295" s="118">
        <f t="shared" si="389"/>
        <v>0</v>
      </c>
      <c r="BC295" s="118" t="str">
        <f t="shared" si="390"/>
        <v>A</v>
      </c>
      <c r="BD295" s="119" t="str">
        <f>+IF(OR($W295="",BB295=0),"",ROUND((VLOOKUP(ROUNDDOWN($D295-1/frec,0),cob_adi,AO$40,FALSE)*(1+i/frec)^-0.5*(1+Parámetros!$D$103)*(1+rec_fracc)/frec),6))</f>
        <v/>
      </c>
      <c r="BE295" s="66">
        <f t="shared" si="346"/>
        <v>0</v>
      </c>
      <c r="BF295" s="119" t="str">
        <f t="shared" si="347"/>
        <v/>
      </c>
      <c r="BG295" s="66">
        <f>+IF($W295="","",ROUND(IF($B295&gt;Parámetros!$D$107,'Tablas Servicio'!BE295+('Tablas Servicio'!BG294-'Tablas Servicio'!BE294),BE295/(1-IF(B295&lt;=10,Parámetros!$D$100,0))),2))</f>
        <v>0</v>
      </c>
      <c r="BH295" s="66">
        <f t="shared" si="348"/>
        <v>0</v>
      </c>
      <c r="BI295" s="66">
        <f t="shared" si="349"/>
        <v>0</v>
      </c>
      <c r="BJ295" s="66">
        <f>+IF($W295="","",ROUND((BG295*Parámetros!$G$85),2))</f>
        <v>0</v>
      </c>
      <c r="BK295" s="66">
        <f>+IF($W295="","",ROUND((BG295*(Parámetros!$G$86)),2))</f>
        <v>0</v>
      </c>
      <c r="BL295" s="66">
        <f t="shared" si="350"/>
        <v>0</v>
      </c>
      <c r="BM295" t="str">
        <f t="shared" si="391"/>
        <v>00061</v>
      </c>
      <c r="BN295" t="str">
        <f t="shared" si="392"/>
        <v>Gastos de Entierro</v>
      </c>
      <c r="BO295" s="118">
        <f t="shared" si="393"/>
        <v>0</v>
      </c>
      <c r="BP295" s="118" t="str">
        <f t="shared" si="394"/>
        <v>A</v>
      </c>
      <c r="BQ295" s="119" t="str">
        <f>+IF(OR($W295="",BO295=0),"",ROUND((VLOOKUP(ROUNDDOWN($D295-1/frec,0),cob_adi,BB$40,FALSE)*(1+i/frec)^-0.5*(1+Parámetros!$D$103)*(1+rec_fracc)/frec),6))</f>
        <v/>
      </c>
      <c r="BR295" s="66">
        <f t="shared" si="351"/>
        <v>0</v>
      </c>
      <c r="BS295" s="119" t="str">
        <f t="shared" si="352"/>
        <v/>
      </c>
      <c r="BT295" s="66">
        <f>+IF($W295="","",ROUND(IF($B295&gt;Parámetros!$D$107,'Tablas Servicio'!BR295+('Tablas Servicio'!BT294-'Tablas Servicio'!BR294),BR295/(1-IF(B295&lt;=10,Parámetros!$D$100,0))),2))</f>
        <v>0</v>
      </c>
      <c r="BU295" s="66">
        <f t="shared" si="353"/>
        <v>0</v>
      </c>
      <c r="BV295" s="66">
        <f t="shared" si="353"/>
        <v>0</v>
      </c>
      <c r="BW295" s="66">
        <f>+IF($W295="","",ROUND((BT295*Parámetros!$G$85),2))</f>
        <v>0</v>
      </c>
      <c r="BX295" s="66">
        <f>+IF($W295="","",ROUND((BT295*(Parámetros!$G$86)),2))</f>
        <v>0</v>
      </c>
      <c r="BY295" s="66">
        <f t="shared" si="354"/>
        <v>0</v>
      </c>
      <c r="BZ295" t="str">
        <f t="shared" si="395"/>
        <v>00062</v>
      </c>
      <c r="CA295" t="str">
        <f t="shared" si="396"/>
        <v>Gastos médicos por accidente</v>
      </c>
      <c r="CB295" s="118">
        <f t="shared" si="397"/>
        <v>0</v>
      </c>
      <c r="CC295" s="118" t="str">
        <f t="shared" si="398"/>
        <v>A</v>
      </c>
      <c r="CD295" s="119" t="str">
        <f t="shared" si="355"/>
        <v/>
      </c>
      <c r="CE295" s="66">
        <f>+IF($W295="","",ROUND((VLOOKUP(ROUNDDOWN($D295-1/frec,0),cob_adi,BO$40,FALSE)*(1+i/frec)^-0.5*(1+Parámetros!$D$103)*(1+rec_fracc)/frec*'TABLAS ADI'!$BC$17),2))</f>
        <v>0</v>
      </c>
      <c r="CF295" s="119" t="str">
        <f t="shared" si="356"/>
        <v/>
      </c>
      <c r="CG295" s="66">
        <f>+IF($W295="","",ROUND(IF($B295&gt;Parámetros!$D$107,'Tablas Servicio'!CE295+('Tablas Servicio'!CG294-'Tablas Servicio'!CE294),CE295/(1-IF(B295&lt;=10,Parámetros!$D$100,0))),2))</f>
        <v>0</v>
      </c>
      <c r="CH295" s="66">
        <f t="shared" si="357"/>
        <v>0</v>
      </c>
      <c r="CI295" s="66">
        <f t="shared" si="357"/>
        <v>0</v>
      </c>
      <c r="CJ295" s="66">
        <f>+IF($W295="","",ROUND((CG295*Parámetros!$G$85),2))</f>
        <v>0</v>
      </c>
      <c r="CK295" s="66">
        <f>+IF($W295="","",ROUND((CG295*(Parámetros!$G$86)),2))</f>
        <v>0</v>
      </c>
      <c r="CL295" s="66">
        <f t="shared" si="358"/>
        <v>0</v>
      </c>
      <c r="CM295" t="str">
        <f t="shared" si="399"/>
        <v>00063</v>
      </c>
      <c r="CN295" s="118" t="str">
        <f t="shared" si="400"/>
        <v>Renta Diaria por Hospitalización</v>
      </c>
      <c r="CO295" s="118">
        <f t="shared" si="401"/>
        <v>0</v>
      </c>
      <c r="CP295" s="118" t="str">
        <f t="shared" si="402"/>
        <v>A</v>
      </c>
      <c r="CQ295" s="119" t="str">
        <f t="shared" si="359"/>
        <v/>
      </c>
      <c r="CR295" s="66">
        <f>+IF($W295="","",ROUND((VLOOKUP(Parámetros!$F$51,'COBERTURAS ADICIONALES'!$S$4:$T$32,2,FALSE)*(1+i/frec)^-0.5*(1+Parámetros!$D$103)*(1+rec_fracc)/frec*$CO$42),2))</f>
        <v>0</v>
      </c>
      <c r="CS295" s="119" t="str">
        <f t="shared" si="360"/>
        <v/>
      </c>
      <c r="CT295" s="66">
        <f>+IF($W295="","",ROUND(IF($B295&gt;Parámetros!$D$107,'Tablas Servicio'!CR295+('Tablas Servicio'!CT294-'Tablas Servicio'!CR294),CR295/(1-IF(B295&lt;=10,Parámetros!$D$100,0))),2))</f>
        <v>0</v>
      </c>
      <c r="CU295" s="66">
        <f t="shared" si="361"/>
        <v>0</v>
      </c>
      <c r="CV295" s="66">
        <f t="shared" si="361"/>
        <v>0</v>
      </c>
      <c r="CW295" s="66">
        <f>+IF($W295="","",ROUND((CT295*Parámetros!$G$85),2))</f>
        <v>0</v>
      </c>
      <c r="CX295" s="66">
        <f>+IF($W295="","",ROUND((CT295*(Parámetros!$G$86)),2))</f>
        <v>0</v>
      </c>
      <c r="CY295" s="66">
        <f t="shared" si="362"/>
        <v>0</v>
      </c>
      <c r="CZ295" t="str">
        <f t="shared" si="403"/>
        <v>00064</v>
      </c>
      <c r="DA295" s="118" t="str">
        <f t="shared" si="404"/>
        <v>Enfermedades Graves</v>
      </c>
      <c r="DB295" s="118">
        <f t="shared" si="405"/>
        <v>0</v>
      </c>
      <c r="DC295" s="118" t="str">
        <f t="shared" si="406"/>
        <v>A</v>
      </c>
      <c r="DD295" s="121" t="str">
        <f>+IF(OR($W295="",DB295=0),"",ROUND((VLOOKUP(ROUNDDOWN($D295-1/frec,0),cob_adi,CO$40,FALSE)*(1+i/frec)^-0.5*(1+Parámetros!$D$103)*(1+rec_fracc)/frec),6))</f>
        <v/>
      </c>
      <c r="DE295" s="66">
        <f t="shared" si="363"/>
        <v>0</v>
      </c>
      <c r="DF295" s="119" t="str">
        <f t="shared" si="364"/>
        <v/>
      </c>
      <c r="DG295" s="66">
        <f>+IF($W295="","",ROUND(IF($B295&gt;Parámetros!$D$107,'Tablas Servicio'!DE295+('Tablas Servicio'!DG294-'Tablas Servicio'!DE294),DE295/(1-IF(B295&lt;=10,Parámetros!$D$100,0))),2))</f>
        <v>0</v>
      </c>
      <c r="DH295" s="66">
        <f t="shared" si="365"/>
        <v>0</v>
      </c>
      <c r="DI295" s="66">
        <f t="shared" si="365"/>
        <v>0</v>
      </c>
      <c r="DJ295" s="66">
        <f>+IF($W295="","",ROUND((DG295*Parámetros!$G$85),2))</f>
        <v>0</v>
      </c>
      <c r="DK295" s="66">
        <f>+IF($W295="","",ROUND((DG295*(Parámetros!$G$86)),2))</f>
        <v>0</v>
      </c>
      <c r="DL295" s="66">
        <f t="shared" si="366"/>
        <v>0</v>
      </c>
      <c r="DM295" t="str">
        <f t="shared" si="407"/>
        <v>00065</v>
      </c>
      <c r="DN295" s="118" t="str">
        <f t="shared" si="408"/>
        <v>Exención pago de primas</v>
      </c>
      <c r="DO295" s="118">
        <f t="shared" si="409"/>
        <v>0</v>
      </c>
      <c r="DP295" s="118" t="str">
        <f t="shared" si="410"/>
        <v>A</v>
      </c>
      <c r="DQ295" s="122" t="str">
        <f>+IF(OR($W295="",DO295=0),"",ROUND((VLOOKUP(ROUNDDOWN($D295-1/frec,0),cob_adi,DB$40,FALSE)*(1+i/frec)^-0.5*(1+Parámetros!$D$103)*(1+rec_fracc)/frec),6))</f>
        <v/>
      </c>
      <c r="DR295" s="66">
        <f t="shared" si="367"/>
        <v>0</v>
      </c>
      <c r="DS295" s="68" t="str">
        <f t="shared" si="368"/>
        <v/>
      </c>
      <c r="DT295" s="66">
        <f>+IF($W295="","",ROUND(IF($B295&gt;Parámetros!$D$107,'Tablas Servicio'!DR295+('Tablas Servicio'!DT294-'Tablas Servicio'!DR294),DR295/(1-IF(B295&lt;=10,Parámetros!$D$100,0))),2))</f>
        <v>0</v>
      </c>
      <c r="DU295" s="66">
        <f t="shared" si="369"/>
        <v>0</v>
      </c>
      <c r="DV295" s="66">
        <f t="shared" si="369"/>
        <v>0</v>
      </c>
      <c r="DW295" s="66">
        <f>+IF($W295="","",ROUND((DT295*Parámetros!$G$85),2))</f>
        <v>0</v>
      </c>
      <c r="DX295" s="66">
        <f>+IF($W295="","",ROUND((DT295*(Parámetros!$G$86)),2))</f>
        <v>0</v>
      </c>
      <c r="DY295" s="66">
        <f t="shared" si="370"/>
        <v>0</v>
      </c>
      <c r="DZ295" t="str">
        <f t="shared" si="413"/>
        <v>00066</v>
      </c>
      <c r="EA295" s="118" t="str">
        <f t="shared" si="413"/>
        <v>Enfermedad terminal</v>
      </c>
      <c r="EB295" s="118">
        <f>+IF($W295="","",ROUND(IF(Parámetros!$D$25='TABLAS MORT'!$V$33,EB294,Z295/2),0))</f>
        <v>50000</v>
      </c>
      <c r="EC295" s="118" t="str">
        <f t="shared" si="413"/>
        <v>A</v>
      </c>
      <c r="ED295" s="122">
        <f>+IF(OR($W295="",EB295=0),"",ROUND((VLOOKUP(ROUNDDOWN($D295-1/frec,0),cob_adi,DO$40,FALSE)*(1+i/frec)^-0.5*(1+Parámetros!$D$103)*(1+rec_fracc)/frec),6))</f>
        <v>3.8999999999999999E-5</v>
      </c>
      <c r="EE295" s="66">
        <f t="shared" si="372"/>
        <v>1.95</v>
      </c>
      <c r="EF295" s="68">
        <f t="shared" si="373"/>
        <v>3.8999999999999999E-5</v>
      </c>
      <c r="EG295" s="66">
        <f>+IF($W295="","",ROUND(IF($B295&gt;Parámetros!$D$107,'Tablas Servicio'!EE295+('Tablas Servicio'!EG294-'Tablas Servicio'!EE294),EE295/(1-IF(B295&lt;=10,Parámetros!$D$100,0))),2))</f>
        <v>1.95</v>
      </c>
      <c r="EH295" s="66">
        <f t="shared" si="374"/>
        <v>0</v>
      </c>
      <c r="EI295" s="66">
        <f t="shared" si="374"/>
        <v>0</v>
      </c>
      <c r="EJ295" s="66">
        <f>+IF($W295="","",ROUND((EG295*Parámetros!$G$85),2))</f>
        <v>7.0000000000000007E-2</v>
      </c>
      <c r="EK295" s="66">
        <f>+IF($W295="","",ROUND((EG295*(Parámetros!$G$86)),2))</f>
        <v>0.01</v>
      </c>
      <c r="EL295" s="66">
        <f t="shared" si="375"/>
        <v>2.0299999999999998</v>
      </c>
    </row>
    <row r="296" spans="1:142" x14ac:dyDescent="0.25">
      <c r="A296">
        <f>+IF($C296="","",ROUND(VLOOKUP('Tablas Servicio'!B296,Parámetros!$H$100:$J$159,IF(Parámetros!$E$16="F",2,3),FALSE),2))</f>
        <v>150</v>
      </c>
      <c r="B296">
        <f t="shared" si="326"/>
        <v>22</v>
      </c>
      <c r="C296" s="57">
        <f>+IF(D296="","",'Tablas Servicio'!C295+1)</f>
        <v>255</v>
      </c>
      <c r="D296" s="56">
        <f>+IF(D295&lt;edadmaxtabla,D295+1/Parámetros!$E$25,"")</f>
        <v>61.270000000000607</v>
      </c>
      <c r="E296" s="57">
        <f t="shared" si="336"/>
        <v>61</v>
      </c>
      <c r="F296" s="59">
        <f t="shared" si="337"/>
        <v>100000</v>
      </c>
      <c r="G296" s="66">
        <f t="shared" si="327"/>
        <v>62.95</v>
      </c>
      <c r="H296" s="66">
        <f t="shared" si="328"/>
        <v>65.48</v>
      </c>
      <c r="I296" s="66">
        <f t="shared" si="376"/>
        <v>28.519999999999996</v>
      </c>
      <c r="J296" s="66">
        <f t="shared" si="329"/>
        <v>2.21</v>
      </c>
      <c r="K296" s="66">
        <f t="shared" si="330"/>
        <v>0.32</v>
      </c>
      <c r="L296" s="66">
        <f t="shared" si="331"/>
        <v>0</v>
      </c>
      <c r="M296" s="66">
        <f t="shared" si="332"/>
        <v>0</v>
      </c>
      <c r="N296" s="66">
        <f>+IF(C296="","",ROUND(Parámetros!$D$23,2))</f>
        <v>94</v>
      </c>
      <c r="O296" s="66">
        <f t="shared" si="333"/>
        <v>50.45</v>
      </c>
      <c r="P296" s="66">
        <f>+IF($C296="","",ROUND(IF(B296&gt;Parámetros!$D$117,0,N296*Parámetros!$D$116-G296*Parámetros!$D$100),2))</f>
        <v>0</v>
      </c>
      <c r="Q296" s="75">
        <f t="shared" si="377"/>
        <v>3.5107227958697376E-2</v>
      </c>
      <c r="R296" s="75">
        <f t="shared" si="378"/>
        <v>5.0833995234312946E-3</v>
      </c>
      <c r="S296" s="117">
        <f>+IF($C296="","",ROUND((S295+I296)*(1+Parámetros!$D$91),2))</f>
        <v>19054.2</v>
      </c>
      <c r="T296" s="117">
        <f>+IF($C296="","",ROUND(S296*VLOOKUP(B296,Parámetros!$C$30:$D$39,2,TRUE),2))</f>
        <v>19054.2</v>
      </c>
      <c r="U296" s="117">
        <f>+IF($C296="","",ROUND((U295+I296)*(1+Parámetros!$D$92),2))</f>
        <v>20275.349999999999</v>
      </c>
      <c r="V296" s="117">
        <f>+IF($C296="","",ROUND(U296*VLOOKUP(B296,Parámetros!$C$30:$D$39,2,TRUE),2))</f>
        <v>20275.349999999999</v>
      </c>
      <c r="W296" s="57">
        <f t="shared" si="379"/>
        <v>255</v>
      </c>
      <c r="X296" t="str">
        <f t="shared" si="380"/>
        <v>00058</v>
      </c>
      <c r="Y296" t="str">
        <f t="shared" si="381"/>
        <v>MUERTE POR CUALQUIER CAUSA</v>
      </c>
      <c r="Z296" s="118">
        <f>+IF($W296="","",ROUND(IF(Parámetros!$D$25='TABLAS MORT'!$V$33,Z295,Parámetros!$D$21-'Tablas Servicio'!T295),0))</f>
        <v>100000</v>
      </c>
      <c r="AA296" s="118" t="str">
        <f t="shared" si="382"/>
        <v>P</v>
      </c>
      <c r="AB296" s="119">
        <f>+IF(W296="","",ROUND((VLOOKUP(ROUNDDOWN($D296-1/frec,0),qx_tabla,2,FALSE)*(1+i/frec)^-0.5*(1+Parámetros!$D$103)*(1+rec_fracc)/frec),6))</f>
        <v>4.8500000000000003E-4</v>
      </c>
      <c r="AC296" s="66">
        <f t="shared" si="338"/>
        <v>48.5</v>
      </c>
      <c r="AD296" s="119">
        <f t="shared" si="334"/>
        <v>6.0999999999999997E-4</v>
      </c>
      <c r="AE296" s="66">
        <f>+IF($W296="","",ROUND(IF($B296&gt;Parámetros!$D$107,'Tablas Servicio'!AC296+('Tablas Servicio'!AG295-'Tablas Servicio'!AC295),AC296/(1-IF(B296&lt;=10,Parámetros!$D$104,Parámetros!$D$105))),2))</f>
        <v>80.83</v>
      </c>
      <c r="AF296" s="66">
        <f>+IF($W296="","",ROUND(IF($B296&gt;Parámetros!$D$107,'Tablas Servicio'!AC296+('Tablas Servicio'!AG295-'Tablas Servicio'!AC295),(AC296+$A295/frec)/(1-IF(B296&lt;=Parámetros!$D$117,Parámetros!$D$100,0))),2))</f>
        <v>61</v>
      </c>
      <c r="AG296" s="66">
        <f t="shared" si="339"/>
        <v>61</v>
      </c>
      <c r="AH296" s="66">
        <f t="shared" si="340"/>
        <v>0</v>
      </c>
      <c r="AI296" s="66">
        <f t="shared" si="341"/>
        <v>0</v>
      </c>
      <c r="AJ296" s="66">
        <f>+IF($W296="","",ROUND((AG296*Parámetros!$G$85),2))</f>
        <v>2.14</v>
      </c>
      <c r="AK296" s="66">
        <f>+IF($W296="","",ROUND((AG296*(Parámetros!$G$86)),2))</f>
        <v>0.31</v>
      </c>
      <c r="AL296" s="66">
        <f t="shared" si="335"/>
        <v>63.45</v>
      </c>
      <c r="AM296" t="str">
        <f t="shared" si="383"/>
        <v>00059</v>
      </c>
      <c r="AN296" t="str">
        <f t="shared" si="384"/>
        <v>Incapacidad Total y Permanente</v>
      </c>
      <c r="AO296" s="118">
        <f t="shared" si="385"/>
        <v>0</v>
      </c>
      <c r="AP296" s="118" t="str">
        <f t="shared" si="386"/>
        <v>A</v>
      </c>
      <c r="AQ296" s="119" t="str">
        <f>+IF(OR($W296="",AO296=0),"",ROUND((VLOOKUP(ROUNDDOWN($D296-1/frec,0),cob_adi,Z$40,FALSE)*(1+i/frec)^-0.5*(1+Parámetros!$D$103)*(1+rec_fracc)/frec),6))</f>
        <v/>
      </c>
      <c r="AR296" s="66">
        <f t="shared" si="342"/>
        <v>0</v>
      </c>
      <c r="AS296" s="119" t="str">
        <f t="shared" si="343"/>
        <v/>
      </c>
      <c r="AT296" s="66">
        <f>+IF($W296="","",ROUND(IF($B296&gt;Parámetros!$D$107,'Tablas Servicio'!AR296+('Tablas Servicio'!AT295-'Tablas Servicio'!AR295),AR296/(1-IF(B296&lt;=10,Parámetros!$D$100,0))),2))</f>
        <v>0</v>
      </c>
      <c r="AU296" s="66">
        <f t="shared" si="344"/>
        <v>0</v>
      </c>
      <c r="AV296" s="66">
        <f t="shared" si="344"/>
        <v>0</v>
      </c>
      <c r="AW296" s="66">
        <f>+IF($W296="","",ROUND((AT296*Parámetros!$G$85),2))</f>
        <v>0</v>
      </c>
      <c r="AX296" s="66">
        <f>+IF($W296="","",ROUND((AT296*(Parámetros!$G$86)),2))</f>
        <v>0</v>
      </c>
      <c r="AY296" s="66">
        <f t="shared" si="345"/>
        <v>0</v>
      </c>
      <c r="AZ296" t="str">
        <f t="shared" si="387"/>
        <v>00060</v>
      </c>
      <c r="BA296" t="str">
        <f t="shared" si="388"/>
        <v>Muerte Accidental</v>
      </c>
      <c r="BB296" s="118">
        <f t="shared" si="389"/>
        <v>0</v>
      </c>
      <c r="BC296" s="118" t="str">
        <f t="shared" si="390"/>
        <v>A</v>
      </c>
      <c r="BD296" s="119" t="str">
        <f>+IF(OR($W296="",BB296=0),"",ROUND((VLOOKUP(ROUNDDOWN($D296-1/frec,0),cob_adi,AO$40,FALSE)*(1+i/frec)^-0.5*(1+Parámetros!$D$103)*(1+rec_fracc)/frec),6))</f>
        <v/>
      </c>
      <c r="BE296" s="66">
        <f t="shared" si="346"/>
        <v>0</v>
      </c>
      <c r="BF296" s="119" t="str">
        <f t="shared" si="347"/>
        <v/>
      </c>
      <c r="BG296" s="66">
        <f>+IF($W296="","",ROUND(IF($B296&gt;Parámetros!$D$107,'Tablas Servicio'!BE296+('Tablas Servicio'!BG295-'Tablas Servicio'!BE295),BE296/(1-IF(B296&lt;=10,Parámetros!$D$100,0))),2))</f>
        <v>0</v>
      </c>
      <c r="BH296" s="66">
        <f t="shared" si="348"/>
        <v>0</v>
      </c>
      <c r="BI296" s="66">
        <f t="shared" si="349"/>
        <v>0</v>
      </c>
      <c r="BJ296" s="66">
        <f>+IF($W296="","",ROUND((BG296*Parámetros!$G$85),2))</f>
        <v>0</v>
      </c>
      <c r="BK296" s="66">
        <f>+IF($W296="","",ROUND((BG296*(Parámetros!$G$86)),2))</f>
        <v>0</v>
      </c>
      <c r="BL296" s="66">
        <f t="shared" si="350"/>
        <v>0</v>
      </c>
      <c r="BM296" t="str">
        <f t="shared" si="391"/>
        <v>00061</v>
      </c>
      <c r="BN296" t="str">
        <f t="shared" si="392"/>
        <v>Gastos de Entierro</v>
      </c>
      <c r="BO296" s="118">
        <f t="shared" si="393"/>
        <v>0</v>
      </c>
      <c r="BP296" s="118" t="str">
        <f t="shared" si="394"/>
        <v>A</v>
      </c>
      <c r="BQ296" s="119" t="str">
        <f>+IF(OR($W296="",BO296=0),"",ROUND((VLOOKUP(ROUNDDOWN($D296-1/frec,0),cob_adi,BB$40,FALSE)*(1+i/frec)^-0.5*(1+Parámetros!$D$103)*(1+rec_fracc)/frec),6))</f>
        <v/>
      </c>
      <c r="BR296" s="66">
        <f t="shared" si="351"/>
        <v>0</v>
      </c>
      <c r="BS296" s="119" t="str">
        <f t="shared" si="352"/>
        <v/>
      </c>
      <c r="BT296" s="66">
        <f>+IF($W296="","",ROUND(IF($B296&gt;Parámetros!$D$107,'Tablas Servicio'!BR296+('Tablas Servicio'!BT295-'Tablas Servicio'!BR295),BR296/(1-IF(B296&lt;=10,Parámetros!$D$100,0))),2))</f>
        <v>0</v>
      </c>
      <c r="BU296" s="66">
        <f t="shared" si="353"/>
        <v>0</v>
      </c>
      <c r="BV296" s="66">
        <f t="shared" si="353"/>
        <v>0</v>
      </c>
      <c r="BW296" s="66">
        <f>+IF($W296="","",ROUND((BT296*Parámetros!$G$85),2))</f>
        <v>0</v>
      </c>
      <c r="BX296" s="66">
        <f>+IF($W296="","",ROUND((BT296*(Parámetros!$G$86)),2))</f>
        <v>0</v>
      </c>
      <c r="BY296" s="66">
        <f t="shared" si="354"/>
        <v>0</v>
      </c>
      <c r="BZ296" t="str">
        <f t="shared" si="395"/>
        <v>00062</v>
      </c>
      <c r="CA296" t="str">
        <f t="shared" si="396"/>
        <v>Gastos médicos por accidente</v>
      </c>
      <c r="CB296" s="118">
        <f t="shared" si="397"/>
        <v>0</v>
      </c>
      <c r="CC296" s="118" t="str">
        <f t="shared" si="398"/>
        <v>A</v>
      </c>
      <c r="CD296" s="119" t="str">
        <f t="shared" si="355"/>
        <v/>
      </c>
      <c r="CE296" s="66">
        <f>+IF($W296="","",ROUND((VLOOKUP(ROUNDDOWN($D296-1/frec,0),cob_adi,BO$40,FALSE)*(1+i/frec)^-0.5*(1+Parámetros!$D$103)*(1+rec_fracc)/frec*'TABLAS ADI'!$BC$17),2))</f>
        <v>0</v>
      </c>
      <c r="CF296" s="119" t="str">
        <f t="shared" si="356"/>
        <v/>
      </c>
      <c r="CG296" s="66">
        <f>+IF($W296="","",ROUND(IF($B296&gt;Parámetros!$D$107,'Tablas Servicio'!CE296+('Tablas Servicio'!CG295-'Tablas Servicio'!CE295),CE296/(1-IF(B296&lt;=10,Parámetros!$D$100,0))),2))</f>
        <v>0</v>
      </c>
      <c r="CH296" s="66">
        <f t="shared" si="357"/>
        <v>0</v>
      </c>
      <c r="CI296" s="66">
        <f t="shared" si="357"/>
        <v>0</v>
      </c>
      <c r="CJ296" s="66">
        <f>+IF($W296="","",ROUND((CG296*Parámetros!$G$85),2))</f>
        <v>0</v>
      </c>
      <c r="CK296" s="66">
        <f>+IF($W296="","",ROUND((CG296*(Parámetros!$G$86)),2))</f>
        <v>0</v>
      </c>
      <c r="CL296" s="66">
        <f t="shared" si="358"/>
        <v>0</v>
      </c>
      <c r="CM296" t="str">
        <f t="shared" si="399"/>
        <v>00063</v>
      </c>
      <c r="CN296" s="118" t="str">
        <f t="shared" si="400"/>
        <v>Renta Diaria por Hospitalización</v>
      </c>
      <c r="CO296" s="118">
        <f t="shared" si="401"/>
        <v>0</v>
      </c>
      <c r="CP296" s="118" t="str">
        <f t="shared" si="402"/>
        <v>A</v>
      </c>
      <c r="CQ296" s="119" t="str">
        <f t="shared" si="359"/>
        <v/>
      </c>
      <c r="CR296" s="66">
        <f>+IF($W296="","",ROUND((VLOOKUP(Parámetros!$F$51,'COBERTURAS ADICIONALES'!$S$4:$T$32,2,FALSE)*(1+i/frec)^-0.5*(1+Parámetros!$D$103)*(1+rec_fracc)/frec*$CO$42),2))</f>
        <v>0</v>
      </c>
      <c r="CS296" s="119" t="str">
        <f t="shared" si="360"/>
        <v/>
      </c>
      <c r="CT296" s="66">
        <f>+IF($W296="","",ROUND(IF($B296&gt;Parámetros!$D$107,'Tablas Servicio'!CR296+('Tablas Servicio'!CT295-'Tablas Servicio'!CR295),CR296/(1-IF(B296&lt;=10,Parámetros!$D$100,0))),2))</f>
        <v>0</v>
      </c>
      <c r="CU296" s="66">
        <f t="shared" si="361"/>
        <v>0</v>
      </c>
      <c r="CV296" s="66">
        <f t="shared" si="361"/>
        <v>0</v>
      </c>
      <c r="CW296" s="66">
        <f>+IF($W296="","",ROUND((CT296*Parámetros!$G$85),2))</f>
        <v>0</v>
      </c>
      <c r="CX296" s="66">
        <f>+IF($W296="","",ROUND((CT296*(Parámetros!$G$86)),2))</f>
        <v>0</v>
      </c>
      <c r="CY296" s="66">
        <f t="shared" si="362"/>
        <v>0</v>
      </c>
      <c r="CZ296" t="str">
        <f t="shared" si="403"/>
        <v>00064</v>
      </c>
      <c r="DA296" s="118" t="str">
        <f t="shared" si="404"/>
        <v>Enfermedades Graves</v>
      </c>
      <c r="DB296" s="118">
        <f t="shared" si="405"/>
        <v>0</v>
      </c>
      <c r="DC296" s="118" t="str">
        <f t="shared" si="406"/>
        <v>A</v>
      </c>
      <c r="DD296" s="121" t="str">
        <f>+IF(OR($W296="",DB296=0),"",ROUND((VLOOKUP(ROUNDDOWN($D296-1/frec,0),cob_adi,CO$40,FALSE)*(1+i/frec)^-0.5*(1+Parámetros!$D$103)*(1+rec_fracc)/frec),6))</f>
        <v/>
      </c>
      <c r="DE296" s="66">
        <f t="shared" si="363"/>
        <v>0</v>
      </c>
      <c r="DF296" s="119" t="str">
        <f t="shared" si="364"/>
        <v/>
      </c>
      <c r="DG296" s="66">
        <f>+IF($W296="","",ROUND(IF($B296&gt;Parámetros!$D$107,'Tablas Servicio'!DE296+('Tablas Servicio'!DG295-'Tablas Servicio'!DE295),DE296/(1-IF(B296&lt;=10,Parámetros!$D$100,0))),2))</f>
        <v>0</v>
      </c>
      <c r="DH296" s="66">
        <f t="shared" si="365"/>
        <v>0</v>
      </c>
      <c r="DI296" s="66">
        <f t="shared" si="365"/>
        <v>0</v>
      </c>
      <c r="DJ296" s="66">
        <f>+IF($W296="","",ROUND((DG296*Parámetros!$G$85),2))</f>
        <v>0</v>
      </c>
      <c r="DK296" s="66">
        <f>+IF($W296="","",ROUND((DG296*(Parámetros!$G$86)),2))</f>
        <v>0</v>
      </c>
      <c r="DL296" s="66">
        <f t="shared" si="366"/>
        <v>0</v>
      </c>
      <c r="DM296" t="str">
        <f t="shared" si="407"/>
        <v>00065</v>
      </c>
      <c r="DN296" s="118" t="str">
        <f t="shared" si="408"/>
        <v>Exención pago de primas</v>
      </c>
      <c r="DO296" s="118">
        <f t="shared" si="409"/>
        <v>0</v>
      </c>
      <c r="DP296" s="118" t="str">
        <f t="shared" si="410"/>
        <v>A</v>
      </c>
      <c r="DQ296" s="122" t="str">
        <f>+IF(OR($W296="",DO296=0),"",ROUND((VLOOKUP(ROUNDDOWN($D296-1/frec,0),cob_adi,DB$40,FALSE)*(1+i/frec)^-0.5*(1+Parámetros!$D$103)*(1+rec_fracc)/frec),6))</f>
        <v/>
      </c>
      <c r="DR296" s="66">
        <f t="shared" si="367"/>
        <v>0</v>
      </c>
      <c r="DS296" s="68" t="str">
        <f t="shared" si="368"/>
        <v/>
      </c>
      <c r="DT296" s="66">
        <f>+IF($W296="","",ROUND(IF($B296&gt;Parámetros!$D$107,'Tablas Servicio'!DR296+('Tablas Servicio'!DT295-'Tablas Servicio'!DR295),DR296/(1-IF(B296&lt;=10,Parámetros!$D$100,0))),2))</f>
        <v>0</v>
      </c>
      <c r="DU296" s="66">
        <f t="shared" si="369"/>
        <v>0</v>
      </c>
      <c r="DV296" s="66">
        <f t="shared" si="369"/>
        <v>0</v>
      </c>
      <c r="DW296" s="66">
        <f>+IF($W296="","",ROUND((DT296*Parámetros!$G$85),2))</f>
        <v>0</v>
      </c>
      <c r="DX296" s="66">
        <f>+IF($W296="","",ROUND((DT296*(Parámetros!$G$86)),2))</f>
        <v>0</v>
      </c>
      <c r="DY296" s="66">
        <f t="shared" si="370"/>
        <v>0</v>
      </c>
      <c r="DZ296" t="str">
        <f t="shared" si="413"/>
        <v>00066</v>
      </c>
      <c r="EA296" s="118" t="str">
        <f t="shared" si="413"/>
        <v>Enfermedad terminal</v>
      </c>
      <c r="EB296" s="118">
        <f>+IF($W296="","",ROUND(IF(Parámetros!$D$25='TABLAS MORT'!$V$33,EB295,Z296/2),0))</f>
        <v>50000</v>
      </c>
      <c r="EC296" s="118" t="str">
        <f t="shared" si="413"/>
        <v>A</v>
      </c>
      <c r="ED296" s="122">
        <f>+IF(OR($W296="",EB296=0),"",ROUND((VLOOKUP(ROUNDDOWN($D296-1/frec,0),cob_adi,DO$40,FALSE)*(1+i/frec)^-0.5*(1+Parámetros!$D$103)*(1+rec_fracc)/frec),6))</f>
        <v>3.8999999999999999E-5</v>
      </c>
      <c r="EE296" s="66">
        <f t="shared" si="372"/>
        <v>1.95</v>
      </c>
      <c r="EF296" s="68">
        <f t="shared" si="373"/>
        <v>3.8999999999999999E-5</v>
      </c>
      <c r="EG296" s="66">
        <f>+IF($W296="","",ROUND(IF($B296&gt;Parámetros!$D$107,'Tablas Servicio'!EE296+('Tablas Servicio'!EG295-'Tablas Servicio'!EE295),EE296/(1-IF(B296&lt;=10,Parámetros!$D$100,0))),2))</f>
        <v>1.95</v>
      </c>
      <c r="EH296" s="66">
        <f t="shared" si="374"/>
        <v>0</v>
      </c>
      <c r="EI296" s="66">
        <f t="shared" si="374"/>
        <v>0</v>
      </c>
      <c r="EJ296" s="66">
        <f>+IF($W296="","",ROUND((EG296*Parámetros!$G$85),2))</f>
        <v>7.0000000000000007E-2</v>
      </c>
      <c r="EK296" s="66">
        <f>+IF($W296="","",ROUND((EG296*(Parámetros!$G$86)),2))</f>
        <v>0.01</v>
      </c>
      <c r="EL296" s="66">
        <f t="shared" si="375"/>
        <v>2.0299999999999998</v>
      </c>
    </row>
    <row r="297" spans="1:142" x14ac:dyDescent="0.25">
      <c r="A297">
        <f>+IF($C297="","",ROUND(VLOOKUP('Tablas Servicio'!B297,Parámetros!$H$100:$J$159,IF(Parámetros!$E$16="F",2,3),FALSE),2))</f>
        <v>150</v>
      </c>
      <c r="B297">
        <f t="shared" si="326"/>
        <v>22</v>
      </c>
      <c r="C297" s="57">
        <f>+IF(D297="","",'Tablas Servicio'!C296+1)</f>
        <v>256</v>
      </c>
      <c r="D297" s="56">
        <f>+IF(D296&lt;edadmaxtabla,D296+1/Parámetros!$E$25,"")</f>
        <v>61.353333333333943</v>
      </c>
      <c r="E297" s="57">
        <f t="shared" si="336"/>
        <v>61</v>
      </c>
      <c r="F297" s="59">
        <f t="shared" si="337"/>
        <v>100000</v>
      </c>
      <c r="G297" s="66">
        <f t="shared" si="327"/>
        <v>62.95</v>
      </c>
      <c r="H297" s="66">
        <f t="shared" si="328"/>
        <v>65.48</v>
      </c>
      <c r="I297" s="66">
        <f t="shared" si="376"/>
        <v>28.519999999999996</v>
      </c>
      <c r="J297" s="66">
        <f t="shared" si="329"/>
        <v>2.21</v>
      </c>
      <c r="K297" s="66">
        <f t="shared" si="330"/>
        <v>0.32</v>
      </c>
      <c r="L297" s="66">
        <f t="shared" si="331"/>
        <v>0</v>
      </c>
      <c r="M297" s="66">
        <f t="shared" si="332"/>
        <v>0</v>
      </c>
      <c r="N297" s="66">
        <f>+IF(C297="","",ROUND(Parámetros!$D$23,2))</f>
        <v>94</v>
      </c>
      <c r="O297" s="66">
        <f t="shared" si="333"/>
        <v>50.45</v>
      </c>
      <c r="P297" s="66">
        <f>+IF($C297="","",ROUND(IF(B297&gt;Parámetros!$D$117,0,N297*Parámetros!$D$116-G297*Parámetros!$D$100),2))</f>
        <v>0</v>
      </c>
      <c r="Q297" s="75">
        <f t="shared" si="377"/>
        <v>3.5107227958697376E-2</v>
      </c>
      <c r="R297" s="75">
        <f t="shared" si="378"/>
        <v>5.0833995234312946E-3</v>
      </c>
      <c r="S297" s="117">
        <f>+IF($C297="","",ROUND((S296+I297)*(1+Parámetros!$D$91),2))</f>
        <v>19136.849999999999</v>
      </c>
      <c r="T297" s="117">
        <f>+IF($C297="","",ROUND(S297*VLOOKUP(B297,Parámetros!$C$30:$D$39,2,TRUE),2))</f>
        <v>19136.849999999999</v>
      </c>
      <c r="U297" s="117">
        <f>+IF($C297="","",ROUND((U296+I297)*(1+Parámetros!$D$92),2))</f>
        <v>20369.689999999999</v>
      </c>
      <c r="V297" s="117">
        <f>+IF($C297="","",ROUND(U297*VLOOKUP(B297,Parámetros!$C$30:$D$39,2,TRUE),2))</f>
        <v>20369.689999999999</v>
      </c>
      <c r="W297" s="57">
        <f t="shared" si="379"/>
        <v>256</v>
      </c>
      <c r="X297" t="str">
        <f t="shared" si="380"/>
        <v>00058</v>
      </c>
      <c r="Y297" t="str">
        <f t="shared" si="381"/>
        <v>MUERTE POR CUALQUIER CAUSA</v>
      </c>
      <c r="Z297" s="118">
        <f>+IF($W297="","",ROUND(IF(Parámetros!$D$25='TABLAS MORT'!$V$33,Z296,Parámetros!$D$21-'Tablas Servicio'!T296),0))</f>
        <v>100000</v>
      </c>
      <c r="AA297" s="118" t="str">
        <f t="shared" si="382"/>
        <v>P</v>
      </c>
      <c r="AB297" s="119">
        <f>+IF(W297="","",ROUND((VLOOKUP(ROUNDDOWN($D297-1/frec,0),qx_tabla,2,FALSE)*(1+i/frec)^-0.5*(1+Parámetros!$D$103)*(1+rec_fracc)/frec),6))</f>
        <v>4.8500000000000003E-4</v>
      </c>
      <c r="AC297" s="66">
        <f t="shared" si="338"/>
        <v>48.5</v>
      </c>
      <c r="AD297" s="119">
        <f t="shared" si="334"/>
        <v>6.0999999999999997E-4</v>
      </c>
      <c r="AE297" s="66">
        <f>+IF($W297="","",ROUND(IF($B297&gt;Parámetros!$D$107,'Tablas Servicio'!AC297+('Tablas Servicio'!AG296-'Tablas Servicio'!AC296),AC297/(1-IF(B297&lt;=10,Parámetros!$D$104,Parámetros!$D$105))),2))</f>
        <v>80.83</v>
      </c>
      <c r="AF297" s="66">
        <f>+IF($W297="","",ROUND(IF($B297&gt;Parámetros!$D$107,'Tablas Servicio'!AC297+('Tablas Servicio'!AG296-'Tablas Servicio'!AC296),(AC297+$A296/frec)/(1-IF(B297&lt;=Parámetros!$D$117,Parámetros!$D$100,0))),2))</f>
        <v>61</v>
      </c>
      <c r="AG297" s="66">
        <f t="shared" si="339"/>
        <v>61</v>
      </c>
      <c r="AH297" s="66">
        <f t="shared" si="340"/>
        <v>0</v>
      </c>
      <c r="AI297" s="66">
        <f t="shared" si="341"/>
        <v>0</v>
      </c>
      <c r="AJ297" s="66">
        <f>+IF($W297="","",ROUND((AG297*Parámetros!$G$85),2))</f>
        <v>2.14</v>
      </c>
      <c r="AK297" s="66">
        <f>+IF($W297="","",ROUND((AG297*(Parámetros!$G$86)),2))</f>
        <v>0.31</v>
      </c>
      <c r="AL297" s="66">
        <f t="shared" si="335"/>
        <v>63.45</v>
      </c>
      <c r="AM297" t="str">
        <f t="shared" si="383"/>
        <v>00059</v>
      </c>
      <c r="AN297" t="str">
        <f t="shared" si="384"/>
        <v>Incapacidad Total y Permanente</v>
      </c>
      <c r="AO297" s="118">
        <f t="shared" si="385"/>
        <v>0</v>
      </c>
      <c r="AP297" s="118" t="str">
        <f t="shared" si="386"/>
        <v>A</v>
      </c>
      <c r="AQ297" s="119" t="str">
        <f>+IF(OR($W297="",AO297=0),"",ROUND((VLOOKUP(ROUNDDOWN($D297-1/frec,0),cob_adi,Z$40,FALSE)*(1+i/frec)^-0.5*(1+Parámetros!$D$103)*(1+rec_fracc)/frec),6))</f>
        <v/>
      </c>
      <c r="AR297" s="66">
        <f t="shared" si="342"/>
        <v>0</v>
      </c>
      <c r="AS297" s="119" t="str">
        <f t="shared" si="343"/>
        <v/>
      </c>
      <c r="AT297" s="66">
        <f>+IF($W297="","",ROUND(IF($B297&gt;Parámetros!$D$107,'Tablas Servicio'!AR297+('Tablas Servicio'!AT296-'Tablas Servicio'!AR296),AR297/(1-IF(B297&lt;=10,Parámetros!$D$100,0))),2))</f>
        <v>0</v>
      </c>
      <c r="AU297" s="66">
        <f t="shared" si="344"/>
        <v>0</v>
      </c>
      <c r="AV297" s="66">
        <f t="shared" si="344"/>
        <v>0</v>
      </c>
      <c r="AW297" s="66">
        <f>+IF($W297="","",ROUND((AT297*Parámetros!$G$85),2))</f>
        <v>0</v>
      </c>
      <c r="AX297" s="66">
        <f>+IF($W297="","",ROUND((AT297*(Parámetros!$G$86)),2))</f>
        <v>0</v>
      </c>
      <c r="AY297" s="66">
        <f t="shared" si="345"/>
        <v>0</v>
      </c>
      <c r="AZ297" t="str">
        <f t="shared" si="387"/>
        <v>00060</v>
      </c>
      <c r="BA297" t="str">
        <f t="shared" si="388"/>
        <v>Muerte Accidental</v>
      </c>
      <c r="BB297" s="118">
        <f t="shared" si="389"/>
        <v>0</v>
      </c>
      <c r="BC297" s="118" t="str">
        <f t="shared" si="390"/>
        <v>A</v>
      </c>
      <c r="BD297" s="119" t="str">
        <f>+IF(OR($W297="",BB297=0),"",ROUND((VLOOKUP(ROUNDDOWN($D297-1/frec,0),cob_adi,AO$40,FALSE)*(1+i/frec)^-0.5*(1+Parámetros!$D$103)*(1+rec_fracc)/frec),6))</f>
        <v/>
      </c>
      <c r="BE297" s="66">
        <f t="shared" si="346"/>
        <v>0</v>
      </c>
      <c r="BF297" s="119" t="str">
        <f t="shared" si="347"/>
        <v/>
      </c>
      <c r="BG297" s="66">
        <f>+IF($W297="","",ROUND(IF($B297&gt;Parámetros!$D$107,'Tablas Servicio'!BE297+('Tablas Servicio'!BG296-'Tablas Servicio'!BE296),BE297/(1-IF(B297&lt;=10,Parámetros!$D$100,0))),2))</f>
        <v>0</v>
      </c>
      <c r="BH297" s="66">
        <f t="shared" si="348"/>
        <v>0</v>
      </c>
      <c r="BI297" s="66">
        <f t="shared" si="349"/>
        <v>0</v>
      </c>
      <c r="BJ297" s="66">
        <f>+IF($W297="","",ROUND((BG297*Parámetros!$G$85),2))</f>
        <v>0</v>
      </c>
      <c r="BK297" s="66">
        <f>+IF($W297="","",ROUND((BG297*(Parámetros!$G$86)),2))</f>
        <v>0</v>
      </c>
      <c r="BL297" s="66">
        <f t="shared" si="350"/>
        <v>0</v>
      </c>
      <c r="BM297" t="str">
        <f t="shared" si="391"/>
        <v>00061</v>
      </c>
      <c r="BN297" t="str">
        <f t="shared" si="392"/>
        <v>Gastos de Entierro</v>
      </c>
      <c r="BO297" s="118">
        <f t="shared" si="393"/>
        <v>0</v>
      </c>
      <c r="BP297" s="118" t="str">
        <f t="shared" si="394"/>
        <v>A</v>
      </c>
      <c r="BQ297" s="119" t="str">
        <f>+IF(OR($W297="",BO297=0),"",ROUND((VLOOKUP(ROUNDDOWN($D297-1/frec,0),cob_adi,BB$40,FALSE)*(1+i/frec)^-0.5*(1+Parámetros!$D$103)*(1+rec_fracc)/frec),6))</f>
        <v/>
      </c>
      <c r="BR297" s="66">
        <f t="shared" si="351"/>
        <v>0</v>
      </c>
      <c r="BS297" s="119" t="str">
        <f t="shared" si="352"/>
        <v/>
      </c>
      <c r="BT297" s="66">
        <f>+IF($W297="","",ROUND(IF($B297&gt;Parámetros!$D$107,'Tablas Servicio'!BR297+('Tablas Servicio'!BT296-'Tablas Servicio'!BR296),BR297/(1-IF(B297&lt;=10,Parámetros!$D$100,0))),2))</f>
        <v>0</v>
      </c>
      <c r="BU297" s="66">
        <f t="shared" si="353"/>
        <v>0</v>
      </c>
      <c r="BV297" s="66">
        <f t="shared" si="353"/>
        <v>0</v>
      </c>
      <c r="BW297" s="66">
        <f>+IF($W297="","",ROUND((BT297*Parámetros!$G$85),2))</f>
        <v>0</v>
      </c>
      <c r="BX297" s="66">
        <f>+IF($W297="","",ROUND((BT297*(Parámetros!$G$86)),2))</f>
        <v>0</v>
      </c>
      <c r="BY297" s="66">
        <f t="shared" si="354"/>
        <v>0</v>
      </c>
      <c r="BZ297" t="str">
        <f t="shared" si="395"/>
        <v>00062</v>
      </c>
      <c r="CA297" t="str">
        <f t="shared" si="396"/>
        <v>Gastos médicos por accidente</v>
      </c>
      <c r="CB297" s="118">
        <f t="shared" si="397"/>
        <v>0</v>
      </c>
      <c r="CC297" s="118" t="str">
        <f t="shared" si="398"/>
        <v>A</v>
      </c>
      <c r="CD297" s="119" t="str">
        <f t="shared" si="355"/>
        <v/>
      </c>
      <c r="CE297" s="66">
        <f>+IF($W297="","",ROUND((VLOOKUP(ROUNDDOWN($D297-1/frec,0),cob_adi,BO$40,FALSE)*(1+i/frec)^-0.5*(1+Parámetros!$D$103)*(1+rec_fracc)/frec*'TABLAS ADI'!$BC$17),2))</f>
        <v>0</v>
      </c>
      <c r="CF297" s="119" t="str">
        <f t="shared" si="356"/>
        <v/>
      </c>
      <c r="CG297" s="66">
        <f>+IF($W297="","",ROUND(IF($B297&gt;Parámetros!$D$107,'Tablas Servicio'!CE297+('Tablas Servicio'!CG296-'Tablas Servicio'!CE296),CE297/(1-IF(B297&lt;=10,Parámetros!$D$100,0))),2))</f>
        <v>0</v>
      </c>
      <c r="CH297" s="66">
        <f t="shared" si="357"/>
        <v>0</v>
      </c>
      <c r="CI297" s="66">
        <f t="shared" si="357"/>
        <v>0</v>
      </c>
      <c r="CJ297" s="66">
        <f>+IF($W297="","",ROUND((CG297*Parámetros!$G$85),2))</f>
        <v>0</v>
      </c>
      <c r="CK297" s="66">
        <f>+IF($W297="","",ROUND((CG297*(Parámetros!$G$86)),2))</f>
        <v>0</v>
      </c>
      <c r="CL297" s="66">
        <f t="shared" si="358"/>
        <v>0</v>
      </c>
      <c r="CM297" t="str">
        <f t="shared" si="399"/>
        <v>00063</v>
      </c>
      <c r="CN297" s="118" t="str">
        <f t="shared" si="400"/>
        <v>Renta Diaria por Hospitalización</v>
      </c>
      <c r="CO297" s="118">
        <f t="shared" si="401"/>
        <v>0</v>
      </c>
      <c r="CP297" s="118" t="str">
        <f t="shared" si="402"/>
        <v>A</v>
      </c>
      <c r="CQ297" s="119" t="str">
        <f t="shared" si="359"/>
        <v/>
      </c>
      <c r="CR297" s="66">
        <f>+IF($W297="","",ROUND((VLOOKUP(Parámetros!$F$51,'COBERTURAS ADICIONALES'!$S$4:$T$32,2,FALSE)*(1+i/frec)^-0.5*(1+Parámetros!$D$103)*(1+rec_fracc)/frec*$CO$42),2))</f>
        <v>0</v>
      </c>
      <c r="CS297" s="119" t="str">
        <f t="shared" si="360"/>
        <v/>
      </c>
      <c r="CT297" s="66">
        <f>+IF($W297="","",ROUND(IF($B297&gt;Parámetros!$D$107,'Tablas Servicio'!CR297+('Tablas Servicio'!CT296-'Tablas Servicio'!CR296),CR297/(1-IF(B297&lt;=10,Parámetros!$D$100,0))),2))</f>
        <v>0</v>
      </c>
      <c r="CU297" s="66">
        <f t="shared" si="361"/>
        <v>0</v>
      </c>
      <c r="CV297" s="66">
        <f t="shared" si="361"/>
        <v>0</v>
      </c>
      <c r="CW297" s="66">
        <f>+IF($W297="","",ROUND((CT297*Parámetros!$G$85),2))</f>
        <v>0</v>
      </c>
      <c r="CX297" s="66">
        <f>+IF($W297="","",ROUND((CT297*(Parámetros!$G$86)),2))</f>
        <v>0</v>
      </c>
      <c r="CY297" s="66">
        <f t="shared" si="362"/>
        <v>0</v>
      </c>
      <c r="CZ297" t="str">
        <f t="shared" si="403"/>
        <v>00064</v>
      </c>
      <c r="DA297" s="118" t="str">
        <f t="shared" si="404"/>
        <v>Enfermedades Graves</v>
      </c>
      <c r="DB297" s="118">
        <f t="shared" si="405"/>
        <v>0</v>
      </c>
      <c r="DC297" s="118" t="str">
        <f t="shared" si="406"/>
        <v>A</v>
      </c>
      <c r="DD297" s="121" t="str">
        <f>+IF(OR($W297="",DB297=0),"",ROUND((VLOOKUP(ROUNDDOWN($D297-1/frec,0),cob_adi,CO$40,FALSE)*(1+i/frec)^-0.5*(1+Parámetros!$D$103)*(1+rec_fracc)/frec),6))</f>
        <v/>
      </c>
      <c r="DE297" s="66">
        <f t="shared" si="363"/>
        <v>0</v>
      </c>
      <c r="DF297" s="119" t="str">
        <f t="shared" si="364"/>
        <v/>
      </c>
      <c r="DG297" s="66">
        <f>+IF($W297="","",ROUND(IF($B297&gt;Parámetros!$D$107,'Tablas Servicio'!DE297+('Tablas Servicio'!DG296-'Tablas Servicio'!DE296),DE297/(1-IF(B297&lt;=10,Parámetros!$D$100,0))),2))</f>
        <v>0</v>
      </c>
      <c r="DH297" s="66">
        <f t="shared" si="365"/>
        <v>0</v>
      </c>
      <c r="DI297" s="66">
        <f t="shared" si="365"/>
        <v>0</v>
      </c>
      <c r="DJ297" s="66">
        <f>+IF($W297="","",ROUND((DG297*Parámetros!$G$85),2))</f>
        <v>0</v>
      </c>
      <c r="DK297" s="66">
        <f>+IF($W297="","",ROUND((DG297*(Parámetros!$G$86)),2))</f>
        <v>0</v>
      </c>
      <c r="DL297" s="66">
        <f t="shared" si="366"/>
        <v>0</v>
      </c>
      <c r="DM297" t="str">
        <f t="shared" si="407"/>
        <v>00065</v>
      </c>
      <c r="DN297" s="118" t="str">
        <f t="shared" si="408"/>
        <v>Exención pago de primas</v>
      </c>
      <c r="DO297" s="118">
        <f t="shared" si="409"/>
        <v>0</v>
      </c>
      <c r="DP297" s="118" t="str">
        <f t="shared" si="410"/>
        <v>A</v>
      </c>
      <c r="DQ297" s="122" t="str">
        <f>+IF(OR($W297="",DO297=0),"",ROUND((VLOOKUP(ROUNDDOWN($D297-1/frec,0),cob_adi,DB$40,FALSE)*(1+i/frec)^-0.5*(1+Parámetros!$D$103)*(1+rec_fracc)/frec),6))</f>
        <v/>
      </c>
      <c r="DR297" s="66">
        <f t="shared" si="367"/>
        <v>0</v>
      </c>
      <c r="DS297" s="68" t="str">
        <f t="shared" si="368"/>
        <v/>
      </c>
      <c r="DT297" s="66">
        <f>+IF($W297="","",ROUND(IF($B297&gt;Parámetros!$D$107,'Tablas Servicio'!DR297+('Tablas Servicio'!DT296-'Tablas Servicio'!DR296),DR297/(1-IF(B297&lt;=10,Parámetros!$D$100,0))),2))</f>
        <v>0</v>
      </c>
      <c r="DU297" s="66">
        <f t="shared" si="369"/>
        <v>0</v>
      </c>
      <c r="DV297" s="66">
        <f t="shared" si="369"/>
        <v>0</v>
      </c>
      <c r="DW297" s="66">
        <f>+IF($W297="","",ROUND((DT297*Parámetros!$G$85),2))</f>
        <v>0</v>
      </c>
      <c r="DX297" s="66">
        <f>+IF($W297="","",ROUND((DT297*(Parámetros!$G$86)),2))</f>
        <v>0</v>
      </c>
      <c r="DY297" s="66">
        <f t="shared" si="370"/>
        <v>0</v>
      </c>
      <c r="DZ297" t="str">
        <f t="shared" si="413"/>
        <v>00066</v>
      </c>
      <c r="EA297" s="118" t="str">
        <f t="shared" si="413"/>
        <v>Enfermedad terminal</v>
      </c>
      <c r="EB297" s="118">
        <f>+IF($W297="","",ROUND(IF(Parámetros!$D$25='TABLAS MORT'!$V$33,EB296,Z297/2),0))</f>
        <v>50000</v>
      </c>
      <c r="EC297" s="118" t="str">
        <f t="shared" si="413"/>
        <v>A</v>
      </c>
      <c r="ED297" s="122">
        <f>+IF(OR($W297="",EB297=0),"",ROUND((VLOOKUP(ROUNDDOWN($D297-1/frec,0),cob_adi,DO$40,FALSE)*(1+i/frec)^-0.5*(1+Parámetros!$D$103)*(1+rec_fracc)/frec),6))</f>
        <v>3.8999999999999999E-5</v>
      </c>
      <c r="EE297" s="66">
        <f t="shared" si="372"/>
        <v>1.95</v>
      </c>
      <c r="EF297" s="68">
        <f t="shared" si="373"/>
        <v>3.8999999999999999E-5</v>
      </c>
      <c r="EG297" s="66">
        <f>+IF($W297="","",ROUND(IF($B297&gt;Parámetros!$D$107,'Tablas Servicio'!EE297+('Tablas Servicio'!EG296-'Tablas Servicio'!EE296),EE297/(1-IF(B297&lt;=10,Parámetros!$D$100,0))),2))</f>
        <v>1.95</v>
      </c>
      <c r="EH297" s="66">
        <f t="shared" si="374"/>
        <v>0</v>
      </c>
      <c r="EI297" s="66">
        <f t="shared" si="374"/>
        <v>0</v>
      </c>
      <c r="EJ297" s="66">
        <f>+IF($W297="","",ROUND((EG297*Parámetros!$G$85),2))</f>
        <v>7.0000000000000007E-2</v>
      </c>
      <c r="EK297" s="66">
        <f>+IF($W297="","",ROUND((EG297*(Parámetros!$G$86)),2))</f>
        <v>0.01</v>
      </c>
      <c r="EL297" s="66">
        <f t="shared" si="375"/>
        <v>2.0299999999999998</v>
      </c>
    </row>
    <row r="298" spans="1:142" x14ac:dyDescent="0.25">
      <c r="A298">
        <f>+IF($C298="","",ROUND(VLOOKUP('Tablas Servicio'!B298,Parámetros!$H$100:$J$159,IF(Parámetros!$E$16="F",2,3),FALSE),2))</f>
        <v>150</v>
      </c>
      <c r="B298">
        <f t="shared" ref="B298:B361" si="414">+IF(D298="","",ROUNDUP(C298/frec,0))</f>
        <v>22</v>
      </c>
      <c r="C298" s="57">
        <f>+IF(D298="","",'Tablas Servicio'!C297+1)</f>
        <v>257</v>
      </c>
      <c r="D298" s="56">
        <f>+IF(D297&lt;edadmaxtabla,D297+1/Parámetros!$E$25,"")</f>
        <v>61.436666666667278</v>
      </c>
      <c r="E298" s="57">
        <f t="shared" si="336"/>
        <v>61</v>
      </c>
      <c r="F298" s="59">
        <f t="shared" si="337"/>
        <v>100000</v>
      </c>
      <c r="G298" s="66">
        <f t="shared" ref="G298:G361" si="415">+IF($C298="","",AG298+AT298+BG298+BT298+CG298+CT298+DG298+DT298+EG298)</f>
        <v>62.95</v>
      </c>
      <c r="H298" s="66">
        <f t="shared" ref="H298:H361" si="416">+IF($C298="","",AL298+AY298+BL298+BY298+CL298+CY298+DL298+DY298+EL298)</f>
        <v>65.48</v>
      </c>
      <c r="I298" s="66">
        <f t="shared" si="376"/>
        <v>28.519999999999996</v>
      </c>
      <c r="J298" s="66">
        <f t="shared" ref="J298:J361" si="417">+IF($C298="","",AJ298+AW298+BJ298+BW298+CJ298+CW298+DJ298+DW298+EJ298)</f>
        <v>2.21</v>
      </c>
      <c r="K298" s="66">
        <f t="shared" ref="K298:K361" si="418">+IF($C298="","",AK298+AX298+BK298+BX298+CK298+CX298+DK298+DX298+EK298)</f>
        <v>0.32</v>
      </c>
      <c r="L298" s="66">
        <f t="shared" ref="L298:L361" si="419">+IF($C298="","",AH298+AU298+BH298+BU298+CH298+CU298+DH298+DU298+EH298)</f>
        <v>0</v>
      </c>
      <c r="M298" s="66">
        <f t="shared" ref="M298:M361" si="420">+IF($C298="","",AI298+AV298+BI298+BV298+CI298+CV298+DI298+DV298+EI298)</f>
        <v>0</v>
      </c>
      <c r="N298" s="66">
        <f>+IF(C298="","",ROUND(Parámetros!$D$23,2))</f>
        <v>94</v>
      </c>
      <c r="O298" s="66">
        <f t="shared" ref="O298:O361" si="421">+IF($C298="","",AC298+AR298+BE298+BR298+CE298+CR298+DE298+DR298+EE298)</f>
        <v>50.45</v>
      </c>
      <c r="P298" s="66">
        <f>+IF($C298="","",ROUND(IF(B298&gt;Parámetros!$D$117,0,N298*Parámetros!$D$116-G298*Parámetros!$D$100),2))</f>
        <v>0</v>
      </c>
      <c r="Q298" s="75">
        <f t="shared" si="377"/>
        <v>3.5107227958697376E-2</v>
      </c>
      <c r="R298" s="75">
        <f t="shared" si="378"/>
        <v>5.0833995234312946E-3</v>
      </c>
      <c r="S298" s="117">
        <f>+IF($C298="","",ROUND((S297+I298)*(1+Parámetros!$D$91),2))</f>
        <v>19219.73</v>
      </c>
      <c r="T298" s="117">
        <f>+IF($C298="","",ROUND(S298*VLOOKUP(B298,Parámetros!$C$30:$D$39,2,TRUE),2))</f>
        <v>19219.73</v>
      </c>
      <c r="U298" s="117">
        <f>+IF($C298="","",ROUND((U297+I298)*(1+Parámetros!$D$92),2))</f>
        <v>20464.330000000002</v>
      </c>
      <c r="V298" s="117">
        <f>+IF($C298="","",ROUND(U298*VLOOKUP(B298,Parámetros!$C$30:$D$39,2,TRUE),2))</f>
        <v>20464.330000000002</v>
      </c>
      <c r="W298" s="57">
        <f t="shared" si="379"/>
        <v>257</v>
      </c>
      <c r="X298" t="str">
        <f t="shared" si="380"/>
        <v>00058</v>
      </c>
      <c r="Y298" t="str">
        <f t="shared" si="381"/>
        <v>MUERTE POR CUALQUIER CAUSA</v>
      </c>
      <c r="Z298" s="118">
        <f>+IF($W298="","",ROUND(IF(Parámetros!$D$25='TABLAS MORT'!$V$33,Z297,Parámetros!$D$21-'Tablas Servicio'!T297),0))</f>
        <v>100000</v>
      </c>
      <c r="AA298" s="118" t="str">
        <f t="shared" si="382"/>
        <v>P</v>
      </c>
      <c r="AB298" s="119">
        <f>+IF(W298="","",ROUND((VLOOKUP(ROUNDDOWN($D298-1/frec,0),qx_tabla,2,FALSE)*(1+i/frec)^-0.5*(1+Parámetros!$D$103)*(1+rec_fracc)/frec),6))</f>
        <v>4.8500000000000003E-4</v>
      </c>
      <c r="AC298" s="66">
        <f t="shared" si="338"/>
        <v>48.5</v>
      </c>
      <c r="AD298" s="119">
        <f t="shared" ref="AD298:AD361" si="422">+IF($W298="","",ROUND((AG298/Z298),6))</f>
        <v>6.0999999999999997E-4</v>
      </c>
      <c r="AE298" s="66">
        <f>+IF($W298="","",ROUND(IF($B298&gt;Parámetros!$D$107,'Tablas Servicio'!AC298+('Tablas Servicio'!AG297-'Tablas Servicio'!AC297),AC298/(1-IF(B298&lt;=10,Parámetros!$D$104,Parámetros!$D$105))),2))</f>
        <v>80.83</v>
      </c>
      <c r="AF298" s="66">
        <f>+IF($W298="","",ROUND(IF($B298&gt;Parámetros!$D$107,'Tablas Servicio'!AC298+('Tablas Servicio'!AG297-'Tablas Servicio'!AC297),(AC298+$A297/frec)/(1-IF(B298&lt;=Parámetros!$D$117,Parámetros!$D$100,0))),2))</f>
        <v>61</v>
      </c>
      <c r="AG298" s="66">
        <f t="shared" si="339"/>
        <v>61</v>
      </c>
      <c r="AH298" s="66">
        <f t="shared" si="340"/>
        <v>0</v>
      </c>
      <c r="AI298" s="66">
        <f t="shared" si="341"/>
        <v>0</v>
      </c>
      <c r="AJ298" s="66">
        <f>+IF($W298="","",ROUND((AG298*Parámetros!$G$85),2))</f>
        <v>2.14</v>
      </c>
      <c r="AK298" s="66">
        <f>+IF($W298="","",ROUND((AG298*(Parámetros!$G$86)),2))</f>
        <v>0.31</v>
      </c>
      <c r="AL298" s="66">
        <f t="shared" ref="AL298:AL361" si="423">+IF($W298="","",ROUND((AG298+AJ298+AK298),2))</f>
        <v>63.45</v>
      </c>
      <c r="AM298" t="str">
        <f t="shared" si="383"/>
        <v>00059</v>
      </c>
      <c r="AN298" t="str">
        <f t="shared" si="384"/>
        <v>Incapacidad Total y Permanente</v>
      </c>
      <c r="AO298" s="118">
        <f t="shared" si="385"/>
        <v>0</v>
      </c>
      <c r="AP298" s="118" t="str">
        <f t="shared" si="386"/>
        <v>A</v>
      </c>
      <c r="AQ298" s="119" t="str">
        <f>+IF(OR($W298="",AO298=0),"",ROUND((VLOOKUP(ROUNDDOWN($D298-1/frec,0),cob_adi,Z$40,FALSE)*(1+i/frec)^-0.5*(1+Parámetros!$D$103)*(1+rec_fracc)/frec),6))</f>
        <v/>
      </c>
      <c r="AR298" s="66">
        <f t="shared" si="342"/>
        <v>0</v>
      </c>
      <c r="AS298" s="119" t="str">
        <f t="shared" si="343"/>
        <v/>
      </c>
      <c r="AT298" s="66">
        <f>+IF($W298="","",ROUND(IF($B298&gt;Parámetros!$D$107,'Tablas Servicio'!AR298+('Tablas Servicio'!AT297-'Tablas Servicio'!AR297),AR298/(1-IF(B298&lt;=10,Parámetros!$D$100,0))),2))</f>
        <v>0</v>
      </c>
      <c r="AU298" s="66">
        <f t="shared" si="344"/>
        <v>0</v>
      </c>
      <c r="AV298" s="66">
        <f t="shared" si="344"/>
        <v>0</v>
      </c>
      <c r="AW298" s="66">
        <f>+IF($W298="","",ROUND((AT298*Parámetros!$G$85),2))</f>
        <v>0</v>
      </c>
      <c r="AX298" s="66">
        <f>+IF($W298="","",ROUND((AT298*(Parámetros!$G$86)),2))</f>
        <v>0</v>
      </c>
      <c r="AY298" s="66">
        <f t="shared" si="345"/>
        <v>0</v>
      </c>
      <c r="AZ298" t="str">
        <f t="shared" si="387"/>
        <v>00060</v>
      </c>
      <c r="BA298" t="str">
        <f t="shared" si="388"/>
        <v>Muerte Accidental</v>
      </c>
      <c r="BB298" s="118">
        <f t="shared" si="389"/>
        <v>0</v>
      </c>
      <c r="BC298" s="118" t="str">
        <f t="shared" si="390"/>
        <v>A</v>
      </c>
      <c r="BD298" s="119" t="str">
        <f>+IF(OR($W298="",BB298=0),"",ROUND((VLOOKUP(ROUNDDOWN($D298-1/frec,0),cob_adi,AO$40,FALSE)*(1+i/frec)^-0.5*(1+Parámetros!$D$103)*(1+rec_fracc)/frec),6))</f>
        <v/>
      </c>
      <c r="BE298" s="66">
        <f t="shared" si="346"/>
        <v>0</v>
      </c>
      <c r="BF298" s="119" t="str">
        <f t="shared" si="347"/>
        <v/>
      </c>
      <c r="BG298" s="66">
        <f>+IF($W298="","",ROUND(IF($B298&gt;Parámetros!$D$107,'Tablas Servicio'!BE298+('Tablas Servicio'!BG297-'Tablas Servicio'!BE297),BE298/(1-IF(B298&lt;=10,Parámetros!$D$100,0))),2))</f>
        <v>0</v>
      </c>
      <c r="BH298" s="66">
        <f t="shared" si="348"/>
        <v>0</v>
      </c>
      <c r="BI298" s="66">
        <f t="shared" si="349"/>
        <v>0</v>
      </c>
      <c r="BJ298" s="66">
        <f>+IF($W298="","",ROUND((BG298*Parámetros!$G$85),2))</f>
        <v>0</v>
      </c>
      <c r="BK298" s="66">
        <f>+IF($W298="","",ROUND((BG298*(Parámetros!$G$86)),2))</f>
        <v>0</v>
      </c>
      <c r="BL298" s="66">
        <f t="shared" si="350"/>
        <v>0</v>
      </c>
      <c r="BM298" t="str">
        <f t="shared" si="391"/>
        <v>00061</v>
      </c>
      <c r="BN298" t="str">
        <f t="shared" si="392"/>
        <v>Gastos de Entierro</v>
      </c>
      <c r="BO298" s="118">
        <f t="shared" si="393"/>
        <v>0</v>
      </c>
      <c r="BP298" s="118" t="str">
        <f t="shared" si="394"/>
        <v>A</v>
      </c>
      <c r="BQ298" s="119" t="str">
        <f>+IF(OR($W298="",BO298=0),"",ROUND((VLOOKUP(ROUNDDOWN($D298-1/frec,0),cob_adi,BB$40,FALSE)*(1+i/frec)^-0.5*(1+Parámetros!$D$103)*(1+rec_fracc)/frec),6))</f>
        <v/>
      </c>
      <c r="BR298" s="66">
        <f t="shared" si="351"/>
        <v>0</v>
      </c>
      <c r="BS298" s="119" t="str">
        <f t="shared" si="352"/>
        <v/>
      </c>
      <c r="BT298" s="66">
        <f>+IF($W298="","",ROUND(IF($B298&gt;Parámetros!$D$107,'Tablas Servicio'!BR298+('Tablas Servicio'!BT297-'Tablas Servicio'!BR297),BR298/(1-IF(B298&lt;=10,Parámetros!$D$100,0))),2))</f>
        <v>0</v>
      </c>
      <c r="BU298" s="66">
        <f t="shared" si="353"/>
        <v>0</v>
      </c>
      <c r="BV298" s="66">
        <f t="shared" si="353"/>
        <v>0</v>
      </c>
      <c r="BW298" s="66">
        <f>+IF($W298="","",ROUND((BT298*Parámetros!$G$85),2))</f>
        <v>0</v>
      </c>
      <c r="BX298" s="66">
        <f>+IF($W298="","",ROUND((BT298*(Parámetros!$G$86)),2))</f>
        <v>0</v>
      </c>
      <c r="BY298" s="66">
        <f t="shared" si="354"/>
        <v>0</v>
      </c>
      <c r="BZ298" t="str">
        <f t="shared" si="395"/>
        <v>00062</v>
      </c>
      <c r="CA298" t="str">
        <f t="shared" si="396"/>
        <v>Gastos médicos por accidente</v>
      </c>
      <c r="CB298" s="118">
        <f t="shared" si="397"/>
        <v>0</v>
      </c>
      <c r="CC298" s="118" t="str">
        <f t="shared" si="398"/>
        <v>A</v>
      </c>
      <c r="CD298" s="119" t="str">
        <f t="shared" si="355"/>
        <v/>
      </c>
      <c r="CE298" s="66">
        <f>+IF($W298="","",ROUND((VLOOKUP(ROUNDDOWN($D298-1/frec,0),cob_adi,BO$40,FALSE)*(1+i/frec)^-0.5*(1+Parámetros!$D$103)*(1+rec_fracc)/frec*'TABLAS ADI'!$BC$17),2))</f>
        <v>0</v>
      </c>
      <c r="CF298" s="119" t="str">
        <f t="shared" si="356"/>
        <v/>
      </c>
      <c r="CG298" s="66">
        <f>+IF($W298="","",ROUND(IF($B298&gt;Parámetros!$D$107,'Tablas Servicio'!CE298+('Tablas Servicio'!CG297-'Tablas Servicio'!CE297),CE298/(1-IF(B298&lt;=10,Parámetros!$D$100,0))),2))</f>
        <v>0</v>
      </c>
      <c r="CH298" s="66">
        <f t="shared" si="357"/>
        <v>0</v>
      </c>
      <c r="CI298" s="66">
        <f t="shared" si="357"/>
        <v>0</v>
      </c>
      <c r="CJ298" s="66">
        <f>+IF($W298="","",ROUND((CG298*Parámetros!$G$85),2))</f>
        <v>0</v>
      </c>
      <c r="CK298" s="66">
        <f>+IF($W298="","",ROUND((CG298*(Parámetros!$G$86)),2))</f>
        <v>0</v>
      </c>
      <c r="CL298" s="66">
        <f t="shared" si="358"/>
        <v>0</v>
      </c>
      <c r="CM298" t="str">
        <f t="shared" si="399"/>
        <v>00063</v>
      </c>
      <c r="CN298" s="118" t="str">
        <f t="shared" si="400"/>
        <v>Renta Diaria por Hospitalización</v>
      </c>
      <c r="CO298" s="118">
        <f t="shared" si="401"/>
        <v>0</v>
      </c>
      <c r="CP298" s="118" t="str">
        <f t="shared" si="402"/>
        <v>A</v>
      </c>
      <c r="CQ298" s="119" t="str">
        <f t="shared" si="359"/>
        <v/>
      </c>
      <c r="CR298" s="66">
        <f>+IF($W298="","",ROUND((VLOOKUP(Parámetros!$F$51,'COBERTURAS ADICIONALES'!$S$4:$T$32,2,FALSE)*(1+i/frec)^-0.5*(1+Parámetros!$D$103)*(1+rec_fracc)/frec*$CO$42),2))</f>
        <v>0</v>
      </c>
      <c r="CS298" s="119" t="str">
        <f t="shared" si="360"/>
        <v/>
      </c>
      <c r="CT298" s="66">
        <f>+IF($W298="","",ROUND(IF($B298&gt;Parámetros!$D$107,'Tablas Servicio'!CR298+('Tablas Servicio'!CT297-'Tablas Servicio'!CR297),CR298/(1-IF(B298&lt;=10,Parámetros!$D$100,0))),2))</f>
        <v>0</v>
      </c>
      <c r="CU298" s="66">
        <f t="shared" si="361"/>
        <v>0</v>
      </c>
      <c r="CV298" s="66">
        <f t="shared" si="361"/>
        <v>0</v>
      </c>
      <c r="CW298" s="66">
        <f>+IF($W298="","",ROUND((CT298*Parámetros!$G$85),2))</f>
        <v>0</v>
      </c>
      <c r="CX298" s="66">
        <f>+IF($W298="","",ROUND((CT298*(Parámetros!$G$86)),2))</f>
        <v>0</v>
      </c>
      <c r="CY298" s="66">
        <f t="shared" si="362"/>
        <v>0</v>
      </c>
      <c r="CZ298" t="str">
        <f t="shared" si="403"/>
        <v>00064</v>
      </c>
      <c r="DA298" s="118" t="str">
        <f t="shared" si="404"/>
        <v>Enfermedades Graves</v>
      </c>
      <c r="DB298" s="118">
        <f t="shared" si="405"/>
        <v>0</v>
      </c>
      <c r="DC298" s="118" t="str">
        <f t="shared" si="406"/>
        <v>A</v>
      </c>
      <c r="DD298" s="121" t="str">
        <f>+IF(OR($W298="",DB298=0),"",ROUND((VLOOKUP(ROUNDDOWN($D298-1/frec,0),cob_adi,CO$40,FALSE)*(1+i/frec)^-0.5*(1+Parámetros!$D$103)*(1+rec_fracc)/frec),6))</f>
        <v/>
      </c>
      <c r="DE298" s="66">
        <f t="shared" si="363"/>
        <v>0</v>
      </c>
      <c r="DF298" s="119" t="str">
        <f t="shared" si="364"/>
        <v/>
      </c>
      <c r="DG298" s="66">
        <f>+IF($W298="","",ROUND(IF($B298&gt;Parámetros!$D$107,'Tablas Servicio'!DE298+('Tablas Servicio'!DG297-'Tablas Servicio'!DE297),DE298/(1-IF(B298&lt;=10,Parámetros!$D$100,0))),2))</f>
        <v>0</v>
      </c>
      <c r="DH298" s="66">
        <f t="shared" si="365"/>
        <v>0</v>
      </c>
      <c r="DI298" s="66">
        <f t="shared" si="365"/>
        <v>0</v>
      </c>
      <c r="DJ298" s="66">
        <f>+IF($W298="","",ROUND((DG298*Parámetros!$G$85),2))</f>
        <v>0</v>
      </c>
      <c r="DK298" s="66">
        <f>+IF($W298="","",ROUND((DG298*(Parámetros!$G$86)),2))</f>
        <v>0</v>
      </c>
      <c r="DL298" s="66">
        <f t="shared" si="366"/>
        <v>0</v>
      </c>
      <c r="DM298" t="str">
        <f t="shared" si="407"/>
        <v>00065</v>
      </c>
      <c r="DN298" s="118" t="str">
        <f t="shared" si="408"/>
        <v>Exención pago de primas</v>
      </c>
      <c r="DO298" s="118">
        <f t="shared" si="409"/>
        <v>0</v>
      </c>
      <c r="DP298" s="118" t="str">
        <f t="shared" si="410"/>
        <v>A</v>
      </c>
      <c r="DQ298" s="122" t="str">
        <f>+IF(OR($W298="",DO298=0),"",ROUND((VLOOKUP(ROUNDDOWN($D298-1/frec,0),cob_adi,DB$40,FALSE)*(1+i/frec)^-0.5*(1+Parámetros!$D$103)*(1+rec_fracc)/frec),6))</f>
        <v/>
      </c>
      <c r="DR298" s="66">
        <f t="shared" si="367"/>
        <v>0</v>
      </c>
      <c r="DS298" s="68" t="str">
        <f t="shared" si="368"/>
        <v/>
      </c>
      <c r="DT298" s="66">
        <f>+IF($W298="","",ROUND(IF($B298&gt;Parámetros!$D$107,'Tablas Servicio'!DR298+('Tablas Servicio'!DT297-'Tablas Servicio'!DR297),DR298/(1-IF(B298&lt;=10,Parámetros!$D$100,0))),2))</f>
        <v>0</v>
      </c>
      <c r="DU298" s="66">
        <f t="shared" si="369"/>
        <v>0</v>
      </c>
      <c r="DV298" s="66">
        <f t="shared" si="369"/>
        <v>0</v>
      </c>
      <c r="DW298" s="66">
        <f>+IF($W298="","",ROUND((DT298*Parámetros!$G$85),2))</f>
        <v>0</v>
      </c>
      <c r="DX298" s="66">
        <f>+IF($W298="","",ROUND((DT298*(Parámetros!$G$86)),2))</f>
        <v>0</v>
      </c>
      <c r="DY298" s="66">
        <f t="shared" si="370"/>
        <v>0</v>
      </c>
      <c r="DZ298" t="str">
        <f t="shared" si="413"/>
        <v>00066</v>
      </c>
      <c r="EA298" s="118" t="str">
        <f t="shared" si="413"/>
        <v>Enfermedad terminal</v>
      </c>
      <c r="EB298" s="118">
        <f>+IF($W298="","",ROUND(IF(Parámetros!$D$25='TABLAS MORT'!$V$33,EB297,Z298/2),0))</f>
        <v>50000</v>
      </c>
      <c r="EC298" s="118" t="str">
        <f t="shared" si="413"/>
        <v>A</v>
      </c>
      <c r="ED298" s="122">
        <f>+IF(OR($W298="",EB298=0),"",ROUND((VLOOKUP(ROUNDDOWN($D298-1/frec,0),cob_adi,DO$40,FALSE)*(1+i/frec)^-0.5*(1+Parámetros!$D$103)*(1+rec_fracc)/frec),6))</f>
        <v>3.8999999999999999E-5</v>
      </c>
      <c r="EE298" s="66">
        <f t="shared" si="372"/>
        <v>1.95</v>
      </c>
      <c r="EF298" s="68">
        <f t="shared" si="373"/>
        <v>3.8999999999999999E-5</v>
      </c>
      <c r="EG298" s="66">
        <f>+IF($W298="","",ROUND(IF($B298&gt;Parámetros!$D$107,'Tablas Servicio'!EE298+('Tablas Servicio'!EG297-'Tablas Servicio'!EE297),EE298/(1-IF(B298&lt;=10,Parámetros!$D$100,0))),2))</f>
        <v>1.95</v>
      </c>
      <c r="EH298" s="66">
        <f t="shared" si="374"/>
        <v>0</v>
      </c>
      <c r="EI298" s="66">
        <f t="shared" si="374"/>
        <v>0</v>
      </c>
      <c r="EJ298" s="66">
        <f>+IF($W298="","",ROUND((EG298*Parámetros!$G$85),2))</f>
        <v>7.0000000000000007E-2</v>
      </c>
      <c r="EK298" s="66">
        <f>+IF($W298="","",ROUND((EG298*(Parámetros!$G$86)),2))</f>
        <v>0.01</v>
      </c>
      <c r="EL298" s="66">
        <f t="shared" si="375"/>
        <v>2.0299999999999998</v>
      </c>
    </row>
    <row r="299" spans="1:142" x14ac:dyDescent="0.25">
      <c r="A299">
        <f>+IF($C299="","",ROUND(VLOOKUP('Tablas Servicio'!B299,Parámetros!$H$100:$J$159,IF(Parámetros!$E$16="F",2,3),FALSE),2))</f>
        <v>150</v>
      </c>
      <c r="B299">
        <f t="shared" si="414"/>
        <v>22</v>
      </c>
      <c r="C299" s="57">
        <f>+IF(D299="","",'Tablas Servicio'!C298+1)</f>
        <v>258</v>
      </c>
      <c r="D299" s="56">
        <f>+IF(D298&lt;edadmaxtabla,D298+1/Parámetros!$E$25,"")</f>
        <v>61.520000000000614</v>
      </c>
      <c r="E299" s="57">
        <f t="shared" ref="E299:E362" si="424">+IF(D299="","",ROUNDDOWN(D299,0))</f>
        <v>61</v>
      </c>
      <c r="F299" s="59">
        <f t="shared" ref="F299:F362" si="425">+Z299</f>
        <v>100000</v>
      </c>
      <c r="G299" s="66">
        <f t="shared" si="415"/>
        <v>62.95</v>
      </c>
      <c r="H299" s="66">
        <f t="shared" si="416"/>
        <v>65.48</v>
      </c>
      <c r="I299" s="66">
        <f t="shared" si="376"/>
        <v>28.519999999999996</v>
      </c>
      <c r="J299" s="66">
        <f t="shared" si="417"/>
        <v>2.21</v>
      </c>
      <c r="K299" s="66">
        <f t="shared" si="418"/>
        <v>0.32</v>
      </c>
      <c r="L299" s="66">
        <f t="shared" si="419"/>
        <v>0</v>
      </c>
      <c r="M299" s="66">
        <f t="shared" si="420"/>
        <v>0</v>
      </c>
      <c r="N299" s="66">
        <f>+IF(C299="","",ROUND(Parámetros!$D$23,2))</f>
        <v>94</v>
      </c>
      <c r="O299" s="66">
        <f t="shared" si="421"/>
        <v>50.45</v>
      </c>
      <c r="P299" s="66">
        <f>+IF($C299="","",ROUND(IF(B299&gt;Parámetros!$D$117,0,N299*Parámetros!$D$116-G299*Parámetros!$D$100),2))</f>
        <v>0</v>
      </c>
      <c r="Q299" s="75">
        <f t="shared" si="377"/>
        <v>3.5107227958697376E-2</v>
      </c>
      <c r="R299" s="75">
        <f t="shared" si="378"/>
        <v>5.0833995234312946E-3</v>
      </c>
      <c r="S299" s="117">
        <f>+IF($C299="","",ROUND((S298+I299)*(1+Parámetros!$D$91),2))</f>
        <v>19302.849999999999</v>
      </c>
      <c r="T299" s="117">
        <f>+IF($C299="","",ROUND(S299*VLOOKUP(B299,Parámetros!$C$30:$D$39,2,TRUE),2))</f>
        <v>19302.849999999999</v>
      </c>
      <c r="U299" s="117">
        <f>+IF($C299="","",ROUND((U298+I299)*(1+Parámetros!$D$92),2))</f>
        <v>20559.28</v>
      </c>
      <c r="V299" s="117">
        <f>+IF($C299="","",ROUND(U299*VLOOKUP(B299,Parámetros!$C$30:$D$39,2,TRUE),2))</f>
        <v>20559.28</v>
      </c>
      <c r="W299" s="57">
        <f t="shared" si="379"/>
        <v>258</v>
      </c>
      <c r="X299" t="str">
        <f t="shared" si="380"/>
        <v>00058</v>
      </c>
      <c r="Y299" t="str">
        <f t="shared" si="381"/>
        <v>MUERTE POR CUALQUIER CAUSA</v>
      </c>
      <c r="Z299" s="118">
        <f>+IF($W299="","",ROUND(IF(Parámetros!$D$25='TABLAS MORT'!$V$33,Z298,Parámetros!$D$21-'Tablas Servicio'!T298),0))</f>
        <v>100000</v>
      </c>
      <c r="AA299" s="118" t="str">
        <f t="shared" si="382"/>
        <v>P</v>
      </c>
      <c r="AB299" s="119">
        <f>+IF(W299="","",ROUND((VLOOKUP(ROUNDDOWN($D299-1/frec,0),qx_tabla,2,FALSE)*(1+i/frec)^-0.5*(1+Parámetros!$D$103)*(1+rec_fracc)/frec),6))</f>
        <v>4.8500000000000003E-4</v>
      </c>
      <c r="AC299" s="66">
        <f t="shared" ref="AC299:AC362" si="426">+IF($W299="","",ROUND((AB299*Z299),2))</f>
        <v>48.5</v>
      </c>
      <c r="AD299" s="119">
        <f t="shared" si="422"/>
        <v>6.0999999999999997E-4</v>
      </c>
      <c r="AE299" s="66">
        <f>+IF($W299="","",ROUND(IF($B299&gt;Parámetros!$D$107,'Tablas Servicio'!AC299+('Tablas Servicio'!AG298-'Tablas Servicio'!AC298),AC299/(1-IF(B299&lt;=10,Parámetros!$D$104,Parámetros!$D$105))),2))</f>
        <v>80.83</v>
      </c>
      <c r="AF299" s="66">
        <f>+IF($W299="","",ROUND(IF($B299&gt;Parámetros!$D$107,'Tablas Servicio'!AC299+('Tablas Servicio'!AG298-'Tablas Servicio'!AC298),(AC299+$A298/frec)/(1-IF(B299&lt;=Parámetros!$D$117,Parámetros!$D$100,0))),2))</f>
        <v>61</v>
      </c>
      <c r="AG299" s="66">
        <f t="shared" ref="AG299:AG362" si="427">+IF($W299="","",MIN(AE299,AF299))</f>
        <v>61</v>
      </c>
      <c r="AH299" s="66">
        <f t="shared" ref="AH299:AH362" si="428">+IF($W299="","",0)</f>
        <v>0</v>
      </c>
      <c r="AI299" s="66">
        <f t="shared" ref="AI299:AI362" si="429">IF($W299="","",0)</f>
        <v>0</v>
      </c>
      <c r="AJ299" s="66">
        <f>+IF($W299="","",ROUND((AG299*Parámetros!$G$85),2))</f>
        <v>2.14</v>
      </c>
      <c r="AK299" s="66">
        <f>+IF($W299="","",ROUND((AG299*(Parámetros!$G$86)),2))</f>
        <v>0.31</v>
      </c>
      <c r="AL299" s="66">
        <f t="shared" si="423"/>
        <v>63.45</v>
      </c>
      <c r="AM299" t="str">
        <f t="shared" si="383"/>
        <v>00059</v>
      </c>
      <c r="AN299" t="str">
        <f t="shared" si="384"/>
        <v>Incapacidad Total y Permanente</v>
      </c>
      <c r="AO299" s="118">
        <f t="shared" si="385"/>
        <v>0</v>
      </c>
      <c r="AP299" s="118" t="str">
        <f t="shared" si="386"/>
        <v>A</v>
      </c>
      <c r="AQ299" s="119" t="str">
        <f>+IF(OR($W299="",AO299=0),"",ROUND((VLOOKUP(ROUNDDOWN($D299-1/frec,0),cob_adi,Z$40,FALSE)*(1+i/frec)^-0.5*(1+Parámetros!$D$103)*(1+rec_fracc)/frec),6))</f>
        <v/>
      </c>
      <c r="AR299" s="66">
        <f t="shared" ref="AR299:AR362" si="430">+IF(AO299=0,0,IF($W299="","",ROUND((AQ299*AO299),2)))</f>
        <v>0</v>
      </c>
      <c r="AS299" s="119" t="str">
        <f t="shared" ref="AS299:AS362" si="431">+IF(OR($W299="",AO299=0),"",ROUND((AT299/AO299),6))</f>
        <v/>
      </c>
      <c r="AT299" s="66">
        <f>+IF($W299="","",ROUND(IF($B299&gt;Parámetros!$D$107,'Tablas Servicio'!AR299+('Tablas Servicio'!AT298-'Tablas Servicio'!AR298),AR299/(1-IF(B299&lt;=10,Parámetros!$D$100,0))),2))</f>
        <v>0</v>
      </c>
      <c r="AU299" s="66">
        <f t="shared" ref="AU299:AV362" si="432">+IF($W299="","",0)</f>
        <v>0</v>
      </c>
      <c r="AV299" s="66">
        <f t="shared" si="432"/>
        <v>0</v>
      </c>
      <c r="AW299" s="66">
        <f>+IF($W299="","",ROUND((AT299*Parámetros!$G$85),2))</f>
        <v>0</v>
      </c>
      <c r="AX299" s="66">
        <f>+IF($W299="","",ROUND((AT299*(Parámetros!$G$86)),2))</f>
        <v>0</v>
      </c>
      <c r="AY299" s="66">
        <f t="shared" ref="AY299:AY362" si="433">+IF($W299="","",ROUND((AT299+AW299+AX299),2))</f>
        <v>0</v>
      </c>
      <c r="AZ299" t="str">
        <f t="shared" si="387"/>
        <v>00060</v>
      </c>
      <c r="BA299" t="str">
        <f t="shared" si="388"/>
        <v>Muerte Accidental</v>
      </c>
      <c r="BB299" s="118">
        <f t="shared" si="389"/>
        <v>0</v>
      </c>
      <c r="BC299" s="118" t="str">
        <f t="shared" si="390"/>
        <v>A</v>
      </c>
      <c r="BD299" s="119" t="str">
        <f>+IF(OR($W299="",BB299=0),"",ROUND((VLOOKUP(ROUNDDOWN($D299-1/frec,0),cob_adi,AO$40,FALSE)*(1+i/frec)^-0.5*(1+Parámetros!$D$103)*(1+rec_fracc)/frec),6))</f>
        <v/>
      </c>
      <c r="BE299" s="66">
        <f t="shared" ref="BE299:BE362" si="434">+IF(BB299=0,0,IF($W299="","",ROUND(((BD299*BB299)),2)))</f>
        <v>0</v>
      </c>
      <c r="BF299" s="119" t="str">
        <f t="shared" ref="BF299:BF362" si="435">+IF(OR($W299="",BB299=0),"",ROUND((BG299/BB299),6))</f>
        <v/>
      </c>
      <c r="BG299" s="66">
        <f>+IF($W299="","",ROUND(IF($B299&gt;Parámetros!$D$107,'Tablas Servicio'!BE299+('Tablas Servicio'!BG298-'Tablas Servicio'!BE298),BE299/(1-IF(B299&lt;=10,Parámetros!$D$100,0))),2))</f>
        <v>0</v>
      </c>
      <c r="BH299" s="66">
        <f t="shared" ref="BH299:BH362" si="436">IF($W299="","",0)</f>
        <v>0</v>
      </c>
      <c r="BI299" s="66">
        <f t="shared" ref="BI299:BI362" si="437">+IF($W299="","",0)</f>
        <v>0</v>
      </c>
      <c r="BJ299" s="66">
        <f>+IF($W299="","",ROUND((BG299*Parámetros!$G$85),2))</f>
        <v>0</v>
      </c>
      <c r="BK299" s="66">
        <f>+IF($W299="","",ROUND((BG299*(Parámetros!$G$86)),2))</f>
        <v>0</v>
      </c>
      <c r="BL299" s="66">
        <f t="shared" ref="BL299:BL362" si="438">+IF($W299="","",ROUND((BG299+BJ299+BK299),2))</f>
        <v>0</v>
      </c>
      <c r="BM299" t="str">
        <f t="shared" si="391"/>
        <v>00061</v>
      </c>
      <c r="BN299" t="str">
        <f t="shared" si="392"/>
        <v>Gastos de Entierro</v>
      </c>
      <c r="BO299" s="118">
        <f t="shared" si="393"/>
        <v>0</v>
      </c>
      <c r="BP299" s="118" t="str">
        <f t="shared" si="394"/>
        <v>A</v>
      </c>
      <c r="BQ299" s="119" t="str">
        <f>+IF(OR($W299="",BO299=0),"",ROUND((VLOOKUP(ROUNDDOWN($D299-1/frec,0),cob_adi,BB$40,FALSE)*(1+i/frec)^-0.5*(1+Parámetros!$D$103)*(1+rec_fracc)/frec),6))</f>
        <v/>
      </c>
      <c r="BR299" s="66">
        <f t="shared" ref="BR299:BR362" si="439">+IF(BO299=0,0,IF($W299="","",ROUND(((BQ299*BO299)),2)))</f>
        <v>0</v>
      </c>
      <c r="BS299" s="119" t="str">
        <f t="shared" ref="BS299:BS362" si="440">+IF(OR($W299="",BO299=0),"",ROUND((BT299/BO299),6))</f>
        <v/>
      </c>
      <c r="BT299" s="66">
        <f>+IF($W299="","",ROUND(IF($B299&gt;Parámetros!$D$107,'Tablas Servicio'!BR299+('Tablas Servicio'!BT298-'Tablas Servicio'!BR298),BR299/(1-IF(B299&lt;=10,Parámetros!$D$100,0))),2))</f>
        <v>0</v>
      </c>
      <c r="BU299" s="66">
        <f t="shared" ref="BU299:BV362" si="441">+IF($W299="","",0)</f>
        <v>0</v>
      </c>
      <c r="BV299" s="66">
        <f t="shared" si="441"/>
        <v>0</v>
      </c>
      <c r="BW299" s="66">
        <f>+IF($W299="","",ROUND((BT299*Parámetros!$G$85),2))</f>
        <v>0</v>
      </c>
      <c r="BX299" s="66">
        <f>+IF($W299="","",ROUND((BT299*(Parámetros!$G$86)),2))</f>
        <v>0</v>
      </c>
      <c r="BY299" s="66">
        <f t="shared" ref="BY299:BY362" si="442">+IF($W299="","",ROUND((BT299+BW299+BX299),2))</f>
        <v>0</v>
      </c>
      <c r="BZ299" t="str">
        <f t="shared" si="395"/>
        <v>00062</v>
      </c>
      <c r="CA299" t="str">
        <f t="shared" si="396"/>
        <v>Gastos médicos por accidente</v>
      </c>
      <c r="CB299" s="118">
        <f t="shared" si="397"/>
        <v>0</v>
      </c>
      <c r="CC299" s="118" t="str">
        <f t="shared" si="398"/>
        <v>A</v>
      </c>
      <c r="CD299" s="119" t="str">
        <f t="shared" ref="CD299:CD362" si="443">+IF(OR($W299="",CB299=0),"",ROUND((CE299/CB299),6))</f>
        <v/>
      </c>
      <c r="CE299" s="66">
        <f>+IF($W299="","",ROUND((VLOOKUP(ROUNDDOWN($D299-1/frec,0),cob_adi,BO$40,FALSE)*(1+i/frec)^-0.5*(1+Parámetros!$D$103)*(1+rec_fracc)/frec*'TABLAS ADI'!$BC$17),2))</f>
        <v>0</v>
      </c>
      <c r="CF299" s="119" t="str">
        <f t="shared" ref="CF299:CF362" si="444">+IF(OR($W299="",CB299=0),"",ROUND((CG299/CB299),6))</f>
        <v/>
      </c>
      <c r="CG299" s="66">
        <f>+IF($W299="","",ROUND(IF($B299&gt;Parámetros!$D$107,'Tablas Servicio'!CE299+('Tablas Servicio'!CG298-'Tablas Servicio'!CE298),CE299/(1-IF(B299&lt;=10,Parámetros!$D$100,0))),2))</f>
        <v>0</v>
      </c>
      <c r="CH299" s="66">
        <f t="shared" ref="CH299:CI362" si="445">+IF($W299="","",0)</f>
        <v>0</v>
      </c>
      <c r="CI299" s="66">
        <f t="shared" si="445"/>
        <v>0</v>
      </c>
      <c r="CJ299" s="66">
        <f>+IF($W299="","",ROUND((CG299*Parámetros!$G$85),2))</f>
        <v>0</v>
      </c>
      <c r="CK299" s="66">
        <f>+IF($W299="","",ROUND((CG299*(Parámetros!$G$86)),2))</f>
        <v>0</v>
      </c>
      <c r="CL299" s="66">
        <f t="shared" ref="CL299:CL362" si="446">+IF($W299="","",ROUND((CG299+CJ299+CK299),2))</f>
        <v>0</v>
      </c>
      <c r="CM299" t="str">
        <f t="shared" si="399"/>
        <v>00063</v>
      </c>
      <c r="CN299" s="118" t="str">
        <f t="shared" si="400"/>
        <v>Renta Diaria por Hospitalización</v>
      </c>
      <c r="CO299" s="118">
        <f t="shared" si="401"/>
        <v>0</v>
      </c>
      <c r="CP299" s="118" t="str">
        <f t="shared" si="402"/>
        <v>A</v>
      </c>
      <c r="CQ299" s="119" t="str">
        <f t="shared" ref="CQ299:CQ362" si="447">+IF(OR($W299="",CO299=0),"",ROUND((CR299/CO299),6))</f>
        <v/>
      </c>
      <c r="CR299" s="66">
        <f>+IF($W299="","",ROUND((VLOOKUP(Parámetros!$F$51,'COBERTURAS ADICIONALES'!$S$4:$T$32,2,FALSE)*(1+i/frec)^-0.5*(1+Parámetros!$D$103)*(1+rec_fracc)/frec*$CO$42),2))</f>
        <v>0</v>
      </c>
      <c r="CS299" s="119" t="str">
        <f t="shared" ref="CS299:CS362" si="448">+IF(OR($W299="",CO299=0),"",ROUND((CT299/CO299),6))</f>
        <v/>
      </c>
      <c r="CT299" s="66">
        <f>+IF($W299="","",ROUND(IF($B299&gt;Parámetros!$D$107,'Tablas Servicio'!CR299+('Tablas Servicio'!CT298-'Tablas Servicio'!CR298),CR299/(1-IF(B299&lt;=10,Parámetros!$D$100,0))),2))</f>
        <v>0</v>
      </c>
      <c r="CU299" s="66">
        <f t="shared" ref="CU299:CV362" si="449">+IF($W299="","",0)</f>
        <v>0</v>
      </c>
      <c r="CV299" s="66">
        <f t="shared" si="449"/>
        <v>0</v>
      </c>
      <c r="CW299" s="66">
        <f>+IF($W299="","",ROUND((CT299*Parámetros!$G$85),2))</f>
        <v>0</v>
      </c>
      <c r="CX299" s="66">
        <f>+IF($W299="","",ROUND((CT299*(Parámetros!$G$86)),2))</f>
        <v>0</v>
      </c>
      <c r="CY299" s="66">
        <f t="shared" ref="CY299:CY362" si="450">+IF($W299="","",ROUND((CT299+CW299+CX299),2))</f>
        <v>0</v>
      </c>
      <c r="CZ299" t="str">
        <f t="shared" si="403"/>
        <v>00064</v>
      </c>
      <c r="DA299" s="118" t="str">
        <f t="shared" si="404"/>
        <v>Enfermedades Graves</v>
      </c>
      <c r="DB299" s="118">
        <f t="shared" si="405"/>
        <v>0</v>
      </c>
      <c r="DC299" s="118" t="str">
        <f t="shared" si="406"/>
        <v>A</v>
      </c>
      <c r="DD299" s="121" t="str">
        <f>+IF(OR($W299="",DB299=0),"",ROUND((VLOOKUP(ROUNDDOWN($D299-1/frec,0),cob_adi,CO$40,FALSE)*(1+i/frec)^-0.5*(1+Parámetros!$D$103)*(1+rec_fracc)/frec),6))</f>
        <v/>
      </c>
      <c r="DE299" s="66">
        <f t="shared" ref="DE299:DE362" si="451">+IF(DB299=0,0,IF($W299="","",ROUND(((DD299*DB299)),2)))</f>
        <v>0</v>
      </c>
      <c r="DF299" s="119" t="str">
        <f t="shared" ref="DF299:DF362" si="452">+IF(OR($W299="",DB299=0),"",ROUND((DG299/DB299),6))</f>
        <v/>
      </c>
      <c r="DG299" s="66">
        <f>+IF($W299="","",ROUND(IF($B299&gt;Parámetros!$D$107,'Tablas Servicio'!DE299+('Tablas Servicio'!DG298-'Tablas Servicio'!DE298),DE299/(1-IF(B299&lt;=10,Parámetros!$D$100,0))),2))</f>
        <v>0</v>
      </c>
      <c r="DH299" s="66">
        <f t="shared" ref="DH299:DI362" si="453">+IF($W299="","",0)</f>
        <v>0</v>
      </c>
      <c r="DI299" s="66">
        <f t="shared" si="453"/>
        <v>0</v>
      </c>
      <c r="DJ299" s="66">
        <f>+IF($W299="","",ROUND((DG299*Parámetros!$G$85),2))</f>
        <v>0</v>
      </c>
      <c r="DK299" s="66">
        <f>+IF($W299="","",ROUND((DG299*(Parámetros!$G$86)),2))</f>
        <v>0</v>
      </c>
      <c r="DL299" s="66">
        <f t="shared" ref="DL299:DL362" si="454">+IF($W299="","",ROUND((DG299+DJ299+DK299),2))</f>
        <v>0</v>
      </c>
      <c r="DM299" t="str">
        <f t="shared" si="407"/>
        <v>00065</v>
      </c>
      <c r="DN299" s="118" t="str">
        <f t="shared" si="408"/>
        <v>Exención pago de primas</v>
      </c>
      <c r="DO299" s="118">
        <f t="shared" si="409"/>
        <v>0</v>
      </c>
      <c r="DP299" s="118" t="str">
        <f t="shared" si="410"/>
        <v>A</v>
      </c>
      <c r="DQ299" s="122" t="str">
        <f>+IF(OR($W299="",DO299=0),"",ROUND((VLOOKUP(ROUNDDOWN($D299-1/frec,0),cob_adi,DB$40,FALSE)*(1+i/frec)^-0.5*(1+Parámetros!$D$103)*(1+rec_fracc)/frec),6))</f>
        <v/>
      </c>
      <c r="DR299" s="66">
        <f t="shared" ref="DR299:DR362" si="455">+IF(DO299=0,0,IF($W299="","",ROUND(((DQ299*DO299)),2)))</f>
        <v>0</v>
      </c>
      <c r="DS299" s="68" t="str">
        <f t="shared" ref="DS299:DS362" si="456">+IF(OR($W299="",DO299=0),"",ROUND((DT299/DO299),6))</f>
        <v/>
      </c>
      <c r="DT299" s="66">
        <f>+IF($W299="","",ROUND(IF($B299&gt;Parámetros!$D$107,'Tablas Servicio'!DR299+('Tablas Servicio'!DT298-'Tablas Servicio'!DR298),DR299/(1-IF(B299&lt;=10,Parámetros!$D$100,0))),2))</f>
        <v>0</v>
      </c>
      <c r="DU299" s="66">
        <f t="shared" ref="DU299:DV362" si="457">+IF($W299="","",0)</f>
        <v>0</v>
      </c>
      <c r="DV299" s="66">
        <f t="shared" si="457"/>
        <v>0</v>
      </c>
      <c r="DW299" s="66">
        <f>+IF($W299="","",ROUND((DT299*Parámetros!$G$85),2))</f>
        <v>0</v>
      </c>
      <c r="DX299" s="66">
        <f>+IF($W299="","",ROUND((DT299*(Parámetros!$G$86)),2))</f>
        <v>0</v>
      </c>
      <c r="DY299" s="66">
        <f t="shared" ref="DY299:DY362" si="458">+IF($W299="","",ROUND((DT299+DW299+DX299),2))</f>
        <v>0</v>
      </c>
      <c r="DZ299" t="str">
        <f t="shared" ref="DZ299:EC314" si="459">+IF($W299="","",DZ298)</f>
        <v>00066</v>
      </c>
      <c r="EA299" s="118" t="str">
        <f t="shared" si="459"/>
        <v>Enfermedad terminal</v>
      </c>
      <c r="EB299" s="118">
        <f>+IF($W299="","",ROUND(IF(Parámetros!$D$25='TABLAS MORT'!$V$33,EB298,Z299/2),0))</f>
        <v>50000</v>
      </c>
      <c r="EC299" s="118" t="str">
        <f t="shared" si="459"/>
        <v>A</v>
      </c>
      <c r="ED299" s="122">
        <f>+IF(OR($W299="",EB299=0),"",ROUND((VLOOKUP(ROUNDDOWN($D299-1/frec,0),cob_adi,DO$40,FALSE)*(1+i/frec)^-0.5*(1+Parámetros!$D$103)*(1+rec_fracc)/frec),6))</f>
        <v>3.8999999999999999E-5</v>
      </c>
      <c r="EE299" s="66">
        <f t="shared" ref="EE299:EE362" si="460">+IF(EB299=0,0,IF($W299="","",ROUND(((ED299*EB299)),2)))</f>
        <v>1.95</v>
      </c>
      <c r="EF299" s="68">
        <f t="shared" ref="EF299:EF362" si="461">+IF(OR($W299="",EB299=0),"",ROUND((EG299/EB299),6))</f>
        <v>3.8999999999999999E-5</v>
      </c>
      <c r="EG299" s="66">
        <f>+IF($W299="","",ROUND(IF($B299&gt;Parámetros!$D$107,'Tablas Servicio'!EE299+('Tablas Servicio'!EG298-'Tablas Servicio'!EE298),EE299/(1-IF(B299&lt;=10,Parámetros!$D$100,0))),2))</f>
        <v>1.95</v>
      </c>
      <c r="EH299" s="66">
        <f t="shared" ref="EH299:EI362" si="462">+IF($W299="","",0)</f>
        <v>0</v>
      </c>
      <c r="EI299" s="66">
        <f t="shared" si="462"/>
        <v>0</v>
      </c>
      <c r="EJ299" s="66">
        <f>+IF($W299="","",ROUND((EG299*Parámetros!$G$85),2))</f>
        <v>7.0000000000000007E-2</v>
      </c>
      <c r="EK299" s="66">
        <f>+IF($W299="","",ROUND((EG299*(Parámetros!$G$86)),2))</f>
        <v>0.01</v>
      </c>
      <c r="EL299" s="66">
        <f t="shared" ref="EL299:EL362" si="463">+IF($W299="","",ROUND((EG299+EJ299+EK299),2))</f>
        <v>2.0299999999999998</v>
      </c>
    </row>
    <row r="300" spans="1:142" x14ac:dyDescent="0.25">
      <c r="A300">
        <f>+IF($C300="","",ROUND(VLOOKUP('Tablas Servicio'!B300,Parámetros!$H$100:$J$159,IF(Parámetros!$E$16="F",2,3),FALSE),2))</f>
        <v>150</v>
      </c>
      <c r="B300">
        <f t="shared" si="414"/>
        <v>22</v>
      </c>
      <c r="C300" s="57">
        <f>+IF(D300="","",'Tablas Servicio'!C299+1)</f>
        <v>259</v>
      </c>
      <c r="D300" s="56">
        <f>+IF(D299&lt;edadmaxtabla,D299+1/Parámetros!$E$25,"")</f>
        <v>61.60333333333395</v>
      </c>
      <c r="E300" s="57">
        <f t="shared" si="424"/>
        <v>61</v>
      </c>
      <c r="F300" s="59">
        <f t="shared" si="425"/>
        <v>100000</v>
      </c>
      <c r="G300" s="66">
        <f t="shared" si="415"/>
        <v>62.95</v>
      </c>
      <c r="H300" s="66">
        <f t="shared" si="416"/>
        <v>65.48</v>
      </c>
      <c r="I300" s="66">
        <f t="shared" si="376"/>
        <v>28.519999999999996</v>
      </c>
      <c r="J300" s="66">
        <f t="shared" si="417"/>
        <v>2.21</v>
      </c>
      <c r="K300" s="66">
        <f t="shared" si="418"/>
        <v>0.32</v>
      </c>
      <c r="L300" s="66">
        <f t="shared" si="419"/>
        <v>0</v>
      </c>
      <c r="M300" s="66">
        <f t="shared" si="420"/>
        <v>0</v>
      </c>
      <c r="N300" s="66">
        <f>+IF(C300="","",ROUND(Parámetros!$D$23,2))</f>
        <v>94</v>
      </c>
      <c r="O300" s="66">
        <f t="shared" si="421"/>
        <v>50.45</v>
      </c>
      <c r="P300" s="66">
        <f>+IF($C300="","",ROUND(IF(B300&gt;Parámetros!$D$117,0,N300*Parámetros!$D$116-G300*Parámetros!$D$100),2))</f>
        <v>0</v>
      </c>
      <c r="Q300" s="75">
        <f t="shared" si="377"/>
        <v>3.5107227958697376E-2</v>
      </c>
      <c r="R300" s="75">
        <f t="shared" si="378"/>
        <v>5.0833995234312946E-3</v>
      </c>
      <c r="S300" s="117">
        <f>+IF($C300="","",ROUND((S299+I300)*(1+Parámetros!$D$91),2))</f>
        <v>19386.2</v>
      </c>
      <c r="T300" s="117">
        <f>+IF($C300="","",ROUND(S300*VLOOKUP(B300,Parámetros!$C$30:$D$39,2,TRUE),2))</f>
        <v>19386.2</v>
      </c>
      <c r="U300" s="117">
        <f>+IF($C300="","",ROUND((U299+I300)*(1+Parámetros!$D$92),2))</f>
        <v>20654.54</v>
      </c>
      <c r="V300" s="117">
        <f>+IF($C300="","",ROUND(U300*VLOOKUP(B300,Parámetros!$C$30:$D$39,2,TRUE),2))</f>
        <v>20654.54</v>
      </c>
      <c r="W300" s="57">
        <f t="shared" si="379"/>
        <v>259</v>
      </c>
      <c r="X300" t="str">
        <f t="shared" si="380"/>
        <v>00058</v>
      </c>
      <c r="Y300" t="str">
        <f t="shared" si="381"/>
        <v>MUERTE POR CUALQUIER CAUSA</v>
      </c>
      <c r="Z300" s="118">
        <f>+IF($W300="","",ROUND(IF(Parámetros!$D$25='TABLAS MORT'!$V$33,Z299,Parámetros!$D$21-'Tablas Servicio'!T299),0))</f>
        <v>100000</v>
      </c>
      <c r="AA300" s="118" t="str">
        <f t="shared" si="382"/>
        <v>P</v>
      </c>
      <c r="AB300" s="119">
        <f>+IF(W300="","",ROUND((VLOOKUP(ROUNDDOWN($D300-1/frec,0),qx_tabla,2,FALSE)*(1+i/frec)^-0.5*(1+Parámetros!$D$103)*(1+rec_fracc)/frec),6))</f>
        <v>4.8500000000000003E-4</v>
      </c>
      <c r="AC300" s="66">
        <f t="shared" si="426"/>
        <v>48.5</v>
      </c>
      <c r="AD300" s="119">
        <f t="shared" si="422"/>
        <v>6.0999999999999997E-4</v>
      </c>
      <c r="AE300" s="66">
        <f>+IF($W300="","",ROUND(IF($B300&gt;Parámetros!$D$107,'Tablas Servicio'!AC300+('Tablas Servicio'!AG299-'Tablas Servicio'!AC299),AC300/(1-IF(B300&lt;=10,Parámetros!$D$104,Parámetros!$D$105))),2))</f>
        <v>80.83</v>
      </c>
      <c r="AF300" s="66">
        <f>+IF($W300="","",ROUND(IF($B300&gt;Parámetros!$D$107,'Tablas Servicio'!AC300+('Tablas Servicio'!AG299-'Tablas Servicio'!AC299),(AC300+$A299/frec)/(1-IF(B300&lt;=Parámetros!$D$117,Parámetros!$D$100,0))),2))</f>
        <v>61</v>
      </c>
      <c r="AG300" s="66">
        <f t="shared" si="427"/>
        <v>61</v>
      </c>
      <c r="AH300" s="66">
        <f t="shared" si="428"/>
        <v>0</v>
      </c>
      <c r="AI300" s="66">
        <f t="shared" si="429"/>
        <v>0</v>
      </c>
      <c r="AJ300" s="66">
        <f>+IF($W300="","",ROUND((AG300*Parámetros!$G$85),2))</f>
        <v>2.14</v>
      </c>
      <c r="AK300" s="66">
        <f>+IF($W300="","",ROUND((AG300*(Parámetros!$G$86)),2))</f>
        <v>0.31</v>
      </c>
      <c r="AL300" s="66">
        <f t="shared" si="423"/>
        <v>63.45</v>
      </c>
      <c r="AM300" t="str">
        <f t="shared" si="383"/>
        <v>00059</v>
      </c>
      <c r="AN300" t="str">
        <f t="shared" si="384"/>
        <v>Incapacidad Total y Permanente</v>
      </c>
      <c r="AO300" s="118">
        <f t="shared" si="385"/>
        <v>0</v>
      </c>
      <c r="AP300" s="118" t="str">
        <f t="shared" si="386"/>
        <v>A</v>
      </c>
      <c r="AQ300" s="119" t="str">
        <f>+IF(OR($W300="",AO300=0),"",ROUND((VLOOKUP(ROUNDDOWN($D300-1/frec,0),cob_adi,Z$40,FALSE)*(1+i/frec)^-0.5*(1+Parámetros!$D$103)*(1+rec_fracc)/frec),6))</f>
        <v/>
      </c>
      <c r="AR300" s="66">
        <f t="shared" si="430"/>
        <v>0</v>
      </c>
      <c r="AS300" s="119" t="str">
        <f t="shared" si="431"/>
        <v/>
      </c>
      <c r="AT300" s="66">
        <f>+IF($W300="","",ROUND(IF($B300&gt;Parámetros!$D$107,'Tablas Servicio'!AR300+('Tablas Servicio'!AT299-'Tablas Servicio'!AR299),AR300/(1-IF(B300&lt;=10,Parámetros!$D$100,0))),2))</f>
        <v>0</v>
      </c>
      <c r="AU300" s="66">
        <f t="shared" si="432"/>
        <v>0</v>
      </c>
      <c r="AV300" s="66">
        <f t="shared" si="432"/>
        <v>0</v>
      </c>
      <c r="AW300" s="66">
        <f>+IF($W300="","",ROUND((AT300*Parámetros!$G$85),2))</f>
        <v>0</v>
      </c>
      <c r="AX300" s="66">
        <f>+IF($W300="","",ROUND((AT300*(Parámetros!$G$86)),2))</f>
        <v>0</v>
      </c>
      <c r="AY300" s="66">
        <f t="shared" si="433"/>
        <v>0</v>
      </c>
      <c r="AZ300" t="str">
        <f t="shared" si="387"/>
        <v>00060</v>
      </c>
      <c r="BA300" t="str">
        <f t="shared" si="388"/>
        <v>Muerte Accidental</v>
      </c>
      <c r="BB300" s="118">
        <f t="shared" si="389"/>
        <v>0</v>
      </c>
      <c r="BC300" s="118" t="str">
        <f t="shared" si="390"/>
        <v>A</v>
      </c>
      <c r="BD300" s="119" t="str">
        <f>+IF(OR($W300="",BB300=0),"",ROUND((VLOOKUP(ROUNDDOWN($D300-1/frec,0),cob_adi,AO$40,FALSE)*(1+i/frec)^-0.5*(1+Parámetros!$D$103)*(1+rec_fracc)/frec),6))</f>
        <v/>
      </c>
      <c r="BE300" s="66">
        <f t="shared" si="434"/>
        <v>0</v>
      </c>
      <c r="BF300" s="119" t="str">
        <f t="shared" si="435"/>
        <v/>
      </c>
      <c r="BG300" s="66">
        <f>+IF($W300="","",ROUND(IF($B300&gt;Parámetros!$D$107,'Tablas Servicio'!BE300+('Tablas Servicio'!BG299-'Tablas Servicio'!BE299),BE300/(1-IF(B300&lt;=10,Parámetros!$D$100,0))),2))</f>
        <v>0</v>
      </c>
      <c r="BH300" s="66">
        <f t="shared" si="436"/>
        <v>0</v>
      </c>
      <c r="BI300" s="66">
        <f t="shared" si="437"/>
        <v>0</v>
      </c>
      <c r="BJ300" s="66">
        <f>+IF($W300="","",ROUND((BG300*Parámetros!$G$85),2))</f>
        <v>0</v>
      </c>
      <c r="BK300" s="66">
        <f>+IF($W300="","",ROUND((BG300*(Parámetros!$G$86)),2))</f>
        <v>0</v>
      </c>
      <c r="BL300" s="66">
        <f t="shared" si="438"/>
        <v>0</v>
      </c>
      <c r="BM300" t="str">
        <f t="shared" si="391"/>
        <v>00061</v>
      </c>
      <c r="BN300" t="str">
        <f t="shared" si="392"/>
        <v>Gastos de Entierro</v>
      </c>
      <c r="BO300" s="118">
        <f t="shared" si="393"/>
        <v>0</v>
      </c>
      <c r="BP300" s="118" t="str">
        <f t="shared" si="394"/>
        <v>A</v>
      </c>
      <c r="BQ300" s="119" t="str">
        <f>+IF(OR($W300="",BO300=0),"",ROUND((VLOOKUP(ROUNDDOWN($D300-1/frec,0),cob_adi,BB$40,FALSE)*(1+i/frec)^-0.5*(1+Parámetros!$D$103)*(1+rec_fracc)/frec),6))</f>
        <v/>
      </c>
      <c r="BR300" s="66">
        <f t="shared" si="439"/>
        <v>0</v>
      </c>
      <c r="BS300" s="119" t="str">
        <f t="shared" si="440"/>
        <v/>
      </c>
      <c r="BT300" s="66">
        <f>+IF($W300="","",ROUND(IF($B300&gt;Parámetros!$D$107,'Tablas Servicio'!BR300+('Tablas Servicio'!BT299-'Tablas Servicio'!BR299),BR300/(1-IF(B300&lt;=10,Parámetros!$D$100,0))),2))</f>
        <v>0</v>
      </c>
      <c r="BU300" s="66">
        <f t="shared" si="441"/>
        <v>0</v>
      </c>
      <c r="BV300" s="66">
        <f t="shared" si="441"/>
        <v>0</v>
      </c>
      <c r="BW300" s="66">
        <f>+IF($W300="","",ROUND((BT300*Parámetros!$G$85),2))</f>
        <v>0</v>
      </c>
      <c r="BX300" s="66">
        <f>+IF($W300="","",ROUND((BT300*(Parámetros!$G$86)),2))</f>
        <v>0</v>
      </c>
      <c r="BY300" s="66">
        <f t="shared" si="442"/>
        <v>0</v>
      </c>
      <c r="BZ300" t="str">
        <f t="shared" si="395"/>
        <v>00062</v>
      </c>
      <c r="CA300" t="str">
        <f t="shared" si="396"/>
        <v>Gastos médicos por accidente</v>
      </c>
      <c r="CB300" s="118">
        <f t="shared" si="397"/>
        <v>0</v>
      </c>
      <c r="CC300" s="118" t="str">
        <f t="shared" si="398"/>
        <v>A</v>
      </c>
      <c r="CD300" s="119" t="str">
        <f t="shared" si="443"/>
        <v/>
      </c>
      <c r="CE300" s="66">
        <f>+IF($W300="","",ROUND((VLOOKUP(ROUNDDOWN($D300-1/frec,0),cob_adi,BO$40,FALSE)*(1+i/frec)^-0.5*(1+Parámetros!$D$103)*(1+rec_fracc)/frec*'TABLAS ADI'!$BC$17),2))</f>
        <v>0</v>
      </c>
      <c r="CF300" s="119" t="str">
        <f t="shared" si="444"/>
        <v/>
      </c>
      <c r="CG300" s="66">
        <f>+IF($W300="","",ROUND(IF($B300&gt;Parámetros!$D$107,'Tablas Servicio'!CE300+('Tablas Servicio'!CG299-'Tablas Servicio'!CE299),CE300/(1-IF(B300&lt;=10,Parámetros!$D$100,0))),2))</f>
        <v>0</v>
      </c>
      <c r="CH300" s="66">
        <f t="shared" si="445"/>
        <v>0</v>
      </c>
      <c r="CI300" s="66">
        <f t="shared" si="445"/>
        <v>0</v>
      </c>
      <c r="CJ300" s="66">
        <f>+IF($W300="","",ROUND((CG300*Parámetros!$G$85),2))</f>
        <v>0</v>
      </c>
      <c r="CK300" s="66">
        <f>+IF($W300="","",ROUND((CG300*(Parámetros!$G$86)),2))</f>
        <v>0</v>
      </c>
      <c r="CL300" s="66">
        <f t="shared" si="446"/>
        <v>0</v>
      </c>
      <c r="CM300" t="str">
        <f t="shared" si="399"/>
        <v>00063</v>
      </c>
      <c r="CN300" s="118" t="str">
        <f t="shared" si="400"/>
        <v>Renta Diaria por Hospitalización</v>
      </c>
      <c r="CO300" s="118">
        <f t="shared" si="401"/>
        <v>0</v>
      </c>
      <c r="CP300" s="118" t="str">
        <f t="shared" si="402"/>
        <v>A</v>
      </c>
      <c r="CQ300" s="119" t="str">
        <f t="shared" si="447"/>
        <v/>
      </c>
      <c r="CR300" s="66">
        <f>+IF($W300="","",ROUND((VLOOKUP(Parámetros!$F$51,'COBERTURAS ADICIONALES'!$S$4:$T$32,2,FALSE)*(1+i/frec)^-0.5*(1+Parámetros!$D$103)*(1+rec_fracc)/frec*$CO$42),2))</f>
        <v>0</v>
      </c>
      <c r="CS300" s="119" t="str">
        <f t="shared" si="448"/>
        <v/>
      </c>
      <c r="CT300" s="66">
        <f>+IF($W300="","",ROUND(IF($B300&gt;Parámetros!$D$107,'Tablas Servicio'!CR300+('Tablas Servicio'!CT299-'Tablas Servicio'!CR299),CR300/(1-IF(B300&lt;=10,Parámetros!$D$100,0))),2))</f>
        <v>0</v>
      </c>
      <c r="CU300" s="66">
        <f t="shared" si="449"/>
        <v>0</v>
      </c>
      <c r="CV300" s="66">
        <f t="shared" si="449"/>
        <v>0</v>
      </c>
      <c r="CW300" s="66">
        <f>+IF($W300="","",ROUND((CT300*Parámetros!$G$85),2))</f>
        <v>0</v>
      </c>
      <c r="CX300" s="66">
        <f>+IF($W300="","",ROUND((CT300*(Parámetros!$G$86)),2))</f>
        <v>0</v>
      </c>
      <c r="CY300" s="66">
        <f t="shared" si="450"/>
        <v>0</v>
      </c>
      <c r="CZ300" t="str">
        <f t="shared" si="403"/>
        <v>00064</v>
      </c>
      <c r="DA300" s="118" t="str">
        <f t="shared" si="404"/>
        <v>Enfermedades Graves</v>
      </c>
      <c r="DB300" s="118">
        <f t="shared" si="405"/>
        <v>0</v>
      </c>
      <c r="DC300" s="118" t="str">
        <f t="shared" si="406"/>
        <v>A</v>
      </c>
      <c r="DD300" s="121" t="str">
        <f>+IF(OR($W300="",DB300=0),"",ROUND((VLOOKUP(ROUNDDOWN($D300-1/frec,0),cob_adi,CO$40,FALSE)*(1+i/frec)^-0.5*(1+Parámetros!$D$103)*(1+rec_fracc)/frec),6))</f>
        <v/>
      </c>
      <c r="DE300" s="66">
        <f t="shared" si="451"/>
        <v>0</v>
      </c>
      <c r="DF300" s="119" t="str">
        <f t="shared" si="452"/>
        <v/>
      </c>
      <c r="DG300" s="66">
        <f>+IF($W300="","",ROUND(IF($B300&gt;Parámetros!$D$107,'Tablas Servicio'!DE300+('Tablas Servicio'!DG299-'Tablas Servicio'!DE299),DE300/(1-IF(B300&lt;=10,Parámetros!$D$100,0))),2))</f>
        <v>0</v>
      </c>
      <c r="DH300" s="66">
        <f t="shared" si="453"/>
        <v>0</v>
      </c>
      <c r="DI300" s="66">
        <f t="shared" si="453"/>
        <v>0</v>
      </c>
      <c r="DJ300" s="66">
        <f>+IF($W300="","",ROUND((DG300*Parámetros!$G$85),2))</f>
        <v>0</v>
      </c>
      <c r="DK300" s="66">
        <f>+IF($W300="","",ROUND((DG300*(Parámetros!$G$86)),2))</f>
        <v>0</v>
      </c>
      <c r="DL300" s="66">
        <f t="shared" si="454"/>
        <v>0</v>
      </c>
      <c r="DM300" t="str">
        <f t="shared" si="407"/>
        <v>00065</v>
      </c>
      <c r="DN300" s="118" t="str">
        <f t="shared" si="408"/>
        <v>Exención pago de primas</v>
      </c>
      <c r="DO300" s="118">
        <f t="shared" si="409"/>
        <v>0</v>
      </c>
      <c r="DP300" s="118" t="str">
        <f t="shared" si="410"/>
        <v>A</v>
      </c>
      <c r="DQ300" s="122" t="str">
        <f>+IF(OR($W300="",DO300=0),"",ROUND((VLOOKUP(ROUNDDOWN($D300-1/frec,0),cob_adi,DB$40,FALSE)*(1+i/frec)^-0.5*(1+Parámetros!$D$103)*(1+rec_fracc)/frec),6))</f>
        <v/>
      </c>
      <c r="DR300" s="66">
        <f t="shared" si="455"/>
        <v>0</v>
      </c>
      <c r="DS300" s="68" t="str">
        <f t="shared" si="456"/>
        <v/>
      </c>
      <c r="DT300" s="66">
        <f>+IF($W300="","",ROUND(IF($B300&gt;Parámetros!$D$107,'Tablas Servicio'!DR300+('Tablas Servicio'!DT299-'Tablas Servicio'!DR299),DR300/(1-IF(B300&lt;=10,Parámetros!$D$100,0))),2))</f>
        <v>0</v>
      </c>
      <c r="DU300" s="66">
        <f t="shared" si="457"/>
        <v>0</v>
      </c>
      <c r="DV300" s="66">
        <f t="shared" si="457"/>
        <v>0</v>
      </c>
      <c r="DW300" s="66">
        <f>+IF($W300="","",ROUND((DT300*Parámetros!$G$85),2))</f>
        <v>0</v>
      </c>
      <c r="DX300" s="66">
        <f>+IF($W300="","",ROUND((DT300*(Parámetros!$G$86)),2))</f>
        <v>0</v>
      </c>
      <c r="DY300" s="66">
        <f t="shared" si="458"/>
        <v>0</v>
      </c>
      <c r="DZ300" t="str">
        <f t="shared" si="459"/>
        <v>00066</v>
      </c>
      <c r="EA300" s="118" t="str">
        <f t="shared" si="459"/>
        <v>Enfermedad terminal</v>
      </c>
      <c r="EB300" s="118">
        <f>+IF($W300="","",ROUND(IF(Parámetros!$D$25='TABLAS MORT'!$V$33,EB299,Z300/2),0))</f>
        <v>50000</v>
      </c>
      <c r="EC300" s="118" t="str">
        <f t="shared" si="459"/>
        <v>A</v>
      </c>
      <c r="ED300" s="122">
        <f>+IF(OR($W300="",EB300=0),"",ROUND((VLOOKUP(ROUNDDOWN($D300-1/frec,0),cob_adi,DO$40,FALSE)*(1+i/frec)^-0.5*(1+Parámetros!$D$103)*(1+rec_fracc)/frec),6))</f>
        <v>3.8999999999999999E-5</v>
      </c>
      <c r="EE300" s="66">
        <f t="shared" si="460"/>
        <v>1.95</v>
      </c>
      <c r="EF300" s="68">
        <f t="shared" si="461"/>
        <v>3.8999999999999999E-5</v>
      </c>
      <c r="EG300" s="66">
        <f>+IF($W300="","",ROUND(IF($B300&gt;Parámetros!$D$107,'Tablas Servicio'!EE300+('Tablas Servicio'!EG299-'Tablas Servicio'!EE299),EE300/(1-IF(B300&lt;=10,Parámetros!$D$100,0))),2))</f>
        <v>1.95</v>
      </c>
      <c r="EH300" s="66">
        <f t="shared" si="462"/>
        <v>0</v>
      </c>
      <c r="EI300" s="66">
        <f t="shared" si="462"/>
        <v>0</v>
      </c>
      <c r="EJ300" s="66">
        <f>+IF($W300="","",ROUND((EG300*Parámetros!$G$85),2))</f>
        <v>7.0000000000000007E-2</v>
      </c>
      <c r="EK300" s="66">
        <f>+IF($W300="","",ROUND((EG300*(Parámetros!$G$86)),2))</f>
        <v>0.01</v>
      </c>
      <c r="EL300" s="66">
        <f t="shared" si="463"/>
        <v>2.0299999999999998</v>
      </c>
    </row>
    <row r="301" spans="1:142" x14ac:dyDescent="0.25">
      <c r="A301">
        <f>+IF($C301="","",ROUND(VLOOKUP('Tablas Servicio'!B301,Parámetros!$H$100:$J$159,IF(Parámetros!$E$16="F",2,3),FALSE),2))</f>
        <v>150</v>
      </c>
      <c r="B301">
        <f t="shared" si="414"/>
        <v>22</v>
      </c>
      <c r="C301" s="57">
        <f>+IF(D301="","",'Tablas Servicio'!C300+1)</f>
        <v>260</v>
      </c>
      <c r="D301" s="56">
        <f>+IF(D300&lt;edadmaxtabla,D300+1/Parámetros!$E$25,"")</f>
        <v>61.686666666667286</v>
      </c>
      <c r="E301" s="57">
        <f t="shared" si="424"/>
        <v>61</v>
      </c>
      <c r="F301" s="59">
        <f t="shared" si="425"/>
        <v>100000</v>
      </c>
      <c r="G301" s="66">
        <f t="shared" si="415"/>
        <v>62.95</v>
      </c>
      <c r="H301" s="66">
        <f t="shared" si="416"/>
        <v>65.48</v>
      </c>
      <c r="I301" s="66">
        <f t="shared" si="376"/>
        <v>28.519999999999996</v>
      </c>
      <c r="J301" s="66">
        <f t="shared" si="417"/>
        <v>2.21</v>
      </c>
      <c r="K301" s="66">
        <f t="shared" si="418"/>
        <v>0.32</v>
      </c>
      <c r="L301" s="66">
        <f t="shared" si="419"/>
        <v>0</v>
      </c>
      <c r="M301" s="66">
        <f t="shared" si="420"/>
        <v>0</v>
      </c>
      <c r="N301" s="66">
        <f>+IF(C301="","",ROUND(Parámetros!$D$23,2))</f>
        <v>94</v>
      </c>
      <c r="O301" s="66">
        <f t="shared" si="421"/>
        <v>50.45</v>
      </c>
      <c r="P301" s="66">
        <f>+IF($C301="","",ROUND(IF(B301&gt;Parámetros!$D$117,0,N301*Parámetros!$D$116-G301*Parámetros!$D$100),2))</f>
        <v>0</v>
      </c>
      <c r="Q301" s="75">
        <f t="shared" si="377"/>
        <v>3.5107227958697376E-2</v>
      </c>
      <c r="R301" s="75">
        <f t="shared" si="378"/>
        <v>5.0833995234312946E-3</v>
      </c>
      <c r="S301" s="117">
        <f>+IF($C301="","",ROUND((S300+I301)*(1+Parámetros!$D$91),2))</f>
        <v>19469.79</v>
      </c>
      <c r="T301" s="117">
        <f>+IF($C301="","",ROUND(S301*VLOOKUP(B301,Parámetros!$C$30:$D$39,2,TRUE),2))</f>
        <v>19469.79</v>
      </c>
      <c r="U301" s="117">
        <f>+IF($C301="","",ROUND((U300+I301)*(1+Parámetros!$D$92),2))</f>
        <v>20750.11</v>
      </c>
      <c r="V301" s="117">
        <f>+IF($C301="","",ROUND(U301*VLOOKUP(B301,Parámetros!$C$30:$D$39,2,TRUE),2))</f>
        <v>20750.11</v>
      </c>
      <c r="W301" s="57">
        <f t="shared" si="379"/>
        <v>260</v>
      </c>
      <c r="X301" t="str">
        <f t="shared" si="380"/>
        <v>00058</v>
      </c>
      <c r="Y301" t="str">
        <f t="shared" si="381"/>
        <v>MUERTE POR CUALQUIER CAUSA</v>
      </c>
      <c r="Z301" s="118">
        <f>+IF($W301="","",ROUND(IF(Parámetros!$D$25='TABLAS MORT'!$V$33,Z300,Parámetros!$D$21-'Tablas Servicio'!T300),0))</f>
        <v>100000</v>
      </c>
      <c r="AA301" s="118" t="str">
        <f t="shared" si="382"/>
        <v>P</v>
      </c>
      <c r="AB301" s="119">
        <f>+IF(W301="","",ROUND((VLOOKUP(ROUNDDOWN($D301-1/frec,0),qx_tabla,2,FALSE)*(1+i/frec)^-0.5*(1+Parámetros!$D$103)*(1+rec_fracc)/frec),6))</f>
        <v>4.8500000000000003E-4</v>
      </c>
      <c r="AC301" s="66">
        <f t="shared" si="426"/>
        <v>48.5</v>
      </c>
      <c r="AD301" s="119">
        <f t="shared" si="422"/>
        <v>6.0999999999999997E-4</v>
      </c>
      <c r="AE301" s="66">
        <f>+IF($W301="","",ROUND(IF($B301&gt;Parámetros!$D$107,'Tablas Servicio'!AC301+('Tablas Servicio'!AG300-'Tablas Servicio'!AC300),AC301/(1-IF(B301&lt;=10,Parámetros!$D$104,Parámetros!$D$105))),2))</f>
        <v>80.83</v>
      </c>
      <c r="AF301" s="66">
        <f>+IF($W301="","",ROUND(IF($B301&gt;Parámetros!$D$107,'Tablas Servicio'!AC301+('Tablas Servicio'!AG300-'Tablas Servicio'!AC300),(AC301+$A300/frec)/(1-IF(B301&lt;=Parámetros!$D$117,Parámetros!$D$100,0))),2))</f>
        <v>61</v>
      </c>
      <c r="AG301" s="66">
        <f t="shared" si="427"/>
        <v>61</v>
      </c>
      <c r="AH301" s="66">
        <f t="shared" si="428"/>
        <v>0</v>
      </c>
      <c r="AI301" s="66">
        <f t="shared" si="429"/>
        <v>0</v>
      </c>
      <c r="AJ301" s="66">
        <f>+IF($W301="","",ROUND((AG301*Parámetros!$G$85),2))</f>
        <v>2.14</v>
      </c>
      <c r="AK301" s="66">
        <f>+IF($W301="","",ROUND((AG301*(Parámetros!$G$86)),2))</f>
        <v>0.31</v>
      </c>
      <c r="AL301" s="66">
        <f t="shared" si="423"/>
        <v>63.45</v>
      </c>
      <c r="AM301" t="str">
        <f t="shared" si="383"/>
        <v>00059</v>
      </c>
      <c r="AN301" t="str">
        <f t="shared" si="384"/>
        <v>Incapacidad Total y Permanente</v>
      </c>
      <c r="AO301" s="118">
        <f t="shared" si="385"/>
        <v>0</v>
      </c>
      <c r="AP301" s="118" t="str">
        <f t="shared" si="386"/>
        <v>A</v>
      </c>
      <c r="AQ301" s="119" t="str">
        <f>+IF(OR($W301="",AO301=0),"",ROUND((VLOOKUP(ROUNDDOWN($D301-1/frec,0),cob_adi,Z$40,FALSE)*(1+i/frec)^-0.5*(1+Parámetros!$D$103)*(1+rec_fracc)/frec),6))</f>
        <v/>
      </c>
      <c r="AR301" s="66">
        <f t="shared" si="430"/>
        <v>0</v>
      </c>
      <c r="AS301" s="119" t="str">
        <f t="shared" si="431"/>
        <v/>
      </c>
      <c r="AT301" s="66">
        <f>+IF($W301="","",ROUND(IF($B301&gt;Parámetros!$D$107,'Tablas Servicio'!AR301+('Tablas Servicio'!AT300-'Tablas Servicio'!AR300),AR301/(1-IF(B301&lt;=10,Parámetros!$D$100,0))),2))</f>
        <v>0</v>
      </c>
      <c r="AU301" s="66">
        <f t="shared" si="432"/>
        <v>0</v>
      </c>
      <c r="AV301" s="66">
        <f t="shared" si="432"/>
        <v>0</v>
      </c>
      <c r="AW301" s="66">
        <f>+IF($W301="","",ROUND((AT301*Parámetros!$G$85),2))</f>
        <v>0</v>
      </c>
      <c r="AX301" s="66">
        <f>+IF($W301="","",ROUND((AT301*(Parámetros!$G$86)),2))</f>
        <v>0</v>
      </c>
      <c r="AY301" s="66">
        <f t="shared" si="433"/>
        <v>0</v>
      </c>
      <c r="AZ301" t="str">
        <f t="shared" si="387"/>
        <v>00060</v>
      </c>
      <c r="BA301" t="str">
        <f t="shared" si="388"/>
        <v>Muerte Accidental</v>
      </c>
      <c r="BB301" s="118">
        <f t="shared" si="389"/>
        <v>0</v>
      </c>
      <c r="BC301" s="118" t="str">
        <f t="shared" si="390"/>
        <v>A</v>
      </c>
      <c r="BD301" s="119" t="str">
        <f>+IF(OR($W301="",BB301=0),"",ROUND((VLOOKUP(ROUNDDOWN($D301-1/frec,0),cob_adi,AO$40,FALSE)*(1+i/frec)^-0.5*(1+Parámetros!$D$103)*(1+rec_fracc)/frec),6))</f>
        <v/>
      </c>
      <c r="BE301" s="66">
        <f t="shared" si="434"/>
        <v>0</v>
      </c>
      <c r="BF301" s="119" t="str">
        <f t="shared" si="435"/>
        <v/>
      </c>
      <c r="BG301" s="66">
        <f>+IF($W301="","",ROUND(IF($B301&gt;Parámetros!$D$107,'Tablas Servicio'!BE301+('Tablas Servicio'!BG300-'Tablas Servicio'!BE300),BE301/(1-IF(B301&lt;=10,Parámetros!$D$100,0))),2))</f>
        <v>0</v>
      </c>
      <c r="BH301" s="66">
        <f t="shared" si="436"/>
        <v>0</v>
      </c>
      <c r="BI301" s="66">
        <f t="shared" si="437"/>
        <v>0</v>
      </c>
      <c r="BJ301" s="66">
        <f>+IF($W301="","",ROUND((BG301*Parámetros!$G$85),2))</f>
        <v>0</v>
      </c>
      <c r="BK301" s="66">
        <f>+IF($W301="","",ROUND((BG301*(Parámetros!$G$86)),2))</f>
        <v>0</v>
      </c>
      <c r="BL301" s="66">
        <f t="shared" si="438"/>
        <v>0</v>
      </c>
      <c r="BM301" t="str">
        <f t="shared" si="391"/>
        <v>00061</v>
      </c>
      <c r="BN301" t="str">
        <f t="shared" si="392"/>
        <v>Gastos de Entierro</v>
      </c>
      <c r="BO301" s="118">
        <f t="shared" si="393"/>
        <v>0</v>
      </c>
      <c r="BP301" s="118" t="str">
        <f t="shared" si="394"/>
        <v>A</v>
      </c>
      <c r="BQ301" s="119" t="str">
        <f>+IF(OR($W301="",BO301=0),"",ROUND((VLOOKUP(ROUNDDOWN($D301-1/frec,0),cob_adi,BB$40,FALSE)*(1+i/frec)^-0.5*(1+Parámetros!$D$103)*(1+rec_fracc)/frec),6))</f>
        <v/>
      </c>
      <c r="BR301" s="66">
        <f t="shared" si="439"/>
        <v>0</v>
      </c>
      <c r="BS301" s="119" t="str">
        <f t="shared" si="440"/>
        <v/>
      </c>
      <c r="BT301" s="66">
        <f>+IF($W301="","",ROUND(IF($B301&gt;Parámetros!$D$107,'Tablas Servicio'!BR301+('Tablas Servicio'!BT300-'Tablas Servicio'!BR300),BR301/(1-IF(B301&lt;=10,Parámetros!$D$100,0))),2))</f>
        <v>0</v>
      </c>
      <c r="BU301" s="66">
        <f t="shared" si="441"/>
        <v>0</v>
      </c>
      <c r="BV301" s="66">
        <f t="shared" si="441"/>
        <v>0</v>
      </c>
      <c r="BW301" s="66">
        <f>+IF($W301="","",ROUND((BT301*Parámetros!$G$85),2))</f>
        <v>0</v>
      </c>
      <c r="BX301" s="66">
        <f>+IF($W301="","",ROUND((BT301*(Parámetros!$G$86)),2))</f>
        <v>0</v>
      </c>
      <c r="BY301" s="66">
        <f t="shared" si="442"/>
        <v>0</v>
      </c>
      <c r="BZ301" t="str">
        <f t="shared" si="395"/>
        <v>00062</v>
      </c>
      <c r="CA301" t="str">
        <f t="shared" si="396"/>
        <v>Gastos médicos por accidente</v>
      </c>
      <c r="CB301" s="118">
        <f t="shared" si="397"/>
        <v>0</v>
      </c>
      <c r="CC301" s="118" t="str">
        <f t="shared" si="398"/>
        <v>A</v>
      </c>
      <c r="CD301" s="119" t="str">
        <f t="shared" si="443"/>
        <v/>
      </c>
      <c r="CE301" s="66">
        <f>+IF($W301="","",ROUND((VLOOKUP(ROUNDDOWN($D301-1/frec,0),cob_adi,BO$40,FALSE)*(1+i/frec)^-0.5*(1+Parámetros!$D$103)*(1+rec_fracc)/frec*'TABLAS ADI'!$BC$17),2))</f>
        <v>0</v>
      </c>
      <c r="CF301" s="119" t="str">
        <f t="shared" si="444"/>
        <v/>
      </c>
      <c r="CG301" s="66">
        <f>+IF($W301="","",ROUND(IF($B301&gt;Parámetros!$D$107,'Tablas Servicio'!CE301+('Tablas Servicio'!CG300-'Tablas Servicio'!CE300),CE301/(1-IF(B301&lt;=10,Parámetros!$D$100,0))),2))</f>
        <v>0</v>
      </c>
      <c r="CH301" s="66">
        <f t="shared" si="445"/>
        <v>0</v>
      </c>
      <c r="CI301" s="66">
        <f t="shared" si="445"/>
        <v>0</v>
      </c>
      <c r="CJ301" s="66">
        <f>+IF($W301="","",ROUND((CG301*Parámetros!$G$85),2))</f>
        <v>0</v>
      </c>
      <c r="CK301" s="66">
        <f>+IF($W301="","",ROUND((CG301*(Parámetros!$G$86)),2))</f>
        <v>0</v>
      </c>
      <c r="CL301" s="66">
        <f t="shared" si="446"/>
        <v>0</v>
      </c>
      <c r="CM301" t="str">
        <f t="shared" si="399"/>
        <v>00063</v>
      </c>
      <c r="CN301" s="118" t="str">
        <f t="shared" si="400"/>
        <v>Renta Diaria por Hospitalización</v>
      </c>
      <c r="CO301" s="118">
        <f t="shared" si="401"/>
        <v>0</v>
      </c>
      <c r="CP301" s="118" t="str">
        <f t="shared" si="402"/>
        <v>A</v>
      </c>
      <c r="CQ301" s="119" t="str">
        <f t="shared" si="447"/>
        <v/>
      </c>
      <c r="CR301" s="66">
        <f>+IF($W301="","",ROUND((VLOOKUP(Parámetros!$F$51,'COBERTURAS ADICIONALES'!$S$4:$T$32,2,FALSE)*(1+i/frec)^-0.5*(1+Parámetros!$D$103)*(1+rec_fracc)/frec*$CO$42),2))</f>
        <v>0</v>
      </c>
      <c r="CS301" s="119" t="str">
        <f t="shared" si="448"/>
        <v/>
      </c>
      <c r="CT301" s="66">
        <f>+IF($W301="","",ROUND(IF($B301&gt;Parámetros!$D$107,'Tablas Servicio'!CR301+('Tablas Servicio'!CT300-'Tablas Servicio'!CR300),CR301/(1-IF(B301&lt;=10,Parámetros!$D$100,0))),2))</f>
        <v>0</v>
      </c>
      <c r="CU301" s="66">
        <f t="shared" si="449"/>
        <v>0</v>
      </c>
      <c r="CV301" s="66">
        <f t="shared" si="449"/>
        <v>0</v>
      </c>
      <c r="CW301" s="66">
        <f>+IF($W301="","",ROUND((CT301*Parámetros!$G$85),2))</f>
        <v>0</v>
      </c>
      <c r="CX301" s="66">
        <f>+IF($W301="","",ROUND((CT301*(Parámetros!$G$86)),2))</f>
        <v>0</v>
      </c>
      <c r="CY301" s="66">
        <f t="shared" si="450"/>
        <v>0</v>
      </c>
      <c r="CZ301" t="str">
        <f t="shared" si="403"/>
        <v>00064</v>
      </c>
      <c r="DA301" s="118" t="str">
        <f t="shared" si="404"/>
        <v>Enfermedades Graves</v>
      </c>
      <c r="DB301" s="118">
        <f t="shared" si="405"/>
        <v>0</v>
      </c>
      <c r="DC301" s="118" t="str">
        <f t="shared" si="406"/>
        <v>A</v>
      </c>
      <c r="DD301" s="121" t="str">
        <f>+IF(OR($W301="",DB301=0),"",ROUND((VLOOKUP(ROUNDDOWN($D301-1/frec,0),cob_adi,CO$40,FALSE)*(1+i/frec)^-0.5*(1+Parámetros!$D$103)*(1+rec_fracc)/frec),6))</f>
        <v/>
      </c>
      <c r="DE301" s="66">
        <f t="shared" si="451"/>
        <v>0</v>
      </c>
      <c r="DF301" s="119" t="str">
        <f t="shared" si="452"/>
        <v/>
      </c>
      <c r="DG301" s="66">
        <f>+IF($W301="","",ROUND(IF($B301&gt;Parámetros!$D$107,'Tablas Servicio'!DE301+('Tablas Servicio'!DG300-'Tablas Servicio'!DE300),DE301/(1-IF(B301&lt;=10,Parámetros!$D$100,0))),2))</f>
        <v>0</v>
      </c>
      <c r="DH301" s="66">
        <f t="shared" si="453"/>
        <v>0</v>
      </c>
      <c r="DI301" s="66">
        <f t="shared" si="453"/>
        <v>0</v>
      </c>
      <c r="DJ301" s="66">
        <f>+IF($W301="","",ROUND((DG301*Parámetros!$G$85),2))</f>
        <v>0</v>
      </c>
      <c r="DK301" s="66">
        <f>+IF($W301="","",ROUND((DG301*(Parámetros!$G$86)),2))</f>
        <v>0</v>
      </c>
      <c r="DL301" s="66">
        <f t="shared" si="454"/>
        <v>0</v>
      </c>
      <c r="DM301" t="str">
        <f t="shared" si="407"/>
        <v>00065</v>
      </c>
      <c r="DN301" s="118" t="str">
        <f t="shared" si="408"/>
        <v>Exención pago de primas</v>
      </c>
      <c r="DO301" s="118">
        <f t="shared" si="409"/>
        <v>0</v>
      </c>
      <c r="DP301" s="118" t="str">
        <f t="shared" si="410"/>
        <v>A</v>
      </c>
      <c r="DQ301" s="122" t="str">
        <f>+IF(OR($W301="",DO301=0),"",ROUND((VLOOKUP(ROUNDDOWN($D301-1/frec,0),cob_adi,DB$40,FALSE)*(1+i/frec)^-0.5*(1+Parámetros!$D$103)*(1+rec_fracc)/frec),6))</f>
        <v/>
      </c>
      <c r="DR301" s="66">
        <f t="shared" si="455"/>
        <v>0</v>
      </c>
      <c r="DS301" s="68" t="str">
        <f t="shared" si="456"/>
        <v/>
      </c>
      <c r="DT301" s="66">
        <f>+IF($W301="","",ROUND(IF($B301&gt;Parámetros!$D$107,'Tablas Servicio'!DR301+('Tablas Servicio'!DT300-'Tablas Servicio'!DR300),DR301/(1-IF(B301&lt;=10,Parámetros!$D$100,0))),2))</f>
        <v>0</v>
      </c>
      <c r="DU301" s="66">
        <f t="shared" si="457"/>
        <v>0</v>
      </c>
      <c r="DV301" s="66">
        <f t="shared" si="457"/>
        <v>0</v>
      </c>
      <c r="DW301" s="66">
        <f>+IF($W301="","",ROUND((DT301*Parámetros!$G$85),2))</f>
        <v>0</v>
      </c>
      <c r="DX301" s="66">
        <f>+IF($W301="","",ROUND((DT301*(Parámetros!$G$86)),2))</f>
        <v>0</v>
      </c>
      <c r="DY301" s="66">
        <f t="shared" si="458"/>
        <v>0</v>
      </c>
      <c r="DZ301" t="str">
        <f t="shared" si="459"/>
        <v>00066</v>
      </c>
      <c r="EA301" s="118" t="str">
        <f t="shared" si="459"/>
        <v>Enfermedad terminal</v>
      </c>
      <c r="EB301" s="118">
        <f>+IF($W301="","",ROUND(IF(Parámetros!$D$25='TABLAS MORT'!$V$33,EB300,Z301/2),0))</f>
        <v>50000</v>
      </c>
      <c r="EC301" s="118" t="str">
        <f t="shared" si="459"/>
        <v>A</v>
      </c>
      <c r="ED301" s="122">
        <f>+IF(OR($W301="",EB301=0),"",ROUND((VLOOKUP(ROUNDDOWN($D301-1/frec,0),cob_adi,DO$40,FALSE)*(1+i/frec)^-0.5*(1+Parámetros!$D$103)*(1+rec_fracc)/frec),6))</f>
        <v>3.8999999999999999E-5</v>
      </c>
      <c r="EE301" s="66">
        <f t="shared" si="460"/>
        <v>1.95</v>
      </c>
      <c r="EF301" s="68">
        <f t="shared" si="461"/>
        <v>3.8999999999999999E-5</v>
      </c>
      <c r="EG301" s="66">
        <f>+IF($W301="","",ROUND(IF($B301&gt;Parámetros!$D$107,'Tablas Servicio'!EE301+('Tablas Servicio'!EG300-'Tablas Servicio'!EE300),EE301/(1-IF(B301&lt;=10,Parámetros!$D$100,0))),2))</f>
        <v>1.95</v>
      </c>
      <c r="EH301" s="66">
        <f t="shared" si="462"/>
        <v>0</v>
      </c>
      <c r="EI301" s="66">
        <f t="shared" si="462"/>
        <v>0</v>
      </c>
      <c r="EJ301" s="66">
        <f>+IF($W301="","",ROUND((EG301*Parámetros!$G$85),2))</f>
        <v>7.0000000000000007E-2</v>
      </c>
      <c r="EK301" s="66">
        <f>+IF($W301="","",ROUND((EG301*(Parámetros!$G$86)),2))</f>
        <v>0.01</v>
      </c>
      <c r="EL301" s="66">
        <f t="shared" si="463"/>
        <v>2.0299999999999998</v>
      </c>
    </row>
    <row r="302" spans="1:142" x14ac:dyDescent="0.25">
      <c r="A302">
        <f>+IF($C302="","",ROUND(VLOOKUP('Tablas Servicio'!B302,Parámetros!$H$100:$J$159,IF(Parámetros!$E$16="F",2,3),FALSE),2))</f>
        <v>150</v>
      </c>
      <c r="B302">
        <f t="shared" si="414"/>
        <v>22</v>
      </c>
      <c r="C302" s="57">
        <f>+IF(D302="","",'Tablas Servicio'!C301+1)</f>
        <v>261</v>
      </c>
      <c r="D302" s="56">
        <f>+IF(D301&lt;edadmaxtabla,D301+1/Parámetros!$E$25,"")</f>
        <v>61.770000000000621</v>
      </c>
      <c r="E302" s="57">
        <f t="shared" si="424"/>
        <v>61</v>
      </c>
      <c r="F302" s="59">
        <f t="shared" si="425"/>
        <v>100000</v>
      </c>
      <c r="G302" s="66">
        <f t="shared" si="415"/>
        <v>62.95</v>
      </c>
      <c r="H302" s="66">
        <f t="shared" si="416"/>
        <v>65.48</v>
      </c>
      <c r="I302" s="66">
        <f t="shared" si="376"/>
        <v>28.519999999999996</v>
      </c>
      <c r="J302" s="66">
        <f t="shared" si="417"/>
        <v>2.21</v>
      </c>
      <c r="K302" s="66">
        <f t="shared" si="418"/>
        <v>0.32</v>
      </c>
      <c r="L302" s="66">
        <f t="shared" si="419"/>
        <v>0</v>
      </c>
      <c r="M302" s="66">
        <f t="shared" si="420"/>
        <v>0</v>
      </c>
      <c r="N302" s="66">
        <f>+IF(C302="","",ROUND(Parámetros!$D$23,2))</f>
        <v>94</v>
      </c>
      <c r="O302" s="66">
        <f t="shared" si="421"/>
        <v>50.45</v>
      </c>
      <c r="P302" s="66">
        <f>+IF($C302="","",ROUND(IF(B302&gt;Parámetros!$D$117,0,N302*Parámetros!$D$116-G302*Parámetros!$D$100),2))</f>
        <v>0</v>
      </c>
      <c r="Q302" s="75">
        <f t="shared" si="377"/>
        <v>3.5107227958697376E-2</v>
      </c>
      <c r="R302" s="75">
        <f t="shared" si="378"/>
        <v>5.0833995234312946E-3</v>
      </c>
      <c r="S302" s="117">
        <f>+IF($C302="","",ROUND((S301+I302)*(1+Parámetros!$D$91),2))</f>
        <v>19553.62</v>
      </c>
      <c r="T302" s="117">
        <f>+IF($C302="","",ROUND(S302*VLOOKUP(B302,Parámetros!$C$30:$D$39,2,TRUE),2))</f>
        <v>19553.62</v>
      </c>
      <c r="U302" s="117">
        <f>+IF($C302="","",ROUND((U301+I302)*(1+Parámetros!$D$92),2))</f>
        <v>20845.990000000002</v>
      </c>
      <c r="V302" s="117">
        <f>+IF($C302="","",ROUND(U302*VLOOKUP(B302,Parámetros!$C$30:$D$39,2,TRUE),2))</f>
        <v>20845.990000000002</v>
      </c>
      <c r="W302" s="57">
        <f t="shared" si="379"/>
        <v>261</v>
      </c>
      <c r="X302" t="str">
        <f t="shared" si="380"/>
        <v>00058</v>
      </c>
      <c r="Y302" t="str">
        <f t="shared" si="381"/>
        <v>MUERTE POR CUALQUIER CAUSA</v>
      </c>
      <c r="Z302" s="118">
        <f>+IF($W302="","",ROUND(IF(Parámetros!$D$25='TABLAS MORT'!$V$33,Z301,Parámetros!$D$21-'Tablas Servicio'!T301),0))</f>
        <v>100000</v>
      </c>
      <c r="AA302" s="118" t="str">
        <f t="shared" si="382"/>
        <v>P</v>
      </c>
      <c r="AB302" s="119">
        <f>+IF(W302="","",ROUND((VLOOKUP(ROUNDDOWN($D302-1/frec,0),qx_tabla,2,FALSE)*(1+i/frec)^-0.5*(1+Parámetros!$D$103)*(1+rec_fracc)/frec),6))</f>
        <v>4.8500000000000003E-4</v>
      </c>
      <c r="AC302" s="66">
        <f t="shared" si="426"/>
        <v>48.5</v>
      </c>
      <c r="AD302" s="119">
        <f t="shared" si="422"/>
        <v>6.0999999999999997E-4</v>
      </c>
      <c r="AE302" s="66">
        <f>+IF($W302="","",ROUND(IF($B302&gt;Parámetros!$D$107,'Tablas Servicio'!AC302+('Tablas Servicio'!AG301-'Tablas Servicio'!AC301),AC302/(1-IF(B302&lt;=10,Parámetros!$D$104,Parámetros!$D$105))),2))</f>
        <v>80.83</v>
      </c>
      <c r="AF302" s="66">
        <f>+IF($W302="","",ROUND(IF($B302&gt;Parámetros!$D$107,'Tablas Servicio'!AC302+('Tablas Servicio'!AG301-'Tablas Servicio'!AC301),(AC302+$A301/frec)/(1-IF(B302&lt;=Parámetros!$D$117,Parámetros!$D$100,0))),2))</f>
        <v>61</v>
      </c>
      <c r="AG302" s="66">
        <f t="shared" si="427"/>
        <v>61</v>
      </c>
      <c r="AH302" s="66">
        <f t="shared" si="428"/>
        <v>0</v>
      </c>
      <c r="AI302" s="66">
        <f t="shared" si="429"/>
        <v>0</v>
      </c>
      <c r="AJ302" s="66">
        <f>+IF($W302="","",ROUND((AG302*Parámetros!$G$85),2))</f>
        <v>2.14</v>
      </c>
      <c r="AK302" s="66">
        <f>+IF($W302="","",ROUND((AG302*(Parámetros!$G$86)),2))</f>
        <v>0.31</v>
      </c>
      <c r="AL302" s="66">
        <f t="shared" si="423"/>
        <v>63.45</v>
      </c>
      <c r="AM302" t="str">
        <f t="shared" si="383"/>
        <v>00059</v>
      </c>
      <c r="AN302" t="str">
        <f t="shared" si="384"/>
        <v>Incapacidad Total y Permanente</v>
      </c>
      <c r="AO302" s="118">
        <f t="shared" si="385"/>
        <v>0</v>
      </c>
      <c r="AP302" s="118" t="str">
        <f t="shared" si="386"/>
        <v>A</v>
      </c>
      <c r="AQ302" s="119" t="str">
        <f>+IF(OR($W302="",AO302=0),"",ROUND((VLOOKUP(ROUNDDOWN($D302-1/frec,0),cob_adi,Z$40,FALSE)*(1+i/frec)^-0.5*(1+Parámetros!$D$103)*(1+rec_fracc)/frec),6))</f>
        <v/>
      </c>
      <c r="AR302" s="66">
        <f t="shared" si="430"/>
        <v>0</v>
      </c>
      <c r="AS302" s="119" t="str">
        <f t="shared" si="431"/>
        <v/>
      </c>
      <c r="AT302" s="66">
        <f>+IF($W302="","",ROUND(IF($B302&gt;Parámetros!$D$107,'Tablas Servicio'!AR302+('Tablas Servicio'!AT301-'Tablas Servicio'!AR301),AR302/(1-IF(B302&lt;=10,Parámetros!$D$100,0))),2))</f>
        <v>0</v>
      </c>
      <c r="AU302" s="66">
        <f t="shared" si="432"/>
        <v>0</v>
      </c>
      <c r="AV302" s="66">
        <f t="shared" si="432"/>
        <v>0</v>
      </c>
      <c r="AW302" s="66">
        <f>+IF($W302="","",ROUND((AT302*Parámetros!$G$85),2))</f>
        <v>0</v>
      </c>
      <c r="AX302" s="66">
        <f>+IF($W302="","",ROUND((AT302*(Parámetros!$G$86)),2))</f>
        <v>0</v>
      </c>
      <c r="AY302" s="66">
        <f t="shared" si="433"/>
        <v>0</v>
      </c>
      <c r="AZ302" t="str">
        <f t="shared" si="387"/>
        <v>00060</v>
      </c>
      <c r="BA302" t="str">
        <f t="shared" si="388"/>
        <v>Muerte Accidental</v>
      </c>
      <c r="BB302" s="118">
        <f t="shared" si="389"/>
        <v>0</v>
      </c>
      <c r="BC302" s="118" t="str">
        <f t="shared" si="390"/>
        <v>A</v>
      </c>
      <c r="BD302" s="119" t="str">
        <f>+IF(OR($W302="",BB302=0),"",ROUND((VLOOKUP(ROUNDDOWN($D302-1/frec,0),cob_adi,AO$40,FALSE)*(1+i/frec)^-0.5*(1+Parámetros!$D$103)*(1+rec_fracc)/frec),6))</f>
        <v/>
      </c>
      <c r="BE302" s="66">
        <f t="shared" si="434"/>
        <v>0</v>
      </c>
      <c r="BF302" s="119" t="str">
        <f t="shared" si="435"/>
        <v/>
      </c>
      <c r="BG302" s="66">
        <f>+IF($W302="","",ROUND(IF($B302&gt;Parámetros!$D$107,'Tablas Servicio'!BE302+('Tablas Servicio'!BG301-'Tablas Servicio'!BE301),BE302/(1-IF(B302&lt;=10,Parámetros!$D$100,0))),2))</f>
        <v>0</v>
      </c>
      <c r="BH302" s="66">
        <f t="shared" si="436"/>
        <v>0</v>
      </c>
      <c r="BI302" s="66">
        <f t="shared" si="437"/>
        <v>0</v>
      </c>
      <c r="BJ302" s="66">
        <f>+IF($W302="","",ROUND((BG302*Parámetros!$G$85),2))</f>
        <v>0</v>
      </c>
      <c r="BK302" s="66">
        <f>+IF($W302="","",ROUND((BG302*(Parámetros!$G$86)),2))</f>
        <v>0</v>
      </c>
      <c r="BL302" s="66">
        <f t="shared" si="438"/>
        <v>0</v>
      </c>
      <c r="BM302" t="str">
        <f t="shared" si="391"/>
        <v>00061</v>
      </c>
      <c r="BN302" t="str">
        <f t="shared" si="392"/>
        <v>Gastos de Entierro</v>
      </c>
      <c r="BO302" s="118">
        <f t="shared" si="393"/>
        <v>0</v>
      </c>
      <c r="BP302" s="118" t="str">
        <f t="shared" si="394"/>
        <v>A</v>
      </c>
      <c r="BQ302" s="119" t="str">
        <f>+IF(OR($W302="",BO302=0),"",ROUND((VLOOKUP(ROUNDDOWN($D302-1/frec,0),cob_adi,BB$40,FALSE)*(1+i/frec)^-0.5*(1+Parámetros!$D$103)*(1+rec_fracc)/frec),6))</f>
        <v/>
      </c>
      <c r="BR302" s="66">
        <f t="shared" si="439"/>
        <v>0</v>
      </c>
      <c r="BS302" s="119" t="str">
        <f t="shared" si="440"/>
        <v/>
      </c>
      <c r="BT302" s="66">
        <f>+IF($W302="","",ROUND(IF($B302&gt;Parámetros!$D$107,'Tablas Servicio'!BR302+('Tablas Servicio'!BT301-'Tablas Servicio'!BR301),BR302/(1-IF(B302&lt;=10,Parámetros!$D$100,0))),2))</f>
        <v>0</v>
      </c>
      <c r="BU302" s="66">
        <f t="shared" si="441"/>
        <v>0</v>
      </c>
      <c r="BV302" s="66">
        <f t="shared" si="441"/>
        <v>0</v>
      </c>
      <c r="BW302" s="66">
        <f>+IF($W302="","",ROUND((BT302*Parámetros!$G$85),2))</f>
        <v>0</v>
      </c>
      <c r="BX302" s="66">
        <f>+IF($W302="","",ROUND((BT302*(Parámetros!$G$86)),2))</f>
        <v>0</v>
      </c>
      <c r="BY302" s="66">
        <f t="shared" si="442"/>
        <v>0</v>
      </c>
      <c r="BZ302" t="str">
        <f t="shared" si="395"/>
        <v>00062</v>
      </c>
      <c r="CA302" t="str">
        <f t="shared" si="396"/>
        <v>Gastos médicos por accidente</v>
      </c>
      <c r="CB302" s="118">
        <f t="shared" si="397"/>
        <v>0</v>
      </c>
      <c r="CC302" s="118" t="str">
        <f t="shared" si="398"/>
        <v>A</v>
      </c>
      <c r="CD302" s="119" t="str">
        <f t="shared" si="443"/>
        <v/>
      </c>
      <c r="CE302" s="66">
        <f>+IF($W302="","",ROUND((VLOOKUP(ROUNDDOWN($D302-1/frec,0),cob_adi,BO$40,FALSE)*(1+i/frec)^-0.5*(1+Parámetros!$D$103)*(1+rec_fracc)/frec*'TABLAS ADI'!$BC$17),2))</f>
        <v>0</v>
      </c>
      <c r="CF302" s="119" t="str">
        <f t="shared" si="444"/>
        <v/>
      </c>
      <c r="CG302" s="66">
        <f>+IF($W302="","",ROUND(IF($B302&gt;Parámetros!$D$107,'Tablas Servicio'!CE302+('Tablas Servicio'!CG301-'Tablas Servicio'!CE301),CE302/(1-IF(B302&lt;=10,Parámetros!$D$100,0))),2))</f>
        <v>0</v>
      </c>
      <c r="CH302" s="66">
        <f t="shared" si="445"/>
        <v>0</v>
      </c>
      <c r="CI302" s="66">
        <f t="shared" si="445"/>
        <v>0</v>
      </c>
      <c r="CJ302" s="66">
        <f>+IF($W302="","",ROUND((CG302*Parámetros!$G$85),2))</f>
        <v>0</v>
      </c>
      <c r="CK302" s="66">
        <f>+IF($W302="","",ROUND((CG302*(Parámetros!$G$86)),2))</f>
        <v>0</v>
      </c>
      <c r="CL302" s="66">
        <f t="shared" si="446"/>
        <v>0</v>
      </c>
      <c r="CM302" t="str">
        <f t="shared" si="399"/>
        <v>00063</v>
      </c>
      <c r="CN302" s="118" t="str">
        <f t="shared" si="400"/>
        <v>Renta Diaria por Hospitalización</v>
      </c>
      <c r="CO302" s="118">
        <f t="shared" si="401"/>
        <v>0</v>
      </c>
      <c r="CP302" s="118" t="str">
        <f t="shared" si="402"/>
        <v>A</v>
      </c>
      <c r="CQ302" s="119" t="str">
        <f t="shared" si="447"/>
        <v/>
      </c>
      <c r="CR302" s="66">
        <f>+IF($W302="","",ROUND((VLOOKUP(Parámetros!$F$51,'COBERTURAS ADICIONALES'!$S$4:$T$32,2,FALSE)*(1+i/frec)^-0.5*(1+Parámetros!$D$103)*(1+rec_fracc)/frec*$CO$42),2))</f>
        <v>0</v>
      </c>
      <c r="CS302" s="119" t="str">
        <f t="shared" si="448"/>
        <v/>
      </c>
      <c r="CT302" s="66">
        <f>+IF($W302="","",ROUND(IF($B302&gt;Parámetros!$D$107,'Tablas Servicio'!CR302+('Tablas Servicio'!CT301-'Tablas Servicio'!CR301),CR302/(1-IF(B302&lt;=10,Parámetros!$D$100,0))),2))</f>
        <v>0</v>
      </c>
      <c r="CU302" s="66">
        <f t="shared" si="449"/>
        <v>0</v>
      </c>
      <c r="CV302" s="66">
        <f t="shared" si="449"/>
        <v>0</v>
      </c>
      <c r="CW302" s="66">
        <f>+IF($W302="","",ROUND((CT302*Parámetros!$G$85),2))</f>
        <v>0</v>
      </c>
      <c r="CX302" s="66">
        <f>+IF($W302="","",ROUND((CT302*(Parámetros!$G$86)),2))</f>
        <v>0</v>
      </c>
      <c r="CY302" s="66">
        <f t="shared" si="450"/>
        <v>0</v>
      </c>
      <c r="CZ302" t="str">
        <f t="shared" si="403"/>
        <v>00064</v>
      </c>
      <c r="DA302" s="118" t="str">
        <f t="shared" si="404"/>
        <v>Enfermedades Graves</v>
      </c>
      <c r="DB302" s="118">
        <f t="shared" si="405"/>
        <v>0</v>
      </c>
      <c r="DC302" s="118" t="str">
        <f t="shared" si="406"/>
        <v>A</v>
      </c>
      <c r="DD302" s="121" t="str">
        <f>+IF(OR($W302="",DB302=0),"",ROUND((VLOOKUP(ROUNDDOWN($D302-1/frec,0),cob_adi,CO$40,FALSE)*(1+i/frec)^-0.5*(1+Parámetros!$D$103)*(1+rec_fracc)/frec),6))</f>
        <v/>
      </c>
      <c r="DE302" s="66">
        <f t="shared" si="451"/>
        <v>0</v>
      </c>
      <c r="DF302" s="119" t="str">
        <f t="shared" si="452"/>
        <v/>
      </c>
      <c r="DG302" s="66">
        <f>+IF($W302="","",ROUND(IF($B302&gt;Parámetros!$D$107,'Tablas Servicio'!DE302+('Tablas Servicio'!DG301-'Tablas Servicio'!DE301),DE302/(1-IF(B302&lt;=10,Parámetros!$D$100,0))),2))</f>
        <v>0</v>
      </c>
      <c r="DH302" s="66">
        <f t="shared" si="453"/>
        <v>0</v>
      </c>
      <c r="DI302" s="66">
        <f t="shared" si="453"/>
        <v>0</v>
      </c>
      <c r="DJ302" s="66">
        <f>+IF($W302="","",ROUND((DG302*Parámetros!$G$85),2))</f>
        <v>0</v>
      </c>
      <c r="DK302" s="66">
        <f>+IF($W302="","",ROUND((DG302*(Parámetros!$G$86)),2))</f>
        <v>0</v>
      </c>
      <c r="DL302" s="66">
        <f t="shared" si="454"/>
        <v>0</v>
      </c>
      <c r="DM302" t="str">
        <f t="shared" si="407"/>
        <v>00065</v>
      </c>
      <c r="DN302" s="118" t="str">
        <f t="shared" si="408"/>
        <v>Exención pago de primas</v>
      </c>
      <c r="DO302" s="118">
        <f t="shared" si="409"/>
        <v>0</v>
      </c>
      <c r="DP302" s="118" t="str">
        <f t="shared" si="410"/>
        <v>A</v>
      </c>
      <c r="DQ302" s="122" t="str">
        <f>+IF(OR($W302="",DO302=0),"",ROUND((VLOOKUP(ROUNDDOWN($D302-1/frec,0),cob_adi,DB$40,FALSE)*(1+i/frec)^-0.5*(1+Parámetros!$D$103)*(1+rec_fracc)/frec),6))</f>
        <v/>
      </c>
      <c r="DR302" s="66">
        <f t="shared" si="455"/>
        <v>0</v>
      </c>
      <c r="DS302" s="68" t="str">
        <f t="shared" si="456"/>
        <v/>
      </c>
      <c r="DT302" s="66">
        <f>+IF($W302="","",ROUND(IF($B302&gt;Parámetros!$D$107,'Tablas Servicio'!DR302+('Tablas Servicio'!DT301-'Tablas Servicio'!DR301),DR302/(1-IF(B302&lt;=10,Parámetros!$D$100,0))),2))</f>
        <v>0</v>
      </c>
      <c r="DU302" s="66">
        <f t="shared" si="457"/>
        <v>0</v>
      </c>
      <c r="DV302" s="66">
        <f t="shared" si="457"/>
        <v>0</v>
      </c>
      <c r="DW302" s="66">
        <f>+IF($W302="","",ROUND((DT302*Parámetros!$G$85),2))</f>
        <v>0</v>
      </c>
      <c r="DX302" s="66">
        <f>+IF($W302="","",ROUND((DT302*(Parámetros!$G$86)),2))</f>
        <v>0</v>
      </c>
      <c r="DY302" s="66">
        <f t="shared" si="458"/>
        <v>0</v>
      </c>
      <c r="DZ302" t="str">
        <f t="shared" si="459"/>
        <v>00066</v>
      </c>
      <c r="EA302" s="118" t="str">
        <f t="shared" si="459"/>
        <v>Enfermedad terminal</v>
      </c>
      <c r="EB302" s="118">
        <f>+IF($W302="","",ROUND(IF(Parámetros!$D$25='TABLAS MORT'!$V$33,EB301,Z302/2),0))</f>
        <v>50000</v>
      </c>
      <c r="EC302" s="118" t="str">
        <f t="shared" si="459"/>
        <v>A</v>
      </c>
      <c r="ED302" s="122">
        <f>+IF(OR($W302="",EB302=0),"",ROUND((VLOOKUP(ROUNDDOWN($D302-1/frec,0),cob_adi,DO$40,FALSE)*(1+i/frec)^-0.5*(1+Parámetros!$D$103)*(1+rec_fracc)/frec),6))</f>
        <v>3.8999999999999999E-5</v>
      </c>
      <c r="EE302" s="66">
        <f t="shared" si="460"/>
        <v>1.95</v>
      </c>
      <c r="EF302" s="68">
        <f t="shared" si="461"/>
        <v>3.8999999999999999E-5</v>
      </c>
      <c r="EG302" s="66">
        <f>+IF($W302="","",ROUND(IF($B302&gt;Parámetros!$D$107,'Tablas Servicio'!EE302+('Tablas Servicio'!EG301-'Tablas Servicio'!EE301),EE302/(1-IF(B302&lt;=10,Parámetros!$D$100,0))),2))</f>
        <v>1.95</v>
      </c>
      <c r="EH302" s="66">
        <f t="shared" si="462"/>
        <v>0</v>
      </c>
      <c r="EI302" s="66">
        <f t="shared" si="462"/>
        <v>0</v>
      </c>
      <c r="EJ302" s="66">
        <f>+IF($W302="","",ROUND((EG302*Parámetros!$G$85),2))</f>
        <v>7.0000000000000007E-2</v>
      </c>
      <c r="EK302" s="66">
        <f>+IF($W302="","",ROUND((EG302*(Parámetros!$G$86)),2))</f>
        <v>0.01</v>
      </c>
      <c r="EL302" s="66">
        <f t="shared" si="463"/>
        <v>2.0299999999999998</v>
      </c>
    </row>
    <row r="303" spans="1:142" x14ac:dyDescent="0.25">
      <c r="A303">
        <f>+IF($C303="","",ROUND(VLOOKUP('Tablas Servicio'!B303,Parámetros!$H$100:$J$159,IF(Parámetros!$E$16="F",2,3),FALSE),2))</f>
        <v>150</v>
      </c>
      <c r="B303">
        <f t="shared" si="414"/>
        <v>22</v>
      </c>
      <c r="C303" s="57">
        <f>+IF(D303="","",'Tablas Servicio'!C302+1)</f>
        <v>262</v>
      </c>
      <c r="D303" s="56">
        <f>+IF(D302&lt;edadmaxtabla,D302+1/Parámetros!$E$25,"")</f>
        <v>61.853333333333957</v>
      </c>
      <c r="E303" s="57">
        <f t="shared" si="424"/>
        <v>61</v>
      </c>
      <c r="F303" s="59">
        <f t="shared" si="425"/>
        <v>100000</v>
      </c>
      <c r="G303" s="66">
        <f t="shared" si="415"/>
        <v>62.95</v>
      </c>
      <c r="H303" s="66">
        <f t="shared" si="416"/>
        <v>65.48</v>
      </c>
      <c r="I303" s="66">
        <f t="shared" si="376"/>
        <v>28.519999999999996</v>
      </c>
      <c r="J303" s="66">
        <f t="shared" si="417"/>
        <v>2.21</v>
      </c>
      <c r="K303" s="66">
        <f t="shared" si="418"/>
        <v>0.32</v>
      </c>
      <c r="L303" s="66">
        <f t="shared" si="419"/>
        <v>0</v>
      </c>
      <c r="M303" s="66">
        <f t="shared" si="420"/>
        <v>0</v>
      </c>
      <c r="N303" s="66">
        <f>+IF(C303="","",ROUND(Parámetros!$D$23,2))</f>
        <v>94</v>
      </c>
      <c r="O303" s="66">
        <f t="shared" si="421"/>
        <v>50.45</v>
      </c>
      <c r="P303" s="66">
        <f>+IF($C303="","",ROUND(IF(B303&gt;Parámetros!$D$117,0,N303*Parámetros!$D$116-G303*Parámetros!$D$100),2))</f>
        <v>0</v>
      </c>
      <c r="Q303" s="75">
        <f t="shared" si="377"/>
        <v>3.5107227958697376E-2</v>
      </c>
      <c r="R303" s="75">
        <f t="shared" si="378"/>
        <v>5.0833995234312946E-3</v>
      </c>
      <c r="S303" s="117">
        <f>+IF($C303="","",ROUND((S302+I303)*(1+Parámetros!$D$91),2))</f>
        <v>19637.68</v>
      </c>
      <c r="T303" s="117">
        <f>+IF($C303="","",ROUND(S303*VLOOKUP(B303,Parámetros!$C$30:$D$39,2,TRUE),2))</f>
        <v>19637.68</v>
      </c>
      <c r="U303" s="117">
        <f>+IF($C303="","",ROUND((U302+I303)*(1+Parámetros!$D$92),2))</f>
        <v>20942.18</v>
      </c>
      <c r="V303" s="117">
        <f>+IF($C303="","",ROUND(U303*VLOOKUP(B303,Parámetros!$C$30:$D$39,2,TRUE),2))</f>
        <v>20942.18</v>
      </c>
      <c r="W303" s="57">
        <f t="shared" si="379"/>
        <v>262</v>
      </c>
      <c r="X303" t="str">
        <f t="shared" si="380"/>
        <v>00058</v>
      </c>
      <c r="Y303" t="str">
        <f t="shared" si="381"/>
        <v>MUERTE POR CUALQUIER CAUSA</v>
      </c>
      <c r="Z303" s="118">
        <f>+IF($W303="","",ROUND(IF(Parámetros!$D$25='TABLAS MORT'!$V$33,Z302,Parámetros!$D$21-'Tablas Servicio'!T302),0))</f>
        <v>100000</v>
      </c>
      <c r="AA303" s="118" t="str">
        <f t="shared" si="382"/>
        <v>P</v>
      </c>
      <c r="AB303" s="119">
        <f>+IF(W303="","",ROUND((VLOOKUP(ROUNDDOWN($D303-1/frec,0),qx_tabla,2,FALSE)*(1+i/frec)^-0.5*(1+Parámetros!$D$103)*(1+rec_fracc)/frec),6))</f>
        <v>4.8500000000000003E-4</v>
      </c>
      <c r="AC303" s="66">
        <f t="shared" si="426"/>
        <v>48.5</v>
      </c>
      <c r="AD303" s="119">
        <f t="shared" si="422"/>
        <v>6.0999999999999997E-4</v>
      </c>
      <c r="AE303" s="66">
        <f>+IF($W303="","",ROUND(IF($B303&gt;Parámetros!$D$107,'Tablas Servicio'!AC303+('Tablas Servicio'!AG302-'Tablas Servicio'!AC302),AC303/(1-IF(B303&lt;=10,Parámetros!$D$104,Parámetros!$D$105))),2))</f>
        <v>80.83</v>
      </c>
      <c r="AF303" s="66">
        <f>+IF($W303="","",ROUND(IF($B303&gt;Parámetros!$D$107,'Tablas Servicio'!AC303+('Tablas Servicio'!AG302-'Tablas Servicio'!AC302),(AC303+$A302/frec)/(1-IF(B303&lt;=Parámetros!$D$117,Parámetros!$D$100,0))),2))</f>
        <v>61</v>
      </c>
      <c r="AG303" s="66">
        <f t="shared" si="427"/>
        <v>61</v>
      </c>
      <c r="AH303" s="66">
        <f t="shared" si="428"/>
        <v>0</v>
      </c>
      <c r="AI303" s="66">
        <f t="shared" si="429"/>
        <v>0</v>
      </c>
      <c r="AJ303" s="66">
        <f>+IF($W303="","",ROUND((AG303*Parámetros!$G$85),2))</f>
        <v>2.14</v>
      </c>
      <c r="AK303" s="66">
        <f>+IF($W303="","",ROUND((AG303*(Parámetros!$G$86)),2))</f>
        <v>0.31</v>
      </c>
      <c r="AL303" s="66">
        <f t="shared" si="423"/>
        <v>63.45</v>
      </c>
      <c r="AM303" t="str">
        <f t="shared" si="383"/>
        <v>00059</v>
      </c>
      <c r="AN303" t="str">
        <f t="shared" si="384"/>
        <v>Incapacidad Total y Permanente</v>
      </c>
      <c r="AO303" s="118">
        <f t="shared" si="385"/>
        <v>0</v>
      </c>
      <c r="AP303" s="118" t="str">
        <f t="shared" si="386"/>
        <v>A</v>
      </c>
      <c r="AQ303" s="119" t="str">
        <f>+IF(OR($W303="",AO303=0),"",ROUND((VLOOKUP(ROUNDDOWN($D303-1/frec,0),cob_adi,Z$40,FALSE)*(1+i/frec)^-0.5*(1+Parámetros!$D$103)*(1+rec_fracc)/frec),6))</f>
        <v/>
      </c>
      <c r="AR303" s="66">
        <f t="shared" si="430"/>
        <v>0</v>
      </c>
      <c r="AS303" s="119" t="str">
        <f t="shared" si="431"/>
        <v/>
      </c>
      <c r="AT303" s="66">
        <f>+IF($W303="","",ROUND(IF($B303&gt;Parámetros!$D$107,'Tablas Servicio'!AR303+('Tablas Servicio'!AT302-'Tablas Servicio'!AR302),AR303/(1-IF(B303&lt;=10,Parámetros!$D$100,0))),2))</f>
        <v>0</v>
      </c>
      <c r="AU303" s="66">
        <f t="shared" si="432"/>
        <v>0</v>
      </c>
      <c r="AV303" s="66">
        <f t="shared" si="432"/>
        <v>0</v>
      </c>
      <c r="AW303" s="66">
        <f>+IF($W303="","",ROUND((AT303*Parámetros!$G$85),2))</f>
        <v>0</v>
      </c>
      <c r="AX303" s="66">
        <f>+IF($W303="","",ROUND((AT303*(Parámetros!$G$86)),2))</f>
        <v>0</v>
      </c>
      <c r="AY303" s="66">
        <f t="shared" si="433"/>
        <v>0</v>
      </c>
      <c r="AZ303" t="str">
        <f t="shared" si="387"/>
        <v>00060</v>
      </c>
      <c r="BA303" t="str">
        <f t="shared" si="388"/>
        <v>Muerte Accidental</v>
      </c>
      <c r="BB303" s="118">
        <f t="shared" si="389"/>
        <v>0</v>
      </c>
      <c r="BC303" s="118" t="str">
        <f t="shared" si="390"/>
        <v>A</v>
      </c>
      <c r="BD303" s="119" t="str">
        <f>+IF(OR($W303="",BB303=0),"",ROUND((VLOOKUP(ROUNDDOWN($D303-1/frec,0),cob_adi,AO$40,FALSE)*(1+i/frec)^-0.5*(1+Parámetros!$D$103)*(1+rec_fracc)/frec),6))</f>
        <v/>
      </c>
      <c r="BE303" s="66">
        <f t="shared" si="434"/>
        <v>0</v>
      </c>
      <c r="BF303" s="119" t="str">
        <f t="shared" si="435"/>
        <v/>
      </c>
      <c r="BG303" s="66">
        <f>+IF($W303="","",ROUND(IF($B303&gt;Parámetros!$D$107,'Tablas Servicio'!BE303+('Tablas Servicio'!BG302-'Tablas Servicio'!BE302),BE303/(1-IF(B303&lt;=10,Parámetros!$D$100,0))),2))</f>
        <v>0</v>
      </c>
      <c r="BH303" s="66">
        <f t="shared" si="436"/>
        <v>0</v>
      </c>
      <c r="BI303" s="66">
        <f t="shared" si="437"/>
        <v>0</v>
      </c>
      <c r="BJ303" s="66">
        <f>+IF($W303="","",ROUND((BG303*Parámetros!$G$85),2))</f>
        <v>0</v>
      </c>
      <c r="BK303" s="66">
        <f>+IF($W303="","",ROUND((BG303*(Parámetros!$G$86)),2))</f>
        <v>0</v>
      </c>
      <c r="BL303" s="66">
        <f t="shared" si="438"/>
        <v>0</v>
      </c>
      <c r="BM303" t="str">
        <f t="shared" si="391"/>
        <v>00061</v>
      </c>
      <c r="BN303" t="str">
        <f t="shared" si="392"/>
        <v>Gastos de Entierro</v>
      </c>
      <c r="BO303" s="118">
        <f t="shared" si="393"/>
        <v>0</v>
      </c>
      <c r="BP303" s="118" t="str">
        <f t="shared" si="394"/>
        <v>A</v>
      </c>
      <c r="BQ303" s="119" t="str">
        <f>+IF(OR($W303="",BO303=0),"",ROUND((VLOOKUP(ROUNDDOWN($D303-1/frec,0),cob_adi,BB$40,FALSE)*(1+i/frec)^-0.5*(1+Parámetros!$D$103)*(1+rec_fracc)/frec),6))</f>
        <v/>
      </c>
      <c r="BR303" s="66">
        <f t="shared" si="439"/>
        <v>0</v>
      </c>
      <c r="BS303" s="119" t="str">
        <f t="shared" si="440"/>
        <v/>
      </c>
      <c r="BT303" s="66">
        <f>+IF($W303="","",ROUND(IF($B303&gt;Parámetros!$D$107,'Tablas Servicio'!BR303+('Tablas Servicio'!BT302-'Tablas Servicio'!BR302),BR303/(1-IF(B303&lt;=10,Parámetros!$D$100,0))),2))</f>
        <v>0</v>
      </c>
      <c r="BU303" s="66">
        <f t="shared" si="441"/>
        <v>0</v>
      </c>
      <c r="BV303" s="66">
        <f t="shared" si="441"/>
        <v>0</v>
      </c>
      <c r="BW303" s="66">
        <f>+IF($W303="","",ROUND((BT303*Parámetros!$G$85),2))</f>
        <v>0</v>
      </c>
      <c r="BX303" s="66">
        <f>+IF($W303="","",ROUND((BT303*(Parámetros!$G$86)),2))</f>
        <v>0</v>
      </c>
      <c r="BY303" s="66">
        <f t="shared" si="442"/>
        <v>0</v>
      </c>
      <c r="BZ303" t="str">
        <f t="shared" si="395"/>
        <v>00062</v>
      </c>
      <c r="CA303" t="str">
        <f t="shared" si="396"/>
        <v>Gastos médicos por accidente</v>
      </c>
      <c r="CB303" s="118">
        <f t="shared" si="397"/>
        <v>0</v>
      </c>
      <c r="CC303" s="118" t="str">
        <f t="shared" si="398"/>
        <v>A</v>
      </c>
      <c r="CD303" s="119" t="str">
        <f t="shared" si="443"/>
        <v/>
      </c>
      <c r="CE303" s="66">
        <f>+IF($W303="","",ROUND((VLOOKUP(ROUNDDOWN($D303-1/frec,0),cob_adi,BO$40,FALSE)*(1+i/frec)^-0.5*(1+Parámetros!$D$103)*(1+rec_fracc)/frec*'TABLAS ADI'!$BC$17),2))</f>
        <v>0</v>
      </c>
      <c r="CF303" s="119" t="str">
        <f t="shared" si="444"/>
        <v/>
      </c>
      <c r="CG303" s="66">
        <f>+IF($W303="","",ROUND(IF($B303&gt;Parámetros!$D$107,'Tablas Servicio'!CE303+('Tablas Servicio'!CG302-'Tablas Servicio'!CE302),CE303/(1-IF(B303&lt;=10,Parámetros!$D$100,0))),2))</f>
        <v>0</v>
      </c>
      <c r="CH303" s="66">
        <f t="shared" si="445"/>
        <v>0</v>
      </c>
      <c r="CI303" s="66">
        <f t="shared" si="445"/>
        <v>0</v>
      </c>
      <c r="CJ303" s="66">
        <f>+IF($W303="","",ROUND((CG303*Parámetros!$G$85),2))</f>
        <v>0</v>
      </c>
      <c r="CK303" s="66">
        <f>+IF($W303="","",ROUND((CG303*(Parámetros!$G$86)),2))</f>
        <v>0</v>
      </c>
      <c r="CL303" s="66">
        <f t="shared" si="446"/>
        <v>0</v>
      </c>
      <c r="CM303" t="str">
        <f t="shared" si="399"/>
        <v>00063</v>
      </c>
      <c r="CN303" s="118" t="str">
        <f t="shared" si="400"/>
        <v>Renta Diaria por Hospitalización</v>
      </c>
      <c r="CO303" s="118">
        <f t="shared" si="401"/>
        <v>0</v>
      </c>
      <c r="CP303" s="118" t="str">
        <f t="shared" si="402"/>
        <v>A</v>
      </c>
      <c r="CQ303" s="119" t="str">
        <f t="shared" si="447"/>
        <v/>
      </c>
      <c r="CR303" s="66">
        <f>+IF($W303="","",ROUND((VLOOKUP(Parámetros!$F$51,'COBERTURAS ADICIONALES'!$S$4:$T$32,2,FALSE)*(1+i/frec)^-0.5*(1+Parámetros!$D$103)*(1+rec_fracc)/frec*$CO$42),2))</f>
        <v>0</v>
      </c>
      <c r="CS303" s="119" t="str">
        <f t="shared" si="448"/>
        <v/>
      </c>
      <c r="CT303" s="66">
        <f>+IF($W303="","",ROUND(IF($B303&gt;Parámetros!$D$107,'Tablas Servicio'!CR303+('Tablas Servicio'!CT302-'Tablas Servicio'!CR302),CR303/(1-IF(B303&lt;=10,Parámetros!$D$100,0))),2))</f>
        <v>0</v>
      </c>
      <c r="CU303" s="66">
        <f t="shared" si="449"/>
        <v>0</v>
      </c>
      <c r="CV303" s="66">
        <f t="shared" si="449"/>
        <v>0</v>
      </c>
      <c r="CW303" s="66">
        <f>+IF($W303="","",ROUND((CT303*Parámetros!$G$85),2))</f>
        <v>0</v>
      </c>
      <c r="CX303" s="66">
        <f>+IF($W303="","",ROUND((CT303*(Parámetros!$G$86)),2))</f>
        <v>0</v>
      </c>
      <c r="CY303" s="66">
        <f t="shared" si="450"/>
        <v>0</v>
      </c>
      <c r="CZ303" t="str">
        <f t="shared" si="403"/>
        <v>00064</v>
      </c>
      <c r="DA303" s="118" t="str">
        <f t="shared" si="404"/>
        <v>Enfermedades Graves</v>
      </c>
      <c r="DB303" s="118">
        <f t="shared" si="405"/>
        <v>0</v>
      </c>
      <c r="DC303" s="118" t="str">
        <f t="shared" si="406"/>
        <v>A</v>
      </c>
      <c r="DD303" s="121" t="str">
        <f>+IF(OR($W303="",DB303=0),"",ROUND((VLOOKUP(ROUNDDOWN($D303-1/frec,0),cob_adi,CO$40,FALSE)*(1+i/frec)^-0.5*(1+Parámetros!$D$103)*(1+rec_fracc)/frec),6))</f>
        <v/>
      </c>
      <c r="DE303" s="66">
        <f t="shared" si="451"/>
        <v>0</v>
      </c>
      <c r="DF303" s="119" t="str">
        <f t="shared" si="452"/>
        <v/>
      </c>
      <c r="DG303" s="66">
        <f>+IF($W303="","",ROUND(IF($B303&gt;Parámetros!$D$107,'Tablas Servicio'!DE303+('Tablas Servicio'!DG302-'Tablas Servicio'!DE302),DE303/(1-IF(B303&lt;=10,Parámetros!$D$100,0))),2))</f>
        <v>0</v>
      </c>
      <c r="DH303" s="66">
        <f t="shared" si="453"/>
        <v>0</v>
      </c>
      <c r="DI303" s="66">
        <f t="shared" si="453"/>
        <v>0</v>
      </c>
      <c r="DJ303" s="66">
        <f>+IF($W303="","",ROUND((DG303*Parámetros!$G$85),2))</f>
        <v>0</v>
      </c>
      <c r="DK303" s="66">
        <f>+IF($W303="","",ROUND((DG303*(Parámetros!$G$86)),2))</f>
        <v>0</v>
      </c>
      <c r="DL303" s="66">
        <f t="shared" si="454"/>
        <v>0</v>
      </c>
      <c r="DM303" t="str">
        <f t="shared" si="407"/>
        <v>00065</v>
      </c>
      <c r="DN303" s="118" t="str">
        <f t="shared" si="408"/>
        <v>Exención pago de primas</v>
      </c>
      <c r="DO303" s="118">
        <f t="shared" si="409"/>
        <v>0</v>
      </c>
      <c r="DP303" s="118" t="str">
        <f t="shared" si="410"/>
        <v>A</v>
      </c>
      <c r="DQ303" s="122" t="str">
        <f>+IF(OR($W303="",DO303=0),"",ROUND((VLOOKUP(ROUNDDOWN($D303-1/frec,0),cob_adi,DB$40,FALSE)*(1+i/frec)^-0.5*(1+Parámetros!$D$103)*(1+rec_fracc)/frec),6))</f>
        <v/>
      </c>
      <c r="DR303" s="66">
        <f t="shared" si="455"/>
        <v>0</v>
      </c>
      <c r="DS303" s="68" t="str">
        <f t="shared" si="456"/>
        <v/>
      </c>
      <c r="DT303" s="66">
        <f>+IF($W303="","",ROUND(IF($B303&gt;Parámetros!$D$107,'Tablas Servicio'!DR303+('Tablas Servicio'!DT302-'Tablas Servicio'!DR302),DR303/(1-IF(B303&lt;=10,Parámetros!$D$100,0))),2))</f>
        <v>0</v>
      </c>
      <c r="DU303" s="66">
        <f t="shared" si="457"/>
        <v>0</v>
      </c>
      <c r="DV303" s="66">
        <f t="shared" si="457"/>
        <v>0</v>
      </c>
      <c r="DW303" s="66">
        <f>+IF($W303="","",ROUND((DT303*Parámetros!$G$85),2))</f>
        <v>0</v>
      </c>
      <c r="DX303" s="66">
        <f>+IF($W303="","",ROUND((DT303*(Parámetros!$G$86)),2))</f>
        <v>0</v>
      </c>
      <c r="DY303" s="66">
        <f t="shared" si="458"/>
        <v>0</v>
      </c>
      <c r="DZ303" t="str">
        <f t="shared" si="459"/>
        <v>00066</v>
      </c>
      <c r="EA303" s="118" t="str">
        <f t="shared" si="459"/>
        <v>Enfermedad terminal</v>
      </c>
      <c r="EB303" s="118">
        <f>+IF($W303="","",ROUND(IF(Parámetros!$D$25='TABLAS MORT'!$V$33,EB302,Z303/2),0))</f>
        <v>50000</v>
      </c>
      <c r="EC303" s="118" t="str">
        <f t="shared" si="459"/>
        <v>A</v>
      </c>
      <c r="ED303" s="122">
        <f>+IF(OR($W303="",EB303=0),"",ROUND((VLOOKUP(ROUNDDOWN($D303-1/frec,0),cob_adi,DO$40,FALSE)*(1+i/frec)^-0.5*(1+Parámetros!$D$103)*(1+rec_fracc)/frec),6))</f>
        <v>3.8999999999999999E-5</v>
      </c>
      <c r="EE303" s="66">
        <f t="shared" si="460"/>
        <v>1.95</v>
      </c>
      <c r="EF303" s="68">
        <f t="shared" si="461"/>
        <v>3.8999999999999999E-5</v>
      </c>
      <c r="EG303" s="66">
        <f>+IF($W303="","",ROUND(IF($B303&gt;Parámetros!$D$107,'Tablas Servicio'!EE303+('Tablas Servicio'!EG302-'Tablas Servicio'!EE302),EE303/(1-IF(B303&lt;=10,Parámetros!$D$100,0))),2))</f>
        <v>1.95</v>
      </c>
      <c r="EH303" s="66">
        <f t="shared" si="462"/>
        <v>0</v>
      </c>
      <c r="EI303" s="66">
        <f t="shared" si="462"/>
        <v>0</v>
      </c>
      <c r="EJ303" s="66">
        <f>+IF($W303="","",ROUND((EG303*Parámetros!$G$85),2))</f>
        <v>7.0000000000000007E-2</v>
      </c>
      <c r="EK303" s="66">
        <f>+IF($W303="","",ROUND((EG303*(Parámetros!$G$86)),2))</f>
        <v>0.01</v>
      </c>
      <c r="EL303" s="66">
        <f t="shared" si="463"/>
        <v>2.0299999999999998</v>
      </c>
    </row>
    <row r="304" spans="1:142" x14ac:dyDescent="0.25">
      <c r="A304">
        <f>+IF($C304="","",ROUND(VLOOKUP('Tablas Servicio'!B304,Parámetros!$H$100:$J$159,IF(Parámetros!$E$16="F",2,3),FALSE),2))</f>
        <v>150</v>
      </c>
      <c r="B304">
        <f t="shared" si="414"/>
        <v>22</v>
      </c>
      <c r="C304" s="57">
        <f>+IF(D304="","",'Tablas Servicio'!C303+1)</f>
        <v>263</v>
      </c>
      <c r="D304" s="56">
        <f>+IF(D303&lt;edadmaxtabla,D303+1/Parámetros!$E$25,"")</f>
        <v>61.936666666667293</v>
      </c>
      <c r="E304" s="57">
        <f t="shared" si="424"/>
        <v>61</v>
      </c>
      <c r="F304" s="59">
        <f t="shared" si="425"/>
        <v>100000</v>
      </c>
      <c r="G304" s="66">
        <f t="shared" si="415"/>
        <v>62.95</v>
      </c>
      <c r="H304" s="66">
        <f t="shared" si="416"/>
        <v>65.48</v>
      </c>
      <c r="I304" s="66">
        <f t="shared" si="376"/>
        <v>28.519999999999996</v>
      </c>
      <c r="J304" s="66">
        <f t="shared" si="417"/>
        <v>2.21</v>
      </c>
      <c r="K304" s="66">
        <f t="shared" si="418"/>
        <v>0.32</v>
      </c>
      <c r="L304" s="66">
        <f t="shared" si="419"/>
        <v>0</v>
      </c>
      <c r="M304" s="66">
        <f t="shared" si="420"/>
        <v>0</v>
      </c>
      <c r="N304" s="66">
        <f>+IF(C304="","",ROUND(Parámetros!$D$23,2))</f>
        <v>94</v>
      </c>
      <c r="O304" s="66">
        <f t="shared" si="421"/>
        <v>50.45</v>
      </c>
      <c r="P304" s="66">
        <f>+IF($C304="","",ROUND(IF(B304&gt;Parámetros!$D$117,0,N304*Parámetros!$D$116-G304*Parámetros!$D$100),2))</f>
        <v>0</v>
      </c>
      <c r="Q304" s="75">
        <f t="shared" si="377"/>
        <v>3.5107227958697376E-2</v>
      </c>
      <c r="R304" s="75">
        <f t="shared" si="378"/>
        <v>5.0833995234312946E-3</v>
      </c>
      <c r="S304" s="117">
        <f>+IF($C304="","",ROUND((S303+I304)*(1+Parámetros!$D$91),2))</f>
        <v>19721.98</v>
      </c>
      <c r="T304" s="117">
        <f>+IF($C304="","",ROUND(S304*VLOOKUP(B304,Parámetros!$C$30:$D$39,2,TRUE),2))</f>
        <v>19721.98</v>
      </c>
      <c r="U304" s="117">
        <f>+IF($C304="","",ROUND((U303+I304)*(1+Parámetros!$D$92),2))</f>
        <v>21038.68</v>
      </c>
      <c r="V304" s="117">
        <f>+IF($C304="","",ROUND(U304*VLOOKUP(B304,Parámetros!$C$30:$D$39,2,TRUE),2))</f>
        <v>21038.68</v>
      </c>
      <c r="W304" s="57">
        <f t="shared" si="379"/>
        <v>263</v>
      </c>
      <c r="X304" t="str">
        <f t="shared" si="380"/>
        <v>00058</v>
      </c>
      <c r="Y304" t="str">
        <f t="shared" si="381"/>
        <v>MUERTE POR CUALQUIER CAUSA</v>
      </c>
      <c r="Z304" s="118">
        <f>+IF($W304="","",ROUND(IF(Parámetros!$D$25='TABLAS MORT'!$V$33,Z303,Parámetros!$D$21-'Tablas Servicio'!T303),0))</f>
        <v>100000</v>
      </c>
      <c r="AA304" s="118" t="str">
        <f t="shared" si="382"/>
        <v>P</v>
      </c>
      <c r="AB304" s="119">
        <f>+IF(W304="","",ROUND((VLOOKUP(ROUNDDOWN($D304-1/frec,0),qx_tabla,2,FALSE)*(1+i/frec)^-0.5*(1+Parámetros!$D$103)*(1+rec_fracc)/frec),6))</f>
        <v>4.8500000000000003E-4</v>
      </c>
      <c r="AC304" s="66">
        <f t="shared" si="426"/>
        <v>48.5</v>
      </c>
      <c r="AD304" s="119">
        <f t="shared" si="422"/>
        <v>6.0999999999999997E-4</v>
      </c>
      <c r="AE304" s="66">
        <f>+IF($W304="","",ROUND(IF($B304&gt;Parámetros!$D$107,'Tablas Servicio'!AC304+('Tablas Servicio'!AG303-'Tablas Servicio'!AC303),AC304/(1-IF(B304&lt;=10,Parámetros!$D$104,Parámetros!$D$105))),2))</f>
        <v>80.83</v>
      </c>
      <c r="AF304" s="66">
        <f>+IF($W304="","",ROUND(IF($B304&gt;Parámetros!$D$107,'Tablas Servicio'!AC304+('Tablas Servicio'!AG303-'Tablas Servicio'!AC303),(AC304+$A303/frec)/(1-IF(B304&lt;=Parámetros!$D$117,Parámetros!$D$100,0))),2))</f>
        <v>61</v>
      </c>
      <c r="AG304" s="66">
        <f t="shared" si="427"/>
        <v>61</v>
      </c>
      <c r="AH304" s="66">
        <f t="shared" si="428"/>
        <v>0</v>
      </c>
      <c r="AI304" s="66">
        <f t="shared" si="429"/>
        <v>0</v>
      </c>
      <c r="AJ304" s="66">
        <f>+IF($W304="","",ROUND((AG304*Parámetros!$G$85),2))</f>
        <v>2.14</v>
      </c>
      <c r="AK304" s="66">
        <f>+IF($W304="","",ROUND((AG304*(Parámetros!$G$86)),2))</f>
        <v>0.31</v>
      </c>
      <c r="AL304" s="66">
        <f t="shared" si="423"/>
        <v>63.45</v>
      </c>
      <c r="AM304" t="str">
        <f t="shared" si="383"/>
        <v>00059</v>
      </c>
      <c r="AN304" t="str">
        <f t="shared" si="384"/>
        <v>Incapacidad Total y Permanente</v>
      </c>
      <c r="AO304" s="118">
        <f t="shared" si="385"/>
        <v>0</v>
      </c>
      <c r="AP304" s="118" t="str">
        <f t="shared" si="386"/>
        <v>A</v>
      </c>
      <c r="AQ304" s="119" t="str">
        <f>+IF(OR($W304="",AO304=0),"",ROUND((VLOOKUP(ROUNDDOWN($D304-1/frec,0),cob_adi,Z$40,FALSE)*(1+i/frec)^-0.5*(1+Parámetros!$D$103)*(1+rec_fracc)/frec),6))</f>
        <v/>
      </c>
      <c r="AR304" s="66">
        <f t="shared" si="430"/>
        <v>0</v>
      </c>
      <c r="AS304" s="119" t="str">
        <f t="shared" si="431"/>
        <v/>
      </c>
      <c r="AT304" s="66">
        <f>+IF($W304="","",ROUND(IF($B304&gt;Parámetros!$D$107,'Tablas Servicio'!AR304+('Tablas Servicio'!AT303-'Tablas Servicio'!AR303),AR304/(1-IF(B304&lt;=10,Parámetros!$D$100,0))),2))</f>
        <v>0</v>
      </c>
      <c r="AU304" s="66">
        <f t="shared" si="432"/>
        <v>0</v>
      </c>
      <c r="AV304" s="66">
        <f t="shared" si="432"/>
        <v>0</v>
      </c>
      <c r="AW304" s="66">
        <f>+IF($W304="","",ROUND((AT304*Parámetros!$G$85),2))</f>
        <v>0</v>
      </c>
      <c r="AX304" s="66">
        <f>+IF($W304="","",ROUND((AT304*(Parámetros!$G$86)),2))</f>
        <v>0</v>
      </c>
      <c r="AY304" s="66">
        <f t="shared" si="433"/>
        <v>0</v>
      </c>
      <c r="AZ304" t="str">
        <f t="shared" si="387"/>
        <v>00060</v>
      </c>
      <c r="BA304" t="str">
        <f t="shared" si="388"/>
        <v>Muerte Accidental</v>
      </c>
      <c r="BB304" s="118">
        <f t="shared" si="389"/>
        <v>0</v>
      </c>
      <c r="BC304" s="118" t="str">
        <f t="shared" si="390"/>
        <v>A</v>
      </c>
      <c r="BD304" s="119" t="str">
        <f>+IF(OR($W304="",BB304=0),"",ROUND((VLOOKUP(ROUNDDOWN($D304-1/frec,0),cob_adi,AO$40,FALSE)*(1+i/frec)^-0.5*(1+Parámetros!$D$103)*(1+rec_fracc)/frec),6))</f>
        <v/>
      </c>
      <c r="BE304" s="66">
        <f t="shared" si="434"/>
        <v>0</v>
      </c>
      <c r="BF304" s="119" t="str">
        <f t="shared" si="435"/>
        <v/>
      </c>
      <c r="BG304" s="66">
        <f>+IF($W304="","",ROUND(IF($B304&gt;Parámetros!$D$107,'Tablas Servicio'!BE304+('Tablas Servicio'!BG303-'Tablas Servicio'!BE303),BE304/(1-IF(B304&lt;=10,Parámetros!$D$100,0))),2))</f>
        <v>0</v>
      </c>
      <c r="BH304" s="66">
        <f t="shared" si="436"/>
        <v>0</v>
      </c>
      <c r="BI304" s="66">
        <f t="shared" si="437"/>
        <v>0</v>
      </c>
      <c r="BJ304" s="66">
        <f>+IF($W304="","",ROUND((BG304*Parámetros!$G$85),2))</f>
        <v>0</v>
      </c>
      <c r="BK304" s="66">
        <f>+IF($W304="","",ROUND((BG304*(Parámetros!$G$86)),2))</f>
        <v>0</v>
      </c>
      <c r="BL304" s="66">
        <f t="shared" si="438"/>
        <v>0</v>
      </c>
      <c r="BM304" t="str">
        <f t="shared" si="391"/>
        <v>00061</v>
      </c>
      <c r="BN304" t="str">
        <f t="shared" si="392"/>
        <v>Gastos de Entierro</v>
      </c>
      <c r="BO304" s="118">
        <f t="shared" si="393"/>
        <v>0</v>
      </c>
      <c r="BP304" s="118" t="str">
        <f t="shared" si="394"/>
        <v>A</v>
      </c>
      <c r="BQ304" s="119" t="str">
        <f>+IF(OR($W304="",BO304=0),"",ROUND((VLOOKUP(ROUNDDOWN($D304-1/frec,0),cob_adi,BB$40,FALSE)*(1+i/frec)^-0.5*(1+Parámetros!$D$103)*(1+rec_fracc)/frec),6))</f>
        <v/>
      </c>
      <c r="BR304" s="66">
        <f t="shared" si="439"/>
        <v>0</v>
      </c>
      <c r="BS304" s="119" t="str">
        <f t="shared" si="440"/>
        <v/>
      </c>
      <c r="BT304" s="66">
        <f>+IF($W304="","",ROUND(IF($B304&gt;Parámetros!$D$107,'Tablas Servicio'!BR304+('Tablas Servicio'!BT303-'Tablas Servicio'!BR303),BR304/(1-IF(B304&lt;=10,Parámetros!$D$100,0))),2))</f>
        <v>0</v>
      </c>
      <c r="BU304" s="66">
        <f t="shared" si="441"/>
        <v>0</v>
      </c>
      <c r="BV304" s="66">
        <f t="shared" si="441"/>
        <v>0</v>
      </c>
      <c r="BW304" s="66">
        <f>+IF($W304="","",ROUND((BT304*Parámetros!$G$85),2))</f>
        <v>0</v>
      </c>
      <c r="BX304" s="66">
        <f>+IF($W304="","",ROUND((BT304*(Parámetros!$G$86)),2))</f>
        <v>0</v>
      </c>
      <c r="BY304" s="66">
        <f t="shared" si="442"/>
        <v>0</v>
      </c>
      <c r="BZ304" t="str">
        <f t="shared" si="395"/>
        <v>00062</v>
      </c>
      <c r="CA304" t="str">
        <f t="shared" si="396"/>
        <v>Gastos médicos por accidente</v>
      </c>
      <c r="CB304" s="118">
        <f t="shared" si="397"/>
        <v>0</v>
      </c>
      <c r="CC304" s="118" t="str">
        <f t="shared" si="398"/>
        <v>A</v>
      </c>
      <c r="CD304" s="119" t="str">
        <f t="shared" si="443"/>
        <v/>
      </c>
      <c r="CE304" s="66">
        <f>+IF($W304="","",ROUND((VLOOKUP(ROUNDDOWN($D304-1/frec,0),cob_adi,BO$40,FALSE)*(1+i/frec)^-0.5*(1+Parámetros!$D$103)*(1+rec_fracc)/frec*'TABLAS ADI'!$BC$17),2))</f>
        <v>0</v>
      </c>
      <c r="CF304" s="119" t="str">
        <f t="shared" si="444"/>
        <v/>
      </c>
      <c r="CG304" s="66">
        <f>+IF($W304="","",ROUND(IF($B304&gt;Parámetros!$D$107,'Tablas Servicio'!CE304+('Tablas Servicio'!CG303-'Tablas Servicio'!CE303),CE304/(1-IF(B304&lt;=10,Parámetros!$D$100,0))),2))</f>
        <v>0</v>
      </c>
      <c r="CH304" s="66">
        <f t="shared" si="445"/>
        <v>0</v>
      </c>
      <c r="CI304" s="66">
        <f t="shared" si="445"/>
        <v>0</v>
      </c>
      <c r="CJ304" s="66">
        <f>+IF($W304="","",ROUND((CG304*Parámetros!$G$85),2))</f>
        <v>0</v>
      </c>
      <c r="CK304" s="66">
        <f>+IF($W304="","",ROUND((CG304*(Parámetros!$G$86)),2))</f>
        <v>0</v>
      </c>
      <c r="CL304" s="66">
        <f t="shared" si="446"/>
        <v>0</v>
      </c>
      <c r="CM304" t="str">
        <f t="shared" si="399"/>
        <v>00063</v>
      </c>
      <c r="CN304" s="118" t="str">
        <f t="shared" si="400"/>
        <v>Renta Diaria por Hospitalización</v>
      </c>
      <c r="CO304" s="118">
        <f t="shared" si="401"/>
        <v>0</v>
      </c>
      <c r="CP304" s="118" t="str">
        <f t="shared" si="402"/>
        <v>A</v>
      </c>
      <c r="CQ304" s="119" t="str">
        <f t="shared" si="447"/>
        <v/>
      </c>
      <c r="CR304" s="66">
        <f>+IF($W304="","",ROUND((VLOOKUP(Parámetros!$F$51,'COBERTURAS ADICIONALES'!$S$4:$T$32,2,FALSE)*(1+i/frec)^-0.5*(1+Parámetros!$D$103)*(1+rec_fracc)/frec*$CO$42),2))</f>
        <v>0</v>
      </c>
      <c r="CS304" s="119" t="str">
        <f t="shared" si="448"/>
        <v/>
      </c>
      <c r="CT304" s="66">
        <f>+IF($W304="","",ROUND(IF($B304&gt;Parámetros!$D$107,'Tablas Servicio'!CR304+('Tablas Servicio'!CT303-'Tablas Servicio'!CR303),CR304/(1-IF(B304&lt;=10,Parámetros!$D$100,0))),2))</f>
        <v>0</v>
      </c>
      <c r="CU304" s="66">
        <f t="shared" si="449"/>
        <v>0</v>
      </c>
      <c r="CV304" s="66">
        <f t="shared" si="449"/>
        <v>0</v>
      </c>
      <c r="CW304" s="66">
        <f>+IF($W304="","",ROUND((CT304*Parámetros!$G$85),2))</f>
        <v>0</v>
      </c>
      <c r="CX304" s="66">
        <f>+IF($W304="","",ROUND((CT304*(Parámetros!$G$86)),2))</f>
        <v>0</v>
      </c>
      <c r="CY304" s="66">
        <f t="shared" si="450"/>
        <v>0</v>
      </c>
      <c r="CZ304" t="str">
        <f t="shared" si="403"/>
        <v>00064</v>
      </c>
      <c r="DA304" s="118" t="str">
        <f t="shared" si="404"/>
        <v>Enfermedades Graves</v>
      </c>
      <c r="DB304" s="118">
        <f t="shared" si="405"/>
        <v>0</v>
      </c>
      <c r="DC304" s="118" t="str">
        <f t="shared" si="406"/>
        <v>A</v>
      </c>
      <c r="DD304" s="121" t="str">
        <f>+IF(OR($W304="",DB304=0),"",ROUND((VLOOKUP(ROUNDDOWN($D304-1/frec,0),cob_adi,CO$40,FALSE)*(1+i/frec)^-0.5*(1+Parámetros!$D$103)*(1+rec_fracc)/frec),6))</f>
        <v/>
      </c>
      <c r="DE304" s="66">
        <f t="shared" si="451"/>
        <v>0</v>
      </c>
      <c r="DF304" s="119" t="str">
        <f t="shared" si="452"/>
        <v/>
      </c>
      <c r="DG304" s="66">
        <f>+IF($W304="","",ROUND(IF($B304&gt;Parámetros!$D$107,'Tablas Servicio'!DE304+('Tablas Servicio'!DG303-'Tablas Servicio'!DE303),DE304/(1-IF(B304&lt;=10,Parámetros!$D$100,0))),2))</f>
        <v>0</v>
      </c>
      <c r="DH304" s="66">
        <f t="shared" si="453"/>
        <v>0</v>
      </c>
      <c r="DI304" s="66">
        <f t="shared" si="453"/>
        <v>0</v>
      </c>
      <c r="DJ304" s="66">
        <f>+IF($W304="","",ROUND((DG304*Parámetros!$G$85),2))</f>
        <v>0</v>
      </c>
      <c r="DK304" s="66">
        <f>+IF($W304="","",ROUND((DG304*(Parámetros!$G$86)),2))</f>
        <v>0</v>
      </c>
      <c r="DL304" s="66">
        <f t="shared" si="454"/>
        <v>0</v>
      </c>
      <c r="DM304" t="str">
        <f t="shared" si="407"/>
        <v>00065</v>
      </c>
      <c r="DN304" s="118" t="str">
        <f t="shared" si="408"/>
        <v>Exención pago de primas</v>
      </c>
      <c r="DO304" s="118">
        <f t="shared" si="409"/>
        <v>0</v>
      </c>
      <c r="DP304" s="118" t="str">
        <f t="shared" si="410"/>
        <v>A</v>
      </c>
      <c r="DQ304" s="122" t="str">
        <f>+IF(OR($W304="",DO304=0),"",ROUND((VLOOKUP(ROUNDDOWN($D304-1/frec,0),cob_adi,DB$40,FALSE)*(1+i/frec)^-0.5*(1+Parámetros!$D$103)*(1+rec_fracc)/frec),6))</f>
        <v/>
      </c>
      <c r="DR304" s="66">
        <f t="shared" si="455"/>
        <v>0</v>
      </c>
      <c r="DS304" s="68" t="str">
        <f t="shared" si="456"/>
        <v/>
      </c>
      <c r="DT304" s="66">
        <f>+IF($W304="","",ROUND(IF($B304&gt;Parámetros!$D$107,'Tablas Servicio'!DR304+('Tablas Servicio'!DT303-'Tablas Servicio'!DR303),DR304/(1-IF(B304&lt;=10,Parámetros!$D$100,0))),2))</f>
        <v>0</v>
      </c>
      <c r="DU304" s="66">
        <f t="shared" si="457"/>
        <v>0</v>
      </c>
      <c r="DV304" s="66">
        <f t="shared" si="457"/>
        <v>0</v>
      </c>
      <c r="DW304" s="66">
        <f>+IF($W304="","",ROUND((DT304*Parámetros!$G$85),2))</f>
        <v>0</v>
      </c>
      <c r="DX304" s="66">
        <f>+IF($W304="","",ROUND((DT304*(Parámetros!$G$86)),2))</f>
        <v>0</v>
      </c>
      <c r="DY304" s="66">
        <f t="shared" si="458"/>
        <v>0</v>
      </c>
      <c r="DZ304" t="str">
        <f t="shared" si="459"/>
        <v>00066</v>
      </c>
      <c r="EA304" s="118" t="str">
        <f t="shared" si="459"/>
        <v>Enfermedad terminal</v>
      </c>
      <c r="EB304" s="118">
        <f>+IF($W304="","",ROUND(IF(Parámetros!$D$25='TABLAS MORT'!$V$33,EB303,Z304/2),0))</f>
        <v>50000</v>
      </c>
      <c r="EC304" s="118" t="str">
        <f t="shared" si="459"/>
        <v>A</v>
      </c>
      <c r="ED304" s="122">
        <f>+IF(OR($W304="",EB304=0),"",ROUND((VLOOKUP(ROUNDDOWN($D304-1/frec,0),cob_adi,DO$40,FALSE)*(1+i/frec)^-0.5*(1+Parámetros!$D$103)*(1+rec_fracc)/frec),6))</f>
        <v>3.8999999999999999E-5</v>
      </c>
      <c r="EE304" s="66">
        <f t="shared" si="460"/>
        <v>1.95</v>
      </c>
      <c r="EF304" s="68">
        <f t="shared" si="461"/>
        <v>3.8999999999999999E-5</v>
      </c>
      <c r="EG304" s="66">
        <f>+IF($W304="","",ROUND(IF($B304&gt;Parámetros!$D$107,'Tablas Servicio'!EE304+('Tablas Servicio'!EG303-'Tablas Servicio'!EE303),EE304/(1-IF(B304&lt;=10,Parámetros!$D$100,0))),2))</f>
        <v>1.95</v>
      </c>
      <c r="EH304" s="66">
        <f t="shared" si="462"/>
        <v>0</v>
      </c>
      <c r="EI304" s="66">
        <f t="shared" si="462"/>
        <v>0</v>
      </c>
      <c r="EJ304" s="66">
        <f>+IF($W304="","",ROUND((EG304*Parámetros!$G$85),2))</f>
        <v>7.0000000000000007E-2</v>
      </c>
      <c r="EK304" s="66">
        <f>+IF($W304="","",ROUND((EG304*(Parámetros!$G$86)),2))</f>
        <v>0.01</v>
      </c>
      <c r="EL304" s="66">
        <f t="shared" si="463"/>
        <v>2.0299999999999998</v>
      </c>
    </row>
    <row r="305" spans="1:142" x14ac:dyDescent="0.25">
      <c r="A305">
        <f>+IF($C305="","",ROUND(VLOOKUP('Tablas Servicio'!B305,Parámetros!$H$100:$J$159,IF(Parámetros!$E$16="F",2,3),FALSE),2))</f>
        <v>150</v>
      </c>
      <c r="B305">
        <f t="shared" si="414"/>
        <v>22</v>
      </c>
      <c r="C305" s="57">
        <f>+IF(D305="","",'Tablas Servicio'!C304+1)</f>
        <v>264</v>
      </c>
      <c r="D305" s="56">
        <f>+IF(D304&lt;edadmaxtabla,D304+1/Parámetros!$E$25,"")</f>
        <v>62.020000000000628</v>
      </c>
      <c r="E305" s="57">
        <f t="shared" si="424"/>
        <v>62</v>
      </c>
      <c r="F305" s="59">
        <f t="shared" si="425"/>
        <v>100000</v>
      </c>
      <c r="G305" s="66">
        <f t="shared" si="415"/>
        <v>62.95</v>
      </c>
      <c r="H305" s="66">
        <f t="shared" si="416"/>
        <v>65.48</v>
      </c>
      <c r="I305" s="66">
        <f t="shared" si="376"/>
        <v>28.519999999999996</v>
      </c>
      <c r="J305" s="66">
        <f t="shared" si="417"/>
        <v>2.21</v>
      </c>
      <c r="K305" s="66">
        <f t="shared" si="418"/>
        <v>0.32</v>
      </c>
      <c r="L305" s="66">
        <f t="shared" si="419"/>
        <v>0</v>
      </c>
      <c r="M305" s="66">
        <f t="shared" si="420"/>
        <v>0</v>
      </c>
      <c r="N305" s="66">
        <f>+IF(C305="","",ROUND(Parámetros!$D$23,2))</f>
        <v>94</v>
      </c>
      <c r="O305" s="66">
        <f t="shared" si="421"/>
        <v>50.45</v>
      </c>
      <c r="P305" s="66">
        <f>+IF($C305="","",ROUND(IF(B305&gt;Parámetros!$D$117,0,N305*Parámetros!$D$116-G305*Parámetros!$D$100),2))</f>
        <v>0</v>
      </c>
      <c r="Q305" s="75">
        <f t="shared" si="377"/>
        <v>3.5107227958697376E-2</v>
      </c>
      <c r="R305" s="75">
        <f t="shared" si="378"/>
        <v>5.0833995234312946E-3</v>
      </c>
      <c r="S305" s="117">
        <f>+IF($C305="","",ROUND((S304+I305)*(1+Parámetros!$D$91),2))</f>
        <v>19806.52</v>
      </c>
      <c r="T305" s="117">
        <f>+IF($C305="","",ROUND(S305*VLOOKUP(B305,Parámetros!$C$30:$D$39,2,TRUE),2))</f>
        <v>19806.52</v>
      </c>
      <c r="U305" s="117">
        <f>+IF($C305="","",ROUND((U304+I305)*(1+Parámetros!$D$92),2))</f>
        <v>21135.49</v>
      </c>
      <c r="V305" s="117">
        <f>+IF($C305="","",ROUND(U305*VLOOKUP(B305,Parámetros!$C$30:$D$39,2,TRUE),2))</f>
        <v>21135.49</v>
      </c>
      <c r="W305" s="57">
        <f t="shared" si="379"/>
        <v>264</v>
      </c>
      <c r="X305" t="str">
        <f t="shared" si="380"/>
        <v>00058</v>
      </c>
      <c r="Y305" t="str">
        <f t="shared" si="381"/>
        <v>MUERTE POR CUALQUIER CAUSA</v>
      </c>
      <c r="Z305" s="118">
        <f>+IF($W305="","",ROUND(IF(Parámetros!$D$25='TABLAS MORT'!$V$33,Z304,Parámetros!$D$21-'Tablas Servicio'!T304),0))</f>
        <v>100000</v>
      </c>
      <c r="AA305" s="118" t="str">
        <f t="shared" si="382"/>
        <v>P</v>
      </c>
      <c r="AB305" s="119">
        <f>+IF(W305="","",ROUND((VLOOKUP(ROUNDDOWN($D305-1/frec,0),qx_tabla,2,FALSE)*(1+i/frec)^-0.5*(1+Parámetros!$D$103)*(1+rec_fracc)/frec),6))</f>
        <v>4.8500000000000003E-4</v>
      </c>
      <c r="AC305" s="66">
        <f t="shared" si="426"/>
        <v>48.5</v>
      </c>
      <c r="AD305" s="119">
        <f t="shared" si="422"/>
        <v>6.0999999999999997E-4</v>
      </c>
      <c r="AE305" s="66">
        <f>+IF($W305="","",ROUND(IF($B305&gt;Parámetros!$D$107,'Tablas Servicio'!AC305+('Tablas Servicio'!AG304-'Tablas Servicio'!AC304),AC305/(1-IF(B305&lt;=10,Parámetros!$D$104,Parámetros!$D$105))),2))</f>
        <v>80.83</v>
      </c>
      <c r="AF305" s="66">
        <f>+IF($W305="","",ROUND(IF($B305&gt;Parámetros!$D$107,'Tablas Servicio'!AC305+('Tablas Servicio'!AG304-'Tablas Servicio'!AC304),(AC305+$A304/frec)/(1-IF(B305&lt;=Parámetros!$D$117,Parámetros!$D$100,0))),2))</f>
        <v>61</v>
      </c>
      <c r="AG305" s="66">
        <f t="shared" si="427"/>
        <v>61</v>
      </c>
      <c r="AH305" s="66">
        <f t="shared" si="428"/>
        <v>0</v>
      </c>
      <c r="AI305" s="66">
        <f t="shared" si="429"/>
        <v>0</v>
      </c>
      <c r="AJ305" s="66">
        <f>+IF($W305="","",ROUND((AG305*Parámetros!$G$85),2))</f>
        <v>2.14</v>
      </c>
      <c r="AK305" s="66">
        <f>+IF($W305="","",ROUND((AG305*(Parámetros!$G$86)),2))</f>
        <v>0.31</v>
      </c>
      <c r="AL305" s="66">
        <f t="shared" si="423"/>
        <v>63.45</v>
      </c>
      <c r="AM305" t="str">
        <f t="shared" si="383"/>
        <v>00059</v>
      </c>
      <c r="AN305" t="str">
        <f t="shared" si="384"/>
        <v>Incapacidad Total y Permanente</v>
      </c>
      <c r="AO305" s="118">
        <f t="shared" si="385"/>
        <v>0</v>
      </c>
      <c r="AP305" s="118" t="str">
        <f t="shared" si="386"/>
        <v>A</v>
      </c>
      <c r="AQ305" s="119" t="str">
        <f>+IF(OR($W305="",AO305=0),"",ROUND((VLOOKUP(ROUNDDOWN($D305-1/frec,0),cob_adi,Z$40,FALSE)*(1+i/frec)^-0.5*(1+Parámetros!$D$103)*(1+rec_fracc)/frec),6))</f>
        <v/>
      </c>
      <c r="AR305" s="66">
        <f t="shared" si="430"/>
        <v>0</v>
      </c>
      <c r="AS305" s="119" t="str">
        <f t="shared" si="431"/>
        <v/>
      </c>
      <c r="AT305" s="66">
        <f>+IF($W305="","",ROUND(IF($B305&gt;Parámetros!$D$107,'Tablas Servicio'!AR305+('Tablas Servicio'!AT304-'Tablas Servicio'!AR304),AR305/(1-IF(B305&lt;=10,Parámetros!$D$100,0))),2))</f>
        <v>0</v>
      </c>
      <c r="AU305" s="66">
        <f t="shared" si="432"/>
        <v>0</v>
      </c>
      <c r="AV305" s="66">
        <f t="shared" si="432"/>
        <v>0</v>
      </c>
      <c r="AW305" s="66">
        <f>+IF($W305="","",ROUND((AT305*Parámetros!$G$85),2))</f>
        <v>0</v>
      </c>
      <c r="AX305" s="66">
        <f>+IF($W305="","",ROUND((AT305*(Parámetros!$G$86)),2))</f>
        <v>0</v>
      </c>
      <c r="AY305" s="66">
        <f t="shared" si="433"/>
        <v>0</v>
      </c>
      <c r="AZ305" t="str">
        <f t="shared" si="387"/>
        <v>00060</v>
      </c>
      <c r="BA305" t="str">
        <f t="shared" si="388"/>
        <v>Muerte Accidental</v>
      </c>
      <c r="BB305" s="118">
        <f t="shared" si="389"/>
        <v>0</v>
      </c>
      <c r="BC305" s="118" t="str">
        <f t="shared" si="390"/>
        <v>A</v>
      </c>
      <c r="BD305" s="119" t="str">
        <f>+IF(OR($W305="",BB305=0),"",ROUND((VLOOKUP(ROUNDDOWN($D305-1/frec,0),cob_adi,AO$40,FALSE)*(1+i/frec)^-0.5*(1+Parámetros!$D$103)*(1+rec_fracc)/frec),6))</f>
        <v/>
      </c>
      <c r="BE305" s="66">
        <f t="shared" si="434"/>
        <v>0</v>
      </c>
      <c r="BF305" s="119" t="str">
        <f t="shared" si="435"/>
        <v/>
      </c>
      <c r="BG305" s="66">
        <f>+IF($W305="","",ROUND(IF($B305&gt;Parámetros!$D$107,'Tablas Servicio'!BE305+('Tablas Servicio'!BG304-'Tablas Servicio'!BE304),BE305/(1-IF(B305&lt;=10,Parámetros!$D$100,0))),2))</f>
        <v>0</v>
      </c>
      <c r="BH305" s="66">
        <f t="shared" si="436"/>
        <v>0</v>
      </c>
      <c r="BI305" s="66">
        <f t="shared" si="437"/>
        <v>0</v>
      </c>
      <c r="BJ305" s="66">
        <f>+IF($W305="","",ROUND((BG305*Parámetros!$G$85),2))</f>
        <v>0</v>
      </c>
      <c r="BK305" s="66">
        <f>+IF($W305="","",ROUND((BG305*(Parámetros!$G$86)),2))</f>
        <v>0</v>
      </c>
      <c r="BL305" s="66">
        <f t="shared" si="438"/>
        <v>0</v>
      </c>
      <c r="BM305" t="str">
        <f t="shared" si="391"/>
        <v>00061</v>
      </c>
      <c r="BN305" t="str">
        <f t="shared" si="392"/>
        <v>Gastos de Entierro</v>
      </c>
      <c r="BO305" s="118">
        <f t="shared" si="393"/>
        <v>0</v>
      </c>
      <c r="BP305" s="118" t="str">
        <f t="shared" si="394"/>
        <v>A</v>
      </c>
      <c r="BQ305" s="119" t="str">
        <f>+IF(OR($W305="",BO305=0),"",ROUND((VLOOKUP(ROUNDDOWN($D305-1/frec,0),cob_adi,BB$40,FALSE)*(1+i/frec)^-0.5*(1+Parámetros!$D$103)*(1+rec_fracc)/frec),6))</f>
        <v/>
      </c>
      <c r="BR305" s="66">
        <f t="shared" si="439"/>
        <v>0</v>
      </c>
      <c r="BS305" s="119" t="str">
        <f t="shared" si="440"/>
        <v/>
      </c>
      <c r="BT305" s="66">
        <f>+IF($W305="","",ROUND(IF($B305&gt;Parámetros!$D$107,'Tablas Servicio'!BR305+('Tablas Servicio'!BT304-'Tablas Servicio'!BR304),BR305/(1-IF(B305&lt;=10,Parámetros!$D$100,0))),2))</f>
        <v>0</v>
      </c>
      <c r="BU305" s="66">
        <f t="shared" si="441"/>
        <v>0</v>
      </c>
      <c r="BV305" s="66">
        <f t="shared" si="441"/>
        <v>0</v>
      </c>
      <c r="BW305" s="66">
        <f>+IF($W305="","",ROUND((BT305*Parámetros!$G$85),2))</f>
        <v>0</v>
      </c>
      <c r="BX305" s="66">
        <f>+IF($W305="","",ROUND((BT305*(Parámetros!$G$86)),2))</f>
        <v>0</v>
      </c>
      <c r="BY305" s="66">
        <f t="shared" si="442"/>
        <v>0</v>
      </c>
      <c r="BZ305" t="str">
        <f t="shared" si="395"/>
        <v>00062</v>
      </c>
      <c r="CA305" t="str">
        <f t="shared" si="396"/>
        <v>Gastos médicos por accidente</v>
      </c>
      <c r="CB305" s="118">
        <f t="shared" si="397"/>
        <v>0</v>
      </c>
      <c r="CC305" s="118" t="str">
        <f t="shared" si="398"/>
        <v>A</v>
      </c>
      <c r="CD305" s="119" t="str">
        <f t="shared" si="443"/>
        <v/>
      </c>
      <c r="CE305" s="66">
        <f>+IF($W305="","",ROUND((VLOOKUP(ROUNDDOWN($D305-1/frec,0),cob_adi,BO$40,FALSE)*(1+i/frec)^-0.5*(1+Parámetros!$D$103)*(1+rec_fracc)/frec*'TABLAS ADI'!$BC$17),2))</f>
        <v>0</v>
      </c>
      <c r="CF305" s="119" t="str">
        <f t="shared" si="444"/>
        <v/>
      </c>
      <c r="CG305" s="66">
        <f>+IF($W305="","",ROUND(IF($B305&gt;Parámetros!$D$107,'Tablas Servicio'!CE305+('Tablas Servicio'!CG304-'Tablas Servicio'!CE304),CE305/(1-IF(B305&lt;=10,Parámetros!$D$100,0))),2))</f>
        <v>0</v>
      </c>
      <c r="CH305" s="66">
        <f t="shared" si="445"/>
        <v>0</v>
      </c>
      <c r="CI305" s="66">
        <f t="shared" si="445"/>
        <v>0</v>
      </c>
      <c r="CJ305" s="66">
        <f>+IF($W305="","",ROUND((CG305*Parámetros!$G$85),2))</f>
        <v>0</v>
      </c>
      <c r="CK305" s="66">
        <f>+IF($W305="","",ROUND((CG305*(Parámetros!$G$86)),2))</f>
        <v>0</v>
      </c>
      <c r="CL305" s="66">
        <f t="shared" si="446"/>
        <v>0</v>
      </c>
      <c r="CM305" t="str">
        <f t="shared" si="399"/>
        <v>00063</v>
      </c>
      <c r="CN305" s="118" t="str">
        <f t="shared" si="400"/>
        <v>Renta Diaria por Hospitalización</v>
      </c>
      <c r="CO305" s="118">
        <f t="shared" si="401"/>
        <v>0</v>
      </c>
      <c r="CP305" s="118" t="str">
        <f t="shared" si="402"/>
        <v>A</v>
      </c>
      <c r="CQ305" s="119" t="str">
        <f t="shared" si="447"/>
        <v/>
      </c>
      <c r="CR305" s="66">
        <f>+IF($W305="","",ROUND((VLOOKUP(Parámetros!$F$51,'COBERTURAS ADICIONALES'!$S$4:$T$32,2,FALSE)*(1+i/frec)^-0.5*(1+Parámetros!$D$103)*(1+rec_fracc)/frec*$CO$42),2))</f>
        <v>0</v>
      </c>
      <c r="CS305" s="119" t="str">
        <f t="shared" si="448"/>
        <v/>
      </c>
      <c r="CT305" s="66">
        <f>+IF($W305="","",ROUND(IF($B305&gt;Parámetros!$D$107,'Tablas Servicio'!CR305+('Tablas Servicio'!CT304-'Tablas Servicio'!CR304),CR305/(1-IF(B305&lt;=10,Parámetros!$D$100,0))),2))</f>
        <v>0</v>
      </c>
      <c r="CU305" s="66">
        <f t="shared" si="449"/>
        <v>0</v>
      </c>
      <c r="CV305" s="66">
        <f t="shared" si="449"/>
        <v>0</v>
      </c>
      <c r="CW305" s="66">
        <f>+IF($W305="","",ROUND((CT305*Parámetros!$G$85),2))</f>
        <v>0</v>
      </c>
      <c r="CX305" s="66">
        <f>+IF($W305="","",ROUND((CT305*(Parámetros!$G$86)),2))</f>
        <v>0</v>
      </c>
      <c r="CY305" s="66">
        <f t="shared" si="450"/>
        <v>0</v>
      </c>
      <c r="CZ305" t="str">
        <f t="shared" si="403"/>
        <v>00064</v>
      </c>
      <c r="DA305" s="118" t="str">
        <f t="shared" si="404"/>
        <v>Enfermedades Graves</v>
      </c>
      <c r="DB305" s="118">
        <f t="shared" si="405"/>
        <v>0</v>
      </c>
      <c r="DC305" s="118" t="str">
        <f t="shared" si="406"/>
        <v>A</v>
      </c>
      <c r="DD305" s="121" t="str">
        <f>+IF(OR($W305="",DB305=0),"",ROUND((VLOOKUP(ROUNDDOWN($D305-1/frec,0),cob_adi,CO$40,FALSE)*(1+i/frec)^-0.5*(1+Parámetros!$D$103)*(1+rec_fracc)/frec),6))</f>
        <v/>
      </c>
      <c r="DE305" s="66">
        <f t="shared" si="451"/>
        <v>0</v>
      </c>
      <c r="DF305" s="119" t="str">
        <f t="shared" si="452"/>
        <v/>
      </c>
      <c r="DG305" s="66">
        <f>+IF($W305="","",ROUND(IF($B305&gt;Parámetros!$D$107,'Tablas Servicio'!DE305+('Tablas Servicio'!DG304-'Tablas Servicio'!DE304),DE305/(1-IF(B305&lt;=10,Parámetros!$D$100,0))),2))</f>
        <v>0</v>
      </c>
      <c r="DH305" s="66">
        <f t="shared" si="453"/>
        <v>0</v>
      </c>
      <c r="DI305" s="66">
        <f t="shared" si="453"/>
        <v>0</v>
      </c>
      <c r="DJ305" s="66">
        <f>+IF($W305="","",ROUND((DG305*Parámetros!$G$85),2))</f>
        <v>0</v>
      </c>
      <c r="DK305" s="66">
        <f>+IF($W305="","",ROUND((DG305*(Parámetros!$G$86)),2))</f>
        <v>0</v>
      </c>
      <c r="DL305" s="66">
        <f t="shared" si="454"/>
        <v>0</v>
      </c>
      <c r="DM305" t="str">
        <f t="shared" si="407"/>
        <v>00065</v>
      </c>
      <c r="DN305" s="118" t="str">
        <f t="shared" si="408"/>
        <v>Exención pago de primas</v>
      </c>
      <c r="DO305" s="118">
        <f t="shared" si="409"/>
        <v>0</v>
      </c>
      <c r="DP305" s="118" t="str">
        <f t="shared" si="410"/>
        <v>A</v>
      </c>
      <c r="DQ305" s="122" t="str">
        <f>+IF(OR($W305="",DO305=0),"",ROUND((VLOOKUP(ROUNDDOWN($D305-1/frec,0),cob_adi,DB$40,FALSE)*(1+i/frec)^-0.5*(1+Parámetros!$D$103)*(1+rec_fracc)/frec),6))</f>
        <v/>
      </c>
      <c r="DR305" s="66">
        <f t="shared" si="455"/>
        <v>0</v>
      </c>
      <c r="DS305" s="68" t="str">
        <f t="shared" si="456"/>
        <v/>
      </c>
      <c r="DT305" s="66">
        <f>+IF($W305="","",ROUND(IF($B305&gt;Parámetros!$D$107,'Tablas Servicio'!DR305+('Tablas Servicio'!DT304-'Tablas Servicio'!DR304),DR305/(1-IF(B305&lt;=10,Parámetros!$D$100,0))),2))</f>
        <v>0</v>
      </c>
      <c r="DU305" s="66">
        <f t="shared" si="457"/>
        <v>0</v>
      </c>
      <c r="DV305" s="66">
        <f t="shared" si="457"/>
        <v>0</v>
      </c>
      <c r="DW305" s="66">
        <f>+IF($W305="","",ROUND((DT305*Parámetros!$G$85),2))</f>
        <v>0</v>
      </c>
      <c r="DX305" s="66">
        <f>+IF($W305="","",ROUND((DT305*(Parámetros!$G$86)),2))</f>
        <v>0</v>
      </c>
      <c r="DY305" s="66">
        <f t="shared" si="458"/>
        <v>0</v>
      </c>
      <c r="DZ305" t="str">
        <f t="shared" si="459"/>
        <v>00066</v>
      </c>
      <c r="EA305" s="118" t="str">
        <f t="shared" si="459"/>
        <v>Enfermedad terminal</v>
      </c>
      <c r="EB305" s="118">
        <f>+IF($W305="","",ROUND(IF(Parámetros!$D$25='TABLAS MORT'!$V$33,EB304,Z305/2),0))</f>
        <v>50000</v>
      </c>
      <c r="EC305" s="118" t="str">
        <f t="shared" si="459"/>
        <v>A</v>
      </c>
      <c r="ED305" s="122">
        <f>+IF(OR($W305="",EB305=0),"",ROUND((VLOOKUP(ROUNDDOWN($D305-1/frec,0),cob_adi,DO$40,FALSE)*(1+i/frec)^-0.5*(1+Parámetros!$D$103)*(1+rec_fracc)/frec),6))</f>
        <v>3.8999999999999999E-5</v>
      </c>
      <c r="EE305" s="66">
        <f t="shared" si="460"/>
        <v>1.95</v>
      </c>
      <c r="EF305" s="68">
        <f t="shared" si="461"/>
        <v>3.8999999999999999E-5</v>
      </c>
      <c r="EG305" s="66">
        <f>+IF($W305="","",ROUND(IF($B305&gt;Parámetros!$D$107,'Tablas Servicio'!EE305+('Tablas Servicio'!EG304-'Tablas Servicio'!EE304),EE305/(1-IF(B305&lt;=10,Parámetros!$D$100,0))),2))</f>
        <v>1.95</v>
      </c>
      <c r="EH305" s="66">
        <f t="shared" si="462"/>
        <v>0</v>
      </c>
      <c r="EI305" s="66">
        <f t="shared" si="462"/>
        <v>0</v>
      </c>
      <c r="EJ305" s="66">
        <f>+IF($W305="","",ROUND((EG305*Parámetros!$G$85),2))</f>
        <v>7.0000000000000007E-2</v>
      </c>
      <c r="EK305" s="66">
        <f>+IF($W305="","",ROUND((EG305*(Parámetros!$G$86)),2))</f>
        <v>0.01</v>
      </c>
      <c r="EL305" s="66">
        <f t="shared" si="463"/>
        <v>2.0299999999999998</v>
      </c>
    </row>
    <row r="306" spans="1:142" x14ac:dyDescent="0.25">
      <c r="A306">
        <f>+IF($C306="","",ROUND(VLOOKUP('Tablas Servicio'!B306,Parámetros!$H$100:$J$159,IF(Parámetros!$E$16="F",2,3),FALSE),2))</f>
        <v>150</v>
      </c>
      <c r="B306">
        <f t="shared" si="414"/>
        <v>23</v>
      </c>
      <c r="C306" s="57">
        <f>+IF(D306="","",'Tablas Servicio'!C305+1)</f>
        <v>265</v>
      </c>
      <c r="D306" s="56">
        <f>+IF(D305&lt;edadmaxtabla,D305+1/Parámetros!$E$25,"")</f>
        <v>62.103333333333964</v>
      </c>
      <c r="E306" s="57">
        <f t="shared" si="424"/>
        <v>62</v>
      </c>
      <c r="F306" s="59">
        <f t="shared" si="425"/>
        <v>100000</v>
      </c>
      <c r="G306" s="66">
        <f t="shared" si="415"/>
        <v>67.350000000000009</v>
      </c>
      <c r="H306" s="66">
        <f t="shared" si="416"/>
        <v>70.05</v>
      </c>
      <c r="I306" s="66">
        <f t="shared" si="376"/>
        <v>23.950000000000003</v>
      </c>
      <c r="J306" s="66">
        <f t="shared" si="417"/>
        <v>2.36</v>
      </c>
      <c r="K306" s="66">
        <f t="shared" si="418"/>
        <v>0.34</v>
      </c>
      <c r="L306" s="66">
        <f t="shared" si="419"/>
        <v>0</v>
      </c>
      <c r="M306" s="66">
        <f t="shared" si="420"/>
        <v>0</v>
      </c>
      <c r="N306" s="66">
        <f>+IF(C306="","",ROUND(Parámetros!$D$23,2))</f>
        <v>94</v>
      </c>
      <c r="O306" s="66">
        <f t="shared" si="421"/>
        <v>54.85</v>
      </c>
      <c r="P306" s="66">
        <f>+IF($C306="","",ROUND(IF(B306&gt;Parámetros!$D$117,0,N306*Parámetros!$D$116-G306*Parámetros!$D$100),2))</f>
        <v>0</v>
      </c>
      <c r="Q306" s="75">
        <f t="shared" si="377"/>
        <v>3.5040831477357086E-2</v>
      </c>
      <c r="R306" s="75">
        <f t="shared" si="378"/>
        <v>5.0482553823311058E-3</v>
      </c>
      <c r="S306" s="117">
        <f>+IF($C306="","",ROUND((S305+I306)*(1+Parámetros!$D$91),2))</f>
        <v>19886.72</v>
      </c>
      <c r="T306" s="117">
        <f>+IF($C306="","",ROUND(S306*VLOOKUP(B306,Parámetros!$C$30:$D$39,2,TRUE),2))</f>
        <v>19886.72</v>
      </c>
      <c r="U306" s="117">
        <f>+IF($C306="","",ROUND((U305+I306)*(1+Parámetros!$D$92),2))</f>
        <v>21228.03</v>
      </c>
      <c r="V306" s="117">
        <f>+IF($C306="","",ROUND(U306*VLOOKUP(B306,Parámetros!$C$30:$D$39,2,TRUE),2))</f>
        <v>21228.03</v>
      </c>
      <c r="W306" s="57">
        <f t="shared" si="379"/>
        <v>265</v>
      </c>
      <c r="X306" t="str">
        <f t="shared" si="380"/>
        <v>00058</v>
      </c>
      <c r="Y306" t="str">
        <f t="shared" si="381"/>
        <v>MUERTE POR CUALQUIER CAUSA</v>
      </c>
      <c r="Z306" s="118">
        <f>+IF($W306="","",ROUND(IF(Parámetros!$D$25='TABLAS MORT'!$V$33,Z305,Parámetros!$D$21-'Tablas Servicio'!T305),0))</f>
        <v>100000</v>
      </c>
      <c r="AA306" s="118" t="str">
        <f t="shared" si="382"/>
        <v>P</v>
      </c>
      <c r="AB306" s="119">
        <f>+IF(W306="","",ROUND((VLOOKUP(ROUNDDOWN($D306-1/frec,0),qx_tabla,2,FALSE)*(1+i/frec)^-0.5*(1+Parámetros!$D$103)*(1+rec_fracc)/frec),6))</f>
        <v>5.2899999999999996E-4</v>
      </c>
      <c r="AC306" s="66">
        <f t="shared" si="426"/>
        <v>52.9</v>
      </c>
      <c r="AD306" s="119">
        <f t="shared" si="422"/>
        <v>6.5399999999999996E-4</v>
      </c>
      <c r="AE306" s="66">
        <f>+IF($W306="","",ROUND(IF($B306&gt;Parámetros!$D$107,'Tablas Servicio'!AC306+('Tablas Servicio'!AG305-'Tablas Servicio'!AC305),AC306/(1-IF(B306&lt;=10,Parámetros!$D$104,Parámetros!$D$105))),2))</f>
        <v>88.17</v>
      </c>
      <c r="AF306" s="66">
        <f>+IF($W306="","",ROUND(IF($B306&gt;Parámetros!$D$107,'Tablas Servicio'!AC306+('Tablas Servicio'!AG305-'Tablas Servicio'!AC305),(AC306+$A305/frec)/(1-IF(B306&lt;=Parámetros!$D$117,Parámetros!$D$100,0))),2))</f>
        <v>65.400000000000006</v>
      </c>
      <c r="AG306" s="66">
        <f t="shared" si="427"/>
        <v>65.400000000000006</v>
      </c>
      <c r="AH306" s="66">
        <f t="shared" si="428"/>
        <v>0</v>
      </c>
      <c r="AI306" s="66">
        <f t="shared" si="429"/>
        <v>0</v>
      </c>
      <c r="AJ306" s="66">
        <f>+IF($W306="","",ROUND((AG306*Parámetros!$G$85),2))</f>
        <v>2.29</v>
      </c>
      <c r="AK306" s="66">
        <f>+IF($W306="","",ROUND((AG306*(Parámetros!$G$86)),2))</f>
        <v>0.33</v>
      </c>
      <c r="AL306" s="66">
        <f t="shared" si="423"/>
        <v>68.02</v>
      </c>
      <c r="AM306" t="str">
        <f t="shared" si="383"/>
        <v>00059</v>
      </c>
      <c r="AN306" t="str">
        <f t="shared" si="384"/>
        <v>Incapacidad Total y Permanente</v>
      </c>
      <c r="AO306" s="118">
        <f t="shared" si="385"/>
        <v>0</v>
      </c>
      <c r="AP306" s="118" t="str">
        <f t="shared" si="386"/>
        <v>A</v>
      </c>
      <c r="AQ306" s="119" t="str">
        <f>+IF(OR($W306="",AO306=0),"",ROUND((VLOOKUP(ROUNDDOWN($D306-1/frec,0),cob_adi,Z$40,FALSE)*(1+i/frec)^-0.5*(1+Parámetros!$D$103)*(1+rec_fracc)/frec),6))</f>
        <v/>
      </c>
      <c r="AR306" s="66">
        <f t="shared" si="430"/>
        <v>0</v>
      </c>
      <c r="AS306" s="119" t="str">
        <f t="shared" si="431"/>
        <v/>
      </c>
      <c r="AT306" s="66">
        <f>+IF($W306="","",ROUND(IF($B306&gt;Parámetros!$D$107,'Tablas Servicio'!AR306+('Tablas Servicio'!AT305-'Tablas Servicio'!AR305),AR306/(1-IF(B306&lt;=10,Parámetros!$D$100,0))),2))</f>
        <v>0</v>
      </c>
      <c r="AU306" s="66">
        <f t="shared" si="432"/>
        <v>0</v>
      </c>
      <c r="AV306" s="66">
        <f t="shared" si="432"/>
        <v>0</v>
      </c>
      <c r="AW306" s="66">
        <f>+IF($W306="","",ROUND((AT306*Parámetros!$G$85),2))</f>
        <v>0</v>
      </c>
      <c r="AX306" s="66">
        <f>+IF($W306="","",ROUND((AT306*(Parámetros!$G$86)),2))</f>
        <v>0</v>
      </c>
      <c r="AY306" s="66">
        <f t="shared" si="433"/>
        <v>0</v>
      </c>
      <c r="AZ306" t="str">
        <f t="shared" si="387"/>
        <v>00060</v>
      </c>
      <c r="BA306" t="str">
        <f t="shared" si="388"/>
        <v>Muerte Accidental</v>
      </c>
      <c r="BB306" s="118">
        <f t="shared" si="389"/>
        <v>0</v>
      </c>
      <c r="BC306" s="118" t="str">
        <f t="shared" si="390"/>
        <v>A</v>
      </c>
      <c r="BD306" s="119" t="str">
        <f>+IF(OR($W306="",BB306=0),"",ROUND((VLOOKUP(ROUNDDOWN($D306-1/frec,0),cob_adi,AO$40,FALSE)*(1+i/frec)^-0.5*(1+Parámetros!$D$103)*(1+rec_fracc)/frec),6))</f>
        <v/>
      </c>
      <c r="BE306" s="66">
        <f t="shared" si="434"/>
        <v>0</v>
      </c>
      <c r="BF306" s="119" t="str">
        <f t="shared" si="435"/>
        <v/>
      </c>
      <c r="BG306" s="66">
        <f>+IF($W306="","",ROUND(IF($B306&gt;Parámetros!$D$107,'Tablas Servicio'!BE306+('Tablas Servicio'!BG305-'Tablas Servicio'!BE305),BE306/(1-IF(B306&lt;=10,Parámetros!$D$100,0))),2))</f>
        <v>0</v>
      </c>
      <c r="BH306" s="66">
        <f t="shared" si="436"/>
        <v>0</v>
      </c>
      <c r="BI306" s="66">
        <f t="shared" si="437"/>
        <v>0</v>
      </c>
      <c r="BJ306" s="66">
        <f>+IF($W306="","",ROUND((BG306*Parámetros!$G$85),2))</f>
        <v>0</v>
      </c>
      <c r="BK306" s="66">
        <f>+IF($W306="","",ROUND((BG306*(Parámetros!$G$86)),2))</f>
        <v>0</v>
      </c>
      <c r="BL306" s="66">
        <f t="shared" si="438"/>
        <v>0</v>
      </c>
      <c r="BM306" t="str">
        <f t="shared" si="391"/>
        <v>00061</v>
      </c>
      <c r="BN306" t="str">
        <f t="shared" si="392"/>
        <v>Gastos de Entierro</v>
      </c>
      <c r="BO306" s="118">
        <f t="shared" si="393"/>
        <v>0</v>
      </c>
      <c r="BP306" s="118" t="str">
        <f t="shared" si="394"/>
        <v>A</v>
      </c>
      <c r="BQ306" s="119" t="str">
        <f>+IF(OR($W306="",BO306=0),"",ROUND((VLOOKUP(ROUNDDOWN($D306-1/frec,0),cob_adi,BB$40,FALSE)*(1+i/frec)^-0.5*(1+Parámetros!$D$103)*(1+rec_fracc)/frec),6))</f>
        <v/>
      </c>
      <c r="BR306" s="66">
        <f t="shared" si="439"/>
        <v>0</v>
      </c>
      <c r="BS306" s="119" t="str">
        <f t="shared" si="440"/>
        <v/>
      </c>
      <c r="BT306" s="66">
        <f>+IF($W306="","",ROUND(IF($B306&gt;Parámetros!$D$107,'Tablas Servicio'!BR306+('Tablas Servicio'!BT305-'Tablas Servicio'!BR305),BR306/(1-IF(B306&lt;=10,Parámetros!$D$100,0))),2))</f>
        <v>0</v>
      </c>
      <c r="BU306" s="66">
        <f t="shared" si="441"/>
        <v>0</v>
      </c>
      <c r="BV306" s="66">
        <f t="shared" si="441"/>
        <v>0</v>
      </c>
      <c r="BW306" s="66">
        <f>+IF($W306="","",ROUND((BT306*Parámetros!$G$85),2))</f>
        <v>0</v>
      </c>
      <c r="BX306" s="66">
        <f>+IF($W306="","",ROUND((BT306*(Parámetros!$G$86)),2))</f>
        <v>0</v>
      </c>
      <c r="BY306" s="66">
        <f t="shared" si="442"/>
        <v>0</v>
      </c>
      <c r="BZ306" t="str">
        <f t="shared" si="395"/>
        <v>00062</v>
      </c>
      <c r="CA306" t="str">
        <f t="shared" si="396"/>
        <v>Gastos médicos por accidente</v>
      </c>
      <c r="CB306" s="118">
        <f t="shared" si="397"/>
        <v>0</v>
      </c>
      <c r="CC306" s="118" t="str">
        <f t="shared" si="398"/>
        <v>A</v>
      </c>
      <c r="CD306" s="119" t="str">
        <f t="shared" si="443"/>
        <v/>
      </c>
      <c r="CE306" s="66">
        <f>+IF($W306="","",ROUND((VLOOKUP(ROUNDDOWN($D306-1/frec,0),cob_adi,BO$40,FALSE)*(1+i/frec)^-0.5*(1+Parámetros!$D$103)*(1+rec_fracc)/frec*'TABLAS ADI'!$BC$17),2))</f>
        <v>0</v>
      </c>
      <c r="CF306" s="119" t="str">
        <f t="shared" si="444"/>
        <v/>
      </c>
      <c r="CG306" s="66">
        <f>+IF($W306="","",ROUND(IF($B306&gt;Parámetros!$D$107,'Tablas Servicio'!CE306+('Tablas Servicio'!CG305-'Tablas Servicio'!CE305),CE306/(1-IF(B306&lt;=10,Parámetros!$D$100,0))),2))</f>
        <v>0</v>
      </c>
      <c r="CH306" s="66">
        <f t="shared" si="445"/>
        <v>0</v>
      </c>
      <c r="CI306" s="66">
        <f t="shared" si="445"/>
        <v>0</v>
      </c>
      <c r="CJ306" s="66">
        <f>+IF($W306="","",ROUND((CG306*Parámetros!$G$85),2))</f>
        <v>0</v>
      </c>
      <c r="CK306" s="66">
        <f>+IF($W306="","",ROUND((CG306*(Parámetros!$G$86)),2))</f>
        <v>0</v>
      </c>
      <c r="CL306" s="66">
        <f t="shared" si="446"/>
        <v>0</v>
      </c>
      <c r="CM306" t="str">
        <f t="shared" si="399"/>
        <v>00063</v>
      </c>
      <c r="CN306" s="118" t="str">
        <f t="shared" si="400"/>
        <v>Renta Diaria por Hospitalización</v>
      </c>
      <c r="CO306" s="118">
        <f t="shared" si="401"/>
        <v>0</v>
      </c>
      <c r="CP306" s="118" t="str">
        <f t="shared" si="402"/>
        <v>A</v>
      </c>
      <c r="CQ306" s="119" t="str">
        <f t="shared" si="447"/>
        <v/>
      </c>
      <c r="CR306" s="66">
        <f>+IF($W306="","",ROUND((VLOOKUP(Parámetros!$F$51,'COBERTURAS ADICIONALES'!$S$4:$T$32,2,FALSE)*(1+i/frec)^-0.5*(1+Parámetros!$D$103)*(1+rec_fracc)/frec*$CO$42),2))</f>
        <v>0</v>
      </c>
      <c r="CS306" s="119" t="str">
        <f t="shared" si="448"/>
        <v/>
      </c>
      <c r="CT306" s="66">
        <f>+IF($W306="","",ROUND(IF($B306&gt;Parámetros!$D$107,'Tablas Servicio'!CR306+('Tablas Servicio'!CT305-'Tablas Servicio'!CR305),CR306/(1-IF(B306&lt;=10,Parámetros!$D$100,0))),2))</f>
        <v>0</v>
      </c>
      <c r="CU306" s="66">
        <f t="shared" si="449"/>
        <v>0</v>
      </c>
      <c r="CV306" s="66">
        <f t="shared" si="449"/>
        <v>0</v>
      </c>
      <c r="CW306" s="66">
        <f>+IF($W306="","",ROUND((CT306*Parámetros!$G$85),2))</f>
        <v>0</v>
      </c>
      <c r="CX306" s="66">
        <f>+IF($W306="","",ROUND((CT306*(Parámetros!$G$86)),2))</f>
        <v>0</v>
      </c>
      <c r="CY306" s="66">
        <f t="shared" si="450"/>
        <v>0</v>
      </c>
      <c r="CZ306" t="str">
        <f t="shared" si="403"/>
        <v>00064</v>
      </c>
      <c r="DA306" s="118" t="str">
        <f t="shared" si="404"/>
        <v>Enfermedades Graves</v>
      </c>
      <c r="DB306" s="118">
        <f t="shared" si="405"/>
        <v>0</v>
      </c>
      <c r="DC306" s="118" t="str">
        <f t="shared" si="406"/>
        <v>A</v>
      </c>
      <c r="DD306" s="121" t="str">
        <f>+IF(OR($W306="",DB306=0),"",ROUND((VLOOKUP(ROUNDDOWN($D306-1/frec,0),cob_adi,CO$40,FALSE)*(1+i/frec)^-0.5*(1+Parámetros!$D$103)*(1+rec_fracc)/frec),6))</f>
        <v/>
      </c>
      <c r="DE306" s="66">
        <f t="shared" si="451"/>
        <v>0</v>
      </c>
      <c r="DF306" s="119" t="str">
        <f t="shared" si="452"/>
        <v/>
      </c>
      <c r="DG306" s="66">
        <f>+IF($W306="","",ROUND(IF($B306&gt;Parámetros!$D$107,'Tablas Servicio'!DE306+('Tablas Servicio'!DG305-'Tablas Servicio'!DE305),DE306/(1-IF(B306&lt;=10,Parámetros!$D$100,0))),2))</f>
        <v>0</v>
      </c>
      <c r="DH306" s="66">
        <f t="shared" si="453"/>
        <v>0</v>
      </c>
      <c r="DI306" s="66">
        <f t="shared" si="453"/>
        <v>0</v>
      </c>
      <c r="DJ306" s="66">
        <f>+IF($W306="","",ROUND((DG306*Parámetros!$G$85),2))</f>
        <v>0</v>
      </c>
      <c r="DK306" s="66">
        <f>+IF($W306="","",ROUND((DG306*(Parámetros!$G$86)),2))</f>
        <v>0</v>
      </c>
      <c r="DL306" s="66">
        <f t="shared" si="454"/>
        <v>0</v>
      </c>
      <c r="DM306" t="str">
        <f t="shared" si="407"/>
        <v>00065</v>
      </c>
      <c r="DN306" s="118" t="str">
        <f t="shared" si="408"/>
        <v>Exención pago de primas</v>
      </c>
      <c r="DO306" s="118">
        <f t="shared" si="409"/>
        <v>0</v>
      </c>
      <c r="DP306" s="118" t="str">
        <f t="shared" si="410"/>
        <v>A</v>
      </c>
      <c r="DQ306" s="122" t="str">
        <f>+IF(OR($W306="",DO306=0),"",ROUND((VLOOKUP(ROUNDDOWN($D306-1/frec,0),cob_adi,DB$40,FALSE)*(1+i/frec)^-0.5*(1+Parámetros!$D$103)*(1+rec_fracc)/frec),6))</f>
        <v/>
      </c>
      <c r="DR306" s="66">
        <f t="shared" si="455"/>
        <v>0</v>
      </c>
      <c r="DS306" s="68" t="str">
        <f t="shared" si="456"/>
        <v/>
      </c>
      <c r="DT306" s="66">
        <f>+IF($W306="","",ROUND(IF($B306&gt;Parámetros!$D$107,'Tablas Servicio'!DR306+('Tablas Servicio'!DT305-'Tablas Servicio'!DR305),DR306/(1-IF(B306&lt;=10,Parámetros!$D$100,0))),2))</f>
        <v>0</v>
      </c>
      <c r="DU306" s="66">
        <f t="shared" si="457"/>
        <v>0</v>
      </c>
      <c r="DV306" s="66">
        <f t="shared" si="457"/>
        <v>0</v>
      </c>
      <c r="DW306" s="66">
        <f>+IF($W306="","",ROUND((DT306*Parámetros!$G$85),2))</f>
        <v>0</v>
      </c>
      <c r="DX306" s="66">
        <f>+IF($W306="","",ROUND((DT306*(Parámetros!$G$86)),2))</f>
        <v>0</v>
      </c>
      <c r="DY306" s="66">
        <f t="shared" si="458"/>
        <v>0</v>
      </c>
      <c r="DZ306" t="str">
        <f t="shared" si="459"/>
        <v>00066</v>
      </c>
      <c r="EA306" s="118" t="str">
        <f t="shared" si="459"/>
        <v>Enfermedad terminal</v>
      </c>
      <c r="EB306" s="118">
        <f>+IF($W306="","",ROUND(IF(Parámetros!$D$25='TABLAS MORT'!$V$33,EB305,Z306/2),0))</f>
        <v>50000</v>
      </c>
      <c r="EC306" s="118" t="str">
        <f t="shared" si="459"/>
        <v>A</v>
      </c>
      <c r="ED306" s="122">
        <f>+IF(OR($W306="",EB306=0),"",ROUND((VLOOKUP(ROUNDDOWN($D306-1/frec,0),cob_adi,DO$40,FALSE)*(1+i/frec)^-0.5*(1+Parámetros!$D$103)*(1+rec_fracc)/frec),6))</f>
        <v>3.8999999999999999E-5</v>
      </c>
      <c r="EE306" s="66">
        <f t="shared" si="460"/>
        <v>1.95</v>
      </c>
      <c r="EF306" s="68">
        <f t="shared" si="461"/>
        <v>3.8999999999999999E-5</v>
      </c>
      <c r="EG306" s="66">
        <f>+IF($W306="","",ROUND(IF($B306&gt;Parámetros!$D$107,'Tablas Servicio'!EE306+('Tablas Servicio'!EG305-'Tablas Servicio'!EE305),EE306/(1-IF(B306&lt;=10,Parámetros!$D$100,0))),2))</f>
        <v>1.95</v>
      </c>
      <c r="EH306" s="66">
        <f t="shared" si="462"/>
        <v>0</v>
      </c>
      <c r="EI306" s="66">
        <f t="shared" si="462"/>
        <v>0</v>
      </c>
      <c r="EJ306" s="66">
        <f>+IF($W306="","",ROUND((EG306*Parámetros!$G$85),2))</f>
        <v>7.0000000000000007E-2</v>
      </c>
      <c r="EK306" s="66">
        <f>+IF($W306="","",ROUND((EG306*(Parámetros!$G$86)),2))</f>
        <v>0.01</v>
      </c>
      <c r="EL306" s="66">
        <f t="shared" si="463"/>
        <v>2.0299999999999998</v>
      </c>
    </row>
    <row r="307" spans="1:142" x14ac:dyDescent="0.25">
      <c r="A307">
        <f>+IF($C307="","",ROUND(VLOOKUP('Tablas Servicio'!B307,Parámetros!$H$100:$J$159,IF(Parámetros!$E$16="F",2,3),FALSE),2))</f>
        <v>150</v>
      </c>
      <c r="B307">
        <f t="shared" si="414"/>
        <v>23</v>
      </c>
      <c r="C307" s="57">
        <f>+IF(D307="","",'Tablas Servicio'!C306+1)</f>
        <v>266</v>
      </c>
      <c r="D307" s="56">
        <f>+IF(D306&lt;edadmaxtabla,D306+1/Parámetros!$E$25,"")</f>
        <v>62.1866666666673</v>
      </c>
      <c r="E307" s="57">
        <f t="shared" si="424"/>
        <v>62</v>
      </c>
      <c r="F307" s="59">
        <f t="shared" si="425"/>
        <v>100000</v>
      </c>
      <c r="G307" s="66">
        <f t="shared" si="415"/>
        <v>67.350000000000009</v>
      </c>
      <c r="H307" s="66">
        <f t="shared" si="416"/>
        <v>70.05</v>
      </c>
      <c r="I307" s="66">
        <f t="shared" si="376"/>
        <v>23.950000000000003</v>
      </c>
      <c r="J307" s="66">
        <f t="shared" si="417"/>
        <v>2.36</v>
      </c>
      <c r="K307" s="66">
        <f t="shared" si="418"/>
        <v>0.34</v>
      </c>
      <c r="L307" s="66">
        <f t="shared" si="419"/>
        <v>0</v>
      </c>
      <c r="M307" s="66">
        <f t="shared" si="420"/>
        <v>0</v>
      </c>
      <c r="N307" s="66">
        <f>+IF(C307="","",ROUND(Parámetros!$D$23,2))</f>
        <v>94</v>
      </c>
      <c r="O307" s="66">
        <f t="shared" si="421"/>
        <v>54.85</v>
      </c>
      <c r="P307" s="66">
        <f>+IF($C307="","",ROUND(IF(B307&gt;Parámetros!$D$117,0,N307*Parámetros!$D$116-G307*Parámetros!$D$100),2))</f>
        <v>0</v>
      </c>
      <c r="Q307" s="75">
        <f t="shared" si="377"/>
        <v>3.5040831477357086E-2</v>
      </c>
      <c r="R307" s="75">
        <f t="shared" si="378"/>
        <v>5.0482553823311058E-3</v>
      </c>
      <c r="S307" s="117">
        <f>+IF($C307="","",ROUND((S306+I307)*(1+Parámetros!$D$91),2))</f>
        <v>19967.150000000001</v>
      </c>
      <c r="T307" s="117">
        <f>+IF($C307="","",ROUND(S307*VLOOKUP(B307,Parámetros!$C$30:$D$39,2,TRUE),2))</f>
        <v>19967.150000000001</v>
      </c>
      <c r="U307" s="117">
        <f>+IF($C307="","",ROUND((U306+I307)*(1+Parámetros!$D$92),2))</f>
        <v>21320.87</v>
      </c>
      <c r="V307" s="117">
        <f>+IF($C307="","",ROUND(U307*VLOOKUP(B307,Parámetros!$C$30:$D$39,2,TRUE),2))</f>
        <v>21320.87</v>
      </c>
      <c r="W307" s="57">
        <f t="shared" si="379"/>
        <v>266</v>
      </c>
      <c r="X307" t="str">
        <f t="shared" si="380"/>
        <v>00058</v>
      </c>
      <c r="Y307" t="str">
        <f t="shared" si="381"/>
        <v>MUERTE POR CUALQUIER CAUSA</v>
      </c>
      <c r="Z307" s="118">
        <f>+IF($W307="","",ROUND(IF(Parámetros!$D$25='TABLAS MORT'!$V$33,Z306,Parámetros!$D$21-'Tablas Servicio'!T306),0))</f>
        <v>100000</v>
      </c>
      <c r="AA307" s="118" t="str">
        <f t="shared" si="382"/>
        <v>P</v>
      </c>
      <c r="AB307" s="119">
        <f>+IF(W307="","",ROUND((VLOOKUP(ROUNDDOWN($D307-1/frec,0),qx_tabla,2,FALSE)*(1+i/frec)^-0.5*(1+Parámetros!$D$103)*(1+rec_fracc)/frec),6))</f>
        <v>5.2899999999999996E-4</v>
      </c>
      <c r="AC307" s="66">
        <f t="shared" si="426"/>
        <v>52.9</v>
      </c>
      <c r="AD307" s="119">
        <f t="shared" si="422"/>
        <v>6.5399999999999996E-4</v>
      </c>
      <c r="AE307" s="66">
        <f>+IF($W307="","",ROUND(IF($B307&gt;Parámetros!$D$107,'Tablas Servicio'!AC307+('Tablas Servicio'!AG306-'Tablas Servicio'!AC306),AC307/(1-IF(B307&lt;=10,Parámetros!$D$104,Parámetros!$D$105))),2))</f>
        <v>88.17</v>
      </c>
      <c r="AF307" s="66">
        <f>+IF($W307="","",ROUND(IF($B307&gt;Parámetros!$D$107,'Tablas Servicio'!AC307+('Tablas Servicio'!AG306-'Tablas Servicio'!AC306),(AC307+$A306/frec)/(1-IF(B307&lt;=Parámetros!$D$117,Parámetros!$D$100,0))),2))</f>
        <v>65.400000000000006</v>
      </c>
      <c r="AG307" s="66">
        <f t="shared" si="427"/>
        <v>65.400000000000006</v>
      </c>
      <c r="AH307" s="66">
        <f t="shared" si="428"/>
        <v>0</v>
      </c>
      <c r="AI307" s="66">
        <f t="shared" si="429"/>
        <v>0</v>
      </c>
      <c r="AJ307" s="66">
        <f>+IF($W307="","",ROUND((AG307*Parámetros!$G$85),2))</f>
        <v>2.29</v>
      </c>
      <c r="AK307" s="66">
        <f>+IF($W307="","",ROUND((AG307*(Parámetros!$G$86)),2))</f>
        <v>0.33</v>
      </c>
      <c r="AL307" s="66">
        <f t="shared" si="423"/>
        <v>68.02</v>
      </c>
      <c r="AM307" t="str">
        <f t="shared" si="383"/>
        <v>00059</v>
      </c>
      <c r="AN307" t="str">
        <f t="shared" si="384"/>
        <v>Incapacidad Total y Permanente</v>
      </c>
      <c r="AO307" s="118">
        <f t="shared" si="385"/>
        <v>0</v>
      </c>
      <c r="AP307" s="118" t="str">
        <f t="shared" si="386"/>
        <v>A</v>
      </c>
      <c r="AQ307" s="119" t="str">
        <f>+IF(OR($W307="",AO307=0),"",ROUND((VLOOKUP(ROUNDDOWN($D307-1/frec,0),cob_adi,Z$40,FALSE)*(1+i/frec)^-0.5*(1+Parámetros!$D$103)*(1+rec_fracc)/frec),6))</f>
        <v/>
      </c>
      <c r="AR307" s="66">
        <f t="shared" si="430"/>
        <v>0</v>
      </c>
      <c r="AS307" s="119" t="str">
        <f t="shared" si="431"/>
        <v/>
      </c>
      <c r="AT307" s="66">
        <f>+IF($W307="","",ROUND(IF($B307&gt;Parámetros!$D$107,'Tablas Servicio'!AR307+('Tablas Servicio'!AT306-'Tablas Servicio'!AR306),AR307/(1-IF(B307&lt;=10,Parámetros!$D$100,0))),2))</f>
        <v>0</v>
      </c>
      <c r="AU307" s="66">
        <f t="shared" si="432"/>
        <v>0</v>
      </c>
      <c r="AV307" s="66">
        <f t="shared" si="432"/>
        <v>0</v>
      </c>
      <c r="AW307" s="66">
        <f>+IF($W307="","",ROUND((AT307*Parámetros!$G$85),2))</f>
        <v>0</v>
      </c>
      <c r="AX307" s="66">
        <f>+IF($W307="","",ROUND((AT307*(Parámetros!$G$86)),2))</f>
        <v>0</v>
      </c>
      <c r="AY307" s="66">
        <f t="shared" si="433"/>
        <v>0</v>
      </c>
      <c r="AZ307" t="str">
        <f t="shared" si="387"/>
        <v>00060</v>
      </c>
      <c r="BA307" t="str">
        <f t="shared" si="388"/>
        <v>Muerte Accidental</v>
      </c>
      <c r="BB307" s="118">
        <f t="shared" si="389"/>
        <v>0</v>
      </c>
      <c r="BC307" s="118" t="str">
        <f t="shared" si="390"/>
        <v>A</v>
      </c>
      <c r="BD307" s="119" t="str">
        <f>+IF(OR($W307="",BB307=0),"",ROUND((VLOOKUP(ROUNDDOWN($D307-1/frec,0),cob_adi,AO$40,FALSE)*(1+i/frec)^-0.5*(1+Parámetros!$D$103)*(1+rec_fracc)/frec),6))</f>
        <v/>
      </c>
      <c r="BE307" s="66">
        <f t="shared" si="434"/>
        <v>0</v>
      </c>
      <c r="BF307" s="119" t="str">
        <f t="shared" si="435"/>
        <v/>
      </c>
      <c r="BG307" s="66">
        <f>+IF($W307="","",ROUND(IF($B307&gt;Parámetros!$D$107,'Tablas Servicio'!BE307+('Tablas Servicio'!BG306-'Tablas Servicio'!BE306),BE307/(1-IF(B307&lt;=10,Parámetros!$D$100,0))),2))</f>
        <v>0</v>
      </c>
      <c r="BH307" s="66">
        <f t="shared" si="436"/>
        <v>0</v>
      </c>
      <c r="BI307" s="66">
        <f t="shared" si="437"/>
        <v>0</v>
      </c>
      <c r="BJ307" s="66">
        <f>+IF($W307="","",ROUND((BG307*Parámetros!$G$85),2))</f>
        <v>0</v>
      </c>
      <c r="BK307" s="66">
        <f>+IF($W307="","",ROUND((BG307*(Parámetros!$G$86)),2))</f>
        <v>0</v>
      </c>
      <c r="BL307" s="66">
        <f t="shared" si="438"/>
        <v>0</v>
      </c>
      <c r="BM307" t="str">
        <f t="shared" si="391"/>
        <v>00061</v>
      </c>
      <c r="BN307" t="str">
        <f t="shared" si="392"/>
        <v>Gastos de Entierro</v>
      </c>
      <c r="BO307" s="118">
        <f t="shared" si="393"/>
        <v>0</v>
      </c>
      <c r="BP307" s="118" t="str">
        <f t="shared" si="394"/>
        <v>A</v>
      </c>
      <c r="BQ307" s="119" t="str">
        <f>+IF(OR($W307="",BO307=0),"",ROUND((VLOOKUP(ROUNDDOWN($D307-1/frec,0),cob_adi,BB$40,FALSE)*(1+i/frec)^-0.5*(1+Parámetros!$D$103)*(1+rec_fracc)/frec),6))</f>
        <v/>
      </c>
      <c r="BR307" s="66">
        <f t="shared" si="439"/>
        <v>0</v>
      </c>
      <c r="BS307" s="119" t="str">
        <f t="shared" si="440"/>
        <v/>
      </c>
      <c r="BT307" s="66">
        <f>+IF($W307="","",ROUND(IF($B307&gt;Parámetros!$D$107,'Tablas Servicio'!BR307+('Tablas Servicio'!BT306-'Tablas Servicio'!BR306),BR307/(1-IF(B307&lt;=10,Parámetros!$D$100,0))),2))</f>
        <v>0</v>
      </c>
      <c r="BU307" s="66">
        <f t="shared" si="441"/>
        <v>0</v>
      </c>
      <c r="BV307" s="66">
        <f t="shared" si="441"/>
        <v>0</v>
      </c>
      <c r="BW307" s="66">
        <f>+IF($W307="","",ROUND((BT307*Parámetros!$G$85),2))</f>
        <v>0</v>
      </c>
      <c r="BX307" s="66">
        <f>+IF($W307="","",ROUND((BT307*(Parámetros!$G$86)),2))</f>
        <v>0</v>
      </c>
      <c r="BY307" s="66">
        <f t="shared" si="442"/>
        <v>0</v>
      </c>
      <c r="BZ307" t="str">
        <f t="shared" si="395"/>
        <v>00062</v>
      </c>
      <c r="CA307" t="str">
        <f t="shared" si="396"/>
        <v>Gastos médicos por accidente</v>
      </c>
      <c r="CB307" s="118">
        <f t="shared" si="397"/>
        <v>0</v>
      </c>
      <c r="CC307" s="118" t="str">
        <f t="shared" si="398"/>
        <v>A</v>
      </c>
      <c r="CD307" s="119" t="str">
        <f t="shared" si="443"/>
        <v/>
      </c>
      <c r="CE307" s="66">
        <f>+IF($W307="","",ROUND((VLOOKUP(ROUNDDOWN($D307-1/frec,0),cob_adi,BO$40,FALSE)*(1+i/frec)^-0.5*(1+Parámetros!$D$103)*(1+rec_fracc)/frec*'TABLAS ADI'!$BC$17),2))</f>
        <v>0</v>
      </c>
      <c r="CF307" s="119" t="str">
        <f t="shared" si="444"/>
        <v/>
      </c>
      <c r="CG307" s="66">
        <f>+IF($W307="","",ROUND(IF($B307&gt;Parámetros!$D$107,'Tablas Servicio'!CE307+('Tablas Servicio'!CG306-'Tablas Servicio'!CE306),CE307/(1-IF(B307&lt;=10,Parámetros!$D$100,0))),2))</f>
        <v>0</v>
      </c>
      <c r="CH307" s="66">
        <f t="shared" si="445"/>
        <v>0</v>
      </c>
      <c r="CI307" s="66">
        <f t="shared" si="445"/>
        <v>0</v>
      </c>
      <c r="CJ307" s="66">
        <f>+IF($W307="","",ROUND((CG307*Parámetros!$G$85),2))</f>
        <v>0</v>
      </c>
      <c r="CK307" s="66">
        <f>+IF($W307="","",ROUND((CG307*(Parámetros!$G$86)),2))</f>
        <v>0</v>
      </c>
      <c r="CL307" s="66">
        <f t="shared" si="446"/>
        <v>0</v>
      </c>
      <c r="CM307" t="str">
        <f t="shared" si="399"/>
        <v>00063</v>
      </c>
      <c r="CN307" s="118" t="str">
        <f t="shared" si="400"/>
        <v>Renta Diaria por Hospitalización</v>
      </c>
      <c r="CO307" s="118">
        <f t="shared" si="401"/>
        <v>0</v>
      </c>
      <c r="CP307" s="118" t="str">
        <f t="shared" si="402"/>
        <v>A</v>
      </c>
      <c r="CQ307" s="119" t="str">
        <f t="shared" si="447"/>
        <v/>
      </c>
      <c r="CR307" s="66">
        <f>+IF($W307="","",ROUND((VLOOKUP(Parámetros!$F$51,'COBERTURAS ADICIONALES'!$S$4:$T$32,2,FALSE)*(1+i/frec)^-0.5*(1+Parámetros!$D$103)*(1+rec_fracc)/frec*$CO$42),2))</f>
        <v>0</v>
      </c>
      <c r="CS307" s="119" t="str">
        <f t="shared" si="448"/>
        <v/>
      </c>
      <c r="CT307" s="66">
        <f>+IF($W307="","",ROUND(IF($B307&gt;Parámetros!$D$107,'Tablas Servicio'!CR307+('Tablas Servicio'!CT306-'Tablas Servicio'!CR306),CR307/(1-IF(B307&lt;=10,Parámetros!$D$100,0))),2))</f>
        <v>0</v>
      </c>
      <c r="CU307" s="66">
        <f t="shared" si="449"/>
        <v>0</v>
      </c>
      <c r="CV307" s="66">
        <f t="shared" si="449"/>
        <v>0</v>
      </c>
      <c r="CW307" s="66">
        <f>+IF($W307="","",ROUND((CT307*Parámetros!$G$85),2))</f>
        <v>0</v>
      </c>
      <c r="CX307" s="66">
        <f>+IF($W307="","",ROUND((CT307*(Parámetros!$G$86)),2))</f>
        <v>0</v>
      </c>
      <c r="CY307" s="66">
        <f t="shared" si="450"/>
        <v>0</v>
      </c>
      <c r="CZ307" t="str">
        <f t="shared" si="403"/>
        <v>00064</v>
      </c>
      <c r="DA307" s="118" t="str">
        <f t="shared" si="404"/>
        <v>Enfermedades Graves</v>
      </c>
      <c r="DB307" s="118">
        <f t="shared" si="405"/>
        <v>0</v>
      </c>
      <c r="DC307" s="118" t="str">
        <f t="shared" si="406"/>
        <v>A</v>
      </c>
      <c r="DD307" s="121" t="str">
        <f>+IF(OR($W307="",DB307=0),"",ROUND((VLOOKUP(ROUNDDOWN($D307-1/frec,0),cob_adi,CO$40,FALSE)*(1+i/frec)^-0.5*(1+Parámetros!$D$103)*(1+rec_fracc)/frec),6))</f>
        <v/>
      </c>
      <c r="DE307" s="66">
        <f t="shared" si="451"/>
        <v>0</v>
      </c>
      <c r="DF307" s="119" t="str">
        <f t="shared" si="452"/>
        <v/>
      </c>
      <c r="DG307" s="66">
        <f>+IF($W307="","",ROUND(IF($B307&gt;Parámetros!$D$107,'Tablas Servicio'!DE307+('Tablas Servicio'!DG306-'Tablas Servicio'!DE306),DE307/(1-IF(B307&lt;=10,Parámetros!$D$100,0))),2))</f>
        <v>0</v>
      </c>
      <c r="DH307" s="66">
        <f t="shared" si="453"/>
        <v>0</v>
      </c>
      <c r="DI307" s="66">
        <f t="shared" si="453"/>
        <v>0</v>
      </c>
      <c r="DJ307" s="66">
        <f>+IF($W307="","",ROUND((DG307*Parámetros!$G$85),2))</f>
        <v>0</v>
      </c>
      <c r="DK307" s="66">
        <f>+IF($W307="","",ROUND((DG307*(Parámetros!$G$86)),2))</f>
        <v>0</v>
      </c>
      <c r="DL307" s="66">
        <f t="shared" si="454"/>
        <v>0</v>
      </c>
      <c r="DM307" t="str">
        <f t="shared" si="407"/>
        <v>00065</v>
      </c>
      <c r="DN307" s="118" t="str">
        <f t="shared" si="408"/>
        <v>Exención pago de primas</v>
      </c>
      <c r="DO307" s="118">
        <f t="shared" si="409"/>
        <v>0</v>
      </c>
      <c r="DP307" s="118" t="str">
        <f t="shared" si="410"/>
        <v>A</v>
      </c>
      <c r="DQ307" s="122" t="str">
        <f>+IF(OR($W307="",DO307=0),"",ROUND((VLOOKUP(ROUNDDOWN($D307-1/frec,0),cob_adi,DB$40,FALSE)*(1+i/frec)^-0.5*(1+Parámetros!$D$103)*(1+rec_fracc)/frec),6))</f>
        <v/>
      </c>
      <c r="DR307" s="66">
        <f t="shared" si="455"/>
        <v>0</v>
      </c>
      <c r="DS307" s="68" t="str">
        <f t="shared" si="456"/>
        <v/>
      </c>
      <c r="DT307" s="66">
        <f>+IF($W307="","",ROUND(IF($B307&gt;Parámetros!$D$107,'Tablas Servicio'!DR307+('Tablas Servicio'!DT306-'Tablas Servicio'!DR306),DR307/(1-IF(B307&lt;=10,Parámetros!$D$100,0))),2))</f>
        <v>0</v>
      </c>
      <c r="DU307" s="66">
        <f t="shared" si="457"/>
        <v>0</v>
      </c>
      <c r="DV307" s="66">
        <f t="shared" si="457"/>
        <v>0</v>
      </c>
      <c r="DW307" s="66">
        <f>+IF($W307="","",ROUND((DT307*Parámetros!$G$85),2))</f>
        <v>0</v>
      </c>
      <c r="DX307" s="66">
        <f>+IF($W307="","",ROUND((DT307*(Parámetros!$G$86)),2))</f>
        <v>0</v>
      </c>
      <c r="DY307" s="66">
        <f t="shared" si="458"/>
        <v>0</v>
      </c>
      <c r="DZ307" t="str">
        <f t="shared" si="459"/>
        <v>00066</v>
      </c>
      <c r="EA307" s="118" t="str">
        <f t="shared" si="459"/>
        <v>Enfermedad terminal</v>
      </c>
      <c r="EB307" s="118">
        <f>+IF($W307="","",ROUND(IF(Parámetros!$D$25='TABLAS MORT'!$V$33,EB306,Z307/2),0))</f>
        <v>50000</v>
      </c>
      <c r="EC307" s="118" t="str">
        <f t="shared" si="459"/>
        <v>A</v>
      </c>
      <c r="ED307" s="122">
        <f>+IF(OR($W307="",EB307=0),"",ROUND((VLOOKUP(ROUNDDOWN($D307-1/frec,0),cob_adi,DO$40,FALSE)*(1+i/frec)^-0.5*(1+Parámetros!$D$103)*(1+rec_fracc)/frec),6))</f>
        <v>3.8999999999999999E-5</v>
      </c>
      <c r="EE307" s="66">
        <f t="shared" si="460"/>
        <v>1.95</v>
      </c>
      <c r="EF307" s="68">
        <f t="shared" si="461"/>
        <v>3.8999999999999999E-5</v>
      </c>
      <c r="EG307" s="66">
        <f>+IF($W307="","",ROUND(IF($B307&gt;Parámetros!$D$107,'Tablas Servicio'!EE307+('Tablas Servicio'!EG306-'Tablas Servicio'!EE306),EE307/(1-IF(B307&lt;=10,Parámetros!$D$100,0))),2))</f>
        <v>1.95</v>
      </c>
      <c r="EH307" s="66">
        <f t="shared" si="462"/>
        <v>0</v>
      </c>
      <c r="EI307" s="66">
        <f t="shared" si="462"/>
        <v>0</v>
      </c>
      <c r="EJ307" s="66">
        <f>+IF($W307="","",ROUND((EG307*Parámetros!$G$85),2))</f>
        <v>7.0000000000000007E-2</v>
      </c>
      <c r="EK307" s="66">
        <f>+IF($W307="","",ROUND((EG307*(Parámetros!$G$86)),2))</f>
        <v>0.01</v>
      </c>
      <c r="EL307" s="66">
        <f t="shared" si="463"/>
        <v>2.0299999999999998</v>
      </c>
    </row>
    <row r="308" spans="1:142" x14ac:dyDescent="0.25">
      <c r="A308">
        <f>+IF($C308="","",ROUND(VLOOKUP('Tablas Servicio'!B308,Parámetros!$H$100:$J$159,IF(Parámetros!$E$16="F",2,3),FALSE),2))</f>
        <v>150</v>
      </c>
      <c r="B308">
        <f t="shared" si="414"/>
        <v>23</v>
      </c>
      <c r="C308" s="57">
        <f>+IF(D308="","",'Tablas Servicio'!C307+1)</f>
        <v>267</v>
      </c>
      <c r="D308" s="56">
        <f>+IF(D307&lt;edadmaxtabla,D307+1/Parámetros!$E$25,"")</f>
        <v>62.270000000000636</v>
      </c>
      <c r="E308" s="57">
        <f t="shared" si="424"/>
        <v>62</v>
      </c>
      <c r="F308" s="59">
        <f t="shared" si="425"/>
        <v>100000</v>
      </c>
      <c r="G308" s="66">
        <f t="shared" si="415"/>
        <v>67.350000000000009</v>
      </c>
      <c r="H308" s="66">
        <f t="shared" si="416"/>
        <v>70.05</v>
      </c>
      <c r="I308" s="66">
        <f t="shared" si="376"/>
        <v>23.950000000000003</v>
      </c>
      <c r="J308" s="66">
        <f t="shared" si="417"/>
        <v>2.36</v>
      </c>
      <c r="K308" s="66">
        <f t="shared" si="418"/>
        <v>0.34</v>
      </c>
      <c r="L308" s="66">
        <f t="shared" si="419"/>
        <v>0</v>
      </c>
      <c r="M308" s="66">
        <f t="shared" si="420"/>
        <v>0</v>
      </c>
      <c r="N308" s="66">
        <f>+IF(C308="","",ROUND(Parámetros!$D$23,2))</f>
        <v>94</v>
      </c>
      <c r="O308" s="66">
        <f t="shared" si="421"/>
        <v>54.85</v>
      </c>
      <c r="P308" s="66">
        <f>+IF($C308="","",ROUND(IF(B308&gt;Parámetros!$D$117,0,N308*Parámetros!$D$116-G308*Parámetros!$D$100),2))</f>
        <v>0</v>
      </c>
      <c r="Q308" s="75">
        <f t="shared" si="377"/>
        <v>3.5040831477357086E-2</v>
      </c>
      <c r="R308" s="75">
        <f t="shared" si="378"/>
        <v>5.0482553823311058E-3</v>
      </c>
      <c r="S308" s="117">
        <f>+IF($C308="","",ROUND((S307+I308)*(1+Parámetros!$D$91),2))</f>
        <v>20047.8</v>
      </c>
      <c r="T308" s="117">
        <f>+IF($C308="","",ROUND(S308*VLOOKUP(B308,Parámetros!$C$30:$D$39,2,TRUE),2))</f>
        <v>20047.8</v>
      </c>
      <c r="U308" s="117">
        <f>+IF($C308="","",ROUND((U307+I308)*(1+Parámetros!$D$92),2))</f>
        <v>21414.01</v>
      </c>
      <c r="V308" s="117">
        <f>+IF($C308="","",ROUND(U308*VLOOKUP(B308,Parámetros!$C$30:$D$39,2,TRUE),2))</f>
        <v>21414.01</v>
      </c>
      <c r="W308" s="57">
        <f t="shared" si="379"/>
        <v>267</v>
      </c>
      <c r="X308" t="str">
        <f t="shared" si="380"/>
        <v>00058</v>
      </c>
      <c r="Y308" t="str">
        <f t="shared" si="381"/>
        <v>MUERTE POR CUALQUIER CAUSA</v>
      </c>
      <c r="Z308" s="118">
        <f>+IF($W308="","",ROUND(IF(Parámetros!$D$25='TABLAS MORT'!$V$33,Z307,Parámetros!$D$21-'Tablas Servicio'!T307),0))</f>
        <v>100000</v>
      </c>
      <c r="AA308" s="118" t="str">
        <f t="shared" si="382"/>
        <v>P</v>
      </c>
      <c r="AB308" s="119">
        <f>+IF(W308="","",ROUND((VLOOKUP(ROUNDDOWN($D308-1/frec,0),qx_tabla,2,FALSE)*(1+i/frec)^-0.5*(1+Parámetros!$D$103)*(1+rec_fracc)/frec),6))</f>
        <v>5.2899999999999996E-4</v>
      </c>
      <c r="AC308" s="66">
        <f t="shared" si="426"/>
        <v>52.9</v>
      </c>
      <c r="AD308" s="119">
        <f t="shared" si="422"/>
        <v>6.5399999999999996E-4</v>
      </c>
      <c r="AE308" s="66">
        <f>+IF($W308="","",ROUND(IF($B308&gt;Parámetros!$D$107,'Tablas Servicio'!AC308+('Tablas Servicio'!AG307-'Tablas Servicio'!AC307),AC308/(1-IF(B308&lt;=10,Parámetros!$D$104,Parámetros!$D$105))),2))</f>
        <v>88.17</v>
      </c>
      <c r="AF308" s="66">
        <f>+IF($W308="","",ROUND(IF($B308&gt;Parámetros!$D$107,'Tablas Servicio'!AC308+('Tablas Servicio'!AG307-'Tablas Servicio'!AC307),(AC308+$A307/frec)/(1-IF(B308&lt;=Parámetros!$D$117,Parámetros!$D$100,0))),2))</f>
        <v>65.400000000000006</v>
      </c>
      <c r="AG308" s="66">
        <f t="shared" si="427"/>
        <v>65.400000000000006</v>
      </c>
      <c r="AH308" s="66">
        <f t="shared" si="428"/>
        <v>0</v>
      </c>
      <c r="AI308" s="66">
        <f t="shared" si="429"/>
        <v>0</v>
      </c>
      <c r="AJ308" s="66">
        <f>+IF($W308="","",ROUND((AG308*Parámetros!$G$85),2))</f>
        <v>2.29</v>
      </c>
      <c r="AK308" s="66">
        <f>+IF($W308="","",ROUND((AG308*(Parámetros!$G$86)),2))</f>
        <v>0.33</v>
      </c>
      <c r="AL308" s="66">
        <f t="shared" si="423"/>
        <v>68.02</v>
      </c>
      <c r="AM308" t="str">
        <f t="shared" si="383"/>
        <v>00059</v>
      </c>
      <c r="AN308" t="str">
        <f t="shared" si="384"/>
        <v>Incapacidad Total y Permanente</v>
      </c>
      <c r="AO308" s="118">
        <f t="shared" si="385"/>
        <v>0</v>
      </c>
      <c r="AP308" s="118" t="str">
        <f t="shared" si="386"/>
        <v>A</v>
      </c>
      <c r="AQ308" s="119" t="str">
        <f>+IF(OR($W308="",AO308=0),"",ROUND((VLOOKUP(ROUNDDOWN($D308-1/frec,0),cob_adi,Z$40,FALSE)*(1+i/frec)^-0.5*(1+Parámetros!$D$103)*(1+rec_fracc)/frec),6))</f>
        <v/>
      </c>
      <c r="AR308" s="66">
        <f t="shared" si="430"/>
        <v>0</v>
      </c>
      <c r="AS308" s="119" t="str">
        <f t="shared" si="431"/>
        <v/>
      </c>
      <c r="AT308" s="66">
        <f>+IF($W308="","",ROUND(IF($B308&gt;Parámetros!$D$107,'Tablas Servicio'!AR308+('Tablas Servicio'!AT307-'Tablas Servicio'!AR307),AR308/(1-IF(B308&lt;=10,Parámetros!$D$100,0))),2))</f>
        <v>0</v>
      </c>
      <c r="AU308" s="66">
        <f t="shared" si="432"/>
        <v>0</v>
      </c>
      <c r="AV308" s="66">
        <f t="shared" si="432"/>
        <v>0</v>
      </c>
      <c r="AW308" s="66">
        <f>+IF($W308="","",ROUND((AT308*Parámetros!$G$85),2))</f>
        <v>0</v>
      </c>
      <c r="AX308" s="66">
        <f>+IF($W308="","",ROUND((AT308*(Parámetros!$G$86)),2))</f>
        <v>0</v>
      </c>
      <c r="AY308" s="66">
        <f t="shared" si="433"/>
        <v>0</v>
      </c>
      <c r="AZ308" t="str">
        <f t="shared" si="387"/>
        <v>00060</v>
      </c>
      <c r="BA308" t="str">
        <f t="shared" si="388"/>
        <v>Muerte Accidental</v>
      </c>
      <c r="BB308" s="118">
        <f t="shared" si="389"/>
        <v>0</v>
      </c>
      <c r="BC308" s="118" t="str">
        <f t="shared" si="390"/>
        <v>A</v>
      </c>
      <c r="BD308" s="119" t="str">
        <f>+IF(OR($W308="",BB308=0),"",ROUND((VLOOKUP(ROUNDDOWN($D308-1/frec,0),cob_adi,AO$40,FALSE)*(1+i/frec)^-0.5*(1+Parámetros!$D$103)*(1+rec_fracc)/frec),6))</f>
        <v/>
      </c>
      <c r="BE308" s="66">
        <f t="shared" si="434"/>
        <v>0</v>
      </c>
      <c r="BF308" s="119" t="str">
        <f t="shared" si="435"/>
        <v/>
      </c>
      <c r="BG308" s="66">
        <f>+IF($W308="","",ROUND(IF($B308&gt;Parámetros!$D$107,'Tablas Servicio'!BE308+('Tablas Servicio'!BG307-'Tablas Servicio'!BE307),BE308/(1-IF(B308&lt;=10,Parámetros!$D$100,0))),2))</f>
        <v>0</v>
      </c>
      <c r="BH308" s="66">
        <f t="shared" si="436"/>
        <v>0</v>
      </c>
      <c r="BI308" s="66">
        <f t="shared" si="437"/>
        <v>0</v>
      </c>
      <c r="BJ308" s="66">
        <f>+IF($W308="","",ROUND((BG308*Parámetros!$G$85),2))</f>
        <v>0</v>
      </c>
      <c r="BK308" s="66">
        <f>+IF($W308="","",ROUND((BG308*(Parámetros!$G$86)),2))</f>
        <v>0</v>
      </c>
      <c r="BL308" s="66">
        <f t="shared" si="438"/>
        <v>0</v>
      </c>
      <c r="BM308" t="str">
        <f t="shared" si="391"/>
        <v>00061</v>
      </c>
      <c r="BN308" t="str">
        <f t="shared" si="392"/>
        <v>Gastos de Entierro</v>
      </c>
      <c r="BO308" s="118">
        <f t="shared" si="393"/>
        <v>0</v>
      </c>
      <c r="BP308" s="118" t="str">
        <f t="shared" si="394"/>
        <v>A</v>
      </c>
      <c r="BQ308" s="119" t="str">
        <f>+IF(OR($W308="",BO308=0),"",ROUND((VLOOKUP(ROUNDDOWN($D308-1/frec,0),cob_adi,BB$40,FALSE)*(1+i/frec)^-0.5*(1+Parámetros!$D$103)*(1+rec_fracc)/frec),6))</f>
        <v/>
      </c>
      <c r="BR308" s="66">
        <f t="shared" si="439"/>
        <v>0</v>
      </c>
      <c r="BS308" s="119" t="str">
        <f t="shared" si="440"/>
        <v/>
      </c>
      <c r="BT308" s="66">
        <f>+IF($W308="","",ROUND(IF($B308&gt;Parámetros!$D$107,'Tablas Servicio'!BR308+('Tablas Servicio'!BT307-'Tablas Servicio'!BR307),BR308/(1-IF(B308&lt;=10,Parámetros!$D$100,0))),2))</f>
        <v>0</v>
      </c>
      <c r="BU308" s="66">
        <f t="shared" si="441"/>
        <v>0</v>
      </c>
      <c r="BV308" s="66">
        <f t="shared" si="441"/>
        <v>0</v>
      </c>
      <c r="BW308" s="66">
        <f>+IF($W308="","",ROUND((BT308*Parámetros!$G$85),2))</f>
        <v>0</v>
      </c>
      <c r="BX308" s="66">
        <f>+IF($W308="","",ROUND((BT308*(Parámetros!$G$86)),2))</f>
        <v>0</v>
      </c>
      <c r="BY308" s="66">
        <f t="shared" si="442"/>
        <v>0</v>
      </c>
      <c r="BZ308" t="str">
        <f t="shared" si="395"/>
        <v>00062</v>
      </c>
      <c r="CA308" t="str">
        <f t="shared" si="396"/>
        <v>Gastos médicos por accidente</v>
      </c>
      <c r="CB308" s="118">
        <f t="shared" si="397"/>
        <v>0</v>
      </c>
      <c r="CC308" s="118" t="str">
        <f t="shared" si="398"/>
        <v>A</v>
      </c>
      <c r="CD308" s="119" t="str">
        <f t="shared" si="443"/>
        <v/>
      </c>
      <c r="CE308" s="66">
        <f>+IF($W308="","",ROUND((VLOOKUP(ROUNDDOWN($D308-1/frec,0),cob_adi,BO$40,FALSE)*(1+i/frec)^-0.5*(1+Parámetros!$D$103)*(1+rec_fracc)/frec*'TABLAS ADI'!$BC$17),2))</f>
        <v>0</v>
      </c>
      <c r="CF308" s="119" t="str">
        <f t="shared" si="444"/>
        <v/>
      </c>
      <c r="CG308" s="66">
        <f>+IF($W308="","",ROUND(IF($B308&gt;Parámetros!$D$107,'Tablas Servicio'!CE308+('Tablas Servicio'!CG307-'Tablas Servicio'!CE307),CE308/(1-IF(B308&lt;=10,Parámetros!$D$100,0))),2))</f>
        <v>0</v>
      </c>
      <c r="CH308" s="66">
        <f t="shared" si="445"/>
        <v>0</v>
      </c>
      <c r="CI308" s="66">
        <f t="shared" si="445"/>
        <v>0</v>
      </c>
      <c r="CJ308" s="66">
        <f>+IF($W308="","",ROUND((CG308*Parámetros!$G$85),2))</f>
        <v>0</v>
      </c>
      <c r="CK308" s="66">
        <f>+IF($W308="","",ROUND((CG308*(Parámetros!$G$86)),2))</f>
        <v>0</v>
      </c>
      <c r="CL308" s="66">
        <f t="shared" si="446"/>
        <v>0</v>
      </c>
      <c r="CM308" t="str">
        <f t="shared" si="399"/>
        <v>00063</v>
      </c>
      <c r="CN308" s="118" t="str">
        <f t="shared" si="400"/>
        <v>Renta Diaria por Hospitalización</v>
      </c>
      <c r="CO308" s="118">
        <f t="shared" si="401"/>
        <v>0</v>
      </c>
      <c r="CP308" s="118" t="str">
        <f t="shared" si="402"/>
        <v>A</v>
      </c>
      <c r="CQ308" s="119" t="str">
        <f t="shared" si="447"/>
        <v/>
      </c>
      <c r="CR308" s="66">
        <f>+IF($W308="","",ROUND((VLOOKUP(Parámetros!$F$51,'COBERTURAS ADICIONALES'!$S$4:$T$32,2,FALSE)*(1+i/frec)^-0.5*(1+Parámetros!$D$103)*(1+rec_fracc)/frec*$CO$42),2))</f>
        <v>0</v>
      </c>
      <c r="CS308" s="119" t="str">
        <f t="shared" si="448"/>
        <v/>
      </c>
      <c r="CT308" s="66">
        <f>+IF($W308="","",ROUND(IF($B308&gt;Parámetros!$D$107,'Tablas Servicio'!CR308+('Tablas Servicio'!CT307-'Tablas Servicio'!CR307),CR308/(1-IF(B308&lt;=10,Parámetros!$D$100,0))),2))</f>
        <v>0</v>
      </c>
      <c r="CU308" s="66">
        <f t="shared" si="449"/>
        <v>0</v>
      </c>
      <c r="CV308" s="66">
        <f t="shared" si="449"/>
        <v>0</v>
      </c>
      <c r="CW308" s="66">
        <f>+IF($W308="","",ROUND((CT308*Parámetros!$G$85),2))</f>
        <v>0</v>
      </c>
      <c r="CX308" s="66">
        <f>+IF($W308="","",ROUND((CT308*(Parámetros!$G$86)),2))</f>
        <v>0</v>
      </c>
      <c r="CY308" s="66">
        <f t="shared" si="450"/>
        <v>0</v>
      </c>
      <c r="CZ308" t="str">
        <f t="shared" si="403"/>
        <v>00064</v>
      </c>
      <c r="DA308" s="118" t="str">
        <f t="shared" si="404"/>
        <v>Enfermedades Graves</v>
      </c>
      <c r="DB308" s="118">
        <f t="shared" si="405"/>
        <v>0</v>
      </c>
      <c r="DC308" s="118" t="str">
        <f t="shared" si="406"/>
        <v>A</v>
      </c>
      <c r="DD308" s="121" t="str">
        <f>+IF(OR($W308="",DB308=0),"",ROUND((VLOOKUP(ROUNDDOWN($D308-1/frec,0),cob_adi,CO$40,FALSE)*(1+i/frec)^-0.5*(1+Parámetros!$D$103)*(1+rec_fracc)/frec),6))</f>
        <v/>
      </c>
      <c r="DE308" s="66">
        <f t="shared" si="451"/>
        <v>0</v>
      </c>
      <c r="DF308" s="119" t="str">
        <f t="shared" si="452"/>
        <v/>
      </c>
      <c r="DG308" s="66">
        <f>+IF($W308="","",ROUND(IF($B308&gt;Parámetros!$D$107,'Tablas Servicio'!DE308+('Tablas Servicio'!DG307-'Tablas Servicio'!DE307),DE308/(1-IF(B308&lt;=10,Parámetros!$D$100,0))),2))</f>
        <v>0</v>
      </c>
      <c r="DH308" s="66">
        <f t="shared" si="453"/>
        <v>0</v>
      </c>
      <c r="DI308" s="66">
        <f t="shared" si="453"/>
        <v>0</v>
      </c>
      <c r="DJ308" s="66">
        <f>+IF($W308="","",ROUND((DG308*Parámetros!$G$85),2))</f>
        <v>0</v>
      </c>
      <c r="DK308" s="66">
        <f>+IF($W308="","",ROUND((DG308*(Parámetros!$G$86)),2))</f>
        <v>0</v>
      </c>
      <c r="DL308" s="66">
        <f t="shared" si="454"/>
        <v>0</v>
      </c>
      <c r="DM308" t="str">
        <f t="shared" si="407"/>
        <v>00065</v>
      </c>
      <c r="DN308" s="118" t="str">
        <f t="shared" si="408"/>
        <v>Exención pago de primas</v>
      </c>
      <c r="DO308" s="118">
        <f t="shared" si="409"/>
        <v>0</v>
      </c>
      <c r="DP308" s="118" t="str">
        <f t="shared" si="410"/>
        <v>A</v>
      </c>
      <c r="DQ308" s="122" t="str">
        <f>+IF(OR($W308="",DO308=0),"",ROUND((VLOOKUP(ROUNDDOWN($D308-1/frec,0),cob_adi,DB$40,FALSE)*(1+i/frec)^-0.5*(1+Parámetros!$D$103)*(1+rec_fracc)/frec),6))</f>
        <v/>
      </c>
      <c r="DR308" s="66">
        <f t="shared" si="455"/>
        <v>0</v>
      </c>
      <c r="DS308" s="68" t="str">
        <f t="shared" si="456"/>
        <v/>
      </c>
      <c r="DT308" s="66">
        <f>+IF($W308="","",ROUND(IF($B308&gt;Parámetros!$D$107,'Tablas Servicio'!DR308+('Tablas Servicio'!DT307-'Tablas Servicio'!DR307),DR308/(1-IF(B308&lt;=10,Parámetros!$D$100,0))),2))</f>
        <v>0</v>
      </c>
      <c r="DU308" s="66">
        <f t="shared" si="457"/>
        <v>0</v>
      </c>
      <c r="DV308" s="66">
        <f t="shared" si="457"/>
        <v>0</v>
      </c>
      <c r="DW308" s="66">
        <f>+IF($W308="","",ROUND((DT308*Parámetros!$G$85),2))</f>
        <v>0</v>
      </c>
      <c r="DX308" s="66">
        <f>+IF($W308="","",ROUND((DT308*(Parámetros!$G$86)),2))</f>
        <v>0</v>
      </c>
      <c r="DY308" s="66">
        <f t="shared" si="458"/>
        <v>0</v>
      </c>
      <c r="DZ308" t="str">
        <f t="shared" si="459"/>
        <v>00066</v>
      </c>
      <c r="EA308" s="118" t="str">
        <f t="shared" si="459"/>
        <v>Enfermedad terminal</v>
      </c>
      <c r="EB308" s="118">
        <f>+IF($W308="","",ROUND(IF(Parámetros!$D$25='TABLAS MORT'!$V$33,EB307,Z308/2),0))</f>
        <v>50000</v>
      </c>
      <c r="EC308" s="118" t="str">
        <f t="shared" si="459"/>
        <v>A</v>
      </c>
      <c r="ED308" s="122">
        <f>+IF(OR($W308="",EB308=0),"",ROUND((VLOOKUP(ROUNDDOWN($D308-1/frec,0),cob_adi,DO$40,FALSE)*(1+i/frec)^-0.5*(1+Parámetros!$D$103)*(1+rec_fracc)/frec),6))</f>
        <v>3.8999999999999999E-5</v>
      </c>
      <c r="EE308" s="66">
        <f t="shared" si="460"/>
        <v>1.95</v>
      </c>
      <c r="EF308" s="68">
        <f t="shared" si="461"/>
        <v>3.8999999999999999E-5</v>
      </c>
      <c r="EG308" s="66">
        <f>+IF($W308="","",ROUND(IF($B308&gt;Parámetros!$D$107,'Tablas Servicio'!EE308+('Tablas Servicio'!EG307-'Tablas Servicio'!EE307),EE308/(1-IF(B308&lt;=10,Parámetros!$D$100,0))),2))</f>
        <v>1.95</v>
      </c>
      <c r="EH308" s="66">
        <f t="shared" si="462"/>
        <v>0</v>
      </c>
      <c r="EI308" s="66">
        <f t="shared" si="462"/>
        <v>0</v>
      </c>
      <c r="EJ308" s="66">
        <f>+IF($W308="","",ROUND((EG308*Parámetros!$G$85),2))</f>
        <v>7.0000000000000007E-2</v>
      </c>
      <c r="EK308" s="66">
        <f>+IF($W308="","",ROUND((EG308*(Parámetros!$G$86)),2))</f>
        <v>0.01</v>
      </c>
      <c r="EL308" s="66">
        <f t="shared" si="463"/>
        <v>2.0299999999999998</v>
      </c>
    </row>
    <row r="309" spans="1:142" x14ac:dyDescent="0.25">
      <c r="A309">
        <f>+IF($C309="","",ROUND(VLOOKUP('Tablas Servicio'!B309,Parámetros!$H$100:$J$159,IF(Parámetros!$E$16="F",2,3),FALSE),2))</f>
        <v>150</v>
      </c>
      <c r="B309">
        <f t="shared" si="414"/>
        <v>23</v>
      </c>
      <c r="C309" s="57">
        <f>+IF(D309="","",'Tablas Servicio'!C308+1)</f>
        <v>268</v>
      </c>
      <c r="D309" s="56">
        <f>+IF(D308&lt;edadmaxtabla,D308+1/Parámetros!$E$25,"")</f>
        <v>62.353333333333971</v>
      </c>
      <c r="E309" s="57">
        <f t="shared" si="424"/>
        <v>62</v>
      </c>
      <c r="F309" s="59">
        <f t="shared" si="425"/>
        <v>100000</v>
      </c>
      <c r="G309" s="66">
        <f t="shared" si="415"/>
        <v>67.350000000000009</v>
      </c>
      <c r="H309" s="66">
        <f t="shared" si="416"/>
        <v>70.05</v>
      </c>
      <c r="I309" s="66">
        <f t="shared" si="376"/>
        <v>23.950000000000003</v>
      </c>
      <c r="J309" s="66">
        <f t="shared" si="417"/>
        <v>2.36</v>
      </c>
      <c r="K309" s="66">
        <f t="shared" si="418"/>
        <v>0.34</v>
      </c>
      <c r="L309" s="66">
        <f t="shared" si="419"/>
        <v>0</v>
      </c>
      <c r="M309" s="66">
        <f t="shared" si="420"/>
        <v>0</v>
      </c>
      <c r="N309" s="66">
        <f>+IF(C309="","",ROUND(Parámetros!$D$23,2))</f>
        <v>94</v>
      </c>
      <c r="O309" s="66">
        <f t="shared" si="421"/>
        <v>54.85</v>
      </c>
      <c r="P309" s="66">
        <f>+IF($C309="","",ROUND(IF(B309&gt;Parámetros!$D$117,0,N309*Parámetros!$D$116-G309*Parámetros!$D$100),2))</f>
        <v>0</v>
      </c>
      <c r="Q309" s="75">
        <f t="shared" si="377"/>
        <v>3.5040831477357086E-2</v>
      </c>
      <c r="R309" s="75">
        <f t="shared" si="378"/>
        <v>5.0482553823311058E-3</v>
      </c>
      <c r="S309" s="117">
        <f>+IF($C309="","",ROUND((S308+I309)*(1+Parámetros!$D$91),2))</f>
        <v>20128.68</v>
      </c>
      <c r="T309" s="117">
        <f>+IF($C309="","",ROUND(S309*VLOOKUP(B309,Parámetros!$C$30:$D$39,2,TRUE),2))</f>
        <v>20128.68</v>
      </c>
      <c r="U309" s="117">
        <f>+IF($C309="","",ROUND((U308+I309)*(1+Parámetros!$D$92),2))</f>
        <v>21507.45</v>
      </c>
      <c r="V309" s="117">
        <f>+IF($C309="","",ROUND(U309*VLOOKUP(B309,Parámetros!$C$30:$D$39,2,TRUE),2))</f>
        <v>21507.45</v>
      </c>
      <c r="W309" s="57">
        <f t="shared" si="379"/>
        <v>268</v>
      </c>
      <c r="X309" t="str">
        <f t="shared" si="380"/>
        <v>00058</v>
      </c>
      <c r="Y309" t="str">
        <f t="shared" si="381"/>
        <v>MUERTE POR CUALQUIER CAUSA</v>
      </c>
      <c r="Z309" s="118">
        <f>+IF($W309="","",ROUND(IF(Parámetros!$D$25='TABLAS MORT'!$V$33,Z308,Parámetros!$D$21-'Tablas Servicio'!T308),0))</f>
        <v>100000</v>
      </c>
      <c r="AA309" s="118" t="str">
        <f t="shared" si="382"/>
        <v>P</v>
      </c>
      <c r="AB309" s="119">
        <f>+IF(W309="","",ROUND((VLOOKUP(ROUNDDOWN($D309-1/frec,0),qx_tabla,2,FALSE)*(1+i/frec)^-0.5*(1+Parámetros!$D$103)*(1+rec_fracc)/frec),6))</f>
        <v>5.2899999999999996E-4</v>
      </c>
      <c r="AC309" s="66">
        <f t="shared" si="426"/>
        <v>52.9</v>
      </c>
      <c r="AD309" s="119">
        <f t="shared" si="422"/>
        <v>6.5399999999999996E-4</v>
      </c>
      <c r="AE309" s="66">
        <f>+IF($W309="","",ROUND(IF($B309&gt;Parámetros!$D$107,'Tablas Servicio'!AC309+('Tablas Servicio'!AG308-'Tablas Servicio'!AC308),AC309/(1-IF(B309&lt;=10,Parámetros!$D$104,Parámetros!$D$105))),2))</f>
        <v>88.17</v>
      </c>
      <c r="AF309" s="66">
        <f>+IF($W309="","",ROUND(IF($B309&gt;Parámetros!$D$107,'Tablas Servicio'!AC309+('Tablas Servicio'!AG308-'Tablas Servicio'!AC308),(AC309+$A308/frec)/(1-IF(B309&lt;=Parámetros!$D$117,Parámetros!$D$100,0))),2))</f>
        <v>65.400000000000006</v>
      </c>
      <c r="AG309" s="66">
        <f t="shared" si="427"/>
        <v>65.400000000000006</v>
      </c>
      <c r="AH309" s="66">
        <f t="shared" si="428"/>
        <v>0</v>
      </c>
      <c r="AI309" s="66">
        <f t="shared" si="429"/>
        <v>0</v>
      </c>
      <c r="AJ309" s="66">
        <f>+IF($W309="","",ROUND((AG309*Parámetros!$G$85),2))</f>
        <v>2.29</v>
      </c>
      <c r="AK309" s="66">
        <f>+IF($W309="","",ROUND((AG309*(Parámetros!$G$86)),2))</f>
        <v>0.33</v>
      </c>
      <c r="AL309" s="66">
        <f t="shared" si="423"/>
        <v>68.02</v>
      </c>
      <c r="AM309" t="str">
        <f t="shared" si="383"/>
        <v>00059</v>
      </c>
      <c r="AN309" t="str">
        <f t="shared" si="384"/>
        <v>Incapacidad Total y Permanente</v>
      </c>
      <c r="AO309" s="118">
        <f t="shared" si="385"/>
        <v>0</v>
      </c>
      <c r="AP309" s="118" t="str">
        <f t="shared" si="386"/>
        <v>A</v>
      </c>
      <c r="AQ309" s="119" t="str">
        <f>+IF(OR($W309="",AO309=0),"",ROUND((VLOOKUP(ROUNDDOWN($D309-1/frec,0),cob_adi,Z$40,FALSE)*(1+i/frec)^-0.5*(1+Parámetros!$D$103)*(1+rec_fracc)/frec),6))</f>
        <v/>
      </c>
      <c r="AR309" s="66">
        <f t="shared" si="430"/>
        <v>0</v>
      </c>
      <c r="AS309" s="119" t="str">
        <f t="shared" si="431"/>
        <v/>
      </c>
      <c r="AT309" s="66">
        <f>+IF($W309="","",ROUND(IF($B309&gt;Parámetros!$D$107,'Tablas Servicio'!AR309+('Tablas Servicio'!AT308-'Tablas Servicio'!AR308),AR309/(1-IF(B309&lt;=10,Parámetros!$D$100,0))),2))</f>
        <v>0</v>
      </c>
      <c r="AU309" s="66">
        <f t="shared" si="432"/>
        <v>0</v>
      </c>
      <c r="AV309" s="66">
        <f t="shared" si="432"/>
        <v>0</v>
      </c>
      <c r="AW309" s="66">
        <f>+IF($W309="","",ROUND((AT309*Parámetros!$G$85),2))</f>
        <v>0</v>
      </c>
      <c r="AX309" s="66">
        <f>+IF($W309="","",ROUND((AT309*(Parámetros!$G$86)),2))</f>
        <v>0</v>
      </c>
      <c r="AY309" s="66">
        <f t="shared" si="433"/>
        <v>0</v>
      </c>
      <c r="AZ309" t="str">
        <f t="shared" si="387"/>
        <v>00060</v>
      </c>
      <c r="BA309" t="str">
        <f t="shared" si="388"/>
        <v>Muerte Accidental</v>
      </c>
      <c r="BB309" s="118">
        <f t="shared" si="389"/>
        <v>0</v>
      </c>
      <c r="BC309" s="118" t="str">
        <f t="shared" si="390"/>
        <v>A</v>
      </c>
      <c r="BD309" s="119" t="str">
        <f>+IF(OR($W309="",BB309=0),"",ROUND((VLOOKUP(ROUNDDOWN($D309-1/frec,0),cob_adi,AO$40,FALSE)*(1+i/frec)^-0.5*(1+Parámetros!$D$103)*(1+rec_fracc)/frec),6))</f>
        <v/>
      </c>
      <c r="BE309" s="66">
        <f t="shared" si="434"/>
        <v>0</v>
      </c>
      <c r="BF309" s="119" t="str">
        <f t="shared" si="435"/>
        <v/>
      </c>
      <c r="BG309" s="66">
        <f>+IF($W309="","",ROUND(IF($B309&gt;Parámetros!$D$107,'Tablas Servicio'!BE309+('Tablas Servicio'!BG308-'Tablas Servicio'!BE308),BE309/(1-IF(B309&lt;=10,Parámetros!$D$100,0))),2))</f>
        <v>0</v>
      </c>
      <c r="BH309" s="66">
        <f t="shared" si="436"/>
        <v>0</v>
      </c>
      <c r="BI309" s="66">
        <f t="shared" si="437"/>
        <v>0</v>
      </c>
      <c r="BJ309" s="66">
        <f>+IF($W309="","",ROUND((BG309*Parámetros!$G$85),2))</f>
        <v>0</v>
      </c>
      <c r="BK309" s="66">
        <f>+IF($W309="","",ROUND((BG309*(Parámetros!$G$86)),2))</f>
        <v>0</v>
      </c>
      <c r="BL309" s="66">
        <f t="shared" si="438"/>
        <v>0</v>
      </c>
      <c r="BM309" t="str">
        <f t="shared" si="391"/>
        <v>00061</v>
      </c>
      <c r="BN309" t="str">
        <f t="shared" si="392"/>
        <v>Gastos de Entierro</v>
      </c>
      <c r="BO309" s="118">
        <f t="shared" si="393"/>
        <v>0</v>
      </c>
      <c r="BP309" s="118" t="str">
        <f t="shared" si="394"/>
        <v>A</v>
      </c>
      <c r="BQ309" s="119" t="str">
        <f>+IF(OR($W309="",BO309=0),"",ROUND((VLOOKUP(ROUNDDOWN($D309-1/frec,0),cob_adi,BB$40,FALSE)*(1+i/frec)^-0.5*(1+Parámetros!$D$103)*(1+rec_fracc)/frec),6))</f>
        <v/>
      </c>
      <c r="BR309" s="66">
        <f t="shared" si="439"/>
        <v>0</v>
      </c>
      <c r="BS309" s="119" t="str">
        <f t="shared" si="440"/>
        <v/>
      </c>
      <c r="BT309" s="66">
        <f>+IF($W309="","",ROUND(IF($B309&gt;Parámetros!$D$107,'Tablas Servicio'!BR309+('Tablas Servicio'!BT308-'Tablas Servicio'!BR308),BR309/(1-IF(B309&lt;=10,Parámetros!$D$100,0))),2))</f>
        <v>0</v>
      </c>
      <c r="BU309" s="66">
        <f t="shared" si="441"/>
        <v>0</v>
      </c>
      <c r="BV309" s="66">
        <f t="shared" si="441"/>
        <v>0</v>
      </c>
      <c r="BW309" s="66">
        <f>+IF($W309="","",ROUND((BT309*Parámetros!$G$85),2))</f>
        <v>0</v>
      </c>
      <c r="BX309" s="66">
        <f>+IF($W309="","",ROUND((BT309*(Parámetros!$G$86)),2))</f>
        <v>0</v>
      </c>
      <c r="BY309" s="66">
        <f t="shared" si="442"/>
        <v>0</v>
      </c>
      <c r="BZ309" t="str">
        <f t="shared" si="395"/>
        <v>00062</v>
      </c>
      <c r="CA309" t="str">
        <f t="shared" si="396"/>
        <v>Gastos médicos por accidente</v>
      </c>
      <c r="CB309" s="118">
        <f t="shared" si="397"/>
        <v>0</v>
      </c>
      <c r="CC309" s="118" t="str">
        <f t="shared" si="398"/>
        <v>A</v>
      </c>
      <c r="CD309" s="119" t="str">
        <f t="shared" si="443"/>
        <v/>
      </c>
      <c r="CE309" s="66">
        <f>+IF($W309="","",ROUND((VLOOKUP(ROUNDDOWN($D309-1/frec,0),cob_adi,BO$40,FALSE)*(1+i/frec)^-0.5*(1+Parámetros!$D$103)*(1+rec_fracc)/frec*'TABLAS ADI'!$BC$17),2))</f>
        <v>0</v>
      </c>
      <c r="CF309" s="119" t="str">
        <f t="shared" si="444"/>
        <v/>
      </c>
      <c r="CG309" s="66">
        <f>+IF($W309="","",ROUND(IF($B309&gt;Parámetros!$D$107,'Tablas Servicio'!CE309+('Tablas Servicio'!CG308-'Tablas Servicio'!CE308),CE309/(1-IF(B309&lt;=10,Parámetros!$D$100,0))),2))</f>
        <v>0</v>
      </c>
      <c r="CH309" s="66">
        <f t="shared" si="445"/>
        <v>0</v>
      </c>
      <c r="CI309" s="66">
        <f t="shared" si="445"/>
        <v>0</v>
      </c>
      <c r="CJ309" s="66">
        <f>+IF($W309="","",ROUND((CG309*Parámetros!$G$85),2))</f>
        <v>0</v>
      </c>
      <c r="CK309" s="66">
        <f>+IF($W309="","",ROUND((CG309*(Parámetros!$G$86)),2))</f>
        <v>0</v>
      </c>
      <c r="CL309" s="66">
        <f t="shared" si="446"/>
        <v>0</v>
      </c>
      <c r="CM309" t="str">
        <f t="shared" si="399"/>
        <v>00063</v>
      </c>
      <c r="CN309" s="118" t="str">
        <f t="shared" si="400"/>
        <v>Renta Diaria por Hospitalización</v>
      </c>
      <c r="CO309" s="118">
        <f t="shared" si="401"/>
        <v>0</v>
      </c>
      <c r="CP309" s="118" t="str">
        <f t="shared" si="402"/>
        <v>A</v>
      </c>
      <c r="CQ309" s="119" t="str">
        <f t="shared" si="447"/>
        <v/>
      </c>
      <c r="CR309" s="66">
        <f>+IF($W309="","",ROUND((VLOOKUP(Parámetros!$F$51,'COBERTURAS ADICIONALES'!$S$4:$T$32,2,FALSE)*(1+i/frec)^-0.5*(1+Parámetros!$D$103)*(1+rec_fracc)/frec*$CO$42),2))</f>
        <v>0</v>
      </c>
      <c r="CS309" s="119" t="str">
        <f t="shared" si="448"/>
        <v/>
      </c>
      <c r="CT309" s="66">
        <f>+IF($W309="","",ROUND(IF($B309&gt;Parámetros!$D$107,'Tablas Servicio'!CR309+('Tablas Servicio'!CT308-'Tablas Servicio'!CR308),CR309/(1-IF(B309&lt;=10,Parámetros!$D$100,0))),2))</f>
        <v>0</v>
      </c>
      <c r="CU309" s="66">
        <f t="shared" si="449"/>
        <v>0</v>
      </c>
      <c r="CV309" s="66">
        <f t="shared" si="449"/>
        <v>0</v>
      </c>
      <c r="CW309" s="66">
        <f>+IF($W309="","",ROUND((CT309*Parámetros!$G$85),2))</f>
        <v>0</v>
      </c>
      <c r="CX309" s="66">
        <f>+IF($W309="","",ROUND((CT309*(Parámetros!$G$86)),2))</f>
        <v>0</v>
      </c>
      <c r="CY309" s="66">
        <f t="shared" si="450"/>
        <v>0</v>
      </c>
      <c r="CZ309" t="str">
        <f t="shared" si="403"/>
        <v>00064</v>
      </c>
      <c r="DA309" s="118" t="str">
        <f t="shared" si="404"/>
        <v>Enfermedades Graves</v>
      </c>
      <c r="DB309" s="118">
        <f t="shared" si="405"/>
        <v>0</v>
      </c>
      <c r="DC309" s="118" t="str">
        <f t="shared" si="406"/>
        <v>A</v>
      </c>
      <c r="DD309" s="121" t="str">
        <f>+IF(OR($W309="",DB309=0),"",ROUND((VLOOKUP(ROUNDDOWN($D309-1/frec,0),cob_adi,CO$40,FALSE)*(1+i/frec)^-0.5*(1+Parámetros!$D$103)*(1+rec_fracc)/frec),6))</f>
        <v/>
      </c>
      <c r="DE309" s="66">
        <f t="shared" si="451"/>
        <v>0</v>
      </c>
      <c r="DF309" s="119" t="str">
        <f t="shared" si="452"/>
        <v/>
      </c>
      <c r="DG309" s="66">
        <f>+IF($W309="","",ROUND(IF($B309&gt;Parámetros!$D$107,'Tablas Servicio'!DE309+('Tablas Servicio'!DG308-'Tablas Servicio'!DE308),DE309/(1-IF(B309&lt;=10,Parámetros!$D$100,0))),2))</f>
        <v>0</v>
      </c>
      <c r="DH309" s="66">
        <f t="shared" si="453"/>
        <v>0</v>
      </c>
      <c r="DI309" s="66">
        <f t="shared" si="453"/>
        <v>0</v>
      </c>
      <c r="DJ309" s="66">
        <f>+IF($W309="","",ROUND((DG309*Parámetros!$G$85),2))</f>
        <v>0</v>
      </c>
      <c r="DK309" s="66">
        <f>+IF($W309="","",ROUND((DG309*(Parámetros!$G$86)),2))</f>
        <v>0</v>
      </c>
      <c r="DL309" s="66">
        <f t="shared" si="454"/>
        <v>0</v>
      </c>
      <c r="DM309" t="str">
        <f t="shared" si="407"/>
        <v>00065</v>
      </c>
      <c r="DN309" s="118" t="str">
        <f t="shared" si="408"/>
        <v>Exención pago de primas</v>
      </c>
      <c r="DO309" s="118">
        <f t="shared" si="409"/>
        <v>0</v>
      </c>
      <c r="DP309" s="118" t="str">
        <f t="shared" si="410"/>
        <v>A</v>
      </c>
      <c r="DQ309" s="122" t="str">
        <f>+IF(OR($W309="",DO309=0),"",ROUND((VLOOKUP(ROUNDDOWN($D309-1/frec,0),cob_adi,DB$40,FALSE)*(1+i/frec)^-0.5*(1+Parámetros!$D$103)*(1+rec_fracc)/frec),6))</f>
        <v/>
      </c>
      <c r="DR309" s="66">
        <f t="shared" si="455"/>
        <v>0</v>
      </c>
      <c r="DS309" s="68" t="str">
        <f t="shared" si="456"/>
        <v/>
      </c>
      <c r="DT309" s="66">
        <f>+IF($W309="","",ROUND(IF($B309&gt;Parámetros!$D$107,'Tablas Servicio'!DR309+('Tablas Servicio'!DT308-'Tablas Servicio'!DR308),DR309/(1-IF(B309&lt;=10,Parámetros!$D$100,0))),2))</f>
        <v>0</v>
      </c>
      <c r="DU309" s="66">
        <f t="shared" si="457"/>
        <v>0</v>
      </c>
      <c r="DV309" s="66">
        <f t="shared" si="457"/>
        <v>0</v>
      </c>
      <c r="DW309" s="66">
        <f>+IF($W309="","",ROUND((DT309*Parámetros!$G$85),2))</f>
        <v>0</v>
      </c>
      <c r="DX309" s="66">
        <f>+IF($W309="","",ROUND((DT309*(Parámetros!$G$86)),2))</f>
        <v>0</v>
      </c>
      <c r="DY309" s="66">
        <f t="shared" si="458"/>
        <v>0</v>
      </c>
      <c r="DZ309" t="str">
        <f t="shared" si="459"/>
        <v>00066</v>
      </c>
      <c r="EA309" s="118" t="str">
        <f t="shared" si="459"/>
        <v>Enfermedad terminal</v>
      </c>
      <c r="EB309" s="118">
        <f>+IF($W309="","",ROUND(IF(Parámetros!$D$25='TABLAS MORT'!$V$33,EB308,Z309/2),0))</f>
        <v>50000</v>
      </c>
      <c r="EC309" s="118" t="str">
        <f t="shared" si="459"/>
        <v>A</v>
      </c>
      <c r="ED309" s="122">
        <f>+IF(OR($W309="",EB309=0),"",ROUND((VLOOKUP(ROUNDDOWN($D309-1/frec,0),cob_adi,DO$40,FALSE)*(1+i/frec)^-0.5*(1+Parámetros!$D$103)*(1+rec_fracc)/frec),6))</f>
        <v>3.8999999999999999E-5</v>
      </c>
      <c r="EE309" s="66">
        <f t="shared" si="460"/>
        <v>1.95</v>
      </c>
      <c r="EF309" s="68">
        <f t="shared" si="461"/>
        <v>3.8999999999999999E-5</v>
      </c>
      <c r="EG309" s="66">
        <f>+IF($W309="","",ROUND(IF($B309&gt;Parámetros!$D$107,'Tablas Servicio'!EE309+('Tablas Servicio'!EG308-'Tablas Servicio'!EE308),EE309/(1-IF(B309&lt;=10,Parámetros!$D$100,0))),2))</f>
        <v>1.95</v>
      </c>
      <c r="EH309" s="66">
        <f t="shared" si="462"/>
        <v>0</v>
      </c>
      <c r="EI309" s="66">
        <f t="shared" si="462"/>
        <v>0</v>
      </c>
      <c r="EJ309" s="66">
        <f>+IF($W309="","",ROUND((EG309*Parámetros!$G$85),2))</f>
        <v>7.0000000000000007E-2</v>
      </c>
      <c r="EK309" s="66">
        <f>+IF($W309="","",ROUND((EG309*(Parámetros!$G$86)),2))</f>
        <v>0.01</v>
      </c>
      <c r="EL309" s="66">
        <f t="shared" si="463"/>
        <v>2.0299999999999998</v>
      </c>
    </row>
    <row r="310" spans="1:142" x14ac:dyDescent="0.25">
      <c r="A310">
        <f>+IF($C310="","",ROUND(VLOOKUP('Tablas Servicio'!B310,Parámetros!$H$100:$J$159,IF(Parámetros!$E$16="F",2,3),FALSE),2))</f>
        <v>150</v>
      </c>
      <c r="B310">
        <f t="shared" si="414"/>
        <v>23</v>
      </c>
      <c r="C310" s="57">
        <f>+IF(D310="","",'Tablas Servicio'!C309+1)</f>
        <v>269</v>
      </c>
      <c r="D310" s="56">
        <f>+IF(D309&lt;edadmaxtabla,D309+1/Parámetros!$E$25,"")</f>
        <v>62.436666666667307</v>
      </c>
      <c r="E310" s="57">
        <f t="shared" si="424"/>
        <v>62</v>
      </c>
      <c r="F310" s="59">
        <f t="shared" si="425"/>
        <v>100000</v>
      </c>
      <c r="G310" s="66">
        <f t="shared" si="415"/>
        <v>67.350000000000009</v>
      </c>
      <c r="H310" s="66">
        <f t="shared" si="416"/>
        <v>70.05</v>
      </c>
      <c r="I310" s="66">
        <f t="shared" ref="I310:I373" si="464">+IF($C310="","",N310-H310-P310)</f>
        <v>23.950000000000003</v>
      </c>
      <c r="J310" s="66">
        <f t="shared" si="417"/>
        <v>2.36</v>
      </c>
      <c r="K310" s="66">
        <f t="shared" si="418"/>
        <v>0.34</v>
      </c>
      <c r="L310" s="66">
        <f t="shared" si="419"/>
        <v>0</v>
      </c>
      <c r="M310" s="66">
        <f t="shared" si="420"/>
        <v>0</v>
      </c>
      <c r="N310" s="66">
        <f>+IF(C310="","",ROUND(Parámetros!$D$23,2))</f>
        <v>94</v>
      </c>
      <c r="O310" s="66">
        <f t="shared" si="421"/>
        <v>54.85</v>
      </c>
      <c r="P310" s="66">
        <f>+IF($C310="","",ROUND(IF(B310&gt;Parámetros!$D$117,0,N310*Parámetros!$D$116-G310*Parámetros!$D$100),2))</f>
        <v>0</v>
      </c>
      <c r="Q310" s="75">
        <f t="shared" ref="Q310:Q373" si="465">+IF($C310="","",J310/$G310)</f>
        <v>3.5040831477357086E-2</v>
      </c>
      <c r="R310" s="75">
        <f t="shared" ref="R310:R373" si="466">+IF($C310="","",K310/$G310)</f>
        <v>5.0482553823311058E-3</v>
      </c>
      <c r="S310" s="117">
        <f>+IF($C310="","",ROUND((S309+I310)*(1+Parámetros!$D$91),2))</f>
        <v>20209.79</v>
      </c>
      <c r="T310" s="117">
        <f>+IF($C310="","",ROUND(S310*VLOOKUP(B310,Parámetros!$C$30:$D$39,2,TRUE),2))</f>
        <v>20209.79</v>
      </c>
      <c r="U310" s="117">
        <f>+IF($C310="","",ROUND((U309+I310)*(1+Parámetros!$D$92),2))</f>
        <v>21601.200000000001</v>
      </c>
      <c r="V310" s="117">
        <f>+IF($C310="","",ROUND(U310*VLOOKUP(B310,Parámetros!$C$30:$D$39,2,TRUE),2))</f>
        <v>21601.200000000001</v>
      </c>
      <c r="W310" s="57">
        <f t="shared" ref="W310:W373" si="467">+C310</f>
        <v>269</v>
      </c>
      <c r="X310" t="str">
        <f t="shared" ref="X310:X373" si="468">+IF($W310="","",X309)</f>
        <v>00058</v>
      </c>
      <c r="Y310" t="str">
        <f t="shared" ref="Y310:Y373" si="469">+IF($W310="","",Y309)</f>
        <v>MUERTE POR CUALQUIER CAUSA</v>
      </c>
      <c r="Z310" s="118">
        <f>+IF($W310="","",ROUND(IF(Parámetros!$D$25='TABLAS MORT'!$V$33,Z309,Parámetros!$D$21-'Tablas Servicio'!T309),0))</f>
        <v>100000</v>
      </c>
      <c r="AA310" s="118" t="str">
        <f t="shared" ref="AA310:AA373" si="470">+IF($W310="","",AA309)</f>
        <v>P</v>
      </c>
      <c r="AB310" s="119">
        <f>+IF(W310="","",ROUND((VLOOKUP(ROUNDDOWN($D310-1/frec,0),qx_tabla,2,FALSE)*(1+i/frec)^-0.5*(1+Parámetros!$D$103)*(1+rec_fracc)/frec),6))</f>
        <v>5.2899999999999996E-4</v>
      </c>
      <c r="AC310" s="66">
        <f t="shared" si="426"/>
        <v>52.9</v>
      </c>
      <c r="AD310" s="119">
        <f t="shared" si="422"/>
        <v>6.5399999999999996E-4</v>
      </c>
      <c r="AE310" s="66">
        <f>+IF($W310="","",ROUND(IF($B310&gt;Parámetros!$D$107,'Tablas Servicio'!AC310+('Tablas Servicio'!AG309-'Tablas Servicio'!AC309),AC310/(1-IF(B310&lt;=10,Parámetros!$D$104,Parámetros!$D$105))),2))</f>
        <v>88.17</v>
      </c>
      <c r="AF310" s="66">
        <f>+IF($W310="","",ROUND(IF($B310&gt;Parámetros!$D$107,'Tablas Servicio'!AC310+('Tablas Servicio'!AG309-'Tablas Servicio'!AC309),(AC310+$A309/frec)/(1-IF(B310&lt;=Parámetros!$D$117,Parámetros!$D$100,0))),2))</f>
        <v>65.400000000000006</v>
      </c>
      <c r="AG310" s="66">
        <f t="shared" si="427"/>
        <v>65.400000000000006</v>
      </c>
      <c r="AH310" s="66">
        <f t="shared" si="428"/>
        <v>0</v>
      </c>
      <c r="AI310" s="66">
        <f t="shared" si="429"/>
        <v>0</v>
      </c>
      <c r="AJ310" s="66">
        <f>+IF($W310="","",ROUND((AG310*Parámetros!$G$85),2))</f>
        <v>2.29</v>
      </c>
      <c r="AK310" s="66">
        <f>+IF($W310="","",ROUND((AG310*(Parámetros!$G$86)),2))</f>
        <v>0.33</v>
      </c>
      <c r="AL310" s="66">
        <f t="shared" si="423"/>
        <v>68.02</v>
      </c>
      <c r="AM310" t="str">
        <f t="shared" ref="AM310:AM373" si="471">+IF($W310="","",AM309)</f>
        <v>00059</v>
      </c>
      <c r="AN310" t="str">
        <f t="shared" ref="AN310:AN373" si="472">+IF($W310="","",AN309)</f>
        <v>Incapacidad Total y Permanente</v>
      </c>
      <c r="AO310" s="118">
        <f t="shared" ref="AO310:AO373" si="473">+IF($W310="","",AO309)</f>
        <v>0</v>
      </c>
      <c r="AP310" s="118" t="str">
        <f t="shared" ref="AP310:AP373" si="474">+IF($W310="","",AP309)</f>
        <v>A</v>
      </c>
      <c r="AQ310" s="119" t="str">
        <f>+IF(OR($W310="",AO310=0),"",ROUND((VLOOKUP(ROUNDDOWN($D310-1/frec,0),cob_adi,Z$40,FALSE)*(1+i/frec)^-0.5*(1+Parámetros!$D$103)*(1+rec_fracc)/frec),6))</f>
        <v/>
      </c>
      <c r="AR310" s="66">
        <f t="shared" si="430"/>
        <v>0</v>
      </c>
      <c r="AS310" s="119" t="str">
        <f t="shared" si="431"/>
        <v/>
      </c>
      <c r="AT310" s="66">
        <f>+IF($W310="","",ROUND(IF($B310&gt;Parámetros!$D$107,'Tablas Servicio'!AR310+('Tablas Servicio'!AT309-'Tablas Servicio'!AR309),AR310/(1-IF(B310&lt;=10,Parámetros!$D$100,0))),2))</f>
        <v>0</v>
      </c>
      <c r="AU310" s="66">
        <f t="shared" si="432"/>
        <v>0</v>
      </c>
      <c r="AV310" s="66">
        <f t="shared" si="432"/>
        <v>0</v>
      </c>
      <c r="AW310" s="66">
        <f>+IF($W310="","",ROUND((AT310*Parámetros!$G$85),2))</f>
        <v>0</v>
      </c>
      <c r="AX310" s="66">
        <f>+IF($W310="","",ROUND((AT310*(Parámetros!$G$86)),2))</f>
        <v>0</v>
      </c>
      <c r="AY310" s="66">
        <f t="shared" si="433"/>
        <v>0</v>
      </c>
      <c r="AZ310" t="str">
        <f t="shared" ref="AZ310:AZ373" si="475">+IF($W310="","",AZ309)</f>
        <v>00060</v>
      </c>
      <c r="BA310" t="str">
        <f t="shared" ref="BA310:BA373" si="476">+IF($W310="","",BA309)</f>
        <v>Muerte Accidental</v>
      </c>
      <c r="BB310" s="118">
        <f t="shared" ref="BB310:BB373" si="477">+IF($W310="","",BB309)</f>
        <v>0</v>
      </c>
      <c r="BC310" s="118" t="str">
        <f t="shared" ref="BC310:BC373" si="478">+IF($W310="","",BC309)</f>
        <v>A</v>
      </c>
      <c r="BD310" s="119" t="str">
        <f>+IF(OR($W310="",BB310=0),"",ROUND((VLOOKUP(ROUNDDOWN($D310-1/frec,0),cob_adi,AO$40,FALSE)*(1+i/frec)^-0.5*(1+Parámetros!$D$103)*(1+rec_fracc)/frec),6))</f>
        <v/>
      </c>
      <c r="BE310" s="66">
        <f t="shared" si="434"/>
        <v>0</v>
      </c>
      <c r="BF310" s="119" t="str">
        <f t="shared" si="435"/>
        <v/>
      </c>
      <c r="BG310" s="66">
        <f>+IF($W310="","",ROUND(IF($B310&gt;Parámetros!$D$107,'Tablas Servicio'!BE310+('Tablas Servicio'!BG309-'Tablas Servicio'!BE309),BE310/(1-IF(B310&lt;=10,Parámetros!$D$100,0))),2))</f>
        <v>0</v>
      </c>
      <c r="BH310" s="66">
        <f t="shared" si="436"/>
        <v>0</v>
      </c>
      <c r="BI310" s="66">
        <f t="shared" si="437"/>
        <v>0</v>
      </c>
      <c r="BJ310" s="66">
        <f>+IF($W310="","",ROUND((BG310*Parámetros!$G$85),2))</f>
        <v>0</v>
      </c>
      <c r="BK310" s="66">
        <f>+IF($W310="","",ROUND((BG310*(Parámetros!$G$86)),2))</f>
        <v>0</v>
      </c>
      <c r="BL310" s="66">
        <f t="shared" si="438"/>
        <v>0</v>
      </c>
      <c r="BM310" t="str">
        <f t="shared" ref="BM310:BM373" si="479">+IF($W310="","",BM309)</f>
        <v>00061</v>
      </c>
      <c r="BN310" t="str">
        <f t="shared" ref="BN310:BN373" si="480">+IF($W310="","",BN309)</f>
        <v>Gastos de Entierro</v>
      </c>
      <c r="BO310" s="118">
        <f t="shared" ref="BO310:BO373" si="481">+IF($W310="","",BO309)</f>
        <v>0</v>
      </c>
      <c r="BP310" s="118" t="str">
        <f t="shared" ref="BP310:BP373" si="482">+IF($W310="","",BP309)</f>
        <v>A</v>
      </c>
      <c r="BQ310" s="119" t="str">
        <f>+IF(OR($W310="",BO310=0),"",ROUND((VLOOKUP(ROUNDDOWN($D310-1/frec,0),cob_adi,BB$40,FALSE)*(1+i/frec)^-0.5*(1+Parámetros!$D$103)*(1+rec_fracc)/frec),6))</f>
        <v/>
      </c>
      <c r="BR310" s="66">
        <f t="shared" si="439"/>
        <v>0</v>
      </c>
      <c r="BS310" s="119" t="str">
        <f t="shared" si="440"/>
        <v/>
      </c>
      <c r="BT310" s="66">
        <f>+IF($W310="","",ROUND(IF($B310&gt;Parámetros!$D$107,'Tablas Servicio'!BR310+('Tablas Servicio'!BT309-'Tablas Servicio'!BR309),BR310/(1-IF(B310&lt;=10,Parámetros!$D$100,0))),2))</f>
        <v>0</v>
      </c>
      <c r="BU310" s="66">
        <f t="shared" si="441"/>
        <v>0</v>
      </c>
      <c r="BV310" s="66">
        <f t="shared" si="441"/>
        <v>0</v>
      </c>
      <c r="BW310" s="66">
        <f>+IF($W310="","",ROUND((BT310*Parámetros!$G$85),2))</f>
        <v>0</v>
      </c>
      <c r="BX310" s="66">
        <f>+IF($W310="","",ROUND((BT310*(Parámetros!$G$86)),2))</f>
        <v>0</v>
      </c>
      <c r="BY310" s="66">
        <f t="shared" si="442"/>
        <v>0</v>
      </c>
      <c r="BZ310" t="str">
        <f t="shared" ref="BZ310:BZ373" si="483">+IF($W310="","",BZ309)</f>
        <v>00062</v>
      </c>
      <c r="CA310" t="str">
        <f t="shared" ref="CA310:CA373" si="484">+IF($W310="","",CA309)</f>
        <v>Gastos médicos por accidente</v>
      </c>
      <c r="CB310" s="118">
        <f t="shared" ref="CB310:CB373" si="485">+IF($W310="","",CB309)</f>
        <v>0</v>
      </c>
      <c r="CC310" s="118" t="str">
        <f t="shared" ref="CC310:CC373" si="486">+IF($W310="","",CC309)</f>
        <v>A</v>
      </c>
      <c r="CD310" s="119" t="str">
        <f t="shared" si="443"/>
        <v/>
      </c>
      <c r="CE310" s="66">
        <f>+IF($W310="","",ROUND((VLOOKUP(ROUNDDOWN($D310-1/frec,0),cob_adi,BO$40,FALSE)*(1+i/frec)^-0.5*(1+Parámetros!$D$103)*(1+rec_fracc)/frec*'TABLAS ADI'!$BC$17),2))</f>
        <v>0</v>
      </c>
      <c r="CF310" s="119" t="str">
        <f t="shared" si="444"/>
        <v/>
      </c>
      <c r="CG310" s="66">
        <f>+IF($W310="","",ROUND(IF($B310&gt;Parámetros!$D$107,'Tablas Servicio'!CE310+('Tablas Servicio'!CG309-'Tablas Servicio'!CE309),CE310/(1-IF(B310&lt;=10,Parámetros!$D$100,0))),2))</f>
        <v>0</v>
      </c>
      <c r="CH310" s="66">
        <f t="shared" si="445"/>
        <v>0</v>
      </c>
      <c r="CI310" s="66">
        <f t="shared" si="445"/>
        <v>0</v>
      </c>
      <c r="CJ310" s="66">
        <f>+IF($W310="","",ROUND((CG310*Parámetros!$G$85),2))</f>
        <v>0</v>
      </c>
      <c r="CK310" s="66">
        <f>+IF($W310="","",ROUND((CG310*(Parámetros!$G$86)),2))</f>
        <v>0</v>
      </c>
      <c r="CL310" s="66">
        <f t="shared" si="446"/>
        <v>0</v>
      </c>
      <c r="CM310" t="str">
        <f t="shared" ref="CM310:CM373" si="487">+IF($W310="","",CM309)</f>
        <v>00063</v>
      </c>
      <c r="CN310" s="118" t="str">
        <f t="shared" ref="CN310:CN373" si="488">+IF($W310="","",CN309)</f>
        <v>Renta Diaria por Hospitalización</v>
      </c>
      <c r="CO310" s="118">
        <f t="shared" ref="CO310:CO373" si="489">+IF($W310="","",CO309)</f>
        <v>0</v>
      </c>
      <c r="CP310" s="118" t="str">
        <f t="shared" ref="CP310:CP373" si="490">+IF($W310="","",CP309)</f>
        <v>A</v>
      </c>
      <c r="CQ310" s="119" t="str">
        <f t="shared" si="447"/>
        <v/>
      </c>
      <c r="CR310" s="66">
        <f>+IF($W310="","",ROUND((VLOOKUP(Parámetros!$F$51,'COBERTURAS ADICIONALES'!$S$4:$T$32,2,FALSE)*(1+i/frec)^-0.5*(1+Parámetros!$D$103)*(1+rec_fracc)/frec*$CO$42),2))</f>
        <v>0</v>
      </c>
      <c r="CS310" s="119" t="str">
        <f t="shared" si="448"/>
        <v/>
      </c>
      <c r="CT310" s="66">
        <f>+IF($W310="","",ROUND(IF($B310&gt;Parámetros!$D$107,'Tablas Servicio'!CR310+('Tablas Servicio'!CT309-'Tablas Servicio'!CR309),CR310/(1-IF(B310&lt;=10,Parámetros!$D$100,0))),2))</f>
        <v>0</v>
      </c>
      <c r="CU310" s="66">
        <f t="shared" si="449"/>
        <v>0</v>
      </c>
      <c r="CV310" s="66">
        <f t="shared" si="449"/>
        <v>0</v>
      </c>
      <c r="CW310" s="66">
        <f>+IF($W310="","",ROUND((CT310*Parámetros!$G$85),2))</f>
        <v>0</v>
      </c>
      <c r="CX310" s="66">
        <f>+IF($W310="","",ROUND((CT310*(Parámetros!$G$86)),2))</f>
        <v>0</v>
      </c>
      <c r="CY310" s="66">
        <f t="shared" si="450"/>
        <v>0</v>
      </c>
      <c r="CZ310" t="str">
        <f t="shared" ref="CZ310:CZ373" si="491">+IF($W310="","",CZ309)</f>
        <v>00064</v>
      </c>
      <c r="DA310" s="118" t="str">
        <f t="shared" ref="DA310:DA373" si="492">+IF($W310="","",DA309)</f>
        <v>Enfermedades Graves</v>
      </c>
      <c r="DB310" s="118">
        <f t="shared" ref="DB310:DB373" si="493">+IF($W310="","",DB309)</f>
        <v>0</v>
      </c>
      <c r="DC310" s="118" t="str">
        <f t="shared" ref="DC310:DC373" si="494">+IF($W310="","",DC309)</f>
        <v>A</v>
      </c>
      <c r="DD310" s="121" t="str">
        <f>+IF(OR($W310="",DB310=0),"",ROUND((VLOOKUP(ROUNDDOWN($D310-1/frec,0),cob_adi,CO$40,FALSE)*(1+i/frec)^-0.5*(1+Parámetros!$D$103)*(1+rec_fracc)/frec),6))</f>
        <v/>
      </c>
      <c r="DE310" s="66">
        <f t="shared" si="451"/>
        <v>0</v>
      </c>
      <c r="DF310" s="119" t="str">
        <f t="shared" si="452"/>
        <v/>
      </c>
      <c r="DG310" s="66">
        <f>+IF($W310="","",ROUND(IF($B310&gt;Parámetros!$D$107,'Tablas Servicio'!DE310+('Tablas Servicio'!DG309-'Tablas Servicio'!DE309),DE310/(1-IF(B310&lt;=10,Parámetros!$D$100,0))),2))</f>
        <v>0</v>
      </c>
      <c r="DH310" s="66">
        <f t="shared" si="453"/>
        <v>0</v>
      </c>
      <c r="DI310" s="66">
        <f t="shared" si="453"/>
        <v>0</v>
      </c>
      <c r="DJ310" s="66">
        <f>+IF($W310="","",ROUND((DG310*Parámetros!$G$85),2))</f>
        <v>0</v>
      </c>
      <c r="DK310" s="66">
        <f>+IF($W310="","",ROUND((DG310*(Parámetros!$G$86)),2))</f>
        <v>0</v>
      </c>
      <c r="DL310" s="66">
        <f t="shared" si="454"/>
        <v>0</v>
      </c>
      <c r="DM310" t="str">
        <f t="shared" ref="DM310:DM373" si="495">+IF($W310="","",DM309)</f>
        <v>00065</v>
      </c>
      <c r="DN310" s="118" t="str">
        <f t="shared" ref="DN310:DN373" si="496">+IF($W310="","",DN309)</f>
        <v>Exención pago de primas</v>
      </c>
      <c r="DO310" s="118">
        <f t="shared" ref="DO310:DO373" si="497">+IF($W310="","",DO309)</f>
        <v>0</v>
      </c>
      <c r="DP310" s="118" t="str">
        <f t="shared" ref="DP310:DP373" si="498">+IF($W310="","",DP309)</f>
        <v>A</v>
      </c>
      <c r="DQ310" s="122" t="str">
        <f>+IF(OR($W310="",DO310=0),"",ROUND((VLOOKUP(ROUNDDOWN($D310-1/frec,0),cob_adi,DB$40,FALSE)*(1+i/frec)^-0.5*(1+Parámetros!$D$103)*(1+rec_fracc)/frec),6))</f>
        <v/>
      </c>
      <c r="DR310" s="66">
        <f t="shared" si="455"/>
        <v>0</v>
      </c>
      <c r="DS310" s="68" t="str">
        <f t="shared" si="456"/>
        <v/>
      </c>
      <c r="DT310" s="66">
        <f>+IF($W310="","",ROUND(IF($B310&gt;Parámetros!$D$107,'Tablas Servicio'!DR310+('Tablas Servicio'!DT309-'Tablas Servicio'!DR309),DR310/(1-IF(B310&lt;=10,Parámetros!$D$100,0))),2))</f>
        <v>0</v>
      </c>
      <c r="DU310" s="66">
        <f t="shared" si="457"/>
        <v>0</v>
      </c>
      <c r="DV310" s="66">
        <f t="shared" si="457"/>
        <v>0</v>
      </c>
      <c r="DW310" s="66">
        <f>+IF($W310="","",ROUND((DT310*Parámetros!$G$85),2))</f>
        <v>0</v>
      </c>
      <c r="DX310" s="66">
        <f>+IF($W310="","",ROUND((DT310*(Parámetros!$G$86)),2))</f>
        <v>0</v>
      </c>
      <c r="DY310" s="66">
        <f t="shared" si="458"/>
        <v>0</v>
      </c>
      <c r="DZ310" t="str">
        <f t="shared" si="459"/>
        <v>00066</v>
      </c>
      <c r="EA310" s="118" t="str">
        <f t="shared" si="459"/>
        <v>Enfermedad terminal</v>
      </c>
      <c r="EB310" s="118">
        <f>+IF($W310="","",ROUND(IF(Parámetros!$D$25='TABLAS MORT'!$V$33,EB309,Z310/2),0))</f>
        <v>50000</v>
      </c>
      <c r="EC310" s="118" t="str">
        <f t="shared" si="459"/>
        <v>A</v>
      </c>
      <c r="ED310" s="122">
        <f>+IF(OR($W310="",EB310=0),"",ROUND((VLOOKUP(ROUNDDOWN($D310-1/frec,0),cob_adi,DO$40,FALSE)*(1+i/frec)^-0.5*(1+Parámetros!$D$103)*(1+rec_fracc)/frec),6))</f>
        <v>3.8999999999999999E-5</v>
      </c>
      <c r="EE310" s="66">
        <f t="shared" si="460"/>
        <v>1.95</v>
      </c>
      <c r="EF310" s="68">
        <f t="shared" si="461"/>
        <v>3.8999999999999999E-5</v>
      </c>
      <c r="EG310" s="66">
        <f>+IF($W310="","",ROUND(IF($B310&gt;Parámetros!$D$107,'Tablas Servicio'!EE310+('Tablas Servicio'!EG309-'Tablas Servicio'!EE309),EE310/(1-IF(B310&lt;=10,Parámetros!$D$100,0))),2))</f>
        <v>1.95</v>
      </c>
      <c r="EH310" s="66">
        <f t="shared" si="462"/>
        <v>0</v>
      </c>
      <c r="EI310" s="66">
        <f t="shared" si="462"/>
        <v>0</v>
      </c>
      <c r="EJ310" s="66">
        <f>+IF($W310="","",ROUND((EG310*Parámetros!$G$85),2))</f>
        <v>7.0000000000000007E-2</v>
      </c>
      <c r="EK310" s="66">
        <f>+IF($W310="","",ROUND((EG310*(Parámetros!$G$86)),2))</f>
        <v>0.01</v>
      </c>
      <c r="EL310" s="66">
        <f t="shared" si="463"/>
        <v>2.0299999999999998</v>
      </c>
    </row>
    <row r="311" spans="1:142" x14ac:dyDescent="0.25">
      <c r="A311">
        <f>+IF($C311="","",ROUND(VLOOKUP('Tablas Servicio'!B311,Parámetros!$H$100:$J$159,IF(Parámetros!$E$16="F",2,3),FALSE),2))</f>
        <v>150</v>
      </c>
      <c r="B311">
        <f t="shared" si="414"/>
        <v>23</v>
      </c>
      <c r="C311" s="57">
        <f>+IF(D311="","",'Tablas Servicio'!C310+1)</f>
        <v>270</v>
      </c>
      <c r="D311" s="56">
        <f>+IF(D310&lt;edadmaxtabla,D310+1/Parámetros!$E$25,"")</f>
        <v>62.520000000000643</v>
      </c>
      <c r="E311" s="57">
        <f t="shared" si="424"/>
        <v>62</v>
      </c>
      <c r="F311" s="59">
        <f t="shared" si="425"/>
        <v>100000</v>
      </c>
      <c r="G311" s="66">
        <f t="shared" si="415"/>
        <v>67.350000000000009</v>
      </c>
      <c r="H311" s="66">
        <f t="shared" si="416"/>
        <v>70.05</v>
      </c>
      <c r="I311" s="66">
        <f t="shared" si="464"/>
        <v>23.950000000000003</v>
      </c>
      <c r="J311" s="66">
        <f t="shared" si="417"/>
        <v>2.36</v>
      </c>
      <c r="K311" s="66">
        <f t="shared" si="418"/>
        <v>0.34</v>
      </c>
      <c r="L311" s="66">
        <f t="shared" si="419"/>
        <v>0</v>
      </c>
      <c r="M311" s="66">
        <f t="shared" si="420"/>
        <v>0</v>
      </c>
      <c r="N311" s="66">
        <f>+IF(C311="","",ROUND(Parámetros!$D$23,2))</f>
        <v>94</v>
      </c>
      <c r="O311" s="66">
        <f t="shared" si="421"/>
        <v>54.85</v>
      </c>
      <c r="P311" s="66">
        <f>+IF($C311="","",ROUND(IF(B311&gt;Parámetros!$D$117,0,N311*Parámetros!$D$116-G311*Parámetros!$D$100),2))</f>
        <v>0</v>
      </c>
      <c r="Q311" s="75">
        <f t="shared" si="465"/>
        <v>3.5040831477357086E-2</v>
      </c>
      <c r="R311" s="75">
        <f t="shared" si="466"/>
        <v>5.0482553823311058E-3</v>
      </c>
      <c r="S311" s="117">
        <f>+IF($C311="","",ROUND((S310+I311)*(1+Parámetros!$D$91),2))</f>
        <v>20291.13</v>
      </c>
      <c r="T311" s="117">
        <f>+IF($C311="","",ROUND(S311*VLOOKUP(B311,Parámetros!$C$30:$D$39,2,TRUE),2))</f>
        <v>20291.13</v>
      </c>
      <c r="U311" s="117">
        <f>+IF($C311="","",ROUND((U310+I311)*(1+Parámetros!$D$92),2))</f>
        <v>21695.25</v>
      </c>
      <c r="V311" s="117">
        <f>+IF($C311="","",ROUND(U311*VLOOKUP(B311,Parámetros!$C$30:$D$39,2,TRUE),2))</f>
        <v>21695.25</v>
      </c>
      <c r="W311" s="57">
        <f t="shared" si="467"/>
        <v>270</v>
      </c>
      <c r="X311" t="str">
        <f t="shared" si="468"/>
        <v>00058</v>
      </c>
      <c r="Y311" t="str">
        <f t="shared" si="469"/>
        <v>MUERTE POR CUALQUIER CAUSA</v>
      </c>
      <c r="Z311" s="118">
        <f>+IF($W311="","",ROUND(IF(Parámetros!$D$25='TABLAS MORT'!$V$33,Z310,Parámetros!$D$21-'Tablas Servicio'!T310),0))</f>
        <v>100000</v>
      </c>
      <c r="AA311" s="118" t="str">
        <f t="shared" si="470"/>
        <v>P</v>
      </c>
      <c r="AB311" s="119">
        <f>+IF(W311="","",ROUND((VLOOKUP(ROUNDDOWN($D311-1/frec,0),qx_tabla,2,FALSE)*(1+i/frec)^-0.5*(1+Parámetros!$D$103)*(1+rec_fracc)/frec),6))</f>
        <v>5.2899999999999996E-4</v>
      </c>
      <c r="AC311" s="66">
        <f t="shared" si="426"/>
        <v>52.9</v>
      </c>
      <c r="AD311" s="119">
        <f t="shared" si="422"/>
        <v>6.5399999999999996E-4</v>
      </c>
      <c r="AE311" s="66">
        <f>+IF($W311="","",ROUND(IF($B311&gt;Parámetros!$D$107,'Tablas Servicio'!AC311+('Tablas Servicio'!AG310-'Tablas Servicio'!AC310),AC311/(1-IF(B311&lt;=10,Parámetros!$D$104,Parámetros!$D$105))),2))</f>
        <v>88.17</v>
      </c>
      <c r="AF311" s="66">
        <f>+IF($W311="","",ROUND(IF($B311&gt;Parámetros!$D$107,'Tablas Servicio'!AC311+('Tablas Servicio'!AG310-'Tablas Servicio'!AC310),(AC311+$A310/frec)/(1-IF(B311&lt;=Parámetros!$D$117,Parámetros!$D$100,0))),2))</f>
        <v>65.400000000000006</v>
      </c>
      <c r="AG311" s="66">
        <f t="shared" si="427"/>
        <v>65.400000000000006</v>
      </c>
      <c r="AH311" s="66">
        <f t="shared" si="428"/>
        <v>0</v>
      </c>
      <c r="AI311" s="66">
        <f t="shared" si="429"/>
        <v>0</v>
      </c>
      <c r="AJ311" s="66">
        <f>+IF($W311="","",ROUND((AG311*Parámetros!$G$85),2))</f>
        <v>2.29</v>
      </c>
      <c r="AK311" s="66">
        <f>+IF($W311="","",ROUND((AG311*(Parámetros!$G$86)),2))</f>
        <v>0.33</v>
      </c>
      <c r="AL311" s="66">
        <f t="shared" si="423"/>
        <v>68.02</v>
      </c>
      <c r="AM311" t="str">
        <f t="shared" si="471"/>
        <v>00059</v>
      </c>
      <c r="AN311" t="str">
        <f t="shared" si="472"/>
        <v>Incapacidad Total y Permanente</v>
      </c>
      <c r="AO311" s="118">
        <f t="shared" si="473"/>
        <v>0</v>
      </c>
      <c r="AP311" s="118" t="str">
        <f t="shared" si="474"/>
        <v>A</v>
      </c>
      <c r="AQ311" s="119" t="str">
        <f>+IF(OR($W311="",AO311=0),"",ROUND((VLOOKUP(ROUNDDOWN($D311-1/frec,0),cob_adi,Z$40,FALSE)*(1+i/frec)^-0.5*(1+Parámetros!$D$103)*(1+rec_fracc)/frec),6))</f>
        <v/>
      </c>
      <c r="AR311" s="66">
        <f t="shared" si="430"/>
        <v>0</v>
      </c>
      <c r="AS311" s="119" t="str">
        <f t="shared" si="431"/>
        <v/>
      </c>
      <c r="AT311" s="66">
        <f>+IF($W311="","",ROUND(IF($B311&gt;Parámetros!$D$107,'Tablas Servicio'!AR311+('Tablas Servicio'!AT310-'Tablas Servicio'!AR310),AR311/(1-IF(B311&lt;=10,Parámetros!$D$100,0))),2))</f>
        <v>0</v>
      </c>
      <c r="AU311" s="66">
        <f t="shared" si="432"/>
        <v>0</v>
      </c>
      <c r="AV311" s="66">
        <f t="shared" si="432"/>
        <v>0</v>
      </c>
      <c r="AW311" s="66">
        <f>+IF($W311="","",ROUND((AT311*Parámetros!$G$85),2))</f>
        <v>0</v>
      </c>
      <c r="AX311" s="66">
        <f>+IF($W311="","",ROUND((AT311*(Parámetros!$G$86)),2))</f>
        <v>0</v>
      </c>
      <c r="AY311" s="66">
        <f t="shared" si="433"/>
        <v>0</v>
      </c>
      <c r="AZ311" t="str">
        <f t="shared" si="475"/>
        <v>00060</v>
      </c>
      <c r="BA311" t="str">
        <f t="shared" si="476"/>
        <v>Muerte Accidental</v>
      </c>
      <c r="BB311" s="118">
        <f t="shared" si="477"/>
        <v>0</v>
      </c>
      <c r="BC311" s="118" t="str">
        <f t="shared" si="478"/>
        <v>A</v>
      </c>
      <c r="BD311" s="119" t="str">
        <f>+IF(OR($W311="",BB311=0),"",ROUND((VLOOKUP(ROUNDDOWN($D311-1/frec,0),cob_adi,AO$40,FALSE)*(1+i/frec)^-0.5*(1+Parámetros!$D$103)*(1+rec_fracc)/frec),6))</f>
        <v/>
      </c>
      <c r="BE311" s="66">
        <f t="shared" si="434"/>
        <v>0</v>
      </c>
      <c r="BF311" s="119" t="str">
        <f t="shared" si="435"/>
        <v/>
      </c>
      <c r="BG311" s="66">
        <f>+IF($W311="","",ROUND(IF($B311&gt;Parámetros!$D$107,'Tablas Servicio'!BE311+('Tablas Servicio'!BG310-'Tablas Servicio'!BE310),BE311/(1-IF(B311&lt;=10,Parámetros!$D$100,0))),2))</f>
        <v>0</v>
      </c>
      <c r="BH311" s="66">
        <f t="shared" si="436"/>
        <v>0</v>
      </c>
      <c r="BI311" s="66">
        <f t="shared" si="437"/>
        <v>0</v>
      </c>
      <c r="BJ311" s="66">
        <f>+IF($W311="","",ROUND((BG311*Parámetros!$G$85),2))</f>
        <v>0</v>
      </c>
      <c r="BK311" s="66">
        <f>+IF($W311="","",ROUND((BG311*(Parámetros!$G$86)),2))</f>
        <v>0</v>
      </c>
      <c r="BL311" s="66">
        <f t="shared" si="438"/>
        <v>0</v>
      </c>
      <c r="BM311" t="str">
        <f t="shared" si="479"/>
        <v>00061</v>
      </c>
      <c r="BN311" t="str">
        <f t="shared" si="480"/>
        <v>Gastos de Entierro</v>
      </c>
      <c r="BO311" s="118">
        <f t="shared" si="481"/>
        <v>0</v>
      </c>
      <c r="BP311" s="118" t="str">
        <f t="shared" si="482"/>
        <v>A</v>
      </c>
      <c r="BQ311" s="119" t="str">
        <f>+IF(OR($W311="",BO311=0),"",ROUND((VLOOKUP(ROUNDDOWN($D311-1/frec,0),cob_adi,BB$40,FALSE)*(1+i/frec)^-0.5*(1+Parámetros!$D$103)*(1+rec_fracc)/frec),6))</f>
        <v/>
      </c>
      <c r="BR311" s="66">
        <f t="shared" si="439"/>
        <v>0</v>
      </c>
      <c r="BS311" s="119" t="str">
        <f t="shared" si="440"/>
        <v/>
      </c>
      <c r="BT311" s="66">
        <f>+IF($W311="","",ROUND(IF($B311&gt;Parámetros!$D$107,'Tablas Servicio'!BR311+('Tablas Servicio'!BT310-'Tablas Servicio'!BR310),BR311/(1-IF(B311&lt;=10,Parámetros!$D$100,0))),2))</f>
        <v>0</v>
      </c>
      <c r="BU311" s="66">
        <f t="shared" si="441"/>
        <v>0</v>
      </c>
      <c r="BV311" s="66">
        <f t="shared" si="441"/>
        <v>0</v>
      </c>
      <c r="BW311" s="66">
        <f>+IF($W311="","",ROUND((BT311*Parámetros!$G$85),2))</f>
        <v>0</v>
      </c>
      <c r="BX311" s="66">
        <f>+IF($W311="","",ROUND((BT311*(Parámetros!$G$86)),2))</f>
        <v>0</v>
      </c>
      <c r="BY311" s="66">
        <f t="shared" si="442"/>
        <v>0</v>
      </c>
      <c r="BZ311" t="str">
        <f t="shared" si="483"/>
        <v>00062</v>
      </c>
      <c r="CA311" t="str">
        <f t="shared" si="484"/>
        <v>Gastos médicos por accidente</v>
      </c>
      <c r="CB311" s="118">
        <f t="shared" si="485"/>
        <v>0</v>
      </c>
      <c r="CC311" s="118" t="str">
        <f t="shared" si="486"/>
        <v>A</v>
      </c>
      <c r="CD311" s="119" t="str">
        <f t="shared" si="443"/>
        <v/>
      </c>
      <c r="CE311" s="66">
        <f>+IF($W311="","",ROUND((VLOOKUP(ROUNDDOWN($D311-1/frec,0),cob_adi,BO$40,FALSE)*(1+i/frec)^-0.5*(1+Parámetros!$D$103)*(1+rec_fracc)/frec*'TABLAS ADI'!$BC$17),2))</f>
        <v>0</v>
      </c>
      <c r="CF311" s="119" t="str">
        <f t="shared" si="444"/>
        <v/>
      </c>
      <c r="CG311" s="66">
        <f>+IF($W311="","",ROUND(IF($B311&gt;Parámetros!$D$107,'Tablas Servicio'!CE311+('Tablas Servicio'!CG310-'Tablas Servicio'!CE310),CE311/(1-IF(B311&lt;=10,Parámetros!$D$100,0))),2))</f>
        <v>0</v>
      </c>
      <c r="CH311" s="66">
        <f t="shared" si="445"/>
        <v>0</v>
      </c>
      <c r="CI311" s="66">
        <f t="shared" si="445"/>
        <v>0</v>
      </c>
      <c r="CJ311" s="66">
        <f>+IF($W311="","",ROUND((CG311*Parámetros!$G$85),2))</f>
        <v>0</v>
      </c>
      <c r="CK311" s="66">
        <f>+IF($W311="","",ROUND((CG311*(Parámetros!$G$86)),2))</f>
        <v>0</v>
      </c>
      <c r="CL311" s="66">
        <f t="shared" si="446"/>
        <v>0</v>
      </c>
      <c r="CM311" t="str">
        <f t="shared" si="487"/>
        <v>00063</v>
      </c>
      <c r="CN311" s="118" t="str">
        <f t="shared" si="488"/>
        <v>Renta Diaria por Hospitalización</v>
      </c>
      <c r="CO311" s="118">
        <f t="shared" si="489"/>
        <v>0</v>
      </c>
      <c r="CP311" s="118" t="str">
        <f t="shared" si="490"/>
        <v>A</v>
      </c>
      <c r="CQ311" s="119" t="str">
        <f t="shared" si="447"/>
        <v/>
      </c>
      <c r="CR311" s="66">
        <f>+IF($W311="","",ROUND((VLOOKUP(Parámetros!$F$51,'COBERTURAS ADICIONALES'!$S$4:$T$32,2,FALSE)*(1+i/frec)^-0.5*(1+Parámetros!$D$103)*(1+rec_fracc)/frec*$CO$42),2))</f>
        <v>0</v>
      </c>
      <c r="CS311" s="119" t="str">
        <f t="shared" si="448"/>
        <v/>
      </c>
      <c r="CT311" s="66">
        <f>+IF($W311="","",ROUND(IF($B311&gt;Parámetros!$D$107,'Tablas Servicio'!CR311+('Tablas Servicio'!CT310-'Tablas Servicio'!CR310),CR311/(1-IF(B311&lt;=10,Parámetros!$D$100,0))),2))</f>
        <v>0</v>
      </c>
      <c r="CU311" s="66">
        <f t="shared" si="449"/>
        <v>0</v>
      </c>
      <c r="CV311" s="66">
        <f t="shared" si="449"/>
        <v>0</v>
      </c>
      <c r="CW311" s="66">
        <f>+IF($W311="","",ROUND((CT311*Parámetros!$G$85),2))</f>
        <v>0</v>
      </c>
      <c r="CX311" s="66">
        <f>+IF($W311="","",ROUND((CT311*(Parámetros!$G$86)),2))</f>
        <v>0</v>
      </c>
      <c r="CY311" s="66">
        <f t="shared" si="450"/>
        <v>0</v>
      </c>
      <c r="CZ311" t="str">
        <f t="shared" si="491"/>
        <v>00064</v>
      </c>
      <c r="DA311" s="118" t="str">
        <f t="shared" si="492"/>
        <v>Enfermedades Graves</v>
      </c>
      <c r="DB311" s="118">
        <f t="shared" si="493"/>
        <v>0</v>
      </c>
      <c r="DC311" s="118" t="str">
        <f t="shared" si="494"/>
        <v>A</v>
      </c>
      <c r="DD311" s="121" t="str">
        <f>+IF(OR($W311="",DB311=0),"",ROUND((VLOOKUP(ROUNDDOWN($D311-1/frec,0),cob_adi,CO$40,FALSE)*(1+i/frec)^-0.5*(1+Parámetros!$D$103)*(1+rec_fracc)/frec),6))</f>
        <v/>
      </c>
      <c r="DE311" s="66">
        <f t="shared" si="451"/>
        <v>0</v>
      </c>
      <c r="DF311" s="119" t="str">
        <f t="shared" si="452"/>
        <v/>
      </c>
      <c r="DG311" s="66">
        <f>+IF($W311="","",ROUND(IF($B311&gt;Parámetros!$D$107,'Tablas Servicio'!DE311+('Tablas Servicio'!DG310-'Tablas Servicio'!DE310),DE311/(1-IF(B311&lt;=10,Parámetros!$D$100,0))),2))</f>
        <v>0</v>
      </c>
      <c r="DH311" s="66">
        <f t="shared" si="453"/>
        <v>0</v>
      </c>
      <c r="DI311" s="66">
        <f t="shared" si="453"/>
        <v>0</v>
      </c>
      <c r="DJ311" s="66">
        <f>+IF($W311="","",ROUND((DG311*Parámetros!$G$85),2))</f>
        <v>0</v>
      </c>
      <c r="DK311" s="66">
        <f>+IF($W311="","",ROUND((DG311*(Parámetros!$G$86)),2))</f>
        <v>0</v>
      </c>
      <c r="DL311" s="66">
        <f t="shared" si="454"/>
        <v>0</v>
      </c>
      <c r="DM311" t="str">
        <f t="shared" si="495"/>
        <v>00065</v>
      </c>
      <c r="DN311" s="118" t="str">
        <f t="shared" si="496"/>
        <v>Exención pago de primas</v>
      </c>
      <c r="DO311" s="118">
        <f t="shared" si="497"/>
        <v>0</v>
      </c>
      <c r="DP311" s="118" t="str">
        <f t="shared" si="498"/>
        <v>A</v>
      </c>
      <c r="DQ311" s="122" t="str">
        <f>+IF(OR($W311="",DO311=0),"",ROUND((VLOOKUP(ROUNDDOWN($D311-1/frec,0),cob_adi,DB$40,FALSE)*(1+i/frec)^-0.5*(1+Parámetros!$D$103)*(1+rec_fracc)/frec),6))</f>
        <v/>
      </c>
      <c r="DR311" s="66">
        <f t="shared" si="455"/>
        <v>0</v>
      </c>
      <c r="DS311" s="68" t="str">
        <f t="shared" si="456"/>
        <v/>
      </c>
      <c r="DT311" s="66">
        <f>+IF($W311="","",ROUND(IF($B311&gt;Parámetros!$D$107,'Tablas Servicio'!DR311+('Tablas Servicio'!DT310-'Tablas Servicio'!DR310),DR311/(1-IF(B311&lt;=10,Parámetros!$D$100,0))),2))</f>
        <v>0</v>
      </c>
      <c r="DU311" s="66">
        <f t="shared" si="457"/>
        <v>0</v>
      </c>
      <c r="DV311" s="66">
        <f t="shared" si="457"/>
        <v>0</v>
      </c>
      <c r="DW311" s="66">
        <f>+IF($W311="","",ROUND((DT311*Parámetros!$G$85),2))</f>
        <v>0</v>
      </c>
      <c r="DX311" s="66">
        <f>+IF($W311="","",ROUND((DT311*(Parámetros!$G$86)),2))</f>
        <v>0</v>
      </c>
      <c r="DY311" s="66">
        <f t="shared" si="458"/>
        <v>0</v>
      </c>
      <c r="DZ311" t="str">
        <f t="shared" si="459"/>
        <v>00066</v>
      </c>
      <c r="EA311" s="118" t="str">
        <f t="shared" si="459"/>
        <v>Enfermedad terminal</v>
      </c>
      <c r="EB311" s="118">
        <f>+IF($W311="","",ROUND(IF(Parámetros!$D$25='TABLAS MORT'!$V$33,EB310,Z311/2),0))</f>
        <v>50000</v>
      </c>
      <c r="EC311" s="118" t="str">
        <f t="shared" si="459"/>
        <v>A</v>
      </c>
      <c r="ED311" s="122">
        <f>+IF(OR($W311="",EB311=0),"",ROUND((VLOOKUP(ROUNDDOWN($D311-1/frec,0),cob_adi,DO$40,FALSE)*(1+i/frec)^-0.5*(1+Parámetros!$D$103)*(1+rec_fracc)/frec),6))</f>
        <v>3.8999999999999999E-5</v>
      </c>
      <c r="EE311" s="66">
        <f t="shared" si="460"/>
        <v>1.95</v>
      </c>
      <c r="EF311" s="68">
        <f t="shared" si="461"/>
        <v>3.8999999999999999E-5</v>
      </c>
      <c r="EG311" s="66">
        <f>+IF($W311="","",ROUND(IF($B311&gt;Parámetros!$D$107,'Tablas Servicio'!EE311+('Tablas Servicio'!EG310-'Tablas Servicio'!EE310),EE311/(1-IF(B311&lt;=10,Parámetros!$D$100,0))),2))</f>
        <v>1.95</v>
      </c>
      <c r="EH311" s="66">
        <f t="shared" si="462"/>
        <v>0</v>
      </c>
      <c r="EI311" s="66">
        <f t="shared" si="462"/>
        <v>0</v>
      </c>
      <c r="EJ311" s="66">
        <f>+IF($W311="","",ROUND((EG311*Parámetros!$G$85),2))</f>
        <v>7.0000000000000007E-2</v>
      </c>
      <c r="EK311" s="66">
        <f>+IF($W311="","",ROUND((EG311*(Parámetros!$G$86)),2))</f>
        <v>0.01</v>
      </c>
      <c r="EL311" s="66">
        <f t="shared" si="463"/>
        <v>2.0299999999999998</v>
      </c>
    </row>
    <row r="312" spans="1:142" x14ac:dyDescent="0.25">
      <c r="A312">
        <f>+IF($C312="","",ROUND(VLOOKUP('Tablas Servicio'!B312,Parámetros!$H$100:$J$159,IF(Parámetros!$E$16="F",2,3),FALSE),2))</f>
        <v>150</v>
      </c>
      <c r="B312">
        <f t="shared" si="414"/>
        <v>23</v>
      </c>
      <c r="C312" s="57">
        <f>+IF(D312="","",'Tablas Servicio'!C311+1)</f>
        <v>271</v>
      </c>
      <c r="D312" s="56">
        <f>+IF(D311&lt;edadmaxtabla,D311+1/Parámetros!$E$25,"")</f>
        <v>62.603333333333978</v>
      </c>
      <c r="E312" s="57">
        <f t="shared" si="424"/>
        <v>62</v>
      </c>
      <c r="F312" s="59">
        <f t="shared" si="425"/>
        <v>100000</v>
      </c>
      <c r="G312" s="66">
        <f t="shared" si="415"/>
        <v>67.350000000000009</v>
      </c>
      <c r="H312" s="66">
        <f t="shared" si="416"/>
        <v>70.05</v>
      </c>
      <c r="I312" s="66">
        <f t="shared" si="464"/>
        <v>23.950000000000003</v>
      </c>
      <c r="J312" s="66">
        <f t="shared" si="417"/>
        <v>2.36</v>
      </c>
      <c r="K312" s="66">
        <f t="shared" si="418"/>
        <v>0.34</v>
      </c>
      <c r="L312" s="66">
        <f t="shared" si="419"/>
        <v>0</v>
      </c>
      <c r="M312" s="66">
        <f t="shared" si="420"/>
        <v>0</v>
      </c>
      <c r="N312" s="66">
        <f>+IF(C312="","",ROUND(Parámetros!$D$23,2))</f>
        <v>94</v>
      </c>
      <c r="O312" s="66">
        <f t="shared" si="421"/>
        <v>54.85</v>
      </c>
      <c r="P312" s="66">
        <f>+IF($C312="","",ROUND(IF(B312&gt;Parámetros!$D$117,0,N312*Parámetros!$D$116-G312*Parámetros!$D$100),2))</f>
        <v>0</v>
      </c>
      <c r="Q312" s="75">
        <f t="shared" si="465"/>
        <v>3.5040831477357086E-2</v>
      </c>
      <c r="R312" s="75">
        <f t="shared" si="466"/>
        <v>5.0482553823311058E-3</v>
      </c>
      <c r="S312" s="117">
        <f>+IF($C312="","",ROUND((S311+I312)*(1+Parámetros!$D$91),2))</f>
        <v>20372.7</v>
      </c>
      <c r="T312" s="117">
        <f>+IF($C312="","",ROUND(S312*VLOOKUP(B312,Parámetros!$C$30:$D$39,2,TRUE),2))</f>
        <v>20372.7</v>
      </c>
      <c r="U312" s="117">
        <f>+IF($C312="","",ROUND((U311+I312)*(1+Parámetros!$D$92),2))</f>
        <v>21789.61</v>
      </c>
      <c r="V312" s="117">
        <f>+IF($C312="","",ROUND(U312*VLOOKUP(B312,Parámetros!$C$30:$D$39,2,TRUE),2))</f>
        <v>21789.61</v>
      </c>
      <c r="W312" s="57">
        <f t="shared" si="467"/>
        <v>271</v>
      </c>
      <c r="X312" t="str">
        <f t="shared" si="468"/>
        <v>00058</v>
      </c>
      <c r="Y312" t="str">
        <f t="shared" si="469"/>
        <v>MUERTE POR CUALQUIER CAUSA</v>
      </c>
      <c r="Z312" s="118">
        <f>+IF($W312="","",ROUND(IF(Parámetros!$D$25='TABLAS MORT'!$V$33,Z311,Parámetros!$D$21-'Tablas Servicio'!T311),0))</f>
        <v>100000</v>
      </c>
      <c r="AA312" s="118" t="str">
        <f t="shared" si="470"/>
        <v>P</v>
      </c>
      <c r="AB312" s="119">
        <f>+IF(W312="","",ROUND((VLOOKUP(ROUNDDOWN($D312-1/frec,0),qx_tabla,2,FALSE)*(1+i/frec)^-0.5*(1+Parámetros!$D$103)*(1+rec_fracc)/frec),6))</f>
        <v>5.2899999999999996E-4</v>
      </c>
      <c r="AC312" s="66">
        <f t="shared" si="426"/>
        <v>52.9</v>
      </c>
      <c r="AD312" s="119">
        <f t="shared" si="422"/>
        <v>6.5399999999999996E-4</v>
      </c>
      <c r="AE312" s="66">
        <f>+IF($W312="","",ROUND(IF($B312&gt;Parámetros!$D$107,'Tablas Servicio'!AC312+('Tablas Servicio'!AG311-'Tablas Servicio'!AC311),AC312/(1-IF(B312&lt;=10,Parámetros!$D$104,Parámetros!$D$105))),2))</f>
        <v>88.17</v>
      </c>
      <c r="AF312" s="66">
        <f>+IF($W312="","",ROUND(IF($B312&gt;Parámetros!$D$107,'Tablas Servicio'!AC312+('Tablas Servicio'!AG311-'Tablas Servicio'!AC311),(AC312+$A311/frec)/(1-IF(B312&lt;=Parámetros!$D$117,Parámetros!$D$100,0))),2))</f>
        <v>65.400000000000006</v>
      </c>
      <c r="AG312" s="66">
        <f t="shared" si="427"/>
        <v>65.400000000000006</v>
      </c>
      <c r="AH312" s="66">
        <f t="shared" si="428"/>
        <v>0</v>
      </c>
      <c r="AI312" s="66">
        <f t="shared" si="429"/>
        <v>0</v>
      </c>
      <c r="AJ312" s="66">
        <f>+IF($W312="","",ROUND((AG312*Parámetros!$G$85),2))</f>
        <v>2.29</v>
      </c>
      <c r="AK312" s="66">
        <f>+IF($W312="","",ROUND((AG312*(Parámetros!$G$86)),2))</f>
        <v>0.33</v>
      </c>
      <c r="AL312" s="66">
        <f t="shared" si="423"/>
        <v>68.02</v>
      </c>
      <c r="AM312" t="str">
        <f t="shared" si="471"/>
        <v>00059</v>
      </c>
      <c r="AN312" t="str">
        <f t="shared" si="472"/>
        <v>Incapacidad Total y Permanente</v>
      </c>
      <c r="AO312" s="118">
        <f t="shared" si="473"/>
        <v>0</v>
      </c>
      <c r="AP312" s="118" t="str">
        <f t="shared" si="474"/>
        <v>A</v>
      </c>
      <c r="AQ312" s="119" t="str">
        <f>+IF(OR($W312="",AO312=0),"",ROUND((VLOOKUP(ROUNDDOWN($D312-1/frec,0),cob_adi,Z$40,FALSE)*(1+i/frec)^-0.5*(1+Parámetros!$D$103)*(1+rec_fracc)/frec),6))</f>
        <v/>
      </c>
      <c r="AR312" s="66">
        <f t="shared" si="430"/>
        <v>0</v>
      </c>
      <c r="AS312" s="119" t="str">
        <f t="shared" si="431"/>
        <v/>
      </c>
      <c r="AT312" s="66">
        <f>+IF($W312="","",ROUND(IF($B312&gt;Parámetros!$D$107,'Tablas Servicio'!AR312+('Tablas Servicio'!AT311-'Tablas Servicio'!AR311),AR312/(1-IF(B312&lt;=10,Parámetros!$D$100,0))),2))</f>
        <v>0</v>
      </c>
      <c r="AU312" s="66">
        <f t="shared" si="432"/>
        <v>0</v>
      </c>
      <c r="AV312" s="66">
        <f t="shared" si="432"/>
        <v>0</v>
      </c>
      <c r="AW312" s="66">
        <f>+IF($W312="","",ROUND((AT312*Parámetros!$G$85),2))</f>
        <v>0</v>
      </c>
      <c r="AX312" s="66">
        <f>+IF($W312="","",ROUND((AT312*(Parámetros!$G$86)),2))</f>
        <v>0</v>
      </c>
      <c r="AY312" s="66">
        <f t="shared" si="433"/>
        <v>0</v>
      </c>
      <c r="AZ312" t="str">
        <f t="shared" si="475"/>
        <v>00060</v>
      </c>
      <c r="BA312" t="str">
        <f t="shared" si="476"/>
        <v>Muerte Accidental</v>
      </c>
      <c r="BB312" s="118">
        <f t="shared" si="477"/>
        <v>0</v>
      </c>
      <c r="BC312" s="118" t="str">
        <f t="shared" si="478"/>
        <v>A</v>
      </c>
      <c r="BD312" s="119" t="str">
        <f>+IF(OR($W312="",BB312=0),"",ROUND((VLOOKUP(ROUNDDOWN($D312-1/frec,0),cob_adi,AO$40,FALSE)*(1+i/frec)^-0.5*(1+Parámetros!$D$103)*(1+rec_fracc)/frec),6))</f>
        <v/>
      </c>
      <c r="BE312" s="66">
        <f t="shared" si="434"/>
        <v>0</v>
      </c>
      <c r="BF312" s="119" t="str">
        <f t="shared" si="435"/>
        <v/>
      </c>
      <c r="BG312" s="66">
        <f>+IF($W312="","",ROUND(IF($B312&gt;Parámetros!$D$107,'Tablas Servicio'!BE312+('Tablas Servicio'!BG311-'Tablas Servicio'!BE311),BE312/(1-IF(B312&lt;=10,Parámetros!$D$100,0))),2))</f>
        <v>0</v>
      </c>
      <c r="BH312" s="66">
        <f t="shared" si="436"/>
        <v>0</v>
      </c>
      <c r="BI312" s="66">
        <f t="shared" si="437"/>
        <v>0</v>
      </c>
      <c r="BJ312" s="66">
        <f>+IF($W312="","",ROUND((BG312*Parámetros!$G$85),2))</f>
        <v>0</v>
      </c>
      <c r="BK312" s="66">
        <f>+IF($W312="","",ROUND((BG312*(Parámetros!$G$86)),2))</f>
        <v>0</v>
      </c>
      <c r="BL312" s="66">
        <f t="shared" si="438"/>
        <v>0</v>
      </c>
      <c r="BM312" t="str">
        <f t="shared" si="479"/>
        <v>00061</v>
      </c>
      <c r="BN312" t="str">
        <f t="shared" si="480"/>
        <v>Gastos de Entierro</v>
      </c>
      <c r="BO312" s="118">
        <f t="shared" si="481"/>
        <v>0</v>
      </c>
      <c r="BP312" s="118" t="str">
        <f t="shared" si="482"/>
        <v>A</v>
      </c>
      <c r="BQ312" s="119" t="str">
        <f>+IF(OR($W312="",BO312=0),"",ROUND((VLOOKUP(ROUNDDOWN($D312-1/frec,0),cob_adi,BB$40,FALSE)*(1+i/frec)^-0.5*(1+Parámetros!$D$103)*(1+rec_fracc)/frec),6))</f>
        <v/>
      </c>
      <c r="BR312" s="66">
        <f t="shared" si="439"/>
        <v>0</v>
      </c>
      <c r="BS312" s="119" t="str">
        <f t="shared" si="440"/>
        <v/>
      </c>
      <c r="BT312" s="66">
        <f>+IF($W312="","",ROUND(IF($B312&gt;Parámetros!$D$107,'Tablas Servicio'!BR312+('Tablas Servicio'!BT311-'Tablas Servicio'!BR311),BR312/(1-IF(B312&lt;=10,Parámetros!$D$100,0))),2))</f>
        <v>0</v>
      </c>
      <c r="BU312" s="66">
        <f t="shared" si="441"/>
        <v>0</v>
      </c>
      <c r="BV312" s="66">
        <f t="shared" si="441"/>
        <v>0</v>
      </c>
      <c r="BW312" s="66">
        <f>+IF($W312="","",ROUND((BT312*Parámetros!$G$85),2))</f>
        <v>0</v>
      </c>
      <c r="BX312" s="66">
        <f>+IF($W312="","",ROUND((BT312*(Parámetros!$G$86)),2))</f>
        <v>0</v>
      </c>
      <c r="BY312" s="66">
        <f t="shared" si="442"/>
        <v>0</v>
      </c>
      <c r="BZ312" t="str">
        <f t="shared" si="483"/>
        <v>00062</v>
      </c>
      <c r="CA312" t="str">
        <f t="shared" si="484"/>
        <v>Gastos médicos por accidente</v>
      </c>
      <c r="CB312" s="118">
        <f t="shared" si="485"/>
        <v>0</v>
      </c>
      <c r="CC312" s="118" t="str">
        <f t="shared" si="486"/>
        <v>A</v>
      </c>
      <c r="CD312" s="119" t="str">
        <f t="shared" si="443"/>
        <v/>
      </c>
      <c r="CE312" s="66">
        <f>+IF($W312="","",ROUND((VLOOKUP(ROUNDDOWN($D312-1/frec,0),cob_adi,BO$40,FALSE)*(1+i/frec)^-0.5*(1+Parámetros!$D$103)*(1+rec_fracc)/frec*'TABLAS ADI'!$BC$17),2))</f>
        <v>0</v>
      </c>
      <c r="CF312" s="119" t="str">
        <f t="shared" si="444"/>
        <v/>
      </c>
      <c r="CG312" s="66">
        <f>+IF($W312="","",ROUND(IF($B312&gt;Parámetros!$D$107,'Tablas Servicio'!CE312+('Tablas Servicio'!CG311-'Tablas Servicio'!CE311),CE312/(1-IF(B312&lt;=10,Parámetros!$D$100,0))),2))</f>
        <v>0</v>
      </c>
      <c r="CH312" s="66">
        <f t="shared" si="445"/>
        <v>0</v>
      </c>
      <c r="CI312" s="66">
        <f t="shared" si="445"/>
        <v>0</v>
      </c>
      <c r="CJ312" s="66">
        <f>+IF($W312="","",ROUND((CG312*Parámetros!$G$85),2))</f>
        <v>0</v>
      </c>
      <c r="CK312" s="66">
        <f>+IF($W312="","",ROUND((CG312*(Parámetros!$G$86)),2))</f>
        <v>0</v>
      </c>
      <c r="CL312" s="66">
        <f t="shared" si="446"/>
        <v>0</v>
      </c>
      <c r="CM312" t="str">
        <f t="shared" si="487"/>
        <v>00063</v>
      </c>
      <c r="CN312" s="118" t="str">
        <f t="shared" si="488"/>
        <v>Renta Diaria por Hospitalización</v>
      </c>
      <c r="CO312" s="118">
        <f t="shared" si="489"/>
        <v>0</v>
      </c>
      <c r="CP312" s="118" t="str">
        <f t="shared" si="490"/>
        <v>A</v>
      </c>
      <c r="CQ312" s="119" t="str">
        <f t="shared" si="447"/>
        <v/>
      </c>
      <c r="CR312" s="66">
        <f>+IF($W312="","",ROUND((VLOOKUP(Parámetros!$F$51,'COBERTURAS ADICIONALES'!$S$4:$T$32,2,FALSE)*(1+i/frec)^-0.5*(1+Parámetros!$D$103)*(1+rec_fracc)/frec*$CO$42),2))</f>
        <v>0</v>
      </c>
      <c r="CS312" s="119" t="str">
        <f t="shared" si="448"/>
        <v/>
      </c>
      <c r="CT312" s="66">
        <f>+IF($W312="","",ROUND(IF($B312&gt;Parámetros!$D$107,'Tablas Servicio'!CR312+('Tablas Servicio'!CT311-'Tablas Servicio'!CR311),CR312/(1-IF(B312&lt;=10,Parámetros!$D$100,0))),2))</f>
        <v>0</v>
      </c>
      <c r="CU312" s="66">
        <f t="shared" si="449"/>
        <v>0</v>
      </c>
      <c r="CV312" s="66">
        <f t="shared" si="449"/>
        <v>0</v>
      </c>
      <c r="CW312" s="66">
        <f>+IF($W312="","",ROUND((CT312*Parámetros!$G$85),2))</f>
        <v>0</v>
      </c>
      <c r="CX312" s="66">
        <f>+IF($W312="","",ROUND((CT312*(Parámetros!$G$86)),2))</f>
        <v>0</v>
      </c>
      <c r="CY312" s="66">
        <f t="shared" si="450"/>
        <v>0</v>
      </c>
      <c r="CZ312" t="str">
        <f t="shared" si="491"/>
        <v>00064</v>
      </c>
      <c r="DA312" s="118" t="str">
        <f t="shared" si="492"/>
        <v>Enfermedades Graves</v>
      </c>
      <c r="DB312" s="118">
        <f t="shared" si="493"/>
        <v>0</v>
      </c>
      <c r="DC312" s="118" t="str">
        <f t="shared" si="494"/>
        <v>A</v>
      </c>
      <c r="DD312" s="121" t="str">
        <f>+IF(OR($W312="",DB312=0),"",ROUND((VLOOKUP(ROUNDDOWN($D312-1/frec,0),cob_adi,CO$40,FALSE)*(1+i/frec)^-0.5*(1+Parámetros!$D$103)*(1+rec_fracc)/frec),6))</f>
        <v/>
      </c>
      <c r="DE312" s="66">
        <f t="shared" si="451"/>
        <v>0</v>
      </c>
      <c r="DF312" s="119" t="str">
        <f t="shared" si="452"/>
        <v/>
      </c>
      <c r="DG312" s="66">
        <f>+IF($W312="","",ROUND(IF($B312&gt;Parámetros!$D$107,'Tablas Servicio'!DE312+('Tablas Servicio'!DG311-'Tablas Servicio'!DE311),DE312/(1-IF(B312&lt;=10,Parámetros!$D$100,0))),2))</f>
        <v>0</v>
      </c>
      <c r="DH312" s="66">
        <f t="shared" si="453"/>
        <v>0</v>
      </c>
      <c r="DI312" s="66">
        <f t="shared" si="453"/>
        <v>0</v>
      </c>
      <c r="DJ312" s="66">
        <f>+IF($W312="","",ROUND((DG312*Parámetros!$G$85),2))</f>
        <v>0</v>
      </c>
      <c r="DK312" s="66">
        <f>+IF($W312="","",ROUND((DG312*(Parámetros!$G$86)),2))</f>
        <v>0</v>
      </c>
      <c r="DL312" s="66">
        <f t="shared" si="454"/>
        <v>0</v>
      </c>
      <c r="DM312" t="str">
        <f t="shared" si="495"/>
        <v>00065</v>
      </c>
      <c r="DN312" s="118" t="str">
        <f t="shared" si="496"/>
        <v>Exención pago de primas</v>
      </c>
      <c r="DO312" s="118">
        <f t="shared" si="497"/>
        <v>0</v>
      </c>
      <c r="DP312" s="118" t="str">
        <f t="shared" si="498"/>
        <v>A</v>
      </c>
      <c r="DQ312" s="122" t="str">
        <f>+IF(OR($W312="",DO312=0),"",ROUND((VLOOKUP(ROUNDDOWN($D312-1/frec,0),cob_adi,DB$40,FALSE)*(1+i/frec)^-0.5*(1+Parámetros!$D$103)*(1+rec_fracc)/frec),6))</f>
        <v/>
      </c>
      <c r="DR312" s="66">
        <f t="shared" si="455"/>
        <v>0</v>
      </c>
      <c r="DS312" s="68" t="str">
        <f t="shared" si="456"/>
        <v/>
      </c>
      <c r="DT312" s="66">
        <f>+IF($W312="","",ROUND(IF($B312&gt;Parámetros!$D$107,'Tablas Servicio'!DR312+('Tablas Servicio'!DT311-'Tablas Servicio'!DR311),DR312/(1-IF(B312&lt;=10,Parámetros!$D$100,0))),2))</f>
        <v>0</v>
      </c>
      <c r="DU312" s="66">
        <f t="shared" si="457"/>
        <v>0</v>
      </c>
      <c r="DV312" s="66">
        <f t="shared" si="457"/>
        <v>0</v>
      </c>
      <c r="DW312" s="66">
        <f>+IF($W312="","",ROUND((DT312*Parámetros!$G$85),2))</f>
        <v>0</v>
      </c>
      <c r="DX312" s="66">
        <f>+IF($W312="","",ROUND((DT312*(Parámetros!$G$86)),2))</f>
        <v>0</v>
      </c>
      <c r="DY312" s="66">
        <f t="shared" si="458"/>
        <v>0</v>
      </c>
      <c r="DZ312" t="str">
        <f t="shared" si="459"/>
        <v>00066</v>
      </c>
      <c r="EA312" s="118" t="str">
        <f t="shared" si="459"/>
        <v>Enfermedad terminal</v>
      </c>
      <c r="EB312" s="118">
        <f>+IF($W312="","",ROUND(IF(Parámetros!$D$25='TABLAS MORT'!$V$33,EB311,Z312/2),0))</f>
        <v>50000</v>
      </c>
      <c r="EC312" s="118" t="str">
        <f t="shared" si="459"/>
        <v>A</v>
      </c>
      <c r="ED312" s="122">
        <f>+IF(OR($W312="",EB312=0),"",ROUND((VLOOKUP(ROUNDDOWN($D312-1/frec,0),cob_adi,DO$40,FALSE)*(1+i/frec)^-0.5*(1+Parámetros!$D$103)*(1+rec_fracc)/frec),6))</f>
        <v>3.8999999999999999E-5</v>
      </c>
      <c r="EE312" s="66">
        <f t="shared" si="460"/>
        <v>1.95</v>
      </c>
      <c r="EF312" s="68">
        <f t="shared" si="461"/>
        <v>3.8999999999999999E-5</v>
      </c>
      <c r="EG312" s="66">
        <f>+IF($W312="","",ROUND(IF($B312&gt;Parámetros!$D$107,'Tablas Servicio'!EE312+('Tablas Servicio'!EG311-'Tablas Servicio'!EE311),EE312/(1-IF(B312&lt;=10,Parámetros!$D$100,0))),2))</f>
        <v>1.95</v>
      </c>
      <c r="EH312" s="66">
        <f t="shared" si="462"/>
        <v>0</v>
      </c>
      <c r="EI312" s="66">
        <f t="shared" si="462"/>
        <v>0</v>
      </c>
      <c r="EJ312" s="66">
        <f>+IF($W312="","",ROUND((EG312*Parámetros!$G$85),2))</f>
        <v>7.0000000000000007E-2</v>
      </c>
      <c r="EK312" s="66">
        <f>+IF($W312="","",ROUND((EG312*(Parámetros!$G$86)),2))</f>
        <v>0.01</v>
      </c>
      <c r="EL312" s="66">
        <f t="shared" si="463"/>
        <v>2.0299999999999998</v>
      </c>
    </row>
    <row r="313" spans="1:142" x14ac:dyDescent="0.25">
      <c r="A313">
        <f>+IF($C313="","",ROUND(VLOOKUP('Tablas Servicio'!B313,Parámetros!$H$100:$J$159,IF(Parámetros!$E$16="F",2,3),FALSE),2))</f>
        <v>150</v>
      </c>
      <c r="B313">
        <f t="shared" si="414"/>
        <v>23</v>
      </c>
      <c r="C313" s="57">
        <f>+IF(D313="","",'Tablas Servicio'!C312+1)</f>
        <v>272</v>
      </c>
      <c r="D313" s="56">
        <f>+IF(D312&lt;edadmaxtabla,D312+1/Parámetros!$E$25,"")</f>
        <v>62.686666666667314</v>
      </c>
      <c r="E313" s="57">
        <f t="shared" si="424"/>
        <v>62</v>
      </c>
      <c r="F313" s="59">
        <f t="shared" si="425"/>
        <v>100000</v>
      </c>
      <c r="G313" s="66">
        <f t="shared" si="415"/>
        <v>67.350000000000009</v>
      </c>
      <c r="H313" s="66">
        <f t="shared" si="416"/>
        <v>70.05</v>
      </c>
      <c r="I313" s="66">
        <f t="shared" si="464"/>
        <v>23.950000000000003</v>
      </c>
      <c r="J313" s="66">
        <f t="shared" si="417"/>
        <v>2.36</v>
      </c>
      <c r="K313" s="66">
        <f t="shared" si="418"/>
        <v>0.34</v>
      </c>
      <c r="L313" s="66">
        <f t="shared" si="419"/>
        <v>0</v>
      </c>
      <c r="M313" s="66">
        <f t="shared" si="420"/>
        <v>0</v>
      </c>
      <c r="N313" s="66">
        <f>+IF(C313="","",ROUND(Parámetros!$D$23,2))</f>
        <v>94</v>
      </c>
      <c r="O313" s="66">
        <f t="shared" si="421"/>
        <v>54.85</v>
      </c>
      <c r="P313" s="66">
        <f>+IF($C313="","",ROUND(IF(B313&gt;Parámetros!$D$117,0,N313*Parámetros!$D$116-G313*Parámetros!$D$100),2))</f>
        <v>0</v>
      </c>
      <c r="Q313" s="75">
        <f t="shared" si="465"/>
        <v>3.5040831477357086E-2</v>
      </c>
      <c r="R313" s="75">
        <f t="shared" si="466"/>
        <v>5.0482553823311058E-3</v>
      </c>
      <c r="S313" s="117">
        <f>+IF($C313="","",ROUND((S312+I313)*(1+Parámetros!$D$91),2))</f>
        <v>20454.5</v>
      </c>
      <c r="T313" s="117">
        <f>+IF($C313="","",ROUND(S313*VLOOKUP(B313,Parámetros!$C$30:$D$39,2,TRUE),2))</f>
        <v>20454.5</v>
      </c>
      <c r="U313" s="117">
        <f>+IF($C313="","",ROUND((U312+I313)*(1+Parámetros!$D$92),2))</f>
        <v>21884.27</v>
      </c>
      <c r="V313" s="117">
        <f>+IF($C313="","",ROUND(U313*VLOOKUP(B313,Parámetros!$C$30:$D$39,2,TRUE),2))</f>
        <v>21884.27</v>
      </c>
      <c r="W313" s="57">
        <f t="shared" si="467"/>
        <v>272</v>
      </c>
      <c r="X313" t="str">
        <f t="shared" si="468"/>
        <v>00058</v>
      </c>
      <c r="Y313" t="str">
        <f t="shared" si="469"/>
        <v>MUERTE POR CUALQUIER CAUSA</v>
      </c>
      <c r="Z313" s="118">
        <f>+IF($W313="","",ROUND(IF(Parámetros!$D$25='TABLAS MORT'!$V$33,Z312,Parámetros!$D$21-'Tablas Servicio'!T312),0))</f>
        <v>100000</v>
      </c>
      <c r="AA313" s="118" t="str">
        <f t="shared" si="470"/>
        <v>P</v>
      </c>
      <c r="AB313" s="119">
        <f>+IF(W313="","",ROUND((VLOOKUP(ROUNDDOWN($D313-1/frec,0),qx_tabla,2,FALSE)*(1+i/frec)^-0.5*(1+Parámetros!$D$103)*(1+rec_fracc)/frec),6))</f>
        <v>5.2899999999999996E-4</v>
      </c>
      <c r="AC313" s="66">
        <f t="shared" si="426"/>
        <v>52.9</v>
      </c>
      <c r="AD313" s="119">
        <f t="shared" si="422"/>
        <v>6.5399999999999996E-4</v>
      </c>
      <c r="AE313" s="66">
        <f>+IF($W313="","",ROUND(IF($B313&gt;Parámetros!$D$107,'Tablas Servicio'!AC313+('Tablas Servicio'!AG312-'Tablas Servicio'!AC312),AC313/(1-IF(B313&lt;=10,Parámetros!$D$104,Parámetros!$D$105))),2))</f>
        <v>88.17</v>
      </c>
      <c r="AF313" s="66">
        <f>+IF($W313="","",ROUND(IF($B313&gt;Parámetros!$D$107,'Tablas Servicio'!AC313+('Tablas Servicio'!AG312-'Tablas Servicio'!AC312),(AC313+$A312/frec)/(1-IF(B313&lt;=Parámetros!$D$117,Parámetros!$D$100,0))),2))</f>
        <v>65.400000000000006</v>
      </c>
      <c r="AG313" s="66">
        <f t="shared" si="427"/>
        <v>65.400000000000006</v>
      </c>
      <c r="AH313" s="66">
        <f t="shared" si="428"/>
        <v>0</v>
      </c>
      <c r="AI313" s="66">
        <f t="shared" si="429"/>
        <v>0</v>
      </c>
      <c r="AJ313" s="66">
        <f>+IF($W313="","",ROUND((AG313*Parámetros!$G$85),2))</f>
        <v>2.29</v>
      </c>
      <c r="AK313" s="66">
        <f>+IF($W313="","",ROUND((AG313*(Parámetros!$G$86)),2))</f>
        <v>0.33</v>
      </c>
      <c r="AL313" s="66">
        <f t="shared" si="423"/>
        <v>68.02</v>
      </c>
      <c r="AM313" t="str">
        <f t="shared" si="471"/>
        <v>00059</v>
      </c>
      <c r="AN313" t="str">
        <f t="shared" si="472"/>
        <v>Incapacidad Total y Permanente</v>
      </c>
      <c r="AO313" s="118">
        <f t="shared" si="473"/>
        <v>0</v>
      </c>
      <c r="AP313" s="118" t="str">
        <f t="shared" si="474"/>
        <v>A</v>
      </c>
      <c r="AQ313" s="119" t="str">
        <f>+IF(OR($W313="",AO313=0),"",ROUND((VLOOKUP(ROUNDDOWN($D313-1/frec,0),cob_adi,Z$40,FALSE)*(1+i/frec)^-0.5*(1+Parámetros!$D$103)*(1+rec_fracc)/frec),6))</f>
        <v/>
      </c>
      <c r="AR313" s="66">
        <f t="shared" si="430"/>
        <v>0</v>
      </c>
      <c r="AS313" s="119" t="str">
        <f t="shared" si="431"/>
        <v/>
      </c>
      <c r="AT313" s="66">
        <f>+IF($W313="","",ROUND(IF($B313&gt;Parámetros!$D$107,'Tablas Servicio'!AR313+('Tablas Servicio'!AT312-'Tablas Servicio'!AR312),AR313/(1-IF(B313&lt;=10,Parámetros!$D$100,0))),2))</f>
        <v>0</v>
      </c>
      <c r="AU313" s="66">
        <f t="shared" si="432"/>
        <v>0</v>
      </c>
      <c r="AV313" s="66">
        <f t="shared" si="432"/>
        <v>0</v>
      </c>
      <c r="AW313" s="66">
        <f>+IF($W313="","",ROUND((AT313*Parámetros!$G$85),2))</f>
        <v>0</v>
      </c>
      <c r="AX313" s="66">
        <f>+IF($W313="","",ROUND((AT313*(Parámetros!$G$86)),2))</f>
        <v>0</v>
      </c>
      <c r="AY313" s="66">
        <f t="shared" si="433"/>
        <v>0</v>
      </c>
      <c r="AZ313" t="str">
        <f t="shared" si="475"/>
        <v>00060</v>
      </c>
      <c r="BA313" t="str">
        <f t="shared" si="476"/>
        <v>Muerte Accidental</v>
      </c>
      <c r="BB313" s="118">
        <f t="shared" si="477"/>
        <v>0</v>
      </c>
      <c r="BC313" s="118" t="str">
        <f t="shared" si="478"/>
        <v>A</v>
      </c>
      <c r="BD313" s="119" t="str">
        <f>+IF(OR($W313="",BB313=0),"",ROUND((VLOOKUP(ROUNDDOWN($D313-1/frec,0),cob_adi,AO$40,FALSE)*(1+i/frec)^-0.5*(1+Parámetros!$D$103)*(1+rec_fracc)/frec),6))</f>
        <v/>
      </c>
      <c r="BE313" s="66">
        <f t="shared" si="434"/>
        <v>0</v>
      </c>
      <c r="BF313" s="119" t="str">
        <f t="shared" si="435"/>
        <v/>
      </c>
      <c r="BG313" s="66">
        <f>+IF($W313="","",ROUND(IF($B313&gt;Parámetros!$D$107,'Tablas Servicio'!BE313+('Tablas Servicio'!BG312-'Tablas Servicio'!BE312),BE313/(1-IF(B313&lt;=10,Parámetros!$D$100,0))),2))</f>
        <v>0</v>
      </c>
      <c r="BH313" s="66">
        <f t="shared" si="436"/>
        <v>0</v>
      </c>
      <c r="BI313" s="66">
        <f t="shared" si="437"/>
        <v>0</v>
      </c>
      <c r="BJ313" s="66">
        <f>+IF($W313="","",ROUND((BG313*Parámetros!$G$85),2))</f>
        <v>0</v>
      </c>
      <c r="BK313" s="66">
        <f>+IF($W313="","",ROUND((BG313*(Parámetros!$G$86)),2))</f>
        <v>0</v>
      </c>
      <c r="BL313" s="66">
        <f t="shared" si="438"/>
        <v>0</v>
      </c>
      <c r="BM313" t="str">
        <f t="shared" si="479"/>
        <v>00061</v>
      </c>
      <c r="BN313" t="str">
        <f t="shared" si="480"/>
        <v>Gastos de Entierro</v>
      </c>
      <c r="BO313" s="118">
        <f t="shared" si="481"/>
        <v>0</v>
      </c>
      <c r="BP313" s="118" t="str">
        <f t="shared" si="482"/>
        <v>A</v>
      </c>
      <c r="BQ313" s="119" t="str">
        <f>+IF(OR($W313="",BO313=0),"",ROUND((VLOOKUP(ROUNDDOWN($D313-1/frec,0),cob_adi,BB$40,FALSE)*(1+i/frec)^-0.5*(1+Parámetros!$D$103)*(1+rec_fracc)/frec),6))</f>
        <v/>
      </c>
      <c r="BR313" s="66">
        <f t="shared" si="439"/>
        <v>0</v>
      </c>
      <c r="BS313" s="119" t="str">
        <f t="shared" si="440"/>
        <v/>
      </c>
      <c r="BT313" s="66">
        <f>+IF($W313="","",ROUND(IF($B313&gt;Parámetros!$D$107,'Tablas Servicio'!BR313+('Tablas Servicio'!BT312-'Tablas Servicio'!BR312),BR313/(1-IF(B313&lt;=10,Parámetros!$D$100,0))),2))</f>
        <v>0</v>
      </c>
      <c r="BU313" s="66">
        <f t="shared" si="441"/>
        <v>0</v>
      </c>
      <c r="BV313" s="66">
        <f t="shared" si="441"/>
        <v>0</v>
      </c>
      <c r="BW313" s="66">
        <f>+IF($W313="","",ROUND((BT313*Parámetros!$G$85),2))</f>
        <v>0</v>
      </c>
      <c r="BX313" s="66">
        <f>+IF($W313="","",ROUND((BT313*(Parámetros!$G$86)),2))</f>
        <v>0</v>
      </c>
      <c r="BY313" s="66">
        <f t="shared" si="442"/>
        <v>0</v>
      </c>
      <c r="BZ313" t="str">
        <f t="shared" si="483"/>
        <v>00062</v>
      </c>
      <c r="CA313" t="str">
        <f t="shared" si="484"/>
        <v>Gastos médicos por accidente</v>
      </c>
      <c r="CB313" s="118">
        <f t="shared" si="485"/>
        <v>0</v>
      </c>
      <c r="CC313" s="118" t="str">
        <f t="shared" si="486"/>
        <v>A</v>
      </c>
      <c r="CD313" s="119" t="str">
        <f t="shared" si="443"/>
        <v/>
      </c>
      <c r="CE313" s="66">
        <f>+IF($W313="","",ROUND((VLOOKUP(ROUNDDOWN($D313-1/frec,0),cob_adi,BO$40,FALSE)*(1+i/frec)^-0.5*(1+Parámetros!$D$103)*(1+rec_fracc)/frec*'TABLAS ADI'!$BC$17),2))</f>
        <v>0</v>
      </c>
      <c r="CF313" s="119" t="str">
        <f t="shared" si="444"/>
        <v/>
      </c>
      <c r="CG313" s="66">
        <f>+IF($W313="","",ROUND(IF($B313&gt;Parámetros!$D$107,'Tablas Servicio'!CE313+('Tablas Servicio'!CG312-'Tablas Servicio'!CE312),CE313/(1-IF(B313&lt;=10,Parámetros!$D$100,0))),2))</f>
        <v>0</v>
      </c>
      <c r="CH313" s="66">
        <f t="shared" si="445"/>
        <v>0</v>
      </c>
      <c r="CI313" s="66">
        <f t="shared" si="445"/>
        <v>0</v>
      </c>
      <c r="CJ313" s="66">
        <f>+IF($W313="","",ROUND((CG313*Parámetros!$G$85),2))</f>
        <v>0</v>
      </c>
      <c r="CK313" s="66">
        <f>+IF($W313="","",ROUND((CG313*(Parámetros!$G$86)),2))</f>
        <v>0</v>
      </c>
      <c r="CL313" s="66">
        <f t="shared" si="446"/>
        <v>0</v>
      </c>
      <c r="CM313" t="str">
        <f t="shared" si="487"/>
        <v>00063</v>
      </c>
      <c r="CN313" s="118" t="str">
        <f t="shared" si="488"/>
        <v>Renta Diaria por Hospitalización</v>
      </c>
      <c r="CO313" s="118">
        <f t="shared" si="489"/>
        <v>0</v>
      </c>
      <c r="CP313" s="118" t="str">
        <f t="shared" si="490"/>
        <v>A</v>
      </c>
      <c r="CQ313" s="119" t="str">
        <f t="shared" si="447"/>
        <v/>
      </c>
      <c r="CR313" s="66">
        <f>+IF($W313="","",ROUND((VLOOKUP(Parámetros!$F$51,'COBERTURAS ADICIONALES'!$S$4:$T$32,2,FALSE)*(1+i/frec)^-0.5*(1+Parámetros!$D$103)*(1+rec_fracc)/frec*$CO$42),2))</f>
        <v>0</v>
      </c>
      <c r="CS313" s="119" t="str">
        <f t="shared" si="448"/>
        <v/>
      </c>
      <c r="CT313" s="66">
        <f>+IF($W313="","",ROUND(IF($B313&gt;Parámetros!$D$107,'Tablas Servicio'!CR313+('Tablas Servicio'!CT312-'Tablas Servicio'!CR312),CR313/(1-IF(B313&lt;=10,Parámetros!$D$100,0))),2))</f>
        <v>0</v>
      </c>
      <c r="CU313" s="66">
        <f t="shared" si="449"/>
        <v>0</v>
      </c>
      <c r="CV313" s="66">
        <f t="shared" si="449"/>
        <v>0</v>
      </c>
      <c r="CW313" s="66">
        <f>+IF($W313="","",ROUND((CT313*Parámetros!$G$85),2))</f>
        <v>0</v>
      </c>
      <c r="CX313" s="66">
        <f>+IF($W313="","",ROUND((CT313*(Parámetros!$G$86)),2))</f>
        <v>0</v>
      </c>
      <c r="CY313" s="66">
        <f t="shared" si="450"/>
        <v>0</v>
      </c>
      <c r="CZ313" t="str">
        <f t="shared" si="491"/>
        <v>00064</v>
      </c>
      <c r="DA313" s="118" t="str">
        <f t="shared" si="492"/>
        <v>Enfermedades Graves</v>
      </c>
      <c r="DB313" s="118">
        <f t="shared" si="493"/>
        <v>0</v>
      </c>
      <c r="DC313" s="118" t="str">
        <f t="shared" si="494"/>
        <v>A</v>
      </c>
      <c r="DD313" s="121" t="str">
        <f>+IF(OR($W313="",DB313=0),"",ROUND((VLOOKUP(ROUNDDOWN($D313-1/frec,0),cob_adi,CO$40,FALSE)*(1+i/frec)^-0.5*(1+Parámetros!$D$103)*(1+rec_fracc)/frec),6))</f>
        <v/>
      </c>
      <c r="DE313" s="66">
        <f t="shared" si="451"/>
        <v>0</v>
      </c>
      <c r="DF313" s="119" t="str">
        <f t="shared" si="452"/>
        <v/>
      </c>
      <c r="DG313" s="66">
        <f>+IF($W313="","",ROUND(IF($B313&gt;Parámetros!$D$107,'Tablas Servicio'!DE313+('Tablas Servicio'!DG312-'Tablas Servicio'!DE312),DE313/(1-IF(B313&lt;=10,Parámetros!$D$100,0))),2))</f>
        <v>0</v>
      </c>
      <c r="DH313" s="66">
        <f t="shared" si="453"/>
        <v>0</v>
      </c>
      <c r="DI313" s="66">
        <f t="shared" si="453"/>
        <v>0</v>
      </c>
      <c r="DJ313" s="66">
        <f>+IF($W313="","",ROUND((DG313*Parámetros!$G$85),2))</f>
        <v>0</v>
      </c>
      <c r="DK313" s="66">
        <f>+IF($W313="","",ROUND((DG313*(Parámetros!$G$86)),2))</f>
        <v>0</v>
      </c>
      <c r="DL313" s="66">
        <f t="shared" si="454"/>
        <v>0</v>
      </c>
      <c r="DM313" t="str">
        <f t="shared" si="495"/>
        <v>00065</v>
      </c>
      <c r="DN313" s="118" t="str">
        <f t="shared" si="496"/>
        <v>Exención pago de primas</v>
      </c>
      <c r="DO313" s="118">
        <f t="shared" si="497"/>
        <v>0</v>
      </c>
      <c r="DP313" s="118" t="str">
        <f t="shared" si="498"/>
        <v>A</v>
      </c>
      <c r="DQ313" s="122" t="str">
        <f>+IF(OR($W313="",DO313=0),"",ROUND((VLOOKUP(ROUNDDOWN($D313-1/frec,0),cob_adi,DB$40,FALSE)*(1+i/frec)^-0.5*(1+Parámetros!$D$103)*(1+rec_fracc)/frec),6))</f>
        <v/>
      </c>
      <c r="DR313" s="66">
        <f t="shared" si="455"/>
        <v>0</v>
      </c>
      <c r="DS313" s="68" t="str">
        <f t="shared" si="456"/>
        <v/>
      </c>
      <c r="DT313" s="66">
        <f>+IF($W313="","",ROUND(IF($B313&gt;Parámetros!$D$107,'Tablas Servicio'!DR313+('Tablas Servicio'!DT312-'Tablas Servicio'!DR312),DR313/(1-IF(B313&lt;=10,Parámetros!$D$100,0))),2))</f>
        <v>0</v>
      </c>
      <c r="DU313" s="66">
        <f t="shared" si="457"/>
        <v>0</v>
      </c>
      <c r="DV313" s="66">
        <f t="shared" si="457"/>
        <v>0</v>
      </c>
      <c r="DW313" s="66">
        <f>+IF($W313="","",ROUND((DT313*Parámetros!$G$85),2))</f>
        <v>0</v>
      </c>
      <c r="DX313" s="66">
        <f>+IF($W313="","",ROUND((DT313*(Parámetros!$G$86)),2))</f>
        <v>0</v>
      </c>
      <c r="DY313" s="66">
        <f t="shared" si="458"/>
        <v>0</v>
      </c>
      <c r="DZ313" t="str">
        <f t="shared" si="459"/>
        <v>00066</v>
      </c>
      <c r="EA313" s="118" t="str">
        <f t="shared" si="459"/>
        <v>Enfermedad terminal</v>
      </c>
      <c r="EB313" s="118">
        <f>+IF($W313="","",ROUND(IF(Parámetros!$D$25='TABLAS MORT'!$V$33,EB312,Z313/2),0))</f>
        <v>50000</v>
      </c>
      <c r="EC313" s="118" t="str">
        <f t="shared" si="459"/>
        <v>A</v>
      </c>
      <c r="ED313" s="122">
        <f>+IF(OR($W313="",EB313=0),"",ROUND((VLOOKUP(ROUNDDOWN($D313-1/frec,0),cob_adi,DO$40,FALSE)*(1+i/frec)^-0.5*(1+Parámetros!$D$103)*(1+rec_fracc)/frec),6))</f>
        <v>3.8999999999999999E-5</v>
      </c>
      <c r="EE313" s="66">
        <f t="shared" si="460"/>
        <v>1.95</v>
      </c>
      <c r="EF313" s="68">
        <f t="shared" si="461"/>
        <v>3.8999999999999999E-5</v>
      </c>
      <c r="EG313" s="66">
        <f>+IF($W313="","",ROUND(IF($B313&gt;Parámetros!$D$107,'Tablas Servicio'!EE313+('Tablas Servicio'!EG312-'Tablas Servicio'!EE312),EE313/(1-IF(B313&lt;=10,Parámetros!$D$100,0))),2))</f>
        <v>1.95</v>
      </c>
      <c r="EH313" s="66">
        <f t="shared" si="462"/>
        <v>0</v>
      </c>
      <c r="EI313" s="66">
        <f t="shared" si="462"/>
        <v>0</v>
      </c>
      <c r="EJ313" s="66">
        <f>+IF($W313="","",ROUND((EG313*Parámetros!$G$85),2))</f>
        <v>7.0000000000000007E-2</v>
      </c>
      <c r="EK313" s="66">
        <f>+IF($W313="","",ROUND((EG313*(Parámetros!$G$86)),2))</f>
        <v>0.01</v>
      </c>
      <c r="EL313" s="66">
        <f t="shared" si="463"/>
        <v>2.0299999999999998</v>
      </c>
    </row>
    <row r="314" spans="1:142" x14ac:dyDescent="0.25">
      <c r="A314">
        <f>+IF($C314="","",ROUND(VLOOKUP('Tablas Servicio'!B314,Parámetros!$H$100:$J$159,IF(Parámetros!$E$16="F",2,3),FALSE),2))</f>
        <v>150</v>
      </c>
      <c r="B314">
        <f t="shared" si="414"/>
        <v>23</v>
      </c>
      <c r="C314" s="57">
        <f>+IF(D314="","",'Tablas Servicio'!C313+1)</f>
        <v>273</v>
      </c>
      <c r="D314" s="56">
        <f>+IF(D313&lt;edadmaxtabla,D313+1/Parámetros!$E$25,"")</f>
        <v>62.77000000000065</v>
      </c>
      <c r="E314" s="57">
        <f t="shared" si="424"/>
        <v>62</v>
      </c>
      <c r="F314" s="59">
        <f t="shared" si="425"/>
        <v>100000</v>
      </c>
      <c r="G314" s="66">
        <f t="shared" si="415"/>
        <v>67.350000000000009</v>
      </c>
      <c r="H314" s="66">
        <f t="shared" si="416"/>
        <v>70.05</v>
      </c>
      <c r="I314" s="66">
        <f t="shared" si="464"/>
        <v>23.950000000000003</v>
      </c>
      <c r="J314" s="66">
        <f t="shared" si="417"/>
        <v>2.36</v>
      </c>
      <c r="K314" s="66">
        <f t="shared" si="418"/>
        <v>0.34</v>
      </c>
      <c r="L314" s="66">
        <f t="shared" si="419"/>
        <v>0</v>
      </c>
      <c r="M314" s="66">
        <f t="shared" si="420"/>
        <v>0</v>
      </c>
      <c r="N314" s="66">
        <f>+IF(C314="","",ROUND(Parámetros!$D$23,2))</f>
        <v>94</v>
      </c>
      <c r="O314" s="66">
        <f t="shared" si="421"/>
        <v>54.85</v>
      </c>
      <c r="P314" s="66">
        <f>+IF($C314="","",ROUND(IF(B314&gt;Parámetros!$D$117,0,N314*Parámetros!$D$116-G314*Parámetros!$D$100),2))</f>
        <v>0</v>
      </c>
      <c r="Q314" s="75">
        <f t="shared" si="465"/>
        <v>3.5040831477357086E-2</v>
      </c>
      <c r="R314" s="75">
        <f t="shared" si="466"/>
        <v>5.0482553823311058E-3</v>
      </c>
      <c r="S314" s="117">
        <f>+IF($C314="","",ROUND((S313+I314)*(1+Parámetros!$D$91),2))</f>
        <v>20536.54</v>
      </c>
      <c r="T314" s="117">
        <f>+IF($C314="","",ROUND(S314*VLOOKUP(B314,Parámetros!$C$30:$D$39,2,TRUE),2))</f>
        <v>20536.54</v>
      </c>
      <c r="U314" s="117">
        <f>+IF($C314="","",ROUND((U313+I314)*(1+Parámetros!$D$92),2))</f>
        <v>21979.24</v>
      </c>
      <c r="V314" s="117">
        <f>+IF($C314="","",ROUND(U314*VLOOKUP(B314,Parámetros!$C$30:$D$39,2,TRUE),2))</f>
        <v>21979.24</v>
      </c>
      <c r="W314" s="57">
        <f t="shared" si="467"/>
        <v>273</v>
      </c>
      <c r="X314" t="str">
        <f t="shared" si="468"/>
        <v>00058</v>
      </c>
      <c r="Y314" t="str">
        <f t="shared" si="469"/>
        <v>MUERTE POR CUALQUIER CAUSA</v>
      </c>
      <c r="Z314" s="118">
        <f>+IF($W314="","",ROUND(IF(Parámetros!$D$25='TABLAS MORT'!$V$33,Z313,Parámetros!$D$21-'Tablas Servicio'!T313),0))</f>
        <v>100000</v>
      </c>
      <c r="AA314" s="118" t="str">
        <f t="shared" si="470"/>
        <v>P</v>
      </c>
      <c r="AB314" s="119">
        <f>+IF(W314="","",ROUND((VLOOKUP(ROUNDDOWN($D314-1/frec,0),qx_tabla,2,FALSE)*(1+i/frec)^-0.5*(1+Parámetros!$D$103)*(1+rec_fracc)/frec),6))</f>
        <v>5.2899999999999996E-4</v>
      </c>
      <c r="AC314" s="66">
        <f t="shared" si="426"/>
        <v>52.9</v>
      </c>
      <c r="AD314" s="119">
        <f t="shared" si="422"/>
        <v>6.5399999999999996E-4</v>
      </c>
      <c r="AE314" s="66">
        <f>+IF($W314="","",ROUND(IF($B314&gt;Parámetros!$D$107,'Tablas Servicio'!AC314+('Tablas Servicio'!AG313-'Tablas Servicio'!AC313),AC314/(1-IF(B314&lt;=10,Parámetros!$D$104,Parámetros!$D$105))),2))</f>
        <v>88.17</v>
      </c>
      <c r="AF314" s="66">
        <f>+IF($W314="","",ROUND(IF($B314&gt;Parámetros!$D$107,'Tablas Servicio'!AC314+('Tablas Servicio'!AG313-'Tablas Servicio'!AC313),(AC314+$A313/frec)/(1-IF(B314&lt;=Parámetros!$D$117,Parámetros!$D$100,0))),2))</f>
        <v>65.400000000000006</v>
      </c>
      <c r="AG314" s="66">
        <f t="shared" si="427"/>
        <v>65.400000000000006</v>
      </c>
      <c r="AH314" s="66">
        <f t="shared" si="428"/>
        <v>0</v>
      </c>
      <c r="AI314" s="66">
        <f t="shared" si="429"/>
        <v>0</v>
      </c>
      <c r="AJ314" s="66">
        <f>+IF($W314="","",ROUND((AG314*Parámetros!$G$85),2))</f>
        <v>2.29</v>
      </c>
      <c r="AK314" s="66">
        <f>+IF($W314="","",ROUND((AG314*(Parámetros!$G$86)),2))</f>
        <v>0.33</v>
      </c>
      <c r="AL314" s="66">
        <f t="shared" si="423"/>
        <v>68.02</v>
      </c>
      <c r="AM314" t="str">
        <f t="shared" si="471"/>
        <v>00059</v>
      </c>
      <c r="AN314" t="str">
        <f t="shared" si="472"/>
        <v>Incapacidad Total y Permanente</v>
      </c>
      <c r="AO314" s="118">
        <f t="shared" si="473"/>
        <v>0</v>
      </c>
      <c r="AP314" s="118" t="str">
        <f t="shared" si="474"/>
        <v>A</v>
      </c>
      <c r="AQ314" s="119" t="str">
        <f>+IF(OR($W314="",AO314=0),"",ROUND((VLOOKUP(ROUNDDOWN($D314-1/frec,0),cob_adi,Z$40,FALSE)*(1+i/frec)^-0.5*(1+Parámetros!$D$103)*(1+rec_fracc)/frec),6))</f>
        <v/>
      </c>
      <c r="AR314" s="66">
        <f t="shared" si="430"/>
        <v>0</v>
      </c>
      <c r="AS314" s="119" t="str">
        <f t="shared" si="431"/>
        <v/>
      </c>
      <c r="AT314" s="66">
        <f>+IF($W314="","",ROUND(IF($B314&gt;Parámetros!$D$107,'Tablas Servicio'!AR314+('Tablas Servicio'!AT313-'Tablas Servicio'!AR313),AR314/(1-IF(B314&lt;=10,Parámetros!$D$100,0))),2))</f>
        <v>0</v>
      </c>
      <c r="AU314" s="66">
        <f t="shared" si="432"/>
        <v>0</v>
      </c>
      <c r="AV314" s="66">
        <f t="shared" si="432"/>
        <v>0</v>
      </c>
      <c r="AW314" s="66">
        <f>+IF($W314="","",ROUND((AT314*Parámetros!$G$85),2))</f>
        <v>0</v>
      </c>
      <c r="AX314" s="66">
        <f>+IF($W314="","",ROUND((AT314*(Parámetros!$G$86)),2))</f>
        <v>0</v>
      </c>
      <c r="AY314" s="66">
        <f t="shared" si="433"/>
        <v>0</v>
      </c>
      <c r="AZ314" t="str">
        <f t="shared" si="475"/>
        <v>00060</v>
      </c>
      <c r="BA314" t="str">
        <f t="shared" si="476"/>
        <v>Muerte Accidental</v>
      </c>
      <c r="BB314" s="118">
        <f t="shared" si="477"/>
        <v>0</v>
      </c>
      <c r="BC314" s="118" t="str">
        <f t="shared" si="478"/>
        <v>A</v>
      </c>
      <c r="BD314" s="119" t="str">
        <f>+IF(OR($W314="",BB314=0),"",ROUND((VLOOKUP(ROUNDDOWN($D314-1/frec,0),cob_adi,AO$40,FALSE)*(1+i/frec)^-0.5*(1+Parámetros!$D$103)*(1+rec_fracc)/frec),6))</f>
        <v/>
      </c>
      <c r="BE314" s="66">
        <f t="shared" si="434"/>
        <v>0</v>
      </c>
      <c r="BF314" s="119" t="str">
        <f t="shared" si="435"/>
        <v/>
      </c>
      <c r="BG314" s="66">
        <f>+IF($W314="","",ROUND(IF($B314&gt;Parámetros!$D$107,'Tablas Servicio'!BE314+('Tablas Servicio'!BG313-'Tablas Servicio'!BE313),BE314/(1-IF(B314&lt;=10,Parámetros!$D$100,0))),2))</f>
        <v>0</v>
      </c>
      <c r="BH314" s="66">
        <f t="shared" si="436"/>
        <v>0</v>
      </c>
      <c r="BI314" s="66">
        <f t="shared" si="437"/>
        <v>0</v>
      </c>
      <c r="BJ314" s="66">
        <f>+IF($W314="","",ROUND((BG314*Parámetros!$G$85),2))</f>
        <v>0</v>
      </c>
      <c r="BK314" s="66">
        <f>+IF($W314="","",ROUND((BG314*(Parámetros!$G$86)),2))</f>
        <v>0</v>
      </c>
      <c r="BL314" s="66">
        <f t="shared" si="438"/>
        <v>0</v>
      </c>
      <c r="BM314" t="str">
        <f t="shared" si="479"/>
        <v>00061</v>
      </c>
      <c r="BN314" t="str">
        <f t="shared" si="480"/>
        <v>Gastos de Entierro</v>
      </c>
      <c r="BO314" s="118">
        <f t="shared" si="481"/>
        <v>0</v>
      </c>
      <c r="BP314" s="118" t="str">
        <f t="shared" si="482"/>
        <v>A</v>
      </c>
      <c r="BQ314" s="119" t="str">
        <f>+IF(OR($W314="",BO314=0),"",ROUND((VLOOKUP(ROUNDDOWN($D314-1/frec,0),cob_adi,BB$40,FALSE)*(1+i/frec)^-0.5*(1+Parámetros!$D$103)*(1+rec_fracc)/frec),6))</f>
        <v/>
      </c>
      <c r="BR314" s="66">
        <f t="shared" si="439"/>
        <v>0</v>
      </c>
      <c r="BS314" s="119" t="str">
        <f t="shared" si="440"/>
        <v/>
      </c>
      <c r="BT314" s="66">
        <f>+IF($W314="","",ROUND(IF($B314&gt;Parámetros!$D$107,'Tablas Servicio'!BR314+('Tablas Servicio'!BT313-'Tablas Servicio'!BR313),BR314/(1-IF(B314&lt;=10,Parámetros!$D$100,0))),2))</f>
        <v>0</v>
      </c>
      <c r="BU314" s="66">
        <f t="shared" si="441"/>
        <v>0</v>
      </c>
      <c r="BV314" s="66">
        <f t="shared" si="441"/>
        <v>0</v>
      </c>
      <c r="BW314" s="66">
        <f>+IF($W314="","",ROUND((BT314*Parámetros!$G$85),2))</f>
        <v>0</v>
      </c>
      <c r="BX314" s="66">
        <f>+IF($W314="","",ROUND((BT314*(Parámetros!$G$86)),2))</f>
        <v>0</v>
      </c>
      <c r="BY314" s="66">
        <f t="shared" si="442"/>
        <v>0</v>
      </c>
      <c r="BZ314" t="str">
        <f t="shared" si="483"/>
        <v>00062</v>
      </c>
      <c r="CA314" t="str">
        <f t="shared" si="484"/>
        <v>Gastos médicos por accidente</v>
      </c>
      <c r="CB314" s="118">
        <f t="shared" si="485"/>
        <v>0</v>
      </c>
      <c r="CC314" s="118" t="str">
        <f t="shared" si="486"/>
        <v>A</v>
      </c>
      <c r="CD314" s="119" t="str">
        <f t="shared" si="443"/>
        <v/>
      </c>
      <c r="CE314" s="66">
        <f>+IF($W314="","",ROUND((VLOOKUP(ROUNDDOWN($D314-1/frec,0),cob_adi,BO$40,FALSE)*(1+i/frec)^-0.5*(1+Parámetros!$D$103)*(1+rec_fracc)/frec*'TABLAS ADI'!$BC$17),2))</f>
        <v>0</v>
      </c>
      <c r="CF314" s="119" t="str">
        <f t="shared" si="444"/>
        <v/>
      </c>
      <c r="CG314" s="66">
        <f>+IF($W314="","",ROUND(IF($B314&gt;Parámetros!$D$107,'Tablas Servicio'!CE314+('Tablas Servicio'!CG313-'Tablas Servicio'!CE313),CE314/(1-IF(B314&lt;=10,Parámetros!$D$100,0))),2))</f>
        <v>0</v>
      </c>
      <c r="CH314" s="66">
        <f t="shared" si="445"/>
        <v>0</v>
      </c>
      <c r="CI314" s="66">
        <f t="shared" si="445"/>
        <v>0</v>
      </c>
      <c r="CJ314" s="66">
        <f>+IF($W314="","",ROUND((CG314*Parámetros!$G$85),2))</f>
        <v>0</v>
      </c>
      <c r="CK314" s="66">
        <f>+IF($W314="","",ROUND((CG314*(Parámetros!$G$86)),2))</f>
        <v>0</v>
      </c>
      <c r="CL314" s="66">
        <f t="shared" si="446"/>
        <v>0</v>
      </c>
      <c r="CM314" t="str">
        <f t="shared" si="487"/>
        <v>00063</v>
      </c>
      <c r="CN314" s="118" t="str">
        <f t="shared" si="488"/>
        <v>Renta Diaria por Hospitalización</v>
      </c>
      <c r="CO314" s="118">
        <f t="shared" si="489"/>
        <v>0</v>
      </c>
      <c r="CP314" s="118" t="str">
        <f t="shared" si="490"/>
        <v>A</v>
      </c>
      <c r="CQ314" s="119" t="str">
        <f t="shared" si="447"/>
        <v/>
      </c>
      <c r="CR314" s="66">
        <f>+IF($W314="","",ROUND((VLOOKUP(Parámetros!$F$51,'COBERTURAS ADICIONALES'!$S$4:$T$32,2,FALSE)*(1+i/frec)^-0.5*(1+Parámetros!$D$103)*(1+rec_fracc)/frec*$CO$42),2))</f>
        <v>0</v>
      </c>
      <c r="CS314" s="119" t="str">
        <f t="shared" si="448"/>
        <v/>
      </c>
      <c r="CT314" s="66">
        <f>+IF($W314="","",ROUND(IF($B314&gt;Parámetros!$D$107,'Tablas Servicio'!CR314+('Tablas Servicio'!CT313-'Tablas Servicio'!CR313),CR314/(1-IF(B314&lt;=10,Parámetros!$D$100,0))),2))</f>
        <v>0</v>
      </c>
      <c r="CU314" s="66">
        <f t="shared" si="449"/>
        <v>0</v>
      </c>
      <c r="CV314" s="66">
        <f t="shared" si="449"/>
        <v>0</v>
      </c>
      <c r="CW314" s="66">
        <f>+IF($W314="","",ROUND((CT314*Parámetros!$G$85),2))</f>
        <v>0</v>
      </c>
      <c r="CX314" s="66">
        <f>+IF($W314="","",ROUND((CT314*(Parámetros!$G$86)),2))</f>
        <v>0</v>
      </c>
      <c r="CY314" s="66">
        <f t="shared" si="450"/>
        <v>0</v>
      </c>
      <c r="CZ314" t="str">
        <f t="shared" si="491"/>
        <v>00064</v>
      </c>
      <c r="DA314" s="118" t="str">
        <f t="shared" si="492"/>
        <v>Enfermedades Graves</v>
      </c>
      <c r="DB314" s="118">
        <f t="shared" si="493"/>
        <v>0</v>
      </c>
      <c r="DC314" s="118" t="str">
        <f t="shared" si="494"/>
        <v>A</v>
      </c>
      <c r="DD314" s="121" t="str">
        <f>+IF(OR($W314="",DB314=0),"",ROUND((VLOOKUP(ROUNDDOWN($D314-1/frec,0),cob_adi,CO$40,FALSE)*(1+i/frec)^-0.5*(1+Parámetros!$D$103)*(1+rec_fracc)/frec),6))</f>
        <v/>
      </c>
      <c r="DE314" s="66">
        <f t="shared" si="451"/>
        <v>0</v>
      </c>
      <c r="DF314" s="119" t="str">
        <f t="shared" si="452"/>
        <v/>
      </c>
      <c r="DG314" s="66">
        <f>+IF($W314="","",ROUND(IF($B314&gt;Parámetros!$D$107,'Tablas Servicio'!DE314+('Tablas Servicio'!DG313-'Tablas Servicio'!DE313),DE314/(1-IF(B314&lt;=10,Parámetros!$D$100,0))),2))</f>
        <v>0</v>
      </c>
      <c r="DH314" s="66">
        <f t="shared" si="453"/>
        <v>0</v>
      </c>
      <c r="DI314" s="66">
        <f t="shared" si="453"/>
        <v>0</v>
      </c>
      <c r="DJ314" s="66">
        <f>+IF($W314="","",ROUND((DG314*Parámetros!$G$85),2))</f>
        <v>0</v>
      </c>
      <c r="DK314" s="66">
        <f>+IF($W314="","",ROUND((DG314*(Parámetros!$G$86)),2))</f>
        <v>0</v>
      </c>
      <c r="DL314" s="66">
        <f t="shared" si="454"/>
        <v>0</v>
      </c>
      <c r="DM314" t="str">
        <f t="shared" si="495"/>
        <v>00065</v>
      </c>
      <c r="DN314" s="118" t="str">
        <f t="shared" si="496"/>
        <v>Exención pago de primas</v>
      </c>
      <c r="DO314" s="118">
        <f t="shared" si="497"/>
        <v>0</v>
      </c>
      <c r="DP314" s="118" t="str">
        <f t="shared" si="498"/>
        <v>A</v>
      </c>
      <c r="DQ314" s="122" t="str">
        <f>+IF(OR($W314="",DO314=0),"",ROUND((VLOOKUP(ROUNDDOWN($D314-1/frec,0),cob_adi,DB$40,FALSE)*(1+i/frec)^-0.5*(1+Parámetros!$D$103)*(1+rec_fracc)/frec),6))</f>
        <v/>
      </c>
      <c r="DR314" s="66">
        <f t="shared" si="455"/>
        <v>0</v>
      </c>
      <c r="DS314" s="68" t="str">
        <f t="shared" si="456"/>
        <v/>
      </c>
      <c r="DT314" s="66">
        <f>+IF($W314="","",ROUND(IF($B314&gt;Parámetros!$D$107,'Tablas Servicio'!DR314+('Tablas Servicio'!DT313-'Tablas Servicio'!DR313),DR314/(1-IF(B314&lt;=10,Parámetros!$D$100,0))),2))</f>
        <v>0</v>
      </c>
      <c r="DU314" s="66">
        <f t="shared" si="457"/>
        <v>0</v>
      </c>
      <c r="DV314" s="66">
        <f t="shared" si="457"/>
        <v>0</v>
      </c>
      <c r="DW314" s="66">
        <f>+IF($W314="","",ROUND((DT314*Parámetros!$G$85),2))</f>
        <v>0</v>
      </c>
      <c r="DX314" s="66">
        <f>+IF($W314="","",ROUND((DT314*(Parámetros!$G$86)),2))</f>
        <v>0</v>
      </c>
      <c r="DY314" s="66">
        <f t="shared" si="458"/>
        <v>0</v>
      </c>
      <c r="DZ314" t="str">
        <f t="shared" si="459"/>
        <v>00066</v>
      </c>
      <c r="EA314" s="118" t="str">
        <f t="shared" si="459"/>
        <v>Enfermedad terminal</v>
      </c>
      <c r="EB314" s="118">
        <f>+IF($W314="","",ROUND(IF(Parámetros!$D$25='TABLAS MORT'!$V$33,EB313,Z314/2),0))</f>
        <v>50000</v>
      </c>
      <c r="EC314" s="118" t="str">
        <f t="shared" si="459"/>
        <v>A</v>
      </c>
      <c r="ED314" s="122">
        <f>+IF(OR($W314="",EB314=0),"",ROUND((VLOOKUP(ROUNDDOWN($D314-1/frec,0),cob_adi,DO$40,FALSE)*(1+i/frec)^-0.5*(1+Parámetros!$D$103)*(1+rec_fracc)/frec),6))</f>
        <v>3.8999999999999999E-5</v>
      </c>
      <c r="EE314" s="66">
        <f t="shared" si="460"/>
        <v>1.95</v>
      </c>
      <c r="EF314" s="68">
        <f t="shared" si="461"/>
        <v>3.8999999999999999E-5</v>
      </c>
      <c r="EG314" s="66">
        <f>+IF($W314="","",ROUND(IF($B314&gt;Parámetros!$D$107,'Tablas Servicio'!EE314+('Tablas Servicio'!EG313-'Tablas Servicio'!EE313),EE314/(1-IF(B314&lt;=10,Parámetros!$D$100,0))),2))</f>
        <v>1.95</v>
      </c>
      <c r="EH314" s="66">
        <f t="shared" si="462"/>
        <v>0</v>
      </c>
      <c r="EI314" s="66">
        <f t="shared" si="462"/>
        <v>0</v>
      </c>
      <c r="EJ314" s="66">
        <f>+IF($W314="","",ROUND((EG314*Parámetros!$G$85),2))</f>
        <v>7.0000000000000007E-2</v>
      </c>
      <c r="EK314" s="66">
        <f>+IF($W314="","",ROUND((EG314*(Parámetros!$G$86)),2))</f>
        <v>0.01</v>
      </c>
      <c r="EL314" s="66">
        <f t="shared" si="463"/>
        <v>2.0299999999999998</v>
      </c>
    </row>
    <row r="315" spans="1:142" x14ac:dyDescent="0.25">
      <c r="A315">
        <f>+IF($C315="","",ROUND(VLOOKUP('Tablas Servicio'!B315,Parámetros!$H$100:$J$159,IF(Parámetros!$E$16="F",2,3),FALSE),2))</f>
        <v>150</v>
      </c>
      <c r="B315">
        <f t="shared" si="414"/>
        <v>23</v>
      </c>
      <c r="C315" s="57">
        <f>+IF(D315="","",'Tablas Servicio'!C314+1)</f>
        <v>274</v>
      </c>
      <c r="D315" s="56">
        <f>+IF(D314&lt;edadmaxtabla,D314+1/Parámetros!$E$25,"")</f>
        <v>62.853333333333985</v>
      </c>
      <c r="E315" s="57">
        <f t="shared" si="424"/>
        <v>62</v>
      </c>
      <c r="F315" s="59">
        <f t="shared" si="425"/>
        <v>100000</v>
      </c>
      <c r="G315" s="66">
        <f t="shared" si="415"/>
        <v>67.350000000000009</v>
      </c>
      <c r="H315" s="66">
        <f t="shared" si="416"/>
        <v>70.05</v>
      </c>
      <c r="I315" s="66">
        <f t="shared" si="464"/>
        <v>23.950000000000003</v>
      </c>
      <c r="J315" s="66">
        <f t="shared" si="417"/>
        <v>2.36</v>
      </c>
      <c r="K315" s="66">
        <f t="shared" si="418"/>
        <v>0.34</v>
      </c>
      <c r="L315" s="66">
        <f t="shared" si="419"/>
        <v>0</v>
      </c>
      <c r="M315" s="66">
        <f t="shared" si="420"/>
        <v>0</v>
      </c>
      <c r="N315" s="66">
        <f>+IF(C315="","",ROUND(Parámetros!$D$23,2))</f>
        <v>94</v>
      </c>
      <c r="O315" s="66">
        <f t="shared" si="421"/>
        <v>54.85</v>
      </c>
      <c r="P315" s="66">
        <f>+IF($C315="","",ROUND(IF(B315&gt;Parámetros!$D$117,0,N315*Parámetros!$D$116-G315*Parámetros!$D$100),2))</f>
        <v>0</v>
      </c>
      <c r="Q315" s="75">
        <f t="shared" si="465"/>
        <v>3.5040831477357086E-2</v>
      </c>
      <c r="R315" s="75">
        <f t="shared" si="466"/>
        <v>5.0482553823311058E-3</v>
      </c>
      <c r="S315" s="117">
        <f>+IF($C315="","",ROUND((S314+I315)*(1+Parámetros!$D$91),2))</f>
        <v>20618.810000000001</v>
      </c>
      <c r="T315" s="117">
        <f>+IF($C315="","",ROUND(S315*VLOOKUP(B315,Parámetros!$C$30:$D$39,2,TRUE),2))</f>
        <v>20618.810000000001</v>
      </c>
      <c r="U315" s="117">
        <f>+IF($C315="","",ROUND((U314+I315)*(1+Parámetros!$D$92),2))</f>
        <v>22074.52</v>
      </c>
      <c r="V315" s="117">
        <f>+IF($C315="","",ROUND(U315*VLOOKUP(B315,Parámetros!$C$30:$D$39,2,TRUE),2))</f>
        <v>22074.52</v>
      </c>
      <c r="W315" s="57">
        <f t="shared" si="467"/>
        <v>274</v>
      </c>
      <c r="X315" t="str">
        <f t="shared" si="468"/>
        <v>00058</v>
      </c>
      <c r="Y315" t="str">
        <f t="shared" si="469"/>
        <v>MUERTE POR CUALQUIER CAUSA</v>
      </c>
      <c r="Z315" s="118">
        <f>+IF($W315="","",ROUND(IF(Parámetros!$D$25='TABLAS MORT'!$V$33,Z314,Parámetros!$D$21-'Tablas Servicio'!T314),0))</f>
        <v>100000</v>
      </c>
      <c r="AA315" s="118" t="str">
        <f t="shared" si="470"/>
        <v>P</v>
      </c>
      <c r="AB315" s="119">
        <f>+IF(W315="","",ROUND((VLOOKUP(ROUNDDOWN($D315-1/frec,0),qx_tabla,2,FALSE)*(1+i/frec)^-0.5*(1+Parámetros!$D$103)*(1+rec_fracc)/frec),6))</f>
        <v>5.2899999999999996E-4</v>
      </c>
      <c r="AC315" s="66">
        <f t="shared" si="426"/>
        <v>52.9</v>
      </c>
      <c r="AD315" s="119">
        <f t="shared" si="422"/>
        <v>6.5399999999999996E-4</v>
      </c>
      <c r="AE315" s="66">
        <f>+IF($W315="","",ROUND(IF($B315&gt;Parámetros!$D$107,'Tablas Servicio'!AC315+('Tablas Servicio'!AG314-'Tablas Servicio'!AC314),AC315/(1-IF(B315&lt;=10,Parámetros!$D$104,Parámetros!$D$105))),2))</f>
        <v>88.17</v>
      </c>
      <c r="AF315" s="66">
        <f>+IF($W315="","",ROUND(IF($B315&gt;Parámetros!$D$107,'Tablas Servicio'!AC315+('Tablas Servicio'!AG314-'Tablas Servicio'!AC314),(AC315+$A314/frec)/(1-IF(B315&lt;=Parámetros!$D$117,Parámetros!$D$100,0))),2))</f>
        <v>65.400000000000006</v>
      </c>
      <c r="AG315" s="66">
        <f t="shared" si="427"/>
        <v>65.400000000000006</v>
      </c>
      <c r="AH315" s="66">
        <f t="shared" si="428"/>
        <v>0</v>
      </c>
      <c r="AI315" s="66">
        <f t="shared" si="429"/>
        <v>0</v>
      </c>
      <c r="AJ315" s="66">
        <f>+IF($W315="","",ROUND((AG315*Parámetros!$G$85),2))</f>
        <v>2.29</v>
      </c>
      <c r="AK315" s="66">
        <f>+IF($W315="","",ROUND((AG315*(Parámetros!$G$86)),2))</f>
        <v>0.33</v>
      </c>
      <c r="AL315" s="66">
        <f t="shared" si="423"/>
        <v>68.02</v>
      </c>
      <c r="AM315" t="str">
        <f t="shared" si="471"/>
        <v>00059</v>
      </c>
      <c r="AN315" t="str">
        <f t="shared" si="472"/>
        <v>Incapacidad Total y Permanente</v>
      </c>
      <c r="AO315" s="118">
        <f t="shared" si="473"/>
        <v>0</v>
      </c>
      <c r="AP315" s="118" t="str">
        <f t="shared" si="474"/>
        <v>A</v>
      </c>
      <c r="AQ315" s="119" t="str">
        <f>+IF(OR($W315="",AO315=0),"",ROUND((VLOOKUP(ROUNDDOWN($D315-1/frec,0),cob_adi,Z$40,FALSE)*(1+i/frec)^-0.5*(1+Parámetros!$D$103)*(1+rec_fracc)/frec),6))</f>
        <v/>
      </c>
      <c r="AR315" s="66">
        <f t="shared" si="430"/>
        <v>0</v>
      </c>
      <c r="AS315" s="119" t="str">
        <f t="shared" si="431"/>
        <v/>
      </c>
      <c r="AT315" s="66">
        <f>+IF($W315="","",ROUND(IF($B315&gt;Parámetros!$D$107,'Tablas Servicio'!AR315+('Tablas Servicio'!AT314-'Tablas Servicio'!AR314),AR315/(1-IF(B315&lt;=10,Parámetros!$D$100,0))),2))</f>
        <v>0</v>
      </c>
      <c r="AU315" s="66">
        <f t="shared" si="432"/>
        <v>0</v>
      </c>
      <c r="AV315" s="66">
        <f t="shared" si="432"/>
        <v>0</v>
      </c>
      <c r="AW315" s="66">
        <f>+IF($W315="","",ROUND((AT315*Parámetros!$G$85),2))</f>
        <v>0</v>
      </c>
      <c r="AX315" s="66">
        <f>+IF($W315="","",ROUND((AT315*(Parámetros!$G$86)),2))</f>
        <v>0</v>
      </c>
      <c r="AY315" s="66">
        <f t="shared" si="433"/>
        <v>0</v>
      </c>
      <c r="AZ315" t="str">
        <f t="shared" si="475"/>
        <v>00060</v>
      </c>
      <c r="BA315" t="str">
        <f t="shared" si="476"/>
        <v>Muerte Accidental</v>
      </c>
      <c r="BB315" s="118">
        <f t="shared" si="477"/>
        <v>0</v>
      </c>
      <c r="BC315" s="118" t="str">
        <f t="shared" si="478"/>
        <v>A</v>
      </c>
      <c r="BD315" s="119" t="str">
        <f>+IF(OR($W315="",BB315=0),"",ROUND((VLOOKUP(ROUNDDOWN($D315-1/frec,0),cob_adi,AO$40,FALSE)*(1+i/frec)^-0.5*(1+Parámetros!$D$103)*(1+rec_fracc)/frec),6))</f>
        <v/>
      </c>
      <c r="BE315" s="66">
        <f t="shared" si="434"/>
        <v>0</v>
      </c>
      <c r="BF315" s="119" t="str">
        <f t="shared" si="435"/>
        <v/>
      </c>
      <c r="BG315" s="66">
        <f>+IF($W315="","",ROUND(IF($B315&gt;Parámetros!$D$107,'Tablas Servicio'!BE315+('Tablas Servicio'!BG314-'Tablas Servicio'!BE314),BE315/(1-IF(B315&lt;=10,Parámetros!$D$100,0))),2))</f>
        <v>0</v>
      </c>
      <c r="BH315" s="66">
        <f t="shared" si="436"/>
        <v>0</v>
      </c>
      <c r="BI315" s="66">
        <f t="shared" si="437"/>
        <v>0</v>
      </c>
      <c r="BJ315" s="66">
        <f>+IF($W315="","",ROUND((BG315*Parámetros!$G$85),2))</f>
        <v>0</v>
      </c>
      <c r="BK315" s="66">
        <f>+IF($W315="","",ROUND((BG315*(Parámetros!$G$86)),2))</f>
        <v>0</v>
      </c>
      <c r="BL315" s="66">
        <f t="shared" si="438"/>
        <v>0</v>
      </c>
      <c r="BM315" t="str">
        <f t="shared" si="479"/>
        <v>00061</v>
      </c>
      <c r="BN315" t="str">
        <f t="shared" si="480"/>
        <v>Gastos de Entierro</v>
      </c>
      <c r="BO315" s="118">
        <f t="shared" si="481"/>
        <v>0</v>
      </c>
      <c r="BP315" s="118" t="str">
        <f t="shared" si="482"/>
        <v>A</v>
      </c>
      <c r="BQ315" s="119" t="str">
        <f>+IF(OR($W315="",BO315=0),"",ROUND((VLOOKUP(ROUNDDOWN($D315-1/frec,0),cob_adi,BB$40,FALSE)*(1+i/frec)^-0.5*(1+Parámetros!$D$103)*(1+rec_fracc)/frec),6))</f>
        <v/>
      </c>
      <c r="BR315" s="66">
        <f t="shared" si="439"/>
        <v>0</v>
      </c>
      <c r="BS315" s="119" t="str">
        <f t="shared" si="440"/>
        <v/>
      </c>
      <c r="BT315" s="66">
        <f>+IF($W315="","",ROUND(IF($B315&gt;Parámetros!$D$107,'Tablas Servicio'!BR315+('Tablas Servicio'!BT314-'Tablas Servicio'!BR314),BR315/(1-IF(B315&lt;=10,Parámetros!$D$100,0))),2))</f>
        <v>0</v>
      </c>
      <c r="BU315" s="66">
        <f t="shared" si="441"/>
        <v>0</v>
      </c>
      <c r="BV315" s="66">
        <f t="shared" si="441"/>
        <v>0</v>
      </c>
      <c r="BW315" s="66">
        <f>+IF($W315="","",ROUND((BT315*Parámetros!$G$85),2))</f>
        <v>0</v>
      </c>
      <c r="BX315" s="66">
        <f>+IF($W315="","",ROUND((BT315*(Parámetros!$G$86)),2))</f>
        <v>0</v>
      </c>
      <c r="BY315" s="66">
        <f t="shared" si="442"/>
        <v>0</v>
      </c>
      <c r="BZ315" t="str">
        <f t="shared" si="483"/>
        <v>00062</v>
      </c>
      <c r="CA315" t="str">
        <f t="shared" si="484"/>
        <v>Gastos médicos por accidente</v>
      </c>
      <c r="CB315" s="118">
        <f t="shared" si="485"/>
        <v>0</v>
      </c>
      <c r="CC315" s="118" t="str">
        <f t="shared" si="486"/>
        <v>A</v>
      </c>
      <c r="CD315" s="119" t="str">
        <f t="shared" si="443"/>
        <v/>
      </c>
      <c r="CE315" s="66">
        <f>+IF($W315="","",ROUND((VLOOKUP(ROUNDDOWN($D315-1/frec,0),cob_adi,BO$40,FALSE)*(1+i/frec)^-0.5*(1+Parámetros!$D$103)*(1+rec_fracc)/frec*'TABLAS ADI'!$BC$17),2))</f>
        <v>0</v>
      </c>
      <c r="CF315" s="119" t="str">
        <f t="shared" si="444"/>
        <v/>
      </c>
      <c r="CG315" s="66">
        <f>+IF($W315="","",ROUND(IF($B315&gt;Parámetros!$D$107,'Tablas Servicio'!CE315+('Tablas Servicio'!CG314-'Tablas Servicio'!CE314),CE315/(1-IF(B315&lt;=10,Parámetros!$D$100,0))),2))</f>
        <v>0</v>
      </c>
      <c r="CH315" s="66">
        <f t="shared" si="445"/>
        <v>0</v>
      </c>
      <c r="CI315" s="66">
        <f t="shared" si="445"/>
        <v>0</v>
      </c>
      <c r="CJ315" s="66">
        <f>+IF($W315="","",ROUND((CG315*Parámetros!$G$85),2))</f>
        <v>0</v>
      </c>
      <c r="CK315" s="66">
        <f>+IF($W315="","",ROUND((CG315*(Parámetros!$G$86)),2))</f>
        <v>0</v>
      </c>
      <c r="CL315" s="66">
        <f t="shared" si="446"/>
        <v>0</v>
      </c>
      <c r="CM315" t="str">
        <f t="shared" si="487"/>
        <v>00063</v>
      </c>
      <c r="CN315" s="118" t="str">
        <f t="shared" si="488"/>
        <v>Renta Diaria por Hospitalización</v>
      </c>
      <c r="CO315" s="118">
        <f t="shared" si="489"/>
        <v>0</v>
      </c>
      <c r="CP315" s="118" t="str">
        <f t="shared" si="490"/>
        <v>A</v>
      </c>
      <c r="CQ315" s="119" t="str">
        <f t="shared" si="447"/>
        <v/>
      </c>
      <c r="CR315" s="66">
        <f>+IF($W315="","",ROUND((VLOOKUP(Parámetros!$F$51,'COBERTURAS ADICIONALES'!$S$4:$T$32,2,FALSE)*(1+i/frec)^-0.5*(1+Parámetros!$D$103)*(1+rec_fracc)/frec*$CO$42),2))</f>
        <v>0</v>
      </c>
      <c r="CS315" s="119" t="str">
        <f t="shared" si="448"/>
        <v/>
      </c>
      <c r="CT315" s="66">
        <f>+IF($W315="","",ROUND(IF($B315&gt;Parámetros!$D$107,'Tablas Servicio'!CR315+('Tablas Servicio'!CT314-'Tablas Servicio'!CR314),CR315/(1-IF(B315&lt;=10,Parámetros!$D$100,0))),2))</f>
        <v>0</v>
      </c>
      <c r="CU315" s="66">
        <f t="shared" si="449"/>
        <v>0</v>
      </c>
      <c r="CV315" s="66">
        <f t="shared" si="449"/>
        <v>0</v>
      </c>
      <c r="CW315" s="66">
        <f>+IF($W315="","",ROUND((CT315*Parámetros!$G$85),2))</f>
        <v>0</v>
      </c>
      <c r="CX315" s="66">
        <f>+IF($W315="","",ROUND((CT315*(Parámetros!$G$86)),2))</f>
        <v>0</v>
      </c>
      <c r="CY315" s="66">
        <f t="shared" si="450"/>
        <v>0</v>
      </c>
      <c r="CZ315" t="str">
        <f t="shared" si="491"/>
        <v>00064</v>
      </c>
      <c r="DA315" s="118" t="str">
        <f t="shared" si="492"/>
        <v>Enfermedades Graves</v>
      </c>
      <c r="DB315" s="118">
        <f t="shared" si="493"/>
        <v>0</v>
      </c>
      <c r="DC315" s="118" t="str">
        <f t="shared" si="494"/>
        <v>A</v>
      </c>
      <c r="DD315" s="121" t="str">
        <f>+IF(OR($W315="",DB315=0),"",ROUND((VLOOKUP(ROUNDDOWN($D315-1/frec,0),cob_adi,CO$40,FALSE)*(1+i/frec)^-0.5*(1+Parámetros!$D$103)*(1+rec_fracc)/frec),6))</f>
        <v/>
      </c>
      <c r="DE315" s="66">
        <f t="shared" si="451"/>
        <v>0</v>
      </c>
      <c r="DF315" s="119" t="str">
        <f t="shared" si="452"/>
        <v/>
      </c>
      <c r="DG315" s="66">
        <f>+IF($W315="","",ROUND(IF($B315&gt;Parámetros!$D$107,'Tablas Servicio'!DE315+('Tablas Servicio'!DG314-'Tablas Servicio'!DE314),DE315/(1-IF(B315&lt;=10,Parámetros!$D$100,0))),2))</f>
        <v>0</v>
      </c>
      <c r="DH315" s="66">
        <f t="shared" si="453"/>
        <v>0</v>
      </c>
      <c r="DI315" s="66">
        <f t="shared" si="453"/>
        <v>0</v>
      </c>
      <c r="DJ315" s="66">
        <f>+IF($W315="","",ROUND((DG315*Parámetros!$G$85),2))</f>
        <v>0</v>
      </c>
      <c r="DK315" s="66">
        <f>+IF($W315="","",ROUND((DG315*(Parámetros!$G$86)),2))</f>
        <v>0</v>
      </c>
      <c r="DL315" s="66">
        <f t="shared" si="454"/>
        <v>0</v>
      </c>
      <c r="DM315" t="str">
        <f t="shared" si="495"/>
        <v>00065</v>
      </c>
      <c r="DN315" s="118" t="str">
        <f t="shared" si="496"/>
        <v>Exención pago de primas</v>
      </c>
      <c r="DO315" s="118">
        <f t="shared" si="497"/>
        <v>0</v>
      </c>
      <c r="DP315" s="118" t="str">
        <f t="shared" si="498"/>
        <v>A</v>
      </c>
      <c r="DQ315" s="122" t="str">
        <f>+IF(OR($W315="",DO315=0),"",ROUND((VLOOKUP(ROUNDDOWN($D315-1/frec,0),cob_adi,DB$40,FALSE)*(1+i/frec)^-0.5*(1+Parámetros!$D$103)*(1+rec_fracc)/frec),6))</f>
        <v/>
      </c>
      <c r="DR315" s="66">
        <f t="shared" si="455"/>
        <v>0</v>
      </c>
      <c r="DS315" s="68" t="str">
        <f t="shared" si="456"/>
        <v/>
      </c>
      <c r="DT315" s="66">
        <f>+IF($W315="","",ROUND(IF($B315&gt;Parámetros!$D$107,'Tablas Servicio'!DR315+('Tablas Servicio'!DT314-'Tablas Servicio'!DR314),DR315/(1-IF(B315&lt;=10,Parámetros!$D$100,0))),2))</f>
        <v>0</v>
      </c>
      <c r="DU315" s="66">
        <f t="shared" si="457"/>
        <v>0</v>
      </c>
      <c r="DV315" s="66">
        <f t="shared" si="457"/>
        <v>0</v>
      </c>
      <c r="DW315" s="66">
        <f>+IF($W315="","",ROUND((DT315*Parámetros!$G$85),2))</f>
        <v>0</v>
      </c>
      <c r="DX315" s="66">
        <f>+IF($W315="","",ROUND((DT315*(Parámetros!$G$86)),2))</f>
        <v>0</v>
      </c>
      <c r="DY315" s="66">
        <f t="shared" si="458"/>
        <v>0</v>
      </c>
      <c r="DZ315" t="str">
        <f t="shared" ref="DZ315:EC330" si="499">+IF($W315="","",DZ314)</f>
        <v>00066</v>
      </c>
      <c r="EA315" s="118" t="str">
        <f t="shared" si="499"/>
        <v>Enfermedad terminal</v>
      </c>
      <c r="EB315" s="118">
        <f>+IF($W315="","",ROUND(IF(Parámetros!$D$25='TABLAS MORT'!$V$33,EB314,Z315/2),0))</f>
        <v>50000</v>
      </c>
      <c r="EC315" s="118" t="str">
        <f t="shared" si="499"/>
        <v>A</v>
      </c>
      <c r="ED315" s="122">
        <f>+IF(OR($W315="",EB315=0),"",ROUND((VLOOKUP(ROUNDDOWN($D315-1/frec,0),cob_adi,DO$40,FALSE)*(1+i/frec)^-0.5*(1+Parámetros!$D$103)*(1+rec_fracc)/frec),6))</f>
        <v>3.8999999999999999E-5</v>
      </c>
      <c r="EE315" s="66">
        <f t="shared" si="460"/>
        <v>1.95</v>
      </c>
      <c r="EF315" s="68">
        <f t="shared" si="461"/>
        <v>3.8999999999999999E-5</v>
      </c>
      <c r="EG315" s="66">
        <f>+IF($W315="","",ROUND(IF($B315&gt;Parámetros!$D$107,'Tablas Servicio'!EE315+('Tablas Servicio'!EG314-'Tablas Servicio'!EE314),EE315/(1-IF(B315&lt;=10,Parámetros!$D$100,0))),2))</f>
        <v>1.95</v>
      </c>
      <c r="EH315" s="66">
        <f t="shared" si="462"/>
        <v>0</v>
      </c>
      <c r="EI315" s="66">
        <f t="shared" si="462"/>
        <v>0</v>
      </c>
      <c r="EJ315" s="66">
        <f>+IF($W315="","",ROUND((EG315*Parámetros!$G$85),2))</f>
        <v>7.0000000000000007E-2</v>
      </c>
      <c r="EK315" s="66">
        <f>+IF($W315="","",ROUND((EG315*(Parámetros!$G$86)),2))</f>
        <v>0.01</v>
      </c>
      <c r="EL315" s="66">
        <f t="shared" si="463"/>
        <v>2.0299999999999998</v>
      </c>
    </row>
    <row r="316" spans="1:142" x14ac:dyDescent="0.25">
      <c r="A316">
        <f>+IF($C316="","",ROUND(VLOOKUP('Tablas Servicio'!B316,Parámetros!$H$100:$J$159,IF(Parámetros!$E$16="F",2,3),FALSE),2))</f>
        <v>150</v>
      </c>
      <c r="B316">
        <f t="shared" si="414"/>
        <v>23</v>
      </c>
      <c r="C316" s="57">
        <f>+IF(D316="","",'Tablas Servicio'!C315+1)</f>
        <v>275</v>
      </c>
      <c r="D316" s="56">
        <f>+IF(D315&lt;edadmaxtabla,D315+1/Parámetros!$E$25,"")</f>
        <v>62.936666666667321</v>
      </c>
      <c r="E316" s="57">
        <f t="shared" si="424"/>
        <v>62</v>
      </c>
      <c r="F316" s="59">
        <f t="shared" si="425"/>
        <v>100000</v>
      </c>
      <c r="G316" s="66">
        <f t="shared" si="415"/>
        <v>67.350000000000009</v>
      </c>
      <c r="H316" s="66">
        <f t="shared" si="416"/>
        <v>70.05</v>
      </c>
      <c r="I316" s="66">
        <f t="shared" si="464"/>
        <v>23.950000000000003</v>
      </c>
      <c r="J316" s="66">
        <f t="shared" si="417"/>
        <v>2.36</v>
      </c>
      <c r="K316" s="66">
        <f t="shared" si="418"/>
        <v>0.34</v>
      </c>
      <c r="L316" s="66">
        <f t="shared" si="419"/>
        <v>0</v>
      </c>
      <c r="M316" s="66">
        <f t="shared" si="420"/>
        <v>0</v>
      </c>
      <c r="N316" s="66">
        <f>+IF(C316="","",ROUND(Parámetros!$D$23,2))</f>
        <v>94</v>
      </c>
      <c r="O316" s="66">
        <f t="shared" si="421"/>
        <v>54.85</v>
      </c>
      <c r="P316" s="66">
        <f>+IF($C316="","",ROUND(IF(B316&gt;Parámetros!$D$117,0,N316*Parámetros!$D$116-G316*Parámetros!$D$100),2))</f>
        <v>0</v>
      </c>
      <c r="Q316" s="75">
        <f t="shared" si="465"/>
        <v>3.5040831477357086E-2</v>
      </c>
      <c r="R316" s="75">
        <f t="shared" si="466"/>
        <v>5.0482553823311058E-3</v>
      </c>
      <c r="S316" s="117">
        <f>+IF($C316="","",ROUND((S315+I316)*(1+Parámetros!$D$91),2))</f>
        <v>20701.310000000001</v>
      </c>
      <c r="T316" s="117">
        <f>+IF($C316="","",ROUND(S316*VLOOKUP(B316,Parámetros!$C$30:$D$39,2,TRUE),2))</f>
        <v>20701.310000000001</v>
      </c>
      <c r="U316" s="117">
        <f>+IF($C316="","",ROUND((U315+I316)*(1+Parámetros!$D$92),2))</f>
        <v>22170.11</v>
      </c>
      <c r="V316" s="117">
        <f>+IF($C316="","",ROUND(U316*VLOOKUP(B316,Parámetros!$C$30:$D$39,2,TRUE),2))</f>
        <v>22170.11</v>
      </c>
      <c r="W316" s="57">
        <f t="shared" si="467"/>
        <v>275</v>
      </c>
      <c r="X316" t="str">
        <f t="shared" si="468"/>
        <v>00058</v>
      </c>
      <c r="Y316" t="str">
        <f t="shared" si="469"/>
        <v>MUERTE POR CUALQUIER CAUSA</v>
      </c>
      <c r="Z316" s="118">
        <f>+IF($W316="","",ROUND(IF(Parámetros!$D$25='TABLAS MORT'!$V$33,Z315,Parámetros!$D$21-'Tablas Servicio'!T315),0))</f>
        <v>100000</v>
      </c>
      <c r="AA316" s="118" t="str">
        <f t="shared" si="470"/>
        <v>P</v>
      </c>
      <c r="AB316" s="119">
        <f>+IF(W316="","",ROUND((VLOOKUP(ROUNDDOWN($D316-1/frec,0),qx_tabla,2,FALSE)*(1+i/frec)^-0.5*(1+Parámetros!$D$103)*(1+rec_fracc)/frec),6))</f>
        <v>5.2899999999999996E-4</v>
      </c>
      <c r="AC316" s="66">
        <f t="shared" si="426"/>
        <v>52.9</v>
      </c>
      <c r="AD316" s="119">
        <f t="shared" si="422"/>
        <v>6.5399999999999996E-4</v>
      </c>
      <c r="AE316" s="66">
        <f>+IF($W316="","",ROUND(IF($B316&gt;Parámetros!$D$107,'Tablas Servicio'!AC316+('Tablas Servicio'!AG315-'Tablas Servicio'!AC315),AC316/(1-IF(B316&lt;=10,Parámetros!$D$104,Parámetros!$D$105))),2))</f>
        <v>88.17</v>
      </c>
      <c r="AF316" s="66">
        <f>+IF($W316="","",ROUND(IF($B316&gt;Parámetros!$D$107,'Tablas Servicio'!AC316+('Tablas Servicio'!AG315-'Tablas Servicio'!AC315),(AC316+$A315/frec)/(1-IF(B316&lt;=Parámetros!$D$117,Parámetros!$D$100,0))),2))</f>
        <v>65.400000000000006</v>
      </c>
      <c r="AG316" s="66">
        <f t="shared" si="427"/>
        <v>65.400000000000006</v>
      </c>
      <c r="AH316" s="66">
        <f t="shared" si="428"/>
        <v>0</v>
      </c>
      <c r="AI316" s="66">
        <f t="shared" si="429"/>
        <v>0</v>
      </c>
      <c r="AJ316" s="66">
        <f>+IF($W316="","",ROUND((AG316*Parámetros!$G$85),2))</f>
        <v>2.29</v>
      </c>
      <c r="AK316" s="66">
        <f>+IF($W316="","",ROUND((AG316*(Parámetros!$G$86)),2))</f>
        <v>0.33</v>
      </c>
      <c r="AL316" s="66">
        <f t="shared" si="423"/>
        <v>68.02</v>
      </c>
      <c r="AM316" t="str">
        <f t="shared" si="471"/>
        <v>00059</v>
      </c>
      <c r="AN316" t="str">
        <f t="shared" si="472"/>
        <v>Incapacidad Total y Permanente</v>
      </c>
      <c r="AO316" s="118">
        <f t="shared" si="473"/>
        <v>0</v>
      </c>
      <c r="AP316" s="118" t="str">
        <f t="shared" si="474"/>
        <v>A</v>
      </c>
      <c r="AQ316" s="119" t="str">
        <f>+IF(OR($W316="",AO316=0),"",ROUND((VLOOKUP(ROUNDDOWN($D316-1/frec,0),cob_adi,Z$40,FALSE)*(1+i/frec)^-0.5*(1+Parámetros!$D$103)*(1+rec_fracc)/frec),6))</f>
        <v/>
      </c>
      <c r="AR316" s="66">
        <f t="shared" si="430"/>
        <v>0</v>
      </c>
      <c r="AS316" s="119" t="str">
        <f t="shared" si="431"/>
        <v/>
      </c>
      <c r="AT316" s="66">
        <f>+IF($W316="","",ROUND(IF($B316&gt;Parámetros!$D$107,'Tablas Servicio'!AR316+('Tablas Servicio'!AT315-'Tablas Servicio'!AR315),AR316/(1-IF(B316&lt;=10,Parámetros!$D$100,0))),2))</f>
        <v>0</v>
      </c>
      <c r="AU316" s="66">
        <f t="shared" si="432"/>
        <v>0</v>
      </c>
      <c r="AV316" s="66">
        <f t="shared" si="432"/>
        <v>0</v>
      </c>
      <c r="AW316" s="66">
        <f>+IF($W316="","",ROUND((AT316*Parámetros!$G$85),2))</f>
        <v>0</v>
      </c>
      <c r="AX316" s="66">
        <f>+IF($W316="","",ROUND((AT316*(Parámetros!$G$86)),2))</f>
        <v>0</v>
      </c>
      <c r="AY316" s="66">
        <f t="shared" si="433"/>
        <v>0</v>
      </c>
      <c r="AZ316" t="str">
        <f t="shared" si="475"/>
        <v>00060</v>
      </c>
      <c r="BA316" t="str">
        <f t="shared" si="476"/>
        <v>Muerte Accidental</v>
      </c>
      <c r="BB316" s="118">
        <f t="shared" si="477"/>
        <v>0</v>
      </c>
      <c r="BC316" s="118" t="str">
        <f t="shared" si="478"/>
        <v>A</v>
      </c>
      <c r="BD316" s="119" t="str">
        <f>+IF(OR($W316="",BB316=0),"",ROUND((VLOOKUP(ROUNDDOWN($D316-1/frec,0),cob_adi,AO$40,FALSE)*(1+i/frec)^-0.5*(1+Parámetros!$D$103)*(1+rec_fracc)/frec),6))</f>
        <v/>
      </c>
      <c r="BE316" s="66">
        <f t="shared" si="434"/>
        <v>0</v>
      </c>
      <c r="BF316" s="119" t="str">
        <f t="shared" si="435"/>
        <v/>
      </c>
      <c r="BG316" s="66">
        <f>+IF($W316="","",ROUND(IF($B316&gt;Parámetros!$D$107,'Tablas Servicio'!BE316+('Tablas Servicio'!BG315-'Tablas Servicio'!BE315),BE316/(1-IF(B316&lt;=10,Parámetros!$D$100,0))),2))</f>
        <v>0</v>
      </c>
      <c r="BH316" s="66">
        <f t="shared" si="436"/>
        <v>0</v>
      </c>
      <c r="BI316" s="66">
        <f t="shared" si="437"/>
        <v>0</v>
      </c>
      <c r="BJ316" s="66">
        <f>+IF($W316="","",ROUND((BG316*Parámetros!$G$85),2))</f>
        <v>0</v>
      </c>
      <c r="BK316" s="66">
        <f>+IF($W316="","",ROUND((BG316*(Parámetros!$G$86)),2))</f>
        <v>0</v>
      </c>
      <c r="BL316" s="66">
        <f t="shared" si="438"/>
        <v>0</v>
      </c>
      <c r="BM316" t="str">
        <f t="shared" si="479"/>
        <v>00061</v>
      </c>
      <c r="BN316" t="str">
        <f t="shared" si="480"/>
        <v>Gastos de Entierro</v>
      </c>
      <c r="BO316" s="118">
        <f t="shared" si="481"/>
        <v>0</v>
      </c>
      <c r="BP316" s="118" t="str">
        <f t="shared" si="482"/>
        <v>A</v>
      </c>
      <c r="BQ316" s="119" t="str">
        <f>+IF(OR($W316="",BO316=0),"",ROUND((VLOOKUP(ROUNDDOWN($D316-1/frec,0),cob_adi,BB$40,FALSE)*(1+i/frec)^-0.5*(1+Parámetros!$D$103)*(1+rec_fracc)/frec),6))</f>
        <v/>
      </c>
      <c r="BR316" s="66">
        <f t="shared" si="439"/>
        <v>0</v>
      </c>
      <c r="BS316" s="119" t="str">
        <f t="shared" si="440"/>
        <v/>
      </c>
      <c r="BT316" s="66">
        <f>+IF($W316="","",ROUND(IF($B316&gt;Parámetros!$D$107,'Tablas Servicio'!BR316+('Tablas Servicio'!BT315-'Tablas Servicio'!BR315),BR316/(1-IF(B316&lt;=10,Parámetros!$D$100,0))),2))</f>
        <v>0</v>
      </c>
      <c r="BU316" s="66">
        <f t="shared" si="441"/>
        <v>0</v>
      </c>
      <c r="BV316" s="66">
        <f t="shared" si="441"/>
        <v>0</v>
      </c>
      <c r="BW316" s="66">
        <f>+IF($W316="","",ROUND((BT316*Parámetros!$G$85),2))</f>
        <v>0</v>
      </c>
      <c r="BX316" s="66">
        <f>+IF($W316="","",ROUND((BT316*(Parámetros!$G$86)),2))</f>
        <v>0</v>
      </c>
      <c r="BY316" s="66">
        <f t="shared" si="442"/>
        <v>0</v>
      </c>
      <c r="BZ316" t="str">
        <f t="shared" si="483"/>
        <v>00062</v>
      </c>
      <c r="CA316" t="str">
        <f t="shared" si="484"/>
        <v>Gastos médicos por accidente</v>
      </c>
      <c r="CB316" s="118">
        <f t="shared" si="485"/>
        <v>0</v>
      </c>
      <c r="CC316" s="118" t="str">
        <f t="shared" si="486"/>
        <v>A</v>
      </c>
      <c r="CD316" s="119" t="str">
        <f t="shared" si="443"/>
        <v/>
      </c>
      <c r="CE316" s="66">
        <f>+IF($W316="","",ROUND((VLOOKUP(ROUNDDOWN($D316-1/frec,0),cob_adi,BO$40,FALSE)*(1+i/frec)^-0.5*(1+Parámetros!$D$103)*(1+rec_fracc)/frec*'TABLAS ADI'!$BC$17),2))</f>
        <v>0</v>
      </c>
      <c r="CF316" s="119" t="str">
        <f t="shared" si="444"/>
        <v/>
      </c>
      <c r="CG316" s="66">
        <f>+IF($W316="","",ROUND(IF($B316&gt;Parámetros!$D$107,'Tablas Servicio'!CE316+('Tablas Servicio'!CG315-'Tablas Servicio'!CE315),CE316/(1-IF(B316&lt;=10,Parámetros!$D$100,0))),2))</f>
        <v>0</v>
      </c>
      <c r="CH316" s="66">
        <f t="shared" si="445"/>
        <v>0</v>
      </c>
      <c r="CI316" s="66">
        <f t="shared" si="445"/>
        <v>0</v>
      </c>
      <c r="CJ316" s="66">
        <f>+IF($W316="","",ROUND((CG316*Parámetros!$G$85),2))</f>
        <v>0</v>
      </c>
      <c r="CK316" s="66">
        <f>+IF($W316="","",ROUND((CG316*(Parámetros!$G$86)),2))</f>
        <v>0</v>
      </c>
      <c r="CL316" s="66">
        <f t="shared" si="446"/>
        <v>0</v>
      </c>
      <c r="CM316" t="str">
        <f t="shared" si="487"/>
        <v>00063</v>
      </c>
      <c r="CN316" s="118" t="str">
        <f t="shared" si="488"/>
        <v>Renta Diaria por Hospitalización</v>
      </c>
      <c r="CO316" s="118">
        <f t="shared" si="489"/>
        <v>0</v>
      </c>
      <c r="CP316" s="118" t="str">
        <f t="shared" si="490"/>
        <v>A</v>
      </c>
      <c r="CQ316" s="119" t="str">
        <f t="shared" si="447"/>
        <v/>
      </c>
      <c r="CR316" s="66">
        <f>+IF($W316="","",ROUND((VLOOKUP(Parámetros!$F$51,'COBERTURAS ADICIONALES'!$S$4:$T$32,2,FALSE)*(1+i/frec)^-0.5*(1+Parámetros!$D$103)*(1+rec_fracc)/frec*$CO$42),2))</f>
        <v>0</v>
      </c>
      <c r="CS316" s="119" t="str">
        <f t="shared" si="448"/>
        <v/>
      </c>
      <c r="CT316" s="66">
        <f>+IF($W316="","",ROUND(IF($B316&gt;Parámetros!$D$107,'Tablas Servicio'!CR316+('Tablas Servicio'!CT315-'Tablas Servicio'!CR315),CR316/(1-IF(B316&lt;=10,Parámetros!$D$100,0))),2))</f>
        <v>0</v>
      </c>
      <c r="CU316" s="66">
        <f t="shared" si="449"/>
        <v>0</v>
      </c>
      <c r="CV316" s="66">
        <f t="shared" si="449"/>
        <v>0</v>
      </c>
      <c r="CW316" s="66">
        <f>+IF($W316="","",ROUND((CT316*Parámetros!$G$85),2))</f>
        <v>0</v>
      </c>
      <c r="CX316" s="66">
        <f>+IF($W316="","",ROUND((CT316*(Parámetros!$G$86)),2))</f>
        <v>0</v>
      </c>
      <c r="CY316" s="66">
        <f t="shared" si="450"/>
        <v>0</v>
      </c>
      <c r="CZ316" t="str">
        <f t="shared" si="491"/>
        <v>00064</v>
      </c>
      <c r="DA316" s="118" t="str">
        <f t="shared" si="492"/>
        <v>Enfermedades Graves</v>
      </c>
      <c r="DB316" s="118">
        <f t="shared" si="493"/>
        <v>0</v>
      </c>
      <c r="DC316" s="118" t="str">
        <f t="shared" si="494"/>
        <v>A</v>
      </c>
      <c r="DD316" s="121" t="str">
        <f>+IF(OR($W316="",DB316=0),"",ROUND((VLOOKUP(ROUNDDOWN($D316-1/frec,0),cob_adi,CO$40,FALSE)*(1+i/frec)^-0.5*(1+Parámetros!$D$103)*(1+rec_fracc)/frec),6))</f>
        <v/>
      </c>
      <c r="DE316" s="66">
        <f t="shared" si="451"/>
        <v>0</v>
      </c>
      <c r="DF316" s="119" t="str">
        <f t="shared" si="452"/>
        <v/>
      </c>
      <c r="DG316" s="66">
        <f>+IF($W316="","",ROUND(IF($B316&gt;Parámetros!$D$107,'Tablas Servicio'!DE316+('Tablas Servicio'!DG315-'Tablas Servicio'!DE315),DE316/(1-IF(B316&lt;=10,Parámetros!$D$100,0))),2))</f>
        <v>0</v>
      </c>
      <c r="DH316" s="66">
        <f t="shared" si="453"/>
        <v>0</v>
      </c>
      <c r="DI316" s="66">
        <f t="shared" si="453"/>
        <v>0</v>
      </c>
      <c r="DJ316" s="66">
        <f>+IF($W316="","",ROUND((DG316*Parámetros!$G$85),2))</f>
        <v>0</v>
      </c>
      <c r="DK316" s="66">
        <f>+IF($W316="","",ROUND((DG316*(Parámetros!$G$86)),2))</f>
        <v>0</v>
      </c>
      <c r="DL316" s="66">
        <f t="shared" si="454"/>
        <v>0</v>
      </c>
      <c r="DM316" t="str">
        <f t="shared" si="495"/>
        <v>00065</v>
      </c>
      <c r="DN316" s="118" t="str">
        <f t="shared" si="496"/>
        <v>Exención pago de primas</v>
      </c>
      <c r="DO316" s="118">
        <f t="shared" si="497"/>
        <v>0</v>
      </c>
      <c r="DP316" s="118" t="str">
        <f t="shared" si="498"/>
        <v>A</v>
      </c>
      <c r="DQ316" s="122" t="str">
        <f>+IF(OR($W316="",DO316=0),"",ROUND((VLOOKUP(ROUNDDOWN($D316-1/frec,0),cob_adi,DB$40,FALSE)*(1+i/frec)^-0.5*(1+Parámetros!$D$103)*(1+rec_fracc)/frec),6))</f>
        <v/>
      </c>
      <c r="DR316" s="66">
        <f t="shared" si="455"/>
        <v>0</v>
      </c>
      <c r="DS316" s="68" t="str">
        <f t="shared" si="456"/>
        <v/>
      </c>
      <c r="DT316" s="66">
        <f>+IF($W316="","",ROUND(IF($B316&gt;Parámetros!$D$107,'Tablas Servicio'!DR316+('Tablas Servicio'!DT315-'Tablas Servicio'!DR315),DR316/(1-IF(B316&lt;=10,Parámetros!$D$100,0))),2))</f>
        <v>0</v>
      </c>
      <c r="DU316" s="66">
        <f t="shared" si="457"/>
        <v>0</v>
      </c>
      <c r="DV316" s="66">
        <f t="shared" si="457"/>
        <v>0</v>
      </c>
      <c r="DW316" s="66">
        <f>+IF($W316="","",ROUND((DT316*Parámetros!$G$85),2))</f>
        <v>0</v>
      </c>
      <c r="DX316" s="66">
        <f>+IF($W316="","",ROUND((DT316*(Parámetros!$G$86)),2))</f>
        <v>0</v>
      </c>
      <c r="DY316" s="66">
        <f t="shared" si="458"/>
        <v>0</v>
      </c>
      <c r="DZ316" t="str">
        <f t="shared" si="499"/>
        <v>00066</v>
      </c>
      <c r="EA316" s="118" t="str">
        <f t="shared" si="499"/>
        <v>Enfermedad terminal</v>
      </c>
      <c r="EB316" s="118">
        <f>+IF($W316="","",ROUND(IF(Parámetros!$D$25='TABLAS MORT'!$V$33,EB315,Z316/2),0))</f>
        <v>50000</v>
      </c>
      <c r="EC316" s="118" t="str">
        <f t="shared" si="499"/>
        <v>A</v>
      </c>
      <c r="ED316" s="122">
        <f>+IF(OR($W316="",EB316=0),"",ROUND((VLOOKUP(ROUNDDOWN($D316-1/frec,0),cob_adi,DO$40,FALSE)*(1+i/frec)^-0.5*(1+Parámetros!$D$103)*(1+rec_fracc)/frec),6))</f>
        <v>3.8999999999999999E-5</v>
      </c>
      <c r="EE316" s="66">
        <f t="shared" si="460"/>
        <v>1.95</v>
      </c>
      <c r="EF316" s="68">
        <f t="shared" si="461"/>
        <v>3.8999999999999999E-5</v>
      </c>
      <c r="EG316" s="66">
        <f>+IF($W316="","",ROUND(IF($B316&gt;Parámetros!$D$107,'Tablas Servicio'!EE316+('Tablas Servicio'!EG315-'Tablas Servicio'!EE315),EE316/(1-IF(B316&lt;=10,Parámetros!$D$100,0))),2))</f>
        <v>1.95</v>
      </c>
      <c r="EH316" s="66">
        <f t="shared" si="462"/>
        <v>0</v>
      </c>
      <c r="EI316" s="66">
        <f t="shared" si="462"/>
        <v>0</v>
      </c>
      <c r="EJ316" s="66">
        <f>+IF($W316="","",ROUND((EG316*Parámetros!$G$85),2))</f>
        <v>7.0000000000000007E-2</v>
      </c>
      <c r="EK316" s="66">
        <f>+IF($W316="","",ROUND((EG316*(Parámetros!$G$86)),2))</f>
        <v>0.01</v>
      </c>
      <c r="EL316" s="66">
        <f t="shared" si="463"/>
        <v>2.0299999999999998</v>
      </c>
    </row>
    <row r="317" spans="1:142" x14ac:dyDescent="0.25">
      <c r="A317">
        <f>+IF($C317="","",ROUND(VLOOKUP('Tablas Servicio'!B317,Parámetros!$H$100:$J$159,IF(Parámetros!$E$16="F",2,3),FALSE),2))</f>
        <v>150</v>
      </c>
      <c r="B317">
        <f t="shared" si="414"/>
        <v>23</v>
      </c>
      <c r="C317" s="57">
        <f>+IF(D317="","",'Tablas Servicio'!C316+1)</f>
        <v>276</v>
      </c>
      <c r="D317" s="56">
        <f>+IF(D316&lt;edadmaxtabla,D316+1/Parámetros!$E$25,"")</f>
        <v>63.020000000000657</v>
      </c>
      <c r="E317" s="57">
        <f t="shared" si="424"/>
        <v>63</v>
      </c>
      <c r="F317" s="59">
        <f t="shared" si="425"/>
        <v>100000</v>
      </c>
      <c r="G317" s="66">
        <f t="shared" si="415"/>
        <v>67.350000000000009</v>
      </c>
      <c r="H317" s="66">
        <f t="shared" si="416"/>
        <v>70.05</v>
      </c>
      <c r="I317" s="66">
        <f t="shared" si="464"/>
        <v>23.950000000000003</v>
      </c>
      <c r="J317" s="66">
        <f t="shared" si="417"/>
        <v>2.36</v>
      </c>
      <c r="K317" s="66">
        <f t="shared" si="418"/>
        <v>0.34</v>
      </c>
      <c r="L317" s="66">
        <f t="shared" si="419"/>
        <v>0</v>
      </c>
      <c r="M317" s="66">
        <f t="shared" si="420"/>
        <v>0</v>
      </c>
      <c r="N317" s="66">
        <f>+IF(C317="","",ROUND(Parámetros!$D$23,2))</f>
        <v>94</v>
      </c>
      <c r="O317" s="66">
        <f t="shared" si="421"/>
        <v>54.85</v>
      </c>
      <c r="P317" s="66">
        <f>+IF($C317="","",ROUND(IF(B317&gt;Parámetros!$D$117,0,N317*Parámetros!$D$116-G317*Parámetros!$D$100),2))</f>
        <v>0</v>
      </c>
      <c r="Q317" s="75">
        <f t="shared" si="465"/>
        <v>3.5040831477357086E-2</v>
      </c>
      <c r="R317" s="75">
        <f t="shared" si="466"/>
        <v>5.0482553823311058E-3</v>
      </c>
      <c r="S317" s="117">
        <f>+IF($C317="","",ROUND((S316+I317)*(1+Parámetros!$D$91),2))</f>
        <v>20784.05</v>
      </c>
      <c r="T317" s="117">
        <f>+IF($C317="","",ROUND(S317*VLOOKUP(B317,Parámetros!$C$30:$D$39,2,TRUE),2))</f>
        <v>20784.05</v>
      </c>
      <c r="U317" s="117">
        <f>+IF($C317="","",ROUND((U316+I317)*(1+Parámetros!$D$92),2))</f>
        <v>22266.01</v>
      </c>
      <c r="V317" s="117">
        <f>+IF($C317="","",ROUND(U317*VLOOKUP(B317,Parámetros!$C$30:$D$39,2,TRUE),2))</f>
        <v>22266.01</v>
      </c>
      <c r="W317" s="57">
        <f t="shared" si="467"/>
        <v>276</v>
      </c>
      <c r="X317" t="str">
        <f t="shared" si="468"/>
        <v>00058</v>
      </c>
      <c r="Y317" t="str">
        <f t="shared" si="469"/>
        <v>MUERTE POR CUALQUIER CAUSA</v>
      </c>
      <c r="Z317" s="118">
        <f>+IF($W317="","",ROUND(IF(Parámetros!$D$25='TABLAS MORT'!$V$33,Z316,Parámetros!$D$21-'Tablas Servicio'!T316),0))</f>
        <v>100000</v>
      </c>
      <c r="AA317" s="118" t="str">
        <f t="shared" si="470"/>
        <v>P</v>
      </c>
      <c r="AB317" s="119">
        <f>+IF(W317="","",ROUND((VLOOKUP(ROUNDDOWN($D317-1/frec,0),qx_tabla,2,FALSE)*(1+i/frec)^-0.5*(1+Parámetros!$D$103)*(1+rec_fracc)/frec),6))</f>
        <v>5.2899999999999996E-4</v>
      </c>
      <c r="AC317" s="66">
        <f t="shared" si="426"/>
        <v>52.9</v>
      </c>
      <c r="AD317" s="119">
        <f t="shared" si="422"/>
        <v>6.5399999999999996E-4</v>
      </c>
      <c r="AE317" s="66">
        <f>+IF($W317="","",ROUND(IF($B317&gt;Parámetros!$D$107,'Tablas Servicio'!AC317+('Tablas Servicio'!AG316-'Tablas Servicio'!AC316),AC317/(1-IF(B317&lt;=10,Parámetros!$D$104,Parámetros!$D$105))),2))</f>
        <v>88.17</v>
      </c>
      <c r="AF317" s="66">
        <f>+IF($W317="","",ROUND(IF($B317&gt;Parámetros!$D$107,'Tablas Servicio'!AC317+('Tablas Servicio'!AG316-'Tablas Servicio'!AC316),(AC317+$A316/frec)/(1-IF(B317&lt;=Parámetros!$D$117,Parámetros!$D$100,0))),2))</f>
        <v>65.400000000000006</v>
      </c>
      <c r="AG317" s="66">
        <f t="shared" si="427"/>
        <v>65.400000000000006</v>
      </c>
      <c r="AH317" s="66">
        <f t="shared" si="428"/>
        <v>0</v>
      </c>
      <c r="AI317" s="66">
        <f t="shared" si="429"/>
        <v>0</v>
      </c>
      <c r="AJ317" s="66">
        <f>+IF($W317="","",ROUND((AG317*Parámetros!$G$85),2))</f>
        <v>2.29</v>
      </c>
      <c r="AK317" s="66">
        <f>+IF($W317="","",ROUND((AG317*(Parámetros!$G$86)),2))</f>
        <v>0.33</v>
      </c>
      <c r="AL317" s="66">
        <f t="shared" si="423"/>
        <v>68.02</v>
      </c>
      <c r="AM317" t="str">
        <f t="shared" si="471"/>
        <v>00059</v>
      </c>
      <c r="AN317" t="str">
        <f t="shared" si="472"/>
        <v>Incapacidad Total y Permanente</v>
      </c>
      <c r="AO317" s="118">
        <f t="shared" si="473"/>
        <v>0</v>
      </c>
      <c r="AP317" s="118" t="str">
        <f t="shared" si="474"/>
        <v>A</v>
      </c>
      <c r="AQ317" s="119" t="str">
        <f>+IF(OR($W317="",AO317=0),"",ROUND((VLOOKUP(ROUNDDOWN($D317-1/frec,0),cob_adi,Z$40,FALSE)*(1+i/frec)^-0.5*(1+Parámetros!$D$103)*(1+rec_fracc)/frec),6))</f>
        <v/>
      </c>
      <c r="AR317" s="66">
        <f t="shared" si="430"/>
        <v>0</v>
      </c>
      <c r="AS317" s="119" t="str">
        <f t="shared" si="431"/>
        <v/>
      </c>
      <c r="AT317" s="66">
        <f>+IF($W317="","",ROUND(IF($B317&gt;Parámetros!$D$107,'Tablas Servicio'!AR317+('Tablas Servicio'!AT316-'Tablas Servicio'!AR316),AR317/(1-IF(B317&lt;=10,Parámetros!$D$100,0))),2))</f>
        <v>0</v>
      </c>
      <c r="AU317" s="66">
        <f t="shared" si="432"/>
        <v>0</v>
      </c>
      <c r="AV317" s="66">
        <f t="shared" si="432"/>
        <v>0</v>
      </c>
      <c r="AW317" s="66">
        <f>+IF($W317="","",ROUND((AT317*Parámetros!$G$85),2))</f>
        <v>0</v>
      </c>
      <c r="AX317" s="66">
        <f>+IF($W317="","",ROUND((AT317*(Parámetros!$G$86)),2))</f>
        <v>0</v>
      </c>
      <c r="AY317" s="66">
        <f t="shared" si="433"/>
        <v>0</v>
      </c>
      <c r="AZ317" t="str">
        <f t="shared" si="475"/>
        <v>00060</v>
      </c>
      <c r="BA317" t="str">
        <f t="shared" si="476"/>
        <v>Muerte Accidental</v>
      </c>
      <c r="BB317" s="118">
        <f t="shared" si="477"/>
        <v>0</v>
      </c>
      <c r="BC317" s="118" t="str">
        <f t="shared" si="478"/>
        <v>A</v>
      </c>
      <c r="BD317" s="119" t="str">
        <f>+IF(OR($W317="",BB317=0),"",ROUND((VLOOKUP(ROUNDDOWN($D317-1/frec,0),cob_adi,AO$40,FALSE)*(1+i/frec)^-0.5*(1+Parámetros!$D$103)*(1+rec_fracc)/frec),6))</f>
        <v/>
      </c>
      <c r="BE317" s="66">
        <f t="shared" si="434"/>
        <v>0</v>
      </c>
      <c r="BF317" s="119" t="str">
        <f t="shared" si="435"/>
        <v/>
      </c>
      <c r="BG317" s="66">
        <f>+IF($W317="","",ROUND(IF($B317&gt;Parámetros!$D$107,'Tablas Servicio'!BE317+('Tablas Servicio'!BG316-'Tablas Servicio'!BE316),BE317/(1-IF(B317&lt;=10,Parámetros!$D$100,0))),2))</f>
        <v>0</v>
      </c>
      <c r="BH317" s="66">
        <f t="shared" si="436"/>
        <v>0</v>
      </c>
      <c r="BI317" s="66">
        <f t="shared" si="437"/>
        <v>0</v>
      </c>
      <c r="BJ317" s="66">
        <f>+IF($W317="","",ROUND((BG317*Parámetros!$G$85),2))</f>
        <v>0</v>
      </c>
      <c r="BK317" s="66">
        <f>+IF($W317="","",ROUND((BG317*(Parámetros!$G$86)),2))</f>
        <v>0</v>
      </c>
      <c r="BL317" s="66">
        <f t="shared" si="438"/>
        <v>0</v>
      </c>
      <c r="BM317" t="str">
        <f t="shared" si="479"/>
        <v>00061</v>
      </c>
      <c r="BN317" t="str">
        <f t="shared" si="480"/>
        <v>Gastos de Entierro</v>
      </c>
      <c r="BO317" s="118">
        <f t="shared" si="481"/>
        <v>0</v>
      </c>
      <c r="BP317" s="118" t="str">
        <f t="shared" si="482"/>
        <v>A</v>
      </c>
      <c r="BQ317" s="119" t="str">
        <f>+IF(OR($W317="",BO317=0),"",ROUND((VLOOKUP(ROUNDDOWN($D317-1/frec,0),cob_adi,BB$40,FALSE)*(1+i/frec)^-0.5*(1+Parámetros!$D$103)*(1+rec_fracc)/frec),6))</f>
        <v/>
      </c>
      <c r="BR317" s="66">
        <f t="shared" si="439"/>
        <v>0</v>
      </c>
      <c r="BS317" s="119" t="str">
        <f t="shared" si="440"/>
        <v/>
      </c>
      <c r="BT317" s="66">
        <f>+IF($W317="","",ROUND(IF($B317&gt;Parámetros!$D$107,'Tablas Servicio'!BR317+('Tablas Servicio'!BT316-'Tablas Servicio'!BR316),BR317/(1-IF(B317&lt;=10,Parámetros!$D$100,0))),2))</f>
        <v>0</v>
      </c>
      <c r="BU317" s="66">
        <f t="shared" si="441"/>
        <v>0</v>
      </c>
      <c r="BV317" s="66">
        <f t="shared" si="441"/>
        <v>0</v>
      </c>
      <c r="BW317" s="66">
        <f>+IF($W317="","",ROUND((BT317*Parámetros!$G$85),2))</f>
        <v>0</v>
      </c>
      <c r="BX317" s="66">
        <f>+IF($W317="","",ROUND((BT317*(Parámetros!$G$86)),2))</f>
        <v>0</v>
      </c>
      <c r="BY317" s="66">
        <f t="shared" si="442"/>
        <v>0</v>
      </c>
      <c r="BZ317" t="str">
        <f t="shared" si="483"/>
        <v>00062</v>
      </c>
      <c r="CA317" t="str">
        <f t="shared" si="484"/>
        <v>Gastos médicos por accidente</v>
      </c>
      <c r="CB317" s="118">
        <f t="shared" si="485"/>
        <v>0</v>
      </c>
      <c r="CC317" s="118" t="str">
        <f t="shared" si="486"/>
        <v>A</v>
      </c>
      <c r="CD317" s="119" t="str">
        <f t="shared" si="443"/>
        <v/>
      </c>
      <c r="CE317" s="66">
        <f>+IF($W317="","",ROUND((VLOOKUP(ROUNDDOWN($D317-1/frec,0),cob_adi,BO$40,FALSE)*(1+i/frec)^-0.5*(1+Parámetros!$D$103)*(1+rec_fracc)/frec*'TABLAS ADI'!$BC$17),2))</f>
        <v>0</v>
      </c>
      <c r="CF317" s="119" t="str">
        <f t="shared" si="444"/>
        <v/>
      </c>
      <c r="CG317" s="66">
        <f>+IF($W317="","",ROUND(IF($B317&gt;Parámetros!$D$107,'Tablas Servicio'!CE317+('Tablas Servicio'!CG316-'Tablas Servicio'!CE316),CE317/(1-IF(B317&lt;=10,Parámetros!$D$100,0))),2))</f>
        <v>0</v>
      </c>
      <c r="CH317" s="66">
        <f t="shared" si="445"/>
        <v>0</v>
      </c>
      <c r="CI317" s="66">
        <f t="shared" si="445"/>
        <v>0</v>
      </c>
      <c r="CJ317" s="66">
        <f>+IF($W317="","",ROUND((CG317*Parámetros!$G$85),2))</f>
        <v>0</v>
      </c>
      <c r="CK317" s="66">
        <f>+IF($W317="","",ROUND((CG317*(Parámetros!$G$86)),2))</f>
        <v>0</v>
      </c>
      <c r="CL317" s="66">
        <f t="shared" si="446"/>
        <v>0</v>
      </c>
      <c r="CM317" t="str">
        <f t="shared" si="487"/>
        <v>00063</v>
      </c>
      <c r="CN317" s="118" t="str">
        <f t="shared" si="488"/>
        <v>Renta Diaria por Hospitalización</v>
      </c>
      <c r="CO317" s="118">
        <f t="shared" si="489"/>
        <v>0</v>
      </c>
      <c r="CP317" s="118" t="str">
        <f t="shared" si="490"/>
        <v>A</v>
      </c>
      <c r="CQ317" s="119" t="str">
        <f t="shared" si="447"/>
        <v/>
      </c>
      <c r="CR317" s="66">
        <f>+IF($W317="","",ROUND((VLOOKUP(Parámetros!$F$51,'COBERTURAS ADICIONALES'!$S$4:$T$32,2,FALSE)*(1+i/frec)^-0.5*(1+Parámetros!$D$103)*(1+rec_fracc)/frec*$CO$42),2))</f>
        <v>0</v>
      </c>
      <c r="CS317" s="119" t="str">
        <f t="shared" si="448"/>
        <v/>
      </c>
      <c r="CT317" s="66">
        <f>+IF($W317="","",ROUND(IF($B317&gt;Parámetros!$D$107,'Tablas Servicio'!CR317+('Tablas Servicio'!CT316-'Tablas Servicio'!CR316),CR317/(1-IF(B317&lt;=10,Parámetros!$D$100,0))),2))</f>
        <v>0</v>
      </c>
      <c r="CU317" s="66">
        <f t="shared" si="449"/>
        <v>0</v>
      </c>
      <c r="CV317" s="66">
        <f t="shared" si="449"/>
        <v>0</v>
      </c>
      <c r="CW317" s="66">
        <f>+IF($W317="","",ROUND((CT317*Parámetros!$G$85),2))</f>
        <v>0</v>
      </c>
      <c r="CX317" s="66">
        <f>+IF($W317="","",ROUND((CT317*(Parámetros!$G$86)),2))</f>
        <v>0</v>
      </c>
      <c r="CY317" s="66">
        <f t="shared" si="450"/>
        <v>0</v>
      </c>
      <c r="CZ317" t="str">
        <f t="shared" si="491"/>
        <v>00064</v>
      </c>
      <c r="DA317" s="118" t="str">
        <f t="shared" si="492"/>
        <v>Enfermedades Graves</v>
      </c>
      <c r="DB317" s="118">
        <f t="shared" si="493"/>
        <v>0</v>
      </c>
      <c r="DC317" s="118" t="str">
        <f t="shared" si="494"/>
        <v>A</v>
      </c>
      <c r="DD317" s="121" t="str">
        <f>+IF(OR($W317="",DB317=0),"",ROUND((VLOOKUP(ROUNDDOWN($D317-1/frec,0),cob_adi,CO$40,FALSE)*(1+i/frec)^-0.5*(1+Parámetros!$D$103)*(1+rec_fracc)/frec),6))</f>
        <v/>
      </c>
      <c r="DE317" s="66">
        <f t="shared" si="451"/>
        <v>0</v>
      </c>
      <c r="DF317" s="119" t="str">
        <f t="shared" si="452"/>
        <v/>
      </c>
      <c r="DG317" s="66">
        <f>+IF($W317="","",ROUND(IF($B317&gt;Parámetros!$D$107,'Tablas Servicio'!DE317+('Tablas Servicio'!DG316-'Tablas Servicio'!DE316),DE317/(1-IF(B317&lt;=10,Parámetros!$D$100,0))),2))</f>
        <v>0</v>
      </c>
      <c r="DH317" s="66">
        <f t="shared" si="453"/>
        <v>0</v>
      </c>
      <c r="DI317" s="66">
        <f t="shared" si="453"/>
        <v>0</v>
      </c>
      <c r="DJ317" s="66">
        <f>+IF($W317="","",ROUND((DG317*Parámetros!$G$85),2))</f>
        <v>0</v>
      </c>
      <c r="DK317" s="66">
        <f>+IF($W317="","",ROUND((DG317*(Parámetros!$G$86)),2))</f>
        <v>0</v>
      </c>
      <c r="DL317" s="66">
        <f t="shared" si="454"/>
        <v>0</v>
      </c>
      <c r="DM317" t="str">
        <f t="shared" si="495"/>
        <v>00065</v>
      </c>
      <c r="DN317" s="118" t="str">
        <f t="shared" si="496"/>
        <v>Exención pago de primas</v>
      </c>
      <c r="DO317" s="118">
        <f t="shared" si="497"/>
        <v>0</v>
      </c>
      <c r="DP317" s="118" t="str">
        <f t="shared" si="498"/>
        <v>A</v>
      </c>
      <c r="DQ317" s="122" t="str">
        <f>+IF(OR($W317="",DO317=0),"",ROUND((VLOOKUP(ROUNDDOWN($D317-1/frec,0),cob_adi,DB$40,FALSE)*(1+i/frec)^-0.5*(1+Parámetros!$D$103)*(1+rec_fracc)/frec),6))</f>
        <v/>
      </c>
      <c r="DR317" s="66">
        <f t="shared" si="455"/>
        <v>0</v>
      </c>
      <c r="DS317" s="68" t="str">
        <f t="shared" si="456"/>
        <v/>
      </c>
      <c r="DT317" s="66">
        <f>+IF($W317="","",ROUND(IF($B317&gt;Parámetros!$D$107,'Tablas Servicio'!DR317+('Tablas Servicio'!DT316-'Tablas Servicio'!DR316),DR317/(1-IF(B317&lt;=10,Parámetros!$D$100,0))),2))</f>
        <v>0</v>
      </c>
      <c r="DU317" s="66">
        <f t="shared" si="457"/>
        <v>0</v>
      </c>
      <c r="DV317" s="66">
        <f t="shared" si="457"/>
        <v>0</v>
      </c>
      <c r="DW317" s="66">
        <f>+IF($W317="","",ROUND((DT317*Parámetros!$G$85),2))</f>
        <v>0</v>
      </c>
      <c r="DX317" s="66">
        <f>+IF($W317="","",ROUND((DT317*(Parámetros!$G$86)),2))</f>
        <v>0</v>
      </c>
      <c r="DY317" s="66">
        <f t="shared" si="458"/>
        <v>0</v>
      </c>
      <c r="DZ317" t="str">
        <f t="shared" si="499"/>
        <v>00066</v>
      </c>
      <c r="EA317" s="118" t="str">
        <f t="shared" si="499"/>
        <v>Enfermedad terminal</v>
      </c>
      <c r="EB317" s="118">
        <f>+IF($W317="","",ROUND(IF(Parámetros!$D$25='TABLAS MORT'!$V$33,EB316,Z317/2),0))</f>
        <v>50000</v>
      </c>
      <c r="EC317" s="118" t="str">
        <f t="shared" si="499"/>
        <v>A</v>
      </c>
      <c r="ED317" s="122">
        <f>+IF(OR($W317="",EB317=0),"",ROUND((VLOOKUP(ROUNDDOWN($D317-1/frec,0),cob_adi,DO$40,FALSE)*(1+i/frec)^-0.5*(1+Parámetros!$D$103)*(1+rec_fracc)/frec),6))</f>
        <v>3.8999999999999999E-5</v>
      </c>
      <c r="EE317" s="66">
        <f t="shared" si="460"/>
        <v>1.95</v>
      </c>
      <c r="EF317" s="68">
        <f t="shared" si="461"/>
        <v>3.8999999999999999E-5</v>
      </c>
      <c r="EG317" s="66">
        <f>+IF($W317="","",ROUND(IF($B317&gt;Parámetros!$D$107,'Tablas Servicio'!EE317+('Tablas Servicio'!EG316-'Tablas Servicio'!EE316),EE317/(1-IF(B317&lt;=10,Parámetros!$D$100,0))),2))</f>
        <v>1.95</v>
      </c>
      <c r="EH317" s="66">
        <f t="shared" si="462"/>
        <v>0</v>
      </c>
      <c r="EI317" s="66">
        <f t="shared" si="462"/>
        <v>0</v>
      </c>
      <c r="EJ317" s="66">
        <f>+IF($W317="","",ROUND((EG317*Parámetros!$G$85),2))</f>
        <v>7.0000000000000007E-2</v>
      </c>
      <c r="EK317" s="66">
        <f>+IF($W317="","",ROUND((EG317*(Parámetros!$G$86)),2))</f>
        <v>0.01</v>
      </c>
      <c r="EL317" s="66">
        <f t="shared" si="463"/>
        <v>2.0299999999999998</v>
      </c>
    </row>
    <row r="318" spans="1:142" x14ac:dyDescent="0.25">
      <c r="A318">
        <f>+IF($C318="","",ROUND(VLOOKUP('Tablas Servicio'!B318,Parámetros!$H$100:$J$159,IF(Parámetros!$E$16="F",2,3),FALSE),2))</f>
        <v>150</v>
      </c>
      <c r="B318">
        <f t="shared" si="414"/>
        <v>24</v>
      </c>
      <c r="C318" s="57">
        <f>+IF(D318="","",'Tablas Servicio'!C317+1)</f>
        <v>277</v>
      </c>
      <c r="D318" s="56">
        <f>+IF(D317&lt;edadmaxtabla,D317+1/Parámetros!$E$25,"")</f>
        <v>63.103333333333993</v>
      </c>
      <c r="E318" s="57">
        <f t="shared" si="424"/>
        <v>63</v>
      </c>
      <c r="F318" s="59">
        <f t="shared" si="425"/>
        <v>100000</v>
      </c>
      <c r="G318" s="66">
        <f t="shared" si="415"/>
        <v>72.75</v>
      </c>
      <c r="H318" s="66">
        <f t="shared" si="416"/>
        <v>75.66</v>
      </c>
      <c r="I318" s="66">
        <f t="shared" si="464"/>
        <v>18.340000000000003</v>
      </c>
      <c r="J318" s="66">
        <f t="shared" si="417"/>
        <v>2.5499999999999998</v>
      </c>
      <c r="K318" s="66">
        <f t="shared" si="418"/>
        <v>0.36</v>
      </c>
      <c r="L318" s="66">
        <f t="shared" si="419"/>
        <v>0</v>
      </c>
      <c r="M318" s="66">
        <f t="shared" si="420"/>
        <v>0</v>
      </c>
      <c r="N318" s="66">
        <f>+IF(C318="","",ROUND(Parámetros!$D$23,2))</f>
        <v>94</v>
      </c>
      <c r="O318" s="66">
        <f t="shared" si="421"/>
        <v>60.25</v>
      </c>
      <c r="P318" s="66">
        <f>+IF($C318="","",ROUND(IF(B318&gt;Parámetros!$D$117,0,N318*Parámetros!$D$116-G318*Parámetros!$D$100),2))</f>
        <v>0</v>
      </c>
      <c r="Q318" s="75">
        <f t="shared" si="465"/>
        <v>3.5051546391752578E-2</v>
      </c>
      <c r="R318" s="75">
        <f t="shared" si="466"/>
        <v>4.9484536082474223E-3</v>
      </c>
      <c r="S318" s="117">
        <f>+IF($C318="","",ROUND((S317+I318)*(1+Parámetros!$D$91),2))</f>
        <v>20861.400000000001</v>
      </c>
      <c r="T318" s="117">
        <f>+IF($C318="","",ROUND(S318*VLOOKUP(B318,Parámetros!$C$30:$D$39,2,TRUE),2))</f>
        <v>20861.400000000001</v>
      </c>
      <c r="U318" s="117">
        <f>+IF($C318="","",ROUND((U317+I318)*(1+Parámetros!$D$92),2))</f>
        <v>22356.59</v>
      </c>
      <c r="V318" s="117">
        <f>+IF($C318="","",ROUND(U318*VLOOKUP(B318,Parámetros!$C$30:$D$39,2,TRUE),2))</f>
        <v>22356.59</v>
      </c>
      <c r="W318" s="57">
        <f t="shared" si="467"/>
        <v>277</v>
      </c>
      <c r="X318" t="str">
        <f t="shared" si="468"/>
        <v>00058</v>
      </c>
      <c r="Y318" t="str">
        <f t="shared" si="469"/>
        <v>MUERTE POR CUALQUIER CAUSA</v>
      </c>
      <c r="Z318" s="118">
        <f>+IF($W318="","",ROUND(IF(Parámetros!$D$25='TABLAS MORT'!$V$33,Z317,Parámetros!$D$21-'Tablas Servicio'!T317),0))</f>
        <v>100000</v>
      </c>
      <c r="AA318" s="118" t="str">
        <f t="shared" si="470"/>
        <v>P</v>
      </c>
      <c r="AB318" s="119">
        <f>+IF(W318="","",ROUND((VLOOKUP(ROUNDDOWN($D318-1/frec,0),qx_tabla,2,FALSE)*(1+i/frec)^-0.5*(1+Parámetros!$D$103)*(1+rec_fracc)/frec),6))</f>
        <v>5.8299999999999997E-4</v>
      </c>
      <c r="AC318" s="66">
        <f t="shared" si="426"/>
        <v>58.3</v>
      </c>
      <c r="AD318" s="119">
        <f t="shared" si="422"/>
        <v>7.0799999999999997E-4</v>
      </c>
      <c r="AE318" s="66">
        <f>+IF($W318="","",ROUND(IF($B318&gt;Parámetros!$D$107,'Tablas Servicio'!AC318+('Tablas Servicio'!AG317-'Tablas Servicio'!AC317),AC318/(1-IF(B318&lt;=10,Parámetros!$D$104,Parámetros!$D$105))),2))</f>
        <v>97.17</v>
      </c>
      <c r="AF318" s="66">
        <f>+IF($W318="","",ROUND(IF($B318&gt;Parámetros!$D$107,'Tablas Servicio'!AC318+('Tablas Servicio'!AG317-'Tablas Servicio'!AC317),(AC318+$A317/frec)/(1-IF(B318&lt;=Parámetros!$D$117,Parámetros!$D$100,0))),2))</f>
        <v>70.8</v>
      </c>
      <c r="AG318" s="66">
        <f t="shared" si="427"/>
        <v>70.8</v>
      </c>
      <c r="AH318" s="66">
        <f t="shared" si="428"/>
        <v>0</v>
      </c>
      <c r="AI318" s="66">
        <f t="shared" si="429"/>
        <v>0</v>
      </c>
      <c r="AJ318" s="66">
        <f>+IF($W318="","",ROUND((AG318*Parámetros!$G$85),2))</f>
        <v>2.48</v>
      </c>
      <c r="AK318" s="66">
        <f>+IF($W318="","",ROUND((AG318*(Parámetros!$G$86)),2))</f>
        <v>0.35</v>
      </c>
      <c r="AL318" s="66">
        <f t="shared" si="423"/>
        <v>73.63</v>
      </c>
      <c r="AM318" t="str">
        <f t="shared" si="471"/>
        <v>00059</v>
      </c>
      <c r="AN318" t="str">
        <f t="shared" si="472"/>
        <v>Incapacidad Total y Permanente</v>
      </c>
      <c r="AO318" s="118">
        <f t="shared" si="473"/>
        <v>0</v>
      </c>
      <c r="AP318" s="118" t="str">
        <f t="shared" si="474"/>
        <v>A</v>
      </c>
      <c r="AQ318" s="119" t="str">
        <f>+IF(OR($W318="",AO318=0),"",ROUND((VLOOKUP(ROUNDDOWN($D318-1/frec,0),cob_adi,Z$40,FALSE)*(1+i/frec)^-0.5*(1+Parámetros!$D$103)*(1+rec_fracc)/frec),6))</f>
        <v/>
      </c>
      <c r="AR318" s="66">
        <f t="shared" si="430"/>
        <v>0</v>
      </c>
      <c r="AS318" s="119" t="str">
        <f t="shared" si="431"/>
        <v/>
      </c>
      <c r="AT318" s="66">
        <f>+IF($W318="","",ROUND(IF($B318&gt;Parámetros!$D$107,'Tablas Servicio'!AR318+('Tablas Servicio'!AT317-'Tablas Servicio'!AR317),AR318/(1-IF(B318&lt;=10,Parámetros!$D$100,0))),2))</f>
        <v>0</v>
      </c>
      <c r="AU318" s="66">
        <f t="shared" si="432"/>
        <v>0</v>
      </c>
      <c r="AV318" s="66">
        <f t="shared" si="432"/>
        <v>0</v>
      </c>
      <c r="AW318" s="66">
        <f>+IF($W318="","",ROUND((AT318*Parámetros!$G$85),2))</f>
        <v>0</v>
      </c>
      <c r="AX318" s="66">
        <f>+IF($W318="","",ROUND((AT318*(Parámetros!$G$86)),2))</f>
        <v>0</v>
      </c>
      <c r="AY318" s="66">
        <f t="shared" si="433"/>
        <v>0</v>
      </c>
      <c r="AZ318" t="str">
        <f t="shared" si="475"/>
        <v>00060</v>
      </c>
      <c r="BA318" t="str">
        <f t="shared" si="476"/>
        <v>Muerte Accidental</v>
      </c>
      <c r="BB318" s="118">
        <f t="shared" si="477"/>
        <v>0</v>
      </c>
      <c r="BC318" s="118" t="str">
        <f t="shared" si="478"/>
        <v>A</v>
      </c>
      <c r="BD318" s="119" t="str">
        <f>+IF(OR($W318="",BB318=0),"",ROUND((VLOOKUP(ROUNDDOWN($D318-1/frec,0),cob_adi,AO$40,FALSE)*(1+i/frec)^-0.5*(1+Parámetros!$D$103)*(1+rec_fracc)/frec),6))</f>
        <v/>
      </c>
      <c r="BE318" s="66">
        <f t="shared" si="434"/>
        <v>0</v>
      </c>
      <c r="BF318" s="119" t="str">
        <f t="shared" si="435"/>
        <v/>
      </c>
      <c r="BG318" s="66">
        <f>+IF($W318="","",ROUND(IF($B318&gt;Parámetros!$D$107,'Tablas Servicio'!BE318+('Tablas Servicio'!BG317-'Tablas Servicio'!BE317),BE318/(1-IF(B318&lt;=10,Parámetros!$D$100,0))),2))</f>
        <v>0</v>
      </c>
      <c r="BH318" s="66">
        <f t="shared" si="436"/>
        <v>0</v>
      </c>
      <c r="BI318" s="66">
        <f t="shared" si="437"/>
        <v>0</v>
      </c>
      <c r="BJ318" s="66">
        <f>+IF($W318="","",ROUND((BG318*Parámetros!$G$85),2))</f>
        <v>0</v>
      </c>
      <c r="BK318" s="66">
        <f>+IF($W318="","",ROUND((BG318*(Parámetros!$G$86)),2))</f>
        <v>0</v>
      </c>
      <c r="BL318" s="66">
        <f t="shared" si="438"/>
        <v>0</v>
      </c>
      <c r="BM318" t="str">
        <f t="shared" si="479"/>
        <v>00061</v>
      </c>
      <c r="BN318" t="str">
        <f t="shared" si="480"/>
        <v>Gastos de Entierro</v>
      </c>
      <c r="BO318" s="118">
        <f t="shared" si="481"/>
        <v>0</v>
      </c>
      <c r="BP318" s="118" t="str">
        <f t="shared" si="482"/>
        <v>A</v>
      </c>
      <c r="BQ318" s="119" t="str">
        <f>+IF(OR($W318="",BO318=0),"",ROUND((VLOOKUP(ROUNDDOWN($D318-1/frec,0),cob_adi,BB$40,FALSE)*(1+i/frec)^-0.5*(1+Parámetros!$D$103)*(1+rec_fracc)/frec),6))</f>
        <v/>
      </c>
      <c r="BR318" s="66">
        <f t="shared" si="439"/>
        <v>0</v>
      </c>
      <c r="BS318" s="119" t="str">
        <f t="shared" si="440"/>
        <v/>
      </c>
      <c r="BT318" s="66">
        <f>+IF($W318="","",ROUND(IF($B318&gt;Parámetros!$D$107,'Tablas Servicio'!BR318+('Tablas Servicio'!BT317-'Tablas Servicio'!BR317),BR318/(1-IF(B318&lt;=10,Parámetros!$D$100,0))),2))</f>
        <v>0</v>
      </c>
      <c r="BU318" s="66">
        <f t="shared" si="441"/>
        <v>0</v>
      </c>
      <c r="BV318" s="66">
        <f t="shared" si="441"/>
        <v>0</v>
      </c>
      <c r="BW318" s="66">
        <f>+IF($W318="","",ROUND((BT318*Parámetros!$G$85),2))</f>
        <v>0</v>
      </c>
      <c r="BX318" s="66">
        <f>+IF($W318="","",ROUND((BT318*(Parámetros!$G$86)),2))</f>
        <v>0</v>
      </c>
      <c r="BY318" s="66">
        <f t="shared" si="442"/>
        <v>0</v>
      </c>
      <c r="BZ318" t="str">
        <f t="shared" si="483"/>
        <v>00062</v>
      </c>
      <c r="CA318" t="str">
        <f t="shared" si="484"/>
        <v>Gastos médicos por accidente</v>
      </c>
      <c r="CB318" s="118">
        <f t="shared" si="485"/>
        <v>0</v>
      </c>
      <c r="CC318" s="118" t="str">
        <f t="shared" si="486"/>
        <v>A</v>
      </c>
      <c r="CD318" s="119" t="str">
        <f t="shared" si="443"/>
        <v/>
      </c>
      <c r="CE318" s="66">
        <f>+IF($W318="","",ROUND((VLOOKUP(ROUNDDOWN($D318-1/frec,0),cob_adi,BO$40,FALSE)*(1+i/frec)^-0.5*(1+Parámetros!$D$103)*(1+rec_fracc)/frec*'TABLAS ADI'!$BC$17),2))</f>
        <v>0</v>
      </c>
      <c r="CF318" s="119" t="str">
        <f t="shared" si="444"/>
        <v/>
      </c>
      <c r="CG318" s="66">
        <f>+IF($W318="","",ROUND(IF($B318&gt;Parámetros!$D$107,'Tablas Servicio'!CE318+('Tablas Servicio'!CG317-'Tablas Servicio'!CE317),CE318/(1-IF(B318&lt;=10,Parámetros!$D$100,0))),2))</f>
        <v>0</v>
      </c>
      <c r="CH318" s="66">
        <f t="shared" si="445"/>
        <v>0</v>
      </c>
      <c r="CI318" s="66">
        <f t="shared" si="445"/>
        <v>0</v>
      </c>
      <c r="CJ318" s="66">
        <f>+IF($W318="","",ROUND((CG318*Parámetros!$G$85),2))</f>
        <v>0</v>
      </c>
      <c r="CK318" s="66">
        <f>+IF($W318="","",ROUND((CG318*(Parámetros!$G$86)),2))</f>
        <v>0</v>
      </c>
      <c r="CL318" s="66">
        <f t="shared" si="446"/>
        <v>0</v>
      </c>
      <c r="CM318" t="str">
        <f t="shared" si="487"/>
        <v>00063</v>
      </c>
      <c r="CN318" s="118" t="str">
        <f t="shared" si="488"/>
        <v>Renta Diaria por Hospitalización</v>
      </c>
      <c r="CO318" s="118">
        <f t="shared" si="489"/>
        <v>0</v>
      </c>
      <c r="CP318" s="118" t="str">
        <f t="shared" si="490"/>
        <v>A</v>
      </c>
      <c r="CQ318" s="119" t="str">
        <f t="shared" si="447"/>
        <v/>
      </c>
      <c r="CR318" s="66">
        <f>+IF($W318="","",ROUND((VLOOKUP(Parámetros!$F$51,'COBERTURAS ADICIONALES'!$S$4:$T$32,2,FALSE)*(1+i/frec)^-0.5*(1+Parámetros!$D$103)*(1+rec_fracc)/frec*$CO$42),2))</f>
        <v>0</v>
      </c>
      <c r="CS318" s="119" t="str">
        <f t="shared" si="448"/>
        <v/>
      </c>
      <c r="CT318" s="66">
        <f>+IF($W318="","",ROUND(IF($B318&gt;Parámetros!$D$107,'Tablas Servicio'!CR318+('Tablas Servicio'!CT317-'Tablas Servicio'!CR317),CR318/(1-IF(B318&lt;=10,Parámetros!$D$100,0))),2))</f>
        <v>0</v>
      </c>
      <c r="CU318" s="66">
        <f t="shared" si="449"/>
        <v>0</v>
      </c>
      <c r="CV318" s="66">
        <f t="shared" si="449"/>
        <v>0</v>
      </c>
      <c r="CW318" s="66">
        <f>+IF($W318="","",ROUND((CT318*Parámetros!$G$85),2))</f>
        <v>0</v>
      </c>
      <c r="CX318" s="66">
        <f>+IF($W318="","",ROUND((CT318*(Parámetros!$G$86)),2))</f>
        <v>0</v>
      </c>
      <c r="CY318" s="66">
        <f t="shared" si="450"/>
        <v>0</v>
      </c>
      <c r="CZ318" t="str">
        <f t="shared" si="491"/>
        <v>00064</v>
      </c>
      <c r="DA318" s="118" t="str">
        <f t="shared" si="492"/>
        <v>Enfermedades Graves</v>
      </c>
      <c r="DB318" s="118">
        <f t="shared" si="493"/>
        <v>0</v>
      </c>
      <c r="DC318" s="118" t="str">
        <f t="shared" si="494"/>
        <v>A</v>
      </c>
      <c r="DD318" s="121" t="str">
        <f>+IF(OR($W318="",DB318=0),"",ROUND((VLOOKUP(ROUNDDOWN($D318-1/frec,0),cob_adi,CO$40,FALSE)*(1+i/frec)^-0.5*(1+Parámetros!$D$103)*(1+rec_fracc)/frec),6))</f>
        <v/>
      </c>
      <c r="DE318" s="66">
        <f t="shared" si="451"/>
        <v>0</v>
      </c>
      <c r="DF318" s="119" t="str">
        <f t="shared" si="452"/>
        <v/>
      </c>
      <c r="DG318" s="66">
        <f>+IF($W318="","",ROUND(IF($B318&gt;Parámetros!$D$107,'Tablas Servicio'!DE318+('Tablas Servicio'!DG317-'Tablas Servicio'!DE317),DE318/(1-IF(B318&lt;=10,Parámetros!$D$100,0))),2))</f>
        <v>0</v>
      </c>
      <c r="DH318" s="66">
        <f t="shared" si="453"/>
        <v>0</v>
      </c>
      <c r="DI318" s="66">
        <f t="shared" si="453"/>
        <v>0</v>
      </c>
      <c r="DJ318" s="66">
        <f>+IF($W318="","",ROUND((DG318*Parámetros!$G$85),2))</f>
        <v>0</v>
      </c>
      <c r="DK318" s="66">
        <f>+IF($W318="","",ROUND((DG318*(Parámetros!$G$86)),2))</f>
        <v>0</v>
      </c>
      <c r="DL318" s="66">
        <f t="shared" si="454"/>
        <v>0</v>
      </c>
      <c r="DM318" t="str">
        <f t="shared" si="495"/>
        <v>00065</v>
      </c>
      <c r="DN318" s="118" t="str">
        <f t="shared" si="496"/>
        <v>Exención pago de primas</v>
      </c>
      <c r="DO318" s="118">
        <f t="shared" si="497"/>
        <v>0</v>
      </c>
      <c r="DP318" s="118" t="str">
        <f t="shared" si="498"/>
        <v>A</v>
      </c>
      <c r="DQ318" s="122" t="str">
        <f>+IF(OR($W318="",DO318=0),"",ROUND((VLOOKUP(ROUNDDOWN($D318-1/frec,0),cob_adi,DB$40,FALSE)*(1+i/frec)^-0.5*(1+Parámetros!$D$103)*(1+rec_fracc)/frec),6))</f>
        <v/>
      </c>
      <c r="DR318" s="66">
        <f t="shared" si="455"/>
        <v>0</v>
      </c>
      <c r="DS318" s="68" t="str">
        <f t="shared" si="456"/>
        <v/>
      </c>
      <c r="DT318" s="66">
        <f>+IF($W318="","",ROUND(IF($B318&gt;Parámetros!$D$107,'Tablas Servicio'!DR318+('Tablas Servicio'!DT317-'Tablas Servicio'!DR317),DR318/(1-IF(B318&lt;=10,Parámetros!$D$100,0))),2))</f>
        <v>0</v>
      </c>
      <c r="DU318" s="66">
        <f t="shared" si="457"/>
        <v>0</v>
      </c>
      <c r="DV318" s="66">
        <f t="shared" si="457"/>
        <v>0</v>
      </c>
      <c r="DW318" s="66">
        <f>+IF($W318="","",ROUND((DT318*Parámetros!$G$85),2))</f>
        <v>0</v>
      </c>
      <c r="DX318" s="66">
        <f>+IF($W318="","",ROUND((DT318*(Parámetros!$G$86)),2))</f>
        <v>0</v>
      </c>
      <c r="DY318" s="66">
        <f t="shared" si="458"/>
        <v>0</v>
      </c>
      <c r="DZ318" t="str">
        <f t="shared" si="499"/>
        <v>00066</v>
      </c>
      <c r="EA318" s="118" t="str">
        <f t="shared" si="499"/>
        <v>Enfermedad terminal</v>
      </c>
      <c r="EB318" s="118">
        <f>+IF($W318="","",ROUND(IF(Parámetros!$D$25='TABLAS MORT'!$V$33,EB317,Z318/2),0))</f>
        <v>50000</v>
      </c>
      <c r="EC318" s="118" t="str">
        <f t="shared" si="499"/>
        <v>A</v>
      </c>
      <c r="ED318" s="122">
        <f>+IF(OR($W318="",EB318=0),"",ROUND((VLOOKUP(ROUNDDOWN($D318-1/frec,0),cob_adi,DO$40,FALSE)*(1+i/frec)^-0.5*(1+Parámetros!$D$103)*(1+rec_fracc)/frec),6))</f>
        <v>3.8999999999999999E-5</v>
      </c>
      <c r="EE318" s="66">
        <f t="shared" si="460"/>
        <v>1.95</v>
      </c>
      <c r="EF318" s="68">
        <f t="shared" si="461"/>
        <v>3.8999999999999999E-5</v>
      </c>
      <c r="EG318" s="66">
        <f>+IF($W318="","",ROUND(IF($B318&gt;Parámetros!$D$107,'Tablas Servicio'!EE318+('Tablas Servicio'!EG317-'Tablas Servicio'!EE317),EE318/(1-IF(B318&lt;=10,Parámetros!$D$100,0))),2))</f>
        <v>1.95</v>
      </c>
      <c r="EH318" s="66">
        <f t="shared" si="462"/>
        <v>0</v>
      </c>
      <c r="EI318" s="66">
        <f t="shared" si="462"/>
        <v>0</v>
      </c>
      <c r="EJ318" s="66">
        <f>+IF($W318="","",ROUND((EG318*Parámetros!$G$85),2))</f>
        <v>7.0000000000000007E-2</v>
      </c>
      <c r="EK318" s="66">
        <f>+IF($W318="","",ROUND((EG318*(Parámetros!$G$86)),2))</f>
        <v>0.01</v>
      </c>
      <c r="EL318" s="66">
        <f t="shared" si="463"/>
        <v>2.0299999999999998</v>
      </c>
    </row>
    <row r="319" spans="1:142" x14ac:dyDescent="0.25">
      <c r="A319">
        <f>+IF($C319="","",ROUND(VLOOKUP('Tablas Servicio'!B319,Parámetros!$H$100:$J$159,IF(Parámetros!$E$16="F",2,3),FALSE),2))</f>
        <v>150</v>
      </c>
      <c r="B319">
        <f t="shared" si="414"/>
        <v>24</v>
      </c>
      <c r="C319" s="57">
        <f>+IF(D319="","",'Tablas Servicio'!C318+1)</f>
        <v>278</v>
      </c>
      <c r="D319" s="56">
        <f>+IF(D318&lt;edadmaxtabla,D318+1/Parámetros!$E$25,"")</f>
        <v>63.186666666667328</v>
      </c>
      <c r="E319" s="57">
        <f t="shared" si="424"/>
        <v>63</v>
      </c>
      <c r="F319" s="59">
        <f t="shared" si="425"/>
        <v>100000</v>
      </c>
      <c r="G319" s="66">
        <f t="shared" si="415"/>
        <v>72.75</v>
      </c>
      <c r="H319" s="66">
        <f t="shared" si="416"/>
        <v>75.66</v>
      </c>
      <c r="I319" s="66">
        <f t="shared" si="464"/>
        <v>18.340000000000003</v>
      </c>
      <c r="J319" s="66">
        <f t="shared" si="417"/>
        <v>2.5499999999999998</v>
      </c>
      <c r="K319" s="66">
        <f t="shared" si="418"/>
        <v>0.36</v>
      </c>
      <c r="L319" s="66">
        <f t="shared" si="419"/>
        <v>0</v>
      </c>
      <c r="M319" s="66">
        <f t="shared" si="420"/>
        <v>0</v>
      </c>
      <c r="N319" s="66">
        <f>+IF(C319="","",ROUND(Parámetros!$D$23,2))</f>
        <v>94</v>
      </c>
      <c r="O319" s="66">
        <f t="shared" si="421"/>
        <v>60.25</v>
      </c>
      <c r="P319" s="66">
        <f>+IF($C319="","",ROUND(IF(B319&gt;Parámetros!$D$117,0,N319*Parámetros!$D$116-G319*Parámetros!$D$100),2))</f>
        <v>0</v>
      </c>
      <c r="Q319" s="75">
        <f t="shared" si="465"/>
        <v>3.5051546391752578E-2</v>
      </c>
      <c r="R319" s="75">
        <f t="shared" si="466"/>
        <v>4.9484536082474223E-3</v>
      </c>
      <c r="S319" s="117">
        <f>+IF($C319="","",ROUND((S318+I319)*(1+Parámetros!$D$91),2))</f>
        <v>20938.96</v>
      </c>
      <c r="T319" s="117">
        <f>+IF($C319="","",ROUND(S319*VLOOKUP(B319,Parámetros!$C$30:$D$39,2,TRUE),2))</f>
        <v>20938.96</v>
      </c>
      <c r="U319" s="117">
        <f>+IF($C319="","",ROUND((U318+I319)*(1+Parámetros!$D$92),2))</f>
        <v>22447.46</v>
      </c>
      <c r="V319" s="117">
        <f>+IF($C319="","",ROUND(U319*VLOOKUP(B319,Parámetros!$C$30:$D$39,2,TRUE),2))</f>
        <v>22447.46</v>
      </c>
      <c r="W319" s="57">
        <f t="shared" si="467"/>
        <v>278</v>
      </c>
      <c r="X319" t="str">
        <f t="shared" si="468"/>
        <v>00058</v>
      </c>
      <c r="Y319" t="str">
        <f t="shared" si="469"/>
        <v>MUERTE POR CUALQUIER CAUSA</v>
      </c>
      <c r="Z319" s="118">
        <f>+IF($W319="","",ROUND(IF(Parámetros!$D$25='TABLAS MORT'!$V$33,Z318,Parámetros!$D$21-'Tablas Servicio'!T318),0))</f>
        <v>100000</v>
      </c>
      <c r="AA319" s="118" t="str">
        <f t="shared" si="470"/>
        <v>P</v>
      </c>
      <c r="AB319" s="119">
        <f>+IF(W319="","",ROUND((VLOOKUP(ROUNDDOWN($D319-1/frec,0),qx_tabla,2,FALSE)*(1+i/frec)^-0.5*(1+Parámetros!$D$103)*(1+rec_fracc)/frec),6))</f>
        <v>5.8299999999999997E-4</v>
      </c>
      <c r="AC319" s="66">
        <f t="shared" si="426"/>
        <v>58.3</v>
      </c>
      <c r="AD319" s="119">
        <f t="shared" si="422"/>
        <v>7.0799999999999997E-4</v>
      </c>
      <c r="AE319" s="66">
        <f>+IF($W319="","",ROUND(IF($B319&gt;Parámetros!$D$107,'Tablas Servicio'!AC319+('Tablas Servicio'!AG318-'Tablas Servicio'!AC318),AC319/(1-IF(B319&lt;=10,Parámetros!$D$104,Parámetros!$D$105))),2))</f>
        <v>97.17</v>
      </c>
      <c r="AF319" s="66">
        <f>+IF($W319="","",ROUND(IF($B319&gt;Parámetros!$D$107,'Tablas Servicio'!AC319+('Tablas Servicio'!AG318-'Tablas Servicio'!AC318),(AC319+$A318/frec)/(1-IF(B319&lt;=Parámetros!$D$117,Parámetros!$D$100,0))),2))</f>
        <v>70.8</v>
      </c>
      <c r="AG319" s="66">
        <f t="shared" si="427"/>
        <v>70.8</v>
      </c>
      <c r="AH319" s="66">
        <f t="shared" si="428"/>
        <v>0</v>
      </c>
      <c r="AI319" s="66">
        <f t="shared" si="429"/>
        <v>0</v>
      </c>
      <c r="AJ319" s="66">
        <f>+IF($W319="","",ROUND((AG319*Parámetros!$G$85),2))</f>
        <v>2.48</v>
      </c>
      <c r="AK319" s="66">
        <f>+IF($W319="","",ROUND((AG319*(Parámetros!$G$86)),2))</f>
        <v>0.35</v>
      </c>
      <c r="AL319" s="66">
        <f t="shared" si="423"/>
        <v>73.63</v>
      </c>
      <c r="AM319" t="str">
        <f t="shared" si="471"/>
        <v>00059</v>
      </c>
      <c r="AN319" t="str">
        <f t="shared" si="472"/>
        <v>Incapacidad Total y Permanente</v>
      </c>
      <c r="AO319" s="118">
        <f t="shared" si="473"/>
        <v>0</v>
      </c>
      <c r="AP319" s="118" t="str">
        <f t="shared" si="474"/>
        <v>A</v>
      </c>
      <c r="AQ319" s="119" t="str">
        <f>+IF(OR($W319="",AO319=0),"",ROUND((VLOOKUP(ROUNDDOWN($D319-1/frec,0),cob_adi,Z$40,FALSE)*(1+i/frec)^-0.5*(1+Parámetros!$D$103)*(1+rec_fracc)/frec),6))</f>
        <v/>
      </c>
      <c r="AR319" s="66">
        <f t="shared" si="430"/>
        <v>0</v>
      </c>
      <c r="AS319" s="119" t="str">
        <f t="shared" si="431"/>
        <v/>
      </c>
      <c r="AT319" s="66">
        <f>+IF($W319="","",ROUND(IF($B319&gt;Parámetros!$D$107,'Tablas Servicio'!AR319+('Tablas Servicio'!AT318-'Tablas Servicio'!AR318),AR319/(1-IF(B319&lt;=10,Parámetros!$D$100,0))),2))</f>
        <v>0</v>
      </c>
      <c r="AU319" s="66">
        <f t="shared" si="432"/>
        <v>0</v>
      </c>
      <c r="AV319" s="66">
        <f t="shared" si="432"/>
        <v>0</v>
      </c>
      <c r="AW319" s="66">
        <f>+IF($W319="","",ROUND((AT319*Parámetros!$G$85),2))</f>
        <v>0</v>
      </c>
      <c r="AX319" s="66">
        <f>+IF($W319="","",ROUND((AT319*(Parámetros!$G$86)),2))</f>
        <v>0</v>
      </c>
      <c r="AY319" s="66">
        <f t="shared" si="433"/>
        <v>0</v>
      </c>
      <c r="AZ319" t="str">
        <f t="shared" si="475"/>
        <v>00060</v>
      </c>
      <c r="BA319" t="str">
        <f t="shared" si="476"/>
        <v>Muerte Accidental</v>
      </c>
      <c r="BB319" s="118">
        <f t="shared" si="477"/>
        <v>0</v>
      </c>
      <c r="BC319" s="118" t="str">
        <f t="shared" si="478"/>
        <v>A</v>
      </c>
      <c r="BD319" s="119" t="str">
        <f>+IF(OR($W319="",BB319=0),"",ROUND((VLOOKUP(ROUNDDOWN($D319-1/frec,0),cob_adi,AO$40,FALSE)*(1+i/frec)^-0.5*(1+Parámetros!$D$103)*(1+rec_fracc)/frec),6))</f>
        <v/>
      </c>
      <c r="BE319" s="66">
        <f t="shared" si="434"/>
        <v>0</v>
      </c>
      <c r="BF319" s="119" t="str">
        <f t="shared" si="435"/>
        <v/>
      </c>
      <c r="BG319" s="66">
        <f>+IF($W319="","",ROUND(IF($B319&gt;Parámetros!$D$107,'Tablas Servicio'!BE319+('Tablas Servicio'!BG318-'Tablas Servicio'!BE318),BE319/(1-IF(B319&lt;=10,Parámetros!$D$100,0))),2))</f>
        <v>0</v>
      </c>
      <c r="BH319" s="66">
        <f t="shared" si="436"/>
        <v>0</v>
      </c>
      <c r="BI319" s="66">
        <f t="shared" si="437"/>
        <v>0</v>
      </c>
      <c r="BJ319" s="66">
        <f>+IF($W319="","",ROUND((BG319*Parámetros!$G$85),2))</f>
        <v>0</v>
      </c>
      <c r="BK319" s="66">
        <f>+IF($W319="","",ROUND((BG319*(Parámetros!$G$86)),2))</f>
        <v>0</v>
      </c>
      <c r="BL319" s="66">
        <f t="shared" si="438"/>
        <v>0</v>
      </c>
      <c r="BM319" t="str">
        <f t="shared" si="479"/>
        <v>00061</v>
      </c>
      <c r="BN319" t="str">
        <f t="shared" si="480"/>
        <v>Gastos de Entierro</v>
      </c>
      <c r="BO319" s="118">
        <f t="shared" si="481"/>
        <v>0</v>
      </c>
      <c r="BP319" s="118" t="str">
        <f t="shared" si="482"/>
        <v>A</v>
      </c>
      <c r="BQ319" s="119" t="str">
        <f>+IF(OR($W319="",BO319=0),"",ROUND((VLOOKUP(ROUNDDOWN($D319-1/frec,0),cob_adi,BB$40,FALSE)*(1+i/frec)^-0.5*(1+Parámetros!$D$103)*(1+rec_fracc)/frec),6))</f>
        <v/>
      </c>
      <c r="BR319" s="66">
        <f t="shared" si="439"/>
        <v>0</v>
      </c>
      <c r="BS319" s="119" t="str">
        <f t="shared" si="440"/>
        <v/>
      </c>
      <c r="BT319" s="66">
        <f>+IF($W319="","",ROUND(IF($B319&gt;Parámetros!$D$107,'Tablas Servicio'!BR319+('Tablas Servicio'!BT318-'Tablas Servicio'!BR318),BR319/(1-IF(B319&lt;=10,Parámetros!$D$100,0))),2))</f>
        <v>0</v>
      </c>
      <c r="BU319" s="66">
        <f t="shared" si="441"/>
        <v>0</v>
      </c>
      <c r="BV319" s="66">
        <f t="shared" si="441"/>
        <v>0</v>
      </c>
      <c r="BW319" s="66">
        <f>+IF($W319="","",ROUND((BT319*Parámetros!$G$85),2))</f>
        <v>0</v>
      </c>
      <c r="BX319" s="66">
        <f>+IF($W319="","",ROUND((BT319*(Parámetros!$G$86)),2))</f>
        <v>0</v>
      </c>
      <c r="BY319" s="66">
        <f t="shared" si="442"/>
        <v>0</v>
      </c>
      <c r="BZ319" t="str">
        <f t="shared" si="483"/>
        <v>00062</v>
      </c>
      <c r="CA319" t="str">
        <f t="shared" si="484"/>
        <v>Gastos médicos por accidente</v>
      </c>
      <c r="CB319" s="118">
        <f t="shared" si="485"/>
        <v>0</v>
      </c>
      <c r="CC319" s="118" t="str">
        <f t="shared" si="486"/>
        <v>A</v>
      </c>
      <c r="CD319" s="119" t="str">
        <f t="shared" si="443"/>
        <v/>
      </c>
      <c r="CE319" s="66">
        <f>+IF($W319="","",ROUND((VLOOKUP(ROUNDDOWN($D319-1/frec,0),cob_adi,BO$40,FALSE)*(1+i/frec)^-0.5*(1+Parámetros!$D$103)*(1+rec_fracc)/frec*'TABLAS ADI'!$BC$17),2))</f>
        <v>0</v>
      </c>
      <c r="CF319" s="119" t="str">
        <f t="shared" si="444"/>
        <v/>
      </c>
      <c r="CG319" s="66">
        <f>+IF($W319="","",ROUND(IF($B319&gt;Parámetros!$D$107,'Tablas Servicio'!CE319+('Tablas Servicio'!CG318-'Tablas Servicio'!CE318),CE319/(1-IF(B319&lt;=10,Parámetros!$D$100,0))),2))</f>
        <v>0</v>
      </c>
      <c r="CH319" s="66">
        <f t="shared" si="445"/>
        <v>0</v>
      </c>
      <c r="CI319" s="66">
        <f t="shared" si="445"/>
        <v>0</v>
      </c>
      <c r="CJ319" s="66">
        <f>+IF($W319="","",ROUND((CG319*Parámetros!$G$85),2))</f>
        <v>0</v>
      </c>
      <c r="CK319" s="66">
        <f>+IF($W319="","",ROUND((CG319*(Parámetros!$G$86)),2))</f>
        <v>0</v>
      </c>
      <c r="CL319" s="66">
        <f t="shared" si="446"/>
        <v>0</v>
      </c>
      <c r="CM319" t="str">
        <f t="shared" si="487"/>
        <v>00063</v>
      </c>
      <c r="CN319" s="118" t="str">
        <f t="shared" si="488"/>
        <v>Renta Diaria por Hospitalización</v>
      </c>
      <c r="CO319" s="118">
        <f t="shared" si="489"/>
        <v>0</v>
      </c>
      <c r="CP319" s="118" t="str">
        <f t="shared" si="490"/>
        <v>A</v>
      </c>
      <c r="CQ319" s="119" t="str">
        <f t="shared" si="447"/>
        <v/>
      </c>
      <c r="CR319" s="66">
        <f>+IF($W319="","",ROUND((VLOOKUP(Parámetros!$F$51,'COBERTURAS ADICIONALES'!$S$4:$T$32,2,FALSE)*(1+i/frec)^-0.5*(1+Parámetros!$D$103)*(1+rec_fracc)/frec*$CO$42),2))</f>
        <v>0</v>
      </c>
      <c r="CS319" s="119" t="str">
        <f t="shared" si="448"/>
        <v/>
      </c>
      <c r="CT319" s="66">
        <f>+IF($W319="","",ROUND(IF($B319&gt;Parámetros!$D$107,'Tablas Servicio'!CR319+('Tablas Servicio'!CT318-'Tablas Servicio'!CR318),CR319/(1-IF(B319&lt;=10,Parámetros!$D$100,0))),2))</f>
        <v>0</v>
      </c>
      <c r="CU319" s="66">
        <f t="shared" si="449"/>
        <v>0</v>
      </c>
      <c r="CV319" s="66">
        <f t="shared" si="449"/>
        <v>0</v>
      </c>
      <c r="CW319" s="66">
        <f>+IF($W319="","",ROUND((CT319*Parámetros!$G$85),2))</f>
        <v>0</v>
      </c>
      <c r="CX319" s="66">
        <f>+IF($W319="","",ROUND((CT319*(Parámetros!$G$86)),2))</f>
        <v>0</v>
      </c>
      <c r="CY319" s="66">
        <f t="shared" si="450"/>
        <v>0</v>
      </c>
      <c r="CZ319" t="str">
        <f t="shared" si="491"/>
        <v>00064</v>
      </c>
      <c r="DA319" s="118" t="str">
        <f t="shared" si="492"/>
        <v>Enfermedades Graves</v>
      </c>
      <c r="DB319" s="118">
        <f t="shared" si="493"/>
        <v>0</v>
      </c>
      <c r="DC319" s="118" t="str">
        <f t="shared" si="494"/>
        <v>A</v>
      </c>
      <c r="DD319" s="121" t="str">
        <f>+IF(OR($W319="",DB319=0),"",ROUND((VLOOKUP(ROUNDDOWN($D319-1/frec,0),cob_adi,CO$40,FALSE)*(1+i/frec)^-0.5*(1+Parámetros!$D$103)*(1+rec_fracc)/frec),6))</f>
        <v/>
      </c>
      <c r="DE319" s="66">
        <f t="shared" si="451"/>
        <v>0</v>
      </c>
      <c r="DF319" s="119" t="str">
        <f t="shared" si="452"/>
        <v/>
      </c>
      <c r="DG319" s="66">
        <f>+IF($W319="","",ROUND(IF($B319&gt;Parámetros!$D$107,'Tablas Servicio'!DE319+('Tablas Servicio'!DG318-'Tablas Servicio'!DE318),DE319/(1-IF(B319&lt;=10,Parámetros!$D$100,0))),2))</f>
        <v>0</v>
      </c>
      <c r="DH319" s="66">
        <f t="shared" si="453"/>
        <v>0</v>
      </c>
      <c r="DI319" s="66">
        <f t="shared" si="453"/>
        <v>0</v>
      </c>
      <c r="DJ319" s="66">
        <f>+IF($W319="","",ROUND((DG319*Parámetros!$G$85),2))</f>
        <v>0</v>
      </c>
      <c r="DK319" s="66">
        <f>+IF($W319="","",ROUND((DG319*(Parámetros!$G$86)),2))</f>
        <v>0</v>
      </c>
      <c r="DL319" s="66">
        <f t="shared" si="454"/>
        <v>0</v>
      </c>
      <c r="DM319" t="str">
        <f t="shared" si="495"/>
        <v>00065</v>
      </c>
      <c r="DN319" s="118" t="str">
        <f t="shared" si="496"/>
        <v>Exención pago de primas</v>
      </c>
      <c r="DO319" s="118">
        <f t="shared" si="497"/>
        <v>0</v>
      </c>
      <c r="DP319" s="118" t="str">
        <f t="shared" si="498"/>
        <v>A</v>
      </c>
      <c r="DQ319" s="122" t="str">
        <f>+IF(OR($W319="",DO319=0),"",ROUND((VLOOKUP(ROUNDDOWN($D319-1/frec,0),cob_adi,DB$40,FALSE)*(1+i/frec)^-0.5*(1+Parámetros!$D$103)*(1+rec_fracc)/frec),6))</f>
        <v/>
      </c>
      <c r="DR319" s="66">
        <f t="shared" si="455"/>
        <v>0</v>
      </c>
      <c r="DS319" s="68" t="str">
        <f t="shared" si="456"/>
        <v/>
      </c>
      <c r="DT319" s="66">
        <f>+IF($W319="","",ROUND(IF($B319&gt;Parámetros!$D$107,'Tablas Servicio'!DR319+('Tablas Servicio'!DT318-'Tablas Servicio'!DR318),DR319/(1-IF(B319&lt;=10,Parámetros!$D$100,0))),2))</f>
        <v>0</v>
      </c>
      <c r="DU319" s="66">
        <f t="shared" si="457"/>
        <v>0</v>
      </c>
      <c r="DV319" s="66">
        <f t="shared" si="457"/>
        <v>0</v>
      </c>
      <c r="DW319" s="66">
        <f>+IF($W319="","",ROUND((DT319*Parámetros!$G$85),2))</f>
        <v>0</v>
      </c>
      <c r="DX319" s="66">
        <f>+IF($W319="","",ROUND((DT319*(Parámetros!$G$86)),2))</f>
        <v>0</v>
      </c>
      <c r="DY319" s="66">
        <f t="shared" si="458"/>
        <v>0</v>
      </c>
      <c r="DZ319" t="str">
        <f t="shared" si="499"/>
        <v>00066</v>
      </c>
      <c r="EA319" s="118" t="str">
        <f t="shared" si="499"/>
        <v>Enfermedad terminal</v>
      </c>
      <c r="EB319" s="118">
        <f>+IF($W319="","",ROUND(IF(Parámetros!$D$25='TABLAS MORT'!$V$33,EB318,Z319/2),0))</f>
        <v>50000</v>
      </c>
      <c r="EC319" s="118" t="str">
        <f t="shared" si="499"/>
        <v>A</v>
      </c>
      <c r="ED319" s="122">
        <f>+IF(OR($W319="",EB319=0),"",ROUND((VLOOKUP(ROUNDDOWN($D319-1/frec,0),cob_adi,DO$40,FALSE)*(1+i/frec)^-0.5*(1+Parámetros!$D$103)*(1+rec_fracc)/frec),6))</f>
        <v>3.8999999999999999E-5</v>
      </c>
      <c r="EE319" s="66">
        <f t="shared" si="460"/>
        <v>1.95</v>
      </c>
      <c r="EF319" s="68">
        <f t="shared" si="461"/>
        <v>3.8999999999999999E-5</v>
      </c>
      <c r="EG319" s="66">
        <f>+IF($W319="","",ROUND(IF($B319&gt;Parámetros!$D$107,'Tablas Servicio'!EE319+('Tablas Servicio'!EG318-'Tablas Servicio'!EE318),EE319/(1-IF(B319&lt;=10,Parámetros!$D$100,0))),2))</f>
        <v>1.95</v>
      </c>
      <c r="EH319" s="66">
        <f t="shared" si="462"/>
        <v>0</v>
      </c>
      <c r="EI319" s="66">
        <f t="shared" si="462"/>
        <v>0</v>
      </c>
      <c r="EJ319" s="66">
        <f>+IF($W319="","",ROUND((EG319*Parámetros!$G$85),2))</f>
        <v>7.0000000000000007E-2</v>
      </c>
      <c r="EK319" s="66">
        <f>+IF($W319="","",ROUND((EG319*(Parámetros!$G$86)),2))</f>
        <v>0.01</v>
      </c>
      <c r="EL319" s="66">
        <f t="shared" si="463"/>
        <v>2.0299999999999998</v>
      </c>
    </row>
    <row r="320" spans="1:142" x14ac:dyDescent="0.25">
      <c r="A320">
        <f>+IF($C320="","",ROUND(VLOOKUP('Tablas Servicio'!B320,Parámetros!$H$100:$J$159,IF(Parámetros!$E$16="F",2,3),FALSE),2))</f>
        <v>150</v>
      </c>
      <c r="B320">
        <f t="shared" si="414"/>
        <v>24</v>
      </c>
      <c r="C320" s="57">
        <f>+IF(D320="","",'Tablas Servicio'!C319+1)</f>
        <v>279</v>
      </c>
      <c r="D320" s="56">
        <f>+IF(D319&lt;edadmaxtabla,D319+1/Parámetros!$E$25,"")</f>
        <v>63.270000000000664</v>
      </c>
      <c r="E320" s="57">
        <f t="shared" si="424"/>
        <v>63</v>
      </c>
      <c r="F320" s="59">
        <f t="shared" si="425"/>
        <v>100000</v>
      </c>
      <c r="G320" s="66">
        <f t="shared" si="415"/>
        <v>72.75</v>
      </c>
      <c r="H320" s="66">
        <f t="shared" si="416"/>
        <v>75.66</v>
      </c>
      <c r="I320" s="66">
        <f t="shared" si="464"/>
        <v>18.340000000000003</v>
      </c>
      <c r="J320" s="66">
        <f t="shared" si="417"/>
        <v>2.5499999999999998</v>
      </c>
      <c r="K320" s="66">
        <f t="shared" si="418"/>
        <v>0.36</v>
      </c>
      <c r="L320" s="66">
        <f t="shared" si="419"/>
        <v>0</v>
      </c>
      <c r="M320" s="66">
        <f t="shared" si="420"/>
        <v>0</v>
      </c>
      <c r="N320" s="66">
        <f>+IF(C320="","",ROUND(Parámetros!$D$23,2))</f>
        <v>94</v>
      </c>
      <c r="O320" s="66">
        <f t="shared" si="421"/>
        <v>60.25</v>
      </c>
      <c r="P320" s="66">
        <f>+IF($C320="","",ROUND(IF(B320&gt;Parámetros!$D$117,0,N320*Parámetros!$D$116-G320*Parámetros!$D$100),2))</f>
        <v>0</v>
      </c>
      <c r="Q320" s="75">
        <f t="shared" si="465"/>
        <v>3.5051546391752578E-2</v>
      </c>
      <c r="R320" s="75">
        <f t="shared" si="466"/>
        <v>4.9484536082474223E-3</v>
      </c>
      <c r="S320" s="117">
        <f>+IF($C320="","",ROUND((S319+I320)*(1+Parámetros!$D$91),2))</f>
        <v>21016.74</v>
      </c>
      <c r="T320" s="117">
        <f>+IF($C320="","",ROUND(S320*VLOOKUP(B320,Parámetros!$C$30:$D$39,2,TRUE),2))</f>
        <v>21016.74</v>
      </c>
      <c r="U320" s="117">
        <f>+IF($C320="","",ROUND((U319+I320)*(1+Parámetros!$D$92),2))</f>
        <v>22538.63</v>
      </c>
      <c r="V320" s="117">
        <f>+IF($C320="","",ROUND(U320*VLOOKUP(B320,Parámetros!$C$30:$D$39,2,TRUE),2))</f>
        <v>22538.63</v>
      </c>
      <c r="W320" s="57">
        <f t="shared" si="467"/>
        <v>279</v>
      </c>
      <c r="X320" t="str">
        <f t="shared" si="468"/>
        <v>00058</v>
      </c>
      <c r="Y320" t="str">
        <f t="shared" si="469"/>
        <v>MUERTE POR CUALQUIER CAUSA</v>
      </c>
      <c r="Z320" s="118">
        <f>+IF($W320="","",ROUND(IF(Parámetros!$D$25='TABLAS MORT'!$V$33,Z319,Parámetros!$D$21-'Tablas Servicio'!T319),0))</f>
        <v>100000</v>
      </c>
      <c r="AA320" s="118" t="str">
        <f t="shared" si="470"/>
        <v>P</v>
      </c>
      <c r="AB320" s="119">
        <f>+IF(W320="","",ROUND((VLOOKUP(ROUNDDOWN($D320-1/frec,0),qx_tabla,2,FALSE)*(1+i/frec)^-0.5*(1+Parámetros!$D$103)*(1+rec_fracc)/frec),6))</f>
        <v>5.8299999999999997E-4</v>
      </c>
      <c r="AC320" s="66">
        <f t="shared" si="426"/>
        <v>58.3</v>
      </c>
      <c r="AD320" s="119">
        <f t="shared" si="422"/>
        <v>7.0799999999999997E-4</v>
      </c>
      <c r="AE320" s="66">
        <f>+IF($W320="","",ROUND(IF($B320&gt;Parámetros!$D$107,'Tablas Servicio'!AC320+('Tablas Servicio'!AG319-'Tablas Servicio'!AC319),AC320/(1-IF(B320&lt;=10,Parámetros!$D$104,Parámetros!$D$105))),2))</f>
        <v>97.17</v>
      </c>
      <c r="AF320" s="66">
        <f>+IF($W320="","",ROUND(IF($B320&gt;Parámetros!$D$107,'Tablas Servicio'!AC320+('Tablas Servicio'!AG319-'Tablas Servicio'!AC319),(AC320+$A319/frec)/(1-IF(B320&lt;=Parámetros!$D$117,Parámetros!$D$100,0))),2))</f>
        <v>70.8</v>
      </c>
      <c r="AG320" s="66">
        <f t="shared" si="427"/>
        <v>70.8</v>
      </c>
      <c r="AH320" s="66">
        <f t="shared" si="428"/>
        <v>0</v>
      </c>
      <c r="AI320" s="66">
        <f t="shared" si="429"/>
        <v>0</v>
      </c>
      <c r="AJ320" s="66">
        <f>+IF($W320="","",ROUND((AG320*Parámetros!$G$85),2))</f>
        <v>2.48</v>
      </c>
      <c r="AK320" s="66">
        <f>+IF($W320="","",ROUND((AG320*(Parámetros!$G$86)),2))</f>
        <v>0.35</v>
      </c>
      <c r="AL320" s="66">
        <f t="shared" si="423"/>
        <v>73.63</v>
      </c>
      <c r="AM320" t="str">
        <f t="shared" si="471"/>
        <v>00059</v>
      </c>
      <c r="AN320" t="str">
        <f t="shared" si="472"/>
        <v>Incapacidad Total y Permanente</v>
      </c>
      <c r="AO320" s="118">
        <f t="shared" si="473"/>
        <v>0</v>
      </c>
      <c r="AP320" s="118" t="str">
        <f t="shared" si="474"/>
        <v>A</v>
      </c>
      <c r="AQ320" s="119" t="str">
        <f>+IF(OR($W320="",AO320=0),"",ROUND((VLOOKUP(ROUNDDOWN($D320-1/frec,0),cob_adi,Z$40,FALSE)*(1+i/frec)^-0.5*(1+Parámetros!$D$103)*(1+rec_fracc)/frec),6))</f>
        <v/>
      </c>
      <c r="AR320" s="66">
        <f t="shared" si="430"/>
        <v>0</v>
      </c>
      <c r="AS320" s="119" t="str">
        <f t="shared" si="431"/>
        <v/>
      </c>
      <c r="AT320" s="66">
        <f>+IF($W320="","",ROUND(IF($B320&gt;Parámetros!$D$107,'Tablas Servicio'!AR320+('Tablas Servicio'!AT319-'Tablas Servicio'!AR319),AR320/(1-IF(B320&lt;=10,Parámetros!$D$100,0))),2))</f>
        <v>0</v>
      </c>
      <c r="AU320" s="66">
        <f t="shared" si="432"/>
        <v>0</v>
      </c>
      <c r="AV320" s="66">
        <f t="shared" si="432"/>
        <v>0</v>
      </c>
      <c r="AW320" s="66">
        <f>+IF($W320="","",ROUND((AT320*Parámetros!$G$85),2))</f>
        <v>0</v>
      </c>
      <c r="AX320" s="66">
        <f>+IF($W320="","",ROUND((AT320*(Parámetros!$G$86)),2))</f>
        <v>0</v>
      </c>
      <c r="AY320" s="66">
        <f t="shared" si="433"/>
        <v>0</v>
      </c>
      <c r="AZ320" t="str">
        <f t="shared" si="475"/>
        <v>00060</v>
      </c>
      <c r="BA320" t="str">
        <f t="shared" si="476"/>
        <v>Muerte Accidental</v>
      </c>
      <c r="BB320" s="118">
        <f t="shared" si="477"/>
        <v>0</v>
      </c>
      <c r="BC320" s="118" t="str">
        <f t="shared" si="478"/>
        <v>A</v>
      </c>
      <c r="BD320" s="119" t="str">
        <f>+IF(OR($W320="",BB320=0),"",ROUND((VLOOKUP(ROUNDDOWN($D320-1/frec,0),cob_adi,AO$40,FALSE)*(1+i/frec)^-0.5*(1+Parámetros!$D$103)*(1+rec_fracc)/frec),6))</f>
        <v/>
      </c>
      <c r="BE320" s="66">
        <f t="shared" si="434"/>
        <v>0</v>
      </c>
      <c r="BF320" s="119" t="str">
        <f t="shared" si="435"/>
        <v/>
      </c>
      <c r="BG320" s="66">
        <f>+IF($W320="","",ROUND(IF($B320&gt;Parámetros!$D$107,'Tablas Servicio'!BE320+('Tablas Servicio'!BG319-'Tablas Servicio'!BE319),BE320/(1-IF(B320&lt;=10,Parámetros!$D$100,0))),2))</f>
        <v>0</v>
      </c>
      <c r="BH320" s="66">
        <f t="shared" si="436"/>
        <v>0</v>
      </c>
      <c r="BI320" s="66">
        <f t="shared" si="437"/>
        <v>0</v>
      </c>
      <c r="BJ320" s="66">
        <f>+IF($W320="","",ROUND((BG320*Parámetros!$G$85),2))</f>
        <v>0</v>
      </c>
      <c r="BK320" s="66">
        <f>+IF($W320="","",ROUND((BG320*(Parámetros!$G$86)),2))</f>
        <v>0</v>
      </c>
      <c r="BL320" s="66">
        <f t="shared" si="438"/>
        <v>0</v>
      </c>
      <c r="BM320" t="str">
        <f t="shared" si="479"/>
        <v>00061</v>
      </c>
      <c r="BN320" t="str">
        <f t="shared" si="480"/>
        <v>Gastos de Entierro</v>
      </c>
      <c r="BO320" s="118">
        <f t="shared" si="481"/>
        <v>0</v>
      </c>
      <c r="BP320" s="118" t="str">
        <f t="shared" si="482"/>
        <v>A</v>
      </c>
      <c r="BQ320" s="119" t="str">
        <f>+IF(OR($W320="",BO320=0),"",ROUND((VLOOKUP(ROUNDDOWN($D320-1/frec,0),cob_adi,BB$40,FALSE)*(1+i/frec)^-0.5*(1+Parámetros!$D$103)*(1+rec_fracc)/frec),6))</f>
        <v/>
      </c>
      <c r="BR320" s="66">
        <f t="shared" si="439"/>
        <v>0</v>
      </c>
      <c r="BS320" s="119" t="str">
        <f t="shared" si="440"/>
        <v/>
      </c>
      <c r="BT320" s="66">
        <f>+IF($W320="","",ROUND(IF($B320&gt;Parámetros!$D$107,'Tablas Servicio'!BR320+('Tablas Servicio'!BT319-'Tablas Servicio'!BR319),BR320/(1-IF(B320&lt;=10,Parámetros!$D$100,0))),2))</f>
        <v>0</v>
      </c>
      <c r="BU320" s="66">
        <f t="shared" si="441"/>
        <v>0</v>
      </c>
      <c r="BV320" s="66">
        <f t="shared" si="441"/>
        <v>0</v>
      </c>
      <c r="BW320" s="66">
        <f>+IF($W320="","",ROUND((BT320*Parámetros!$G$85),2))</f>
        <v>0</v>
      </c>
      <c r="BX320" s="66">
        <f>+IF($W320="","",ROUND((BT320*(Parámetros!$G$86)),2))</f>
        <v>0</v>
      </c>
      <c r="BY320" s="66">
        <f t="shared" si="442"/>
        <v>0</v>
      </c>
      <c r="BZ320" t="str">
        <f t="shared" si="483"/>
        <v>00062</v>
      </c>
      <c r="CA320" t="str">
        <f t="shared" si="484"/>
        <v>Gastos médicos por accidente</v>
      </c>
      <c r="CB320" s="118">
        <f t="shared" si="485"/>
        <v>0</v>
      </c>
      <c r="CC320" s="118" t="str">
        <f t="shared" si="486"/>
        <v>A</v>
      </c>
      <c r="CD320" s="119" t="str">
        <f t="shared" si="443"/>
        <v/>
      </c>
      <c r="CE320" s="66">
        <f>+IF($W320="","",ROUND((VLOOKUP(ROUNDDOWN($D320-1/frec,0),cob_adi,BO$40,FALSE)*(1+i/frec)^-0.5*(1+Parámetros!$D$103)*(1+rec_fracc)/frec*'TABLAS ADI'!$BC$17),2))</f>
        <v>0</v>
      </c>
      <c r="CF320" s="119" t="str">
        <f t="shared" si="444"/>
        <v/>
      </c>
      <c r="CG320" s="66">
        <f>+IF($W320="","",ROUND(IF($B320&gt;Parámetros!$D$107,'Tablas Servicio'!CE320+('Tablas Servicio'!CG319-'Tablas Servicio'!CE319),CE320/(1-IF(B320&lt;=10,Parámetros!$D$100,0))),2))</f>
        <v>0</v>
      </c>
      <c r="CH320" s="66">
        <f t="shared" si="445"/>
        <v>0</v>
      </c>
      <c r="CI320" s="66">
        <f t="shared" si="445"/>
        <v>0</v>
      </c>
      <c r="CJ320" s="66">
        <f>+IF($W320="","",ROUND((CG320*Parámetros!$G$85),2))</f>
        <v>0</v>
      </c>
      <c r="CK320" s="66">
        <f>+IF($W320="","",ROUND((CG320*(Parámetros!$G$86)),2))</f>
        <v>0</v>
      </c>
      <c r="CL320" s="66">
        <f t="shared" si="446"/>
        <v>0</v>
      </c>
      <c r="CM320" t="str">
        <f t="shared" si="487"/>
        <v>00063</v>
      </c>
      <c r="CN320" s="118" t="str">
        <f t="shared" si="488"/>
        <v>Renta Diaria por Hospitalización</v>
      </c>
      <c r="CO320" s="118">
        <f t="shared" si="489"/>
        <v>0</v>
      </c>
      <c r="CP320" s="118" t="str">
        <f t="shared" si="490"/>
        <v>A</v>
      </c>
      <c r="CQ320" s="119" t="str">
        <f t="shared" si="447"/>
        <v/>
      </c>
      <c r="CR320" s="66">
        <f>+IF($W320="","",ROUND((VLOOKUP(Parámetros!$F$51,'COBERTURAS ADICIONALES'!$S$4:$T$32,2,FALSE)*(1+i/frec)^-0.5*(1+Parámetros!$D$103)*(1+rec_fracc)/frec*$CO$42),2))</f>
        <v>0</v>
      </c>
      <c r="CS320" s="119" t="str">
        <f t="shared" si="448"/>
        <v/>
      </c>
      <c r="CT320" s="66">
        <f>+IF($W320="","",ROUND(IF($B320&gt;Parámetros!$D$107,'Tablas Servicio'!CR320+('Tablas Servicio'!CT319-'Tablas Servicio'!CR319),CR320/(1-IF(B320&lt;=10,Parámetros!$D$100,0))),2))</f>
        <v>0</v>
      </c>
      <c r="CU320" s="66">
        <f t="shared" si="449"/>
        <v>0</v>
      </c>
      <c r="CV320" s="66">
        <f t="shared" si="449"/>
        <v>0</v>
      </c>
      <c r="CW320" s="66">
        <f>+IF($W320="","",ROUND((CT320*Parámetros!$G$85),2))</f>
        <v>0</v>
      </c>
      <c r="CX320" s="66">
        <f>+IF($W320="","",ROUND((CT320*(Parámetros!$G$86)),2))</f>
        <v>0</v>
      </c>
      <c r="CY320" s="66">
        <f t="shared" si="450"/>
        <v>0</v>
      </c>
      <c r="CZ320" t="str">
        <f t="shared" si="491"/>
        <v>00064</v>
      </c>
      <c r="DA320" s="118" t="str">
        <f t="shared" si="492"/>
        <v>Enfermedades Graves</v>
      </c>
      <c r="DB320" s="118">
        <f t="shared" si="493"/>
        <v>0</v>
      </c>
      <c r="DC320" s="118" t="str">
        <f t="shared" si="494"/>
        <v>A</v>
      </c>
      <c r="DD320" s="121" t="str">
        <f>+IF(OR($W320="",DB320=0),"",ROUND((VLOOKUP(ROUNDDOWN($D320-1/frec,0),cob_adi,CO$40,FALSE)*(1+i/frec)^-0.5*(1+Parámetros!$D$103)*(1+rec_fracc)/frec),6))</f>
        <v/>
      </c>
      <c r="DE320" s="66">
        <f t="shared" si="451"/>
        <v>0</v>
      </c>
      <c r="DF320" s="119" t="str">
        <f t="shared" si="452"/>
        <v/>
      </c>
      <c r="DG320" s="66">
        <f>+IF($W320="","",ROUND(IF($B320&gt;Parámetros!$D$107,'Tablas Servicio'!DE320+('Tablas Servicio'!DG319-'Tablas Servicio'!DE319),DE320/(1-IF(B320&lt;=10,Parámetros!$D$100,0))),2))</f>
        <v>0</v>
      </c>
      <c r="DH320" s="66">
        <f t="shared" si="453"/>
        <v>0</v>
      </c>
      <c r="DI320" s="66">
        <f t="shared" si="453"/>
        <v>0</v>
      </c>
      <c r="DJ320" s="66">
        <f>+IF($W320="","",ROUND((DG320*Parámetros!$G$85),2))</f>
        <v>0</v>
      </c>
      <c r="DK320" s="66">
        <f>+IF($W320="","",ROUND((DG320*(Parámetros!$G$86)),2))</f>
        <v>0</v>
      </c>
      <c r="DL320" s="66">
        <f t="shared" si="454"/>
        <v>0</v>
      </c>
      <c r="DM320" t="str">
        <f t="shared" si="495"/>
        <v>00065</v>
      </c>
      <c r="DN320" s="118" t="str">
        <f t="shared" si="496"/>
        <v>Exención pago de primas</v>
      </c>
      <c r="DO320" s="118">
        <f t="shared" si="497"/>
        <v>0</v>
      </c>
      <c r="DP320" s="118" t="str">
        <f t="shared" si="498"/>
        <v>A</v>
      </c>
      <c r="DQ320" s="122" t="str">
        <f>+IF(OR($W320="",DO320=0),"",ROUND((VLOOKUP(ROUNDDOWN($D320-1/frec,0),cob_adi,DB$40,FALSE)*(1+i/frec)^-0.5*(1+Parámetros!$D$103)*(1+rec_fracc)/frec),6))</f>
        <v/>
      </c>
      <c r="DR320" s="66">
        <f t="shared" si="455"/>
        <v>0</v>
      </c>
      <c r="DS320" s="68" t="str">
        <f t="shared" si="456"/>
        <v/>
      </c>
      <c r="DT320" s="66">
        <f>+IF($W320="","",ROUND(IF($B320&gt;Parámetros!$D$107,'Tablas Servicio'!DR320+('Tablas Servicio'!DT319-'Tablas Servicio'!DR319),DR320/(1-IF(B320&lt;=10,Parámetros!$D$100,0))),2))</f>
        <v>0</v>
      </c>
      <c r="DU320" s="66">
        <f t="shared" si="457"/>
        <v>0</v>
      </c>
      <c r="DV320" s="66">
        <f t="shared" si="457"/>
        <v>0</v>
      </c>
      <c r="DW320" s="66">
        <f>+IF($W320="","",ROUND((DT320*Parámetros!$G$85),2))</f>
        <v>0</v>
      </c>
      <c r="DX320" s="66">
        <f>+IF($W320="","",ROUND((DT320*(Parámetros!$G$86)),2))</f>
        <v>0</v>
      </c>
      <c r="DY320" s="66">
        <f t="shared" si="458"/>
        <v>0</v>
      </c>
      <c r="DZ320" t="str">
        <f t="shared" si="499"/>
        <v>00066</v>
      </c>
      <c r="EA320" s="118" t="str">
        <f t="shared" si="499"/>
        <v>Enfermedad terminal</v>
      </c>
      <c r="EB320" s="118">
        <f>+IF($W320="","",ROUND(IF(Parámetros!$D$25='TABLAS MORT'!$V$33,EB319,Z320/2),0))</f>
        <v>50000</v>
      </c>
      <c r="EC320" s="118" t="str">
        <f t="shared" si="499"/>
        <v>A</v>
      </c>
      <c r="ED320" s="122">
        <f>+IF(OR($W320="",EB320=0),"",ROUND((VLOOKUP(ROUNDDOWN($D320-1/frec,0),cob_adi,DO$40,FALSE)*(1+i/frec)^-0.5*(1+Parámetros!$D$103)*(1+rec_fracc)/frec),6))</f>
        <v>3.8999999999999999E-5</v>
      </c>
      <c r="EE320" s="66">
        <f t="shared" si="460"/>
        <v>1.95</v>
      </c>
      <c r="EF320" s="68">
        <f t="shared" si="461"/>
        <v>3.8999999999999999E-5</v>
      </c>
      <c r="EG320" s="66">
        <f>+IF($W320="","",ROUND(IF($B320&gt;Parámetros!$D$107,'Tablas Servicio'!EE320+('Tablas Servicio'!EG319-'Tablas Servicio'!EE319),EE320/(1-IF(B320&lt;=10,Parámetros!$D$100,0))),2))</f>
        <v>1.95</v>
      </c>
      <c r="EH320" s="66">
        <f t="shared" si="462"/>
        <v>0</v>
      </c>
      <c r="EI320" s="66">
        <f t="shared" si="462"/>
        <v>0</v>
      </c>
      <c r="EJ320" s="66">
        <f>+IF($W320="","",ROUND((EG320*Parámetros!$G$85),2))</f>
        <v>7.0000000000000007E-2</v>
      </c>
      <c r="EK320" s="66">
        <f>+IF($W320="","",ROUND((EG320*(Parámetros!$G$86)),2))</f>
        <v>0.01</v>
      </c>
      <c r="EL320" s="66">
        <f t="shared" si="463"/>
        <v>2.0299999999999998</v>
      </c>
    </row>
    <row r="321" spans="1:142" x14ac:dyDescent="0.25">
      <c r="A321">
        <f>+IF($C321="","",ROUND(VLOOKUP('Tablas Servicio'!B321,Parámetros!$H$100:$J$159,IF(Parámetros!$E$16="F",2,3),FALSE),2))</f>
        <v>150</v>
      </c>
      <c r="B321">
        <f t="shared" si="414"/>
        <v>24</v>
      </c>
      <c r="C321" s="57">
        <f>+IF(D321="","",'Tablas Servicio'!C320+1)</f>
        <v>280</v>
      </c>
      <c r="D321" s="56">
        <f>+IF(D320&lt;edadmaxtabla,D320+1/Parámetros!$E$25,"")</f>
        <v>63.353333333334</v>
      </c>
      <c r="E321" s="57">
        <f t="shared" si="424"/>
        <v>63</v>
      </c>
      <c r="F321" s="59">
        <f t="shared" si="425"/>
        <v>100000</v>
      </c>
      <c r="G321" s="66">
        <f t="shared" si="415"/>
        <v>72.75</v>
      </c>
      <c r="H321" s="66">
        <f t="shared" si="416"/>
        <v>75.66</v>
      </c>
      <c r="I321" s="66">
        <f t="shared" si="464"/>
        <v>18.340000000000003</v>
      </c>
      <c r="J321" s="66">
        <f t="shared" si="417"/>
        <v>2.5499999999999998</v>
      </c>
      <c r="K321" s="66">
        <f t="shared" si="418"/>
        <v>0.36</v>
      </c>
      <c r="L321" s="66">
        <f t="shared" si="419"/>
        <v>0</v>
      </c>
      <c r="M321" s="66">
        <f t="shared" si="420"/>
        <v>0</v>
      </c>
      <c r="N321" s="66">
        <f>+IF(C321="","",ROUND(Parámetros!$D$23,2))</f>
        <v>94</v>
      </c>
      <c r="O321" s="66">
        <f t="shared" si="421"/>
        <v>60.25</v>
      </c>
      <c r="P321" s="66">
        <f>+IF($C321="","",ROUND(IF(B321&gt;Parámetros!$D$117,0,N321*Parámetros!$D$116-G321*Parámetros!$D$100),2))</f>
        <v>0</v>
      </c>
      <c r="Q321" s="75">
        <f t="shared" si="465"/>
        <v>3.5051546391752578E-2</v>
      </c>
      <c r="R321" s="75">
        <f t="shared" si="466"/>
        <v>4.9484536082474223E-3</v>
      </c>
      <c r="S321" s="117">
        <f>+IF($C321="","",ROUND((S320+I321)*(1+Parámetros!$D$91),2))</f>
        <v>21094.75</v>
      </c>
      <c r="T321" s="117">
        <f>+IF($C321="","",ROUND(S321*VLOOKUP(B321,Parámetros!$C$30:$D$39,2,TRUE),2))</f>
        <v>21094.75</v>
      </c>
      <c r="U321" s="117">
        <f>+IF($C321="","",ROUND((U320+I321)*(1+Parámetros!$D$92),2))</f>
        <v>22630.09</v>
      </c>
      <c r="V321" s="117">
        <f>+IF($C321="","",ROUND(U321*VLOOKUP(B321,Parámetros!$C$30:$D$39,2,TRUE),2))</f>
        <v>22630.09</v>
      </c>
      <c r="W321" s="57">
        <f t="shared" si="467"/>
        <v>280</v>
      </c>
      <c r="X321" t="str">
        <f t="shared" si="468"/>
        <v>00058</v>
      </c>
      <c r="Y321" t="str">
        <f t="shared" si="469"/>
        <v>MUERTE POR CUALQUIER CAUSA</v>
      </c>
      <c r="Z321" s="118">
        <f>+IF($W321="","",ROUND(IF(Parámetros!$D$25='TABLAS MORT'!$V$33,Z320,Parámetros!$D$21-'Tablas Servicio'!T320),0))</f>
        <v>100000</v>
      </c>
      <c r="AA321" s="118" t="str">
        <f t="shared" si="470"/>
        <v>P</v>
      </c>
      <c r="AB321" s="119">
        <f>+IF(W321="","",ROUND((VLOOKUP(ROUNDDOWN($D321-1/frec,0),qx_tabla,2,FALSE)*(1+i/frec)^-0.5*(1+Parámetros!$D$103)*(1+rec_fracc)/frec),6))</f>
        <v>5.8299999999999997E-4</v>
      </c>
      <c r="AC321" s="66">
        <f t="shared" si="426"/>
        <v>58.3</v>
      </c>
      <c r="AD321" s="119">
        <f t="shared" si="422"/>
        <v>7.0799999999999997E-4</v>
      </c>
      <c r="AE321" s="66">
        <f>+IF($W321="","",ROUND(IF($B321&gt;Parámetros!$D$107,'Tablas Servicio'!AC321+('Tablas Servicio'!AG320-'Tablas Servicio'!AC320),AC321/(1-IF(B321&lt;=10,Parámetros!$D$104,Parámetros!$D$105))),2))</f>
        <v>97.17</v>
      </c>
      <c r="AF321" s="66">
        <f>+IF($W321="","",ROUND(IF($B321&gt;Parámetros!$D$107,'Tablas Servicio'!AC321+('Tablas Servicio'!AG320-'Tablas Servicio'!AC320),(AC321+$A320/frec)/(1-IF(B321&lt;=Parámetros!$D$117,Parámetros!$D$100,0))),2))</f>
        <v>70.8</v>
      </c>
      <c r="AG321" s="66">
        <f t="shared" si="427"/>
        <v>70.8</v>
      </c>
      <c r="AH321" s="66">
        <f t="shared" si="428"/>
        <v>0</v>
      </c>
      <c r="AI321" s="66">
        <f t="shared" si="429"/>
        <v>0</v>
      </c>
      <c r="AJ321" s="66">
        <f>+IF($W321="","",ROUND((AG321*Parámetros!$G$85),2))</f>
        <v>2.48</v>
      </c>
      <c r="AK321" s="66">
        <f>+IF($W321="","",ROUND((AG321*(Parámetros!$G$86)),2))</f>
        <v>0.35</v>
      </c>
      <c r="AL321" s="66">
        <f t="shared" si="423"/>
        <v>73.63</v>
      </c>
      <c r="AM321" t="str">
        <f t="shared" si="471"/>
        <v>00059</v>
      </c>
      <c r="AN321" t="str">
        <f t="shared" si="472"/>
        <v>Incapacidad Total y Permanente</v>
      </c>
      <c r="AO321" s="118">
        <f t="shared" si="473"/>
        <v>0</v>
      </c>
      <c r="AP321" s="118" t="str">
        <f t="shared" si="474"/>
        <v>A</v>
      </c>
      <c r="AQ321" s="119" t="str">
        <f>+IF(OR($W321="",AO321=0),"",ROUND((VLOOKUP(ROUNDDOWN($D321-1/frec,0),cob_adi,Z$40,FALSE)*(1+i/frec)^-0.5*(1+Parámetros!$D$103)*(1+rec_fracc)/frec),6))</f>
        <v/>
      </c>
      <c r="AR321" s="66">
        <f t="shared" si="430"/>
        <v>0</v>
      </c>
      <c r="AS321" s="119" t="str">
        <f t="shared" si="431"/>
        <v/>
      </c>
      <c r="AT321" s="66">
        <f>+IF($W321="","",ROUND(IF($B321&gt;Parámetros!$D$107,'Tablas Servicio'!AR321+('Tablas Servicio'!AT320-'Tablas Servicio'!AR320),AR321/(1-IF(B321&lt;=10,Parámetros!$D$100,0))),2))</f>
        <v>0</v>
      </c>
      <c r="AU321" s="66">
        <f t="shared" si="432"/>
        <v>0</v>
      </c>
      <c r="AV321" s="66">
        <f t="shared" si="432"/>
        <v>0</v>
      </c>
      <c r="AW321" s="66">
        <f>+IF($W321="","",ROUND((AT321*Parámetros!$G$85),2))</f>
        <v>0</v>
      </c>
      <c r="AX321" s="66">
        <f>+IF($W321="","",ROUND((AT321*(Parámetros!$G$86)),2))</f>
        <v>0</v>
      </c>
      <c r="AY321" s="66">
        <f t="shared" si="433"/>
        <v>0</v>
      </c>
      <c r="AZ321" t="str">
        <f t="shared" si="475"/>
        <v>00060</v>
      </c>
      <c r="BA321" t="str">
        <f t="shared" si="476"/>
        <v>Muerte Accidental</v>
      </c>
      <c r="BB321" s="118">
        <f t="shared" si="477"/>
        <v>0</v>
      </c>
      <c r="BC321" s="118" t="str">
        <f t="shared" si="478"/>
        <v>A</v>
      </c>
      <c r="BD321" s="119" t="str">
        <f>+IF(OR($W321="",BB321=0),"",ROUND((VLOOKUP(ROUNDDOWN($D321-1/frec,0),cob_adi,AO$40,FALSE)*(1+i/frec)^-0.5*(1+Parámetros!$D$103)*(1+rec_fracc)/frec),6))</f>
        <v/>
      </c>
      <c r="BE321" s="66">
        <f t="shared" si="434"/>
        <v>0</v>
      </c>
      <c r="BF321" s="119" t="str">
        <f t="shared" si="435"/>
        <v/>
      </c>
      <c r="BG321" s="66">
        <f>+IF($W321="","",ROUND(IF($B321&gt;Parámetros!$D$107,'Tablas Servicio'!BE321+('Tablas Servicio'!BG320-'Tablas Servicio'!BE320),BE321/(1-IF(B321&lt;=10,Parámetros!$D$100,0))),2))</f>
        <v>0</v>
      </c>
      <c r="BH321" s="66">
        <f t="shared" si="436"/>
        <v>0</v>
      </c>
      <c r="BI321" s="66">
        <f t="shared" si="437"/>
        <v>0</v>
      </c>
      <c r="BJ321" s="66">
        <f>+IF($W321="","",ROUND((BG321*Parámetros!$G$85),2))</f>
        <v>0</v>
      </c>
      <c r="BK321" s="66">
        <f>+IF($W321="","",ROUND((BG321*(Parámetros!$G$86)),2))</f>
        <v>0</v>
      </c>
      <c r="BL321" s="66">
        <f t="shared" si="438"/>
        <v>0</v>
      </c>
      <c r="BM321" t="str">
        <f t="shared" si="479"/>
        <v>00061</v>
      </c>
      <c r="BN321" t="str">
        <f t="shared" si="480"/>
        <v>Gastos de Entierro</v>
      </c>
      <c r="BO321" s="118">
        <f t="shared" si="481"/>
        <v>0</v>
      </c>
      <c r="BP321" s="118" t="str">
        <f t="shared" si="482"/>
        <v>A</v>
      </c>
      <c r="BQ321" s="119" t="str">
        <f>+IF(OR($W321="",BO321=0),"",ROUND((VLOOKUP(ROUNDDOWN($D321-1/frec,0),cob_adi,BB$40,FALSE)*(1+i/frec)^-0.5*(1+Parámetros!$D$103)*(1+rec_fracc)/frec),6))</f>
        <v/>
      </c>
      <c r="BR321" s="66">
        <f t="shared" si="439"/>
        <v>0</v>
      </c>
      <c r="BS321" s="119" t="str">
        <f t="shared" si="440"/>
        <v/>
      </c>
      <c r="BT321" s="66">
        <f>+IF($W321="","",ROUND(IF($B321&gt;Parámetros!$D$107,'Tablas Servicio'!BR321+('Tablas Servicio'!BT320-'Tablas Servicio'!BR320),BR321/(1-IF(B321&lt;=10,Parámetros!$D$100,0))),2))</f>
        <v>0</v>
      </c>
      <c r="BU321" s="66">
        <f t="shared" si="441"/>
        <v>0</v>
      </c>
      <c r="BV321" s="66">
        <f t="shared" si="441"/>
        <v>0</v>
      </c>
      <c r="BW321" s="66">
        <f>+IF($W321="","",ROUND((BT321*Parámetros!$G$85),2))</f>
        <v>0</v>
      </c>
      <c r="BX321" s="66">
        <f>+IF($W321="","",ROUND((BT321*(Parámetros!$G$86)),2))</f>
        <v>0</v>
      </c>
      <c r="BY321" s="66">
        <f t="shared" si="442"/>
        <v>0</v>
      </c>
      <c r="BZ321" t="str">
        <f t="shared" si="483"/>
        <v>00062</v>
      </c>
      <c r="CA321" t="str">
        <f t="shared" si="484"/>
        <v>Gastos médicos por accidente</v>
      </c>
      <c r="CB321" s="118">
        <f t="shared" si="485"/>
        <v>0</v>
      </c>
      <c r="CC321" s="118" t="str">
        <f t="shared" si="486"/>
        <v>A</v>
      </c>
      <c r="CD321" s="119" t="str">
        <f t="shared" si="443"/>
        <v/>
      </c>
      <c r="CE321" s="66">
        <f>+IF($W321="","",ROUND((VLOOKUP(ROUNDDOWN($D321-1/frec,0),cob_adi,BO$40,FALSE)*(1+i/frec)^-0.5*(1+Parámetros!$D$103)*(1+rec_fracc)/frec*'TABLAS ADI'!$BC$17),2))</f>
        <v>0</v>
      </c>
      <c r="CF321" s="119" t="str">
        <f t="shared" si="444"/>
        <v/>
      </c>
      <c r="CG321" s="66">
        <f>+IF($W321="","",ROUND(IF($B321&gt;Parámetros!$D$107,'Tablas Servicio'!CE321+('Tablas Servicio'!CG320-'Tablas Servicio'!CE320),CE321/(1-IF(B321&lt;=10,Parámetros!$D$100,0))),2))</f>
        <v>0</v>
      </c>
      <c r="CH321" s="66">
        <f t="shared" si="445"/>
        <v>0</v>
      </c>
      <c r="CI321" s="66">
        <f t="shared" si="445"/>
        <v>0</v>
      </c>
      <c r="CJ321" s="66">
        <f>+IF($W321="","",ROUND((CG321*Parámetros!$G$85),2))</f>
        <v>0</v>
      </c>
      <c r="CK321" s="66">
        <f>+IF($W321="","",ROUND((CG321*(Parámetros!$G$86)),2))</f>
        <v>0</v>
      </c>
      <c r="CL321" s="66">
        <f t="shared" si="446"/>
        <v>0</v>
      </c>
      <c r="CM321" t="str">
        <f t="shared" si="487"/>
        <v>00063</v>
      </c>
      <c r="CN321" s="118" t="str">
        <f t="shared" si="488"/>
        <v>Renta Diaria por Hospitalización</v>
      </c>
      <c r="CO321" s="118">
        <f t="shared" si="489"/>
        <v>0</v>
      </c>
      <c r="CP321" s="118" t="str">
        <f t="shared" si="490"/>
        <v>A</v>
      </c>
      <c r="CQ321" s="119" t="str">
        <f t="shared" si="447"/>
        <v/>
      </c>
      <c r="CR321" s="66">
        <f>+IF($W321="","",ROUND((VLOOKUP(Parámetros!$F$51,'COBERTURAS ADICIONALES'!$S$4:$T$32,2,FALSE)*(1+i/frec)^-0.5*(1+Parámetros!$D$103)*(1+rec_fracc)/frec*$CO$42),2))</f>
        <v>0</v>
      </c>
      <c r="CS321" s="119" t="str">
        <f t="shared" si="448"/>
        <v/>
      </c>
      <c r="CT321" s="66">
        <f>+IF($W321="","",ROUND(IF($B321&gt;Parámetros!$D$107,'Tablas Servicio'!CR321+('Tablas Servicio'!CT320-'Tablas Servicio'!CR320),CR321/(1-IF(B321&lt;=10,Parámetros!$D$100,0))),2))</f>
        <v>0</v>
      </c>
      <c r="CU321" s="66">
        <f t="shared" si="449"/>
        <v>0</v>
      </c>
      <c r="CV321" s="66">
        <f t="shared" si="449"/>
        <v>0</v>
      </c>
      <c r="CW321" s="66">
        <f>+IF($W321="","",ROUND((CT321*Parámetros!$G$85),2))</f>
        <v>0</v>
      </c>
      <c r="CX321" s="66">
        <f>+IF($W321="","",ROUND((CT321*(Parámetros!$G$86)),2))</f>
        <v>0</v>
      </c>
      <c r="CY321" s="66">
        <f t="shared" si="450"/>
        <v>0</v>
      </c>
      <c r="CZ321" t="str">
        <f t="shared" si="491"/>
        <v>00064</v>
      </c>
      <c r="DA321" s="118" t="str">
        <f t="shared" si="492"/>
        <v>Enfermedades Graves</v>
      </c>
      <c r="DB321" s="118">
        <f t="shared" si="493"/>
        <v>0</v>
      </c>
      <c r="DC321" s="118" t="str">
        <f t="shared" si="494"/>
        <v>A</v>
      </c>
      <c r="DD321" s="121" t="str">
        <f>+IF(OR($W321="",DB321=0),"",ROUND((VLOOKUP(ROUNDDOWN($D321-1/frec,0),cob_adi,CO$40,FALSE)*(1+i/frec)^-0.5*(1+Parámetros!$D$103)*(1+rec_fracc)/frec),6))</f>
        <v/>
      </c>
      <c r="DE321" s="66">
        <f t="shared" si="451"/>
        <v>0</v>
      </c>
      <c r="DF321" s="119" t="str">
        <f t="shared" si="452"/>
        <v/>
      </c>
      <c r="DG321" s="66">
        <f>+IF($W321="","",ROUND(IF($B321&gt;Parámetros!$D$107,'Tablas Servicio'!DE321+('Tablas Servicio'!DG320-'Tablas Servicio'!DE320),DE321/(1-IF(B321&lt;=10,Parámetros!$D$100,0))),2))</f>
        <v>0</v>
      </c>
      <c r="DH321" s="66">
        <f t="shared" si="453"/>
        <v>0</v>
      </c>
      <c r="DI321" s="66">
        <f t="shared" si="453"/>
        <v>0</v>
      </c>
      <c r="DJ321" s="66">
        <f>+IF($W321="","",ROUND((DG321*Parámetros!$G$85),2))</f>
        <v>0</v>
      </c>
      <c r="DK321" s="66">
        <f>+IF($W321="","",ROUND((DG321*(Parámetros!$G$86)),2))</f>
        <v>0</v>
      </c>
      <c r="DL321" s="66">
        <f t="shared" si="454"/>
        <v>0</v>
      </c>
      <c r="DM321" t="str">
        <f t="shared" si="495"/>
        <v>00065</v>
      </c>
      <c r="DN321" s="118" t="str">
        <f t="shared" si="496"/>
        <v>Exención pago de primas</v>
      </c>
      <c r="DO321" s="118">
        <f t="shared" si="497"/>
        <v>0</v>
      </c>
      <c r="DP321" s="118" t="str">
        <f t="shared" si="498"/>
        <v>A</v>
      </c>
      <c r="DQ321" s="122" t="str">
        <f>+IF(OR($W321="",DO321=0),"",ROUND((VLOOKUP(ROUNDDOWN($D321-1/frec,0),cob_adi,DB$40,FALSE)*(1+i/frec)^-0.5*(1+Parámetros!$D$103)*(1+rec_fracc)/frec),6))</f>
        <v/>
      </c>
      <c r="DR321" s="66">
        <f t="shared" si="455"/>
        <v>0</v>
      </c>
      <c r="DS321" s="68" t="str">
        <f t="shared" si="456"/>
        <v/>
      </c>
      <c r="DT321" s="66">
        <f>+IF($W321="","",ROUND(IF($B321&gt;Parámetros!$D$107,'Tablas Servicio'!DR321+('Tablas Servicio'!DT320-'Tablas Servicio'!DR320),DR321/(1-IF(B321&lt;=10,Parámetros!$D$100,0))),2))</f>
        <v>0</v>
      </c>
      <c r="DU321" s="66">
        <f t="shared" si="457"/>
        <v>0</v>
      </c>
      <c r="DV321" s="66">
        <f t="shared" si="457"/>
        <v>0</v>
      </c>
      <c r="DW321" s="66">
        <f>+IF($W321="","",ROUND((DT321*Parámetros!$G$85),2))</f>
        <v>0</v>
      </c>
      <c r="DX321" s="66">
        <f>+IF($W321="","",ROUND((DT321*(Parámetros!$G$86)),2))</f>
        <v>0</v>
      </c>
      <c r="DY321" s="66">
        <f t="shared" si="458"/>
        <v>0</v>
      </c>
      <c r="DZ321" t="str">
        <f t="shared" si="499"/>
        <v>00066</v>
      </c>
      <c r="EA321" s="118" t="str">
        <f t="shared" si="499"/>
        <v>Enfermedad terminal</v>
      </c>
      <c r="EB321" s="118">
        <f>+IF($W321="","",ROUND(IF(Parámetros!$D$25='TABLAS MORT'!$V$33,EB320,Z321/2),0))</f>
        <v>50000</v>
      </c>
      <c r="EC321" s="118" t="str">
        <f t="shared" si="499"/>
        <v>A</v>
      </c>
      <c r="ED321" s="122">
        <f>+IF(OR($W321="",EB321=0),"",ROUND((VLOOKUP(ROUNDDOWN($D321-1/frec,0),cob_adi,DO$40,FALSE)*(1+i/frec)^-0.5*(1+Parámetros!$D$103)*(1+rec_fracc)/frec),6))</f>
        <v>3.8999999999999999E-5</v>
      </c>
      <c r="EE321" s="66">
        <f t="shared" si="460"/>
        <v>1.95</v>
      </c>
      <c r="EF321" s="68">
        <f t="shared" si="461"/>
        <v>3.8999999999999999E-5</v>
      </c>
      <c r="EG321" s="66">
        <f>+IF($W321="","",ROUND(IF($B321&gt;Parámetros!$D$107,'Tablas Servicio'!EE321+('Tablas Servicio'!EG320-'Tablas Servicio'!EE320),EE321/(1-IF(B321&lt;=10,Parámetros!$D$100,0))),2))</f>
        <v>1.95</v>
      </c>
      <c r="EH321" s="66">
        <f t="shared" si="462"/>
        <v>0</v>
      </c>
      <c r="EI321" s="66">
        <f t="shared" si="462"/>
        <v>0</v>
      </c>
      <c r="EJ321" s="66">
        <f>+IF($W321="","",ROUND((EG321*Parámetros!$G$85),2))</f>
        <v>7.0000000000000007E-2</v>
      </c>
      <c r="EK321" s="66">
        <f>+IF($W321="","",ROUND((EG321*(Parámetros!$G$86)),2))</f>
        <v>0.01</v>
      </c>
      <c r="EL321" s="66">
        <f t="shared" si="463"/>
        <v>2.0299999999999998</v>
      </c>
    </row>
    <row r="322" spans="1:142" x14ac:dyDescent="0.25">
      <c r="A322">
        <f>+IF($C322="","",ROUND(VLOOKUP('Tablas Servicio'!B322,Parámetros!$H$100:$J$159,IF(Parámetros!$E$16="F",2,3),FALSE),2))</f>
        <v>150</v>
      </c>
      <c r="B322">
        <f t="shared" si="414"/>
        <v>24</v>
      </c>
      <c r="C322" s="57">
        <f>+IF(D322="","",'Tablas Servicio'!C321+1)</f>
        <v>281</v>
      </c>
      <c r="D322" s="56">
        <f>+IF(D321&lt;edadmaxtabla,D321+1/Parámetros!$E$25,"")</f>
        <v>63.436666666667335</v>
      </c>
      <c r="E322" s="57">
        <f t="shared" si="424"/>
        <v>63</v>
      </c>
      <c r="F322" s="59">
        <f t="shared" si="425"/>
        <v>100000</v>
      </c>
      <c r="G322" s="66">
        <f t="shared" si="415"/>
        <v>72.75</v>
      </c>
      <c r="H322" s="66">
        <f t="shared" si="416"/>
        <v>75.66</v>
      </c>
      <c r="I322" s="66">
        <f t="shared" si="464"/>
        <v>18.340000000000003</v>
      </c>
      <c r="J322" s="66">
        <f t="shared" si="417"/>
        <v>2.5499999999999998</v>
      </c>
      <c r="K322" s="66">
        <f t="shared" si="418"/>
        <v>0.36</v>
      </c>
      <c r="L322" s="66">
        <f t="shared" si="419"/>
        <v>0</v>
      </c>
      <c r="M322" s="66">
        <f t="shared" si="420"/>
        <v>0</v>
      </c>
      <c r="N322" s="66">
        <f>+IF(C322="","",ROUND(Parámetros!$D$23,2))</f>
        <v>94</v>
      </c>
      <c r="O322" s="66">
        <f t="shared" si="421"/>
        <v>60.25</v>
      </c>
      <c r="P322" s="66">
        <f>+IF($C322="","",ROUND(IF(B322&gt;Parámetros!$D$117,0,N322*Parámetros!$D$116-G322*Parámetros!$D$100),2))</f>
        <v>0</v>
      </c>
      <c r="Q322" s="75">
        <f t="shared" si="465"/>
        <v>3.5051546391752578E-2</v>
      </c>
      <c r="R322" s="75">
        <f t="shared" si="466"/>
        <v>4.9484536082474223E-3</v>
      </c>
      <c r="S322" s="117">
        <f>+IF($C322="","",ROUND((S321+I322)*(1+Parámetros!$D$91),2))</f>
        <v>21172.98</v>
      </c>
      <c r="T322" s="117">
        <f>+IF($C322="","",ROUND(S322*VLOOKUP(B322,Parámetros!$C$30:$D$39,2,TRUE),2))</f>
        <v>21172.98</v>
      </c>
      <c r="U322" s="117">
        <f>+IF($C322="","",ROUND((U321+I322)*(1+Parámetros!$D$92),2))</f>
        <v>22721.85</v>
      </c>
      <c r="V322" s="117">
        <f>+IF($C322="","",ROUND(U322*VLOOKUP(B322,Parámetros!$C$30:$D$39,2,TRUE),2))</f>
        <v>22721.85</v>
      </c>
      <c r="W322" s="57">
        <f t="shared" si="467"/>
        <v>281</v>
      </c>
      <c r="X322" t="str">
        <f t="shared" si="468"/>
        <v>00058</v>
      </c>
      <c r="Y322" t="str">
        <f t="shared" si="469"/>
        <v>MUERTE POR CUALQUIER CAUSA</v>
      </c>
      <c r="Z322" s="118">
        <f>+IF($W322="","",ROUND(IF(Parámetros!$D$25='TABLAS MORT'!$V$33,Z321,Parámetros!$D$21-'Tablas Servicio'!T321),0))</f>
        <v>100000</v>
      </c>
      <c r="AA322" s="118" t="str">
        <f t="shared" si="470"/>
        <v>P</v>
      </c>
      <c r="AB322" s="119">
        <f>+IF(W322="","",ROUND((VLOOKUP(ROUNDDOWN($D322-1/frec,0),qx_tabla,2,FALSE)*(1+i/frec)^-0.5*(1+Parámetros!$D$103)*(1+rec_fracc)/frec),6))</f>
        <v>5.8299999999999997E-4</v>
      </c>
      <c r="AC322" s="66">
        <f t="shared" si="426"/>
        <v>58.3</v>
      </c>
      <c r="AD322" s="119">
        <f t="shared" si="422"/>
        <v>7.0799999999999997E-4</v>
      </c>
      <c r="AE322" s="66">
        <f>+IF($W322="","",ROUND(IF($B322&gt;Parámetros!$D$107,'Tablas Servicio'!AC322+('Tablas Servicio'!AG321-'Tablas Servicio'!AC321),AC322/(1-IF(B322&lt;=10,Parámetros!$D$104,Parámetros!$D$105))),2))</f>
        <v>97.17</v>
      </c>
      <c r="AF322" s="66">
        <f>+IF($W322="","",ROUND(IF($B322&gt;Parámetros!$D$107,'Tablas Servicio'!AC322+('Tablas Servicio'!AG321-'Tablas Servicio'!AC321),(AC322+$A321/frec)/(1-IF(B322&lt;=Parámetros!$D$117,Parámetros!$D$100,0))),2))</f>
        <v>70.8</v>
      </c>
      <c r="AG322" s="66">
        <f t="shared" si="427"/>
        <v>70.8</v>
      </c>
      <c r="AH322" s="66">
        <f t="shared" si="428"/>
        <v>0</v>
      </c>
      <c r="AI322" s="66">
        <f t="shared" si="429"/>
        <v>0</v>
      </c>
      <c r="AJ322" s="66">
        <f>+IF($W322="","",ROUND((AG322*Parámetros!$G$85),2))</f>
        <v>2.48</v>
      </c>
      <c r="AK322" s="66">
        <f>+IF($W322="","",ROUND((AG322*(Parámetros!$G$86)),2))</f>
        <v>0.35</v>
      </c>
      <c r="AL322" s="66">
        <f t="shared" si="423"/>
        <v>73.63</v>
      </c>
      <c r="AM322" t="str">
        <f t="shared" si="471"/>
        <v>00059</v>
      </c>
      <c r="AN322" t="str">
        <f t="shared" si="472"/>
        <v>Incapacidad Total y Permanente</v>
      </c>
      <c r="AO322" s="118">
        <f t="shared" si="473"/>
        <v>0</v>
      </c>
      <c r="AP322" s="118" t="str">
        <f t="shared" si="474"/>
        <v>A</v>
      </c>
      <c r="AQ322" s="119" t="str">
        <f>+IF(OR($W322="",AO322=0),"",ROUND((VLOOKUP(ROUNDDOWN($D322-1/frec,0),cob_adi,Z$40,FALSE)*(1+i/frec)^-0.5*(1+Parámetros!$D$103)*(1+rec_fracc)/frec),6))</f>
        <v/>
      </c>
      <c r="AR322" s="66">
        <f t="shared" si="430"/>
        <v>0</v>
      </c>
      <c r="AS322" s="119" t="str">
        <f t="shared" si="431"/>
        <v/>
      </c>
      <c r="AT322" s="66">
        <f>+IF($W322="","",ROUND(IF($B322&gt;Parámetros!$D$107,'Tablas Servicio'!AR322+('Tablas Servicio'!AT321-'Tablas Servicio'!AR321),AR322/(1-IF(B322&lt;=10,Parámetros!$D$100,0))),2))</f>
        <v>0</v>
      </c>
      <c r="AU322" s="66">
        <f t="shared" si="432"/>
        <v>0</v>
      </c>
      <c r="AV322" s="66">
        <f t="shared" si="432"/>
        <v>0</v>
      </c>
      <c r="AW322" s="66">
        <f>+IF($W322="","",ROUND((AT322*Parámetros!$G$85),2))</f>
        <v>0</v>
      </c>
      <c r="AX322" s="66">
        <f>+IF($W322="","",ROUND((AT322*(Parámetros!$G$86)),2))</f>
        <v>0</v>
      </c>
      <c r="AY322" s="66">
        <f t="shared" si="433"/>
        <v>0</v>
      </c>
      <c r="AZ322" t="str">
        <f t="shared" si="475"/>
        <v>00060</v>
      </c>
      <c r="BA322" t="str">
        <f t="shared" si="476"/>
        <v>Muerte Accidental</v>
      </c>
      <c r="BB322" s="118">
        <f t="shared" si="477"/>
        <v>0</v>
      </c>
      <c r="BC322" s="118" t="str">
        <f t="shared" si="478"/>
        <v>A</v>
      </c>
      <c r="BD322" s="119" t="str">
        <f>+IF(OR($W322="",BB322=0),"",ROUND((VLOOKUP(ROUNDDOWN($D322-1/frec,0),cob_adi,AO$40,FALSE)*(1+i/frec)^-0.5*(1+Parámetros!$D$103)*(1+rec_fracc)/frec),6))</f>
        <v/>
      </c>
      <c r="BE322" s="66">
        <f t="shared" si="434"/>
        <v>0</v>
      </c>
      <c r="BF322" s="119" t="str">
        <f t="shared" si="435"/>
        <v/>
      </c>
      <c r="BG322" s="66">
        <f>+IF($W322="","",ROUND(IF($B322&gt;Parámetros!$D$107,'Tablas Servicio'!BE322+('Tablas Servicio'!BG321-'Tablas Servicio'!BE321),BE322/(1-IF(B322&lt;=10,Parámetros!$D$100,0))),2))</f>
        <v>0</v>
      </c>
      <c r="BH322" s="66">
        <f t="shared" si="436"/>
        <v>0</v>
      </c>
      <c r="BI322" s="66">
        <f t="shared" si="437"/>
        <v>0</v>
      </c>
      <c r="BJ322" s="66">
        <f>+IF($W322="","",ROUND((BG322*Parámetros!$G$85),2))</f>
        <v>0</v>
      </c>
      <c r="BK322" s="66">
        <f>+IF($W322="","",ROUND((BG322*(Parámetros!$G$86)),2))</f>
        <v>0</v>
      </c>
      <c r="BL322" s="66">
        <f t="shared" si="438"/>
        <v>0</v>
      </c>
      <c r="BM322" t="str">
        <f t="shared" si="479"/>
        <v>00061</v>
      </c>
      <c r="BN322" t="str">
        <f t="shared" si="480"/>
        <v>Gastos de Entierro</v>
      </c>
      <c r="BO322" s="118">
        <f t="shared" si="481"/>
        <v>0</v>
      </c>
      <c r="BP322" s="118" t="str">
        <f t="shared" si="482"/>
        <v>A</v>
      </c>
      <c r="BQ322" s="119" t="str">
        <f>+IF(OR($W322="",BO322=0),"",ROUND((VLOOKUP(ROUNDDOWN($D322-1/frec,0),cob_adi,BB$40,FALSE)*(1+i/frec)^-0.5*(1+Parámetros!$D$103)*(1+rec_fracc)/frec),6))</f>
        <v/>
      </c>
      <c r="BR322" s="66">
        <f t="shared" si="439"/>
        <v>0</v>
      </c>
      <c r="BS322" s="119" t="str">
        <f t="shared" si="440"/>
        <v/>
      </c>
      <c r="BT322" s="66">
        <f>+IF($W322="","",ROUND(IF($B322&gt;Parámetros!$D$107,'Tablas Servicio'!BR322+('Tablas Servicio'!BT321-'Tablas Servicio'!BR321),BR322/(1-IF(B322&lt;=10,Parámetros!$D$100,0))),2))</f>
        <v>0</v>
      </c>
      <c r="BU322" s="66">
        <f t="shared" si="441"/>
        <v>0</v>
      </c>
      <c r="BV322" s="66">
        <f t="shared" si="441"/>
        <v>0</v>
      </c>
      <c r="BW322" s="66">
        <f>+IF($W322="","",ROUND((BT322*Parámetros!$G$85),2))</f>
        <v>0</v>
      </c>
      <c r="BX322" s="66">
        <f>+IF($W322="","",ROUND((BT322*(Parámetros!$G$86)),2))</f>
        <v>0</v>
      </c>
      <c r="BY322" s="66">
        <f t="shared" si="442"/>
        <v>0</v>
      </c>
      <c r="BZ322" t="str">
        <f t="shared" si="483"/>
        <v>00062</v>
      </c>
      <c r="CA322" t="str">
        <f t="shared" si="484"/>
        <v>Gastos médicos por accidente</v>
      </c>
      <c r="CB322" s="118">
        <f t="shared" si="485"/>
        <v>0</v>
      </c>
      <c r="CC322" s="118" t="str">
        <f t="shared" si="486"/>
        <v>A</v>
      </c>
      <c r="CD322" s="119" t="str">
        <f t="shared" si="443"/>
        <v/>
      </c>
      <c r="CE322" s="66">
        <f>+IF($W322="","",ROUND((VLOOKUP(ROUNDDOWN($D322-1/frec,0),cob_adi,BO$40,FALSE)*(1+i/frec)^-0.5*(1+Parámetros!$D$103)*(1+rec_fracc)/frec*'TABLAS ADI'!$BC$17),2))</f>
        <v>0</v>
      </c>
      <c r="CF322" s="119" t="str">
        <f t="shared" si="444"/>
        <v/>
      </c>
      <c r="CG322" s="66">
        <f>+IF($W322="","",ROUND(IF($B322&gt;Parámetros!$D$107,'Tablas Servicio'!CE322+('Tablas Servicio'!CG321-'Tablas Servicio'!CE321),CE322/(1-IF(B322&lt;=10,Parámetros!$D$100,0))),2))</f>
        <v>0</v>
      </c>
      <c r="CH322" s="66">
        <f t="shared" si="445"/>
        <v>0</v>
      </c>
      <c r="CI322" s="66">
        <f t="shared" si="445"/>
        <v>0</v>
      </c>
      <c r="CJ322" s="66">
        <f>+IF($W322="","",ROUND((CG322*Parámetros!$G$85),2))</f>
        <v>0</v>
      </c>
      <c r="CK322" s="66">
        <f>+IF($W322="","",ROUND((CG322*(Parámetros!$G$86)),2))</f>
        <v>0</v>
      </c>
      <c r="CL322" s="66">
        <f t="shared" si="446"/>
        <v>0</v>
      </c>
      <c r="CM322" t="str">
        <f t="shared" si="487"/>
        <v>00063</v>
      </c>
      <c r="CN322" s="118" t="str">
        <f t="shared" si="488"/>
        <v>Renta Diaria por Hospitalización</v>
      </c>
      <c r="CO322" s="118">
        <f t="shared" si="489"/>
        <v>0</v>
      </c>
      <c r="CP322" s="118" t="str">
        <f t="shared" si="490"/>
        <v>A</v>
      </c>
      <c r="CQ322" s="119" t="str">
        <f t="shared" si="447"/>
        <v/>
      </c>
      <c r="CR322" s="66">
        <f>+IF($W322="","",ROUND((VLOOKUP(Parámetros!$F$51,'COBERTURAS ADICIONALES'!$S$4:$T$32,2,FALSE)*(1+i/frec)^-0.5*(1+Parámetros!$D$103)*(1+rec_fracc)/frec*$CO$42),2))</f>
        <v>0</v>
      </c>
      <c r="CS322" s="119" t="str">
        <f t="shared" si="448"/>
        <v/>
      </c>
      <c r="CT322" s="66">
        <f>+IF($W322="","",ROUND(IF($B322&gt;Parámetros!$D$107,'Tablas Servicio'!CR322+('Tablas Servicio'!CT321-'Tablas Servicio'!CR321),CR322/(1-IF(B322&lt;=10,Parámetros!$D$100,0))),2))</f>
        <v>0</v>
      </c>
      <c r="CU322" s="66">
        <f t="shared" si="449"/>
        <v>0</v>
      </c>
      <c r="CV322" s="66">
        <f t="shared" si="449"/>
        <v>0</v>
      </c>
      <c r="CW322" s="66">
        <f>+IF($W322="","",ROUND((CT322*Parámetros!$G$85),2))</f>
        <v>0</v>
      </c>
      <c r="CX322" s="66">
        <f>+IF($W322="","",ROUND((CT322*(Parámetros!$G$86)),2))</f>
        <v>0</v>
      </c>
      <c r="CY322" s="66">
        <f t="shared" si="450"/>
        <v>0</v>
      </c>
      <c r="CZ322" t="str">
        <f t="shared" si="491"/>
        <v>00064</v>
      </c>
      <c r="DA322" s="118" t="str">
        <f t="shared" si="492"/>
        <v>Enfermedades Graves</v>
      </c>
      <c r="DB322" s="118">
        <f t="shared" si="493"/>
        <v>0</v>
      </c>
      <c r="DC322" s="118" t="str">
        <f t="shared" si="494"/>
        <v>A</v>
      </c>
      <c r="DD322" s="121" t="str">
        <f>+IF(OR($W322="",DB322=0),"",ROUND((VLOOKUP(ROUNDDOWN($D322-1/frec,0),cob_adi,CO$40,FALSE)*(1+i/frec)^-0.5*(1+Parámetros!$D$103)*(1+rec_fracc)/frec),6))</f>
        <v/>
      </c>
      <c r="DE322" s="66">
        <f t="shared" si="451"/>
        <v>0</v>
      </c>
      <c r="DF322" s="119" t="str">
        <f t="shared" si="452"/>
        <v/>
      </c>
      <c r="DG322" s="66">
        <f>+IF($W322="","",ROUND(IF($B322&gt;Parámetros!$D$107,'Tablas Servicio'!DE322+('Tablas Servicio'!DG321-'Tablas Servicio'!DE321),DE322/(1-IF(B322&lt;=10,Parámetros!$D$100,0))),2))</f>
        <v>0</v>
      </c>
      <c r="DH322" s="66">
        <f t="shared" si="453"/>
        <v>0</v>
      </c>
      <c r="DI322" s="66">
        <f t="shared" si="453"/>
        <v>0</v>
      </c>
      <c r="DJ322" s="66">
        <f>+IF($W322="","",ROUND((DG322*Parámetros!$G$85),2))</f>
        <v>0</v>
      </c>
      <c r="DK322" s="66">
        <f>+IF($W322="","",ROUND((DG322*(Parámetros!$G$86)),2))</f>
        <v>0</v>
      </c>
      <c r="DL322" s="66">
        <f t="shared" si="454"/>
        <v>0</v>
      </c>
      <c r="DM322" t="str">
        <f t="shared" si="495"/>
        <v>00065</v>
      </c>
      <c r="DN322" s="118" t="str">
        <f t="shared" si="496"/>
        <v>Exención pago de primas</v>
      </c>
      <c r="DO322" s="118">
        <f t="shared" si="497"/>
        <v>0</v>
      </c>
      <c r="DP322" s="118" t="str">
        <f t="shared" si="498"/>
        <v>A</v>
      </c>
      <c r="DQ322" s="122" t="str">
        <f>+IF(OR($W322="",DO322=0),"",ROUND((VLOOKUP(ROUNDDOWN($D322-1/frec,0),cob_adi,DB$40,FALSE)*(1+i/frec)^-0.5*(1+Parámetros!$D$103)*(1+rec_fracc)/frec),6))</f>
        <v/>
      </c>
      <c r="DR322" s="66">
        <f t="shared" si="455"/>
        <v>0</v>
      </c>
      <c r="DS322" s="68" t="str">
        <f t="shared" si="456"/>
        <v/>
      </c>
      <c r="DT322" s="66">
        <f>+IF($W322="","",ROUND(IF($B322&gt;Parámetros!$D$107,'Tablas Servicio'!DR322+('Tablas Servicio'!DT321-'Tablas Servicio'!DR321),DR322/(1-IF(B322&lt;=10,Parámetros!$D$100,0))),2))</f>
        <v>0</v>
      </c>
      <c r="DU322" s="66">
        <f t="shared" si="457"/>
        <v>0</v>
      </c>
      <c r="DV322" s="66">
        <f t="shared" si="457"/>
        <v>0</v>
      </c>
      <c r="DW322" s="66">
        <f>+IF($W322="","",ROUND((DT322*Parámetros!$G$85),2))</f>
        <v>0</v>
      </c>
      <c r="DX322" s="66">
        <f>+IF($W322="","",ROUND((DT322*(Parámetros!$G$86)),2))</f>
        <v>0</v>
      </c>
      <c r="DY322" s="66">
        <f t="shared" si="458"/>
        <v>0</v>
      </c>
      <c r="DZ322" t="str">
        <f t="shared" si="499"/>
        <v>00066</v>
      </c>
      <c r="EA322" s="118" t="str">
        <f t="shared" si="499"/>
        <v>Enfermedad terminal</v>
      </c>
      <c r="EB322" s="118">
        <f>+IF($W322="","",ROUND(IF(Parámetros!$D$25='TABLAS MORT'!$V$33,EB321,Z322/2),0))</f>
        <v>50000</v>
      </c>
      <c r="EC322" s="118" t="str">
        <f t="shared" si="499"/>
        <v>A</v>
      </c>
      <c r="ED322" s="122">
        <f>+IF(OR($W322="",EB322=0),"",ROUND((VLOOKUP(ROUNDDOWN($D322-1/frec,0),cob_adi,DO$40,FALSE)*(1+i/frec)^-0.5*(1+Parámetros!$D$103)*(1+rec_fracc)/frec),6))</f>
        <v>3.8999999999999999E-5</v>
      </c>
      <c r="EE322" s="66">
        <f t="shared" si="460"/>
        <v>1.95</v>
      </c>
      <c r="EF322" s="68">
        <f t="shared" si="461"/>
        <v>3.8999999999999999E-5</v>
      </c>
      <c r="EG322" s="66">
        <f>+IF($W322="","",ROUND(IF($B322&gt;Parámetros!$D$107,'Tablas Servicio'!EE322+('Tablas Servicio'!EG321-'Tablas Servicio'!EE321),EE322/(1-IF(B322&lt;=10,Parámetros!$D$100,0))),2))</f>
        <v>1.95</v>
      </c>
      <c r="EH322" s="66">
        <f t="shared" si="462"/>
        <v>0</v>
      </c>
      <c r="EI322" s="66">
        <f t="shared" si="462"/>
        <v>0</v>
      </c>
      <c r="EJ322" s="66">
        <f>+IF($W322="","",ROUND((EG322*Parámetros!$G$85),2))</f>
        <v>7.0000000000000007E-2</v>
      </c>
      <c r="EK322" s="66">
        <f>+IF($W322="","",ROUND((EG322*(Parámetros!$G$86)),2))</f>
        <v>0.01</v>
      </c>
      <c r="EL322" s="66">
        <f t="shared" si="463"/>
        <v>2.0299999999999998</v>
      </c>
    </row>
    <row r="323" spans="1:142" x14ac:dyDescent="0.25">
      <c r="A323">
        <f>+IF($C323="","",ROUND(VLOOKUP('Tablas Servicio'!B323,Parámetros!$H$100:$J$159,IF(Parámetros!$E$16="F",2,3),FALSE),2))</f>
        <v>150</v>
      </c>
      <c r="B323">
        <f t="shared" si="414"/>
        <v>24</v>
      </c>
      <c r="C323" s="57">
        <f>+IF(D323="","",'Tablas Servicio'!C322+1)</f>
        <v>282</v>
      </c>
      <c r="D323" s="56">
        <f>+IF(D322&lt;edadmaxtabla,D322+1/Parámetros!$E$25,"")</f>
        <v>63.520000000000671</v>
      </c>
      <c r="E323" s="57">
        <f t="shared" si="424"/>
        <v>63</v>
      </c>
      <c r="F323" s="59">
        <f t="shared" si="425"/>
        <v>100000</v>
      </c>
      <c r="G323" s="66">
        <f t="shared" si="415"/>
        <v>72.75</v>
      </c>
      <c r="H323" s="66">
        <f t="shared" si="416"/>
        <v>75.66</v>
      </c>
      <c r="I323" s="66">
        <f t="shared" si="464"/>
        <v>18.340000000000003</v>
      </c>
      <c r="J323" s="66">
        <f t="shared" si="417"/>
        <v>2.5499999999999998</v>
      </c>
      <c r="K323" s="66">
        <f t="shared" si="418"/>
        <v>0.36</v>
      </c>
      <c r="L323" s="66">
        <f t="shared" si="419"/>
        <v>0</v>
      </c>
      <c r="M323" s="66">
        <f t="shared" si="420"/>
        <v>0</v>
      </c>
      <c r="N323" s="66">
        <f>+IF(C323="","",ROUND(Parámetros!$D$23,2))</f>
        <v>94</v>
      </c>
      <c r="O323" s="66">
        <f t="shared" si="421"/>
        <v>60.25</v>
      </c>
      <c r="P323" s="66">
        <f>+IF($C323="","",ROUND(IF(B323&gt;Parámetros!$D$117,0,N323*Parámetros!$D$116-G323*Parámetros!$D$100),2))</f>
        <v>0</v>
      </c>
      <c r="Q323" s="75">
        <f t="shared" si="465"/>
        <v>3.5051546391752578E-2</v>
      </c>
      <c r="R323" s="75">
        <f t="shared" si="466"/>
        <v>4.9484536082474223E-3</v>
      </c>
      <c r="S323" s="117">
        <f>+IF($C323="","",ROUND((S322+I323)*(1+Parámetros!$D$91),2))</f>
        <v>21251.43</v>
      </c>
      <c r="T323" s="117">
        <f>+IF($C323="","",ROUND(S323*VLOOKUP(B323,Parámetros!$C$30:$D$39,2,TRUE),2))</f>
        <v>21251.43</v>
      </c>
      <c r="U323" s="117">
        <f>+IF($C323="","",ROUND((U322+I323)*(1+Parámetros!$D$92),2))</f>
        <v>22813.91</v>
      </c>
      <c r="V323" s="117">
        <f>+IF($C323="","",ROUND(U323*VLOOKUP(B323,Parámetros!$C$30:$D$39,2,TRUE),2))</f>
        <v>22813.91</v>
      </c>
      <c r="W323" s="57">
        <f t="shared" si="467"/>
        <v>282</v>
      </c>
      <c r="X323" t="str">
        <f t="shared" si="468"/>
        <v>00058</v>
      </c>
      <c r="Y323" t="str">
        <f t="shared" si="469"/>
        <v>MUERTE POR CUALQUIER CAUSA</v>
      </c>
      <c r="Z323" s="118">
        <f>+IF($W323="","",ROUND(IF(Parámetros!$D$25='TABLAS MORT'!$V$33,Z322,Parámetros!$D$21-'Tablas Servicio'!T322),0))</f>
        <v>100000</v>
      </c>
      <c r="AA323" s="118" t="str">
        <f t="shared" si="470"/>
        <v>P</v>
      </c>
      <c r="AB323" s="119">
        <f>+IF(W323="","",ROUND((VLOOKUP(ROUNDDOWN($D323-1/frec,0),qx_tabla,2,FALSE)*(1+i/frec)^-0.5*(1+Parámetros!$D$103)*(1+rec_fracc)/frec),6))</f>
        <v>5.8299999999999997E-4</v>
      </c>
      <c r="AC323" s="66">
        <f t="shared" si="426"/>
        <v>58.3</v>
      </c>
      <c r="AD323" s="119">
        <f t="shared" si="422"/>
        <v>7.0799999999999997E-4</v>
      </c>
      <c r="AE323" s="66">
        <f>+IF($W323="","",ROUND(IF($B323&gt;Parámetros!$D$107,'Tablas Servicio'!AC323+('Tablas Servicio'!AG322-'Tablas Servicio'!AC322),AC323/(1-IF(B323&lt;=10,Parámetros!$D$104,Parámetros!$D$105))),2))</f>
        <v>97.17</v>
      </c>
      <c r="AF323" s="66">
        <f>+IF($W323="","",ROUND(IF($B323&gt;Parámetros!$D$107,'Tablas Servicio'!AC323+('Tablas Servicio'!AG322-'Tablas Servicio'!AC322),(AC323+$A322/frec)/(1-IF(B323&lt;=Parámetros!$D$117,Parámetros!$D$100,0))),2))</f>
        <v>70.8</v>
      </c>
      <c r="AG323" s="66">
        <f t="shared" si="427"/>
        <v>70.8</v>
      </c>
      <c r="AH323" s="66">
        <f t="shared" si="428"/>
        <v>0</v>
      </c>
      <c r="AI323" s="66">
        <f t="shared" si="429"/>
        <v>0</v>
      </c>
      <c r="AJ323" s="66">
        <f>+IF($W323="","",ROUND((AG323*Parámetros!$G$85),2))</f>
        <v>2.48</v>
      </c>
      <c r="AK323" s="66">
        <f>+IF($W323="","",ROUND((AG323*(Parámetros!$G$86)),2))</f>
        <v>0.35</v>
      </c>
      <c r="AL323" s="66">
        <f t="shared" si="423"/>
        <v>73.63</v>
      </c>
      <c r="AM323" t="str">
        <f t="shared" si="471"/>
        <v>00059</v>
      </c>
      <c r="AN323" t="str">
        <f t="shared" si="472"/>
        <v>Incapacidad Total y Permanente</v>
      </c>
      <c r="AO323" s="118">
        <f t="shared" si="473"/>
        <v>0</v>
      </c>
      <c r="AP323" s="118" t="str">
        <f t="shared" si="474"/>
        <v>A</v>
      </c>
      <c r="AQ323" s="119" t="str">
        <f>+IF(OR($W323="",AO323=0),"",ROUND((VLOOKUP(ROUNDDOWN($D323-1/frec,0),cob_adi,Z$40,FALSE)*(1+i/frec)^-0.5*(1+Parámetros!$D$103)*(1+rec_fracc)/frec),6))</f>
        <v/>
      </c>
      <c r="AR323" s="66">
        <f t="shared" si="430"/>
        <v>0</v>
      </c>
      <c r="AS323" s="119" t="str">
        <f t="shared" si="431"/>
        <v/>
      </c>
      <c r="AT323" s="66">
        <f>+IF($W323="","",ROUND(IF($B323&gt;Parámetros!$D$107,'Tablas Servicio'!AR323+('Tablas Servicio'!AT322-'Tablas Servicio'!AR322),AR323/(1-IF(B323&lt;=10,Parámetros!$D$100,0))),2))</f>
        <v>0</v>
      </c>
      <c r="AU323" s="66">
        <f t="shared" si="432"/>
        <v>0</v>
      </c>
      <c r="AV323" s="66">
        <f t="shared" si="432"/>
        <v>0</v>
      </c>
      <c r="AW323" s="66">
        <f>+IF($W323="","",ROUND((AT323*Parámetros!$G$85),2))</f>
        <v>0</v>
      </c>
      <c r="AX323" s="66">
        <f>+IF($W323="","",ROUND((AT323*(Parámetros!$G$86)),2))</f>
        <v>0</v>
      </c>
      <c r="AY323" s="66">
        <f t="shared" si="433"/>
        <v>0</v>
      </c>
      <c r="AZ323" t="str">
        <f t="shared" si="475"/>
        <v>00060</v>
      </c>
      <c r="BA323" t="str">
        <f t="shared" si="476"/>
        <v>Muerte Accidental</v>
      </c>
      <c r="BB323" s="118">
        <f t="shared" si="477"/>
        <v>0</v>
      </c>
      <c r="BC323" s="118" t="str">
        <f t="shared" si="478"/>
        <v>A</v>
      </c>
      <c r="BD323" s="119" t="str">
        <f>+IF(OR($W323="",BB323=0),"",ROUND((VLOOKUP(ROUNDDOWN($D323-1/frec,0),cob_adi,AO$40,FALSE)*(1+i/frec)^-0.5*(1+Parámetros!$D$103)*(1+rec_fracc)/frec),6))</f>
        <v/>
      </c>
      <c r="BE323" s="66">
        <f t="shared" si="434"/>
        <v>0</v>
      </c>
      <c r="BF323" s="119" t="str">
        <f t="shared" si="435"/>
        <v/>
      </c>
      <c r="BG323" s="66">
        <f>+IF($W323="","",ROUND(IF($B323&gt;Parámetros!$D$107,'Tablas Servicio'!BE323+('Tablas Servicio'!BG322-'Tablas Servicio'!BE322),BE323/(1-IF(B323&lt;=10,Parámetros!$D$100,0))),2))</f>
        <v>0</v>
      </c>
      <c r="BH323" s="66">
        <f t="shared" si="436"/>
        <v>0</v>
      </c>
      <c r="BI323" s="66">
        <f t="shared" si="437"/>
        <v>0</v>
      </c>
      <c r="BJ323" s="66">
        <f>+IF($W323="","",ROUND((BG323*Parámetros!$G$85),2))</f>
        <v>0</v>
      </c>
      <c r="BK323" s="66">
        <f>+IF($W323="","",ROUND((BG323*(Parámetros!$G$86)),2))</f>
        <v>0</v>
      </c>
      <c r="BL323" s="66">
        <f t="shared" si="438"/>
        <v>0</v>
      </c>
      <c r="BM323" t="str">
        <f t="shared" si="479"/>
        <v>00061</v>
      </c>
      <c r="BN323" t="str">
        <f t="shared" si="480"/>
        <v>Gastos de Entierro</v>
      </c>
      <c r="BO323" s="118">
        <f t="shared" si="481"/>
        <v>0</v>
      </c>
      <c r="BP323" s="118" t="str">
        <f t="shared" si="482"/>
        <v>A</v>
      </c>
      <c r="BQ323" s="119" t="str">
        <f>+IF(OR($W323="",BO323=0),"",ROUND((VLOOKUP(ROUNDDOWN($D323-1/frec,0),cob_adi,BB$40,FALSE)*(1+i/frec)^-0.5*(1+Parámetros!$D$103)*(1+rec_fracc)/frec),6))</f>
        <v/>
      </c>
      <c r="BR323" s="66">
        <f t="shared" si="439"/>
        <v>0</v>
      </c>
      <c r="BS323" s="119" t="str">
        <f t="shared" si="440"/>
        <v/>
      </c>
      <c r="BT323" s="66">
        <f>+IF($W323="","",ROUND(IF($B323&gt;Parámetros!$D$107,'Tablas Servicio'!BR323+('Tablas Servicio'!BT322-'Tablas Servicio'!BR322),BR323/(1-IF(B323&lt;=10,Parámetros!$D$100,0))),2))</f>
        <v>0</v>
      </c>
      <c r="BU323" s="66">
        <f t="shared" si="441"/>
        <v>0</v>
      </c>
      <c r="BV323" s="66">
        <f t="shared" si="441"/>
        <v>0</v>
      </c>
      <c r="BW323" s="66">
        <f>+IF($W323="","",ROUND((BT323*Parámetros!$G$85),2))</f>
        <v>0</v>
      </c>
      <c r="BX323" s="66">
        <f>+IF($W323="","",ROUND((BT323*(Parámetros!$G$86)),2))</f>
        <v>0</v>
      </c>
      <c r="BY323" s="66">
        <f t="shared" si="442"/>
        <v>0</v>
      </c>
      <c r="BZ323" t="str">
        <f t="shared" si="483"/>
        <v>00062</v>
      </c>
      <c r="CA323" t="str">
        <f t="shared" si="484"/>
        <v>Gastos médicos por accidente</v>
      </c>
      <c r="CB323" s="118">
        <f t="shared" si="485"/>
        <v>0</v>
      </c>
      <c r="CC323" s="118" t="str">
        <f t="shared" si="486"/>
        <v>A</v>
      </c>
      <c r="CD323" s="119" t="str">
        <f t="shared" si="443"/>
        <v/>
      </c>
      <c r="CE323" s="66">
        <f>+IF($W323="","",ROUND((VLOOKUP(ROUNDDOWN($D323-1/frec,0),cob_adi,BO$40,FALSE)*(1+i/frec)^-0.5*(1+Parámetros!$D$103)*(1+rec_fracc)/frec*'TABLAS ADI'!$BC$17),2))</f>
        <v>0</v>
      </c>
      <c r="CF323" s="119" t="str">
        <f t="shared" si="444"/>
        <v/>
      </c>
      <c r="CG323" s="66">
        <f>+IF($W323="","",ROUND(IF($B323&gt;Parámetros!$D$107,'Tablas Servicio'!CE323+('Tablas Servicio'!CG322-'Tablas Servicio'!CE322),CE323/(1-IF(B323&lt;=10,Parámetros!$D$100,0))),2))</f>
        <v>0</v>
      </c>
      <c r="CH323" s="66">
        <f t="shared" si="445"/>
        <v>0</v>
      </c>
      <c r="CI323" s="66">
        <f t="shared" si="445"/>
        <v>0</v>
      </c>
      <c r="CJ323" s="66">
        <f>+IF($W323="","",ROUND((CG323*Parámetros!$G$85),2))</f>
        <v>0</v>
      </c>
      <c r="CK323" s="66">
        <f>+IF($W323="","",ROUND((CG323*(Parámetros!$G$86)),2))</f>
        <v>0</v>
      </c>
      <c r="CL323" s="66">
        <f t="shared" si="446"/>
        <v>0</v>
      </c>
      <c r="CM323" t="str">
        <f t="shared" si="487"/>
        <v>00063</v>
      </c>
      <c r="CN323" s="118" t="str">
        <f t="shared" si="488"/>
        <v>Renta Diaria por Hospitalización</v>
      </c>
      <c r="CO323" s="118">
        <f t="shared" si="489"/>
        <v>0</v>
      </c>
      <c r="CP323" s="118" t="str">
        <f t="shared" si="490"/>
        <v>A</v>
      </c>
      <c r="CQ323" s="119" t="str">
        <f t="shared" si="447"/>
        <v/>
      </c>
      <c r="CR323" s="66">
        <f>+IF($W323="","",ROUND((VLOOKUP(Parámetros!$F$51,'COBERTURAS ADICIONALES'!$S$4:$T$32,2,FALSE)*(1+i/frec)^-0.5*(1+Parámetros!$D$103)*(1+rec_fracc)/frec*$CO$42),2))</f>
        <v>0</v>
      </c>
      <c r="CS323" s="119" t="str">
        <f t="shared" si="448"/>
        <v/>
      </c>
      <c r="CT323" s="66">
        <f>+IF($W323="","",ROUND(IF($B323&gt;Parámetros!$D$107,'Tablas Servicio'!CR323+('Tablas Servicio'!CT322-'Tablas Servicio'!CR322),CR323/(1-IF(B323&lt;=10,Parámetros!$D$100,0))),2))</f>
        <v>0</v>
      </c>
      <c r="CU323" s="66">
        <f t="shared" si="449"/>
        <v>0</v>
      </c>
      <c r="CV323" s="66">
        <f t="shared" si="449"/>
        <v>0</v>
      </c>
      <c r="CW323" s="66">
        <f>+IF($W323="","",ROUND((CT323*Parámetros!$G$85),2))</f>
        <v>0</v>
      </c>
      <c r="CX323" s="66">
        <f>+IF($W323="","",ROUND((CT323*(Parámetros!$G$86)),2))</f>
        <v>0</v>
      </c>
      <c r="CY323" s="66">
        <f t="shared" si="450"/>
        <v>0</v>
      </c>
      <c r="CZ323" t="str">
        <f t="shared" si="491"/>
        <v>00064</v>
      </c>
      <c r="DA323" s="118" t="str">
        <f t="shared" si="492"/>
        <v>Enfermedades Graves</v>
      </c>
      <c r="DB323" s="118">
        <f t="shared" si="493"/>
        <v>0</v>
      </c>
      <c r="DC323" s="118" t="str">
        <f t="shared" si="494"/>
        <v>A</v>
      </c>
      <c r="DD323" s="121" t="str">
        <f>+IF(OR($W323="",DB323=0),"",ROUND((VLOOKUP(ROUNDDOWN($D323-1/frec,0),cob_adi,CO$40,FALSE)*(1+i/frec)^-0.5*(1+Parámetros!$D$103)*(1+rec_fracc)/frec),6))</f>
        <v/>
      </c>
      <c r="DE323" s="66">
        <f t="shared" si="451"/>
        <v>0</v>
      </c>
      <c r="DF323" s="119" t="str">
        <f t="shared" si="452"/>
        <v/>
      </c>
      <c r="DG323" s="66">
        <f>+IF($W323="","",ROUND(IF($B323&gt;Parámetros!$D$107,'Tablas Servicio'!DE323+('Tablas Servicio'!DG322-'Tablas Servicio'!DE322),DE323/(1-IF(B323&lt;=10,Parámetros!$D$100,0))),2))</f>
        <v>0</v>
      </c>
      <c r="DH323" s="66">
        <f t="shared" si="453"/>
        <v>0</v>
      </c>
      <c r="DI323" s="66">
        <f t="shared" si="453"/>
        <v>0</v>
      </c>
      <c r="DJ323" s="66">
        <f>+IF($W323="","",ROUND((DG323*Parámetros!$G$85),2))</f>
        <v>0</v>
      </c>
      <c r="DK323" s="66">
        <f>+IF($W323="","",ROUND((DG323*(Parámetros!$G$86)),2))</f>
        <v>0</v>
      </c>
      <c r="DL323" s="66">
        <f t="shared" si="454"/>
        <v>0</v>
      </c>
      <c r="DM323" t="str">
        <f t="shared" si="495"/>
        <v>00065</v>
      </c>
      <c r="DN323" s="118" t="str">
        <f t="shared" si="496"/>
        <v>Exención pago de primas</v>
      </c>
      <c r="DO323" s="118">
        <f t="shared" si="497"/>
        <v>0</v>
      </c>
      <c r="DP323" s="118" t="str">
        <f t="shared" si="498"/>
        <v>A</v>
      </c>
      <c r="DQ323" s="122" t="str">
        <f>+IF(OR($W323="",DO323=0),"",ROUND((VLOOKUP(ROUNDDOWN($D323-1/frec,0),cob_adi,DB$40,FALSE)*(1+i/frec)^-0.5*(1+Parámetros!$D$103)*(1+rec_fracc)/frec),6))</f>
        <v/>
      </c>
      <c r="DR323" s="66">
        <f t="shared" si="455"/>
        <v>0</v>
      </c>
      <c r="DS323" s="68" t="str">
        <f t="shared" si="456"/>
        <v/>
      </c>
      <c r="DT323" s="66">
        <f>+IF($W323="","",ROUND(IF($B323&gt;Parámetros!$D$107,'Tablas Servicio'!DR323+('Tablas Servicio'!DT322-'Tablas Servicio'!DR322),DR323/(1-IF(B323&lt;=10,Parámetros!$D$100,0))),2))</f>
        <v>0</v>
      </c>
      <c r="DU323" s="66">
        <f t="shared" si="457"/>
        <v>0</v>
      </c>
      <c r="DV323" s="66">
        <f t="shared" si="457"/>
        <v>0</v>
      </c>
      <c r="DW323" s="66">
        <f>+IF($W323="","",ROUND((DT323*Parámetros!$G$85),2))</f>
        <v>0</v>
      </c>
      <c r="DX323" s="66">
        <f>+IF($W323="","",ROUND((DT323*(Parámetros!$G$86)),2))</f>
        <v>0</v>
      </c>
      <c r="DY323" s="66">
        <f t="shared" si="458"/>
        <v>0</v>
      </c>
      <c r="DZ323" t="str">
        <f t="shared" si="499"/>
        <v>00066</v>
      </c>
      <c r="EA323" s="118" t="str">
        <f t="shared" si="499"/>
        <v>Enfermedad terminal</v>
      </c>
      <c r="EB323" s="118">
        <f>+IF($W323="","",ROUND(IF(Parámetros!$D$25='TABLAS MORT'!$V$33,EB322,Z323/2),0))</f>
        <v>50000</v>
      </c>
      <c r="EC323" s="118" t="str">
        <f t="shared" si="499"/>
        <v>A</v>
      </c>
      <c r="ED323" s="122">
        <f>+IF(OR($W323="",EB323=0),"",ROUND((VLOOKUP(ROUNDDOWN($D323-1/frec,0),cob_adi,DO$40,FALSE)*(1+i/frec)^-0.5*(1+Parámetros!$D$103)*(1+rec_fracc)/frec),6))</f>
        <v>3.8999999999999999E-5</v>
      </c>
      <c r="EE323" s="66">
        <f t="shared" si="460"/>
        <v>1.95</v>
      </c>
      <c r="EF323" s="68">
        <f t="shared" si="461"/>
        <v>3.8999999999999999E-5</v>
      </c>
      <c r="EG323" s="66">
        <f>+IF($W323="","",ROUND(IF($B323&gt;Parámetros!$D$107,'Tablas Servicio'!EE323+('Tablas Servicio'!EG322-'Tablas Servicio'!EE322),EE323/(1-IF(B323&lt;=10,Parámetros!$D$100,0))),2))</f>
        <v>1.95</v>
      </c>
      <c r="EH323" s="66">
        <f t="shared" si="462"/>
        <v>0</v>
      </c>
      <c r="EI323" s="66">
        <f t="shared" si="462"/>
        <v>0</v>
      </c>
      <c r="EJ323" s="66">
        <f>+IF($W323="","",ROUND((EG323*Parámetros!$G$85),2))</f>
        <v>7.0000000000000007E-2</v>
      </c>
      <c r="EK323" s="66">
        <f>+IF($W323="","",ROUND((EG323*(Parámetros!$G$86)),2))</f>
        <v>0.01</v>
      </c>
      <c r="EL323" s="66">
        <f t="shared" si="463"/>
        <v>2.0299999999999998</v>
      </c>
    </row>
    <row r="324" spans="1:142" x14ac:dyDescent="0.25">
      <c r="A324">
        <f>+IF($C324="","",ROUND(VLOOKUP('Tablas Servicio'!B324,Parámetros!$H$100:$J$159,IF(Parámetros!$E$16="F",2,3),FALSE),2))</f>
        <v>150</v>
      </c>
      <c r="B324">
        <f t="shared" si="414"/>
        <v>24</v>
      </c>
      <c r="C324" s="57">
        <f>+IF(D324="","",'Tablas Servicio'!C323+1)</f>
        <v>283</v>
      </c>
      <c r="D324" s="56">
        <f>+IF(D323&lt;edadmaxtabla,D323+1/Parámetros!$E$25,"")</f>
        <v>63.603333333334007</v>
      </c>
      <c r="E324" s="57">
        <f t="shared" si="424"/>
        <v>63</v>
      </c>
      <c r="F324" s="59">
        <f t="shared" si="425"/>
        <v>100000</v>
      </c>
      <c r="G324" s="66">
        <f t="shared" si="415"/>
        <v>72.75</v>
      </c>
      <c r="H324" s="66">
        <f t="shared" si="416"/>
        <v>75.66</v>
      </c>
      <c r="I324" s="66">
        <f t="shared" si="464"/>
        <v>18.340000000000003</v>
      </c>
      <c r="J324" s="66">
        <f t="shared" si="417"/>
        <v>2.5499999999999998</v>
      </c>
      <c r="K324" s="66">
        <f t="shared" si="418"/>
        <v>0.36</v>
      </c>
      <c r="L324" s="66">
        <f t="shared" si="419"/>
        <v>0</v>
      </c>
      <c r="M324" s="66">
        <f t="shared" si="420"/>
        <v>0</v>
      </c>
      <c r="N324" s="66">
        <f>+IF(C324="","",ROUND(Parámetros!$D$23,2))</f>
        <v>94</v>
      </c>
      <c r="O324" s="66">
        <f t="shared" si="421"/>
        <v>60.25</v>
      </c>
      <c r="P324" s="66">
        <f>+IF($C324="","",ROUND(IF(B324&gt;Parámetros!$D$117,0,N324*Parámetros!$D$116-G324*Parámetros!$D$100),2))</f>
        <v>0</v>
      </c>
      <c r="Q324" s="75">
        <f t="shared" si="465"/>
        <v>3.5051546391752578E-2</v>
      </c>
      <c r="R324" s="75">
        <f t="shared" si="466"/>
        <v>4.9484536082474223E-3</v>
      </c>
      <c r="S324" s="117">
        <f>+IF($C324="","",ROUND((S323+I324)*(1+Parámetros!$D$91),2))</f>
        <v>21330.1</v>
      </c>
      <c r="T324" s="117">
        <f>+IF($C324="","",ROUND(S324*VLOOKUP(B324,Parámetros!$C$30:$D$39,2,TRUE),2))</f>
        <v>21330.1</v>
      </c>
      <c r="U324" s="117">
        <f>+IF($C324="","",ROUND((U323+I324)*(1+Parámetros!$D$92),2))</f>
        <v>22906.26</v>
      </c>
      <c r="V324" s="117">
        <f>+IF($C324="","",ROUND(U324*VLOOKUP(B324,Parámetros!$C$30:$D$39,2,TRUE),2))</f>
        <v>22906.26</v>
      </c>
      <c r="W324" s="57">
        <f t="shared" si="467"/>
        <v>283</v>
      </c>
      <c r="X324" t="str">
        <f t="shared" si="468"/>
        <v>00058</v>
      </c>
      <c r="Y324" t="str">
        <f t="shared" si="469"/>
        <v>MUERTE POR CUALQUIER CAUSA</v>
      </c>
      <c r="Z324" s="118">
        <f>+IF($W324="","",ROUND(IF(Parámetros!$D$25='TABLAS MORT'!$V$33,Z323,Parámetros!$D$21-'Tablas Servicio'!T323),0))</f>
        <v>100000</v>
      </c>
      <c r="AA324" s="118" t="str">
        <f t="shared" si="470"/>
        <v>P</v>
      </c>
      <c r="AB324" s="119">
        <f>+IF(W324="","",ROUND((VLOOKUP(ROUNDDOWN($D324-1/frec,0),qx_tabla,2,FALSE)*(1+i/frec)^-0.5*(1+Parámetros!$D$103)*(1+rec_fracc)/frec),6))</f>
        <v>5.8299999999999997E-4</v>
      </c>
      <c r="AC324" s="66">
        <f t="shared" si="426"/>
        <v>58.3</v>
      </c>
      <c r="AD324" s="119">
        <f t="shared" si="422"/>
        <v>7.0799999999999997E-4</v>
      </c>
      <c r="AE324" s="66">
        <f>+IF($W324="","",ROUND(IF($B324&gt;Parámetros!$D$107,'Tablas Servicio'!AC324+('Tablas Servicio'!AG323-'Tablas Servicio'!AC323),AC324/(1-IF(B324&lt;=10,Parámetros!$D$104,Parámetros!$D$105))),2))</f>
        <v>97.17</v>
      </c>
      <c r="AF324" s="66">
        <f>+IF($W324="","",ROUND(IF($B324&gt;Parámetros!$D$107,'Tablas Servicio'!AC324+('Tablas Servicio'!AG323-'Tablas Servicio'!AC323),(AC324+$A323/frec)/(1-IF(B324&lt;=Parámetros!$D$117,Parámetros!$D$100,0))),2))</f>
        <v>70.8</v>
      </c>
      <c r="AG324" s="66">
        <f t="shared" si="427"/>
        <v>70.8</v>
      </c>
      <c r="AH324" s="66">
        <f t="shared" si="428"/>
        <v>0</v>
      </c>
      <c r="AI324" s="66">
        <f t="shared" si="429"/>
        <v>0</v>
      </c>
      <c r="AJ324" s="66">
        <f>+IF($W324="","",ROUND((AG324*Parámetros!$G$85),2))</f>
        <v>2.48</v>
      </c>
      <c r="AK324" s="66">
        <f>+IF($W324="","",ROUND((AG324*(Parámetros!$G$86)),2))</f>
        <v>0.35</v>
      </c>
      <c r="AL324" s="66">
        <f t="shared" si="423"/>
        <v>73.63</v>
      </c>
      <c r="AM324" t="str">
        <f t="shared" si="471"/>
        <v>00059</v>
      </c>
      <c r="AN324" t="str">
        <f t="shared" si="472"/>
        <v>Incapacidad Total y Permanente</v>
      </c>
      <c r="AO324" s="118">
        <f t="shared" si="473"/>
        <v>0</v>
      </c>
      <c r="AP324" s="118" t="str">
        <f t="shared" si="474"/>
        <v>A</v>
      </c>
      <c r="AQ324" s="119" t="str">
        <f>+IF(OR($W324="",AO324=0),"",ROUND((VLOOKUP(ROUNDDOWN($D324-1/frec,0),cob_adi,Z$40,FALSE)*(1+i/frec)^-0.5*(1+Parámetros!$D$103)*(1+rec_fracc)/frec),6))</f>
        <v/>
      </c>
      <c r="AR324" s="66">
        <f t="shared" si="430"/>
        <v>0</v>
      </c>
      <c r="AS324" s="119" t="str">
        <f t="shared" si="431"/>
        <v/>
      </c>
      <c r="AT324" s="66">
        <f>+IF($W324="","",ROUND(IF($B324&gt;Parámetros!$D$107,'Tablas Servicio'!AR324+('Tablas Servicio'!AT323-'Tablas Servicio'!AR323),AR324/(1-IF(B324&lt;=10,Parámetros!$D$100,0))),2))</f>
        <v>0</v>
      </c>
      <c r="AU324" s="66">
        <f t="shared" si="432"/>
        <v>0</v>
      </c>
      <c r="AV324" s="66">
        <f t="shared" si="432"/>
        <v>0</v>
      </c>
      <c r="AW324" s="66">
        <f>+IF($W324="","",ROUND((AT324*Parámetros!$G$85),2))</f>
        <v>0</v>
      </c>
      <c r="AX324" s="66">
        <f>+IF($W324="","",ROUND((AT324*(Parámetros!$G$86)),2))</f>
        <v>0</v>
      </c>
      <c r="AY324" s="66">
        <f t="shared" si="433"/>
        <v>0</v>
      </c>
      <c r="AZ324" t="str">
        <f t="shared" si="475"/>
        <v>00060</v>
      </c>
      <c r="BA324" t="str">
        <f t="shared" si="476"/>
        <v>Muerte Accidental</v>
      </c>
      <c r="BB324" s="118">
        <f t="shared" si="477"/>
        <v>0</v>
      </c>
      <c r="BC324" s="118" t="str">
        <f t="shared" si="478"/>
        <v>A</v>
      </c>
      <c r="BD324" s="119" t="str">
        <f>+IF(OR($W324="",BB324=0),"",ROUND((VLOOKUP(ROUNDDOWN($D324-1/frec,0),cob_adi,AO$40,FALSE)*(1+i/frec)^-0.5*(1+Parámetros!$D$103)*(1+rec_fracc)/frec),6))</f>
        <v/>
      </c>
      <c r="BE324" s="66">
        <f t="shared" si="434"/>
        <v>0</v>
      </c>
      <c r="BF324" s="119" t="str">
        <f t="shared" si="435"/>
        <v/>
      </c>
      <c r="BG324" s="66">
        <f>+IF($W324="","",ROUND(IF($B324&gt;Parámetros!$D$107,'Tablas Servicio'!BE324+('Tablas Servicio'!BG323-'Tablas Servicio'!BE323),BE324/(1-IF(B324&lt;=10,Parámetros!$D$100,0))),2))</f>
        <v>0</v>
      </c>
      <c r="BH324" s="66">
        <f t="shared" si="436"/>
        <v>0</v>
      </c>
      <c r="BI324" s="66">
        <f t="shared" si="437"/>
        <v>0</v>
      </c>
      <c r="BJ324" s="66">
        <f>+IF($W324="","",ROUND((BG324*Parámetros!$G$85),2))</f>
        <v>0</v>
      </c>
      <c r="BK324" s="66">
        <f>+IF($W324="","",ROUND((BG324*(Parámetros!$G$86)),2))</f>
        <v>0</v>
      </c>
      <c r="BL324" s="66">
        <f t="shared" si="438"/>
        <v>0</v>
      </c>
      <c r="BM324" t="str">
        <f t="shared" si="479"/>
        <v>00061</v>
      </c>
      <c r="BN324" t="str">
        <f t="shared" si="480"/>
        <v>Gastos de Entierro</v>
      </c>
      <c r="BO324" s="118">
        <f t="shared" si="481"/>
        <v>0</v>
      </c>
      <c r="BP324" s="118" t="str">
        <f t="shared" si="482"/>
        <v>A</v>
      </c>
      <c r="BQ324" s="119" t="str">
        <f>+IF(OR($W324="",BO324=0),"",ROUND((VLOOKUP(ROUNDDOWN($D324-1/frec,0),cob_adi,BB$40,FALSE)*(1+i/frec)^-0.5*(1+Parámetros!$D$103)*(1+rec_fracc)/frec),6))</f>
        <v/>
      </c>
      <c r="BR324" s="66">
        <f t="shared" si="439"/>
        <v>0</v>
      </c>
      <c r="BS324" s="119" t="str">
        <f t="shared" si="440"/>
        <v/>
      </c>
      <c r="BT324" s="66">
        <f>+IF($W324="","",ROUND(IF($B324&gt;Parámetros!$D$107,'Tablas Servicio'!BR324+('Tablas Servicio'!BT323-'Tablas Servicio'!BR323),BR324/(1-IF(B324&lt;=10,Parámetros!$D$100,0))),2))</f>
        <v>0</v>
      </c>
      <c r="BU324" s="66">
        <f t="shared" si="441"/>
        <v>0</v>
      </c>
      <c r="BV324" s="66">
        <f t="shared" si="441"/>
        <v>0</v>
      </c>
      <c r="BW324" s="66">
        <f>+IF($W324="","",ROUND((BT324*Parámetros!$G$85),2))</f>
        <v>0</v>
      </c>
      <c r="BX324" s="66">
        <f>+IF($W324="","",ROUND((BT324*(Parámetros!$G$86)),2))</f>
        <v>0</v>
      </c>
      <c r="BY324" s="66">
        <f t="shared" si="442"/>
        <v>0</v>
      </c>
      <c r="BZ324" t="str">
        <f t="shared" si="483"/>
        <v>00062</v>
      </c>
      <c r="CA324" t="str">
        <f t="shared" si="484"/>
        <v>Gastos médicos por accidente</v>
      </c>
      <c r="CB324" s="118">
        <f t="shared" si="485"/>
        <v>0</v>
      </c>
      <c r="CC324" s="118" t="str">
        <f t="shared" si="486"/>
        <v>A</v>
      </c>
      <c r="CD324" s="119" t="str">
        <f t="shared" si="443"/>
        <v/>
      </c>
      <c r="CE324" s="66">
        <f>+IF($W324="","",ROUND((VLOOKUP(ROUNDDOWN($D324-1/frec,0),cob_adi,BO$40,FALSE)*(1+i/frec)^-0.5*(1+Parámetros!$D$103)*(1+rec_fracc)/frec*'TABLAS ADI'!$BC$17),2))</f>
        <v>0</v>
      </c>
      <c r="CF324" s="119" t="str">
        <f t="shared" si="444"/>
        <v/>
      </c>
      <c r="CG324" s="66">
        <f>+IF($W324="","",ROUND(IF($B324&gt;Parámetros!$D$107,'Tablas Servicio'!CE324+('Tablas Servicio'!CG323-'Tablas Servicio'!CE323),CE324/(1-IF(B324&lt;=10,Parámetros!$D$100,0))),2))</f>
        <v>0</v>
      </c>
      <c r="CH324" s="66">
        <f t="shared" si="445"/>
        <v>0</v>
      </c>
      <c r="CI324" s="66">
        <f t="shared" si="445"/>
        <v>0</v>
      </c>
      <c r="CJ324" s="66">
        <f>+IF($W324="","",ROUND((CG324*Parámetros!$G$85),2))</f>
        <v>0</v>
      </c>
      <c r="CK324" s="66">
        <f>+IF($W324="","",ROUND((CG324*(Parámetros!$G$86)),2))</f>
        <v>0</v>
      </c>
      <c r="CL324" s="66">
        <f t="shared" si="446"/>
        <v>0</v>
      </c>
      <c r="CM324" t="str">
        <f t="shared" si="487"/>
        <v>00063</v>
      </c>
      <c r="CN324" s="118" t="str">
        <f t="shared" si="488"/>
        <v>Renta Diaria por Hospitalización</v>
      </c>
      <c r="CO324" s="118">
        <f t="shared" si="489"/>
        <v>0</v>
      </c>
      <c r="CP324" s="118" t="str">
        <f t="shared" si="490"/>
        <v>A</v>
      </c>
      <c r="CQ324" s="119" t="str">
        <f t="shared" si="447"/>
        <v/>
      </c>
      <c r="CR324" s="66">
        <f>+IF($W324="","",ROUND((VLOOKUP(Parámetros!$F$51,'COBERTURAS ADICIONALES'!$S$4:$T$32,2,FALSE)*(1+i/frec)^-0.5*(1+Parámetros!$D$103)*(1+rec_fracc)/frec*$CO$42),2))</f>
        <v>0</v>
      </c>
      <c r="CS324" s="119" t="str">
        <f t="shared" si="448"/>
        <v/>
      </c>
      <c r="CT324" s="66">
        <f>+IF($W324="","",ROUND(IF($B324&gt;Parámetros!$D$107,'Tablas Servicio'!CR324+('Tablas Servicio'!CT323-'Tablas Servicio'!CR323),CR324/(1-IF(B324&lt;=10,Parámetros!$D$100,0))),2))</f>
        <v>0</v>
      </c>
      <c r="CU324" s="66">
        <f t="shared" si="449"/>
        <v>0</v>
      </c>
      <c r="CV324" s="66">
        <f t="shared" si="449"/>
        <v>0</v>
      </c>
      <c r="CW324" s="66">
        <f>+IF($W324="","",ROUND((CT324*Parámetros!$G$85),2))</f>
        <v>0</v>
      </c>
      <c r="CX324" s="66">
        <f>+IF($W324="","",ROUND((CT324*(Parámetros!$G$86)),2))</f>
        <v>0</v>
      </c>
      <c r="CY324" s="66">
        <f t="shared" si="450"/>
        <v>0</v>
      </c>
      <c r="CZ324" t="str">
        <f t="shared" si="491"/>
        <v>00064</v>
      </c>
      <c r="DA324" s="118" t="str">
        <f t="shared" si="492"/>
        <v>Enfermedades Graves</v>
      </c>
      <c r="DB324" s="118">
        <f t="shared" si="493"/>
        <v>0</v>
      </c>
      <c r="DC324" s="118" t="str">
        <f t="shared" si="494"/>
        <v>A</v>
      </c>
      <c r="DD324" s="121" t="str">
        <f>+IF(OR($W324="",DB324=0),"",ROUND((VLOOKUP(ROUNDDOWN($D324-1/frec,0),cob_adi,CO$40,FALSE)*(1+i/frec)^-0.5*(1+Parámetros!$D$103)*(1+rec_fracc)/frec),6))</f>
        <v/>
      </c>
      <c r="DE324" s="66">
        <f t="shared" si="451"/>
        <v>0</v>
      </c>
      <c r="DF324" s="119" t="str">
        <f t="shared" si="452"/>
        <v/>
      </c>
      <c r="DG324" s="66">
        <f>+IF($W324="","",ROUND(IF($B324&gt;Parámetros!$D$107,'Tablas Servicio'!DE324+('Tablas Servicio'!DG323-'Tablas Servicio'!DE323),DE324/(1-IF(B324&lt;=10,Parámetros!$D$100,0))),2))</f>
        <v>0</v>
      </c>
      <c r="DH324" s="66">
        <f t="shared" si="453"/>
        <v>0</v>
      </c>
      <c r="DI324" s="66">
        <f t="shared" si="453"/>
        <v>0</v>
      </c>
      <c r="DJ324" s="66">
        <f>+IF($W324="","",ROUND((DG324*Parámetros!$G$85),2))</f>
        <v>0</v>
      </c>
      <c r="DK324" s="66">
        <f>+IF($W324="","",ROUND((DG324*(Parámetros!$G$86)),2))</f>
        <v>0</v>
      </c>
      <c r="DL324" s="66">
        <f t="shared" si="454"/>
        <v>0</v>
      </c>
      <c r="DM324" t="str">
        <f t="shared" si="495"/>
        <v>00065</v>
      </c>
      <c r="DN324" s="118" t="str">
        <f t="shared" si="496"/>
        <v>Exención pago de primas</v>
      </c>
      <c r="DO324" s="118">
        <f t="shared" si="497"/>
        <v>0</v>
      </c>
      <c r="DP324" s="118" t="str">
        <f t="shared" si="498"/>
        <v>A</v>
      </c>
      <c r="DQ324" s="122" t="str">
        <f>+IF(OR($W324="",DO324=0),"",ROUND((VLOOKUP(ROUNDDOWN($D324-1/frec,0),cob_adi,DB$40,FALSE)*(1+i/frec)^-0.5*(1+Parámetros!$D$103)*(1+rec_fracc)/frec),6))</f>
        <v/>
      </c>
      <c r="DR324" s="66">
        <f t="shared" si="455"/>
        <v>0</v>
      </c>
      <c r="DS324" s="68" t="str">
        <f t="shared" si="456"/>
        <v/>
      </c>
      <c r="DT324" s="66">
        <f>+IF($W324="","",ROUND(IF($B324&gt;Parámetros!$D$107,'Tablas Servicio'!DR324+('Tablas Servicio'!DT323-'Tablas Servicio'!DR323),DR324/(1-IF(B324&lt;=10,Parámetros!$D$100,0))),2))</f>
        <v>0</v>
      </c>
      <c r="DU324" s="66">
        <f t="shared" si="457"/>
        <v>0</v>
      </c>
      <c r="DV324" s="66">
        <f t="shared" si="457"/>
        <v>0</v>
      </c>
      <c r="DW324" s="66">
        <f>+IF($W324="","",ROUND((DT324*Parámetros!$G$85),2))</f>
        <v>0</v>
      </c>
      <c r="DX324" s="66">
        <f>+IF($W324="","",ROUND((DT324*(Parámetros!$G$86)),2))</f>
        <v>0</v>
      </c>
      <c r="DY324" s="66">
        <f t="shared" si="458"/>
        <v>0</v>
      </c>
      <c r="DZ324" t="str">
        <f t="shared" si="499"/>
        <v>00066</v>
      </c>
      <c r="EA324" s="118" t="str">
        <f t="shared" si="499"/>
        <v>Enfermedad terminal</v>
      </c>
      <c r="EB324" s="118">
        <f>+IF($W324="","",ROUND(IF(Parámetros!$D$25='TABLAS MORT'!$V$33,EB323,Z324/2),0))</f>
        <v>50000</v>
      </c>
      <c r="EC324" s="118" t="str">
        <f t="shared" si="499"/>
        <v>A</v>
      </c>
      <c r="ED324" s="122">
        <f>+IF(OR($W324="",EB324=0),"",ROUND((VLOOKUP(ROUNDDOWN($D324-1/frec,0),cob_adi,DO$40,FALSE)*(1+i/frec)^-0.5*(1+Parámetros!$D$103)*(1+rec_fracc)/frec),6))</f>
        <v>3.8999999999999999E-5</v>
      </c>
      <c r="EE324" s="66">
        <f t="shared" si="460"/>
        <v>1.95</v>
      </c>
      <c r="EF324" s="68">
        <f t="shared" si="461"/>
        <v>3.8999999999999999E-5</v>
      </c>
      <c r="EG324" s="66">
        <f>+IF($W324="","",ROUND(IF($B324&gt;Parámetros!$D$107,'Tablas Servicio'!EE324+('Tablas Servicio'!EG323-'Tablas Servicio'!EE323),EE324/(1-IF(B324&lt;=10,Parámetros!$D$100,0))),2))</f>
        <v>1.95</v>
      </c>
      <c r="EH324" s="66">
        <f t="shared" si="462"/>
        <v>0</v>
      </c>
      <c r="EI324" s="66">
        <f t="shared" si="462"/>
        <v>0</v>
      </c>
      <c r="EJ324" s="66">
        <f>+IF($W324="","",ROUND((EG324*Parámetros!$G$85),2))</f>
        <v>7.0000000000000007E-2</v>
      </c>
      <c r="EK324" s="66">
        <f>+IF($W324="","",ROUND((EG324*(Parámetros!$G$86)),2))</f>
        <v>0.01</v>
      </c>
      <c r="EL324" s="66">
        <f t="shared" si="463"/>
        <v>2.0299999999999998</v>
      </c>
    </row>
    <row r="325" spans="1:142" x14ac:dyDescent="0.25">
      <c r="A325">
        <f>+IF($C325="","",ROUND(VLOOKUP('Tablas Servicio'!B325,Parámetros!$H$100:$J$159,IF(Parámetros!$E$16="F",2,3),FALSE),2))</f>
        <v>150</v>
      </c>
      <c r="B325">
        <f t="shared" si="414"/>
        <v>24</v>
      </c>
      <c r="C325" s="57">
        <f>+IF(D325="","",'Tablas Servicio'!C324+1)</f>
        <v>284</v>
      </c>
      <c r="D325" s="56">
        <f>+IF(D324&lt;edadmaxtabla,D324+1/Parámetros!$E$25,"")</f>
        <v>63.686666666667342</v>
      </c>
      <c r="E325" s="57">
        <f t="shared" si="424"/>
        <v>63</v>
      </c>
      <c r="F325" s="59">
        <f t="shared" si="425"/>
        <v>100000</v>
      </c>
      <c r="G325" s="66">
        <f t="shared" si="415"/>
        <v>72.75</v>
      </c>
      <c r="H325" s="66">
        <f t="shared" si="416"/>
        <v>75.66</v>
      </c>
      <c r="I325" s="66">
        <f t="shared" si="464"/>
        <v>18.340000000000003</v>
      </c>
      <c r="J325" s="66">
        <f t="shared" si="417"/>
        <v>2.5499999999999998</v>
      </c>
      <c r="K325" s="66">
        <f t="shared" si="418"/>
        <v>0.36</v>
      </c>
      <c r="L325" s="66">
        <f t="shared" si="419"/>
        <v>0</v>
      </c>
      <c r="M325" s="66">
        <f t="shared" si="420"/>
        <v>0</v>
      </c>
      <c r="N325" s="66">
        <f>+IF(C325="","",ROUND(Parámetros!$D$23,2))</f>
        <v>94</v>
      </c>
      <c r="O325" s="66">
        <f t="shared" si="421"/>
        <v>60.25</v>
      </c>
      <c r="P325" s="66">
        <f>+IF($C325="","",ROUND(IF(B325&gt;Parámetros!$D$117,0,N325*Parámetros!$D$116-G325*Parámetros!$D$100),2))</f>
        <v>0</v>
      </c>
      <c r="Q325" s="75">
        <f t="shared" si="465"/>
        <v>3.5051546391752578E-2</v>
      </c>
      <c r="R325" s="75">
        <f t="shared" si="466"/>
        <v>4.9484536082474223E-3</v>
      </c>
      <c r="S325" s="117">
        <f>+IF($C325="","",ROUND((S324+I325)*(1+Parámetros!$D$91),2))</f>
        <v>21408.99</v>
      </c>
      <c r="T325" s="117">
        <f>+IF($C325="","",ROUND(S325*VLOOKUP(B325,Parámetros!$C$30:$D$39,2,TRUE),2))</f>
        <v>21408.99</v>
      </c>
      <c r="U325" s="117">
        <f>+IF($C325="","",ROUND((U324+I325)*(1+Parámetros!$D$92),2))</f>
        <v>22998.91</v>
      </c>
      <c r="V325" s="117">
        <f>+IF($C325="","",ROUND(U325*VLOOKUP(B325,Parámetros!$C$30:$D$39,2,TRUE),2))</f>
        <v>22998.91</v>
      </c>
      <c r="W325" s="57">
        <f t="shared" si="467"/>
        <v>284</v>
      </c>
      <c r="X325" t="str">
        <f t="shared" si="468"/>
        <v>00058</v>
      </c>
      <c r="Y325" t="str">
        <f t="shared" si="469"/>
        <v>MUERTE POR CUALQUIER CAUSA</v>
      </c>
      <c r="Z325" s="118">
        <f>+IF($W325="","",ROUND(IF(Parámetros!$D$25='TABLAS MORT'!$V$33,Z324,Parámetros!$D$21-'Tablas Servicio'!T324),0))</f>
        <v>100000</v>
      </c>
      <c r="AA325" s="118" t="str">
        <f t="shared" si="470"/>
        <v>P</v>
      </c>
      <c r="AB325" s="119">
        <f>+IF(W325="","",ROUND((VLOOKUP(ROUNDDOWN($D325-1/frec,0),qx_tabla,2,FALSE)*(1+i/frec)^-0.5*(1+Parámetros!$D$103)*(1+rec_fracc)/frec),6))</f>
        <v>5.8299999999999997E-4</v>
      </c>
      <c r="AC325" s="66">
        <f t="shared" si="426"/>
        <v>58.3</v>
      </c>
      <c r="AD325" s="119">
        <f t="shared" si="422"/>
        <v>7.0799999999999997E-4</v>
      </c>
      <c r="AE325" s="66">
        <f>+IF($W325="","",ROUND(IF($B325&gt;Parámetros!$D$107,'Tablas Servicio'!AC325+('Tablas Servicio'!AG324-'Tablas Servicio'!AC324),AC325/(1-IF(B325&lt;=10,Parámetros!$D$104,Parámetros!$D$105))),2))</f>
        <v>97.17</v>
      </c>
      <c r="AF325" s="66">
        <f>+IF($W325="","",ROUND(IF($B325&gt;Parámetros!$D$107,'Tablas Servicio'!AC325+('Tablas Servicio'!AG324-'Tablas Servicio'!AC324),(AC325+$A324/frec)/(1-IF(B325&lt;=Parámetros!$D$117,Parámetros!$D$100,0))),2))</f>
        <v>70.8</v>
      </c>
      <c r="AG325" s="66">
        <f t="shared" si="427"/>
        <v>70.8</v>
      </c>
      <c r="AH325" s="66">
        <f t="shared" si="428"/>
        <v>0</v>
      </c>
      <c r="AI325" s="66">
        <f t="shared" si="429"/>
        <v>0</v>
      </c>
      <c r="AJ325" s="66">
        <f>+IF($W325="","",ROUND((AG325*Parámetros!$G$85),2))</f>
        <v>2.48</v>
      </c>
      <c r="AK325" s="66">
        <f>+IF($W325="","",ROUND((AG325*(Parámetros!$G$86)),2))</f>
        <v>0.35</v>
      </c>
      <c r="AL325" s="66">
        <f t="shared" si="423"/>
        <v>73.63</v>
      </c>
      <c r="AM325" t="str">
        <f t="shared" si="471"/>
        <v>00059</v>
      </c>
      <c r="AN325" t="str">
        <f t="shared" si="472"/>
        <v>Incapacidad Total y Permanente</v>
      </c>
      <c r="AO325" s="118">
        <f t="shared" si="473"/>
        <v>0</v>
      </c>
      <c r="AP325" s="118" t="str">
        <f t="shared" si="474"/>
        <v>A</v>
      </c>
      <c r="AQ325" s="119" t="str">
        <f>+IF(OR($W325="",AO325=0),"",ROUND((VLOOKUP(ROUNDDOWN($D325-1/frec,0),cob_adi,Z$40,FALSE)*(1+i/frec)^-0.5*(1+Parámetros!$D$103)*(1+rec_fracc)/frec),6))</f>
        <v/>
      </c>
      <c r="AR325" s="66">
        <f t="shared" si="430"/>
        <v>0</v>
      </c>
      <c r="AS325" s="119" t="str">
        <f t="shared" si="431"/>
        <v/>
      </c>
      <c r="AT325" s="66">
        <f>+IF($W325="","",ROUND(IF($B325&gt;Parámetros!$D$107,'Tablas Servicio'!AR325+('Tablas Servicio'!AT324-'Tablas Servicio'!AR324),AR325/(1-IF(B325&lt;=10,Parámetros!$D$100,0))),2))</f>
        <v>0</v>
      </c>
      <c r="AU325" s="66">
        <f t="shared" si="432"/>
        <v>0</v>
      </c>
      <c r="AV325" s="66">
        <f t="shared" si="432"/>
        <v>0</v>
      </c>
      <c r="AW325" s="66">
        <f>+IF($W325="","",ROUND((AT325*Parámetros!$G$85),2))</f>
        <v>0</v>
      </c>
      <c r="AX325" s="66">
        <f>+IF($W325="","",ROUND((AT325*(Parámetros!$G$86)),2))</f>
        <v>0</v>
      </c>
      <c r="AY325" s="66">
        <f t="shared" si="433"/>
        <v>0</v>
      </c>
      <c r="AZ325" t="str">
        <f t="shared" si="475"/>
        <v>00060</v>
      </c>
      <c r="BA325" t="str">
        <f t="shared" si="476"/>
        <v>Muerte Accidental</v>
      </c>
      <c r="BB325" s="118">
        <f t="shared" si="477"/>
        <v>0</v>
      </c>
      <c r="BC325" s="118" t="str">
        <f t="shared" si="478"/>
        <v>A</v>
      </c>
      <c r="BD325" s="119" t="str">
        <f>+IF(OR($W325="",BB325=0),"",ROUND((VLOOKUP(ROUNDDOWN($D325-1/frec,0),cob_adi,AO$40,FALSE)*(1+i/frec)^-0.5*(1+Parámetros!$D$103)*(1+rec_fracc)/frec),6))</f>
        <v/>
      </c>
      <c r="BE325" s="66">
        <f t="shared" si="434"/>
        <v>0</v>
      </c>
      <c r="BF325" s="119" t="str">
        <f t="shared" si="435"/>
        <v/>
      </c>
      <c r="BG325" s="66">
        <f>+IF($W325="","",ROUND(IF($B325&gt;Parámetros!$D$107,'Tablas Servicio'!BE325+('Tablas Servicio'!BG324-'Tablas Servicio'!BE324),BE325/(1-IF(B325&lt;=10,Parámetros!$D$100,0))),2))</f>
        <v>0</v>
      </c>
      <c r="BH325" s="66">
        <f t="shared" si="436"/>
        <v>0</v>
      </c>
      <c r="BI325" s="66">
        <f t="shared" si="437"/>
        <v>0</v>
      </c>
      <c r="BJ325" s="66">
        <f>+IF($W325="","",ROUND((BG325*Parámetros!$G$85),2))</f>
        <v>0</v>
      </c>
      <c r="BK325" s="66">
        <f>+IF($W325="","",ROUND((BG325*(Parámetros!$G$86)),2))</f>
        <v>0</v>
      </c>
      <c r="BL325" s="66">
        <f t="shared" si="438"/>
        <v>0</v>
      </c>
      <c r="BM325" t="str">
        <f t="shared" si="479"/>
        <v>00061</v>
      </c>
      <c r="BN325" t="str">
        <f t="shared" si="480"/>
        <v>Gastos de Entierro</v>
      </c>
      <c r="BO325" s="118">
        <f t="shared" si="481"/>
        <v>0</v>
      </c>
      <c r="BP325" s="118" t="str">
        <f t="shared" si="482"/>
        <v>A</v>
      </c>
      <c r="BQ325" s="119" t="str">
        <f>+IF(OR($W325="",BO325=0),"",ROUND((VLOOKUP(ROUNDDOWN($D325-1/frec,0),cob_adi,BB$40,FALSE)*(1+i/frec)^-0.5*(1+Parámetros!$D$103)*(1+rec_fracc)/frec),6))</f>
        <v/>
      </c>
      <c r="BR325" s="66">
        <f t="shared" si="439"/>
        <v>0</v>
      </c>
      <c r="BS325" s="119" t="str">
        <f t="shared" si="440"/>
        <v/>
      </c>
      <c r="BT325" s="66">
        <f>+IF($W325="","",ROUND(IF($B325&gt;Parámetros!$D$107,'Tablas Servicio'!BR325+('Tablas Servicio'!BT324-'Tablas Servicio'!BR324),BR325/(1-IF(B325&lt;=10,Parámetros!$D$100,0))),2))</f>
        <v>0</v>
      </c>
      <c r="BU325" s="66">
        <f t="shared" si="441"/>
        <v>0</v>
      </c>
      <c r="BV325" s="66">
        <f t="shared" si="441"/>
        <v>0</v>
      </c>
      <c r="BW325" s="66">
        <f>+IF($W325="","",ROUND((BT325*Parámetros!$G$85),2))</f>
        <v>0</v>
      </c>
      <c r="BX325" s="66">
        <f>+IF($W325="","",ROUND((BT325*(Parámetros!$G$86)),2))</f>
        <v>0</v>
      </c>
      <c r="BY325" s="66">
        <f t="shared" si="442"/>
        <v>0</v>
      </c>
      <c r="BZ325" t="str">
        <f t="shared" si="483"/>
        <v>00062</v>
      </c>
      <c r="CA325" t="str">
        <f t="shared" si="484"/>
        <v>Gastos médicos por accidente</v>
      </c>
      <c r="CB325" s="118">
        <f t="shared" si="485"/>
        <v>0</v>
      </c>
      <c r="CC325" s="118" t="str">
        <f t="shared" si="486"/>
        <v>A</v>
      </c>
      <c r="CD325" s="119" t="str">
        <f t="shared" si="443"/>
        <v/>
      </c>
      <c r="CE325" s="66">
        <f>+IF($W325="","",ROUND((VLOOKUP(ROUNDDOWN($D325-1/frec,0),cob_adi,BO$40,FALSE)*(1+i/frec)^-0.5*(1+Parámetros!$D$103)*(1+rec_fracc)/frec*'TABLAS ADI'!$BC$17),2))</f>
        <v>0</v>
      </c>
      <c r="CF325" s="119" t="str">
        <f t="shared" si="444"/>
        <v/>
      </c>
      <c r="CG325" s="66">
        <f>+IF($W325="","",ROUND(IF($B325&gt;Parámetros!$D$107,'Tablas Servicio'!CE325+('Tablas Servicio'!CG324-'Tablas Servicio'!CE324),CE325/(1-IF(B325&lt;=10,Parámetros!$D$100,0))),2))</f>
        <v>0</v>
      </c>
      <c r="CH325" s="66">
        <f t="shared" si="445"/>
        <v>0</v>
      </c>
      <c r="CI325" s="66">
        <f t="shared" si="445"/>
        <v>0</v>
      </c>
      <c r="CJ325" s="66">
        <f>+IF($W325="","",ROUND((CG325*Parámetros!$G$85),2))</f>
        <v>0</v>
      </c>
      <c r="CK325" s="66">
        <f>+IF($W325="","",ROUND((CG325*(Parámetros!$G$86)),2))</f>
        <v>0</v>
      </c>
      <c r="CL325" s="66">
        <f t="shared" si="446"/>
        <v>0</v>
      </c>
      <c r="CM325" t="str">
        <f t="shared" si="487"/>
        <v>00063</v>
      </c>
      <c r="CN325" s="118" t="str">
        <f t="shared" si="488"/>
        <v>Renta Diaria por Hospitalización</v>
      </c>
      <c r="CO325" s="118">
        <f t="shared" si="489"/>
        <v>0</v>
      </c>
      <c r="CP325" s="118" t="str">
        <f t="shared" si="490"/>
        <v>A</v>
      </c>
      <c r="CQ325" s="119" t="str">
        <f t="shared" si="447"/>
        <v/>
      </c>
      <c r="CR325" s="66">
        <f>+IF($W325="","",ROUND((VLOOKUP(Parámetros!$F$51,'COBERTURAS ADICIONALES'!$S$4:$T$32,2,FALSE)*(1+i/frec)^-0.5*(1+Parámetros!$D$103)*(1+rec_fracc)/frec*$CO$42),2))</f>
        <v>0</v>
      </c>
      <c r="CS325" s="119" t="str">
        <f t="shared" si="448"/>
        <v/>
      </c>
      <c r="CT325" s="66">
        <f>+IF($W325="","",ROUND(IF($B325&gt;Parámetros!$D$107,'Tablas Servicio'!CR325+('Tablas Servicio'!CT324-'Tablas Servicio'!CR324),CR325/(1-IF(B325&lt;=10,Parámetros!$D$100,0))),2))</f>
        <v>0</v>
      </c>
      <c r="CU325" s="66">
        <f t="shared" si="449"/>
        <v>0</v>
      </c>
      <c r="CV325" s="66">
        <f t="shared" si="449"/>
        <v>0</v>
      </c>
      <c r="CW325" s="66">
        <f>+IF($W325="","",ROUND((CT325*Parámetros!$G$85),2))</f>
        <v>0</v>
      </c>
      <c r="CX325" s="66">
        <f>+IF($W325="","",ROUND((CT325*(Parámetros!$G$86)),2))</f>
        <v>0</v>
      </c>
      <c r="CY325" s="66">
        <f t="shared" si="450"/>
        <v>0</v>
      </c>
      <c r="CZ325" t="str">
        <f t="shared" si="491"/>
        <v>00064</v>
      </c>
      <c r="DA325" s="118" t="str">
        <f t="shared" si="492"/>
        <v>Enfermedades Graves</v>
      </c>
      <c r="DB325" s="118">
        <f t="shared" si="493"/>
        <v>0</v>
      </c>
      <c r="DC325" s="118" t="str">
        <f t="shared" si="494"/>
        <v>A</v>
      </c>
      <c r="DD325" s="121" t="str">
        <f>+IF(OR($W325="",DB325=0),"",ROUND((VLOOKUP(ROUNDDOWN($D325-1/frec,0),cob_adi,CO$40,FALSE)*(1+i/frec)^-0.5*(1+Parámetros!$D$103)*(1+rec_fracc)/frec),6))</f>
        <v/>
      </c>
      <c r="DE325" s="66">
        <f t="shared" si="451"/>
        <v>0</v>
      </c>
      <c r="DF325" s="119" t="str">
        <f t="shared" si="452"/>
        <v/>
      </c>
      <c r="DG325" s="66">
        <f>+IF($W325="","",ROUND(IF($B325&gt;Parámetros!$D$107,'Tablas Servicio'!DE325+('Tablas Servicio'!DG324-'Tablas Servicio'!DE324),DE325/(1-IF(B325&lt;=10,Parámetros!$D$100,0))),2))</f>
        <v>0</v>
      </c>
      <c r="DH325" s="66">
        <f t="shared" si="453"/>
        <v>0</v>
      </c>
      <c r="DI325" s="66">
        <f t="shared" si="453"/>
        <v>0</v>
      </c>
      <c r="DJ325" s="66">
        <f>+IF($W325="","",ROUND((DG325*Parámetros!$G$85),2))</f>
        <v>0</v>
      </c>
      <c r="DK325" s="66">
        <f>+IF($W325="","",ROUND((DG325*(Parámetros!$G$86)),2))</f>
        <v>0</v>
      </c>
      <c r="DL325" s="66">
        <f t="shared" si="454"/>
        <v>0</v>
      </c>
      <c r="DM325" t="str">
        <f t="shared" si="495"/>
        <v>00065</v>
      </c>
      <c r="DN325" s="118" t="str">
        <f t="shared" si="496"/>
        <v>Exención pago de primas</v>
      </c>
      <c r="DO325" s="118">
        <f t="shared" si="497"/>
        <v>0</v>
      </c>
      <c r="DP325" s="118" t="str">
        <f t="shared" si="498"/>
        <v>A</v>
      </c>
      <c r="DQ325" s="122" t="str">
        <f>+IF(OR($W325="",DO325=0),"",ROUND((VLOOKUP(ROUNDDOWN($D325-1/frec,0),cob_adi,DB$40,FALSE)*(1+i/frec)^-0.5*(1+Parámetros!$D$103)*(1+rec_fracc)/frec),6))</f>
        <v/>
      </c>
      <c r="DR325" s="66">
        <f t="shared" si="455"/>
        <v>0</v>
      </c>
      <c r="DS325" s="68" t="str">
        <f t="shared" si="456"/>
        <v/>
      </c>
      <c r="DT325" s="66">
        <f>+IF($W325="","",ROUND(IF($B325&gt;Parámetros!$D$107,'Tablas Servicio'!DR325+('Tablas Servicio'!DT324-'Tablas Servicio'!DR324),DR325/(1-IF(B325&lt;=10,Parámetros!$D$100,0))),2))</f>
        <v>0</v>
      </c>
      <c r="DU325" s="66">
        <f t="shared" si="457"/>
        <v>0</v>
      </c>
      <c r="DV325" s="66">
        <f t="shared" si="457"/>
        <v>0</v>
      </c>
      <c r="DW325" s="66">
        <f>+IF($W325="","",ROUND((DT325*Parámetros!$G$85),2))</f>
        <v>0</v>
      </c>
      <c r="DX325" s="66">
        <f>+IF($W325="","",ROUND((DT325*(Parámetros!$G$86)),2))</f>
        <v>0</v>
      </c>
      <c r="DY325" s="66">
        <f t="shared" si="458"/>
        <v>0</v>
      </c>
      <c r="DZ325" t="str">
        <f t="shared" si="499"/>
        <v>00066</v>
      </c>
      <c r="EA325" s="118" t="str">
        <f t="shared" si="499"/>
        <v>Enfermedad terminal</v>
      </c>
      <c r="EB325" s="118">
        <f>+IF($W325="","",ROUND(IF(Parámetros!$D$25='TABLAS MORT'!$V$33,EB324,Z325/2),0))</f>
        <v>50000</v>
      </c>
      <c r="EC325" s="118" t="str">
        <f t="shared" si="499"/>
        <v>A</v>
      </c>
      <c r="ED325" s="122">
        <f>+IF(OR($W325="",EB325=0),"",ROUND((VLOOKUP(ROUNDDOWN($D325-1/frec,0),cob_adi,DO$40,FALSE)*(1+i/frec)^-0.5*(1+Parámetros!$D$103)*(1+rec_fracc)/frec),6))</f>
        <v>3.8999999999999999E-5</v>
      </c>
      <c r="EE325" s="66">
        <f t="shared" si="460"/>
        <v>1.95</v>
      </c>
      <c r="EF325" s="68">
        <f t="shared" si="461"/>
        <v>3.8999999999999999E-5</v>
      </c>
      <c r="EG325" s="66">
        <f>+IF($W325="","",ROUND(IF($B325&gt;Parámetros!$D$107,'Tablas Servicio'!EE325+('Tablas Servicio'!EG324-'Tablas Servicio'!EE324),EE325/(1-IF(B325&lt;=10,Parámetros!$D$100,0))),2))</f>
        <v>1.95</v>
      </c>
      <c r="EH325" s="66">
        <f t="shared" si="462"/>
        <v>0</v>
      </c>
      <c r="EI325" s="66">
        <f t="shared" si="462"/>
        <v>0</v>
      </c>
      <c r="EJ325" s="66">
        <f>+IF($W325="","",ROUND((EG325*Parámetros!$G$85),2))</f>
        <v>7.0000000000000007E-2</v>
      </c>
      <c r="EK325" s="66">
        <f>+IF($W325="","",ROUND((EG325*(Parámetros!$G$86)),2))</f>
        <v>0.01</v>
      </c>
      <c r="EL325" s="66">
        <f t="shared" si="463"/>
        <v>2.0299999999999998</v>
      </c>
    </row>
    <row r="326" spans="1:142" x14ac:dyDescent="0.25">
      <c r="A326">
        <f>+IF($C326="","",ROUND(VLOOKUP('Tablas Servicio'!B326,Parámetros!$H$100:$J$159,IF(Parámetros!$E$16="F",2,3),FALSE),2))</f>
        <v>150</v>
      </c>
      <c r="B326">
        <f t="shared" si="414"/>
        <v>24</v>
      </c>
      <c r="C326" s="57">
        <f>+IF(D326="","",'Tablas Servicio'!C325+1)</f>
        <v>285</v>
      </c>
      <c r="D326" s="56">
        <f>+IF(D325&lt;edadmaxtabla,D325+1/Parámetros!$E$25,"")</f>
        <v>63.770000000000678</v>
      </c>
      <c r="E326" s="57">
        <f t="shared" si="424"/>
        <v>63</v>
      </c>
      <c r="F326" s="59">
        <f t="shared" si="425"/>
        <v>100000</v>
      </c>
      <c r="G326" s="66">
        <f t="shared" si="415"/>
        <v>72.75</v>
      </c>
      <c r="H326" s="66">
        <f t="shared" si="416"/>
        <v>75.66</v>
      </c>
      <c r="I326" s="66">
        <f t="shared" si="464"/>
        <v>18.340000000000003</v>
      </c>
      <c r="J326" s="66">
        <f t="shared" si="417"/>
        <v>2.5499999999999998</v>
      </c>
      <c r="K326" s="66">
        <f t="shared" si="418"/>
        <v>0.36</v>
      </c>
      <c r="L326" s="66">
        <f t="shared" si="419"/>
        <v>0</v>
      </c>
      <c r="M326" s="66">
        <f t="shared" si="420"/>
        <v>0</v>
      </c>
      <c r="N326" s="66">
        <f>+IF(C326="","",ROUND(Parámetros!$D$23,2))</f>
        <v>94</v>
      </c>
      <c r="O326" s="66">
        <f t="shared" si="421"/>
        <v>60.25</v>
      </c>
      <c r="P326" s="66">
        <f>+IF($C326="","",ROUND(IF(B326&gt;Parámetros!$D$117,0,N326*Parámetros!$D$116-G326*Parámetros!$D$100),2))</f>
        <v>0</v>
      </c>
      <c r="Q326" s="75">
        <f t="shared" si="465"/>
        <v>3.5051546391752578E-2</v>
      </c>
      <c r="R326" s="75">
        <f t="shared" si="466"/>
        <v>4.9484536082474223E-3</v>
      </c>
      <c r="S326" s="117">
        <f>+IF($C326="","",ROUND((S325+I326)*(1+Parámetros!$D$91),2))</f>
        <v>21488.11</v>
      </c>
      <c r="T326" s="117">
        <f>+IF($C326="","",ROUND(S326*VLOOKUP(B326,Parámetros!$C$30:$D$39,2,TRUE),2))</f>
        <v>21488.11</v>
      </c>
      <c r="U326" s="117">
        <f>+IF($C326="","",ROUND((U325+I326)*(1+Parámetros!$D$92),2))</f>
        <v>23091.86</v>
      </c>
      <c r="V326" s="117">
        <f>+IF($C326="","",ROUND(U326*VLOOKUP(B326,Parámetros!$C$30:$D$39,2,TRUE),2))</f>
        <v>23091.86</v>
      </c>
      <c r="W326" s="57">
        <f t="shared" si="467"/>
        <v>285</v>
      </c>
      <c r="X326" t="str">
        <f t="shared" si="468"/>
        <v>00058</v>
      </c>
      <c r="Y326" t="str">
        <f t="shared" si="469"/>
        <v>MUERTE POR CUALQUIER CAUSA</v>
      </c>
      <c r="Z326" s="118">
        <f>+IF($W326="","",ROUND(IF(Parámetros!$D$25='TABLAS MORT'!$V$33,Z325,Parámetros!$D$21-'Tablas Servicio'!T325),0))</f>
        <v>100000</v>
      </c>
      <c r="AA326" s="118" t="str">
        <f t="shared" si="470"/>
        <v>P</v>
      </c>
      <c r="AB326" s="119">
        <f>+IF(W326="","",ROUND((VLOOKUP(ROUNDDOWN($D326-1/frec,0),qx_tabla,2,FALSE)*(1+i/frec)^-0.5*(1+Parámetros!$D$103)*(1+rec_fracc)/frec),6))</f>
        <v>5.8299999999999997E-4</v>
      </c>
      <c r="AC326" s="66">
        <f t="shared" si="426"/>
        <v>58.3</v>
      </c>
      <c r="AD326" s="119">
        <f t="shared" si="422"/>
        <v>7.0799999999999997E-4</v>
      </c>
      <c r="AE326" s="66">
        <f>+IF($W326="","",ROUND(IF($B326&gt;Parámetros!$D$107,'Tablas Servicio'!AC326+('Tablas Servicio'!AG325-'Tablas Servicio'!AC325),AC326/(1-IF(B326&lt;=10,Parámetros!$D$104,Parámetros!$D$105))),2))</f>
        <v>97.17</v>
      </c>
      <c r="AF326" s="66">
        <f>+IF($W326="","",ROUND(IF($B326&gt;Parámetros!$D$107,'Tablas Servicio'!AC326+('Tablas Servicio'!AG325-'Tablas Servicio'!AC325),(AC326+$A325/frec)/(1-IF(B326&lt;=Parámetros!$D$117,Parámetros!$D$100,0))),2))</f>
        <v>70.8</v>
      </c>
      <c r="AG326" s="66">
        <f t="shared" si="427"/>
        <v>70.8</v>
      </c>
      <c r="AH326" s="66">
        <f t="shared" si="428"/>
        <v>0</v>
      </c>
      <c r="AI326" s="66">
        <f t="shared" si="429"/>
        <v>0</v>
      </c>
      <c r="AJ326" s="66">
        <f>+IF($W326="","",ROUND((AG326*Parámetros!$G$85),2))</f>
        <v>2.48</v>
      </c>
      <c r="AK326" s="66">
        <f>+IF($W326="","",ROUND((AG326*(Parámetros!$G$86)),2))</f>
        <v>0.35</v>
      </c>
      <c r="AL326" s="66">
        <f t="shared" si="423"/>
        <v>73.63</v>
      </c>
      <c r="AM326" t="str">
        <f t="shared" si="471"/>
        <v>00059</v>
      </c>
      <c r="AN326" t="str">
        <f t="shared" si="472"/>
        <v>Incapacidad Total y Permanente</v>
      </c>
      <c r="AO326" s="118">
        <f t="shared" si="473"/>
        <v>0</v>
      </c>
      <c r="AP326" s="118" t="str">
        <f t="shared" si="474"/>
        <v>A</v>
      </c>
      <c r="AQ326" s="119" t="str">
        <f>+IF(OR($W326="",AO326=0),"",ROUND((VLOOKUP(ROUNDDOWN($D326-1/frec,0),cob_adi,Z$40,FALSE)*(1+i/frec)^-0.5*(1+Parámetros!$D$103)*(1+rec_fracc)/frec),6))</f>
        <v/>
      </c>
      <c r="AR326" s="66">
        <f t="shared" si="430"/>
        <v>0</v>
      </c>
      <c r="AS326" s="119" t="str">
        <f t="shared" si="431"/>
        <v/>
      </c>
      <c r="AT326" s="66">
        <f>+IF($W326="","",ROUND(IF($B326&gt;Parámetros!$D$107,'Tablas Servicio'!AR326+('Tablas Servicio'!AT325-'Tablas Servicio'!AR325),AR326/(1-IF(B326&lt;=10,Parámetros!$D$100,0))),2))</f>
        <v>0</v>
      </c>
      <c r="AU326" s="66">
        <f t="shared" si="432"/>
        <v>0</v>
      </c>
      <c r="AV326" s="66">
        <f t="shared" si="432"/>
        <v>0</v>
      </c>
      <c r="AW326" s="66">
        <f>+IF($W326="","",ROUND((AT326*Parámetros!$G$85),2))</f>
        <v>0</v>
      </c>
      <c r="AX326" s="66">
        <f>+IF($W326="","",ROUND((AT326*(Parámetros!$G$86)),2))</f>
        <v>0</v>
      </c>
      <c r="AY326" s="66">
        <f t="shared" si="433"/>
        <v>0</v>
      </c>
      <c r="AZ326" t="str">
        <f t="shared" si="475"/>
        <v>00060</v>
      </c>
      <c r="BA326" t="str">
        <f t="shared" si="476"/>
        <v>Muerte Accidental</v>
      </c>
      <c r="BB326" s="118">
        <f t="shared" si="477"/>
        <v>0</v>
      </c>
      <c r="BC326" s="118" t="str">
        <f t="shared" si="478"/>
        <v>A</v>
      </c>
      <c r="BD326" s="119" t="str">
        <f>+IF(OR($W326="",BB326=0),"",ROUND((VLOOKUP(ROUNDDOWN($D326-1/frec,0),cob_adi,AO$40,FALSE)*(1+i/frec)^-0.5*(1+Parámetros!$D$103)*(1+rec_fracc)/frec),6))</f>
        <v/>
      </c>
      <c r="BE326" s="66">
        <f t="shared" si="434"/>
        <v>0</v>
      </c>
      <c r="BF326" s="119" t="str">
        <f t="shared" si="435"/>
        <v/>
      </c>
      <c r="BG326" s="66">
        <f>+IF($W326="","",ROUND(IF($B326&gt;Parámetros!$D$107,'Tablas Servicio'!BE326+('Tablas Servicio'!BG325-'Tablas Servicio'!BE325),BE326/(1-IF(B326&lt;=10,Parámetros!$D$100,0))),2))</f>
        <v>0</v>
      </c>
      <c r="BH326" s="66">
        <f t="shared" si="436"/>
        <v>0</v>
      </c>
      <c r="BI326" s="66">
        <f t="shared" si="437"/>
        <v>0</v>
      </c>
      <c r="BJ326" s="66">
        <f>+IF($W326="","",ROUND((BG326*Parámetros!$G$85),2))</f>
        <v>0</v>
      </c>
      <c r="BK326" s="66">
        <f>+IF($W326="","",ROUND((BG326*(Parámetros!$G$86)),2))</f>
        <v>0</v>
      </c>
      <c r="BL326" s="66">
        <f t="shared" si="438"/>
        <v>0</v>
      </c>
      <c r="BM326" t="str">
        <f t="shared" si="479"/>
        <v>00061</v>
      </c>
      <c r="BN326" t="str">
        <f t="shared" si="480"/>
        <v>Gastos de Entierro</v>
      </c>
      <c r="BO326" s="118">
        <f t="shared" si="481"/>
        <v>0</v>
      </c>
      <c r="BP326" s="118" t="str">
        <f t="shared" si="482"/>
        <v>A</v>
      </c>
      <c r="BQ326" s="119" t="str">
        <f>+IF(OR($W326="",BO326=0),"",ROUND((VLOOKUP(ROUNDDOWN($D326-1/frec,0),cob_adi,BB$40,FALSE)*(1+i/frec)^-0.5*(1+Parámetros!$D$103)*(1+rec_fracc)/frec),6))</f>
        <v/>
      </c>
      <c r="BR326" s="66">
        <f t="shared" si="439"/>
        <v>0</v>
      </c>
      <c r="BS326" s="119" t="str">
        <f t="shared" si="440"/>
        <v/>
      </c>
      <c r="BT326" s="66">
        <f>+IF($W326="","",ROUND(IF($B326&gt;Parámetros!$D$107,'Tablas Servicio'!BR326+('Tablas Servicio'!BT325-'Tablas Servicio'!BR325),BR326/(1-IF(B326&lt;=10,Parámetros!$D$100,0))),2))</f>
        <v>0</v>
      </c>
      <c r="BU326" s="66">
        <f t="shared" si="441"/>
        <v>0</v>
      </c>
      <c r="BV326" s="66">
        <f t="shared" si="441"/>
        <v>0</v>
      </c>
      <c r="BW326" s="66">
        <f>+IF($W326="","",ROUND((BT326*Parámetros!$G$85),2))</f>
        <v>0</v>
      </c>
      <c r="BX326" s="66">
        <f>+IF($W326="","",ROUND((BT326*(Parámetros!$G$86)),2))</f>
        <v>0</v>
      </c>
      <c r="BY326" s="66">
        <f t="shared" si="442"/>
        <v>0</v>
      </c>
      <c r="BZ326" t="str">
        <f t="shared" si="483"/>
        <v>00062</v>
      </c>
      <c r="CA326" t="str">
        <f t="shared" si="484"/>
        <v>Gastos médicos por accidente</v>
      </c>
      <c r="CB326" s="118">
        <f t="shared" si="485"/>
        <v>0</v>
      </c>
      <c r="CC326" s="118" t="str">
        <f t="shared" si="486"/>
        <v>A</v>
      </c>
      <c r="CD326" s="119" t="str">
        <f t="shared" si="443"/>
        <v/>
      </c>
      <c r="CE326" s="66">
        <f>+IF($W326="","",ROUND((VLOOKUP(ROUNDDOWN($D326-1/frec,0),cob_adi,BO$40,FALSE)*(1+i/frec)^-0.5*(1+Parámetros!$D$103)*(1+rec_fracc)/frec*'TABLAS ADI'!$BC$17),2))</f>
        <v>0</v>
      </c>
      <c r="CF326" s="119" t="str">
        <f t="shared" si="444"/>
        <v/>
      </c>
      <c r="CG326" s="66">
        <f>+IF($W326="","",ROUND(IF($B326&gt;Parámetros!$D$107,'Tablas Servicio'!CE326+('Tablas Servicio'!CG325-'Tablas Servicio'!CE325),CE326/(1-IF(B326&lt;=10,Parámetros!$D$100,0))),2))</f>
        <v>0</v>
      </c>
      <c r="CH326" s="66">
        <f t="shared" si="445"/>
        <v>0</v>
      </c>
      <c r="CI326" s="66">
        <f t="shared" si="445"/>
        <v>0</v>
      </c>
      <c r="CJ326" s="66">
        <f>+IF($W326="","",ROUND((CG326*Parámetros!$G$85),2))</f>
        <v>0</v>
      </c>
      <c r="CK326" s="66">
        <f>+IF($W326="","",ROUND((CG326*(Parámetros!$G$86)),2))</f>
        <v>0</v>
      </c>
      <c r="CL326" s="66">
        <f t="shared" si="446"/>
        <v>0</v>
      </c>
      <c r="CM326" t="str">
        <f t="shared" si="487"/>
        <v>00063</v>
      </c>
      <c r="CN326" s="118" t="str">
        <f t="shared" si="488"/>
        <v>Renta Diaria por Hospitalización</v>
      </c>
      <c r="CO326" s="118">
        <f t="shared" si="489"/>
        <v>0</v>
      </c>
      <c r="CP326" s="118" t="str">
        <f t="shared" si="490"/>
        <v>A</v>
      </c>
      <c r="CQ326" s="119" t="str">
        <f t="shared" si="447"/>
        <v/>
      </c>
      <c r="CR326" s="66">
        <f>+IF($W326="","",ROUND((VLOOKUP(Parámetros!$F$51,'COBERTURAS ADICIONALES'!$S$4:$T$32,2,FALSE)*(1+i/frec)^-0.5*(1+Parámetros!$D$103)*(1+rec_fracc)/frec*$CO$42),2))</f>
        <v>0</v>
      </c>
      <c r="CS326" s="119" t="str">
        <f t="shared" si="448"/>
        <v/>
      </c>
      <c r="CT326" s="66">
        <f>+IF($W326="","",ROUND(IF($B326&gt;Parámetros!$D$107,'Tablas Servicio'!CR326+('Tablas Servicio'!CT325-'Tablas Servicio'!CR325),CR326/(1-IF(B326&lt;=10,Parámetros!$D$100,0))),2))</f>
        <v>0</v>
      </c>
      <c r="CU326" s="66">
        <f t="shared" si="449"/>
        <v>0</v>
      </c>
      <c r="CV326" s="66">
        <f t="shared" si="449"/>
        <v>0</v>
      </c>
      <c r="CW326" s="66">
        <f>+IF($W326="","",ROUND((CT326*Parámetros!$G$85),2))</f>
        <v>0</v>
      </c>
      <c r="CX326" s="66">
        <f>+IF($W326="","",ROUND((CT326*(Parámetros!$G$86)),2))</f>
        <v>0</v>
      </c>
      <c r="CY326" s="66">
        <f t="shared" si="450"/>
        <v>0</v>
      </c>
      <c r="CZ326" t="str">
        <f t="shared" si="491"/>
        <v>00064</v>
      </c>
      <c r="DA326" s="118" t="str">
        <f t="shared" si="492"/>
        <v>Enfermedades Graves</v>
      </c>
      <c r="DB326" s="118">
        <f t="shared" si="493"/>
        <v>0</v>
      </c>
      <c r="DC326" s="118" t="str">
        <f t="shared" si="494"/>
        <v>A</v>
      </c>
      <c r="DD326" s="121" t="str">
        <f>+IF(OR($W326="",DB326=0),"",ROUND((VLOOKUP(ROUNDDOWN($D326-1/frec,0),cob_adi,CO$40,FALSE)*(1+i/frec)^-0.5*(1+Parámetros!$D$103)*(1+rec_fracc)/frec),6))</f>
        <v/>
      </c>
      <c r="DE326" s="66">
        <f t="shared" si="451"/>
        <v>0</v>
      </c>
      <c r="DF326" s="119" t="str">
        <f t="shared" si="452"/>
        <v/>
      </c>
      <c r="DG326" s="66">
        <f>+IF($W326="","",ROUND(IF($B326&gt;Parámetros!$D$107,'Tablas Servicio'!DE326+('Tablas Servicio'!DG325-'Tablas Servicio'!DE325),DE326/(1-IF(B326&lt;=10,Parámetros!$D$100,0))),2))</f>
        <v>0</v>
      </c>
      <c r="DH326" s="66">
        <f t="shared" si="453"/>
        <v>0</v>
      </c>
      <c r="DI326" s="66">
        <f t="shared" si="453"/>
        <v>0</v>
      </c>
      <c r="DJ326" s="66">
        <f>+IF($W326="","",ROUND((DG326*Parámetros!$G$85),2))</f>
        <v>0</v>
      </c>
      <c r="DK326" s="66">
        <f>+IF($W326="","",ROUND((DG326*(Parámetros!$G$86)),2))</f>
        <v>0</v>
      </c>
      <c r="DL326" s="66">
        <f t="shared" si="454"/>
        <v>0</v>
      </c>
      <c r="DM326" t="str">
        <f t="shared" si="495"/>
        <v>00065</v>
      </c>
      <c r="DN326" s="118" t="str">
        <f t="shared" si="496"/>
        <v>Exención pago de primas</v>
      </c>
      <c r="DO326" s="118">
        <f t="shared" si="497"/>
        <v>0</v>
      </c>
      <c r="DP326" s="118" t="str">
        <f t="shared" si="498"/>
        <v>A</v>
      </c>
      <c r="DQ326" s="122" t="str">
        <f>+IF(OR($W326="",DO326=0),"",ROUND((VLOOKUP(ROUNDDOWN($D326-1/frec,0),cob_adi,DB$40,FALSE)*(1+i/frec)^-0.5*(1+Parámetros!$D$103)*(1+rec_fracc)/frec),6))</f>
        <v/>
      </c>
      <c r="DR326" s="66">
        <f t="shared" si="455"/>
        <v>0</v>
      </c>
      <c r="DS326" s="68" t="str">
        <f t="shared" si="456"/>
        <v/>
      </c>
      <c r="DT326" s="66">
        <f>+IF($W326="","",ROUND(IF($B326&gt;Parámetros!$D$107,'Tablas Servicio'!DR326+('Tablas Servicio'!DT325-'Tablas Servicio'!DR325),DR326/(1-IF(B326&lt;=10,Parámetros!$D$100,0))),2))</f>
        <v>0</v>
      </c>
      <c r="DU326" s="66">
        <f t="shared" si="457"/>
        <v>0</v>
      </c>
      <c r="DV326" s="66">
        <f t="shared" si="457"/>
        <v>0</v>
      </c>
      <c r="DW326" s="66">
        <f>+IF($W326="","",ROUND((DT326*Parámetros!$G$85),2))</f>
        <v>0</v>
      </c>
      <c r="DX326" s="66">
        <f>+IF($W326="","",ROUND((DT326*(Parámetros!$G$86)),2))</f>
        <v>0</v>
      </c>
      <c r="DY326" s="66">
        <f t="shared" si="458"/>
        <v>0</v>
      </c>
      <c r="DZ326" t="str">
        <f t="shared" si="499"/>
        <v>00066</v>
      </c>
      <c r="EA326" s="118" t="str">
        <f t="shared" si="499"/>
        <v>Enfermedad terminal</v>
      </c>
      <c r="EB326" s="118">
        <f>+IF($W326="","",ROUND(IF(Parámetros!$D$25='TABLAS MORT'!$V$33,EB325,Z326/2),0))</f>
        <v>50000</v>
      </c>
      <c r="EC326" s="118" t="str">
        <f t="shared" si="499"/>
        <v>A</v>
      </c>
      <c r="ED326" s="122">
        <f>+IF(OR($W326="",EB326=0),"",ROUND((VLOOKUP(ROUNDDOWN($D326-1/frec,0),cob_adi,DO$40,FALSE)*(1+i/frec)^-0.5*(1+Parámetros!$D$103)*(1+rec_fracc)/frec),6))</f>
        <v>3.8999999999999999E-5</v>
      </c>
      <c r="EE326" s="66">
        <f t="shared" si="460"/>
        <v>1.95</v>
      </c>
      <c r="EF326" s="68">
        <f t="shared" si="461"/>
        <v>3.8999999999999999E-5</v>
      </c>
      <c r="EG326" s="66">
        <f>+IF($W326="","",ROUND(IF($B326&gt;Parámetros!$D$107,'Tablas Servicio'!EE326+('Tablas Servicio'!EG325-'Tablas Servicio'!EE325),EE326/(1-IF(B326&lt;=10,Parámetros!$D$100,0))),2))</f>
        <v>1.95</v>
      </c>
      <c r="EH326" s="66">
        <f t="shared" si="462"/>
        <v>0</v>
      </c>
      <c r="EI326" s="66">
        <f t="shared" si="462"/>
        <v>0</v>
      </c>
      <c r="EJ326" s="66">
        <f>+IF($W326="","",ROUND((EG326*Parámetros!$G$85),2))</f>
        <v>7.0000000000000007E-2</v>
      </c>
      <c r="EK326" s="66">
        <f>+IF($W326="","",ROUND((EG326*(Parámetros!$G$86)),2))</f>
        <v>0.01</v>
      </c>
      <c r="EL326" s="66">
        <f t="shared" si="463"/>
        <v>2.0299999999999998</v>
      </c>
    </row>
    <row r="327" spans="1:142" x14ac:dyDescent="0.25">
      <c r="A327">
        <f>+IF($C327="","",ROUND(VLOOKUP('Tablas Servicio'!B327,Parámetros!$H$100:$J$159,IF(Parámetros!$E$16="F",2,3),FALSE),2))</f>
        <v>150</v>
      </c>
      <c r="B327">
        <f t="shared" si="414"/>
        <v>24</v>
      </c>
      <c r="C327" s="57">
        <f>+IF(D327="","",'Tablas Servicio'!C326+1)</f>
        <v>286</v>
      </c>
      <c r="D327" s="56">
        <f>+IF(D326&lt;edadmaxtabla,D326+1/Parámetros!$E$25,"")</f>
        <v>63.853333333334014</v>
      </c>
      <c r="E327" s="57">
        <f t="shared" si="424"/>
        <v>63</v>
      </c>
      <c r="F327" s="59">
        <f t="shared" si="425"/>
        <v>100000</v>
      </c>
      <c r="G327" s="66">
        <f t="shared" si="415"/>
        <v>72.75</v>
      </c>
      <c r="H327" s="66">
        <f t="shared" si="416"/>
        <v>75.66</v>
      </c>
      <c r="I327" s="66">
        <f t="shared" si="464"/>
        <v>18.340000000000003</v>
      </c>
      <c r="J327" s="66">
        <f t="shared" si="417"/>
        <v>2.5499999999999998</v>
      </c>
      <c r="K327" s="66">
        <f t="shared" si="418"/>
        <v>0.36</v>
      </c>
      <c r="L327" s="66">
        <f t="shared" si="419"/>
        <v>0</v>
      </c>
      <c r="M327" s="66">
        <f t="shared" si="420"/>
        <v>0</v>
      </c>
      <c r="N327" s="66">
        <f>+IF(C327="","",ROUND(Parámetros!$D$23,2))</f>
        <v>94</v>
      </c>
      <c r="O327" s="66">
        <f t="shared" si="421"/>
        <v>60.25</v>
      </c>
      <c r="P327" s="66">
        <f>+IF($C327="","",ROUND(IF(B327&gt;Parámetros!$D$117,0,N327*Parámetros!$D$116-G327*Parámetros!$D$100),2))</f>
        <v>0</v>
      </c>
      <c r="Q327" s="75">
        <f t="shared" si="465"/>
        <v>3.5051546391752578E-2</v>
      </c>
      <c r="R327" s="75">
        <f t="shared" si="466"/>
        <v>4.9484536082474223E-3</v>
      </c>
      <c r="S327" s="117">
        <f>+IF($C327="","",ROUND((S326+I327)*(1+Parámetros!$D$91),2))</f>
        <v>21567.45</v>
      </c>
      <c r="T327" s="117">
        <f>+IF($C327="","",ROUND(S327*VLOOKUP(B327,Parámetros!$C$30:$D$39,2,TRUE),2))</f>
        <v>21567.45</v>
      </c>
      <c r="U327" s="117">
        <f>+IF($C327="","",ROUND((U326+I327)*(1+Parámetros!$D$92),2))</f>
        <v>23185.119999999999</v>
      </c>
      <c r="V327" s="117">
        <f>+IF($C327="","",ROUND(U327*VLOOKUP(B327,Parámetros!$C$30:$D$39,2,TRUE),2))</f>
        <v>23185.119999999999</v>
      </c>
      <c r="W327" s="57">
        <f t="shared" si="467"/>
        <v>286</v>
      </c>
      <c r="X327" t="str">
        <f t="shared" si="468"/>
        <v>00058</v>
      </c>
      <c r="Y327" t="str">
        <f t="shared" si="469"/>
        <v>MUERTE POR CUALQUIER CAUSA</v>
      </c>
      <c r="Z327" s="118">
        <f>+IF($W327="","",ROUND(IF(Parámetros!$D$25='TABLAS MORT'!$V$33,Z326,Parámetros!$D$21-'Tablas Servicio'!T326),0))</f>
        <v>100000</v>
      </c>
      <c r="AA327" s="118" t="str">
        <f t="shared" si="470"/>
        <v>P</v>
      </c>
      <c r="AB327" s="119">
        <f>+IF(W327="","",ROUND((VLOOKUP(ROUNDDOWN($D327-1/frec,0),qx_tabla,2,FALSE)*(1+i/frec)^-0.5*(1+Parámetros!$D$103)*(1+rec_fracc)/frec),6))</f>
        <v>5.8299999999999997E-4</v>
      </c>
      <c r="AC327" s="66">
        <f t="shared" si="426"/>
        <v>58.3</v>
      </c>
      <c r="AD327" s="119">
        <f t="shared" si="422"/>
        <v>7.0799999999999997E-4</v>
      </c>
      <c r="AE327" s="66">
        <f>+IF($W327="","",ROUND(IF($B327&gt;Parámetros!$D$107,'Tablas Servicio'!AC327+('Tablas Servicio'!AG326-'Tablas Servicio'!AC326),AC327/(1-IF(B327&lt;=10,Parámetros!$D$104,Parámetros!$D$105))),2))</f>
        <v>97.17</v>
      </c>
      <c r="AF327" s="66">
        <f>+IF($W327="","",ROUND(IF($B327&gt;Parámetros!$D$107,'Tablas Servicio'!AC327+('Tablas Servicio'!AG326-'Tablas Servicio'!AC326),(AC327+$A326/frec)/(1-IF(B327&lt;=Parámetros!$D$117,Parámetros!$D$100,0))),2))</f>
        <v>70.8</v>
      </c>
      <c r="AG327" s="66">
        <f t="shared" si="427"/>
        <v>70.8</v>
      </c>
      <c r="AH327" s="66">
        <f t="shared" si="428"/>
        <v>0</v>
      </c>
      <c r="AI327" s="66">
        <f t="shared" si="429"/>
        <v>0</v>
      </c>
      <c r="AJ327" s="66">
        <f>+IF($W327="","",ROUND((AG327*Parámetros!$G$85),2))</f>
        <v>2.48</v>
      </c>
      <c r="AK327" s="66">
        <f>+IF($W327="","",ROUND((AG327*(Parámetros!$G$86)),2))</f>
        <v>0.35</v>
      </c>
      <c r="AL327" s="66">
        <f t="shared" si="423"/>
        <v>73.63</v>
      </c>
      <c r="AM327" t="str">
        <f t="shared" si="471"/>
        <v>00059</v>
      </c>
      <c r="AN327" t="str">
        <f t="shared" si="472"/>
        <v>Incapacidad Total y Permanente</v>
      </c>
      <c r="AO327" s="118">
        <f t="shared" si="473"/>
        <v>0</v>
      </c>
      <c r="AP327" s="118" t="str">
        <f t="shared" si="474"/>
        <v>A</v>
      </c>
      <c r="AQ327" s="119" t="str">
        <f>+IF(OR($W327="",AO327=0),"",ROUND((VLOOKUP(ROUNDDOWN($D327-1/frec,0),cob_adi,Z$40,FALSE)*(1+i/frec)^-0.5*(1+Parámetros!$D$103)*(1+rec_fracc)/frec),6))</f>
        <v/>
      </c>
      <c r="AR327" s="66">
        <f t="shared" si="430"/>
        <v>0</v>
      </c>
      <c r="AS327" s="119" t="str">
        <f t="shared" si="431"/>
        <v/>
      </c>
      <c r="AT327" s="66">
        <f>+IF($W327="","",ROUND(IF($B327&gt;Parámetros!$D$107,'Tablas Servicio'!AR327+('Tablas Servicio'!AT326-'Tablas Servicio'!AR326),AR327/(1-IF(B327&lt;=10,Parámetros!$D$100,0))),2))</f>
        <v>0</v>
      </c>
      <c r="AU327" s="66">
        <f t="shared" si="432"/>
        <v>0</v>
      </c>
      <c r="AV327" s="66">
        <f t="shared" si="432"/>
        <v>0</v>
      </c>
      <c r="AW327" s="66">
        <f>+IF($W327="","",ROUND((AT327*Parámetros!$G$85),2))</f>
        <v>0</v>
      </c>
      <c r="AX327" s="66">
        <f>+IF($W327="","",ROUND((AT327*(Parámetros!$G$86)),2))</f>
        <v>0</v>
      </c>
      <c r="AY327" s="66">
        <f t="shared" si="433"/>
        <v>0</v>
      </c>
      <c r="AZ327" t="str">
        <f t="shared" si="475"/>
        <v>00060</v>
      </c>
      <c r="BA327" t="str">
        <f t="shared" si="476"/>
        <v>Muerte Accidental</v>
      </c>
      <c r="BB327" s="118">
        <f t="shared" si="477"/>
        <v>0</v>
      </c>
      <c r="BC327" s="118" t="str">
        <f t="shared" si="478"/>
        <v>A</v>
      </c>
      <c r="BD327" s="119" t="str">
        <f>+IF(OR($W327="",BB327=0),"",ROUND((VLOOKUP(ROUNDDOWN($D327-1/frec,0),cob_adi,AO$40,FALSE)*(1+i/frec)^-0.5*(1+Parámetros!$D$103)*(1+rec_fracc)/frec),6))</f>
        <v/>
      </c>
      <c r="BE327" s="66">
        <f t="shared" si="434"/>
        <v>0</v>
      </c>
      <c r="BF327" s="119" t="str">
        <f t="shared" si="435"/>
        <v/>
      </c>
      <c r="BG327" s="66">
        <f>+IF($W327="","",ROUND(IF($B327&gt;Parámetros!$D$107,'Tablas Servicio'!BE327+('Tablas Servicio'!BG326-'Tablas Servicio'!BE326),BE327/(1-IF(B327&lt;=10,Parámetros!$D$100,0))),2))</f>
        <v>0</v>
      </c>
      <c r="BH327" s="66">
        <f t="shared" si="436"/>
        <v>0</v>
      </c>
      <c r="BI327" s="66">
        <f t="shared" si="437"/>
        <v>0</v>
      </c>
      <c r="BJ327" s="66">
        <f>+IF($W327="","",ROUND((BG327*Parámetros!$G$85),2))</f>
        <v>0</v>
      </c>
      <c r="BK327" s="66">
        <f>+IF($W327="","",ROUND((BG327*(Parámetros!$G$86)),2))</f>
        <v>0</v>
      </c>
      <c r="BL327" s="66">
        <f t="shared" si="438"/>
        <v>0</v>
      </c>
      <c r="BM327" t="str">
        <f t="shared" si="479"/>
        <v>00061</v>
      </c>
      <c r="BN327" t="str">
        <f t="shared" si="480"/>
        <v>Gastos de Entierro</v>
      </c>
      <c r="BO327" s="118">
        <f t="shared" si="481"/>
        <v>0</v>
      </c>
      <c r="BP327" s="118" t="str">
        <f t="shared" si="482"/>
        <v>A</v>
      </c>
      <c r="BQ327" s="119" t="str">
        <f>+IF(OR($W327="",BO327=0),"",ROUND((VLOOKUP(ROUNDDOWN($D327-1/frec,0),cob_adi,BB$40,FALSE)*(1+i/frec)^-0.5*(1+Parámetros!$D$103)*(1+rec_fracc)/frec),6))</f>
        <v/>
      </c>
      <c r="BR327" s="66">
        <f t="shared" si="439"/>
        <v>0</v>
      </c>
      <c r="BS327" s="119" t="str">
        <f t="shared" si="440"/>
        <v/>
      </c>
      <c r="BT327" s="66">
        <f>+IF($W327="","",ROUND(IF($B327&gt;Parámetros!$D$107,'Tablas Servicio'!BR327+('Tablas Servicio'!BT326-'Tablas Servicio'!BR326),BR327/(1-IF(B327&lt;=10,Parámetros!$D$100,0))),2))</f>
        <v>0</v>
      </c>
      <c r="BU327" s="66">
        <f t="shared" si="441"/>
        <v>0</v>
      </c>
      <c r="BV327" s="66">
        <f t="shared" si="441"/>
        <v>0</v>
      </c>
      <c r="BW327" s="66">
        <f>+IF($W327="","",ROUND((BT327*Parámetros!$G$85),2))</f>
        <v>0</v>
      </c>
      <c r="BX327" s="66">
        <f>+IF($W327="","",ROUND((BT327*(Parámetros!$G$86)),2))</f>
        <v>0</v>
      </c>
      <c r="BY327" s="66">
        <f t="shared" si="442"/>
        <v>0</v>
      </c>
      <c r="BZ327" t="str">
        <f t="shared" si="483"/>
        <v>00062</v>
      </c>
      <c r="CA327" t="str">
        <f t="shared" si="484"/>
        <v>Gastos médicos por accidente</v>
      </c>
      <c r="CB327" s="118">
        <f t="shared" si="485"/>
        <v>0</v>
      </c>
      <c r="CC327" s="118" t="str">
        <f t="shared" si="486"/>
        <v>A</v>
      </c>
      <c r="CD327" s="119" t="str">
        <f t="shared" si="443"/>
        <v/>
      </c>
      <c r="CE327" s="66">
        <f>+IF($W327="","",ROUND((VLOOKUP(ROUNDDOWN($D327-1/frec,0),cob_adi,BO$40,FALSE)*(1+i/frec)^-0.5*(1+Parámetros!$D$103)*(1+rec_fracc)/frec*'TABLAS ADI'!$BC$17),2))</f>
        <v>0</v>
      </c>
      <c r="CF327" s="119" t="str">
        <f t="shared" si="444"/>
        <v/>
      </c>
      <c r="CG327" s="66">
        <f>+IF($W327="","",ROUND(IF($B327&gt;Parámetros!$D$107,'Tablas Servicio'!CE327+('Tablas Servicio'!CG326-'Tablas Servicio'!CE326),CE327/(1-IF(B327&lt;=10,Parámetros!$D$100,0))),2))</f>
        <v>0</v>
      </c>
      <c r="CH327" s="66">
        <f t="shared" si="445"/>
        <v>0</v>
      </c>
      <c r="CI327" s="66">
        <f t="shared" si="445"/>
        <v>0</v>
      </c>
      <c r="CJ327" s="66">
        <f>+IF($W327="","",ROUND((CG327*Parámetros!$G$85),2))</f>
        <v>0</v>
      </c>
      <c r="CK327" s="66">
        <f>+IF($W327="","",ROUND((CG327*(Parámetros!$G$86)),2))</f>
        <v>0</v>
      </c>
      <c r="CL327" s="66">
        <f t="shared" si="446"/>
        <v>0</v>
      </c>
      <c r="CM327" t="str">
        <f t="shared" si="487"/>
        <v>00063</v>
      </c>
      <c r="CN327" s="118" t="str">
        <f t="shared" si="488"/>
        <v>Renta Diaria por Hospitalización</v>
      </c>
      <c r="CO327" s="118">
        <f t="shared" si="489"/>
        <v>0</v>
      </c>
      <c r="CP327" s="118" t="str">
        <f t="shared" si="490"/>
        <v>A</v>
      </c>
      <c r="CQ327" s="119" t="str">
        <f t="shared" si="447"/>
        <v/>
      </c>
      <c r="CR327" s="66">
        <f>+IF($W327="","",ROUND((VLOOKUP(Parámetros!$F$51,'COBERTURAS ADICIONALES'!$S$4:$T$32,2,FALSE)*(1+i/frec)^-0.5*(1+Parámetros!$D$103)*(1+rec_fracc)/frec*$CO$42),2))</f>
        <v>0</v>
      </c>
      <c r="CS327" s="119" t="str">
        <f t="shared" si="448"/>
        <v/>
      </c>
      <c r="CT327" s="66">
        <f>+IF($W327="","",ROUND(IF($B327&gt;Parámetros!$D$107,'Tablas Servicio'!CR327+('Tablas Servicio'!CT326-'Tablas Servicio'!CR326),CR327/(1-IF(B327&lt;=10,Parámetros!$D$100,0))),2))</f>
        <v>0</v>
      </c>
      <c r="CU327" s="66">
        <f t="shared" si="449"/>
        <v>0</v>
      </c>
      <c r="CV327" s="66">
        <f t="shared" si="449"/>
        <v>0</v>
      </c>
      <c r="CW327" s="66">
        <f>+IF($W327="","",ROUND((CT327*Parámetros!$G$85),2))</f>
        <v>0</v>
      </c>
      <c r="CX327" s="66">
        <f>+IF($W327="","",ROUND((CT327*(Parámetros!$G$86)),2))</f>
        <v>0</v>
      </c>
      <c r="CY327" s="66">
        <f t="shared" si="450"/>
        <v>0</v>
      </c>
      <c r="CZ327" t="str">
        <f t="shared" si="491"/>
        <v>00064</v>
      </c>
      <c r="DA327" s="118" t="str">
        <f t="shared" si="492"/>
        <v>Enfermedades Graves</v>
      </c>
      <c r="DB327" s="118">
        <f t="shared" si="493"/>
        <v>0</v>
      </c>
      <c r="DC327" s="118" t="str">
        <f t="shared" si="494"/>
        <v>A</v>
      </c>
      <c r="DD327" s="121" t="str">
        <f>+IF(OR($W327="",DB327=0),"",ROUND((VLOOKUP(ROUNDDOWN($D327-1/frec,0),cob_adi,CO$40,FALSE)*(1+i/frec)^-0.5*(1+Parámetros!$D$103)*(1+rec_fracc)/frec),6))</f>
        <v/>
      </c>
      <c r="DE327" s="66">
        <f t="shared" si="451"/>
        <v>0</v>
      </c>
      <c r="DF327" s="119" t="str">
        <f t="shared" si="452"/>
        <v/>
      </c>
      <c r="DG327" s="66">
        <f>+IF($W327="","",ROUND(IF($B327&gt;Parámetros!$D$107,'Tablas Servicio'!DE327+('Tablas Servicio'!DG326-'Tablas Servicio'!DE326),DE327/(1-IF(B327&lt;=10,Parámetros!$D$100,0))),2))</f>
        <v>0</v>
      </c>
      <c r="DH327" s="66">
        <f t="shared" si="453"/>
        <v>0</v>
      </c>
      <c r="DI327" s="66">
        <f t="shared" si="453"/>
        <v>0</v>
      </c>
      <c r="DJ327" s="66">
        <f>+IF($W327="","",ROUND((DG327*Parámetros!$G$85),2))</f>
        <v>0</v>
      </c>
      <c r="DK327" s="66">
        <f>+IF($W327="","",ROUND((DG327*(Parámetros!$G$86)),2))</f>
        <v>0</v>
      </c>
      <c r="DL327" s="66">
        <f t="shared" si="454"/>
        <v>0</v>
      </c>
      <c r="DM327" t="str">
        <f t="shared" si="495"/>
        <v>00065</v>
      </c>
      <c r="DN327" s="118" t="str">
        <f t="shared" si="496"/>
        <v>Exención pago de primas</v>
      </c>
      <c r="DO327" s="118">
        <f t="shared" si="497"/>
        <v>0</v>
      </c>
      <c r="DP327" s="118" t="str">
        <f t="shared" si="498"/>
        <v>A</v>
      </c>
      <c r="DQ327" s="122" t="str">
        <f>+IF(OR($W327="",DO327=0),"",ROUND((VLOOKUP(ROUNDDOWN($D327-1/frec,0),cob_adi,DB$40,FALSE)*(1+i/frec)^-0.5*(1+Parámetros!$D$103)*(1+rec_fracc)/frec),6))</f>
        <v/>
      </c>
      <c r="DR327" s="66">
        <f t="shared" si="455"/>
        <v>0</v>
      </c>
      <c r="DS327" s="68" t="str">
        <f t="shared" si="456"/>
        <v/>
      </c>
      <c r="DT327" s="66">
        <f>+IF($W327="","",ROUND(IF($B327&gt;Parámetros!$D$107,'Tablas Servicio'!DR327+('Tablas Servicio'!DT326-'Tablas Servicio'!DR326),DR327/(1-IF(B327&lt;=10,Parámetros!$D$100,0))),2))</f>
        <v>0</v>
      </c>
      <c r="DU327" s="66">
        <f t="shared" si="457"/>
        <v>0</v>
      </c>
      <c r="DV327" s="66">
        <f t="shared" si="457"/>
        <v>0</v>
      </c>
      <c r="DW327" s="66">
        <f>+IF($W327="","",ROUND((DT327*Parámetros!$G$85),2))</f>
        <v>0</v>
      </c>
      <c r="DX327" s="66">
        <f>+IF($W327="","",ROUND((DT327*(Parámetros!$G$86)),2))</f>
        <v>0</v>
      </c>
      <c r="DY327" s="66">
        <f t="shared" si="458"/>
        <v>0</v>
      </c>
      <c r="DZ327" t="str">
        <f t="shared" si="499"/>
        <v>00066</v>
      </c>
      <c r="EA327" s="118" t="str">
        <f t="shared" si="499"/>
        <v>Enfermedad terminal</v>
      </c>
      <c r="EB327" s="118">
        <f>+IF($W327="","",ROUND(IF(Parámetros!$D$25='TABLAS MORT'!$V$33,EB326,Z327/2),0))</f>
        <v>50000</v>
      </c>
      <c r="EC327" s="118" t="str">
        <f t="shared" si="499"/>
        <v>A</v>
      </c>
      <c r="ED327" s="122">
        <f>+IF(OR($W327="",EB327=0),"",ROUND((VLOOKUP(ROUNDDOWN($D327-1/frec,0),cob_adi,DO$40,FALSE)*(1+i/frec)^-0.5*(1+Parámetros!$D$103)*(1+rec_fracc)/frec),6))</f>
        <v>3.8999999999999999E-5</v>
      </c>
      <c r="EE327" s="66">
        <f t="shared" si="460"/>
        <v>1.95</v>
      </c>
      <c r="EF327" s="68">
        <f t="shared" si="461"/>
        <v>3.8999999999999999E-5</v>
      </c>
      <c r="EG327" s="66">
        <f>+IF($W327="","",ROUND(IF($B327&gt;Parámetros!$D$107,'Tablas Servicio'!EE327+('Tablas Servicio'!EG326-'Tablas Servicio'!EE326),EE327/(1-IF(B327&lt;=10,Parámetros!$D$100,0))),2))</f>
        <v>1.95</v>
      </c>
      <c r="EH327" s="66">
        <f t="shared" si="462"/>
        <v>0</v>
      </c>
      <c r="EI327" s="66">
        <f t="shared" si="462"/>
        <v>0</v>
      </c>
      <c r="EJ327" s="66">
        <f>+IF($W327="","",ROUND((EG327*Parámetros!$G$85),2))</f>
        <v>7.0000000000000007E-2</v>
      </c>
      <c r="EK327" s="66">
        <f>+IF($W327="","",ROUND((EG327*(Parámetros!$G$86)),2))</f>
        <v>0.01</v>
      </c>
      <c r="EL327" s="66">
        <f t="shared" si="463"/>
        <v>2.0299999999999998</v>
      </c>
    </row>
    <row r="328" spans="1:142" x14ac:dyDescent="0.25">
      <c r="A328">
        <f>+IF($C328="","",ROUND(VLOOKUP('Tablas Servicio'!B328,Parámetros!$H$100:$J$159,IF(Parámetros!$E$16="F",2,3),FALSE),2))</f>
        <v>150</v>
      </c>
      <c r="B328">
        <f t="shared" si="414"/>
        <v>24</v>
      </c>
      <c r="C328" s="57">
        <f>+IF(D328="","",'Tablas Servicio'!C327+1)</f>
        <v>287</v>
      </c>
      <c r="D328" s="56">
        <f>+IF(D327&lt;edadmaxtabla,D327+1/Parámetros!$E$25,"")</f>
        <v>63.93666666666735</v>
      </c>
      <c r="E328" s="57">
        <f t="shared" si="424"/>
        <v>63</v>
      </c>
      <c r="F328" s="59">
        <f t="shared" si="425"/>
        <v>100000</v>
      </c>
      <c r="G328" s="66">
        <f t="shared" si="415"/>
        <v>72.75</v>
      </c>
      <c r="H328" s="66">
        <f t="shared" si="416"/>
        <v>75.66</v>
      </c>
      <c r="I328" s="66">
        <f t="shared" si="464"/>
        <v>18.340000000000003</v>
      </c>
      <c r="J328" s="66">
        <f t="shared" si="417"/>
        <v>2.5499999999999998</v>
      </c>
      <c r="K328" s="66">
        <f t="shared" si="418"/>
        <v>0.36</v>
      </c>
      <c r="L328" s="66">
        <f t="shared" si="419"/>
        <v>0</v>
      </c>
      <c r="M328" s="66">
        <f t="shared" si="420"/>
        <v>0</v>
      </c>
      <c r="N328" s="66">
        <f>+IF(C328="","",ROUND(Parámetros!$D$23,2))</f>
        <v>94</v>
      </c>
      <c r="O328" s="66">
        <f t="shared" si="421"/>
        <v>60.25</v>
      </c>
      <c r="P328" s="66">
        <f>+IF($C328="","",ROUND(IF(B328&gt;Parámetros!$D$117,0,N328*Parámetros!$D$116-G328*Parámetros!$D$100),2))</f>
        <v>0</v>
      </c>
      <c r="Q328" s="75">
        <f t="shared" si="465"/>
        <v>3.5051546391752578E-2</v>
      </c>
      <c r="R328" s="75">
        <f t="shared" si="466"/>
        <v>4.9484536082474223E-3</v>
      </c>
      <c r="S328" s="117">
        <f>+IF($C328="","",ROUND((S327+I328)*(1+Parámetros!$D$91),2))</f>
        <v>21647.02</v>
      </c>
      <c r="T328" s="117">
        <f>+IF($C328="","",ROUND(S328*VLOOKUP(B328,Parámetros!$C$30:$D$39,2,TRUE),2))</f>
        <v>21647.02</v>
      </c>
      <c r="U328" s="117">
        <f>+IF($C328="","",ROUND((U327+I328)*(1+Parámetros!$D$92),2))</f>
        <v>23278.68</v>
      </c>
      <c r="V328" s="117">
        <f>+IF($C328="","",ROUND(U328*VLOOKUP(B328,Parámetros!$C$30:$D$39,2,TRUE),2))</f>
        <v>23278.68</v>
      </c>
      <c r="W328" s="57">
        <f t="shared" si="467"/>
        <v>287</v>
      </c>
      <c r="X328" t="str">
        <f t="shared" si="468"/>
        <v>00058</v>
      </c>
      <c r="Y328" t="str">
        <f t="shared" si="469"/>
        <v>MUERTE POR CUALQUIER CAUSA</v>
      </c>
      <c r="Z328" s="118">
        <f>+IF($W328="","",ROUND(IF(Parámetros!$D$25='TABLAS MORT'!$V$33,Z327,Parámetros!$D$21-'Tablas Servicio'!T327),0))</f>
        <v>100000</v>
      </c>
      <c r="AA328" s="118" t="str">
        <f t="shared" si="470"/>
        <v>P</v>
      </c>
      <c r="AB328" s="119">
        <f>+IF(W328="","",ROUND((VLOOKUP(ROUNDDOWN($D328-1/frec,0),qx_tabla,2,FALSE)*(1+i/frec)^-0.5*(1+Parámetros!$D$103)*(1+rec_fracc)/frec),6))</f>
        <v>5.8299999999999997E-4</v>
      </c>
      <c r="AC328" s="66">
        <f t="shared" si="426"/>
        <v>58.3</v>
      </c>
      <c r="AD328" s="119">
        <f t="shared" si="422"/>
        <v>7.0799999999999997E-4</v>
      </c>
      <c r="AE328" s="66">
        <f>+IF($W328="","",ROUND(IF($B328&gt;Parámetros!$D$107,'Tablas Servicio'!AC328+('Tablas Servicio'!AG327-'Tablas Servicio'!AC327),AC328/(1-IF(B328&lt;=10,Parámetros!$D$104,Parámetros!$D$105))),2))</f>
        <v>97.17</v>
      </c>
      <c r="AF328" s="66">
        <f>+IF($W328="","",ROUND(IF($B328&gt;Parámetros!$D$107,'Tablas Servicio'!AC328+('Tablas Servicio'!AG327-'Tablas Servicio'!AC327),(AC328+$A327/frec)/(1-IF(B328&lt;=Parámetros!$D$117,Parámetros!$D$100,0))),2))</f>
        <v>70.8</v>
      </c>
      <c r="AG328" s="66">
        <f t="shared" si="427"/>
        <v>70.8</v>
      </c>
      <c r="AH328" s="66">
        <f t="shared" si="428"/>
        <v>0</v>
      </c>
      <c r="AI328" s="66">
        <f t="shared" si="429"/>
        <v>0</v>
      </c>
      <c r="AJ328" s="66">
        <f>+IF($W328="","",ROUND((AG328*Parámetros!$G$85),2))</f>
        <v>2.48</v>
      </c>
      <c r="AK328" s="66">
        <f>+IF($W328="","",ROUND((AG328*(Parámetros!$G$86)),2))</f>
        <v>0.35</v>
      </c>
      <c r="AL328" s="66">
        <f t="shared" si="423"/>
        <v>73.63</v>
      </c>
      <c r="AM328" t="str">
        <f t="shared" si="471"/>
        <v>00059</v>
      </c>
      <c r="AN328" t="str">
        <f t="shared" si="472"/>
        <v>Incapacidad Total y Permanente</v>
      </c>
      <c r="AO328" s="118">
        <f t="shared" si="473"/>
        <v>0</v>
      </c>
      <c r="AP328" s="118" t="str">
        <f t="shared" si="474"/>
        <v>A</v>
      </c>
      <c r="AQ328" s="119" t="str">
        <f>+IF(OR($W328="",AO328=0),"",ROUND((VLOOKUP(ROUNDDOWN($D328-1/frec,0),cob_adi,Z$40,FALSE)*(1+i/frec)^-0.5*(1+Parámetros!$D$103)*(1+rec_fracc)/frec),6))</f>
        <v/>
      </c>
      <c r="AR328" s="66">
        <f t="shared" si="430"/>
        <v>0</v>
      </c>
      <c r="AS328" s="119" t="str">
        <f t="shared" si="431"/>
        <v/>
      </c>
      <c r="AT328" s="66">
        <f>+IF($W328="","",ROUND(IF($B328&gt;Parámetros!$D$107,'Tablas Servicio'!AR328+('Tablas Servicio'!AT327-'Tablas Servicio'!AR327),AR328/(1-IF(B328&lt;=10,Parámetros!$D$100,0))),2))</f>
        <v>0</v>
      </c>
      <c r="AU328" s="66">
        <f t="shared" si="432"/>
        <v>0</v>
      </c>
      <c r="AV328" s="66">
        <f t="shared" si="432"/>
        <v>0</v>
      </c>
      <c r="AW328" s="66">
        <f>+IF($W328="","",ROUND((AT328*Parámetros!$G$85),2))</f>
        <v>0</v>
      </c>
      <c r="AX328" s="66">
        <f>+IF($W328="","",ROUND((AT328*(Parámetros!$G$86)),2))</f>
        <v>0</v>
      </c>
      <c r="AY328" s="66">
        <f t="shared" si="433"/>
        <v>0</v>
      </c>
      <c r="AZ328" t="str">
        <f t="shared" si="475"/>
        <v>00060</v>
      </c>
      <c r="BA328" t="str">
        <f t="shared" si="476"/>
        <v>Muerte Accidental</v>
      </c>
      <c r="BB328" s="118">
        <f t="shared" si="477"/>
        <v>0</v>
      </c>
      <c r="BC328" s="118" t="str">
        <f t="shared" si="478"/>
        <v>A</v>
      </c>
      <c r="BD328" s="119" t="str">
        <f>+IF(OR($W328="",BB328=0),"",ROUND((VLOOKUP(ROUNDDOWN($D328-1/frec,0),cob_adi,AO$40,FALSE)*(1+i/frec)^-0.5*(1+Parámetros!$D$103)*(1+rec_fracc)/frec),6))</f>
        <v/>
      </c>
      <c r="BE328" s="66">
        <f t="shared" si="434"/>
        <v>0</v>
      </c>
      <c r="BF328" s="119" t="str">
        <f t="shared" si="435"/>
        <v/>
      </c>
      <c r="BG328" s="66">
        <f>+IF($W328="","",ROUND(IF($B328&gt;Parámetros!$D$107,'Tablas Servicio'!BE328+('Tablas Servicio'!BG327-'Tablas Servicio'!BE327),BE328/(1-IF(B328&lt;=10,Parámetros!$D$100,0))),2))</f>
        <v>0</v>
      </c>
      <c r="BH328" s="66">
        <f t="shared" si="436"/>
        <v>0</v>
      </c>
      <c r="BI328" s="66">
        <f t="shared" si="437"/>
        <v>0</v>
      </c>
      <c r="BJ328" s="66">
        <f>+IF($W328="","",ROUND((BG328*Parámetros!$G$85),2))</f>
        <v>0</v>
      </c>
      <c r="BK328" s="66">
        <f>+IF($W328="","",ROUND((BG328*(Parámetros!$G$86)),2))</f>
        <v>0</v>
      </c>
      <c r="BL328" s="66">
        <f t="shared" si="438"/>
        <v>0</v>
      </c>
      <c r="BM328" t="str">
        <f t="shared" si="479"/>
        <v>00061</v>
      </c>
      <c r="BN328" t="str">
        <f t="shared" si="480"/>
        <v>Gastos de Entierro</v>
      </c>
      <c r="BO328" s="118">
        <f t="shared" si="481"/>
        <v>0</v>
      </c>
      <c r="BP328" s="118" t="str">
        <f t="shared" si="482"/>
        <v>A</v>
      </c>
      <c r="BQ328" s="119" t="str">
        <f>+IF(OR($W328="",BO328=0),"",ROUND((VLOOKUP(ROUNDDOWN($D328-1/frec,0),cob_adi,BB$40,FALSE)*(1+i/frec)^-0.5*(1+Parámetros!$D$103)*(1+rec_fracc)/frec),6))</f>
        <v/>
      </c>
      <c r="BR328" s="66">
        <f t="shared" si="439"/>
        <v>0</v>
      </c>
      <c r="BS328" s="119" t="str">
        <f t="shared" si="440"/>
        <v/>
      </c>
      <c r="BT328" s="66">
        <f>+IF($W328="","",ROUND(IF($B328&gt;Parámetros!$D$107,'Tablas Servicio'!BR328+('Tablas Servicio'!BT327-'Tablas Servicio'!BR327),BR328/(1-IF(B328&lt;=10,Parámetros!$D$100,0))),2))</f>
        <v>0</v>
      </c>
      <c r="BU328" s="66">
        <f t="shared" si="441"/>
        <v>0</v>
      </c>
      <c r="BV328" s="66">
        <f t="shared" si="441"/>
        <v>0</v>
      </c>
      <c r="BW328" s="66">
        <f>+IF($W328="","",ROUND((BT328*Parámetros!$G$85),2))</f>
        <v>0</v>
      </c>
      <c r="BX328" s="66">
        <f>+IF($W328="","",ROUND((BT328*(Parámetros!$G$86)),2))</f>
        <v>0</v>
      </c>
      <c r="BY328" s="66">
        <f t="shared" si="442"/>
        <v>0</v>
      </c>
      <c r="BZ328" t="str">
        <f t="shared" si="483"/>
        <v>00062</v>
      </c>
      <c r="CA328" t="str">
        <f t="shared" si="484"/>
        <v>Gastos médicos por accidente</v>
      </c>
      <c r="CB328" s="118">
        <f t="shared" si="485"/>
        <v>0</v>
      </c>
      <c r="CC328" s="118" t="str">
        <f t="shared" si="486"/>
        <v>A</v>
      </c>
      <c r="CD328" s="119" t="str">
        <f t="shared" si="443"/>
        <v/>
      </c>
      <c r="CE328" s="66">
        <f>+IF($W328="","",ROUND((VLOOKUP(ROUNDDOWN($D328-1/frec,0),cob_adi,BO$40,FALSE)*(1+i/frec)^-0.5*(1+Parámetros!$D$103)*(1+rec_fracc)/frec*'TABLAS ADI'!$BC$17),2))</f>
        <v>0</v>
      </c>
      <c r="CF328" s="119" t="str">
        <f t="shared" si="444"/>
        <v/>
      </c>
      <c r="CG328" s="66">
        <f>+IF($W328="","",ROUND(IF($B328&gt;Parámetros!$D$107,'Tablas Servicio'!CE328+('Tablas Servicio'!CG327-'Tablas Servicio'!CE327),CE328/(1-IF(B328&lt;=10,Parámetros!$D$100,0))),2))</f>
        <v>0</v>
      </c>
      <c r="CH328" s="66">
        <f t="shared" si="445"/>
        <v>0</v>
      </c>
      <c r="CI328" s="66">
        <f t="shared" si="445"/>
        <v>0</v>
      </c>
      <c r="CJ328" s="66">
        <f>+IF($W328="","",ROUND((CG328*Parámetros!$G$85),2))</f>
        <v>0</v>
      </c>
      <c r="CK328" s="66">
        <f>+IF($W328="","",ROUND((CG328*(Parámetros!$G$86)),2))</f>
        <v>0</v>
      </c>
      <c r="CL328" s="66">
        <f t="shared" si="446"/>
        <v>0</v>
      </c>
      <c r="CM328" t="str">
        <f t="shared" si="487"/>
        <v>00063</v>
      </c>
      <c r="CN328" s="118" t="str">
        <f t="shared" si="488"/>
        <v>Renta Diaria por Hospitalización</v>
      </c>
      <c r="CO328" s="118">
        <f t="shared" si="489"/>
        <v>0</v>
      </c>
      <c r="CP328" s="118" t="str">
        <f t="shared" si="490"/>
        <v>A</v>
      </c>
      <c r="CQ328" s="119" t="str">
        <f t="shared" si="447"/>
        <v/>
      </c>
      <c r="CR328" s="66">
        <f>+IF($W328="","",ROUND((VLOOKUP(Parámetros!$F$51,'COBERTURAS ADICIONALES'!$S$4:$T$32,2,FALSE)*(1+i/frec)^-0.5*(1+Parámetros!$D$103)*(1+rec_fracc)/frec*$CO$42),2))</f>
        <v>0</v>
      </c>
      <c r="CS328" s="119" t="str">
        <f t="shared" si="448"/>
        <v/>
      </c>
      <c r="CT328" s="66">
        <f>+IF($W328="","",ROUND(IF($B328&gt;Parámetros!$D$107,'Tablas Servicio'!CR328+('Tablas Servicio'!CT327-'Tablas Servicio'!CR327),CR328/(1-IF(B328&lt;=10,Parámetros!$D$100,0))),2))</f>
        <v>0</v>
      </c>
      <c r="CU328" s="66">
        <f t="shared" si="449"/>
        <v>0</v>
      </c>
      <c r="CV328" s="66">
        <f t="shared" si="449"/>
        <v>0</v>
      </c>
      <c r="CW328" s="66">
        <f>+IF($W328="","",ROUND((CT328*Parámetros!$G$85),2))</f>
        <v>0</v>
      </c>
      <c r="CX328" s="66">
        <f>+IF($W328="","",ROUND((CT328*(Parámetros!$G$86)),2))</f>
        <v>0</v>
      </c>
      <c r="CY328" s="66">
        <f t="shared" si="450"/>
        <v>0</v>
      </c>
      <c r="CZ328" t="str">
        <f t="shared" si="491"/>
        <v>00064</v>
      </c>
      <c r="DA328" s="118" t="str">
        <f t="shared" si="492"/>
        <v>Enfermedades Graves</v>
      </c>
      <c r="DB328" s="118">
        <f t="shared" si="493"/>
        <v>0</v>
      </c>
      <c r="DC328" s="118" t="str">
        <f t="shared" si="494"/>
        <v>A</v>
      </c>
      <c r="DD328" s="121" t="str">
        <f>+IF(OR($W328="",DB328=0),"",ROUND((VLOOKUP(ROUNDDOWN($D328-1/frec,0),cob_adi,CO$40,FALSE)*(1+i/frec)^-0.5*(1+Parámetros!$D$103)*(1+rec_fracc)/frec),6))</f>
        <v/>
      </c>
      <c r="DE328" s="66">
        <f t="shared" si="451"/>
        <v>0</v>
      </c>
      <c r="DF328" s="119" t="str">
        <f t="shared" si="452"/>
        <v/>
      </c>
      <c r="DG328" s="66">
        <f>+IF($W328="","",ROUND(IF($B328&gt;Parámetros!$D$107,'Tablas Servicio'!DE328+('Tablas Servicio'!DG327-'Tablas Servicio'!DE327),DE328/(1-IF(B328&lt;=10,Parámetros!$D$100,0))),2))</f>
        <v>0</v>
      </c>
      <c r="DH328" s="66">
        <f t="shared" si="453"/>
        <v>0</v>
      </c>
      <c r="DI328" s="66">
        <f t="shared" si="453"/>
        <v>0</v>
      </c>
      <c r="DJ328" s="66">
        <f>+IF($W328="","",ROUND((DG328*Parámetros!$G$85),2))</f>
        <v>0</v>
      </c>
      <c r="DK328" s="66">
        <f>+IF($W328="","",ROUND((DG328*(Parámetros!$G$86)),2))</f>
        <v>0</v>
      </c>
      <c r="DL328" s="66">
        <f t="shared" si="454"/>
        <v>0</v>
      </c>
      <c r="DM328" t="str">
        <f t="shared" si="495"/>
        <v>00065</v>
      </c>
      <c r="DN328" s="118" t="str">
        <f t="shared" si="496"/>
        <v>Exención pago de primas</v>
      </c>
      <c r="DO328" s="118">
        <f t="shared" si="497"/>
        <v>0</v>
      </c>
      <c r="DP328" s="118" t="str">
        <f t="shared" si="498"/>
        <v>A</v>
      </c>
      <c r="DQ328" s="122" t="str">
        <f>+IF(OR($W328="",DO328=0),"",ROUND((VLOOKUP(ROUNDDOWN($D328-1/frec,0),cob_adi,DB$40,FALSE)*(1+i/frec)^-0.5*(1+Parámetros!$D$103)*(1+rec_fracc)/frec),6))</f>
        <v/>
      </c>
      <c r="DR328" s="66">
        <f t="shared" si="455"/>
        <v>0</v>
      </c>
      <c r="DS328" s="68" t="str">
        <f t="shared" si="456"/>
        <v/>
      </c>
      <c r="DT328" s="66">
        <f>+IF($W328="","",ROUND(IF($B328&gt;Parámetros!$D$107,'Tablas Servicio'!DR328+('Tablas Servicio'!DT327-'Tablas Servicio'!DR327),DR328/(1-IF(B328&lt;=10,Parámetros!$D$100,0))),2))</f>
        <v>0</v>
      </c>
      <c r="DU328" s="66">
        <f t="shared" si="457"/>
        <v>0</v>
      </c>
      <c r="DV328" s="66">
        <f t="shared" si="457"/>
        <v>0</v>
      </c>
      <c r="DW328" s="66">
        <f>+IF($W328="","",ROUND((DT328*Parámetros!$G$85),2))</f>
        <v>0</v>
      </c>
      <c r="DX328" s="66">
        <f>+IF($W328="","",ROUND((DT328*(Parámetros!$G$86)),2))</f>
        <v>0</v>
      </c>
      <c r="DY328" s="66">
        <f t="shared" si="458"/>
        <v>0</v>
      </c>
      <c r="DZ328" t="str">
        <f t="shared" si="499"/>
        <v>00066</v>
      </c>
      <c r="EA328" s="118" t="str">
        <f t="shared" si="499"/>
        <v>Enfermedad terminal</v>
      </c>
      <c r="EB328" s="118">
        <f>+IF($W328="","",ROUND(IF(Parámetros!$D$25='TABLAS MORT'!$V$33,EB327,Z328/2),0))</f>
        <v>50000</v>
      </c>
      <c r="EC328" s="118" t="str">
        <f t="shared" si="499"/>
        <v>A</v>
      </c>
      <c r="ED328" s="122">
        <f>+IF(OR($W328="",EB328=0),"",ROUND((VLOOKUP(ROUNDDOWN($D328-1/frec,0),cob_adi,DO$40,FALSE)*(1+i/frec)^-0.5*(1+Parámetros!$D$103)*(1+rec_fracc)/frec),6))</f>
        <v>3.8999999999999999E-5</v>
      </c>
      <c r="EE328" s="66">
        <f t="shared" si="460"/>
        <v>1.95</v>
      </c>
      <c r="EF328" s="68">
        <f t="shared" si="461"/>
        <v>3.8999999999999999E-5</v>
      </c>
      <c r="EG328" s="66">
        <f>+IF($W328="","",ROUND(IF($B328&gt;Parámetros!$D$107,'Tablas Servicio'!EE328+('Tablas Servicio'!EG327-'Tablas Servicio'!EE327),EE328/(1-IF(B328&lt;=10,Parámetros!$D$100,0))),2))</f>
        <v>1.95</v>
      </c>
      <c r="EH328" s="66">
        <f t="shared" si="462"/>
        <v>0</v>
      </c>
      <c r="EI328" s="66">
        <f t="shared" si="462"/>
        <v>0</v>
      </c>
      <c r="EJ328" s="66">
        <f>+IF($W328="","",ROUND((EG328*Parámetros!$G$85),2))</f>
        <v>7.0000000000000007E-2</v>
      </c>
      <c r="EK328" s="66">
        <f>+IF($W328="","",ROUND((EG328*(Parámetros!$G$86)),2))</f>
        <v>0.01</v>
      </c>
      <c r="EL328" s="66">
        <f t="shared" si="463"/>
        <v>2.0299999999999998</v>
      </c>
    </row>
    <row r="329" spans="1:142" x14ac:dyDescent="0.25">
      <c r="A329">
        <f>+IF($C329="","",ROUND(VLOOKUP('Tablas Servicio'!B329,Parámetros!$H$100:$J$159,IF(Parámetros!$E$16="F",2,3),FALSE),2))</f>
        <v>150</v>
      </c>
      <c r="B329">
        <f t="shared" si="414"/>
        <v>24</v>
      </c>
      <c r="C329" s="57">
        <f>+IF(D329="","",'Tablas Servicio'!C328+1)</f>
        <v>288</v>
      </c>
      <c r="D329" s="56">
        <f>+IF(D328&lt;edadmaxtabla,D328+1/Parámetros!$E$25,"")</f>
        <v>64.020000000000678</v>
      </c>
      <c r="E329" s="57">
        <f t="shared" si="424"/>
        <v>64</v>
      </c>
      <c r="F329" s="59">
        <f t="shared" si="425"/>
        <v>100000</v>
      </c>
      <c r="G329" s="66">
        <f t="shared" si="415"/>
        <v>72.75</v>
      </c>
      <c r="H329" s="66">
        <f t="shared" si="416"/>
        <v>75.66</v>
      </c>
      <c r="I329" s="66">
        <f t="shared" si="464"/>
        <v>18.340000000000003</v>
      </c>
      <c r="J329" s="66">
        <f t="shared" si="417"/>
        <v>2.5499999999999998</v>
      </c>
      <c r="K329" s="66">
        <f t="shared" si="418"/>
        <v>0.36</v>
      </c>
      <c r="L329" s="66">
        <f t="shared" si="419"/>
        <v>0</v>
      </c>
      <c r="M329" s="66">
        <f t="shared" si="420"/>
        <v>0</v>
      </c>
      <c r="N329" s="66">
        <f>+IF(C329="","",ROUND(Parámetros!$D$23,2))</f>
        <v>94</v>
      </c>
      <c r="O329" s="66">
        <f t="shared" si="421"/>
        <v>60.25</v>
      </c>
      <c r="P329" s="66">
        <f>+IF($C329="","",ROUND(IF(B329&gt;Parámetros!$D$117,0,N329*Parámetros!$D$116-G329*Parámetros!$D$100),2))</f>
        <v>0</v>
      </c>
      <c r="Q329" s="75">
        <f t="shared" si="465"/>
        <v>3.5051546391752578E-2</v>
      </c>
      <c r="R329" s="75">
        <f t="shared" si="466"/>
        <v>4.9484536082474223E-3</v>
      </c>
      <c r="S329" s="117">
        <f>+IF($C329="","",ROUND((S328+I329)*(1+Parámetros!$D$91),2))</f>
        <v>21726.81</v>
      </c>
      <c r="T329" s="117">
        <f>+IF($C329="","",ROUND(S329*VLOOKUP(B329,Parámetros!$C$30:$D$39,2,TRUE),2))</f>
        <v>21726.81</v>
      </c>
      <c r="U329" s="117">
        <f>+IF($C329="","",ROUND((U328+I329)*(1+Parámetros!$D$92),2))</f>
        <v>23372.54</v>
      </c>
      <c r="V329" s="117">
        <f>+IF($C329="","",ROUND(U329*VLOOKUP(B329,Parámetros!$C$30:$D$39,2,TRUE),2))</f>
        <v>23372.54</v>
      </c>
      <c r="W329" s="57">
        <f t="shared" si="467"/>
        <v>288</v>
      </c>
      <c r="X329" t="str">
        <f t="shared" si="468"/>
        <v>00058</v>
      </c>
      <c r="Y329" t="str">
        <f t="shared" si="469"/>
        <v>MUERTE POR CUALQUIER CAUSA</v>
      </c>
      <c r="Z329" s="118">
        <f>+IF($W329="","",ROUND(IF(Parámetros!$D$25='TABLAS MORT'!$V$33,Z328,Parámetros!$D$21-'Tablas Servicio'!T328),0))</f>
        <v>100000</v>
      </c>
      <c r="AA329" s="118" t="str">
        <f t="shared" si="470"/>
        <v>P</v>
      </c>
      <c r="AB329" s="119">
        <f>+IF(W329="","",ROUND((VLOOKUP(ROUNDDOWN($D329-1/frec,0),qx_tabla,2,FALSE)*(1+i/frec)^-0.5*(1+Parámetros!$D$103)*(1+rec_fracc)/frec),6))</f>
        <v>5.8299999999999997E-4</v>
      </c>
      <c r="AC329" s="66">
        <f t="shared" si="426"/>
        <v>58.3</v>
      </c>
      <c r="AD329" s="119">
        <f t="shared" si="422"/>
        <v>7.0799999999999997E-4</v>
      </c>
      <c r="AE329" s="66">
        <f>+IF($W329="","",ROUND(IF($B329&gt;Parámetros!$D$107,'Tablas Servicio'!AC329+('Tablas Servicio'!AG328-'Tablas Servicio'!AC328),AC329/(1-IF(B329&lt;=10,Parámetros!$D$104,Parámetros!$D$105))),2))</f>
        <v>97.17</v>
      </c>
      <c r="AF329" s="66">
        <f>+IF($W329="","",ROUND(IF($B329&gt;Parámetros!$D$107,'Tablas Servicio'!AC329+('Tablas Servicio'!AG328-'Tablas Servicio'!AC328),(AC329+$A328/frec)/(1-IF(B329&lt;=Parámetros!$D$117,Parámetros!$D$100,0))),2))</f>
        <v>70.8</v>
      </c>
      <c r="AG329" s="66">
        <f t="shared" si="427"/>
        <v>70.8</v>
      </c>
      <c r="AH329" s="66">
        <f t="shared" si="428"/>
        <v>0</v>
      </c>
      <c r="AI329" s="66">
        <f t="shared" si="429"/>
        <v>0</v>
      </c>
      <c r="AJ329" s="66">
        <f>+IF($W329="","",ROUND((AG329*Parámetros!$G$85),2))</f>
        <v>2.48</v>
      </c>
      <c r="AK329" s="66">
        <f>+IF($W329="","",ROUND((AG329*(Parámetros!$G$86)),2))</f>
        <v>0.35</v>
      </c>
      <c r="AL329" s="66">
        <f t="shared" si="423"/>
        <v>73.63</v>
      </c>
      <c r="AM329" t="str">
        <f t="shared" si="471"/>
        <v>00059</v>
      </c>
      <c r="AN329" t="str">
        <f t="shared" si="472"/>
        <v>Incapacidad Total y Permanente</v>
      </c>
      <c r="AO329" s="118">
        <f t="shared" si="473"/>
        <v>0</v>
      </c>
      <c r="AP329" s="118" t="str">
        <f t="shared" si="474"/>
        <v>A</v>
      </c>
      <c r="AQ329" s="119" t="str">
        <f>+IF(OR($W329="",AO329=0),"",ROUND((VLOOKUP(ROUNDDOWN($D329-1/frec,0),cob_adi,Z$40,FALSE)*(1+i/frec)^-0.5*(1+Parámetros!$D$103)*(1+rec_fracc)/frec),6))</f>
        <v/>
      </c>
      <c r="AR329" s="66">
        <f t="shared" si="430"/>
        <v>0</v>
      </c>
      <c r="AS329" s="119" t="str">
        <f t="shared" si="431"/>
        <v/>
      </c>
      <c r="AT329" s="66">
        <f>+IF($W329="","",ROUND(IF($B329&gt;Parámetros!$D$107,'Tablas Servicio'!AR329+('Tablas Servicio'!AT328-'Tablas Servicio'!AR328),AR329/(1-IF(B329&lt;=10,Parámetros!$D$100,0))),2))</f>
        <v>0</v>
      </c>
      <c r="AU329" s="66">
        <f t="shared" si="432"/>
        <v>0</v>
      </c>
      <c r="AV329" s="66">
        <f t="shared" si="432"/>
        <v>0</v>
      </c>
      <c r="AW329" s="66">
        <f>+IF($W329="","",ROUND((AT329*Parámetros!$G$85),2))</f>
        <v>0</v>
      </c>
      <c r="AX329" s="66">
        <f>+IF($W329="","",ROUND((AT329*(Parámetros!$G$86)),2))</f>
        <v>0</v>
      </c>
      <c r="AY329" s="66">
        <f t="shared" si="433"/>
        <v>0</v>
      </c>
      <c r="AZ329" t="str">
        <f t="shared" si="475"/>
        <v>00060</v>
      </c>
      <c r="BA329" t="str">
        <f t="shared" si="476"/>
        <v>Muerte Accidental</v>
      </c>
      <c r="BB329" s="118">
        <f t="shared" si="477"/>
        <v>0</v>
      </c>
      <c r="BC329" s="118" t="str">
        <f t="shared" si="478"/>
        <v>A</v>
      </c>
      <c r="BD329" s="119" t="str">
        <f>+IF(OR($W329="",BB329=0),"",ROUND((VLOOKUP(ROUNDDOWN($D329-1/frec,0),cob_adi,AO$40,FALSE)*(1+i/frec)^-0.5*(1+Parámetros!$D$103)*(1+rec_fracc)/frec),6))</f>
        <v/>
      </c>
      <c r="BE329" s="66">
        <f t="shared" si="434"/>
        <v>0</v>
      </c>
      <c r="BF329" s="119" t="str">
        <f t="shared" si="435"/>
        <v/>
      </c>
      <c r="BG329" s="66">
        <f>+IF($W329="","",ROUND(IF($B329&gt;Parámetros!$D$107,'Tablas Servicio'!BE329+('Tablas Servicio'!BG328-'Tablas Servicio'!BE328),BE329/(1-IF(B329&lt;=10,Parámetros!$D$100,0))),2))</f>
        <v>0</v>
      </c>
      <c r="BH329" s="66">
        <f t="shared" si="436"/>
        <v>0</v>
      </c>
      <c r="BI329" s="66">
        <f t="shared" si="437"/>
        <v>0</v>
      </c>
      <c r="BJ329" s="66">
        <f>+IF($W329="","",ROUND((BG329*Parámetros!$G$85),2))</f>
        <v>0</v>
      </c>
      <c r="BK329" s="66">
        <f>+IF($W329="","",ROUND((BG329*(Parámetros!$G$86)),2))</f>
        <v>0</v>
      </c>
      <c r="BL329" s="66">
        <f t="shared" si="438"/>
        <v>0</v>
      </c>
      <c r="BM329" t="str">
        <f t="shared" si="479"/>
        <v>00061</v>
      </c>
      <c r="BN329" t="str">
        <f t="shared" si="480"/>
        <v>Gastos de Entierro</v>
      </c>
      <c r="BO329" s="118">
        <f t="shared" si="481"/>
        <v>0</v>
      </c>
      <c r="BP329" s="118" t="str">
        <f t="shared" si="482"/>
        <v>A</v>
      </c>
      <c r="BQ329" s="119" t="str">
        <f>+IF(OR($W329="",BO329=0),"",ROUND((VLOOKUP(ROUNDDOWN($D329-1/frec,0),cob_adi,BB$40,FALSE)*(1+i/frec)^-0.5*(1+Parámetros!$D$103)*(1+rec_fracc)/frec),6))</f>
        <v/>
      </c>
      <c r="BR329" s="66">
        <f t="shared" si="439"/>
        <v>0</v>
      </c>
      <c r="BS329" s="119" t="str">
        <f t="shared" si="440"/>
        <v/>
      </c>
      <c r="BT329" s="66">
        <f>+IF($W329="","",ROUND(IF($B329&gt;Parámetros!$D$107,'Tablas Servicio'!BR329+('Tablas Servicio'!BT328-'Tablas Servicio'!BR328),BR329/(1-IF(B329&lt;=10,Parámetros!$D$100,0))),2))</f>
        <v>0</v>
      </c>
      <c r="BU329" s="66">
        <f t="shared" si="441"/>
        <v>0</v>
      </c>
      <c r="BV329" s="66">
        <f t="shared" si="441"/>
        <v>0</v>
      </c>
      <c r="BW329" s="66">
        <f>+IF($W329="","",ROUND((BT329*Parámetros!$G$85),2))</f>
        <v>0</v>
      </c>
      <c r="BX329" s="66">
        <f>+IF($W329="","",ROUND((BT329*(Parámetros!$G$86)),2))</f>
        <v>0</v>
      </c>
      <c r="BY329" s="66">
        <f t="shared" si="442"/>
        <v>0</v>
      </c>
      <c r="BZ329" t="str">
        <f t="shared" si="483"/>
        <v>00062</v>
      </c>
      <c r="CA329" t="str">
        <f t="shared" si="484"/>
        <v>Gastos médicos por accidente</v>
      </c>
      <c r="CB329" s="118">
        <f t="shared" si="485"/>
        <v>0</v>
      </c>
      <c r="CC329" s="118" t="str">
        <f t="shared" si="486"/>
        <v>A</v>
      </c>
      <c r="CD329" s="119" t="str">
        <f t="shared" si="443"/>
        <v/>
      </c>
      <c r="CE329" s="66">
        <f>+IF($W329="","",ROUND((VLOOKUP(ROUNDDOWN($D329-1/frec,0),cob_adi,BO$40,FALSE)*(1+i/frec)^-0.5*(1+Parámetros!$D$103)*(1+rec_fracc)/frec*'TABLAS ADI'!$BC$17),2))</f>
        <v>0</v>
      </c>
      <c r="CF329" s="119" t="str">
        <f t="shared" si="444"/>
        <v/>
      </c>
      <c r="CG329" s="66">
        <f>+IF($W329="","",ROUND(IF($B329&gt;Parámetros!$D$107,'Tablas Servicio'!CE329+('Tablas Servicio'!CG328-'Tablas Servicio'!CE328),CE329/(1-IF(B329&lt;=10,Parámetros!$D$100,0))),2))</f>
        <v>0</v>
      </c>
      <c r="CH329" s="66">
        <f t="shared" si="445"/>
        <v>0</v>
      </c>
      <c r="CI329" s="66">
        <f t="shared" si="445"/>
        <v>0</v>
      </c>
      <c r="CJ329" s="66">
        <f>+IF($W329="","",ROUND((CG329*Parámetros!$G$85),2))</f>
        <v>0</v>
      </c>
      <c r="CK329" s="66">
        <f>+IF($W329="","",ROUND((CG329*(Parámetros!$G$86)),2))</f>
        <v>0</v>
      </c>
      <c r="CL329" s="66">
        <f t="shared" si="446"/>
        <v>0</v>
      </c>
      <c r="CM329" t="str">
        <f t="shared" si="487"/>
        <v>00063</v>
      </c>
      <c r="CN329" s="118" t="str">
        <f t="shared" si="488"/>
        <v>Renta Diaria por Hospitalización</v>
      </c>
      <c r="CO329" s="118">
        <f t="shared" si="489"/>
        <v>0</v>
      </c>
      <c r="CP329" s="118" t="str">
        <f t="shared" si="490"/>
        <v>A</v>
      </c>
      <c r="CQ329" s="119" t="str">
        <f t="shared" si="447"/>
        <v/>
      </c>
      <c r="CR329" s="66">
        <f>+IF($W329="","",ROUND((VLOOKUP(Parámetros!$F$51,'COBERTURAS ADICIONALES'!$S$4:$T$32,2,FALSE)*(1+i/frec)^-0.5*(1+Parámetros!$D$103)*(1+rec_fracc)/frec*$CO$42),2))</f>
        <v>0</v>
      </c>
      <c r="CS329" s="119" t="str">
        <f t="shared" si="448"/>
        <v/>
      </c>
      <c r="CT329" s="66">
        <f>+IF($W329="","",ROUND(IF($B329&gt;Parámetros!$D$107,'Tablas Servicio'!CR329+('Tablas Servicio'!CT328-'Tablas Servicio'!CR328),CR329/(1-IF(B329&lt;=10,Parámetros!$D$100,0))),2))</f>
        <v>0</v>
      </c>
      <c r="CU329" s="66">
        <f t="shared" si="449"/>
        <v>0</v>
      </c>
      <c r="CV329" s="66">
        <f t="shared" si="449"/>
        <v>0</v>
      </c>
      <c r="CW329" s="66">
        <f>+IF($W329="","",ROUND((CT329*Parámetros!$G$85),2))</f>
        <v>0</v>
      </c>
      <c r="CX329" s="66">
        <f>+IF($W329="","",ROUND((CT329*(Parámetros!$G$86)),2))</f>
        <v>0</v>
      </c>
      <c r="CY329" s="66">
        <f t="shared" si="450"/>
        <v>0</v>
      </c>
      <c r="CZ329" t="str">
        <f t="shared" si="491"/>
        <v>00064</v>
      </c>
      <c r="DA329" s="118" t="str">
        <f t="shared" si="492"/>
        <v>Enfermedades Graves</v>
      </c>
      <c r="DB329" s="118">
        <f t="shared" si="493"/>
        <v>0</v>
      </c>
      <c r="DC329" s="118" t="str">
        <f t="shared" si="494"/>
        <v>A</v>
      </c>
      <c r="DD329" s="121" t="str">
        <f>+IF(OR($W329="",DB329=0),"",ROUND((VLOOKUP(ROUNDDOWN($D329-1/frec,0),cob_adi,CO$40,FALSE)*(1+i/frec)^-0.5*(1+Parámetros!$D$103)*(1+rec_fracc)/frec),6))</f>
        <v/>
      </c>
      <c r="DE329" s="66">
        <f t="shared" si="451"/>
        <v>0</v>
      </c>
      <c r="DF329" s="119" t="str">
        <f t="shared" si="452"/>
        <v/>
      </c>
      <c r="DG329" s="66">
        <f>+IF($W329="","",ROUND(IF($B329&gt;Parámetros!$D$107,'Tablas Servicio'!DE329+('Tablas Servicio'!DG328-'Tablas Servicio'!DE328),DE329/(1-IF(B329&lt;=10,Parámetros!$D$100,0))),2))</f>
        <v>0</v>
      </c>
      <c r="DH329" s="66">
        <f t="shared" si="453"/>
        <v>0</v>
      </c>
      <c r="DI329" s="66">
        <f t="shared" si="453"/>
        <v>0</v>
      </c>
      <c r="DJ329" s="66">
        <f>+IF($W329="","",ROUND((DG329*Parámetros!$G$85),2))</f>
        <v>0</v>
      </c>
      <c r="DK329" s="66">
        <f>+IF($W329="","",ROUND((DG329*(Parámetros!$G$86)),2))</f>
        <v>0</v>
      </c>
      <c r="DL329" s="66">
        <f t="shared" si="454"/>
        <v>0</v>
      </c>
      <c r="DM329" t="str">
        <f t="shared" si="495"/>
        <v>00065</v>
      </c>
      <c r="DN329" s="118" t="str">
        <f t="shared" si="496"/>
        <v>Exención pago de primas</v>
      </c>
      <c r="DO329" s="118">
        <f t="shared" si="497"/>
        <v>0</v>
      </c>
      <c r="DP329" s="118" t="str">
        <f t="shared" si="498"/>
        <v>A</v>
      </c>
      <c r="DQ329" s="122" t="str">
        <f>+IF(OR($W329="",DO329=0),"",ROUND((VLOOKUP(ROUNDDOWN($D329-1/frec,0),cob_adi,DB$40,FALSE)*(1+i/frec)^-0.5*(1+Parámetros!$D$103)*(1+rec_fracc)/frec),6))</f>
        <v/>
      </c>
      <c r="DR329" s="66">
        <f t="shared" si="455"/>
        <v>0</v>
      </c>
      <c r="DS329" s="68" t="str">
        <f t="shared" si="456"/>
        <v/>
      </c>
      <c r="DT329" s="66">
        <f>+IF($W329="","",ROUND(IF($B329&gt;Parámetros!$D$107,'Tablas Servicio'!DR329+('Tablas Servicio'!DT328-'Tablas Servicio'!DR328),DR329/(1-IF(B329&lt;=10,Parámetros!$D$100,0))),2))</f>
        <v>0</v>
      </c>
      <c r="DU329" s="66">
        <f t="shared" si="457"/>
        <v>0</v>
      </c>
      <c r="DV329" s="66">
        <f t="shared" si="457"/>
        <v>0</v>
      </c>
      <c r="DW329" s="66">
        <f>+IF($W329="","",ROUND((DT329*Parámetros!$G$85),2))</f>
        <v>0</v>
      </c>
      <c r="DX329" s="66">
        <f>+IF($W329="","",ROUND((DT329*(Parámetros!$G$86)),2))</f>
        <v>0</v>
      </c>
      <c r="DY329" s="66">
        <f t="shared" si="458"/>
        <v>0</v>
      </c>
      <c r="DZ329" t="str">
        <f t="shared" si="499"/>
        <v>00066</v>
      </c>
      <c r="EA329" s="118" t="str">
        <f t="shared" si="499"/>
        <v>Enfermedad terminal</v>
      </c>
      <c r="EB329" s="118">
        <f>+IF($W329="","",ROUND(IF(Parámetros!$D$25='TABLAS MORT'!$V$33,EB328,Z329/2),0))</f>
        <v>50000</v>
      </c>
      <c r="EC329" s="118" t="str">
        <f t="shared" si="499"/>
        <v>A</v>
      </c>
      <c r="ED329" s="122">
        <f>+IF(OR($W329="",EB329=0),"",ROUND((VLOOKUP(ROUNDDOWN($D329-1/frec,0),cob_adi,DO$40,FALSE)*(1+i/frec)^-0.5*(1+Parámetros!$D$103)*(1+rec_fracc)/frec),6))</f>
        <v>3.8999999999999999E-5</v>
      </c>
      <c r="EE329" s="66">
        <f t="shared" si="460"/>
        <v>1.95</v>
      </c>
      <c r="EF329" s="68">
        <f t="shared" si="461"/>
        <v>3.8999999999999999E-5</v>
      </c>
      <c r="EG329" s="66">
        <f>+IF($W329="","",ROUND(IF($B329&gt;Parámetros!$D$107,'Tablas Servicio'!EE329+('Tablas Servicio'!EG328-'Tablas Servicio'!EE328),EE329/(1-IF(B329&lt;=10,Parámetros!$D$100,0))),2))</f>
        <v>1.95</v>
      </c>
      <c r="EH329" s="66">
        <f t="shared" si="462"/>
        <v>0</v>
      </c>
      <c r="EI329" s="66">
        <f t="shared" si="462"/>
        <v>0</v>
      </c>
      <c r="EJ329" s="66">
        <f>+IF($W329="","",ROUND((EG329*Parámetros!$G$85),2))</f>
        <v>7.0000000000000007E-2</v>
      </c>
      <c r="EK329" s="66">
        <f>+IF($W329="","",ROUND((EG329*(Parámetros!$G$86)),2))</f>
        <v>0.01</v>
      </c>
      <c r="EL329" s="66">
        <f t="shared" si="463"/>
        <v>2.0299999999999998</v>
      </c>
    </row>
    <row r="330" spans="1:142" x14ac:dyDescent="0.25">
      <c r="A330">
        <f>+IF($C330="","",ROUND(VLOOKUP('Tablas Servicio'!B330,Parámetros!$H$100:$J$159,IF(Parámetros!$E$16="F",2,3),FALSE),2))</f>
        <v>150</v>
      </c>
      <c r="B330">
        <f t="shared" si="414"/>
        <v>25</v>
      </c>
      <c r="C330" s="57">
        <f>+IF(D330="","",'Tablas Servicio'!C329+1)</f>
        <v>289</v>
      </c>
      <c r="D330" s="56">
        <f>+IF(D329&lt;edadmaxtabla,D329+1/Parámetros!$E$25,"")</f>
        <v>64.103333333334007</v>
      </c>
      <c r="E330" s="57">
        <f t="shared" si="424"/>
        <v>64</v>
      </c>
      <c r="F330" s="59">
        <f t="shared" si="425"/>
        <v>100000</v>
      </c>
      <c r="G330" s="66">
        <f t="shared" si="415"/>
        <v>79.25</v>
      </c>
      <c r="H330" s="66">
        <f t="shared" si="416"/>
        <v>82.43</v>
      </c>
      <c r="I330" s="66">
        <f t="shared" si="464"/>
        <v>11.569999999999993</v>
      </c>
      <c r="J330" s="66">
        <f t="shared" si="417"/>
        <v>2.78</v>
      </c>
      <c r="K330" s="66">
        <f t="shared" si="418"/>
        <v>0.4</v>
      </c>
      <c r="L330" s="66">
        <f t="shared" si="419"/>
        <v>0</v>
      </c>
      <c r="M330" s="66">
        <f t="shared" si="420"/>
        <v>0</v>
      </c>
      <c r="N330" s="66">
        <f>+IF(C330="","",ROUND(Parámetros!$D$23,2))</f>
        <v>94</v>
      </c>
      <c r="O330" s="66">
        <f t="shared" si="421"/>
        <v>66.75</v>
      </c>
      <c r="P330" s="66">
        <f>+IF($C330="","",ROUND(IF(B330&gt;Parámetros!$D$117,0,N330*Parámetros!$D$116-G330*Parámetros!$D$100),2))</f>
        <v>0</v>
      </c>
      <c r="Q330" s="75">
        <f t="shared" si="465"/>
        <v>3.5078864353312297E-2</v>
      </c>
      <c r="R330" s="75">
        <f t="shared" si="466"/>
        <v>5.0473186119873821E-3</v>
      </c>
      <c r="S330" s="117">
        <f>+IF($C330="","",ROUND((S329+I330)*(1+Parámetros!$D$91),2))</f>
        <v>21800.04</v>
      </c>
      <c r="T330" s="117">
        <f>+IF($C330="","",ROUND(S330*VLOOKUP(B330,Parámetros!$C$30:$D$39,2,TRUE),2))</f>
        <v>21800.04</v>
      </c>
      <c r="U330" s="117">
        <f>+IF($C330="","",ROUND((U329+I330)*(1+Parámetros!$D$92),2))</f>
        <v>23459.91</v>
      </c>
      <c r="V330" s="117">
        <f>+IF($C330="","",ROUND(U330*VLOOKUP(B330,Parámetros!$C$30:$D$39,2,TRUE),2))</f>
        <v>23459.91</v>
      </c>
      <c r="W330" s="57">
        <f t="shared" si="467"/>
        <v>289</v>
      </c>
      <c r="X330" t="str">
        <f t="shared" si="468"/>
        <v>00058</v>
      </c>
      <c r="Y330" t="str">
        <f t="shared" si="469"/>
        <v>MUERTE POR CUALQUIER CAUSA</v>
      </c>
      <c r="Z330" s="118">
        <f>+IF($W330="","",ROUND(IF(Parámetros!$D$25='TABLAS MORT'!$V$33,Z329,Parámetros!$D$21-'Tablas Servicio'!T329),0))</f>
        <v>100000</v>
      </c>
      <c r="AA330" s="118" t="str">
        <f t="shared" si="470"/>
        <v>P</v>
      </c>
      <c r="AB330" s="119">
        <f>+IF(W330="","",ROUND((VLOOKUP(ROUNDDOWN($D330-1/frec,0),qx_tabla,2,FALSE)*(1+i/frec)^-0.5*(1+Parámetros!$D$103)*(1+rec_fracc)/frec),6))</f>
        <v>6.4800000000000003E-4</v>
      </c>
      <c r="AC330" s="66">
        <f t="shared" si="426"/>
        <v>64.8</v>
      </c>
      <c r="AD330" s="119">
        <f t="shared" si="422"/>
        <v>7.7300000000000003E-4</v>
      </c>
      <c r="AE330" s="66">
        <f>+IF($W330="","",ROUND(IF($B330&gt;Parámetros!$D$107,'Tablas Servicio'!AC330+('Tablas Servicio'!AG329-'Tablas Servicio'!AC329),AC330/(1-IF(B330&lt;=10,Parámetros!$D$104,Parámetros!$D$105))),2))</f>
        <v>108</v>
      </c>
      <c r="AF330" s="66">
        <f>+IF($W330="","",ROUND(IF($B330&gt;Parámetros!$D$107,'Tablas Servicio'!AC330+('Tablas Servicio'!AG329-'Tablas Servicio'!AC329),(AC330+$A329/frec)/(1-IF(B330&lt;=Parámetros!$D$117,Parámetros!$D$100,0))),2))</f>
        <v>77.3</v>
      </c>
      <c r="AG330" s="66">
        <f t="shared" si="427"/>
        <v>77.3</v>
      </c>
      <c r="AH330" s="66">
        <f t="shared" si="428"/>
        <v>0</v>
      </c>
      <c r="AI330" s="66">
        <f t="shared" si="429"/>
        <v>0</v>
      </c>
      <c r="AJ330" s="66">
        <f>+IF($W330="","",ROUND((AG330*Parámetros!$G$85),2))</f>
        <v>2.71</v>
      </c>
      <c r="AK330" s="66">
        <f>+IF($W330="","",ROUND((AG330*(Parámetros!$G$86)),2))</f>
        <v>0.39</v>
      </c>
      <c r="AL330" s="66">
        <f t="shared" si="423"/>
        <v>80.400000000000006</v>
      </c>
      <c r="AM330" t="str">
        <f t="shared" si="471"/>
        <v>00059</v>
      </c>
      <c r="AN330" t="str">
        <f t="shared" si="472"/>
        <v>Incapacidad Total y Permanente</v>
      </c>
      <c r="AO330" s="118">
        <f t="shared" si="473"/>
        <v>0</v>
      </c>
      <c r="AP330" s="118" t="str">
        <f t="shared" si="474"/>
        <v>A</v>
      </c>
      <c r="AQ330" s="119" t="str">
        <f>+IF(OR($W330="",AO330=0),"",ROUND((VLOOKUP(ROUNDDOWN($D330-1/frec,0),cob_adi,Z$40,FALSE)*(1+i/frec)^-0.5*(1+Parámetros!$D$103)*(1+rec_fracc)/frec),6))</f>
        <v/>
      </c>
      <c r="AR330" s="66">
        <f t="shared" si="430"/>
        <v>0</v>
      </c>
      <c r="AS330" s="119" t="str">
        <f t="shared" si="431"/>
        <v/>
      </c>
      <c r="AT330" s="66">
        <f>+IF($W330="","",ROUND(IF($B330&gt;Parámetros!$D$107,'Tablas Servicio'!AR330+('Tablas Servicio'!AT329-'Tablas Servicio'!AR329),AR330/(1-IF(B330&lt;=10,Parámetros!$D$100,0))),2))</f>
        <v>0</v>
      </c>
      <c r="AU330" s="66">
        <f t="shared" si="432"/>
        <v>0</v>
      </c>
      <c r="AV330" s="66">
        <f t="shared" si="432"/>
        <v>0</v>
      </c>
      <c r="AW330" s="66">
        <f>+IF($W330="","",ROUND((AT330*Parámetros!$G$85),2))</f>
        <v>0</v>
      </c>
      <c r="AX330" s="66">
        <f>+IF($W330="","",ROUND((AT330*(Parámetros!$G$86)),2))</f>
        <v>0</v>
      </c>
      <c r="AY330" s="66">
        <f t="shared" si="433"/>
        <v>0</v>
      </c>
      <c r="AZ330" t="str">
        <f t="shared" si="475"/>
        <v>00060</v>
      </c>
      <c r="BA330" t="str">
        <f t="shared" si="476"/>
        <v>Muerte Accidental</v>
      </c>
      <c r="BB330" s="118">
        <f t="shared" si="477"/>
        <v>0</v>
      </c>
      <c r="BC330" s="118" t="str">
        <f t="shared" si="478"/>
        <v>A</v>
      </c>
      <c r="BD330" s="119" t="str">
        <f>+IF(OR($W330="",BB330=0),"",ROUND((VLOOKUP(ROUNDDOWN($D330-1/frec,0),cob_adi,AO$40,FALSE)*(1+i/frec)^-0.5*(1+Parámetros!$D$103)*(1+rec_fracc)/frec),6))</f>
        <v/>
      </c>
      <c r="BE330" s="66">
        <f t="shared" si="434"/>
        <v>0</v>
      </c>
      <c r="BF330" s="119" t="str">
        <f t="shared" si="435"/>
        <v/>
      </c>
      <c r="BG330" s="66">
        <f>+IF($W330="","",ROUND(IF($B330&gt;Parámetros!$D$107,'Tablas Servicio'!BE330+('Tablas Servicio'!BG329-'Tablas Servicio'!BE329),BE330/(1-IF(B330&lt;=10,Parámetros!$D$100,0))),2))</f>
        <v>0</v>
      </c>
      <c r="BH330" s="66">
        <f t="shared" si="436"/>
        <v>0</v>
      </c>
      <c r="BI330" s="66">
        <f t="shared" si="437"/>
        <v>0</v>
      </c>
      <c r="BJ330" s="66">
        <f>+IF($W330="","",ROUND((BG330*Parámetros!$G$85),2))</f>
        <v>0</v>
      </c>
      <c r="BK330" s="66">
        <f>+IF($W330="","",ROUND((BG330*(Parámetros!$G$86)),2))</f>
        <v>0</v>
      </c>
      <c r="BL330" s="66">
        <f t="shared" si="438"/>
        <v>0</v>
      </c>
      <c r="BM330" t="str">
        <f t="shared" si="479"/>
        <v>00061</v>
      </c>
      <c r="BN330" t="str">
        <f t="shared" si="480"/>
        <v>Gastos de Entierro</v>
      </c>
      <c r="BO330" s="118">
        <f t="shared" si="481"/>
        <v>0</v>
      </c>
      <c r="BP330" s="118" t="str">
        <f t="shared" si="482"/>
        <v>A</v>
      </c>
      <c r="BQ330" s="119" t="str">
        <f>+IF(OR($W330="",BO330=0),"",ROUND((VLOOKUP(ROUNDDOWN($D330-1/frec,0),cob_adi,BB$40,FALSE)*(1+i/frec)^-0.5*(1+Parámetros!$D$103)*(1+rec_fracc)/frec),6))</f>
        <v/>
      </c>
      <c r="BR330" s="66">
        <f t="shared" si="439"/>
        <v>0</v>
      </c>
      <c r="BS330" s="119" t="str">
        <f t="shared" si="440"/>
        <v/>
      </c>
      <c r="BT330" s="66">
        <f>+IF($W330="","",ROUND(IF($B330&gt;Parámetros!$D$107,'Tablas Servicio'!BR330+('Tablas Servicio'!BT329-'Tablas Servicio'!BR329),BR330/(1-IF(B330&lt;=10,Parámetros!$D$100,0))),2))</f>
        <v>0</v>
      </c>
      <c r="BU330" s="66">
        <f t="shared" si="441"/>
        <v>0</v>
      </c>
      <c r="BV330" s="66">
        <f t="shared" si="441"/>
        <v>0</v>
      </c>
      <c r="BW330" s="66">
        <f>+IF($W330="","",ROUND((BT330*Parámetros!$G$85),2))</f>
        <v>0</v>
      </c>
      <c r="BX330" s="66">
        <f>+IF($W330="","",ROUND((BT330*(Parámetros!$G$86)),2))</f>
        <v>0</v>
      </c>
      <c r="BY330" s="66">
        <f t="shared" si="442"/>
        <v>0</v>
      </c>
      <c r="BZ330" t="str">
        <f t="shared" si="483"/>
        <v>00062</v>
      </c>
      <c r="CA330" t="str">
        <f t="shared" si="484"/>
        <v>Gastos médicos por accidente</v>
      </c>
      <c r="CB330" s="118">
        <f t="shared" si="485"/>
        <v>0</v>
      </c>
      <c r="CC330" s="118" t="str">
        <f t="shared" si="486"/>
        <v>A</v>
      </c>
      <c r="CD330" s="119" t="str">
        <f t="shared" si="443"/>
        <v/>
      </c>
      <c r="CE330" s="66">
        <f>+IF($W330="","",ROUND((VLOOKUP(ROUNDDOWN($D330-1/frec,0),cob_adi,BO$40,FALSE)*(1+i/frec)^-0.5*(1+Parámetros!$D$103)*(1+rec_fracc)/frec*'TABLAS ADI'!$BC$17),2))</f>
        <v>0</v>
      </c>
      <c r="CF330" s="119" t="str">
        <f t="shared" si="444"/>
        <v/>
      </c>
      <c r="CG330" s="66">
        <f>+IF($W330="","",ROUND(IF($B330&gt;Parámetros!$D$107,'Tablas Servicio'!CE330+('Tablas Servicio'!CG329-'Tablas Servicio'!CE329),CE330/(1-IF(B330&lt;=10,Parámetros!$D$100,0))),2))</f>
        <v>0</v>
      </c>
      <c r="CH330" s="66">
        <f t="shared" si="445"/>
        <v>0</v>
      </c>
      <c r="CI330" s="66">
        <f t="shared" si="445"/>
        <v>0</v>
      </c>
      <c r="CJ330" s="66">
        <f>+IF($W330="","",ROUND((CG330*Parámetros!$G$85),2))</f>
        <v>0</v>
      </c>
      <c r="CK330" s="66">
        <f>+IF($W330="","",ROUND((CG330*(Parámetros!$G$86)),2))</f>
        <v>0</v>
      </c>
      <c r="CL330" s="66">
        <f t="shared" si="446"/>
        <v>0</v>
      </c>
      <c r="CM330" t="str">
        <f t="shared" si="487"/>
        <v>00063</v>
      </c>
      <c r="CN330" s="118" t="str">
        <f t="shared" si="488"/>
        <v>Renta Diaria por Hospitalización</v>
      </c>
      <c r="CO330" s="118">
        <f t="shared" si="489"/>
        <v>0</v>
      </c>
      <c r="CP330" s="118" t="str">
        <f t="shared" si="490"/>
        <v>A</v>
      </c>
      <c r="CQ330" s="119" t="str">
        <f t="shared" si="447"/>
        <v/>
      </c>
      <c r="CR330" s="66">
        <f>+IF($W330="","",ROUND((VLOOKUP(Parámetros!$F$51,'COBERTURAS ADICIONALES'!$S$4:$T$32,2,FALSE)*(1+i/frec)^-0.5*(1+Parámetros!$D$103)*(1+rec_fracc)/frec*$CO$42),2))</f>
        <v>0</v>
      </c>
      <c r="CS330" s="119" t="str">
        <f t="shared" si="448"/>
        <v/>
      </c>
      <c r="CT330" s="66">
        <f>+IF($W330="","",ROUND(IF($B330&gt;Parámetros!$D$107,'Tablas Servicio'!CR330+('Tablas Servicio'!CT329-'Tablas Servicio'!CR329),CR330/(1-IF(B330&lt;=10,Parámetros!$D$100,0))),2))</f>
        <v>0</v>
      </c>
      <c r="CU330" s="66">
        <f t="shared" si="449"/>
        <v>0</v>
      </c>
      <c r="CV330" s="66">
        <f t="shared" si="449"/>
        <v>0</v>
      </c>
      <c r="CW330" s="66">
        <f>+IF($W330="","",ROUND((CT330*Parámetros!$G$85),2))</f>
        <v>0</v>
      </c>
      <c r="CX330" s="66">
        <f>+IF($W330="","",ROUND((CT330*(Parámetros!$G$86)),2))</f>
        <v>0</v>
      </c>
      <c r="CY330" s="66">
        <f t="shared" si="450"/>
        <v>0</v>
      </c>
      <c r="CZ330" t="str">
        <f t="shared" si="491"/>
        <v>00064</v>
      </c>
      <c r="DA330" s="118" t="str">
        <f t="shared" si="492"/>
        <v>Enfermedades Graves</v>
      </c>
      <c r="DB330" s="118">
        <f t="shared" si="493"/>
        <v>0</v>
      </c>
      <c r="DC330" s="118" t="str">
        <f t="shared" si="494"/>
        <v>A</v>
      </c>
      <c r="DD330" s="121" t="str">
        <f>+IF(OR($W330="",DB330=0),"",ROUND((VLOOKUP(ROUNDDOWN($D330-1/frec,0),cob_adi,CO$40,FALSE)*(1+i/frec)^-0.5*(1+Parámetros!$D$103)*(1+rec_fracc)/frec),6))</f>
        <v/>
      </c>
      <c r="DE330" s="66">
        <f t="shared" si="451"/>
        <v>0</v>
      </c>
      <c r="DF330" s="119" t="str">
        <f t="shared" si="452"/>
        <v/>
      </c>
      <c r="DG330" s="66">
        <f>+IF($W330="","",ROUND(IF($B330&gt;Parámetros!$D$107,'Tablas Servicio'!DE330+('Tablas Servicio'!DG329-'Tablas Servicio'!DE329),DE330/(1-IF(B330&lt;=10,Parámetros!$D$100,0))),2))</f>
        <v>0</v>
      </c>
      <c r="DH330" s="66">
        <f t="shared" si="453"/>
        <v>0</v>
      </c>
      <c r="DI330" s="66">
        <f t="shared" si="453"/>
        <v>0</v>
      </c>
      <c r="DJ330" s="66">
        <f>+IF($W330="","",ROUND((DG330*Parámetros!$G$85),2))</f>
        <v>0</v>
      </c>
      <c r="DK330" s="66">
        <f>+IF($W330="","",ROUND((DG330*(Parámetros!$G$86)),2))</f>
        <v>0</v>
      </c>
      <c r="DL330" s="66">
        <f t="shared" si="454"/>
        <v>0</v>
      </c>
      <c r="DM330" t="str">
        <f t="shared" si="495"/>
        <v>00065</v>
      </c>
      <c r="DN330" s="118" t="str">
        <f t="shared" si="496"/>
        <v>Exención pago de primas</v>
      </c>
      <c r="DO330" s="118">
        <f t="shared" si="497"/>
        <v>0</v>
      </c>
      <c r="DP330" s="118" t="str">
        <f t="shared" si="498"/>
        <v>A</v>
      </c>
      <c r="DQ330" s="122" t="str">
        <f>+IF(OR($W330="",DO330=0),"",ROUND((VLOOKUP(ROUNDDOWN($D330-1/frec,0),cob_adi,DB$40,FALSE)*(1+i/frec)^-0.5*(1+Parámetros!$D$103)*(1+rec_fracc)/frec),6))</f>
        <v/>
      </c>
      <c r="DR330" s="66">
        <f t="shared" si="455"/>
        <v>0</v>
      </c>
      <c r="DS330" s="68" t="str">
        <f t="shared" si="456"/>
        <v/>
      </c>
      <c r="DT330" s="66">
        <f>+IF($W330="","",ROUND(IF($B330&gt;Parámetros!$D$107,'Tablas Servicio'!DR330+('Tablas Servicio'!DT329-'Tablas Servicio'!DR329),DR330/(1-IF(B330&lt;=10,Parámetros!$D$100,0))),2))</f>
        <v>0</v>
      </c>
      <c r="DU330" s="66">
        <f t="shared" si="457"/>
        <v>0</v>
      </c>
      <c r="DV330" s="66">
        <f t="shared" si="457"/>
        <v>0</v>
      </c>
      <c r="DW330" s="66">
        <f>+IF($W330="","",ROUND((DT330*Parámetros!$G$85),2))</f>
        <v>0</v>
      </c>
      <c r="DX330" s="66">
        <f>+IF($W330="","",ROUND((DT330*(Parámetros!$G$86)),2))</f>
        <v>0</v>
      </c>
      <c r="DY330" s="66">
        <f t="shared" si="458"/>
        <v>0</v>
      </c>
      <c r="DZ330" t="str">
        <f t="shared" si="499"/>
        <v>00066</v>
      </c>
      <c r="EA330" s="118" t="str">
        <f t="shared" si="499"/>
        <v>Enfermedad terminal</v>
      </c>
      <c r="EB330" s="118">
        <f>+IF($W330="","",ROUND(IF(Parámetros!$D$25='TABLAS MORT'!$V$33,EB329,Z330/2),0))</f>
        <v>50000</v>
      </c>
      <c r="EC330" s="118" t="str">
        <f t="shared" si="499"/>
        <v>A</v>
      </c>
      <c r="ED330" s="122">
        <f>+IF(OR($W330="",EB330=0),"",ROUND((VLOOKUP(ROUNDDOWN($D330-1/frec,0),cob_adi,DO$40,FALSE)*(1+i/frec)^-0.5*(1+Parámetros!$D$103)*(1+rec_fracc)/frec),6))</f>
        <v>3.8999999999999999E-5</v>
      </c>
      <c r="EE330" s="66">
        <f t="shared" si="460"/>
        <v>1.95</v>
      </c>
      <c r="EF330" s="68">
        <f t="shared" si="461"/>
        <v>3.8999999999999999E-5</v>
      </c>
      <c r="EG330" s="66">
        <f>+IF($W330="","",ROUND(IF($B330&gt;Parámetros!$D$107,'Tablas Servicio'!EE330+('Tablas Servicio'!EG329-'Tablas Servicio'!EE329),EE330/(1-IF(B330&lt;=10,Parámetros!$D$100,0))),2))</f>
        <v>1.95</v>
      </c>
      <c r="EH330" s="66">
        <f t="shared" si="462"/>
        <v>0</v>
      </c>
      <c r="EI330" s="66">
        <f t="shared" si="462"/>
        <v>0</v>
      </c>
      <c r="EJ330" s="66">
        <f>+IF($W330="","",ROUND((EG330*Parámetros!$G$85),2))</f>
        <v>7.0000000000000007E-2</v>
      </c>
      <c r="EK330" s="66">
        <f>+IF($W330="","",ROUND((EG330*(Parámetros!$G$86)),2))</f>
        <v>0.01</v>
      </c>
      <c r="EL330" s="66">
        <f t="shared" si="463"/>
        <v>2.0299999999999998</v>
      </c>
    </row>
    <row r="331" spans="1:142" x14ac:dyDescent="0.25">
      <c r="A331">
        <f>+IF($C331="","",ROUND(VLOOKUP('Tablas Servicio'!B331,Parámetros!$H$100:$J$159,IF(Parámetros!$E$16="F",2,3),FALSE),2))</f>
        <v>150</v>
      </c>
      <c r="B331">
        <f t="shared" si="414"/>
        <v>25</v>
      </c>
      <c r="C331" s="57">
        <f>+IF(D331="","",'Tablas Servicio'!C330+1)</f>
        <v>290</v>
      </c>
      <c r="D331" s="56">
        <f>+IF(D330&lt;edadmaxtabla,D330+1/Parámetros!$E$25,"")</f>
        <v>64.186666666667335</v>
      </c>
      <c r="E331" s="57">
        <f t="shared" si="424"/>
        <v>64</v>
      </c>
      <c r="F331" s="59">
        <f t="shared" si="425"/>
        <v>100000</v>
      </c>
      <c r="G331" s="66">
        <f t="shared" si="415"/>
        <v>79.25</v>
      </c>
      <c r="H331" s="66">
        <f t="shared" si="416"/>
        <v>82.43</v>
      </c>
      <c r="I331" s="66">
        <f t="shared" si="464"/>
        <v>11.569999999999993</v>
      </c>
      <c r="J331" s="66">
        <f t="shared" si="417"/>
        <v>2.78</v>
      </c>
      <c r="K331" s="66">
        <f t="shared" si="418"/>
        <v>0.4</v>
      </c>
      <c r="L331" s="66">
        <f t="shared" si="419"/>
        <v>0</v>
      </c>
      <c r="M331" s="66">
        <f t="shared" si="420"/>
        <v>0</v>
      </c>
      <c r="N331" s="66">
        <f>+IF(C331="","",ROUND(Parámetros!$D$23,2))</f>
        <v>94</v>
      </c>
      <c r="O331" s="66">
        <f t="shared" si="421"/>
        <v>66.75</v>
      </c>
      <c r="P331" s="66">
        <f>+IF($C331="","",ROUND(IF(B331&gt;Parámetros!$D$117,0,N331*Parámetros!$D$116-G331*Parámetros!$D$100),2))</f>
        <v>0</v>
      </c>
      <c r="Q331" s="75">
        <f t="shared" si="465"/>
        <v>3.5078864353312297E-2</v>
      </c>
      <c r="R331" s="75">
        <f t="shared" si="466"/>
        <v>5.0473186119873821E-3</v>
      </c>
      <c r="S331" s="117">
        <f>+IF($C331="","",ROUND((S330+I331)*(1+Parámetros!$D$91),2))</f>
        <v>21873.48</v>
      </c>
      <c r="T331" s="117">
        <f>+IF($C331="","",ROUND(S331*VLOOKUP(B331,Parámetros!$C$30:$D$39,2,TRUE),2))</f>
        <v>21873.48</v>
      </c>
      <c r="U331" s="117">
        <f>+IF($C331="","",ROUND((U330+I331)*(1+Parámetros!$D$92),2))</f>
        <v>23547.57</v>
      </c>
      <c r="V331" s="117">
        <f>+IF($C331="","",ROUND(U331*VLOOKUP(B331,Parámetros!$C$30:$D$39,2,TRUE),2))</f>
        <v>23547.57</v>
      </c>
      <c r="W331" s="57">
        <f t="shared" si="467"/>
        <v>290</v>
      </c>
      <c r="X331" t="str">
        <f t="shared" si="468"/>
        <v>00058</v>
      </c>
      <c r="Y331" t="str">
        <f t="shared" si="469"/>
        <v>MUERTE POR CUALQUIER CAUSA</v>
      </c>
      <c r="Z331" s="118">
        <f>+IF($W331="","",ROUND(IF(Parámetros!$D$25='TABLAS MORT'!$V$33,Z330,Parámetros!$D$21-'Tablas Servicio'!T330),0))</f>
        <v>100000</v>
      </c>
      <c r="AA331" s="118" t="str">
        <f t="shared" si="470"/>
        <v>P</v>
      </c>
      <c r="AB331" s="119">
        <f>+IF(W331="","",ROUND((VLOOKUP(ROUNDDOWN($D331-1/frec,0),qx_tabla,2,FALSE)*(1+i/frec)^-0.5*(1+Parámetros!$D$103)*(1+rec_fracc)/frec),6))</f>
        <v>6.4800000000000003E-4</v>
      </c>
      <c r="AC331" s="66">
        <f t="shared" si="426"/>
        <v>64.8</v>
      </c>
      <c r="AD331" s="119">
        <f t="shared" si="422"/>
        <v>7.7300000000000003E-4</v>
      </c>
      <c r="AE331" s="66">
        <f>+IF($W331="","",ROUND(IF($B331&gt;Parámetros!$D$107,'Tablas Servicio'!AC331+('Tablas Servicio'!AG330-'Tablas Servicio'!AC330),AC331/(1-IF(B331&lt;=10,Parámetros!$D$104,Parámetros!$D$105))),2))</f>
        <v>108</v>
      </c>
      <c r="AF331" s="66">
        <f>+IF($W331="","",ROUND(IF($B331&gt;Parámetros!$D$107,'Tablas Servicio'!AC331+('Tablas Servicio'!AG330-'Tablas Servicio'!AC330),(AC331+$A330/frec)/(1-IF(B331&lt;=Parámetros!$D$117,Parámetros!$D$100,0))),2))</f>
        <v>77.3</v>
      </c>
      <c r="AG331" s="66">
        <f t="shared" si="427"/>
        <v>77.3</v>
      </c>
      <c r="AH331" s="66">
        <f t="shared" si="428"/>
        <v>0</v>
      </c>
      <c r="AI331" s="66">
        <f t="shared" si="429"/>
        <v>0</v>
      </c>
      <c r="AJ331" s="66">
        <f>+IF($W331="","",ROUND((AG331*Parámetros!$G$85),2))</f>
        <v>2.71</v>
      </c>
      <c r="AK331" s="66">
        <f>+IF($W331="","",ROUND((AG331*(Parámetros!$G$86)),2))</f>
        <v>0.39</v>
      </c>
      <c r="AL331" s="66">
        <f t="shared" si="423"/>
        <v>80.400000000000006</v>
      </c>
      <c r="AM331" t="str">
        <f t="shared" si="471"/>
        <v>00059</v>
      </c>
      <c r="AN331" t="str">
        <f t="shared" si="472"/>
        <v>Incapacidad Total y Permanente</v>
      </c>
      <c r="AO331" s="118">
        <f t="shared" si="473"/>
        <v>0</v>
      </c>
      <c r="AP331" s="118" t="str">
        <f t="shared" si="474"/>
        <v>A</v>
      </c>
      <c r="AQ331" s="119" t="str">
        <f>+IF(OR($W331="",AO331=0),"",ROUND((VLOOKUP(ROUNDDOWN($D331-1/frec,0),cob_adi,Z$40,FALSE)*(1+i/frec)^-0.5*(1+Parámetros!$D$103)*(1+rec_fracc)/frec),6))</f>
        <v/>
      </c>
      <c r="AR331" s="66">
        <f t="shared" si="430"/>
        <v>0</v>
      </c>
      <c r="AS331" s="119" t="str">
        <f t="shared" si="431"/>
        <v/>
      </c>
      <c r="AT331" s="66">
        <f>+IF($W331="","",ROUND(IF($B331&gt;Parámetros!$D$107,'Tablas Servicio'!AR331+('Tablas Servicio'!AT330-'Tablas Servicio'!AR330),AR331/(1-IF(B331&lt;=10,Parámetros!$D$100,0))),2))</f>
        <v>0</v>
      </c>
      <c r="AU331" s="66">
        <f t="shared" si="432"/>
        <v>0</v>
      </c>
      <c r="AV331" s="66">
        <f t="shared" si="432"/>
        <v>0</v>
      </c>
      <c r="AW331" s="66">
        <f>+IF($W331="","",ROUND((AT331*Parámetros!$G$85),2))</f>
        <v>0</v>
      </c>
      <c r="AX331" s="66">
        <f>+IF($W331="","",ROUND((AT331*(Parámetros!$G$86)),2))</f>
        <v>0</v>
      </c>
      <c r="AY331" s="66">
        <f t="shared" si="433"/>
        <v>0</v>
      </c>
      <c r="AZ331" t="str">
        <f t="shared" si="475"/>
        <v>00060</v>
      </c>
      <c r="BA331" t="str">
        <f t="shared" si="476"/>
        <v>Muerte Accidental</v>
      </c>
      <c r="BB331" s="118">
        <f t="shared" si="477"/>
        <v>0</v>
      </c>
      <c r="BC331" s="118" t="str">
        <f t="shared" si="478"/>
        <v>A</v>
      </c>
      <c r="BD331" s="119" t="str">
        <f>+IF(OR($W331="",BB331=0),"",ROUND((VLOOKUP(ROUNDDOWN($D331-1/frec,0),cob_adi,AO$40,FALSE)*(1+i/frec)^-0.5*(1+Parámetros!$D$103)*(1+rec_fracc)/frec),6))</f>
        <v/>
      </c>
      <c r="BE331" s="66">
        <f t="shared" si="434"/>
        <v>0</v>
      </c>
      <c r="BF331" s="119" t="str">
        <f t="shared" si="435"/>
        <v/>
      </c>
      <c r="BG331" s="66">
        <f>+IF($W331="","",ROUND(IF($B331&gt;Parámetros!$D$107,'Tablas Servicio'!BE331+('Tablas Servicio'!BG330-'Tablas Servicio'!BE330),BE331/(1-IF(B331&lt;=10,Parámetros!$D$100,0))),2))</f>
        <v>0</v>
      </c>
      <c r="BH331" s="66">
        <f t="shared" si="436"/>
        <v>0</v>
      </c>
      <c r="BI331" s="66">
        <f t="shared" si="437"/>
        <v>0</v>
      </c>
      <c r="BJ331" s="66">
        <f>+IF($W331="","",ROUND((BG331*Parámetros!$G$85),2))</f>
        <v>0</v>
      </c>
      <c r="BK331" s="66">
        <f>+IF($W331="","",ROUND((BG331*(Parámetros!$G$86)),2))</f>
        <v>0</v>
      </c>
      <c r="BL331" s="66">
        <f t="shared" si="438"/>
        <v>0</v>
      </c>
      <c r="BM331" t="str">
        <f t="shared" si="479"/>
        <v>00061</v>
      </c>
      <c r="BN331" t="str">
        <f t="shared" si="480"/>
        <v>Gastos de Entierro</v>
      </c>
      <c r="BO331" s="118">
        <f t="shared" si="481"/>
        <v>0</v>
      </c>
      <c r="BP331" s="118" t="str">
        <f t="shared" si="482"/>
        <v>A</v>
      </c>
      <c r="BQ331" s="119" t="str">
        <f>+IF(OR($W331="",BO331=0),"",ROUND((VLOOKUP(ROUNDDOWN($D331-1/frec,0),cob_adi,BB$40,FALSE)*(1+i/frec)^-0.5*(1+Parámetros!$D$103)*(1+rec_fracc)/frec),6))</f>
        <v/>
      </c>
      <c r="BR331" s="66">
        <f t="shared" si="439"/>
        <v>0</v>
      </c>
      <c r="BS331" s="119" t="str">
        <f t="shared" si="440"/>
        <v/>
      </c>
      <c r="BT331" s="66">
        <f>+IF($W331="","",ROUND(IF($B331&gt;Parámetros!$D$107,'Tablas Servicio'!BR331+('Tablas Servicio'!BT330-'Tablas Servicio'!BR330),BR331/(1-IF(B331&lt;=10,Parámetros!$D$100,0))),2))</f>
        <v>0</v>
      </c>
      <c r="BU331" s="66">
        <f t="shared" si="441"/>
        <v>0</v>
      </c>
      <c r="BV331" s="66">
        <f t="shared" si="441"/>
        <v>0</v>
      </c>
      <c r="BW331" s="66">
        <f>+IF($W331="","",ROUND((BT331*Parámetros!$G$85),2))</f>
        <v>0</v>
      </c>
      <c r="BX331" s="66">
        <f>+IF($W331="","",ROUND((BT331*(Parámetros!$G$86)),2))</f>
        <v>0</v>
      </c>
      <c r="BY331" s="66">
        <f t="shared" si="442"/>
        <v>0</v>
      </c>
      <c r="BZ331" t="str">
        <f t="shared" si="483"/>
        <v>00062</v>
      </c>
      <c r="CA331" t="str">
        <f t="shared" si="484"/>
        <v>Gastos médicos por accidente</v>
      </c>
      <c r="CB331" s="118">
        <f t="shared" si="485"/>
        <v>0</v>
      </c>
      <c r="CC331" s="118" t="str">
        <f t="shared" si="486"/>
        <v>A</v>
      </c>
      <c r="CD331" s="119" t="str">
        <f t="shared" si="443"/>
        <v/>
      </c>
      <c r="CE331" s="66">
        <f>+IF($W331="","",ROUND((VLOOKUP(ROUNDDOWN($D331-1/frec,0),cob_adi,BO$40,FALSE)*(1+i/frec)^-0.5*(1+Parámetros!$D$103)*(1+rec_fracc)/frec*'TABLAS ADI'!$BC$17),2))</f>
        <v>0</v>
      </c>
      <c r="CF331" s="119" t="str">
        <f t="shared" si="444"/>
        <v/>
      </c>
      <c r="CG331" s="66">
        <f>+IF($W331="","",ROUND(IF($B331&gt;Parámetros!$D$107,'Tablas Servicio'!CE331+('Tablas Servicio'!CG330-'Tablas Servicio'!CE330),CE331/(1-IF(B331&lt;=10,Parámetros!$D$100,0))),2))</f>
        <v>0</v>
      </c>
      <c r="CH331" s="66">
        <f t="shared" si="445"/>
        <v>0</v>
      </c>
      <c r="CI331" s="66">
        <f t="shared" si="445"/>
        <v>0</v>
      </c>
      <c r="CJ331" s="66">
        <f>+IF($W331="","",ROUND((CG331*Parámetros!$G$85),2))</f>
        <v>0</v>
      </c>
      <c r="CK331" s="66">
        <f>+IF($W331="","",ROUND((CG331*(Parámetros!$G$86)),2))</f>
        <v>0</v>
      </c>
      <c r="CL331" s="66">
        <f t="shared" si="446"/>
        <v>0</v>
      </c>
      <c r="CM331" t="str">
        <f t="shared" si="487"/>
        <v>00063</v>
      </c>
      <c r="CN331" s="118" t="str">
        <f t="shared" si="488"/>
        <v>Renta Diaria por Hospitalización</v>
      </c>
      <c r="CO331" s="118">
        <f t="shared" si="489"/>
        <v>0</v>
      </c>
      <c r="CP331" s="118" t="str">
        <f t="shared" si="490"/>
        <v>A</v>
      </c>
      <c r="CQ331" s="119" t="str">
        <f t="shared" si="447"/>
        <v/>
      </c>
      <c r="CR331" s="66">
        <f>+IF($W331="","",ROUND((VLOOKUP(Parámetros!$F$51,'COBERTURAS ADICIONALES'!$S$4:$T$32,2,FALSE)*(1+i/frec)^-0.5*(1+Parámetros!$D$103)*(1+rec_fracc)/frec*$CO$42),2))</f>
        <v>0</v>
      </c>
      <c r="CS331" s="119" t="str">
        <f t="shared" si="448"/>
        <v/>
      </c>
      <c r="CT331" s="66">
        <f>+IF($W331="","",ROUND(IF($B331&gt;Parámetros!$D$107,'Tablas Servicio'!CR331+('Tablas Servicio'!CT330-'Tablas Servicio'!CR330),CR331/(1-IF(B331&lt;=10,Parámetros!$D$100,0))),2))</f>
        <v>0</v>
      </c>
      <c r="CU331" s="66">
        <f t="shared" si="449"/>
        <v>0</v>
      </c>
      <c r="CV331" s="66">
        <f t="shared" si="449"/>
        <v>0</v>
      </c>
      <c r="CW331" s="66">
        <f>+IF($W331="","",ROUND((CT331*Parámetros!$G$85),2))</f>
        <v>0</v>
      </c>
      <c r="CX331" s="66">
        <f>+IF($W331="","",ROUND((CT331*(Parámetros!$G$86)),2))</f>
        <v>0</v>
      </c>
      <c r="CY331" s="66">
        <f t="shared" si="450"/>
        <v>0</v>
      </c>
      <c r="CZ331" t="str">
        <f t="shared" si="491"/>
        <v>00064</v>
      </c>
      <c r="DA331" s="118" t="str">
        <f t="shared" si="492"/>
        <v>Enfermedades Graves</v>
      </c>
      <c r="DB331" s="118">
        <f t="shared" si="493"/>
        <v>0</v>
      </c>
      <c r="DC331" s="118" t="str">
        <f t="shared" si="494"/>
        <v>A</v>
      </c>
      <c r="DD331" s="121" t="str">
        <f>+IF(OR($W331="",DB331=0),"",ROUND((VLOOKUP(ROUNDDOWN($D331-1/frec,0),cob_adi,CO$40,FALSE)*(1+i/frec)^-0.5*(1+Parámetros!$D$103)*(1+rec_fracc)/frec),6))</f>
        <v/>
      </c>
      <c r="DE331" s="66">
        <f t="shared" si="451"/>
        <v>0</v>
      </c>
      <c r="DF331" s="119" t="str">
        <f t="shared" si="452"/>
        <v/>
      </c>
      <c r="DG331" s="66">
        <f>+IF($W331="","",ROUND(IF($B331&gt;Parámetros!$D$107,'Tablas Servicio'!DE331+('Tablas Servicio'!DG330-'Tablas Servicio'!DE330),DE331/(1-IF(B331&lt;=10,Parámetros!$D$100,0))),2))</f>
        <v>0</v>
      </c>
      <c r="DH331" s="66">
        <f t="shared" si="453"/>
        <v>0</v>
      </c>
      <c r="DI331" s="66">
        <f t="shared" si="453"/>
        <v>0</v>
      </c>
      <c r="DJ331" s="66">
        <f>+IF($W331="","",ROUND((DG331*Parámetros!$G$85),2))</f>
        <v>0</v>
      </c>
      <c r="DK331" s="66">
        <f>+IF($W331="","",ROUND((DG331*(Parámetros!$G$86)),2))</f>
        <v>0</v>
      </c>
      <c r="DL331" s="66">
        <f t="shared" si="454"/>
        <v>0</v>
      </c>
      <c r="DM331" t="str">
        <f t="shared" si="495"/>
        <v>00065</v>
      </c>
      <c r="DN331" s="118" t="str">
        <f t="shared" si="496"/>
        <v>Exención pago de primas</v>
      </c>
      <c r="DO331" s="118">
        <f t="shared" si="497"/>
        <v>0</v>
      </c>
      <c r="DP331" s="118" t="str">
        <f t="shared" si="498"/>
        <v>A</v>
      </c>
      <c r="DQ331" s="122" t="str">
        <f>+IF(OR($W331="",DO331=0),"",ROUND((VLOOKUP(ROUNDDOWN($D331-1/frec,0),cob_adi,DB$40,FALSE)*(1+i/frec)^-0.5*(1+Parámetros!$D$103)*(1+rec_fracc)/frec),6))</f>
        <v/>
      </c>
      <c r="DR331" s="66">
        <f t="shared" si="455"/>
        <v>0</v>
      </c>
      <c r="DS331" s="68" t="str">
        <f t="shared" si="456"/>
        <v/>
      </c>
      <c r="DT331" s="66">
        <f>+IF($W331="","",ROUND(IF($B331&gt;Parámetros!$D$107,'Tablas Servicio'!DR331+('Tablas Servicio'!DT330-'Tablas Servicio'!DR330),DR331/(1-IF(B331&lt;=10,Parámetros!$D$100,0))),2))</f>
        <v>0</v>
      </c>
      <c r="DU331" s="66">
        <f t="shared" si="457"/>
        <v>0</v>
      </c>
      <c r="DV331" s="66">
        <f t="shared" si="457"/>
        <v>0</v>
      </c>
      <c r="DW331" s="66">
        <f>+IF($W331="","",ROUND((DT331*Parámetros!$G$85),2))</f>
        <v>0</v>
      </c>
      <c r="DX331" s="66">
        <f>+IF($W331="","",ROUND((DT331*(Parámetros!$G$86)),2))</f>
        <v>0</v>
      </c>
      <c r="DY331" s="66">
        <f t="shared" si="458"/>
        <v>0</v>
      </c>
      <c r="DZ331" t="str">
        <f t="shared" ref="DZ331:EC346" si="500">+IF($W331="","",DZ330)</f>
        <v>00066</v>
      </c>
      <c r="EA331" s="118" t="str">
        <f t="shared" si="500"/>
        <v>Enfermedad terminal</v>
      </c>
      <c r="EB331" s="118">
        <f>+IF($W331="","",ROUND(IF(Parámetros!$D$25='TABLAS MORT'!$V$33,EB330,Z331/2),0))</f>
        <v>50000</v>
      </c>
      <c r="EC331" s="118" t="str">
        <f t="shared" si="500"/>
        <v>A</v>
      </c>
      <c r="ED331" s="122">
        <f>+IF(OR($W331="",EB331=0),"",ROUND((VLOOKUP(ROUNDDOWN($D331-1/frec,0),cob_adi,DO$40,FALSE)*(1+i/frec)^-0.5*(1+Parámetros!$D$103)*(1+rec_fracc)/frec),6))</f>
        <v>3.8999999999999999E-5</v>
      </c>
      <c r="EE331" s="66">
        <f t="shared" si="460"/>
        <v>1.95</v>
      </c>
      <c r="EF331" s="68">
        <f t="shared" si="461"/>
        <v>3.8999999999999999E-5</v>
      </c>
      <c r="EG331" s="66">
        <f>+IF($W331="","",ROUND(IF($B331&gt;Parámetros!$D$107,'Tablas Servicio'!EE331+('Tablas Servicio'!EG330-'Tablas Servicio'!EE330),EE331/(1-IF(B331&lt;=10,Parámetros!$D$100,0))),2))</f>
        <v>1.95</v>
      </c>
      <c r="EH331" s="66">
        <f t="shared" si="462"/>
        <v>0</v>
      </c>
      <c r="EI331" s="66">
        <f t="shared" si="462"/>
        <v>0</v>
      </c>
      <c r="EJ331" s="66">
        <f>+IF($W331="","",ROUND((EG331*Parámetros!$G$85),2))</f>
        <v>7.0000000000000007E-2</v>
      </c>
      <c r="EK331" s="66">
        <f>+IF($W331="","",ROUND((EG331*(Parámetros!$G$86)),2))</f>
        <v>0.01</v>
      </c>
      <c r="EL331" s="66">
        <f t="shared" si="463"/>
        <v>2.0299999999999998</v>
      </c>
    </row>
    <row r="332" spans="1:142" x14ac:dyDescent="0.25">
      <c r="A332">
        <f>+IF($C332="","",ROUND(VLOOKUP('Tablas Servicio'!B332,Parámetros!$H$100:$J$159,IF(Parámetros!$E$16="F",2,3),FALSE),2))</f>
        <v>150</v>
      </c>
      <c r="B332">
        <f t="shared" si="414"/>
        <v>25</v>
      </c>
      <c r="C332" s="57">
        <f>+IF(D332="","",'Tablas Servicio'!C331+1)</f>
        <v>291</v>
      </c>
      <c r="D332" s="56">
        <f>+IF(D331&lt;edadmaxtabla,D331+1/Parámetros!$E$25,"")</f>
        <v>64.270000000000664</v>
      </c>
      <c r="E332" s="57">
        <f t="shared" si="424"/>
        <v>64</v>
      </c>
      <c r="F332" s="59">
        <f t="shared" si="425"/>
        <v>100000</v>
      </c>
      <c r="G332" s="66">
        <f t="shared" si="415"/>
        <v>79.25</v>
      </c>
      <c r="H332" s="66">
        <f t="shared" si="416"/>
        <v>82.43</v>
      </c>
      <c r="I332" s="66">
        <f t="shared" si="464"/>
        <v>11.569999999999993</v>
      </c>
      <c r="J332" s="66">
        <f t="shared" si="417"/>
        <v>2.78</v>
      </c>
      <c r="K332" s="66">
        <f t="shared" si="418"/>
        <v>0.4</v>
      </c>
      <c r="L332" s="66">
        <f t="shared" si="419"/>
        <v>0</v>
      </c>
      <c r="M332" s="66">
        <f t="shared" si="420"/>
        <v>0</v>
      </c>
      <c r="N332" s="66">
        <f>+IF(C332="","",ROUND(Parámetros!$D$23,2))</f>
        <v>94</v>
      </c>
      <c r="O332" s="66">
        <f t="shared" si="421"/>
        <v>66.75</v>
      </c>
      <c r="P332" s="66">
        <f>+IF($C332="","",ROUND(IF(B332&gt;Parámetros!$D$117,0,N332*Parámetros!$D$116-G332*Parámetros!$D$100),2))</f>
        <v>0</v>
      </c>
      <c r="Q332" s="75">
        <f t="shared" si="465"/>
        <v>3.5078864353312297E-2</v>
      </c>
      <c r="R332" s="75">
        <f t="shared" si="466"/>
        <v>5.0473186119873821E-3</v>
      </c>
      <c r="S332" s="117">
        <f>+IF($C332="","",ROUND((S331+I332)*(1+Parámetros!$D$91),2))</f>
        <v>21947.13</v>
      </c>
      <c r="T332" s="117">
        <f>+IF($C332="","",ROUND(S332*VLOOKUP(B332,Parámetros!$C$30:$D$39,2,TRUE),2))</f>
        <v>21947.13</v>
      </c>
      <c r="U332" s="117">
        <f>+IF($C332="","",ROUND((U331+I332)*(1+Parámetros!$D$92),2))</f>
        <v>23635.51</v>
      </c>
      <c r="V332" s="117">
        <f>+IF($C332="","",ROUND(U332*VLOOKUP(B332,Parámetros!$C$30:$D$39,2,TRUE),2))</f>
        <v>23635.51</v>
      </c>
      <c r="W332" s="57">
        <f t="shared" si="467"/>
        <v>291</v>
      </c>
      <c r="X332" t="str">
        <f t="shared" si="468"/>
        <v>00058</v>
      </c>
      <c r="Y332" t="str">
        <f t="shared" si="469"/>
        <v>MUERTE POR CUALQUIER CAUSA</v>
      </c>
      <c r="Z332" s="118">
        <f>+IF($W332="","",ROUND(IF(Parámetros!$D$25='TABLAS MORT'!$V$33,Z331,Parámetros!$D$21-'Tablas Servicio'!T331),0))</f>
        <v>100000</v>
      </c>
      <c r="AA332" s="118" t="str">
        <f t="shared" si="470"/>
        <v>P</v>
      </c>
      <c r="AB332" s="119">
        <f>+IF(W332="","",ROUND((VLOOKUP(ROUNDDOWN($D332-1/frec,0),qx_tabla,2,FALSE)*(1+i/frec)^-0.5*(1+Parámetros!$D$103)*(1+rec_fracc)/frec),6))</f>
        <v>6.4800000000000003E-4</v>
      </c>
      <c r="AC332" s="66">
        <f t="shared" si="426"/>
        <v>64.8</v>
      </c>
      <c r="AD332" s="119">
        <f t="shared" si="422"/>
        <v>7.7300000000000003E-4</v>
      </c>
      <c r="AE332" s="66">
        <f>+IF($W332="","",ROUND(IF($B332&gt;Parámetros!$D$107,'Tablas Servicio'!AC332+('Tablas Servicio'!AG331-'Tablas Servicio'!AC331),AC332/(1-IF(B332&lt;=10,Parámetros!$D$104,Parámetros!$D$105))),2))</f>
        <v>108</v>
      </c>
      <c r="AF332" s="66">
        <f>+IF($W332="","",ROUND(IF($B332&gt;Parámetros!$D$107,'Tablas Servicio'!AC332+('Tablas Servicio'!AG331-'Tablas Servicio'!AC331),(AC332+$A331/frec)/(1-IF(B332&lt;=Parámetros!$D$117,Parámetros!$D$100,0))),2))</f>
        <v>77.3</v>
      </c>
      <c r="AG332" s="66">
        <f t="shared" si="427"/>
        <v>77.3</v>
      </c>
      <c r="AH332" s="66">
        <f t="shared" si="428"/>
        <v>0</v>
      </c>
      <c r="AI332" s="66">
        <f t="shared" si="429"/>
        <v>0</v>
      </c>
      <c r="AJ332" s="66">
        <f>+IF($W332="","",ROUND((AG332*Parámetros!$G$85),2))</f>
        <v>2.71</v>
      </c>
      <c r="AK332" s="66">
        <f>+IF($W332="","",ROUND((AG332*(Parámetros!$G$86)),2))</f>
        <v>0.39</v>
      </c>
      <c r="AL332" s="66">
        <f t="shared" si="423"/>
        <v>80.400000000000006</v>
      </c>
      <c r="AM332" t="str">
        <f t="shared" si="471"/>
        <v>00059</v>
      </c>
      <c r="AN332" t="str">
        <f t="shared" si="472"/>
        <v>Incapacidad Total y Permanente</v>
      </c>
      <c r="AO332" s="118">
        <f t="shared" si="473"/>
        <v>0</v>
      </c>
      <c r="AP332" s="118" t="str">
        <f t="shared" si="474"/>
        <v>A</v>
      </c>
      <c r="AQ332" s="119" t="str">
        <f>+IF(OR($W332="",AO332=0),"",ROUND((VLOOKUP(ROUNDDOWN($D332-1/frec,0),cob_adi,Z$40,FALSE)*(1+i/frec)^-0.5*(1+Parámetros!$D$103)*(1+rec_fracc)/frec),6))</f>
        <v/>
      </c>
      <c r="AR332" s="66">
        <f t="shared" si="430"/>
        <v>0</v>
      </c>
      <c r="AS332" s="119" t="str">
        <f t="shared" si="431"/>
        <v/>
      </c>
      <c r="AT332" s="66">
        <f>+IF($W332="","",ROUND(IF($B332&gt;Parámetros!$D$107,'Tablas Servicio'!AR332+('Tablas Servicio'!AT331-'Tablas Servicio'!AR331),AR332/(1-IF(B332&lt;=10,Parámetros!$D$100,0))),2))</f>
        <v>0</v>
      </c>
      <c r="AU332" s="66">
        <f t="shared" si="432"/>
        <v>0</v>
      </c>
      <c r="AV332" s="66">
        <f t="shared" si="432"/>
        <v>0</v>
      </c>
      <c r="AW332" s="66">
        <f>+IF($W332="","",ROUND((AT332*Parámetros!$G$85),2))</f>
        <v>0</v>
      </c>
      <c r="AX332" s="66">
        <f>+IF($W332="","",ROUND((AT332*(Parámetros!$G$86)),2))</f>
        <v>0</v>
      </c>
      <c r="AY332" s="66">
        <f t="shared" si="433"/>
        <v>0</v>
      </c>
      <c r="AZ332" t="str">
        <f t="shared" si="475"/>
        <v>00060</v>
      </c>
      <c r="BA332" t="str">
        <f t="shared" si="476"/>
        <v>Muerte Accidental</v>
      </c>
      <c r="BB332" s="118">
        <f t="shared" si="477"/>
        <v>0</v>
      </c>
      <c r="BC332" s="118" t="str">
        <f t="shared" si="478"/>
        <v>A</v>
      </c>
      <c r="BD332" s="119" t="str">
        <f>+IF(OR($W332="",BB332=0),"",ROUND((VLOOKUP(ROUNDDOWN($D332-1/frec,0),cob_adi,AO$40,FALSE)*(1+i/frec)^-0.5*(1+Parámetros!$D$103)*(1+rec_fracc)/frec),6))</f>
        <v/>
      </c>
      <c r="BE332" s="66">
        <f t="shared" si="434"/>
        <v>0</v>
      </c>
      <c r="BF332" s="119" t="str">
        <f t="shared" si="435"/>
        <v/>
      </c>
      <c r="BG332" s="66">
        <f>+IF($W332="","",ROUND(IF($B332&gt;Parámetros!$D$107,'Tablas Servicio'!BE332+('Tablas Servicio'!BG331-'Tablas Servicio'!BE331),BE332/(1-IF(B332&lt;=10,Parámetros!$D$100,0))),2))</f>
        <v>0</v>
      </c>
      <c r="BH332" s="66">
        <f t="shared" si="436"/>
        <v>0</v>
      </c>
      <c r="BI332" s="66">
        <f t="shared" si="437"/>
        <v>0</v>
      </c>
      <c r="BJ332" s="66">
        <f>+IF($W332="","",ROUND((BG332*Parámetros!$G$85),2))</f>
        <v>0</v>
      </c>
      <c r="BK332" s="66">
        <f>+IF($W332="","",ROUND((BG332*(Parámetros!$G$86)),2))</f>
        <v>0</v>
      </c>
      <c r="BL332" s="66">
        <f t="shared" si="438"/>
        <v>0</v>
      </c>
      <c r="BM332" t="str">
        <f t="shared" si="479"/>
        <v>00061</v>
      </c>
      <c r="BN332" t="str">
        <f t="shared" si="480"/>
        <v>Gastos de Entierro</v>
      </c>
      <c r="BO332" s="118">
        <f t="shared" si="481"/>
        <v>0</v>
      </c>
      <c r="BP332" s="118" t="str">
        <f t="shared" si="482"/>
        <v>A</v>
      </c>
      <c r="BQ332" s="119" t="str">
        <f>+IF(OR($W332="",BO332=0),"",ROUND((VLOOKUP(ROUNDDOWN($D332-1/frec,0),cob_adi,BB$40,FALSE)*(1+i/frec)^-0.5*(1+Parámetros!$D$103)*(1+rec_fracc)/frec),6))</f>
        <v/>
      </c>
      <c r="BR332" s="66">
        <f t="shared" si="439"/>
        <v>0</v>
      </c>
      <c r="BS332" s="119" t="str">
        <f t="shared" si="440"/>
        <v/>
      </c>
      <c r="BT332" s="66">
        <f>+IF($W332="","",ROUND(IF($B332&gt;Parámetros!$D$107,'Tablas Servicio'!BR332+('Tablas Servicio'!BT331-'Tablas Servicio'!BR331),BR332/(1-IF(B332&lt;=10,Parámetros!$D$100,0))),2))</f>
        <v>0</v>
      </c>
      <c r="BU332" s="66">
        <f t="shared" si="441"/>
        <v>0</v>
      </c>
      <c r="BV332" s="66">
        <f t="shared" si="441"/>
        <v>0</v>
      </c>
      <c r="BW332" s="66">
        <f>+IF($W332="","",ROUND((BT332*Parámetros!$G$85),2))</f>
        <v>0</v>
      </c>
      <c r="BX332" s="66">
        <f>+IF($W332="","",ROUND((BT332*(Parámetros!$G$86)),2))</f>
        <v>0</v>
      </c>
      <c r="BY332" s="66">
        <f t="shared" si="442"/>
        <v>0</v>
      </c>
      <c r="BZ332" t="str">
        <f t="shared" si="483"/>
        <v>00062</v>
      </c>
      <c r="CA332" t="str">
        <f t="shared" si="484"/>
        <v>Gastos médicos por accidente</v>
      </c>
      <c r="CB332" s="118">
        <f t="shared" si="485"/>
        <v>0</v>
      </c>
      <c r="CC332" s="118" t="str">
        <f t="shared" si="486"/>
        <v>A</v>
      </c>
      <c r="CD332" s="119" t="str">
        <f t="shared" si="443"/>
        <v/>
      </c>
      <c r="CE332" s="66">
        <f>+IF($W332="","",ROUND((VLOOKUP(ROUNDDOWN($D332-1/frec,0),cob_adi,BO$40,FALSE)*(1+i/frec)^-0.5*(1+Parámetros!$D$103)*(1+rec_fracc)/frec*'TABLAS ADI'!$BC$17),2))</f>
        <v>0</v>
      </c>
      <c r="CF332" s="119" t="str">
        <f t="shared" si="444"/>
        <v/>
      </c>
      <c r="CG332" s="66">
        <f>+IF($W332="","",ROUND(IF($B332&gt;Parámetros!$D$107,'Tablas Servicio'!CE332+('Tablas Servicio'!CG331-'Tablas Servicio'!CE331),CE332/(1-IF(B332&lt;=10,Parámetros!$D$100,0))),2))</f>
        <v>0</v>
      </c>
      <c r="CH332" s="66">
        <f t="shared" si="445"/>
        <v>0</v>
      </c>
      <c r="CI332" s="66">
        <f t="shared" si="445"/>
        <v>0</v>
      </c>
      <c r="CJ332" s="66">
        <f>+IF($W332="","",ROUND((CG332*Parámetros!$G$85),2))</f>
        <v>0</v>
      </c>
      <c r="CK332" s="66">
        <f>+IF($W332="","",ROUND((CG332*(Parámetros!$G$86)),2))</f>
        <v>0</v>
      </c>
      <c r="CL332" s="66">
        <f t="shared" si="446"/>
        <v>0</v>
      </c>
      <c r="CM332" t="str">
        <f t="shared" si="487"/>
        <v>00063</v>
      </c>
      <c r="CN332" s="118" t="str">
        <f t="shared" si="488"/>
        <v>Renta Diaria por Hospitalización</v>
      </c>
      <c r="CO332" s="118">
        <f t="shared" si="489"/>
        <v>0</v>
      </c>
      <c r="CP332" s="118" t="str">
        <f t="shared" si="490"/>
        <v>A</v>
      </c>
      <c r="CQ332" s="119" t="str">
        <f t="shared" si="447"/>
        <v/>
      </c>
      <c r="CR332" s="66">
        <f>+IF($W332="","",ROUND((VLOOKUP(Parámetros!$F$51,'COBERTURAS ADICIONALES'!$S$4:$T$32,2,FALSE)*(1+i/frec)^-0.5*(1+Parámetros!$D$103)*(1+rec_fracc)/frec*$CO$42),2))</f>
        <v>0</v>
      </c>
      <c r="CS332" s="119" t="str">
        <f t="shared" si="448"/>
        <v/>
      </c>
      <c r="CT332" s="66">
        <f>+IF($W332="","",ROUND(IF($B332&gt;Parámetros!$D$107,'Tablas Servicio'!CR332+('Tablas Servicio'!CT331-'Tablas Servicio'!CR331),CR332/(1-IF(B332&lt;=10,Parámetros!$D$100,0))),2))</f>
        <v>0</v>
      </c>
      <c r="CU332" s="66">
        <f t="shared" si="449"/>
        <v>0</v>
      </c>
      <c r="CV332" s="66">
        <f t="shared" si="449"/>
        <v>0</v>
      </c>
      <c r="CW332" s="66">
        <f>+IF($W332="","",ROUND((CT332*Parámetros!$G$85),2))</f>
        <v>0</v>
      </c>
      <c r="CX332" s="66">
        <f>+IF($W332="","",ROUND((CT332*(Parámetros!$G$86)),2))</f>
        <v>0</v>
      </c>
      <c r="CY332" s="66">
        <f t="shared" si="450"/>
        <v>0</v>
      </c>
      <c r="CZ332" t="str">
        <f t="shared" si="491"/>
        <v>00064</v>
      </c>
      <c r="DA332" s="118" t="str">
        <f t="shared" si="492"/>
        <v>Enfermedades Graves</v>
      </c>
      <c r="DB332" s="118">
        <f t="shared" si="493"/>
        <v>0</v>
      </c>
      <c r="DC332" s="118" t="str">
        <f t="shared" si="494"/>
        <v>A</v>
      </c>
      <c r="DD332" s="121" t="str">
        <f>+IF(OR($W332="",DB332=0),"",ROUND((VLOOKUP(ROUNDDOWN($D332-1/frec,0),cob_adi,CO$40,FALSE)*(1+i/frec)^-0.5*(1+Parámetros!$D$103)*(1+rec_fracc)/frec),6))</f>
        <v/>
      </c>
      <c r="DE332" s="66">
        <f t="shared" si="451"/>
        <v>0</v>
      </c>
      <c r="DF332" s="119" t="str">
        <f t="shared" si="452"/>
        <v/>
      </c>
      <c r="DG332" s="66">
        <f>+IF($W332="","",ROUND(IF($B332&gt;Parámetros!$D$107,'Tablas Servicio'!DE332+('Tablas Servicio'!DG331-'Tablas Servicio'!DE331),DE332/(1-IF(B332&lt;=10,Parámetros!$D$100,0))),2))</f>
        <v>0</v>
      </c>
      <c r="DH332" s="66">
        <f t="shared" si="453"/>
        <v>0</v>
      </c>
      <c r="DI332" s="66">
        <f t="shared" si="453"/>
        <v>0</v>
      </c>
      <c r="DJ332" s="66">
        <f>+IF($W332="","",ROUND((DG332*Parámetros!$G$85),2))</f>
        <v>0</v>
      </c>
      <c r="DK332" s="66">
        <f>+IF($W332="","",ROUND((DG332*(Parámetros!$G$86)),2))</f>
        <v>0</v>
      </c>
      <c r="DL332" s="66">
        <f t="shared" si="454"/>
        <v>0</v>
      </c>
      <c r="DM332" t="str">
        <f t="shared" si="495"/>
        <v>00065</v>
      </c>
      <c r="DN332" s="118" t="str">
        <f t="shared" si="496"/>
        <v>Exención pago de primas</v>
      </c>
      <c r="DO332" s="118">
        <f t="shared" si="497"/>
        <v>0</v>
      </c>
      <c r="DP332" s="118" t="str">
        <f t="shared" si="498"/>
        <v>A</v>
      </c>
      <c r="DQ332" s="122" t="str">
        <f>+IF(OR($W332="",DO332=0),"",ROUND((VLOOKUP(ROUNDDOWN($D332-1/frec,0),cob_adi,DB$40,FALSE)*(1+i/frec)^-0.5*(1+Parámetros!$D$103)*(1+rec_fracc)/frec),6))</f>
        <v/>
      </c>
      <c r="DR332" s="66">
        <f t="shared" si="455"/>
        <v>0</v>
      </c>
      <c r="DS332" s="68" t="str">
        <f t="shared" si="456"/>
        <v/>
      </c>
      <c r="DT332" s="66">
        <f>+IF($W332="","",ROUND(IF($B332&gt;Parámetros!$D$107,'Tablas Servicio'!DR332+('Tablas Servicio'!DT331-'Tablas Servicio'!DR331),DR332/(1-IF(B332&lt;=10,Parámetros!$D$100,0))),2))</f>
        <v>0</v>
      </c>
      <c r="DU332" s="66">
        <f t="shared" si="457"/>
        <v>0</v>
      </c>
      <c r="DV332" s="66">
        <f t="shared" si="457"/>
        <v>0</v>
      </c>
      <c r="DW332" s="66">
        <f>+IF($W332="","",ROUND((DT332*Parámetros!$G$85),2))</f>
        <v>0</v>
      </c>
      <c r="DX332" s="66">
        <f>+IF($W332="","",ROUND((DT332*(Parámetros!$G$86)),2))</f>
        <v>0</v>
      </c>
      <c r="DY332" s="66">
        <f t="shared" si="458"/>
        <v>0</v>
      </c>
      <c r="DZ332" t="str">
        <f t="shared" si="500"/>
        <v>00066</v>
      </c>
      <c r="EA332" s="118" t="str">
        <f t="shared" si="500"/>
        <v>Enfermedad terminal</v>
      </c>
      <c r="EB332" s="118">
        <f>+IF($W332="","",ROUND(IF(Parámetros!$D$25='TABLAS MORT'!$V$33,EB331,Z332/2),0))</f>
        <v>50000</v>
      </c>
      <c r="EC332" s="118" t="str">
        <f t="shared" si="500"/>
        <v>A</v>
      </c>
      <c r="ED332" s="122">
        <f>+IF(OR($W332="",EB332=0),"",ROUND((VLOOKUP(ROUNDDOWN($D332-1/frec,0),cob_adi,DO$40,FALSE)*(1+i/frec)^-0.5*(1+Parámetros!$D$103)*(1+rec_fracc)/frec),6))</f>
        <v>3.8999999999999999E-5</v>
      </c>
      <c r="EE332" s="66">
        <f t="shared" si="460"/>
        <v>1.95</v>
      </c>
      <c r="EF332" s="68">
        <f t="shared" si="461"/>
        <v>3.8999999999999999E-5</v>
      </c>
      <c r="EG332" s="66">
        <f>+IF($W332="","",ROUND(IF($B332&gt;Parámetros!$D$107,'Tablas Servicio'!EE332+('Tablas Servicio'!EG331-'Tablas Servicio'!EE331),EE332/(1-IF(B332&lt;=10,Parámetros!$D$100,0))),2))</f>
        <v>1.95</v>
      </c>
      <c r="EH332" s="66">
        <f t="shared" si="462"/>
        <v>0</v>
      </c>
      <c r="EI332" s="66">
        <f t="shared" si="462"/>
        <v>0</v>
      </c>
      <c r="EJ332" s="66">
        <f>+IF($W332="","",ROUND((EG332*Parámetros!$G$85),2))</f>
        <v>7.0000000000000007E-2</v>
      </c>
      <c r="EK332" s="66">
        <f>+IF($W332="","",ROUND((EG332*(Parámetros!$G$86)),2))</f>
        <v>0.01</v>
      </c>
      <c r="EL332" s="66">
        <f t="shared" si="463"/>
        <v>2.0299999999999998</v>
      </c>
    </row>
    <row r="333" spans="1:142" x14ac:dyDescent="0.25">
      <c r="A333">
        <f>+IF($C333="","",ROUND(VLOOKUP('Tablas Servicio'!B333,Parámetros!$H$100:$J$159,IF(Parámetros!$E$16="F",2,3),FALSE),2))</f>
        <v>150</v>
      </c>
      <c r="B333">
        <f t="shared" si="414"/>
        <v>25</v>
      </c>
      <c r="C333" s="57">
        <f>+IF(D333="","",'Tablas Servicio'!C332+1)</f>
        <v>292</v>
      </c>
      <c r="D333" s="56">
        <f>+IF(D332&lt;edadmaxtabla,D332+1/Parámetros!$E$25,"")</f>
        <v>64.353333333333993</v>
      </c>
      <c r="E333" s="57">
        <f t="shared" si="424"/>
        <v>64</v>
      </c>
      <c r="F333" s="59">
        <f t="shared" si="425"/>
        <v>100000</v>
      </c>
      <c r="G333" s="66">
        <f t="shared" si="415"/>
        <v>79.25</v>
      </c>
      <c r="H333" s="66">
        <f t="shared" si="416"/>
        <v>82.43</v>
      </c>
      <c r="I333" s="66">
        <f t="shared" si="464"/>
        <v>11.569999999999993</v>
      </c>
      <c r="J333" s="66">
        <f t="shared" si="417"/>
        <v>2.78</v>
      </c>
      <c r="K333" s="66">
        <f t="shared" si="418"/>
        <v>0.4</v>
      </c>
      <c r="L333" s="66">
        <f t="shared" si="419"/>
        <v>0</v>
      </c>
      <c r="M333" s="66">
        <f t="shared" si="420"/>
        <v>0</v>
      </c>
      <c r="N333" s="66">
        <f>+IF(C333="","",ROUND(Parámetros!$D$23,2))</f>
        <v>94</v>
      </c>
      <c r="O333" s="66">
        <f t="shared" si="421"/>
        <v>66.75</v>
      </c>
      <c r="P333" s="66">
        <f>+IF($C333="","",ROUND(IF(B333&gt;Parámetros!$D$117,0,N333*Parámetros!$D$116-G333*Parámetros!$D$100),2))</f>
        <v>0</v>
      </c>
      <c r="Q333" s="75">
        <f t="shared" si="465"/>
        <v>3.5078864353312297E-2</v>
      </c>
      <c r="R333" s="75">
        <f t="shared" si="466"/>
        <v>5.0473186119873821E-3</v>
      </c>
      <c r="S333" s="117">
        <f>+IF($C333="","",ROUND((S332+I333)*(1+Parámetros!$D$91),2))</f>
        <v>22020.98</v>
      </c>
      <c r="T333" s="117">
        <f>+IF($C333="","",ROUND(S333*VLOOKUP(B333,Parámetros!$C$30:$D$39,2,TRUE),2))</f>
        <v>22020.98</v>
      </c>
      <c r="U333" s="117">
        <f>+IF($C333="","",ROUND((U332+I333)*(1+Parámetros!$D$92),2))</f>
        <v>23723.74</v>
      </c>
      <c r="V333" s="117">
        <f>+IF($C333="","",ROUND(U333*VLOOKUP(B333,Parámetros!$C$30:$D$39,2,TRUE),2))</f>
        <v>23723.74</v>
      </c>
      <c r="W333" s="57">
        <f t="shared" si="467"/>
        <v>292</v>
      </c>
      <c r="X333" t="str">
        <f t="shared" si="468"/>
        <v>00058</v>
      </c>
      <c r="Y333" t="str">
        <f t="shared" si="469"/>
        <v>MUERTE POR CUALQUIER CAUSA</v>
      </c>
      <c r="Z333" s="118">
        <f>+IF($W333="","",ROUND(IF(Parámetros!$D$25='TABLAS MORT'!$V$33,Z332,Parámetros!$D$21-'Tablas Servicio'!T332),0))</f>
        <v>100000</v>
      </c>
      <c r="AA333" s="118" t="str">
        <f t="shared" si="470"/>
        <v>P</v>
      </c>
      <c r="AB333" s="119">
        <f>+IF(W333="","",ROUND((VLOOKUP(ROUNDDOWN($D333-1/frec,0),qx_tabla,2,FALSE)*(1+i/frec)^-0.5*(1+Parámetros!$D$103)*(1+rec_fracc)/frec),6))</f>
        <v>6.4800000000000003E-4</v>
      </c>
      <c r="AC333" s="66">
        <f t="shared" si="426"/>
        <v>64.8</v>
      </c>
      <c r="AD333" s="119">
        <f t="shared" si="422"/>
        <v>7.7300000000000003E-4</v>
      </c>
      <c r="AE333" s="66">
        <f>+IF($W333="","",ROUND(IF($B333&gt;Parámetros!$D$107,'Tablas Servicio'!AC333+('Tablas Servicio'!AG332-'Tablas Servicio'!AC332),AC333/(1-IF(B333&lt;=10,Parámetros!$D$104,Parámetros!$D$105))),2))</f>
        <v>108</v>
      </c>
      <c r="AF333" s="66">
        <f>+IF($W333="","",ROUND(IF($B333&gt;Parámetros!$D$107,'Tablas Servicio'!AC333+('Tablas Servicio'!AG332-'Tablas Servicio'!AC332),(AC333+$A332/frec)/(1-IF(B333&lt;=Parámetros!$D$117,Parámetros!$D$100,0))),2))</f>
        <v>77.3</v>
      </c>
      <c r="AG333" s="66">
        <f t="shared" si="427"/>
        <v>77.3</v>
      </c>
      <c r="AH333" s="66">
        <f t="shared" si="428"/>
        <v>0</v>
      </c>
      <c r="AI333" s="66">
        <f t="shared" si="429"/>
        <v>0</v>
      </c>
      <c r="AJ333" s="66">
        <f>+IF($W333="","",ROUND((AG333*Parámetros!$G$85),2))</f>
        <v>2.71</v>
      </c>
      <c r="AK333" s="66">
        <f>+IF($W333="","",ROUND((AG333*(Parámetros!$G$86)),2))</f>
        <v>0.39</v>
      </c>
      <c r="AL333" s="66">
        <f t="shared" si="423"/>
        <v>80.400000000000006</v>
      </c>
      <c r="AM333" t="str">
        <f t="shared" si="471"/>
        <v>00059</v>
      </c>
      <c r="AN333" t="str">
        <f t="shared" si="472"/>
        <v>Incapacidad Total y Permanente</v>
      </c>
      <c r="AO333" s="118">
        <f t="shared" si="473"/>
        <v>0</v>
      </c>
      <c r="AP333" s="118" t="str">
        <f t="shared" si="474"/>
        <v>A</v>
      </c>
      <c r="AQ333" s="119" t="str">
        <f>+IF(OR($W333="",AO333=0),"",ROUND((VLOOKUP(ROUNDDOWN($D333-1/frec,0),cob_adi,Z$40,FALSE)*(1+i/frec)^-0.5*(1+Parámetros!$D$103)*(1+rec_fracc)/frec),6))</f>
        <v/>
      </c>
      <c r="AR333" s="66">
        <f t="shared" si="430"/>
        <v>0</v>
      </c>
      <c r="AS333" s="119" t="str">
        <f t="shared" si="431"/>
        <v/>
      </c>
      <c r="AT333" s="66">
        <f>+IF($W333="","",ROUND(IF($B333&gt;Parámetros!$D$107,'Tablas Servicio'!AR333+('Tablas Servicio'!AT332-'Tablas Servicio'!AR332),AR333/(1-IF(B333&lt;=10,Parámetros!$D$100,0))),2))</f>
        <v>0</v>
      </c>
      <c r="AU333" s="66">
        <f t="shared" si="432"/>
        <v>0</v>
      </c>
      <c r="AV333" s="66">
        <f t="shared" si="432"/>
        <v>0</v>
      </c>
      <c r="AW333" s="66">
        <f>+IF($W333="","",ROUND((AT333*Parámetros!$G$85),2))</f>
        <v>0</v>
      </c>
      <c r="AX333" s="66">
        <f>+IF($W333="","",ROUND((AT333*(Parámetros!$G$86)),2))</f>
        <v>0</v>
      </c>
      <c r="AY333" s="66">
        <f t="shared" si="433"/>
        <v>0</v>
      </c>
      <c r="AZ333" t="str">
        <f t="shared" si="475"/>
        <v>00060</v>
      </c>
      <c r="BA333" t="str">
        <f t="shared" si="476"/>
        <v>Muerte Accidental</v>
      </c>
      <c r="BB333" s="118">
        <f t="shared" si="477"/>
        <v>0</v>
      </c>
      <c r="BC333" s="118" t="str">
        <f t="shared" si="478"/>
        <v>A</v>
      </c>
      <c r="BD333" s="119" t="str">
        <f>+IF(OR($W333="",BB333=0),"",ROUND((VLOOKUP(ROUNDDOWN($D333-1/frec,0),cob_adi,AO$40,FALSE)*(1+i/frec)^-0.5*(1+Parámetros!$D$103)*(1+rec_fracc)/frec),6))</f>
        <v/>
      </c>
      <c r="BE333" s="66">
        <f t="shared" si="434"/>
        <v>0</v>
      </c>
      <c r="BF333" s="119" t="str">
        <f t="shared" si="435"/>
        <v/>
      </c>
      <c r="BG333" s="66">
        <f>+IF($W333="","",ROUND(IF($B333&gt;Parámetros!$D$107,'Tablas Servicio'!BE333+('Tablas Servicio'!BG332-'Tablas Servicio'!BE332),BE333/(1-IF(B333&lt;=10,Parámetros!$D$100,0))),2))</f>
        <v>0</v>
      </c>
      <c r="BH333" s="66">
        <f t="shared" si="436"/>
        <v>0</v>
      </c>
      <c r="BI333" s="66">
        <f t="shared" si="437"/>
        <v>0</v>
      </c>
      <c r="BJ333" s="66">
        <f>+IF($W333="","",ROUND((BG333*Parámetros!$G$85),2))</f>
        <v>0</v>
      </c>
      <c r="BK333" s="66">
        <f>+IF($W333="","",ROUND((BG333*(Parámetros!$G$86)),2))</f>
        <v>0</v>
      </c>
      <c r="BL333" s="66">
        <f t="shared" si="438"/>
        <v>0</v>
      </c>
      <c r="BM333" t="str">
        <f t="shared" si="479"/>
        <v>00061</v>
      </c>
      <c r="BN333" t="str">
        <f t="shared" si="480"/>
        <v>Gastos de Entierro</v>
      </c>
      <c r="BO333" s="118">
        <f t="shared" si="481"/>
        <v>0</v>
      </c>
      <c r="BP333" s="118" t="str">
        <f t="shared" si="482"/>
        <v>A</v>
      </c>
      <c r="BQ333" s="119" t="str">
        <f>+IF(OR($W333="",BO333=0),"",ROUND((VLOOKUP(ROUNDDOWN($D333-1/frec,0),cob_adi,BB$40,FALSE)*(1+i/frec)^-0.5*(1+Parámetros!$D$103)*(1+rec_fracc)/frec),6))</f>
        <v/>
      </c>
      <c r="BR333" s="66">
        <f t="shared" si="439"/>
        <v>0</v>
      </c>
      <c r="BS333" s="119" t="str">
        <f t="shared" si="440"/>
        <v/>
      </c>
      <c r="BT333" s="66">
        <f>+IF($W333="","",ROUND(IF($B333&gt;Parámetros!$D$107,'Tablas Servicio'!BR333+('Tablas Servicio'!BT332-'Tablas Servicio'!BR332),BR333/(1-IF(B333&lt;=10,Parámetros!$D$100,0))),2))</f>
        <v>0</v>
      </c>
      <c r="BU333" s="66">
        <f t="shared" si="441"/>
        <v>0</v>
      </c>
      <c r="BV333" s="66">
        <f t="shared" si="441"/>
        <v>0</v>
      </c>
      <c r="BW333" s="66">
        <f>+IF($W333="","",ROUND((BT333*Parámetros!$G$85),2))</f>
        <v>0</v>
      </c>
      <c r="BX333" s="66">
        <f>+IF($W333="","",ROUND((BT333*(Parámetros!$G$86)),2))</f>
        <v>0</v>
      </c>
      <c r="BY333" s="66">
        <f t="shared" si="442"/>
        <v>0</v>
      </c>
      <c r="BZ333" t="str">
        <f t="shared" si="483"/>
        <v>00062</v>
      </c>
      <c r="CA333" t="str">
        <f t="shared" si="484"/>
        <v>Gastos médicos por accidente</v>
      </c>
      <c r="CB333" s="118">
        <f t="shared" si="485"/>
        <v>0</v>
      </c>
      <c r="CC333" s="118" t="str">
        <f t="shared" si="486"/>
        <v>A</v>
      </c>
      <c r="CD333" s="119" t="str">
        <f t="shared" si="443"/>
        <v/>
      </c>
      <c r="CE333" s="66">
        <f>+IF($W333="","",ROUND((VLOOKUP(ROUNDDOWN($D333-1/frec,0),cob_adi,BO$40,FALSE)*(1+i/frec)^-0.5*(1+Parámetros!$D$103)*(1+rec_fracc)/frec*'TABLAS ADI'!$BC$17),2))</f>
        <v>0</v>
      </c>
      <c r="CF333" s="119" t="str">
        <f t="shared" si="444"/>
        <v/>
      </c>
      <c r="CG333" s="66">
        <f>+IF($W333="","",ROUND(IF($B333&gt;Parámetros!$D$107,'Tablas Servicio'!CE333+('Tablas Servicio'!CG332-'Tablas Servicio'!CE332),CE333/(1-IF(B333&lt;=10,Parámetros!$D$100,0))),2))</f>
        <v>0</v>
      </c>
      <c r="CH333" s="66">
        <f t="shared" si="445"/>
        <v>0</v>
      </c>
      <c r="CI333" s="66">
        <f t="shared" si="445"/>
        <v>0</v>
      </c>
      <c r="CJ333" s="66">
        <f>+IF($W333="","",ROUND((CG333*Parámetros!$G$85),2))</f>
        <v>0</v>
      </c>
      <c r="CK333" s="66">
        <f>+IF($W333="","",ROUND((CG333*(Parámetros!$G$86)),2))</f>
        <v>0</v>
      </c>
      <c r="CL333" s="66">
        <f t="shared" si="446"/>
        <v>0</v>
      </c>
      <c r="CM333" t="str">
        <f t="shared" si="487"/>
        <v>00063</v>
      </c>
      <c r="CN333" s="118" t="str">
        <f t="shared" si="488"/>
        <v>Renta Diaria por Hospitalización</v>
      </c>
      <c r="CO333" s="118">
        <f t="shared" si="489"/>
        <v>0</v>
      </c>
      <c r="CP333" s="118" t="str">
        <f t="shared" si="490"/>
        <v>A</v>
      </c>
      <c r="CQ333" s="119" t="str">
        <f t="shared" si="447"/>
        <v/>
      </c>
      <c r="CR333" s="66">
        <f>+IF($W333="","",ROUND((VLOOKUP(Parámetros!$F$51,'COBERTURAS ADICIONALES'!$S$4:$T$32,2,FALSE)*(1+i/frec)^-0.5*(1+Parámetros!$D$103)*(1+rec_fracc)/frec*$CO$42),2))</f>
        <v>0</v>
      </c>
      <c r="CS333" s="119" t="str">
        <f t="shared" si="448"/>
        <v/>
      </c>
      <c r="CT333" s="66">
        <f>+IF($W333="","",ROUND(IF($B333&gt;Parámetros!$D$107,'Tablas Servicio'!CR333+('Tablas Servicio'!CT332-'Tablas Servicio'!CR332),CR333/(1-IF(B333&lt;=10,Parámetros!$D$100,0))),2))</f>
        <v>0</v>
      </c>
      <c r="CU333" s="66">
        <f t="shared" si="449"/>
        <v>0</v>
      </c>
      <c r="CV333" s="66">
        <f t="shared" si="449"/>
        <v>0</v>
      </c>
      <c r="CW333" s="66">
        <f>+IF($W333="","",ROUND((CT333*Parámetros!$G$85),2))</f>
        <v>0</v>
      </c>
      <c r="CX333" s="66">
        <f>+IF($W333="","",ROUND((CT333*(Parámetros!$G$86)),2))</f>
        <v>0</v>
      </c>
      <c r="CY333" s="66">
        <f t="shared" si="450"/>
        <v>0</v>
      </c>
      <c r="CZ333" t="str">
        <f t="shared" si="491"/>
        <v>00064</v>
      </c>
      <c r="DA333" s="118" t="str">
        <f t="shared" si="492"/>
        <v>Enfermedades Graves</v>
      </c>
      <c r="DB333" s="118">
        <f t="shared" si="493"/>
        <v>0</v>
      </c>
      <c r="DC333" s="118" t="str">
        <f t="shared" si="494"/>
        <v>A</v>
      </c>
      <c r="DD333" s="121" t="str">
        <f>+IF(OR($W333="",DB333=0),"",ROUND((VLOOKUP(ROUNDDOWN($D333-1/frec,0),cob_adi,CO$40,FALSE)*(1+i/frec)^-0.5*(1+Parámetros!$D$103)*(1+rec_fracc)/frec),6))</f>
        <v/>
      </c>
      <c r="DE333" s="66">
        <f t="shared" si="451"/>
        <v>0</v>
      </c>
      <c r="DF333" s="119" t="str">
        <f t="shared" si="452"/>
        <v/>
      </c>
      <c r="DG333" s="66">
        <f>+IF($W333="","",ROUND(IF($B333&gt;Parámetros!$D$107,'Tablas Servicio'!DE333+('Tablas Servicio'!DG332-'Tablas Servicio'!DE332),DE333/(1-IF(B333&lt;=10,Parámetros!$D$100,0))),2))</f>
        <v>0</v>
      </c>
      <c r="DH333" s="66">
        <f t="shared" si="453"/>
        <v>0</v>
      </c>
      <c r="DI333" s="66">
        <f t="shared" si="453"/>
        <v>0</v>
      </c>
      <c r="DJ333" s="66">
        <f>+IF($W333="","",ROUND((DG333*Parámetros!$G$85),2))</f>
        <v>0</v>
      </c>
      <c r="DK333" s="66">
        <f>+IF($W333="","",ROUND((DG333*(Parámetros!$G$86)),2))</f>
        <v>0</v>
      </c>
      <c r="DL333" s="66">
        <f t="shared" si="454"/>
        <v>0</v>
      </c>
      <c r="DM333" t="str">
        <f t="shared" si="495"/>
        <v>00065</v>
      </c>
      <c r="DN333" s="118" t="str">
        <f t="shared" si="496"/>
        <v>Exención pago de primas</v>
      </c>
      <c r="DO333" s="118">
        <f t="shared" si="497"/>
        <v>0</v>
      </c>
      <c r="DP333" s="118" t="str">
        <f t="shared" si="498"/>
        <v>A</v>
      </c>
      <c r="DQ333" s="122" t="str">
        <f>+IF(OR($W333="",DO333=0),"",ROUND((VLOOKUP(ROUNDDOWN($D333-1/frec,0),cob_adi,DB$40,FALSE)*(1+i/frec)^-0.5*(1+Parámetros!$D$103)*(1+rec_fracc)/frec),6))</f>
        <v/>
      </c>
      <c r="DR333" s="66">
        <f t="shared" si="455"/>
        <v>0</v>
      </c>
      <c r="DS333" s="68" t="str">
        <f t="shared" si="456"/>
        <v/>
      </c>
      <c r="DT333" s="66">
        <f>+IF($W333="","",ROUND(IF($B333&gt;Parámetros!$D$107,'Tablas Servicio'!DR333+('Tablas Servicio'!DT332-'Tablas Servicio'!DR332),DR333/(1-IF(B333&lt;=10,Parámetros!$D$100,0))),2))</f>
        <v>0</v>
      </c>
      <c r="DU333" s="66">
        <f t="shared" si="457"/>
        <v>0</v>
      </c>
      <c r="DV333" s="66">
        <f t="shared" si="457"/>
        <v>0</v>
      </c>
      <c r="DW333" s="66">
        <f>+IF($W333="","",ROUND((DT333*Parámetros!$G$85),2))</f>
        <v>0</v>
      </c>
      <c r="DX333" s="66">
        <f>+IF($W333="","",ROUND((DT333*(Parámetros!$G$86)),2))</f>
        <v>0</v>
      </c>
      <c r="DY333" s="66">
        <f t="shared" si="458"/>
        <v>0</v>
      </c>
      <c r="DZ333" t="str">
        <f t="shared" si="500"/>
        <v>00066</v>
      </c>
      <c r="EA333" s="118" t="str">
        <f t="shared" si="500"/>
        <v>Enfermedad terminal</v>
      </c>
      <c r="EB333" s="118">
        <f>+IF($W333="","",ROUND(IF(Parámetros!$D$25='TABLAS MORT'!$V$33,EB332,Z333/2),0))</f>
        <v>50000</v>
      </c>
      <c r="EC333" s="118" t="str">
        <f t="shared" si="500"/>
        <v>A</v>
      </c>
      <c r="ED333" s="122">
        <f>+IF(OR($W333="",EB333=0),"",ROUND((VLOOKUP(ROUNDDOWN($D333-1/frec,0),cob_adi,DO$40,FALSE)*(1+i/frec)^-0.5*(1+Parámetros!$D$103)*(1+rec_fracc)/frec),6))</f>
        <v>3.8999999999999999E-5</v>
      </c>
      <c r="EE333" s="66">
        <f t="shared" si="460"/>
        <v>1.95</v>
      </c>
      <c r="EF333" s="68">
        <f t="shared" si="461"/>
        <v>3.8999999999999999E-5</v>
      </c>
      <c r="EG333" s="66">
        <f>+IF($W333="","",ROUND(IF($B333&gt;Parámetros!$D$107,'Tablas Servicio'!EE333+('Tablas Servicio'!EG332-'Tablas Servicio'!EE332),EE333/(1-IF(B333&lt;=10,Parámetros!$D$100,0))),2))</f>
        <v>1.95</v>
      </c>
      <c r="EH333" s="66">
        <f t="shared" si="462"/>
        <v>0</v>
      </c>
      <c r="EI333" s="66">
        <f t="shared" si="462"/>
        <v>0</v>
      </c>
      <c r="EJ333" s="66">
        <f>+IF($W333="","",ROUND((EG333*Parámetros!$G$85),2))</f>
        <v>7.0000000000000007E-2</v>
      </c>
      <c r="EK333" s="66">
        <f>+IF($W333="","",ROUND((EG333*(Parámetros!$G$86)),2))</f>
        <v>0.01</v>
      </c>
      <c r="EL333" s="66">
        <f t="shared" si="463"/>
        <v>2.0299999999999998</v>
      </c>
    </row>
    <row r="334" spans="1:142" x14ac:dyDescent="0.25">
      <c r="A334">
        <f>+IF($C334="","",ROUND(VLOOKUP('Tablas Servicio'!B334,Parámetros!$H$100:$J$159,IF(Parámetros!$E$16="F",2,3),FALSE),2))</f>
        <v>150</v>
      </c>
      <c r="B334">
        <f t="shared" si="414"/>
        <v>25</v>
      </c>
      <c r="C334" s="57">
        <f>+IF(D334="","",'Tablas Servicio'!C333+1)</f>
        <v>293</v>
      </c>
      <c r="D334" s="56">
        <f>+IF(D333&lt;edadmaxtabla,D333+1/Parámetros!$E$25,"")</f>
        <v>64.436666666667321</v>
      </c>
      <c r="E334" s="57">
        <f t="shared" si="424"/>
        <v>64</v>
      </c>
      <c r="F334" s="59">
        <f t="shared" si="425"/>
        <v>100000</v>
      </c>
      <c r="G334" s="66">
        <f t="shared" si="415"/>
        <v>79.25</v>
      </c>
      <c r="H334" s="66">
        <f t="shared" si="416"/>
        <v>82.43</v>
      </c>
      <c r="I334" s="66">
        <f t="shared" si="464"/>
        <v>11.569999999999993</v>
      </c>
      <c r="J334" s="66">
        <f t="shared" si="417"/>
        <v>2.78</v>
      </c>
      <c r="K334" s="66">
        <f t="shared" si="418"/>
        <v>0.4</v>
      </c>
      <c r="L334" s="66">
        <f t="shared" si="419"/>
        <v>0</v>
      </c>
      <c r="M334" s="66">
        <f t="shared" si="420"/>
        <v>0</v>
      </c>
      <c r="N334" s="66">
        <f>+IF(C334="","",ROUND(Parámetros!$D$23,2))</f>
        <v>94</v>
      </c>
      <c r="O334" s="66">
        <f t="shared" si="421"/>
        <v>66.75</v>
      </c>
      <c r="P334" s="66">
        <f>+IF($C334="","",ROUND(IF(B334&gt;Parámetros!$D$117,0,N334*Parámetros!$D$116-G334*Parámetros!$D$100),2))</f>
        <v>0</v>
      </c>
      <c r="Q334" s="75">
        <f t="shared" si="465"/>
        <v>3.5078864353312297E-2</v>
      </c>
      <c r="R334" s="75">
        <f t="shared" si="466"/>
        <v>5.0473186119873821E-3</v>
      </c>
      <c r="S334" s="117">
        <f>+IF($C334="","",ROUND((S333+I334)*(1+Parámetros!$D$91),2))</f>
        <v>22095.040000000001</v>
      </c>
      <c r="T334" s="117">
        <f>+IF($C334="","",ROUND(S334*VLOOKUP(B334,Parámetros!$C$30:$D$39,2,TRUE),2))</f>
        <v>22095.040000000001</v>
      </c>
      <c r="U334" s="117">
        <f>+IF($C334="","",ROUND((U333+I334)*(1+Parámetros!$D$92),2))</f>
        <v>23812.25</v>
      </c>
      <c r="V334" s="117">
        <f>+IF($C334="","",ROUND(U334*VLOOKUP(B334,Parámetros!$C$30:$D$39,2,TRUE),2))</f>
        <v>23812.25</v>
      </c>
      <c r="W334" s="57">
        <f t="shared" si="467"/>
        <v>293</v>
      </c>
      <c r="X334" t="str">
        <f t="shared" si="468"/>
        <v>00058</v>
      </c>
      <c r="Y334" t="str">
        <f t="shared" si="469"/>
        <v>MUERTE POR CUALQUIER CAUSA</v>
      </c>
      <c r="Z334" s="118">
        <f>+IF($W334="","",ROUND(IF(Parámetros!$D$25='TABLAS MORT'!$V$33,Z333,Parámetros!$D$21-'Tablas Servicio'!T333),0))</f>
        <v>100000</v>
      </c>
      <c r="AA334" s="118" t="str">
        <f t="shared" si="470"/>
        <v>P</v>
      </c>
      <c r="AB334" s="119">
        <f>+IF(W334="","",ROUND((VLOOKUP(ROUNDDOWN($D334-1/frec,0),qx_tabla,2,FALSE)*(1+i/frec)^-0.5*(1+Parámetros!$D$103)*(1+rec_fracc)/frec),6))</f>
        <v>6.4800000000000003E-4</v>
      </c>
      <c r="AC334" s="66">
        <f t="shared" si="426"/>
        <v>64.8</v>
      </c>
      <c r="AD334" s="119">
        <f t="shared" si="422"/>
        <v>7.7300000000000003E-4</v>
      </c>
      <c r="AE334" s="66">
        <f>+IF($W334="","",ROUND(IF($B334&gt;Parámetros!$D$107,'Tablas Servicio'!AC334+('Tablas Servicio'!AG333-'Tablas Servicio'!AC333),AC334/(1-IF(B334&lt;=10,Parámetros!$D$104,Parámetros!$D$105))),2))</f>
        <v>108</v>
      </c>
      <c r="AF334" s="66">
        <f>+IF($W334="","",ROUND(IF($B334&gt;Parámetros!$D$107,'Tablas Servicio'!AC334+('Tablas Servicio'!AG333-'Tablas Servicio'!AC333),(AC334+$A333/frec)/(1-IF(B334&lt;=Parámetros!$D$117,Parámetros!$D$100,0))),2))</f>
        <v>77.3</v>
      </c>
      <c r="AG334" s="66">
        <f t="shared" si="427"/>
        <v>77.3</v>
      </c>
      <c r="AH334" s="66">
        <f t="shared" si="428"/>
        <v>0</v>
      </c>
      <c r="AI334" s="66">
        <f t="shared" si="429"/>
        <v>0</v>
      </c>
      <c r="AJ334" s="66">
        <f>+IF($W334="","",ROUND((AG334*Parámetros!$G$85),2))</f>
        <v>2.71</v>
      </c>
      <c r="AK334" s="66">
        <f>+IF($W334="","",ROUND((AG334*(Parámetros!$G$86)),2))</f>
        <v>0.39</v>
      </c>
      <c r="AL334" s="66">
        <f t="shared" si="423"/>
        <v>80.400000000000006</v>
      </c>
      <c r="AM334" t="str">
        <f t="shared" si="471"/>
        <v>00059</v>
      </c>
      <c r="AN334" t="str">
        <f t="shared" si="472"/>
        <v>Incapacidad Total y Permanente</v>
      </c>
      <c r="AO334" s="118">
        <f t="shared" si="473"/>
        <v>0</v>
      </c>
      <c r="AP334" s="118" t="str">
        <f t="shared" si="474"/>
        <v>A</v>
      </c>
      <c r="AQ334" s="119" t="str">
        <f>+IF(OR($W334="",AO334=0),"",ROUND((VLOOKUP(ROUNDDOWN($D334-1/frec,0),cob_adi,Z$40,FALSE)*(1+i/frec)^-0.5*(1+Parámetros!$D$103)*(1+rec_fracc)/frec),6))</f>
        <v/>
      </c>
      <c r="AR334" s="66">
        <f t="shared" si="430"/>
        <v>0</v>
      </c>
      <c r="AS334" s="119" t="str">
        <f t="shared" si="431"/>
        <v/>
      </c>
      <c r="AT334" s="66">
        <f>+IF($W334="","",ROUND(IF($B334&gt;Parámetros!$D$107,'Tablas Servicio'!AR334+('Tablas Servicio'!AT333-'Tablas Servicio'!AR333),AR334/(1-IF(B334&lt;=10,Parámetros!$D$100,0))),2))</f>
        <v>0</v>
      </c>
      <c r="AU334" s="66">
        <f t="shared" si="432"/>
        <v>0</v>
      </c>
      <c r="AV334" s="66">
        <f t="shared" si="432"/>
        <v>0</v>
      </c>
      <c r="AW334" s="66">
        <f>+IF($W334="","",ROUND((AT334*Parámetros!$G$85),2))</f>
        <v>0</v>
      </c>
      <c r="AX334" s="66">
        <f>+IF($W334="","",ROUND((AT334*(Parámetros!$G$86)),2))</f>
        <v>0</v>
      </c>
      <c r="AY334" s="66">
        <f t="shared" si="433"/>
        <v>0</v>
      </c>
      <c r="AZ334" t="str">
        <f t="shared" si="475"/>
        <v>00060</v>
      </c>
      <c r="BA334" t="str">
        <f t="shared" si="476"/>
        <v>Muerte Accidental</v>
      </c>
      <c r="BB334" s="118">
        <f t="shared" si="477"/>
        <v>0</v>
      </c>
      <c r="BC334" s="118" t="str">
        <f t="shared" si="478"/>
        <v>A</v>
      </c>
      <c r="BD334" s="119" t="str">
        <f>+IF(OR($W334="",BB334=0),"",ROUND((VLOOKUP(ROUNDDOWN($D334-1/frec,0),cob_adi,AO$40,FALSE)*(1+i/frec)^-0.5*(1+Parámetros!$D$103)*(1+rec_fracc)/frec),6))</f>
        <v/>
      </c>
      <c r="BE334" s="66">
        <f t="shared" si="434"/>
        <v>0</v>
      </c>
      <c r="BF334" s="119" t="str">
        <f t="shared" si="435"/>
        <v/>
      </c>
      <c r="BG334" s="66">
        <f>+IF($W334="","",ROUND(IF($B334&gt;Parámetros!$D$107,'Tablas Servicio'!BE334+('Tablas Servicio'!BG333-'Tablas Servicio'!BE333),BE334/(1-IF(B334&lt;=10,Parámetros!$D$100,0))),2))</f>
        <v>0</v>
      </c>
      <c r="BH334" s="66">
        <f t="shared" si="436"/>
        <v>0</v>
      </c>
      <c r="BI334" s="66">
        <f t="shared" si="437"/>
        <v>0</v>
      </c>
      <c r="BJ334" s="66">
        <f>+IF($W334="","",ROUND((BG334*Parámetros!$G$85),2))</f>
        <v>0</v>
      </c>
      <c r="BK334" s="66">
        <f>+IF($W334="","",ROUND((BG334*(Parámetros!$G$86)),2))</f>
        <v>0</v>
      </c>
      <c r="BL334" s="66">
        <f t="shared" si="438"/>
        <v>0</v>
      </c>
      <c r="BM334" t="str">
        <f t="shared" si="479"/>
        <v>00061</v>
      </c>
      <c r="BN334" t="str">
        <f t="shared" si="480"/>
        <v>Gastos de Entierro</v>
      </c>
      <c r="BO334" s="118">
        <f t="shared" si="481"/>
        <v>0</v>
      </c>
      <c r="BP334" s="118" t="str">
        <f t="shared" si="482"/>
        <v>A</v>
      </c>
      <c r="BQ334" s="119" t="str">
        <f>+IF(OR($W334="",BO334=0),"",ROUND((VLOOKUP(ROUNDDOWN($D334-1/frec,0),cob_adi,BB$40,FALSE)*(1+i/frec)^-0.5*(1+Parámetros!$D$103)*(1+rec_fracc)/frec),6))</f>
        <v/>
      </c>
      <c r="BR334" s="66">
        <f t="shared" si="439"/>
        <v>0</v>
      </c>
      <c r="BS334" s="119" t="str">
        <f t="shared" si="440"/>
        <v/>
      </c>
      <c r="BT334" s="66">
        <f>+IF($W334="","",ROUND(IF($B334&gt;Parámetros!$D$107,'Tablas Servicio'!BR334+('Tablas Servicio'!BT333-'Tablas Servicio'!BR333),BR334/(1-IF(B334&lt;=10,Parámetros!$D$100,0))),2))</f>
        <v>0</v>
      </c>
      <c r="BU334" s="66">
        <f t="shared" si="441"/>
        <v>0</v>
      </c>
      <c r="BV334" s="66">
        <f t="shared" si="441"/>
        <v>0</v>
      </c>
      <c r="BW334" s="66">
        <f>+IF($W334="","",ROUND((BT334*Parámetros!$G$85),2))</f>
        <v>0</v>
      </c>
      <c r="BX334" s="66">
        <f>+IF($W334="","",ROUND((BT334*(Parámetros!$G$86)),2))</f>
        <v>0</v>
      </c>
      <c r="BY334" s="66">
        <f t="shared" si="442"/>
        <v>0</v>
      </c>
      <c r="BZ334" t="str">
        <f t="shared" si="483"/>
        <v>00062</v>
      </c>
      <c r="CA334" t="str">
        <f t="shared" si="484"/>
        <v>Gastos médicos por accidente</v>
      </c>
      <c r="CB334" s="118">
        <f t="shared" si="485"/>
        <v>0</v>
      </c>
      <c r="CC334" s="118" t="str">
        <f t="shared" si="486"/>
        <v>A</v>
      </c>
      <c r="CD334" s="119" t="str">
        <f t="shared" si="443"/>
        <v/>
      </c>
      <c r="CE334" s="66">
        <f>+IF($W334="","",ROUND((VLOOKUP(ROUNDDOWN($D334-1/frec,0),cob_adi,BO$40,FALSE)*(1+i/frec)^-0.5*(1+Parámetros!$D$103)*(1+rec_fracc)/frec*'TABLAS ADI'!$BC$17),2))</f>
        <v>0</v>
      </c>
      <c r="CF334" s="119" t="str">
        <f t="shared" si="444"/>
        <v/>
      </c>
      <c r="CG334" s="66">
        <f>+IF($W334="","",ROUND(IF($B334&gt;Parámetros!$D$107,'Tablas Servicio'!CE334+('Tablas Servicio'!CG333-'Tablas Servicio'!CE333),CE334/(1-IF(B334&lt;=10,Parámetros!$D$100,0))),2))</f>
        <v>0</v>
      </c>
      <c r="CH334" s="66">
        <f t="shared" si="445"/>
        <v>0</v>
      </c>
      <c r="CI334" s="66">
        <f t="shared" si="445"/>
        <v>0</v>
      </c>
      <c r="CJ334" s="66">
        <f>+IF($W334="","",ROUND((CG334*Parámetros!$G$85),2))</f>
        <v>0</v>
      </c>
      <c r="CK334" s="66">
        <f>+IF($W334="","",ROUND((CG334*(Parámetros!$G$86)),2))</f>
        <v>0</v>
      </c>
      <c r="CL334" s="66">
        <f t="shared" si="446"/>
        <v>0</v>
      </c>
      <c r="CM334" t="str">
        <f t="shared" si="487"/>
        <v>00063</v>
      </c>
      <c r="CN334" s="118" t="str">
        <f t="shared" si="488"/>
        <v>Renta Diaria por Hospitalización</v>
      </c>
      <c r="CO334" s="118">
        <f t="shared" si="489"/>
        <v>0</v>
      </c>
      <c r="CP334" s="118" t="str">
        <f t="shared" si="490"/>
        <v>A</v>
      </c>
      <c r="CQ334" s="119" t="str">
        <f t="shared" si="447"/>
        <v/>
      </c>
      <c r="CR334" s="66">
        <f>+IF($W334="","",ROUND((VLOOKUP(Parámetros!$F$51,'COBERTURAS ADICIONALES'!$S$4:$T$32,2,FALSE)*(1+i/frec)^-0.5*(1+Parámetros!$D$103)*(1+rec_fracc)/frec*$CO$42),2))</f>
        <v>0</v>
      </c>
      <c r="CS334" s="119" t="str">
        <f t="shared" si="448"/>
        <v/>
      </c>
      <c r="CT334" s="66">
        <f>+IF($W334="","",ROUND(IF($B334&gt;Parámetros!$D$107,'Tablas Servicio'!CR334+('Tablas Servicio'!CT333-'Tablas Servicio'!CR333),CR334/(1-IF(B334&lt;=10,Parámetros!$D$100,0))),2))</f>
        <v>0</v>
      </c>
      <c r="CU334" s="66">
        <f t="shared" si="449"/>
        <v>0</v>
      </c>
      <c r="CV334" s="66">
        <f t="shared" si="449"/>
        <v>0</v>
      </c>
      <c r="CW334" s="66">
        <f>+IF($W334="","",ROUND((CT334*Parámetros!$G$85),2))</f>
        <v>0</v>
      </c>
      <c r="CX334" s="66">
        <f>+IF($W334="","",ROUND((CT334*(Parámetros!$G$86)),2))</f>
        <v>0</v>
      </c>
      <c r="CY334" s="66">
        <f t="shared" si="450"/>
        <v>0</v>
      </c>
      <c r="CZ334" t="str">
        <f t="shared" si="491"/>
        <v>00064</v>
      </c>
      <c r="DA334" s="118" t="str">
        <f t="shared" si="492"/>
        <v>Enfermedades Graves</v>
      </c>
      <c r="DB334" s="118">
        <f t="shared" si="493"/>
        <v>0</v>
      </c>
      <c r="DC334" s="118" t="str">
        <f t="shared" si="494"/>
        <v>A</v>
      </c>
      <c r="DD334" s="121" t="str">
        <f>+IF(OR($W334="",DB334=0),"",ROUND((VLOOKUP(ROUNDDOWN($D334-1/frec,0),cob_adi,CO$40,FALSE)*(1+i/frec)^-0.5*(1+Parámetros!$D$103)*(1+rec_fracc)/frec),6))</f>
        <v/>
      </c>
      <c r="DE334" s="66">
        <f t="shared" si="451"/>
        <v>0</v>
      </c>
      <c r="DF334" s="119" t="str">
        <f t="shared" si="452"/>
        <v/>
      </c>
      <c r="DG334" s="66">
        <f>+IF($W334="","",ROUND(IF($B334&gt;Parámetros!$D$107,'Tablas Servicio'!DE334+('Tablas Servicio'!DG333-'Tablas Servicio'!DE333),DE334/(1-IF(B334&lt;=10,Parámetros!$D$100,0))),2))</f>
        <v>0</v>
      </c>
      <c r="DH334" s="66">
        <f t="shared" si="453"/>
        <v>0</v>
      </c>
      <c r="DI334" s="66">
        <f t="shared" si="453"/>
        <v>0</v>
      </c>
      <c r="DJ334" s="66">
        <f>+IF($W334="","",ROUND((DG334*Parámetros!$G$85),2))</f>
        <v>0</v>
      </c>
      <c r="DK334" s="66">
        <f>+IF($W334="","",ROUND((DG334*(Parámetros!$G$86)),2))</f>
        <v>0</v>
      </c>
      <c r="DL334" s="66">
        <f t="shared" si="454"/>
        <v>0</v>
      </c>
      <c r="DM334" t="str">
        <f t="shared" si="495"/>
        <v>00065</v>
      </c>
      <c r="DN334" s="118" t="str">
        <f t="shared" si="496"/>
        <v>Exención pago de primas</v>
      </c>
      <c r="DO334" s="118">
        <f t="shared" si="497"/>
        <v>0</v>
      </c>
      <c r="DP334" s="118" t="str">
        <f t="shared" si="498"/>
        <v>A</v>
      </c>
      <c r="DQ334" s="122" t="str">
        <f>+IF(OR($W334="",DO334=0),"",ROUND((VLOOKUP(ROUNDDOWN($D334-1/frec,0),cob_adi,DB$40,FALSE)*(1+i/frec)^-0.5*(1+Parámetros!$D$103)*(1+rec_fracc)/frec),6))</f>
        <v/>
      </c>
      <c r="DR334" s="66">
        <f t="shared" si="455"/>
        <v>0</v>
      </c>
      <c r="DS334" s="68" t="str">
        <f t="shared" si="456"/>
        <v/>
      </c>
      <c r="DT334" s="66">
        <f>+IF($W334="","",ROUND(IF($B334&gt;Parámetros!$D$107,'Tablas Servicio'!DR334+('Tablas Servicio'!DT333-'Tablas Servicio'!DR333),DR334/(1-IF(B334&lt;=10,Parámetros!$D$100,0))),2))</f>
        <v>0</v>
      </c>
      <c r="DU334" s="66">
        <f t="shared" si="457"/>
        <v>0</v>
      </c>
      <c r="DV334" s="66">
        <f t="shared" si="457"/>
        <v>0</v>
      </c>
      <c r="DW334" s="66">
        <f>+IF($W334="","",ROUND((DT334*Parámetros!$G$85),2))</f>
        <v>0</v>
      </c>
      <c r="DX334" s="66">
        <f>+IF($W334="","",ROUND((DT334*(Parámetros!$G$86)),2))</f>
        <v>0</v>
      </c>
      <c r="DY334" s="66">
        <f t="shared" si="458"/>
        <v>0</v>
      </c>
      <c r="DZ334" t="str">
        <f t="shared" si="500"/>
        <v>00066</v>
      </c>
      <c r="EA334" s="118" t="str">
        <f t="shared" si="500"/>
        <v>Enfermedad terminal</v>
      </c>
      <c r="EB334" s="118">
        <f>+IF($W334="","",ROUND(IF(Parámetros!$D$25='TABLAS MORT'!$V$33,EB333,Z334/2),0))</f>
        <v>50000</v>
      </c>
      <c r="EC334" s="118" t="str">
        <f t="shared" si="500"/>
        <v>A</v>
      </c>
      <c r="ED334" s="122">
        <f>+IF(OR($W334="",EB334=0),"",ROUND((VLOOKUP(ROUNDDOWN($D334-1/frec,0),cob_adi,DO$40,FALSE)*(1+i/frec)^-0.5*(1+Parámetros!$D$103)*(1+rec_fracc)/frec),6))</f>
        <v>3.8999999999999999E-5</v>
      </c>
      <c r="EE334" s="66">
        <f t="shared" si="460"/>
        <v>1.95</v>
      </c>
      <c r="EF334" s="68">
        <f t="shared" si="461"/>
        <v>3.8999999999999999E-5</v>
      </c>
      <c r="EG334" s="66">
        <f>+IF($W334="","",ROUND(IF($B334&gt;Parámetros!$D$107,'Tablas Servicio'!EE334+('Tablas Servicio'!EG333-'Tablas Servicio'!EE333),EE334/(1-IF(B334&lt;=10,Parámetros!$D$100,0))),2))</f>
        <v>1.95</v>
      </c>
      <c r="EH334" s="66">
        <f t="shared" si="462"/>
        <v>0</v>
      </c>
      <c r="EI334" s="66">
        <f t="shared" si="462"/>
        <v>0</v>
      </c>
      <c r="EJ334" s="66">
        <f>+IF($W334="","",ROUND((EG334*Parámetros!$G$85),2))</f>
        <v>7.0000000000000007E-2</v>
      </c>
      <c r="EK334" s="66">
        <f>+IF($W334="","",ROUND((EG334*(Parámetros!$G$86)),2))</f>
        <v>0.01</v>
      </c>
      <c r="EL334" s="66">
        <f t="shared" si="463"/>
        <v>2.0299999999999998</v>
      </c>
    </row>
    <row r="335" spans="1:142" x14ac:dyDescent="0.25">
      <c r="A335">
        <f>+IF($C335="","",ROUND(VLOOKUP('Tablas Servicio'!B335,Parámetros!$H$100:$J$159,IF(Parámetros!$E$16="F",2,3),FALSE),2))</f>
        <v>150</v>
      </c>
      <c r="B335">
        <f t="shared" si="414"/>
        <v>25</v>
      </c>
      <c r="C335" s="57">
        <f>+IF(D335="","",'Tablas Servicio'!C334+1)</f>
        <v>294</v>
      </c>
      <c r="D335" s="56">
        <f>+IF(D334&lt;edadmaxtabla,D334+1/Parámetros!$E$25,"")</f>
        <v>64.52000000000065</v>
      </c>
      <c r="E335" s="57">
        <f t="shared" si="424"/>
        <v>64</v>
      </c>
      <c r="F335" s="59">
        <f t="shared" si="425"/>
        <v>100000</v>
      </c>
      <c r="G335" s="66">
        <f t="shared" si="415"/>
        <v>79.25</v>
      </c>
      <c r="H335" s="66">
        <f t="shared" si="416"/>
        <v>82.43</v>
      </c>
      <c r="I335" s="66">
        <f t="shared" si="464"/>
        <v>11.569999999999993</v>
      </c>
      <c r="J335" s="66">
        <f t="shared" si="417"/>
        <v>2.78</v>
      </c>
      <c r="K335" s="66">
        <f t="shared" si="418"/>
        <v>0.4</v>
      </c>
      <c r="L335" s="66">
        <f t="shared" si="419"/>
        <v>0</v>
      </c>
      <c r="M335" s="66">
        <f t="shared" si="420"/>
        <v>0</v>
      </c>
      <c r="N335" s="66">
        <f>+IF(C335="","",ROUND(Parámetros!$D$23,2))</f>
        <v>94</v>
      </c>
      <c r="O335" s="66">
        <f t="shared" si="421"/>
        <v>66.75</v>
      </c>
      <c r="P335" s="66">
        <f>+IF($C335="","",ROUND(IF(B335&gt;Parámetros!$D$117,0,N335*Parámetros!$D$116-G335*Parámetros!$D$100),2))</f>
        <v>0</v>
      </c>
      <c r="Q335" s="75">
        <f t="shared" si="465"/>
        <v>3.5078864353312297E-2</v>
      </c>
      <c r="R335" s="75">
        <f t="shared" si="466"/>
        <v>5.0473186119873821E-3</v>
      </c>
      <c r="S335" s="117">
        <f>+IF($C335="","",ROUND((S334+I335)*(1+Parámetros!$D$91),2))</f>
        <v>22169.31</v>
      </c>
      <c r="T335" s="117">
        <f>+IF($C335="","",ROUND(S335*VLOOKUP(B335,Parámetros!$C$30:$D$39,2,TRUE),2))</f>
        <v>22169.31</v>
      </c>
      <c r="U335" s="117">
        <f>+IF($C335="","",ROUND((U334+I335)*(1+Parámetros!$D$92),2))</f>
        <v>23901.05</v>
      </c>
      <c r="V335" s="117">
        <f>+IF($C335="","",ROUND(U335*VLOOKUP(B335,Parámetros!$C$30:$D$39,2,TRUE),2))</f>
        <v>23901.05</v>
      </c>
      <c r="W335" s="57">
        <f t="shared" si="467"/>
        <v>294</v>
      </c>
      <c r="X335" t="str">
        <f t="shared" si="468"/>
        <v>00058</v>
      </c>
      <c r="Y335" t="str">
        <f t="shared" si="469"/>
        <v>MUERTE POR CUALQUIER CAUSA</v>
      </c>
      <c r="Z335" s="118">
        <f>+IF($W335="","",ROUND(IF(Parámetros!$D$25='TABLAS MORT'!$V$33,Z334,Parámetros!$D$21-'Tablas Servicio'!T334),0))</f>
        <v>100000</v>
      </c>
      <c r="AA335" s="118" t="str">
        <f t="shared" si="470"/>
        <v>P</v>
      </c>
      <c r="AB335" s="119">
        <f>+IF(W335="","",ROUND((VLOOKUP(ROUNDDOWN($D335-1/frec,0),qx_tabla,2,FALSE)*(1+i/frec)^-0.5*(1+Parámetros!$D$103)*(1+rec_fracc)/frec),6))</f>
        <v>6.4800000000000003E-4</v>
      </c>
      <c r="AC335" s="66">
        <f t="shared" si="426"/>
        <v>64.8</v>
      </c>
      <c r="AD335" s="119">
        <f t="shared" si="422"/>
        <v>7.7300000000000003E-4</v>
      </c>
      <c r="AE335" s="66">
        <f>+IF($W335="","",ROUND(IF($B335&gt;Parámetros!$D$107,'Tablas Servicio'!AC335+('Tablas Servicio'!AG334-'Tablas Servicio'!AC334),AC335/(1-IF(B335&lt;=10,Parámetros!$D$104,Parámetros!$D$105))),2))</f>
        <v>108</v>
      </c>
      <c r="AF335" s="66">
        <f>+IF($W335="","",ROUND(IF($B335&gt;Parámetros!$D$107,'Tablas Servicio'!AC335+('Tablas Servicio'!AG334-'Tablas Servicio'!AC334),(AC335+$A334/frec)/(1-IF(B335&lt;=Parámetros!$D$117,Parámetros!$D$100,0))),2))</f>
        <v>77.3</v>
      </c>
      <c r="AG335" s="66">
        <f t="shared" si="427"/>
        <v>77.3</v>
      </c>
      <c r="AH335" s="66">
        <f t="shared" si="428"/>
        <v>0</v>
      </c>
      <c r="AI335" s="66">
        <f t="shared" si="429"/>
        <v>0</v>
      </c>
      <c r="AJ335" s="66">
        <f>+IF($W335="","",ROUND((AG335*Parámetros!$G$85),2))</f>
        <v>2.71</v>
      </c>
      <c r="AK335" s="66">
        <f>+IF($W335="","",ROUND((AG335*(Parámetros!$G$86)),2))</f>
        <v>0.39</v>
      </c>
      <c r="AL335" s="66">
        <f t="shared" si="423"/>
        <v>80.400000000000006</v>
      </c>
      <c r="AM335" t="str">
        <f t="shared" si="471"/>
        <v>00059</v>
      </c>
      <c r="AN335" t="str">
        <f t="shared" si="472"/>
        <v>Incapacidad Total y Permanente</v>
      </c>
      <c r="AO335" s="118">
        <f t="shared" si="473"/>
        <v>0</v>
      </c>
      <c r="AP335" s="118" t="str">
        <f t="shared" si="474"/>
        <v>A</v>
      </c>
      <c r="AQ335" s="119" t="str">
        <f>+IF(OR($W335="",AO335=0),"",ROUND((VLOOKUP(ROUNDDOWN($D335-1/frec,0),cob_adi,Z$40,FALSE)*(1+i/frec)^-0.5*(1+Parámetros!$D$103)*(1+rec_fracc)/frec),6))</f>
        <v/>
      </c>
      <c r="AR335" s="66">
        <f t="shared" si="430"/>
        <v>0</v>
      </c>
      <c r="AS335" s="119" t="str">
        <f t="shared" si="431"/>
        <v/>
      </c>
      <c r="AT335" s="66">
        <f>+IF($W335="","",ROUND(IF($B335&gt;Parámetros!$D$107,'Tablas Servicio'!AR335+('Tablas Servicio'!AT334-'Tablas Servicio'!AR334),AR335/(1-IF(B335&lt;=10,Parámetros!$D$100,0))),2))</f>
        <v>0</v>
      </c>
      <c r="AU335" s="66">
        <f t="shared" si="432"/>
        <v>0</v>
      </c>
      <c r="AV335" s="66">
        <f t="shared" si="432"/>
        <v>0</v>
      </c>
      <c r="AW335" s="66">
        <f>+IF($W335="","",ROUND((AT335*Parámetros!$G$85),2))</f>
        <v>0</v>
      </c>
      <c r="AX335" s="66">
        <f>+IF($W335="","",ROUND((AT335*(Parámetros!$G$86)),2))</f>
        <v>0</v>
      </c>
      <c r="AY335" s="66">
        <f t="shared" si="433"/>
        <v>0</v>
      </c>
      <c r="AZ335" t="str">
        <f t="shared" si="475"/>
        <v>00060</v>
      </c>
      <c r="BA335" t="str">
        <f t="shared" si="476"/>
        <v>Muerte Accidental</v>
      </c>
      <c r="BB335" s="118">
        <f t="shared" si="477"/>
        <v>0</v>
      </c>
      <c r="BC335" s="118" t="str">
        <f t="shared" si="478"/>
        <v>A</v>
      </c>
      <c r="BD335" s="119" t="str">
        <f>+IF(OR($W335="",BB335=0),"",ROUND((VLOOKUP(ROUNDDOWN($D335-1/frec,0),cob_adi,AO$40,FALSE)*(1+i/frec)^-0.5*(1+Parámetros!$D$103)*(1+rec_fracc)/frec),6))</f>
        <v/>
      </c>
      <c r="BE335" s="66">
        <f t="shared" si="434"/>
        <v>0</v>
      </c>
      <c r="BF335" s="119" t="str">
        <f t="shared" si="435"/>
        <v/>
      </c>
      <c r="BG335" s="66">
        <f>+IF($W335="","",ROUND(IF($B335&gt;Parámetros!$D$107,'Tablas Servicio'!BE335+('Tablas Servicio'!BG334-'Tablas Servicio'!BE334),BE335/(1-IF(B335&lt;=10,Parámetros!$D$100,0))),2))</f>
        <v>0</v>
      </c>
      <c r="BH335" s="66">
        <f t="shared" si="436"/>
        <v>0</v>
      </c>
      <c r="BI335" s="66">
        <f t="shared" si="437"/>
        <v>0</v>
      </c>
      <c r="BJ335" s="66">
        <f>+IF($W335="","",ROUND((BG335*Parámetros!$G$85),2))</f>
        <v>0</v>
      </c>
      <c r="BK335" s="66">
        <f>+IF($W335="","",ROUND((BG335*(Parámetros!$G$86)),2))</f>
        <v>0</v>
      </c>
      <c r="BL335" s="66">
        <f t="shared" si="438"/>
        <v>0</v>
      </c>
      <c r="BM335" t="str">
        <f t="shared" si="479"/>
        <v>00061</v>
      </c>
      <c r="BN335" t="str">
        <f t="shared" si="480"/>
        <v>Gastos de Entierro</v>
      </c>
      <c r="BO335" s="118">
        <f t="shared" si="481"/>
        <v>0</v>
      </c>
      <c r="BP335" s="118" t="str">
        <f t="shared" si="482"/>
        <v>A</v>
      </c>
      <c r="BQ335" s="119" t="str">
        <f>+IF(OR($W335="",BO335=0),"",ROUND((VLOOKUP(ROUNDDOWN($D335-1/frec,0),cob_adi,BB$40,FALSE)*(1+i/frec)^-0.5*(1+Parámetros!$D$103)*(1+rec_fracc)/frec),6))</f>
        <v/>
      </c>
      <c r="BR335" s="66">
        <f t="shared" si="439"/>
        <v>0</v>
      </c>
      <c r="BS335" s="119" t="str">
        <f t="shared" si="440"/>
        <v/>
      </c>
      <c r="BT335" s="66">
        <f>+IF($W335="","",ROUND(IF($B335&gt;Parámetros!$D$107,'Tablas Servicio'!BR335+('Tablas Servicio'!BT334-'Tablas Servicio'!BR334),BR335/(1-IF(B335&lt;=10,Parámetros!$D$100,0))),2))</f>
        <v>0</v>
      </c>
      <c r="BU335" s="66">
        <f t="shared" si="441"/>
        <v>0</v>
      </c>
      <c r="BV335" s="66">
        <f t="shared" si="441"/>
        <v>0</v>
      </c>
      <c r="BW335" s="66">
        <f>+IF($W335="","",ROUND((BT335*Parámetros!$G$85),2))</f>
        <v>0</v>
      </c>
      <c r="BX335" s="66">
        <f>+IF($W335="","",ROUND((BT335*(Parámetros!$G$86)),2))</f>
        <v>0</v>
      </c>
      <c r="BY335" s="66">
        <f t="shared" si="442"/>
        <v>0</v>
      </c>
      <c r="BZ335" t="str">
        <f t="shared" si="483"/>
        <v>00062</v>
      </c>
      <c r="CA335" t="str">
        <f t="shared" si="484"/>
        <v>Gastos médicos por accidente</v>
      </c>
      <c r="CB335" s="118">
        <f t="shared" si="485"/>
        <v>0</v>
      </c>
      <c r="CC335" s="118" t="str">
        <f t="shared" si="486"/>
        <v>A</v>
      </c>
      <c r="CD335" s="119" t="str">
        <f t="shared" si="443"/>
        <v/>
      </c>
      <c r="CE335" s="66">
        <f>+IF($W335="","",ROUND((VLOOKUP(ROUNDDOWN($D335-1/frec,0),cob_adi,BO$40,FALSE)*(1+i/frec)^-0.5*(1+Parámetros!$D$103)*(1+rec_fracc)/frec*'TABLAS ADI'!$BC$17),2))</f>
        <v>0</v>
      </c>
      <c r="CF335" s="119" t="str">
        <f t="shared" si="444"/>
        <v/>
      </c>
      <c r="CG335" s="66">
        <f>+IF($W335="","",ROUND(IF($B335&gt;Parámetros!$D$107,'Tablas Servicio'!CE335+('Tablas Servicio'!CG334-'Tablas Servicio'!CE334),CE335/(1-IF(B335&lt;=10,Parámetros!$D$100,0))),2))</f>
        <v>0</v>
      </c>
      <c r="CH335" s="66">
        <f t="shared" si="445"/>
        <v>0</v>
      </c>
      <c r="CI335" s="66">
        <f t="shared" si="445"/>
        <v>0</v>
      </c>
      <c r="CJ335" s="66">
        <f>+IF($W335="","",ROUND((CG335*Parámetros!$G$85),2))</f>
        <v>0</v>
      </c>
      <c r="CK335" s="66">
        <f>+IF($W335="","",ROUND((CG335*(Parámetros!$G$86)),2))</f>
        <v>0</v>
      </c>
      <c r="CL335" s="66">
        <f t="shared" si="446"/>
        <v>0</v>
      </c>
      <c r="CM335" t="str">
        <f t="shared" si="487"/>
        <v>00063</v>
      </c>
      <c r="CN335" s="118" t="str">
        <f t="shared" si="488"/>
        <v>Renta Diaria por Hospitalización</v>
      </c>
      <c r="CO335" s="118">
        <f t="shared" si="489"/>
        <v>0</v>
      </c>
      <c r="CP335" s="118" t="str">
        <f t="shared" si="490"/>
        <v>A</v>
      </c>
      <c r="CQ335" s="119" t="str">
        <f t="shared" si="447"/>
        <v/>
      </c>
      <c r="CR335" s="66">
        <f>+IF($W335="","",ROUND((VLOOKUP(Parámetros!$F$51,'COBERTURAS ADICIONALES'!$S$4:$T$32,2,FALSE)*(1+i/frec)^-0.5*(1+Parámetros!$D$103)*(1+rec_fracc)/frec*$CO$42),2))</f>
        <v>0</v>
      </c>
      <c r="CS335" s="119" t="str">
        <f t="shared" si="448"/>
        <v/>
      </c>
      <c r="CT335" s="66">
        <f>+IF($W335="","",ROUND(IF($B335&gt;Parámetros!$D$107,'Tablas Servicio'!CR335+('Tablas Servicio'!CT334-'Tablas Servicio'!CR334),CR335/(1-IF(B335&lt;=10,Parámetros!$D$100,0))),2))</f>
        <v>0</v>
      </c>
      <c r="CU335" s="66">
        <f t="shared" si="449"/>
        <v>0</v>
      </c>
      <c r="CV335" s="66">
        <f t="shared" si="449"/>
        <v>0</v>
      </c>
      <c r="CW335" s="66">
        <f>+IF($W335="","",ROUND((CT335*Parámetros!$G$85),2))</f>
        <v>0</v>
      </c>
      <c r="CX335" s="66">
        <f>+IF($W335="","",ROUND((CT335*(Parámetros!$G$86)),2))</f>
        <v>0</v>
      </c>
      <c r="CY335" s="66">
        <f t="shared" si="450"/>
        <v>0</v>
      </c>
      <c r="CZ335" t="str">
        <f t="shared" si="491"/>
        <v>00064</v>
      </c>
      <c r="DA335" s="118" t="str">
        <f t="shared" si="492"/>
        <v>Enfermedades Graves</v>
      </c>
      <c r="DB335" s="118">
        <f t="shared" si="493"/>
        <v>0</v>
      </c>
      <c r="DC335" s="118" t="str">
        <f t="shared" si="494"/>
        <v>A</v>
      </c>
      <c r="DD335" s="121" t="str">
        <f>+IF(OR($W335="",DB335=0),"",ROUND((VLOOKUP(ROUNDDOWN($D335-1/frec,0),cob_adi,CO$40,FALSE)*(1+i/frec)^-0.5*(1+Parámetros!$D$103)*(1+rec_fracc)/frec),6))</f>
        <v/>
      </c>
      <c r="DE335" s="66">
        <f t="shared" si="451"/>
        <v>0</v>
      </c>
      <c r="DF335" s="119" t="str">
        <f t="shared" si="452"/>
        <v/>
      </c>
      <c r="DG335" s="66">
        <f>+IF($W335="","",ROUND(IF($B335&gt;Parámetros!$D$107,'Tablas Servicio'!DE335+('Tablas Servicio'!DG334-'Tablas Servicio'!DE334),DE335/(1-IF(B335&lt;=10,Parámetros!$D$100,0))),2))</f>
        <v>0</v>
      </c>
      <c r="DH335" s="66">
        <f t="shared" si="453"/>
        <v>0</v>
      </c>
      <c r="DI335" s="66">
        <f t="shared" si="453"/>
        <v>0</v>
      </c>
      <c r="DJ335" s="66">
        <f>+IF($W335="","",ROUND((DG335*Parámetros!$G$85),2))</f>
        <v>0</v>
      </c>
      <c r="DK335" s="66">
        <f>+IF($W335="","",ROUND((DG335*(Parámetros!$G$86)),2))</f>
        <v>0</v>
      </c>
      <c r="DL335" s="66">
        <f t="shared" si="454"/>
        <v>0</v>
      </c>
      <c r="DM335" t="str">
        <f t="shared" si="495"/>
        <v>00065</v>
      </c>
      <c r="DN335" s="118" t="str">
        <f t="shared" si="496"/>
        <v>Exención pago de primas</v>
      </c>
      <c r="DO335" s="118">
        <f t="shared" si="497"/>
        <v>0</v>
      </c>
      <c r="DP335" s="118" t="str">
        <f t="shared" si="498"/>
        <v>A</v>
      </c>
      <c r="DQ335" s="122" t="str">
        <f>+IF(OR($W335="",DO335=0),"",ROUND((VLOOKUP(ROUNDDOWN($D335-1/frec,0),cob_adi,DB$40,FALSE)*(1+i/frec)^-0.5*(1+Parámetros!$D$103)*(1+rec_fracc)/frec),6))</f>
        <v/>
      </c>
      <c r="DR335" s="66">
        <f t="shared" si="455"/>
        <v>0</v>
      </c>
      <c r="DS335" s="68" t="str">
        <f t="shared" si="456"/>
        <v/>
      </c>
      <c r="DT335" s="66">
        <f>+IF($W335="","",ROUND(IF($B335&gt;Parámetros!$D$107,'Tablas Servicio'!DR335+('Tablas Servicio'!DT334-'Tablas Servicio'!DR334),DR335/(1-IF(B335&lt;=10,Parámetros!$D$100,0))),2))</f>
        <v>0</v>
      </c>
      <c r="DU335" s="66">
        <f t="shared" si="457"/>
        <v>0</v>
      </c>
      <c r="DV335" s="66">
        <f t="shared" si="457"/>
        <v>0</v>
      </c>
      <c r="DW335" s="66">
        <f>+IF($W335="","",ROUND((DT335*Parámetros!$G$85),2))</f>
        <v>0</v>
      </c>
      <c r="DX335" s="66">
        <f>+IF($W335="","",ROUND((DT335*(Parámetros!$G$86)),2))</f>
        <v>0</v>
      </c>
      <c r="DY335" s="66">
        <f t="shared" si="458"/>
        <v>0</v>
      </c>
      <c r="DZ335" t="str">
        <f t="shared" si="500"/>
        <v>00066</v>
      </c>
      <c r="EA335" s="118" t="str">
        <f t="shared" si="500"/>
        <v>Enfermedad terminal</v>
      </c>
      <c r="EB335" s="118">
        <f>+IF($W335="","",ROUND(IF(Parámetros!$D$25='TABLAS MORT'!$V$33,EB334,Z335/2),0))</f>
        <v>50000</v>
      </c>
      <c r="EC335" s="118" t="str">
        <f t="shared" si="500"/>
        <v>A</v>
      </c>
      <c r="ED335" s="122">
        <f>+IF(OR($W335="",EB335=0),"",ROUND((VLOOKUP(ROUNDDOWN($D335-1/frec,0),cob_adi,DO$40,FALSE)*(1+i/frec)^-0.5*(1+Parámetros!$D$103)*(1+rec_fracc)/frec),6))</f>
        <v>3.8999999999999999E-5</v>
      </c>
      <c r="EE335" s="66">
        <f t="shared" si="460"/>
        <v>1.95</v>
      </c>
      <c r="EF335" s="68">
        <f t="shared" si="461"/>
        <v>3.8999999999999999E-5</v>
      </c>
      <c r="EG335" s="66">
        <f>+IF($W335="","",ROUND(IF($B335&gt;Parámetros!$D$107,'Tablas Servicio'!EE335+('Tablas Servicio'!EG334-'Tablas Servicio'!EE334),EE335/(1-IF(B335&lt;=10,Parámetros!$D$100,0))),2))</f>
        <v>1.95</v>
      </c>
      <c r="EH335" s="66">
        <f t="shared" si="462"/>
        <v>0</v>
      </c>
      <c r="EI335" s="66">
        <f t="shared" si="462"/>
        <v>0</v>
      </c>
      <c r="EJ335" s="66">
        <f>+IF($W335="","",ROUND((EG335*Parámetros!$G$85),2))</f>
        <v>7.0000000000000007E-2</v>
      </c>
      <c r="EK335" s="66">
        <f>+IF($W335="","",ROUND((EG335*(Parámetros!$G$86)),2))</f>
        <v>0.01</v>
      </c>
      <c r="EL335" s="66">
        <f t="shared" si="463"/>
        <v>2.0299999999999998</v>
      </c>
    </row>
    <row r="336" spans="1:142" x14ac:dyDescent="0.25">
      <c r="A336">
        <f>+IF($C336="","",ROUND(VLOOKUP('Tablas Servicio'!B336,Parámetros!$H$100:$J$159,IF(Parámetros!$E$16="F",2,3),FALSE),2))</f>
        <v>150</v>
      </c>
      <c r="B336">
        <f t="shared" si="414"/>
        <v>25</v>
      </c>
      <c r="C336" s="57">
        <f>+IF(D336="","",'Tablas Servicio'!C335+1)</f>
        <v>295</v>
      </c>
      <c r="D336" s="56">
        <f>+IF(D335&lt;edadmaxtabla,D335+1/Parámetros!$E$25,"")</f>
        <v>64.603333333333978</v>
      </c>
      <c r="E336" s="57">
        <f t="shared" si="424"/>
        <v>64</v>
      </c>
      <c r="F336" s="59">
        <f t="shared" si="425"/>
        <v>100000</v>
      </c>
      <c r="G336" s="66">
        <f t="shared" si="415"/>
        <v>79.25</v>
      </c>
      <c r="H336" s="66">
        <f t="shared" si="416"/>
        <v>82.43</v>
      </c>
      <c r="I336" s="66">
        <f t="shared" si="464"/>
        <v>11.569999999999993</v>
      </c>
      <c r="J336" s="66">
        <f t="shared" si="417"/>
        <v>2.78</v>
      </c>
      <c r="K336" s="66">
        <f t="shared" si="418"/>
        <v>0.4</v>
      </c>
      <c r="L336" s="66">
        <f t="shared" si="419"/>
        <v>0</v>
      </c>
      <c r="M336" s="66">
        <f t="shared" si="420"/>
        <v>0</v>
      </c>
      <c r="N336" s="66">
        <f>+IF(C336="","",ROUND(Parámetros!$D$23,2))</f>
        <v>94</v>
      </c>
      <c r="O336" s="66">
        <f t="shared" si="421"/>
        <v>66.75</v>
      </c>
      <c r="P336" s="66">
        <f>+IF($C336="","",ROUND(IF(B336&gt;Parámetros!$D$117,0,N336*Parámetros!$D$116-G336*Parámetros!$D$100),2))</f>
        <v>0</v>
      </c>
      <c r="Q336" s="75">
        <f t="shared" si="465"/>
        <v>3.5078864353312297E-2</v>
      </c>
      <c r="R336" s="75">
        <f t="shared" si="466"/>
        <v>5.0473186119873821E-3</v>
      </c>
      <c r="S336" s="117">
        <f>+IF($C336="","",ROUND((S335+I336)*(1+Parámetros!$D$91),2))</f>
        <v>22243.8</v>
      </c>
      <c r="T336" s="117">
        <f>+IF($C336="","",ROUND(S336*VLOOKUP(B336,Parámetros!$C$30:$D$39,2,TRUE),2))</f>
        <v>22243.8</v>
      </c>
      <c r="U336" s="117">
        <f>+IF($C336="","",ROUND((U335+I336)*(1+Parámetros!$D$92),2))</f>
        <v>23990.14</v>
      </c>
      <c r="V336" s="117">
        <f>+IF($C336="","",ROUND(U336*VLOOKUP(B336,Parámetros!$C$30:$D$39,2,TRUE),2))</f>
        <v>23990.14</v>
      </c>
      <c r="W336" s="57">
        <f t="shared" si="467"/>
        <v>295</v>
      </c>
      <c r="X336" t="str">
        <f t="shared" si="468"/>
        <v>00058</v>
      </c>
      <c r="Y336" t="str">
        <f t="shared" si="469"/>
        <v>MUERTE POR CUALQUIER CAUSA</v>
      </c>
      <c r="Z336" s="118">
        <f>+IF($W336="","",ROUND(IF(Parámetros!$D$25='TABLAS MORT'!$V$33,Z335,Parámetros!$D$21-'Tablas Servicio'!T335),0))</f>
        <v>100000</v>
      </c>
      <c r="AA336" s="118" t="str">
        <f t="shared" si="470"/>
        <v>P</v>
      </c>
      <c r="AB336" s="119">
        <f>+IF(W336="","",ROUND((VLOOKUP(ROUNDDOWN($D336-1/frec,0),qx_tabla,2,FALSE)*(1+i/frec)^-0.5*(1+Parámetros!$D$103)*(1+rec_fracc)/frec),6))</f>
        <v>6.4800000000000003E-4</v>
      </c>
      <c r="AC336" s="66">
        <f t="shared" si="426"/>
        <v>64.8</v>
      </c>
      <c r="AD336" s="119">
        <f t="shared" si="422"/>
        <v>7.7300000000000003E-4</v>
      </c>
      <c r="AE336" s="66">
        <f>+IF($W336="","",ROUND(IF($B336&gt;Parámetros!$D$107,'Tablas Servicio'!AC336+('Tablas Servicio'!AG335-'Tablas Servicio'!AC335),AC336/(1-IF(B336&lt;=10,Parámetros!$D$104,Parámetros!$D$105))),2))</f>
        <v>108</v>
      </c>
      <c r="AF336" s="66">
        <f>+IF($W336="","",ROUND(IF($B336&gt;Parámetros!$D$107,'Tablas Servicio'!AC336+('Tablas Servicio'!AG335-'Tablas Servicio'!AC335),(AC336+$A335/frec)/(1-IF(B336&lt;=Parámetros!$D$117,Parámetros!$D$100,0))),2))</f>
        <v>77.3</v>
      </c>
      <c r="AG336" s="66">
        <f t="shared" si="427"/>
        <v>77.3</v>
      </c>
      <c r="AH336" s="66">
        <f t="shared" si="428"/>
        <v>0</v>
      </c>
      <c r="AI336" s="66">
        <f t="shared" si="429"/>
        <v>0</v>
      </c>
      <c r="AJ336" s="66">
        <f>+IF($W336="","",ROUND((AG336*Parámetros!$G$85),2))</f>
        <v>2.71</v>
      </c>
      <c r="AK336" s="66">
        <f>+IF($W336="","",ROUND((AG336*(Parámetros!$G$86)),2))</f>
        <v>0.39</v>
      </c>
      <c r="AL336" s="66">
        <f t="shared" si="423"/>
        <v>80.400000000000006</v>
      </c>
      <c r="AM336" t="str">
        <f t="shared" si="471"/>
        <v>00059</v>
      </c>
      <c r="AN336" t="str">
        <f t="shared" si="472"/>
        <v>Incapacidad Total y Permanente</v>
      </c>
      <c r="AO336" s="118">
        <f t="shared" si="473"/>
        <v>0</v>
      </c>
      <c r="AP336" s="118" t="str">
        <f t="shared" si="474"/>
        <v>A</v>
      </c>
      <c r="AQ336" s="119" t="str">
        <f>+IF(OR($W336="",AO336=0),"",ROUND((VLOOKUP(ROUNDDOWN($D336-1/frec,0),cob_adi,Z$40,FALSE)*(1+i/frec)^-0.5*(1+Parámetros!$D$103)*(1+rec_fracc)/frec),6))</f>
        <v/>
      </c>
      <c r="AR336" s="66">
        <f t="shared" si="430"/>
        <v>0</v>
      </c>
      <c r="AS336" s="119" t="str">
        <f t="shared" si="431"/>
        <v/>
      </c>
      <c r="AT336" s="66">
        <f>+IF($W336="","",ROUND(IF($B336&gt;Parámetros!$D$107,'Tablas Servicio'!AR336+('Tablas Servicio'!AT335-'Tablas Servicio'!AR335),AR336/(1-IF(B336&lt;=10,Parámetros!$D$100,0))),2))</f>
        <v>0</v>
      </c>
      <c r="AU336" s="66">
        <f t="shared" si="432"/>
        <v>0</v>
      </c>
      <c r="AV336" s="66">
        <f t="shared" si="432"/>
        <v>0</v>
      </c>
      <c r="AW336" s="66">
        <f>+IF($W336="","",ROUND((AT336*Parámetros!$G$85),2))</f>
        <v>0</v>
      </c>
      <c r="AX336" s="66">
        <f>+IF($W336="","",ROUND((AT336*(Parámetros!$G$86)),2))</f>
        <v>0</v>
      </c>
      <c r="AY336" s="66">
        <f t="shared" si="433"/>
        <v>0</v>
      </c>
      <c r="AZ336" t="str">
        <f t="shared" si="475"/>
        <v>00060</v>
      </c>
      <c r="BA336" t="str">
        <f t="shared" si="476"/>
        <v>Muerte Accidental</v>
      </c>
      <c r="BB336" s="118">
        <f t="shared" si="477"/>
        <v>0</v>
      </c>
      <c r="BC336" s="118" t="str">
        <f t="shared" si="478"/>
        <v>A</v>
      </c>
      <c r="BD336" s="119" t="str">
        <f>+IF(OR($W336="",BB336=0),"",ROUND((VLOOKUP(ROUNDDOWN($D336-1/frec,0),cob_adi,AO$40,FALSE)*(1+i/frec)^-0.5*(1+Parámetros!$D$103)*(1+rec_fracc)/frec),6))</f>
        <v/>
      </c>
      <c r="BE336" s="66">
        <f t="shared" si="434"/>
        <v>0</v>
      </c>
      <c r="BF336" s="119" t="str">
        <f t="shared" si="435"/>
        <v/>
      </c>
      <c r="BG336" s="66">
        <f>+IF($W336="","",ROUND(IF($B336&gt;Parámetros!$D$107,'Tablas Servicio'!BE336+('Tablas Servicio'!BG335-'Tablas Servicio'!BE335),BE336/(1-IF(B336&lt;=10,Parámetros!$D$100,0))),2))</f>
        <v>0</v>
      </c>
      <c r="BH336" s="66">
        <f t="shared" si="436"/>
        <v>0</v>
      </c>
      <c r="BI336" s="66">
        <f t="shared" si="437"/>
        <v>0</v>
      </c>
      <c r="BJ336" s="66">
        <f>+IF($W336="","",ROUND((BG336*Parámetros!$G$85),2))</f>
        <v>0</v>
      </c>
      <c r="BK336" s="66">
        <f>+IF($W336="","",ROUND((BG336*(Parámetros!$G$86)),2))</f>
        <v>0</v>
      </c>
      <c r="BL336" s="66">
        <f t="shared" si="438"/>
        <v>0</v>
      </c>
      <c r="BM336" t="str">
        <f t="shared" si="479"/>
        <v>00061</v>
      </c>
      <c r="BN336" t="str">
        <f t="shared" si="480"/>
        <v>Gastos de Entierro</v>
      </c>
      <c r="BO336" s="118">
        <f t="shared" si="481"/>
        <v>0</v>
      </c>
      <c r="BP336" s="118" t="str">
        <f t="shared" si="482"/>
        <v>A</v>
      </c>
      <c r="BQ336" s="119" t="str">
        <f>+IF(OR($W336="",BO336=0),"",ROUND((VLOOKUP(ROUNDDOWN($D336-1/frec,0),cob_adi,BB$40,FALSE)*(1+i/frec)^-0.5*(1+Parámetros!$D$103)*(1+rec_fracc)/frec),6))</f>
        <v/>
      </c>
      <c r="BR336" s="66">
        <f t="shared" si="439"/>
        <v>0</v>
      </c>
      <c r="BS336" s="119" t="str">
        <f t="shared" si="440"/>
        <v/>
      </c>
      <c r="BT336" s="66">
        <f>+IF($W336="","",ROUND(IF($B336&gt;Parámetros!$D$107,'Tablas Servicio'!BR336+('Tablas Servicio'!BT335-'Tablas Servicio'!BR335),BR336/(1-IF(B336&lt;=10,Parámetros!$D$100,0))),2))</f>
        <v>0</v>
      </c>
      <c r="BU336" s="66">
        <f t="shared" si="441"/>
        <v>0</v>
      </c>
      <c r="BV336" s="66">
        <f t="shared" si="441"/>
        <v>0</v>
      </c>
      <c r="BW336" s="66">
        <f>+IF($W336="","",ROUND((BT336*Parámetros!$G$85),2))</f>
        <v>0</v>
      </c>
      <c r="BX336" s="66">
        <f>+IF($W336="","",ROUND((BT336*(Parámetros!$G$86)),2))</f>
        <v>0</v>
      </c>
      <c r="BY336" s="66">
        <f t="shared" si="442"/>
        <v>0</v>
      </c>
      <c r="BZ336" t="str">
        <f t="shared" si="483"/>
        <v>00062</v>
      </c>
      <c r="CA336" t="str">
        <f t="shared" si="484"/>
        <v>Gastos médicos por accidente</v>
      </c>
      <c r="CB336" s="118">
        <f t="shared" si="485"/>
        <v>0</v>
      </c>
      <c r="CC336" s="118" t="str">
        <f t="shared" si="486"/>
        <v>A</v>
      </c>
      <c r="CD336" s="119" t="str">
        <f t="shared" si="443"/>
        <v/>
      </c>
      <c r="CE336" s="66">
        <f>+IF($W336="","",ROUND((VLOOKUP(ROUNDDOWN($D336-1/frec,0),cob_adi,BO$40,FALSE)*(1+i/frec)^-0.5*(1+Parámetros!$D$103)*(1+rec_fracc)/frec*'TABLAS ADI'!$BC$17),2))</f>
        <v>0</v>
      </c>
      <c r="CF336" s="119" t="str">
        <f t="shared" si="444"/>
        <v/>
      </c>
      <c r="CG336" s="66">
        <f>+IF($W336="","",ROUND(IF($B336&gt;Parámetros!$D$107,'Tablas Servicio'!CE336+('Tablas Servicio'!CG335-'Tablas Servicio'!CE335),CE336/(1-IF(B336&lt;=10,Parámetros!$D$100,0))),2))</f>
        <v>0</v>
      </c>
      <c r="CH336" s="66">
        <f t="shared" si="445"/>
        <v>0</v>
      </c>
      <c r="CI336" s="66">
        <f t="shared" si="445"/>
        <v>0</v>
      </c>
      <c r="CJ336" s="66">
        <f>+IF($W336="","",ROUND((CG336*Parámetros!$G$85),2))</f>
        <v>0</v>
      </c>
      <c r="CK336" s="66">
        <f>+IF($W336="","",ROUND((CG336*(Parámetros!$G$86)),2))</f>
        <v>0</v>
      </c>
      <c r="CL336" s="66">
        <f t="shared" si="446"/>
        <v>0</v>
      </c>
      <c r="CM336" t="str">
        <f t="shared" si="487"/>
        <v>00063</v>
      </c>
      <c r="CN336" s="118" t="str">
        <f t="shared" si="488"/>
        <v>Renta Diaria por Hospitalización</v>
      </c>
      <c r="CO336" s="118">
        <f t="shared" si="489"/>
        <v>0</v>
      </c>
      <c r="CP336" s="118" t="str">
        <f t="shared" si="490"/>
        <v>A</v>
      </c>
      <c r="CQ336" s="119" t="str">
        <f t="shared" si="447"/>
        <v/>
      </c>
      <c r="CR336" s="66">
        <f>+IF($W336="","",ROUND((VLOOKUP(Parámetros!$F$51,'COBERTURAS ADICIONALES'!$S$4:$T$32,2,FALSE)*(1+i/frec)^-0.5*(1+Parámetros!$D$103)*(1+rec_fracc)/frec*$CO$42),2))</f>
        <v>0</v>
      </c>
      <c r="CS336" s="119" t="str">
        <f t="shared" si="448"/>
        <v/>
      </c>
      <c r="CT336" s="66">
        <f>+IF($W336="","",ROUND(IF($B336&gt;Parámetros!$D$107,'Tablas Servicio'!CR336+('Tablas Servicio'!CT335-'Tablas Servicio'!CR335),CR336/(1-IF(B336&lt;=10,Parámetros!$D$100,0))),2))</f>
        <v>0</v>
      </c>
      <c r="CU336" s="66">
        <f t="shared" si="449"/>
        <v>0</v>
      </c>
      <c r="CV336" s="66">
        <f t="shared" si="449"/>
        <v>0</v>
      </c>
      <c r="CW336" s="66">
        <f>+IF($W336="","",ROUND((CT336*Parámetros!$G$85),2))</f>
        <v>0</v>
      </c>
      <c r="CX336" s="66">
        <f>+IF($W336="","",ROUND((CT336*(Parámetros!$G$86)),2))</f>
        <v>0</v>
      </c>
      <c r="CY336" s="66">
        <f t="shared" si="450"/>
        <v>0</v>
      </c>
      <c r="CZ336" t="str">
        <f t="shared" si="491"/>
        <v>00064</v>
      </c>
      <c r="DA336" s="118" t="str">
        <f t="shared" si="492"/>
        <v>Enfermedades Graves</v>
      </c>
      <c r="DB336" s="118">
        <f t="shared" si="493"/>
        <v>0</v>
      </c>
      <c r="DC336" s="118" t="str">
        <f t="shared" si="494"/>
        <v>A</v>
      </c>
      <c r="DD336" s="121" t="str">
        <f>+IF(OR($W336="",DB336=0),"",ROUND((VLOOKUP(ROUNDDOWN($D336-1/frec,0),cob_adi,CO$40,FALSE)*(1+i/frec)^-0.5*(1+Parámetros!$D$103)*(1+rec_fracc)/frec),6))</f>
        <v/>
      </c>
      <c r="DE336" s="66">
        <f t="shared" si="451"/>
        <v>0</v>
      </c>
      <c r="DF336" s="119" t="str">
        <f t="shared" si="452"/>
        <v/>
      </c>
      <c r="DG336" s="66">
        <f>+IF($W336="","",ROUND(IF($B336&gt;Parámetros!$D$107,'Tablas Servicio'!DE336+('Tablas Servicio'!DG335-'Tablas Servicio'!DE335),DE336/(1-IF(B336&lt;=10,Parámetros!$D$100,0))),2))</f>
        <v>0</v>
      </c>
      <c r="DH336" s="66">
        <f t="shared" si="453"/>
        <v>0</v>
      </c>
      <c r="DI336" s="66">
        <f t="shared" si="453"/>
        <v>0</v>
      </c>
      <c r="DJ336" s="66">
        <f>+IF($W336="","",ROUND((DG336*Parámetros!$G$85),2))</f>
        <v>0</v>
      </c>
      <c r="DK336" s="66">
        <f>+IF($W336="","",ROUND((DG336*(Parámetros!$G$86)),2))</f>
        <v>0</v>
      </c>
      <c r="DL336" s="66">
        <f t="shared" si="454"/>
        <v>0</v>
      </c>
      <c r="DM336" t="str">
        <f t="shared" si="495"/>
        <v>00065</v>
      </c>
      <c r="DN336" s="118" t="str">
        <f t="shared" si="496"/>
        <v>Exención pago de primas</v>
      </c>
      <c r="DO336" s="118">
        <f t="shared" si="497"/>
        <v>0</v>
      </c>
      <c r="DP336" s="118" t="str">
        <f t="shared" si="498"/>
        <v>A</v>
      </c>
      <c r="DQ336" s="122" t="str">
        <f>+IF(OR($W336="",DO336=0),"",ROUND((VLOOKUP(ROUNDDOWN($D336-1/frec,0),cob_adi,DB$40,FALSE)*(1+i/frec)^-0.5*(1+Parámetros!$D$103)*(1+rec_fracc)/frec),6))</f>
        <v/>
      </c>
      <c r="DR336" s="66">
        <f t="shared" si="455"/>
        <v>0</v>
      </c>
      <c r="DS336" s="68" t="str">
        <f t="shared" si="456"/>
        <v/>
      </c>
      <c r="DT336" s="66">
        <f>+IF($W336="","",ROUND(IF($B336&gt;Parámetros!$D$107,'Tablas Servicio'!DR336+('Tablas Servicio'!DT335-'Tablas Servicio'!DR335),DR336/(1-IF(B336&lt;=10,Parámetros!$D$100,0))),2))</f>
        <v>0</v>
      </c>
      <c r="DU336" s="66">
        <f t="shared" si="457"/>
        <v>0</v>
      </c>
      <c r="DV336" s="66">
        <f t="shared" si="457"/>
        <v>0</v>
      </c>
      <c r="DW336" s="66">
        <f>+IF($W336="","",ROUND((DT336*Parámetros!$G$85),2))</f>
        <v>0</v>
      </c>
      <c r="DX336" s="66">
        <f>+IF($W336="","",ROUND((DT336*(Parámetros!$G$86)),2))</f>
        <v>0</v>
      </c>
      <c r="DY336" s="66">
        <f t="shared" si="458"/>
        <v>0</v>
      </c>
      <c r="DZ336" t="str">
        <f t="shared" si="500"/>
        <v>00066</v>
      </c>
      <c r="EA336" s="118" t="str">
        <f t="shared" si="500"/>
        <v>Enfermedad terminal</v>
      </c>
      <c r="EB336" s="118">
        <f>+IF($W336="","",ROUND(IF(Parámetros!$D$25='TABLAS MORT'!$V$33,EB335,Z336/2),0))</f>
        <v>50000</v>
      </c>
      <c r="EC336" s="118" t="str">
        <f t="shared" si="500"/>
        <v>A</v>
      </c>
      <c r="ED336" s="122">
        <f>+IF(OR($W336="",EB336=0),"",ROUND((VLOOKUP(ROUNDDOWN($D336-1/frec,0),cob_adi,DO$40,FALSE)*(1+i/frec)^-0.5*(1+Parámetros!$D$103)*(1+rec_fracc)/frec),6))</f>
        <v>3.8999999999999999E-5</v>
      </c>
      <c r="EE336" s="66">
        <f t="shared" si="460"/>
        <v>1.95</v>
      </c>
      <c r="EF336" s="68">
        <f t="shared" si="461"/>
        <v>3.8999999999999999E-5</v>
      </c>
      <c r="EG336" s="66">
        <f>+IF($W336="","",ROUND(IF($B336&gt;Parámetros!$D$107,'Tablas Servicio'!EE336+('Tablas Servicio'!EG335-'Tablas Servicio'!EE335),EE336/(1-IF(B336&lt;=10,Parámetros!$D$100,0))),2))</f>
        <v>1.95</v>
      </c>
      <c r="EH336" s="66">
        <f t="shared" si="462"/>
        <v>0</v>
      </c>
      <c r="EI336" s="66">
        <f t="shared" si="462"/>
        <v>0</v>
      </c>
      <c r="EJ336" s="66">
        <f>+IF($W336="","",ROUND((EG336*Parámetros!$G$85),2))</f>
        <v>7.0000000000000007E-2</v>
      </c>
      <c r="EK336" s="66">
        <f>+IF($W336="","",ROUND((EG336*(Parámetros!$G$86)),2))</f>
        <v>0.01</v>
      </c>
      <c r="EL336" s="66">
        <f t="shared" si="463"/>
        <v>2.0299999999999998</v>
      </c>
    </row>
    <row r="337" spans="1:142" x14ac:dyDescent="0.25">
      <c r="A337">
        <f>+IF($C337="","",ROUND(VLOOKUP('Tablas Servicio'!B337,Parámetros!$H$100:$J$159,IF(Parámetros!$E$16="F",2,3),FALSE),2))</f>
        <v>150</v>
      </c>
      <c r="B337">
        <f t="shared" si="414"/>
        <v>25</v>
      </c>
      <c r="C337" s="57">
        <f>+IF(D337="","",'Tablas Servicio'!C336+1)</f>
        <v>296</v>
      </c>
      <c r="D337" s="56">
        <f>+IF(D336&lt;edadmaxtabla,D336+1/Parámetros!$E$25,"")</f>
        <v>64.686666666667307</v>
      </c>
      <c r="E337" s="57">
        <f t="shared" si="424"/>
        <v>64</v>
      </c>
      <c r="F337" s="59">
        <f t="shared" si="425"/>
        <v>100000</v>
      </c>
      <c r="G337" s="66">
        <f t="shared" si="415"/>
        <v>79.25</v>
      </c>
      <c r="H337" s="66">
        <f t="shared" si="416"/>
        <v>82.43</v>
      </c>
      <c r="I337" s="66">
        <f t="shared" si="464"/>
        <v>11.569999999999993</v>
      </c>
      <c r="J337" s="66">
        <f t="shared" si="417"/>
        <v>2.78</v>
      </c>
      <c r="K337" s="66">
        <f t="shared" si="418"/>
        <v>0.4</v>
      </c>
      <c r="L337" s="66">
        <f t="shared" si="419"/>
        <v>0</v>
      </c>
      <c r="M337" s="66">
        <f t="shared" si="420"/>
        <v>0</v>
      </c>
      <c r="N337" s="66">
        <f>+IF(C337="","",ROUND(Parámetros!$D$23,2))</f>
        <v>94</v>
      </c>
      <c r="O337" s="66">
        <f t="shared" si="421"/>
        <v>66.75</v>
      </c>
      <c r="P337" s="66">
        <f>+IF($C337="","",ROUND(IF(B337&gt;Parámetros!$D$117,0,N337*Parámetros!$D$116-G337*Parámetros!$D$100),2))</f>
        <v>0</v>
      </c>
      <c r="Q337" s="75">
        <f t="shared" si="465"/>
        <v>3.5078864353312297E-2</v>
      </c>
      <c r="R337" s="75">
        <f t="shared" si="466"/>
        <v>5.0473186119873821E-3</v>
      </c>
      <c r="S337" s="117">
        <f>+IF($C337="","",ROUND((S336+I337)*(1+Parámetros!$D$91),2))</f>
        <v>22318.5</v>
      </c>
      <c r="T337" s="117">
        <f>+IF($C337="","",ROUND(S337*VLOOKUP(B337,Parámetros!$C$30:$D$39,2,TRUE),2))</f>
        <v>22318.5</v>
      </c>
      <c r="U337" s="117">
        <f>+IF($C337="","",ROUND((U336+I337)*(1+Parámetros!$D$92),2))</f>
        <v>24079.52</v>
      </c>
      <c r="V337" s="117">
        <f>+IF($C337="","",ROUND(U337*VLOOKUP(B337,Parámetros!$C$30:$D$39,2,TRUE),2))</f>
        <v>24079.52</v>
      </c>
      <c r="W337" s="57">
        <f t="shared" si="467"/>
        <v>296</v>
      </c>
      <c r="X337" t="str">
        <f t="shared" si="468"/>
        <v>00058</v>
      </c>
      <c r="Y337" t="str">
        <f t="shared" si="469"/>
        <v>MUERTE POR CUALQUIER CAUSA</v>
      </c>
      <c r="Z337" s="118">
        <f>+IF($W337="","",ROUND(IF(Parámetros!$D$25='TABLAS MORT'!$V$33,Z336,Parámetros!$D$21-'Tablas Servicio'!T336),0))</f>
        <v>100000</v>
      </c>
      <c r="AA337" s="118" t="str">
        <f t="shared" si="470"/>
        <v>P</v>
      </c>
      <c r="AB337" s="119">
        <f>+IF(W337="","",ROUND((VLOOKUP(ROUNDDOWN($D337-1/frec,0),qx_tabla,2,FALSE)*(1+i/frec)^-0.5*(1+Parámetros!$D$103)*(1+rec_fracc)/frec),6))</f>
        <v>6.4800000000000003E-4</v>
      </c>
      <c r="AC337" s="66">
        <f t="shared" si="426"/>
        <v>64.8</v>
      </c>
      <c r="AD337" s="119">
        <f t="shared" si="422"/>
        <v>7.7300000000000003E-4</v>
      </c>
      <c r="AE337" s="66">
        <f>+IF($W337="","",ROUND(IF($B337&gt;Parámetros!$D$107,'Tablas Servicio'!AC337+('Tablas Servicio'!AG336-'Tablas Servicio'!AC336),AC337/(1-IF(B337&lt;=10,Parámetros!$D$104,Parámetros!$D$105))),2))</f>
        <v>108</v>
      </c>
      <c r="AF337" s="66">
        <f>+IF($W337="","",ROUND(IF($B337&gt;Parámetros!$D$107,'Tablas Servicio'!AC337+('Tablas Servicio'!AG336-'Tablas Servicio'!AC336),(AC337+$A336/frec)/(1-IF(B337&lt;=Parámetros!$D$117,Parámetros!$D$100,0))),2))</f>
        <v>77.3</v>
      </c>
      <c r="AG337" s="66">
        <f t="shared" si="427"/>
        <v>77.3</v>
      </c>
      <c r="AH337" s="66">
        <f t="shared" si="428"/>
        <v>0</v>
      </c>
      <c r="AI337" s="66">
        <f t="shared" si="429"/>
        <v>0</v>
      </c>
      <c r="AJ337" s="66">
        <f>+IF($W337="","",ROUND((AG337*Parámetros!$G$85),2))</f>
        <v>2.71</v>
      </c>
      <c r="AK337" s="66">
        <f>+IF($W337="","",ROUND((AG337*(Parámetros!$G$86)),2))</f>
        <v>0.39</v>
      </c>
      <c r="AL337" s="66">
        <f t="shared" si="423"/>
        <v>80.400000000000006</v>
      </c>
      <c r="AM337" t="str">
        <f t="shared" si="471"/>
        <v>00059</v>
      </c>
      <c r="AN337" t="str">
        <f t="shared" si="472"/>
        <v>Incapacidad Total y Permanente</v>
      </c>
      <c r="AO337" s="118">
        <f t="shared" si="473"/>
        <v>0</v>
      </c>
      <c r="AP337" s="118" t="str">
        <f t="shared" si="474"/>
        <v>A</v>
      </c>
      <c r="AQ337" s="119" t="str">
        <f>+IF(OR($W337="",AO337=0),"",ROUND((VLOOKUP(ROUNDDOWN($D337-1/frec,0),cob_adi,Z$40,FALSE)*(1+i/frec)^-0.5*(1+Parámetros!$D$103)*(1+rec_fracc)/frec),6))</f>
        <v/>
      </c>
      <c r="AR337" s="66">
        <f t="shared" si="430"/>
        <v>0</v>
      </c>
      <c r="AS337" s="119" t="str">
        <f t="shared" si="431"/>
        <v/>
      </c>
      <c r="AT337" s="66">
        <f>+IF($W337="","",ROUND(IF($B337&gt;Parámetros!$D$107,'Tablas Servicio'!AR337+('Tablas Servicio'!AT336-'Tablas Servicio'!AR336),AR337/(1-IF(B337&lt;=10,Parámetros!$D$100,0))),2))</f>
        <v>0</v>
      </c>
      <c r="AU337" s="66">
        <f t="shared" si="432"/>
        <v>0</v>
      </c>
      <c r="AV337" s="66">
        <f t="shared" si="432"/>
        <v>0</v>
      </c>
      <c r="AW337" s="66">
        <f>+IF($W337="","",ROUND((AT337*Parámetros!$G$85),2))</f>
        <v>0</v>
      </c>
      <c r="AX337" s="66">
        <f>+IF($W337="","",ROUND((AT337*(Parámetros!$G$86)),2))</f>
        <v>0</v>
      </c>
      <c r="AY337" s="66">
        <f t="shared" si="433"/>
        <v>0</v>
      </c>
      <c r="AZ337" t="str">
        <f t="shared" si="475"/>
        <v>00060</v>
      </c>
      <c r="BA337" t="str">
        <f t="shared" si="476"/>
        <v>Muerte Accidental</v>
      </c>
      <c r="BB337" s="118">
        <f t="shared" si="477"/>
        <v>0</v>
      </c>
      <c r="BC337" s="118" t="str">
        <f t="shared" si="478"/>
        <v>A</v>
      </c>
      <c r="BD337" s="119" t="str">
        <f>+IF(OR($W337="",BB337=0),"",ROUND((VLOOKUP(ROUNDDOWN($D337-1/frec,0),cob_adi,AO$40,FALSE)*(1+i/frec)^-0.5*(1+Parámetros!$D$103)*(1+rec_fracc)/frec),6))</f>
        <v/>
      </c>
      <c r="BE337" s="66">
        <f t="shared" si="434"/>
        <v>0</v>
      </c>
      <c r="BF337" s="119" t="str">
        <f t="shared" si="435"/>
        <v/>
      </c>
      <c r="BG337" s="66">
        <f>+IF($W337="","",ROUND(IF($B337&gt;Parámetros!$D$107,'Tablas Servicio'!BE337+('Tablas Servicio'!BG336-'Tablas Servicio'!BE336),BE337/(1-IF(B337&lt;=10,Parámetros!$D$100,0))),2))</f>
        <v>0</v>
      </c>
      <c r="BH337" s="66">
        <f t="shared" si="436"/>
        <v>0</v>
      </c>
      <c r="BI337" s="66">
        <f t="shared" si="437"/>
        <v>0</v>
      </c>
      <c r="BJ337" s="66">
        <f>+IF($W337="","",ROUND((BG337*Parámetros!$G$85),2))</f>
        <v>0</v>
      </c>
      <c r="BK337" s="66">
        <f>+IF($W337="","",ROUND((BG337*(Parámetros!$G$86)),2))</f>
        <v>0</v>
      </c>
      <c r="BL337" s="66">
        <f t="shared" si="438"/>
        <v>0</v>
      </c>
      <c r="BM337" t="str">
        <f t="shared" si="479"/>
        <v>00061</v>
      </c>
      <c r="BN337" t="str">
        <f t="shared" si="480"/>
        <v>Gastos de Entierro</v>
      </c>
      <c r="BO337" s="118">
        <f t="shared" si="481"/>
        <v>0</v>
      </c>
      <c r="BP337" s="118" t="str">
        <f t="shared" si="482"/>
        <v>A</v>
      </c>
      <c r="BQ337" s="119" t="str">
        <f>+IF(OR($W337="",BO337=0),"",ROUND((VLOOKUP(ROUNDDOWN($D337-1/frec,0),cob_adi,BB$40,FALSE)*(1+i/frec)^-0.5*(1+Parámetros!$D$103)*(1+rec_fracc)/frec),6))</f>
        <v/>
      </c>
      <c r="BR337" s="66">
        <f t="shared" si="439"/>
        <v>0</v>
      </c>
      <c r="BS337" s="119" t="str">
        <f t="shared" si="440"/>
        <v/>
      </c>
      <c r="BT337" s="66">
        <f>+IF($W337="","",ROUND(IF($B337&gt;Parámetros!$D$107,'Tablas Servicio'!BR337+('Tablas Servicio'!BT336-'Tablas Servicio'!BR336),BR337/(1-IF(B337&lt;=10,Parámetros!$D$100,0))),2))</f>
        <v>0</v>
      </c>
      <c r="BU337" s="66">
        <f t="shared" si="441"/>
        <v>0</v>
      </c>
      <c r="BV337" s="66">
        <f t="shared" si="441"/>
        <v>0</v>
      </c>
      <c r="BW337" s="66">
        <f>+IF($W337="","",ROUND((BT337*Parámetros!$G$85),2))</f>
        <v>0</v>
      </c>
      <c r="BX337" s="66">
        <f>+IF($W337="","",ROUND((BT337*(Parámetros!$G$86)),2))</f>
        <v>0</v>
      </c>
      <c r="BY337" s="66">
        <f t="shared" si="442"/>
        <v>0</v>
      </c>
      <c r="BZ337" t="str">
        <f t="shared" si="483"/>
        <v>00062</v>
      </c>
      <c r="CA337" t="str">
        <f t="shared" si="484"/>
        <v>Gastos médicos por accidente</v>
      </c>
      <c r="CB337" s="118">
        <f t="shared" si="485"/>
        <v>0</v>
      </c>
      <c r="CC337" s="118" t="str">
        <f t="shared" si="486"/>
        <v>A</v>
      </c>
      <c r="CD337" s="119" t="str">
        <f t="shared" si="443"/>
        <v/>
      </c>
      <c r="CE337" s="66">
        <f>+IF($W337="","",ROUND((VLOOKUP(ROUNDDOWN($D337-1/frec,0),cob_adi,BO$40,FALSE)*(1+i/frec)^-0.5*(1+Parámetros!$D$103)*(1+rec_fracc)/frec*'TABLAS ADI'!$BC$17),2))</f>
        <v>0</v>
      </c>
      <c r="CF337" s="119" t="str">
        <f t="shared" si="444"/>
        <v/>
      </c>
      <c r="CG337" s="66">
        <f>+IF($W337="","",ROUND(IF($B337&gt;Parámetros!$D$107,'Tablas Servicio'!CE337+('Tablas Servicio'!CG336-'Tablas Servicio'!CE336),CE337/(1-IF(B337&lt;=10,Parámetros!$D$100,0))),2))</f>
        <v>0</v>
      </c>
      <c r="CH337" s="66">
        <f t="shared" si="445"/>
        <v>0</v>
      </c>
      <c r="CI337" s="66">
        <f t="shared" si="445"/>
        <v>0</v>
      </c>
      <c r="CJ337" s="66">
        <f>+IF($W337="","",ROUND((CG337*Parámetros!$G$85),2))</f>
        <v>0</v>
      </c>
      <c r="CK337" s="66">
        <f>+IF($W337="","",ROUND((CG337*(Parámetros!$G$86)),2))</f>
        <v>0</v>
      </c>
      <c r="CL337" s="66">
        <f t="shared" si="446"/>
        <v>0</v>
      </c>
      <c r="CM337" t="str">
        <f t="shared" si="487"/>
        <v>00063</v>
      </c>
      <c r="CN337" s="118" t="str">
        <f t="shared" si="488"/>
        <v>Renta Diaria por Hospitalización</v>
      </c>
      <c r="CO337" s="118">
        <f t="shared" si="489"/>
        <v>0</v>
      </c>
      <c r="CP337" s="118" t="str">
        <f t="shared" si="490"/>
        <v>A</v>
      </c>
      <c r="CQ337" s="119" t="str">
        <f t="shared" si="447"/>
        <v/>
      </c>
      <c r="CR337" s="66">
        <f>+IF($W337="","",ROUND((VLOOKUP(Parámetros!$F$51,'COBERTURAS ADICIONALES'!$S$4:$T$32,2,FALSE)*(1+i/frec)^-0.5*(1+Parámetros!$D$103)*(1+rec_fracc)/frec*$CO$42),2))</f>
        <v>0</v>
      </c>
      <c r="CS337" s="119" t="str">
        <f t="shared" si="448"/>
        <v/>
      </c>
      <c r="CT337" s="66">
        <f>+IF($W337="","",ROUND(IF($B337&gt;Parámetros!$D$107,'Tablas Servicio'!CR337+('Tablas Servicio'!CT336-'Tablas Servicio'!CR336),CR337/(1-IF(B337&lt;=10,Parámetros!$D$100,0))),2))</f>
        <v>0</v>
      </c>
      <c r="CU337" s="66">
        <f t="shared" si="449"/>
        <v>0</v>
      </c>
      <c r="CV337" s="66">
        <f t="shared" si="449"/>
        <v>0</v>
      </c>
      <c r="CW337" s="66">
        <f>+IF($W337="","",ROUND((CT337*Parámetros!$G$85),2))</f>
        <v>0</v>
      </c>
      <c r="CX337" s="66">
        <f>+IF($W337="","",ROUND((CT337*(Parámetros!$G$86)),2))</f>
        <v>0</v>
      </c>
      <c r="CY337" s="66">
        <f t="shared" si="450"/>
        <v>0</v>
      </c>
      <c r="CZ337" t="str">
        <f t="shared" si="491"/>
        <v>00064</v>
      </c>
      <c r="DA337" s="118" t="str">
        <f t="shared" si="492"/>
        <v>Enfermedades Graves</v>
      </c>
      <c r="DB337" s="118">
        <f t="shared" si="493"/>
        <v>0</v>
      </c>
      <c r="DC337" s="118" t="str">
        <f t="shared" si="494"/>
        <v>A</v>
      </c>
      <c r="DD337" s="121" t="str">
        <f>+IF(OR($W337="",DB337=0),"",ROUND((VLOOKUP(ROUNDDOWN($D337-1/frec,0),cob_adi,CO$40,FALSE)*(1+i/frec)^-0.5*(1+Parámetros!$D$103)*(1+rec_fracc)/frec),6))</f>
        <v/>
      </c>
      <c r="DE337" s="66">
        <f t="shared" si="451"/>
        <v>0</v>
      </c>
      <c r="DF337" s="119" t="str">
        <f t="shared" si="452"/>
        <v/>
      </c>
      <c r="DG337" s="66">
        <f>+IF($W337="","",ROUND(IF($B337&gt;Parámetros!$D$107,'Tablas Servicio'!DE337+('Tablas Servicio'!DG336-'Tablas Servicio'!DE336),DE337/(1-IF(B337&lt;=10,Parámetros!$D$100,0))),2))</f>
        <v>0</v>
      </c>
      <c r="DH337" s="66">
        <f t="shared" si="453"/>
        <v>0</v>
      </c>
      <c r="DI337" s="66">
        <f t="shared" si="453"/>
        <v>0</v>
      </c>
      <c r="DJ337" s="66">
        <f>+IF($W337="","",ROUND((DG337*Parámetros!$G$85),2))</f>
        <v>0</v>
      </c>
      <c r="DK337" s="66">
        <f>+IF($W337="","",ROUND((DG337*(Parámetros!$G$86)),2))</f>
        <v>0</v>
      </c>
      <c r="DL337" s="66">
        <f t="shared" si="454"/>
        <v>0</v>
      </c>
      <c r="DM337" t="str">
        <f t="shared" si="495"/>
        <v>00065</v>
      </c>
      <c r="DN337" s="118" t="str">
        <f t="shared" si="496"/>
        <v>Exención pago de primas</v>
      </c>
      <c r="DO337" s="118">
        <f t="shared" si="497"/>
        <v>0</v>
      </c>
      <c r="DP337" s="118" t="str">
        <f t="shared" si="498"/>
        <v>A</v>
      </c>
      <c r="DQ337" s="122" t="str">
        <f>+IF(OR($W337="",DO337=0),"",ROUND((VLOOKUP(ROUNDDOWN($D337-1/frec,0),cob_adi,DB$40,FALSE)*(1+i/frec)^-0.5*(1+Parámetros!$D$103)*(1+rec_fracc)/frec),6))</f>
        <v/>
      </c>
      <c r="DR337" s="66">
        <f t="shared" si="455"/>
        <v>0</v>
      </c>
      <c r="DS337" s="68" t="str">
        <f t="shared" si="456"/>
        <v/>
      </c>
      <c r="DT337" s="66">
        <f>+IF($W337="","",ROUND(IF($B337&gt;Parámetros!$D$107,'Tablas Servicio'!DR337+('Tablas Servicio'!DT336-'Tablas Servicio'!DR336),DR337/(1-IF(B337&lt;=10,Parámetros!$D$100,0))),2))</f>
        <v>0</v>
      </c>
      <c r="DU337" s="66">
        <f t="shared" si="457"/>
        <v>0</v>
      </c>
      <c r="DV337" s="66">
        <f t="shared" si="457"/>
        <v>0</v>
      </c>
      <c r="DW337" s="66">
        <f>+IF($W337="","",ROUND((DT337*Parámetros!$G$85),2))</f>
        <v>0</v>
      </c>
      <c r="DX337" s="66">
        <f>+IF($W337="","",ROUND((DT337*(Parámetros!$G$86)),2))</f>
        <v>0</v>
      </c>
      <c r="DY337" s="66">
        <f t="shared" si="458"/>
        <v>0</v>
      </c>
      <c r="DZ337" t="str">
        <f t="shared" si="500"/>
        <v>00066</v>
      </c>
      <c r="EA337" s="118" t="str">
        <f t="shared" si="500"/>
        <v>Enfermedad terminal</v>
      </c>
      <c r="EB337" s="118">
        <f>+IF($W337="","",ROUND(IF(Parámetros!$D$25='TABLAS MORT'!$V$33,EB336,Z337/2),0))</f>
        <v>50000</v>
      </c>
      <c r="EC337" s="118" t="str">
        <f t="shared" si="500"/>
        <v>A</v>
      </c>
      <c r="ED337" s="122">
        <f>+IF(OR($W337="",EB337=0),"",ROUND((VLOOKUP(ROUNDDOWN($D337-1/frec,0),cob_adi,DO$40,FALSE)*(1+i/frec)^-0.5*(1+Parámetros!$D$103)*(1+rec_fracc)/frec),6))</f>
        <v>3.8999999999999999E-5</v>
      </c>
      <c r="EE337" s="66">
        <f t="shared" si="460"/>
        <v>1.95</v>
      </c>
      <c r="EF337" s="68">
        <f t="shared" si="461"/>
        <v>3.8999999999999999E-5</v>
      </c>
      <c r="EG337" s="66">
        <f>+IF($W337="","",ROUND(IF($B337&gt;Parámetros!$D$107,'Tablas Servicio'!EE337+('Tablas Servicio'!EG336-'Tablas Servicio'!EE336),EE337/(1-IF(B337&lt;=10,Parámetros!$D$100,0))),2))</f>
        <v>1.95</v>
      </c>
      <c r="EH337" s="66">
        <f t="shared" si="462"/>
        <v>0</v>
      </c>
      <c r="EI337" s="66">
        <f t="shared" si="462"/>
        <v>0</v>
      </c>
      <c r="EJ337" s="66">
        <f>+IF($W337="","",ROUND((EG337*Parámetros!$G$85),2))</f>
        <v>7.0000000000000007E-2</v>
      </c>
      <c r="EK337" s="66">
        <f>+IF($W337="","",ROUND((EG337*(Parámetros!$G$86)),2))</f>
        <v>0.01</v>
      </c>
      <c r="EL337" s="66">
        <f t="shared" si="463"/>
        <v>2.0299999999999998</v>
      </c>
    </row>
    <row r="338" spans="1:142" x14ac:dyDescent="0.25">
      <c r="A338">
        <f>+IF($C338="","",ROUND(VLOOKUP('Tablas Servicio'!B338,Parámetros!$H$100:$J$159,IF(Parámetros!$E$16="F",2,3),FALSE),2))</f>
        <v>150</v>
      </c>
      <c r="B338">
        <f t="shared" si="414"/>
        <v>25</v>
      </c>
      <c r="C338" s="57">
        <f>+IF(D338="","",'Tablas Servicio'!C337+1)</f>
        <v>297</v>
      </c>
      <c r="D338" s="56">
        <f>+IF(D337&lt;edadmaxtabla,D337+1/Parámetros!$E$25,"")</f>
        <v>64.770000000000636</v>
      </c>
      <c r="E338" s="57">
        <f t="shared" si="424"/>
        <v>64</v>
      </c>
      <c r="F338" s="59">
        <f t="shared" si="425"/>
        <v>100000</v>
      </c>
      <c r="G338" s="66">
        <f t="shared" si="415"/>
        <v>79.25</v>
      </c>
      <c r="H338" s="66">
        <f t="shared" si="416"/>
        <v>82.43</v>
      </c>
      <c r="I338" s="66">
        <f t="shared" si="464"/>
        <v>11.569999999999993</v>
      </c>
      <c r="J338" s="66">
        <f t="shared" si="417"/>
        <v>2.78</v>
      </c>
      <c r="K338" s="66">
        <f t="shared" si="418"/>
        <v>0.4</v>
      </c>
      <c r="L338" s="66">
        <f t="shared" si="419"/>
        <v>0</v>
      </c>
      <c r="M338" s="66">
        <f t="shared" si="420"/>
        <v>0</v>
      </c>
      <c r="N338" s="66">
        <f>+IF(C338="","",ROUND(Parámetros!$D$23,2))</f>
        <v>94</v>
      </c>
      <c r="O338" s="66">
        <f t="shared" si="421"/>
        <v>66.75</v>
      </c>
      <c r="P338" s="66">
        <f>+IF($C338="","",ROUND(IF(B338&gt;Parámetros!$D$117,0,N338*Parámetros!$D$116-G338*Parámetros!$D$100),2))</f>
        <v>0</v>
      </c>
      <c r="Q338" s="75">
        <f t="shared" si="465"/>
        <v>3.5078864353312297E-2</v>
      </c>
      <c r="R338" s="75">
        <f t="shared" si="466"/>
        <v>5.0473186119873821E-3</v>
      </c>
      <c r="S338" s="117">
        <f>+IF($C338="","",ROUND((S337+I338)*(1+Parámetros!$D$91),2))</f>
        <v>22393.41</v>
      </c>
      <c r="T338" s="117">
        <f>+IF($C338="","",ROUND(S338*VLOOKUP(B338,Parámetros!$C$30:$D$39,2,TRUE),2))</f>
        <v>22393.41</v>
      </c>
      <c r="U338" s="117">
        <f>+IF($C338="","",ROUND((U337+I338)*(1+Parámetros!$D$92),2))</f>
        <v>24169.19</v>
      </c>
      <c r="V338" s="117">
        <f>+IF($C338="","",ROUND(U338*VLOOKUP(B338,Parámetros!$C$30:$D$39,2,TRUE),2))</f>
        <v>24169.19</v>
      </c>
      <c r="W338" s="57">
        <f t="shared" si="467"/>
        <v>297</v>
      </c>
      <c r="X338" t="str">
        <f t="shared" si="468"/>
        <v>00058</v>
      </c>
      <c r="Y338" t="str">
        <f t="shared" si="469"/>
        <v>MUERTE POR CUALQUIER CAUSA</v>
      </c>
      <c r="Z338" s="118">
        <f>+IF($W338="","",ROUND(IF(Parámetros!$D$25='TABLAS MORT'!$V$33,Z337,Parámetros!$D$21-'Tablas Servicio'!T337),0))</f>
        <v>100000</v>
      </c>
      <c r="AA338" s="118" t="str">
        <f t="shared" si="470"/>
        <v>P</v>
      </c>
      <c r="AB338" s="119">
        <f>+IF(W338="","",ROUND((VLOOKUP(ROUNDDOWN($D338-1/frec,0),qx_tabla,2,FALSE)*(1+i/frec)^-0.5*(1+Parámetros!$D$103)*(1+rec_fracc)/frec),6))</f>
        <v>6.4800000000000003E-4</v>
      </c>
      <c r="AC338" s="66">
        <f t="shared" si="426"/>
        <v>64.8</v>
      </c>
      <c r="AD338" s="119">
        <f t="shared" si="422"/>
        <v>7.7300000000000003E-4</v>
      </c>
      <c r="AE338" s="66">
        <f>+IF($W338="","",ROUND(IF($B338&gt;Parámetros!$D$107,'Tablas Servicio'!AC338+('Tablas Servicio'!AG337-'Tablas Servicio'!AC337),AC338/(1-IF(B338&lt;=10,Parámetros!$D$104,Parámetros!$D$105))),2))</f>
        <v>108</v>
      </c>
      <c r="AF338" s="66">
        <f>+IF($W338="","",ROUND(IF($B338&gt;Parámetros!$D$107,'Tablas Servicio'!AC338+('Tablas Servicio'!AG337-'Tablas Servicio'!AC337),(AC338+$A337/frec)/(1-IF(B338&lt;=Parámetros!$D$117,Parámetros!$D$100,0))),2))</f>
        <v>77.3</v>
      </c>
      <c r="AG338" s="66">
        <f t="shared" si="427"/>
        <v>77.3</v>
      </c>
      <c r="AH338" s="66">
        <f t="shared" si="428"/>
        <v>0</v>
      </c>
      <c r="AI338" s="66">
        <f t="shared" si="429"/>
        <v>0</v>
      </c>
      <c r="AJ338" s="66">
        <f>+IF($W338="","",ROUND((AG338*Parámetros!$G$85),2))</f>
        <v>2.71</v>
      </c>
      <c r="AK338" s="66">
        <f>+IF($W338="","",ROUND((AG338*(Parámetros!$G$86)),2))</f>
        <v>0.39</v>
      </c>
      <c r="AL338" s="66">
        <f t="shared" si="423"/>
        <v>80.400000000000006</v>
      </c>
      <c r="AM338" t="str">
        <f t="shared" si="471"/>
        <v>00059</v>
      </c>
      <c r="AN338" t="str">
        <f t="shared" si="472"/>
        <v>Incapacidad Total y Permanente</v>
      </c>
      <c r="AO338" s="118">
        <f t="shared" si="473"/>
        <v>0</v>
      </c>
      <c r="AP338" s="118" t="str">
        <f t="shared" si="474"/>
        <v>A</v>
      </c>
      <c r="AQ338" s="119" t="str">
        <f>+IF(OR($W338="",AO338=0),"",ROUND((VLOOKUP(ROUNDDOWN($D338-1/frec,0),cob_adi,Z$40,FALSE)*(1+i/frec)^-0.5*(1+Parámetros!$D$103)*(1+rec_fracc)/frec),6))</f>
        <v/>
      </c>
      <c r="AR338" s="66">
        <f t="shared" si="430"/>
        <v>0</v>
      </c>
      <c r="AS338" s="119" t="str">
        <f t="shared" si="431"/>
        <v/>
      </c>
      <c r="AT338" s="66">
        <f>+IF($W338="","",ROUND(IF($B338&gt;Parámetros!$D$107,'Tablas Servicio'!AR338+('Tablas Servicio'!AT337-'Tablas Servicio'!AR337),AR338/(1-IF(B338&lt;=10,Parámetros!$D$100,0))),2))</f>
        <v>0</v>
      </c>
      <c r="AU338" s="66">
        <f t="shared" si="432"/>
        <v>0</v>
      </c>
      <c r="AV338" s="66">
        <f t="shared" si="432"/>
        <v>0</v>
      </c>
      <c r="AW338" s="66">
        <f>+IF($W338="","",ROUND((AT338*Parámetros!$G$85),2))</f>
        <v>0</v>
      </c>
      <c r="AX338" s="66">
        <f>+IF($W338="","",ROUND((AT338*(Parámetros!$G$86)),2))</f>
        <v>0</v>
      </c>
      <c r="AY338" s="66">
        <f t="shared" si="433"/>
        <v>0</v>
      </c>
      <c r="AZ338" t="str">
        <f t="shared" si="475"/>
        <v>00060</v>
      </c>
      <c r="BA338" t="str">
        <f t="shared" si="476"/>
        <v>Muerte Accidental</v>
      </c>
      <c r="BB338" s="118">
        <f t="shared" si="477"/>
        <v>0</v>
      </c>
      <c r="BC338" s="118" t="str">
        <f t="shared" si="478"/>
        <v>A</v>
      </c>
      <c r="BD338" s="119" t="str">
        <f>+IF(OR($W338="",BB338=0),"",ROUND((VLOOKUP(ROUNDDOWN($D338-1/frec,0),cob_adi,AO$40,FALSE)*(1+i/frec)^-0.5*(1+Parámetros!$D$103)*(1+rec_fracc)/frec),6))</f>
        <v/>
      </c>
      <c r="BE338" s="66">
        <f t="shared" si="434"/>
        <v>0</v>
      </c>
      <c r="BF338" s="119" t="str">
        <f t="shared" si="435"/>
        <v/>
      </c>
      <c r="BG338" s="66">
        <f>+IF($W338="","",ROUND(IF($B338&gt;Parámetros!$D$107,'Tablas Servicio'!BE338+('Tablas Servicio'!BG337-'Tablas Servicio'!BE337),BE338/(1-IF(B338&lt;=10,Parámetros!$D$100,0))),2))</f>
        <v>0</v>
      </c>
      <c r="BH338" s="66">
        <f t="shared" si="436"/>
        <v>0</v>
      </c>
      <c r="BI338" s="66">
        <f t="shared" si="437"/>
        <v>0</v>
      </c>
      <c r="BJ338" s="66">
        <f>+IF($W338="","",ROUND((BG338*Parámetros!$G$85),2))</f>
        <v>0</v>
      </c>
      <c r="BK338" s="66">
        <f>+IF($W338="","",ROUND((BG338*(Parámetros!$G$86)),2))</f>
        <v>0</v>
      </c>
      <c r="BL338" s="66">
        <f t="shared" si="438"/>
        <v>0</v>
      </c>
      <c r="BM338" t="str">
        <f t="shared" si="479"/>
        <v>00061</v>
      </c>
      <c r="BN338" t="str">
        <f t="shared" si="480"/>
        <v>Gastos de Entierro</v>
      </c>
      <c r="BO338" s="118">
        <f t="shared" si="481"/>
        <v>0</v>
      </c>
      <c r="BP338" s="118" t="str">
        <f t="shared" si="482"/>
        <v>A</v>
      </c>
      <c r="BQ338" s="119" t="str">
        <f>+IF(OR($W338="",BO338=0),"",ROUND((VLOOKUP(ROUNDDOWN($D338-1/frec,0),cob_adi,BB$40,FALSE)*(1+i/frec)^-0.5*(1+Parámetros!$D$103)*(1+rec_fracc)/frec),6))</f>
        <v/>
      </c>
      <c r="BR338" s="66">
        <f t="shared" si="439"/>
        <v>0</v>
      </c>
      <c r="BS338" s="119" t="str">
        <f t="shared" si="440"/>
        <v/>
      </c>
      <c r="BT338" s="66">
        <f>+IF($W338="","",ROUND(IF($B338&gt;Parámetros!$D$107,'Tablas Servicio'!BR338+('Tablas Servicio'!BT337-'Tablas Servicio'!BR337),BR338/(1-IF(B338&lt;=10,Parámetros!$D$100,0))),2))</f>
        <v>0</v>
      </c>
      <c r="BU338" s="66">
        <f t="shared" si="441"/>
        <v>0</v>
      </c>
      <c r="BV338" s="66">
        <f t="shared" si="441"/>
        <v>0</v>
      </c>
      <c r="BW338" s="66">
        <f>+IF($W338="","",ROUND((BT338*Parámetros!$G$85),2))</f>
        <v>0</v>
      </c>
      <c r="BX338" s="66">
        <f>+IF($W338="","",ROUND((BT338*(Parámetros!$G$86)),2))</f>
        <v>0</v>
      </c>
      <c r="BY338" s="66">
        <f t="shared" si="442"/>
        <v>0</v>
      </c>
      <c r="BZ338" t="str">
        <f t="shared" si="483"/>
        <v>00062</v>
      </c>
      <c r="CA338" t="str">
        <f t="shared" si="484"/>
        <v>Gastos médicos por accidente</v>
      </c>
      <c r="CB338" s="118">
        <f t="shared" si="485"/>
        <v>0</v>
      </c>
      <c r="CC338" s="118" t="str">
        <f t="shared" si="486"/>
        <v>A</v>
      </c>
      <c r="CD338" s="119" t="str">
        <f t="shared" si="443"/>
        <v/>
      </c>
      <c r="CE338" s="66">
        <f>+IF($W338="","",ROUND((VLOOKUP(ROUNDDOWN($D338-1/frec,0),cob_adi,BO$40,FALSE)*(1+i/frec)^-0.5*(1+Parámetros!$D$103)*(1+rec_fracc)/frec*'TABLAS ADI'!$BC$17),2))</f>
        <v>0</v>
      </c>
      <c r="CF338" s="119" t="str">
        <f t="shared" si="444"/>
        <v/>
      </c>
      <c r="CG338" s="66">
        <f>+IF($W338="","",ROUND(IF($B338&gt;Parámetros!$D$107,'Tablas Servicio'!CE338+('Tablas Servicio'!CG337-'Tablas Servicio'!CE337),CE338/(1-IF(B338&lt;=10,Parámetros!$D$100,0))),2))</f>
        <v>0</v>
      </c>
      <c r="CH338" s="66">
        <f t="shared" si="445"/>
        <v>0</v>
      </c>
      <c r="CI338" s="66">
        <f t="shared" si="445"/>
        <v>0</v>
      </c>
      <c r="CJ338" s="66">
        <f>+IF($W338="","",ROUND((CG338*Parámetros!$G$85),2))</f>
        <v>0</v>
      </c>
      <c r="CK338" s="66">
        <f>+IF($W338="","",ROUND((CG338*(Parámetros!$G$86)),2))</f>
        <v>0</v>
      </c>
      <c r="CL338" s="66">
        <f t="shared" si="446"/>
        <v>0</v>
      </c>
      <c r="CM338" t="str">
        <f t="shared" si="487"/>
        <v>00063</v>
      </c>
      <c r="CN338" s="118" t="str">
        <f t="shared" si="488"/>
        <v>Renta Diaria por Hospitalización</v>
      </c>
      <c r="CO338" s="118">
        <f t="shared" si="489"/>
        <v>0</v>
      </c>
      <c r="CP338" s="118" t="str">
        <f t="shared" si="490"/>
        <v>A</v>
      </c>
      <c r="CQ338" s="119" t="str">
        <f t="shared" si="447"/>
        <v/>
      </c>
      <c r="CR338" s="66">
        <f>+IF($W338="","",ROUND((VLOOKUP(Parámetros!$F$51,'COBERTURAS ADICIONALES'!$S$4:$T$32,2,FALSE)*(1+i/frec)^-0.5*(1+Parámetros!$D$103)*(1+rec_fracc)/frec*$CO$42),2))</f>
        <v>0</v>
      </c>
      <c r="CS338" s="119" t="str">
        <f t="shared" si="448"/>
        <v/>
      </c>
      <c r="CT338" s="66">
        <f>+IF($W338="","",ROUND(IF($B338&gt;Parámetros!$D$107,'Tablas Servicio'!CR338+('Tablas Servicio'!CT337-'Tablas Servicio'!CR337),CR338/(1-IF(B338&lt;=10,Parámetros!$D$100,0))),2))</f>
        <v>0</v>
      </c>
      <c r="CU338" s="66">
        <f t="shared" si="449"/>
        <v>0</v>
      </c>
      <c r="CV338" s="66">
        <f t="shared" si="449"/>
        <v>0</v>
      </c>
      <c r="CW338" s="66">
        <f>+IF($W338="","",ROUND((CT338*Parámetros!$G$85),2))</f>
        <v>0</v>
      </c>
      <c r="CX338" s="66">
        <f>+IF($W338="","",ROUND((CT338*(Parámetros!$G$86)),2))</f>
        <v>0</v>
      </c>
      <c r="CY338" s="66">
        <f t="shared" si="450"/>
        <v>0</v>
      </c>
      <c r="CZ338" t="str">
        <f t="shared" si="491"/>
        <v>00064</v>
      </c>
      <c r="DA338" s="118" t="str">
        <f t="shared" si="492"/>
        <v>Enfermedades Graves</v>
      </c>
      <c r="DB338" s="118">
        <f t="shared" si="493"/>
        <v>0</v>
      </c>
      <c r="DC338" s="118" t="str">
        <f t="shared" si="494"/>
        <v>A</v>
      </c>
      <c r="DD338" s="121" t="str">
        <f>+IF(OR($W338="",DB338=0),"",ROUND((VLOOKUP(ROUNDDOWN($D338-1/frec,0),cob_adi,CO$40,FALSE)*(1+i/frec)^-0.5*(1+Parámetros!$D$103)*(1+rec_fracc)/frec),6))</f>
        <v/>
      </c>
      <c r="DE338" s="66">
        <f t="shared" si="451"/>
        <v>0</v>
      </c>
      <c r="DF338" s="119" t="str">
        <f t="shared" si="452"/>
        <v/>
      </c>
      <c r="DG338" s="66">
        <f>+IF($W338="","",ROUND(IF($B338&gt;Parámetros!$D$107,'Tablas Servicio'!DE338+('Tablas Servicio'!DG337-'Tablas Servicio'!DE337),DE338/(1-IF(B338&lt;=10,Parámetros!$D$100,0))),2))</f>
        <v>0</v>
      </c>
      <c r="DH338" s="66">
        <f t="shared" si="453"/>
        <v>0</v>
      </c>
      <c r="DI338" s="66">
        <f t="shared" si="453"/>
        <v>0</v>
      </c>
      <c r="DJ338" s="66">
        <f>+IF($W338="","",ROUND((DG338*Parámetros!$G$85),2))</f>
        <v>0</v>
      </c>
      <c r="DK338" s="66">
        <f>+IF($W338="","",ROUND((DG338*(Parámetros!$G$86)),2))</f>
        <v>0</v>
      </c>
      <c r="DL338" s="66">
        <f t="shared" si="454"/>
        <v>0</v>
      </c>
      <c r="DM338" t="str">
        <f t="shared" si="495"/>
        <v>00065</v>
      </c>
      <c r="DN338" s="118" t="str">
        <f t="shared" si="496"/>
        <v>Exención pago de primas</v>
      </c>
      <c r="DO338" s="118">
        <f t="shared" si="497"/>
        <v>0</v>
      </c>
      <c r="DP338" s="118" t="str">
        <f t="shared" si="498"/>
        <v>A</v>
      </c>
      <c r="DQ338" s="122" t="str">
        <f>+IF(OR($W338="",DO338=0),"",ROUND((VLOOKUP(ROUNDDOWN($D338-1/frec,0),cob_adi,DB$40,FALSE)*(1+i/frec)^-0.5*(1+Parámetros!$D$103)*(1+rec_fracc)/frec),6))</f>
        <v/>
      </c>
      <c r="DR338" s="66">
        <f t="shared" si="455"/>
        <v>0</v>
      </c>
      <c r="DS338" s="68" t="str">
        <f t="shared" si="456"/>
        <v/>
      </c>
      <c r="DT338" s="66">
        <f>+IF($W338="","",ROUND(IF($B338&gt;Parámetros!$D$107,'Tablas Servicio'!DR338+('Tablas Servicio'!DT337-'Tablas Servicio'!DR337),DR338/(1-IF(B338&lt;=10,Parámetros!$D$100,0))),2))</f>
        <v>0</v>
      </c>
      <c r="DU338" s="66">
        <f t="shared" si="457"/>
        <v>0</v>
      </c>
      <c r="DV338" s="66">
        <f t="shared" si="457"/>
        <v>0</v>
      </c>
      <c r="DW338" s="66">
        <f>+IF($W338="","",ROUND((DT338*Parámetros!$G$85),2))</f>
        <v>0</v>
      </c>
      <c r="DX338" s="66">
        <f>+IF($W338="","",ROUND((DT338*(Parámetros!$G$86)),2))</f>
        <v>0</v>
      </c>
      <c r="DY338" s="66">
        <f t="shared" si="458"/>
        <v>0</v>
      </c>
      <c r="DZ338" t="str">
        <f t="shared" si="500"/>
        <v>00066</v>
      </c>
      <c r="EA338" s="118" t="str">
        <f t="shared" si="500"/>
        <v>Enfermedad terminal</v>
      </c>
      <c r="EB338" s="118">
        <f>+IF($W338="","",ROUND(IF(Parámetros!$D$25='TABLAS MORT'!$V$33,EB337,Z338/2),0))</f>
        <v>50000</v>
      </c>
      <c r="EC338" s="118" t="str">
        <f t="shared" si="500"/>
        <v>A</v>
      </c>
      <c r="ED338" s="122">
        <f>+IF(OR($W338="",EB338=0),"",ROUND((VLOOKUP(ROUNDDOWN($D338-1/frec,0),cob_adi,DO$40,FALSE)*(1+i/frec)^-0.5*(1+Parámetros!$D$103)*(1+rec_fracc)/frec),6))</f>
        <v>3.8999999999999999E-5</v>
      </c>
      <c r="EE338" s="66">
        <f t="shared" si="460"/>
        <v>1.95</v>
      </c>
      <c r="EF338" s="68">
        <f t="shared" si="461"/>
        <v>3.8999999999999999E-5</v>
      </c>
      <c r="EG338" s="66">
        <f>+IF($W338="","",ROUND(IF($B338&gt;Parámetros!$D$107,'Tablas Servicio'!EE338+('Tablas Servicio'!EG337-'Tablas Servicio'!EE337),EE338/(1-IF(B338&lt;=10,Parámetros!$D$100,0))),2))</f>
        <v>1.95</v>
      </c>
      <c r="EH338" s="66">
        <f t="shared" si="462"/>
        <v>0</v>
      </c>
      <c r="EI338" s="66">
        <f t="shared" si="462"/>
        <v>0</v>
      </c>
      <c r="EJ338" s="66">
        <f>+IF($W338="","",ROUND((EG338*Parámetros!$G$85),2))</f>
        <v>7.0000000000000007E-2</v>
      </c>
      <c r="EK338" s="66">
        <f>+IF($W338="","",ROUND((EG338*(Parámetros!$G$86)),2))</f>
        <v>0.01</v>
      </c>
      <c r="EL338" s="66">
        <f t="shared" si="463"/>
        <v>2.0299999999999998</v>
      </c>
    </row>
    <row r="339" spans="1:142" x14ac:dyDescent="0.25">
      <c r="A339">
        <f>+IF($C339="","",ROUND(VLOOKUP('Tablas Servicio'!B339,Parámetros!$H$100:$J$159,IF(Parámetros!$E$16="F",2,3),FALSE),2))</f>
        <v>150</v>
      </c>
      <c r="B339">
        <f t="shared" si="414"/>
        <v>25</v>
      </c>
      <c r="C339" s="57">
        <f>+IF(D339="","",'Tablas Servicio'!C338+1)</f>
        <v>298</v>
      </c>
      <c r="D339" s="56">
        <f>+IF(D338&lt;edadmaxtabla,D338+1/Parámetros!$E$25,"")</f>
        <v>64.853333333333964</v>
      </c>
      <c r="E339" s="57">
        <f t="shared" si="424"/>
        <v>64</v>
      </c>
      <c r="F339" s="59">
        <f t="shared" si="425"/>
        <v>100000</v>
      </c>
      <c r="G339" s="66">
        <f t="shared" si="415"/>
        <v>79.25</v>
      </c>
      <c r="H339" s="66">
        <f t="shared" si="416"/>
        <v>82.43</v>
      </c>
      <c r="I339" s="66">
        <f t="shared" si="464"/>
        <v>11.569999999999993</v>
      </c>
      <c r="J339" s="66">
        <f t="shared" si="417"/>
        <v>2.78</v>
      </c>
      <c r="K339" s="66">
        <f t="shared" si="418"/>
        <v>0.4</v>
      </c>
      <c r="L339" s="66">
        <f t="shared" si="419"/>
        <v>0</v>
      </c>
      <c r="M339" s="66">
        <f t="shared" si="420"/>
        <v>0</v>
      </c>
      <c r="N339" s="66">
        <f>+IF(C339="","",ROUND(Parámetros!$D$23,2))</f>
        <v>94</v>
      </c>
      <c r="O339" s="66">
        <f t="shared" si="421"/>
        <v>66.75</v>
      </c>
      <c r="P339" s="66">
        <f>+IF($C339="","",ROUND(IF(B339&gt;Parámetros!$D$117,0,N339*Parámetros!$D$116-G339*Parámetros!$D$100),2))</f>
        <v>0</v>
      </c>
      <c r="Q339" s="75">
        <f t="shared" si="465"/>
        <v>3.5078864353312297E-2</v>
      </c>
      <c r="R339" s="75">
        <f t="shared" si="466"/>
        <v>5.0473186119873821E-3</v>
      </c>
      <c r="S339" s="117">
        <f>+IF($C339="","",ROUND((S338+I339)*(1+Parámetros!$D$91),2))</f>
        <v>22468.53</v>
      </c>
      <c r="T339" s="117">
        <f>+IF($C339="","",ROUND(S339*VLOOKUP(B339,Parámetros!$C$30:$D$39,2,TRUE),2))</f>
        <v>22468.53</v>
      </c>
      <c r="U339" s="117">
        <f>+IF($C339="","",ROUND((U338+I339)*(1+Parámetros!$D$92),2))</f>
        <v>24259.15</v>
      </c>
      <c r="V339" s="117">
        <f>+IF($C339="","",ROUND(U339*VLOOKUP(B339,Parámetros!$C$30:$D$39,2,TRUE),2))</f>
        <v>24259.15</v>
      </c>
      <c r="W339" s="57">
        <f t="shared" si="467"/>
        <v>298</v>
      </c>
      <c r="X339" t="str">
        <f t="shared" si="468"/>
        <v>00058</v>
      </c>
      <c r="Y339" t="str">
        <f t="shared" si="469"/>
        <v>MUERTE POR CUALQUIER CAUSA</v>
      </c>
      <c r="Z339" s="118">
        <f>+IF($W339="","",ROUND(IF(Parámetros!$D$25='TABLAS MORT'!$V$33,Z338,Parámetros!$D$21-'Tablas Servicio'!T338),0))</f>
        <v>100000</v>
      </c>
      <c r="AA339" s="118" t="str">
        <f t="shared" si="470"/>
        <v>P</v>
      </c>
      <c r="AB339" s="119">
        <f>+IF(W339="","",ROUND((VLOOKUP(ROUNDDOWN($D339-1/frec,0),qx_tabla,2,FALSE)*(1+i/frec)^-0.5*(1+Parámetros!$D$103)*(1+rec_fracc)/frec),6))</f>
        <v>6.4800000000000003E-4</v>
      </c>
      <c r="AC339" s="66">
        <f t="shared" si="426"/>
        <v>64.8</v>
      </c>
      <c r="AD339" s="119">
        <f t="shared" si="422"/>
        <v>7.7300000000000003E-4</v>
      </c>
      <c r="AE339" s="66">
        <f>+IF($W339="","",ROUND(IF($B339&gt;Parámetros!$D$107,'Tablas Servicio'!AC339+('Tablas Servicio'!AG338-'Tablas Servicio'!AC338),AC339/(1-IF(B339&lt;=10,Parámetros!$D$104,Parámetros!$D$105))),2))</f>
        <v>108</v>
      </c>
      <c r="AF339" s="66">
        <f>+IF($W339="","",ROUND(IF($B339&gt;Parámetros!$D$107,'Tablas Servicio'!AC339+('Tablas Servicio'!AG338-'Tablas Servicio'!AC338),(AC339+$A338/frec)/(1-IF(B339&lt;=Parámetros!$D$117,Parámetros!$D$100,0))),2))</f>
        <v>77.3</v>
      </c>
      <c r="AG339" s="66">
        <f t="shared" si="427"/>
        <v>77.3</v>
      </c>
      <c r="AH339" s="66">
        <f t="shared" si="428"/>
        <v>0</v>
      </c>
      <c r="AI339" s="66">
        <f t="shared" si="429"/>
        <v>0</v>
      </c>
      <c r="AJ339" s="66">
        <f>+IF($W339="","",ROUND((AG339*Parámetros!$G$85),2))</f>
        <v>2.71</v>
      </c>
      <c r="AK339" s="66">
        <f>+IF($W339="","",ROUND((AG339*(Parámetros!$G$86)),2))</f>
        <v>0.39</v>
      </c>
      <c r="AL339" s="66">
        <f t="shared" si="423"/>
        <v>80.400000000000006</v>
      </c>
      <c r="AM339" t="str">
        <f t="shared" si="471"/>
        <v>00059</v>
      </c>
      <c r="AN339" t="str">
        <f t="shared" si="472"/>
        <v>Incapacidad Total y Permanente</v>
      </c>
      <c r="AO339" s="118">
        <f t="shared" si="473"/>
        <v>0</v>
      </c>
      <c r="AP339" s="118" t="str">
        <f t="shared" si="474"/>
        <v>A</v>
      </c>
      <c r="AQ339" s="119" t="str">
        <f>+IF(OR($W339="",AO339=0),"",ROUND((VLOOKUP(ROUNDDOWN($D339-1/frec,0),cob_adi,Z$40,FALSE)*(1+i/frec)^-0.5*(1+Parámetros!$D$103)*(1+rec_fracc)/frec),6))</f>
        <v/>
      </c>
      <c r="AR339" s="66">
        <f t="shared" si="430"/>
        <v>0</v>
      </c>
      <c r="AS339" s="119" t="str">
        <f t="shared" si="431"/>
        <v/>
      </c>
      <c r="AT339" s="66">
        <f>+IF($W339="","",ROUND(IF($B339&gt;Parámetros!$D$107,'Tablas Servicio'!AR339+('Tablas Servicio'!AT338-'Tablas Servicio'!AR338),AR339/(1-IF(B339&lt;=10,Parámetros!$D$100,0))),2))</f>
        <v>0</v>
      </c>
      <c r="AU339" s="66">
        <f t="shared" si="432"/>
        <v>0</v>
      </c>
      <c r="AV339" s="66">
        <f t="shared" si="432"/>
        <v>0</v>
      </c>
      <c r="AW339" s="66">
        <f>+IF($W339="","",ROUND((AT339*Parámetros!$G$85),2))</f>
        <v>0</v>
      </c>
      <c r="AX339" s="66">
        <f>+IF($W339="","",ROUND((AT339*(Parámetros!$G$86)),2))</f>
        <v>0</v>
      </c>
      <c r="AY339" s="66">
        <f t="shared" si="433"/>
        <v>0</v>
      </c>
      <c r="AZ339" t="str">
        <f t="shared" si="475"/>
        <v>00060</v>
      </c>
      <c r="BA339" t="str">
        <f t="shared" si="476"/>
        <v>Muerte Accidental</v>
      </c>
      <c r="BB339" s="118">
        <f t="shared" si="477"/>
        <v>0</v>
      </c>
      <c r="BC339" s="118" t="str">
        <f t="shared" si="478"/>
        <v>A</v>
      </c>
      <c r="BD339" s="119" t="str">
        <f>+IF(OR($W339="",BB339=0),"",ROUND((VLOOKUP(ROUNDDOWN($D339-1/frec,0),cob_adi,AO$40,FALSE)*(1+i/frec)^-0.5*(1+Parámetros!$D$103)*(1+rec_fracc)/frec),6))</f>
        <v/>
      </c>
      <c r="BE339" s="66">
        <f t="shared" si="434"/>
        <v>0</v>
      </c>
      <c r="BF339" s="119" t="str">
        <f t="shared" si="435"/>
        <v/>
      </c>
      <c r="BG339" s="66">
        <f>+IF($W339="","",ROUND(IF($B339&gt;Parámetros!$D$107,'Tablas Servicio'!BE339+('Tablas Servicio'!BG338-'Tablas Servicio'!BE338),BE339/(1-IF(B339&lt;=10,Parámetros!$D$100,0))),2))</f>
        <v>0</v>
      </c>
      <c r="BH339" s="66">
        <f t="shared" si="436"/>
        <v>0</v>
      </c>
      <c r="BI339" s="66">
        <f t="shared" si="437"/>
        <v>0</v>
      </c>
      <c r="BJ339" s="66">
        <f>+IF($W339="","",ROUND((BG339*Parámetros!$G$85),2))</f>
        <v>0</v>
      </c>
      <c r="BK339" s="66">
        <f>+IF($W339="","",ROUND((BG339*(Parámetros!$G$86)),2))</f>
        <v>0</v>
      </c>
      <c r="BL339" s="66">
        <f t="shared" si="438"/>
        <v>0</v>
      </c>
      <c r="BM339" t="str">
        <f t="shared" si="479"/>
        <v>00061</v>
      </c>
      <c r="BN339" t="str">
        <f t="shared" si="480"/>
        <v>Gastos de Entierro</v>
      </c>
      <c r="BO339" s="118">
        <f t="shared" si="481"/>
        <v>0</v>
      </c>
      <c r="BP339" s="118" t="str">
        <f t="shared" si="482"/>
        <v>A</v>
      </c>
      <c r="BQ339" s="119" t="str">
        <f>+IF(OR($W339="",BO339=0),"",ROUND((VLOOKUP(ROUNDDOWN($D339-1/frec,0),cob_adi,BB$40,FALSE)*(1+i/frec)^-0.5*(1+Parámetros!$D$103)*(1+rec_fracc)/frec),6))</f>
        <v/>
      </c>
      <c r="BR339" s="66">
        <f t="shared" si="439"/>
        <v>0</v>
      </c>
      <c r="BS339" s="119" t="str">
        <f t="shared" si="440"/>
        <v/>
      </c>
      <c r="BT339" s="66">
        <f>+IF($W339="","",ROUND(IF($B339&gt;Parámetros!$D$107,'Tablas Servicio'!BR339+('Tablas Servicio'!BT338-'Tablas Servicio'!BR338),BR339/(1-IF(B339&lt;=10,Parámetros!$D$100,0))),2))</f>
        <v>0</v>
      </c>
      <c r="BU339" s="66">
        <f t="shared" si="441"/>
        <v>0</v>
      </c>
      <c r="BV339" s="66">
        <f t="shared" si="441"/>
        <v>0</v>
      </c>
      <c r="BW339" s="66">
        <f>+IF($W339="","",ROUND((BT339*Parámetros!$G$85),2))</f>
        <v>0</v>
      </c>
      <c r="BX339" s="66">
        <f>+IF($W339="","",ROUND((BT339*(Parámetros!$G$86)),2))</f>
        <v>0</v>
      </c>
      <c r="BY339" s="66">
        <f t="shared" si="442"/>
        <v>0</v>
      </c>
      <c r="BZ339" t="str">
        <f t="shared" si="483"/>
        <v>00062</v>
      </c>
      <c r="CA339" t="str">
        <f t="shared" si="484"/>
        <v>Gastos médicos por accidente</v>
      </c>
      <c r="CB339" s="118">
        <f t="shared" si="485"/>
        <v>0</v>
      </c>
      <c r="CC339" s="118" t="str">
        <f t="shared" si="486"/>
        <v>A</v>
      </c>
      <c r="CD339" s="119" t="str">
        <f t="shared" si="443"/>
        <v/>
      </c>
      <c r="CE339" s="66">
        <f>+IF($W339="","",ROUND((VLOOKUP(ROUNDDOWN($D339-1/frec,0),cob_adi,BO$40,FALSE)*(1+i/frec)^-0.5*(1+Parámetros!$D$103)*(1+rec_fracc)/frec*'TABLAS ADI'!$BC$17),2))</f>
        <v>0</v>
      </c>
      <c r="CF339" s="119" t="str">
        <f t="shared" si="444"/>
        <v/>
      </c>
      <c r="CG339" s="66">
        <f>+IF($W339="","",ROUND(IF($B339&gt;Parámetros!$D$107,'Tablas Servicio'!CE339+('Tablas Servicio'!CG338-'Tablas Servicio'!CE338),CE339/(1-IF(B339&lt;=10,Parámetros!$D$100,0))),2))</f>
        <v>0</v>
      </c>
      <c r="CH339" s="66">
        <f t="shared" si="445"/>
        <v>0</v>
      </c>
      <c r="CI339" s="66">
        <f t="shared" si="445"/>
        <v>0</v>
      </c>
      <c r="CJ339" s="66">
        <f>+IF($W339="","",ROUND((CG339*Parámetros!$G$85),2))</f>
        <v>0</v>
      </c>
      <c r="CK339" s="66">
        <f>+IF($W339="","",ROUND((CG339*(Parámetros!$G$86)),2))</f>
        <v>0</v>
      </c>
      <c r="CL339" s="66">
        <f t="shared" si="446"/>
        <v>0</v>
      </c>
      <c r="CM339" t="str">
        <f t="shared" si="487"/>
        <v>00063</v>
      </c>
      <c r="CN339" s="118" t="str">
        <f t="shared" si="488"/>
        <v>Renta Diaria por Hospitalización</v>
      </c>
      <c r="CO339" s="118">
        <f t="shared" si="489"/>
        <v>0</v>
      </c>
      <c r="CP339" s="118" t="str">
        <f t="shared" si="490"/>
        <v>A</v>
      </c>
      <c r="CQ339" s="119" t="str">
        <f t="shared" si="447"/>
        <v/>
      </c>
      <c r="CR339" s="66">
        <f>+IF($W339="","",ROUND((VLOOKUP(Parámetros!$F$51,'COBERTURAS ADICIONALES'!$S$4:$T$32,2,FALSE)*(1+i/frec)^-0.5*(1+Parámetros!$D$103)*(1+rec_fracc)/frec*$CO$42),2))</f>
        <v>0</v>
      </c>
      <c r="CS339" s="119" t="str">
        <f t="shared" si="448"/>
        <v/>
      </c>
      <c r="CT339" s="66">
        <f>+IF($W339="","",ROUND(IF($B339&gt;Parámetros!$D$107,'Tablas Servicio'!CR339+('Tablas Servicio'!CT338-'Tablas Servicio'!CR338),CR339/(1-IF(B339&lt;=10,Parámetros!$D$100,0))),2))</f>
        <v>0</v>
      </c>
      <c r="CU339" s="66">
        <f t="shared" si="449"/>
        <v>0</v>
      </c>
      <c r="CV339" s="66">
        <f t="shared" si="449"/>
        <v>0</v>
      </c>
      <c r="CW339" s="66">
        <f>+IF($W339="","",ROUND((CT339*Parámetros!$G$85),2))</f>
        <v>0</v>
      </c>
      <c r="CX339" s="66">
        <f>+IF($W339="","",ROUND((CT339*(Parámetros!$G$86)),2))</f>
        <v>0</v>
      </c>
      <c r="CY339" s="66">
        <f t="shared" si="450"/>
        <v>0</v>
      </c>
      <c r="CZ339" t="str">
        <f t="shared" si="491"/>
        <v>00064</v>
      </c>
      <c r="DA339" s="118" t="str">
        <f t="shared" si="492"/>
        <v>Enfermedades Graves</v>
      </c>
      <c r="DB339" s="118">
        <f t="shared" si="493"/>
        <v>0</v>
      </c>
      <c r="DC339" s="118" t="str">
        <f t="shared" si="494"/>
        <v>A</v>
      </c>
      <c r="DD339" s="121" t="str">
        <f>+IF(OR($W339="",DB339=0),"",ROUND((VLOOKUP(ROUNDDOWN($D339-1/frec,0),cob_adi,CO$40,FALSE)*(1+i/frec)^-0.5*(1+Parámetros!$D$103)*(1+rec_fracc)/frec),6))</f>
        <v/>
      </c>
      <c r="DE339" s="66">
        <f t="shared" si="451"/>
        <v>0</v>
      </c>
      <c r="DF339" s="119" t="str">
        <f t="shared" si="452"/>
        <v/>
      </c>
      <c r="DG339" s="66">
        <f>+IF($W339="","",ROUND(IF($B339&gt;Parámetros!$D$107,'Tablas Servicio'!DE339+('Tablas Servicio'!DG338-'Tablas Servicio'!DE338),DE339/(1-IF(B339&lt;=10,Parámetros!$D$100,0))),2))</f>
        <v>0</v>
      </c>
      <c r="DH339" s="66">
        <f t="shared" si="453"/>
        <v>0</v>
      </c>
      <c r="DI339" s="66">
        <f t="shared" si="453"/>
        <v>0</v>
      </c>
      <c r="DJ339" s="66">
        <f>+IF($W339="","",ROUND((DG339*Parámetros!$G$85),2))</f>
        <v>0</v>
      </c>
      <c r="DK339" s="66">
        <f>+IF($W339="","",ROUND((DG339*(Parámetros!$G$86)),2))</f>
        <v>0</v>
      </c>
      <c r="DL339" s="66">
        <f t="shared" si="454"/>
        <v>0</v>
      </c>
      <c r="DM339" t="str">
        <f t="shared" si="495"/>
        <v>00065</v>
      </c>
      <c r="DN339" s="118" t="str">
        <f t="shared" si="496"/>
        <v>Exención pago de primas</v>
      </c>
      <c r="DO339" s="118">
        <f t="shared" si="497"/>
        <v>0</v>
      </c>
      <c r="DP339" s="118" t="str">
        <f t="shared" si="498"/>
        <v>A</v>
      </c>
      <c r="DQ339" s="122" t="str">
        <f>+IF(OR($W339="",DO339=0),"",ROUND((VLOOKUP(ROUNDDOWN($D339-1/frec,0),cob_adi,DB$40,FALSE)*(1+i/frec)^-0.5*(1+Parámetros!$D$103)*(1+rec_fracc)/frec),6))</f>
        <v/>
      </c>
      <c r="DR339" s="66">
        <f t="shared" si="455"/>
        <v>0</v>
      </c>
      <c r="DS339" s="68" t="str">
        <f t="shared" si="456"/>
        <v/>
      </c>
      <c r="DT339" s="66">
        <f>+IF($W339="","",ROUND(IF($B339&gt;Parámetros!$D$107,'Tablas Servicio'!DR339+('Tablas Servicio'!DT338-'Tablas Servicio'!DR338),DR339/(1-IF(B339&lt;=10,Parámetros!$D$100,0))),2))</f>
        <v>0</v>
      </c>
      <c r="DU339" s="66">
        <f t="shared" si="457"/>
        <v>0</v>
      </c>
      <c r="DV339" s="66">
        <f t="shared" si="457"/>
        <v>0</v>
      </c>
      <c r="DW339" s="66">
        <f>+IF($W339="","",ROUND((DT339*Parámetros!$G$85),2))</f>
        <v>0</v>
      </c>
      <c r="DX339" s="66">
        <f>+IF($W339="","",ROUND((DT339*(Parámetros!$G$86)),2))</f>
        <v>0</v>
      </c>
      <c r="DY339" s="66">
        <f t="shared" si="458"/>
        <v>0</v>
      </c>
      <c r="DZ339" t="str">
        <f t="shared" si="500"/>
        <v>00066</v>
      </c>
      <c r="EA339" s="118" t="str">
        <f t="shared" si="500"/>
        <v>Enfermedad terminal</v>
      </c>
      <c r="EB339" s="118">
        <f>+IF($W339="","",ROUND(IF(Parámetros!$D$25='TABLAS MORT'!$V$33,EB338,Z339/2),0))</f>
        <v>50000</v>
      </c>
      <c r="EC339" s="118" t="str">
        <f t="shared" si="500"/>
        <v>A</v>
      </c>
      <c r="ED339" s="122">
        <f>+IF(OR($W339="",EB339=0),"",ROUND((VLOOKUP(ROUNDDOWN($D339-1/frec,0),cob_adi,DO$40,FALSE)*(1+i/frec)^-0.5*(1+Parámetros!$D$103)*(1+rec_fracc)/frec),6))</f>
        <v>3.8999999999999999E-5</v>
      </c>
      <c r="EE339" s="66">
        <f t="shared" si="460"/>
        <v>1.95</v>
      </c>
      <c r="EF339" s="68">
        <f t="shared" si="461"/>
        <v>3.8999999999999999E-5</v>
      </c>
      <c r="EG339" s="66">
        <f>+IF($W339="","",ROUND(IF($B339&gt;Parámetros!$D$107,'Tablas Servicio'!EE339+('Tablas Servicio'!EG338-'Tablas Servicio'!EE338),EE339/(1-IF(B339&lt;=10,Parámetros!$D$100,0))),2))</f>
        <v>1.95</v>
      </c>
      <c r="EH339" s="66">
        <f t="shared" si="462"/>
        <v>0</v>
      </c>
      <c r="EI339" s="66">
        <f t="shared" si="462"/>
        <v>0</v>
      </c>
      <c r="EJ339" s="66">
        <f>+IF($W339="","",ROUND((EG339*Parámetros!$G$85),2))</f>
        <v>7.0000000000000007E-2</v>
      </c>
      <c r="EK339" s="66">
        <f>+IF($W339="","",ROUND((EG339*(Parámetros!$G$86)),2))</f>
        <v>0.01</v>
      </c>
      <c r="EL339" s="66">
        <f t="shared" si="463"/>
        <v>2.0299999999999998</v>
      </c>
    </row>
    <row r="340" spans="1:142" x14ac:dyDescent="0.25">
      <c r="A340">
        <f>+IF($C340="","",ROUND(VLOOKUP('Tablas Servicio'!B340,Parámetros!$H$100:$J$159,IF(Parámetros!$E$16="F",2,3),FALSE),2))</f>
        <v>150</v>
      </c>
      <c r="B340">
        <f t="shared" si="414"/>
        <v>25</v>
      </c>
      <c r="C340" s="57">
        <f>+IF(D340="","",'Tablas Servicio'!C339+1)</f>
        <v>299</v>
      </c>
      <c r="D340" s="56">
        <f>+IF(D339&lt;edadmaxtabla,D339+1/Parámetros!$E$25,"")</f>
        <v>64.936666666667293</v>
      </c>
      <c r="E340" s="57">
        <f t="shared" si="424"/>
        <v>64</v>
      </c>
      <c r="F340" s="59">
        <f t="shared" si="425"/>
        <v>100000</v>
      </c>
      <c r="G340" s="66">
        <f t="shared" si="415"/>
        <v>79.25</v>
      </c>
      <c r="H340" s="66">
        <f t="shared" si="416"/>
        <v>82.43</v>
      </c>
      <c r="I340" s="66">
        <f t="shared" si="464"/>
        <v>11.569999999999993</v>
      </c>
      <c r="J340" s="66">
        <f t="shared" si="417"/>
        <v>2.78</v>
      </c>
      <c r="K340" s="66">
        <f t="shared" si="418"/>
        <v>0.4</v>
      </c>
      <c r="L340" s="66">
        <f t="shared" si="419"/>
        <v>0</v>
      </c>
      <c r="M340" s="66">
        <f t="shared" si="420"/>
        <v>0</v>
      </c>
      <c r="N340" s="66">
        <f>+IF(C340="","",ROUND(Parámetros!$D$23,2))</f>
        <v>94</v>
      </c>
      <c r="O340" s="66">
        <f t="shared" si="421"/>
        <v>66.75</v>
      </c>
      <c r="P340" s="66">
        <f>+IF($C340="","",ROUND(IF(B340&gt;Parámetros!$D$117,0,N340*Parámetros!$D$116-G340*Parámetros!$D$100),2))</f>
        <v>0</v>
      </c>
      <c r="Q340" s="75">
        <f t="shared" si="465"/>
        <v>3.5078864353312297E-2</v>
      </c>
      <c r="R340" s="75">
        <f t="shared" si="466"/>
        <v>5.0473186119873821E-3</v>
      </c>
      <c r="S340" s="117">
        <f>+IF($C340="","",ROUND((S339+I340)*(1+Parámetros!$D$91),2))</f>
        <v>22543.86</v>
      </c>
      <c r="T340" s="117">
        <f>+IF($C340="","",ROUND(S340*VLOOKUP(B340,Parámetros!$C$30:$D$39,2,TRUE),2))</f>
        <v>22543.86</v>
      </c>
      <c r="U340" s="117">
        <f>+IF($C340="","",ROUND((U339+I340)*(1+Parámetros!$D$92),2))</f>
        <v>24349.4</v>
      </c>
      <c r="V340" s="117">
        <f>+IF($C340="","",ROUND(U340*VLOOKUP(B340,Parámetros!$C$30:$D$39,2,TRUE),2))</f>
        <v>24349.4</v>
      </c>
      <c r="W340" s="57">
        <f t="shared" si="467"/>
        <v>299</v>
      </c>
      <c r="X340" t="str">
        <f t="shared" si="468"/>
        <v>00058</v>
      </c>
      <c r="Y340" t="str">
        <f t="shared" si="469"/>
        <v>MUERTE POR CUALQUIER CAUSA</v>
      </c>
      <c r="Z340" s="118">
        <f>+IF($W340="","",ROUND(IF(Parámetros!$D$25='TABLAS MORT'!$V$33,Z339,Parámetros!$D$21-'Tablas Servicio'!T339),0))</f>
        <v>100000</v>
      </c>
      <c r="AA340" s="118" t="str">
        <f t="shared" si="470"/>
        <v>P</v>
      </c>
      <c r="AB340" s="119">
        <f>+IF(W340="","",ROUND((VLOOKUP(ROUNDDOWN($D340-1/frec,0),qx_tabla,2,FALSE)*(1+i/frec)^-0.5*(1+Parámetros!$D$103)*(1+rec_fracc)/frec),6))</f>
        <v>6.4800000000000003E-4</v>
      </c>
      <c r="AC340" s="66">
        <f t="shared" si="426"/>
        <v>64.8</v>
      </c>
      <c r="AD340" s="119">
        <f t="shared" si="422"/>
        <v>7.7300000000000003E-4</v>
      </c>
      <c r="AE340" s="66">
        <f>+IF($W340="","",ROUND(IF($B340&gt;Parámetros!$D$107,'Tablas Servicio'!AC340+('Tablas Servicio'!AG339-'Tablas Servicio'!AC339),AC340/(1-IF(B340&lt;=10,Parámetros!$D$104,Parámetros!$D$105))),2))</f>
        <v>108</v>
      </c>
      <c r="AF340" s="66">
        <f>+IF($W340="","",ROUND(IF($B340&gt;Parámetros!$D$107,'Tablas Servicio'!AC340+('Tablas Servicio'!AG339-'Tablas Servicio'!AC339),(AC340+$A339/frec)/(1-IF(B340&lt;=Parámetros!$D$117,Parámetros!$D$100,0))),2))</f>
        <v>77.3</v>
      </c>
      <c r="AG340" s="66">
        <f t="shared" si="427"/>
        <v>77.3</v>
      </c>
      <c r="AH340" s="66">
        <f t="shared" si="428"/>
        <v>0</v>
      </c>
      <c r="AI340" s="66">
        <f t="shared" si="429"/>
        <v>0</v>
      </c>
      <c r="AJ340" s="66">
        <f>+IF($W340="","",ROUND((AG340*Parámetros!$G$85),2))</f>
        <v>2.71</v>
      </c>
      <c r="AK340" s="66">
        <f>+IF($W340="","",ROUND((AG340*(Parámetros!$G$86)),2))</f>
        <v>0.39</v>
      </c>
      <c r="AL340" s="66">
        <f t="shared" si="423"/>
        <v>80.400000000000006</v>
      </c>
      <c r="AM340" t="str">
        <f t="shared" si="471"/>
        <v>00059</v>
      </c>
      <c r="AN340" t="str">
        <f t="shared" si="472"/>
        <v>Incapacidad Total y Permanente</v>
      </c>
      <c r="AO340" s="118">
        <f t="shared" si="473"/>
        <v>0</v>
      </c>
      <c r="AP340" s="118" t="str">
        <f t="shared" si="474"/>
        <v>A</v>
      </c>
      <c r="AQ340" s="119" t="str">
        <f>+IF(OR($W340="",AO340=0),"",ROUND((VLOOKUP(ROUNDDOWN($D340-1/frec,0),cob_adi,Z$40,FALSE)*(1+i/frec)^-0.5*(1+Parámetros!$D$103)*(1+rec_fracc)/frec),6))</f>
        <v/>
      </c>
      <c r="AR340" s="66">
        <f t="shared" si="430"/>
        <v>0</v>
      </c>
      <c r="AS340" s="119" t="str">
        <f t="shared" si="431"/>
        <v/>
      </c>
      <c r="AT340" s="66">
        <f>+IF($W340="","",ROUND(IF($B340&gt;Parámetros!$D$107,'Tablas Servicio'!AR340+('Tablas Servicio'!AT339-'Tablas Servicio'!AR339),AR340/(1-IF(B340&lt;=10,Parámetros!$D$100,0))),2))</f>
        <v>0</v>
      </c>
      <c r="AU340" s="66">
        <f t="shared" si="432"/>
        <v>0</v>
      </c>
      <c r="AV340" s="66">
        <f t="shared" si="432"/>
        <v>0</v>
      </c>
      <c r="AW340" s="66">
        <f>+IF($W340="","",ROUND((AT340*Parámetros!$G$85),2))</f>
        <v>0</v>
      </c>
      <c r="AX340" s="66">
        <f>+IF($W340="","",ROUND((AT340*(Parámetros!$G$86)),2))</f>
        <v>0</v>
      </c>
      <c r="AY340" s="66">
        <f t="shared" si="433"/>
        <v>0</v>
      </c>
      <c r="AZ340" t="str">
        <f t="shared" si="475"/>
        <v>00060</v>
      </c>
      <c r="BA340" t="str">
        <f t="shared" si="476"/>
        <v>Muerte Accidental</v>
      </c>
      <c r="BB340" s="118">
        <f t="shared" si="477"/>
        <v>0</v>
      </c>
      <c r="BC340" s="118" t="str">
        <f t="shared" si="478"/>
        <v>A</v>
      </c>
      <c r="BD340" s="119" t="str">
        <f>+IF(OR($W340="",BB340=0),"",ROUND((VLOOKUP(ROUNDDOWN($D340-1/frec,0),cob_adi,AO$40,FALSE)*(1+i/frec)^-0.5*(1+Parámetros!$D$103)*(1+rec_fracc)/frec),6))</f>
        <v/>
      </c>
      <c r="BE340" s="66">
        <f t="shared" si="434"/>
        <v>0</v>
      </c>
      <c r="BF340" s="119" t="str">
        <f t="shared" si="435"/>
        <v/>
      </c>
      <c r="BG340" s="66">
        <f>+IF($W340="","",ROUND(IF($B340&gt;Parámetros!$D$107,'Tablas Servicio'!BE340+('Tablas Servicio'!BG339-'Tablas Servicio'!BE339),BE340/(1-IF(B340&lt;=10,Parámetros!$D$100,0))),2))</f>
        <v>0</v>
      </c>
      <c r="BH340" s="66">
        <f t="shared" si="436"/>
        <v>0</v>
      </c>
      <c r="BI340" s="66">
        <f t="shared" si="437"/>
        <v>0</v>
      </c>
      <c r="BJ340" s="66">
        <f>+IF($W340="","",ROUND((BG340*Parámetros!$G$85),2))</f>
        <v>0</v>
      </c>
      <c r="BK340" s="66">
        <f>+IF($W340="","",ROUND((BG340*(Parámetros!$G$86)),2))</f>
        <v>0</v>
      </c>
      <c r="BL340" s="66">
        <f t="shared" si="438"/>
        <v>0</v>
      </c>
      <c r="BM340" t="str">
        <f t="shared" si="479"/>
        <v>00061</v>
      </c>
      <c r="BN340" t="str">
        <f t="shared" si="480"/>
        <v>Gastos de Entierro</v>
      </c>
      <c r="BO340" s="118">
        <f t="shared" si="481"/>
        <v>0</v>
      </c>
      <c r="BP340" s="118" t="str">
        <f t="shared" si="482"/>
        <v>A</v>
      </c>
      <c r="BQ340" s="119" t="str">
        <f>+IF(OR($W340="",BO340=0),"",ROUND((VLOOKUP(ROUNDDOWN($D340-1/frec,0),cob_adi,BB$40,FALSE)*(1+i/frec)^-0.5*(1+Parámetros!$D$103)*(1+rec_fracc)/frec),6))</f>
        <v/>
      </c>
      <c r="BR340" s="66">
        <f t="shared" si="439"/>
        <v>0</v>
      </c>
      <c r="BS340" s="119" t="str">
        <f t="shared" si="440"/>
        <v/>
      </c>
      <c r="BT340" s="66">
        <f>+IF($W340="","",ROUND(IF($B340&gt;Parámetros!$D$107,'Tablas Servicio'!BR340+('Tablas Servicio'!BT339-'Tablas Servicio'!BR339),BR340/(1-IF(B340&lt;=10,Parámetros!$D$100,0))),2))</f>
        <v>0</v>
      </c>
      <c r="BU340" s="66">
        <f t="shared" si="441"/>
        <v>0</v>
      </c>
      <c r="BV340" s="66">
        <f t="shared" si="441"/>
        <v>0</v>
      </c>
      <c r="BW340" s="66">
        <f>+IF($W340="","",ROUND((BT340*Parámetros!$G$85),2))</f>
        <v>0</v>
      </c>
      <c r="BX340" s="66">
        <f>+IF($W340="","",ROUND((BT340*(Parámetros!$G$86)),2))</f>
        <v>0</v>
      </c>
      <c r="BY340" s="66">
        <f t="shared" si="442"/>
        <v>0</v>
      </c>
      <c r="BZ340" t="str">
        <f t="shared" si="483"/>
        <v>00062</v>
      </c>
      <c r="CA340" t="str">
        <f t="shared" si="484"/>
        <v>Gastos médicos por accidente</v>
      </c>
      <c r="CB340" s="118">
        <f t="shared" si="485"/>
        <v>0</v>
      </c>
      <c r="CC340" s="118" t="str">
        <f t="shared" si="486"/>
        <v>A</v>
      </c>
      <c r="CD340" s="119" t="str">
        <f t="shared" si="443"/>
        <v/>
      </c>
      <c r="CE340" s="66">
        <f>+IF($W340="","",ROUND((VLOOKUP(ROUNDDOWN($D340-1/frec,0),cob_adi,BO$40,FALSE)*(1+i/frec)^-0.5*(1+Parámetros!$D$103)*(1+rec_fracc)/frec*'TABLAS ADI'!$BC$17),2))</f>
        <v>0</v>
      </c>
      <c r="CF340" s="119" t="str">
        <f t="shared" si="444"/>
        <v/>
      </c>
      <c r="CG340" s="66">
        <f>+IF($W340="","",ROUND(IF($B340&gt;Parámetros!$D$107,'Tablas Servicio'!CE340+('Tablas Servicio'!CG339-'Tablas Servicio'!CE339),CE340/(1-IF(B340&lt;=10,Parámetros!$D$100,0))),2))</f>
        <v>0</v>
      </c>
      <c r="CH340" s="66">
        <f t="shared" si="445"/>
        <v>0</v>
      </c>
      <c r="CI340" s="66">
        <f t="shared" si="445"/>
        <v>0</v>
      </c>
      <c r="CJ340" s="66">
        <f>+IF($W340="","",ROUND((CG340*Parámetros!$G$85),2))</f>
        <v>0</v>
      </c>
      <c r="CK340" s="66">
        <f>+IF($W340="","",ROUND((CG340*(Parámetros!$G$86)),2))</f>
        <v>0</v>
      </c>
      <c r="CL340" s="66">
        <f t="shared" si="446"/>
        <v>0</v>
      </c>
      <c r="CM340" t="str">
        <f t="shared" si="487"/>
        <v>00063</v>
      </c>
      <c r="CN340" s="118" t="str">
        <f t="shared" si="488"/>
        <v>Renta Diaria por Hospitalización</v>
      </c>
      <c r="CO340" s="118">
        <f t="shared" si="489"/>
        <v>0</v>
      </c>
      <c r="CP340" s="118" t="str">
        <f t="shared" si="490"/>
        <v>A</v>
      </c>
      <c r="CQ340" s="119" t="str">
        <f t="shared" si="447"/>
        <v/>
      </c>
      <c r="CR340" s="66">
        <f>+IF($W340="","",ROUND((VLOOKUP(Parámetros!$F$51,'COBERTURAS ADICIONALES'!$S$4:$T$32,2,FALSE)*(1+i/frec)^-0.5*(1+Parámetros!$D$103)*(1+rec_fracc)/frec*$CO$42),2))</f>
        <v>0</v>
      </c>
      <c r="CS340" s="119" t="str">
        <f t="shared" si="448"/>
        <v/>
      </c>
      <c r="CT340" s="66">
        <f>+IF($W340="","",ROUND(IF($B340&gt;Parámetros!$D$107,'Tablas Servicio'!CR340+('Tablas Servicio'!CT339-'Tablas Servicio'!CR339),CR340/(1-IF(B340&lt;=10,Parámetros!$D$100,0))),2))</f>
        <v>0</v>
      </c>
      <c r="CU340" s="66">
        <f t="shared" si="449"/>
        <v>0</v>
      </c>
      <c r="CV340" s="66">
        <f t="shared" si="449"/>
        <v>0</v>
      </c>
      <c r="CW340" s="66">
        <f>+IF($W340="","",ROUND((CT340*Parámetros!$G$85),2))</f>
        <v>0</v>
      </c>
      <c r="CX340" s="66">
        <f>+IF($W340="","",ROUND((CT340*(Parámetros!$G$86)),2))</f>
        <v>0</v>
      </c>
      <c r="CY340" s="66">
        <f t="shared" si="450"/>
        <v>0</v>
      </c>
      <c r="CZ340" t="str">
        <f t="shared" si="491"/>
        <v>00064</v>
      </c>
      <c r="DA340" s="118" t="str">
        <f t="shared" si="492"/>
        <v>Enfermedades Graves</v>
      </c>
      <c r="DB340" s="118">
        <f t="shared" si="493"/>
        <v>0</v>
      </c>
      <c r="DC340" s="118" t="str">
        <f t="shared" si="494"/>
        <v>A</v>
      </c>
      <c r="DD340" s="121" t="str">
        <f>+IF(OR($W340="",DB340=0),"",ROUND((VLOOKUP(ROUNDDOWN($D340-1/frec,0),cob_adi,CO$40,FALSE)*(1+i/frec)^-0.5*(1+Parámetros!$D$103)*(1+rec_fracc)/frec),6))</f>
        <v/>
      </c>
      <c r="DE340" s="66">
        <f t="shared" si="451"/>
        <v>0</v>
      </c>
      <c r="DF340" s="119" t="str">
        <f t="shared" si="452"/>
        <v/>
      </c>
      <c r="DG340" s="66">
        <f>+IF($W340="","",ROUND(IF($B340&gt;Parámetros!$D$107,'Tablas Servicio'!DE340+('Tablas Servicio'!DG339-'Tablas Servicio'!DE339),DE340/(1-IF(B340&lt;=10,Parámetros!$D$100,0))),2))</f>
        <v>0</v>
      </c>
      <c r="DH340" s="66">
        <f t="shared" si="453"/>
        <v>0</v>
      </c>
      <c r="DI340" s="66">
        <f t="shared" si="453"/>
        <v>0</v>
      </c>
      <c r="DJ340" s="66">
        <f>+IF($W340="","",ROUND((DG340*Parámetros!$G$85),2))</f>
        <v>0</v>
      </c>
      <c r="DK340" s="66">
        <f>+IF($W340="","",ROUND((DG340*(Parámetros!$G$86)),2))</f>
        <v>0</v>
      </c>
      <c r="DL340" s="66">
        <f t="shared" si="454"/>
        <v>0</v>
      </c>
      <c r="DM340" t="str">
        <f t="shared" si="495"/>
        <v>00065</v>
      </c>
      <c r="DN340" s="118" t="str">
        <f t="shared" si="496"/>
        <v>Exención pago de primas</v>
      </c>
      <c r="DO340" s="118">
        <f t="shared" si="497"/>
        <v>0</v>
      </c>
      <c r="DP340" s="118" t="str">
        <f t="shared" si="498"/>
        <v>A</v>
      </c>
      <c r="DQ340" s="122" t="str">
        <f>+IF(OR($W340="",DO340=0),"",ROUND((VLOOKUP(ROUNDDOWN($D340-1/frec,0),cob_adi,DB$40,FALSE)*(1+i/frec)^-0.5*(1+Parámetros!$D$103)*(1+rec_fracc)/frec),6))</f>
        <v/>
      </c>
      <c r="DR340" s="66">
        <f t="shared" si="455"/>
        <v>0</v>
      </c>
      <c r="DS340" s="68" t="str">
        <f t="shared" si="456"/>
        <v/>
      </c>
      <c r="DT340" s="66">
        <f>+IF($W340="","",ROUND(IF($B340&gt;Parámetros!$D$107,'Tablas Servicio'!DR340+('Tablas Servicio'!DT339-'Tablas Servicio'!DR339),DR340/(1-IF(B340&lt;=10,Parámetros!$D$100,0))),2))</f>
        <v>0</v>
      </c>
      <c r="DU340" s="66">
        <f t="shared" si="457"/>
        <v>0</v>
      </c>
      <c r="DV340" s="66">
        <f t="shared" si="457"/>
        <v>0</v>
      </c>
      <c r="DW340" s="66">
        <f>+IF($W340="","",ROUND((DT340*Parámetros!$G$85),2))</f>
        <v>0</v>
      </c>
      <c r="DX340" s="66">
        <f>+IF($W340="","",ROUND((DT340*(Parámetros!$G$86)),2))</f>
        <v>0</v>
      </c>
      <c r="DY340" s="66">
        <f t="shared" si="458"/>
        <v>0</v>
      </c>
      <c r="DZ340" t="str">
        <f t="shared" si="500"/>
        <v>00066</v>
      </c>
      <c r="EA340" s="118" t="str">
        <f t="shared" si="500"/>
        <v>Enfermedad terminal</v>
      </c>
      <c r="EB340" s="118">
        <f>+IF($W340="","",ROUND(IF(Parámetros!$D$25='TABLAS MORT'!$V$33,EB339,Z340/2),0))</f>
        <v>50000</v>
      </c>
      <c r="EC340" s="118" t="str">
        <f t="shared" si="500"/>
        <v>A</v>
      </c>
      <c r="ED340" s="122">
        <f>+IF(OR($W340="",EB340=0),"",ROUND((VLOOKUP(ROUNDDOWN($D340-1/frec,0),cob_adi,DO$40,FALSE)*(1+i/frec)^-0.5*(1+Parámetros!$D$103)*(1+rec_fracc)/frec),6))</f>
        <v>3.8999999999999999E-5</v>
      </c>
      <c r="EE340" s="66">
        <f t="shared" si="460"/>
        <v>1.95</v>
      </c>
      <c r="EF340" s="68">
        <f t="shared" si="461"/>
        <v>3.8999999999999999E-5</v>
      </c>
      <c r="EG340" s="66">
        <f>+IF($W340="","",ROUND(IF($B340&gt;Parámetros!$D$107,'Tablas Servicio'!EE340+('Tablas Servicio'!EG339-'Tablas Servicio'!EE339),EE340/(1-IF(B340&lt;=10,Parámetros!$D$100,0))),2))</f>
        <v>1.95</v>
      </c>
      <c r="EH340" s="66">
        <f t="shared" si="462"/>
        <v>0</v>
      </c>
      <c r="EI340" s="66">
        <f t="shared" si="462"/>
        <v>0</v>
      </c>
      <c r="EJ340" s="66">
        <f>+IF($W340="","",ROUND((EG340*Parámetros!$G$85),2))</f>
        <v>7.0000000000000007E-2</v>
      </c>
      <c r="EK340" s="66">
        <f>+IF($W340="","",ROUND((EG340*(Parámetros!$G$86)),2))</f>
        <v>0.01</v>
      </c>
      <c r="EL340" s="66">
        <f t="shared" si="463"/>
        <v>2.0299999999999998</v>
      </c>
    </row>
    <row r="341" spans="1:142" x14ac:dyDescent="0.25">
      <c r="A341">
        <f>+IF($C341="","",ROUND(VLOOKUP('Tablas Servicio'!B341,Parámetros!$H$100:$J$159,IF(Parámetros!$E$16="F",2,3),FALSE),2))</f>
        <v>150</v>
      </c>
      <c r="B341">
        <f t="shared" si="414"/>
        <v>25</v>
      </c>
      <c r="C341" s="57">
        <f>+IF(D341="","",'Tablas Servicio'!C340+1)</f>
        <v>300</v>
      </c>
      <c r="D341" s="56">
        <f>+IF(D340&lt;edadmaxtabla,D340+1/Parámetros!$E$25,"")</f>
        <v>65.020000000000621</v>
      </c>
      <c r="E341" s="57">
        <f t="shared" si="424"/>
        <v>65</v>
      </c>
      <c r="F341" s="59">
        <f t="shared" si="425"/>
        <v>100000</v>
      </c>
      <c r="G341" s="66">
        <f t="shared" si="415"/>
        <v>79.25</v>
      </c>
      <c r="H341" s="66">
        <f t="shared" si="416"/>
        <v>82.43</v>
      </c>
      <c r="I341" s="66">
        <f t="shared" si="464"/>
        <v>11.569999999999993</v>
      </c>
      <c r="J341" s="66">
        <f t="shared" si="417"/>
        <v>2.78</v>
      </c>
      <c r="K341" s="66">
        <f t="shared" si="418"/>
        <v>0.4</v>
      </c>
      <c r="L341" s="66">
        <f t="shared" si="419"/>
        <v>0</v>
      </c>
      <c r="M341" s="66">
        <f t="shared" si="420"/>
        <v>0</v>
      </c>
      <c r="N341" s="66">
        <f>+IF(C341="","",ROUND(Parámetros!$D$23,2))</f>
        <v>94</v>
      </c>
      <c r="O341" s="66">
        <f t="shared" si="421"/>
        <v>66.75</v>
      </c>
      <c r="P341" s="66">
        <f>+IF($C341="","",ROUND(IF(B341&gt;Parámetros!$D$117,0,N341*Parámetros!$D$116-G341*Parámetros!$D$100),2))</f>
        <v>0</v>
      </c>
      <c r="Q341" s="75">
        <f t="shared" si="465"/>
        <v>3.5078864353312297E-2</v>
      </c>
      <c r="R341" s="75">
        <f t="shared" si="466"/>
        <v>5.0473186119873821E-3</v>
      </c>
      <c r="S341" s="117">
        <f>+IF($C341="","",ROUND((S340+I341)*(1+Parámetros!$D$91),2))</f>
        <v>22619.41</v>
      </c>
      <c r="T341" s="117">
        <f>+IF($C341="","",ROUND(S341*VLOOKUP(B341,Parámetros!$C$30:$D$39,2,TRUE),2))</f>
        <v>22619.41</v>
      </c>
      <c r="U341" s="117">
        <f>+IF($C341="","",ROUND((U340+I341)*(1+Parámetros!$D$92),2))</f>
        <v>24439.94</v>
      </c>
      <c r="V341" s="117">
        <f>+IF($C341="","",ROUND(U341*VLOOKUP(B341,Parámetros!$C$30:$D$39,2,TRUE),2))</f>
        <v>24439.94</v>
      </c>
      <c r="W341" s="57">
        <f t="shared" si="467"/>
        <v>300</v>
      </c>
      <c r="X341" t="str">
        <f t="shared" si="468"/>
        <v>00058</v>
      </c>
      <c r="Y341" t="str">
        <f t="shared" si="469"/>
        <v>MUERTE POR CUALQUIER CAUSA</v>
      </c>
      <c r="Z341" s="118">
        <f>+IF($W341="","",ROUND(IF(Parámetros!$D$25='TABLAS MORT'!$V$33,Z340,Parámetros!$D$21-'Tablas Servicio'!T340),0))</f>
        <v>100000</v>
      </c>
      <c r="AA341" s="118" t="str">
        <f t="shared" si="470"/>
        <v>P</v>
      </c>
      <c r="AB341" s="119">
        <f>+IF(W341="","",ROUND((VLOOKUP(ROUNDDOWN($D341-1/frec,0),qx_tabla,2,FALSE)*(1+i/frec)^-0.5*(1+Parámetros!$D$103)*(1+rec_fracc)/frec),6))</f>
        <v>6.4800000000000003E-4</v>
      </c>
      <c r="AC341" s="66">
        <f t="shared" si="426"/>
        <v>64.8</v>
      </c>
      <c r="AD341" s="119">
        <f t="shared" si="422"/>
        <v>7.7300000000000003E-4</v>
      </c>
      <c r="AE341" s="66">
        <f>+IF($W341="","",ROUND(IF($B341&gt;Parámetros!$D$107,'Tablas Servicio'!AC341+('Tablas Servicio'!AG340-'Tablas Servicio'!AC340),AC341/(1-IF(B341&lt;=10,Parámetros!$D$104,Parámetros!$D$105))),2))</f>
        <v>108</v>
      </c>
      <c r="AF341" s="66">
        <f>+IF($W341="","",ROUND(IF($B341&gt;Parámetros!$D$107,'Tablas Servicio'!AC341+('Tablas Servicio'!AG340-'Tablas Servicio'!AC340),(AC341+$A340/frec)/(1-IF(B341&lt;=Parámetros!$D$117,Parámetros!$D$100,0))),2))</f>
        <v>77.3</v>
      </c>
      <c r="AG341" s="66">
        <f t="shared" si="427"/>
        <v>77.3</v>
      </c>
      <c r="AH341" s="66">
        <f t="shared" si="428"/>
        <v>0</v>
      </c>
      <c r="AI341" s="66">
        <f t="shared" si="429"/>
        <v>0</v>
      </c>
      <c r="AJ341" s="66">
        <f>+IF($W341="","",ROUND((AG341*Parámetros!$G$85),2))</f>
        <v>2.71</v>
      </c>
      <c r="AK341" s="66">
        <f>+IF($W341="","",ROUND((AG341*(Parámetros!$G$86)),2))</f>
        <v>0.39</v>
      </c>
      <c r="AL341" s="66">
        <f t="shared" si="423"/>
        <v>80.400000000000006</v>
      </c>
      <c r="AM341" t="str">
        <f t="shared" si="471"/>
        <v>00059</v>
      </c>
      <c r="AN341" t="str">
        <f t="shared" si="472"/>
        <v>Incapacidad Total y Permanente</v>
      </c>
      <c r="AO341" s="118">
        <f t="shared" si="473"/>
        <v>0</v>
      </c>
      <c r="AP341" s="118" t="str">
        <f t="shared" si="474"/>
        <v>A</v>
      </c>
      <c r="AQ341" s="119" t="str">
        <f>+IF(OR($W341="",AO341=0),"",ROUND((VLOOKUP(ROUNDDOWN($D341-1/frec,0),cob_adi,Z$40,FALSE)*(1+i/frec)^-0.5*(1+Parámetros!$D$103)*(1+rec_fracc)/frec),6))</f>
        <v/>
      </c>
      <c r="AR341" s="66">
        <f t="shared" si="430"/>
        <v>0</v>
      </c>
      <c r="AS341" s="119" t="str">
        <f t="shared" si="431"/>
        <v/>
      </c>
      <c r="AT341" s="66">
        <f>+IF($W341="","",ROUND(IF($B341&gt;Parámetros!$D$107,'Tablas Servicio'!AR341+('Tablas Servicio'!AT340-'Tablas Servicio'!AR340),AR341/(1-IF(B341&lt;=10,Parámetros!$D$100,0))),2))</f>
        <v>0</v>
      </c>
      <c r="AU341" s="66">
        <f t="shared" si="432"/>
        <v>0</v>
      </c>
      <c r="AV341" s="66">
        <f t="shared" si="432"/>
        <v>0</v>
      </c>
      <c r="AW341" s="66">
        <f>+IF($W341="","",ROUND((AT341*Parámetros!$G$85),2))</f>
        <v>0</v>
      </c>
      <c r="AX341" s="66">
        <f>+IF($W341="","",ROUND((AT341*(Parámetros!$G$86)),2))</f>
        <v>0</v>
      </c>
      <c r="AY341" s="66">
        <f t="shared" si="433"/>
        <v>0</v>
      </c>
      <c r="AZ341" t="str">
        <f t="shared" si="475"/>
        <v>00060</v>
      </c>
      <c r="BA341" t="str">
        <f t="shared" si="476"/>
        <v>Muerte Accidental</v>
      </c>
      <c r="BB341" s="118">
        <f t="shared" si="477"/>
        <v>0</v>
      </c>
      <c r="BC341" s="118" t="str">
        <f t="shared" si="478"/>
        <v>A</v>
      </c>
      <c r="BD341" s="119" t="str">
        <f>+IF(OR($W341="",BB341=0),"",ROUND((VLOOKUP(ROUNDDOWN($D341-1/frec,0),cob_adi,AO$40,FALSE)*(1+i/frec)^-0.5*(1+Parámetros!$D$103)*(1+rec_fracc)/frec),6))</f>
        <v/>
      </c>
      <c r="BE341" s="66">
        <f t="shared" si="434"/>
        <v>0</v>
      </c>
      <c r="BF341" s="119" t="str">
        <f t="shared" si="435"/>
        <v/>
      </c>
      <c r="BG341" s="66">
        <f>+IF($W341="","",ROUND(IF($B341&gt;Parámetros!$D$107,'Tablas Servicio'!BE341+('Tablas Servicio'!BG340-'Tablas Servicio'!BE340),BE341/(1-IF(B341&lt;=10,Parámetros!$D$100,0))),2))</f>
        <v>0</v>
      </c>
      <c r="BH341" s="66">
        <f t="shared" si="436"/>
        <v>0</v>
      </c>
      <c r="BI341" s="66">
        <f t="shared" si="437"/>
        <v>0</v>
      </c>
      <c r="BJ341" s="66">
        <f>+IF($W341="","",ROUND((BG341*Parámetros!$G$85),2))</f>
        <v>0</v>
      </c>
      <c r="BK341" s="66">
        <f>+IF($W341="","",ROUND((BG341*(Parámetros!$G$86)),2))</f>
        <v>0</v>
      </c>
      <c r="BL341" s="66">
        <f t="shared" si="438"/>
        <v>0</v>
      </c>
      <c r="BM341" t="str">
        <f t="shared" si="479"/>
        <v>00061</v>
      </c>
      <c r="BN341" t="str">
        <f t="shared" si="480"/>
        <v>Gastos de Entierro</v>
      </c>
      <c r="BO341" s="118">
        <f t="shared" si="481"/>
        <v>0</v>
      </c>
      <c r="BP341" s="118" t="str">
        <f t="shared" si="482"/>
        <v>A</v>
      </c>
      <c r="BQ341" s="119" t="str">
        <f>+IF(OR($W341="",BO341=0),"",ROUND((VLOOKUP(ROUNDDOWN($D341-1/frec,0),cob_adi,BB$40,FALSE)*(1+i/frec)^-0.5*(1+Parámetros!$D$103)*(1+rec_fracc)/frec),6))</f>
        <v/>
      </c>
      <c r="BR341" s="66">
        <f t="shared" si="439"/>
        <v>0</v>
      </c>
      <c r="BS341" s="119" t="str">
        <f t="shared" si="440"/>
        <v/>
      </c>
      <c r="BT341" s="66">
        <f>+IF($W341="","",ROUND(IF($B341&gt;Parámetros!$D$107,'Tablas Servicio'!BR341+('Tablas Servicio'!BT340-'Tablas Servicio'!BR340),BR341/(1-IF(B341&lt;=10,Parámetros!$D$100,0))),2))</f>
        <v>0</v>
      </c>
      <c r="BU341" s="66">
        <f t="shared" si="441"/>
        <v>0</v>
      </c>
      <c r="BV341" s="66">
        <f t="shared" si="441"/>
        <v>0</v>
      </c>
      <c r="BW341" s="66">
        <f>+IF($W341="","",ROUND((BT341*Parámetros!$G$85),2))</f>
        <v>0</v>
      </c>
      <c r="BX341" s="66">
        <f>+IF($W341="","",ROUND((BT341*(Parámetros!$G$86)),2))</f>
        <v>0</v>
      </c>
      <c r="BY341" s="66">
        <f t="shared" si="442"/>
        <v>0</v>
      </c>
      <c r="BZ341" t="str">
        <f t="shared" si="483"/>
        <v>00062</v>
      </c>
      <c r="CA341" t="str">
        <f t="shared" si="484"/>
        <v>Gastos médicos por accidente</v>
      </c>
      <c r="CB341" s="118">
        <f t="shared" si="485"/>
        <v>0</v>
      </c>
      <c r="CC341" s="118" t="str">
        <f t="shared" si="486"/>
        <v>A</v>
      </c>
      <c r="CD341" s="119" t="str">
        <f t="shared" si="443"/>
        <v/>
      </c>
      <c r="CE341" s="66">
        <f>+IF($W341="","",ROUND((VLOOKUP(ROUNDDOWN($D341-1/frec,0),cob_adi,BO$40,FALSE)*(1+i/frec)^-0.5*(1+Parámetros!$D$103)*(1+rec_fracc)/frec*'TABLAS ADI'!$BC$17),2))</f>
        <v>0</v>
      </c>
      <c r="CF341" s="119" t="str">
        <f t="shared" si="444"/>
        <v/>
      </c>
      <c r="CG341" s="66">
        <f>+IF($W341="","",ROUND(IF($B341&gt;Parámetros!$D$107,'Tablas Servicio'!CE341+('Tablas Servicio'!CG340-'Tablas Servicio'!CE340),CE341/(1-IF(B341&lt;=10,Parámetros!$D$100,0))),2))</f>
        <v>0</v>
      </c>
      <c r="CH341" s="66">
        <f t="shared" si="445"/>
        <v>0</v>
      </c>
      <c r="CI341" s="66">
        <f t="shared" si="445"/>
        <v>0</v>
      </c>
      <c r="CJ341" s="66">
        <f>+IF($W341="","",ROUND((CG341*Parámetros!$G$85),2))</f>
        <v>0</v>
      </c>
      <c r="CK341" s="66">
        <f>+IF($W341="","",ROUND((CG341*(Parámetros!$G$86)),2))</f>
        <v>0</v>
      </c>
      <c r="CL341" s="66">
        <f t="shared" si="446"/>
        <v>0</v>
      </c>
      <c r="CM341" t="str">
        <f t="shared" si="487"/>
        <v>00063</v>
      </c>
      <c r="CN341" s="118" t="str">
        <f t="shared" si="488"/>
        <v>Renta Diaria por Hospitalización</v>
      </c>
      <c r="CO341" s="118">
        <f t="shared" si="489"/>
        <v>0</v>
      </c>
      <c r="CP341" s="118" t="str">
        <f t="shared" si="490"/>
        <v>A</v>
      </c>
      <c r="CQ341" s="119" t="str">
        <f t="shared" si="447"/>
        <v/>
      </c>
      <c r="CR341" s="66">
        <f>+IF($W341="","",ROUND((VLOOKUP(Parámetros!$F$51,'COBERTURAS ADICIONALES'!$S$4:$T$32,2,FALSE)*(1+i/frec)^-0.5*(1+Parámetros!$D$103)*(1+rec_fracc)/frec*$CO$42),2))</f>
        <v>0</v>
      </c>
      <c r="CS341" s="119" t="str">
        <f t="shared" si="448"/>
        <v/>
      </c>
      <c r="CT341" s="66">
        <f>+IF($W341="","",ROUND(IF($B341&gt;Parámetros!$D$107,'Tablas Servicio'!CR341+('Tablas Servicio'!CT340-'Tablas Servicio'!CR340),CR341/(1-IF(B341&lt;=10,Parámetros!$D$100,0))),2))</f>
        <v>0</v>
      </c>
      <c r="CU341" s="66">
        <f t="shared" si="449"/>
        <v>0</v>
      </c>
      <c r="CV341" s="66">
        <f t="shared" si="449"/>
        <v>0</v>
      </c>
      <c r="CW341" s="66">
        <f>+IF($W341="","",ROUND((CT341*Parámetros!$G$85),2))</f>
        <v>0</v>
      </c>
      <c r="CX341" s="66">
        <f>+IF($W341="","",ROUND((CT341*(Parámetros!$G$86)),2))</f>
        <v>0</v>
      </c>
      <c r="CY341" s="66">
        <f t="shared" si="450"/>
        <v>0</v>
      </c>
      <c r="CZ341" t="str">
        <f t="shared" si="491"/>
        <v>00064</v>
      </c>
      <c r="DA341" s="118" t="str">
        <f t="shared" si="492"/>
        <v>Enfermedades Graves</v>
      </c>
      <c r="DB341" s="118">
        <f t="shared" si="493"/>
        <v>0</v>
      </c>
      <c r="DC341" s="118" t="str">
        <f t="shared" si="494"/>
        <v>A</v>
      </c>
      <c r="DD341" s="121" t="str">
        <f>+IF(OR($W341="",DB341=0),"",ROUND((VLOOKUP(ROUNDDOWN($D341-1/frec,0),cob_adi,CO$40,FALSE)*(1+i/frec)^-0.5*(1+Parámetros!$D$103)*(1+rec_fracc)/frec),6))</f>
        <v/>
      </c>
      <c r="DE341" s="66">
        <f t="shared" si="451"/>
        <v>0</v>
      </c>
      <c r="DF341" s="119" t="str">
        <f t="shared" si="452"/>
        <v/>
      </c>
      <c r="DG341" s="66">
        <f>+IF($W341="","",ROUND(IF($B341&gt;Parámetros!$D$107,'Tablas Servicio'!DE341+('Tablas Servicio'!DG340-'Tablas Servicio'!DE340),DE341/(1-IF(B341&lt;=10,Parámetros!$D$100,0))),2))</f>
        <v>0</v>
      </c>
      <c r="DH341" s="66">
        <f t="shared" si="453"/>
        <v>0</v>
      </c>
      <c r="DI341" s="66">
        <f t="shared" si="453"/>
        <v>0</v>
      </c>
      <c r="DJ341" s="66">
        <f>+IF($W341="","",ROUND((DG341*Parámetros!$G$85),2))</f>
        <v>0</v>
      </c>
      <c r="DK341" s="66">
        <f>+IF($W341="","",ROUND((DG341*(Parámetros!$G$86)),2))</f>
        <v>0</v>
      </c>
      <c r="DL341" s="66">
        <f t="shared" si="454"/>
        <v>0</v>
      </c>
      <c r="DM341" t="str">
        <f t="shared" si="495"/>
        <v>00065</v>
      </c>
      <c r="DN341" s="118" t="str">
        <f t="shared" si="496"/>
        <v>Exención pago de primas</v>
      </c>
      <c r="DO341" s="118">
        <f t="shared" si="497"/>
        <v>0</v>
      </c>
      <c r="DP341" s="118" t="str">
        <f t="shared" si="498"/>
        <v>A</v>
      </c>
      <c r="DQ341" s="122" t="str">
        <f>+IF(OR($W341="",DO341=0),"",ROUND((VLOOKUP(ROUNDDOWN($D341-1/frec,0),cob_adi,DB$40,FALSE)*(1+i/frec)^-0.5*(1+Parámetros!$D$103)*(1+rec_fracc)/frec),6))</f>
        <v/>
      </c>
      <c r="DR341" s="66">
        <f t="shared" si="455"/>
        <v>0</v>
      </c>
      <c r="DS341" s="68" t="str">
        <f t="shared" si="456"/>
        <v/>
      </c>
      <c r="DT341" s="66">
        <f>+IF($W341="","",ROUND(IF($B341&gt;Parámetros!$D$107,'Tablas Servicio'!DR341+('Tablas Servicio'!DT340-'Tablas Servicio'!DR340),DR341/(1-IF(B341&lt;=10,Parámetros!$D$100,0))),2))</f>
        <v>0</v>
      </c>
      <c r="DU341" s="66">
        <f t="shared" si="457"/>
        <v>0</v>
      </c>
      <c r="DV341" s="66">
        <f t="shared" si="457"/>
        <v>0</v>
      </c>
      <c r="DW341" s="66">
        <f>+IF($W341="","",ROUND((DT341*Parámetros!$G$85),2))</f>
        <v>0</v>
      </c>
      <c r="DX341" s="66">
        <f>+IF($W341="","",ROUND((DT341*(Parámetros!$G$86)),2))</f>
        <v>0</v>
      </c>
      <c r="DY341" s="66">
        <f t="shared" si="458"/>
        <v>0</v>
      </c>
      <c r="DZ341" t="str">
        <f t="shared" si="500"/>
        <v>00066</v>
      </c>
      <c r="EA341" s="118" t="str">
        <f t="shared" si="500"/>
        <v>Enfermedad terminal</v>
      </c>
      <c r="EB341" s="118">
        <f>+IF($W341="","",ROUND(IF(Parámetros!$D$25='TABLAS MORT'!$V$33,EB340,Z341/2),0))</f>
        <v>50000</v>
      </c>
      <c r="EC341" s="118" t="str">
        <f t="shared" si="500"/>
        <v>A</v>
      </c>
      <c r="ED341" s="122">
        <f>+IF(OR($W341="",EB341=0),"",ROUND((VLOOKUP(ROUNDDOWN($D341-1/frec,0),cob_adi,DO$40,FALSE)*(1+i/frec)^-0.5*(1+Parámetros!$D$103)*(1+rec_fracc)/frec),6))</f>
        <v>3.8999999999999999E-5</v>
      </c>
      <c r="EE341" s="66">
        <f t="shared" si="460"/>
        <v>1.95</v>
      </c>
      <c r="EF341" s="68">
        <f t="shared" si="461"/>
        <v>3.8999999999999999E-5</v>
      </c>
      <c r="EG341" s="66">
        <f>+IF($W341="","",ROUND(IF($B341&gt;Parámetros!$D$107,'Tablas Servicio'!EE341+('Tablas Servicio'!EG340-'Tablas Servicio'!EE340),EE341/(1-IF(B341&lt;=10,Parámetros!$D$100,0))),2))</f>
        <v>1.95</v>
      </c>
      <c r="EH341" s="66">
        <f t="shared" si="462"/>
        <v>0</v>
      </c>
      <c r="EI341" s="66">
        <f t="shared" si="462"/>
        <v>0</v>
      </c>
      <c r="EJ341" s="66">
        <f>+IF($W341="","",ROUND((EG341*Parámetros!$G$85),2))</f>
        <v>7.0000000000000007E-2</v>
      </c>
      <c r="EK341" s="66">
        <f>+IF($W341="","",ROUND((EG341*(Parámetros!$G$86)),2))</f>
        <v>0.01</v>
      </c>
      <c r="EL341" s="66">
        <f t="shared" si="463"/>
        <v>2.0299999999999998</v>
      </c>
    </row>
    <row r="342" spans="1:142" x14ac:dyDescent="0.25">
      <c r="A342">
        <f>+IF($C342="","",ROUND(VLOOKUP('Tablas Servicio'!B342,Parámetros!$H$100:$J$159,IF(Parámetros!$E$16="F",2,3),FALSE),2))</f>
        <v>150</v>
      </c>
      <c r="B342">
        <f t="shared" si="414"/>
        <v>26</v>
      </c>
      <c r="C342" s="57">
        <f>+IF(D342="","",'Tablas Servicio'!C341+1)</f>
        <v>301</v>
      </c>
      <c r="D342" s="56">
        <f>+IF(D341&lt;edadmaxtabla,D341+1/Parámetros!$E$25,"")</f>
        <v>65.10333333333395</v>
      </c>
      <c r="E342" s="57">
        <f t="shared" si="424"/>
        <v>65</v>
      </c>
      <c r="F342" s="59">
        <f t="shared" si="425"/>
        <v>100000</v>
      </c>
      <c r="G342" s="66">
        <f t="shared" si="415"/>
        <v>87.05</v>
      </c>
      <c r="H342" s="66">
        <f t="shared" si="416"/>
        <v>90.53</v>
      </c>
      <c r="I342" s="66">
        <f t="shared" si="464"/>
        <v>3.4699999999999989</v>
      </c>
      <c r="J342" s="66">
        <f t="shared" si="417"/>
        <v>3.0500000000000003</v>
      </c>
      <c r="K342" s="66">
        <f t="shared" si="418"/>
        <v>0.43</v>
      </c>
      <c r="L342" s="66">
        <f t="shared" si="419"/>
        <v>0</v>
      </c>
      <c r="M342" s="66">
        <f t="shared" si="420"/>
        <v>0</v>
      </c>
      <c r="N342" s="66">
        <f>+IF(C342="","",ROUND(Parámetros!$D$23,2))</f>
        <v>94</v>
      </c>
      <c r="O342" s="66">
        <f t="shared" si="421"/>
        <v>74.55</v>
      </c>
      <c r="P342" s="66">
        <f>+IF($C342="","",ROUND(IF(B342&gt;Parámetros!$D$117,0,N342*Parámetros!$D$116-G342*Parámetros!$D$100),2))</f>
        <v>0</v>
      </c>
      <c r="Q342" s="75">
        <f t="shared" si="465"/>
        <v>3.5037334865020107E-2</v>
      </c>
      <c r="R342" s="75">
        <f t="shared" si="466"/>
        <v>4.9396898334290642E-3</v>
      </c>
      <c r="S342" s="117">
        <f>+IF($C342="","",ROUND((S341+I342)*(1+Parámetros!$D$91),2))</f>
        <v>22687.05</v>
      </c>
      <c r="T342" s="117">
        <f>+IF($C342="","",ROUND(S342*VLOOKUP(B342,Parámetros!$C$30:$D$39,2,TRUE),2))</f>
        <v>22687.05</v>
      </c>
      <c r="U342" s="117">
        <f>+IF($C342="","",ROUND((U341+I342)*(1+Parámetros!$D$92),2))</f>
        <v>24522.65</v>
      </c>
      <c r="V342" s="117">
        <f>+IF($C342="","",ROUND(U342*VLOOKUP(B342,Parámetros!$C$30:$D$39,2,TRUE),2))</f>
        <v>24522.65</v>
      </c>
      <c r="W342" s="57">
        <f t="shared" si="467"/>
        <v>301</v>
      </c>
      <c r="X342" t="str">
        <f t="shared" si="468"/>
        <v>00058</v>
      </c>
      <c r="Y342" t="str">
        <f t="shared" si="469"/>
        <v>MUERTE POR CUALQUIER CAUSA</v>
      </c>
      <c r="Z342" s="118">
        <f>+IF($W342="","",ROUND(IF(Parámetros!$D$25='TABLAS MORT'!$V$33,Z341,Parámetros!$D$21-'Tablas Servicio'!T341),0))</f>
        <v>100000</v>
      </c>
      <c r="AA342" s="118" t="str">
        <f t="shared" si="470"/>
        <v>P</v>
      </c>
      <c r="AB342" s="119">
        <f>+IF(W342="","",ROUND((VLOOKUP(ROUNDDOWN($D342-1/frec,0),qx_tabla,2,FALSE)*(1+i/frec)^-0.5*(1+Parámetros!$D$103)*(1+rec_fracc)/frec),6))</f>
        <v>7.18E-4</v>
      </c>
      <c r="AC342" s="66">
        <f t="shared" si="426"/>
        <v>71.8</v>
      </c>
      <c r="AD342" s="119">
        <f t="shared" si="422"/>
        <v>8.43E-4</v>
      </c>
      <c r="AE342" s="66">
        <f>+IF($W342="","",ROUND(IF($B342&gt;Parámetros!$D$107,'Tablas Servicio'!AC342+('Tablas Servicio'!AG341-'Tablas Servicio'!AC341),AC342/(1-IF(B342&lt;=10,Parámetros!$D$104,Parámetros!$D$105))),2))</f>
        <v>119.67</v>
      </c>
      <c r="AF342" s="66">
        <f>+IF($W342="","",ROUND(IF($B342&gt;Parámetros!$D$107,'Tablas Servicio'!AC342+('Tablas Servicio'!AG341-'Tablas Servicio'!AC341),(AC342+$A341/frec)/(1-IF(B342&lt;=Parámetros!$D$117,Parámetros!$D$100,0))),2))</f>
        <v>84.3</v>
      </c>
      <c r="AG342" s="66">
        <f t="shared" si="427"/>
        <v>84.3</v>
      </c>
      <c r="AH342" s="66">
        <f t="shared" si="428"/>
        <v>0</v>
      </c>
      <c r="AI342" s="66">
        <f t="shared" si="429"/>
        <v>0</v>
      </c>
      <c r="AJ342" s="66">
        <f>+IF($W342="","",ROUND((AG342*Parámetros!$G$85),2))</f>
        <v>2.95</v>
      </c>
      <c r="AK342" s="66">
        <f>+IF($W342="","",ROUND((AG342*(Parámetros!$G$86)),2))</f>
        <v>0.42</v>
      </c>
      <c r="AL342" s="66">
        <f t="shared" si="423"/>
        <v>87.67</v>
      </c>
      <c r="AM342" t="str">
        <f t="shared" si="471"/>
        <v>00059</v>
      </c>
      <c r="AN342" t="str">
        <f t="shared" si="472"/>
        <v>Incapacidad Total y Permanente</v>
      </c>
      <c r="AO342" s="118">
        <f t="shared" si="473"/>
        <v>0</v>
      </c>
      <c r="AP342" s="118" t="str">
        <f t="shared" si="474"/>
        <v>A</v>
      </c>
      <c r="AQ342" s="119" t="str">
        <f>+IF(OR($W342="",AO342=0),"",ROUND((VLOOKUP(ROUNDDOWN($D342-1/frec,0),cob_adi,Z$40,FALSE)*(1+i/frec)^-0.5*(1+Parámetros!$D$103)*(1+rec_fracc)/frec),6))</f>
        <v/>
      </c>
      <c r="AR342" s="66">
        <f t="shared" si="430"/>
        <v>0</v>
      </c>
      <c r="AS342" s="119" t="str">
        <f t="shared" si="431"/>
        <v/>
      </c>
      <c r="AT342" s="66">
        <f>+IF($W342="","",ROUND(IF($B342&gt;Parámetros!$D$107,'Tablas Servicio'!AR342+('Tablas Servicio'!AT341-'Tablas Servicio'!AR341),AR342/(1-IF(B342&lt;=10,Parámetros!$D$100,0))),2))</f>
        <v>0</v>
      </c>
      <c r="AU342" s="66">
        <f t="shared" si="432"/>
        <v>0</v>
      </c>
      <c r="AV342" s="66">
        <f t="shared" si="432"/>
        <v>0</v>
      </c>
      <c r="AW342" s="66">
        <f>+IF($W342="","",ROUND((AT342*Parámetros!$G$85),2))</f>
        <v>0</v>
      </c>
      <c r="AX342" s="66">
        <f>+IF($W342="","",ROUND((AT342*(Parámetros!$G$86)),2))</f>
        <v>0</v>
      </c>
      <c r="AY342" s="66">
        <f t="shared" si="433"/>
        <v>0</v>
      </c>
      <c r="AZ342" t="str">
        <f t="shared" si="475"/>
        <v>00060</v>
      </c>
      <c r="BA342" t="str">
        <f t="shared" si="476"/>
        <v>Muerte Accidental</v>
      </c>
      <c r="BB342" s="118">
        <f t="shared" si="477"/>
        <v>0</v>
      </c>
      <c r="BC342" s="118" t="str">
        <f t="shared" si="478"/>
        <v>A</v>
      </c>
      <c r="BD342" s="119" t="str">
        <f>+IF(OR($W342="",BB342=0),"",ROUND((VLOOKUP(ROUNDDOWN($D342-1/frec,0),cob_adi,AO$40,FALSE)*(1+i/frec)^-0.5*(1+Parámetros!$D$103)*(1+rec_fracc)/frec),6))</f>
        <v/>
      </c>
      <c r="BE342" s="66">
        <f t="shared" si="434"/>
        <v>0</v>
      </c>
      <c r="BF342" s="119" t="str">
        <f t="shared" si="435"/>
        <v/>
      </c>
      <c r="BG342" s="66">
        <f>+IF($W342="","",ROUND(IF($B342&gt;Parámetros!$D$107,'Tablas Servicio'!BE342+('Tablas Servicio'!BG341-'Tablas Servicio'!BE341),BE342/(1-IF(B342&lt;=10,Parámetros!$D$100,0))),2))</f>
        <v>0</v>
      </c>
      <c r="BH342" s="66">
        <f t="shared" si="436"/>
        <v>0</v>
      </c>
      <c r="BI342" s="66">
        <f t="shared" si="437"/>
        <v>0</v>
      </c>
      <c r="BJ342" s="66">
        <f>+IF($W342="","",ROUND((BG342*Parámetros!$G$85),2))</f>
        <v>0</v>
      </c>
      <c r="BK342" s="66">
        <f>+IF($W342="","",ROUND((BG342*(Parámetros!$G$86)),2))</f>
        <v>0</v>
      </c>
      <c r="BL342" s="66">
        <f t="shared" si="438"/>
        <v>0</v>
      </c>
      <c r="BM342" t="str">
        <f t="shared" si="479"/>
        <v>00061</v>
      </c>
      <c r="BN342" t="str">
        <f t="shared" si="480"/>
        <v>Gastos de Entierro</v>
      </c>
      <c r="BO342" s="118">
        <f t="shared" si="481"/>
        <v>0</v>
      </c>
      <c r="BP342" s="118" t="str">
        <f t="shared" si="482"/>
        <v>A</v>
      </c>
      <c r="BQ342" s="119" t="str">
        <f>+IF(OR($W342="",BO342=0),"",ROUND((VLOOKUP(ROUNDDOWN($D342-1/frec,0),cob_adi,BB$40,FALSE)*(1+i/frec)^-0.5*(1+Parámetros!$D$103)*(1+rec_fracc)/frec),6))</f>
        <v/>
      </c>
      <c r="BR342" s="66">
        <f t="shared" si="439"/>
        <v>0</v>
      </c>
      <c r="BS342" s="119" t="str">
        <f t="shared" si="440"/>
        <v/>
      </c>
      <c r="BT342" s="66">
        <f>+IF($W342="","",ROUND(IF($B342&gt;Parámetros!$D$107,'Tablas Servicio'!BR342+('Tablas Servicio'!BT341-'Tablas Servicio'!BR341),BR342/(1-IF(B342&lt;=10,Parámetros!$D$100,0))),2))</f>
        <v>0</v>
      </c>
      <c r="BU342" s="66">
        <f t="shared" si="441"/>
        <v>0</v>
      </c>
      <c r="BV342" s="66">
        <f t="shared" si="441"/>
        <v>0</v>
      </c>
      <c r="BW342" s="66">
        <f>+IF($W342="","",ROUND((BT342*Parámetros!$G$85),2))</f>
        <v>0</v>
      </c>
      <c r="BX342" s="66">
        <f>+IF($W342="","",ROUND((BT342*(Parámetros!$G$86)),2))</f>
        <v>0</v>
      </c>
      <c r="BY342" s="66">
        <f t="shared" si="442"/>
        <v>0</v>
      </c>
      <c r="BZ342" t="str">
        <f t="shared" si="483"/>
        <v>00062</v>
      </c>
      <c r="CA342" t="str">
        <f t="shared" si="484"/>
        <v>Gastos médicos por accidente</v>
      </c>
      <c r="CB342" s="118">
        <f t="shared" si="485"/>
        <v>0</v>
      </c>
      <c r="CC342" s="118" t="str">
        <f t="shared" si="486"/>
        <v>A</v>
      </c>
      <c r="CD342" s="119" t="str">
        <f t="shared" si="443"/>
        <v/>
      </c>
      <c r="CE342" s="66">
        <f>+IF($W342="","",ROUND((VLOOKUP(ROUNDDOWN($D342-1/frec,0),cob_adi,BO$40,FALSE)*(1+i/frec)^-0.5*(1+Parámetros!$D$103)*(1+rec_fracc)/frec*'TABLAS ADI'!$BC$17),2))</f>
        <v>0</v>
      </c>
      <c r="CF342" s="119" t="str">
        <f t="shared" si="444"/>
        <v/>
      </c>
      <c r="CG342" s="66">
        <f>+IF($W342="","",ROUND(IF($B342&gt;Parámetros!$D$107,'Tablas Servicio'!CE342+('Tablas Servicio'!CG341-'Tablas Servicio'!CE341),CE342/(1-IF(B342&lt;=10,Parámetros!$D$100,0))),2))</f>
        <v>0</v>
      </c>
      <c r="CH342" s="66">
        <f t="shared" si="445"/>
        <v>0</v>
      </c>
      <c r="CI342" s="66">
        <f t="shared" si="445"/>
        <v>0</v>
      </c>
      <c r="CJ342" s="66">
        <f>+IF($W342="","",ROUND((CG342*Parámetros!$G$85),2))</f>
        <v>0</v>
      </c>
      <c r="CK342" s="66">
        <f>+IF($W342="","",ROUND((CG342*(Parámetros!$G$86)),2))</f>
        <v>0</v>
      </c>
      <c r="CL342" s="66">
        <f t="shared" si="446"/>
        <v>0</v>
      </c>
      <c r="CM342" t="str">
        <f t="shared" si="487"/>
        <v>00063</v>
      </c>
      <c r="CN342" s="118" t="str">
        <f t="shared" si="488"/>
        <v>Renta Diaria por Hospitalización</v>
      </c>
      <c r="CO342" s="118">
        <f t="shared" si="489"/>
        <v>0</v>
      </c>
      <c r="CP342" s="118" t="str">
        <f t="shared" si="490"/>
        <v>A</v>
      </c>
      <c r="CQ342" s="119" t="str">
        <f t="shared" si="447"/>
        <v/>
      </c>
      <c r="CR342" s="66">
        <f>+IF($W342="","",ROUND((VLOOKUP(Parámetros!$F$51,'COBERTURAS ADICIONALES'!$S$4:$T$32,2,FALSE)*(1+i/frec)^-0.5*(1+Parámetros!$D$103)*(1+rec_fracc)/frec*$CO$42),2))</f>
        <v>0</v>
      </c>
      <c r="CS342" s="119" t="str">
        <f t="shared" si="448"/>
        <v/>
      </c>
      <c r="CT342" s="66">
        <f>+IF($W342="","",ROUND(IF($B342&gt;Parámetros!$D$107,'Tablas Servicio'!CR342+('Tablas Servicio'!CT341-'Tablas Servicio'!CR341),CR342/(1-IF(B342&lt;=10,Parámetros!$D$100,0))),2))</f>
        <v>0</v>
      </c>
      <c r="CU342" s="66">
        <f t="shared" si="449"/>
        <v>0</v>
      </c>
      <c r="CV342" s="66">
        <f t="shared" si="449"/>
        <v>0</v>
      </c>
      <c r="CW342" s="66">
        <f>+IF($W342="","",ROUND((CT342*Parámetros!$G$85),2))</f>
        <v>0</v>
      </c>
      <c r="CX342" s="66">
        <f>+IF($W342="","",ROUND((CT342*(Parámetros!$G$86)),2))</f>
        <v>0</v>
      </c>
      <c r="CY342" s="66">
        <f t="shared" si="450"/>
        <v>0</v>
      </c>
      <c r="CZ342" t="str">
        <f t="shared" si="491"/>
        <v>00064</v>
      </c>
      <c r="DA342" s="118" t="str">
        <f t="shared" si="492"/>
        <v>Enfermedades Graves</v>
      </c>
      <c r="DB342" s="118">
        <f t="shared" si="493"/>
        <v>0</v>
      </c>
      <c r="DC342" s="118" t="str">
        <f t="shared" si="494"/>
        <v>A</v>
      </c>
      <c r="DD342" s="121" t="str">
        <f>+IF(OR($W342="",DB342=0),"",ROUND((VLOOKUP(ROUNDDOWN($D342-1/frec,0),cob_adi,CO$40,FALSE)*(1+i/frec)^-0.5*(1+Parámetros!$D$103)*(1+rec_fracc)/frec),6))</f>
        <v/>
      </c>
      <c r="DE342" s="66">
        <f t="shared" si="451"/>
        <v>0</v>
      </c>
      <c r="DF342" s="119" t="str">
        <f t="shared" si="452"/>
        <v/>
      </c>
      <c r="DG342" s="66">
        <f>+IF($W342="","",ROUND(IF($B342&gt;Parámetros!$D$107,'Tablas Servicio'!DE342+('Tablas Servicio'!DG341-'Tablas Servicio'!DE341),DE342/(1-IF(B342&lt;=10,Parámetros!$D$100,0))),2))</f>
        <v>0</v>
      </c>
      <c r="DH342" s="66">
        <f t="shared" si="453"/>
        <v>0</v>
      </c>
      <c r="DI342" s="66">
        <f t="shared" si="453"/>
        <v>0</v>
      </c>
      <c r="DJ342" s="66">
        <f>+IF($W342="","",ROUND((DG342*Parámetros!$G$85),2))</f>
        <v>0</v>
      </c>
      <c r="DK342" s="66">
        <f>+IF($W342="","",ROUND((DG342*(Parámetros!$G$86)),2))</f>
        <v>0</v>
      </c>
      <c r="DL342" s="66">
        <f t="shared" si="454"/>
        <v>0</v>
      </c>
      <c r="DM342" t="str">
        <f t="shared" si="495"/>
        <v>00065</v>
      </c>
      <c r="DN342" s="118" t="str">
        <f t="shared" si="496"/>
        <v>Exención pago de primas</v>
      </c>
      <c r="DO342" s="118">
        <f t="shared" si="497"/>
        <v>0</v>
      </c>
      <c r="DP342" s="118" t="str">
        <f t="shared" si="498"/>
        <v>A</v>
      </c>
      <c r="DQ342" s="122" t="str">
        <f>+IF(OR($W342="",DO342=0),"",ROUND((VLOOKUP(ROUNDDOWN($D342-1/frec,0),cob_adi,DB$40,FALSE)*(1+i/frec)^-0.5*(1+Parámetros!$D$103)*(1+rec_fracc)/frec),6))</f>
        <v/>
      </c>
      <c r="DR342" s="66">
        <f t="shared" si="455"/>
        <v>0</v>
      </c>
      <c r="DS342" s="68" t="str">
        <f t="shared" si="456"/>
        <v/>
      </c>
      <c r="DT342" s="66">
        <f>+IF($W342="","",ROUND(IF($B342&gt;Parámetros!$D$107,'Tablas Servicio'!DR342+('Tablas Servicio'!DT341-'Tablas Servicio'!DR341),DR342/(1-IF(B342&lt;=10,Parámetros!$D$100,0))),2))</f>
        <v>0</v>
      </c>
      <c r="DU342" s="66">
        <f t="shared" si="457"/>
        <v>0</v>
      </c>
      <c r="DV342" s="66">
        <f t="shared" si="457"/>
        <v>0</v>
      </c>
      <c r="DW342" s="66">
        <f>+IF($W342="","",ROUND((DT342*Parámetros!$G$85),2))</f>
        <v>0</v>
      </c>
      <c r="DX342" s="66">
        <f>+IF($W342="","",ROUND((DT342*(Parámetros!$G$86)),2))</f>
        <v>0</v>
      </c>
      <c r="DY342" s="66">
        <f t="shared" si="458"/>
        <v>0</v>
      </c>
      <c r="DZ342" t="str">
        <f t="shared" si="500"/>
        <v>00066</v>
      </c>
      <c r="EA342" s="118" t="str">
        <f t="shared" si="500"/>
        <v>Enfermedad terminal</v>
      </c>
      <c r="EB342" s="118">
        <f>+IF($W342="","",ROUND(IF(Parámetros!$D$25='TABLAS MORT'!$V$33,EB341,Z342/2),0))</f>
        <v>50000</v>
      </c>
      <c r="EC342" s="118" t="str">
        <f t="shared" si="500"/>
        <v>A</v>
      </c>
      <c r="ED342" s="122">
        <f>+IF(OR($W342="",EB342=0),"",ROUND((VLOOKUP(ROUNDDOWN($D342-1/frec,0),cob_adi,DO$40,FALSE)*(1+i/frec)^-0.5*(1+Parámetros!$D$103)*(1+rec_fracc)/frec),6))</f>
        <v>5.5000000000000002E-5</v>
      </c>
      <c r="EE342" s="66">
        <f t="shared" si="460"/>
        <v>2.75</v>
      </c>
      <c r="EF342" s="68">
        <f t="shared" si="461"/>
        <v>5.5000000000000002E-5</v>
      </c>
      <c r="EG342" s="66">
        <f>+IF($W342="","",ROUND(IF($B342&gt;Parámetros!$D$107,'Tablas Servicio'!EE342+('Tablas Servicio'!EG341-'Tablas Servicio'!EE341),EE342/(1-IF(B342&lt;=10,Parámetros!$D$100,0))),2))</f>
        <v>2.75</v>
      </c>
      <c r="EH342" s="66">
        <f t="shared" si="462"/>
        <v>0</v>
      </c>
      <c r="EI342" s="66">
        <f t="shared" si="462"/>
        <v>0</v>
      </c>
      <c r="EJ342" s="66">
        <f>+IF($W342="","",ROUND((EG342*Parámetros!$G$85),2))</f>
        <v>0.1</v>
      </c>
      <c r="EK342" s="66">
        <f>+IF($W342="","",ROUND((EG342*(Parámetros!$G$86)),2))</f>
        <v>0.01</v>
      </c>
      <c r="EL342" s="66">
        <f t="shared" si="463"/>
        <v>2.86</v>
      </c>
    </row>
    <row r="343" spans="1:142" x14ac:dyDescent="0.25">
      <c r="A343">
        <f>+IF($C343="","",ROUND(VLOOKUP('Tablas Servicio'!B343,Parámetros!$H$100:$J$159,IF(Parámetros!$E$16="F",2,3),FALSE),2))</f>
        <v>150</v>
      </c>
      <c r="B343">
        <f t="shared" si="414"/>
        <v>26</v>
      </c>
      <c r="C343" s="57">
        <f>+IF(D343="","",'Tablas Servicio'!C342+1)</f>
        <v>302</v>
      </c>
      <c r="D343" s="56">
        <f>+IF(D342&lt;edadmaxtabla,D342+1/Parámetros!$E$25,"")</f>
        <v>65.186666666667278</v>
      </c>
      <c r="E343" s="57">
        <f t="shared" si="424"/>
        <v>65</v>
      </c>
      <c r="F343" s="59">
        <f t="shared" si="425"/>
        <v>100000</v>
      </c>
      <c r="G343" s="66">
        <f t="shared" si="415"/>
        <v>87.05</v>
      </c>
      <c r="H343" s="66">
        <f t="shared" si="416"/>
        <v>90.53</v>
      </c>
      <c r="I343" s="66">
        <f t="shared" si="464"/>
        <v>3.4699999999999989</v>
      </c>
      <c r="J343" s="66">
        <f t="shared" si="417"/>
        <v>3.0500000000000003</v>
      </c>
      <c r="K343" s="66">
        <f t="shared" si="418"/>
        <v>0.43</v>
      </c>
      <c r="L343" s="66">
        <f t="shared" si="419"/>
        <v>0</v>
      </c>
      <c r="M343" s="66">
        <f t="shared" si="420"/>
        <v>0</v>
      </c>
      <c r="N343" s="66">
        <f>+IF(C343="","",ROUND(Parámetros!$D$23,2))</f>
        <v>94</v>
      </c>
      <c r="O343" s="66">
        <f t="shared" si="421"/>
        <v>74.55</v>
      </c>
      <c r="P343" s="66">
        <f>+IF($C343="","",ROUND(IF(B343&gt;Parámetros!$D$117,0,N343*Parámetros!$D$116-G343*Parámetros!$D$100),2))</f>
        <v>0</v>
      </c>
      <c r="Q343" s="75">
        <f t="shared" si="465"/>
        <v>3.5037334865020107E-2</v>
      </c>
      <c r="R343" s="75">
        <f t="shared" si="466"/>
        <v>4.9396898334290642E-3</v>
      </c>
      <c r="S343" s="117">
        <f>+IF($C343="","",ROUND((S342+I343)*(1+Parámetros!$D$91),2))</f>
        <v>22754.880000000001</v>
      </c>
      <c r="T343" s="117">
        <f>+IF($C343="","",ROUND(S343*VLOOKUP(B343,Parámetros!$C$30:$D$39,2,TRUE),2))</f>
        <v>22754.880000000001</v>
      </c>
      <c r="U343" s="117">
        <f>+IF($C343="","",ROUND((U342+I343)*(1+Parámetros!$D$92),2))</f>
        <v>24605.63</v>
      </c>
      <c r="V343" s="117">
        <f>+IF($C343="","",ROUND(U343*VLOOKUP(B343,Parámetros!$C$30:$D$39,2,TRUE),2))</f>
        <v>24605.63</v>
      </c>
      <c r="W343" s="57">
        <f t="shared" si="467"/>
        <v>302</v>
      </c>
      <c r="X343" t="str">
        <f t="shared" si="468"/>
        <v>00058</v>
      </c>
      <c r="Y343" t="str">
        <f t="shared" si="469"/>
        <v>MUERTE POR CUALQUIER CAUSA</v>
      </c>
      <c r="Z343" s="118">
        <f>+IF($W343="","",ROUND(IF(Parámetros!$D$25='TABLAS MORT'!$V$33,Z342,Parámetros!$D$21-'Tablas Servicio'!T342),0))</f>
        <v>100000</v>
      </c>
      <c r="AA343" s="118" t="str">
        <f t="shared" si="470"/>
        <v>P</v>
      </c>
      <c r="AB343" s="119">
        <f>+IF(W343="","",ROUND((VLOOKUP(ROUNDDOWN($D343-1/frec,0),qx_tabla,2,FALSE)*(1+i/frec)^-0.5*(1+Parámetros!$D$103)*(1+rec_fracc)/frec),6))</f>
        <v>7.18E-4</v>
      </c>
      <c r="AC343" s="66">
        <f t="shared" si="426"/>
        <v>71.8</v>
      </c>
      <c r="AD343" s="119">
        <f t="shared" si="422"/>
        <v>8.43E-4</v>
      </c>
      <c r="AE343" s="66">
        <f>+IF($W343="","",ROUND(IF($B343&gt;Parámetros!$D$107,'Tablas Servicio'!AC343+('Tablas Servicio'!AG342-'Tablas Servicio'!AC342),AC343/(1-IF(B343&lt;=10,Parámetros!$D$104,Parámetros!$D$105))),2))</f>
        <v>119.67</v>
      </c>
      <c r="AF343" s="66">
        <f>+IF($W343="","",ROUND(IF($B343&gt;Parámetros!$D$107,'Tablas Servicio'!AC343+('Tablas Servicio'!AG342-'Tablas Servicio'!AC342),(AC343+$A342/frec)/(1-IF(B343&lt;=Parámetros!$D$117,Parámetros!$D$100,0))),2))</f>
        <v>84.3</v>
      </c>
      <c r="AG343" s="66">
        <f t="shared" si="427"/>
        <v>84.3</v>
      </c>
      <c r="AH343" s="66">
        <f t="shared" si="428"/>
        <v>0</v>
      </c>
      <c r="AI343" s="66">
        <f t="shared" si="429"/>
        <v>0</v>
      </c>
      <c r="AJ343" s="66">
        <f>+IF($W343="","",ROUND((AG343*Parámetros!$G$85),2))</f>
        <v>2.95</v>
      </c>
      <c r="AK343" s="66">
        <f>+IF($W343="","",ROUND((AG343*(Parámetros!$G$86)),2))</f>
        <v>0.42</v>
      </c>
      <c r="AL343" s="66">
        <f t="shared" si="423"/>
        <v>87.67</v>
      </c>
      <c r="AM343" t="str">
        <f t="shared" si="471"/>
        <v>00059</v>
      </c>
      <c r="AN343" t="str">
        <f t="shared" si="472"/>
        <v>Incapacidad Total y Permanente</v>
      </c>
      <c r="AO343" s="118">
        <f t="shared" si="473"/>
        <v>0</v>
      </c>
      <c r="AP343" s="118" t="str">
        <f t="shared" si="474"/>
        <v>A</v>
      </c>
      <c r="AQ343" s="119" t="str">
        <f>+IF(OR($W343="",AO343=0),"",ROUND((VLOOKUP(ROUNDDOWN($D343-1/frec,0),cob_adi,Z$40,FALSE)*(1+i/frec)^-0.5*(1+Parámetros!$D$103)*(1+rec_fracc)/frec),6))</f>
        <v/>
      </c>
      <c r="AR343" s="66">
        <f t="shared" si="430"/>
        <v>0</v>
      </c>
      <c r="AS343" s="119" t="str">
        <f t="shared" si="431"/>
        <v/>
      </c>
      <c r="AT343" s="66">
        <f>+IF($W343="","",ROUND(IF($B343&gt;Parámetros!$D$107,'Tablas Servicio'!AR343+('Tablas Servicio'!AT342-'Tablas Servicio'!AR342),AR343/(1-IF(B343&lt;=10,Parámetros!$D$100,0))),2))</f>
        <v>0</v>
      </c>
      <c r="AU343" s="66">
        <f t="shared" si="432"/>
        <v>0</v>
      </c>
      <c r="AV343" s="66">
        <f t="shared" si="432"/>
        <v>0</v>
      </c>
      <c r="AW343" s="66">
        <f>+IF($W343="","",ROUND((AT343*Parámetros!$G$85),2))</f>
        <v>0</v>
      </c>
      <c r="AX343" s="66">
        <f>+IF($W343="","",ROUND((AT343*(Parámetros!$G$86)),2))</f>
        <v>0</v>
      </c>
      <c r="AY343" s="66">
        <f t="shared" si="433"/>
        <v>0</v>
      </c>
      <c r="AZ343" t="str">
        <f t="shared" si="475"/>
        <v>00060</v>
      </c>
      <c r="BA343" t="str">
        <f t="shared" si="476"/>
        <v>Muerte Accidental</v>
      </c>
      <c r="BB343" s="118">
        <f t="shared" si="477"/>
        <v>0</v>
      </c>
      <c r="BC343" s="118" t="str">
        <f t="shared" si="478"/>
        <v>A</v>
      </c>
      <c r="BD343" s="119" t="str">
        <f>+IF(OR($W343="",BB343=0),"",ROUND((VLOOKUP(ROUNDDOWN($D343-1/frec,0),cob_adi,AO$40,FALSE)*(1+i/frec)^-0.5*(1+Parámetros!$D$103)*(1+rec_fracc)/frec),6))</f>
        <v/>
      </c>
      <c r="BE343" s="66">
        <f t="shared" si="434"/>
        <v>0</v>
      </c>
      <c r="BF343" s="119" t="str">
        <f t="shared" si="435"/>
        <v/>
      </c>
      <c r="BG343" s="66">
        <f>+IF($W343="","",ROUND(IF($B343&gt;Parámetros!$D$107,'Tablas Servicio'!BE343+('Tablas Servicio'!BG342-'Tablas Servicio'!BE342),BE343/(1-IF(B343&lt;=10,Parámetros!$D$100,0))),2))</f>
        <v>0</v>
      </c>
      <c r="BH343" s="66">
        <f t="shared" si="436"/>
        <v>0</v>
      </c>
      <c r="BI343" s="66">
        <f t="shared" si="437"/>
        <v>0</v>
      </c>
      <c r="BJ343" s="66">
        <f>+IF($W343="","",ROUND((BG343*Parámetros!$G$85),2))</f>
        <v>0</v>
      </c>
      <c r="BK343" s="66">
        <f>+IF($W343="","",ROUND((BG343*(Parámetros!$G$86)),2))</f>
        <v>0</v>
      </c>
      <c r="BL343" s="66">
        <f t="shared" si="438"/>
        <v>0</v>
      </c>
      <c r="BM343" t="str">
        <f t="shared" si="479"/>
        <v>00061</v>
      </c>
      <c r="BN343" t="str">
        <f t="shared" si="480"/>
        <v>Gastos de Entierro</v>
      </c>
      <c r="BO343" s="118">
        <f t="shared" si="481"/>
        <v>0</v>
      </c>
      <c r="BP343" s="118" t="str">
        <f t="shared" si="482"/>
        <v>A</v>
      </c>
      <c r="BQ343" s="119" t="str">
        <f>+IF(OR($W343="",BO343=0),"",ROUND((VLOOKUP(ROUNDDOWN($D343-1/frec,0),cob_adi,BB$40,FALSE)*(1+i/frec)^-0.5*(1+Parámetros!$D$103)*(1+rec_fracc)/frec),6))</f>
        <v/>
      </c>
      <c r="BR343" s="66">
        <f t="shared" si="439"/>
        <v>0</v>
      </c>
      <c r="BS343" s="119" t="str">
        <f t="shared" si="440"/>
        <v/>
      </c>
      <c r="BT343" s="66">
        <f>+IF($W343="","",ROUND(IF($B343&gt;Parámetros!$D$107,'Tablas Servicio'!BR343+('Tablas Servicio'!BT342-'Tablas Servicio'!BR342),BR343/(1-IF(B343&lt;=10,Parámetros!$D$100,0))),2))</f>
        <v>0</v>
      </c>
      <c r="BU343" s="66">
        <f t="shared" si="441"/>
        <v>0</v>
      </c>
      <c r="BV343" s="66">
        <f t="shared" si="441"/>
        <v>0</v>
      </c>
      <c r="BW343" s="66">
        <f>+IF($W343="","",ROUND((BT343*Parámetros!$G$85),2))</f>
        <v>0</v>
      </c>
      <c r="BX343" s="66">
        <f>+IF($W343="","",ROUND((BT343*(Parámetros!$G$86)),2))</f>
        <v>0</v>
      </c>
      <c r="BY343" s="66">
        <f t="shared" si="442"/>
        <v>0</v>
      </c>
      <c r="BZ343" t="str">
        <f t="shared" si="483"/>
        <v>00062</v>
      </c>
      <c r="CA343" t="str">
        <f t="shared" si="484"/>
        <v>Gastos médicos por accidente</v>
      </c>
      <c r="CB343" s="118">
        <f t="shared" si="485"/>
        <v>0</v>
      </c>
      <c r="CC343" s="118" t="str">
        <f t="shared" si="486"/>
        <v>A</v>
      </c>
      <c r="CD343" s="119" t="str">
        <f t="shared" si="443"/>
        <v/>
      </c>
      <c r="CE343" s="66">
        <f>+IF($W343="","",ROUND((VLOOKUP(ROUNDDOWN($D343-1/frec,0),cob_adi,BO$40,FALSE)*(1+i/frec)^-0.5*(1+Parámetros!$D$103)*(1+rec_fracc)/frec*'TABLAS ADI'!$BC$17),2))</f>
        <v>0</v>
      </c>
      <c r="CF343" s="119" t="str">
        <f t="shared" si="444"/>
        <v/>
      </c>
      <c r="CG343" s="66">
        <f>+IF($W343="","",ROUND(IF($B343&gt;Parámetros!$D$107,'Tablas Servicio'!CE343+('Tablas Servicio'!CG342-'Tablas Servicio'!CE342),CE343/(1-IF(B343&lt;=10,Parámetros!$D$100,0))),2))</f>
        <v>0</v>
      </c>
      <c r="CH343" s="66">
        <f t="shared" si="445"/>
        <v>0</v>
      </c>
      <c r="CI343" s="66">
        <f t="shared" si="445"/>
        <v>0</v>
      </c>
      <c r="CJ343" s="66">
        <f>+IF($W343="","",ROUND((CG343*Parámetros!$G$85),2))</f>
        <v>0</v>
      </c>
      <c r="CK343" s="66">
        <f>+IF($W343="","",ROUND((CG343*(Parámetros!$G$86)),2))</f>
        <v>0</v>
      </c>
      <c r="CL343" s="66">
        <f t="shared" si="446"/>
        <v>0</v>
      </c>
      <c r="CM343" t="str">
        <f t="shared" si="487"/>
        <v>00063</v>
      </c>
      <c r="CN343" s="118" t="str">
        <f t="shared" si="488"/>
        <v>Renta Diaria por Hospitalización</v>
      </c>
      <c r="CO343" s="118">
        <f t="shared" si="489"/>
        <v>0</v>
      </c>
      <c r="CP343" s="118" t="str">
        <f t="shared" si="490"/>
        <v>A</v>
      </c>
      <c r="CQ343" s="119" t="str">
        <f t="shared" si="447"/>
        <v/>
      </c>
      <c r="CR343" s="66">
        <f>+IF($W343="","",ROUND((VLOOKUP(Parámetros!$F$51,'COBERTURAS ADICIONALES'!$S$4:$T$32,2,FALSE)*(1+i/frec)^-0.5*(1+Parámetros!$D$103)*(1+rec_fracc)/frec*$CO$42),2))</f>
        <v>0</v>
      </c>
      <c r="CS343" s="119" t="str">
        <f t="shared" si="448"/>
        <v/>
      </c>
      <c r="CT343" s="66">
        <f>+IF($W343="","",ROUND(IF($B343&gt;Parámetros!$D$107,'Tablas Servicio'!CR343+('Tablas Servicio'!CT342-'Tablas Servicio'!CR342),CR343/(1-IF(B343&lt;=10,Parámetros!$D$100,0))),2))</f>
        <v>0</v>
      </c>
      <c r="CU343" s="66">
        <f t="shared" si="449"/>
        <v>0</v>
      </c>
      <c r="CV343" s="66">
        <f t="shared" si="449"/>
        <v>0</v>
      </c>
      <c r="CW343" s="66">
        <f>+IF($W343="","",ROUND((CT343*Parámetros!$G$85),2))</f>
        <v>0</v>
      </c>
      <c r="CX343" s="66">
        <f>+IF($W343="","",ROUND((CT343*(Parámetros!$G$86)),2))</f>
        <v>0</v>
      </c>
      <c r="CY343" s="66">
        <f t="shared" si="450"/>
        <v>0</v>
      </c>
      <c r="CZ343" t="str">
        <f t="shared" si="491"/>
        <v>00064</v>
      </c>
      <c r="DA343" s="118" t="str">
        <f t="shared" si="492"/>
        <v>Enfermedades Graves</v>
      </c>
      <c r="DB343" s="118">
        <f t="shared" si="493"/>
        <v>0</v>
      </c>
      <c r="DC343" s="118" t="str">
        <f t="shared" si="494"/>
        <v>A</v>
      </c>
      <c r="DD343" s="121" t="str">
        <f>+IF(OR($W343="",DB343=0),"",ROUND((VLOOKUP(ROUNDDOWN($D343-1/frec,0),cob_adi,CO$40,FALSE)*(1+i/frec)^-0.5*(1+Parámetros!$D$103)*(1+rec_fracc)/frec),6))</f>
        <v/>
      </c>
      <c r="DE343" s="66">
        <f t="shared" si="451"/>
        <v>0</v>
      </c>
      <c r="DF343" s="119" t="str">
        <f t="shared" si="452"/>
        <v/>
      </c>
      <c r="DG343" s="66">
        <f>+IF($W343="","",ROUND(IF($B343&gt;Parámetros!$D$107,'Tablas Servicio'!DE343+('Tablas Servicio'!DG342-'Tablas Servicio'!DE342),DE343/(1-IF(B343&lt;=10,Parámetros!$D$100,0))),2))</f>
        <v>0</v>
      </c>
      <c r="DH343" s="66">
        <f t="shared" si="453"/>
        <v>0</v>
      </c>
      <c r="DI343" s="66">
        <f t="shared" si="453"/>
        <v>0</v>
      </c>
      <c r="DJ343" s="66">
        <f>+IF($W343="","",ROUND((DG343*Parámetros!$G$85),2))</f>
        <v>0</v>
      </c>
      <c r="DK343" s="66">
        <f>+IF($W343="","",ROUND((DG343*(Parámetros!$G$86)),2))</f>
        <v>0</v>
      </c>
      <c r="DL343" s="66">
        <f t="shared" si="454"/>
        <v>0</v>
      </c>
      <c r="DM343" t="str">
        <f t="shared" si="495"/>
        <v>00065</v>
      </c>
      <c r="DN343" s="118" t="str">
        <f t="shared" si="496"/>
        <v>Exención pago de primas</v>
      </c>
      <c r="DO343" s="118">
        <f t="shared" si="497"/>
        <v>0</v>
      </c>
      <c r="DP343" s="118" t="str">
        <f t="shared" si="498"/>
        <v>A</v>
      </c>
      <c r="DQ343" s="122" t="str">
        <f>+IF(OR($W343="",DO343=0),"",ROUND((VLOOKUP(ROUNDDOWN($D343-1/frec,0),cob_adi,DB$40,FALSE)*(1+i/frec)^-0.5*(1+Parámetros!$D$103)*(1+rec_fracc)/frec),6))</f>
        <v/>
      </c>
      <c r="DR343" s="66">
        <f t="shared" si="455"/>
        <v>0</v>
      </c>
      <c r="DS343" s="68" t="str">
        <f t="shared" si="456"/>
        <v/>
      </c>
      <c r="DT343" s="66">
        <f>+IF($W343="","",ROUND(IF($B343&gt;Parámetros!$D$107,'Tablas Servicio'!DR343+('Tablas Servicio'!DT342-'Tablas Servicio'!DR342),DR343/(1-IF(B343&lt;=10,Parámetros!$D$100,0))),2))</f>
        <v>0</v>
      </c>
      <c r="DU343" s="66">
        <f t="shared" si="457"/>
        <v>0</v>
      </c>
      <c r="DV343" s="66">
        <f t="shared" si="457"/>
        <v>0</v>
      </c>
      <c r="DW343" s="66">
        <f>+IF($W343="","",ROUND((DT343*Parámetros!$G$85),2))</f>
        <v>0</v>
      </c>
      <c r="DX343" s="66">
        <f>+IF($W343="","",ROUND((DT343*(Parámetros!$G$86)),2))</f>
        <v>0</v>
      </c>
      <c r="DY343" s="66">
        <f t="shared" si="458"/>
        <v>0</v>
      </c>
      <c r="DZ343" t="str">
        <f t="shared" si="500"/>
        <v>00066</v>
      </c>
      <c r="EA343" s="118" t="str">
        <f t="shared" si="500"/>
        <v>Enfermedad terminal</v>
      </c>
      <c r="EB343" s="118">
        <f>+IF($W343="","",ROUND(IF(Parámetros!$D$25='TABLAS MORT'!$V$33,EB342,Z343/2),0))</f>
        <v>50000</v>
      </c>
      <c r="EC343" s="118" t="str">
        <f t="shared" si="500"/>
        <v>A</v>
      </c>
      <c r="ED343" s="122">
        <f>+IF(OR($W343="",EB343=0),"",ROUND((VLOOKUP(ROUNDDOWN($D343-1/frec,0),cob_adi,DO$40,FALSE)*(1+i/frec)^-0.5*(1+Parámetros!$D$103)*(1+rec_fracc)/frec),6))</f>
        <v>5.5000000000000002E-5</v>
      </c>
      <c r="EE343" s="66">
        <f t="shared" si="460"/>
        <v>2.75</v>
      </c>
      <c r="EF343" s="68">
        <f t="shared" si="461"/>
        <v>5.5000000000000002E-5</v>
      </c>
      <c r="EG343" s="66">
        <f>+IF($W343="","",ROUND(IF($B343&gt;Parámetros!$D$107,'Tablas Servicio'!EE343+('Tablas Servicio'!EG342-'Tablas Servicio'!EE342),EE343/(1-IF(B343&lt;=10,Parámetros!$D$100,0))),2))</f>
        <v>2.75</v>
      </c>
      <c r="EH343" s="66">
        <f t="shared" si="462"/>
        <v>0</v>
      </c>
      <c r="EI343" s="66">
        <f t="shared" si="462"/>
        <v>0</v>
      </c>
      <c r="EJ343" s="66">
        <f>+IF($W343="","",ROUND((EG343*Parámetros!$G$85),2))</f>
        <v>0.1</v>
      </c>
      <c r="EK343" s="66">
        <f>+IF($W343="","",ROUND((EG343*(Parámetros!$G$86)),2))</f>
        <v>0.01</v>
      </c>
      <c r="EL343" s="66">
        <f t="shared" si="463"/>
        <v>2.86</v>
      </c>
    </row>
    <row r="344" spans="1:142" x14ac:dyDescent="0.25">
      <c r="A344">
        <f>+IF($C344="","",ROUND(VLOOKUP('Tablas Servicio'!B344,Parámetros!$H$100:$J$159,IF(Parámetros!$E$16="F",2,3),FALSE),2))</f>
        <v>150</v>
      </c>
      <c r="B344">
        <f t="shared" si="414"/>
        <v>26</v>
      </c>
      <c r="C344" s="57">
        <f>+IF(D344="","",'Tablas Servicio'!C343+1)</f>
        <v>303</v>
      </c>
      <c r="D344" s="56">
        <f>+IF(D343&lt;edadmaxtabla,D343+1/Parámetros!$E$25,"")</f>
        <v>65.270000000000607</v>
      </c>
      <c r="E344" s="57">
        <f t="shared" si="424"/>
        <v>65</v>
      </c>
      <c r="F344" s="59">
        <f t="shared" si="425"/>
        <v>100000</v>
      </c>
      <c r="G344" s="66">
        <f t="shared" si="415"/>
        <v>87.05</v>
      </c>
      <c r="H344" s="66">
        <f t="shared" si="416"/>
        <v>90.53</v>
      </c>
      <c r="I344" s="66">
        <f t="shared" si="464"/>
        <v>3.4699999999999989</v>
      </c>
      <c r="J344" s="66">
        <f t="shared" si="417"/>
        <v>3.0500000000000003</v>
      </c>
      <c r="K344" s="66">
        <f t="shared" si="418"/>
        <v>0.43</v>
      </c>
      <c r="L344" s="66">
        <f t="shared" si="419"/>
        <v>0</v>
      </c>
      <c r="M344" s="66">
        <f t="shared" si="420"/>
        <v>0</v>
      </c>
      <c r="N344" s="66">
        <f>+IF(C344="","",ROUND(Parámetros!$D$23,2))</f>
        <v>94</v>
      </c>
      <c r="O344" s="66">
        <f t="shared" si="421"/>
        <v>74.55</v>
      </c>
      <c r="P344" s="66">
        <f>+IF($C344="","",ROUND(IF(B344&gt;Parámetros!$D$117,0,N344*Parámetros!$D$116-G344*Parámetros!$D$100),2))</f>
        <v>0</v>
      </c>
      <c r="Q344" s="75">
        <f t="shared" si="465"/>
        <v>3.5037334865020107E-2</v>
      </c>
      <c r="R344" s="75">
        <f t="shared" si="466"/>
        <v>4.9396898334290642E-3</v>
      </c>
      <c r="S344" s="117">
        <f>+IF($C344="","",ROUND((S343+I344)*(1+Parámetros!$D$91),2))</f>
        <v>22822.9</v>
      </c>
      <c r="T344" s="117">
        <f>+IF($C344="","",ROUND(S344*VLOOKUP(B344,Parámetros!$C$30:$D$39,2,TRUE),2))</f>
        <v>22822.9</v>
      </c>
      <c r="U344" s="117">
        <f>+IF($C344="","",ROUND((U343+I344)*(1+Parámetros!$D$92),2))</f>
        <v>24688.87</v>
      </c>
      <c r="V344" s="117">
        <f>+IF($C344="","",ROUND(U344*VLOOKUP(B344,Parámetros!$C$30:$D$39,2,TRUE),2))</f>
        <v>24688.87</v>
      </c>
      <c r="W344" s="57">
        <f t="shared" si="467"/>
        <v>303</v>
      </c>
      <c r="X344" t="str">
        <f t="shared" si="468"/>
        <v>00058</v>
      </c>
      <c r="Y344" t="str">
        <f t="shared" si="469"/>
        <v>MUERTE POR CUALQUIER CAUSA</v>
      </c>
      <c r="Z344" s="118">
        <f>+IF($W344="","",ROUND(IF(Parámetros!$D$25='TABLAS MORT'!$V$33,Z343,Parámetros!$D$21-'Tablas Servicio'!T343),0))</f>
        <v>100000</v>
      </c>
      <c r="AA344" s="118" t="str">
        <f t="shared" si="470"/>
        <v>P</v>
      </c>
      <c r="AB344" s="119">
        <f>+IF(W344="","",ROUND((VLOOKUP(ROUNDDOWN($D344-1/frec,0),qx_tabla,2,FALSE)*(1+i/frec)^-0.5*(1+Parámetros!$D$103)*(1+rec_fracc)/frec),6))</f>
        <v>7.18E-4</v>
      </c>
      <c r="AC344" s="66">
        <f t="shared" si="426"/>
        <v>71.8</v>
      </c>
      <c r="AD344" s="119">
        <f t="shared" si="422"/>
        <v>8.43E-4</v>
      </c>
      <c r="AE344" s="66">
        <f>+IF($W344="","",ROUND(IF($B344&gt;Parámetros!$D$107,'Tablas Servicio'!AC344+('Tablas Servicio'!AG343-'Tablas Servicio'!AC343),AC344/(1-IF(B344&lt;=10,Parámetros!$D$104,Parámetros!$D$105))),2))</f>
        <v>119.67</v>
      </c>
      <c r="AF344" s="66">
        <f>+IF($W344="","",ROUND(IF($B344&gt;Parámetros!$D$107,'Tablas Servicio'!AC344+('Tablas Servicio'!AG343-'Tablas Servicio'!AC343),(AC344+$A343/frec)/(1-IF(B344&lt;=Parámetros!$D$117,Parámetros!$D$100,0))),2))</f>
        <v>84.3</v>
      </c>
      <c r="AG344" s="66">
        <f t="shared" si="427"/>
        <v>84.3</v>
      </c>
      <c r="AH344" s="66">
        <f t="shared" si="428"/>
        <v>0</v>
      </c>
      <c r="AI344" s="66">
        <f t="shared" si="429"/>
        <v>0</v>
      </c>
      <c r="AJ344" s="66">
        <f>+IF($W344="","",ROUND((AG344*Parámetros!$G$85),2))</f>
        <v>2.95</v>
      </c>
      <c r="AK344" s="66">
        <f>+IF($W344="","",ROUND((AG344*(Parámetros!$G$86)),2))</f>
        <v>0.42</v>
      </c>
      <c r="AL344" s="66">
        <f t="shared" si="423"/>
        <v>87.67</v>
      </c>
      <c r="AM344" t="str">
        <f t="shared" si="471"/>
        <v>00059</v>
      </c>
      <c r="AN344" t="str">
        <f t="shared" si="472"/>
        <v>Incapacidad Total y Permanente</v>
      </c>
      <c r="AO344" s="118">
        <f t="shared" si="473"/>
        <v>0</v>
      </c>
      <c r="AP344" s="118" t="str">
        <f t="shared" si="474"/>
        <v>A</v>
      </c>
      <c r="AQ344" s="119" t="str">
        <f>+IF(OR($W344="",AO344=0),"",ROUND((VLOOKUP(ROUNDDOWN($D344-1/frec,0),cob_adi,Z$40,FALSE)*(1+i/frec)^-0.5*(1+Parámetros!$D$103)*(1+rec_fracc)/frec),6))</f>
        <v/>
      </c>
      <c r="AR344" s="66">
        <f t="shared" si="430"/>
        <v>0</v>
      </c>
      <c r="AS344" s="119" t="str">
        <f t="shared" si="431"/>
        <v/>
      </c>
      <c r="AT344" s="66">
        <f>+IF($W344="","",ROUND(IF($B344&gt;Parámetros!$D$107,'Tablas Servicio'!AR344+('Tablas Servicio'!AT343-'Tablas Servicio'!AR343),AR344/(1-IF(B344&lt;=10,Parámetros!$D$100,0))),2))</f>
        <v>0</v>
      </c>
      <c r="AU344" s="66">
        <f t="shared" si="432"/>
        <v>0</v>
      </c>
      <c r="AV344" s="66">
        <f t="shared" si="432"/>
        <v>0</v>
      </c>
      <c r="AW344" s="66">
        <f>+IF($W344="","",ROUND((AT344*Parámetros!$G$85),2))</f>
        <v>0</v>
      </c>
      <c r="AX344" s="66">
        <f>+IF($W344="","",ROUND((AT344*(Parámetros!$G$86)),2))</f>
        <v>0</v>
      </c>
      <c r="AY344" s="66">
        <f t="shared" si="433"/>
        <v>0</v>
      </c>
      <c r="AZ344" t="str">
        <f t="shared" si="475"/>
        <v>00060</v>
      </c>
      <c r="BA344" t="str">
        <f t="shared" si="476"/>
        <v>Muerte Accidental</v>
      </c>
      <c r="BB344" s="118">
        <f t="shared" si="477"/>
        <v>0</v>
      </c>
      <c r="BC344" s="118" t="str">
        <f t="shared" si="478"/>
        <v>A</v>
      </c>
      <c r="BD344" s="119" t="str">
        <f>+IF(OR($W344="",BB344=0),"",ROUND((VLOOKUP(ROUNDDOWN($D344-1/frec,0),cob_adi,AO$40,FALSE)*(1+i/frec)^-0.5*(1+Parámetros!$D$103)*(1+rec_fracc)/frec),6))</f>
        <v/>
      </c>
      <c r="BE344" s="66">
        <f t="shared" si="434"/>
        <v>0</v>
      </c>
      <c r="BF344" s="119" t="str">
        <f t="shared" si="435"/>
        <v/>
      </c>
      <c r="BG344" s="66">
        <f>+IF($W344="","",ROUND(IF($B344&gt;Parámetros!$D$107,'Tablas Servicio'!BE344+('Tablas Servicio'!BG343-'Tablas Servicio'!BE343),BE344/(1-IF(B344&lt;=10,Parámetros!$D$100,0))),2))</f>
        <v>0</v>
      </c>
      <c r="BH344" s="66">
        <f t="shared" si="436"/>
        <v>0</v>
      </c>
      <c r="BI344" s="66">
        <f t="shared" si="437"/>
        <v>0</v>
      </c>
      <c r="BJ344" s="66">
        <f>+IF($W344="","",ROUND((BG344*Parámetros!$G$85),2))</f>
        <v>0</v>
      </c>
      <c r="BK344" s="66">
        <f>+IF($W344="","",ROUND((BG344*(Parámetros!$G$86)),2))</f>
        <v>0</v>
      </c>
      <c r="BL344" s="66">
        <f t="shared" si="438"/>
        <v>0</v>
      </c>
      <c r="BM344" t="str">
        <f t="shared" si="479"/>
        <v>00061</v>
      </c>
      <c r="BN344" t="str">
        <f t="shared" si="480"/>
        <v>Gastos de Entierro</v>
      </c>
      <c r="BO344" s="118">
        <f t="shared" si="481"/>
        <v>0</v>
      </c>
      <c r="BP344" s="118" t="str">
        <f t="shared" si="482"/>
        <v>A</v>
      </c>
      <c r="BQ344" s="119" t="str">
        <f>+IF(OR($W344="",BO344=0),"",ROUND((VLOOKUP(ROUNDDOWN($D344-1/frec,0),cob_adi,BB$40,FALSE)*(1+i/frec)^-0.5*(1+Parámetros!$D$103)*(1+rec_fracc)/frec),6))</f>
        <v/>
      </c>
      <c r="BR344" s="66">
        <f t="shared" si="439"/>
        <v>0</v>
      </c>
      <c r="BS344" s="119" t="str">
        <f t="shared" si="440"/>
        <v/>
      </c>
      <c r="BT344" s="66">
        <f>+IF($W344="","",ROUND(IF($B344&gt;Parámetros!$D$107,'Tablas Servicio'!BR344+('Tablas Servicio'!BT343-'Tablas Servicio'!BR343),BR344/(1-IF(B344&lt;=10,Parámetros!$D$100,0))),2))</f>
        <v>0</v>
      </c>
      <c r="BU344" s="66">
        <f t="shared" si="441"/>
        <v>0</v>
      </c>
      <c r="BV344" s="66">
        <f t="shared" si="441"/>
        <v>0</v>
      </c>
      <c r="BW344" s="66">
        <f>+IF($W344="","",ROUND((BT344*Parámetros!$G$85),2))</f>
        <v>0</v>
      </c>
      <c r="BX344" s="66">
        <f>+IF($W344="","",ROUND((BT344*(Parámetros!$G$86)),2))</f>
        <v>0</v>
      </c>
      <c r="BY344" s="66">
        <f t="shared" si="442"/>
        <v>0</v>
      </c>
      <c r="BZ344" t="str">
        <f t="shared" si="483"/>
        <v>00062</v>
      </c>
      <c r="CA344" t="str">
        <f t="shared" si="484"/>
        <v>Gastos médicos por accidente</v>
      </c>
      <c r="CB344" s="118">
        <f t="shared" si="485"/>
        <v>0</v>
      </c>
      <c r="CC344" s="118" t="str">
        <f t="shared" si="486"/>
        <v>A</v>
      </c>
      <c r="CD344" s="119" t="str">
        <f t="shared" si="443"/>
        <v/>
      </c>
      <c r="CE344" s="66">
        <f>+IF($W344="","",ROUND((VLOOKUP(ROUNDDOWN($D344-1/frec,0),cob_adi,BO$40,FALSE)*(1+i/frec)^-0.5*(1+Parámetros!$D$103)*(1+rec_fracc)/frec*'TABLAS ADI'!$BC$17),2))</f>
        <v>0</v>
      </c>
      <c r="CF344" s="119" t="str">
        <f t="shared" si="444"/>
        <v/>
      </c>
      <c r="CG344" s="66">
        <f>+IF($W344="","",ROUND(IF($B344&gt;Parámetros!$D$107,'Tablas Servicio'!CE344+('Tablas Servicio'!CG343-'Tablas Servicio'!CE343),CE344/(1-IF(B344&lt;=10,Parámetros!$D$100,0))),2))</f>
        <v>0</v>
      </c>
      <c r="CH344" s="66">
        <f t="shared" si="445"/>
        <v>0</v>
      </c>
      <c r="CI344" s="66">
        <f t="shared" si="445"/>
        <v>0</v>
      </c>
      <c r="CJ344" s="66">
        <f>+IF($W344="","",ROUND((CG344*Parámetros!$G$85),2))</f>
        <v>0</v>
      </c>
      <c r="CK344" s="66">
        <f>+IF($W344="","",ROUND((CG344*(Parámetros!$G$86)),2))</f>
        <v>0</v>
      </c>
      <c r="CL344" s="66">
        <f t="shared" si="446"/>
        <v>0</v>
      </c>
      <c r="CM344" t="str">
        <f t="shared" si="487"/>
        <v>00063</v>
      </c>
      <c r="CN344" s="118" t="str">
        <f t="shared" si="488"/>
        <v>Renta Diaria por Hospitalización</v>
      </c>
      <c r="CO344" s="118">
        <f t="shared" si="489"/>
        <v>0</v>
      </c>
      <c r="CP344" s="118" t="str">
        <f t="shared" si="490"/>
        <v>A</v>
      </c>
      <c r="CQ344" s="119" t="str">
        <f t="shared" si="447"/>
        <v/>
      </c>
      <c r="CR344" s="66">
        <f>+IF($W344="","",ROUND((VLOOKUP(Parámetros!$F$51,'COBERTURAS ADICIONALES'!$S$4:$T$32,2,FALSE)*(1+i/frec)^-0.5*(1+Parámetros!$D$103)*(1+rec_fracc)/frec*$CO$42),2))</f>
        <v>0</v>
      </c>
      <c r="CS344" s="119" t="str">
        <f t="shared" si="448"/>
        <v/>
      </c>
      <c r="CT344" s="66">
        <f>+IF($W344="","",ROUND(IF($B344&gt;Parámetros!$D$107,'Tablas Servicio'!CR344+('Tablas Servicio'!CT343-'Tablas Servicio'!CR343),CR344/(1-IF(B344&lt;=10,Parámetros!$D$100,0))),2))</f>
        <v>0</v>
      </c>
      <c r="CU344" s="66">
        <f t="shared" si="449"/>
        <v>0</v>
      </c>
      <c r="CV344" s="66">
        <f t="shared" si="449"/>
        <v>0</v>
      </c>
      <c r="CW344" s="66">
        <f>+IF($W344="","",ROUND((CT344*Parámetros!$G$85),2))</f>
        <v>0</v>
      </c>
      <c r="CX344" s="66">
        <f>+IF($W344="","",ROUND((CT344*(Parámetros!$G$86)),2))</f>
        <v>0</v>
      </c>
      <c r="CY344" s="66">
        <f t="shared" si="450"/>
        <v>0</v>
      </c>
      <c r="CZ344" t="str">
        <f t="shared" si="491"/>
        <v>00064</v>
      </c>
      <c r="DA344" s="118" t="str">
        <f t="shared" si="492"/>
        <v>Enfermedades Graves</v>
      </c>
      <c r="DB344" s="118">
        <f t="shared" si="493"/>
        <v>0</v>
      </c>
      <c r="DC344" s="118" t="str">
        <f t="shared" si="494"/>
        <v>A</v>
      </c>
      <c r="DD344" s="121" t="str">
        <f>+IF(OR($W344="",DB344=0),"",ROUND((VLOOKUP(ROUNDDOWN($D344-1/frec,0),cob_adi,CO$40,FALSE)*(1+i/frec)^-0.5*(1+Parámetros!$D$103)*(1+rec_fracc)/frec),6))</f>
        <v/>
      </c>
      <c r="DE344" s="66">
        <f t="shared" si="451"/>
        <v>0</v>
      </c>
      <c r="DF344" s="119" t="str">
        <f t="shared" si="452"/>
        <v/>
      </c>
      <c r="DG344" s="66">
        <f>+IF($W344="","",ROUND(IF($B344&gt;Parámetros!$D$107,'Tablas Servicio'!DE344+('Tablas Servicio'!DG343-'Tablas Servicio'!DE343),DE344/(1-IF(B344&lt;=10,Parámetros!$D$100,0))),2))</f>
        <v>0</v>
      </c>
      <c r="DH344" s="66">
        <f t="shared" si="453"/>
        <v>0</v>
      </c>
      <c r="DI344" s="66">
        <f t="shared" si="453"/>
        <v>0</v>
      </c>
      <c r="DJ344" s="66">
        <f>+IF($W344="","",ROUND((DG344*Parámetros!$G$85),2))</f>
        <v>0</v>
      </c>
      <c r="DK344" s="66">
        <f>+IF($W344="","",ROUND((DG344*(Parámetros!$G$86)),2))</f>
        <v>0</v>
      </c>
      <c r="DL344" s="66">
        <f t="shared" si="454"/>
        <v>0</v>
      </c>
      <c r="DM344" t="str">
        <f t="shared" si="495"/>
        <v>00065</v>
      </c>
      <c r="DN344" s="118" t="str">
        <f t="shared" si="496"/>
        <v>Exención pago de primas</v>
      </c>
      <c r="DO344" s="118">
        <f t="shared" si="497"/>
        <v>0</v>
      </c>
      <c r="DP344" s="118" t="str">
        <f t="shared" si="498"/>
        <v>A</v>
      </c>
      <c r="DQ344" s="122" t="str">
        <f>+IF(OR($W344="",DO344=0),"",ROUND((VLOOKUP(ROUNDDOWN($D344-1/frec,0),cob_adi,DB$40,FALSE)*(1+i/frec)^-0.5*(1+Parámetros!$D$103)*(1+rec_fracc)/frec),6))</f>
        <v/>
      </c>
      <c r="DR344" s="66">
        <f t="shared" si="455"/>
        <v>0</v>
      </c>
      <c r="DS344" s="68" t="str">
        <f t="shared" si="456"/>
        <v/>
      </c>
      <c r="DT344" s="66">
        <f>+IF($W344="","",ROUND(IF($B344&gt;Parámetros!$D$107,'Tablas Servicio'!DR344+('Tablas Servicio'!DT343-'Tablas Servicio'!DR343),DR344/(1-IF(B344&lt;=10,Parámetros!$D$100,0))),2))</f>
        <v>0</v>
      </c>
      <c r="DU344" s="66">
        <f t="shared" si="457"/>
        <v>0</v>
      </c>
      <c r="DV344" s="66">
        <f t="shared" si="457"/>
        <v>0</v>
      </c>
      <c r="DW344" s="66">
        <f>+IF($W344="","",ROUND((DT344*Parámetros!$G$85),2))</f>
        <v>0</v>
      </c>
      <c r="DX344" s="66">
        <f>+IF($W344="","",ROUND((DT344*(Parámetros!$G$86)),2))</f>
        <v>0</v>
      </c>
      <c r="DY344" s="66">
        <f t="shared" si="458"/>
        <v>0</v>
      </c>
      <c r="DZ344" t="str">
        <f t="shared" si="500"/>
        <v>00066</v>
      </c>
      <c r="EA344" s="118" t="str">
        <f t="shared" si="500"/>
        <v>Enfermedad terminal</v>
      </c>
      <c r="EB344" s="118">
        <f>+IF($W344="","",ROUND(IF(Parámetros!$D$25='TABLAS MORT'!$V$33,EB343,Z344/2),0))</f>
        <v>50000</v>
      </c>
      <c r="EC344" s="118" t="str">
        <f t="shared" si="500"/>
        <v>A</v>
      </c>
      <c r="ED344" s="122">
        <f>+IF(OR($W344="",EB344=0),"",ROUND((VLOOKUP(ROUNDDOWN($D344-1/frec,0),cob_adi,DO$40,FALSE)*(1+i/frec)^-0.5*(1+Parámetros!$D$103)*(1+rec_fracc)/frec),6))</f>
        <v>5.5000000000000002E-5</v>
      </c>
      <c r="EE344" s="66">
        <f t="shared" si="460"/>
        <v>2.75</v>
      </c>
      <c r="EF344" s="68">
        <f t="shared" si="461"/>
        <v>5.5000000000000002E-5</v>
      </c>
      <c r="EG344" s="66">
        <f>+IF($W344="","",ROUND(IF($B344&gt;Parámetros!$D$107,'Tablas Servicio'!EE344+('Tablas Servicio'!EG343-'Tablas Servicio'!EE343),EE344/(1-IF(B344&lt;=10,Parámetros!$D$100,0))),2))</f>
        <v>2.75</v>
      </c>
      <c r="EH344" s="66">
        <f t="shared" si="462"/>
        <v>0</v>
      </c>
      <c r="EI344" s="66">
        <f t="shared" si="462"/>
        <v>0</v>
      </c>
      <c r="EJ344" s="66">
        <f>+IF($W344="","",ROUND((EG344*Parámetros!$G$85),2))</f>
        <v>0.1</v>
      </c>
      <c r="EK344" s="66">
        <f>+IF($W344="","",ROUND((EG344*(Parámetros!$G$86)),2))</f>
        <v>0.01</v>
      </c>
      <c r="EL344" s="66">
        <f t="shared" si="463"/>
        <v>2.86</v>
      </c>
    </row>
    <row r="345" spans="1:142" x14ac:dyDescent="0.25">
      <c r="A345">
        <f>+IF($C345="","",ROUND(VLOOKUP('Tablas Servicio'!B345,Parámetros!$H$100:$J$159,IF(Parámetros!$E$16="F",2,3),FALSE),2))</f>
        <v>150</v>
      </c>
      <c r="B345">
        <f t="shared" si="414"/>
        <v>26</v>
      </c>
      <c r="C345" s="57">
        <f>+IF(D345="","",'Tablas Servicio'!C344+1)</f>
        <v>304</v>
      </c>
      <c r="D345" s="56">
        <f>+IF(D344&lt;edadmaxtabla,D344+1/Parámetros!$E$25,"")</f>
        <v>65.353333333333936</v>
      </c>
      <c r="E345" s="57">
        <f t="shared" si="424"/>
        <v>65</v>
      </c>
      <c r="F345" s="59">
        <f t="shared" si="425"/>
        <v>100000</v>
      </c>
      <c r="G345" s="66">
        <f t="shared" si="415"/>
        <v>87.05</v>
      </c>
      <c r="H345" s="66">
        <f t="shared" si="416"/>
        <v>90.53</v>
      </c>
      <c r="I345" s="66">
        <f t="shared" si="464"/>
        <v>3.4699999999999989</v>
      </c>
      <c r="J345" s="66">
        <f t="shared" si="417"/>
        <v>3.0500000000000003</v>
      </c>
      <c r="K345" s="66">
        <f t="shared" si="418"/>
        <v>0.43</v>
      </c>
      <c r="L345" s="66">
        <f t="shared" si="419"/>
        <v>0</v>
      </c>
      <c r="M345" s="66">
        <f t="shared" si="420"/>
        <v>0</v>
      </c>
      <c r="N345" s="66">
        <f>+IF(C345="","",ROUND(Parámetros!$D$23,2))</f>
        <v>94</v>
      </c>
      <c r="O345" s="66">
        <f t="shared" si="421"/>
        <v>74.55</v>
      </c>
      <c r="P345" s="66">
        <f>+IF($C345="","",ROUND(IF(B345&gt;Parámetros!$D$117,0,N345*Parámetros!$D$116-G345*Parámetros!$D$100),2))</f>
        <v>0</v>
      </c>
      <c r="Q345" s="75">
        <f t="shared" si="465"/>
        <v>3.5037334865020107E-2</v>
      </c>
      <c r="R345" s="75">
        <f t="shared" si="466"/>
        <v>4.9396898334290642E-3</v>
      </c>
      <c r="S345" s="117">
        <f>+IF($C345="","",ROUND((S344+I345)*(1+Parámetros!$D$91),2))</f>
        <v>22891.119999999999</v>
      </c>
      <c r="T345" s="117">
        <f>+IF($C345="","",ROUND(S345*VLOOKUP(B345,Parámetros!$C$30:$D$39,2,TRUE),2))</f>
        <v>22891.119999999999</v>
      </c>
      <c r="U345" s="117">
        <f>+IF($C345="","",ROUND((U344+I345)*(1+Parámetros!$D$92),2))</f>
        <v>24772.38</v>
      </c>
      <c r="V345" s="117">
        <f>+IF($C345="","",ROUND(U345*VLOOKUP(B345,Parámetros!$C$30:$D$39,2,TRUE),2))</f>
        <v>24772.38</v>
      </c>
      <c r="W345" s="57">
        <f t="shared" si="467"/>
        <v>304</v>
      </c>
      <c r="X345" t="str">
        <f t="shared" si="468"/>
        <v>00058</v>
      </c>
      <c r="Y345" t="str">
        <f t="shared" si="469"/>
        <v>MUERTE POR CUALQUIER CAUSA</v>
      </c>
      <c r="Z345" s="118">
        <f>+IF($W345="","",ROUND(IF(Parámetros!$D$25='TABLAS MORT'!$V$33,Z344,Parámetros!$D$21-'Tablas Servicio'!T344),0))</f>
        <v>100000</v>
      </c>
      <c r="AA345" s="118" t="str">
        <f t="shared" si="470"/>
        <v>P</v>
      </c>
      <c r="AB345" s="119">
        <f>+IF(W345="","",ROUND((VLOOKUP(ROUNDDOWN($D345-1/frec,0),qx_tabla,2,FALSE)*(1+i/frec)^-0.5*(1+Parámetros!$D$103)*(1+rec_fracc)/frec),6))</f>
        <v>7.18E-4</v>
      </c>
      <c r="AC345" s="66">
        <f t="shared" si="426"/>
        <v>71.8</v>
      </c>
      <c r="AD345" s="119">
        <f t="shared" si="422"/>
        <v>8.43E-4</v>
      </c>
      <c r="AE345" s="66">
        <f>+IF($W345="","",ROUND(IF($B345&gt;Parámetros!$D$107,'Tablas Servicio'!AC345+('Tablas Servicio'!AG344-'Tablas Servicio'!AC344),AC345/(1-IF(B345&lt;=10,Parámetros!$D$104,Parámetros!$D$105))),2))</f>
        <v>119.67</v>
      </c>
      <c r="AF345" s="66">
        <f>+IF($W345="","",ROUND(IF($B345&gt;Parámetros!$D$107,'Tablas Servicio'!AC345+('Tablas Servicio'!AG344-'Tablas Servicio'!AC344),(AC345+$A344/frec)/(1-IF(B345&lt;=Parámetros!$D$117,Parámetros!$D$100,0))),2))</f>
        <v>84.3</v>
      </c>
      <c r="AG345" s="66">
        <f t="shared" si="427"/>
        <v>84.3</v>
      </c>
      <c r="AH345" s="66">
        <f t="shared" si="428"/>
        <v>0</v>
      </c>
      <c r="AI345" s="66">
        <f t="shared" si="429"/>
        <v>0</v>
      </c>
      <c r="AJ345" s="66">
        <f>+IF($W345="","",ROUND((AG345*Parámetros!$G$85),2))</f>
        <v>2.95</v>
      </c>
      <c r="AK345" s="66">
        <f>+IF($W345="","",ROUND((AG345*(Parámetros!$G$86)),2))</f>
        <v>0.42</v>
      </c>
      <c r="AL345" s="66">
        <f t="shared" si="423"/>
        <v>87.67</v>
      </c>
      <c r="AM345" t="str">
        <f t="shared" si="471"/>
        <v>00059</v>
      </c>
      <c r="AN345" t="str">
        <f t="shared" si="472"/>
        <v>Incapacidad Total y Permanente</v>
      </c>
      <c r="AO345" s="118">
        <f t="shared" si="473"/>
        <v>0</v>
      </c>
      <c r="AP345" s="118" t="str">
        <f t="shared" si="474"/>
        <v>A</v>
      </c>
      <c r="AQ345" s="119" t="str">
        <f>+IF(OR($W345="",AO345=0),"",ROUND((VLOOKUP(ROUNDDOWN($D345-1/frec,0),cob_adi,Z$40,FALSE)*(1+i/frec)^-0.5*(1+Parámetros!$D$103)*(1+rec_fracc)/frec),6))</f>
        <v/>
      </c>
      <c r="AR345" s="66">
        <f t="shared" si="430"/>
        <v>0</v>
      </c>
      <c r="AS345" s="119" t="str">
        <f t="shared" si="431"/>
        <v/>
      </c>
      <c r="AT345" s="66">
        <f>+IF($W345="","",ROUND(IF($B345&gt;Parámetros!$D$107,'Tablas Servicio'!AR345+('Tablas Servicio'!AT344-'Tablas Servicio'!AR344),AR345/(1-IF(B345&lt;=10,Parámetros!$D$100,0))),2))</f>
        <v>0</v>
      </c>
      <c r="AU345" s="66">
        <f t="shared" si="432"/>
        <v>0</v>
      </c>
      <c r="AV345" s="66">
        <f t="shared" si="432"/>
        <v>0</v>
      </c>
      <c r="AW345" s="66">
        <f>+IF($W345="","",ROUND((AT345*Parámetros!$G$85),2))</f>
        <v>0</v>
      </c>
      <c r="AX345" s="66">
        <f>+IF($W345="","",ROUND((AT345*(Parámetros!$G$86)),2))</f>
        <v>0</v>
      </c>
      <c r="AY345" s="66">
        <f t="shared" si="433"/>
        <v>0</v>
      </c>
      <c r="AZ345" t="str">
        <f t="shared" si="475"/>
        <v>00060</v>
      </c>
      <c r="BA345" t="str">
        <f t="shared" si="476"/>
        <v>Muerte Accidental</v>
      </c>
      <c r="BB345" s="118">
        <f t="shared" si="477"/>
        <v>0</v>
      </c>
      <c r="BC345" s="118" t="str">
        <f t="shared" si="478"/>
        <v>A</v>
      </c>
      <c r="BD345" s="119" t="str">
        <f>+IF(OR($W345="",BB345=0),"",ROUND((VLOOKUP(ROUNDDOWN($D345-1/frec,0),cob_adi,AO$40,FALSE)*(1+i/frec)^-0.5*(1+Parámetros!$D$103)*(1+rec_fracc)/frec),6))</f>
        <v/>
      </c>
      <c r="BE345" s="66">
        <f t="shared" si="434"/>
        <v>0</v>
      </c>
      <c r="BF345" s="119" t="str">
        <f t="shared" si="435"/>
        <v/>
      </c>
      <c r="BG345" s="66">
        <f>+IF($W345="","",ROUND(IF($B345&gt;Parámetros!$D$107,'Tablas Servicio'!BE345+('Tablas Servicio'!BG344-'Tablas Servicio'!BE344),BE345/(1-IF(B345&lt;=10,Parámetros!$D$100,0))),2))</f>
        <v>0</v>
      </c>
      <c r="BH345" s="66">
        <f t="shared" si="436"/>
        <v>0</v>
      </c>
      <c r="BI345" s="66">
        <f t="shared" si="437"/>
        <v>0</v>
      </c>
      <c r="BJ345" s="66">
        <f>+IF($W345="","",ROUND((BG345*Parámetros!$G$85),2))</f>
        <v>0</v>
      </c>
      <c r="BK345" s="66">
        <f>+IF($W345="","",ROUND((BG345*(Parámetros!$G$86)),2))</f>
        <v>0</v>
      </c>
      <c r="BL345" s="66">
        <f t="shared" si="438"/>
        <v>0</v>
      </c>
      <c r="BM345" t="str">
        <f t="shared" si="479"/>
        <v>00061</v>
      </c>
      <c r="BN345" t="str">
        <f t="shared" si="480"/>
        <v>Gastos de Entierro</v>
      </c>
      <c r="BO345" s="118">
        <f t="shared" si="481"/>
        <v>0</v>
      </c>
      <c r="BP345" s="118" t="str">
        <f t="shared" si="482"/>
        <v>A</v>
      </c>
      <c r="BQ345" s="119" t="str">
        <f>+IF(OR($W345="",BO345=0),"",ROUND((VLOOKUP(ROUNDDOWN($D345-1/frec,0),cob_adi,BB$40,FALSE)*(1+i/frec)^-0.5*(1+Parámetros!$D$103)*(1+rec_fracc)/frec),6))</f>
        <v/>
      </c>
      <c r="BR345" s="66">
        <f t="shared" si="439"/>
        <v>0</v>
      </c>
      <c r="BS345" s="119" t="str">
        <f t="shared" si="440"/>
        <v/>
      </c>
      <c r="BT345" s="66">
        <f>+IF($W345="","",ROUND(IF($B345&gt;Parámetros!$D$107,'Tablas Servicio'!BR345+('Tablas Servicio'!BT344-'Tablas Servicio'!BR344),BR345/(1-IF(B345&lt;=10,Parámetros!$D$100,0))),2))</f>
        <v>0</v>
      </c>
      <c r="BU345" s="66">
        <f t="shared" si="441"/>
        <v>0</v>
      </c>
      <c r="BV345" s="66">
        <f t="shared" si="441"/>
        <v>0</v>
      </c>
      <c r="BW345" s="66">
        <f>+IF($W345="","",ROUND((BT345*Parámetros!$G$85),2))</f>
        <v>0</v>
      </c>
      <c r="BX345" s="66">
        <f>+IF($W345="","",ROUND((BT345*(Parámetros!$G$86)),2))</f>
        <v>0</v>
      </c>
      <c r="BY345" s="66">
        <f t="shared" si="442"/>
        <v>0</v>
      </c>
      <c r="BZ345" t="str">
        <f t="shared" si="483"/>
        <v>00062</v>
      </c>
      <c r="CA345" t="str">
        <f t="shared" si="484"/>
        <v>Gastos médicos por accidente</v>
      </c>
      <c r="CB345" s="118">
        <f t="shared" si="485"/>
        <v>0</v>
      </c>
      <c r="CC345" s="118" t="str">
        <f t="shared" si="486"/>
        <v>A</v>
      </c>
      <c r="CD345" s="119" t="str">
        <f t="shared" si="443"/>
        <v/>
      </c>
      <c r="CE345" s="66">
        <f>+IF($W345="","",ROUND((VLOOKUP(ROUNDDOWN($D345-1/frec,0),cob_adi,BO$40,FALSE)*(1+i/frec)^-0.5*(1+Parámetros!$D$103)*(1+rec_fracc)/frec*'TABLAS ADI'!$BC$17),2))</f>
        <v>0</v>
      </c>
      <c r="CF345" s="119" t="str">
        <f t="shared" si="444"/>
        <v/>
      </c>
      <c r="CG345" s="66">
        <f>+IF($W345="","",ROUND(IF($B345&gt;Parámetros!$D$107,'Tablas Servicio'!CE345+('Tablas Servicio'!CG344-'Tablas Servicio'!CE344),CE345/(1-IF(B345&lt;=10,Parámetros!$D$100,0))),2))</f>
        <v>0</v>
      </c>
      <c r="CH345" s="66">
        <f t="shared" si="445"/>
        <v>0</v>
      </c>
      <c r="CI345" s="66">
        <f t="shared" si="445"/>
        <v>0</v>
      </c>
      <c r="CJ345" s="66">
        <f>+IF($W345="","",ROUND((CG345*Parámetros!$G$85),2))</f>
        <v>0</v>
      </c>
      <c r="CK345" s="66">
        <f>+IF($W345="","",ROUND((CG345*(Parámetros!$G$86)),2))</f>
        <v>0</v>
      </c>
      <c r="CL345" s="66">
        <f t="shared" si="446"/>
        <v>0</v>
      </c>
      <c r="CM345" t="str">
        <f t="shared" si="487"/>
        <v>00063</v>
      </c>
      <c r="CN345" s="118" t="str">
        <f t="shared" si="488"/>
        <v>Renta Diaria por Hospitalización</v>
      </c>
      <c r="CO345" s="118">
        <f t="shared" si="489"/>
        <v>0</v>
      </c>
      <c r="CP345" s="118" t="str">
        <f t="shared" si="490"/>
        <v>A</v>
      </c>
      <c r="CQ345" s="119" t="str">
        <f t="shared" si="447"/>
        <v/>
      </c>
      <c r="CR345" s="66">
        <f>+IF($W345="","",ROUND((VLOOKUP(Parámetros!$F$51,'COBERTURAS ADICIONALES'!$S$4:$T$32,2,FALSE)*(1+i/frec)^-0.5*(1+Parámetros!$D$103)*(1+rec_fracc)/frec*$CO$42),2))</f>
        <v>0</v>
      </c>
      <c r="CS345" s="119" t="str">
        <f t="shared" si="448"/>
        <v/>
      </c>
      <c r="CT345" s="66">
        <f>+IF($W345="","",ROUND(IF($B345&gt;Parámetros!$D$107,'Tablas Servicio'!CR345+('Tablas Servicio'!CT344-'Tablas Servicio'!CR344),CR345/(1-IF(B345&lt;=10,Parámetros!$D$100,0))),2))</f>
        <v>0</v>
      </c>
      <c r="CU345" s="66">
        <f t="shared" si="449"/>
        <v>0</v>
      </c>
      <c r="CV345" s="66">
        <f t="shared" si="449"/>
        <v>0</v>
      </c>
      <c r="CW345" s="66">
        <f>+IF($W345="","",ROUND((CT345*Parámetros!$G$85),2))</f>
        <v>0</v>
      </c>
      <c r="CX345" s="66">
        <f>+IF($W345="","",ROUND((CT345*(Parámetros!$G$86)),2))</f>
        <v>0</v>
      </c>
      <c r="CY345" s="66">
        <f t="shared" si="450"/>
        <v>0</v>
      </c>
      <c r="CZ345" t="str">
        <f t="shared" si="491"/>
        <v>00064</v>
      </c>
      <c r="DA345" s="118" t="str">
        <f t="shared" si="492"/>
        <v>Enfermedades Graves</v>
      </c>
      <c r="DB345" s="118">
        <f t="shared" si="493"/>
        <v>0</v>
      </c>
      <c r="DC345" s="118" t="str">
        <f t="shared" si="494"/>
        <v>A</v>
      </c>
      <c r="DD345" s="121" t="str">
        <f>+IF(OR($W345="",DB345=0),"",ROUND((VLOOKUP(ROUNDDOWN($D345-1/frec,0),cob_adi,CO$40,FALSE)*(1+i/frec)^-0.5*(1+Parámetros!$D$103)*(1+rec_fracc)/frec),6))</f>
        <v/>
      </c>
      <c r="DE345" s="66">
        <f t="shared" si="451"/>
        <v>0</v>
      </c>
      <c r="DF345" s="119" t="str">
        <f t="shared" si="452"/>
        <v/>
      </c>
      <c r="DG345" s="66">
        <f>+IF($W345="","",ROUND(IF($B345&gt;Parámetros!$D$107,'Tablas Servicio'!DE345+('Tablas Servicio'!DG344-'Tablas Servicio'!DE344),DE345/(1-IF(B345&lt;=10,Parámetros!$D$100,0))),2))</f>
        <v>0</v>
      </c>
      <c r="DH345" s="66">
        <f t="shared" si="453"/>
        <v>0</v>
      </c>
      <c r="DI345" s="66">
        <f t="shared" si="453"/>
        <v>0</v>
      </c>
      <c r="DJ345" s="66">
        <f>+IF($W345="","",ROUND((DG345*Parámetros!$G$85),2))</f>
        <v>0</v>
      </c>
      <c r="DK345" s="66">
        <f>+IF($W345="","",ROUND((DG345*(Parámetros!$G$86)),2))</f>
        <v>0</v>
      </c>
      <c r="DL345" s="66">
        <f t="shared" si="454"/>
        <v>0</v>
      </c>
      <c r="DM345" t="str">
        <f t="shared" si="495"/>
        <v>00065</v>
      </c>
      <c r="DN345" s="118" t="str">
        <f t="shared" si="496"/>
        <v>Exención pago de primas</v>
      </c>
      <c r="DO345" s="118">
        <f t="shared" si="497"/>
        <v>0</v>
      </c>
      <c r="DP345" s="118" t="str">
        <f t="shared" si="498"/>
        <v>A</v>
      </c>
      <c r="DQ345" s="122" t="str">
        <f>+IF(OR($W345="",DO345=0),"",ROUND((VLOOKUP(ROUNDDOWN($D345-1/frec,0),cob_adi,DB$40,FALSE)*(1+i/frec)^-0.5*(1+Parámetros!$D$103)*(1+rec_fracc)/frec),6))</f>
        <v/>
      </c>
      <c r="DR345" s="66">
        <f t="shared" si="455"/>
        <v>0</v>
      </c>
      <c r="DS345" s="68" t="str">
        <f t="shared" si="456"/>
        <v/>
      </c>
      <c r="DT345" s="66">
        <f>+IF($W345="","",ROUND(IF($B345&gt;Parámetros!$D$107,'Tablas Servicio'!DR345+('Tablas Servicio'!DT344-'Tablas Servicio'!DR344),DR345/(1-IF(B345&lt;=10,Parámetros!$D$100,0))),2))</f>
        <v>0</v>
      </c>
      <c r="DU345" s="66">
        <f t="shared" si="457"/>
        <v>0</v>
      </c>
      <c r="DV345" s="66">
        <f t="shared" si="457"/>
        <v>0</v>
      </c>
      <c r="DW345" s="66">
        <f>+IF($W345="","",ROUND((DT345*Parámetros!$G$85),2))</f>
        <v>0</v>
      </c>
      <c r="DX345" s="66">
        <f>+IF($W345="","",ROUND((DT345*(Parámetros!$G$86)),2))</f>
        <v>0</v>
      </c>
      <c r="DY345" s="66">
        <f t="shared" si="458"/>
        <v>0</v>
      </c>
      <c r="DZ345" t="str">
        <f t="shared" si="500"/>
        <v>00066</v>
      </c>
      <c r="EA345" s="118" t="str">
        <f t="shared" si="500"/>
        <v>Enfermedad terminal</v>
      </c>
      <c r="EB345" s="118">
        <f>+IF($W345="","",ROUND(IF(Parámetros!$D$25='TABLAS MORT'!$V$33,EB344,Z345/2),0))</f>
        <v>50000</v>
      </c>
      <c r="EC345" s="118" t="str">
        <f t="shared" si="500"/>
        <v>A</v>
      </c>
      <c r="ED345" s="122">
        <f>+IF(OR($W345="",EB345=0),"",ROUND((VLOOKUP(ROUNDDOWN($D345-1/frec,0),cob_adi,DO$40,FALSE)*(1+i/frec)^-0.5*(1+Parámetros!$D$103)*(1+rec_fracc)/frec),6))</f>
        <v>5.5000000000000002E-5</v>
      </c>
      <c r="EE345" s="66">
        <f t="shared" si="460"/>
        <v>2.75</v>
      </c>
      <c r="EF345" s="68">
        <f t="shared" si="461"/>
        <v>5.5000000000000002E-5</v>
      </c>
      <c r="EG345" s="66">
        <f>+IF($W345="","",ROUND(IF($B345&gt;Parámetros!$D$107,'Tablas Servicio'!EE345+('Tablas Servicio'!EG344-'Tablas Servicio'!EE344),EE345/(1-IF(B345&lt;=10,Parámetros!$D$100,0))),2))</f>
        <v>2.75</v>
      </c>
      <c r="EH345" s="66">
        <f t="shared" si="462"/>
        <v>0</v>
      </c>
      <c r="EI345" s="66">
        <f t="shared" si="462"/>
        <v>0</v>
      </c>
      <c r="EJ345" s="66">
        <f>+IF($W345="","",ROUND((EG345*Parámetros!$G$85),2))</f>
        <v>0.1</v>
      </c>
      <c r="EK345" s="66">
        <f>+IF($W345="","",ROUND((EG345*(Parámetros!$G$86)),2))</f>
        <v>0.01</v>
      </c>
      <c r="EL345" s="66">
        <f t="shared" si="463"/>
        <v>2.86</v>
      </c>
    </row>
    <row r="346" spans="1:142" x14ac:dyDescent="0.25">
      <c r="A346">
        <f>+IF($C346="","",ROUND(VLOOKUP('Tablas Servicio'!B346,Parámetros!$H$100:$J$159,IF(Parámetros!$E$16="F",2,3),FALSE),2))</f>
        <v>150</v>
      </c>
      <c r="B346">
        <f t="shared" si="414"/>
        <v>26</v>
      </c>
      <c r="C346" s="57">
        <f>+IF(D346="","",'Tablas Servicio'!C345+1)</f>
        <v>305</v>
      </c>
      <c r="D346" s="56">
        <f>+IF(D345&lt;edadmaxtabla,D345+1/Parámetros!$E$25,"")</f>
        <v>65.436666666667264</v>
      </c>
      <c r="E346" s="57">
        <f t="shared" si="424"/>
        <v>65</v>
      </c>
      <c r="F346" s="59">
        <f t="shared" si="425"/>
        <v>100000</v>
      </c>
      <c r="G346" s="66">
        <f t="shared" si="415"/>
        <v>87.05</v>
      </c>
      <c r="H346" s="66">
        <f t="shared" si="416"/>
        <v>90.53</v>
      </c>
      <c r="I346" s="66">
        <f t="shared" si="464"/>
        <v>3.4699999999999989</v>
      </c>
      <c r="J346" s="66">
        <f t="shared" si="417"/>
        <v>3.0500000000000003</v>
      </c>
      <c r="K346" s="66">
        <f t="shared" si="418"/>
        <v>0.43</v>
      </c>
      <c r="L346" s="66">
        <f t="shared" si="419"/>
        <v>0</v>
      </c>
      <c r="M346" s="66">
        <f t="shared" si="420"/>
        <v>0</v>
      </c>
      <c r="N346" s="66">
        <f>+IF(C346="","",ROUND(Parámetros!$D$23,2))</f>
        <v>94</v>
      </c>
      <c r="O346" s="66">
        <f t="shared" si="421"/>
        <v>74.55</v>
      </c>
      <c r="P346" s="66">
        <f>+IF($C346="","",ROUND(IF(B346&gt;Parámetros!$D$117,0,N346*Parámetros!$D$116-G346*Parámetros!$D$100),2))</f>
        <v>0</v>
      </c>
      <c r="Q346" s="75">
        <f t="shared" si="465"/>
        <v>3.5037334865020107E-2</v>
      </c>
      <c r="R346" s="75">
        <f t="shared" si="466"/>
        <v>4.9396898334290642E-3</v>
      </c>
      <c r="S346" s="117">
        <f>+IF($C346="","",ROUND((S345+I346)*(1+Parámetros!$D$91),2))</f>
        <v>22959.53</v>
      </c>
      <c r="T346" s="117">
        <f>+IF($C346="","",ROUND(S346*VLOOKUP(B346,Parámetros!$C$30:$D$39,2,TRUE),2))</f>
        <v>22959.53</v>
      </c>
      <c r="U346" s="117">
        <f>+IF($C346="","",ROUND((U345+I346)*(1+Parámetros!$D$92),2))</f>
        <v>24856.17</v>
      </c>
      <c r="V346" s="117">
        <f>+IF($C346="","",ROUND(U346*VLOOKUP(B346,Parámetros!$C$30:$D$39,2,TRUE),2))</f>
        <v>24856.17</v>
      </c>
      <c r="W346" s="57">
        <f t="shared" si="467"/>
        <v>305</v>
      </c>
      <c r="X346" t="str">
        <f t="shared" si="468"/>
        <v>00058</v>
      </c>
      <c r="Y346" t="str">
        <f t="shared" si="469"/>
        <v>MUERTE POR CUALQUIER CAUSA</v>
      </c>
      <c r="Z346" s="118">
        <f>+IF($W346="","",ROUND(IF(Parámetros!$D$25='TABLAS MORT'!$V$33,Z345,Parámetros!$D$21-'Tablas Servicio'!T345),0))</f>
        <v>100000</v>
      </c>
      <c r="AA346" s="118" t="str">
        <f t="shared" si="470"/>
        <v>P</v>
      </c>
      <c r="AB346" s="119">
        <f>+IF(W346="","",ROUND((VLOOKUP(ROUNDDOWN($D346-1/frec,0),qx_tabla,2,FALSE)*(1+i/frec)^-0.5*(1+Parámetros!$D$103)*(1+rec_fracc)/frec),6))</f>
        <v>7.18E-4</v>
      </c>
      <c r="AC346" s="66">
        <f t="shared" si="426"/>
        <v>71.8</v>
      </c>
      <c r="AD346" s="119">
        <f t="shared" si="422"/>
        <v>8.43E-4</v>
      </c>
      <c r="AE346" s="66">
        <f>+IF($W346="","",ROUND(IF($B346&gt;Parámetros!$D$107,'Tablas Servicio'!AC346+('Tablas Servicio'!AG345-'Tablas Servicio'!AC345),AC346/(1-IF(B346&lt;=10,Parámetros!$D$104,Parámetros!$D$105))),2))</f>
        <v>119.67</v>
      </c>
      <c r="AF346" s="66">
        <f>+IF($W346="","",ROUND(IF($B346&gt;Parámetros!$D$107,'Tablas Servicio'!AC346+('Tablas Servicio'!AG345-'Tablas Servicio'!AC345),(AC346+$A345/frec)/(1-IF(B346&lt;=Parámetros!$D$117,Parámetros!$D$100,0))),2))</f>
        <v>84.3</v>
      </c>
      <c r="AG346" s="66">
        <f t="shared" si="427"/>
        <v>84.3</v>
      </c>
      <c r="AH346" s="66">
        <f t="shared" si="428"/>
        <v>0</v>
      </c>
      <c r="AI346" s="66">
        <f t="shared" si="429"/>
        <v>0</v>
      </c>
      <c r="AJ346" s="66">
        <f>+IF($W346="","",ROUND((AG346*Parámetros!$G$85),2))</f>
        <v>2.95</v>
      </c>
      <c r="AK346" s="66">
        <f>+IF($W346="","",ROUND((AG346*(Parámetros!$G$86)),2))</f>
        <v>0.42</v>
      </c>
      <c r="AL346" s="66">
        <f t="shared" si="423"/>
        <v>87.67</v>
      </c>
      <c r="AM346" t="str">
        <f t="shared" si="471"/>
        <v>00059</v>
      </c>
      <c r="AN346" t="str">
        <f t="shared" si="472"/>
        <v>Incapacidad Total y Permanente</v>
      </c>
      <c r="AO346" s="118">
        <f t="shared" si="473"/>
        <v>0</v>
      </c>
      <c r="AP346" s="118" t="str">
        <f t="shared" si="474"/>
        <v>A</v>
      </c>
      <c r="AQ346" s="119" t="str">
        <f>+IF(OR($W346="",AO346=0),"",ROUND((VLOOKUP(ROUNDDOWN($D346-1/frec,0),cob_adi,Z$40,FALSE)*(1+i/frec)^-0.5*(1+Parámetros!$D$103)*(1+rec_fracc)/frec),6))</f>
        <v/>
      </c>
      <c r="AR346" s="66">
        <f t="shared" si="430"/>
        <v>0</v>
      </c>
      <c r="AS346" s="119" t="str">
        <f t="shared" si="431"/>
        <v/>
      </c>
      <c r="AT346" s="66">
        <f>+IF($W346="","",ROUND(IF($B346&gt;Parámetros!$D$107,'Tablas Servicio'!AR346+('Tablas Servicio'!AT345-'Tablas Servicio'!AR345),AR346/(1-IF(B346&lt;=10,Parámetros!$D$100,0))),2))</f>
        <v>0</v>
      </c>
      <c r="AU346" s="66">
        <f t="shared" si="432"/>
        <v>0</v>
      </c>
      <c r="AV346" s="66">
        <f t="shared" si="432"/>
        <v>0</v>
      </c>
      <c r="AW346" s="66">
        <f>+IF($W346="","",ROUND((AT346*Parámetros!$G$85),2))</f>
        <v>0</v>
      </c>
      <c r="AX346" s="66">
        <f>+IF($W346="","",ROUND((AT346*(Parámetros!$G$86)),2))</f>
        <v>0</v>
      </c>
      <c r="AY346" s="66">
        <f t="shared" si="433"/>
        <v>0</v>
      </c>
      <c r="AZ346" t="str">
        <f t="shared" si="475"/>
        <v>00060</v>
      </c>
      <c r="BA346" t="str">
        <f t="shared" si="476"/>
        <v>Muerte Accidental</v>
      </c>
      <c r="BB346" s="118">
        <f t="shared" si="477"/>
        <v>0</v>
      </c>
      <c r="BC346" s="118" t="str">
        <f t="shared" si="478"/>
        <v>A</v>
      </c>
      <c r="BD346" s="119" t="str">
        <f>+IF(OR($W346="",BB346=0),"",ROUND((VLOOKUP(ROUNDDOWN($D346-1/frec,0),cob_adi,AO$40,FALSE)*(1+i/frec)^-0.5*(1+Parámetros!$D$103)*(1+rec_fracc)/frec),6))</f>
        <v/>
      </c>
      <c r="BE346" s="66">
        <f t="shared" si="434"/>
        <v>0</v>
      </c>
      <c r="BF346" s="119" t="str">
        <f t="shared" si="435"/>
        <v/>
      </c>
      <c r="BG346" s="66">
        <f>+IF($W346="","",ROUND(IF($B346&gt;Parámetros!$D$107,'Tablas Servicio'!BE346+('Tablas Servicio'!BG345-'Tablas Servicio'!BE345),BE346/(1-IF(B346&lt;=10,Parámetros!$D$100,0))),2))</f>
        <v>0</v>
      </c>
      <c r="BH346" s="66">
        <f t="shared" si="436"/>
        <v>0</v>
      </c>
      <c r="BI346" s="66">
        <f t="shared" si="437"/>
        <v>0</v>
      </c>
      <c r="BJ346" s="66">
        <f>+IF($W346="","",ROUND((BG346*Parámetros!$G$85),2))</f>
        <v>0</v>
      </c>
      <c r="BK346" s="66">
        <f>+IF($W346="","",ROUND((BG346*(Parámetros!$G$86)),2))</f>
        <v>0</v>
      </c>
      <c r="BL346" s="66">
        <f t="shared" si="438"/>
        <v>0</v>
      </c>
      <c r="BM346" t="str">
        <f t="shared" si="479"/>
        <v>00061</v>
      </c>
      <c r="BN346" t="str">
        <f t="shared" si="480"/>
        <v>Gastos de Entierro</v>
      </c>
      <c r="BO346" s="118">
        <f t="shared" si="481"/>
        <v>0</v>
      </c>
      <c r="BP346" s="118" t="str">
        <f t="shared" si="482"/>
        <v>A</v>
      </c>
      <c r="BQ346" s="119" t="str">
        <f>+IF(OR($W346="",BO346=0),"",ROUND((VLOOKUP(ROUNDDOWN($D346-1/frec,0),cob_adi,BB$40,FALSE)*(1+i/frec)^-0.5*(1+Parámetros!$D$103)*(1+rec_fracc)/frec),6))</f>
        <v/>
      </c>
      <c r="BR346" s="66">
        <f t="shared" si="439"/>
        <v>0</v>
      </c>
      <c r="BS346" s="119" t="str">
        <f t="shared" si="440"/>
        <v/>
      </c>
      <c r="BT346" s="66">
        <f>+IF($W346="","",ROUND(IF($B346&gt;Parámetros!$D$107,'Tablas Servicio'!BR346+('Tablas Servicio'!BT345-'Tablas Servicio'!BR345),BR346/(1-IF(B346&lt;=10,Parámetros!$D$100,0))),2))</f>
        <v>0</v>
      </c>
      <c r="BU346" s="66">
        <f t="shared" si="441"/>
        <v>0</v>
      </c>
      <c r="BV346" s="66">
        <f t="shared" si="441"/>
        <v>0</v>
      </c>
      <c r="BW346" s="66">
        <f>+IF($W346="","",ROUND((BT346*Parámetros!$G$85),2))</f>
        <v>0</v>
      </c>
      <c r="BX346" s="66">
        <f>+IF($W346="","",ROUND((BT346*(Parámetros!$G$86)),2))</f>
        <v>0</v>
      </c>
      <c r="BY346" s="66">
        <f t="shared" si="442"/>
        <v>0</v>
      </c>
      <c r="BZ346" t="str">
        <f t="shared" si="483"/>
        <v>00062</v>
      </c>
      <c r="CA346" t="str">
        <f t="shared" si="484"/>
        <v>Gastos médicos por accidente</v>
      </c>
      <c r="CB346" s="118">
        <f t="shared" si="485"/>
        <v>0</v>
      </c>
      <c r="CC346" s="118" t="str">
        <f t="shared" si="486"/>
        <v>A</v>
      </c>
      <c r="CD346" s="119" t="str">
        <f t="shared" si="443"/>
        <v/>
      </c>
      <c r="CE346" s="66">
        <f>+IF($W346="","",ROUND((VLOOKUP(ROUNDDOWN($D346-1/frec,0),cob_adi,BO$40,FALSE)*(1+i/frec)^-0.5*(1+Parámetros!$D$103)*(1+rec_fracc)/frec*'TABLAS ADI'!$BC$17),2))</f>
        <v>0</v>
      </c>
      <c r="CF346" s="119" t="str">
        <f t="shared" si="444"/>
        <v/>
      </c>
      <c r="CG346" s="66">
        <f>+IF($W346="","",ROUND(IF($B346&gt;Parámetros!$D$107,'Tablas Servicio'!CE346+('Tablas Servicio'!CG345-'Tablas Servicio'!CE345),CE346/(1-IF(B346&lt;=10,Parámetros!$D$100,0))),2))</f>
        <v>0</v>
      </c>
      <c r="CH346" s="66">
        <f t="shared" si="445"/>
        <v>0</v>
      </c>
      <c r="CI346" s="66">
        <f t="shared" si="445"/>
        <v>0</v>
      </c>
      <c r="CJ346" s="66">
        <f>+IF($W346="","",ROUND((CG346*Parámetros!$G$85),2))</f>
        <v>0</v>
      </c>
      <c r="CK346" s="66">
        <f>+IF($W346="","",ROUND((CG346*(Parámetros!$G$86)),2))</f>
        <v>0</v>
      </c>
      <c r="CL346" s="66">
        <f t="shared" si="446"/>
        <v>0</v>
      </c>
      <c r="CM346" t="str">
        <f t="shared" si="487"/>
        <v>00063</v>
      </c>
      <c r="CN346" s="118" t="str">
        <f t="shared" si="488"/>
        <v>Renta Diaria por Hospitalización</v>
      </c>
      <c r="CO346" s="118">
        <f t="shared" si="489"/>
        <v>0</v>
      </c>
      <c r="CP346" s="118" t="str">
        <f t="shared" si="490"/>
        <v>A</v>
      </c>
      <c r="CQ346" s="119" t="str">
        <f t="shared" si="447"/>
        <v/>
      </c>
      <c r="CR346" s="66">
        <f>+IF($W346="","",ROUND((VLOOKUP(Parámetros!$F$51,'COBERTURAS ADICIONALES'!$S$4:$T$32,2,FALSE)*(1+i/frec)^-0.5*(1+Parámetros!$D$103)*(1+rec_fracc)/frec*$CO$42),2))</f>
        <v>0</v>
      </c>
      <c r="CS346" s="119" t="str">
        <f t="shared" si="448"/>
        <v/>
      </c>
      <c r="CT346" s="66">
        <f>+IF($W346="","",ROUND(IF($B346&gt;Parámetros!$D$107,'Tablas Servicio'!CR346+('Tablas Servicio'!CT345-'Tablas Servicio'!CR345),CR346/(1-IF(B346&lt;=10,Parámetros!$D$100,0))),2))</f>
        <v>0</v>
      </c>
      <c r="CU346" s="66">
        <f t="shared" si="449"/>
        <v>0</v>
      </c>
      <c r="CV346" s="66">
        <f t="shared" si="449"/>
        <v>0</v>
      </c>
      <c r="CW346" s="66">
        <f>+IF($W346="","",ROUND((CT346*Parámetros!$G$85),2))</f>
        <v>0</v>
      </c>
      <c r="CX346" s="66">
        <f>+IF($W346="","",ROUND((CT346*(Parámetros!$G$86)),2))</f>
        <v>0</v>
      </c>
      <c r="CY346" s="66">
        <f t="shared" si="450"/>
        <v>0</v>
      </c>
      <c r="CZ346" t="str">
        <f t="shared" si="491"/>
        <v>00064</v>
      </c>
      <c r="DA346" s="118" t="str">
        <f t="shared" si="492"/>
        <v>Enfermedades Graves</v>
      </c>
      <c r="DB346" s="118">
        <f t="shared" si="493"/>
        <v>0</v>
      </c>
      <c r="DC346" s="118" t="str">
        <f t="shared" si="494"/>
        <v>A</v>
      </c>
      <c r="DD346" s="121" t="str">
        <f>+IF(OR($W346="",DB346=0),"",ROUND((VLOOKUP(ROUNDDOWN($D346-1/frec,0),cob_adi,CO$40,FALSE)*(1+i/frec)^-0.5*(1+Parámetros!$D$103)*(1+rec_fracc)/frec),6))</f>
        <v/>
      </c>
      <c r="DE346" s="66">
        <f t="shared" si="451"/>
        <v>0</v>
      </c>
      <c r="DF346" s="119" t="str">
        <f t="shared" si="452"/>
        <v/>
      </c>
      <c r="DG346" s="66">
        <f>+IF($W346="","",ROUND(IF($B346&gt;Parámetros!$D$107,'Tablas Servicio'!DE346+('Tablas Servicio'!DG345-'Tablas Servicio'!DE345),DE346/(1-IF(B346&lt;=10,Parámetros!$D$100,0))),2))</f>
        <v>0</v>
      </c>
      <c r="DH346" s="66">
        <f t="shared" si="453"/>
        <v>0</v>
      </c>
      <c r="DI346" s="66">
        <f t="shared" si="453"/>
        <v>0</v>
      </c>
      <c r="DJ346" s="66">
        <f>+IF($W346="","",ROUND((DG346*Parámetros!$G$85),2))</f>
        <v>0</v>
      </c>
      <c r="DK346" s="66">
        <f>+IF($W346="","",ROUND((DG346*(Parámetros!$G$86)),2))</f>
        <v>0</v>
      </c>
      <c r="DL346" s="66">
        <f t="shared" si="454"/>
        <v>0</v>
      </c>
      <c r="DM346" t="str">
        <f t="shared" si="495"/>
        <v>00065</v>
      </c>
      <c r="DN346" s="118" t="str">
        <f t="shared" si="496"/>
        <v>Exención pago de primas</v>
      </c>
      <c r="DO346" s="118">
        <f t="shared" si="497"/>
        <v>0</v>
      </c>
      <c r="DP346" s="118" t="str">
        <f t="shared" si="498"/>
        <v>A</v>
      </c>
      <c r="DQ346" s="122" t="str">
        <f>+IF(OR($W346="",DO346=0),"",ROUND((VLOOKUP(ROUNDDOWN($D346-1/frec,0),cob_adi,DB$40,FALSE)*(1+i/frec)^-0.5*(1+Parámetros!$D$103)*(1+rec_fracc)/frec),6))</f>
        <v/>
      </c>
      <c r="DR346" s="66">
        <f t="shared" si="455"/>
        <v>0</v>
      </c>
      <c r="DS346" s="68" t="str">
        <f t="shared" si="456"/>
        <v/>
      </c>
      <c r="DT346" s="66">
        <f>+IF($W346="","",ROUND(IF($B346&gt;Parámetros!$D$107,'Tablas Servicio'!DR346+('Tablas Servicio'!DT345-'Tablas Servicio'!DR345),DR346/(1-IF(B346&lt;=10,Parámetros!$D$100,0))),2))</f>
        <v>0</v>
      </c>
      <c r="DU346" s="66">
        <f t="shared" si="457"/>
        <v>0</v>
      </c>
      <c r="DV346" s="66">
        <f t="shared" si="457"/>
        <v>0</v>
      </c>
      <c r="DW346" s="66">
        <f>+IF($W346="","",ROUND((DT346*Parámetros!$G$85),2))</f>
        <v>0</v>
      </c>
      <c r="DX346" s="66">
        <f>+IF($W346="","",ROUND((DT346*(Parámetros!$G$86)),2))</f>
        <v>0</v>
      </c>
      <c r="DY346" s="66">
        <f t="shared" si="458"/>
        <v>0</v>
      </c>
      <c r="DZ346" t="str">
        <f t="shared" si="500"/>
        <v>00066</v>
      </c>
      <c r="EA346" s="118" t="str">
        <f t="shared" si="500"/>
        <v>Enfermedad terminal</v>
      </c>
      <c r="EB346" s="118">
        <f>+IF($W346="","",ROUND(IF(Parámetros!$D$25='TABLAS MORT'!$V$33,EB345,Z346/2),0))</f>
        <v>50000</v>
      </c>
      <c r="EC346" s="118" t="str">
        <f t="shared" si="500"/>
        <v>A</v>
      </c>
      <c r="ED346" s="122">
        <f>+IF(OR($W346="",EB346=0),"",ROUND((VLOOKUP(ROUNDDOWN($D346-1/frec,0),cob_adi,DO$40,FALSE)*(1+i/frec)^-0.5*(1+Parámetros!$D$103)*(1+rec_fracc)/frec),6))</f>
        <v>5.5000000000000002E-5</v>
      </c>
      <c r="EE346" s="66">
        <f t="shared" si="460"/>
        <v>2.75</v>
      </c>
      <c r="EF346" s="68">
        <f t="shared" si="461"/>
        <v>5.5000000000000002E-5</v>
      </c>
      <c r="EG346" s="66">
        <f>+IF($W346="","",ROUND(IF($B346&gt;Parámetros!$D$107,'Tablas Servicio'!EE346+('Tablas Servicio'!EG345-'Tablas Servicio'!EE345),EE346/(1-IF(B346&lt;=10,Parámetros!$D$100,0))),2))</f>
        <v>2.75</v>
      </c>
      <c r="EH346" s="66">
        <f t="shared" si="462"/>
        <v>0</v>
      </c>
      <c r="EI346" s="66">
        <f t="shared" si="462"/>
        <v>0</v>
      </c>
      <c r="EJ346" s="66">
        <f>+IF($W346="","",ROUND((EG346*Parámetros!$G$85),2))</f>
        <v>0.1</v>
      </c>
      <c r="EK346" s="66">
        <f>+IF($W346="","",ROUND((EG346*(Parámetros!$G$86)),2))</f>
        <v>0.01</v>
      </c>
      <c r="EL346" s="66">
        <f t="shared" si="463"/>
        <v>2.86</v>
      </c>
    </row>
    <row r="347" spans="1:142" x14ac:dyDescent="0.25">
      <c r="A347">
        <f>+IF($C347="","",ROUND(VLOOKUP('Tablas Servicio'!B347,Parámetros!$H$100:$J$159,IF(Parámetros!$E$16="F",2,3),FALSE),2))</f>
        <v>150</v>
      </c>
      <c r="B347">
        <f t="shared" si="414"/>
        <v>26</v>
      </c>
      <c r="C347" s="57">
        <f>+IF(D347="","",'Tablas Servicio'!C346+1)</f>
        <v>306</v>
      </c>
      <c r="D347" s="56">
        <f>+IF(D346&lt;edadmaxtabla,D346+1/Parámetros!$E$25,"")</f>
        <v>65.520000000000593</v>
      </c>
      <c r="E347" s="57">
        <f t="shared" si="424"/>
        <v>65</v>
      </c>
      <c r="F347" s="59">
        <f t="shared" si="425"/>
        <v>100000</v>
      </c>
      <c r="G347" s="66">
        <f t="shared" si="415"/>
        <v>87.05</v>
      </c>
      <c r="H347" s="66">
        <f t="shared" si="416"/>
        <v>90.53</v>
      </c>
      <c r="I347" s="66">
        <f t="shared" si="464"/>
        <v>3.4699999999999989</v>
      </c>
      <c r="J347" s="66">
        <f t="shared" si="417"/>
        <v>3.0500000000000003</v>
      </c>
      <c r="K347" s="66">
        <f t="shared" si="418"/>
        <v>0.43</v>
      </c>
      <c r="L347" s="66">
        <f t="shared" si="419"/>
        <v>0</v>
      </c>
      <c r="M347" s="66">
        <f t="shared" si="420"/>
        <v>0</v>
      </c>
      <c r="N347" s="66">
        <f>+IF(C347="","",ROUND(Parámetros!$D$23,2))</f>
        <v>94</v>
      </c>
      <c r="O347" s="66">
        <f t="shared" si="421"/>
        <v>74.55</v>
      </c>
      <c r="P347" s="66">
        <f>+IF($C347="","",ROUND(IF(B347&gt;Parámetros!$D$117,0,N347*Parámetros!$D$116-G347*Parámetros!$D$100),2))</f>
        <v>0</v>
      </c>
      <c r="Q347" s="75">
        <f t="shared" si="465"/>
        <v>3.5037334865020107E-2</v>
      </c>
      <c r="R347" s="75">
        <f t="shared" si="466"/>
        <v>4.9396898334290642E-3</v>
      </c>
      <c r="S347" s="117">
        <f>+IF($C347="","",ROUND((S346+I347)*(1+Parámetros!$D$91),2))</f>
        <v>23028.13</v>
      </c>
      <c r="T347" s="117">
        <f>+IF($C347="","",ROUND(S347*VLOOKUP(B347,Parámetros!$C$30:$D$39,2,TRUE),2))</f>
        <v>23028.13</v>
      </c>
      <c r="U347" s="117">
        <f>+IF($C347="","",ROUND((U346+I347)*(1+Parámetros!$D$92),2))</f>
        <v>24940.23</v>
      </c>
      <c r="V347" s="117">
        <f>+IF($C347="","",ROUND(U347*VLOOKUP(B347,Parámetros!$C$30:$D$39,2,TRUE),2))</f>
        <v>24940.23</v>
      </c>
      <c r="W347" s="57">
        <f t="shared" si="467"/>
        <v>306</v>
      </c>
      <c r="X347" t="str">
        <f t="shared" si="468"/>
        <v>00058</v>
      </c>
      <c r="Y347" t="str">
        <f t="shared" si="469"/>
        <v>MUERTE POR CUALQUIER CAUSA</v>
      </c>
      <c r="Z347" s="118">
        <f>+IF($W347="","",ROUND(IF(Parámetros!$D$25='TABLAS MORT'!$V$33,Z346,Parámetros!$D$21-'Tablas Servicio'!T346),0))</f>
        <v>100000</v>
      </c>
      <c r="AA347" s="118" t="str">
        <f t="shared" si="470"/>
        <v>P</v>
      </c>
      <c r="AB347" s="119">
        <f>+IF(W347="","",ROUND((VLOOKUP(ROUNDDOWN($D347-1/frec,0),qx_tabla,2,FALSE)*(1+i/frec)^-0.5*(1+Parámetros!$D$103)*(1+rec_fracc)/frec),6))</f>
        <v>7.18E-4</v>
      </c>
      <c r="AC347" s="66">
        <f t="shared" si="426"/>
        <v>71.8</v>
      </c>
      <c r="AD347" s="119">
        <f t="shared" si="422"/>
        <v>8.43E-4</v>
      </c>
      <c r="AE347" s="66">
        <f>+IF($W347="","",ROUND(IF($B347&gt;Parámetros!$D$107,'Tablas Servicio'!AC347+('Tablas Servicio'!AG346-'Tablas Servicio'!AC346),AC347/(1-IF(B347&lt;=10,Parámetros!$D$104,Parámetros!$D$105))),2))</f>
        <v>119.67</v>
      </c>
      <c r="AF347" s="66">
        <f>+IF($W347="","",ROUND(IF($B347&gt;Parámetros!$D$107,'Tablas Servicio'!AC347+('Tablas Servicio'!AG346-'Tablas Servicio'!AC346),(AC347+$A346/frec)/(1-IF(B347&lt;=Parámetros!$D$117,Parámetros!$D$100,0))),2))</f>
        <v>84.3</v>
      </c>
      <c r="AG347" s="66">
        <f t="shared" si="427"/>
        <v>84.3</v>
      </c>
      <c r="AH347" s="66">
        <f t="shared" si="428"/>
        <v>0</v>
      </c>
      <c r="AI347" s="66">
        <f t="shared" si="429"/>
        <v>0</v>
      </c>
      <c r="AJ347" s="66">
        <f>+IF($W347="","",ROUND((AG347*Parámetros!$G$85),2))</f>
        <v>2.95</v>
      </c>
      <c r="AK347" s="66">
        <f>+IF($W347="","",ROUND((AG347*(Parámetros!$G$86)),2))</f>
        <v>0.42</v>
      </c>
      <c r="AL347" s="66">
        <f t="shared" si="423"/>
        <v>87.67</v>
      </c>
      <c r="AM347" t="str">
        <f t="shared" si="471"/>
        <v>00059</v>
      </c>
      <c r="AN347" t="str">
        <f t="shared" si="472"/>
        <v>Incapacidad Total y Permanente</v>
      </c>
      <c r="AO347" s="118">
        <f t="shared" si="473"/>
        <v>0</v>
      </c>
      <c r="AP347" s="118" t="str">
        <f t="shared" si="474"/>
        <v>A</v>
      </c>
      <c r="AQ347" s="119" t="str">
        <f>+IF(OR($W347="",AO347=0),"",ROUND((VLOOKUP(ROUNDDOWN($D347-1/frec,0),cob_adi,Z$40,FALSE)*(1+i/frec)^-0.5*(1+Parámetros!$D$103)*(1+rec_fracc)/frec),6))</f>
        <v/>
      </c>
      <c r="AR347" s="66">
        <f t="shared" si="430"/>
        <v>0</v>
      </c>
      <c r="AS347" s="119" t="str">
        <f t="shared" si="431"/>
        <v/>
      </c>
      <c r="AT347" s="66">
        <f>+IF($W347="","",ROUND(IF($B347&gt;Parámetros!$D$107,'Tablas Servicio'!AR347+('Tablas Servicio'!AT346-'Tablas Servicio'!AR346),AR347/(1-IF(B347&lt;=10,Parámetros!$D$100,0))),2))</f>
        <v>0</v>
      </c>
      <c r="AU347" s="66">
        <f t="shared" si="432"/>
        <v>0</v>
      </c>
      <c r="AV347" s="66">
        <f t="shared" si="432"/>
        <v>0</v>
      </c>
      <c r="AW347" s="66">
        <f>+IF($W347="","",ROUND((AT347*Parámetros!$G$85),2))</f>
        <v>0</v>
      </c>
      <c r="AX347" s="66">
        <f>+IF($W347="","",ROUND((AT347*(Parámetros!$G$86)),2))</f>
        <v>0</v>
      </c>
      <c r="AY347" s="66">
        <f t="shared" si="433"/>
        <v>0</v>
      </c>
      <c r="AZ347" t="str">
        <f t="shared" si="475"/>
        <v>00060</v>
      </c>
      <c r="BA347" t="str">
        <f t="shared" si="476"/>
        <v>Muerte Accidental</v>
      </c>
      <c r="BB347" s="118">
        <f t="shared" si="477"/>
        <v>0</v>
      </c>
      <c r="BC347" s="118" t="str">
        <f t="shared" si="478"/>
        <v>A</v>
      </c>
      <c r="BD347" s="119" t="str">
        <f>+IF(OR($W347="",BB347=0),"",ROUND((VLOOKUP(ROUNDDOWN($D347-1/frec,0),cob_adi,AO$40,FALSE)*(1+i/frec)^-0.5*(1+Parámetros!$D$103)*(1+rec_fracc)/frec),6))</f>
        <v/>
      </c>
      <c r="BE347" s="66">
        <f t="shared" si="434"/>
        <v>0</v>
      </c>
      <c r="BF347" s="119" t="str">
        <f t="shared" si="435"/>
        <v/>
      </c>
      <c r="BG347" s="66">
        <f>+IF($W347="","",ROUND(IF($B347&gt;Parámetros!$D$107,'Tablas Servicio'!BE347+('Tablas Servicio'!BG346-'Tablas Servicio'!BE346),BE347/(1-IF(B347&lt;=10,Parámetros!$D$100,0))),2))</f>
        <v>0</v>
      </c>
      <c r="BH347" s="66">
        <f t="shared" si="436"/>
        <v>0</v>
      </c>
      <c r="BI347" s="66">
        <f t="shared" si="437"/>
        <v>0</v>
      </c>
      <c r="BJ347" s="66">
        <f>+IF($W347="","",ROUND((BG347*Parámetros!$G$85),2))</f>
        <v>0</v>
      </c>
      <c r="BK347" s="66">
        <f>+IF($W347="","",ROUND((BG347*(Parámetros!$G$86)),2))</f>
        <v>0</v>
      </c>
      <c r="BL347" s="66">
        <f t="shared" si="438"/>
        <v>0</v>
      </c>
      <c r="BM347" t="str">
        <f t="shared" si="479"/>
        <v>00061</v>
      </c>
      <c r="BN347" t="str">
        <f t="shared" si="480"/>
        <v>Gastos de Entierro</v>
      </c>
      <c r="BO347" s="118">
        <f t="shared" si="481"/>
        <v>0</v>
      </c>
      <c r="BP347" s="118" t="str">
        <f t="shared" si="482"/>
        <v>A</v>
      </c>
      <c r="BQ347" s="119" t="str">
        <f>+IF(OR($W347="",BO347=0),"",ROUND((VLOOKUP(ROUNDDOWN($D347-1/frec,0),cob_adi,BB$40,FALSE)*(1+i/frec)^-0.5*(1+Parámetros!$D$103)*(1+rec_fracc)/frec),6))</f>
        <v/>
      </c>
      <c r="BR347" s="66">
        <f t="shared" si="439"/>
        <v>0</v>
      </c>
      <c r="BS347" s="119" t="str">
        <f t="shared" si="440"/>
        <v/>
      </c>
      <c r="BT347" s="66">
        <f>+IF($W347="","",ROUND(IF($B347&gt;Parámetros!$D$107,'Tablas Servicio'!BR347+('Tablas Servicio'!BT346-'Tablas Servicio'!BR346),BR347/(1-IF(B347&lt;=10,Parámetros!$D$100,0))),2))</f>
        <v>0</v>
      </c>
      <c r="BU347" s="66">
        <f t="shared" si="441"/>
        <v>0</v>
      </c>
      <c r="BV347" s="66">
        <f t="shared" si="441"/>
        <v>0</v>
      </c>
      <c r="BW347" s="66">
        <f>+IF($W347="","",ROUND((BT347*Parámetros!$G$85),2))</f>
        <v>0</v>
      </c>
      <c r="BX347" s="66">
        <f>+IF($W347="","",ROUND((BT347*(Parámetros!$G$86)),2))</f>
        <v>0</v>
      </c>
      <c r="BY347" s="66">
        <f t="shared" si="442"/>
        <v>0</v>
      </c>
      <c r="BZ347" t="str">
        <f t="shared" si="483"/>
        <v>00062</v>
      </c>
      <c r="CA347" t="str">
        <f t="shared" si="484"/>
        <v>Gastos médicos por accidente</v>
      </c>
      <c r="CB347" s="118">
        <f t="shared" si="485"/>
        <v>0</v>
      </c>
      <c r="CC347" s="118" t="str">
        <f t="shared" si="486"/>
        <v>A</v>
      </c>
      <c r="CD347" s="119" t="str">
        <f t="shared" si="443"/>
        <v/>
      </c>
      <c r="CE347" s="66">
        <f>+IF($W347="","",ROUND((VLOOKUP(ROUNDDOWN($D347-1/frec,0),cob_adi,BO$40,FALSE)*(1+i/frec)^-0.5*(1+Parámetros!$D$103)*(1+rec_fracc)/frec*'TABLAS ADI'!$BC$17),2))</f>
        <v>0</v>
      </c>
      <c r="CF347" s="119" t="str">
        <f t="shared" si="444"/>
        <v/>
      </c>
      <c r="CG347" s="66">
        <f>+IF($W347="","",ROUND(IF($B347&gt;Parámetros!$D$107,'Tablas Servicio'!CE347+('Tablas Servicio'!CG346-'Tablas Servicio'!CE346),CE347/(1-IF(B347&lt;=10,Parámetros!$D$100,0))),2))</f>
        <v>0</v>
      </c>
      <c r="CH347" s="66">
        <f t="shared" si="445"/>
        <v>0</v>
      </c>
      <c r="CI347" s="66">
        <f t="shared" si="445"/>
        <v>0</v>
      </c>
      <c r="CJ347" s="66">
        <f>+IF($W347="","",ROUND((CG347*Parámetros!$G$85),2))</f>
        <v>0</v>
      </c>
      <c r="CK347" s="66">
        <f>+IF($W347="","",ROUND((CG347*(Parámetros!$G$86)),2))</f>
        <v>0</v>
      </c>
      <c r="CL347" s="66">
        <f t="shared" si="446"/>
        <v>0</v>
      </c>
      <c r="CM347" t="str">
        <f t="shared" si="487"/>
        <v>00063</v>
      </c>
      <c r="CN347" s="118" t="str">
        <f t="shared" si="488"/>
        <v>Renta Diaria por Hospitalización</v>
      </c>
      <c r="CO347" s="118">
        <f t="shared" si="489"/>
        <v>0</v>
      </c>
      <c r="CP347" s="118" t="str">
        <f t="shared" si="490"/>
        <v>A</v>
      </c>
      <c r="CQ347" s="119" t="str">
        <f t="shared" si="447"/>
        <v/>
      </c>
      <c r="CR347" s="66">
        <f>+IF($W347="","",ROUND((VLOOKUP(Parámetros!$F$51,'COBERTURAS ADICIONALES'!$S$4:$T$32,2,FALSE)*(1+i/frec)^-0.5*(1+Parámetros!$D$103)*(1+rec_fracc)/frec*$CO$42),2))</f>
        <v>0</v>
      </c>
      <c r="CS347" s="119" t="str">
        <f t="shared" si="448"/>
        <v/>
      </c>
      <c r="CT347" s="66">
        <f>+IF($W347="","",ROUND(IF($B347&gt;Parámetros!$D$107,'Tablas Servicio'!CR347+('Tablas Servicio'!CT346-'Tablas Servicio'!CR346),CR347/(1-IF(B347&lt;=10,Parámetros!$D$100,0))),2))</f>
        <v>0</v>
      </c>
      <c r="CU347" s="66">
        <f t="shared" si="449"/>
        <v>0</v>
      </c>
      <c r="CV347" s="66">
        <f t="shared" si="449"/>
        <v>0</v>
      </c>
      <c r="CW347" s="66">
        <f>+IF($W347="","",ROUND((CT347*Parámetros!$G$85),2))</f>
        <v>0</v>
      </c>
      <c r="CX347" s="66">
        <f>+IF($W347="","",ROUND((CT347*(Parámetros!$G$86)),2))</f>
        <v>0</v>
      </c>
      <c r="CY347" s="66">
        <f t="shared" si="450"/>
        <v>0</v>
      </c>
      <c r="CZ347" t="str">
        <f t="shared" si="491"/>
        <v>00064</v>
      </c>
      <c r="DA347" s="118" t="str">
        <f t="shared" si="492"/>
        <v>Enfermedades Graves</v>
      </c>
      <c r="DB347" s="118">
        <f t="shared" si="493"/>
        <v>0</v>
      </c>
      <c r="DC347" s="118" t="str">
        <f t="shared" si="494"/>
        <v>A</v>
      </c>
      <c r="DD347" s="121" t="str">
        <f>+IF(OR($W347="",DB347=0),"",ROUND((VLOOKUP(ROUNDDOWN($D347-1/frec,0),cob_adi,CO$40,FALSE)*(1+i/frec)^-0.5*(1+Parámetros!$D$103)*(1+rec_fracc)/frec),6))</f>
        <v/>
      </c>
      <c r="DE347" s="66">
        <f t="shared" si="451"/>
        <v>0</v>
      </c>
      <c r="DF347" s="119" t="str">
        <f t="shared" si="452"/>
        <v/>
      </c>
      <c r="DG347" s="66">
        <f>+IF($W347="","",ROUND(IF($B347&gt;Parámetros!$D$107,'Tablas Servicio'!DE347+('Tablas Servicio'!DG346-'Tablas Servicio'!DE346),DE347/(1-IF(B347&lt;=10,Parámetros!$D$100,0))),2))</f>
        <v>0</v>
      </c>
      <c r="DH347" s="66">
        <f t="shared" si="453"/>
        <v>0</v>
      </c>
      <c r="DI347" s="66">
        <f t="shared" si="453"/>
        <v>0</v>
      </c>
      <c r="DJ347" s="66">
        <f>+IF($W347="","",ROUND((DG347*Parámetros!$G$85),2))</f>
        <v>0</v>
      </c>
      <c r="DK347" s="66">
        <f>+IF($W347="","",ROUND((DG347*(Parámetros!$G$86)),2))</f>
        <v>0</v>
      </c>
      <c r="DL347" s="66">
        <f t="shared" si="454"/>
        <v>0</v>
      </c>
      <c r="DM347" t="str">
        <f t="shared" si="495"/>
        <v>00065</v>
      </c>
      <c r="DN347" s="118" t="str">
        <f t="shared" si="496"/>
        <v>Exención pago de primas</v>
      </c>
      <c r="DO347" s="118">
        <f t="shared" si="497"/>
        <v>0</v>
      </c>
      <c r="DP347" s="118" t="str">
        <f t="shared" si="498"/>
        <v>A</v>
      </c>
      <c r="DQ347" s="122" t="str">
        <f>+IF(OR($W347="",DO347=0),"",ROUND((VLOOKUP(ROUNDDOWN($D347-1/frec,0),cob_adi,DB$40,FALSE)*(1+i/frec)^-0.5*(1+Parámetros!$D$103)*(1+rec_fracc)/frec),6))</f>
        <v/>
      </c>
      <c r="DR347" s="66">
        <f t="shared" si="455"/>
        <v>0</v>
      </c>
      <c r="DS347" s="68" t="str">
        <f t="shared" si="456"/>
        <v/>
      </c>
      <c r="DT347" s="66">
        <f>+IF($W347="","",ROUND(IF($B347&gt;Parámetros!$D$107,'Tablas Servicio'!DR347+('Tablas Servicio'!DT346-'Tablas Servicio'!DR346),DR347/(1-IF(B347&lt;=10,Parámetros!$D$100,0))),2))</f>
        <v>0</v>
      </c>
      <c r="DU347" s="66">
        <f t="shared" si="457"/>
        <v>0</v>
      </c>
      <c r="DV347" s="66">
        <f t="shared" si="457"/>
        <v>0</v>
      </c>
      <c r="DW347" s="66">
        <f>+IF($W347="","",ROUND((DT347*Parámetros!$G$85),2))</f>
        <v>0</v>
      </c>
      <c r="DX347" s="66">
        <f>+IF($W347="","",ROUND((DT347*(Parámetros!$G$86)),2))</f>
        <v>0</v>
      </c>
      <c r="DY347" s="66">
        <f t="shared" si="458"/>
        <v>0</v>
      </c>
      <c r="DZ347" t="str">
        <f t="shared" ref="DZ347:EC362" si="501">+IF($W347="","",DZ346)</f>
        <v>00066</v>
      </c>
      <c r="EA347" s="118" t="str">
        <f t="shared" si="501"/>
        <v>Enfermedad terminal</v>
      </c>
      <c r="EB347" s="118">
        <f>+IF($W347="","",ROUND(IF(Parámetros!$D$25='TABLAS MORT'!$V$33,EB346,Z347/2),0))</f>
        <v>50000</v>
      </c>
      <c r="EC347" s="118" t="str">
        <f t="shared" si="501"/>
        <v>A</v>
      </c>
      <c r="ED347" s="122">
        <f>+IF(OR($W347="",EB347=0),"",ROUND((VLOOKUP(ROUNDDOWN($D347-1/frec,0),cob_adi,DO$40,FALSE)*(1+i/frec)^-0.5*(1+Parámetros!$D$103)*(1+rec_fracc)/frec),6))</f>
        <v>5.5000000000000002E-5</v>
      </c>
      <c r="EE347" s="66">
        <f t="shared" si="460"/>
        <v>2.75</v>
      </c>
      <c r="EF347" s="68">
        <f t="shared" si="461"/>
        <v>5.5000000000000002E-5</v>
      </c>
      <c r="EG347" s="66">
        <f>+IF($W347="","",ROUND(IF($B347&gt;Parámetros!$D$107,'Tablas Servicio'!EE347+('Tablas Servicio'!EG346-'Tablas Servicio'!EE346),EE347/(1-IF(B347&lt;=10,Parámetros!$D$100,0))),2))</f>
        <v>2.75</v>
      </c>
      <c r="EH347" s="66">
        <f t="shared" si="462"/>
        <v>0</v>
      </c>
      <c r="EI347" s="66">
        <f t="shared" si="462"/>
        <v>0</v>
      </c>
      <c r="EJ347" s="66">
        <f>+IF($W347="","",ROUND((EG347*Parámetros!$G$85),2))</f>
        <v>0.1</v>
      </c>
      <c r="EK347" s="66">
        <f>+IF($W347="","",ROUND((EG347*(Parámetros!$G$86)),2))</f>
        <v>0.01</v>
      </c>
      <c r="EL347" s="66">
        <f t="shared" si="463"/>
        <v>2.86</v>
      </c>
    </row>
    <row r="348" spans="1:142" x14ac:dyDescent="0.25">
      <c r="A348">
        <f>+IF($C348="","",ROUND(VLOOKUP('Tablas Servicio'!B348,Parámetros!$H$100:$J$159,IF(Parámetros!$E$16="F",2,3),FALSE),2))</f>
        <v>150</v>
      </c>
      <c r="B348">
        <f t="shared" si="414"/>
        <v>26</v>
      </c>
      <c r="C348" s="57">
        <f>+IF(D348="","",'Tablas Servicio'!C347+1)</f>
        <v>307</v>
      </c>
      <c r="D348" s="56">
        <f>+IF(D347&lt;edadmaxtabla,D347+1/Parámetros!$E$25,"")</f>
        <v>65.603333333333921</v>
      </c>
      <c r="E348" s="57">
        <f t="shared" si="424"/>
        <v>65</v>
      </c>
      <c r="F348" s="59">
        <f t="shared" si="425"/>
        <v>100000</v>
      </c>
      <c r="G348" s="66">
        <f t="shared" si="415"/>
        <v>87.05</v>
      </c>
      <c r="H348" s="66">
        <f t="shared" si="416"/>
        <v>90.53</v>
      </c>
      <c r="I348" s="66">
        <f t="shared" si="464"/>
        <v>3.4699999999999989</v>
      </c>
      <c r="J348" s="66">
        <f t="shared" si="417"/>
        <v>3.0500000000000003</v>
      </c>
      <c r="K348" s="66">
        <f t="shared" si="418"/>
        <v>0.43</v>
      </c>
      <c r="L348" s="66">
        <f t="shared" si="419"/>
        <v>0</v>
      </c>
      <c r="M348" s="66">
        <f t="shared" si="420"/>
        <v>0</v>
      </c>
      <c r="N348" s="66">
        <f>+IF(C348="","",ROUND(Parámetros!$D$23,2))</f>
        <v>94</v>
      </c>
      <c r="O348" s="66">
        <f t="shared" si="421"/>
        <v>74.55</v>
      </c>
      <c r="P348" s="66">
        <f>+IF($C348="","",ROUND(IF(B348&gt;Parámetros!$D$117,0,N348*Parámetros!$D$116-G348*Parámetros!$D$100),2))</f>
        <v>0</v>
      </c>
      <c r="Q348" s="75">
        <f t="shared" si="465"/>
        <v>3.5037334865020107E-2</v>
      </c>
      <c r="R348" s="75">
        <f t="shared" si="466"/>
        <v>4.9396898334290642E-3</v>
      </c>
      <c r="S348" s="117">
        <f>+IF($C348="","",ROUND((S347+I348)*(1+Parámetros!$D$91),2))</f>
        <v>23096.93</v>
      </c>
      <c r="T348" s="117">
        <f>+IF($C348="","",ROUND(S348*VLOOKUP(B348,Parámetros!$C$30:$D$39,2,TRUE),2))</f>
        <v>23096.93</v>
      </c>
      <c r="U348" s="117">
        <f>+IF($C348="","",ROUND((U347+I348)*(1+Parámetros!$D$92),2))</f>
        <v>25024.560000000001</v>
      </c>
      <c r="V348" s="117">
        <f>+IF($C348="","",ROUND(U348*VLOOKUP(B348,Parámetros!$C$30:$D$39,2,TRUE),2))</f>
        <v>25024.560000000001</v>
      </c>
      <c r="W348" s="57">
        <f t="shared" si="467"/>
        <v>307</v>
      </c>
      <c r="X348" t="str">
        <f t="shared" si="468"/>
        <v>00058</v>
      </c>
      <c r="Y348" t="str">
        <f t="shared" si="469"/>
        <v>MUERTE POR CUALQUIER CAUSA</v>
      </c>
      <c r="Z348" s="118">
        <f>+IF($W348="","",ROUND(IF(Parámetros!$D$25='TABLAS MORT'!$V$33,Z347,Parámetros!$D$21-'Tablas Servicio'!T347),0))</f>
        <v>100000</v>
      </c>
      <c r="AA348" s="118" t="str">
        <f t="shared" si="470"/>
        <v>P</v>
      </c>
      <c r="AB348" s="119">
        <f>+IF(W348="","",ROUND((VLOOKUP(ROUNDDOWN($D348-1/frec,0),qx_tabla,2,FALSE)*(1+i/frec)^-0.5*(1+Parámetros!$D$103)*(1+rec_fracc)/frec),6))</f>
        <v>7.18E-4</v>
      </c>
      <c r="AC348" s="66">
        <f t="shared" si="426"/>
        <v>71.8</v>
      </c>
      <c r="AD348" s="119">
        <f t="shared" si="422"/>
        <v>8.43E-4</v>
      </c>
      <c r="AE348" s="66">
        <f>+IF($W348="","",ROUND(IF($B348&gt;Parámetros!$D$107,'Tablas Servicio'!AC348+('Tablas Servicio'!AG347-'Tablas Servicio'!AC347),AC348/(1-IF(B348&lt;=10,Parámetros!$D$104,Parámetros!$D$105))),2))</f>
        <v>119.67</v>
      </c>
      <c r="AF348" s="66">
        <f>+IF($W348="","",ROUND(IF($B348&gt;Parámetros!$D$107,'Tablas Servicio'!AC348+('Tablas Servicio'!AG347-'Tablas Servicio'!AC347),(AC348+$A347/frec)/(1-IF(B348&lt;=Parámetros!$D$117,Parámetros!$D$100,0))),2))</f>
        <v>84.3</v>
      </c>
      <c r="AG348" s="66">
        <f t="shared" si="427"/>
        <v>84.3</v>
      </c>
      <c r="AH348" s="66">
        <f t="shared" si="428"/>
        <v>0</v>
      </c>
      <c r="AI348" s="66">
        <f t="shared" si="429"/>
        <v>0</v>
      </c>
      <c r="AJ348" s="66">
        <f>+IF($W348="","",ROUND((AG348*Parámetros!$G$85),2))</f>
        <v>2.95</v>
      </c>
      <c r="AK348" s="66">
        <f>+IF($W348="","",ROUND((AG348*(Parámetros!$G$86)),2))</f>
        <v>0.42</v>
      </c>
      <c r="AL348" s="66">
        <f t="shared" si="423"/>
        <v>87.67</v>
      </c>
      <c r="AM348" t="str">
        <f t="shared" si="471"/>
        <v>00059</v>
      </c>
      <c r="AN348" t="str">
        <f t="shared" si="472"/>
        <v>Incapacidad Total y Permanente</v>
      </c>
      <c r="AO348" s="118">
        <f t="shared" si="473"/>
        <v>0</v>
      </c>
      <c r="AP348" s="118" t="str">
        <f t="shared" si="474"/>
        <v>A</v>
      </c>
      <c r="AQ348" s="119" t="str">
        <f>+IF(OR($W348="",AO348=0),"",ROUND((VLOOKUP(ROUNDDOWN($D348-1/frec,0),cob_adi,Z$40,FALSE)*(1+i/frec)^-0.5*(1+Parámetros!$D$103)*(1+rec_fracc)/frec),6))</f>
        <v/>
      </c>
      <c r="AR348" s="66">
        <f t="shared" si="430"/>
        <v>0</v>
      </c>
      <c r="AS348" s="119" t="str">
        <f t="shared" si="431"/>
        <v/>
      </c>
      <c r="AT348" s="66">
        <f>+IF($W348="","",ROUND(IF($B348&gt;Parámetros!$D$107,'Tablas Servicio'!AR348+('Tablas Servicio'!AT347-'Tablas Servicio'!AR347),AR348/(1-IF(B348&lt;=10,Parámetros!$D$100,0))),2))</f>
        <v>0</v>
      </c>
      <c r="AU348" s="66">
        <f t="shared" si="432"/>
        <v>0</v>
      </c>
      <c r="AV348" s="66">
        <f t="shared" si="432"/>
        <v>0</v>
      </c>
      <c r="AW348" s="66">
        <f>+IF($W348="","",ROUND((AT348*Parámetros!$G$85),2))</f>
        <v>0</v>
      </c>
      <c r="AX348" s="66">
        <f>+IF($W348="","",ROUND((AT348*(Parámetros!$G$86)),2))</f>
        <v>0</v>
      </c>
      <c r="AY348" s="66">
        <f t="shared" si="433"/>
        <v>0</v>
      </c>
      <c r="AZ348" t="str">
        <f t="shared" si="475"/>
        <v>00060</v>
      </c>
      <c r="BA348" t="str">
        <f t="shared" si="476"/>
        <v>Muerte Accidental</v>
      </c>
      <c r="BB348" s="118">
        <f t="shared" si="477"/>
        <v>0</v>
      </c>
      <c r="BC348" s="118" t="str">
        <f t="shared" si="478"/>
        <v>A</v>
      </c>
      <c r="BD348" s="119" t="str">
        <f>+IF(OR($W348="",BB348=0),"",ROUND((VLOOKUP(ROUNDDOWN($D348-1/frec,0),cob_adi,AO$40,FALSE)*(1+i/frec)^-0.5*(1+Parámetros!$D$103)*(1+rec_fracc)/frec),6))</f>
        <v/>
      </c>
      <c r="BE348" s="66">
        <f t="shared" si="434"/>
        <v>0</v>
      </c>
      <c r="BF348" s="119" t="str">
        <f t="shared" si="435"/>
        <v/>
      </c>
      <c r="BG348" s="66">
        <f>+IF($W348="","",ROUND(IF($B348&gt;Parámetros!$D$107,'Tablas Servicio'!BE348+('Tablas Servicio'!BG347-'Tablas Servicio'!BE347),BE348/(1-IF(B348&lt;=10,Parámetros!$D$100,0))),2))</f>
        <v>0</v>
      </c>
      <c r="BH348" s="66">
        <f t="shared" si="436"/>
        <v>0</v>
      </c>
      <c r="BI348" s="66">
        <f t="shared" si="437"/>
        <v>0</v>
      </c>
      <c r="BJ348" s="66">
        <f>+IF($W348="","",ROUND((BG348*Parámetros!$G$85),2))</f>
        <v>0</v>
      </c>
      <c r="BK348" s="66">
        <f>+IF($W348="","",ROUND((BG348*(Parámetros!$G$86)),2))</f>
        <v>0</v>
      </c>
      <c r="BL348" s="66">
        <f t="shared" si="438"/>
        <v>0</v>
      </c>
      <c r="BM348" t="str">
        <f t="shared" si="479"/>
        <v>00061</v>
      </c>
      <c r="BN348" t="str">
        <f t="shared" si="480"/>
        <v>Gastos de Entierro</v>
      </c>
      <c r="BO348" s="118">
        <f t="shared" si="481"/>
        <v>0</v>
      </c>
      <c r="BP348" s="118" t="str">
        <f t="shared" si="482"/>
        <v>A</v>
      </c>
      <c r="BQ348" s="119" t="str">
        <f>+IF(OR($W348="",BO348=0),"",ROUND((VLOOKUP(ROUNDDOWN($D348-1/frec,0),cob_adi,BB$40,FALSE)*(1+i/frec)^-0.5*(1+Parámetros!$D$103)*(1+rec_fracc)/frec),6))</f>
        <v/>
      </c>
      <c r="BR348" s="66">
        <f t="shared" si="439"/>
        <v>0</v>
      </c>
      <c r="BS348" s="119" t="str">
        <f t="shared" si="440"/>
        <v/>
      </c>
      <c r="BT348" s="66">
        <f>+IF($W348="","",ROUND(IF($B348&gt;Parámetros!$D$107,'Tablas Servicio'!BR348+('Tablas Servicio'!BT347-'Tablas Servicio'!BR347),BR348/(1-IF(B348&lt;=10,Parámetros!$D$100,0))),2))</f>
        <v>0</v>
      </c>
      <c r="BU348" s="66">
        <f t="shared" si="441"/>
        <v>0</v>
      </c>
      <c r="BV348" s="66">
        <f t="shared" si="441"/>
        <v>0</v>
      </c>
      <c r="BW348" s="66">
        <f>+IF($W348="","",ROUND((BT348*Parámetros!$G$85),2))</f>
        <v>0</v>
      </c>
      <c r="BX348" s="66">
        <f>+IF($W348="","",ROUND((BT348*(Parámetros!$G$86)),2))</f>
        <v>0</v>
      </c>
      <c r="BY348" s="66">
        <f t="shared" si="442"/>
        <v>0</v>
      </c>
      <c r="BZ348" t="str">
        <f t="shared" si="483"/>
        <v>00062</v>
      </c>
      <c r="CA348" t="str">
        <f t="shared" si="484"/>
        <v>Gastos médicos por accidente</v>
      </c>
      <c r="CB348" s="118">
        <f t="shared" si="485"/>
        <v>0</v>
      </c>
      <c r="CC348" s="118" t="str">
        <f t="shared" si="486"/>
        <v>A</v>
      </c>
      <c r="CD348" s="119" t="str">
        <f t="shared" si="443"/>
        <v/>
      </c>
      <c r="CE348" s="66">
        <f>+IF($W348="","",ROUND((VLOOKUP(ROUNDDOWN($D348-1/frec,0),cob_adi,BO$40,FALSE)*(1+i/frec)^-0.5*(1+Parámetros!$D$103)*(1+rec_fracc)/frec*'TABLAS ADI'!$BC$17),2))</f>
        <v>0</v>
      </c>
      <c r="CF348" s="119" t="str">
        <f t="shared" si="444"/>
        <v/>
      </c>
      <c r="CG348" s="66">
        <f>+IF($W348="","",ROUND(IF($B348&gt;Parámetros!$D$107,'Tablas Servicio'!CE348+('Tablas Servicio'!CG347-'Tablas Servicio'!CE347),CE348/(1-IF(B348&lt;=10,Parámetros!$D$100,0))),2))</f>
        <v>0</v>
      </c>
      <c r="CH348" s="66">
        <f t="shared" si="445"/>
        <v>0</v>
      </c>
      <c r="CI348" s="66">
        <f t="shared" si="445"/>
        <v>0</v>
      </c>
      <c r="CJ348" s="66">
        <f>+IF($W348="","",ROUND((CG348*Parámetros!$G$85),2))</f>
        <v>0</v>
      </c>
      <c r="CK348" s="66">
        <f>+IF($W348="","",ROUND((CG348*(Parámetros!$G$86)),2))</f>
        <v>0</v>
      </c>
      <c r="CL348" s="66">
        <f t="shared" si="446"/>
        <v>0</v>
      </c>
      <c r="CM348" t="str">
        <f t="shared" si="487"/>
        <v>00063</v>
      </c>
      <c r="CN348" s="118" t="str">
        <f t="shared" si="488"/>
        <v>Renta Diaria por Hospitalización</v>
      </c>
      <c r="CO348" s="118">
        <f t="shared" si="489"/>
        <v>0</v>
      </c>
      <c r="CP348" s="118" t="str">
        <f t="shared" si="490"/>
        <v>A</v>
      </c>
      <c r="CQ348" s="119" t="str">
        <f t="shared" si="447"/>
        <v/>
      </c>
      <c r="CR348" s="66">
        <f>+IF($W348="","",ROUND((VLOOKUP(Parámetros!$F$51,'COBERTURAS ADICIONALES'!$S$4:$T$32,2,FALSE)*(1+i/frec)^-0.5*(1+Parámetros!$D$103)*(1+rec_fracc)/frec*$CO$42),2))</f>
        <v>0</v>
      </c>
      <c r="CS348" s="119" t="str">
        <f t="shared" si="448"/>
        <v/>
      </c>
      <c r="CT348" s="66">
        <f>+IF($W348="","",ROUND(IF($B348&gt;Parámetros!$D$107,'Tablas Servicio'!CR348+('Tablas Servicio'!CT347-'Tablas Servicio'!CR347),CR348/(1-IF(B348&lt;=10,Parámetros!$D$100,0))),2))</f>
        <v>0</v>
      </c>
      <c r="CU348" s="66">
        <f t="shared" si="449"/>
        <v>0</v>
      </c>
      <c r="CV348" s="66">
        <f t="shared" si="449"/>
        <v>0</v>
      </c>
      <c r="CW348" s="66">
        <f>+IF($W348="","",ROUND((CT348*Parámetros!$G$85),2))</f>
        <v>0</v>
      </c>
      <c r="CX348" s="66">
        <f>+IF($W348="","",ROUND((CT348*(Parámetros!$G$86)),2))</f>
        <v>0</v>
      </c>
      <c r="CY348" s="66">
        <f t="shared" si="450"/>
        <v>0</v>
      </c>
      <c r="CZ348" t="str">
        <f t="shared" si="491"/>
        <v>00064</v>
      </c>
      <c r="DA348" s="118" t="str">
        <f t="shared" si="492"/>
        <v>Enfermedades Graves</v>
      </c>
      <c r="DB348" s="118">
        <f t="shared" si="493"/>
        <v>0</v>
      </c>
      <c r="DC348" s="118" t="str">
        <f t="shared" si="494"/>
        <v>A</v>
      </c>
      <c r="DD348" s="121" t="str">
        <f>+IF(OR($W348="",DB348=0),"",ROUND((VLOOKUP(ROUNDDOWN($D348-1/frec,0),cob_adi,CO$40,FALSE)*(1+i/frec)^-0.5*(1+Parámetros!$D$103)*(1+rec_fracc)/frec),6))</f>
        <v/>
      </c>
      <c r="DE348" s="66">
        <f t="shared" si="451"/>
        <v>0</v>
      </c>
      <c r="DF348" s="119" t="str">
        <f t="shared" si="452"/>
        <v/>
      </c>
      <c r="DG348" s="66">
        <f>+IF($W348="","",ROUND(IF($B348&gt;Parámetros!$D$107,'Tablas Servicio'!DE348+('Tablas Servicio'!DG347-'Tablas Servicio'!DE347),DE348/(1-IF(B348&lt;=10,Parámetros!$D$100,0))),2))</f>
        <v>0</v>
      </c>
      <c r="DH348" s="66">
        <f t="shared" si="453"/>
        <v>0</v>
      </c>
      <c r="DI348" s="66">
        <f t="shared" si="453"/>
        <v>0</v>
      </c>
      <c r="DJ348" s="66">
        <f>+IF($W348="","",ROUND((DG348*Parámetros!$G$85),2))</f>
        <v>0</v>
      </c>
      <c r="DK348" s="66">
        <f>+IF($W348="","",ROUND((DG348*(Parámetros!$G$86)),2))</f>
        <v>0</v>
      </c>
      <c r="DL348" s="66">
        <f t="shared" si="454"/>
        <v>0</v>
      </c>
      <c r="DM348" t="str">
        <f t="shared" si="495"/>
        <v>00065</v>
      </c>
      <c r="DN348" s="118" t="str">
        <f t="shared" si="496"/>
        <v>Exención pago de primas</v>
      </c>
      <c r="DO348" s="118">
        <f t="shared" si="497"/>
        <v>0</v>
      </c>
      <c r="DP348" s="118" t="str">
        <f t="shared" si="498"/>
        <v>A</v>
      </c>
      <c r="DQ348" s="122" t="str">
        <f>+IF(OR($W348="",DO348=0),"",ROUND((VLOOKUP(ROUNDDOWN($D348-1/frec,0),cob_adi,DB$40,FALSE)*(1+i/frec)^-0.5*(1+Parámetros!$D$103)*(1+rec_fracc)/frec),6))</f>
        <v/>
      </c>
      <c r="DR348" s="66">
        <f t="shared" si="455"/>
        <v>0</v>
      </c>
      <c r="DS348" s="68" t="str">
        <f t="shared" si="456"/>
        <v/>
      </c>
      <c r="DT348" s="66">
        <f>+IF($W348="","",ROUND(IF($B348&gt;Parámetros!$D$107,'Tablas Servicio'!DR348+('Tablas Servicio'!DT347-'Tablas Servicio'!DR347),DR348/(1-IF(B348&lt;=10,Parámetros!$D$100,0))),2))</f>
        <v>0</v>
      </c>
      <c r="DU348" s="66">
        <f t="shared" si="457"/>
        <v>0</v>
      </c>
      <c r="DV348" s="66">
        <f t="shared" si="457"/>
        <v>0</v>
      </c>
      <c r="DW348" s="66">
        <f>+IF($W348="","",ROUND((DT348*Parámetros!$G$85),2))</f>
        <v>0</v>
      </c>
      <c r="DX348" s="66">
        <f>+IF($W348="","",ROUND((DT348*(Parámetros!$G$86)),2))</f>
        <v>0</v>
      </c>
      <c r="DY348" s="66">
        <f t="shared" si="458"/>
        <v>0</v>
      </c>
      <c r="DZ348" t="str">
        <f t="shared" si="501"/>
        <v>00066</v>
      </c>
      <c r="EA348" s="118" t="str">
        <f t="shared" si="501"/>
        <v>Enfermedad terminal</v>
      </c>
      <c r="EB348" s="118">
        <f>+IF($W348="","",ROUND(IF(Parámetros!$D$25='TABLAS MORT'!$V$33,EB347,Z348/2),0))</f>
        <v>50000</v>
      </c>
      <c r="EC348" s="118" t="str">
        <f t="shared" si="501"/>
        <v>A</v>
      </c>
      <c r="ED348" s="122">
        <f>+IF(OR($W348="",EB348=0),"",ROUND((VLOOKUP(ROUNDDOWN($D348-1/frec,0),cob_adi,DO$40,FALSE)*(1+i/frec)^-0.5*(1+Parámetros!$D$103)*(1+rec_fracc)/frec),6))</f>
        <v>5.5000000000000002E-5</v>
      </c>
      <c r="EE348" s="66">
        <f t="shared" si="460"/>
        <v>2.75</v>
      </c>
      <c r="EF348" s="68">
        <f t="shared" si="461"/>
        <v>5.5000000000000002E-5</v>
      </c>
      <c r="EG348" s="66">
        <f>+IF($W348="","",ROUND(IF($B348&gt;Parámetros!$D$107,'Tablas Servicio'!EE348+('Tablas Servicio'!EG347-'Tablas Servicio'!EE347),EE348/(1-IF(B348&lt;=10,Parámetros!$D$100,0))),2))</f>
        <v>2.75</v>
      </c>
      <c r="EH348" s="66">
        <f t="shared" si="462"/>
        <v>0</v>
      </c>
      <c r="EI348" s="66">
        <f t="shared" si="462"/>
        <v>0</v>
      </c>
      <c r="EJ348" s="66">
        <f>+IF($W348="","",ROUND((EG348*Parámetros!$G$85),2))</f>
        <v>0.1</v>
      </c>
      <c r="EK348" s="66">
        <f>+IF($W348="","",ROUND((EG348*(Parámetros!$G$86)),2))</f>
        <v>0.01</v>
      </c>
      <c r="EL348" s="66">
        <f t="shared" si="463"/>
        <v>2.86</v>
      </c>
    </row>
    <row r="349" spans="1:142" x14ac:dyDescent="0.25">
      <c r="A349">
        <f>+IF($C349="","",ROUND(VLOOKUP('Tablas Servicio'!B349,Parámetros!$H$100:$J$159,IF(Parámetros!$E$16="F",2,3),FALSE),2))</f>
        <v>150</v>
      </c>
      <c r="B349">
        <f t="shared" si="414"/>
        <v>26</v>
      </c>
      <c r="C349" s="57">
        <f>+IF(D349="","",'Tablas Servicio'!C348+1)</f>
        <v>308</v>
      </c>
      <c r="D349" s="56">
        <f>+IF(D348&lt;edadmaxtabla,D348+1/Parámetros!$E$25,"")</f>
        <v>65.68666666666725</v>
      </c>
      <c r="E349" s="57">
        <f t="shared" si="424"/>
        <v>65</v>
      </c>
      <c r="F349" s="59">
        <f t="shared" si="425"/>
        <v>100000</v>
      </c>
      <c r="G349" s="66">
        <f t="shared" si="415"/>
        <v>87.05</v>
      </c>
      <c r="H349" s="66">
        <f t="shared" si="416"/>
        <v>90.53</v>
      </c>
      <c r="I349" s="66">
        <f t="shared" si="464"/>
        <v>3.4699999999999989</v>
      </c>
      <c r="J349" s="66">
        <f t="shared" si="417"/>
        <v>3.0500000000000003</v>
      </c>
      <c r="K349" s="66">
        <f t="shared" si="418"/>
        <v>0.43</v>
      </c>
      <c r="L349" s="66">
        <f t="shared" si="419"/>
        <v>0</v>
      </c>
      <c r="M349" s="66">
        <f t="shared" si="420"/>
        <v>0</v>
      </c>
      <c r="N349" s="66">
        <f>+IF(C349="","",ROUND(Parámetros!$D$23,2))</f>
        <v>94</v>
      </c>
      <c r="O349" s="66">
        <f t="shared" si="421"/>
        <v>74.55</v>
      </c>
      <c r="P349" s="66">
        <f>+IF($C349="","",ROUND(IF(B349&gt;Parámetros!$D$117,0,N349*Parámetros!$D$116-G349*Parámetros!$D$100),2))</f>
        <v>0</v>
      </c>
      <c r="Q349" s="75">
        <f t="shared" si="465"/>
        <v>3.5037334865020107E-2</v>
      </c>
      <c r="R349" s="75">
        <f t="shared" si="466"/>
        <v>4.9396898334290642E-3</v>
      </c>
      <c r="S349" s="117">
        <f>+IF($C349="","",ROUND((S348+I349)*(1+Parámetros!$D$91),2))</f>
        <v>23165.919999999998</v>
      </c>
      <c r="T349" s="117">
        <f>+IF($C349="","",ROUND(S349*VLOOKUP(B349,Parámetros!$C$30:$D$39,2,TRUE),2))</f>
        <v>23165.919999999998</v>
      </c>
      <c r="U349" s="117">
        <f>+IF($C349="","",ROUND((U348+I349)*(1+Parámetros!$D$92),2))</f>
        <v>25109.16</v>
      </c>
      <c r="V349" s="117">
        <f>+IF($C349="","",ROUND(U349*VLOOKUP(B349,Parámetros!$C$30:$D$39,2,TRUE),2))</f>
        <v>25109.16</v>
      </c>
      <c r="W349" s="57">
        <f t="shared" si="467"/>
        <v>308</v>
      </c>
      <c r="X349" t="str">
        <f t="shared" si="468"/>
        <v>00058</v>
      </c>
      <c r="Y349" t="str">
        <f t="shared" si="469"/>
        <v>MUERTE POR CUALQUIER CAUSA</v>
      </c>
      <c r="Z349" s="118">
        <f>+IF($W349="","",ROUND(IF(Parámetros!$D$25='TABLAS MORT'!$V$33,Z348,Parámetros!$D$21-'Tablas Servicio'!T348),0))</f>
        <v>100000</v>
      </c>
      <c r="AA349" s="118" t="str">
        <f t="shared" si="470"/>
        <v>P</v>
      </c>
      <c r="AB349" s="119">
        <f>+IF(W349="","",ROUND((VLOOKUP(ROUNDDOWN($D349-1/frec,0),qx_tabla,2,FALSE)*(1+i/frec)^-0.5*(1+Parámetros!$D$103)*(1+rec_fracc)/frec),6))</f>
        <v>7.18E-4</v>
      </c>
      <c r="AC349" s="66">
        <f t="shared" si="426"/>
        <v>71.8</v>
      </c>
      <c r="AD349" s="119">
        <f t="shared" si="422"/>
        <v>8.43E-4</v>
      </c>
      <c r="AE349" s="66">
        <f>+IF($W349="","",ROUND(IF($B349&gt;Parámetros!$D$107,'Tablas Servicio'!AC349+('Tablas Servicio'!AG348-'Tablas Servicio'!AC348),AC349/(1-IF(B349&lt;=10,Parámetros!$D$104,Parámetros!$D$105))),2))</f>
        <v>119.67</v>
      </c>
      <c r="AF349" s="66">
        <f>+IF($W349="","",ROUND(IF($B349&gt;Parámetros!$D$107,'Tablas Servicio'!AC349+('Tablas Servicio'!AG348-'Tablas Servicio'!AC348),(AC349+$A348/frec)/(1-IF(B349&lt;=Parámetros!$D$117,Parámetros!$D$100,0))),2))</f>
        <v>84.3</v>
      </c>
      <c r="AG349" s="66">
        <f t="shared" si="427"/>
        <v>84.3</v>
      </c>
      <c r="AH349" s="66">
        <f t="shared" si="428"/>
        <v>0</v>
      </c>
      <c r="AI349" s="66">
        <f t="shared" si="429"/>
        <v>0</v>
      </c>
      <c r="AJ349" s="66">
        <f>+IF($W349="","",ROUND((AG349*Parámetros!$G$85),2))</f>
        <v>2.95</v>
      </c>
      <c r="AK349" s="66">
        <f>+IF($W349="","",ROUND((AG349*(Parámetros!$G$86)),2))</f>
        <v>0.42</v>
      </c>
      <c r="AL349" s="66">
        <f t="shared" si="423"/>
        <v>87.67</v>
      </c>
      <c r="AM349" t="str">
        <f t="shared" si="471"/>
        <v>00059</v>
      </c>
      <c r="AN349" t="str">
        <f t="shared" si="472"/>
        <v>Incapacidad Total y Permanente</v>
      </c>
      <c r="AO349" s="118">
        <f t="shared" si="473"/>
        <v>0</v>
      </c>
      <c r="AP349" s="118" t="str">
        <f t="shared" si="474"/>
        <v>A</v>
      </c>
      <c r="AQ349" s="119" t="str">
        <f>+IF(OR($W349="",AO349=0),"",ROUND((VLOOKUP(ROUNDDOWN($D349-1/frec,0),cob_adi,Z$40,FALSE)*(1+i/frec)^-0.5*(1+Parámetros!$D$103)*(1+rec_fracc)/frec),6))</f>
        <v/>
      </c>
      <c r="AR349" s="66">
        <f t="shared" si="430"/>
        <v>0</v>
      </c>
      <c r="AS349" s="119" t="str">
        <f t="shared" si="431"/>
        <v/>
      </c>
      <c r="AT349" s="66">
        <f>+IF($W349="","",ROUND(IF($B349&gt;Parámetros!$D$107,'Tablas Servicio'!AR349+('Tablas Servicio'!AT348-'Tablas Servicio'!AR348),AR349/(1-IF(B349&lt;=10,Parámetros!$D$100,0))),2))</f>
        <v>0</v>
      </c>
      <c r="AU349" s="66">
        <f t="shared" si="432"/>
        <v>0</v>
      </c>
      <c r="AV349" s="66">
        <f t="shared" si="432"/>
        <v>0</v>
      </c>
      <c r="AW349" s="66">
        <f>+IF($W349="","",ROUND((AT349*Parámetros!$G$85),2))</f>
        <v>0</v>
      </c>
      <c r="AX349" s="66">
        <f>+IF($W349="","",ROUND((AT349*(Parámetros!$G$86)),2))</f>
        <v>0</v>
      </c>
      <c r="AY349" s="66">
        <f t="shared" si="433"/>
        <v>0</v>
      </c>
      <c r="AZ349" t="str">
        <f t="shared" si="475"/>
        <v>00060</v>
      </c>
      <c r="BA349" t="str">
        <f t="shared" si="476"/>
        <v>Muerte Accidental</v>
      </c>
      <c r="BB349" s="118">
        <f t="shared" si="477"/>
        <v>0</v>
      </c>
      <c r="BC349" s="118" t="str">
        <f t="shared" si="478"/>
        <v>A</v>
      </c>
      <c r="BD349" s="119" t="str">
        <f>+IF(OR($W349="",BB349=0),"",ROUND((VLOOKUP(ROUNDDOWN($D349-1/frec,0),cob_adi,AO$40,FALSE)*(1+i/frec)^-0.5*(1+Parámetros!$D$103)*(1+rec_fracc)/frec),6))</f>
        <v/>
      </c>
      <c r="BE349" s="66">
        <f t="shared" si="434"/>
        <v>0</v>
      </c>
      <c r="BF349" s="119" t="str">
        <f t="shared" si="435"/>
        <v/>
      </c>
      <c r="BG349" s="66">
        <f>+IF($W349="","",ROUND(IF($B349&gt;Parámetros!$D$107,'Tablas Servicio'!BE349+('Tablas Servicio'!BG348-'Tablas Servicio'!BE348),BE349/(1-IF(B349&lt;=10,Parámetros!$D$100,0))),2))</f>
        <v>0</v>
      </c>
      <c r="BH349" s="66">
        <f t="shared" si="436"/>
        <v>0</v>
      </c>
      <c r="BI349" s="66">
        <f t="shared" si="437"/>
        <v>0</v>
      </c>
      <c r="BJ349" s="66">
        <f>+IF($W349="","",ROUND((BG349*Parámetros!$G$85),2))</f>
        <v>0</v>
      </c>
      <c r="BK349" s="66">
        <f>+IF($W349="","",ROUND((BG349*(Parámetros!$G$86)),2))</f>
        <v>0</v>
      </c>
      <c r="BL349" s="66">
        <f t="shared" si="438"/>
        <v>0</v>
      </c>
      <c r="BM349" t="str">
        <f t="shared" si="479"/>
        <v>00061</v>
      </c>
      <c r="BN349" t="str">
        <f t="shared" si="480"/>
        <v>Gastos de Entierro</v>
      </c>
      <c r="BO349" s="118">
        <f t="shared" si="481"/>
        <v>0</v>
      </c>
      <c r="BP349" s="118" t="str">
        <f t="shared" si="482"/>
        <v>A</v>
      </c>
      <c r="BQ349" s="119" t="str">
        <f>+IF(OR($W349="",BO349=0),"",ROUND((VLOOKUP(ROUNDDOWN($D349-1/frec,0),cob_adi,BB$40,FALSE)*(1+i/frec)^-0.5*(1+Parámetros!$D$103)*(1+rec_fracc)/frec),6))</f>
        <v/>
      </c>
      <c r="BR349" s="66">
        <f t="shared" si="439"/>
        <v>0</v>
      </c>
      <c r="BS349" s="119" t="str">
        <f t="shared" si="440"/>
        <v/>
      </c>
      <c r="BT349" s="66">
        <f>+IF($W349="","",ROUND(IF($B349&gt;Parámetros!$D$107,'Tablas Servicio'!BR349+('Tablas Servicio'!BT348-'Tablas Servicio'!BR348),BR349/(1-IF(B349&lt;=10,Parámetros!$D$100,0))),2))</f>
        <v>0</v>
      </c>
      <c r="BU349" s="66">
        <f t="shared" si="441"/>
        <v>0</v>
      </c>
      <c r="BV349" s="66">
        <f t="shared" si="441"/>
        <v>0</v>
      </c>
      <c r="BW349" s="66">
        <f>+IF($W349="","",ROUND((BT349*Parámetros!$G$85),2))</f>
        <v>0</v>
      </c>
      <c r="BX349" s="66">
        <f>+IF($W349="","",ROUND((BT349*(Parámetros!$G$86)),2))</f>
        <v>0</v>
      </c>
      <c r="BY349" s="66">
        <f t="shared" si="442"/>
        <v>0</v>
      </c>
      <c r="BZ349" t="str">
        <f t="shared" si="483"/>
        <v>00062</v>
      </c>
      <c r="CA349" t="str">
        <f t="shared" si="484"/>
        <v>Gastos médicos por accidente</v>
      </c>
      <c r="CB349" s="118">
        <f t="shared" si="485"/>
        <v>0</v>
      </c>
      <c r="CC349" s="118" t="str">
        <f t="shared" si="486"/>
        <v>A</v>
      </c>
      <c r="CD349" s="119" t="str">
        <f t="shared" si="443"/>
        <v/>
      </c>
      <c r="CE349" s="66">
        <f>+IF($W349="","",ROUND((VLOOKUP(ROUNDDOWN($D349-1/frec,0),cob_adi,BO$40,FALSE)*(1+i/frec)^-0.5*(1+Parámetros!$D$103)*(1+rec_fracc)/frec*'TABLAS ADI'!$BC$17),2))</f>
        <v>0</v>
      </c>
      <c r="CF349" s="119" t="str">
        <f t="shared" si="444"/>
        <v/>
      </c>
      <c r="CG349" s="66">
        <f>+IF($W349="","",ROUND(IF($B349&gt;Parámetros!$D$107,'Tablas Servicio'!CE349+('Tablas Servicio'!CG348-'Tablas Servicio'!CE348),CE349/(1-IF(B349&lt;=10,Parámetros!$D$100,0))),2))</f>
        <v>0</v>
      </c>
      <c r="CH349" s="66">
        <f t="shared" si="445"/>
        <v>0</v>
      </c>
      <c r="CI349" s="66">
        <f t="shared" si="445"/>
        <v>0</v>
      </c>
      <c r="CJ349" s="66">
        <f>+IF($W349="","",ROUND((CG349*Parámetros!$G$85),2))</f>
        <v>0</v>
      </c>
      <c r="CK349" s="66">
        <f>+IF($W349="","",ROUND((CG349*(Parámetros!$G$86)),2))</f>
        <v>0</v>
      </c>
      <c r="CL349" s="66">
        <f t="shared" si="446"/>
        <v>0</v>
      </c>
      <c r="CM349" t="str">
        <f t="shared" si="487"/>
        <v>00063</v>
      </c>
      <c r="CN349" s="118" t="str">
        <f t="shared" si="488"/>
        <v>Renta Diaria por Hospitalización</v>
      </c>
      <c r="CO349" s="118">
        <f t="shared" si="489"/>
        <v>0</v>
      </c>
      <c r="CP349" s="118" t="str">
        <f t="shared" si="490"/>
        <v>A</v>
      </c>
      <c r="CQ349" s="119" t="str">
        <f t="shared" si="447"/>
        <v/>
      </c>
      <c r="CR349" s="66">
        <f>+IF($W349="","",ROUND((VLOOKUP(Parámetros!$F$51,'COBERTURAS ADICIONALES'!$S$4:$T$32,2,FALSE)*(1+i/frec)^-0.5*(1+Parámetros!$D$103)*(1+rec_fracc)/frec*$CO$42),2))</f>
        <v>0</v>
      </c>
      <c r="CS349" s="119" t="str">
        <f t="shared" si="448"/>
        <v/>
      </c>
      <c r="CT349" s="66">
        <f>+IF($W349="","",ROUND(IF($B349&gt;Parámetros!$D$107,'Tablas Servicio'!CR349+('Tablas Servicio'!CT348-'Tablas Servicio'!CR348),CR349/(1-IF(B349&lt;=10,Parámetros!$D$100,0))),2))</f>
        <v>0</v>
      </c>
      <c r="CU349" s="66">
        <f t="shared" si="449"/>
        <v>0</v>
      </c>
      <c r="CV349" s="66">
        <f t="shared" si="449"/>
        <v>0</v>
      </c>
      <c r="CW349" s="66">
        <f>+IF($W349="","",ROUND((CT349*Parámetros!$G$85),2))</f>
        <v>0</v>
      </c>
      <c r="CX349" s="66">
        <f>+IF($W349="","",ROUND((CT349*(Parámetros!$G$86)),2))</f>
        <v>0</v>
      </c>
      <c r="CY349" s="66">
        <f t="shared" si="450"/>
        <v>0</v>
      </c>
      <c r="CZ349" t="str">
        <f t="shared" si="491"/>
        <v>00064</v>
      </c>
      <c r="DA349" s="118" t="str">
        <f t="shared" si="492"/>
        <v>Enfermedades Graves</v>
      </c>
      <c r="DB349" s="118">
        <f t="shared" si="493"/>
        <v>0</v>
      </c>
      <c r="DC349" s="118" t="str">
        <f t="shared" si="494"/>
        <v>A</v>
      </c>
      <c r="DD349" s="121" t="str">
        <f>+IF(OR($W349="",DB349=0),"",ROUND((VLOOKUP(ROUNDDOWN($D349-1/frec,0),cob_adi,CO$40,FALSE)*(1+i/frec)^-0.5*(1+Parámetros!$D$103)*(1+rec_fracc)/frec),6))</f>
        <v/>
      </c>
      <c r="DE349" s="66">
        <f t="shared" si="451"/>
        <v>0</v>
      </c>
      <c r="DF349" s="119" t="str">
        <f t="shared" si="452"/>
        <v/>
      </c>
      <c r="DG349" s="66">
        <f>+IF($W349="","",ROUND(IF($B349&gt;Parámetros!$D$107,'Tablas Servicio'!DE349+('Tablas Servicio'!DG348-'Tablas Servicio'!DE348),DE349/(1-IF(B349&lt;=10,Parámetros!$D$100,0))),2))</f>
        <v>0</v>
      </c>
      <c r="DH349" s="66">
        <f t="shared" si="453"/>
        <v>0</v>
      </c>
      <c r="DI349" s="66">
        <f t="shared" si="453"/>
        <v>0</v>
      </c>
      <c r="DJ349" s="66">
        <f>+IF($W349="","",ROUND((DG349*Parámetros!$G$85),2))</f>
        <v>0</v>
      </c>
      <c r="DK349" s="66">
        <f>+IF($W349="","",ROUND((DG349*(Parámetros!$G$86)),2))</f>
        <v>0</v>
      </c>
      <c r="DL349" s="66">
        <f t="shared" si="454"/>
        <v>0</v>
      </c>
      <c r="DM349" t="str">
        <f t="shared" si="495"/>
        <v>00065</v>
      </c>
      <c r="DN349" s="118" t="str">
        <f t="shared" si="496"/>
        <v>Exención pago de primas</v>
      </c>
      <c r="DO349" s="118">
        <f t="shared" si="497"/>
        <v>0</v>
      </c>
      <c r="DP349" s="118" t="str">
        <f t="shared" si="498"/>
        <v>A</v>
      </c>
      <c r="DQ349" s="122" t="str">
        <f>+IF(OR($W349="",DO349=0),"",ROUND((VLOOKUP(ROUNDDOWN($D349-1/frec,0),cob_adi,DB$40,FALSE)*(1+i/frec)^-0.5*(1+Parámetros!$D$103)*(1+rec_fracc)/frec),6))</f>
        <v/>
      </c>
      <c r="DR349" s="66">
        <f t="shared" si="455"/>
        <v>0</v>
      </c>
      <c r="DS349" s="68" t="str">
        <f t="shared" si="456"/>
        <v/>
      </c>
      <c r="DT349" s="66">
        <f>+IF($W349="","",ROUND(IF($B349&gt;Parámetros!$D$107,'Tablas Servicio'!DR349+('Tablas Servicio'!DT348-'Tablas Servicio'!DR348),DR349/(1-IF(B349&lt;=10,Parámetros!$D$100,0))),2))</f>
        <v>0</v>
      </c>
      <c r="DU349" s="66">
        <f t="shared" si="457"/>
        <v>0</v>
      </c>
      <c r="DV349" s="66">
        <f t="shared" si="457"/>
        <v>0</v>
      </c>
      <c r="DW349" s="66">
        <f>+IF($W349="","",ROUND((DT349*Parámetros!$G$85),2))</f>
        <v>0</v>
      </c>
      <c r="DX349" s="66">
        <f>+IF($W349="","",ROUND((DT349*(Parámetros!$G$86)),2))</f>
        <v>0</v>
      </c>
      <c r="DY349" s="66">
        <f t="shared" si="458"/>
        <v>0</v>
      </c>
      <c r="DZ349" t="str">
        <f t="shared" si="501"/>
        <v>00066</v>
      </c>
      <c r="EA349" s="118" t="str">
        <f t="shared" si="501"/>
        <v>Enfermedad terminal</v>
      </c>
      <c r="EB349" s="118">
        <f>+IF($W349="","",ROUND(IF(Parámetros!$D$25='TABLAS MORT'!$V$33,EB348,Z349/2),0))</f>
        <v>50000</v>
      </c>
      <c r="EC349" s="118" t="str">
        <f t="shared" si="501"/>
        <v>A</v>
      </c>
      <c r="ED349" s="122">
        <f>+IF(OR($W349="",EB349=0),"",ROUND((VLOOKUP(ROUNDDOWN($D349-1/frec,0),cob_adi,DO$40,FALSE)*(1+i/frec)^-0.5*(1+Parámetros!$D$103)*(1+rec_fracc)/frec),6))</f>
        <v>5.5000000000000002E-5</v>
      </c>
      <c r="EE349" s="66">
        <f t="shared" si="460"/>
        <v>2.75</v>
      </c>
      <c r="EF349" s="68">
        <f t="shared" si="461"/>
        <v>5.5000000000000002E-5</v>
      </c>
      <c r="EG349" s="66">
        <f>+IF($W349="","",ROUND(IF($B349&gt;Parámetros!$D$107,'Tablas Servicio'!EE349+('Tablas Servicio'!EG348-'Tablas Servicio'!EE348),EE349/(1-IF(B349&lt;=10,Parámetros!$D$100,0))),2))</f>
        <v>2.75</v>
      </c>
      <c r="EH349" s="66">
        <f t="shared" si="462"/>
        <v>0</v>
      </c>
      <c r="EI349" s="66">
        <f t="shared" si="462"/>
        <v>0</v>
      </c>
      <c r="EJ349" s="66">
        <f>+IF($W349="","",ROUND((EG349*Parámetros!$G$85),2))</f>
        <v>0.1</v>
      </c>
      <c r="EK349" s="66">
        <f>+IF($W349="","",ROUND((EG349*(Parámetros!$G$86)),2))</f>
        <v>0.01</v>
      </c>
      <c r="EL349" s="66">
        <f t="shared" si="463"/>
        <v>2.86</v>
      </c>
    </row>
    <row r="350" spans="1:142" x14ac:dyDescent="0.25">
      <c r="A350">
        <f>+IF($C350="","",ROUND(VLOOKUP('Tablas Servicio'!B350,Parámetros!$H$100:$J$159,IF(Parámetros!$E$16="F",2,3),FALSE),2))</f>
        <v>150</v>
      </c>
      <c r="B350">
        <f t="shared" si="414"/>
        <v>26</v>
      </c>
      <c r="C350" s="57">
        <f>+IF(D350="","",'Tablas Servicio'!C349+1)</f>
        <v>309</v>
      </c>
      <c r="D350" s="56">
        <f>+IF(D349&lt;edadmaxtabla,D349+1/Parámetros!$E$25,"")</f>
        <v>65.770000000000579</v>
      </c>
      <c r="E350" s="57">
        <f t="shared" si="424"/>
        <v>65</v>
      </c>
      <c r="F350" s="59">
        <f t="shared" si="425"/>
        <v>100000</v>
      </c>
      <c r="G350" s="66">
        <f t="shared" si="415"/>
        <v>87.05</v>
      </c>
      <c r="H350" s="66">
        <f t="shared" si="416"/>
        <v>90.53</v>
      </c>
      <c r="I350" s="66">
        <f t="shared" si="464"/>
        <v>3.4699999999999989</v>
      </c>
      <c r="J350" s="66">
        <f t="shared" si="417"/>
        <v>3.0500000000000003</v>
      </c>
      <c r="K350" s="66">
        <f t="shared" si="418"/>
        <v>0.43</v>
      </c>
      <c r="L350" s="66">
        <f t="shared" si="419"/>
        <v>0</v>
      </c>
      <c r="M350" s="66">
        <f t="shared" si="420"/>
        <v>0</v>
      </c>
      <c r="N350" s="66">
        <f>+IF(C350="","",ROUND(Parámetros!$D$23,2))</f>
        <v>94</v>
      </c>
      <c r="O350" s="66">
        <f t="shared" si="421"/>
        <v>74.55</v>
      </c>
      <c r="P350" s="66">
        <f>+IF($C350="","",ROUND(IF(B350&gt;Parámetros!$D$117,0,N350*Parámetros!$D$116-G350*Parámetros!$D$100),2))</f>
        <v>0</v>
      </c>
      <c r="Q350" s="75">
        <f t="shared" si="465"/>
        <v>3.5037334865020107E-2</v>
      </c>
      <c r="R350" s="75">
        <f t="shared" si="466"/>
        <v>4.9396898334290642E-3</v>
      </c>
      <c r="S350" s="117">
        <f>+IF($C350="","",ROUND((S349+I350)*(1+Parámetros!$D$91),2))</f>
        <v>23235.11</v>
      </c>
      <c r="T350" s="117">
        <f>+IF($C350="","",ROUND(S350*VLOOKUP(B350,Parámetros!$C$30:$D$39,2,TRUE),2))</f>
        <v>23235.11</v>
      </c>
      <c r="U350" s="117">
        <f>+IF($C350="","",ROUND((U349+I350)*(1+Parámetros!$D$92),2))</f>
        <v>25194.04</v>
      </c>
      <c r="V350" s="117">
        <f>+IF($C350="","",ROUND(U350*VLOOKUP(B350,Parámetros!$C$30:$D$39,2,TRUE),2))</f>
        <v>25194.04</v>
      </c>
      <c r="W350" s="57">
        <f t="shared" si="467"/>
        <v>309</v>
      </c>
      <c r="X350" t="str">
        <f t="shared" si="468"/>
        <v>00058</v>
      </c>
      <c r="Y350" t="str">
        <f t="shared" si="469"/>
        <v>MUERTE POR CUALQUIER CAUSA</v>
      </c>
      <c r="Z350" s="118">
        <f>+IF($W350="","",ROUND(IF(Parámetros!$D$25='TABLAS MORT'!$V$33,Z349,Parámetros!$D$21-'Tablas Servicio'!T349),0))</f>
        <v>100000</v>
      </c>
      <c r="AA350" s="118" t="str">
        <f t="shared" si="470"/>
        <v>P</v>
      </c>
      <c r="AB350" s="119">
        <f>+IF(W350="","",ROUND((VLOOKUP(ROUNDDOWN($D350-1/frec,0),qx_tabla,2,FALSE)*(1+i/frec)^-0.5*(1+Parámetros!$D$103)*(1+rec_fracc)/frec),6))</f>
        <v>7.18E-4</v>
      </c>
      <c r="AC350" s="66">
        <f t="shared" si="426"/>
        <v>71.8</v>
      </c>
      <c r="AD350" s="119">
        <f t="shared" si="422"/>
        <v>8.43E-4</v>
      </c>
      <c r="AE350" s="66">
        <f>+IF($W350="","",ROUND(IF($B350&gt;Parámetros!$D$107,'Tablas Servicio'!AC350+('Tablas Servicio'!AG349-'Tablas Servicio'!AC349),AC350/(1-IF(B350&lt;=10,Parámetros!$D$104,Parámetros!$D$105))),2))</f>
        <v>119.67</v>
      </c>
      <c r="AF350" s="66">
        <f>+IF($W350="","",ROUND(IF($B350&gt;Parámetros!$D$107,'Tablas Servicio'!AC350+('Tablas Servicio'!AG349-'Tablas Servicio'!AC349),(AC350+$A349/frec)/(1-IF(B350&lt;=Parámetros!$D$117,Parámetros!$D$100,0))),2))</f>
        <v>84.3</v>
      </c>
      <c r="AG350" s="66">
        <f t="shared" si="427"/>
        <v>84.3</v>
      </c>
      <c r="AH350" s="66">
        <f t="shared" si="428"/>
        <v>0</v>
      </c>
      <c r="AI350" s="66">
        <f t="shared" si="429"/>
        <v>0</v>
      </c>
      <c r="AJ350" s="66">
        <f>+IF($W350="","",ROUND((AG350*Parámetros!$G$85),2))</f>
        <v>2.95</v>
      </c>
      <c r="AK350" s="66">
        <f>+IF($W350="","",ROUND((AG350*(Parámetros!$G$86)),2))</f>
        <v>0.42</v>
      </c>
      <c r="AL350" s="66">
        <f t="shared" si="423"/>
        <v>87.67</v>
      </c>
      <c r="AM350" t="str">
        <f t="shared" si="471"/>
        <v>00059</v>
      </c>
      <c r="AN350" t="str">
        <f t="shared" si="472"/>
        <v>Incapacidad Total y Permanente</v>
      </c>
      <c r="AO350" s="118">
        <f t="shared" si="473"/>
        <v>0</v>
      </c>
      <c r="AP350" s="118" t="str">
        <f t="shared" si="474"/>
        <v>A</v>
      </c>
      <c r="AQ350" s="119" t="str">
        <f>+IF(OR($W350="",AO350=0),"",ROUND((VLOOKUP(ROUNDDOWN($D350-1/frec,0),cob_adi,Z$40,FALSE)*(1+i/frec)^-0.5*(1+Parámetros!$D$103)*(1+rec_fracc)/frec),6))</f>
        <v/>
      </c>
      <c r="AR350" s="66">
        <f t="shared" si="430"/>
        <v>0</v>
      </c>
      <c r="AS350" s="119" t="str">
        <f t="shared" si="431"/>
        <v/>
      </c>
      <c r="AT350" s="66">
        <f>+IF($W350="","",ROUND(IF($B350&gt;Parámetros!$D$107,'Tablas Servicio'!AR350+('Tablas Servicio'!AT349-'Tablas Servicio'!AR349),AR350/(1-IF(B350&lt;=10,Parámetros!$D$100,0))),2))</f>
        <v>0</v>
      </c>
      <c r="AU350" s="66">
        <f t="shared" si="432"/>
        <v>0</v>
      </c>
      <c r="AV350" s="66">
        <f t="shared" si="432"/>
        <v>0</v>
      </c>
      <c r="AW350" s="66">
        <f>+IF($W350="","",ROUND((AT350*Parámetros!$G$85),2))</f>
        <v>0</v>
      </c>
      <c r="AX350" s="66">
        <f>+IF($W350="","",ROUND((AT350*(Parámetros!$G$86)),2))</f>
        <v>0</v>
      </c>
      <c r="AY350" s="66">
        <f t="shared" si="433"/>
        <v>0</v>
      </c>
      <c r="AZ350" t="str">
        <f t="shared" si="475"/>
        <v>00060</v>
      </c>
      <c r="BA350" t="str">
        <f t="shared" si="476"/>
        <v>Muerte Accidental</v>
      </c>
      <c r="BB350" s="118">
        <f t="shared" si="477"/>
        <v>0</v>
      </c>
      <c r="BC350" s="118" t="str">
        <f t="shared" si="478"/>
        <v>A</v>
      </c>
      <c r="BD350" s="119" t="str">
        <f>+IF(OR($W350="",BB350=0),"",ROUND((VLOOKUP(ROUNDDOWN($D350-1/frec,0),cob_adi,AO$40,FALSE)*(1+i/frec)^-0.5*(1+Parámetros!$D$103)*(1+rec_fracc)/frec),6))</f>
        <v/>
      </c>
      <c r="BE350" s="66">
        <f t="shared" si="434"/>
        <v>0</v>
      </c>
      <c r="BF350" s="119" t="str">
        <f t="shared" si="435"/>
        <v/>
      </c>
      <c r="BG350" s="66">
        <f>+IF($W350="","",ROUND(IF($B350&gt;Parámetros!$D$107,'Tablas Servicio'!BE350+('Tablas Servicio'!BG349-'Tablas Servicio'!BE349),BE350/(1-IF(B350&lt;=10,Parámetros!$D$100,0))),2))</f>
        <v>0</v>
      </c>
      <c r="BH350" s="66">
        <f t="shared" si="436"/>
        <v>0</v>
      </c>
      <c r="BI350" s="66">
        <f t="shared" si="437"/>
        <v>0</v>
      </c>
      <c r="BJ350" s="66">
        <f>+IF($W350="","",ROUND((BG350*Parámetros!$G$85),2))</f>
        <v>0</v>
      </c>
      <c r="BK350" s="66">
        <f>+IF($W350="","",ROUND((BG350*(Parámetros!$G$86)),2))</f>
        <v>0</v>
      </c>
      <c r="BL350" s="66">
        <f t="shared" si="438"/>
        <v>0</v>
      </c>
      <c r="BM350" t="str">
        <f t="shared" si="479"/>
        <v>00061</v>
      </c>
      <c r="BN350" t="str">
        <f t="shared" si="480"/>
        <v>Gastos de Entierro</v>
      </c>
      <c r="BO350" s="118">
        <f t="shared" si="481"/>
        <v>0</v>
      </c>
      <c r="BP350" s="118" t="str">
        <f t="shared" si="482"/>
        <v>A</v>
      </c>
      <c r="BQ350" s="119" t="str">
        <f>+IF(OR($W350="",BO350=0),"",ROUND((VLOOKUP(ROUNDDOWN($D350-1/frec,0),cob_adi,BB$40,FALSE)*(1+i/frec)^-0.5*(1+Parámetros!$D$103)*(1+rec_fracc)/frec),6))</f>
        <v/>
      </c>
      <c r="BR350" s="66">
        <f t="shared" si="439"/>
        <v>0</v>
      </c>
      <c r="BS350" s="119" t="str">
        <f t="shared" si="440"/>
        <v/>
      </c>
      <c r="BT350" s="66">
        <f>+IF($W350="","",ROUND(IF($B350&gt;Parámetros!$D$107,'Tablas Servicio'!BR350+('Tablas Servicio'!BT349-'Tablas Servicio'!BR349),BR350/(1-IF(B350&lt;=10,Parámetros!$D$100,0))),2))</f>
        <v>0</v>
      </c>
      <c r="BU350" s="66">
        <f t="shared" si="441"/>
        <v>0</v>
      </c>
      <c r="BV350" s="66">
        <f t="shared" si="441"/>
        <v>0</v>
      </c>
      <c r="BW350" s="66">
        <f>+IF($W350="","",ROUND((BT350*Parámetros!$G$85),2))</f>
        <v>0</v>
      </c>
      <c r="BX350" s="66">
        <f>+IF($W350="","",ROUND((BT350*(Parámetros!$G$86)),2))</f>
        <v>0</v>
      </c>
      <c r="BY350" s="66">
        <f t="shared" si="442"/>
        <v>0</v>
      </c>
      <c r="BZ350" t="str">
        <f t="shared" si="483"/>
        <v>00062</v>
      </c>
      <c r="CA350" t="str">
        <f t="shared" si="484"/>
        <v>Gastos médicos por accidente</v>
      </c>
      <c r="CB350" s="118">
        <f t="shared" si="485"/>
        <v>0</v>
      </c>
      <c r="CC350" s="118" t="str">
        <f t="shared" si="486"/>
        <v>A</v>
      </c>
      <c r="CD350" s="119" t="str">
        <f t="shared" si="443"/>
        <v/>
      </c>
      <c r="CE350" s="66">
        <f>+IF($W350="","",ROUND((VLOOKUP(ROUNDDOWN($D350-1/frec,0),cob_adi,BO$40,FALSE)*(1+i/frec)^-0.5*(1+Parámetros!$D$103)*(1+rec_fracc)/frec*'TABLAS ADI'!$BC$17),2))</f>
        <v>0</v>
      </c>
      <c r="CF350" s="119" t="str">
        <f t="shared" si="444"/>
        <v/>
      </c>
      <c r="CG350" s="66">
        <f>+IF($W350="","",ROUND(IF($B350&gt;Parámetros!$D$107,'Tablas Servicio'!CE350+('Tablas Servicio'!CG349-'Tablas Servicio'!CE349),CE350/(1-IF(B350&lt;=10,Parámetros!$D$100,0))),2))</f>
        <v>0</v>
      </c>
      <c r="CH350" s="66">
        <f t="shared" si="445"/>
        <v>0</v>
      </c>
      <c r="CI350" s="66">
        <f t="shared" si="445"/>
        <v>0</v>
      </c>
      <c r="CJ350" s="66">
        <f>+IF($W350="","",ROUND((CG350*Parámetros!$G$85),2))</f>
        <v>0</v>
      </c>
      <c r="CK350" s="66">
        <f>+IF($W350="","",ROUND((CG350*(Parámetros!$G$86)),2))</f>
        <v>0</v>
      </c>
      <c r="CL350" s="66">
        <f t="shared" si="446"/>
        <v>0</v>
      </c>
      <c r="CM350" t="str">
        <f t="shared" si="487"/>
        <v>00063</v>
      </c>
      <c r="CN350" s="118" t="str">
        <f t="shared" si="488"/>
        <v>Renta Diaria por Hospitalización</v>
      </c>
      <c r="CO350" s="118">
        <f t="shared" si="489"/>
        <v>0</v>
      </c>
      <c r="CP350" s="118" t="str">
        <f t="shared" si="490"/>
        <v>A</v>
      </c>
      <c r="CQ350" s="119" t="str">
        <f t="shared" si="447"/>
        <v/>
      </c>
      <c r="CR350" s="66">
        <f>+IF($W350="","",ROUND((VLOOKUP(Parámetros!$F$51,'COBERTURAS ADICIONALES'!$S$4:$T$32,2,FALSE)*(1+i/frec)^-0.5*(1+Parámetros!$D$103)*(1+rec_fracc)/frec*$CO$42),2))</f>
        <v>0</v>
      </c>
      <c r="CS350" s="119" t="str">
        <f t="shared" si="448"/>
        <v/>
      </c>
      <c r="CT350" s="66">
        <f>+IF($W350="","",ROUND(IF($B350&gt;Parámetros!$D$107,'Tablas Servicio'!CR350+('Tablas Servicio'!CT349-'Tablas Servicio'!CR349),CR350/(1-IF(B350&lt;=10,Parámetros!$D$100,0))),2))</f>
        <v>0</v>
      </c>
      <c r="CU350" s="66">
        <f t="shared" si="449"/>
        <v>0</v>
      </c>
      <c r="CV350" s="66">
        <f t="shared" si="449"/>
        <v>0</v>
      </c>
      <c r="CW350" s="66">
        <f>+IF($W350="","",ROUND((CT350*Parámetros!$G$85),2))</f>
        <v>0</v>
      </c>
      <c r="CX350" s="66">
        <f>+IF($W350="","",ROUND((CT350*(Parámetros!$G$86)),2))</f>
        <v>0</v>
      </c>
      <c r="CY350" s="66">
        <f t="shared" si="450"/>
        <v>0</v>
      </c>
      <c r="CZ350" t="str">
        <f t="shared" si="491"/>
        <v>00064</v>
      </c>
      <c r="DA350" s="118" t="str">
        <f t="shared" si="492"/>
        <v>Enfermedades Graves</v>
      </c>
      <c r="DB350" s="118">
        <f t="shared" si="493"/>
        <v>0</v>
      </c>
      <c r="DC350" s="118" t="str">
        <f t="shared" si="494"/>
        <v>A</v>
      </c>
      <c r="DD350" s="121" t="str">
        <f>+IF(OR($W350="",DB350=0),"",ROUND((VLOOKUP(ROUNDDOWN($D350-1/frec,0),cob_adi,CO$40,FALSE)*(1+i/frec)^-0.5*(1+Parámetros!$D$103)*(1+rec_fracc)/frec),6))</f>
        <v/>
      </c>
      <c r="DE350" s="66">
        <f t="shared" si="451"/>
        <v>0</v>
      </c>
      <c r="DF350" s="119" t="str">
        <f t="shared" si="452"/>
        <v/>
      </c>
      <c r="DG350" s="66">
        <f>+IF($W350="","",ROUND(IF($B350&gt;Parámetros!$D$107,'Tablas Servicio'!DE350+('Tablas Servicio'!DG349-'Tablas Servicio'!DE349),DE350/(1-IF(B350&lt;=10,Parámetros!$D$100,0))),2))</f>
        <v>0</v>
      </c>
      <c r="DH350" s="66">
        <f t="shared" si="453"/>
        <v>0</v>
      </c>
      <c r="DI350" s="66">
        <f t="shared" si="453"/>
        <v>0</v>
      </c>
      <c r="DJ350" s="66">
        <f>+IF($W350="","",ROUND((DG350*Parámetros!$G$85),2))</f>
        <v>0</v>
      </c>
      <c r="DK350" s="66">
        <f>+IF($W350="","",ROUND((DG350*(Parámetros!$G$86)),2))</f>
        <v>0</v>
      </c>
      <c r="DL350" s="66">
        <f t="shared" si="454"/>
        <v>0</v>
      </c>
      <c r="DM350" t="str">
        <f t="shared" si="495"/>
        <v>00065</v>
      </c>
      <c r="DN350" s="118" t="str">
        <f t="shared" si="496"/>
        <v>Exención pago de primas</v>
      </c>
      <c r="DO350" s="118">
        <f t="shared" si="497"/>
        <v>0</v>
      </c>
      <c r="DP350" s="118" t="str">
        <f t="shared" si="498"/>
        <v>A</v>
      </c>
      <c r="DQ350" s="122" t="str">
        <f>+IF(OR($W350="",DO350=0),"",ROUND((VLOOKUP(ROUNDDOWN($D350-1/frec,0),cob_adi,DB$40,FALSE)*(1+i/frec)^-0.5*(1+Parámetros!$D$103)*(1+rec_fracc)/frec),6))</f>
        <v/>
      </c>
      <c r="DR350" s="66">
        <f t="shared" si="455"/>
        <v>0</v>
      </c>
      <c r="DS350" s="68" t="str">
        <f t="shared" si="456"/>
        <v/>
      </c>
      <c r="DT350" s="66">
        <f>+IF($W350="","",ROUND(IF($B350&gt;Parámetros!$D$107,'Tablas Servicio'!DR350+('Tablas Servicio'!DT349-'Tablas Servicio'!DR349),DR350/(1-IF(B350&lt;=10,Parámetros!$D$100,0))),2))</f>
        <v>0</v>
      </c>
      <c r="DU350" s="66">
        <f t="shared" si="457"/>
        <v>0</v>
      </c>
      <c r="DV350" s="66">
        <f t="shared" si="457"/>
        <v>0</v>
      </c>
      <c r="DW350" s="66">
        <f>+IF($W350="","",ROUND((DT350*Parámetros!$G$85),2))</f>
        <v>0</v>
      </c>
      <c r="DX350" s="66">
        <f>+IF($W350="","",ROUND((DT350*(Parámetros!$G$86)),2))</f>
        <v>0</v>
      </c>
      <c r="DY350" s="66">
        <f t="shared" si="458"/>
        <v>0</v>
      </c>
      <c r="DZ350" t="str">
        <f t="shared" si="501"/>
        <v>00066</v>
      </c>
      <c r="EA350" s="118" t="str">
        <f t="shared" si="501"/>
        <v>Enfermedad terminal</v>
      </c>
      <c r="EB350" s="118">
        <f>+IF($W350="","",ROUND(IF(Parámetros!$D$25='TABLAS MORT'!$V$33,EB349,Z350/2),0))</f>
        <v>50000</v>
      </c>
      <c r="EC350" s="118" t="str">
        <f t="shared" si="501"/>
        <v>A</v>
      </c>
      <c r="ED350" s="122">
        <f>+IF(OR($W350="",EB350=0),"",ROUND((VLOOKUP(ROUNDDOWN($D350-1/frec,0),cob_adi,DO$40,FALSE)*(1+i/frec)^-0.5*(1+Parámetros!$D$103)*(1+rec_fracc)/frec),6))</f>
        <v>5.5000000000000002E-5</v>
      </c>
      <c r="EE350" s="66">
        <f t="shared" si="460"/>
        <v>2.75</v>
      </c>
      <c r="EF350" s="68">
        <f t="shared" si="461"/>
        <v>5.5000000000000002E-5</v>
      </c>
      <c r="EG350" s="66">
        <f>+IF($W350="","",ROUND(IF($B350&gt;Parámetros!$D$107,'Tablas Servicio'!EE350+('Tablas Servicio'!EG349-'Tablas Servicio'!EE349),EE350/(1-IF(B350&lt;=10,Parámetros!$D$100,0))),2))</f>
        <v>2.75</v>
      </c>
      <c r="EH350" s="66">
        <f t="shared" si="462"/>
        <v>0</v>
      </c>
      <c r="EI350" s="66">
        <f t="shared" si="462"/>
        <v>0</v>
      </c>
      <c r="EJ350" s="66">
        <f>+IF($W350="","",ROUND((EG350*Parámetros!$G$85),2))</f>
        <v>0.1</v>
      </c>
      <c r="EK350" s="66">
        <f>+IF($W350="","",ROUND((EG350*(Parámetros!$G$86)),2))</f>
        <v>0.01</v>
      </c>
      <c r="EL350" s="66">
        <f t="shared" si="463"/>
        <v>2.86</v>
      </c>
    </row>
    <row r="351" spans="1:142" x14ac:dyDescent="0.25">
      <c r="A351">
        <f>+IF($C351="","",ROUND(VLOOKUP('Tablas Servicio'!B351,Parámetros!$H$100:$J$159,IF(Parámetros!$E$16="F",2,3),FALSE),2))</f>
        <v>150</v>
      </c>
      <c r="B351">
        <f t="shared" si="414"/>
        <v>26</v>
      </c>
      <c r="C351" s="57">
        <f>+IF(D351="","",'Tablas Servicio'!C350+1)</f>
        <v>310</v>
      </c>
      <c r="D351" s="56">
        <f>+IF(D350&lt;edadmaxtabla,D350+1/Parámetros!$E$25,"")</f>
        <v>65.853333333333907</v>
      </c>
      <c r="E351" s="57">
        <f t="shared" si="424"/>
        <v>65</v>
      </c>
      <c r="F351" s="59">
        <f t="shared" si="425"/>
        <v>100000</v>
      </c>
      <c r="G351" s="66">
        <f t="shared" si="415"/>
        <v>87.05</v>
      </c>
      <c r="H351" s="66">
        <f t="shared" si="416"/>
        <v>90.53</v>
      </c>
      <c r="I351" s="66">
        <f t="shared" si="464"/>
        <v>3.4699999999999989</v>
      </c>
      <c r="J351" s="66">
        <f t="shared" si="417"/>
        <v>3.0500000000000003</v>
      </c>
      <c r="K351" s="66">
        <f t="shared" si="418"/>
        <v>0.43</v>
      </c>
      <c r="L351" s="66">
        <f t="shared" si="419"/>
        <v>0</v>
      </c>
      <c r="M351" s="66">
        <f t="shared" si="420"/>
        <v>0</v>
      </c>
      <c r="N351" s="66">
        <f>+IF(C351="","",ROUND(Parámetros!$D$23,2))</f>
        <v>94</v>
      </c>
      <c r="O351" s="66">
        <f t="shared" si="421"/>
        <v>74.55</v>
      </c>
      <c r="P351" s="66">
        <f>+IF($C351="","",ROUND(IF(B351&gt;Parámetros!$D$117,0,N351*Parámetros!$D$116-G351*Parámetros!$D$100),2))</f>
        <v>0</v>
      </c>
      <c r="Q351" s="75">
        <f t="shared" si="465"/>
        <v>3.5037334865020107E-2</v>
      </c>
      <c r="R351" s="75">
        <f t="shared" si="466"/>
        <v>4.9396898334290642E-3</v>
      </c>
      <c r="S351" s="117">
        <f>+IF($C351="","",ROUND((S350+I351)*(1+Parámetros!$D$91),2))</f>
        <v>23304.5</v>
      </c>
      <c r="T351" s="117">
        <f>+IF($C351="","",ROUND(S351*VLOOKUP(B351,Parámetros!$C$30:$D$39,2,TRUE),2))</f>
        <v>23304.5</v>
      </c>
      <c r="U351" s="117">
        <f>+IF($C351="","",ROUND((U350+I351)*(1+Parámetros!$D$92),2))</f>
        <v>25279.19</v>
      </c>
      <c r="V351" s="117">
        <f>+IF($C351="","",ROUND(U351*VLOOKUP(B351,Parámetros!$C$30:$D$39,2,TRUE),2))</f>
        <v>25279.19</v>
      </c>
      <c r="W351" s="57">
        <f t="shared" si="467"/>
        <v>310</v>
      </c>
      <c r="X351" t="str">
        <f t="shared" si="468"/>
        <v>00058</v>
      </c>
      <c r="Y351" t="str">
        <f t="shared" si="469"/>
        <v>MUERTE POR CUALQUIER CAUSA</v>
      </c>
      <c r="Z351" s="118">
        <f>+IF($W351="","",ROUND(IF(Parámetros!$D$25='TABLAS MORT'!$V$33,Z350,Parámetros!$D$21-'Tablas Servicio'!T350),0))</f>
        <v>100000</v>
      </c>
      <c r="AA351" s="118" t="str">
        <f t="shared" si="470"/>
        <v>P</v>
      </c>
      <c r="AB351" s="119">
        <f>+IF(W351="","",ROUND((VLOOKUP(ROUNDDOWN($D351-1/frec,0),qx_tabla,2,FALSE)*(1+i/frec)^-0.5*(1+Parámetros!$D$103)*(1+rec_fracc)/frec),6))</f>
        <v>7.18E-4</v>
      </c>
      <c r="AC351" s="66">
        <f t="shared" si="426"/>
        <v>71.8</v>
      </c>
      <c r="AD351" s="119">
        <f t="shared" si="422"/>
        <v>8.43E-4</v>
      </c>
      <c r="AE351" s="66">
        <f>+IF($W351="","",ROUND(IF($B351&gt;Parámetros!$D$107,'Tablas Servicio'!AC351+('Tablas Servicio'!AG350-'Tablas Servicio'!AC350),AC351/(1-IF(B351&lt;=10,Parámetros!$D$104,Parámetros!$D$105))),2))</f>
        <v>119.67</v>
      </c>
      <c r="AF351" s="66">
        <f>+IF($W351="","",ROUND(IF($B351&gt;Parámetros!$D$107,'Tablas Servicio'!AC351+('Tablas Servicio'!AG350-'Tablas Servicio'!AC350),(AC351+$A350/frec)/(1-IF(B351&lt;=Parámetros!$D$117,Parámetros!$D$100,0))),2))</f>
        <v>84.3</v>
      </c>
      <c r="AG351" s="66">
        <f t="shared" si="427"/>
        <v>84.3</v>
      </c>
      <c r="AH351" s="66">
        <f t="shared" si="428"/>
        <v>0</v>
      </c>
      <c r="AI351" s="66">
        <f t="shared" si="429"/>
        <v>0</v>
      </c>
      <c r="AJ351" s="66">
        <f>+IF($W351="","",ROUND((AG351*Parámetros!$G$85),2))</f>
        <v>2.95</v>
      </c>
      <c r="AK351" s="66">
        <f>+IF($W351="","",ROUND((AG351*(Parámetros!$G$86)),2))</f>
        <v>0.42</v>
      </c>
      <c r="AL351" s="66">
        <f t="shared" si="423"/>
        <v>87.67</v>
      </c>
      <c r="AM351" t="str">
        <f t="shared" si="471"/>
        <v>00059</v>
      </c>
      <c r="AN351" t="str">
        <f t="shared" si="472"/>
        <v>Incapacidad Total y Permanente</v>
      </c>
      <c r="AO351" s="118">
        <f t="shared" si="473"/>
        <v>0</v>
      </c>
      <c r="AP351" s="118" t="str">
        <f t="shared" si="474"/>
        <v>A</v>
      </c>
      <c r="AQ351" s="119" t="str">
        <f>+IF(OR($W351="",AO351=0),"",ROUND((VLOOKUP(ROUNDDOWN($D351-1/frec,0),cob_adi,Z$40,FALSE)*(1+i/frec)^-0.5*(1+Parámetros!$D$103)*(1+rec_fracc)/frec),6))</f>
        <v/>
      </c>
      <c r="AR351" s="66">
        <f t="shared" si="430"/>
        <v>0</v>
      </c>
      <c r="AS351" s="119" t="str">
        <f t="shared" si="431"/>
        <v/>
      </c>
      <c r="AT351" s="66">
        <f>+IF($W351="","",ROUND(IF($B351&gt;Parámetros!$D$107,'Tablas Servicio'!AR351+('Tablas Servicio'!AT350-'Tablas Servicio'!AR350),AR351/(1-IF(B351&lt;=10,Parámetros!$D$100,0))),2))</f>
        <v>0</v>
      </c>
      <c r="AU351" s="66">
        <f t="shared" si="432"/>
        <v>0</v>
      </c>
      <c r="AV351" s="66">
        <f t="shared" si="432"/>
        <v>0</v>
      </c>
      <c r="AW351" s="66">
        <f>+IF($W351="","",ROUND((AT351*Parámetros!$G$85),2))</f>
        <v>0</v>
      </c>
      <c r="AX351" s="66">
        <f>+IF($W351="","",ROUND((AT351*(Parámetros!$G$86)),2))</f>
        <v>0</v>
      </c>
      <c r="AY351" s="66">
        <f t="shared" si="433"/>
        <v>0</v>
      </c>
      <c r="AZ351" t="str">
        <f t="shared" si="475"/>
        <v>00060</v>
      </c>
      <c r="BA351" t="str">
        <f t="shared" si="476"/>
        <v>Muerte Accidental</v>
      </c>
      <c r="BB351" s="118">
        <f t="shared" si="477"/>
        <v>0</v>
      </c>
      <c r="BC351" s="118" t="str">
        <f t="shared" si="478"/>
        <v>A</v>
      </c>
      <c r="BD351" s="119" t="str">
        <f>+IF(OR($W351="",BB351=0),"",ROUND((VLOOKUP(ROUNDDOWN($D351-1/frec,0),cob_adi,AO$40,FALSE)*(1+i/frec)^-0.5*(1+Parámetros!$D$103)*(1+rec_fracc)/frec),6))</f>
        <v/>
      </c>
      <c r="BE351" s="66">
        <f t="shared" si="434"/>
        <v>0</v>
      </c>
      <c r="BF351" s="119" t="str">
        <f t="shared" si="435"/>
        <v/>
      </c>
      <c r="BG351" s="66">
        <f>+IF($W351="","",ROUND(IF($B351&gt;Parámetros!$D$107,'Tablas Servicio'!BE351+('Tablas Servicio'!BG350-'Tablas Servicio'!BE350),BE351/(1-IF(B351&lt;=10,Parámetros!$D$100,0))),2))</f>
        <v>0</v>
      </c>
      <c r="BH351" s="66">
        <f t="shared" si="436"/>
        <v>0</v>
      </c>
      <c r="BI351" s="66">
        <f t="shared" si="437"/>
        <v>0</v>
      </c>
      <c r="BJ351" s="66">
        <f>+IF($W351="","",ROUND((BG351*Parámetros!$G$85),2))</f>
        <v>0</v>
      </c>
      <c r="BK351" s="66">
        <f>+IF($W351="","",ROUND((BG351*(Parámetros!$G$86)),2))</f>
        <v>0</v>
      </c>
      <c r="BL351" s="66">
        <f t="shared" si="438"/>
        <v>0</v>
      </c>
      <c r="BM351" t="str">
        <f t="shared" si="479"/>
        <v>00061</v>
      </c>
      <c r="BN351" t="str">
        <f t="shared" si="480"/>
        <v>Gastos de Entierro</v>
      </c>
      <c r="BO351" s="118">
        <f t="shared" si="481"/>
        <v>0</v>
      </c>
      <c r="BP351" s="118" t="str">
        <f t="shared" si="482"/>
        <v>A</v>
      </c>
      <c r="BQ351" s="119" t="str">
        <f>+IF(OR($W351="",BO351=0),"",ROUND((VLOOKUP(ROUNDDOWN($D351-1/frec,0),cob_adi,BB$40,FALSE)*(1+i/frec)^-0.5*(1+Parámetros!$D$103)*(1+rec_fracc)/frec),6))</f>
        <v/>
      </c>
      <c r="BR351" s="66">
        <f t="shared" si="439"/>
        <v>0</v>
      </c>
      <c r="BS351" s="119" t="str">
        <f t="shared" si="440"/>
        <v/>
      </c>
      <c r="BT351" s="66">
        <f>+IF($W351="","",ROUND(IF($B351&gt;Parámetros!$D$107,'Tablas Servicio'!BR351+('Tablas Servicio'!BT350-'Tablas Servicio'!BR350),BR351/(1-IF(B351&lt;=10,Parámetros!$D$100,0))),2))</f>
        <v>0</v>
      </c>
      <c r="BU351" s="66">
        <f t="shared" si="441"/>
        <v>0</v>
      </c>
      <c r="BV351" s="66">
        <f t="shared" si="441"/>
        <v>0</v>
      </c>
      <c r="BW351" s="66">
        <f>+IF($W351="","",ROUND((BT351*Parámetros!$G$85),2))</f>
        <v>0</v>
      </c>
      <c r="BX351" s="66">
        <f>+IF($W351="","",ROUND((BT351*(Parámetros!$G$86)),2))</f>
        <v>0</v>
      </c>
      <c r="BY351" s="66">
        <f t="shared" si="442"/>
        <v>0</v>
      </c>
      <c r="BZ351" t="str">
        <f t="shared" si="483"/>
        <v>00062</v>
      </c>
      <c r="CA351" t="str">
        <f t="shared" si="484"/>
        <v>Gastos médicos por accidente</v>
      </c>
      <c r="CB351" s="118">
        <f t="shared" si="485"/>
        <v>0</v>
      </c>
      <c r="CC351" s="118" t="str">
        <f t="shared" si="486"/>
        <v>A</v>
      </c>
      <c r="CD351" s="119" t="str">
        <f t="shared" si="443"/>
        <v/>
      </c>
      <c r="CE351" s="66">
        <f>+IF($W351="","",ROUND((VLOOKUP(ROUNDDOWN($D351-1/frec,0),cob_adi,BO$40,FALSE)*(1+i/frec)^-0.5*(1+Parámetros!$D$103)*(1+rec_fracc)/frec*'TABLAS ADI'!$BC$17),2))</f>
        <v>0</v>
      </c>
      <c r="CF351" s="119" t="str">
        <f t="shared" si="444"/>
        <v/>
      </c>
      <c r="CG351" s="66">
        <f>+IF($W351="","",ROUND(IF($B351&gt;Parámetros!$D$107,'Tablas Servicio'!CE351+('Tablas Servicio'!CG350-'Tablas Servicio'!CE350),CE351/(1-IF(B351&lt;=10,Parámetros!$D$100,0))),2))</f>
        <v>0</v>
      </c>
      <c r="CH351" s="66">
        <f t="shared" si="445"/>
        <v>0</v>
      </c>
      <c r="CI351" s="66">
        <f t="shared" si="445"/>
        <v>0</v>
      </c>
      <c r="CJ351" s="66">
        <f>+IF($W351="","",ROUND((CG351*Parámetros!$G$85),2))</f>
        <v>0</v>
      </c>
      <c r="CK351" s="66">
        <f>+IF($W351="","",ROUND((CG351*(Parámetros!$G$86)),2))</f>
        <v>0</v>
      </c>
      <c r="CL351" s="66">
        <f t="shared" si="446"/>
        <v>0</v>
      </c>
      <c r="CM351" t="str">
        <f t="shared" si="487"/>
        <v>00063</v>
      </c>
      <c r="CN351" s="118" t="str">
        <f t="shared" si="488"/>
        <v>Renta Diaria por Hospitalización</v>
      </c>
      <c r="CO351" s="118">
        <f t="shared" si="489"/>
        <v>0</v>
      </c>
      <c r="CP351" s="118" t="str">
        <f t="shared" si="490"/>
        <v>A</v>
      </c>
      <c r="CQ351" s="119" t="str">
        <f t="shared" si="447"/>
        <v/>
      </c>
      <c r="CR351" s="66">
        <f>+IF($W351="","",ROUND((VLOOKUP(Parámetros!$F$51,'COBERTURAS ADICIONALES'!$S$4:$T$32,2,FALSE)*(1+i/frec)^-0.5*(1+Parámetros!$D$103)*(1+rec_fracc)/frec*$CO$42),2))</f>
        <v>0</v>
      </c>
      <c r="CS351" s="119" t="str">
        <f t="shared" si="448"/>
        <v/>
      </c>
      <c r="CT351" s="66">
        <f>+IF($W351="","",ROUND(IF($B351&gt;Parámetros!$D$107,'Tablas Servicio'!CR351+('Tablas Servicio'!CT350-'Tablas Servicio'!CR350),CR351/(1-IF(B351&lt;=10,Parámetros!$D$100,0))),2))</f>
        <v>0</v>
      </c>
      <c r="CU351" s="66">
        <f t="shared" si="449"/>
        <v>0</v>
      </c>
      <c r="CV351" s="66">
        <f t="shared" si="449"/>
        <v>0</v>
      </c>
      <c r="CW351" s="66">
        <f>+IF($W351="","",ROUND((CT351*Parámetros!$G$85),2))</f>
        <v>0</v>
      </c>
      <c r="CX351" s="66">
        <f>+IF($W351="","",ROUND((CT351*(Parámetros!$G$86)),2))</f>
        <v>0</v>
      </c>
      <c r="CY351" s="66">
        <f t="shared" si="450"/>
        <v>0</v>
      </c>
      <c r="CZ351" t="str">
        <f t="shared" si="491"/>
        <v>00064</v>
      </c>
      <c r="DA351" s="118" t="str">
        <f t="shared" si="492"/>
        <v>Enfermedades Graves</v>
      </c>
      <c r="DB351" s="118">
        <f t="shared" si="493"/>
        <v>0</v>
      </c>
      <c r="DC351" s="118" t="str">
        <f t="shared" si="494"/>
        <v>A</v>
      </c>
      <c r="DD351" s="121" t="str">
        <f>+IF(OR($W351="",DB351=0),"",ROUND((VLOOKUP(ROUNDDOWN($D351-1/frec,0),cob_adi,CO$40,FALSE)*(1+i/frec)^-0.5*(1+Parámetros!$D$103)*(1+rec_fracc)/frec),6))</f>
        <v/>
      </c>
      <c r="DE351" s="66">
        <f t="shared" si="451"/>
        <v>0</v>
      </c>
      <c r="DF351" s="119" t="str">
        <f t="shared" si="452"/>
        <v/>
      </c>
      <c r="DG351" s="66">
        <f>+IF($W351="","",ROUND(IF($B351&gt;Parámetros!$D$107,'Tablas Servicio'!DE351+('Tablas Servicio'!DG350-'Tablas Servicio'!DE350),DE351/(1-IF(B351&lt;=10,Parámetros!$D$100,0))),2))</f>
        <v>0</v>
      </c>
      <c r="DH351" s="66">
        <f t="shared" si="453"/>
        <v>0</v>
      </c>
      <c r="DI351" s="66">
        <f t="shared" si="453"/>
        <v>0</v>
      </c>
      <c r="DJ351" s="66">
        <f>+IF($W351="","",ROUND((DG351*Parámetros!$G$85),2))</f>
        <v>0</v>
      </c>
      <c r="DK351" s="66">
        <f>+IF($W351="","",ROUND((DG351*(Parámetros!$G$86)),2))</f>
        <v>0</v>
      </c>
      <c r="DL351" s="66">
        <f t="shared" si="454"/>
        <v>0</v>
      </c>
      <c r="DM351" t="str">
        <f t="shared" si="495"/>
        <v>00065</v>
      </c>
      <c r="DN351" s="118" t="str">
        <f t="shared" si="496"/>
        <v>Exención pago de primas</v>
      </c>
      <c r="DO351" s="118">
        <f t="shared" si="497"/>
        <v>0</v>
      </c>
      <c r="DP351" s="118" t="str">
        <f t="shared" si="498"/>
        <v>A</v>
      </c>
      <c r="DQ351" s="122" t="str">
        <f>+IF(OR($W351="",DO351=0),"",ROUND((VLOOKUP(ROUNDDOWN($D351-1/frec,0),cob_adi,DB$40,FALSE)*(1+i/frec)^-0.5*(1+Parámetros!$D$103)*(1+rec_fracc)/frec),6))</f>
        <v/>
      </c>
      <c r="DR351" s="66">
        <f t="shared" si="455"/>
        <v>0</v>
      </c>
      <c r="DS351" s="68" t="str">
        <f t="shared" si="456"/>
        <v/>
      </c>
      <c r="DT351" s="66">
        <f>+IF($W351="","",ROUND(IF($B351&gt;Parámetros!$D$107,'Tablas Servicio'!DR351+('Tablas Servicio'!DT350-'Tablas Servicio'!DR350),DR351/(1-IF(B351&lt;=10,Parámetros!$D$100,0))),2))</f>
        <v>0</v>
      </c>
      <c r="DU351" s="66">
        <f t="shared" si="457"/>
        <v>0</v>
      </c>
      <c r="DV351" s="66">
        <f t="shared" si="457"/>
        <v>0</v>
      </c>
      <c r="DW351" s="66">
        <f>+IF($W351="","",ROUND((DT351*Parámetros!$G$85),2))</f>
        <v>0</v>
      </c>
      <c r="DX351" s="66">
        <f>+IF($W351="","",ROUND((DT351*(Parámetros!$G$86)),2))</f>
        <v>0</v>
      </c>
      <c r="DY351" s="66">
        <f t="shared" si="458"/>
        <v>0</v>
      </c>
      <c r="DZ351" t="str">
        <f t="shared" si="501"/>
        <v>00066</v>
      </c>
      <c r="EA351" s="118" t="str">
        <f t="shared" si="501"/>
        <v>Enfermedad terminal</v>
      </c>
      <c r="EB351" s="118">
        <f>+IF($W351="","",ROUND(IF(Parámetros!$D$25='TABLAS MORT'!$V$33,EB350,Z351/2),0))</f>
        <v>50000</v>
      </c>
      <c r="EC351" s="118" t="str">
        <f t="shared" si="501"/>
        <v>A</v>
      </c>
      <c r="ED351" s="122">
        <f>+IF(OR($W351="",EB351=0),"",ROUND((VLOOKUP(ROUNDDOWN($D351-1/frec,0),cob_adi,DO$40,FALSE)*(1+i/frec)^-0.5*(1+Parámetros!$D$103)*(1+rec_fracc)/frec),6))</f>
        <v>5.5000000000000002E-5</v>
      </c>
      <c r="EE351" s="66">
        <f t="shared" si="460"/>
        <v>2.75</v>
      </c>
      <c r="EF351" s="68">
        <f t="shared" si="461"/>
        <v>5.5000000000000002E-5</v>
      </c>
      <c r="EG351" s="66">
        <f>+IF($W351="","",ROUND(IF($B351&gt;Parámetros!$D$107,'Tablas Servicio'!EE351+('Tablas Servicio'!EG350-'Tablas Servicio'!EE350),EE351/(1-IF(B351&lt;=10,Parámetros!$D$100,0))),2))</f>
        <v>2.75</v>
      </c>
      <c r="EH351" s="66">
        <f t="shared" si="462"/>
        <v>0</v>
      </c>
      <c r="EI351" s="66">
        <f t="shared" si="462"/>
        <v>0</v>
      </c>
      <c r="EJ351" s="66">
        <f>+IF($W351="","",ROUND((EG351*Parámetros!$G$85),2))</f>
        <v>0.1</v>
      </c>
      <c r="EK351" s="66">
        <f>+IF($W351="","",ROUND((EG351*(Parámetros!$G$86)),2))</f>
        <v>0.01</v>
      </c>
      <c r="EL351" s="66">
        <f t="shared" si="463"/>
        <v>2.86</v>
      </c>
    </row>
    <row r="352" spans="1:142" x14ac:dyDescent="0.25">
      <c r="A352">
        <f>+IF($C352="","",ROUND(VLOOKUP('Tablas Servicio'!B352,Parámetros!$H$100:$J$159,IF(Parámetros!$E$16="F",2,3),FALSE),2))</f>
        <v>150</v>
      </c>
      <c r="B352">
        <f t="shared" si="414"/>
        <v>26</v>
      </c>
      <c r="C352" s="57">
        <f>+IF(D352="","",'Tablas Servicio'!C351+1)</f>
        <v>311</v>
      </c>
      <c r="D352" s="56">
        <f>+IF(D351&lt;edadmaxtabla,D351+1/Parámetros!$E$25,"")</f>
        <v>65.936666666667236</v>
      </c>
      <c r="E352" s="57">
        <f t="shared" si="424"/>
        <v>65</v>
      </c>
      <c r="F352" s="59">
        <f t="shared" si="425"/>
        <v>100000</v>
      </c>
      <c r="G352" s="66">
        <f t="shared" si="415"/>
        <v>87.05</v>
      </c>
      <c r="H352" s="66">
        <f t="shared" si="416"/>
        <v>90.53</v>
      </c>
      <c r="I352" s="66">
        <f t="shared" si="464"/>
        <v>3.4699999999999989</v>
      </c>
      <c r="J352" s="66">
        <f t="shared" si="417"/>
        <v>3.0500000000000003</v>
      </c>
      <c r="K352" s="66">
        <f t="shared" si="418"/>
        <v>0.43</v>
      </c>
      <c r="L352" s="66">
        <f t="shared" si="419"/>
        <v>0</v>
      </c>
      <c r="M352" s="66">
        <f t="shared" si="420"/>
        <v>0</v>
      </c>
      <c r="N352" s="66">
        <f>+IF(C352="","",ROUND(Parámetros!$D$23,2))</f>
        <v>94</v>
      </c>
      <c r="O352" s="66">
        <f t="shared" si="421"/>
        <v>74.55</v>
      </c>
      <c r="P352" s="66">
        <f>+IF($C352="","",ROUND(IF(B352&gt;Parámetros!$D$117,0,N352*Parámetros!$D$116-G352*Parámetros!$D$100),2))</f>
        <v>0</v>
      </c>
      <c r="Q352" s="75">
        <f t="shared" si="465"/>
        <v>3.5037334865020107E-2</v>
      </c>
      <c r="R352" s="75">
        <f t="shared" si="466"/>
        <v>4.9396898334290642E-3</v>
      </c>
      <c r="S352" s="117">
        <f>+IF($C352="","",ROUND((S351+I352)*(1+Parámetros!$D$91),2))</f>
        <v>23374.080000000002</v>
      </c>
      <c r="T352" s="117">
        <f>+IF($C352="","",ROUND(S352*VLOOKUP(B352,Parámetros!$C$30:$D$39,2,TRUE),2))</f>
        <v>23374.080000000002</v>
      </c>
      <c r="U352" s="117">
        <f>+IF($C352="","",ROUND((U351+I352)*(1+Parámetros!$D$92),2))</f>
        <v>25364.62</v>
      </c>
      <c r="V352" s="117">
        <f>+IF($C352="","",ROUND(U352*VLOOKUP(B352,Parámetros!$C$30:$D$39,2,TRUE),2))</f>
        <v>25364.62</v>
      </c>
      <c r="W352" s="57">
        <f t="shared" si="467"/>
        <v>311</v>
      </c>
      <c r="X352" t="str">
        <f t="shared" si="468"/>
        <v>00058</v>
      </c>
      <c r="Y352" t="str">
        <f t="shared" si="469"/>
        <v>MUERTE POR CUALQUIER CAUSA</v>
      </c>
      <c r="Z352" s="118">
        <f>+IF($W352="","",ROUND(IF(Parámetros!$D$25='TABLAS MORT'!$V$33,Z351,Parámetros!$D$21-'Tablas Servicio'!T351),0))</f>
        <v>100000</v>
      </c>
      <c r="AA352" s="118" t="str">
        <f t="shared" si="470"/>
        <v>P</v>
      </c>
      <c r="AB352" s="119">
        <f>+IF(W352="","",ROUND((VLOOKUP(ROUNDDOWN($D352-1/frec,0),qx_tabla,2,FALSE)*(1+i/frec)^-0.5*(1+Parámetros!$D$103)*(1+rec_fracc)/frec),6))</f>
        <v>7.18E-4</v>
      </c>
      <c r="AC352" s="66">
        <f t="shared" si="426"/>
        <v>71.8</v>
      </c>
      <c r="AD352" s="119">
        <f t="shared" si="422"/>
        <v>8.43E-4</v>
      </c>
      <c r="AE352" s="66">
        <f>+IF($W352="","",ROUND(IF($B352&gt;Parámetros!$D$107,'Tablas Servicio'!AC352+('Tablas Servicio'!AG351-'Tablas Servicio'!AC351),AC352/(1-IF(B352&lt;=10,Parámetros!$D$104,Parámetros!$D$105))),2))</f>
        <v>119.67</v>
      </c>
      <c r="AF352" s="66">
        <f>+IF($W352="","",ROUND(IF($B352&gt;Parámetros!$D$107,'Tablas Servicio'!AC352+('Tablas Servicio'!AG351-'Tablas Servicio'!AC351),(AC352+$A351/frec)/(1-IF(B352&lt;=Parámetros!$D$117,Parámetros!$D$100,0))),2))</f>
        <v>84.3</v>
      </c>
      <c r="AG352" s="66">
        <f t="shared" si="427"/>
        <v>84.3</v>
      </c>
      <c r="AH352" s="66">
        <f t="shared" si="428"/>
        <v>0</v>
      </c>
      <c r="AI352" s="66">
        <f t="shared" si="429"/>
        <v>0</v>
      </c>
      <c r="AJ352" s="66">
        <f>+IF($W352="","",ROUND((AG352*Parámetros!$G$85),2))</f>
        <v>2.95</v>
      </c>
      <c r="AK352" s="66">
        <f>+IF($W352="","",ROUND((AG352*(Parámetros!$G$86)),2))</f>
        <v>0.42</v>
      </c>
      <c r="AL352" s="66">
        <f t="shared" si="423"/>
        <v>87.67</v>
      </c>
      <c r="AM352" t="str">
        <f t="shared" si="471"/>
        <v>00059</v>
      </c>
      <c r="AN352" t="str">
        <f t="shared" si="472"/>
        <v>Incapacidad Total y Permanente</v>
      </c>
      <c r="AO352" s="118">
        <f t="shared" si="473"/>
        <v>0</v>
      </c>
      <c r="AP352" s="118" t="str">
        <f t="shared" si="474"/>
        <v>A</v>
      </c>
      <c r="AQ352" s="119" t="str">
        <f>+IF(OR($W352="",AO352=0),"",ROUND((VLOOKUP(ROUNDDOWN($D352-1/frec,0),cob_adi,Z$40,FALSE)*(1+i/frec)^-0.5*(1+Parámetros!$D$103)*(1+rec_fracc)/frec),6))</f>
        <v/>
      </c>
      <c r="AR352" s="66">
        <f t="shared" si="430"/>
        <v>0</v>
      </c>
      <c r="AS352" s="119" t="str">
        <f t="shared" si="431"/>
        <v/>
      </c>
      <c r="AT352" s="66">
        <f>+IF($W352="","",ROUND(IF($B352&gt;Parámetros!$D$107,'Tablas Servicio'!AR352+('Tablas Servicio'!AT351-'Tablas Servicio'!AR351),AR352/(1-IF(B352&lt;=10,Parámetros!$D$100,0))),2))</f>
        <v>0</v>
      </c>
      <c r="AU352" s="66">
        <f t="shared" si="432"/>
        <v>0</v>
      </c>
      <c r="AV352" s="66">
        <f t="shared" si="432"/>
        <v>0</v>
      </c>
      <c r="AW352" s="66">
        <f>+IF($W352="","",ROUND((AT352*Parámetros!$G$85),2))</f>
        <v>0</v>
      </c>
      <c r="AX352" s="66">
        <f>+IF($W352="","",ROUND((AT352*(Parámetros!$G$86)),2))</f>
        <v>0</v>
      </c>
      <c r="AY352" s="66">
        <f t="shared" si="433"/>
        <v>0</v>
      </c>
      <c r="AZ352" t="str">
        <f t="shared" si="475"/>
        <v>00060</v>
      </c>
      <c r="BA352" t="str">
        <f t="shared" si="476"/>
        <v>Muerte Accidental</v>
      </c>
      <c r="BB352" s="118">
        <f t="shared" si="477"/>
        <v>0</v>
      </c>
      <c r="BC352" s="118" t="str">
        <f t="shared" si="478"/>
        <v>A</v>
      </c>
      <c r="BD352" s="119" t="str">
        <f>+IF(OR($W352="",BB352=0),"",ROUND((VLOOKUP(ROUNDDOWN($D352-1/frec,0),cob_adi,AO$40,FALSE)*(1+i/frec)^-0.5*(1+Parámetros!$D$103)*(1+rec_fracc)/frec),6))</f>
        <v/>
      </c>
      <c r="BE352" s="66">
        <f t="shared" si="434"/>
        <v>0</v>
      </c>
      <c r="BF352" s="119" t="str">
        <f t="shared" si="435"/>
        <v/>
      </c>
      <c r="BG352" s="66">
        <f>+IF($W352="","",ROUND(IF($B352&gt;Parámetros!$D$107,'Tablas Servicio'!BE352+('Tablas Servicio'!BG351-'Tablas Servicio'!BE351),BE352/(1-IF(B352&lt;=10,Parámetros!$D$100,0))),2))</f>
        <v>0</v>
      </c>
      <c r="BH352" s="66">
        <f t="shared" si="436"/>
        <v>0</v>
      </c>
      <c r="BI352" s="66">
        <f t="shared" si="437"/>
        <v>0</v>
      </c>
      <c r="BJ352" s="66">
        <f>+IF($W352="","",ROUND((BG352*Parámetros!$G$85),2))</f>
        <v>0</v>
      </c>
      <c r="BK352" s="66">
        <f>+IF($W352="","",ROUND((BG352*(Parámetros!$G$86)),2))</f>
        <v>0</v>
      </c>
      <c r="BL352" s="66">
        <f t="shared" si="438"/>
        <v>0</v>
      </c>
      <c r="BM352" t="str">
        <f t="shared" si="479"/>
        <v>00061</v>
      </c>
      <c r="BN352" t="str">
        <f t="shared" si="480"/>
        <v>Gastos de Entierro</v>
      </c>
      <c r="BO352" s="118">
        <f t="shared" si="481"/>
        <v>0</v>
      </c>
      <c r="BP352" s="118" t="str">
        <f t="shared" si="482"/>
        <v>A</v>
      </c>
      <c r="BQ352" s="119" t="str">
        <f>+IF(OR($W352="",BO352=0),"",ROUND((VLOOKUP(ROUNDDOWN($D352-1/frec,0),cob_adi,BB$40,FALSE)*(1+i/frec)^-0.5*(1+Parámetros!$D$103)*(1+rec_fracc)/frec),6))</f>
        <v/>
      </c>
      <c r="BR352" s="66">
        <f t="shared" si="439"/>
        <v>0</v>
      </c>
      <c r="BS352" s="119" t="str">
        <f t="shared" si="440"/>
        <v/>
      </c>
      <c r="BT352" s="66">
        <f>+IF($W352="","",ROUND(IF($B352&gt;Parámetros!$D$107,'Tablas Servicio'!BR352+('Tablas Servicio'!BT351-'Tablas Servicio'!BR351),BR352/(1-IF(B352&lt;=10,Parámetros!$D$100,0))),2))</f>
        <v>0</v>
      </c>
      <c r="BU352" s="66">
        <f t="shared" si="441"/>
        <v>0</v>
      </c>
      <c r="BV352" s="66">
        <f t="shared" si="441"/>
        <v>0</v>
      </c>
      <c r="BW352" s="66">
        <f>+IF($W352="","",ROUND((BT352*Parámetros!$G$85),2))</f>
        <v>0</v>
      </c>
      <c r="BX352" s="66">
        <f>+IF($W352="","",ROUND((BT352*(Parámetros!$G$86)),2))</f>
        <v>0</v>
      </c>
      <c r="BY352" s="66">
        <f t="shared" si="442"/>
        <v>0</v>
      </c>
      <c r="BZ352" t="str">
        <f t="shared" si="483"/>
        <v>00062</v>
      </c>
      <c r="CA352" t="str">
        <f t="shared" si="484"/>
        <v>Gastos médicos por accidente</v>
      </c>
      <c r="CB352" s="118">
        <f t="shared" si="485"/>
        <v>0</v>
      </c>
      <c r="CC352" s="118" t="str">
        <f t="shared" si="486"/>
        <v>A</v>
      </c>
      <c r="CD352" s="119" t="str">
        <f t="shared" si="443"/>
        <v/>
      </c>
      <c r="CE352" s="66">
        <f>+IF($W352="","",ROUND((VLOOKUP(ROUNDDOWN($D352-1/frec,0),cob_adi,BO$40,FALSE)*(1+i/frec)^-0.5*(1+Parámetros!$D$103)*(1+rec_fracc)/frec*'TABLAS ADI'!$BC$17),2))</f>
        <v>0</v>
      </c>
      <c r="CF352" s="119" t="str">
        <f t="shared" si="444"/>
        <v/>
      </c>
      <c r="CG352" s="66">
        <f>+IF($W352="","",ROUND(IF($B352&gt;Parámetros!$D$107,'Tablas Servicio'!CE352+('Tablas Servicio'!CG351-'Tablas Servicio'!CE351),CE352/(1-IF(B352&lt;=10,Parámetros!$D$100,0))),2))</f>
        <v>0</v>
      </c>
      <c r="CH352" s="66">
        <f t="shared" si="445"/>
        <v>0</v>
      </c>
      <c r="CI352" s="66">
        <f t="shared" si="445"/>
        <v>0</v>
      </c>
      <c r="CJ352" s="66">
        <f>+IF($W352="","",ROUND((CG352*Parámetros!$G$85),2))</f>
        <v>0</v>
      </c>
      <c r="CK352" s="66">
        <f>+IF($W352="","",ROUND((CG352*(Parámetros!$G$86)),2))</f>
        <v>0</v>
      </c>
      <c r="CL352" s="66">
        <f t="shared" si="446"/>
        <v>0</v>
      </c>
      <c r="CM352" t="str">
        <f t="shared" si="487"/>
        <v>00063</v>
      </c>
      <c r="CN352" s="118" t="str">
        <f t="shared" si="488"/>
        <v>Renta Diaria por Hospitalización</v>
      </c>
      <c r="CO352" s="118">
        <f t="shared" si="489"/>
        <v>0</v>
      </c>
      <c r="CP352" s="118" t="str">
        <f t="shared" si="490"/>
        <v>A</v>
      </c>
      <c r="CQ352" s="119" t="str">
        <f t="shared" si="447"/>
        <v/>
      </c>
      <c r="CR352" s="66">
        <f>+IF($W352="","",ROUND((VLOOKUP(Parámetros!$F$51,'COBERTURAS ADICIONALES'!$S$4:$T$32,2,FALSE)*(1+i/frec)^-0.5*(1+Parámetros!$D$103)*(1+rec_fracc)/frec*$CO$42),2))</f>
        <v>0</v>
      </c>
      <c r="CS352" s="119" t="str">
        <f t="shared" si="448"/>
        <v/>
      </c>
      <c r="CT352" s="66">
        <f>+IF($W352="","",ROUND(IF($B352&gt;Parámetros!$D$107,'Tablas Servicio'!CR352+('Tablas Servicio'!CT351-'Tablas Servicio'!CR351),CR352/(1-IF(B352&lt;=10,Parámetros!$D$100,0))),2))</f>
        <v>0</v>
      </c>
      <c r="CU352" s="66">
        <f t="shared" si="449"/>
        <v>0</v>
      </c>
      <c r="CV352" s="66">
        <f t="shared" si="449"/>
        <v>0</v>
      </c>
      <c r="CW352" s="66">
        <f>+IF($W352="","",ROUND((CT352*Parámetros!$G$85),2))</f>
        <v>0</v>
      </c>
      <c r="CX352" s="66">
        <f>+IF($W352="","",ROUND((CT352*(Parámetros!$G$86)),2))</f>
        <v>0</v>
      </c>
      <c r="CY352" s="66">
        <f t="shared" si="450"/>
        <v>0</v>
      </c>
      <c r="CZ352" t="str">
        <f t="shared" si="491"/>
        <v>00064</v>
      </c>
      <c r="DA352" s="118" t="str">
        <f t="shared" si="492"/>
        <v>Enfermedades Graves</v>
      </c>
      <c r="DB352" s="118">
        <f t="shared" si="493"/>
        <v>0</v>
      </c>
      <c r="DC352" s="118" t="str">
        <f t="shared" si="494"/>
        <v>A</v>
      </c>
      <c r="DD352" s="121" t="str">
        <f>+IF(OR($W352="",DB352=0),"",ROUND((VLOOKUP(ROUNDDOWN($D352-1/frec,0),cob_adi,CO$40,FALSE)*(1+i/frec)^-0.5*(1+Parámetros!$D$103)*(1+rec_fracc)/frec),6))</f>
        <v/>
      </c>
      <c r="DE352" s="66">
        <f t="shared" si="451"/>
        <v>0</v>
      </c>
      <c r="DF352" s="119" t="str">
        <f t="shared" si="452"/>
        <v/>
      </c>
      <c r="DG352" s="66">
        <f>+IF($W352="","",ROUND(IF($B352&gt;Parámetros!$D$107,'Tablas Servicio'!DE352+('Tablas Servicio'!DG351-'Tablas Servicio'!DE351),DE352/(1-IF(B352&lt;=10,Parámetros!$D$100,0))),2))</f>
        <v>0</v>
      </c>
      <c r="DH352" s="66">
        <f t="shared" si="453"/>
        <v>0</v>
      </c>
      <c r="DI352" s="66">
        <f t="shared" si="453"/>
        <v>0</v>
      </c>
      <c r="DJ352" s="66">
        <f>+IF($W352="","",ROUND((DG352*Parámetros!$G$85),2))</f>
        <v>0</v>
      </c>
      <c r="DK352" s="66">
        <f>+IF($W352="","",ROUND((DG352*(Parámetros!$G$86)),2))</f>
        <v>0</v>
      </c>
      <c r="DL352" s="66">
        <f t="shared" si="454"/>
        <v>0</v>
      </c>
      <c r="DM352" t="str">
        <f t="shared" si="495"/>
        <v>00065</v>
      </c>
      <c r="DN352" s="118" t="str">
        <f t="shared" si="496"/>
        <v>Exención pago de primas</v>
      </c>
      <c r="DO352" s="118">
        <f t="shared" si="497"/>
        <v>0</v>
      </c>
      <c r="DP352" s="118" t="str">
        <f t="shared" si="498"/>
        <v>A</v>
      </c>
      <c r="DQ352" s="122" t="str">
        <f>+IF(OR($W352="",DO352=0),"",ROUND((VLOOKUP(ROUNDDOWN($D352-1/frec,0),cob_adi,DB$40,FALSE)*(1+i/frec)^-0.5*(1+Parámetros!$D$103)*(1+rec_fracc)/frec),6))</f>
        <v/>
      </c>
      <c r="DR352" s="66">
        <f t="shared" si="455"/>
        <v>0</v>
      </c>
      <c r="DS352" s="68" t="str">
        <f t="shared" si="456"/>
        <v/>
      </c>
      <c r="DT352" s="66">
        <f>+IF($W352="","",ROUND(IF($B352&gt;Parámetros!$D$107,'Tablas Servicio'!DR352+('Tablas Servicio'!DT351-'Tablas Servicio'!DR351),DR352/(1-IF(B352&lt;=10,Parámetros!$D$100,0))),2))</f>
        <v>0</v>
      </c>
      <c r="DU352" s="66">
        <f t="shared" si="457"/>
        <v>0</v>
      </c>
      <c r="DV352" s="66">
        <f t="shared" si="457"/>
        <v>0</v>
      </c>
      <c r="DW352" s="66">
        <f>+IF($W352="","",ROUND((DT352*Parámetros!$G$85),2))</f>
        <v>0</v>
      </c>
      <c r="DX352" s="66">
        <f>+IF($W352="","",ROUND((DT352*(Parámetros!$G$86)),2))</f>
        <v>0</v>
      </c>
      <c r="DY352" s="66">
        <f t="shared" si="458"/>
        <v>0</v>
      </c>
      <c r="DZ352" t="str">
        <f t="shared" si="501"/>
        <v>00066</v>
      </c>
      <c r="EA352" s="118" t="str">
        <f t="shared" si="501"/>
        <v>Enfermedad terminal</v>
      </c>
      <c r="EB352" s="118">
        <f>+IF($W352="","",ROUND(IF(Parámetros!$D$25='TABLAS MORT'!$V$33,EB351,Z352/2),0))</f>
        <v>50000</v>
      </c>
      <c r="EC352" s="118" t="str">
        <f t="shared" si="501"/>
        <v>A</v>
      </c>
      <c r="ED352" s="122">
        <f>+IF(OR($W352="",EB352=0),"",ROUND((VLOOKUP(ROUNDDOWN($D352-1/frec,0),cob_adi,DO$40,FALSE)*(1+i/frec)^-0.5*(1+Parámetros!$D$103)*(1+rec_fracc)/frec),6))</f>
        <v>5.5000000000000002E-5</v>
      </c>
      <c r="EE352" s="66">
        <f t="shared" si="460"/>
        <v>2.75</v>
      </c>
      <c r="EF352" s="68">
        <f t="shared" si="461"/>
        <v>5.5000000000000002E-5</v>
      </c>
      <c r="EG352" s="66">
        <f>+IF($W352="","",ROUND(IF($B352&gt;Parámetros!$D$107,'Tablas Servicio'!EE352+('Tablas Servicio'!EG351-'Tablas Servicio'!EE351),EE352/(1-IF(B352&lt;=10,Parámetros!$D$100,0))),2))</f>
        <v>2.75</v>
      </c>
      <c r="EH352" s="66">
        <f t="shared" si="462"/>
        <v>0</v>
      </c>
      <c r="EI352" s="66">
        <f t="shared" si="462"/>
        <v>0</v>
      </c>
      <c r="EJ352" s="66">
        <f>+IF($W352="","",ROUND((EG352*Parámetros!$G$85),2))</f>
        <v>0.1</v>
      </c>
      <c r="EK352" s="66">
        <f>+IF($W352="","",ROUND((EG352*(Parámetros!$G$86)),2))</f>
        <v>0.01</v>
      </c>
      <c r="EL352" s="66">
        <f t="shared" si="463"/>
        <v>2.86</v>
      </c>
    </row>
    <row r="353" spans="1:142" x14ac:dyDescent="0.25">
      <c r="A353">
        <f>+IF($C353="","",ROUND(VLOOKUP('Tablas Servicio'!B353,Parámetros!$H$100:$J$159,IF(Parámetros!$E$16="F",2,3),FALSE),2))</f>
        <v>150</v>
      </c>
      <c r="B353">
        <f t="shared" si="414"/>
        <v>26</v>
      </c>
      <c r="C353" s="57">
        <f>+IF(D353="","",'Tablas Servicio'!C352+1)</f>
        <v>312</v>
      </c>
      <c r="D353" s="56">
        <f>+IF(D352&lt;edadmaxtabla,D352+1/Parámetros!$E$25,"")</f>
        <v>66.020000000000564</v>
      </c>
      <c r="E353" s="57">
        <f t="shared" si="424"/>
        <v>66</v>
      </c>
      <c r="F353" s="59">
        <f t="shared" si="425"/>
        <v>100000</v>
      </c>
      <c r="G353" s="66">
        <f t="shared" si="415"/>
        <v>87.05</v>
      </c>
      <c r="H353" s="66">
        <f t="shared" si="416"/>
        <v>90.53</v>
      </c>
      <c r="I353" s="66">
        <f t="shared" si="464"/>
        <v>3.4699999999999989</v>
      </c>
      <c r="J353" s="66">
        <f t="shared" si="417"/>
        <v>3.0500000000000003</v>
      </c>
      <c r="K353" s="66">
        <f t="shared" si="418"/>
        <v>0.43</v>
      </c>
      <c r="L353" s="66">
        <f t="shared" si="419"/>
        <v>0</v>
      </c>
      <c r="M353" s="66">
        <f t="shared" si="420"/>
        <v>0</v>
      </c>
      <c r="N353" s="66">
        <f>+IF(C353="","",ROUND(Parámetros!$D$23,2))</f>
        <v>94</v>
      </c>
      <c r="O353" s="66">
        <f t="shared" si="421"/>
        <v>74.55</v>
      </c>
      <c r="P353" s="66">
        <f>+IF($C353="","",ROUND(IF(B353&gt;Parámetros!$D$117,0,N353*Parámetros!$D$116-G353*Parámetros!$D$100),2))</f>
        <v>0</v>
      </c>
      <c r="Q353" s="75">
        <f t="shared" si="465"/>
        <v>3.5037334865020107E-2</v>
      </c>
      <c r="R353" s="75">
        <f t="shared" si="466"/>
        <v>4.9396898334290642E-3</v>
      </c>
      <c r="S353" s="117">
        <f>+IF($C353="","",ROUND((S352+I353)*(1+Parámetros!$D$91),2))</f>
        <v>23443.86</v>
      </c>
      <c r="T353" s="117">
        <f>+IF($C353="","",ROUND(S353*VLOOKUP(B353,Parámetros!$C$30:$D$39,2,TRUE),2))</f>
        <v>23443.86</v>
      </c>
      <c r="U353" s="117">
        <f>+IF($C353="","",ROUND((U352+I353)*(1+Parámetros!$D$92),2))</f>
        <v>25450.32</v>
      </c>
      <c r="V353" s="117">
        <f>+IF($C353="","",ROUND(U353*VLOOKUP(B353,Parámetros!$C$30:$D$39,2,TRUE),2))</f>
        <v>25450.32</v>
      </c>
      <c r="W353" s="57">
        <f t="shared" si="467"/>
        <v>312</v>
      </c>
      <c r="X353" t="str">
        <f t="shared" si="468"/>
        <v>00058</v>
      </c>
      <c r="Y353" t="str">
        <f t="shared" si="469"/>
        <v>MUERTE POR CUALQUIER CAUSA</v>
      </c>
      <c r="Z353" s="118">
        <f>+IF($W353="","",ROUND(IF(Parámetros!$D$25='TABLAS MORT'!$V$33,Z352,Parámetros!$D$21-'Tablas Servicio'!T352),0))</f>
        <v>100000</v>
      </c>
      <c r="AA353" s="118" t="str">
        <f t="shared" si="470"/>
        <v>P</v>
      </c>
      <c r="AB353" s="119">
        <f>+IF(W353="","",ROUND((VLOOKUP(ROUNDDOWN($D353-1/frec,0),qx_tabla,2,FALSE)*(1+i/frec)^-0.5*(1+Parámetros!$D$103)*(1+rec_fracc)/frec),6))</f>
        <v>7.18E-4</v>
      </c>
      <c r="AC353" s="66">
        <f t="shared" si="426"/>
        <v>71.8</v>
      </c>
      <c r="AD353" s="119">
        <f t="shared" si="422"/>
        <v>8.43E-4</v>
      </c>
      <c r="AE353" s="66">
        <f>+IF($W353="","",ROUND(IF($B353&gt;Parámetros!$D$107,'Tablas Servicio'!AC353+('Tablas Servicio'!AG352-'Tablas Servicio'!AC352),AC353/(1-IF(B353&lt;=10,Parámetros!$D$104,Parámetros!$D$105))),2))</f>
        <v>119.67</v>
      </c>
      <c r="AF353" s="66">
        <f>+IF($W353="","",ROUND(IF($B353&gt;Parámetros!$D$107,'Tablas Servicio'!AC353+('Tablas Servicio'!AG352-'Tablas Servicio'!AC352),(AC353+$A352/frec)/(1-IF(B353&lt;=Parámetros!$D$117,Parámetros!$D$100,0))),2))</f>
        <v>84.3</v>
      </c>
      <c r="AG353" s="66">
        <f t="shared" si="427"/>
        <v>84.3</v>
      </c>
      <c r="AH353" s="66">
        <f t="shared" si="428"/>
        <v>0</v>
      </c>
      <c r="AI353" s="66">
        <f t="shared" si="429"/>
        <v>0</v>
      </c>
      <c r="AJ353" s="66">
        <f>+IF($W353="","",ROUND((AG353*Parámetros!$G$85),2))</f>
        <v>2.95</v>
      </c>
      <c r="AK353" s="66">
        <f>+IF($W353="","",ROUND((AG353*(Parámetros!$G$86)),2))</f>
        <v>0.42</v>
      </c>
      <c r="AL353" s="66">
        <f t="shared" si="423"/>
        <v>87.67</v>
      </c>
      <c r="AM353" t="str">
        <f t="shared" si="471"/>
        <v>00059</v>
      </c>
      <c r="AN353" t="str">
        <f t="shared" si="472"/>
        <v>Incapacidad Total y Permanente</v>
      </c>
      <c r="AO353" s="118">
        <f t="shared" si="473"/>
        <v>0</v>
      </c>
      <c r="AP353" s="118" t="str">
        <f t="shared" si="474"/>
        <v>A</v>
      </c>
      <c r="AQ353" s="119" t="str">
        <f>+IF(OR($W353="",AO353=0),"",ROUND((VLOOKUP(ROUNDDOWN($D353-1/frec,0),cob_adi,Z$40,FALSE)*(1+i/frec)^-0.5*(1+Parámetros!$D$103)*(1+rec_fracc)/frec),6))</f>
        <v/>
      </c>
      <c r="AR353" s="66">
        <f t="shared" si="430"/>
        <v>0</v>
      </c>
      <c r="AS353" s="119" t="str">
        <f t="shared" si="431"/>
        <v/>
      </c>
      <c r="AT353" s="66">
        <f>+IF($W353="","",ROUND(IF($B353&gt;Parámetros!$D$107,'Tablas Servicio'!AR353+('Tablas Servicio'!AT352-'Tablas Servicio'!AR352),AR353/(1-IF(B353&lt;=10,Parámetros!$D$100,0))),2))</f>
        <v>0</v>
      </c>
      <c r="AU353" s="66">
        <f t="shared" si="432"/>
        <v>0</v>
      </c>
      <c r="AV353" s="66">
        <f t="shared" si="432"/>
        <v>0</v>
      </c>
      <c r="AW353" s="66">
        <f>+IF($W353="","",ROUND((AT353*Parámetros!$G$85),2))</f>
        <v>0</v>
      </c>
      <c r="AX353" s="66">
        <f>+IF($W353="","",ROUND((AT353*(Parámetros!$G$86)),2))</f>
        <v>0</v>
      </c>
      <c r="AY353" s="66">
        <f t="shared" si="433"/>
        <v>0</v>
      </c>
      <c r="AZ353" t="str">
        <f t="shared" si="475"/>
        <v>00060</v>
      </c>
      <c r="BA353" t="str">
        <f t="shared" si="476"/>
        <v>Muerte Accidental</v>
      </c>
      <c r="BB353" s="118">
        <f t="shared" si="477"/>
        <v>0</v>
      </c>
      <c r="BC353" s="118" t="str">
        <f t="shared" si="478"/>
        <v>A</v>
      </c>
      <c r="BD353" s="119" t="str">
        <f>+IF(OR($W353="",BB353=0),"",ROUND((VLOOKUP(ROUNDDOWN($D353-1/frec,0),cob_adi,AO$40,FALSE)*(1+i/frec)^-0.5*(1+Parámetros!$D$103)*(1+rec_fracc)/frec),6))</f>
        <v/>
      </c>
      <c r="BE353" s="66">
        <f t="shared" si="434"/>
        <v>0</v>
      </c>
      <c r="BF353" s="119" t="str">
        <f t="shared" si="435"/>
        <v/>
      </c>
      <c r="BG353" s="66">
        <f>+IF($W353="","",ROUND(IF($B353&gt;Parámetros!$D$107,'Tablas Servicio'!BE353+('Tablas Servicio'!BG352-'Tablas Servicio'!BE352),BE353/(1-IF(B353&lt;=10,Parámetros!$D$100,0))),2))</f>
        <v>0</v>
      </c>
      <c r="BH353" s="66">
        <f t="shared" si="436"/>
        <v>0</v>
      </c>
      <c r="BI353" s="66">
        <f t="shared" si="437"/>
        <v>0</v>
      </c>
      <c r="BJ353" s="66">
        <f>+IF($W353="","",ROUND((BG353*Parámetros!$G$85),2))</f>
        <v>0</v>
      </c>
      <c r="BK353" s="66">
        <f>+IF($W353="","",ROUND((BG353*(Parámetros!$G$86)),2))</f>
        <v>0</v>
      </c>
      <c r="BL353" s="66">
        <f t="shared" si="438"/>
        <v>0</v>
      </c>
      <c r="BM353" t="str">
        <f t="shared" si="479"/>
        <v>00061</v>
      </c>
      <c r="BN353" t="str">
        <f t="shared" si="480"/>
        <v>Gastos de Entierro</v>
      </c>
      <c r="BO353" s="118">
        <f t="shared" si="481"/>
        <v>0</v>
      </c>
      <c r="BP353" s="118" t="str">
        <f t="shared" si="482"/>
        <v>A</v>
      </c>
      <c r="BQ353" s="119" t="str">
        <f>+IF(OR($W353="",BO353=0),"",ROUND((VLOOKUP(ROUNDDOWN($D353-1/frec,0),cob_adi,BB$40,FALSE)*(1+i/frec)^-0.5*(1+Parámetros!$D$103)*(1+rec_fracc)/frec),6))</f>
        <v/>
      </c>
      <c r="BR353" s="66">
        <f t="shared" si="439"/>
        <v>0</v>
      </c>
      <c r="BS353" s="119" t="str">
        <f t="shared" si="440"/>
        <v/>
      </c>
      <c r="BT353" s="66">
        <f>+IF($W353="","",ROUND(IF($B353&gt;Parámetros!$D$107,'Tablas Servicio'!BR353+('Tablas Servicio'!BT352-'Tablas Servicio'!BR352),BR353/(1-IF(B353&lt;=10,Parámetros!$D$100,0))),2))</f>
        <v>0</v>
      </c>
      <c r="BU353" s="66">
        <f t="shared" si="441"/>
        <v>0</v>
      </c>
      <c r="BV353" s="66">
        <f t="shared" si="441"/>
        <v>0</v>
      </c>
      <c r="BW353" s="66">
        <f>+IF($W353="","",ROUND((BT353*Parámetros!$G$85),2))</f>
        <v>0</v>
      </c>
      <c r="BX353" s="66">
        <f>+IF($W353="","",ROUND((BT353*(Parámetros!$G$86)),2))</f>
        <v>0</v>
      </c>
      <c r="BY353" s="66">
        <f t="shared" si="442"/>
        <v>0</v>
      </c>
      <c r="BZ353" t="str">
        <f t="shared" si="483"/>
        <v>00062</v>
      </c>
      <c r="CA353" t="str">
        <f t="shared" si="484"/>
        <v>Gastos médicos por accidente</v>
      </c>
      <c r="CB353" s="118">
        <f t="shared" si="485"/>
        <v>0</v>
      </c>
      <c r="CC353" s="118" t="str">
        <f t="shared" si="486"/>
        <v>A</v>
      </c>
      <c r="CD353" s="119" t="str">
        <f t="shared" si="443"/>
        <v/>
      </c>
      <c r="CE353" s="66">
        <f>+IF($W353="","",ROUND((VLOOKUP(ROUNDDOWN($D353-1/frec,0),cob_adi,BO$40,FALSE)*(1+i/frec)^-0.5*(1+Parámetros!$D$103)*(1+rec_fracc)/frec*'TABLAS ADI'!$BC$17),2))</f>
        <v>0</v>
      </c>
      <c r="CF353" s="119" t="str">
        <f t="shared" si="444"/>
        <v/>
      </c>
      <c r="CG353" s="66">
        <f>+IF($W353="","",ROUND(IF($B353&gt;Parámetros!$D$107,'Tablas Servicio'!CE353+('Tablas Servicio'!CG352-'Tablas Servicio'!CE352),CE353/(1-IF(B353&lt;=10,Parámetros!$D$100,0))),2))</f>
        <v>0</v>
      </c>
      <c r="CH353" s="66">
        <f t="shared" si="445"/>
        <v>0</v>
      </c>
      <c r="CI353" s="66">
        <f t="shared" si="445"/>
        <v>0</v>
      </c>
      <c r="CJ353" s="66">
        <f>+IF($W353="","",ROUND((CG353*Parámetros!$G$85),2))</f>
        <v>0</v>
      </c>
      <c r="CK353" s="66">
        <f>+IF($W353="","",ROUND((CG353*(Parámetros!$G$86)),2))</f>
        <v>0</v>
      </c>
      <c r="CL353" s="66">
        <f t="shared" si="446"/>
        <v>0</v>
      </c>
      <c r="CM353" t="str">
        <f t="shared" si="487"/>
        <v>00063</v>
      </c>
      <c r="CN353" s="118" t="str">
        <f t="shared" si="488"/>
        <v>Renta Diaria por Hospitalización</v>
      </c>
      <c r="CO353" s="118">
        <f t="shared" si="489"/>
        <v>0</v>
      </c>
      <c r="CP353" s="118" t="str">
        <f t="shared" si="490"/>
        <v>A</v>
      </c>
      <c r="CQ353" s="119" t="str">
        <f t="shared" si="447"/>
        <v/>
      </c>
      <c r="CR353" s="66">
        <f>+IF($W353="","",ROUND((VLOOKUP(Parámetros!$F$51,'COBERTURAS ADICIONALES'!$S$4:$T$32,2,FALSE)*(1+i/frec)^-0.5*(1+Parámetros!$D$103)*(1+rec_fracc)/frec*$CO$42),2))</f>
        <v>0</v>
      </c>
      <c r="CS353" s="119" t="str">
        <f t="shared" si="448"/>
        <v/>
      </c>
      <c r="CT353" s="66">
        <f>+IF($W353="","",ROUND(IF($B353&gt;Parámetros!$D$107,'Tablas Servicio'!CR353+('Tablas Servicio'!CT352-'Tablas Servicio'!CR352),CR353/(1-IF(B353&lt;=10,Parámetros!$D$100,0))),2))</f>
        <v>0</v>
      </c>
      <c r="CU353" s="66">
        <f t="shared" si="449"/>
        <v>0</v>
      </c>
      <c r="CV353" s="66">
        <f t="shared" si="449"/>
        <v>0</v>
      </c>
      <c r="CW353" s="66">
        <f>+IF($W353="","",ROUND((CT353*Parámetros!$G$85),2))</f>
        <v>0</v>
      </c>
      <c r="CX353" s="66">
        <f>+IF($W353="","",ROUND((CT353*(Parámetros!$G$86)),2))</f>
        <v>0</v>
      </c>
      <c r="CY353" s="66">
        <f t="shared" si="450"/>
        <v>0</v>
      </c>
      <c r="CZ353" t="str">
        <f t="shared" si="491"/>
        <v>00064</v>
      </c>
      <c r="DA353" s="118" t="str">
        <f t="shared" si="492"/>
        <v>Enfermedades Graves</v>
      </c>
      <c r="DB353" s="118">
        <f t="shared" si="493"/>
        <v>0</v>
      </c>
      <c r="DC353" s="118" t="str">
        <f t="shared" si="494"/>
        <v>A</v>
      </c>
      <c r="DD353" s="121" t="str">
        <f>+IF(OR($W353="",DB353=0),"",ROUND((VLOOKUP(ROUNDDOWN($D353-1/frec,0),cob_adi,CO$40,FALSE)*(1+i/frec)^-0.5*(1+Parámetros!$D$103)*(1+rec_fracc)/frec),6))</f>
        <v/>
      </c>
      <c r="DE353" s="66">
        <f t="shared" si="451"/>
        <v>0</v>
      </c>
      <c r="DF353" s="119" t="str">
        <f t="shared" si="452"/>
        <v/>
      </c>
      <c r="DG353" s="66">
        <f>+IF($W353="","",ROUND(IF($B353&gt;Parámetros!$D$107,'Tablas Servicio'!DE353+('Tablas Servicio'!DG352-'Tablas Servicio'!DE352),DE353/(1-IF(B353&lt;=10,Parámetros!$D$100,0))),2))</f>
        <v>0</v>
      </c>
      <c r="DH353" s="66">
        <f t="shared" si="453"/>
        <v>0</v>
      </c>
      <c r="DI353" s="66">
        <f t="shared" si="453"/>
        <v>0</v>
      </c>
      <c r="DJ353" s="66">
        <f>+IF($W353="","",ROUND((DG353*Parámetros!$G$85),2))</f>
        <v>0</v>
      </c>
      <c r="DK353" s="66">
        <f>+IF($W353="","",ROUND((DG353*(Parámetros!$G$86)),2))</f>
        <v>0</v>
      </c>
      <c r="DL353" s="66">
        <f t="shared" si="454"/>
        <v>0</v>
      </c>
      <c r="DM353" t="str">
        <f t="shared" si="495"/>
        <v>00065</v>
      </c>
      <c r="DN353" s="118" t="str">
        <f t="shared" si="496"/>
        <v>Exención pago de primas</v>
      </c>
      <c r="DO353" s="118">
        <f t="shared" si="497"/>
        <v>0</v>
      </c>
      <c r="DP353" s="118" t="str">
        <f t="shared" si="498"/>
        <v>A</v>
      </c>
      <c r="DQ353" s="122" t="str">
        <f>+IF(OR($W353="",DO353=0),"",ROUND((VLOOKUP(ROUNDDOWN($D353-1/frec,0),cob_adi,DB$40,FALSE)*(1+i/frec)^-0.5*(1+Parámetros!$D$103)*(1+rec_fracc)/frec),6))</f>
        <v/>
      </c>
      <c r="DR353" s="66">
        <f t="shared" si="455"/>
        <v>0</v>
      </c>
      <c r="DS353" s="68" t="str">
        <f t="shared" si="456"/>
        <v/>
      </c>
      <c r="DT353" s="66">
        <f>+IF($W353="","",ROUND(IF($B353&gt;Parámetros!$D$107,'Tablas Servicio'!DR353+('Tablas Servicio'!DT352-'Tablas Servicio'!DR352),DR353/(1-IF(B353&lt;=10,Parámetros!$D$100,0))),2))</f>
        <v>0</v>
      </c>
      <c r="DU353" s="66">
        <f t="shared" si="457"/>
        <v>0</v>
      </c>
      <c r="DV353" s="66">
        <f t="shared" si="457"/>
        <v>0</v>
      </c>
      <c r="DW353" s="66">
        <f>+IF($W353="","",ROUND((DT353*Parámetros!$G$85),2))</f>
        <v>0</v>
      </c>
      <c r="DX353" s="66">
        <f>+IF($W353="","",ROUND((DT353*(Parámetros!$G$86)),2))</f>
        <v>0</v>
      </c>
      <c r="DY353" s="66">
        <f t="shared" si="458"/>
        <v>0</v>
      </c>
      <c r="DZ353" t="str">
        <f t="shared" si="501"/>
        <v>00066</v>
      </c>
      <c r="EA353" s="118" t="str">
        <f t="shared" si="501"/>
        <v>Enfermedad terminal</v>
      </c>
      <c r="EB353" s="118">
        <f>+IF($W353="","",ROUND(IF(Parámetros!$D$25='TABLAS MORT'!$V$33,EB352,Z353/2),0))</f>
        <v>50000</v>
      </c>
      <c r="EC353" s="118" t="str">
        <f t="shared" si="501"/>
        <v>A</v>
      </c>
      <c r="ED353" s="122">
        <f>+IF(OR($W353="",EB353=0),"",ROUND((VLOOKUP(ROUNDDOWN($D353-1/frec,0),cob_adi,DO$40,FALSE)*(1+i/frec)^-0.5*(1+Parámetros!$D$103)*(1+rec_fracc)/frec),6))</f>
        <v>5.5000000000000002E-5</v>
      </c>
      <c r="EE353" s="66">
        <f t="shared" si="460"/>
        <v>2.75</v>
      </c>
      <c r="EF353" s="68">
        <f t="shared" si="461"/>
        <v>5.5000000000000002E-5</v>
      </c>
      <c r="EG353" s="66">
        <f>+IF($W353="","",ROUND(IF($B353&gt;Parámetros!$D$107,'Tablas Servicio'!EE353+('Tablas Servicio'!EG352-'Tablas Servicio'!EE352),EE353/(1-IF(B353&lt;=10,Parámetros!$D$100,0))),2))</f>
        <v>2.75</v>
      </c>
      <c r="EH353" s="66">
        <f t="shared" si="462"/>
        <v>0</v>
      </c>
      <c r="EI353" s="66">
        <f t="shared" si="462"/>
        <v>0</v>
      </c>
      <c r="EJ353" s="66">
        <f>+IF($W353="","",ROUND((EG353*Parámetros!$G$85),2))</f>
        <v>0.1</v>
      </c>
      <c r="EK353" s="66">
        <f>+IF($W353="","",ROUND((EG353*(Parámetros!$G$86)),2))</f>
        <v>0.01</v>
      </c>
      <c r="EL353" s="66">
        <f t="shared" si="463"/>
        <v>2.86</v>
      </c>
    </row>
    <row r="354" spans="1:142" x14ac:dyDescent="0.25">
      <c r="A354">
        <f>+IF($C354="","",ROUND(VLOOKUP('Tablas Servicio'!B354,Parámetros!$H$100:$J$159,IF(Parámetros!$E$16="F",2,3),FALSE),2))</f>
        <v>150</v>
      </c>
      <c r="B354">
        <f t="shared" si="414"/>
        <v>27</v>
      </c>
      <c r="C354" s="57">
        <f>+IF(D354="","",'Tablas Servicio'!C353+1)</f>
        <v>313</v>
      </c>
      <c r="D354" s="56">
        <f>+IF(D353&lt;edadmaxtabla,D353+1/Parámetros!$E$25,"")</f>
        <v>66.103333333333893</v>
      </c>
      <c r="E354" s="57">
        <f t="shared" si="424"/>
        <v>66</v>
      </c>
      <c r="F354" s="59">
        <f t="shared" si="425"/>
        <v>100000</v>
      </c>
      <c r="G354" s="66">
        <f t="shared" si="415"/>
        <v>94.65</v>
      </c>
      <c r="H354" s="66">
        <f t="shared" si="416"/>
        <v>98.44</v>
      </c>
      <c r="I354" s="66">
        <f t="shared" si="464"/>
        <v>-4.4399999999999977</v>
      </c>
      <c r="J354" s="66">
        <f t="shared" si="417"/>
        <v>3.3200000000000003</v>
      </c>
      <c r="K354" s="66">
        <f t="shared" si="418"/>
        <v>0.47000000000000003</v>
      </c>
      <c r="L354" s="66">
        <f t="shared" si="419"/>
        <v>0</v>
      </c>
      <c r="M354" s="66">
        <f t="shared" si="420"/>
        <v>0</v>
      </c>
      <c r="N354" s="66">
        <f>+IF(C354="","",ROUND(Parámetros!$D$23,2))</f>
        <v>94</v>
      </c>
      <c r="O354" s="66">
        <f t="shared" si="421"/>
        <v>82.15</v>
      </c>
      <c r="P354" s="66">
        <f>+IF($C354="","",ROUND(IF(B354&gt;Parámetros!$D$117,0,N354*Parámetros!$D$116-G354*Parámetros!$D$100),2))</f>
        <v>0</v>
      </c>
      <c r="Q354" s="75">
        <f t="shared" si="465"/>
        <v>3.5076597992604333E-2</v>
      </c>
      <c r="R354" s="75">
        <f t="shared" si="466"/>
        <v>4.9656629688325411E-3</v>
      </c>
      <c r="S354" s="117">
        <f>+IF($C354="","",ROUND((S353+I354)*(1+Parámetros!$D$91),2))</f>
        <v>23505.9</v>
      </c>
      <c r="T354" s="117">
        <f>+IF($C354="","",ROUND(S354*VLOOKUP(B354,Parámetros!$C$30:$D$39,2,TRUE),2))</f>
        <v>23505.9</v>
      </c>
      <c r="U354" s="117">
        <f>+IF($C354="","",ROUND((U353+I354)*(1+Parámetros!$D$92),2))</f>
        <v>25528.37</v>
      </c>
      <c r="V354" s="117">
        <f>+IF($C354="","",ROUND(U354*VLOOKUP(B354,Parámetros!$C$30:$D$39,2,TRUE),2))</f>
        <v>25528.37</v>
      </c>
      <c r="W354" s="57">
        <f t="shared" si="467"/>
        <v>313</v>
      </c>
      <c r="X354" t="str">
        <f t="shared" si="468"/>
        <v>00058</v>
      </c>
      <c r="Y354" t="str">
        <f t="shared" si="469"/>
        <v>MUERTE POR CUALQUIER CAUSA</v>
      </c>
      <c r="Z354" s="118">
        <f>+IF($W354="","",ROUND(IF(Parámetros!$D$25='TABLAS MORT'!$V$33,Z353,Parámetros!$D$21-'Tablas Servicio'!T353),0))</f>
        <v>100000</v>
      </c>
      <c r="AA354" s="118" t="str">
        <f t="shared" si="470"/>
        <v>P</v>
      </c>
      <c r="AB354" s="119">
        <f>+IF(W354="","",ROUND((VLOOKUP(ROUNDDOWN($D354-1/frec,0),qx_tabla,2,FALSE)*(1+i/frec)^-0.5*(1+Parámetros!$D$103)*(1+rec_fracc)/frec),6))</f>
        <v>7.94E-4</v>
      </c>
      <c r="AC354" s="66">
        <f t="shared" si="426"/>
        <v>79.400000000000006</v>
      </c>
      <c r="AD354" s="119">
        <f t="shared" si="422"/>
        <v>9.19E-4</v>
      </c>
      <c r="AE354" s="66">
        <f>+IF($W354="","",ROUND(IF($B354&gt;Parámetros!$D$107,'Tablas Servicio'!AC354+('Tablas Servicio'!AG353-'Tablas Servicio'!AC353),AC354/(1-IF(B354&lt;=10,Parámetros!$D$104,Parámetros!$D$105))),2))</f>
        <v>132.33000000000001</v>
      </c>
      <c r="AF354" s="66">
        <f>+IF($W354="","",ROUND(IF($B354&gt;Parámetros!$D$107,'Tablas Servicio'!AC354+('Tablas Servicio'!AG353-'Tablas Servicio'!AC353),(AC354+$A353/frec)/(1-IF(B354&lt;=Parámetros!$D$117,Parámetros!$D$100,0))),2))</f>
        <v>91.9</v>
      </c>
      <c r="AG354" s="66">
        <f t="shared" si="427"/>
        <v>91.9</v>
      </c>
      <c r="AH354" s="66">
        <f t="shared" si="428"/>
        <v>0</v>
      </c>
      <c r="AI354" s="66">
        <f t="shared" si="429"/>
        <v>0</v>
      </c>
      <c r="AJ354" s="66">
        <f>+IF($W354="","",ROUND((AG354*Parámetros!$G$85),2))</f>
        <v>3.22</v>
      </c>
      <c r="AK354" s="66">
        <f>+IF($W354="","",ROUND((AG354*(Parámetros!$G$86)),2))</f>
        <v>0.46</v>
      </c>
      <c r="AL354" s="66">
        <f t="shared" si="423"/>
        <v>95.58</v>
      </c>
      <c r="AM354" t="str">
        <f t="shared" si="471"/>
        <v>00059</v>
      </c>
      <c r="AN354" t="str">
        <f t="shared" si="472"/>
        <v>Incapacidad Total y Permanente</v>
      </c>
      <c r="AO354" s="118">
        <f t="shared" si="473"/>
        <v>0</v>
      </c>
      <c r="AP354" s="118" t="str">
        <f t="shared" si="474"/>
        <v>A</v>
      </c>
      <c r="AQ354" s="119" t="str">
        <f>+IF(OR($W354="",AO354=0),"",ROUND((VLOOKUP(ROUNDDOWN($D354-1/frec,0),cob_adi,Z$40,FALSE)*(1+i/frec)^-0.5*(1+Parámetros!$D$103)*(1+rec_fracc)/frec),6))</f>
        <v/>
      </c>
      <c r="AR354" s="66">
        <f t="shared" si="430"/>
        <v>0</v>
      </c>
      <c r="AS354" s="119" t="str">
        <f t="shared" si="431"/>
        <v/>
      </c>
      <c r="AT354" s="66">
        <f>+IF($W354="","",ROUND(IF($B354&gt;Parámetros!$D$107,'Tablas Servicio'!AR354+('Tablas Servicio'!AT353-'Tablas Servicio'!AR353),AR354/(1-IF(B354&lt;=10,Parámetros!$D$100,0))),2))</f>
        <v>0</v>
      </c>
      <c r="AU354" s="66">
        <f t="shared" si="432"/>
        <v>0</v>
      </c>
      <c r="AV354" s="66">
        <f t="shared" si="432"/>
        <v>0</v>
      </c>
      <c r="AW354" s="66">
        <f>+IF($W354="","",ROUND((AT354*Parámetros!$G$85),2))</f>
        <v>0</v>
      </c>
      <c r="AX354" s="66">
        <f>+IF($W354="","",ROUND((AT354*(Parámetros!$G$86)),2))</f>
        <v>0</v>
      </c>
      <c r="AY354" s="66">
        <f t="shared" si="433"/>
        <v>0</v>
      </c>
      <c r="AZ354" t="str">
        <f t="shared" si="475"/>
        <v>00060</v>
      </c>
      <c r="BA354" t="str">
        <f t="shared" si="476"/>
        <v>Muerte Accidental</v>
      </c>
      <c r="BB354" s="118">
        <f t="shared" si="477"/>
        <v>0</v>
      </c>
      <c r="BC354" s="118" t="str">
        <f t="shared" si="478"/>
        <v>A</v>
      </c>
      <c r="BD354" s="119" t="str">
        <f>+IF(OR($W354="",BB354=0),"",ROUND((VLOOKUP(ROUNDDOWN($D354-1/frec,0),cob_adi,AO$40,FALSE)*(1+i/frec)^-0.5*(1+Parámetros!$D$103)*(1+rec_fracc)/frec),6))</f>
        <v/>
      </c>
      <c r="BE354" s="66">
        <f t="shared" si="434"/>
        <v>0</v>
      </c>
      <c r="BF354" s="119" t="str">
        <f t="shared" si="435"/>
        <v/>
      </c>
      <c r="BG354" s="66">
        <f>+IF($W354="","",ROUND(IF($B354&gt;Parámetros!$D$107,'Tablas Servicio'!BE354+('Tablas Servicio'!BG353-'Tablas Servicio'!BE353),BE354/(1-IF(B354&lt;=10,Parámetros!$D$100,0))),2))</f>
        <v>0</v>
      </c>
      <c r="BH354" s="66">
        <f t="shared" si="436"/>
        <v>0</v>
      </c>
      <c r="BI354" s="66">
        <f t="shared" si="437"/>
        <v>0</v>
      </c>
      <c r="BJ354" s="66">
        <f>+IF($W354="","",ROUND((BG354*Parámetros!$G$85),2))</f>
        <v>0</v>
      </c>
      <c r="BK354" s="66">
        <f>+IF($W354="","",ROUND((BG354*(Parámetros!$G$86)),2))</f>
        <v>0</v>
      </c>
      <c r="BL354" s="66">
        <f t="shared" si="438"/>
        <v>0</v>
      </c>
      <c r="BM354" t="str">
        <f t="shared" si="479"/>
        <v>00061</v>
      </c>
      <c r="BN354" t="str">
        <f t="shared" si="480"/>
        <v>Gastos de Entierro</v>
      </c>
      <c r="BO354" s="118">
        <f t="shared" si="481"/>
        <v>0</v>
      </c>
      <c r="BP354" s="118" t="str">
        <f t="shared" si="482"/>
        <v>A</v>
      </c>
      <c r="BQ354" s="119" t="str">
        <f>+IF(OR($W354="",BO354=0),"",ROUND((VLOOKUP(ROUNDDOWN($D354-1/frec,0),cob_adi,BB$40,FALSE)*(1+i/frec)^-0.5*(1+Parámetros!$D$103)*(1+rec_fracc)/frec),6))</f>
        <v/>
      </c>
      <c r="BR354" s="66">
        <f t="shared" si="439"/>
        <v>0</v>
      </c>
      <c r="BS354" s="119" t="str">
        <f t="shared" si="440"/>
        <v/>
      </c>
      <c r="BT354" s="66">
        <f>+IF($W354="","",ROUND(IF($B354&gt;Parámetros!$D$107,'Tablas Servicio'!BR354+('Tablas Servicio'!BT353-'Tablas Servicio'!BR353),BR354/(1-IF(B354&lt;=10,Parámetros!$D$100,0))),2))</f>
        <v>0</v>
      </c>
      <c r="BU354" s="66">
        <f t="shared" si="441"/>
        <v>0</v>
      </c>
      <c r="BV354" s="66">
        <f t="shared" si="441"/>
        <v>0</v>
      </c>
      <c r="BW354" s="66">
        <f>+IF($W354="","",ROUND((BT354*Parámetros!$G$85),2))</f>
        <v>0</v>
      </c>
      <c r="BX354" s="66">
        <f>+IF($W354="","",ROUND((BT354*(Parámetros!$G$86)),2))</f>
        <v>0</v>
      </c>
      <c r="BY354" s="66">
        <f t="shared" si="442"/>
        <v>0</v>
      </c>
      <c r="BZ354" t="str">
        <f t="shared" si="483"/>
        <v>00062</v>
      </c>
      <c r="CA354" t="str">
        <f t="shared" si="484"/>
        <v>Gastos médicos por accidente</v>
      </c>
      <c r="CB354" s="118">
        <f t="shared" si="485"/>
        <v>0</v>
      </c>
      <c r="CC354" s="118" t="str">
        <f t="shared" si="486"/>
        <v>A</v>
      </c>
      <c r="CD354" s="119" t="str">
        <f t="shared" si="443"/>
        <v/>
      </c>
      <c r="CE354" s="66">
        <f>+IF($W354="","",ROUND((VLOOKUP(ROUNDDOWN($D354-1/frec,0),cob_adi,BO$40,FALSE)*(1+i/frec)^-0.5*(1+Parámetros!$D$103)*(1+rec_fracc)/frec*'TABLAS ADI'!$BC$17),2))</f>
        <v>0</v>
      </c>
      <c r="CF354" s="119" t="str">
        <f t="shared" si="444"/>
        <v/>
      </c>
      <c r="CG354" s="66">
        <f>+IF($W354="","",ROUND(IF($B354&gt;Parámetros!$D$107,'Tablas Servicio'!CE354+('Tablas Servicio'!CG353-'Tablas Servicio'!CE353),CE354/(1-IF(B354&lt;=10,Parámetros!$D$100,0))),2))</f>
        <v>0</v>
      </c>
      <c r="CH354" s="66">
        <f t="shared" si="445"/>
        <v>0</v>
      </c>
      <c r="CI354" s="66">
        <f t="shared" si="445"/>
        <v>0</v>
      </c>
      <c r="CJ354" s="66">
        <f>+IF($W354="","",ROUND((CG354*Parámetros!$G$85),2))</f>
        <v>0</v>
      </c>
      <c r="CK354" s="66">
        <f>+IF($W354="","",ROUND((CG354*(Parámetros!$G$86)),2))</f>
        <v>0</v>
      </c>
      <c r="CL354" s="66">
        <f t="shared" si="446"/>
        <v>0</v>
      </c>
      <c r="CM354" t="str">
        <f t="shared" si="487"/>
        <v>00063</v>
      </c>
      <c r="CN354" s="118" t="str">
        <f t="shared" si="488"/>
        <v>Renta Diaria por Hospitalización</v>
      </c>
      <c r="CO354" s="118">
        <f t="shared" si="489"/>
        <v>0</v>
      </c>
      <c r="CP354" s="118" t="str">
        <f t="shared" si="490"/>
        <v>A</v>
      </c>
      <c r="CQ354" s="119" t="str">
        <f t="shared" si="447"/>
        <v/>
      </c>
      <c r="CR354" s="66">
        <f>+IF($W354="","",ROUND((VLOOKUP(Parámetros!$F$51,'COBERTURAS ADICIONALES'!$S$4:$T$32,2,FALSE)*(1+i/frec)^-0.5*(1+Parámetros!$D$103)*(1+rec_fracc)/frec*$CO$42),2))</f>
        <v>0</v>
      </c>
      <c r="CS354" s="119" t="str">
        <f t="shared" si="448"/>
        <v/>
      </c>
      <c r="CT354" s="66">
        <f>+IF($W354="","",ROUND(IF($B354&gt;Parámetros!$D$107,'Tablas Servicio'!CR354+('Tablas Servicio'!CT353-'Tablas Servicio'!CR353),CR354/(1-IF(B354&lt;=10,Parámetros!$D$100,0))),2))</f>
        <v>0</v>
      </c>
      <c r="CU354" s="66">
        <f t="shared" si="449"/>
        <v>0</v>
      </c>
      <c r="CV354" s="66">
        <f t="shared" si="449"/>
        <v>0</v>
      </c>
      <c r="CW354" s="66">
        <f>+IF($W354="","",ROUND((CT354*Parámetros!$G$85),2))</f>
        <v>0</v>
      </c>
      <c r="CX354" s="66">
        <f>+IF($W354="","",ROUND((CT354*(Parámetros!$G$86)),2))</f>
        <v>0</v>
      </c>
      <c r="CY354" s="66">
        <f t="shared" si="450"/>
        <v>0</v>
      </c>
      <c r="CZ354" t="str">
        <f t="shared" si="491"/>
        <v>00064</v>
      </c>
      <c r="DA354" s="118" t="str">
        <f t="shared" si="492"/>
        <v>Enfermedades Graves</v>
      </c>
      <c r="DB354" s="118">
        <f t="shared" si="493"/>
        <v>0</v>
      </c>
      <c r="DC354" s="118" t="str">
        <f t="shared" si="494"/>
        <v>A</v>
      </c>
      <c r="DD354" s="121" t="str">
        <f>+IF(OR($W354="",DB354=0),"",ROUND((VLOOKUP(ROUNDDOWN($D354-1/frec,0),cob_adi,CO$40,FALSE)*(1+i/frec)^-0.5*(1+Parámetros!$D$103)*(1+rec_fracc)/frec),6))</f>
        <v/>
      </c>
      <c r="DE354" s="66">
        <f t="shared" si="451"/>
        <v>0</v>
      </c>
      <c r="DF354" s="119" t="str">
        <f t="shared" si="452"/>
        <v/>
      </c>
      <c r="DG354" s="66">
        <f>+IF($W354="","",ROUND(IF($B354&gt;Parámetros!$D$107,'Tablas Servicio'!DE354+('Tablas Servicio'!DG353-'Tablas Servicio'!DE353),DE354/(1-IF(B354&lt;=10,Parámetros!$D$100,0))),2))</f>
        <v>0</v>
      </c>
      <c r="DH354" s="66">
        <f t="shared" si="453"/>
        <v>0</v>
      </c>
      <c r="DI354" s="66">
        <f t="shared" si="453"/>
        <v>0</v>
      </c>
      <c r="DJ354" s="66">
        <f>+IF($W354="","",ROUND((DG354*Parámetros!$G$85),2))</f>
        <v>0</v>
      </c>
      <c r="DK354" s="66">
        <f>+IF($W354="","",ROUND((DG354*(Parámetros!$G$86)),2))</f>
        <v>0</v>
      </c>
      <c r="DL354" s="66">
        <f t="shared" si="454"/>
        <v>0</v>
      </c>
      <c r="DM354" t="str">
        <f t="shared" si="495"/>
        <v>00065</v>
      </c>
      <c r="DN354" s="118" t="str">
        <f t="shared" si="496"/>
        <v>Exención pago de primas</v>
      </c>
      <c r="DO354" s="118">
        <f t="shared" si="497"/>
        <v>0</v>
      </c>
      <c r="DP354" s="118" t="str">
        <f t="shared" si="498"/>
        <v>A</v>
      </c>
      <c r="DQ354" s="122" t="str">
        <f>+IF(OR($W354="",DO354=0),"",ROUND((VLOOKUP(ROUNDDOWN($D354-1/frec,0),cob_adi,DB$40,FALSE)*(1+i/frec)^-0.5*(1+Parámetros!$D$103)*(1+rec_fracc)/frec),6))</f>
        <v/>
      </c>
      <c r="DR354" s="66">
        <f t="shared" si="455"/>
        <v>0</v>
      </c>
      <c r="DS354" s="68" t="str">
        <f t="shared" si="456"/>
        <v/>
      </c>
      <c r="DT354" s="66">
        <f>+IF($W354="","",ROUND(IF($B354&gt;Parámetros!$D$107,'Tablas Servicio'!DR354+('Tablas Servicio'!DT353-'Tablas Servicio'!DR353),DR354/(1-IF(B354&lt;=10,Parámetros!$D$100,0))),2))</f>
        <v>0</v>
      </c>
      <c r="DU354" s="66">
        <f t="shared" si="457"/>
        <v>0</v>
      </c>
      <c r="DV354" s="66">
        <f t="shared" si="457"/>
        <v>0</v>
      </c>
      <c r="DW354" s="66">
        <f>+IF($W354="","",ROUND((DT354*Parámetros!$G$85),2))</f>
        <v>0</v>
      </c>
      <c r="DX354" s="66">
        <f>+IF($W354="","",ROUND((DT354*(Parámetros!$G$86)),2))</f>
        <v>0</v>
      </c>
      <c r="DY354" s="66">
        <f t="shared" si="458"/>
        <v>0</v>
      </c>
      <c r="DZ354" t="str">
        <f t="shared" si="501"/>
        <v>00066</v>
      </c>
      <c r="EA354" s="118" t="str">
        <f t="shared" si="501"/>
        <v>Enfermedad terminal</v>
      </c>
      <c r="EB354" s="118">
        <f>+IF($W354="","",ROUND(IF(Parámetros!$D$25='TABLAS MORT'!$V$33,EB353,Z354/2),0))</f>
        <v>50000</v>
      </c>
      <c r="EC354" s="118" t="str">
        <f t="shared" si="501"/>
        <v>A</v>
      </c>
      <c r="ED354" s="122">
        <f>+IF(OR($W354="",EB354=0),"",ROUND((VLOOKUP(ROUNDDOWN($D354-1/frec,0),cob_adi,DO$40,FALSE)*(1+i/frec)^-0.5*(1+Parámetros!$D$103)*(1+rec_fracc)/frec),6))</f>
        <v>5.5000000000000002E-5</v>
      </c>
      <c r="EE354" s="66">
        <f t="shared" si="460"/>
        <v>2.75</v>
      </c>
      <c r="EF354" s="68">
        <f t="shared" si="461"/>
        <v>5.5000000000000002E-5</v>
      </c>
      <c r="EG354" s="66">
        <f>+IF($W354="","",ROUND(IF($B354&gt;Parámetros!$D$107,'Tablas Servicio'!EE354+('Tablas Servicio'!EG353-'Tablas Servicio'!EE353),EE354/(1-IF(B354&lt;=10,Parámetros!$D$100,0))),2))</f>
        <v>2.75</v>
      </c>
      <c r="EH354" s="66">
        <f t="shared" si="462"/>
        <v>0</v>
      </c>
      <c r="EI354" s="66">
        <f t="shared" si="462"/>
        <v>0</v>
      </c>
      <c r="EJ354" s="66">
        <f>+IF($W354="","",ROUND((EG354*Parámetros!$G$85),2))</f>
        <v>0.1</v>
      </c>
      <c r="EK354" s="66">
        <f>+IF($W354="","",ROUND((EG354*(Parámetros!$G$86)),2))</f>
        <v>0.01</v>
      </c>
      <c r="EL354" s="66">
        <f t="shared" si="463"/>
        <v>2.86</v>
      </c>
    </row>
    <row r="355" spans="1:142" x14ac:dyDescent="0.25">
      <c r="A355">
        <f>+IF($C355="","",ROUND(VLOOKUP('Tablas Servicio'!B355,Parámetros!$H$100:$J$159,IF(Parámetros!$E$16="F",2,3),FALSE),2))</f>
        <v>150</v>
      </c>
      <c r="B355">
        <f t="shared" si="414"/>
        <v>27</v>
      </c>
      <c r="C355" s="57">
        <f>+IF(D355="","",'Tablas Servicio'!C354+1)</f>
        <v>314</v>
      </c>
      <c r="D355" s="56">
        <f>+IF(D354&lt;edadmaxtabla,D354+1/Parámetros!$E$25,"")</f>
        <v>66.186666666667222</v>
      </c>
      <c r="E355" s="57">
        <f t="shared" si="424"/>
        <v>66</v>
      </c>
      <c r="F355" s="59">
        <f t="shared" si="425"/>
        <v>100000</v>
      </c>
      <c r="G355" s="66">
        <f t="shared" si="415"/>
        <v>94.65</v>
      </c>
      <c r="H355" s="66">
        <f t="shared" si="416"/>
        <v>98.44</v>
      </c>
      <c r="I355" s="66">
        <f t="shared" si="464"/>
        <v>-4.4399999999999977</v>
      </c>
      <c r="J355" s="66">
        <f t="shared" si="417"/>
        <v>3.3200000000000003</v>
      </c>
      <c r="K355" s="66">
        <f t="shared" si="418"/>
        <v>0.47000000000000003</v>
      </c>
      <c r="L355" s="66">
        <f t="shared" si="419"/>
        <v>0</v>
      </c>
      <c r="M355" s="66">
        <f t="shared" si="420"/>
        <v>0</v>
      </c>
      <c r="N355" s="66">
        <f>+IF(C355="","",ROUND(Parámetros!$D$23,2))</f>
        <v>94</v>
      </c>
      <c r="O355" s="66">
        <f t="shared" si="421"/>
        <v>82.15</v>
      </c>
      <c r="P355" s="66">
        <f>+IF($C355="","",ROUND(IF(B355&gt;Parámetros!$D$117,0,N355*Parámetros!$D$116-G355*Parámetros!$D$100),2))</f>
        <v>0</v>
      </c>
      <c r="Q355" s="75">
        <f t="shared" si="465"/>
        <v>3.5076597992604333E-2</v>
      </c>
      <c r="R355" s="75">
        <f t="shared" si="466"/>
        <v>4.9656629688325411E-3</v>
      </c>
      <c r="S355" s="117">
        <f>+IF($C355="","",ROUND((S354+I355)*(1+Parámetros!$D$91),2))</f>
        <v>23568.12</v>
      </c>
      <c r="T355" s="117">
        <f>+IF($C355="","",ROUND(S355*VLOOKUP(B355,Parámetros!$C$30:$D$39,2,TRUE),2))</f>
        <v>23568.12</v>
      </c>
      <c r="U355" s="117">
        <f>+IF($C355="","",ROUND((U354+I355)*(1+Parámetros!$D$92),2))</f>
        <v>25606.67</v>
      </c>
      <c r="V355" s="117">
        <f>+IF($C355="","",ROUND(U355*VLOOKUP(B355,Parámetros!$C$30:$D$39,2,TRUE),2))</f>
        <v>25606.67</v>
      </c>
      <c r="W355" s="57">
        <f t="shared" si="467"/>
        <v>314</v>
      </c>
      <c r="X355" t="str">
        <f t="shared" si="468"/>
        <v>00058</v>
      </c>
      <c r="Y355" t="str">
        <f t="shared" si="469"/>
        <v>MUERTE POR CUALQUIER CAUSA</v>
      </c>
      <c r="Z355" s="118">
        <f>+IF($W355="","",ROUND(IF(Parámetros!$D$25='TABLAS MORT'!$V$33,Z354,Parámetros!$D$21-'Tablas Servicio'!T354),0))</f>
        <v>100000</v>
      </c>
      <c r="AA355" s="118" t="str">
        <f t="shared" si="470"/>
        <v>P</v>
      </c>
      <c r="AB355" s="119">
        <f>+IF(W355="","",ROUND((VLOOKUP(ROUNDDOWN($D355-1/frec,0),qx_tabla,2,FALSE)*(1+i/frec)^-0.5*(1+Parámetros!$D$103)*(1+rec_fracc)/frec),6))</f>
        <v>7.94E-4</v>
      </c>
      <c r="AC355" s="66">
        <f t="shared" si="426"/>
        <v>79.400000000000006</v>
      </c>
      <c r="AD355" s="119">
        <f t="shared" si="422"/>
        <v>9.19E-4</v>
      </c>
      <c r="AE355" s="66">
        <f>+IF($W355="","",ROUND(IF($B355&gt;Parámetros!$D$107,'Tablas Servicio'!AC355+('Tablas Servicio'!AG354-'Tablas Servicio'!AC354),AC355/(1-IF(B355&lt;=10,Parámetros!$D$104,Parámetros!$D$105))),2))</f>
        <v>132.33000000000001</v>
      </c>
      <c r="AF355" s="66">
        <f>+IF($W355="","",ROUND(IF($B355&gt;Parámetros!$D$107,'Tablas Servicio'!AC355+('Tablas Servicio'!AG354-'Tablas Servicio'!AC354),(AC355+$A354/frec)/(1-IF(B355&lt;=Parámetros!$D$117,Parámetros!$D$100,0))),2))</f>
        <v>91.9</v>
      </c>
      <c r="AG355" s="66">
        <f t="shared" si="427"/>
        <v>91.9</v>
      </c>
      <c r="AH355" s="66">
        <f t="shared" si="428"/>
        <v>0</v>
      </c>
      <c r="AI355" s="66">
        <f t="shared" si="429"/>
        <v>0</v>
      </c>
      <c r="AJ355" s="66">
        <f>+IF($W355="","",ROUND((AG355*Parámetros!$G$85),2))</f>
        <v>3.22</v>
      </c>
      <c r="AK355" s="66">
        <f>+IF($W355="","",ROUND((AG355*(Parámetros!$G$86)),2))</f>
        <v>0.46</v>
      </c>
      <c r="AL355" s="66">
        <f t="shared" si="423"/>
        <v>95.58</v>
      </c>
      <c r="AM355" t="str">
        <f t="shared" si="471"/>
        <v>00059</v>
      </c>
      <c r="AN355" t="str">
        <f t="shared" si="472"/>
        <v>Incapacidad Total y Permanente</v>
      </c>
      <c r="AO355" s="118">
        <f t="shared" si="473"/>
        <v>0</v>
      </c>
      <c r="AP355" s="118" t="str">
        <f t="shared" si="474"/>
        <v>A</v>
      </c>
      <c r="AQ355" s="119" t="str">
        <f>+IF(OR($W355="",AO355=0),"",ROUND((VLOOKUP(ROUNDDOWN($D355-1/frec,0),cob_adi,Z$40,FALSE)*(1+i/frec)^-0.5*(1+Parámetros!$D$103)*(1+rec_fracc)/frec),6))</f>
        <v/>
      </c>
      <c r="AR355" s="66">
        <f t="shared" si="430"/>
        <v>0</v>
      </c>
      <c r="AS355" s="119" t="str">
        <f t="shared" si="431"/>
        <v/>
      </c>
      <c r="AT355" s="66">
        <f>+IF($W355="","",ROUND(IF($B355&gt;Parámetros!$D$107,'Tablas Servicio'!AR355+('Tablas Servicio'!AT354-'Tablas Servicio'!AR354),AR355/(1-IF(B355&lt;=10,Parámetros!$D$100,0))),2))</f>
        <v>0</v>
      </c>
      <c r="AU355" s="66">
        <f t="shared" si="432"/>
        <v>0</v>
      </c>
      <c r="AV355" s="66">
        <f t="shared" si="432"/>
        <v>0</v>
      </c>
      <c r="AW355" s="66">
        <f>+IF($W355="","",ROUND((AT355*Parámetros!$G$85),2))</f>
        <v>0</v>
      </c>
      <c r="AX355" s="66">
        <f>+IF($W355="","",ROUND((AT355*(Parámetros!$G$86)),2))</f>
        <v>0</v>
      </c>
      <c r="AY355" s="66">
        <f t="shared" si="433"/>
        <v>0</v>
      </c>
      <c r="AZ355" t="str">
        <f t="shared" si="475"/>
        <v>00060</v>
      </c>
      <c r="BA355" t="str">
        <f t="shared" si="476"/>
        <v>Muerte Accidental</v>
      </c>
      <c r="BB355" s="118">
        <f t="shared" si="477"/>
        <v>0</v>
      </c>
      <c r="BC355" s="118" t="str">
        <f t="shared" si="478"/>
        <v>A</v>
      </c>
      <c r="BD355" s="119" t="str">
        <f>+IF(OR($W355="",BB355=0),"",ROUND((VLOOKUP(ROUNDDOWN($D355-1/frec,0),cob_adi,AO$40,FALSE)*(1+i/frec)^-0.5*(1+Parámetros!$D$103)*(1+rec_fracc)/frec),6))</f>
        <v/>
      </c>
      <c r="BE355" s="66">
        <f t="shared" si="434"/>
        <v>0</v>
      </c>
      <c r="BF355" s="119" t="str">
        <f t="shared" si="435"/>
        <v/>
      </c>
      <c r="BG355" s="66">
        <f>+IF($W355="","",ROUND(IF($B355&gt;Parámetros!$D$107,'Tablas Servicio'!BE355+('Tablas Servicio'!BG354-'Tablas Servicio'!BE354),BE355/(1-IF(B355&lt;=10,Parámetros!$D$100,0))),2))</f>
        <v>0</v>
      </c>
      <c r="BH355" s="66">
        <f t="shared" si="436"/>
        <v>0</v>
      </c>
      <c r="BI355" s="66">
        <f t="shared" si="437"/>
        <v>0</v>
      </c>
      <c r="BJ355" s="66">
        <f>+IF($W355="","",ROUND((BG355*Parámetros!$G$85),2))</f>
        <v>0</v>
      </c>
      <c r="BK355" s="66">
        <f>+IF($W355="","",ROUND((BG355*(Parámetros!$G$86)),2))</f>
        <v>0</v>
      </c>
      <c r="BL355" s="66">
        <f t="shared" si="438"/>
        <v>0</v>
      </c>
      <c r="BM355" t="str">
        <f t="shared" si="479"/>
        <v>00061</v>
      </c>
      <c r="BN355" t="str">
        <f t="shared" si="480"/>
        <v>Gastos de Entierro</v>
      </c>
      <c r="BO355" s="118">
        <f t="shared" si="481"/>
        <v>0</v>
      </c>
      <c r="BP355" s="118" t="str">
        <f t="shared" si="482"/>
        <v>A</v>
      </c>
      <c r="BQ355" s="119" t="str">
        <f>+IF(OR($W355="",BO355=0),"",ROUND((VLOOKUP(ROUNDDOWN($D355-1/frec,0),cob_adi,BB$40,FALSE)*(1+i/frec)^-0.5*(1+Parámetros!$D$103)*(1+rec_fracc)/frec),6))</f>
        <v/>
      </c>
      <c r="BR355" s="66">
        <f t="shared" si="439"/>
        <v>0</v>
      </c>
      <c r="BS355" s="119" t="str">
        <f t="shared" si="440"/>
        <v/>
      </c>
      <c r="BT355" s="66">
        <f>+IF($W355="","",ROUND(IF($B355&gt;Parámetros!$D$107,'Tablas Servicio'!BR355+('Tablas Servicio'!BT354-'Tablas Servicio'!BR354),BR355/(1-IF(B355&lt;=10,Parámetros!$D$100,0))),2))</f>
        <v>0</v>
      </c>
      <c r="BU355" s="66">
        <f t="shared" si="441"/>
        <v>0</v>
      </c>
      <c r="BV355" s="66">
        <f t="shared" si="441"/>
        <v>0</v>
      </c>
      <c r="BW355" s="66">
        <f>+IF($W355="","",ROUND((BT355*Parámetros!$G$85),2))</f>
        <v>0</v>
      </c>
      <c r="BX355" s="66">
        <f>+IF($W355="","",ROUND((BT355*(Parámetros!$G$86)),2))</f>
        <v>0</v>
      </c>
      <c r="BY355" s="66">
        <f t="shared" si="442"/>
        <v>0</v>
      </c>
      <c r="BZ355" t="str">
        <f t="shared" si="483"/>
        <v>00062</v>
      </c>
      <c r="CA355" t="str">
        <f t="shared" si="484"/>
        <v>Gastos médicos por accidente</v>
      </c>
      <c r="CB355" s="118">
        <f t="shared" si="485"/>
        <v>0</v>
      </c>
      <c r="CC355" s="118" t="str">
        <f t="shared" si="486"/>
        <v>A</v>
      </c>
      <c r="CD355" s="119" t="str">
        <f t="shared" si="443"/>
        <v/>
      </c>
      <c r="CE355" s="66">
        <f>+IF($W355="","",ROUND((VLOOKUP(ROUNDDOWN($D355-1/frec,0),cob_adi,BO$40,FALSE)*(1+i/frec)^-0.5*(1+Parámetros!$D$103)*(1+rec_fracc)/frec*'TABLAS ADI'!$BC$17),2))</f>
        <v>0</v>
      </c>
      <c r="CF355" s="119" t="str">
        <f t="shared" si="444"/>
        <v/>
      </c>
      <c r="CG355" s="66">
        <f>+IF($W355="","",ROUND(IF($B355&gt;Parámetros!$D$107,'Tablas Servicio'!CE355+('Tablas Servicio'!CG354-'Tablas Servicio'!CE354),CE355/(1-IF(B355&lt;=10,Parámetros!$D$100,0))),2))</f>
        <v>0</v>
      </c>
      <c r="CH355" s="66">
        <f t="shared" si="445"/>
        <v>0</v>
      </c>
      <c r="CI355" s="66">
        <f t="shared" si="445"/>
        <v>0</v>
      </c>
      <c r="CJ355" s="66">
        <f>+IF($W355="","",ROUND((CG355*Parámetros!$G$85),2))</f>
        <v>0</v>
      </c>
      <c r="CK355" s="66">
        <f>+IF($W355="","",ROUND((CG355*(Parámetros!$G$86)),2))</f>
        <v>0</v>
      </c>
      <c r="CL355" s="66">
        <f t="shared" si="446"/>
        <v>0</v>
      </c>
      <c r="CM355" t="str">
        <f t="shared" si="487"/>
        <v>00063</v>
      </c>
      <c r="CN355" s="118" t="str">
        <f t="shared" si="488"/>
        <v>Renta Diaria por Hospitalización</v>
      </c>
      <c r="CO355" s="118">
        <f t="shared" si="489"/>
        <v>0</v>
      </c>
      <c r="CP355" s="118" t="str">
        <f t="shared" si="490"/>
        <v>A</v>
      </c>
      <c r="CQ355" s="119" t="str">
        <f t="shared" si="447"/>
        <v/>
      </c>
      <c r="CR355" s="66">
        <f>+IF($W355="","",ROUND((VLOOKUP(Parámetros!$F$51,'COBERTURAS ADICIONALES'!$S$4:$T$32,2,FALSE)*(1+i/frec)^-0.5*(1+Parámetros!$D$103)*(1+rec_fracc)/frec*$CO$42),2))</f>
        <v>0</v>
      </c>
      <c r="CS355" s="119" t="str">
        <f t="shared" si="448"/>
        <v/>
      </c>
      <c r="CT355" s="66">
        <f>+IF($W355="","",ROUND(IF($B355&gt;Parámetros!$D$107,'Tablas Servicio'!CR355+('Tablas Servicio'!CT354-'Tablas Servicio'!CR354),CR355/(1-IF(B355&lt;=10,Parámetros!$D$100,0))),2))</f>
        <v>0</v>
      </c>
      <c r="CU355" s="66">
        <f t="shared" si="449"/>
        <v>0</v>
      </c>
      <c r="CV355" s="66">
        <f t="shared" si="449"/>
        <v>0</v>
      </c>
      <c r="CW355" s="66">
        <f>+IF($W355="","",ROUND((CT355*Parámetros!$G$85),2))</f>
        <v>0</v>
      </c>
      <c r="CX355" s="66">
        <f>+IF($W355="","",ROUND((CT355*(Parámetros!$G$86)),2))</f>
        <v>0</v>
      </c>
      <c r="CY355" s="66">
        <f t="shared" si="450"/>
        <v>0</v>
      </c>
      <c r="CZ355" t="str">
        <f t="shared" si="491"/>
        <v>00064</v>
      </c>
      <c r="DA355" s="118" t="str">
        <f t="shared" si="492"/>
        <v>Enfermedades Graves</v>
      </c>
      <c r="DB355" s="118">
        <f t="shared" si="493"/>
        <v>0</v>
      </c>
      <c r="DC355" s="118" t="str">
        <f t="shared" si="494"/>
        <v>A</v>
      </c>
      <c r="DD355" s="121" t="str">
        <f>+IF(OR($W355="",DB355=0),"",ROUND((VLOOKUP(ROUNDDOWN($D355-1/frec,0),cob_adi,CO$40,FALSE)*(1+i/frec)^-0.5*(1+Parámetros!$D$103)*(1+rec_fracc)/frec),6))</f>
        <v/>
      </c>
      <c r="DE355" s="66">
        <f t="shared" si="451"/>
        <v>0</v>
      </c>
      <c r="DF355" s="119" t="str">
        <f t="shared" si="452"/>
        <v/>
      </c>
      <c r="DG355" s="66">
        <f>+IF($W355="","",ROUND(IF($B355&gt;Parámetros!$D$107,'Tablas Servicio'!DE355+('Tablas Servicio'!DG354-'Tablas Servicio'!DE354),DE355/(1-IF(B355&lt;=10,Parámetros!$D$100,0))),2))</f>
        <v>0</v>
      </c>
      <c r="DH355" s="66">
        <f t="shared" si="453"/>
        <v>0</v>
      </c>
      <c r="DI355" s="66">
        <f t="shared" si="453"/>
        <v>0</v>
      </c>
      <c r="DJ355" s="66">
        <f>+IF($W355="","",ROUND((DG355*Parámetros!$G$85),2))</f>
        <v>0</v>
      </c>
      <c r="DK355" s="66">
        <f>+IF($W355="","",ROUND((DG355*(Parámetros!$G$86)),2))</f>
        <v>0</v>
      </c>
      <c r="DL355" s="66">
        <f t="shared" si="454"/>
        <v>0</v>
      </c>
      <c r="DM355" t="str">
        <f t="shared" si="495"/>
        <v>00065</v>
      </c>
      <c r="DN355" s="118" t="str">
        <f t="shared" si="496"/>
        <v>Exención pago de primas</v>
      </c>
      <c r="DO355" s="118">
        <f t="shared" si="497"/>
        <v>0</v>
      </c>
      <c r="DP355" s="118" t="str">
        <f t="shared" si="498"/>
        <v>A</v>
      </c>
      <c r="DQ355" s="122" t="str">
        <f>+IF(OR($W355="",DO355=0),"",ROUND((VLOOKUP(ROUNDDOWN($D355-1/frec,0),cob_adi,DB$40,FALSE)*(1+i/frec)^-0.5*(1+Parámetros!$D$103)*(1+rec_fracc)/frec),6))</f>
        <v/>
      </c>
      <c r="DR355" s="66">
        <f t="shared" si="455"/>
        <v>0</v>
      </c>
      <c r="DS355" s="68" t="str">
        <f t="shared" si="456"/>
        <v/>
      </c>
      <c r="DT355" s="66">
        <f>+IF($W355="","",ROUND(IF($B355&gt;Parámetros!$D$107,'Tablas Servicio'!DR355+('Tablas Servicio'!DT354-'Tablas Servicio'!DR354),DR355/(1-IF(B355&lt;=10,Parámetros!$D$100,0))),2))</f>
        <v>0</v>
      </c>
      <c r="DU355" s="66">
        <f t="shared" si="457"/>
        <v>0</v>
      </c>
      <c r="DV355" s="66">
        <f t="shared" si="457"/>
        <v>0</v>
      </c>
      <c r="DW355" s="66">
        <f>+IF($W355="","",ROUND((DT355*Parámetros!$G$85),2))</f>
        <v>0</v>
      </c>
      <c r="DX355" s="66">
        <f>+IF($W355="","",ROUND((DT355*(Parámetros!$G$86)),2))</f>
        <v>0</v>
      </c>
      <c r="DY355" s="66">
        <f t="shared" si="458"/>
        <v>0</v>
      </c>
      <c r="DZ355" t="str">
        <f t="shared" si="501"/>
        <v>00066</v>
      </c>
      <c r="EA355" s="118" t="str">
        <f t="shared" si="501"/>
        <v>Enfermedad terminal</v>
      </c>
      <c r="EB355" s="118">
        <f>+IF($W355="","",ROUND(IF(Parámetros!$D$25='TABLAS MORT'!$V$33,EB354,Z355/2),0))</f>
        <v>50000</v>
      </c>
      <c r="EC355" s="118" t="str">
        <f t="shared" si="501"/>
        <v>A</v>
      </c>
      <c r="ED355" s="122">
        <f>+IF(OR($W355="",EB355=0),"",ROUND((VLOOKUP(ROUNDDOWN($D355-1/frec,0),cob_adi,DO$40,FALSE)*(1+i/frec)^-0.5*(1+Parámetros!$D$103)*(1+rec_fracc)/frec),6))</f>
        <v>5.5000000000000002E-5</v>
      </c>
      <c r="EE355" s="66">
        <f t="shared" si="460"/>
        <v>2.75</v>
      </c>
      <c r="EF355" s="68">
        <f t="shared" si="461"/>
        <v>5.5000000000000002E-5</v>
      </c>
      <c r="EG355" s="66">
        <f>+IF($W355="","",ROUND(IF($B355&gt;Parámetros!$D$107,'Tablas Servicio'!EE355+('Tablas Servicio'!EG354-'Tablas Servicio'!EE354),EE355/(1-IF(B355&lt;=10,Parámetros!$D$100,0))),2))</f>
        <v>2.75</v>
      </c>
      <c r="EH355" s="66">
        <f t="shared" si="462"/>
        <v>0</v>
      </c>
      <c r="EI355" s="66">
        <f t="shared" si="462"/>
        <v>0</v>
      </c>
      <c r="EJ355" s="66">
        <f>+IF($W355="","",ROUND((EG355*Parámetros!$G$85),2))</f>
        <v>0.1</v>
      </c>
      <c r="EK355" s="66">
        <f>+IF($W355="","",ROUND((EG355*(Parámetros!$G$86)),2))</f>
        <v>0.01</v>
      </c>
      <c r="EL355" s="66">
        <f t="shared" si="463"/>
        <v>2.86</v>
      </c>
    </row>
    <row r="356" spans="1:142" x14ac:dyDescent="0.25">
      <c r="A356">
        <f>+IF($C356="","",ROUND(VLOOKUP('Tablas Servicio'!B356,Parámetros!$H$100:$J$159,IF(Parámetros!$E$16="F",2,3),FALSE),2))</f>
        <v>150</v>
      </c>
      <c r="B356">
        <f t="shared" si="414"/>
        <v>27</v>
      </c>
      <c r="C356" s="57">
        <f>+IF(D356="","",'Tablas Servicio'!C355+1)</f>
        <v>315</v>
      </c>
      <c r="D356" s="56">
        <f>+IF(D355&lt;edadmaxtabla,D355+1/Parámetros!$E$25,"")</f>
        <v>66.27000000000055</v>
      </c>
      <c r="E356" s="57">
        <f t="shared" si="424"/>
        <v>66</v>
      </c>
      <c r="F356" s="59">
        <f t="shared" si="425"/>
        <v>100000</v>
      </c>
      <c r="G356" s="66">
        <f t="shared" si="415"/>
        <v>94.65</v>
      </c>
      <c r="H356" s="66">
        <f t="shared" si="416"/>
        <v>98.44</v>
      </c>
      <c r="I356" s="66">
        <f t="shared" si="464"/>
        <v>-4.4399999999999977</v>
      </c>
      <c r="J356" s="66">
        <f t="shared" si="417"/>
        <v>3.3200000000000003</v>
      </c>
      <c r="K356" s="66">
        <f t="shared" si="418"/>
        <v>0.47000000000000003</v>
      </c>
      <c r="L356" s="66">
        <f t="shared" si="419"/>
        <v>0</v>
      </c>
      <c r="M356" s="66">
        <f t="shared" si="420"/>
        <v>0</v>
      </c>
      <c r="N356" s="66">
        <f>+IF(C356="","",ROUND(Parámetros!$D$23,2))</f>
        <v>94</v>
      </c>
      <c r="O356" s="66">
        <f t="shared" si="421"/>
        <v>82.15</v>
      </c>
      <c r="P356" s="66">
        <f>+IF($C356="","",ROUND(IF(B356&gt;Parámetros!$D$117,0,N356*Parámetros!$D$116-G356*Parámetros!$D$100),2))</f>
        <v>0</v>
      </c>
      <c r="Q356" s="75">
        <f t="shared" si="465"/>
        <v>3.5076597992604333E-2</v>
      </c>
      <c r="R356" s="75">
        <f t="shared" si="466"/>
        <v>4.9656629688325411E-3</v>
      </c>
      <c r="S356" s="117">
        <f>+IF($C356="","",ROUND((S355+I356)*(1+Parámetros!$D$91),2))</f>
        <v>23630.52</v>
      </c>
      <c r="T356" s="117">
        <f>+IF($C356="","",ROUND(S356*VLOOKUP(B356,Parámetros!$C$30:$D$39,2,TRUE),2))</f>
        <v>23630.52</v>
      </c>
      <c r="U356" s="117">
        <f>+IF($C356="","",ROUND((U355+I356)*(1+Parámetros!$D$92),2))</f>
        <v>25685.22</v>
      </c>
      <c r="V356" s="117">
        <f>+IF($C356="","",ROUND(U356*VLOOKUP(B356,Parámetros!$C$30:$D$39,2,TRUE),2))</f>
        <v>25685.22</v>
      </c>
      <c r="W356" s="57">
        <f t="shared" si="467"/>
        <v>315</v>
      </c>
      <c r="X356" t="str">
        <f t="shared" si="468"/>
        <v>00058</v>
      </c>
      <c r="Y356" t="str">
        <f t="shared" si="469"/>
        <v>MUERTE POR CUALQUIER CAUSA</v>
      </c>
      <c r="Z356" s="118">
        <f>+IF($W356="","",ROUND(IF(Parámetros!$D$25='TABLAS MORT'!$V$33,Z355,Parámetros!$D$21-'Tablas Servicio'!T355),0))</f>
        <v>100000</v>
      </c>
      <c r="AA356" s="118" t="str">
        <f t="shared" si="470"/>
        <v>P</v>
      </c>
      <c r="AB356" s="119">
        <f>+IF(W356="","",ROUND((VLOOKUP(ROUNDDOWN($D356-1/frec,0),qx_tabla,2,FALSE)*(1+i/frec)^-0.5*(1+Parámetros!$D$103)*(1+rec_fracc)/frec),6))</f>
        <v>7.94E-4</v>
      </c>
      <c r="AC356" s="66">
        <f t="shared" si="426"/>
        <v>79.400000000000006</v>
      </c>
      <c r="AD356" s="119">
        <f t="shared" si="422"/>
        <v>9.19E-4</v>
      </c>
      <c r="AE356" s="66">
        <f>+IF($W356="","",ROUND(IF($B356&gt;Parámetros!$D$107,'Tablas Servicio'!AC356+('Tablas Servicio'!AG355-'Tablas Servicio'!AC355),AC356/(1-IF(B356&lt;=10,Parámetros!$D$104,Parámetros!$D$105))),2))</f>
        <v>132.33000000000001</v>
      </c>
      <c r="AF356" s="66">
        <f>+IF($W356="","",ROUND(IF($B356&gt;Parámetros!$D$107,'Tablas Servicio'!AC356+('Tablas Servicio'!AG355-'Tablas Servicio'!AC355),(AC356+$A355/frec)/(1-IF(B356&lt;=Parámetros!$D$117,Parámetros!$D$100,0))),2))</f>
        <v>91.9</v>
      </c>
      <c r="AG356" s="66">
        <f t="shared" si="427"/>
        <v>91.9</v>
      </c>
      <c r="AH356" s="66">
        <f t="shared" si="428"/>
        <v>0</v>
      </c>
      <c r="AI356" s="66">
        <f t="shared" si="429"/>
        <v>0</v>
      </c>
      <c r="AJ356" s="66">
        <f>+IF($W356="","",ROUND((AG356*Parámetros!$G$85),2))</f>
        <v>3.22</v>
      </c>
      <c r="AK356" s="66">
        <f>+IF($W356="","",ROUND((AG356*(Parámetros!$G$86)),2))</f>
        <v>0.46</v>
      </c>
      <c r="AL356" s="66">
        <f t="shared" si="423"/>
        <v>95.58</v>
      </c>
      <c r="AM356" t="str">
        <f t="shared" si="471"/>
        <v>00059</v>
      </c>
      <c r="AN356" t="str">
        <f t="shared" si="472"/>
        <v>Incapacidad Total y Permanente</v>
      </c>
      <c r="AO356" s="118">
        <f t="shared" si="473"/>
        <v>0</v>
      </c>
      <c r="AP356" s="118" t="str">
        <f t="shared" si="474"/>
        <v>A</v>
      </c>
      <c r="AQ356" s="119" t="str">
        <f>+IF(OR($W356="",AO356=0),"",ROUND((VLOOKUP(ROUNDDOWN($D356-1/frec,0),cob_adi,Z$40,FALSE)*(1+i/frec)^-0.5*(1+Parámetros!$D$103)*(1+rec_fracc)/frec),6))</f>
        <v/>
      </c>
      <c r="AR356" s="66">
        <f t="shared" si="430"/>
        <v>0</v>
      </c>
      <c r="AS356" s="119" t="str">
        <f t="shared" si="431"/>
        <v/>
      </c>
      <c r="AT356" s="66">
        <f>+IF($W356="","",ROUND(IF($B356&gt;Parámetros!$D$107,'Tablas Servicio'!AR356+('Tablas Servicio'!AT355-'Tablas Servicio'!AR355),AR356/(1-IF(B356&lt;=10,Parámetros!$D$100,0))),2))</f>
        <v>0</v>
      </c>
      <c r="AU356" s="66">
        <f t="shared" si="432"/>
        <v>0</v>
      </c>
      <c r="AV356" s="66">
        <f t="shared" si="432"/>
        <v>0</v>
      </c>
      <c r="AW356" s="66">
        <f>+IF($W356="","",ROUND((AT356*Parámetros!$G$85),2))</f>
        <v>0</v>
      </c>
      <c r="AX356" s="66">
        <f>+IF($W356="","",ROUND((AT356*(Parámetros!$G$86)),2))</f>
        <v>0</v>
      </c>
      <c r="AY356" s="66">
        <f t="shared" si="433"/>
        <v>0</v>
      </c>
      <c r="AZ356" t="str">
        <f t="shared" si="475"/>
        <v>00060</v>
      </c>
      <c r="BA356" t="str">
        <f t="shared" si="476"/>
        <v>Muerte Accidental</v>
      </c>
      <c r="BB356" s="118">
        <f t="shared" si="477"/>
        <v>0</v>
      </c>
      <c r="BC356" s="118" t="str">
        <f t="shared" si="478"/>
        <v>A</v>
      </c>
      <c r="BD356" s="119" t="str">
        <f>+IF(OR($W356="",BB356=0),"",ROUND((VLOOKUP(ROUNDDOWN($D356-1/frec,0),cob_adi,AO$40,FALSE)*(1+i/frec)^-0.5*(1+Parámetros!$D$103)*(1+rec_fracc)/frec),6))</f>
        <v/>
      </c>
      <c r="BE356" s="66">
        <f t="shared" si="434"/>
        <v>0</v>
      </c>
      <c r="BF356" s="119" t="str">
        <f t="shared" si="435"/>
        <v/>
      </c>
      <c r="BG356" s="66">
        <f>+IF($W356="","",ROUND(IF($B356&gt;Parámetros!$D$107,'Tablas Servicio'!BE356+('Tablas Servicio'!BG355-'Tablas Servicio'!BE355),BE356/(1-IF(B356&lt;=10,Parámetros!$D$100,0))),2))</f>
        <v>0</v>
      </c>
      <c r="BH356" s="66">
        <f t="shared" si="436"/>
        <v>0</v>
      </c>
      <c r="BI356" s="66">
        <f t="shared" si="437"/>
        <v>0</v>
      </c>
      <c r="BJ356" s="66">
        <f>+IF($W356="","",ROUND((BG356*Parámetros!$G$85),2))</f>
        <v>0</v>
      </c>
      <c r="BK356" s="66">
        <f>+IF($W356="","",ROUND((BG356*(Parámetros!$G$86)),2))</f>
        <v>0</v>
      </c>
      <c r="BL356" s="66">
        <f t="shared" si="438"/>
        <v>0</v>
      </c>
      <c r="BM356" t="str">
        <f t="shared" si="479"/>
        <v>00061</v>
      </c>
      <c r="BN356" t="str">
        <f t="shared" si="480"/>
        <v>Gastos de Entierro</v>
      </c>
      <c r="BO356" s="118">
        <f t="shared" si="481"/>
        <v>0</v>
      </c>
      <c r="BP356" s="118" t="str">
        <f t="shared" si="482"/>
        <v>A</v>
      </c>
      <c r="BQ356" s="119" t="str">
        <f>+IF(OR($W356="",BO356=0),"",ROUND((VLOOKUP(ROUNDDOWN($D356-1/frec,0),cob_adi,BB$40,FALSE)*(1+i/frec)^-0.5*(1+Parámetros!$D$103)*(1+rec_fracc)/frec),6))</f>
        <v/>
      </c>
      <c r="BR356" s="66">
        <f t="shared" si="439"/>
        <v>0</v>
      </c>
      <c r="BS356" s="119" t="str">
        <f t="shared" si="440"/>
        <v/>
      </c>
      <c r="BT356" s="66">
        <f>+IF($W356="","",ROUND(IF($B356&gt;Parámetros!$D$107,'Tablas Servicio'!BR356+('Tablas Servicio'!BT355-'Tablas Servicio'!BR355),BR356/(1-IF(B356&lt;=10,Parámetros!$D$100,0))),2))</f>
        <v>0</v>
      </c>
      <c r="BU356" s="66">
        <f t="shared" si="441"/>
        <v>0</v>
      </c>
      <c r="BV356" s="66">
        <f t="shared" si="441"/>
        <v>0</v>
      </c>
      <c r="BW356" s="66">
        <f>+IF($W356="","",ROUND((BT356*Parámetros!$G$85),2))</f>
        <v>0</v>
      </c>
      <c r="BX356" s="66">
        <f>+IF($W356="","",ROUND((BT356*(Parámetros!$G$86)),2))</f>
        <v>0</v>
      </c>
      <c r="BY356" s="66">
        <f t="shared" si="442"/>
        <v>0</v>
      </c>
      <c r="BZ356" t="str">
        <f t="shared" si="483"/>
        <v>00062</v>
      </c>
      <c r="CA356" t="str">
        <f t="shared" si="484"/>
        <v>Gastos médicos por accidente</v>
      </c>
      <c r="CB356" s="118">
        <f t="shared" si="485"/>
        <v>0</v>
      </c>
      <c r="CC356" s="118" t="str">
        <f t="shared" si="486"/>
        <v>A</v>
      </c>
      <c r="CD356" s="119" t="str">
        <f t="shared" si="443"/>
        <v/>
      </c>
      <c r="CE356" s="66">
        <f>+IF($W356="","",ROUND((VLOOKUP(ROUNDDOWN($D356-1/frec,0),cob_adi,BO$40,FALSE)*(1+i/frec)^-0.5*(1+Parámetros!$D$103)*(1+rec_fracc)/frec*'TABLAS ADI'!$BC$17),2))</f>
        <v>0</v>
      </c>
      <c r="CF356" s="119" t="str">
        <f t="shared" si="444"/>
        <v/>
      </c>
      <c r="CG356" s="66">
        <f>+IF($W356="","",ROUND(IF($B356&gt;Parámetros!$D$107,'Tablas Servicio'!CE356+('Tablas Servicio'!CG355-'Tablas Servicio'!CE355),CE356/(1-IF(B356&lt;=10,Parámetros!$D$100,0))),2))</f>
        <v>0</v>
      </c>
      <c r="CH356" s="66">
        <f t="shared" si="445"/>
        <v>0</v>
      </c>
      <c r="CI356" s="66">
        <f t="shared" si="445"/>
        <v>0</v>
      </c>
      <c r="CJ356" s="66">
        <f>+IF($W356="","",ROUND((CG356*Parámetros!$G$85),2))</f>
        <v>0</v>
      </c>
      <c r="CK356" s="66">
        <f>+IF($W356="","",ROUND((CG356*(Parámetros!$G$86)),2))</f>
        <v>0</v>
      </c>
      <c r="CL356" s="66">
        <f t="shared" si="446"/>
        <v>0</v>
      </c>
      <c r="CM356" t="str">
        <f t="shared" si="487"/>
        <v>00063</v>
      </c>
      <c r="CN356" s="118" t="str">
        <f t="shared" si="488"/>
        <v>Renta Diaria por Hospitalización</v>
      </c>
      <c r="CO356" s="118">
        <f t="shared" si="489"/>
        <v>0</v>
      </c>
      <c r="CP356" s="118" t="str">
        <f t="shared" si="490"/>
        <v>A</v>
      </c>
      <c r="CQ356" s="119" t="str">
        <f t="shared" si="447"/>
        <v/>
      </c>
      <c r="CR356" s="66">
        <f>+IF($W356="","",ROUND((VLOOKUP(Parámetros!$F$51,'COBERTURAS ADICIONALES'!$S$4:$T$32,2,FALSE)*(1+i/frec)^-0.5*(1+Parámetros!$D$103)*(1+rec_fracc)/frec*$CO$42),2))</f>
        <v>0</v>
      </c>
      <c r="CS356" s="119" t="str">
        <f t="shared" si="448"/>
        <v/>
      </c>
      <c r="CT356" s="66">
        <f>+IF($W356="","",ROUND(IF($B356&gt;Parámetros!$D$107,'Tablas Servicio'!CR356+('Tablas Servicio'!CT355-'Tablas Servicio'!CR355),CR356/(1-IF(B356&lt;=10,Parámetros!$D$100,0))),2))</f>
        <v>0</v>
      </c>
      <c r="CU356" s="66">
        <f t="shared" si="449"/>
        <v>0</v>
      </c>
      <c r="CV356" s="66">
        <f t="shared" si="449"/>
        <v>0</v>
      </c>
      <c r="CW356" s="66">
        <f>+IF($W356="","",ROUND((CT356*Parámetros!$G$85),2))</f>
        <v>0</v>
      </c>
      <c r="CX356" s="66">
        <f>+IF($W356="","",ROUND((CT356*(Parámetros!$G$86)),2))</f>
        <v>0</v>
      </c>
      <c r="CY356" s="66">
        <f t="shared" si="450"/>
        <v>0</v>
      </c>
      <c r="CZ356" t="str">
        <f t="shared" si="491"/>
        <v>00064</v>
      </c>
      <c r="DA356" s="118" t="str">
        <f t="shared" si="492"/>
        <v>Enfermedades Graves</v>
      </c>
      <c r="DB356" s="118">
        <f t="shared" si="493"/>
        <v>0</v>
      </c>
      <c r="DC356" s="118" t="str">
        <f t="shared" si="494"/>
        <v>A</v>
      </c>
      <c r="DD356" s="121" t="str">
        <f>+IF(OR($W356="",DB356=0),"",ROUND((VLOOKUP(ROUNDDOWN($D356-1/frec,0),cob_adi,CO$40,FALSE)*(1+i/frec)^-0.5*(1+Parámetros!$D$103)*(1+rec_fracc)/frec),6))</f>
        <v/>
      </c>
      <c r="DE356" s="66">
        <f t="shared" si="451"/>
        <v>0</v>
      </c>
      <c r="DF356" s="119" t="str">
        <f t="shared" si="452"/>
        <v/>
      </c>
      <c r="DG356" s="66">
        <f>+IF($W356="","",ROUND(IF($B356&gt;Parámetros!$D$107,'Tablas Servicio'!DE356+('Tablas Servicio'!DG355-'Tablas Servicio'!DE355),DE356/(1-IF(B356&lt;=10,Parámetros!$D$100,0))),2))</f>
        <v>0</v>
      </c>
      <c r="DH356" s="66">
        <f t="shared" si="453"/>
        <v>0</v>
      </c>
      <c r="DI356" s="66">
        <f t="shared" si="453"/>
        <v>0</v>
      </c>
      <c r="DJ356" s="66">
        <f>+IF($W356="","",ROUND((DG356*Parámetros!$G$85),2))</f>
        <v>0</v>
      </c>
      <c r="DK356" s="66">
        <f>+IF($W356="","",ROUND((DG356*(Parámetros!$G$86)),2))</f>
        <v>0</v>
      </c>
      <c r="DL356" s="66">
        <f t="shared" si="454"/>
        <v>0</v>
      </c>
      <c r="DM356" t="str">
        <f t="shared" si="495"/>
        <v>00065</v>
      </c>
      <c r="DN356" s="118" t="str">
        <f t="shared" si="496"/>
        <v>Exención pago de primas</v>
      </c>
      <c r="DO356" s="118">
        <f t="shared" si="497"/>
        <v>0</v>
      </c>
      <c r="DP356" s="118" t="str">
        <f t="shared" si="498"/>
        <v>A</v>
      </c>
      <c r="DQ356" s="122" t="str">
        <f>+IF(OR($W356="",DO356=0),"",ROUND((VLOOKUP(ROUNDDOWN($D356-1/frec,0),cob_adi,DB$40,FALSE)*(1+i/frec)^-0.5*(1+Parámetros!$D$103)*(1+rec_fracc)/frec),6))</f>
        <v/>
      </c>
      <c r="DR356" s="66">
        <f t="shared" si="455"/>
        <v>0</v>
      </c>
      <c r="DS356" s="68" t="str">
        <f t="shared" si="456"/>
        <v/>
      </c>
      <c r="DT356" s="66">
        <f>+IF($W356="","",ROUND(IF($B356&gt;Parámetros!$D$107,'Tablas Servicio'!DR356+('Tablas Servicio'!DT355-'Tablas Servicio'!DR355),DR356/(1-IF(B356&lt;=10,Parámetros!$D$100,0))),2))</f>
        <v>0</v>
      </c>
      <c r="DU356" s="66">
        <f t="shared" si="457"/>
        <v>0</v>
      </c>
      <c r="DV356" s="66">
        <f t="shared" si="457"/>
        <v>0</v>
      </c>
      <c r="DW356" s="66">
        <f>+IF($W356="","",ROUND((DT356*Parámetros!$G$85),2))</f>
        <v>0</v>
      </c>
      <c r="DX356" s="66">
        <f>+IF($W356="","",ROUND((DT356*(Parámetros!$G$86)),2))</f>
        <v>0</v>
      </c>
      <c r="DY356" s="66">
        <f t="shared" si="458"/>
        <v>0</v>
      </c>
      <c r="DZ356" t="str">
        <f t="shared" si="501"/>
        <v>00066</v>
      </c>
      <c r="EA356" s="118" t="str">
        <f t="shared" si="501"/>
        <v>Enfermedad terminal</v>
      </c>
      <c r="EB356" s="118">
        <f>+IF($W356="","",ROUND(IF(Parámetros!$D$25='TABLAS MORT'!$V$33,EB355,Z356/2),0))</f>
        <v>50000</v>
      </c>
      <c r="EC356" s="118" t="str">
        <f t="shared" si="501"/>
        <v>A</v>
      </c>
      <c r="ED356" s="122">
        <f>+IF(OR($W356="",EB356=0),"",ROUND((VLOOKUP(ROUNDDOWN($D356-1/frec,0),cob_adi,DO$40,FALSE)*(1+i/frec)^-0.5*(1+Parámetros!$D$103)*(1+rec_fracc)/frec),6))</f>
        <v>5.5000000000000002E-5</v>
      </c>
      <c r="EE356" s="66">
        <f t="shared" si="460"/>
        <v>2.75</v>
      </c>
      <c r="EF356" s="68">
        <f t="shared" si="461"/>
        <v>5.5000000000000002E-5</v>
      </c>
      <c r="EG356" s="66">
        <f>+IF($W356="","",ROUND(IF($B356&gt;Parámetros!$D$107,'Tablas Servicio'!EE356+('Tablas Servicio'!EG355-'Tablas Servicio'!EE355),EE356/(1-IF(B356&lt;=10,Parámetros!$D$100,0))),2))</f>
        <v>2.75</v>
      </c>
      <c r="EH356" s="66">
        <f t="shared" si="462"/>
        <v>0</v>
      </c>
      <c r="EI356" s="66">
        <f t="shared" si="462"/>
        <v>0</v>
      </c>
      <c r="EJ356" s="66">
        <f>+IF($W356="","",ROUND((EG356*Parámetros!$G$85),2))</f>
        <v>0.1</v>
      </c>
      <c r="EK356" s="66">
        <f>+IF($W356="","",ROUND((EG356*(Parámetros!$G$86)),2))</f>
        <v>0.01</v>
      </c>
      <c r="EL356" s="66">
        <f t="shared" si="463"/>
        <v>2.86</v>
      </c>
    </row>
    <row r="357" spans="1:142" x14ac:dyDescent="0.25">
      <c r="A357">
        <f>+IF($C357="","",ROUND(VLOOKUP('Tablas Servicio'!B357,Parámetros!$H$100:$J$159,IF(Parámetros!$E$16="F",2,3),FALSE),2))</f>
        <v>150</v>
      </c>
      <c r="B357">
        <f t="shared" si="414"/>
        <v>27</v>
      </c>
      <c r="C357" s="57">
        <f>+IF(D357="","",'Tablas Servicio'!C356+1)</f>
        <v>316</v>
      </c>
      <c r="D357" s="56">
        <f>+IF(D356&lt;edadmaxtabla,D356+1/Parámetros!$E$25,"")</f>
        <v>66.353333333333879</v>
      </c>
      <c r="E357" s="57">
        <f t="shared" si="424"/>
        <v>66</v>
      </c>
      <c r="F357" s="59">
        <f t="shared" si="425"/>
        <v>100000</v>
      </c>
      <c r="G357" s="66">
        <f t="shared" si="415"/>
        <v>94.65</v>
      </c>
      <c r="H357" s="66">
        <f t="shared" si="416"/>
        <v>98.44</v>
      </c>
      <c r="I357" s="66">
        <f t="shared" si="464"/>
        <v>-4.4399999999999977</v>
      </c>
      <c r="J357" s="66">
        <f t="shared" si="417"/>
        <v>3.3200000000000003</v>
      </c>
      <c r="K357" s="66">
        <f t="shared" si="418"/>
        <v>0.47000000000000003</v>
      </c>
      <c r="L357" s="66">
        <f t="shared" si="419"/>
        <v>0</v>
      </c>
      <c r="M357" s="66">
        <f t="shared" si="420"/>
        <v>0</v>
      </c>
      <c r="N357" s="66">
        <f>+IF(C357="","",ROUND(Parámetros!$D$23,2))</f>
        <v>94</v>
      </c>
      <c r="O357" s="66">
        <f t="shared" si="421"/>
        <v>82.15</v>
      </c>
      <c r="P357" s="66">
        <f>+IF($C357="","",ROUND(IF(B357&gt;Parámetros!$D$117,0,N357*Parámetros!$D$116-G357*Parámetros!$D$100),2))</f>
        <v>0</v>
      </c>
      <c r="Q357" s="75">
        <f t="shared" si="465"/>
        <v>3.5076597992604333E-2</v>
      </c>
      <c r="R357" s="75">
        <f t="shared" si="466"/>
        <v>4.9656629688325411E-3</v>
      </c>
      <c r="S357" s="117">
        <f>+IF($C357="","",ROUND((S356+I357)*(1+Parámetros!$D$91),2))</f>
        <v>23693.09</v>
      </c>
      <c r="T357" s="117">
        <f>+IF($C357="","",ROUND(S357*VLOOKUP(B357,Parámetros!$C$30:$D$39,2,TRUE),2))</f>
        <v>23693.09</v>
      </c>
      <c r="U357" s="117">
        <f>+IF($C357="","",ROUND((U356+I357)*(1+Parámetros!$D$92),2))</f>
        <v>25764.03</v>
      </c>
      <c r="V357" s="117">
        <f>+IF($C357="","",ROUND(U357*VLOOKUP(B357,Parámetros!$C$30:$D$39,2,TRUE),2))</f>
        <v>25764.03</v>
      </c>
      <c r="W357" s="57">
        <f t="shared" si="467"/>
        <v>316</v>
      </c>
      <c r="X357" t="str">
        <f t="shared" si="468"/>
        <v>00058</v>
      </c>
      <c r="Y357" t="str">
        <f t="shared" si="469"/>
        <v>MUERTE POR CUALQUIER CAUSA</v>
      </c>
      <c r="Z357" s="118">
        <f>+IF($W357="","",ROUND(IF(Parámetros!$D$25='TABLAS MORT'!$V$33,Z356,Parámetros!$D$21-'Tablas Servicio'!T356),0))</f>
        <v>100000</v>
      </c>
      <c r="AA357" s="118" t="str">
        <f t="shared" si="470"/>
        <v>P</v>
      </c>
      <c r="AB357" s="119">
        <f>+IF(W357="","",ROUND((VLOOKUP(ROUNDDOWN($D357-1/frec,0),qx_tabla,2,FALSE)*(1+i/frec)^-0.5*(1+Parámetros!$D$103)*(1+rec_fracc)/frec),6))</f>
        <v>7.94E-4</v>
      </c>
      <c r="AC357" s="66">
        <f t="shared" si="426"/>
        <v>79.400000000000006</v>
      </c>
      <c r="AD357" s="119">
        <f t="shared" si="422"/>
        <v>9.19E-4</v>
      </c>
      <c r="AE357" s="66">
        <f>+IF($W357="","",ROUND(IF($B357&gt;Parámetros!$D$107,'Tablas Servicio'!AC357+('Tablas Servicio'!AG356-'Tablas Servicio'!AC356),AC357/(1-IF(B357&lt;=10,Parámetros!$D$104,Parámetros!$D$105))),2))</f>
        <v>132.33000000000001</v>
      </c>
      <c r="AF357" s="66">
        <f>+IF($W357="","",ROUND(IF($B357&gt;Parámetros!$D$107,'Tablas Servicio'!AC357+('Tablas Servicio'!AG356-'Tablas Servicio'!AC356),(AC357+$A356/frec)/(1-IF(B357&lt;=Parámetros!$D$117,Parámetros!$D$100,0))),2))</f>
        <v>91.9</v>
      </c>
      <c r="AG357" s="66">
        <f t="shared" si="427"/>
        <v>91.9</v>
      </c>
      <c r="AH357" s="66">
        <f t="shared" si="428"/>
        <v>0</v>
      </c>
      <c r="AI357" s="66">
        <f t="shared" si="429"/>
        <v>0</v>
      </c>
      <c r="AJ357" s="66">
        <f>+IF($W357="","",ROUND((AG357*Parámetros!$G$85),2))</f>
        <v>3.22</v>
      </c>
      <c r="AK357" s="66">
        <f>+IF($W357="","",ROUND((AG357*(Parámetros!$G$86)),2))</f>
        <v>0.46</v>
      </c>
      <c r="AL357" s="66">
        <f t="shared" si="423"/>
        <v>95.58</v>
      </c>
      <c r="AM357" t="str">
        <f t="shared" si="471"/>
        <v>00059</v>
      </c>
      <c r="AN357" t="str">
        <f t="shared" si="472"/>
        <v>Incapacidad Total y Permanente</v>
      </c>
      <c r="AO357" s="118">
        <f t="shared" si="473"/>
        <v>0</v>
      </c>
      <c r="AP357" s="118" t="str">
        <f t="shared" si="474"/>
        <v>A</v>
      </c>
      <c r="AQ357" s="119" t="str">
        <f>+IF(OR($W357="",AO357=0),"",ROUND((VLOOKUP(ROUNDDOWN($D357-1/frec,0),cob_adi,Z$40,FALSE)*(1+i/frec)^-0.5*(1+Parámetros!$D$103)*(1+rec_fracc)/frec),6))</f>
        <v/>
      </c>
      <c r="AR357" s="66">
        <f t="shared" si="430"/>
        <v>0</v>
      </c>
      <c r="AS357" s="119" t="str">
        <f t="shared" si="431"/>
        <v/>
      </c>
      <c r="AT357" s="66">
        <f>+IF($W357="","",ROUND(IF($B357&gt;Parámetros!$D$107,'Tablas Servicio'!AR357+('Tablas Servicio'!AT356-'Tablas Servicio'!AR356),AR357/(1-IF(B357&lt;=10,Parámetros!$D$100,0))),2))</f>
        <v>0</v>
      </c>
      <c r="AU357" s="66">
        <f t="shared" si="432"/>
        <v>0</v>
      </c>
      <c r="AV357" s="66">
        <f t="shared" si="432"/>
        <v>0</v>
      </c>
      <c r="AW357" s="66">
        <f>+IF($W357="","",ROUND((AT357*Parámetros!$G$85),2))</f>
        <v>0</v>
      </c>
      <c r="AX357" s="66">
        <f>+IF($W357="","",ROUND((AT357*(Parámetros!$G$86)),2))</f>
        <v>0</v>
      </c>
      <c r="AY357" s="66">
        <f t="shared" si="433"/>
        <v>0</v>
      </c>
      <c r="AZ357" t="str">
        <f t="shared" si="475"/>
        <v>00060</v>
      </c>
      <c r="BA357" t="str">
        <f t="shared" si="476"/>
        <v>Muerte Accidental</v>
      </c>
      <c r="BB357" s="118">
        <f t="shared" si="477"/>
        <v>0</v>
      </c>
      <c r="BC357" s="118" t="str">
        <f t="shared" si="478"/>
        <v>A</v>
      </c>
      <c r="BD357" s="119" t="str">
        <f>+IF(OR($W357="",BB357=0),"",ROUND((VLOOKUP(ROUNDDOWN($D357-1/frec,0),cob_adi,AO$40,FALSE)*(1+i/frec)^-0.5*(1+Parámetros!$D$103)*(1+rec_fracc)/frec),6))</f>
        <v/>
      </c>
      <c r="BE357" s="66">
        <f t="shared" si="434"/>
        <v>0</v>
      </c>
      <c r="BF357" s="119" t="str">
        <f t="shared" si="435"/>
        <v/>
      </c>
      <c r="BG357" s="66">
        <f>+IF($W357="","",ROUND(IF($B357&gt;Parámetros!$D$107,'Tablas Servicio'!BE357+('Tablas Servicio'!BG356-'Tablas Servicio'!BE356),BE357/(1-IF(B357&lt;=10,Parámetros!$D$100,0))),2))</f>
        <v>0</v>
      </c>
      <c r="BH357" s="66">
        <f t="shared" si="436"/>
        <v>0</v>
      </c>
      <c r="BI357" s="66">
        <f t="shared" si="437"/>
        <v>0</v>
      </c>
      <c r="BJ357" s="66">
        <f>+IF($W357="","",ROUND((BG357*Parámetros!$G$85),2))</f>
        <v>0</v>
      </c>
      <c r="BK357" s="66">
        <f>+IF($W357="","",ROUND((BG357*(Parámetros!$G$86)),2))</f>
        <v>0</v>
      </c>
      <c r="BL357" s="66">
        <f t="shared" si="438"/>
        <v>0</v>
      </c>
      <c r="BM357" t="str">
        <f t="shared" si="479"/>
        <v>00061</v>
      </c>
      <c r="BN357" t="str">
        <f t="shared" si="480"/>
        <v>Gastos de Entierro</v>
      </c>
      <c r="BO357" s="118">
        <f t="shared" si="481"/>
        <v>0</v>
      </c>
      <c r="BP357" s="118" t="str">
        <f t="shared" si="482"/>
        <v>A</v>
      </c>
      <c r="BQ357" s="119" t="str">
        <f>+IF(OR($W357="",BO357=0),"",ROUND((VLOOKUP(ROUNDDOWN($D357-1/frec,0),cob_adi,BB$40,FALSE)*(1+i/frec)^-0.5*(1+Parámetros!$D$103)*(1+rec_fracc)/frec),6))</f>
        <v/>
      </c>
      <c r="BR357" s="66">
        <f t="shared" si="439"/>
        <v>0</v>
      </c>
      <c r="BS357" s="119" t="str">
        <f t="shared" si="440"/>
        <v/>
      </c>
      <c r="BT357" s="66">
        <f>+IF($W357="","",ROUND(IF($B357&gt;Parámetros!$D$107,'Tablas Servicio'!BR357+('Tablas Servicio'!BT356-'Tablas Servicio'!BR356),BR357/(1-IF(B357&lt;=10,Parámetros!$D$100,0))),2))</f>
        <v>0</v>
      </c>
      <c r="BU357" s="66">
        <f t="shared" si="441"/>
        <v>0</v>
      </c>
      <c r="BV357" s="66">
        <f t="shared" si="441"/>
        <v>0</v>
      </c>
      <c r="BW357" s="66">
        <f>+IF($W357="","",ROUND((BT357*Parámetros!$G$85),2))</f>
        <v>0</v>
      </c>
      <c r="BX357" s="66">
        <f>+IF($W357="","",ROUND((BT357*(Parámetros!$G$86)),2))</f>
        <v>0</v>
      </c>
      <c r="BY357" s="66">
        <f t="shared" si="442"/>
        <v>0</v>
      </c>
      <c r="BZ357" t="str">
        <f t="shared" si="483"/>
        <v>00062</v>
      </c>
      <c r="CA357" t="str">
        <f t="shared" si="484"/>
        <v>Gastos médicos por accidente</v>
      </c>
      <c r="CB357" s="118">
        <f t="shared" si="485"/>
        <v>0</v>
      </c>
      <c r="CC357" s="118" t="str">
        <f t="shared" si="486"/>
        <v>A</v>
      </c>
      <c r="CD357" s="119" t="str">
        <f t="shared" si="443"/>
        <v/>
      </c>
      <c r="CE357" s="66">
        <f>+IF($W357="","",ROUND((VLOOKUP(ROUNDDOWN($D357-1/frec,0),cob_adi,BO$40,FALSE)*(1+i/frec)^-0.5*(1+Parámetros!$D$103)*(1+rec_fracc)/frec*'TABLAS ADI'!$BC$17),2))</f>
        <v>0</v>
      </c>
      <c r="CF357" s="119" t="str">
        <f t="shared" si="444"/>
        <v/>
      </c>
      <c r="CG357" s="66">
        <f>+IF($W357="","",ROUND(IF($B357&gt;Parámetros!$D$107,'Tablas Servicio'!CE357+('Tablas Servicio'!CG356-'Tablas Servicio'!CE356),CE357/(1-IF(B357&lt;=10,Parámetros!$D$100,0))),2))</f>
        <v>0</v>
      </c>
      <c r="CH357" s="66">
        <f t="shared" si="445"/>
        <v>0</v>
      </c>
      <c r="CI357" s="66">
        <f t="shared" si="445"/>
        <v>0</v>
      </c>
      <c r="CJ357" s="66">
        <f>+IF($W357="","",ROUND((CG357*Parámetros!$G$85),2))</f>
        <v>0</v>
      </c>
      <c r="CK357" s="66">
        <f>+IF($W357="","",ROUND((CG357*(Parámetros!$G$86)),2))</f>
        <v>0</v>
      </c>
      <c r="CL357" s="66">
        <f t="shared" si="446"/>
        <v>0</v>
      </c>
      <c r="CM357" t="str">
        <f t="shared" si="487"/>
        <v>00063</v>
      </c>
      <c r="CN357" s="118" t="str">
        <f t="shared" si="488"/>
        <v>Renta Diaria por Hospitalización</v>
      </c>
      <c r="CO357" s="118">
        <f t="shared" si="489"/>
        <v>0</v>
      </c>
      <c r="CP357" s="118" t="str">
        <f t="shared" si="490"/>
        <v>A</v>
      </c>
      <c r="CQ357" s="119" t="str">
        <f t="shared" si="447"/>
        <v/>
      </c>
      <c r="CR357" s="66">
        <f>+IF($W357="","",ROUND((VLOOKUP(Parámetros!$F$51,'COBERTURAS ADICIONALES'!$S$4:$T$32,2,FALSE)*(1+i/frec)^-0.5*(1+Parámetros!$D$103)*(1+rec_fracc)/frec*$CO$42),2))</f>
        <v>0</v>
      </c>
      <c r="CS357" s="119" t="str">
        <f t="shared" si="448"/>
        <v/>
      </c>
      <c r="CT357" s="66">
        <f>+IF($W357="","",ROUND(IF($B357&gt;Parámetros!$D$107,'Tablas Servicio'!CR357+('Tablas Servicio'!CT356-'Tablas Servicio'!CR356),CR357/(1-IF(B357&lt;=10,Parámetros!$D$100,0))),2))</f>
        <v>0</v>
      </c>
      <c r="CU357" s="66">
        <f t="shared" si="449"/>
        <v>0</v>
      </c>
      <c r="CV357" s="66">
        <f t="shared" si="449"/>
        <v>0</v>
      </c>
      <c r="CW357" s="66">
        <f>+IF($W357="","",ROUND((CT357*Parámetros!$G$85),2))</f>
        <v>0</v>
      </c>
      <c r="CX357" s="66">
        <f>+IF($W357="","",ROUND((CT357*(Parámetros!$G$86)),2))</f>
        <v>0</v>
      </c>
      <c r="CY357" s="66">
        <f t="shared" si="450"/>
        <v>0</v>
      </c>
      <c r="CZ357" t="str">
        <f t="shared" si="491"/>
        <v>00064</v>
      </c>
      <c r="DA357" s="118" t="str">
        <f t="shared" si="492"/>
        <v>Enfermedades Graves</v>
      </c>
      <c r="DB357" s="118">
        <f t="shared" si="493"/>
        <v>0</v>
      </c>
      <c r="DC357" s="118" t="str">
        <f t="shared" si="494"/>
        <v>A</v>
      </c>
      <c r="DD357" s="121" t="str">
        <f>+IF(OR($W357="",DB357=0),"",ROUND((VLOOKUP(ROUNDDOWN($D357-1/frec,0),cob_adi,CO$40,FALSE)*(1+i/frec)^-0.5*(1+Parámetros!$D$103)*(1+rec_fracc)/frec),6))</f>
        <v/>
      </c>
      <c r="DE357" s="66">
        <f t="shared" si="451"/>
        <v>0</v>
      </c>
      <c r="DF357" s="119" t="str">
        <f t="shared" si="452"/>
        <v/>
      </c>
      <c r="DG357" s="66">
        <f>+IF($W357="","",ROUND(IF($B357&gt;Parámetros!$D$107,'Tablas Servicio'!DE357+('Tablas Servicio'!DG356-'Tablas Servicio'!DE356),DE357/(1-IF(B357&lt;=10,Parámetros!$D$100,0))),2))</f>
        <v>0</v>
      </c>
      <c r="DH357" s="66">
        <f t="shared" si="453"/>
        <v>0</v>
      </c>
      <c r="DI357" s="66">
        <f t="shared" si="453"/>
        <v>0</v>
      </c>
      <c r="DJ357" s="66">
        <f>+IF($W357="","",ROUND((DG357*Parámetros!$G$85),2))</f>
        <v>0</v>
      </c>
      <c r="DK357" s="66">
        <f>+IF($W357="","",ROUND((DG357*(Parámetros!$G$86)),2))</f>
        <v>0</v>
      </c>
      <c r="DL357" s="66">
        <f t="shared" si="454"/>
        <v>0</v>
      </c>
      <c r="DM357" t="str">
        <f t="shared" si="495"/>
        <v>00065</v>
      </c>
      <c r="DN357" s="118" t="str">
        <f t="shared" si="496"/>
        <v>Exención pago de primas</v>
      </c>
      <c r="DO357" s="118">
        <f t="shared" si="497"/>
        <v>0</v>
      </c>
      <c r="DP357" s="118" t="str">
        <f t="shared" si="498"/>
        <v>A</v>
      </c>
      <c r="DQ357" s="122" t="str">
        <f>+IF(OR($W357="",DO357=0),"",ROUND((VLOOKUP(ROUNDDOWN($D357-1/frec,0),cob_adi,DB$40,FALSE)*(1+i/frec)^-0.5*(1+Parámetros!$D$103)*(1+rec_fracc)/frec),6))</f>
        <v/>
      </c>
      <c r="DR357" s="66">
        <f t="shared" si="455"/>
        <v>0</v>
      </c>
      <c r="DS357" s="68" t="str">
        <f t="shared" si="456"/>
        <v/>
      </c>
      <c r="DT357" s="66">
        <f>+IF($W357="","",ROUND(IF($B357&gt;Parámetros!$D$107,'Tablas Servicio'!DR357+('Tablas Servicio'!DT356-'Tablas Servicio'!DR356),DR357/(1-IF(B357&lt;=10,Parámetros!$D$100,0))),2))</f>
        <v>0</v>
      </c>
      <c r="DU357" s="66">
        <f t="shared" si="457"/>
        <v>0</v>
      </c>
      <c r="DV357" s="66">
        <f t="shared" si="457"/>
        <v>0</v>
      </c>
      <c r="DW357" s="66">
        <f>+IF($W357="","",ROUND((DT357*Parámetros!$G$85),2))</f>
        <v>0</v>
      </c>
      <c r="DX357" s="66">
        <f>+IF($W357="","",ROUND((DT357*(Parámetros!$G$86)),2))</f>
        <v>0</v>
      </c>
      <c r="DY357" s="66">
        <f t="shared" si="458"/>
        <v>0</v>
      </c>
      <c r="DZ357" t="str">
        <f t="shared" si="501"/>
        <v>00066</v>
      </c>
      <c r="EA357" s="118" t="str">
        <f t="shared" si="501"/>
        <v>Enfermedad terminal</v>
      </c>
      <c r="EB357" s="118">
        <f>+IF($W357="","",ROUND(IF(Parámetros!$D$25='TABLAS MORT'!$V$33,EB356,Z357/2),0))</f>
        <v>50000</v>
      </c>
      <c r="EC357" s="118" t="str">
        <f t="shared" si="501"/>
        <v>A</v>
      </c>
      <c r="ED357" s="122">
        <f>+IF(OR($W357="",EB357=0),"",ROUND((VLOOKUP(ROUNDDOWN($D357-1/frec,0),cob_adi,DO$40,FALSE)*(1+i/frec)^-0.5*(1+Parámetros!$D$103)*(1+rec_fracc)/frec),6))</f>
        <v>5.5000000000000002E-5</v>
      </c>
      <c r="EE357" s="66">
        <f t="shared" si="460"/>
        <v>2.75</v>
      </c>
      <c r="EF357" s="68">
        <f t="shared" si="461"/>
        <v>5.5000000000000002E-5</v>
      </c>
      <c r="EG357" s="66">
        <f>+IF($W357="","",ROUND(IF($B357&gt;Parámetros!$D$107,'Tablas Servicio'!EE357+('Tablas Servicio'!EG356-'Tablas Servicio'!EE356),EE357/(1-IF(B357&lt;=10,Parámetros!$D$100,0))),2))</f>
        <v>2.75</v>
      </c>
      <c r="EH357" s="66">
        <f t="shared" si="462"/>
        <v>0</v>
      </c>
      <c r="EI357" s="66">
        <f t="shared" si="462"/>
        <v>0</v>
      </c>
      <c r="EJ357" s="66">
        <f>+IF($W357="","",ROUND((EG357*Parámetros!$G$85),2))</f>
        <v>0.1</v>
      </c>
      <c r="EK357" s="66">
        <f>+IF($W357="","",ROUND((EG357*(Parámetros!$G$86)),2))</f>
        <v>0.01</v>
      </c>
      <c r="EL357" s="66">
        <f t="shared" si="463"/>
        <v>2.86</v>
      </c>
    </row>
    <row r="358" spans="1:142" x14ac:dyDescent="0.25">
      <c r="A358">
        <f>+IF($C358="","",ROUND(VLOOKUP('Tablas Servicio'!B358,Parámetros!$H$100:$J$159,IF(Parámetros!$E$16="F",2,3),FALSE),2))</f>
        <v>150</v>
      </c>
      <c r="B358">
        <f t="shared" si="414"/>
        <v>27</v>
      </c>
      <c r="C358" s="57">
        <f>+IF(D358="","",'Tablas Servicio'!C357+1)</f>
        <v>317</v>
      </c>
      <c r="D358" s="56">
        <f>+IF(D357&lt;edadmaxtabla,D357+1/Parámetros!$E$25,"")</f>
        <v>66.436666666667207</v>
      </c>
      <c r="E358" s="57">
        <f t="shared" si="424"/>
        <v>66</v>
      </c>
      <c r="F358" s="59">
        <f t="shared" si="425"/>
        <v>100000</v>
      </c>
      <c r="G358" s="66">
        <f t="shared" si="415"/>
        <v>94.65</v>
      </c>
      <c r="H358" s="66">
        <f t="shared" si="416"/>
        <v>98.44</v>
      </c>
      <c r="I358" s="66">
        <f t="shared" si="464"/>
        <v>-4.4399999999999977</v>
      </c>
      <c r="J358" s="66">
        <f t="shared" si="417"/>
        <v>3.3200000000000003</v>
      </c>
      <c r="K358" s="66">
        <f t="shared" si="418"/>
        <v>0.47000000000000003</v>
      </c>
      <c r="L358" s="66">
        <f t="shared" si="419"/>
        <v>0</v>
      </c>
      <c r="M358" s="66">
        <f t="shared" si="420"/>
        <v>0</v>
      </c>
      <c r="N358" s="66">
        <f>+IF(C358="","",ROUND(Parámetros!$D$23,2))</f>
        <v>94</v>
      </c>
      <c r="O358" s="66">
        <f t="shared" si="421"/>
        <v>82.15</v>
      </c>
      <c r="P358" s="66">
        <f>+IF($C358="","",ROUND(IF(B358&gt;Parámetros!$D$117,0,N358*Parámetros!$D$116-G358*Parámetros!$D$100),2))</f>
        <v>0</v>
      </c>
      <c r="Q358" s="75">
        <f t="shared" si="465"/>
        <v>3.5076597992604333E-2</v>
      </c>
      <c r="R358" s="75">
        <f t="shared" si="466"/>
        <v>4.9656629688325411E-3</v>
      </c>
      <c r="S358" s="117">
        <f>+IF($C358="","",ROUND((S357+I358)*(1+Parámetros!$D$91),2))</f>
        <v>23755.84</v>
      </c>
      <c r="T358" s="117">
        <f>+IF($C358="","",ROUND(S358*VLOOKUP(B358,Parámetros!$C$30:$D$39,2,TRUE),2))</f>
        <v>23755.84</v>
      </c>
      <c r="U358" s="117">
        <f>+IF($C358="","",ROUND((U357+I358)*(1+Parámetros!$D$92),2))</f>
        <v>25843.09</v>
      </c>
      <c r="V358" s="117">
        <f>+IF($C358="","",ROUND(U358*VLOOKUP(B358,Parámetros!$C$30:$D$39,2,TRUE),2))</f>
        <v>25843.09</v>
      </c>
      <c r="W358" s="57">
        <f t="shared" si="467"/>
        <v>317</v>
      </c>
      <c r="X358" t="str">
        <f t="shared" si="468"/>
        <v>00058</v>
      </c>
      <c r="Y358" t="str">
        <f t="shared" si="469"/>
        <v>MUERTE POR CUALQUIER CAUSA</v>
      </c>
      <c r="Z358" s="118">
        <f>+IF($W358="","",ROUND(IF(Parámetros!$D$25='TABLAS MORT'!$V$33,Z357,Parámetros!$D$21-'Tablas Servicio'!T357),0))</f>
        <v>100000</v>
      </c>
      <c r="AA358" s="118" t="str">
        <f t="shared" si="470"/>
        <v>P</v>
      </c>
      <c r="AB358" s="119">
        <f>+IF(W358="","",ROUND((VLOOKUP(ROUNDDOWN($D358-1/frec,0),qx_tabla,2,FALSE)*(1+i/frec)^-0.5*(1+Parámetros!$D$103)*(1+rec_fracc)/frec),6))</f>
        <v>7.94E-4</v>
      </c>
      <c r="AC358" s="66">
        <f t="shared" si="426"/>
        <v>79.400000000000006</v>
      </c>
      <c r="AD358" s="119">
        <f t="shared" si="422"/>
        <v>9.19E-4</v>
      </c>
      <c r="AE358" s="66">
        <f>+IF($W358="","",ROUND(IF($B358&gt;Parámetros!$D$107,'Tablas Servicio'!AC358+('Tablas Servicio'!AG357-'Tablas Servicio'!AC357),AC358/(1-IF(B358&lt;=10,Parámetros!$D$104,Parámetros!$D$105))),2))</f>
        <v>132.33000000000001</v>
      </c>
      <c r="AF358" s="66">
        <f>+IF($W358="","",ROUND(IF($B358&gt;Parámetros!$D$107,'Tablas Servicio'!AC358+('Tablas Servicio'!AG357-'Tablas Servicio'!AC357),(AC358+$A357/frec)/(1-IF(B358&lt;=Parámetros!$D$117,Parámetros!$D$100,0))),2))</f>
        <v>91.9</v>
      </c>
      <c r="AG358" s="66">
        <f t="shared" si="427"/>
        <v>91.9</v>
      </c>
      <c r="AH358" s="66">
        <f t="shared" si="428"/>
        <v>0</v>
      </c>
      <c r="AI358" s="66">
        <f t="shared" si="429"/>
        <v>0</v>
      </c>
      <c r="AJ358" s="66">
        <f>+IF($W358="","",ROUND((AG358*Parámetros!$G$85),2))</f>
        <v>3.22</v>
      </c>
      <c r="AK358" s="66">
        <f>+IF($W358="","",ROUND((AG358*(Parámetros!$G$86)),2))</f>
        <v>0.46</v>
      </c>
      <c r="AL358" s="66">
        <f t="shared" si="423"/>
        <v>95.58</v>
      </c>
      <c r="AM358" t="str">
        <f t="shared" si="471"/>
        <v>00059</v>
      </c>
      <c r="AN358" t="str">
        <f t="shared" si="472"/>
        <v>Incapacidad Total y Permanente</v>
      </c>
      <c r="AO358" s="118">
        <f t="shared" si="473"/>
        <v>0</v>
      </c>
      <c r="AP358" s="118" t="str">
        <f t="shared" si="474"/>
        <v>A</v>
      </c>
      <c r="AQ358" s="119" t="str">
        <f>+IF(OR($W358="",AO358=0),"",ROUND((VLOOKUP(ROUNDDOWN($D358-1/frec,0),cob_adi,Z$40,FALSE)*(1+i/frec)^-0.5*(1+Parámetros!$D$103)*(1+rec_fracc)/frec),6))</f>
        <v/>
      </c>
      <c r="AR358" s="66">
        <f t="shared" si="430"/>
        <v>0</v>
      </c>
      <c r="AS358" s="119" t="str">
        <f t="shared" si="431"/>
        <v/>
      </c>
      <c r="AT358" s="66">
        <f>+IF($W358="","",ROUND(IF($B358&gt;Parámetros!$D$107,'Tablas Servicio'!AR358+('Tablas Servicio'!AT357-'Tablas Servicio'!AR357),AR358/(1-IF(B358&lt;=10,Parámetros!$D$100,0))),2))</f>
        <v>0</v>
      </c>
      <c r="AU358" s="66">
        <f t="shared" si="432"/>
        <v>0</v>
      </c>
      <c r="AV358" s="66">
        <f t="shared" si="432"/>
        <v>0</v>
      </c>
      <c r="AW358" s="66">
        <f>+IF($W358="","",ROUND((AT358*Parámetros!$G$85),2))</f>
        <v>0</v>
      </c>
      <c r="AX358" s="66">
        <f>+IF($W358="","",ROUND((AT358*(Parámetros!$G$86)),2))</f>
        <v>0</v>
      </c>
      <c r="AY358" s="66">
        <f t="shared" si="433"/>
        <v>0</v>
      </c>
      <c r="AZ358" t="str">
        <f t="shared" si="475"/>
        <v>00060</v>
      </c>
      <c r="BA358" t="str">
        <f t="shared" si="476"/>
        <v>Muerte Accidental</v>
      </c>
      <c r="BB358" s="118">
        <f t="shared" si="477"/>
        <v>0</v>
      </c>
      <c r="BC358" s="118" t="str">
        <f t="shared" si="478"/>
        <v>A</v>
      </c>
      <c r="BD358" s="119" t="str">
        <f>+IF(OR($W358="",BB358=0),"",ROUND((VLOOKUP(ROUNDDOWN($D358-1/frec,0),cob_adi,AO$40,FALSE)*(1+i/frec)^-0.5*(1+Parámetros!$D$103)*(1+rec_fracc)/frec),6))</f>
        <v/>
      </c>
      <c r="BE358" s="66">
        <f t="shared" si="434"/>
        <v>0</v>
      </c>
      <c r="BF358" s="119" t="str">
        <f t="shared" si="435"/>
        <v/>
      </c>
      <c r="BG358" s="66">
        <f>+IF($W358="","",ROUND(IF($B358&gt;Parámetros!$D$107,'Tablas Servicio'!BE358+('Tablas Servicio'!BG357-'Tablas Servicio'!BE357),BE358/(1-IF(B358&lt;=10,Parámetros!$D$100,0))),2))</f>
        <v>0</v>
      </c>
      <c r="BH358" s="66">
        <f t="shared" si="436"/>
        <v>0</v>
      </c>
      <c r="BI358" s="66">
        <f t="shared" si="437"/>
        <v>0</v>
      </c>
      <c r="BJ358" s="66">
        <f>+IF($W358="","",ROUND((BG358*Parámetros!$G$85),2))</f>
        <v>0</v>
      </c>
      <c r="BK358" s="66">
        <f>+IF($W358="","",ROUND((BG358*(Parámetros!$G$86)),2))</f>
        <v>0</v>
      </c>
      <c r="BL358" s="66">
        <f t="shared" si="438"/>
        <v>0</v>
      </c>
      <c r="BM358" t="str">
        <f t="shared" si="479"/>
        <v>00061</v>
      </c>
      <c r="BN358" t="str">
        <f t="shared" si="480"/>
        <v>Gastos de Entierro</v>
      </c>
      <c r="BO358" s="118">
        <f t="shared" si="481"/>
        <v>0</v>
      </c>
      <c r="BP358" s="118" t="str">
        <f t="shared" si="482"/>
        <v>A</v>
      </c>
      <c r="BQ358" s="119" t="str">
        <f>+IF(OR($W358="",BO358=0),"",ROUND((VLOOKUP(ROUNDDOWN($D358-1/frec,0),cob_adi,BB$40,FALSE)*(1+i/frec)^-0.5*(1+Parámetros!$D$103)*(1+rec_fracc)/frec),6))</f>
        <v/>
      </c>
      <c r="BR358" s="66">
        <f t="shared" si="439"/>
        <v>0</v>
      </c>
      <c r="BS358" s="119" t="str">
        <f t="shared" si="440"/>
        <v/>
      </c>
      <c r="BT358" s="66">
        <f>+IF($W358="","",ROUND(IF($B358&gt;Parámetros!$D$107,'Tablas Servicio'!BR358+('Tablas Servicio'!BT357-'Tablas Servicio'!BR357),BR358/(1-IF(B358&lt;=10,Parámetros!$D$100,0))),2))</f>
        <v>0</v>
      </c>
      <c r="BU358" s="66">
        <f t="shared" si="441"/>
        <v>0</v>
      </c>
      <c r="BV358" s="66">
        <f t="shared" si="441"/>
        <v>0</v>
      </c>
      <c r="BW358" s="66">
        <f>+IF($W358="","",ROUND((BT358*Parámetros!$G$85),2))</f>
        <v>0</v>
      </c>
      <c r="BX358" s="66">
        <f>+IF($W358="","",ROUND((BT358*(Parámetros!$G$86)),2))</f>
        <v>0</v>
      </c>
      <c r="BY358" s="66">
        <f t="shared" si="442"/>
        <v>0</v>
      </c>
      <c r="BZ358" t="str">
        <f t="shared" si="483"/>
        <v>00062</v>
      </c>
      <c r="CA358" t="str">
        <f t="shared" si="484"/>
        <v>Gastos médicos por accidente</v>
      </c>
      <c r="CB358" s="118">
        <f t="shared" si="485"/>
        <v>0</v>
      </c>
      <c r="CC358" s="118" t="str">
        <f t="shared" si="486"/>
        <v>A</v>
      </c>
      <c r="CD358" s="119" t="str">
        <f t="shared" si="443"/>
        <v/>
      </c>
      <c r="CE358" s="66">
        <f>+IF($W358="","",ROUND((VLOOKUP(ROUNDDOWN($D358-1/frec,0),cob_adi,BO$40,FALSE)*(1+i/frec)^-0.5*(1+Parámetros!$D$103)*(1+rec_fracc)/frec*'TABLAS ADI'!$BC$17),2))</f>
        <v>0</v>
      </c>
      <c r="CF358" s="119" t="str">
        <f t="shared" si="444"/>
        <v/>
      </c>
      <c r="CG358" s="66">
        <f>+IF($W358="","",ROUND(IF($B358&gt;Parámetros!$D$107,'Tablas Servicio'!CE358+('Tablas Servicio'!CG357-'Tablas Servicio'!CE357),CE358/(1-IF(B358&lt;=10,Parámetros!$D$100,0))),2))</f>
        <v>0</v>
      </c>
      <c r="CH358" s="66">
        <f t="shared" si="445"/>
        <v>0</v>
      </c>
      <c r="CI358" s="66">
        <f t="shared" si="445"/>
        <v>0</v>
      </c>
      <c r="CJ358" s="66">
        <f>+IF($W358="","",ROUND((CG358*Parámetros!$G$85),2))</f>
        <v>0</v>
      </c>
      <c r="CK358" s="66">
        <f>+IF($W358="","",ROUND((CG358*(Parámetros!$G$86)),2))</f>
        <v>0</v>
      </c>
      <c r="CL358" s="66">
        <f t="shared" si="446"/>
        <v>0</v>
      </c>
      <c r="CM358" t="str">
        <f t="shared" si="487"/>
        <v>00063</v>
      </c>
      <c r="CN358" s="118" t="str">
        <f t="shared" si="488"/>
        <v>Renta Diaria por Hospitalización</v>
      </c>
      <c r="CO358" s="118">
        <f t="shared" si="489"/>
        <v>0</v>
      </c>
      <c r="CP358" s="118" t="str">
        <f t="shared" si="490"/>
        <v>A</v>
      </c>
      <c r="CQ358" s="119" t="str">
        <f t="shared" si="447"/>
        <v/>
      </c>
      <c r="CR358" s="66">
        <f>+IF($W358="","",ROUND((VLOOKUP(Parámetros!$F$51,'COBERTURAS ADICIONALES'!$S$4:$T$32,2,FALSE)*(1+i/frec)^-0.5*(1+Parámetros!$D$103)*(1+rec_fracc)/frec*$CO$42),2))</f>
        <v>0</v>
      </c>
      <c r="CS358" s="119" t="str">
        <f t="shared" si="448"/>
        <v/>
      </c>
      <c r="CT358" s="66">
        <f>+IF($W358="","",ROUND(IF($B358&gt;Parámetros!$D$107,'Tablas Servicio'!CR358+('Tablas Servicio'!CT357-'Tablas Servicio'!CR357),CR358/(1-IF(B358&lt;=10,Parámetros!$D$100,0))),2))</f>
        <v>0</v>
      </c>
      <c r="CU358" s="66">
        <f t="shared" si="449"/>
        <v>0</v>
      </c>
      <c r="CV358" s="66">
        <f t="shared" si="449"/>
        <v>0</v>
      </c>
      <c r="CW358" s="66">
        <f>+IF($W358="","",ROUND((CT358*Parámetros!$G$85),2))</f>
        <v>0</v>
      </c>
      <c r="CX358" s="66">
        <f>+IF($W358="","",ROUND((CT358*(Parámetros!$G$86)),2))</f>
        <v>0</v>
      </c>
      <c r="CY358" s="66">
        <f t="shared" si="450"/>
        <v>0</v>
      </c>
      <c r="CZ358" t="str">
        <f t="shared" si="491"/>
        <v>00064</v>
      </c>
      <c r="DA358" s="118" t="str">
        <f t="shared" si="492"/>
        <v>Enfermedades Graves</v>
      </c>
      <c r="DB358" s="118">
        <f t="shared" si="493"/>
        <v>0</v>
      </c>
      <c r="DC358" s="118" t="str">
        <f t="shared" si="494"/>
        <v>A</v>
      </c>
      <c r="DD358" s="121" t="str">
        <f>+IF(OR($W358="",DB358=0),"",ROUND((VLOOKUP(ROUNDDOWN($D358-1/frec,0),cob_adi,CO$40,FALSE)*(1+i/frec)^-0.5*(1+Parámetros!$D$103)*(1+rec_fracc)/frec),6))</f>
        <v/>
      </c>
      <c r="DE358" s="66">
        <f t="shared" si="451"/>
        <v>0</v>
      </c>
      <c r="DF358" s="119" t="str">
        <f t="shared" si="452"/>
        <v/>
      </c>
      <c r="DG358" s="66">
        <f>+IF($W358="","",ROUND(IF($B358&gt;Parámetros!$D$107,'Tablas Servicio'!DE358+('Tablas Servicio'!DG357-'Tablas Servicio'!DE357),DE358/(1-IF(B358&lt;=10,Parámetros!$D$100,0))),2))</f>
        <v>0</v>
      </c>
      <c r="DH358" s="66">
        <f t="shared" si="453"/>
        <v>0</v>
      </c>
      <c r="DI358" s="66">
        <f t="shared" si="453"/>
        <v>0</v>
      </c>
      <c r="DJ358" s="66">
        <f>+IF($W358="","",ROUND((DG358*Parámetros!$G$85),2))</f>
        <v>0</v>
      </c>
      <c r="DK358" s="66">
        <f>+IF($W358="","",ROUND((DG358*(Parámetros!$G$86)),2))</f>
        <v>0</v>
      </c>
      <c r="DL358" s="66">
        <f t="shared" si="454"/>
        <v>0</v>
      </c>
      <c r="DM358" t="str">
        <f t="shared" si="495"/>
        <v>00065</v>
      </c>
      <c r="DN358" s="118" t="str">
        <f t="shared" si="496"/>
        <v>Exención pago de primas</v>
      </c>
      <c r="DO358" s="118">
        <f t="shared" si="497"/>
        <v>0</v>
      </c>
      <c r="DP358" s="118" t="str">
        <f t="shared" si="498"/>
        <v>A</v>
      </c>
      <c r="DQ358" s="122" t="str">
        <f>+IF(OR($W358="",DO358=0),"",ROUND((VLOOKUP(ROUNDDOWN($D358-1/frec,0),cob_adi,DB$40,FALSE)*(1+i/frec)^-0.5*(1+Parámetros!$D$103)*(1+rec_fracc)/frec),6))</f>
        <v/>
      </c>
      <c r="DR358" s="66">
        <f t="shared" si="455"/>
        <v>0</v>
      </c>
      <c r="DS358" s="68" t="str">
        <f t="shared" si="456"/>
        <v/>
      </c>
      <c r="DT358" s="66">
        <f>+IF($W358="","",ROUND(IF($B358&gt;Parámetros!$D$107,'Tablas Servicio'!DR358+('Tablas Servicio'!DT357-'Tablas Servicio'!DR357),DR358/(1-IF(B358&lt;=10,Parámetros!$D$100,0))),2))</f>
        <v>0</v>
      </c>
      <c r="DU358" s="66">
        <f t="shared" si="457"/>
        <v>0</v>
      </c>
      <c r="DV358" s="66">
        <f t="shared" si="457"/>
        <v>0</v>
      </c>
      <c r="DW358" s="66">
        <f>+IF($W358="","",ROUND((DT358*Parámetros!$G$85),2))</f>
        <v>0</v>
      </c>
      <c r="DX358" s="66">
        <f>+IF($W358="","",ROUND((DT358*(Parámetros!$G$86)),2))</f>
        <v>0</v>
      </c>
      <c r="DY358" s="66">
        <f t="shared" si="458"/>
        <v>0</v>
      </c>
      <c r="DZ358" t="str">
        <f t="shared" si="501"/>
        <v>00066</v>
      </c>
      <c r="EA358" s="118" t="str">
        <f t="shared" si="501"/>
        <v>Enfermedad terminal</v>
      </c>
      <c r="EB358" s="118">
        <f>+IF($W358="","",ROUND(IF(Parámetros!$D$25='TABLAS MORT'!$V$33,EB357,Z358/2),0))</f>
        <v>50000</v>
      </c>
      <c r="EC358" s="118" t="str">
        <f t="shared" si="501"/>
        <v>A</v>
      </c>
      <c r="ED358" s="122">
        <f>+IF(OR($W358="",EB358=0),"",ROUND((VLOOKUP(ROUNDDOWN($D358-1/frec,0),cob_adi,DO$40,FALSE)*(1+i/frec)^-0.5*(1+Parámetros!$D$103)*(1+rec_fracc)/frec),6))</f>
        <v>5.5000000000000002E-5</v>
      </c>
      <c r="EE358" s="66">
        <f t="shared" si="460"/>
        <v>2.75</v>
      </c>
      <c r="EF358" s="68">
        <f t="shared" si="461"/>
        <v>5.5000000000000002E-5</v>
      </c>
      <c r="EG358" s="66">
        <f>+IF($W358="","",ROUND(IF($B358&gt;Parámetros!$D$107,'Tablas Servicio'!EE358+('Tablas Servicio'!EG357-'Tablas Servicio'!EE357),EE358/(1-IF(B358&lt;=10,Parámetros!$D$100,0))),2))</f>
        <v>2.75</v>
      </c>
      <c r="EH358" s="66">
        <f t="shared" si="462"/>
        <v>0</v>
      </c>
      <c r="EI358" s="66">
        <f t="shared" si="462"/>
        <v>0</v>
      </c>
      <c r="EJ358" s="66">
        <f>+IF($W358="","",ROUND((EG358*Parámetros!$G$85),2))</f>
        <v>0.1</v>
      </c>
      <c r="EK358" s="66">
        <f>+IF($W358="","",ROUND((EG358*(Parámetros!$G$86)),2))</f>
        <v>0.01</v>
      </c>
      <c r="EL358" s="66">
        <f t="shared" si="463"/>
        <v>2.86</v>
      </c>
    </row>
    <row r="359" spans="1:142" x14ac:dyDescent="0.25">
      <c r="A359">
        <f>+IF($C359="","",ROUND(VLOOKUP('Tablas Servicio'!B359,Parámetros!$H$100:$J$159,IF(Parámetros!$E$16="F",2,3),FALSE),2))</f>
        <v>150</v>
      </c>
      <c r="B359">
        <f t="shared" si="414"/>
        <v>27</v>
      </c>
      <c r="C359" s="57">
        <f>+IF(D359="","",'Tablas Servicio'!C358+1)</f>
        <v>318</v>
      </c>
      <c r="D359" s="56">
        <f>+IF(D358&lt;edadmaxtabla,D358+1/Parámetros!$E$25,"")</f>
        <v>66.520000000000536</v>
      </c>
      <c r="E359" s="57">
        <f t="shared" si="424"/>
        <v>66</v>
      </c>
      <c r="F359" s="59">
        <f t="shared" si="425"/>
        <v>100000</v>
      </c>
      <c r="G359" s="66">
        <f t="shared" si="415"/>
        <v>94.65</v>
      </c>
      <c r="H359" s="66">
        <f t="shared" si="416"/>
        <v>98.44</v>
      </c>
      <c r="I359" s="66">
        <f t="shared" si="464"/>
        <v>-4.4399999999999977</v>
      </c>
      <c r="J359" s="66">
        <f t="shared" si="417"/>
        <v>3.3200000000000003</v>
      </c>
      <c r="K359" s="66">
        <f t="shared" si="418"/>
        <v>0.47000000000000003</v>
      </c>
      <c r="L359" s="66">
        <f t="shared" si="419"/>
        <v>0</v>
      </c>
      <c r="M359" s="66">
        <f t="shared" si="420"/>
        <v>0</v>
      </c>
      <c r="N359" s="66">
        <f>+IF(C359="","",ROUND(Parámetros!$D$23,2))</f>
        <v>94</v>
      </c>
      <c r="O359" s="66">
        <f t="shared" si="421"/>
        <v>82.15</v>
      </c>
      <c r="P359" s="66">
        <f>+IF($C359="","",ROUND(IF(B359&gt;Parámetros!$D$117,0,N359*Parámetros!$D$116-G359*Parámetros!$D$100),2))</f>
        <v>0</v>
      </c>
      <c r="Q359" s="75">
        <f t="shared" si="465"/>
        <v>3.5076597992604333E-2</v>
      </c>
      <c r="R359" s="75">
        <f t="shared" si="466"/>
        <v>4.9656629688325411E-3</v>
      </c>
      <c r="S359" s="117">
        <f>+IF($C359="","",ROUND((S358+I359)*(1+Parámetros!$D$91),2))</f>
        <v>23818.77</v>
      </c>
      <c r="T359" s="117">
        <f>+IF($C359="","",ROUND(S359*VLOOKUP(B359,Parámetros!$C$30:$D$39,2,TRUE),2))</f>
        <v>23818.77</v>
      </c>
      <c r="U359" s="117">
        <f>+IF($C359="","",ROUND((U358+I359)*(1+Parámetros!$D$92),2))</f>
        <v>25922.41</v>
      </c>
      <c r="V359" s="117">
        <f>+IF($C359="","",ROUND(U359*VLOOKUP(B359,Parámetros!$C$30:$D$39,2,TRUE),2))</f>
        <v>25922.41</v>
      </c>
      <c r="W359" s="57">
        <f t="shared" si="467"/>
        <v>318</v>
      </c>
      <c r="X359" t="str">
        <f t="shared" si="468"/>
        <v>00058</v>
      </c>
      <c r="Y359" t="str">
        <f t="shared" si="469"/>
        <v>MUERTE POR CUALQUIER CAUSA</v>
      </c>
      <c r="Z359" s="118">
        <f>+IF($W359="","",ROUND(IF(Parámetros!$D$25='TABLAS MORT'!$V$33,Z358,Parámetros!$D$21-'Tablas Servicio'!T358),0))</f>
        <v>100000</v>
      </c>
      <c r="AA359" s="118" t="str">
        <f t="shared" si="470"/>
        <v>P</v>
      </c>
      <c r="AB359" s="119">
        <f>+IF(W359="","",ROUND((VLOOKUP(ROUNDDOWN($D359-1/frec,0),qx_tabla,2,FALSE)*(1+i/frec)^-0.5*(1+Parámetros!$D$103)*(1+rec_fracc)/frec),6))</f>
        <v>7.94E-4</v>
      </c>
      <c r="AC359" s="66">
        <f t="shared" si="426"/>
        <v>79.400000000000006</v>
      </c>
      <c r="AD359" s="119">
        <f t="shared" si="422"/>
        <v>9.19E-4</v>
      </c>
      <c r="AE359" s="66">
        <f>+IF($W359="","",ROUND(IF($B359&gt;Parámetros!$D$107,'Tablas Servicio'!AC359+('Tablas Servicio'!AG358-'Tablas Servicio'!AC358),AC359/(1-IF(B359&lt;=10,Parámetros!$D$104,Parámetros!$D$105))),2))</f>
        <v>132.33000000000001</v>
      </c>
      <c r="AF359" s="66">
        <f>+IF($W359="","",ROUND(IF($B359&gt;Parámetros!$D$107,'Tablas Servicio'!AC359+('Tablas Servicio'!AG358-'Tablas Servicio'!AC358),(AC359+$A358/frec)/(1-IF(B359&lt;=Parámetros!$D$117,Parámetros!$D$100,0))),2))</f>
        <v>91.9</v>
      </c>
      <c r="AG359" s="66">
        <f t="shared" si="427"/>
        <v>91.9</v>
      </c>
      <c r="AH359" s="66">
        <f t="shared" si="428"/>
        <v>0</v>
      </c>
      <c r="AI359" s="66">
        <f t="shared" si="429"/>
        <v>0</v>
      </c>
      <c r="AJ359" s="66">
        <f>+IF($W359="","",ROUND((AG359*Parámetros!$G$85),2))</f>
        <v>3.22</v>
      </c>
      <c r="AK359" s="66">
        <f>+IF($W359="","",ROUND((AG359*(Parámetros!$G$86)),2))</f>
        <v>0.46</v>
      </c>
      <c r="AL359" s="66">
        <f t="shared" si="423"/>
        <v>95.58</v>
      </c>
      <c r="AM359" t="str">
        <f t="shared" si="471"/>
        <v>00059</v>
      </c>
      <c r="AN359" t="str">
        <f t="shared" si="472"/>
        <v>Incapacidad Total y Permanente</v>
      </c>
      <c r="AO359" s="118">
        <f t="shared" si="473"/>
        <v>0</v>
      </c>
      <c r="AP359" s="118" t="str">
        <f t="shared" si="474"/>
        <v>A</v>
      </c>
      <c r="AQ359" s="119" t="str">
        <f>+IF(OR($W359="",AO359=0),"",ROUND((VLOOKUP(ROUNDDOWN($D359-1/frec,0),cob_adi,Z$40,FALSE)*(1+i/frec)^-0.5*(1+Parámetros!$D$103)*(1+rec_fracc)/frec),6))</f>
        <v/>
      </c>
      <c r="AR359" s="66">
        <f t="shared" si="430"/>
        <v>0</v>
      </c>
      <c r="AS359" s="119" t="str">
        <f t="shared" si="431"/>
        <v/>
      </c>
      <c r="AT359" s="66">
        <f>+IF($W359="","",ROUND(IF($B359&gt;Parámetros!$D$107,'Tablas Servicio'!AR359+('Tablas Servicio'!AT358-'Tablas Servicio'!AR358),AR359/(1-IF(B359&lt;=10,Parámetros!$D$100,0))),2))</f>
        <v>0</v>
      </c>
      <c r="AU359" s="66">
        <f t="shared" si="432"/>
        <v>0</v>
      </c>
      <c r="AV359" s="66">
        <f t="shared" si="432"/>
        <v>0</v>
      </c>
      <c r="AW359" s="66">
        <f>+IF($W359="","",ROUND((AT359*Parámetros!$G$85),2))</f>
        <v>0</v>
      </c>
      <c r="AX359" s="66">
        <f>+IF($W359="","",ROUND((AT359*(Parámetros!$G$86)),2))</f>
        <v>0</v>
      </c>
      <c r="AY359" s="66">
        <f t="shared" si="433"/>
        <v>0</v>
      </c>
      <c r="AZ359" t="str">
        <f t="shared" si="475"/>
        <v>00060</v>
      </c>
      <c r="BA359" t="str">
        <f t="shared" si="476"/>
        <v>Muerte Accidental</v>
      </c>
      <c r="BB359" s="118">
        <f t="shared" si="477"/>
        <v>0</v>
      </c>
      <c r="BC359" s="118" t="str">
        <f t="shared" si="478"/>
        <v>A</v>
      </c>
      <c r="BD359" s="119" t="str">
        <f>+IF(OR($W359="",BB359=0),"",ROUND((VLOOKUP(ROUNDDOWN($D359-1/frec,0),cob_adi,AO$40,FALSE)*(1+i/frec)^-0.5*(1+Parámetros!$D$103)*(1+rec_fracc)/frec),6))</f>
        <v/>
      </c>
      <c r="BE359" s="66">
        <f t="shared" si="434"/>
        <v>0</v>
      </c>
      <c r="BF359" s="119" t="str">
        <f t="shared" si="435"/>
        <v/>
      </c>
      <c r="BG359" s="66">
        <f>+IF($W359="","",ROUND(IF($B359&gt;Parámetros!$D$107,'Tablas Servicio'!BE359+('Tablas Servicio'!BG358-'Tablas Servicio'!BE358),BE359/(1-IF(B359&lt;=10,Parámetros!$D$100,0))),2))</f>
        <v>0</v>
      </c>
      <c r="BH359" s="66">
        <f t="shared" si="436"/>
        <v>0</v>
      </c>
      <c r="BI359" s="66">
        <f t="shared" si="437"/>
        <v>0</v>
      </c>
      <c r="BJ359" s="66">
        <f>+IF($W359="","",ROUND((BG359*Parámetros!$G$85),2))</f>
        <v>0</v>
      </c>
      <c r="BK359" s="66">
        <f>+IF($W359="","",ROUND((BG359*(Parámetros!$G$86)),2))</f>
        <v>0</v>
      </c>
      <c r="BL359" s="66">
        <f t="shared" si="438"/>
        <v>0</v>
      </c>
      <c r="BM359" t="str">
        <f t="shared" si="479"/>
        <v>00061</v>
      </c>
      <c r="BN359" t="str">
        <f t="shared" si="480"/>
        <v>Gastos de Entierro</v>
      </c>
      <c r="BO359" s="118">
        <f t="shared" si="481"/>
        <v>0</v>
      </c>
      <c r="BP359" s="118" t="str">
        <f t="shared" si="482"/>
        <v>A</v>
      </c>
      <c r="BQ359" s="119" t="str">
        <f>+IF(OR($W359="",BO359=0),"",ROUND((VLOOKUP(ROUNDDOWN($D359-1/frec,0),cob_adi,BB$40,FALSE)*(1+i/frec)^-0.5*(1+Parámetros!$D$103)*(1+rec_fracc)/frec),6))</f>
        <v/>
      </c>
      <c r="BR359" s="66">
        <f t="shared" si="439"/>
        <v>0</v>
      </c>
      <c r="BS359" s="119" t="str">
        <f t="shared" si="440"/>
        <v/>
      </c>
      <c r="BT359" s="66">
        <f>+IF($W359="","",ROUND(IF($B359&gt;Parámetros!$D$107,'Tablas Servicio'!BR359+('Tablas Servicio'!BT358-'Tablas Servicio'!BR358),BR359/(1-IF(B359&lt;=10,Parámetros!$D$100,0))),2))</f>
        <v>0</v>
      </c>
      <c r="BU359" s="66">
        <f t="shared" si="441"/>
        <v>0</v>
      </c>
      <c r="BV359" s="66">
        <f t="shared" si="441"/>
        <v>0</v>
      </c>
      <c r="BW359" s="66">
        <f>+IF($W359="","",ROUND((BT359*Parámetros!$G$85),2))</f>
        <v>0</v>
      </c>
      <c r="BX359" s="66">
        <f>+IF($W359="","",ROUND((BT359*(Parámetros!$G$86)),2))</f>
        <v>0</v>
      </c>
      <c r="BY359" s="66">
        <f t="shared" si="442"/>
        <v>0</v>
      </c>
      <c r="BZ359" t="str">
        <f t="shared" si="483"/>
        <v>00062</v>
      </c>
      <c r="CA359" t="str">
        <f t="shared" si="484"/>
        <v>Gastos médicos por accidente</v>
      </c>
      <c r="CB359" s="118">
        <f t="shared" si="485"/>
        <v>0</v>
      </c>
      <c r="CC359" s="118" t="str">
        <f t="shared" si="486"/>
        <v>A</v>
      </c>
      <c r="CD359" s="119" t="str">
        <f t="shared" si="443"/>
        <v/>
      </c>
      <c r="CE359" s="66">
        <f>+IF($W359="","",ROUND((VLOOKUP(ROUNDDOWN($D359-1/frec,0),cob_adi,BO$40,FALSE)*(1+i/frec)^-0.5*(1+Parámetros!$D$103)*(1+rec_fracc)/frec*'TABLAS ADI'!$BC$17),2))</f>
        <v>0</v>
      </c>
      <c r="CF359" s="119" t="str">
        <f t="shared" si="444"/>
        <v/>
      </c>
      <c r="CG359" s="66">
        <f>+IF($W359="","",ROUND(IF($B359&gt;Parámetros!$D$107,'Tablas Servicio'!CE359+('Tablas Servicio'!CG358-'Tablas Servicio'!CE358),CE359/(1-IF(B359&lt;=10,Parámetros!$D$100,0))),2))</f>
        <v>0</v>
      </c>
      <c r="CH359" s="66">
        <f t="shared" si="445"/>
        <v>0</v>
      </c>
      <c r="CI359" s="66">
        <f t="shared" si="445"/>
        <v>0</v>
      </c>
      <c r="CJ359" s="66">
        <f>+IF($W359="","",ROUND((CG359*Parámetros!$G$85),2))</f>
        <v>0</v>
      </c>
      <c r="CK359" s="66">
        <f>+IF($W359="","",ROUND((CG359*(Parámetros!$G$86)),2))</f>
        <v>0</v>
      </c>
      <c r="CL359" s="66">
        <f t="shared" si="446"/>
        <v>0</v>
      </c>
      <c r="CM359" t="str">
        <f t="shared" si="487"/>
        <v>00063</v>
      </c>
      <c r="CN359" s="118" t="str">
        <f t="shared" si="488"/>
        <v>Renta Diaria por Hospitalización</v>
      </c>
      <c r="CO359" s="118">
        <f t="shared" si="489"/>
        <v>0</v>
      </c>
      <c r="CP359" s="118" t="str">
        <f t="shared" si="490"/>
        <v>A</v>
      </c>
      <c r="CQ359" s="119" t="str">
        <f t="shared" si="447"/>
        <v/>
      </c>
      <c r="CR359" s="66">
        <f>+IF($W359="","",ROUND((VLOOKUP(Parámetros!$F$51,'COBERTURAS ADICIONALES'!$S$4:$T$32,2,FALSE)*(1+i/frec)^-0.5*(1+Parámetros!$D$103)*(1+rec_fracc)/frec*$CO$42),2))</f>
        <v>0</v>
      </c>
      <c r="CS359" s="119" t="str">
        <f t="shared" si="448"/>
        <v/>
      </c>
      <c r="CT359" s="66">
        <f>+IF($W359="","",ROUND(IF($B359&gt;Parámetros!$D$107,'Tablas Servicio'!CR359+('Tablas Servicio'!CT358-'Tablas Servicio'!CR358),CR359/(1-IF(B359&lt;=10,Parámetros!$D$100,0))),2))</f>
        <v>0</v>
      </c>
      <c r="CU359" s="66">
        <f t="shared" si="449"/>
        <v>0</v>
      </c>
      <c r="CV359" s="66">
        <f t="shared" si="449"/>
        <v>0</v>
      </c>
      <c r="CW359" s="66">
        <f>+IF($W359="","",ROUND((CT359*Parámetros!$G$85),2))</f>
        <v>0</v>
      </c>
      <c r="CX359" s="66">
        <f>+IF($W359="","",ROUND((CT359*(Parámetros!$G$86)),2))</f>
        <v>0</v>
      </c>
      <c r="CY359" s="66">
        <f t="shared" si="450"/>
        <v>0</v>
      </c>
      <c r="CZ359" t="str">
        <f t="shared" si="491"/>
        <v>00064</v>
      </c>
      <c r="DA359" s="118" t="str">
        <f t="shared" si="492"/>
        <v>Enfermedades Graves</v>
      </c>
      <c r="DB359" s="118">
        <f t="shared" si="493"/>
        <v>0</v>
      </c>
      <c r="DC359" s="118" t="str">
        <f t="shared" si="494"/>
        <v>A</v>
      </c>
      <c r="DD359" s="121" t="str">
        <f>+IF(OR($W359="",DB359=0),"",ROUND((VLOOKUP(ROUNDDOWN($D359-1/frec,0),cob_adi,CO$40,FALSE)*(1+i/frec)^-0.5*(1+Parámetros!$D$103)*(1+rec_fracc)/frec),6))</f>
        <v/>
      </c>
      <c r="DE359" s="66">
        <f t="shared" si="451"/>
        <v>0</v>
      </c>
      <c r="DF359" s="119" t="str">
        <f t="shared" si="452"/>
        <v/>
      </c>
      <c r="DG359" s="66">
        <f>+IF($W359="","",ROUND(IF($B359&gt;Parámetros!$D$107,'Tablas Servicio'!DE359+('Tablas Servicio'!DG358-'Tablas Servicio'!DE358),DE359/(1-IF(B359&lt;=10,Parámetros!$D$100,0))),2))</f>
        <v>0</v>
      </c>
      <c r="DH359" s="66">
        <f t="shared" si="453"/>
        <v>0</v>
      </c>
      <c r="DI359" s="66">
        <f t="shared" si="453"/>
        <v>0</v>
      </c>
      <c r="DJ359" s="66">
        <f>+IF($W359="","",ROUND((DG359*Parámetros!$G$85),2))</f>
        <v>0</v>
      </c>
      <c r="DK359" s="66">
        <f>+IF($W359="","",ROUND((DG359*(Parámetros!$G$86)),2))</f>
        <v>0</v>
      </c>
      <c r="DL359" s="66">
        <f t="shared" si="454"/>
        <v>0</v>
      </c>
      <c r="DM359" t="str">
        <f t="shared" si="495"/>
        <v>00065</v>
      </c>
      <c r="DN359" s="118" t="str">
        <f t="shared" si="496"/>
        <v>Exención pago de primas</v>
      </c>
      <c r="DO359" s="118">
        <f t="shared" si="497"/>
        <v>0</v>
      </c>
      <c r="DP359" s="118" t="str">
        <f t="shared" si="498"/>
        <v>A</v>
      </c>
      <c r="DQ359" s="122" t="str">
        <f>+IF(OR($W359="",DO359=0),"",ROUND((VLOOKUP(ROUNDDOWN($D359-1/frec,0),cob_adi,DB$40,FALSE)*(1+i/frec)^-0.5*(1+Parámetros!$D$103)*(1+rec_fracc)/frec),6))</f>
        <v/>
      </c>
      <c r="DR359" s="66">
        <f t="shared" si="455"/>
        <v>0</v>
      </c>
      <c r="DS359" s="68" t="str">
        <f t="shared" si="456"/>
        <v/>
      </c>
      <c r="DT359" s="66">
        <f>+IF($W359="","",ROUND(IF($B359&gt;Parámetros!$D$107,'Tablas Servicio'!DR359+('Tablas Servicio'!DT358-'Tablas Servicio'!DR358),DR359/(1-IF(B359&lt;=10,Parámetros!$D$100,0))),2))</f>
        <v>0</v>
      </c>
      <c r="DU359" s="66">
        <f t="shared" si="457"/>
        <v>0</v>
      </c>
      <c r="DV359" s="66">
        <f t="shared" si="457"/>
        <v>0</v>
      </c>
      <c r="DW359" s="66">
        <f>+IF($W359="","",ROUND((DT359*Parámetros!$G$85),2))</f>
        <v>0</v>
      </c>
      <c r="DX359" s="66">
        <f>+IF($W359="","",ROUND((DT359*(Parámetros!$G$86)),2))</f>
        <v>0</v>
      </c>
      <c r="DY359" s="66">
        <f t="shared" si="458"/>
        <v>0</v>
      </c>
      <c r="DZ359" t="str">
        <f t="shared" si="501"/>
        <v>00066</v>
      </c>
      <c r="EA359" s="118" t="str">
        <f t="shared" si="501"/>
        <v>Enfermedad terminal</v>
      </c>
      <c r="EB359" s="118">
        <f>+IF($W359="","",ROUND(IF(Parámetros!$D$25='TABLAS MORT'!$V$33,EB358,Z359/2),0))</f>
        <v>50000</v>
      </c>
      <c r="EC359" s="118" t="str">
        <f t="shared" si="501"/>
        <v>A</v>
      </c>
      <c r="ED359" s="122">
        <f>+IF(OR($W359="",EB359=0),"",ROUND((VLOOKUP(ROUNDDOWN($D359-1/frec,0),cob_adi,DO$40,FALSE)*(1+i/frec)^-0.5*(1+Parámetros!$D$103)*(1+rec_fracc)/frec),6))</f>
        <v>5.5000000000000002E-5</v>
      </c>
      <c r="EE359" s="66">
        <f t="shared" si="460"/>
        <v>2.75</v>
      </c>
      <c r="EF359" s="68">
        <f t="shared" si="461"/>
        <v>5.5000000000000002E-5</v>
      </c>
      <c r="EG359" s="66">
        <f>+IF($W359="","",ROUND(IF($B359&gt;Parámetros!$D$107,'Tablas Servicio'!EE359+('Tablas Servicio'!EG358-'Tablas Servicio'!EE358),EE359/(1-IF(B359&lt;=10,Parámetros!$D$100,0))),2))</f>
        <v>2.75</v>
      </c>
      <c r="EH359" s="66">
        <f t="shared" si="462"/>
        <v>0</v>
      </c>
      <c r="EI359" s="66">
        <f t="shared" si="462"/>
        <v>0</v>
      </c>
      <c r="EJ359" s="66">
        <f>+IF($W359="","",ROUND((EG359*Parámetros!$G$85),2))</f>
        <v>0.1</v>
      </c>
      <c r="EK359" s="66">
        <f>+IF($W359="","",ROUND((EG359*(Parámetros!$G$86)),2))</f>
        <v>0.01</v>
      </c>
      <c r="EL359" s="66">
        <f t="shared" si="463"/>
        <v>2.86</v>
      </c>
    </row>
    <row r="360" spans="1:142" x14ac:dyDescent="0.25">
      <c r="A360">
        <f>+IF($C360="","",ROUND(VLOOKUP('Tablas Servicio'!B360,Parámetros!$H$100:$J$159,IF(Parámetros!$E$16="F",2,3),FALSE),2))</f>
        <v>150</v>
      </c>
      <c r="B360">
        <f t="shared" si="414"/>
        <v>27</v>
      </c>
      <c r="C360" s="57">
        <f>+IF(D360="","",'Tablas Servicio'!C359+1)</f>
        <v>319</v>
      </c>
      <c r="D360" s="56">
        <f>+IF(D359&lt;edadmaxtabla,D359+1/Parámetros!$E$25,"")</f>
        <v>66.603333333333865</v>
      </c>
      <c r="E360" s="57">
        <f t="shared" si="424"/>
        <v>66</v>
      </c>
      <c r="F360" s="59">
        <f t="shared" si="425"/>
        <v>100000</v>
      </c>
      <c r="G360" s="66">
        <f t="shared" si="415"/>
        <v>94.65</v>
      </c>
      <c r="H360" s="66">
        <f t="shared" si="416"/>
        <v>98.44</v>
      </c>
      <c r="I360" s="66">
        <f t="shared" si="464"/>
        <v>-4.4399999999999977</v>
      </c>
      <c r="J360" s="66">
        <f t="shared" si="417"/>
        <v>3.3200000000000003</v>
      </c>
      <c r="K360" s="66">
        <f t="shared" si="418"/>
        <v>0.47000000000000003</v>
      </c>
      <c r="L360" s="66">
        <f t="shared" si="419"/>
        <v>0</v>
      </c>
      <c r="M360" s="66">
        <f t="shared" si="420"/>
        <v>0</v>
      </c>
      <c r="N360" s="66">
        <f>+IF(C360="","",ROUND(Parámetros!$D$23,2))</f>
        <v>94</v>
      </c>
      <c r="O360" s="66">
        <f t="shared" si="421"/>
        <v>82.15</v>
      </c>
      <c r="P360" s="66">
        <f>+IF($C360="","",ROUND(IF(B360&gt;Parámetros!$D$117,0,N360*Parámetros!$D$116-G360*Parámetros!$D$100),2))</f>
        <v>0</v>
      </c>
      <c r="Q360" s="75">
        <f t="shared" si="465"/>
        <v>3.5076597992604333E-2</v>
      </c>
      <c r="R360" s="75">
        <f t="shared" si="466"/>
        <v>4.9656629688325411E-3</v>
      </c>
      <c r="S360" s="117">
        <f>+IF($C360="","",ROUND((S359+I360)*(1+Parámetros!$D$91),2))</f>
        <v>23881.88</v>
      </c>
      <c r="T360" s="117">
        <f>+IF($C360="","",ROUND(S360*VLOOKUP(B360,Parámetros!$C$30:$D$39,2,TRUE),2))</f>
        <v>23881.88</v>
      </c>
      <c r="U360" s="117">
        <f>+IF($C360="","",ROUND((U359+I360)*(1+Parámetros!$D$92),2))</f>
        <v>26001.99</v>
      </c>
      <c r="V360" s="117">
        <f>+IF($C360="","",ROUND(U360*VLOOKUP(B360,Parámetros!$C$30:$D$39,2,TRUE),2))</f>
        <v>26001.99</v>
      </c>
      <c r="W360" s="57">
        <f t="shared" si="467"/>
        <v>319</v>
      </c>
      <c r="X360" t="str">
        <f t="shared" si="468"/>
        <v>00058</v>
      </c>
      <c r="Y360" t="str">
        <f t="shared" si="469"/>
        <v>MUERTE POR CUALQUIER CAUSA</v>
      </c>
      <c r="Z360" s="118">
        <f>+IF($W360="","",ROUND(IF(Parámetros!$D$25='TABLAS MORT'!$V$33,Z359,Parámetros!$D$21-'Tablas Servicio'!T359),0))</f>
        <v>100000</v>
      </c>
      <c r="AA360" s="118" t="str">
        <f t="shared" si="470"/>
        <v>P</v>
      </c>
      <c r="AB360" s="119">
        <f>+IF(W360="","",ROUND((VLOOKUP(ROUNDDOWN($D360-1/frec,0),qx_tabla,2,FALSE)*(1+i/frec)^-0.5*(1+Parámetros!$D$103)*(1+rec_fracc)/frec),6))</f>
        <v>7.94E-4</v>
      </c>
      <c r="AC360" s="66">
        <f t="shared" si="426"/>
        <v>79.400000000000006</v>
      </c>
      <c r="AD360" s="119">
        <f t="shared" si="422"/>
        <v>9.19E-4</v>
      </c>
      <c r="AE360" s="66">
        <f>+IF($W360="","",ROUND(IF($B360&gt;Parámetros!$D$107,'Tablas Servicio'!AC360+('Tablas Servicio'!AG359-'Tablas Servicio'!AC359),AC360/(1-IF(B360&lt;=10,Parámetros!$D$104,Parámetros!$D$105))),2))</f>
        <v>132.33000000000001</v>
      </c>
      <c r="AF360" s="66">
        <f>+IF($W360="","",ROUND(IF($B360&gt;Parámetros!$D$107,'Tablas Servicio'!AC360+('Tablas Servicio'!AG359-'Tablas Servicio'!AC359),(AC360+$A359/frec)/(1-IF(B360&lt;=Parámetros!$D$117,Parámetros!$D$100,0))),2))</f>
        <v>91.9</v>
      </c>
      <c r="AG360" s="66">
        <f t="shared" si="427"/>
        <v>91.9</v>
      </c>
      <c r="AH360" s="66">
        <f t="shared" si="428"/>
        <v>0</v>
      </c>
      <c r="AI360" s="66">
        <f t="shared" si="429"/>
        <v>0</v>
      </c>
      <c r="AJ360" s="66">
        <f>+IF($W360="","",ROUND((AG360*Parámetros!$G$85),2))</f>
        <v>3.22</v>
      </c>
      <c r="AK360" s="66">
        <f>+IF($W360="","",ROUND((AG360*(Parámetros!$G$86)),2))</f>
        <v>0.46</v>
      </c>
      <c r="AL360" s="66">
        <f t="shared" si="423"/>
        <v>95.58</v>
      </c>
      <c r="AM360" t="str">
        <f t="shared" si="471"/>
        <v>00059</v>
      </c>
      <c r="AN360" t="str">
        <f t="shared" si="472"/>
        <v>Incapacidad Total y Permanente</v>
      </c>
      <c r="AO360" s="118">
        <f t="shared" si="473"/>
        <v>0</v>
      </c>
      <c r="AP360" s="118" t="str">
        <f t="shared" si="474"/>
        <v>A</v>
      </c>
      <c r="AQ360" s="119" t="str">
        <f>+IF(OR($W360="",AO360=0),"",ROUND((VLOOKUP(ROUNDDOWN($D360-1/frec,0),cob_adi,Z$40,FALSE)*(1+i/frec)^-0.5*(1+Parámetros!$D$103)*(1+rec_fracc)/frec),6))</f>
        <v/>
      </c>
      <c r="AR360" s="66">
        <f t="shared" si="430"/>
        <v>0</v>
      </c>
      <c r="AS360" s="119" t="str">
        <f t="shared" si="431"/>
        <v/>
      </c>
      <c r="AT360" s="66">
        <f>+IF($W360="","",ROUND(IF($B360&gt;Parámetros!$D$107,'Tablas Servicio'!AR360+('Tablas Servicio'!AT359-'Tablas Servicio'!AR359),AR360/(1-IF(B360&lt;=10,Parámetros!$D$100,0))),2))</f>
        <v>0</v>
      </c>
      <c r="AU360" s="66">
        <f t="shared" si="432"/>
        <v>0</v>
      </c>
      <c r="AV360" s="66">
        <f t="shared" si="432"/>
        <v>0</v>
      </c>
      <c r="AW360" s="66">
        <f>+IF($W360="","",ROUND((AT360*Parámetros!$G$85),2))</f>
        <v>0</v>
      </c>
      <c r="AX360" s="66">
        <f>+IF($W360="","",ROUND((AT360*(Parámetros!$G$86)),2))</f>
        <v>0</v>
      </c>
      <c r="AY360" s="66">
        <f t="shared" si="433"/>
        <v>0</v>
      </c>
      <c r="AZ360" t="str">
        <f t="shared" si="475"/>
        <v>00060</v>
      </c>
      <c r="BA360" t="str">
        <f t="shared" si="476"/>
        <v>Muerte Accidental</v>
      </c>
      <c r="BB360" s="118">
        <f t="shared" si="477"/>
        <v>0</v>
      </c>
      <c r="BC360" s="118" t="str">
        <f t="shared" si="478"/>
        <v>A</v>
      </c>
      <c r="BD360" s="119" t="str">
        <f>+IF(OR($W360="",BB360=0),"",ROUND((VLOOKUP(ROUNDDOWN($D360-1/frec,0),cob_adi,AO$40,FALSE)*(1+i/frec)^-0.5*(1+Parámetros!$D$103)*(1+rec_fracc)/frec),6))</f>
        <v/>
      </c>
      <c r="BE360" s="66">
        <f t="shared" si="434"/>
        <v>0</v>
      </c>
      <c r="BF360" s="119" t="str">
        <f t="shared" si="435"/>
        <v/>
      </c>
      <c r="BG360" s="66">
        <f>+IF($W360="","",ROUND(IF($B360&gt;Parámetros!$D$107,'Tablas Servicio'!BE360+('Tablas Servicio'!BG359-'Tablas Servicio'!BE359),BE360/(1-IF(B360&lt;=10,Parámetros!$D$100,0))),2))</f>
        <v>0</v>
      </c>
      <c r="BH360" s="66">
        <f t="shared" si="436"/>
        <v>0</v>
      </c>
      <c r="BI360" s="66">
        <f t="shared" si="437"/>
        <v>0</v>
      </c>
      <c r="BJ360" s="66">
        <f>+IF($W360="","",ROUND((BG360*Parámetros!$G$85),2))</f>
        <v>0</v>
      </c>
      <c r="BK360" s="66">
        <f>+IF($W360="","",ROUND((BG360*(Parámetros!$G$86)),2))</f>
        <v>0</v>
      </c>
      <c r="BL360" s="66">
        <f t="shared" si="438"/>
        <v>0</v>
      </c>
      <c r="BM360" t="str">
        <f t="shared" si="479"/>
        <v>00061</v>
      </c>
      <c r="BN360" t="str">
        <f t="shared" si="480"/>
        <v>Gastos de Entierro</v>
      </c>
      <c r="BO360" s="118">
        <f t="shared" si="481"/>
        <v>0</v>
      </c>
      <c r="BP360" s="118" t="str">
        <f t="shared" si="482"/>
        <v>A</v>
      </c>
      <c r="BQ360" s="119" t="str">
        <f>+IF(OR($W360="",BO360=0),"",ROUND((VLOOKUP(ROUNDDOWN($D360-1/frec,0),cob_adi,BB$40,FALSE)*(1+i/frec)^-0.5*(1+Parámetros!$D$103)*(1+rec_fracc)/frec),6))</f>
        <v/>
      </c>
      <c r="BR360" s="66">
        <f t="shared" si="439"/>
        <v>0</v>
      </c>
      <c r="BS360" s="119" t="str">
        <f t="shared" si="440"/>
        <v/>
      </c>
      <c r="BT360" s="66">
        <f>+IF($W360="","",ROUND(IF($B360&gt;Parámetros!$D$107,'Tablas Servicio'!BR360+('Tablas Servicio'!BT359-'Tablas Servicio'!BR359),BR360/(1-IF(B360&lt;=10,Parámetros!$D$100,0))),2))</f>
        <v>0</v>
      </c>
      <c r="BU360" s="66">
        <f t="shared" si="441"/>
        <v>0</v>
      </c>
      <c r="BV360" s="66">
        <f t="shared" si="441"/>
        <v>0</v>
      </c>
      <c r="BW360" s="66">
        <f>+IF($W360="","",ROUND((BT360*Parámetros!$G$85),2))</f>
        <v>0</v>
      </c>
      <c r="BX360" s="66">
        <f>+IF($W360="","",ROUND((BT360*(Parámetros!$G$86)),2))</f>
        <v>0</v>
      </c>
      <c r="BY360" s="66">
        <f t="shared" si="442"/>
        <v>0</v>
      </c>
      <c r="BZ360" t="str">
        <f t="shared" si="483"/>
        <v>00062</v>
      </c>
      <c r="CA360" t="str">
        <f t="shared" si="484"/>
        <v>Gastos médicos por accidente</v>
      </c>
      <c r="CB360" s="118">
        <f t="shared" si="485"/>
        <v>0</v>
      </c>
      <c r="CC360" s="118" t="str">
        <f t="shared" si="486"/>
        <v>A</v>
      </c>
      <c r="CD360" s="119" t="str">
        <f t="shared" si="443"/>
        <v/>
      </c>
      <c r="CE360" s="66">
        <f>+IF($W360="","",ROUND((VLOOKUP(ROUNDDOWN($D360-1/frec,0),cob_adi,BO$40,FALSE)*(1+i/frec)^-0.5*(1+Parámetros!$D$103)*(1+rec_fracc)/frec*'TABLAS ADI'!$BC$17),2))</f>
        <v>0</v>
      </c>
      <c r="CF360" s="119" t="str">
        <f t="shared" si="444"/>
        <v/>
      </c>
      <c r="CG360" s="66">
        <f>+IF($W360="","",ROUND(IF($B360&gt;Parámetros!$D$107,'Tablas Servicio'!CE360+('Tablas Servicio'!CG359-'Tablas Servicio'!CE359),CE360/(1-IF(B360&lt;=10,Parámetros!$D$100,0))),2))</f>
        <v>0</v>
      </c>
      <c r="CH360" s="66">
        <f t="shared" si="445"/>
        <v>0</v>
      </c>
      <c r="CI360" s="66">
        <f t="shared" si="445"/>
        <v>0</v>
      </c>
      <c r="CJ360" s="66">
        <f>+IF($W360="","",ROUND((CG360*Parámetros!$G$85),2))</f>
        <v>0</v>
      </c>
      <c r="CK360" s="66">
        <f>+IF($W360="","",ROUND((CG360*(Parámetros!$G$86)),2))</f>
        <v>0</v>
      </c>
      <c r="CL360" s="66">
        <f t="shared" si="446"/>
        <v>0</v>
      </c>
      <c r="CM360" t="str">
        <f t="shared" si="487"/>
        <v>00063</v>
      </c>
      <c r="CN360" s="118" t="str">
        <f t="shared" si="488"/>
        <v>Renta Diaria por Hospitalización</v>
      </c>
      <c r="CO360" s="118">
        <f t="shared" si="489"/>
        <v>0</v>
      </c>
      <c r="CP360" s="118" t="str">
        <f t="shared" si="490"/>
        <v>A</v>
      </c>
      <c r="CQ360" s="119" t="str">
        <f t="shared" si="447"/>
        <v/>
      </c>
      <c r="CR360" s="66">
        <f>+IF($W360="","",ROUND((VLOOKUP(Parámetros!$F$51,'COBERTURAS ADICIONALES'!$S$4:$T$32,2,FALSE)*(1+i/frec)^-0.5*(1+Parámetros!$D$103)*(1+rec_fracc)/frec*$CO$42),2))</f>
        <v>0</v>
      </c>
      <c r="CS360" s="119" t="str">
        <f t="shared" si="448"/>
        <v/>
      </c>
      <c r="CT360" s="66">
        <f>+IF($W360="","",ROUND(IF($B360&gt;Parámetros!$D$107,'Tablas Servicio'!CR360+('Tablas Servicio'!CT359-'Tablas Servicio'!CR359),CR360/(1-IF(B360&lt;=10,Parámetros!$D$100,0))),2))</f>
        <v>0</v>
      </c>
      <c r="CU360" s="66">
        <f t="shared" si="449"/>
        <v>0</v>
      </c>
      <c r="CV360" s="66">
        <f t="shared" si="449"/>
        <v>0</v>
      </c>
      <c r="CW360" s="66">
        <f>+IF($W360="","",ROUND((CT360*Parámetros!$G$85),2))</f>
        <v>0</v>
      </c>
      <c r="CX360" s="66">
        <f>+IF($W360="","",ROUND((CT360*(Parámetros!$G$86)),2))</f>
        <v>0</v>
      </c>
      <c r="CY360" s="66">
        <f t="shared" si="450"/>
        <v>0</v>
      </c>
      <c r="CZ360" t="str">
        <f t="shared" si="491"/>
        <v>00064</v>
      </c>
      <c r="DA360" s="118" t="str">
        <f t="shared" si="492"/>
        <v>Enfermedades Graves</v>
      </c>
      <c r="DB360" s="118">
        <f t="shared" si="493"/>
        <v>0</v>
      </c>
      <c r="DC360" s="118" t="str">
        <f t="shared" si="494"/>
        <v>A</v>
      </c>
      <c r="DD360" s="121" t="str">
        <f>+IF(OR($W360="",DB360=0),"",ROUND((VLOOKUP(ROUNDDOWN($D360-1/frec,0),cob_adi,CO$40,FALSE)*(1+i/frec)^-0.5*(1+Parámetros!$D$103)*(1+rec_fracc)/frec),6))</f>
        <v/>
      </c>
      <c r="DE360" s="66">
        <f t="shared" si="451"/>
        <v>0</v>
      </c>
      <c r="DF360" s="119" t="str">
        <f t="shared" si="452"/>
        <v/>
      </c>
      <c r="DG360" s="66">
        <f>+IF($W360="","",ROUND(IF($B360&gt;Parámetros!$D$107,'Tablas Servicio'!DE360+('Tablas Servicio'!DG359-'Tablas Servicio'!DE359),DE360/(1-IF(B360&lt;=10,Parámetros!$D$100,0))),2))</f>
        <v>0</v>
      </c>
      <c r="DH360" s="66">
        <f t="shared" si="453"/>
        <v>0</v>
      </c>
      <c r="DI360" s="66">
        <f t="shared" si="453"/>
        <v>0</v>
      </c>
      <c r="DJ360" s="66">
        <f>+IF($W360="","",ROUND((DG360*Parámetros!$G$85),2))</f>
        <v>0</v>
      </c>
      <c r="DK360" s="66">
        <f>+IF($W360="","",ROUND((DG360*(Parámetros!$G$86)),2))</f>
        <v>0</v>
      </c>
      <c r="DL360" s="66">
        <f t="shared" si="454"/>
        <v>0</v>
      </c>
      <c r="DM360" t="str">
        <f t="shared" si="495"/>
        <v>00065</v>
      </c>
      <c r="DN360" s="118" t="str">
        <f t="shared" si="496"/>
        <v>Exención pago de primas</v>
      </c>
      <c r="DO360" s="118">
        <f t="shared" si="497"/>
        <v>0</v>
      </c>
      <c r="DP360" s="118" t="str">
        <f t="shared" si="498"/>
        <v>A</v>
      </c>
      <c r="DQ360" s="122" t="str">
        <f>+IF(OR($W360="",DO360=0),"",ROUND((VLOOKUP(ROUNDDOWN($D360-1/frec,0),cob_adi,DB$40,FALSE)*(1+i/frec)^-0.5*(1+Parámetros!$D$103)*(1+rec_fracc)/frec),6))</f>
        <v/>
      </c>
      <c r="DR360" s="66">
        <f t="shared" si="455"/>
        <v>0</v>
      </c>
      <c r="DS360" s="68" t="str">
        <f t="shared" si="456"/>
        <v/>
      </c>
      <c r="DT360" s="66">
        <f>+IF($W360="","",ROUND(IF($B360&gt;Parámetros!$D$107,'Tablas Servicio'!DR360+('Tablas Servicio'!DT359-'Tablas Servicio'!DR359),DR360/(1-IF(B360&lt;=10,Parámetros!$D$100,0))),2))</f>
        <v>0</v>
      </c>
      <c r="DU360" s="66">
        <f t="shared" si="457"/>
        <v>0</v>
      </c>
      <c r="DV360" s="66">
        <f t="shared" si="457"/>
        <v>0</v>
      </c>
      <c r="DW360" s="66">
        <f>+IF($W360="","",ROUND((DT360*Parámetros!$G$85),2))</f>
        <v>0</v>
      </c>
      <c r="DX360" s="66">
        <f>+IF($W360="","",ROUND((DT360*(Parámetros!$G$86)),2))</f>
        <v>0</v>
      </c>
      <c r="DY360" s="66">
        <f t="shared" si="458"/>
        <v>0</v>
      </c>
      <c r="DZ360" t="str">
        <f t="shared" si="501"/>
        <v>00066</v>
      </c>
      <c r="EA360" s="118" t="str">
        <f t="shared" si="501"/>
        <v>Enfermedad terminal</v>
      </c>
      <c r="EB360" s="118">
        <f>+IF($W360="","",ROUND(IF(Parámetros!$D$25='TABLAS MORT'!$V$33,EB359,Z360/2),0))</f>
        <v>50000</v>
      </c>
      <c r="EC360" s="118" t="str">
        <f t="shared" si="501"/>
        <v>A</v>
      </c>
      <c r="ED360" s="122">
        <f>+IF(OR($W360="",EB360=0),"",ROUND((VLOOKUP(ROUNDDOWN($D360-1/frec,0),cob_adi,DO$40,FALSE)*(1+i/frec)^-0.5*(1+Parámetros!$D$103)*(1+rec_fracc)/frec),6))</f>
        <v>5.5000000000000002E-5</v>
      </c>
      <c r="EE360" s="66">
        <f t="shared" si="460"/>
        <v>2.75</v>
      </c>
      <c r="EF360" s="68">
        <f t="shared" si="461"/>
        <v>5.5000000000000002E-5</v>
      </c>
      <c r="EG360" s="66">
        <f>+IF($W360="","",ROUND(IF($B360&gt;Parámetros!$D$107,'Tablas Servicio'!EE360+('Tablas Servicio'!EG359-'Tablas Servicio'!EE359),EE360/(1-IF(B360&lt;=10,Parámetros!$D$100,0))),2))</f>
        <v>2.75</v>
      </c>
      <c r="EH360" s="66">
        <f t="shared" si="462"/>
        <v>0</v>
      </c>
      <c r="EI360" s="66">
        <f t="shared" si="462"/>
        <v>0</v>
      </c>
      <c r="EJ360" s="66">
        <f>+IF($W360="","",ROUND((EG360*Parámetros!$G$85),2))</f>
        <v>0.1</v>
      </c>
      <c r="EK360" s="66">
        <f>+IF($W360="","",ROUND((EG360*(Parámetros!$G$86)),2))</f>
        <v>0.01</v>
      </c>
      <c r="EL360" s="66">
        <f t="shared" si="463"/>
        <v>2.86</v>
      </c>
    </row>
    <row r="361" spans="1:142" x14ac:dyDescent="0.25">
      <c r="A361">
        <f>+IF($C361="","",ROUND(VLOOKUP('Tablas Servicio'!B361,Parámetros!$H$100:$J$159,IF(Parámetros!$E$16="F",2,3),FALSE),2))</f>
        <v>150</v>
      </c>
      <c r="B361">
        <f t="shared" si="414"/>
        <v>27</v>
      </c>
      <c r="C361" s="57">
        <f>+IF(D361="","",'Tablas Servicio'!C360+1)</f>
        <v>320</v>
      </c>
      <c r="D361" s="56">
        <f>+IF(D360&lt;edadmaxtabla,D360+1/Parámetros!$E$25,"")</f>
        <v>66.686666666667193</v>
      </c>
      <c r="E361" s="57">
        <f t="shared" si="424"/>
        <v>66</v>
      </c>
      <c r="F361" s="59">
        <f t="shared" si="425"/>
        <v>100000</v>
      </c>
      <c r="G361" s="66">
        <f t="shared" si="415"/>
        <v>94.65</v>
      </c>
      <c r="H361" s="66">
        <f t="shared" si="416"/>
        <v>98.44</v>
      </c>
      <c r="I361" s="66">
        <f t="shared" si="464"/>
        <v>-4.4399999999999977</v>
      </c>
      <c r="J361" s="66">
        <f t="shared" si="417"/>
        <v>3.3200000000000003</v>
      </c>
      <c r="K361" s="66">
        <f t="shared" si="418"/>
        <v>0.47000000000000003</v>
      </c>
      <c r="L361" s="66">
        <f t="shared" si="419"/>
        <v>0</v>
      </c>
      <c r="M361" s="66">
        <f t="shared" si="420"/>
        <v>0</v>
      </c>
      <c r="N361" s="66">
        <f>+IF(C361="","",ROUND(Parámetros!$D$23,2))</f>
        <v>94</v>
      </c>
      <c r="O361" s="66">
        <f t="shared" si="421"/>
        <v>82.15</v>
      </c>
      <c r="P361" s="66">
        <f>+IF($C361="","",ROUND(IF(B361&gt;Parámetros!$D$117,0,N361*Parámetros!$D$116-G361*Parámetros!$D$100),2))</f>
        <v>0</v>
      </c>
      <c r="Q361" s="75">
        <f t="shared" si="465"/>
        <v>3.5076597992604333E-2</v>
      </c>
      <c r="R361" s="75">
        <f t="shared" si="466"/>
        <v>4.9656629688325411E-3</v>
      </c>
      <c r="S361" s="117">
        <f>+IF($C361="","",ROUND((S360+I361)*(1+Parámetros!$D$91),2))</f>
        <v>23945.17</v>
      </c>
      <c r="T361" s="117">
        <f>+IF($C361="","",ROUND(S361*VLOOKUP(B361,Parámetros!$C$30:$D$39,2,TRUE),2))</f>
        <v>23945.17</v>
      </c>
      <c r="U361" s="117">
        <f>+IF($C361="","",ROUND((U360+I361)*(1+Parámetros!$D$92),2))</f>
        <v>26081.83</v>
      </c>
      <c r="V361" s="117">
        <f>+IF($C361="","",ROUND(U361*VLOOKUP(B361,Parámetros!$C$30:$D$39,2,TRUE),2))</f>
        <v>26081.83</v>
      </c>
      <c r="W361" s="57">
        <f t="shared" si="467"/>
        <v>320</v>
      </c>
      <c r="X361" t="str">
        <f t="shared" si="468"/>
        <v>00058</v>
      </c>
      <c r="Y361" t="str">
        <f t="shared" si="469"/>
        <v>MUERTE POR CUALQUIER CAUSA</v>
      </c>
      <c r="Z361" s="118">
        <f>+IF($W361="","",ROUND(IF(Parámetros!$D$25='TABLAS MORT'!$V$33,Z360,Parámetros!$D$21-'Tablas Servicio'!T360),0))</f>
        <v>100000</v>
      </c>
      <c r="AA361" s="118" t="str">
        <f t="shared" si="470"/>
        <v>P</v>
      </c>
      <c r="AB361" s="119">
        <f>+IF(W361="","",ROUND((VLOOKUP(ROUNDDOWN($D361-1/frec,0),qx_tabla,2,FALSE)*(1+i/frec)^-0.5*(1+Parámetros!$D$103)*(1+rec_fracc)/frec),6))</f>
        <v>7.94E-4</v>
      </c>
      <c r="AC361" s="66">
        <f t="shared" si="426"/>
        <v>79.400000000000006</v>
      </c>
      <c r="AD361" s="119">
        <f t="shared" si="422"/>
        <v>9.19E-4</v>
      </c>
      <c r="AE361" s="66">
        <f>+IF($W361="","",ROUND(IF($B361&gt;Parámetros!$D$107,'Tablas Servicio'!AC361+('Tablas Servicio'!AG360-'Tablas Servicio'!AC360),AC361/(1-IF(B361&lt;=10,Parámetros!$D$104,Parámetros!$D$105))),2))</f>
        <v>132.33000000000001</v>
      </c>
      <c r="AF361" s="66">
        <f>+IF($W361="","",ROUND(IF($B361&gt;Parámetros!$D$107,'Tablas Servicio'!AC361+('Tablas Servicio'!AG360-'Tablas Servicio'!AC360),(AC361+$A360/frec)/(1-IF(B361&lt;=Parámetros!$D$117,Parámetros!$D$100,0))),2))</f>
        <v>91.9</v>
      </c>
      <c r="AG361" s="66">
        <f t="shared" si="427"/>
        <v>91.9</v>
      </c>
      <c r="AH361" s="66">
        <f t="shared" si="428"/>
        <v>0</v>
      </c>
      <c r="AI361" s="66">
        <f t="shared" si="429"/>
        <v>0</v>
      </c>
      <c r="AJ361" s="66">
        <f>+IF($W361="","",ROUND((AG361*Parámetros!$G$85),2))</f>
        <v>3.22</v>
      </c>
      <c r="AK361" s="66">
        <f>+IF($W361="","",ROUND((AG361*(Parámetros!$G$86)),2))</f>
        <v>0.46</v>
      </c>
      <c r="AL361" s="66">
        <f t="shared" si="423"/>
        <v>95.58</v>
      </c>
      <c r="AM361" t="str">
        <f t="shared" si="471"/>
        <v>00059</v>
      </c>
      <c r="AN361" t="str">
        <f t="shared" si="472"/>
        <v>Incapacidad Total y Permanente</v>
      </c>
      <c r="AO361" s="118">
        <f t="shared" si="473"/>
        <v>0</v>
      </c>
      <c r="AP361" s="118" t="str">
        <f t="shared" si="474"/>
        <v>A</v>
      </c>
      <c r="AQ361" s="119" t="str">
        <f>+IF(OR($W361="",AO361=0),"",ROUND((VLOOKUP(ROUNDDOWN($D361-1/frec,0),cob_adi,Z$40,FALSE)*(1+i/frec)^-0.5*(1+Parámetros!$D$103)*(1+rec_fracc)/frec),6))</f>
        <v/>
      </c>
      <c r="AR361" s="66">
        <f t="shared" si="430"/>
        <v>0</v>
      </c>
      <c r="AS361" s="119" t="str">
        <f t="shared" si="431"/>
        <v/>
      </c>
      <c r="AT361" s="66">
        <f>+IF($W361="","",ROUND(IF($B361&gt;Parámetros!$D$107,'Tablas Servicio'!AR361+('Tablas Servicio'!AT360-'Tablas Servicio'!AR360),AR361/(1-IF(B361&lt;=10,Parámetros!$D$100,0))),2))</f>
        <v>0</v>
      </c>
      <c r="AU361" s="66">
        <f t="shared" si="432"/>
        <v>0</v>
      </c>
      <c r="AV361" s="66">
        <f t="shared" si="432"/>
        <v>0</v>
      </c>
      <c r="AW361" s="66">
        <f>+IF($W361="","",ROUND((AT361*Parámetros!$G$85),2))</f>
        <v>0</v>
      </c>
      <c r="AX361" s="66">
        <f>+IF($W361="","",ROUND((AT361*(Parámetros!$G$86)),2))</f>
        <v>0</v>
      </c>
      <c r="AY361" s="66">
        <f t="shared" si="433"/>
        <v>0</v>
      </c>
      <c r="AZ361" t="str">
        <f t="shared" si="475"/>
        <v>00060</v>
      </c>
      <c r="BA361" t="str">
        <f t="shared" si="476"/>
        <v>Muerte Accidental</v>
      </c>
      <c r="BB361" s="118">
        <f t="shared" si="477"/>
        <v>0</v>
      </c>
      <c r="BC361" s="118" t="str">
        <f t="shared" si="478"/>
        <v>A</v>
      </c>
      <c r="BD361" s="119" t="str">
        <f>+IF(OR($W361="",BB361=0),"",ROUND((VLOOKUP(ROUNDDOWN($D361-1/frec,0),cob_adi,AO$40,FALSE)*(1+i/frec)^-0.5*(1+Parámetros!$D$103)*(1+rec_fracc)/frec),6))</f>
        <v/>
      </c>
      <c r="BE361" s="66">
        <f t="shared" si="434"/>
        <v>0</v>
      </c>
      <c r="BF361" s="119" t="str">
        <f t="shared" si="435"/>
        <v/>
      </c>
      <c r="BG361" s="66">
        <f>+IF($W361="","",ROUND(IF($B361&gt;Parámetros!$D$107,'Tablas Servicio'!BE361+('Tablas Servicio'!BG360-'Tablas Servicio'!BE360),BE361/(1-IF(B361&lt;=10,Parámetros!$D$100,0))),2))</f>
        <v>0</v>
      </c>
      <c r="BH361" s="66">
        <f t="shared" si="436"/>
        <v>0</v>
      </c>
      <c r="BI361" s="66">
        <f t="shared" si="437"/>
        <v>0</v>
      </c>
      <c r="BJ361" s="66">
        <f>+IF($W361="","",ROUND((BG361*Parámetros!$G$85),2))</f>
        <v>0</v>
      </c>
      <c r="BK361" s="66">
        <f>+IF($W361="","",ROUND((BG361*(Parámetros!$G$86)),2))</f>
        <v>0</v>
      </c>
      <c r="BL361" s="66">
        <f t="shared" si="438"/>
        <v>0</v>
      </c>
      <c r="BM361" t="str">
        <f t="shared" si="479"/>
        <v>00061</v>
      </c>
      <c r="BN361" t="str">
        <f t="shared" si="480"/>
        <v>Gastos de Entierro</v>
      </c>
      <c r="BO361" s="118">
        <f t="shared" si="481"/>
        <v>0</v>
      </c>
      <c r="BP361" s="118" t="str">
        <f t="shared" si="482"/>
        <v>A</v>
      </c>
      <c r="BQ361" s="119" t="str">
        <f>+IF(OR($W361="",BO361=0),"",ROUND((VLOOKUP(ROUNDDOWN($D361-1/frec,0),cob_adi,BB$40,FALSE)*(1+i/frec)^-0.5*(1+Parámetros!$D$103)*(1+rec_fracc)/frec),6))</f>
        <v/>
      </c>
      <c r="BR361" s="66">
        <f t="shared" si="439"/>
        <v>0</v>
      </c>
      <c r="BS361" s="119" t="str">
        <f t="shared" si="440"/>
        <v/>
      </c>
      <c r="BT361" s="66">
        <f>+IF($W361="","",ROUND(IF($B361&gt;Parámetros!$D$107,'Tablas Servicio'!BR361+('Tablas Servicio'!BT360-'Tablas Servicio'!BR360),BR361/(1-IF(B361&lt;=10,Parámetros!$D$100,0))),2))</f>
        <v>0</v>
      </c>
      <c r="BU361" s="66">
        <f t="shared" si="441"/>
        <v>0</v>
      </c>
      <c r="BV361" s="66">
        <f t="shared" si="441"/>
        <v>0</v>
      </c>
      <c r="BW361" s="66">
        <f>+IF($W361="","",ROUND((BT361*Parámetros!$G$85),2))</f>
        <v>0</v>
      </c>
      <c r="BX361" s="66">
        <f>+IF($W361="","",ROUND((BT361*(Parámetros!$G$86)),2))</f>
        <v>0</v>
      </c>
      <c r="BY361" s="66">
        <f t="shared" si="442"/>
        <v>0</v>
      </c>
      <c r="BZ361" t="str">
        <f t="shared" si="483"/>
        <v>00062</v>
      </c>
      <c r="CA361" t="str">
        <f t="shared" si="484"/>
        <v>Gastos médicos por accidente</v>
      </c>
      <c r="CB361" s="118">
        <f t="shared" si="485"/>
        <v>0</v>
      </c>
      <c r="CC361" s="118" t="str">
        <f t="shared" si="486"/>
        <v>A</v>
      </c>
      <c r="CD361" s="119" t="str">
        <f t="shared" si="443"/>
        <v/>
      </c>
      <c r="CE361" s="66">
        <f>+IF($W361="","",ROUND((VLOOKUP(ROUNDDOWN($D361-1/frec,0),cob_adi,BO$40,FALSE)*(1+i/frec)^-0.5*(1+Parámetros!$D$103)*(1+rec_fracc)/frec*'TABLAS ADI'!$BC$17),2))</f>
        <v>0</v>
      </c>
      <c r="CF361" s="119" t="str">
        <f t="shared" si="444"/>
        <v/>
      </c>
      <c r="CG361" s="66">
        <f>+IF($W361="","",ROUND(IF($B361&gt;Parámetros!$D$107,'Tablas Servicio'!CE361+('Tablas Servicio'!CG360-'Tablas Servicio'!CE360),CE361/(1-IF(B361&lt;=10,Parámetros!$D$100,0))),2))</f>
        <v>0</v>
      </c>
      <c r="CH361" s="66">
        <f t="shared" si="445"/>
        <v>0</v>
      </c>
      <c r="CI361" s="66">
        <f t="shared" si="445"/>
        <v>0</v>
      </c>
      <c r="CJ361" s="66">
        <f>+IF($W361="","",ROUND((CG361*Parámetros!$G$85),2))</f>
        <v>0</v>
      </c>
      <c r="CK361" s="66">
        <f>+IF($W361="","",ROUND((CG361*(Parámetros!$G$86)),2))</f>
        <v>0</v>
      </c>
      <c r="CL361" s="66">
        <f t="shared" si="446"/>
        <v>0</v>
      </c>
      <c r="CM361" t="str">
        <f t="shared" si="487"/>
        <v>00063</v>
      </c>
      <c r="CN361" s="118" t="str">
        <f t="shared" si="488"/>
        <v>Renta Diaria por Hospitalización</v>
      </c>
      <c r="CO361" s="118">
        <f t="shared" si="489"/>
        <v>0</v>
      </c>
      <c r="CP361" s="118" t="str">
        <f t="shared" si="490"/>
        <v>A</v>
      </c>
      <c r="CQ361" s="119" t="str">
        <f t="shared" si="447"/>
        <v/>
      </c>
      <c r="CR361" s="66">
        <f>+IF($W361="","",ROUND((VLOOKUP(Parámetros!$F$51,'COBERTURAS ADICIONALES'!$S$4:$T$32,2,FALSE)*(1+i/frec)^-0.5*(1+Parámetros!$D$103)*(1+rec_fracc)/frec*$CO$42),2))</f>
        <v>0</v>
      </c>
      <c r="CS361" s="119" t="str">
        <f t="shared" si="448"/>
        <v/>
      </c>
      <c r="CT361" s="66">
        <f>+IF($W361="","",ROUND(IF($B361&gt;Parámetros!$D$107,'Tablas Servicio'!CR361+('Tablas Servicio'!CT360-'Tablas Servicio'!CR360),CR361/(1-IF(B361&lt;=10,Parámetros!$D$100,0))),2))</f>
        <v>0</v>
      </c>
      <c r="CU361" s="66">
        <f t="shared" si="449"/>
        <v>0</v>
      </c>
      <c r="CV361" s="66">
        <f t="shared" si="449"/>
        <v>0</v>
      </c>
      <c r="CW361" s="66">
        <f>+IF($W361="","",ROUND((CT361*Parámetros!$G$85),2))</f>
        <v>0</v>
      </c>
      <c r="CX361" s="66">
        <f>+IF($W361="","",ROUND((CT361*(Parámetros!$G$86)),2))</f>
        <v>0</v>
      </c>
      <c r="CY361" s="66">
        <f t="shared" si="450"/>
        <v>0</v>
      </c>
      <c r="CZ361" t="str">
        <f t="shared" si="491"/>
        <v>00064</v>
      </c>
      <c r="DA361" s="118" t="str">
        <f t="shared" si="492"/>
        <v>Enfermedades Graves</v>
      </c>
      <c r="DB361" s="118">
        <f t="shared" si="493"/>
        <v>0</v>
      </c>
      <c r="DC361" s="118" t="str">
        <f t="shared" si="494"/>
        <v>A</v>
      </c>
      <c r="DD361" s="121" t="str">
        <f>+IF(OR($W361="",DB361=0),"",ROUND((VLOOKUP(ROUNDDOWN($D361-1/frec,0),cob_adi,CO$40,FALSE)*(1+i/frec)^-0.5*(1+Parámetros!$D$103)*(1+rec_fracc)/frec),6))</f>
        <v/>
      </c>
      <c r="DE361" s="66">
        <f t="shared" si="451"/>
        <v>0</v>
      </c>
      <c r="DF361" s="119" t="str">
        <f t="shared" si="452"/>
        <v/>
      </c>
      <c r="DG361" s="66">
        <f>+IF($W361="","",ROUND(IF($B361&gt;Parámetros!$D$107,'Tablas Servicio'!DE361+('Tablas Servicio'!DG360-'Tablas Servicio'!DE360),DE361/(1-IF(B361&lt;=10,Parámetros!$D$100,0))),2))</f>
        <v>0</v>
      </c>
      <c r="DH361" s="66">
        <f t="shared" si="453"/>
        <v>0</v>
      </c>
      <c r="DI361" s="66">
        <f t="shared" si="453"/>
        <v>0</v>
      </c>
      <c r="DJ361" s="66">
        <f>+IF($W361="","",ROUND((DG361*Parámetros!$G$85),2))</f>
        <v>0</v>
      </c>
      <c r="DK361" s="66">
        <f>+IF($W361="","",ROUND((DG361*(Parámetros!$G$86)),2))</f>
        <v>0</v>
      </c>
      <c r="DL361" s="66">
        <f t="shared" si="454"/>
        <v>0</v>
      </c>
      <c r="DM361" t="str">
        <f t="shared" si="495"/>
        <v>00065</v>
      </c>
      <c r="DN361" s="118" t="str">
        <f t="shared" si="496"/>
        <v>Exención pago de primas</v>
      </c>
      <c r="DO361" s="118">
        <f t="shared" si="497"/>
        <v>0</v>
      </c>
      <c r="DP361" s="118" t="str">
        <f t="shared" si="498"/>
        <v>A</v>
      </c>
      <c r="DQ361" s="122" t="str">
        <f>+IF(OR($W361="",DO361=0),"",ROUND((VLOOKUP(ROUNDDOWN($D361-1/frec,0),cob_adi,DB$40,FALSE)*(1+i/frec)^-0.5*(1+Parámetros!$D$103)*(1+rec_fracc)/frec),6))</f>
        <v/>
      </c>
      <c r="DR361" s="66">
        <f t="shared" si="455"/>
        <v>0</v>
      </c>
      <c r="DS361" s="68" t="str">
        <f t="shared" si="456"/>
        <v/>
      </c>
      <c r="DT361" s="66">
        <f>+IF($W361="","",ROUND(IF($B361&gt;Parámetros!$D$107,'Tablas Servicio'!DR361+('Tablas Servicio'!DT360-'Tablas Servicio'!DR360),DR361/(1-IF(B361&lt;=10,Parámetros!$D$100,0))),2))</f>
        <v>0</v>
      </c>
      <c r="DU361" s="66">
        <f t="shared" si="457"/>
        <v>0</v>
      </c>
      <c r="DV361" s="66">
        <f t="shared" si="457"/>
        <v>0</v>
      </c>
      <c r="DW361" s="66">
        <f>+IF($W361="","",ROUND((DT361*Parámetros!$G$85),2))</f>
        <v>0</v>
      </c>
      <c r="DX361" s="66">
        <f>+IF($W361="","",ROUND((DT361*(Parámetros!$G$86)),2))</f>
        <v>0</v>
      </c>
      <c r="DY361" s="66">
        <f t="shared" si="458"/>
        <v>0</v>
      </c>
      <c r="DZ361" t="str">
        <f t="shared" si="501"/>
        <v>00066</v>
      </c>
      <c r="EA361" s="118" t="str">
        <f t="shared" si="501"/>
        <v>Enfermedad terminal</v>
      </c>
      <c r="EB361" s="118">
        <f>+IF($W361="","",ROUND(IF(Parámetros!$D$25='TABLAS MORT'!$V$33,EB360,Z361/2),0))</f>
        <v>50000</v>
      </c>
      <c r="EC361" s="118" t="str">
        <f t="shared" si="501"/>
        <v>A</v>
      </c>
      <c r="ED361" s="122">
        <f>+IF(OR($W361="",EB361=0),"",ROUND((VLOOKUP(ROUNDDOWN($D361-1/frec,0),cob_adi,DO$40,FALSE)*(1+i/frec)^-0.5*(1+Parámetros!$D$103)*(1+rec_fracc)/frec),6))</f>
        <v>5.5000000000000002E-5</v>
      </c>
      <c r="EE361" s="66">
        <f t="shared" si="460"/>
        <v>2.75</v>
      </c>
      <c r="EF361" s="68">
        <f t="shared" si="461"/>
        <v>5.5000000000000002E-5</v>
      </c>
      <c r="EG361" s="66">
        <f>+IF($W361="","",ROUND(IF($B361&gt;Parámetros!$D$107,'Tablas Servicio'!EE361+('Tablas Servicio'!EG360-'Tablas Servicio'!EE360),EE361/(1-IF(B361&lt;=10,Parámetros!$D$100,0))),2))</f>
        <v>2.75</v>
      </c>
      <c r="EH361" s="66">
        <f t="shared" si="462"/>
        <v>0</v>
      </c>
      <c r="EI361" s="66">
        <f t="shared" si="462"/>
        <v>0</v>
      </c>
      <c r="EJ361" s="66">
        <f>+IF($W361="","",ROUND((EG361*Parámetros!$G$85),2))</f>
        <v>0.1</v>
      </c>
      <c r="EK361" s="66">
        <f>+IF($W361="","",ROUND((EG361*(Parámetros!$G$86)),2))</f>
        <v>0.01</v>
      </c>
      <c r="EL361" s="66">
        <f t="shared" si="463"/>
        <v>2.86</v>
      </c>
    </row>
    <row r="362" spans="1:142" x14ac:dyDescent="0.25">
      <c r="A362">
        <f>+IF($C362="","",ROUND(VLOOKUP('Tablas Servicio'!B362,Parámetros!$H$100:$J$159,IF(Parámetros!$E$16="F",2,3),FALSE),2))</f>
        <v>150</v>
      </c>
      <c r="B362">
        <f t="shared" ref="B362:B425" si="502">+IF(D362="","",ROUNDUP(C362/frec,0))</f>
        <v>27</v>
      </c>
      <c r="C362" s="57">
        <f>+IF(D362="","",'Tablas Servicio'!C361+1)</f>
        <v>321</v>
      </c>
      <c r="D362" s="56">
        <f>+IF(D361&lt;edadmaxtabla,D361+1/Parámetros!$E$25,"")</f>
        <v>66.770000000000522</v>
      </c>
      <c r="E362" s="57">
        <f t="shared" si="424"/>
        <v>66</v>
      </c>
      <c r="F362" s="59">
        <f t="shared" si="425"/>
        <v>100000</v>
      </c>
      <c r="G362" s="66">
        <f t="shared" ref="G362:G425" si="503">+IF($C362="","",AG362+AT362+BG362+BT362+CG362+CT362+DG362+DT362+EG362)</f>
        <v>94.65</v>
      </c>
      <c r="H362" s="66">
        <f t="shared" ref="H362:H425" si="504">+IF($C362="","",AL362+AY362+BL362+BY362+CL362+CY362+DL362+DY362+EL362)</f>
        <v>98.44</v>
      </c>
      <c r="I362" s="66">
        <f t="shared" si="464"/>
        <v>-4.4399999999999977</v>
      </c>
      <c r="J362" s="66">
        <f t="shared" ref="J362:J425" si="505">+IF($C362="","",AJ362+AW362+BJ362+BW362+CJ362+CW362+DJ362+DW362+EJ362)</f>
        <v>3.3200000000000003</v>
      </c>
      <c r="K362" s="66">
        <f t="shared" ref="K362:K425" si="506">+IF($C362="","",AK362+AX362+BK362+BX362+CK362+CX362+DK362+DX362+EK362)</f>
        <v>0.47000000000000003</v>
      </c>
      <c r="L362" s="66">
        <f t="shared" ref="L362:L425" si="507">+IF($C362="","",AH362+AU362+BH362+BU362+CH362+CU362+DH362+DU362+EH362)</f>
        <v>0</v>
      </c>
      <c r="M362" s="66">
        <f t="shared" ref="M362:M425" si="508">+IF($C362="","",AI362+AV362+BI362+BV362+CI362+CV362+DI362+DV362+EI362)</f>
        <v>0</v>
      </c>
      <c r="N362" s="66">
        <f>+IF(C362="","",ROUND(Parámetros!$D$23,2))</f>
        <v>94</v>
      </c>
      <c r="O362" s="66">
        <f t="shared" ref="O362:O425" si="509">+IF($C362="","",AC362+AR362+BE362+BR362+CE362+CR362+DE362+DR362+EE362)</f>
        <v>82.15</v>
      </c>
      <c r="P362" s="66">
        <f>+IF($C362="","",ROUND(IF(B362&gt;Parámetros!$D$117,0,N362*Parámetros!$D$116-G362*Parámetros!$D$100),2))</f>
        <v>0</v>
      </c>
      <c r="Q362" s="75">
        <f t="shared" si="465"/>
        <v>3.5076597992604333E-2</v>
      </c>
      <c r="R362" s="75">
        <f t="shared" si="466"/>
        <v>4.9656629688325411E-3</v>
      </c>
      <c r="S362" s="117">
        <f>+IF($C362="","",ROUND((S361+I362)*(1+Parámetros!$D$91),2))</f>
        <v>24008.639999999999</v>
      </c>
      <c r="T362" s="117">
        <f>+IF($C362="","",ROUND(S362*VLOOKUP(B362,Parámetros!$C$30:$D$39,2,TRUE),2))</f>
        <v>24008.639999999999</v>
      </c>
      <c r="U362" s="117">
        <f>+IF($C362="","",ROUND((U361+I362)*(1+Parámetros!$D$92),2))</f>
        <v>26161.919999999998</v>
      </c>
      <c r="V362" s="117">
        <f>+IF($C362="","",ROUND(U362*VLOOKUP(B362,Parámetros!$C$30:$D$39,2,TRUE),2))</f>
        <v>26161.919999999998</v>
      </c>
      <c r="W362" s="57">
        <f t="shared" si="467"/>
        <v>321</v>
      </c>
      <c r="X362" t="str">
        <f t="shared" si="468"/>
        <v>00058</v>
      </c>
      <c r="Y362" t="str">
        <f t="shared" si="469"/>
        <v>MUERTE POR CUALQUIER CAUSA</v>
      </c>
      <c r="Z362" s="118">
        <f>+IF($W362="","",ROUND(IF(Parámetros!$D$25='TABLAS MORT'!$V$33,Z361,Parámetros!$D$21-'Tablas Servicio'!T361),0))</f>
        <v>100000</v>
      </c>
      <c r="AA362" s="118" t="str">
        <f t="shared" si="470"/>
        <v>P</v>
      </c>
      <c r="AB362" s="119">
        <f>+IF(W362="","",ROUND((VLOOKUP(ROUNDDOWN($D362-1/frec,0),qx_tabla,2,FALSE)*(1+i/frec)^-0.5*(1+Parámetros!$D$103)*(1+rec_fracc)/frec),6))</f>
        <v>7.94E-4</v>
      </c>
      <c r="AC362" s="66">
        <f t="shared" si="426"/>
        <v>79.400000000000006</v>
      </c>
      <c r="AD362" s="119">
        <f t="shared" ref="AD362:AD425" si="510">+IF($W362="","",ROUND((AG362/Z362),6))</f>
        <v>9.19E-4</v>
      </c>
      <c r="AE362" s="66">
        <f>+IF($W362="","",ROUND(IF($B362&gt;Parámetros!$D$107,'Tablas Servicio'!AC362+('Tablas Servicio'!AG361-'Tablas Servicio'!AC361),AC362/(1-IF(B362&lt;=10,Parámetros!$D$104,Parámetros!$D$105))),2))</f>
        <v>132.33000000000001</v>
      </c>
      <c r="AF362" s="66">
        <f>+IF($W362="","",ROUND(IF($B362&gt;Parámetros!$D$107,'Tablas Servicio'!AC362+('Tablas Servicio'!AG361-'Tablas Servicio'!AC361),(AC362+$A361/frec)/(1-IF(B362&lt;=Parámetros!$D$117,Parámetros!$D$100,0))),2))</f>
        <v>91.9</v>
      </c>
      <c r="AG362" s="66">
        <f t="shared" si="427"/>
        <v>91.9</v>
      </c>
      <c r="AH362" s="66">
        <f t="shared" si="428"/>
        <v>0</v>
      </c>
      <c r="AI362" s="66">
        <f t="shared" si="429"/>
        <v>0</v>
      </c>
      <c r="AJ362" s="66">
        <f>+IF($W362="","",ROUND((AG362*Parámetros!$G$85),2))</f>
        <v>3.22</v>
      </c>
      <c r="AK362" s="66">
        <f>+IF($W362="","",ROUND((AG362*(Parámetros!$G$86)),2))</f>
        <v>0.46</v>
      </c>
      <c r="AL362" s="66">
        <f t="shared" ref="AL362:AL425" si="511">+IF($W362="","",ROUND((AG362+AJ362+AK362),2))</f>
        <v>95.58</v>
      </c>
      <c r="AM362" t="str">
        <f t="shared" si="471"/>
        <v>00059</v>
      </c>
      <c r="AN362" t="str">
        <f t="shared" si="472"/>
        <v>Incapacidad Total y Permanente</v>
      </c>
      <c r="AO362" s="118">
        <f t="shared" si="473"/>
        <v>0</v>
      </c>
      <c r="AP362" s="118" t="str">
        <f t="shared" si="474"/>
        <v>A</v>
      </c>
      <c r="AQ362" s="119" t="str">
        <f>+IF(OR($W362="",AO362=0),"",ROUND((VLOOKUP(ROUNDDOWN($D362-1/frec,0),cob_adi,Z$40,FALSE)*(1+i/frec)^-0.5*(1+Parámetros!$D$103)*(1+rec_fracc)/frec),6))</f>
        <v/>
      </c>
      <c r="AR362" s="66">
        <f t="shared" si="430"/>
        <v>0</v>
      </c>
      <c r="AS362" s="119" t="str">
        <f t="shared" si="431"/>
        <v/>
      </c>
      <c r="AT362" s="66">
        <f>+IF($W362="","",ROUND(IF($B362&gt;Parámetros!$D$107,'Tablas Servicio'!AR362+('Tablas Servicio'!AT361-'Tablas Servicio'!AR361),AR362/(1-IF(B362&lt;=10,Parámetros!$D$100,0))),2))</f>
        <v>0</v>
      </c>
      <c r="AU362" s="66">
        <f t="shared" si="432"/>
        <v>0</v>
      </c>
      <c r="AV362" s="66">
        <f t="shared" si="432"/>
        <v>0</v>
      </c>
      <c r="AW362" s="66">
        <f>+IF($W362="","",ROUND((AT362*Parámetros!$G$85),2))</f>
        <v>0</v>
      </c>
      <c r="AX362" s="66">
        <f>+IF($W362="","",ROUND((AT362*(Parámetros!$G$86)),2))</f>
        <v>0</v>
      </c>
      <c r="AY362" s="66">
        <f t="shared" si="433"/>
        <v>0</v>
      </c>
      <c r="AZ362" t="str">
        <f t="shared" si="475"/>
        <v>00060</v>
      </c>
      <c r="BA362" t="str">
        <f t="shared" si="476"/>
        <v>Muerte Accidental</v>
      </c>
      <c r="BB362" s="118">
        <f t="shared" si="477"/>
        <v>0</v>
      </c>
      <c r="BC362" s="118" t="str">
        <f t="shared" si="478"/>
        <v>A</v>
      </c>
      <c r="BD362" s="119" t="str">
        <f>+IF(OR($W362="",BB362=0),"",ROUND((VLOOKUP(ROUNDDOWN($D362-1/frec,0),cob_adi,AO$40,FALSE)*(1+i/frec)^-0.5*(1+Parámetros!$D$103)*(1+rec_fracc)/frec),6))</f>
        <v/>
      </c>
      <c r="BE362" s="66">
        <f t="shared" si="434"/>
        <v>0</v>
      </c>
      <c r="BF362" s="119" t="str">
        <f t="shared" si="435"/>
        <v/>
      </c>
      <c r="BG362" s="66">
        <f>+IF($W362="","",ROUND(IF($B362&gt;Parámetros!$D$107,'Tablas Servicio'!BE362+('Tablas Servicio'!BG361-'Tablas Servicio'!BE361),BE362/(1-IF(B362&lt;=10,Parámetros!$D$100,0))),2))</f>
        <v>0</v>
      </c>
      <c r="BH362" s="66">
        <f t="shared" si="436"/>
        <v>0</v>
      </c>
      <c r="BI362" s="66">
        <f t="shared" si="437"/>
        <v>0</v>
      </c>
      <c r="BJ362" s="66">
        <f>+IF($W362="","",ROUND((BG362*Parámetros!$G$85),2))</f>
        <v>0</v>
      </c>
      <c r="BK362" s="66">
        <f>+IF($W362="","",ROUND((BG362*(Parámetros!$G$86)),2))</f>
        <v>0</v>
      </c>
      <c r="BL362" s="66">
        <f t="shared" si="438"/>
        <v>0</v>
      </c>
      <c r="BM362" t="str">
        <f t="shared" si="479"/>
        <v>00061</v>
      </c>
      <c r="BN362" t="str">
        <f t="shared" si="480"/>
        <v>Gastos de Entierro</v>
      </c>
      <c r="BO362" s="118">
        <f t="shared" si="481"/>
        <v>0</v>
      </c>
      <c r="BP362" s="118" t="str">
        <f t="shared" si="482"/>
        <v>A</v>
      </c>
      <c r="BQ362" s="119" t="str">
        <f>+IF(OR($W362="",BO362=0),"",ROUND((VLOOKUP(ROUNDDOWN($D362-1/frec,0),cob_adi,BB$40,FALSE)*(1+i/frec)^-0.5*(1+Parámetros!$D$103)*(1+rec_fracc)/frec),6))</f>
        <v/>
      </c>
      <c r="BR362" s="66">
        <f t="shared" si="439"/>
        <v>0</v>
      </c>
      <c r="BS362" s="119" t="str">
        <f t="shared" si="440"/>
        <v/>
      </c>
      <c r="BT362" s="66">
        <f>+IF($W362="","",ROUND(IF($B362&gt;Parámetros!$D$107,'Tablas Servicio'!BR362+('Tablas Servicio'!BT361-'Tablas Servicio'!BR361),BR362/(1-IF(B362&lt;=10,Parámetros!$D$100,0))),2))</f>
        <v>0</v>
      </c>
      <c r="BU362" s="66">
        <f t="shared" si="441"/>
        <v>0</v>
      </c>
      <c r="BV362" s="66">
        <f t="shared" si="441"/>
        <v>0</v>
      </c>
      <c r="BW362" s="66">
        <f>+IF($W362="","",ROUND((BT362*Parámetros!$G$85),2))</f>
        <v>0</v>
      </c>
      <c r="BX362" s="66">
        <f>+IF($W362="","",ROUND((BT362*(Parámetros!$G$86)),2))</f>
        <v>0</v>
      </c>
      <c r="BY362" s="66">
        <f t="shared" si="442"/>
        <v>0</v>
      </c>
      <c r="BZ362" t="str">
        <f t="shared" si="483"/>
        <v>00062</v>
      </c>
      <c r="CA362" t="str">
        <f t="shared" si="484"/>
        <v>Gastos médicos por accidente</v>
      </c>
      <c r="CB362" s="118">
        <f t="shared" si="485"/>
        <v>0</v>
      </c>
      <c r="CC362" s="118" t="str">
        <f t="shared" si="486"/>
        <v>A</v>
      </c>
      <c r="CD362" s="119" t="str">
        <f t="shared" si="443"/>
        <v/>
      </c>
      <c r="CE362" s="66">
        <f>+IF($W362="","",ROUND((VLOOKUP(ROUNDDOWN($D362-1/frec,0),cob_adi,BO$40,FALSE)*(1+i/frec)^-0.5*(1+Parámetros!$D$103)*(1+rec_fracc)/frec*'TABLAS ADI'!$BC$17),2))</f>
        <v>0</v>
      </c>
      <c r="CF362" s="119" t="str">
        <f t="shared" si="444"/>
        <v/>
      </c>
      <c r="CG362" s="66">
        <f>+IF($W362="","",ROUND(IF($B362&gt;Parámetros!$D$107,'Tablas Servicio'!CE362+('Tablas Servicio'!CG361-'Tablas Servicio'!CE361),CE362/(1-IF(B362&lt;=10,Parámetros!$D$100,0))),2))</f>
        <v>0</v>
      </c>
      <c r="CH362" s="66">
        <f t="shared" si="445"/>
        <v>0</v>
      </c>
      <c r="CI362" s="66">
        <f t="shared" si="445"/>
        <v>0</v>
      </c>
      <c r="CJ362" s="66">
        <f>+IF($W362="","",ROUND((CG362*Parámetros!$G$85),2))</f>
        <v>0</v>
      </c>
      <c r="CK362" s="66">
        <f>+IF($W362="","",ROUND((CG362*(Parámetros!$G$86)),2))</f>
        <v>0</v>
      </c>
      <c r="CL362" s="66">
        <f t="shared" si="446"/>
        <v>0</v>
      </c>
      <c r="CM362" t="str">
        <f t="shared" si="487"/>
        <v>00063</v>
      </c>
      <c r="CN362" s="118" t="str">
        <f t="shared" si="488"/>
        <v>Renta Diaria por Hospitalización</v>
      </c>
      <c r="CO362" s="118">
        <f t="shared" si="489"/>
        <v>0</v>
      </c>
      <c r="CP362" s="118" t="str">
        <f t="shared" si="490"/>
        <v>A</v>
      </c>
      <c r="CQ362" s="119" t="str">
        <f t="shared" si="447"/>
        <v/>
      </c>
      <c r="CR362" s="66">
        <f>+IF($W362="","",ROUND((VLOOKUP(Parámetros!$F$51,'COBERTURAS ADICIONALES'!$S$4:$T$32,2,FALSE)*(1+i/frec)^-0.5*(1+Parámetros!$D$103)*(1+rec_fracc)/frec*$CO$42),2))</f>
        <v>0</v>
      </c>
      <c r="CS362" s="119" t="str">
        <f t="shared" si="448"/>
        <v/>
      </c>
      <c r="CT362" s="66">
        <f>+IF($W362="","",ROUND(IF($B362&gt;Parámetros!$D$107,'Tablas Servicio'!CR362+('Tablas Servicio'!CT361-'Tablas Servicio'!CR361),CR362/(1-IF(B362&lt;=10,Parámetros!$D$100,0))),2))</f>
        <v>0</v>
      </c>
      <c r="CU362" s="66">
        <f t="shared" si="449"/>
        <v>0</v>
      </c>
      <c r="CV362" s="66">
        <f t="shared" si="449"/>
        <v>0</v>
      </c>
      <c r="CW362" s="66">
        <f>+IF($W362="","",ROUND((CT362*Parámetros!$G$85),2))</f>
        <v>0</v>
      </c>
      <c r="CX362" s="66">
        <f>+IF($W362="","",ROUND((CT362*(Parámetros!$G$86)),2))</f>
        <v>0</v>
      </c>
      <c r="CY362" s="66">
        <f t="shared" si="450"/>
        <v>0</v>
      </c>
      <c r="CZ362" t="str">
        <f t="shared" si="491"/>
        <v>00064</v>
      </c>
      <c r="DA362" s="118" t="str">
        <f t="shared" si="492"/>
        <v>Enfermedades Graves</v>
      </c>
      <c r="DB362" s="118">
        <f t="shared" si="493"/>
        <v>0</v>
      </c>
      <c r="DC362" s="118" t="str">
        <f t="shared" si="494"/>
        <v>A</v>
      </c>
      <c r="DD362" s="121" t="str">
        <f>+IF(OR($W362="",DB362=0),"",ROUND((VLOOKUP(ROUNDDOWN($D362-1/frec,0),cob_adi,CO$40,FALSE)*(1+i/frec)^-0.5*(1+Parámetros!$D$103)*(1+rec_fracc)/frec),6))</f>
        <v/>
      </c>
      <c r="DE362" s="66">
        <f t="shared" si="451"/>
        <v>0</v>
      </c>
      <c r="DF362" s="119" t="str">
        <f t="shared" si="452"/>
        <v/>
      </c>
      <c r="DG362" s="66">
        <f>+IF($W362="","",ROUND(IF($B362&gt;Parámetros!$D$107,'Tablas Servicio'!DE362+('Tablas Servicio'!DG361-'Tablas Servicio'!DE361),DE362/(1-IF(B362&lt;=10,Parámetros!$D$100,0))),2))</f>
        <v>0</v>
      </c>
      <c r="DH362" s="66">
        <f t="shared" si="453"/>
        <v>0</v>
      </c>
      <c r="DI362" s="66">
        <f t="shared" si="453"/>
        <v>0</v>
      </c>
      <c r="DJ362" s="66">
        <f>+IF($W362="","",ROUND((DG362*Parámetros!$G$85),2))</f>
        <v>0</v>
      </c>
      <c r="DK362" s="66">
        <f>+IF($W362="","",ROUND((DG362*(Parámetros!$G$86)),2))</f>
        <v>0</v>
      </c>
      <c r="DL362" s="66">
        <f t="shared" si="454"/>
        <v>0</v>
      </c>
      <c r="DM362" t="str">
        <f t="shared" si="495"/>
        <v>00065</v>
      </c>
      <c r="DN362" s="118" t="str">
        <f t="shared" si="496"/>
        <v>Exención pago de primas</v>
      </c>
      <c r="DO362" s="118">
        <f t="shared" si="497"/>
        <v>0</v>
      </c>
      <c r="DP362" s="118" t="str">
        <f t="shared" si="498"/>
        <v>A</v>
      </c>
      <c r="DQ362" s="122" t="str">
        <f>+IF(OR($W362="",DO362=0),"",ROUND((VLOOKUP(ROUNDDOWN($D362-1/frec,0),cob_adi,DB$40,FALSE)*(1+i/frec)^-0.5*(1+Parámetros!$D$103)*(1+rec_fracc)/frec),6))</f>
        <v/>
      </c>
      <c r="DR362" s="66">
        <f t="shared" si="455"/>
        <v>0</v>
      </c>
      <c r="DS362" s="68" t="str">
        <f t="shared" si="456"/>
        <v/>
      </c>
      <c r="DT362" s="66">
        <f>+IF($W362="","",ROUND(IF($B362&gt;Parámetros!$D$107,'Tablas Servicio'!DR362+('Tablas Servicio'!DT361-'Tablas Servicio'!DR361),DR362/(1-IF(B362&lt;=10,Parámetros!$D$100,0))),2))</f>
        <v>0</v>
      </c>
      <c r="DU362" s="66">
        <f t="shared" si="457"/>
        <v>0</v>
      </c>
      <c r="DV362" s="66">
        <f t="shared" si="457"/>
        <v>0</v>
      </c>
      <c r="DW362" s="66">
        <f>+IF($W362="","",ROUND((DT362*Parámetros!$G$85),2))</f>
        <v>0</v>
      </c>
      <c r="DX362" s="66">
        <f>+IF($W362="","",ROUND((DT362*(Parámetros!$G$86)),2))</f>
        <v>0</v>
      </c>
      <c r="DY362" s="66">
        <f t="shared" si="458"/>
        <v>0</v>
      </c>
      <c r="DZ362" t="str">
        <f t="shared" si="501"/>
        <v>00066</v>
      </c>
      <c r="EA362" s="118" t="str">
        <f t="shared" si="501"/>
        <v>Enfermedad terminal</v>
      </c>
      <c r="EB362" s="118">
        <f>+IF($W362="","",ROUND(IF(Parámetros!$D$25='TABLAS MORT'!$V$33,EB361,Z362/2),0))</f>
        <v>50000</v>
      </c>
      <c r="EC362" s="118" t="str">
        <f t="shared" si="501"/>
        <v>A</v>
      </c>
      <c r="ED362" s="122">
        <f>+IF(OR($W362="",EB362=0),"",ROUND((VLOOKUP(ROUNDDOWN($D362-1/frec,0),cob_adi,DO$40,FALSE)*(1+i/frec)^-0.5*(1+Parámetros!$D$103)*(1+rec_fracc)/frec),6))</f>
        <v>5.5000000000000002E-5</v>
      </c>
      <c r="EE362" s="66">
        <f t="shared" si="460"/>
        <v>2.75</v>
      </c>
      <c r="EF362" s="68">
        <f t="shared" si="461"/>
        <v>5.5000000000000002E-5</v>
      </c>
      <c r="EG362" s="66">
        <f>+IF($W362="","",ROUND(IF($B362&gt;Parámetros!$D$107,'Tablas Servicio'!EE362+('Tablas Servicio'!EG361-'Tablas Servicio'!EE361),EE362/(1-IF(B362&lt;=10,Parámetros!$D$100,0))),2))</f>
        <v>2.75</v>
      </c>
      <c r="EH362" s="66">
        <f t="shared" si="462"/>
        <v>0</v>
      </c>
      <c r="EI362" s="66">
        <f t="shared" si="462"/>
        <v>0</v>
      </c>
      <c r="EJ362" s="66">
        <f>+IF($W362="","",ROUND((EG362*Parámetros!$G$85),2))</f>
        <v>0.1</v>
      </c>
      <c r="EK362" s="66">
        <f>+IF($W362="","",ROUND((EG362*(Parámetros!$G$86)),2))</f>
        <v>0.01</v>
      </c>
      <c r="EL362" s="66">
        <f t="shared" si="463"/>
        <v>2.86</v>
      </c>
    </row>
    <row r="363" spans="1:142" x14ac:dyDescent="0.25">
      <c r="A363">
        <f>+IF($C363="","",ROUND(VLOOKUP('Tablas Servicio'!B363,Parámetros!$H$100:$J$159,IF(Parámetros!$E$16="F",2,3),FALSE),2))</f>
        <v>150</v>
      </c>
      <c r="B363">
        <f t="shared" si="502"/>
        <v>27</v>
      </c>
      <c r="C363" s="57">
        <f>+IF(D363="","",'Tablas Servicio'!C362+1)</f>
        <v>322</v>
      </c>
      <c r="D363" s="56">
        <f>+IF(D362&lt;edadmaxtabla,D362+1/Parámetros!$E$25,"")</f>
        <v>66.85333333333385</v>
      </c>
      <c r="E363" s="57">
        <f t="shared" ref="E363:E426" si="512">+IF(D363="","",ROUNDDOWN(D363,0))</f>
        <v>66</v>
      </c>
      <c r="F363" s="59">
        <f t="shared" ref="F363:F426" si="513">+Z363</f>
        <v>100000</v>
      </c>
      <c r="G363" s="66">
        <f t="shared" si="503"/>
        <v>94.65</v>
      </c>
      <c r="H363" s="66">
        <f t="shared" si="504"/>
        <v>98.44</v>
      </c>
      <c r="I363" s="66">
        <f t="shared" si="464"/>
        <v>-4.4399999999999977</v>
      </c>
      <c r="J363" s="66">
        <f t="shared" si="505"/>
        <v>3.3200000000000003</v>
      </c>
      <c r="K363" s="66">
        <f t="shared" si="506"/>
        <v>0.47000000000000003</v>
      </c>
      <c r="L363" s="66">
        <f t="shared" si="507"/>
        <v>0</v>
      </c>
      <c r="M363" s="66">
        <f t="shared" si="508"/>
        <v>0</v>
      </c>
      <c r="N363" s="66">
        <f>+IF(C363="","",ROUND(Parámetros!$D$23,2))</f>
        <v>94</v>
      </c>
      <c r="O363" s="66">
        <f t="shared" si="509"/>
        <v>82.15</v>
      </c>
      <c r="P363" s="66">
        <f>+IF($C363="","",ROUND(IF(B363&gt;Parámetros!$D$117,0,N363*Parámetros!$D$116-G363*Parámetros!$D$100),2))</f>
        <v>0</v>
      </c>
      <c r="Q363" s="75">
        <f t="shared" si="465"/>
        <v>3.5076597992604333E-2</v>
      </c>
      <c r="R363" s="75">
        <f t="shared" si="466"/>
        <v>4.9656629688325411E-3</v>
      </c>
      <c r="S363" s="117">
        <f>+IF($C363="","",ROUND((S362+I363)*(1+Parámetros!$D$91),2))</f>
        <v>24072.29</v>
      </c>
      <c r="T363" s="117">
        <f>+IF($C363="","",ROUND(S363*VLOOKUP(B363,Parámetros!$C$30:$D$39,2,TRUE),2))</f>
        <v>24072.29</v>
      </c>
      <c r="U363" s="117">
        <f>+IF($C363="","",ROUND((U362+I363)*(1+Parámetros!$D$92),2))</f>
        <v>26242.27</v>
      </c>
      <c r="V363" s="117">
        <f>+IF($C363="","",ROUND(U363*VLOOKUP(B363,Parámetros!$C$30:$D$39,2,TRUE),2))</f>
        <v>26242.27</v>
      </c>
      <c r="W363" s="57">
        <f t="shared" si="467"/>
        <v>322</v>
      </c>
      <c r="X363" t="str">
        <f t="shared" si="468"/>
        <v>00058</v>
      </c>
      <c r="Y363" t="str">
        <f t="shared" si="469"/>
        <v>MUERTE POR CUALQUIER CAUSA</v>
      </c>
      <c r="Z363" s="118">
        <f>+IF($W363="","",ROUND(IF(Parámetros!$D$25='TABLAS MORT'!$V$33,Z362,Parámetros!$D$21-'Tablas Servicio'!T362),0))</f>
        <v>100000</v>
      </c>
      <c r="AA363" s="118" t="str">
        <f t="shared" si="470"/>
        <v>P</v>
      </c>
      <c r="AB363" s="119">
        <f>+IF(W363="","",ROUND((VLOOKUP(ROUNDDOWN($D363-1/frec,0),qx_tabla,2,FALSE)*(1+i/frec)^-0.5*(1+Parámetros!$D$103)*(1+rec_fracc)/frec),6))</f>
        <v>7.94E-4</v>
      </c>
      <c r="AC363" s="66">
        <f t="shared" ref="AC363:AC426" si="514">+IF($W363="","",ROUND((AB363*Z363),2))</f>
        <v>79.400000000000006</v>
      </c>
      <c r="AD363" s="119">
        <f t="shared" si="510"/>
        <v>9.19E-4</v>
      </c>
      <c r="AE363" s="66">
        <f>+IF($W363="","",ROUND(IF($B363&gt;Parámetros!$D$107,'Tablas Servicio'!AC363+('Tablas Servicio'!AG362-'Tablas Servicio'!AC362),AC363/(1-IF(B363&lt;=10,Parámetros!$D$104,Parámetros!$D$105))),2))</f>
        <v>132.33000000000001</v>
      </c>
      <c r="AF363" s="66">
        <f>+IF($W363="","",ROUND(IF($B363&gt;Parámetros!$D$107,'Tablas Servicio'!AC363+('Tablas Servicio'!AG362-'Tablas Servicio'!AC362),(AC363+$A362/frec)/(1-IF(B363&lt;=Parámetros!$D$117,Parámetros!$D$100,0))),2))</f>
        <v>91.9</v>
      </c>
      <c r="AG363" s="66">
        <f t="shared" ref="AG363:AG426" si="515">+IF($W363="","",MIN(AE363,AF363))</f>
        <v>91.9</v>
      </c>
      <c r="AH363" s="66">
        <f t="shared" ref="AH363:AH426" si="516">+IF($W363="","",0)</f>
        <v>0</v>
      </c>
      <c r="AI363" s="66">
        <f t="shared" ref="AI363:AI426" si="517">IF($W363="","",0)</f>
        <v>0</v>
      </c>
      <c r="AJ363" s="66">
        <f>+IF($W363="","",ROUND((AG363*Parámetros!$G$85),2))</f>
        <v>3.22</v>
      </c>
      <c r="AK363" s="66">
        <f>+IF($W363="","",ROUND((AG363*(Parámetros!$G$86)),2))</f>
        <v>0.46</v>
      </c>
      <c r="AL363" s="66">
        <f t="shared" si="511"/>
        <v>95.58</v>
      </c>
      <c r="AM363" t="str">
        <f t="shared" si="471"/>
        <v>00059</v>
      </c>
      <c r="AN363" t="str">
        <f t="shared" si="472"/>
        <v>Incapacidad Total y Permanente</v>
      </c>
      <c r="AO363" s="118">
        <f t="shared" si="473"/>
        <v>0</v>
      </c>
      <c r="AP363" s="118" t="str">
        <f t="shared" si="474"/>
        <v>A</v>
      </c>
      <c r="AQ363" s="119" t="str">
        <f>+IF(OR($W363="",AO363=0),"",ROUND((VLOOKUP(ROUNDDOWN($D363-1/frec,0),cob_adi,Z$40,FALSE)*(1+i/frec)^-0.5*(1+Parámetros!$D$103)*(1+rec_fracc)/frec),6))</f>
        <v/>
      </c>
      <c r="AR363" s="66">
        <f t="shared" ref="AR363:AR426" si="518">+IF(AO363=0,0,IF($W363="","",ROUND((AQ363*AO363),2)))</f>
        <v>0</v>
      </c>
      <c r="AS363" s="119" t="str">
        <f t="shared" ref="AS363:AS426" si="519">+IF(OR($W363="",AO363=0),"",ROUND((AT363/AO363),6))</f>
        <v/>
      </c>
      <c r="AT363" s="66">
        <f>+IF($W363="","",ROUND(IF($B363&gt;Parámetros!$D$107,'Tablas Servicio'!AR363+('Tablas Servicio'!AT362-'Tablas Servicio'!AR362),AR363/(1-IF(B363&lt;=10,Parámetros!$D$100,0))),2))</f>
        <v>0</v>
      </c>
      <c r="AU363" s="66">
        <f t="shared" ref="AU363:AV426" si="520">+IF($W363="","",0)</f>
        <v>0</v>
      </c>
      <c r="AV363" s="66">
        <f t="shared" si="520"/>
        <v>0</v>
      </c>
      <c r="AW363" s="66">
        <f>+IF($W363="","",ROUND((AT363*Parámetros!$G$85),2))</f>
        <v>0</v>
      </c>
      <c r="AX363" s="66">
        <f>+IF($W363="","",ROUND((AT363*(Parámetros!$G$86)),2))</f>
        <v>0</v>
      </c>
      <c r="AY363" s="66">
        <f t="shared" ref="AY363:AY426" si="521">+IF($W363="","",ROUND((AT363+AW363+AX363),2))</f>
        <v>0</v>
      </c>
      <c r="AZ363" t="str">
        <f t="shared" si="475"/>
        <v>00060</v>
      </c>
      <c r="BA363" t="str">
        <f t="shared" si="476"/>
        <v>Muerte Accidental</v>
      </c>
      <c r="BB363" s="118">
        <f t="shared" si="477"/>
        <v>0</v>
      </c>
      <c r="BC363" s="118" t="str">
        <f t="shared" si="478"/>
        <v>A</v>
      </c>
      <c r="BD363" s="119" t="str">
        <f>+IF(OR($W363="",BB363=0),"",ROUND((VLOOKUP(ROUNDDOWN($D363-1/frec,0),cob_adi,AO$40,FALSE)*(1+i/frec)^-0.5*(1+Parámetros!$D$103)*(1+rec_fracc)/frec),6))</f>
        <v/>
      </c>
      <c r="BE363" s="66">
        <f t="shared" ref="BE363:BE426" si="522">+IF(BB363=0,0,IF($W363="","",ROUND(((BD363*BB363)),2)))</f>
        <v>0</v>
      </c>
      <c r="BF363" s="119" t="str">
        <f t="shared" ref="BF363:BF426" si="523">+IF(OR($W363="",BB363=0),"",ROUND((BG363/BB363),6))</f>
        <v/>
      </c>
      <c r="BG363" s="66">
        <f>+IF($W363="","",ROUND(IF($B363&gt;Parámetros!$D$107,'Tablas Servicio'!BE363+('Tablas Servicio'!BG362-'Tablas Servicio'!BE362),BE363/(1-IF(B363&lt;=10,Parámetros!$D$100,0))),2))</f>
        <v>0</v>
      </c>
      <c r="BH363" s="66">
        <f t="shared" ref="BH363:BH426" si="524">IF($W363="","",0)</f>
        <v>0</v>
      </c>
      <c r="BI363" s="66">
        <f t="shared" ref="BI363:BI426" si="525">+IF($W363="","",0)</f>
        <v>0</v>
      </c>
      <c r="BJ363" s="66">
        <f>+IF($W363="","",ROUND((BG363*Parámetros!$G$85),2))</f>
        <v>0</v>
      </c>
      <c r="BK363" s="66">
        <f>+IF($W363="","",ROUND((BG363*(Parámetros!$G$86)),2))</f>
        <v>0</v>
      </c>
      <c r="BL363" s="66">
        <f t="shared" ref="BL363:BL426" si="526">+IF($W363="","",ROUND((BG363+BJ363+BK363),2))</f>
        <v>0</v>
      </c>
      <c r="BM363" t="str">
        <f t="shared" si="479"/>
        <v>00061</v>
      </c>
      <c r="BN363" t="str">
        <f t="shared" si="480"/>
        <v>Gastos de Entierro</v>
      </c>
      <c r="BO363" s="118">
        <f t="shared" si="481"/>
        <v>0</v>
      </c>
      <c r="BP363" s="118" t="str">
        <f t="shared" si="482"/>
        <v>A</v>
      </c>
      <c r="BQ363" s="119" t="str">
        <f>+IF(OR($W363="",BO363=0),"",ROUND((VLOOKUP(ROUNDDOWN($D363-1/frec,0),cob_adi,BB$40,FALSE)*(1+i/frec)^-0.5*(1+Parámetros!$D$103)*(1+rec_fracc)/frec),6))</f>
        <v/>
      </c>
      <c r="BR363" s="66">
        <f t="shared" ref="BR363:BR426" si="527">+IF(BO363=0,0,IF($W363="","",ROUND(((BQ363*BO363)),2)))</f>
        <v>0</v>
      </c>
      <c r="BS363" s="119" t="str">
        <f t="shared" ref="BS363:BS426" si="528">+IF(OR($W363="",BO363=0),"",ROUND((BT363/BO363),6))</f>
        <v/>
      </c>
      <c r="BT363" s="66">
        <f>+IF($W363="","",ROUND(IF($B363&gt;Parámetros!$D$107,'Tablas Servicio'!BR363+('Tablas Servicio'!BT362-'Tablas Servicio'!BR362),BR363/(1-IF(B363&lt;=10,Parámetros!$D$100,0))),2))</f>
        <v>0</v>
      </c>
      <c r="BU363" s="66">
        <f t="shared" ref="BU363:BV426" si="529">+IF($W363="","",0)</f>
        <v>0</v>
      </c>
      <c r="BV363" s="66">
        <f t="shared" si="529"/>
        <v>0</v>
      </c>
      <c r="BW363" s="66">
        <f>+IF($W363="","",ROUND((BT363*Parámetros!$G$85),2))</f>
        <v>0</v>
      </c>
      <c r="BX363" s="66">
        <f>+IF($W363="","",ROUND((BT363*(Parámetros!$G$86)),2))</f>
        <v>0</v>
      </c>
      <c r="BY363" s="66">
        <f t="shared" ref="BY363:BY426" si="530">+IF($W363="","",ROUND((BT363+BW363+BX363),2))</f>
        <v>0</v>
      </c>
      <c r="BZ363" t="str">
        <f t="shared" si="483"/>
        <v>00062</v>
      </c>
      <c r="CA363" t="str">
        <f t="shared" si="484"/>
        <v>Gastos médicos por accidente</v>
      </c>
      <c r="CB363" s="118">
        <f t="shared" si="485"/>
        <v>0</v>
      </c>
      <c r="CC363" s="118" t="str">
        <f t="shared" si="486"/>
        <v>A</v>
      </c>
      <c r="CD363" s="119" t="str">
        <f t="shared" ref="CD363:CD426" si="531">+IF(OR($W363="",CB363=0),"",ROUND((CE363/CB363),6))</f>
        <v/>
      </c>
      <c r="CE363" s="66">
        <f>+IF($W363="","",ROUND((VLOOKUP(ROUNDDOWN($D363-1/frec,0),cob_adi,BO$40,FALSE)*(1+i/frec)^-0.5*(1+Parámetros!$D$103)*(1+rec_fracc)/frec*'TABLAS ADI'!$BC$17),2))</f>
        <v>0</v>
      </c>
      <c r="CF363" s="119" t="str">
        <f t="shared" ref="CF363:CF426" si="532">+IF(OR($W363="",CB363=0),"",ROUND((CG363/CB363),6))</f>
        <v/>
      </c>
      <c r="CG363" s="66">
        <f>+IF($W363="","",ROUND(IF($B363&gt;Parámetros!$D$107,'Tablas Servicio'!CE363+('Tablas Servicio'!CG362-'Tablas Servicio'!CE362),CE363/(1-IF(B363&lt;=10,Parámetros!$D$100,0))),2))</f>
        <v>0</v>
      </c>
      <c r="CH363" s="66">
        <f t="shared" ref="CH363:CI426" si="533">+IF($W363="","",0)</f>
        <v>0</v>
      </c>
      <c r="CI363" s="66">
        <f t="shared" si="533"/>
        <v>0</v>
      </c>
      <c r="CJ363" s="66">
        <f>+IF($W363="","",ROUND((CG363*Parámetros!$G$85),2))</f>
        <v>0</v>
      </c>
      <c r="CK363" s="66">
        <f>+IF($W363="","",ROUND((CG363*(Parámetros!$G$86)),2))</f>
        <v>0</v>
      </c>
      <c r="CL363" s="66">
        <f t="shared" ref="CL363:CL426" si="534">+IF($W363="","",ROUND((CG363+CJ363+CK363),2))</f>
        <v>0</v>
      </c>
      <c r="CM363" t="str">
        <f t="shared" si="487"/>
        <v>00063</v>
      </c>
      <c r="CN363" s="118" t="str">
        <f t="shared" si="488"/>
        <v>Renta Diaria por Hospitalización</v>
      </c>
      <c r="CO363" s="118">
        <f t="shared" si="489"/>
        <v>0</v>
      </c>
      <c r="CP363" s="118" t="str">
        <f t="shared" si="490"/>
        <v>A</v>
      </c>
      <c r="CQ363" s="119" t="str">
        <f t="shared" ref="CQ363:CQ426" si="535">+IF(OR($W363="",CO363=0),"",ROUND((CR363/CO363),6))</f>
        <v/>
      </c>
      <c r="CR363" s="66">
        <f>+IF($W363="","",ROUND((VLOOKUP(Parámetros!$F$51,'COBERTURAS ADICIONALES'!$S$4:$T$32,2,FALSE)*(1+i/frec)^-0.5*(1+Parámetros!$D$103)*(1+rec_fracc)/frec*$CO$42),2))</f>
        <v>0</v>
      </c>
      <c r="CS363" s="119" t="str">
        <f t="shared" ref="CS363:CS426" si="536">+IF(OR($W363="",CO363=0),"",ROUND((CT363/CO363),6))</f>
        <v/>
      </c>
      <c r="CT363" s="66">
        <f>+IF($W363="","",ROUND(IF($B363&gt;Parámetros!$D$107,'Tablas Servicio'!CR363+('Tablas Servicio'!CT362-'Tablas Servicio'!CR362),CR363/(1-IF(B363&lt;=10,Parámetros!$D$100,0))),2))</f>
        <v>0</v>
      </c>
      <c r="CU363" s="66">
        <f t="shared" ref="CU363:CV426" si="537">+IF($W363="","",0)</f>
        <v>0</v>
      </c>
      <c r="CV363" s="66">
        <f t="shared" si="537"/>
        <v>0</v>
      </c>
      <c r="CW363" s="66">
        <f>+IF($W363="","",ROUND((CT363*Parámetros!$G$85),2))</f>
        <v>0</v>
      </c>
      <c r="CX363" s="66">
        <f>+IF($W363="","",ROUND((CT363*(Parámetros!$G$86)),2))</f>
        <v>0</v>
      </c>
      <c r="CY363" s="66">
        <f t="shared" ref="CY363:CY426" si="538">+IF($W363="","",ROUND((CT363+CW363+CX363),2))</f>
        <v>0</v>
      </c>
      <c r="CZ363" t="str">
        <f t="shared" si="491"/>
        <v>00064</v>
      </c>
      <c r="DA363" s="118" t="str">
        <f t="shared" si="492"/>
        <v>Enfermedades Graves</v>
      </c>
      <c r="DB363" s="118">
        <f t="shared" si="493"/>
        <v>0</v>
      </c>
      <c r="DC363" s="118" t="str">
        <f t="shared" si="494"/>
        <v>A</v>
      </c>
      <c r="DD363" s="121" t="str">
        <f>+IF(OR($W363="",DB363=0),"",ROUND((VLOOKUP(ROUNDDOWN($D363-1/frec,0),cob_adi,CO$40,FALSE)*(1+i/frec)^-0.5*(1+Parámetros!$D$103)*(1+rec_fracc)/frec),6))</f>
        <v/>
      </c>
      <c r="DE363" s="66">
        <f t="shared" ref="DE363:DE426" si="539">+IF(DB363=0,0,IF($W363="","",ROUND(((DD363*DB363)),2)))</f>
        <v>0</v>
      </c>
      <c r="DF363" s="119" t="str">
        <f t="shared" ref="DF363:DF426" si="540">+IF(OR($W363="",DB363=0),"",ROUND((DG363/DB363),6))</f>
        <v/>
      </c>
      <c r="DG363" s="66">
        <f>+IF($W363="","",ROUND(IF($B363&gt;Parámetros!$D$107,'Tablas Servicio'!DE363+('Tablas Servicio'!DG362-'Tablas Servicio'!DE362),DE363/(1-IF(B363&lt;=10,Parámetros!$D$100,0))),2))</f>
        <v>0</v>
      </c>
      <c r="DH363" s="66">
        <f t="shared" ref="DH363:DI426" si="541">+IF($W363="","",0)</f>
        <v>0</v>
      </c>
      <c r="DI363" s="66">
        <f t="shared" si="541"/>
        <v>0</v>
      </c>
      <c r="DJ363" s="66">
        <f>+IF($W363="","",ROUND((DG363*Parámetros!$G$85),2))</f>
        <v>0</v>
      </c>
      <c r="DK363" s="66">
        <f>+IF($W363="","",ROUND((DG363*(Parámetros!$G$86)),2))</f>
        <v>0</v>
      </c>
      <c r="DL363" s="66">
        <f t="shared" ref="DL363:DL426" si="542">+IF($W363="","",ROUND((DG363+DJ363+DK363),2))</f>
        <v>0</v>
      </c>
      <c r="DM363" t="str">
        <f t="shared" si="495"/>
        <v>00065</v>
      </c>
      <c r="DN363" s="118" t="str">
        <f t="shared" si="496"/>
        <v>Exención pago de primas</v>
      </c>
      <c r="DO363" s="118">
        <f t="shared" si="497"/>
        <v>0</v>
      </c>
      <c r="DP363" s="118" t="str">
        <f t="shared" si="498"/>
        <v>A</v>
      </c>
      <c r="DQ363" s="122" t="str">
        <f>+IF(OR($W363="",DO363=0),"",ROUND((VLOOKUP(ROUNDDOWN($D363-1/frec,0),cob_adi,DB$40,FALSE)*(1+i/frec)^-0.5*(1+Parámetros!$D$103)*(1+rec_fracc)/frec),6))</f>
        <v/>
      </c>
      <c r="DR363" s="66">
        <f t="shared" ref="DR363:DR426" si="543">+IF(DO363=0,0,IF($W363="","",ROUND(((DQ363*DO363)),2)))</f>
        <v>0</v>
      </c>
      <c r="DS363" s="68" t="str">
        <f t="shared" ref="DS363:DS426" si="544">+IF(OR($W363="",DO363=0),"",ROUND((DT363/DO363),6))</f>
        <v/>
      </c>
      <c r="DT363" s="66">
        <f>+IF($W363="","",ROUND(IF($B363&gt;Parámetros!$D$107,'Tablas Servicio'!DR363+('Tablas Servicio'!DT362-'Tablas Servicio'!DR362),DR363/(1-IF(B363&lt;=10,Parámetros!$D$100,0))),2))</f>
        <v>0</v>
      </c>
      <c r="DU363" s="66">
        <f t="shared" ref="DU363:DV426" si="545">+IF($W363="","",0)</f>
        <v>0</v>
      </c>
      <c r="DV363" s="66">
        <f t="shared" si="545"/>
        <v>0</v>
      </c>
      <c r="DW363" s="66">
        <f>+IF($W363="","",ROUND((DT363*Parámetros!$G$85),2))</f>
        <v>0</v>
      </c>
      <c r="DX363" s="66">
        <f>+IF($W363="","",ROUND((DT363*(Parámetros!$G$86)),2))</f>
        <v>0</v>
      </c>
      <c r="DY363" s="66">
        <f t="shared" ref="DY363:DY426" si="546">+IF($W363="","",ROUND((DT363+DW363+DX363),2))</f>
        <v>0</v>
      </c>
      <c r="DZ363" t="str">
        <f t="shared" ref="DZ363:EC378" si="547">+IF($W363="","",DZ362)</f>
        <v>00066</v>
      </c>
      <c r="EA363" s="118" t="str">
        <f t="shared" si="547"/>
        <v>Enfermedad terminal</v>
      </c>
      <c r="EB363" s="118">
        <f>+IF($W363="","",ROUND(IF(Parámetros!$D$25='TABLAS MORT'!$V$33,EB362,Z363/2),0))</f>
        <v>50000</v>
      </c>
      <c r="EC363" s="118" t="str">
        <f t="shared" si="547"/>
        <v>A</v>
      </c>
      <c r="ED363" s="122">
        <f>+IF(OR($W363="",EB363=0),"",ROUND((VLOOKUP(ROUNDDOWN($D363-1/frec,0),cob_adi,DO$40,FALSE)*(1+i/frec)^-0.5*(1+Parámetros!$D$103)*(1+rec_fracc)/frec),6))</f>
        <v>5.5000000000000002E-5</v>
      </c>
      <c r="EE363" s="66">
        <f t="shared" ref="EE363:EE426" si="548">+IF(EB363=0,0,IF($W363="","",ROUND(((ED363*EB363)),2)))</f>
        <v>2.75</v>
      </c>
      <c r="EF363" s="68">
        <f t="shared" ref="EF363:EF426" si="549">+IF(OR($W363="",EB363=0),"",ROUND((EG363/EB363),6))</f>
        <v>5.5000000000000002E-5</v>
      </c>
      <c r="EG363" s="66">
        <f>+IF($W363="","",ROUND(IF($B363&gt;Parámetros!$D$107,'Tablas Servicio'!EE363+('Tablas Servicio'!EG362-'Tablas Servicio'!EE362),EE363/(1-IF(B363&lt;=10,Parámetros!$D$100,0))),2))</f>
        <v>2.75</v>
      </c>
      <c r="EH363" s="66">
        <f t="shared" ref="EH363:EI426" si="550">+IF($W363="","",0)</f>
        <v>0</v>
      </c>
      <c r="EI363" s="66">
        <f t="shared" si="550"/>
        <v>0</v>
      </c>
      <c r="EJ363" s="66">
        <f>+IF($W363="","",ROUND((EG363*Parámetros!$G$85),2))</f>
        <v>0.1</v>
      </c>
      <c r="EK363" s="66">
        <f>+IF($W363="","",ROUND((EG363*(Parámetros!$G$86)),2))</f>
        <v>0.01</v>
      </c>
      <c r="EL363" s="66">
        <f t="shared" ref="EL363:EL426" si="551">+IF($W363="","",ROUND((EG363+EJ363+EK363),2))</f>
        <v>2.86</v>
      </c>
    </row>
    <row r="364" spans="1:142" x14ac:dyDescent="0.25">
      <c r="A364">
        <f>+IF($C364="","",ROUND(VLOOKUP('Tablas Servicio'!B364,Parámetros!$H$100:$J$159,IF(Parámetros!$E$16="F",2,3),FALSE),2))</f>
        <v>150</v>
      </c>
      <c r="B364">
        <f t="shared" si="502"/>
        <v>27</v>
      </c>
      <c r="C364" s="57">
        <f>+IF(D364="","",'Tablas Servicio'!C363+1)</f>
        <v>323</v>
      </c>
      <c r="D364" s="56">
        <f>+IF(D363&lt;edadmaxtabla,D363+1/Parámetros!$E$25,"")</f>
        <v>66.936666666667179</v>
      </c>
      <c r="E364" s="57">
        <f t="shared" si="512"/>
        <v>66</v>
      </c>
      <c r="F364" s="59">
        <f t="shared" si="513"/>
        <v>100000</v>
      </c>
      <c r="G364" s="66">
        <f t="shared" si="503"/>
        <v>94.65</v>
      </c>
      <c r="H364" s="66">
        <f t="shared" si="504"/>
        <v>98.44</v>
      </c>
      <c r="I364" s="66">
        <f t="shared" si="464"/>
        <v>-4.4399999999999977</v>
      </c>
      <c r="J364" s="66">
        <f t="shared" si="505"/>
        <v>3.3200000000000003</v>
      </c>
      <c r="K364" s="66">
        <f t="shared" si="506"/>
        <v>0.47000000000000003</v>
      </c>
      <c r="L364" s="66">
        <f t="shared" si="507"/>
        <v>0</v>
      </c>
      <c r="M364" s="66">
        <f t="shared" si="508"/>
        <v>0</v>
      </c>
      <c r="N364" s="66">
        <f>+IF(C364="","",ROUND(Parámetros!$D$23,2))</f>
        <v>94</v>
      </c>
      <c r="O364" s="66">
        <f t="shared" si="509"/>
        <v>82.15</v>
      </c>
      <c r="P364" s="66">
        <f>+IF($C364="","",ROUND(IF(B364&gt;Parámetros!$D$117,0,N364*Parámetros!$D$116-G364*Parámetros!$D$100),2))</f>
        <v>0</v>
      </c>
      <c r="Q364" s="75">
        <f t="shared" si="465"/>
        <v>3.5076597992604333E-2</v>
      </c>
      <c r="R364" s="75">
        <f t="shared" si="466"/>
        <v>4.9656629688325411E-3</v>
      </c>
      <c r="S364" s="117">
        <f>+IF($C364="","",ROUND((S363+I364)*(1+Parámetros!$D$91),2))</f>
        <v>24136.12</v>
      </c>
      <c r="T364" s="117">
        <f>+IF($C364="","",ROUND(S364*VLOOKUP(B364,Parámetros!$C$30:$D$39,2,TRUE),2))</f>
        <v>24136.12</v>
      </c>
      <c r="U364" s="117">
        <f>+IF($C364="","",ROUND((U363+I364)*(1+Parámetros!$D$92),2))</f>
        <v>26322.880000000001</v>
      </c>
      <c r="V364" s="117">
        <f>+IF($C364="","",ROUND(U364*VLOOKUP(B364,Parámetros!$C$30:$D$39,2,TRUE),2))</f>
        <v>26322.880000000001</v>
      </c>
      <c r="W364" s="57">
        <f t="shared" si="467"/>
        <v>323</v>
      </c>
      <c r="X364" t="str">
        <f t="shared" si="468"/>
        <v>00058</v>
      </c>
      <c r="Y364" t="str">
        <f t="shared" si="469"/>
        <v>MUERTE POR CUALQUIER CAUSA</v>
      </c>
      <c r="Z364" s="118">
        <f>+IF($W364="","",ROUND(IF(Parámetros!$D$25='TABLAS MORT'!$V$33,Z363,Parámetros!$D$21-'Tablas Servicio'!T363),0))</f>
        <v>100000</v>
      </c>
      <c r="AA364" s="118" t="str">
        <f t="shared" si="470"/>
        <v>P</v>
      </c>
      <c r="AB364" s="119">
        <f>+IF(W364="","",ROUND((VLOOKUP(ROUNDDOWN($D364-1/frec,0),qx_tabla,2,FALSE)*(1+i/frec)^-0.5*(1+Parámetros!$D$103)*(1+rec_fracc)/frec),6))</f>
        <v>7.94E-4</v>
      </c>
      <c r="AC364" s="66">
        <f t="shared" si="514"/>
        <v>79.400000000000006</v>
      </c>
      <c r="AD364" s="119">
        <f t="shared" si="510"/>
        <v>9.19E-4</v>
      </c>
      <c r="AE364" s="66">
        <f>+IF($W364="","",ROUND(IF($B364&gt;Parámetros!$D$107,'Tablas Servicio'!AC364+('Tablas Servicio'!AG363-'Tablas Servicio'!AC363),AC364/(1-IF(B364&lt;=10,Parámetros!$D$104,Parámetros!$D$105))),2))</f>
        <v>132.33000000000001</v>
      </c>
      <c r="AF364" s="66">
        <f>+IF($W364="","",ROUND(IF($B364&gt;Parámetros!$D$107,'Tablas Servicio'!AC364+('Tablas Servicio'!AG363-'Tablas Servicio'!AC363),(AC364+$A363/frec)/(1-IF(B364&lt;=Parámetros!$D$117,Parámetros!$D$100,0))),2))</f>
        <v>91.9</v>
      </c>
      <c r="AG364" s="66">
        <f t="shared" si="515"/>
        <v>91.9</v>
      </c>
      <c r="AH364" s="66">
        <f t="shared" si="516"/>
        <v>0</v>
      </c>
      <c r="AI364" s="66">
        <f t="shared" si="517"/>
        <v>0</v>
      </c>
      <c r="AJ364" s="66">
        <f>+IF($W364="","",ROUND((AG364*Parámetros!$G$85),2))</f>
        <v>3.22</v>
      </c>
      <c r="AK364" s="66">
        <f>+IF($W364="","",ROUND((AG364*(Parámetros!$G$86)),2))</f>
        <v>0.46</v>
      </c>
      <c r="AL364" s="66">
        <f t="shared" si="511"/>
        <v>95.58</v>
      </c>
      <c r="AM364" t="str">
        <f t="shared" si="471"/>
        <v>00059</v>
      </c>
      <c r="AN364" t="str">
        <f t="shared" si="472"/>
        <v>Incapacidad Total y Permanente</v>
      </c>
      <c r="AO364" s="118">
        <f t="shared" si="473"/>
        <v>0</v>
      </c>
      <c r="AP364" s="118" t="str">
        <f t="shared" si="474"/>
        <v>A</v>
      </c>
      <c r="AQ364" s="119" t="str">
        <f>+IF(OR($W364="",AO364=0),"",ROUND((VLOOKUP(ROUNDDOWN($D364-1/frec,0),cob_adi,Z$40,FALSE)*(1+i/frec)^-0.5*(1+Parámetros!$D$103)*(1+rec_fracc)/frec),6))</f>
        <v/>
      </c>
      <c r="AR364" s="66">
        <f t="shared" si="518"/>
        <v>0</v>
      </c>
      <c r="AS364" s="119" t="str">
        <f t="shared" si="519"/>
        <v/>
      </c>
      <c r="AT364" s="66">
        <f>+IF($W364="","",ROUND(IF($B364&gt;Parámetros!$D$107,'Tablas Servicio'!AR364+('Tablas Servicio'!AT363-'Tablas Servicio'!AR363),AR364/(1-IF(B364&lt;=10,Parámetros!$D$100,0))),2))</f>
        <v>0</v>
      </c>
      <c r="AU364" s="66">
        <f t="shared" si="520"/>
        <v>0</v>
      </c>
      <c r="AV364" s="66">
        <f t="shared" si="520"/>
        <v>0</v>
      </c>
      <c r="AW364" s="66">
        <f>+IF($W364="","",ROUND((AT364*Parámetros!$G$85),2))</f>
        <v>0</v>
      </c>
      <c r="AX364" s="66">
        <f>+IF($W364="","",ROUND((AT364*(Parámetros!$G$86)),2))</f>
        <v>0</v>
      </c>
      <c r="AY364" s="66">
        <f t="shared" si="521"/>
        <v>0</v>
      </c>
      <c r="AZ364" t="str">
        <f t="shared" si="475"/>
        <v>00060</v>
      </c>
      <c r="BA364" t="str">
        <f t="shared" si="476"/>
        <v>Muerte Accidental</v>
      </c>
      <c r="BB364" s="118">
        <f t="shared" si="477"/>
        <v>0</v>
      </c>
      <c r="BC364" s="118" t="str">
        <f t="shared" si="478"/>
        <v>A</v>
      </c>
      <c r="BD364" s="119" t="str">
        <f>+IF(OR($W364="",BB364=0),"",ROUND((VLOOKUP(ROUNDDOWN($D364-1/frec,0),cob_adi,AO$40,FALSE)*(1+i/frec)^-0.5*(1+Parámetros!$D$103)*(1+rec_fracc)/frec),6))</f>
        <v/>
      </c>
      <c r="BE364" s="66">
        <f t="shared" si="522"/>
        <v>0</v>
      </c>
      <c r="BF364" s="119" t="str">
        <f t="shared" si="523"/>
        <v/>
      </c>
      <c r="BG364" s="66">
        <f>+IF($W364="","",ROUND(IF($B364&gt;Parámetros!$D$107,'Tablas Servicio'!BE364+('Tablas Servicio'!BG363-'Tablas Servicio'!BE363),BE364/(1-IF(B364&lt;=10,Parámetros!$D$100,0))),2))</f>
        <v>0</v>
      </c>
      <c r="BH364" s="66">
        <f t="shared" si="524"/>
        <v>0</v>
      </c>
      <c r="BI364" s="66">
        <f t="shared" si="525"/>
        <v>0</v>
      </c>
      <c r="BJ364" s="66">
        <f>+IF($W364="","",ROUND((BG364*Parámetros!$G$85),2))</f>
        <v>0</v>
      </c>
      <c r="BK364" s="66">
        <f>+IF($W364="","",ROUND((BG364*(Parámetros!$G$86)),2))</f>
        <v>0</v>
      </c>
      <c r="BL364" s="66">
        <f t="shared" si="526"/>
        <v>0</v>
      </c>
      <c r="BM364" t="str">
        <f t="shared" si="479"/>
        <v>00061</v>
      </c>
      <c r="BN364" t="str">
        <f t="shared" si="480"/>
        <v>Gastos de Entierro</v>
      </c>
      <c r="BO364" s="118">
        <f t="shared" si="481"/>
        <v>0</v>
      </c>
      <c r="BP364" s="118" t="str">
        <f t="shared" si="482"/>
        <v>A</v>
      </c>
      <c r="BQ364" s="119" t="str">
        <f>+IF(OR($W364="",BO364=0),"",ROUND((VLOOKUP(ROUNDDOWN($D364-1/frec,0),cob_adi,BB$40,FALSE)*(1+i/frec)^-0.5*(1+Parámetros!$D$103)*(1+rec_fracc)/frec),6))</f>
        <v/>
      </c>
      <c r="BR364" s="66">
        <f t="shared" si="527"/>
        <v>0</v>
      </c>
      <c r="BS364" s="119" t="str">
        <f t="shared" si="528"/>
        <v/>
      </c>
      <c r="BT364" s="66">
        <f>+IF($W364="","",ROUND(IF($B364&gt;Parámetros!$D$107,'Tablas Servicio'!BR364+('Tablas Servicio'!BT363-'Tablas Servicio'!BR363),BR364/(1-IF(B364&lt;=10,Parámetros!$D$100,0))),2))</f>
        <v>0</v>
      </c>
      <c r="BU364" s="66">
        <f t="shared" si="529"/>
        <v>0</v>
      </c>
      <c r="BV364" s="66">
        <f t="shared" si="529"/>
        <v>0</v>
      </c>
      <c r="BW364" s="66">
        <f>+IF($W364="","",ROUND((BT364*Parámetros!$G$85),2))</f>
        <v>0</v>
      </c>
      <c r="BX364" s="66">
        <f>+IF($W364="","",ROUND((BT364*(Parámetros!$G$86)),2))</f>
        <v>0</v>
      </c>
      <c r="BY364" s="66">
        <f t="shared" si="530"/>
        <v>0</v>
      </c>
      <c r="BZ364" t="str">
        <f t="shared" si="483"/>
        <v>00062</v>
      </c>
      <c r="CA364" t="str">
        <f t="shared" si="484"/>
        <v>Gastos médicos por accidente</v>
      </c>
      <c r="CB364" s="118">
        <f t="shared" si="485"/>
        <v>0</v>
      </c>
      <c r="CC364" s="118" t="str">
        <f t="shared" si="486"/>
        <v>A</v>
      </c>
      <c r="CD364" s="119" t="str">
        <f t="shared" si="531"/>
        <v/>
      </c>
      <c r="CE364" s="66">
        <f>+IF($W364="","",ROUND((VLOOKUP(ROUNDDOWN($D364-1/frec,0),cob_adi,BO$40,FALSE)*(1+i/frec)^-0.5*(1+Parámetros!$D$103)*(1+rec_fracc)/frec*'TABLAS ADI'!$BC$17),2))</f>
        <v>0</v>
      </c>
      <c r="CF364" s="119" t="str">
        <f t="shared" si="532"/>
        <v/>
      </c>
      <c r="CG364" s="66">
        <f>+IF($W364="","",ROUND(IF($B364&gt;Parámetros!$D$107,'Tablas Servicio'!CE364+('Tablas Servicio'!CG363-'Tablas Servicio'!CE363),CE364/(1-IF(B364&lt;=10,Parámetros!$D$100,0))),2))</f>
        <v>0</v>
      </c>
      <c r="CH364" s="66">
        <f t="shared" si="533"/>
        <v>0</v>
      </c>
      <c r="CI364" s="66">
        <f t="shared" si="533"/>
        <v>0</v>
      </c>
      <c r="CJ364" s="66">
        <f>+IF($W364="","",ROUND((CG364*Parámetros!$G$85),2))</f>
        <v>0</v>
      </c>
      <c r="CK364" s="66">
        <f>+IF($W364="","",ROUND((CG364*(Parámetros!$G$86)),2))</f>
        <v>0</v>
      </c>
      <c r="CL364" s="66">
        <f t="shared" si="534"/>
        <v>0</v>
      </c>
      <c r="CM364" t="str">
        <f t="shared" si="487"/>
        <v>00063</v>
      </c>
      <c r="CN364" s="118" t="str">
        <f t="shared" si="488"/>
        <v>Renta Diaria por Hospitalización</v>
      </c>
      <c r="CO364" s="118">
        <f t="shared" si="489"/>
        <v>0</v>
      </c>
      <c r="CP364" s="118" t="str">
        <f t="shared" si="490"/>
        <v>A</v>
      </c>
      <c r="CQ364" s="119" t="str">
        <f t="shared" si="535"/>
        <v/>
      </c>
      <c r="CR364" s="66">
        <f>+IF($W364="","",ROUND((VLOOKUP(Parámetros!$F$51,'COBERTURAS ADICIONALES'!$S$4:$T$32,2,FALSE)*(1+i/frec)^-0.5*(1+Parámetros!$D$103)*(1+rec_fracc)/frec*$CO$42),2))</f>
        <v>0</v>
      </c>
      <c r="CS364" s="119" t="str">
        <f t="shared" si="536"/>
        <v/>
      </c>
      <c r="CT364" s="66">
        <f>+IF($W364="","",ROUND(IF($B364&gt;Parámetros!$D$107,'Tablas Servicio'!CR364+('Tablas Servicio'!CT363-'Tablas Servicio'!CR363),CR364/(1-IF(B364&lt;=10,Parámetros!$D$100,0))),2))</f>
        <v>0</v>
      </c>
      <c r="CU364" s="66">
        <f t="shared" si="537"/>
        <v>0</v>
      </c>
      <c r="CV364" s="66">
        <f t="shared" si="537"/>
        <v>0</v>
      </c>
      <c r="CW364" s="66">
        <f>+IF($W364="","",ROUND((CT364*Parámetros!$G$85),2))</f>
        <v>0</v>
      </c>
      <c r="CX364" s="66">
        <f>+IF($W364="","",ROUND((CT364*(Parámetros!$G$86)),2))</f>
        <v>0</v>
      </c>
      <c r="CY364" s="66">
        <f t="shared" si="538"/>
        <v>0</v>
      </c>
      <c r="CZ364" t="str">
        <f t="shared" si="491"/>
        <v>00064</v>
      </c>
      <c r="DA364" s="118" t="str">
        <f t="shared" si="492"/>
        <v>Enfermedades Graves</v>
      </c>
      <c r="DB364" s="118">
        <f t="shared" si="493"/>
        <v>0</v>
      </c>
      <c r="DC364" s="118" t="str">
        <f t="shared" si="494"/>
        <v>A</v>
      </c>
      <c r="DD364" s="121" t="str">
        <f>+IF(OR($W364="",DB364=0),"",ROUND((VLOOKUP(ROUNDDOWN($D364-1/frec,0),cob_adi,CO$40,FALSE)*(1+i/frec)^-0.5*(1+Parámetros!$D$103)*(1+rec_fracc)/frec),6))</f>
        <v/>
      </c>
      <c r="DE364" s="66">
        <f t="shared" si="539"/>
        <v>0</v>
      </c>
      <c r="DF364" s="119" t="str">
        <f t="shared" si="540"/>
        <v/>
      </c>
      <c r="DG364" s="66">
        <f>+IF($W364="","",ROUND(IF($B364&gt;Parámetros!$D$107,'Tablas Servicio'!DE364+('Tablas Servicio'!DG363-'Tablas Servicio'!DE363),DE364/(1-IF(B364&lt;=10,Parámetros!$D$100,0))),2))</f>
        <v>0</v>
      </c>
      <c r="DH364" s="66">
        <f t="shared" si="541"/>
        <v>0</v>
      </c>
      <c r="DI364" s="66">
        <f t="shared" si="541"/>
        <v>0</v>
      </c>
      <c r="DJ364" s="66">
        <f>+IF($W364="","",ROUND((DG364*Parámetros!$G$85),2))</f>
        <v>0</v>
      </c>
      <c r="DK364" s="66">
        <f>+IF($W364="","",ROUND((DG364*(Parámetros!$G$86)),2))</f>
        <v>0</v>
      </c>
      <c r="DL364" s="66">
        <f t="shared" si="542"/>
        <v>0</v>
      </c>
      <c r="DM364" t="str">
        <f t="shared" si="495"/>
        <v>00065</v>
      </c>
      <c r="DN364" s="118" t="str">
        <f t="shared" si="496"/>
        <v>Exención pago de primas</v>
      </c>
      <c r="DO364" s="118">
        <f t="shared" si="497"/>
        <v>0</v>
      </c>
      <c r="DP364" s="118" t="str">
        <f t="shared" si="498"/>
        <v>A</v>
      </c>
      <c r="DQ364" s="122" t="str">
        <f>+IF(OR($W364="",DO364=0),"",ROUND((VLOOKUP(ROUNDDOWN($D364-1/frec,0),cob_adi,DB$40,FALSE)*(1+i/frec)^-0.5*(1+Parámetros!$D$103)*(1+rec_fracc)/frec),6))</f>
        <v/>
      </c>
      <c r="DR364" s="66">
        <f t="shared" si="543"/>
        <v>0</v>
      </c>
      <c r="DS364" s="68" t="str">
        <f t="shared" si="544"/>
        <v/>
      </c>
      <c r="DT364" s="66">
        <f>+IF($W364="","",ROUND(IF($B364&gt;Parámetros!$D$107,'Tablas Servicio'!DR364+('Tablas Servicio'!DT363-'Tablas Servicio'!DR363),DR364/(1-IF(B364&lt;=10,Parámetros!$D$100,0))),2))</f>
        <v>0</v>
      </c>
      <c r="DU364" s="66">
        <f t="shared" si="545"/>
        <v>0</v>
      </c>
      <c r="DV364" s="66">
        <f t="shared" si="545"/>
        <v>0</v>
      </c>
      <c r="DW364" s="66">
        <f>+IF($W364="","",ROUND((DT364*Parámetros!$G$85),2))</f>
        <v>0</v>
      </c>
      <c r="DX364" s="66">
        <f>+IF($W364="","",ROUND((DT364*(Parámetros!$G$86)),2))</f>
        <v>0</v>
      </c>
      <c r="DY364" s="66">
        <f t="shared" si="546"/>
        <v>0</v>
      </c>
      <c r="DZ364" t="str">
        <f t="shared" si="547"/>
        <v>00066</v>
      </c>
      <c r="EA364" s="118" t="str">
        <f t="shared" si="547"/>
        <v>Enfermedad terminal</v>
      </c>
      <c r="EB364" s="118">
        <f>+IF($W364="","",ROUND(IF(Parámetros!$D$25='TABLAS MORT'!$V$33,EB363,Z364/2),0))</f>
        <v>50000</v>
      </c>
      <c r="EC364" s="118" t="str">
        <f t="shared" si="547"/>
        <v>A</v>
      </c>
      <c r="ED364" s="122">
        <f>+IF(OR($W364="",EB364=0),"",ROUND((VLOOKUP(ROUNDDOWN($D364-1/frec,0),cob_adi,DO$40,FALSE)*(1+i/frec)^-0.5*(1+Parámetros!$D$103)*(1+rec_fracc)/frec),6))</f>
        <v>5.5000000000000002E-5</v>
      </c>
      <c r="EE364" s="66">
        <f t="shared" si="548"/>
        <v>2.75</v>
      </c>
      <c r="EF364" s="68">
        <f t="shared" si="549"/>
        <v>5.5000000000000002E-5</v>
      </c>
      <c r="EG364" s="66">
        <f>+IF($W364="","",ROUND(IF($B364&gt;Parámetros!$D$107,'Tablas Servicio'!EE364+('Tablas Servicio'!EG363-'Tablas Servicio'!EE363),EE364/(1-IF(B364&lt;=10,Parámetros!$D$100,0))),2))</f>
        <v>2.75</v>
      </c>
      <c r="EH364" s="66">
        <f t="shared" si="550"/>
        <v>0</v>
      </c>
      <c r="EI364" s="66">
        <f t="shared" si="550"/>
        <v>0</v>
      </c>
      <c r="EJ364" s="66">
        <f>+IF($W364="","",ROUND((EG364*Parámetros!$G$85),2))</f>
        <v>0.1</v>
      </c>
      <c r="EK364" s="66">
        <f>+IF($W364="","",ROUND((EG364*(Parámetros!$G$86)),2))</f>
        <v>0.01</v>
      </c>
      <c r="EL364" s="66">
        <f t="shared" si="551"/>
        <v>2.86</v>
      </c>
    </row>
    <row r="365" spans="1:142" x14ac:dyDescent="0.25">
      <c r="A365">
        <f>+IF($C365="","",ROUND(VLOOKUP('Tablas Servicio'!B365,Parámetros!$H$100:$J$159,IF(Parámetros!$E$16="F",2,3),FALSE),2))</f>
        <v>150</v>
      </c>
      <c r="B365">
        <f t="shared" si="502"/>
        <v>27</v>
      </c>
      <c r="C365" s="57">
        <f>+IF(D365="","",'Tablas Servicio'!C364+1)</f>
        <v>324</v>
      </c>
      <c r="D365" s="56">
        <f>+IF(D364&lt;edadmaxtabla,D364+1/Parámetros!$E$25,"")</f>
        <v>67.020000000000508</v>
      </c>
      <c r="E365" s="57">
        <f t="shared" si="512"/>
        <v>67</v>
      </c>
      <c r="F365" s="59">
        <f t="shared" si="513"/>
        <v>100000</v>
      </c>
      <c r="G365" s="66">
        <f t="shared" si="503"/>
        <v>94.65</v>
      </c>
      <c r="H365" s="66">
        <f t="shared" si="504"/>
        <v>98.44</v>
      </c>
      <c r="I365" s="66">
        <f t="shared" si="464"/>
        <v>-4.4399999999999977</v>
      </c>
      <c r="J365" s="66">
        <f t="shared" si="505"/>
        <v>3.3200000000000003</v>
      </c>
      <c r="K365" s="66">
        <f t="shared" si="506"/>
        <v>0.47000000000000003</v>
      </c>
      <c r="L365" s="66">
        <f t="shared" si="507"/>
        <v>0</v>
      </c>
      <c r="M365" s="66">
        <f t="shared" si="508"/>
        <v>0</v>
      </c>
      <c r="N365" s="66">
        <f>+IF(C365="","",ROUND(Parámetros!$D$23,2))</f>
        <v>94</v>
      </c>
      <c r="O365" s="66">
        <f t="shared" si="509"/>
        <v>82.15</v>
      </c>
      <c r="P365" s="66">
        <f>+IF($C365="","",ROUND(IF(B365&gt;Parámetros!$D$117,0,N365*Parámetros!$D$116-G365*Parámetros!$D$100),2))</f>
        <v>0</v>
      </c>
      <c r="Q365" s="75">
        <f t="shared" si="465"/>
        <v>3.5076597992604333E-2</v>
      </c>
      <c r="R365" s="75">
        <f t="shared" si="466"/>
        <v>4.9656629688325411E-3</v>
      </c>
      <c r="S365" s="117">
        <f>+IF($C365="","",ROUND((S364+I365)*(1+Parámetros!$D$91),2))</f>
        <v>24200.13</v>
      </c>
      <c r="T365" s="117">
        <f>+IF($C365="","",ROUND(S365*VLOOKUP(B365,Parámetros!$C$30:$D$39,2,TRUE),2))</f>
        <v>24200.13</v>
      </c>
      <c r="U365" s="117">
        <f>+IF($C365="","",ROUND((U364+I365)*(1+Parámetros!$D$92),2))</f>
        <v>26403.759999999998</v>
      </c>
      <c r="V365" s="117">
        <f>+IF($C365="","",ROUND(U365*VLOOKUP(B365,Parámetros!$C$30:$D$39,2,TRUE),2))</f>
        <v>26403.759999999998</v>
      </c>
      <c r="W365" s="57">
        <f t="shared" si="467"/>
        <v>324</v>
      </c>
      <c r="X365" t="str">
        <f t="shared" si="468"/>
        <v>00058</v>
      </c>
      <c r="Y365" t="str">
        <f t="shared" si="469"/>
        <v>MUERTE POR CUALQUIER CAUSA</v>
      </c>
      <c r="Z365" s="118">
        <f>+IF($W365="","",ROUND(IF(Parámetros!$D$25='TABLAS MORT'!$V$33,Z364,Parámetros!$D$21-'Tablas Servicio'!T364),0))</f>
        <v>100000</v>
      </c>
      <c r="AA365" s="118" t="str">
        <f t="shared" si="470"/>
        <v>P</v>
      </c>
      <c r="AB365" s="119">
        <f>+IF(W365="","",ROUND((VLOOKUP(ROUNDDOWN($D365-1/frec,0),qx_tabla,2,FALSE)*(1+i/frec)^-0.5*(1+Parámetros!$D$103)*(1+rec_fracc)/frec),6))</f>
        <v>7.94E-4</v>
      </c>
      <c r="AC365" s="66">
        <f t="shared" si="514"/>
        <v>79.400000000000006</v>
      </c>
      <c r="AD365" s="119">
        <f t="shared" si="510"/>
        <v>9.19E-4</v>
      </c>
      <c r="AE365" s="66">
        <f>+IF($W365="","",ROUND(IF($B365&gt;Parámetros!$D$107,'Tablas Servicio'!AC365+('Tablas Servicio'!AG364-'Tablas Servicio'!AC364),AC365/(1-IF(B365&lt;=10,Parámetros!$D$104,Parámetros!$D$105))),2))</f>
        <v>132.33000000000001</v>
      </c>
      <c r="AF365" s="66">
        <f>+IF($W365="","",ROUND(IF($B365&gt;Parámetros!$D$107,'Tablas Servicio'!AC365+('Tablas Servicio'!AG364-'Tablas Servicio'!AC364),(AC365+$A364/frec)/(1-IF(B365&lt;=Parámetros!$D$117,Parámetros!$D$100,0))),2))</f>
        <v>91.9</v>
      </c>
      <c r="AG365" s="66">
        <f t="shared" si="515"/>
        <v>91.9</v>
      </c>
      <c r="AH365" s="66">
        <f t="shared" si="516"/>
        <v>0</v>
      </c>
      <c r="AI365" s="66">
        <f t="shared" si="517"/>
        <v>0</v>
      </c>
      <c r="AJ365" s="66">
        <f>+IF($W365="","",ROUND((AG365*Parámetros!$G$85),2))</f>
        <v>3.22</v>
      </c>
      <c r="AK365" s="66">
        <f>+IF($W365="","",ROUND((AG365*(Parámetros!$G$86)),2))</f>
        <v>0.46</v>
      </c>
      <c r="AL365" s="66">
        <f t="shared" si="511"/>
        <v>95.58</v>
      </c>
      <c r="AM365" t="str">
        <f t="shared" si="471"/>
        <v>00059</v>
      </c>
      <c r="AN365" t="str">
        <f t="shared" si="472"/>
        <v>Incapacidad Total y Permanente</v>
      </c>
      <c r="AO365" s="118">
        <f t="shared" si="473"/>
        <v>0</v>
      </c>
      <c r="AP365" s="118" t="str">
        <f t="shared" si="474"/>
        <v>A</v>
      </c>
      <c r="AQ365" s="119" t="str">
        <f>+IF(OR($W365="",AO365=0),"",ROUND((VLOOKUP(ROUNDDOWN($D365-1/frec,0),cob_adi,Z$40,FALSE)*(1+i/frec)^-0.5*(1+Parámetros!$D$103)*(1+rec_fracc)/frec),6))</f>
        <v/>
      </c>
      <c r="AR365" s="66">
        <f t="shared" si="518"/>
        <v>0</v>
      </c>
      <c r="AS365" s="119" t="str">
        <f t="shared" si="519"/>
        <v/>
      </c>
      <c r="AT365" s="66">
        <f>+IF($W365="","",ROUND(IF($B365&gt;Parámetros!$D$107,'Tablas Servicio'!AR365+('Tablas Servicio'!AT364-'Tablas Servicio'!AR364),AR365/(1-IF(B365&lt;=10,Parámetros!$D$100,0))),2))</f>
        <v>0</v>
      </c>
      <c r="AU365" s="66">
        <f t="shared" si="520"/>
        <v>0</v>
      </c>
      <c r="AV365" s="66">
        <f t="shared" si="520"/>
        <v>0</v>
      </c>
      <c r="AW365" s="66">
        <f>+IF($W365="","",ROUND((AT365*Parámetros!$G$85),2))</f>
        <v>0</v>
      </c>
      <c r="AX365" s="66">
        <f>+IF($W365="","",ROUND((AT365*(Parámetros!$G$86)),2))</f>
        <v>0</v>
      </c>
      <c r="AY365" s="66">
        <f t="shared" si="521"/>
        <v>0</v>
      </c>
      <c r="AZ365" t="str">
        <f t="shared" si="475"/>
        <v>00060</v>
      </c>
      <c r="BA365" t="str">
        <f t="shared" si="476"/>
        <v>Muerte Accidental</v>
      </c>
      <c r="BB365" s="118">
        <f t="shared" si="477"/>
        <v>0</v>
      </c>
      <c r="BC365" s="118" t="str">
        <f t="shared" si="478"/>
        <v>A</v>
      </c>
      <c r="BD365" s="119" t="str">
        <f>+IF(OR($W365="",BB365=0),"",ROUND((VLOOKUP(ROUNDDOWN($D365-1/frec,0),cob_adi,AO$40,FALSE)*(1+i/frec)^-0.5*(1+Parámetros!$D$103)*(1+rec_fracc)/frec),6))</f>
        <v/>
      </c>
      <c r="BE365" s="66">
        <f t="shared" si="522"/>
        <v>0</v>
      </c>
      <c r="BF365" s="119" t="str">
        <f t="shared" si="523"/>
        <v/>
      </c>
      <c r="BG365" s="66">
        <f>+IF($W365="","",ROUND(IF($B365&gt;Parámetros!$D$107,'Tablas Servicio'!BE365+('Tablas Servicio'!BG364-'Tablas Servicio'!BE364),BE365/(1-IF(B365&lt;=10,Parámetros!$D$100,0))),2))</f>
        <v>0</v>
      </c>
      <c r="BH365" s="66">
        <f t="shared" si="524"/>
        <v>0</v>
      </c>
      <c r="BI365" s="66">
        <f t="shared" si="525"/>
        <v>0</v>
      </c>
      <c r="BJ365" s="66">
        <f>+IF($W365="","",ROUND((BG365*Parámetros!$G$85),2))</f>
        <v>0</v>
      </c>
      <c r="BK365" s="66">
        <f>+IF($W365="","",ROUND((BG365*(Parámetros!$G$86)),2))</f>
        <v>0</v>
      </c>
      <c r="BL365" s="66">
        <f t="shared" si="526"/>
        <v>0</v>
      </c>
      <c r="BM365" t="str">
        <f t="shared" si="479"/>
        <v>00061</v>
      </c>
      <c r="BN365" t="str">
        <f t="shared" si="480"/>
        <v>Gastos de Entierro</v>
      </c>
      <c r="BO365" s="118">
        <f t="shared" si="481"/>
        <v>0</v>
      </c>
      <c r="BP365" s="118" t="str">
        <f t="shared" si="482"/>
        <v>A</v>
      </c>
      <c r="BQ365" s="119" t="str">
        <f>+IF(OR($W365="",BO365=0),"",ROUND((VLOOKUP(ROUNDDOWN($D365-1/frec,0),cob_adi,BB$40,FALSE)*(1+i/frec)^-0.5*(1+Parámetros!$D$103)*(1+rec_fracc)/frec),6))</f>
        <v/>
      </c>
      <c r="BR365" s="66">
        <f t="shared" si="527"/>
        <v>0</v>
      </c>
      <c r="BS365" s="119" t="str">
        <f t="shared" si="528"/>
        <v/>
      </c>
      <c r="BT365" s="66">
        <f>+IF($W365="","",ROUND(IF($B365&gt;Parámetros!$D$107,'Tablas Servicio'!BR365+('Tablas Servicio'!BT364-'Tablas Servicio'!BR364),BR365/(1-IF(B365&lt;=10,Parámetros!$D$100,0))),2))</f>
        <v>0</v>
      </c>
      <c r="BU365" s="66">
        <f t="shared" si="529"/>
        <v>0</v>
      </c>
      <c r="BV365" s="66">
        <f t="shared" si="529"/>
        <v>0</v>
      </c>
      <c r="BW365" s="66">
        <f>+IF($W365="","",ROUND((BT365*Parámetros!$G$85),2))</f>
        <v>0</v>
      </c>
      <c r="BX365" s="66">
        <f>+IF($W365="","",ROUND((BT365*(Parámetros!$G$86)),2))</f>
        <v>0</v>
      </c>
      <c r="BY365" s="66">
        <f t="shared" si="530"/>
        <v>0</v>
      </c>
      <c r="BZ365" t="str">
        <f t="shared" si="483"/>
        <v>00062</v>
      </c>
      <c r="CA365" t="str">
        <f t="shared" si="484"/>
        <v>Gastos médicos por accidente</v>
      </c>
      <c r="CB365" s="118">
        <f t="shared" si="485"/>
        <v>0</v>
      </c>
      <c r="CC365" s="118" t="str">
        <f t="shared" si="486"/>
        <v>A</v>
      </c>
      <c r="CD365" s="119" t="str">
        <f t="shared" si="531"/>
        <v/>
      </c>
      <c r="CE365" s="66">
        <f>+IF($W365="","",ROUND((VLOOKUP(ROUNDDOWN($D365-1/frec,0),cob_adi,BO$40,FALSE)*(1+i/frec)^-0.5*(1+Parámetros!$D$103)*(1+rec_fracc)/frec*'TABLAS ADI'!$BC$17),2))</f>
        <v>0</v>
      </c>
      <c r="CF365" s="119" t="str">
        <f t="shared" si="532"/>
        <v/>
      </c>
      <c r="CG365" s="66">
        <f>+IF($W365="","",ROUND(IF($B365&gt;Parámetros!$D$107,'Tablas Servicio'!CE365+('Tablas Servicio'!CG364-'Tablas Servicio'!CE364),CE365/(1-IF(B365&lt;=10,Parámetros!$D$100,0))),2))</f>
        <v>0</v>
      </c>
      <c r="CH365" s="66">
        <f t="shared" si="533"/>
        <v>0</v>
      </c>
      <c r="CI365" s="66">
        <f t="shared" si="533"/>
        <v>0</v>
      </c>
      <c r="CJ365" s="66">
        <f>+IF($W365="","",ROUND((CG365*Parámetros!$G$85),2))</f>
        <v>0</v>
      </c>
      <c r="CK365" s="66">
        <f>+IF($W365="","",ROUND((CG365*(Parámetros!$G$86)),2))</f>
        <v>0</v>
      </c>
      <c r="CL365" s="66">
        <f t="shared" si="534"/>
        <v>0</v>
      </c>
      <c r="CM365" t="str">
        <f t="shared" si="487"/>
        <v>00063</v>
      </c>
      <c r="CN365" s="118" t="str">
        <f t="shared" si="488"/>
        <v>Renta Diaria por Hospitalización</v>
      </c>
      <c r="CO365" s="118">
        <f t="shared" si="489"/>
        <v>0</v>
      </c>
      <c r="CP365" s="118" t="str">
        <f t="shared" si="490"/>
        <v>A</v>
      </c>
      <c r="CQ365" s="119" t="str">
        <f t="shared" si="535"/>
        <v/>
      </c>
      <c r="CR365" s="66">
        <f>+IF($W365="","",ROUND((VLOOKUP(Parámetros!$F$51,'COBERTURAS ADICIONALES'!$S$4:$T$32,2,FALSE)*(1+i/frec)^-0.5*(1+Parámetros!$D$103)*(1+rec_fracc)/frec*$CO$42),2))</f>
        <v>0</v>
      </c>
      <c r="CS365" s="119" t="str">
        <f t="shared" si="536"/>
        <v/>
      </c>
      <c r="CT365" s="66">
        <f>+IF($W365="","",ROUND(IF($B365&gt;Parámetros!$D$107,'Tablas Servicio'!CR365+('Tablas Servicio'!CT364-'Tablas Servicio'!CR364),CR365/(1-IF(B365&lt;=10,Parámetros!$D$100,0))),2))</f>
        <v>0</v>
      </c>
      <c r="CU365" s="66">
        <f t="shared" si="537"/>
        <v>0</v>
      </c>
      <c r="CV365" s="66">
        <f t="shared" si="537"/>
        <v>0</v>
      </c>
      <c r="CW365" s="66">
        <f>+IF($W365="","",ROUND((CT365*Parámetros!$G$85),2))</f>
        <v>0</v>
      </c>
      <c r="CX365" s="66">
        <f>+IF($W365="","",ROUND((CT365*(Parámetros!$G$86)),2))</f>
        <v>0</v>
      </c>
      <c r="CY365" s="66">
        <f t="shared" si="538"/>
        <v>0</v>
      </c>
      <c r="CZ365" t="str">
        <f t="shared" si="491"/>
        <v>00064</v>
      </c>
      <c r="DA365" s="118" t="str">
        <f t="shared" si="492"/>
        <v>Enfermedades Graves</v>
      </c>
      <c r="DB365" s="118">
        <f t="shared" si="493"/>
        <v>0</v>
      </c>
      <c r="DC365" s="118" t="str">
        <f t="shared" si="494"/>
        <v>A</v>
      </c>
      <c r="DD365" s="121" t="str">
        <f>+IF(OR($W365="",DB365=0),"",ROUND((VLOOKUP(ROUNDDOWN($D365-1/frec,0),cob_adi,CO$40,FALSE)*(1+i/frec)^-0.5*(1+Parámetros!$D$103)*(1+rec_fracc)/frec),6))</f>
        <v/>
      </c>
      <c r="DE365" s="66">
        <f t="shared" si="539"/>
        <v>0</v>
      </c>
      <c r="DF365" s="119" t="str">
        <f t="shared" si="540"/>
        <v/>
      </c>
      <c r="DG365" s="66">
        <f>+IF($W365="","",ROUND(IF($B365&gt;Parámetros!$D$107,'Tablas Servicio'!DE365+('Tablas Servicio'!DG364-'Tablas Servicio'!DE364),DE365/(1-IF(B365&lt;=10,Parámetros!$D$100,0))),2))</f>
        <v>0</v>
      </c>
      <c r="DH365" s="66">
        <f t="shared" si="541"/>
        <v>0</v>
      </c>
      <c r="DI365" s="66">
        <f t="shared" si="541"/>
        <v>0</v>
      </c>
      <c r="DJ365" s="66">
        <f>+IF($W365="","",ROUND((DG365*Parámetros!$G$85),2))</f>
        <v>0</v>
      </c>
      <c r="DK365" s="66">
        <f>+IF($W365="","",ROUND((DG365*(Parámetros!$G$86)),2))</f>
        <v>0</v>
      </c>
      <c r="DL365" s="66">
        <f t="shared" si="542"/>
        <v>0</v>
      </c>
      <c r="DM365" t="str">
        <f t="shared" si="495"/>
        <v>00065</v>
      </c>
      <c r="DN365" s="118" t="str">
        <f t="shared" si="496"/>
        <v>Exención pago de primas</v>
      </c>
      <c r="DO365" s="118">
        <f t="shared" si="497"/>
        <v>0</v>
      </c>
      <c r="DP365" s="118" t="str">
        <f t="shared" si="498"/>
        <v>A</v>
      </c>
      <c r="DQ365" s="122" t="str">
        <f>+IF(OR($W365="",DO365=0),"",ROUND((VLOOKUP(ROUNDDOWN($D365-1/frec,0),cob_adi,DB$40,FALSE)*(1+i/frec)^-0.5*(1+Parámetros!$D$103)*(1+rec_fracc)/frec),6))</f>
        <v/>
      </c>
      <c r="DR365" s="66">
        <f t="shared" si="543"/>
        <v>0</v>
      </c>
      <c r="DS365" s="68" t="str">
        <f t="shared" si="544"/>
        <v/>
      </c>
      <c r="DT365" s="66">
        <f>+IF($W365="","",ROUND(IF($B365&gt;Parámetros!$D$107,'Tablas Servicio'!DR365+('Tablas Servicio'!DT364-'Tablas Servicio'!DR364),DR365/(1-IF(B365&lt;=10,Parámetros!$D$100,0))),2))</f>
        <v>0</v>
      </c>
      <c r="DU365" s="66">
        <f t="shared" si="545"/>
        <v>0</v>
      </c>
      <c r="DV365" s="66">
        <f t="shared" si="545"/>
        <v>0</v>
      </c>
      <c r="DW365" s="66">
        <f>+IF($W365="","",ROUND((DT365*Parámetros!$G$85),2))</f>
        <v>0</v>
      </c>
      <c r="DX365" s="66">
        <f>+IF($W365="","",ROUND((DT365*(Parámetros!$G$86)),2))</f>
        <v>0</v>
      </c>
      <c r="DY365" s="66">
        <f t="shared" si="546"/>
        <v>0</v>
      </c>
      <c r="DZ365" t="str">
        <f t="shared" si="547"/>
        <v>00066</v>
      </c>
      <c r="EA365" s="118" t="str">
        <f t="shared" si="547"/>
        <v>Enfermedad terminal</v>
      </c>
      <c r="EB365" s="118">
        <f>+IF($W365="","",ROUND(IF(Parámetros!$D$25='TABLAS MORT'!$V$33,EB364,Z365/2),0))</f>
        <v>50000</v>
      </c>
      <c r="EC365" s="118" t="str">
        <f t="shared" si="547"/>
        <v>A</v>
      </c>
      <c r="ED365" s="122">
        <f>+IF(OR($W365="",EB365=0),"",ROUND((VLOOKUP(ROUNDDOWN($D365-1/frec,0),cob_adi,DO$40,FALSE)*(1+i/frec)^-0.5*(1+Parámetros!$D$103)*(1+rec_fracc)/frec),6))</f>
        <v>5.5000000000000002E-5</v>
      </c>
      <c r="EE365" s="66">
        <f t="shared" si="548"/>
        <v>2.75</v>
      </c>
      <c r="EF365" s="68">
        <f t="shared" si="549"/>
        <v>5.5000000000000002E-5</v>
      </c>
      <c r="EG365" s="66">
        <f>+IF($W365="","",ROUND(IF($B365&gt;Parámetros!$D$107,'Tablas Servicio'!EE365+('Tablas Servicio'!EG364-'Tablas Servicio'!EE364),EE365/(1-IF(B365&lt;=10,Parámetros!$D$100,0))),2))</f>
        <v>2.75</v>
      </c>
      <c r="EH365" s="66">
        <f t="shared" si="550"/>
        <v>0</v>
      </c>
      <c r="EI365" s="66">
        <f t="shared" si="550"/>
        <v>0</v>
      </c>
      <c r="EJ365" s="66">
        <f>+IF($W365="","",ROUND((EG365*Parámetros!$G$85),2))</f>
        <v>0.1</v>
      </c>
      <c r="EK365" s="66">
        <f>+IF($W365="","",ROUND((EG365*(Parámetros!$G$86)),2))</f>
        <v>0.01</v>
      </c>
      <c r="EL365" s="66">
        <f t="shared" si="551"/>
        <v>2.86</v>
      </c>
    </row>
    <row r="366" spans="1:142" x14ac:dyDescent="0.25">
      <c r="A366">
        <f>+IF($C366="","",ROUND(VLOOKUP('Tablas Servicio'!B366,Parámetros!$H$100:$J$159,IF(Parámetros!$E$16="F",2,3),FALSE),2))</f>
        <v>150</v>
      </c>
      <c r="B366">
        <f t="shared" si="502"/>
        <v>28</v>
      </c>
      <c r="C366" s="57">
        <f>+IF(D366="","",'Tablas Servicio'!C365+1)</f>
        <v>325</v>
      </c>
      <c r="D366" s="56">
        <f>+IF(D365&lt;edadmaxtabla,D365+1/Parámetros!$E$25,"")</f>
        <v>67.103333333333836</v>
      </c>
      <c r="E366" s="57">
        <f t="shared" si="512"/>
        <v>67</v>
      </c>
      <c r="F366" s="59">
        <f t="shared" si="513"/>
        <v>100000</v>
      </c>
      <c r="G366" s="66">
        <f t="shared" si="503"/>
        <v>102.25</v>
      </c>
      <c r="H366" s="66">
        <f t="shared" si="504"/>
        <v>106.34</v>
      </c>
      <c r="I366" s="66">
        <f t="shared" si="464"/>
        <v>-12.340000000000003</v>
      </c>
      <c r="J366" s="66">
        <f t="shared" si="505"/>
        <v>3.58</v>
      </c>
      <c r="K366" s="66">
        <f t="shared" si="506"/>
        <v>0.51</v>
      </c>
      <c r="L366" s="66">
        <f t="shared" si="507"/>
        <v>0</v>
      </c>
      <c r="M366" s="66">
        <f t="shared" si="508"/>
        <v>0</v>
      </c>
      <c r="N366" s="66">
        <f>+IF(C366="","",ROUND(Parámetros!$D$23,2))</f>
        <v>94</v>
      </c>
      <c r="O366" s="66">
        <f t="shared" si="509"/>
        <v>89.75</v>
      </c>
      <c r="P366" s="66">
        <f>+IF($C366="","",ROUND(IF(B366&gt;Parámetros!$D$117,0,N366*Parámetros!$D$116-G366*Parámetros!$D$100),2))</f>
        <v>0</v>
      </c>
      <c r="Q366" s="75">
        <f t="shared" si="465"/>
        <v>3.5012224938875305E-2</v>
      </c>
      <c r="R366" s="75">
        <f t="shared" si="466"/>
        <v>4.9877750611246946E-3</v>
      </c>
      <c r="S366" s="117">
        <f>+IF($C366="","",ROUND((S365+I366)*(1+Parámetros!$D$91),2))</f>
        <v>24256.400000000001</v>
      </c>
      <c r="T366" s="117">
        <f>+IF($C366="","",ROUND(S366*VLOOKUP(B366,Parámetros!$C$30:$D$39,2,TRUE),2))</f>
        <v>24256.400000000001</v>
      </c>
      <c r="U366" s="117">
        <f>+IF($C366="","",ROUND((U365+I366)*(1+Parámetros!$D$92),2))</f>
        <v>26476.97</v>
      </c>
      <c r="V366" s="117">
        <f>+IF($C366="","",ROUND(U366*VLOOKUP(B366,Parámetros!$C$30:$D$39,2,TRUE),2))</f>
        <v>26476.97</v>
      </c>
      <c r="W366" s="57">
        <f t="shared" si="467"/>
        <v>325</v>
      </c>
      <c r="X366" t="str">
        <f t="shared" si="468"/>
        <v>00058</v>
      </c>
      <c r="Y366" t="str">
        <f t="shared" si="469"/>
        <v>MUERTE POR CUALQUIER CAUSA</v>
      </c>
      <c r="Z366" s="118">
        <f>+IF($W366="","",ROUND(IF(Parámetros!$D$25='TABLAS MORT'!$V$33,Z365,Parámetros!$D$21-'Tablas Servicio'!T365),0))</f>
        <v>100000</v>
      </c>
      <c r="AA366" s="118" t="str">
        <f t="shared" si="470"/>
        <v>P</v>
      </c>
      <c r="AB366" s="119">
        <f>+IF(W366="","",ROUND((VLOOKUP(ROUNDDOWN($D366-1/frec,0),qx_tabla,2,FALSE)*(1+i/frec)^-0.5*(1+Parámetros!$D$103)*(1+rec_fracc)/frec),6))</f>
        <v>8.7000000000000001E-4</v>
      </c>
      <c r="AC366" s="66">
        <f t="shared" si="514"/>
        <v>87</v>
      </c>
      <c r="AD366" s="119">
        <f t="shared" si="510"/>
        <v>9.9500000000000001E-4</v>
      </c>
      <c r="AE366" s="66">
        <f>+IF($W366="","",ROUND(IF($B366&gt;Parámetros!$D$107,'Tablas Servicio'!AC366+('Tablas Servicio'!AG365-'Tablas Servicio'!AC365),AC366/(1-IF(B366&lt;=10,Parámetros!$D$104,Parámetros!$D$105))),2))</f>
        <v>145</v>
      </c>
      <c r="AF366" s="66">
        <f>+IF($W366="","",ROUND(IF($B366&gt;Parámetros!$D$107,'Tablas Servicio'!AC366+('Tablas Servicio'!AG365-'Tablas Servicio'!AC365),(AC366+$A365/frec)/(1-IF(B366&lt;=Parámetros!$D$117,Parámetros!$D$100,0))),2))</f>
        <v>99.5</v>
      </c>
      <c r="AG366" s="66">
        <f t="shared" si="515"/>
        <v>99.5</v>
      </c>
      <c r="AH366" s="66">
        <f t="shared" si="516"/>
        <v>0</v>
      </c>
      <c r="AI366" s="66">
        <f t="shared" si="517"/>
        <v>0</v>
      </c>
      <c r="AJ366" s="66">
        <f>+IF($W366="","",ROUND((AG366*Parámetros!$G$85),2))</f>
        <v>3.48</v>
      </c>
      <c r="AK366" s="66">
        <f>+IF($W366="","",ROUND((AG366*(Parámetros!$G$86)),2))</f>
        <v>0.5</v>
      </c>
      <c r="AL366" s="66">
        <f t="shared" si="511"/>
        <v>103.48</v>
      </c>
      <c r="AM366" t="str">
        <f t="shared" si="471"/>
        <v>00059</v>
      </c>
      <c r="AN366" t="str">
        <f t="shared" si="472"/>
        <v>Incapacidad Total y Permanente</v>
      </c>
      <c r="AO366" s="118">
        <f t="shared" si="473"/>
        <v>0</v>
      </c>
      <c r="AP366" s="118" t="str">
        <f t="shared" si="474"/>
        <v>A</v>
      </c>
      <c r="AQ366" s="119" t="str">
        <f>+IF(OR($W366="",AO366=0),"",ROUND((VLOOKUP(ROUNDDOWN($D366-1/frec,0),cob_adi,Z$40,FALSE)*(1+i/frec)^-0.5*(1+Parámetros!$D$103)*(1+rec_fracc)/frec),6))</f>
        <v/>
      </c>
      <c r="AR366" s="66">
        <f t="shared" si="518"/>
        <v>0</v>
      </c>
      <c r="AS366" s="119" t="str">
        <f t="shared" si="519"/>
        <v/>
      </c>
      <c r="AT366" s="66">
        <f>+IF($W366="","",ROUND(IF($B366&gt;Parámetros!$D$107,'Tablas Servicio'!AR366+('Tablas Servicio'!AT365-'Tablas Servicio'!AR365),AR366/(1-IF(B366&lt;=10,Parámetros!$D$100,0))),2))</f>
        <v>0</v>
      </c>
      <c r="AU366" s="66">
        <f t="shared" si="520"/>
        <v>0</v>
      </c>
      <c r="AV366" s="66">
        <f t="shared" si="520"/>
        <v>0</v>
      </c>
      <c r="AW366" s="66">
        <f>+IF($W366="","",ROUND((AT366*Parámetros!$G$85),2))</f>
        <v>0</v>
      </c>
      <c r="AX366" s="66">
        <f>+IF($W366="","",ROUND((AT366*(Parámetros!$G$86)),2))</f>
        <v>0</v>
      </c>
      <c r="AY366" s="66">
        <f t="shared" si="521"/>
        <v>0</v>
      </c>
      <c r="AZ366" t="str">
        <f t="shared" si="475"/>
        <v>00060</v>
      </c>
      <c r="BA366" t="str">
        <f t="shared" si="476"/>
        <v>Muerte Accidental</v>
      </c>
      <c r="BB366" s="118">
        <f t="shared" si="477"/>
        <v>0</v>
      </c>
      <c r="BC366" s="118" t="str">
        <f t="shared" si="478"/>
        <v>A</v>
      </c>
      <c r="BD366" s="119" t="str">
        <f>+IF(OR($W366="",BB366=0),"",ROUND((VLOOKUP(ROUNDDOWN($D366-1/frec,0),cob_adi,AO$40,FALSE)*(1+i/frec)^-0.5*(1+Parámetros!$D$103)*(1+rec_fracc)/frec),6))</f>
        <v/>
      </c>
      <c r="BE366" s="66">
        <f t="shared" si="522"/>
        <v>0</v>
      </c>
      <c r="BF366" s="119" t="str">
        <f t="shared" si="523"/>
        <v/>
      </c>
      <c r="BG366" s="66">
        <f>+IF($W366="","",ROUND(IF($B366&gt;Parámetros!$D$107,'Tablas Servicio'!BE366+('Tablas Servicio'!BG365-'Tablas Servicio'!BE365),BE366/(1-IF(B366&lt;=10,Parámetros!$D$100,0))),2))</f>
        <v>0</v>
      </c>
      <c r="BH366" s="66">
        <f t="shared" si="524"/>
        <v>0</v>
      </c>
      <c r="BI366" s="66">
        <f t="shared" si="525"/>
        <v>0</v>
      </c>
      <c r="BJ366" s="66">
        <f>+IF($W366="","",ROUND((BG366*Parámetros!$G$85),2))</f>
        <v>0</v>
      </c>
      <c r="BK366" s="66">
        <f>+IF($W366="","",ROUND((BG366*(Parámetros!$G$86)),2))</f>
        <v>0</v>
      </c>
      <c r="BL366" s="66">
        <f t="shared" si="526"/>
        <v>0</v>
      </c>
      <c r="BM366" t="str">
        <f t="shared" si="479"/>
        <v>00061</v>
      </c>
      <c r="BN366" t="str">
        <f t="shared" si="480"/>
        <v>Gastos de Entierro</v>
      </c>
      <c r="BO366" s="118">
        <f t="shared" si="481"/>
        <v>0</v>
      </c>
      <c r="BP366" s="118" t="str">
        <f t="shared" si="482"/>
        <v>A</v>
      </c>
      <c r="BQ366" s="119" t="str">
        <f>+IF(OR($W366="",BO366=0),"",ROUND((VLOOKUP(ROUNDDOWN($D366-1/frec,0),cob_adi,BB$40,FALSE)*(1+i/frec)^-0.5*(1+Parámetros!$D$103)*(1+rec_fracc)/frec),6))</f>
        <v/>
      </c>
      <c r="BR366" s="66">
        <f t="shared" si="527"/>
        <v>0</v>
      </c>
      <c r="BS366" s="119" t="str">
        <f t="shared" si="528"/>
        <v/>
      </c>
      <c r="BT366" s="66">
        <f>+IF($W366="","",ROUND(IF($B366&gt;Parámetros!$D$107,'Tablas Servicio'!BR366+('Tablas Servicio'!BT365-'Tablas Servicio'!BR365),BR366/(1-IF(B366&lt;=10,Parámetros!$D$100,0))),2))</f>
        <v>0</v>
      </c>
      <c r="BU366" s="66">
        <f t="shared" si="529"/>
        <v>0</v>
      </c>
      <c r="BV366" s="66">
        <f t="shared" si="529"/>
        <v>0</v>
      </c>
      <c r="BW366" s="66">
        <f>+IF($W366="","",ROUND((BT366*Parámetros!$G$85),2))</f>
        <v>0</v>
      </c>
      <c r="BX366" s="66">
        <f>+IF($W366="","",ROUND((BT366*(Parámetros!$G$86)),2))</f>
        <v>0</v>
      </c>
      <c r="BY366" s="66">
        <f t="shared" si="530"/>
        <v>0</v>
      </c>
      <c r="BZ366" t="str">
        <f t="shared" si="483"/>
        <v>00062</v>
      </c>
      <c r="CA366" t="str">
        <f t="shared" si="484"/>
        <v>Gastos médicos por accidente</v>
      </c>
      <c r="CB366" s="118">
        <f t="shared" si="485"/>
        <v>0</v>
      </c>
      <c r="CC366" s="118" t="str">
        <f t="shared" si="486"/>
        <v>A</v>
      </c>
      <c r="CD366" s="119" t="str">
        <f t="shared" si="531"/>
        <v/>
      </c>
      <c r="CE366" s="66">
        <f>+IF($W366="","",ROUND((VLOOKUP(ROUNDDOWN($D366-1/frec,0),cob_adi,BO$40,FALSE)*(1+i/frec)^-0.5*(1+Parámetros!$D$103)*(1+rec_fracc)/frec*'TABLAS ADI'!$BC$17),2))</f>
        <v>0</v>
      </c>
      <c r="CF366" s="119" t="str">
        <f t="shared" si="532"/>
        <v/>
      </c>
      <c r="CG366" s="66">
        <f>+IF($W366="","",ROUND(IF($B366&gt;Parámetros!$D$107,'Tablas Servicio'!CE366+('Tablas Servicio'!CG365-'Tablas Servicio'!CE365),CE366/(1-IF(B366&lt;=10,Parámetros!$D$100,0))),2))</f>
        <v>0</v>
      </c>
      <c r="CH366" s="66">
        <f t="shared" si="533"/>
        <v>0</v>
      </c>
      <c r="CI366" s="66">
        <f t="shared" si="533"/>
        <v>0</v>
      </c>
      <c r="CJ366" s="66">
        <f>+IF($W366="","",ROUND((CG366*Parámetros!$G$85),2))</f>
        <v>0</v>
      </c>
      <c r="CK366" s="66">
        <f>+IF($W366="","",ROUND((CG366*(Parámetros!$G$86)),2))</f>
        <v>0</v>
      </c>
      <c r="CL366" s="66">
        <f t="shared" si="534"/>
        <v>0</v>
      </c>
      <c r="CM366" t="str">
        <f t="shared" si="487"/>
        <v>00063</v>
      </c>
      <c r="CN366" s="118" t="str">
        <f t="shared" si="488"/>
        <v>Renta Diaria por Hospitalización</v>
      </c>
      <c r="CO366" s="118">
        <f t="shared" si="489"/>
        <v>0</v>
      </c>
      <c r="CP366" s="118" t="str">
        <f t="shared" si="490"/>
        <v>A</v>
      </c>
      <c r="CQ366" s="119" t="str">
        <f t="shared" si="535"/>
        <v/>
      </c>
      <c r="CR366" s="66">
        <f>+IF($W366="","",ROUND((VLOOKUP(Parámetros!$F$51,'COBERTURAS ADICIONALES'!$S$4:$T$32,2,FALSE)*(1+i/frec)^-0.5*(1+Parámetros!$D$103)*(1+rec_fracc)/frec*$CO$42),2))</f>
        <v>0</v>
      </c>
      <c r="CS366" s="119" t="str">
        <f t="shared" si="536"/>
        <v/>
      </c>
      <c r="CT366" s="66">
        <f>+IF($W366="","",ROUND(IF($B366&gt;Parámetros!$D$107,'Tablas Servicio'!CR366+('Tablas Servicio'!CT365-'Tablas Servicio'!CR365),CR366/(1-IF(B366&lt;=10,Parámetros!$D$100,0))),2))</f>
        <v>0</v>
      </c>
      <c r="CU366" s="66">
        <f t="shared" si="537"/>
        <v>0</v>
      </c>
      <c r="CV366" s="66">
        <f t="shared" si="537"/>
        <v>0</v>
      </c>
      <c r="CW366" s="66">
        <f>+IF($W366="","",ROUND((CT366*Parámetros!$G$85),2))</f>
        <v>0</v>
      </c>
      <c r="CX366" s="66">
        <f>+IF($W366="","",ROUND((CT366*(Parámetros!$G$86)),2))</f>
        <v>0</v>
      </c>
      <c r="CY366" s="66">
        <f t="shared" si="538"/>
        <v>0</v>
      </c>
      <c r="CZ366" t="str">
        <f t="shared" si="491"/>
        <v>00064</v>
      </c>
      <c r="DA366" s="118" t="str">
        <f t="shared" si="492"/>
        <v>Enfermedades Graves</v>
      </c>
      <c r="DB366" s="118">
        <f t="shared" si="493"/>
        <v>0</v>
      </c>
      <c r="DC366" s="118" t="str">
        <f t="shared" si="494"/>
        <v>A</v>
      </c>
      <c r="DD366" s="121" t="str">
        <f>+IF(OR($W366="",DB366=0),"",ROUND((VLOOKUP(ROUNDDOWN($D366-1/frec,0),cob_adi,CO$40,FALSE)*(1+i/frec)^-0.5*(1+Parámetros!$D$103)*(1+rec_fracc)/frec),6))</f>
        <v/>
      </c>
      <c r="DE366" s="66">
        <f t="shared" si="539"/>
        <v>0</v>
      </c>
      <c r="DF366" s="119" t="str">
        <f t="shared" si="540"/>
        <v/>
      </c>
      <c r="DG366" s="66">
        <f>+IF($W366="","",ROUND(IF($B366&gt;Parámetros!$D$107,'Tablas Servicio'!DE366+('Tablas Servicio'!DG365-'Tablas Servicio'!DE365),DE366/(1-IF(B366&lt;=10,Parámetros!$D$100,0))),2))</f>
        <v>0</v>
      </c>
      <c r="DH366" s="66">
        <f t="shared" si="541"/>
        <v>0</v>
      </c>
      <c r="DI366" s="66">
        <f t="shared" si="541"/>
        <v>0</v>
      </c>
      <c r="DJ366" s="66">
        <f>+IF($W366="","",ROUND((DG366*Parámetros!$G$85),2))</f>
        <v>0</v>
      </c>
      <c r="DK366" s="66">
        <f>+IF($W366="","",ROUND((DG366*(Parámetros!$G$86)),2))</f>
        <v>0</v>
      </c>
      <c r="DL366" s="66">
        <f t="shared" si="542"/>
        <v>0</v>
      </c>
      <c r="DM366" t="str">
        <f t="shared" si="495"/>
        <v>00065</v>
      </c>
      <c r="DN366" s="118" t="str">
        <f t="shared" si="496"/>
        <v>Exención pago de primas</v>
      </c>
      <c r="DO366" s="118">
        <f t="shared" si="497"/>
        <v>0</v>
      </c>
      <c r="DP366" s="118" t="str">
        <f t="shared" si="498"/>
        <v>A</v>
      </c>
      <c r="DQ366" s="122" t="str">
        <f>+IF(OR($W366="",DO366=0),"",ROUND((VLOOKUP(ROUNDDOWN($D366-1/frec,0),cob_adi,DB$40,FALSE)*(1+i/frec)^-0.5*(1+Parámetros!$D$103)*(1+rec_fracc)/frec),6))</f>
        <v/>
      </c>
      <c r="DR366" s="66">
        <f t="shared" si="543"/>
        <v>0</v>
      </c>
      <c r="DS366" s="68" t="str">
        <f t="shared" si="544"/>
        <v/>
      </c>
      <c r="DT366" s="66">
        <f>+IF($W366="","",ROUND(IF($B366&gt;Parámetros!$D$107,'Tablas Servicio'!DR366+('Tablas Servicio'!DT365-'Tablas Servicio'!DR365),DR366/(1-IF(B366&lt;=10,Parámetros!$D$100,0))),2))</f>
        <v>0</v>
      </c>
      <c r="DU366" s="66">
        <f t="shared" si="545"/>
        <v>0</v>
      </c>
      <c r="DV366" s="66">
        <f t="shared" si="545"/>
        <v>0</v>
      </c>
      <c r="DW366" s="66">
        <f>+IF($W366="","",ROUND((DT366*Parámetros!$G$85),2))</f>
        <v>0</v>
      </c>
      <c r="DX366" s="66">
        <f>+IF($W366="","",ROUND((DT366*(Parámetros!$G$86)),2))</f>
        <v>0</v>
      </c>
      <c r="DY366" s="66">
        <f t="shared" si="546"/>
        <v>0</v>
      </c>
      <c r="DZ366" t="str">
        <f t="shared" si="547"/>
        <v>00066</v>
      </c>
      <c r="EA366" s="118" t="str">
        <f t="shared" si="547"/>
        <v>Enfermedad terminal</v>
      </c>
      <c r="EB366" s="118">
        <f>+IF($W366="","",ROUND(IF(Parámetros!$D$25='TABLAS MORT'!$V$33,EB365,Z366/2),0))</f>
        <v>50000</v>
      </c>
      <c r="EC366" s="118" t="str">
        <f t="shared" si="547"/>
        <v>A</v>
      </c>
      <c r="ED366" s="122">
        <f>+IF(OR($W366="",EB366=0),"",ROUND((VLOOKUP(ROUNDDOWN($D366-1/frec,0),cob_adi,DO$40,FALSE)*(1+i/frec)^-0.5*(1+Parámetros!$D$103)*(1+rec_fracc)/frec),6))</f>
        <v>5.5000000000000002E-5</v>
      </c>
      <c r="EE366" s="66">
        <f t="shared" si="548"/>
        <v>2.75</v>
      </c>
      <c r="EF366" s="68">
        <f t="shared" si="549"/>
        <v>5.5000000000000002E-5</v>
      </c>
      <c r="EG366" s="66">
        <f>+IF($W366="","",ROUND(IF($B366&gt;Parámetros!$D$107,'Tablas Servicio'!EE366+('Tablas Servicio'!EG365-'Tablas Servicio'!EE365),EE366/(1-IF(B366&lt;=10,Parámetros!$D$100,0))),2))</f>
        <v>2.75</v>
      </c>
      <c r="EH366" s="66">
        <f t="shared" si="550"/>
        <v>0</v>
      </c>
      <c r="EI366" s="66">
        <f t="shared" si="550"/>
        <v>0</v>
      </c>
      <c r="EJ366" s="66">
        <f>+IF($W366="","",ROUND((EG366*Parámetros!$G$85),2))</f>
        <v>0.1</v>
      </c>
      <c r="EK366" s="66">
        <f>+IF($W366="","",ROUND((EG366*(Parámetros!$G$86)),2))</f>
        <v>0.01</v>
      </c>
      <c r="EL366" s="66">
        <f t="shared" si="551"/>
        <v>2.86</v>
      </c>
    </row>
    <row r="367" spans="1:142" x14ac:dyDescent="0.25">
      <c r="A367">
        <f>+IF($C367="","",ROUND(VLOOKUP('Tablas Servicio'!B367,Parámetros!$H$100:$J$159,IF(Parámetros!$E$16="F",2,3),FALSE),2))</f>
        <v>150</v>
      </c>
      <c r="B367">
        <f t="shared" si="502"/>
        <v>28</v>
      </c>
      <c r="C367" s="57">
        <f>+IF(D367="","",'Tablas Servicio'!C366+1)</f>
        <v>326</v>
      </c>
      <c r="D367" s="56">
        <f>+IF(D366&lt;edadmaxtabla,D366+1/Parámetros!$E$25,"")</f>
        <v>67.186666666667165</v>
      </c>
      <c r="E367" s="57">
        <f t="shared" si="512"/>
        <v>67</v>
      </c>
      <c r="F367" s="59">
        <f t="shared" si="513"/>
        <v>100000</v>
      </c>
      <c r="G367" s="66">
        <f t="shared" si="503"/>
        <v>102.25</v>
      </c>
      <c r="H367" s="66">
        <f t="shared" si="504"/>
        <v>106.34</v>
      </c>
      <c r="I367" s="66">
        <f t="shared" si="464"/>
        <v>-12.340000000000003</v>
      </c>
      <c r="J367" s="66">
        <f t="shared" si="505"/>
        <v>3.58</v>
      </c>
      <c r="K367" s="66">
        <f t="shared" si="506"/>
        <v>0.51</v>
      </c>
      <c r="L367" s="66">
        <f t="shared" si="507"/>
        <v>0</v>
      </c>
      <c r="M367" s="66">
        <f t="shared" si="508"/>
        <v>0</v>
      </c>
      <c r="N367" s="66">
        <f>+IF(C367="","",ROUND(Parámetros!$D$23,2))</f>
        <v>94</v>
      </c>
      <c r="O367" s="66">
        <f t="shared" si="509"/>
        <v>89.75</v>
      </c>
      <c r="P367" s="66">
        <f>+IF($C367="","",ROUND(IF(B367&gt;Parámetros!$D$117,0,N367*Parámetros!$D$116-G367*Parámetros!$D$100),2))</f>
        <v>0</v>
      </c>
      <c r="Q367" s="75">
        <f t="shared" si="465"/>
        <v>3.5012224938875305E-2</v>
      </c>
      <c r="R367" s="75">
        <f t="shared" si="466"/>
        <v>4.9877750611246946E-3</v>
      </c>
      <c r="S367" s="117">
        <f>+IF($C367="","",ROUND((S366+I367)*(1+Parámetros!$D$91),2))</f>
        <v>24312.83</v>
      </c>
      <c r="T367" s="117">
        <f>+IF($C367="","",ROUND(S367*VLOOKUP(B367,Parámetros!$C$30:$D$39,2,TRUE),2))</f>
        <v>24312.83</v>
      </c>
      <c r="U367" s="117">
        <f>+IF($C367="","",ROUND((U366+I367)*(1+Parámetros!$D$92),2))</f>
        <v>26550.42</v>
      </c>
      <c r="V367" s="117">
        <f>+IF($C367="","",ROUND(U367*VLOOKUP(B367,Parámetros!$C$30:$D$39,2,TRUE),2))</f>
        <v>26550.42</v>
      </c>
      <c r="W367" s="57">
        <f t="shared" si="467"/>
        <v>326</v>
      </c>
      <c r="X367" t="str">
        <f t="shared" si="468"/>
        <v>00058</v>
      </c>
      <c r="Y367" t="str">
        <f t="shared" si="469"/>
        <v>MUERTE POR CUALQUIER CAUSA</v>
      </c>
      <c r="Z367" s="118">
        <f>+IF($W367="","",ROUND(IF(Parámetros!$D$25='TABLAS MORT'!$V$33,Z366,Parámetros!$D$21-'Tablas Servicio'!T366),0))</f>
        <v>100000</v>
      </c>
      <c r="AA367" s="118" t="str">
        <f t="shared" si="470"/>
        <v>P</v>
      </c>
      <c r="AB367" s="119">
        <f>+IF(W367="","",ROUND((VLOOKUP(ROUNDDOWN($D367-1/frec,0),qx_tabla,2,FALSE)*(1+i/frec)^-0.5*(1+Parámetros!$D$103)*(1+rec_fracc)/frec),6))</f>
        <v>8.7000000000000001E-4</v>
      </c>
      <c r="AC367" s="66">
        <f t="shared" si="514"/>
        <v>87</v>
      </c>
      <c r="AD367" s="119">
        <f t="shared" si="510"/>
        <v>9.9500000000000001E-4</v>
      </c>
      <c r="AE367" s="66">
        <f>+IF($W367="","",ROUND(IF($B367&gt;Parámetros!$D$107,'Tablas Servicio'!AC367+('Tablas Servicio'!AG366-'Tablas Servicio'!AC366),AC367/(1-IF(B367&lt;=10,Parámetros!$D$104,Parámetros!$D$105))),2))</f>
        <v>145</v>
      </c>
      <c r="AF367" s="66">
        <f>+IF($W367="","",ROUND(IF($B367&gt;Parámetros!$D$107,'Tablas Servicio'!AC367+('Tablas Servicio'!AG366-'Tablas Servicio'!AC366),(AC367+$A366/frec)/(1-IF(B367&lt;=Parámetros!$D$117,Parámetros!$D$100,0))),2))</f>
        <v>99.5</v>
      </c>
      <c r="AG367" s="66">
        <f t="shared" si="515"/>
        <v>99.5</v>
      </c>
      <c r="AH367" s="66">
        <f t="shared" si="516"/>
        <v>0</v>
      </c>
      <c r="AI367" s="66">
        <f t="shared" si="517"/>
        <v>0</v>
      </c>
      <c r="AJ367" s="66">
        <f>+IF($W367="","",ROUND((AG367*Parámetros!$G$85),2))</f>
        <v>3.48</v>
      </c>
      <c r="AK367" s="66">
        <f>+IF($W367="","",ROUND((AG367*(Parámetros!$G$86)),2))</f>
        <v>0.5</v>
      </c>
      <c r="AL367" s="66">
        <f t="shared" si="511"/>
        <v>103.48</v>
      </c>
      <c r="AM367" t="str">
        <f t="shared" si="471"/>
        <v>00059</v>
      </c>
      <c r="AN367" t="str">
        <f t="shared" si="472"/>
        <v>Incapacidad Total y Permanente</v>
      </c>
      <c r="AO367" s="118">
        <f t="shared" si="473"/>
        <v>0</v>
      </c>
      <c r="AP367" s="118" t="str">
        <f t="shared" si="474"/>
        <v>A</v>
      </c>
      <c r="AQ367" s="119" t="str">
        <f>+IF(OR($W367="",AO367=0),"",ROUND((VLOOKUP(ROUNDDOWN($D367-1/frec,0),cob_adi,Z$40,FALSE)*(1+i/frec)^-0.5*(1+Parámetros!$D$103)*(1+rec_fracc)/frec),6))</f>
        <v/>
      </c>
      <c r="AR367" s="66">
        <f t="shared" si="518"/>
        <v>0</v>
      </c>
      <c r="AS367" s="119" t="str">
        <f t="shared" si="519"/>
        <v/>
      </c>
      <c r="AT367" s="66">
        <f>+IF($W367="","",ROUND(IF($B367&gt;Parámetros!$D$107,'Tablas Servicio'!AR367+('Tablas Servicio'!AT366-'Tablas Servicio'!AR366),AR367/(1-IF(B367&lt;=10,Parámetros!$D$100,0))),2))</f>
        <v>0</v>
      </c>
      <c r="AU367" s="66">
        <f t="shared" si="520"/>
        <v>0</v>
      </c>
      <c r="AV367" s="66">
        <f t="shared" si="520"/>
        <v>0</v>
      </c>
      <c r="AW367" s="66">
        <f>+IF($W367="","",ROUND((AT367*Parámetros!$G$85),2))</f>
        <v>0</v>
      </c>
      <c r="AX367" s="66">
        <f>+IF($W367="","",ROUND((AT367*(Parámetros!$G$86)),2))</f>
        <v>0</v>
      </c>
      <c r="AY367" s="66">
        <f t="shared" si="521"/>
        <v>0</v>
      </c>
      <c r="AZ367" t="str">
        <f t="shared" si="475"/>
        <v>00060</v>
      </c>
      <c r="BA367" t="str">
        <f t="shared" si="476"/>
        <v>Muerte Accidental</v>
      </c>
      <c r="BB367" s="118">
        <f t="shared" si="477"/>
        <v>0</v>
      </c>
      <c r="BC367" s="118" t="str">
        <f t="shared" si="478"/>
        <v>A</v>
      </c>
      <c r="BD367" s="119" t="str">
        <f>+IF(OR($W367="",BB367=0),"",ROUND((VLOOKUP(ROUNDDOWN($D367-1/frec,0),cob_adi,AO$40,FALSE)*(1+i/frec)^-0.5*(1+Parámetros!$D$103)*(1+rec_fracc)/frec),6))</f>
        <v/>
      </c>
      <c r="BE367" s="66">
        <f t="shared" si="522"/>
        <v>0</v>
      </c>
      <c r="BF367" s="119" t="str">
        <f t="shared" si="523"/>
        <v/>
      </c>
      <c r="BG367" s="66">
        <f>+IF($W367="","",ROUND(IF($B367&gt;Parámetros!$D$107,'Tablas Servicio'!BE367+('Tablas Servicio'!BG366-'Tablas Servicio'!BE366),BE367/(1-IF(B367&lt;=10,Parámetros!$D$100,0))),2))</f>
        <v>0</v>
      </c>
      <c r="BH367" s="66">
        <f t="shared" si="524"/>
        <v>0</v>
      </c>
      <c r="BI367" s="66">
        <f t="shared" si="525"/>
        <v>0</v>
      </c>
      <c r="BJ367" s="66">
        <f>+IF($W367="","",ROUND((BG367*Parámetros!$G$85),2))</f>
        <v>0</v>
      </c>
      <c r="BK367" s="66">
        <f>+IF($W367="","",ROUND((BG367*(Parámetros!$G$86)),2))</f>
        <v>0</v>
      </c>
      <c r="BL367" s="66">
        <f t="shared" si="526"/>
        <v>0</v>
      </c>
      <c r="BM367" t="str">
        <f t="shared" si="479"/>
        <v>00061</v>
      </c>
      <c r="BN367" t="str">
        <f t="shared" si="480"/>
        <v>Gastos de Entierro</v>
      </c>
      <c r="BO367" s="118">
        <f t="shared" si="481"/>
        <v>0</v>
      </c>
      <c r="BP367" s="118" t="str">
        <f t="shared" si="482"/>
        <v>A</v>
      </c>
      <c r="BQ367" s="119" t="str">
        <f>+IF(OR($W367="",BO367=0),"",ROUND((VLOOKUP(ROUNDDOWN($D367-1/frec,0),cob_adi,BB$40,FALSE)*(1+i/frec)^-0.5*(1+Parámetros!$D$103)*(1+rec_fracc)/frec),6))</f>
        <v/>
      </c>
      <c r="BR367" s="66">
        <f t="shared" si="527"/>
        <v>0</v>
      </c>
      <c r="BS367" s="119" t="str">
        <f t="shared" si="528"/>
        <v/>
      </c>
      <c r="BT367" s="66">
        <f>+IF($W367="","",ROUND(IF($B367&gt;Parámetros!$D$107,'Tablas Servicio'!BR367+('Tablas Servicio'!BT366-'Tablas Servicio'!BR366),BR367/(1-IF(B367&lt;=10,Parámetros!$D$100,0))),2))</f>
        <v>0</v>
      </c>
      <c r="BU367" s="66">
        <f t="shared" si="529"/>
        <v>0</v>
      </c>
      <c r="BV367" s="66">
        <f t="shared" si="529"/>
        <v>0</v>
      </c>
      <c r="BW367" s="66">
        <f>+IF($W367="","",ROUND((BT367*Parámetros!$G$85),2))</f>
        <v>0</v>
      </c>
      <c r="BX367" s="66">
        <f>+IF($W367="","",ROUND((BT367*(Parámetros!$G$86)),2))</f>
        <v>0</v>
      </c>
      <c r="BY367" s="66">
        <f t="shared" si="530"/>
        <v>0</v>
      </c>
      <c r="BZ367" t="str">
        <f t="shared" si="483"/>
        <v>00062</v>
      </c>
      <c r="CA367" t="str">
        <f t="shared" si="484"/>
        <v>Gastos médicos por accidente</v>
      </c>
      <c r="CB367" s="118">
        <f t="shared" si="485"/>
        <v>0</v>
      </c>
      <c r="CC367" s="118" t="str">
        <f t="shared" si="486"/>
        <v>A</v>
      </c>
      <c r="CD367" s="119" t="str">
        <f t="shared" si="531"/>
        <v/>
      </c>
      <c r="CE367" s="66">
        <f>+IF($W367="","",ROUND((VLOOKUP(ROUNDDOWN($D367-1/frec,0),cob_adi,BO$40,FALSE)*(1+i/frec)^-0.5*(1+Parámetros!$D$103)*(1+rec_fracc)/frec*'TABLAS ADI'!$BC$17),2))</f>
        <v>0</v>
      </c>
      <c r="CF367" s="119" t="str">
        <f t="shared" si="532"/>
        <v/>
      </c>
      <c r="CG367" s="66">
        <f>+IF($W367="","",ROUND(IF($B367&gt;Parámetros!$D$107,'Tablas Servicio'!CE367+('Tablas Servicio'!CG366-'Tablas Servicio'!CE366),CE367/(1-IF(B367&lt;=10,Parámetros!$D$100,0))),2))</f>
        <v>0</v>
      </c>
      <c r="CH367" s="66">
        <f t="shared" si="533"/>
        <v>0</v>
      </c>
      <c r="CI367" s="66">
        <f t="shared" si="533"/>
        <v>0</v>
      </c>
      <c r="CJ367" s="66">
        <f>+IF($W367="","",ROUND((CG367*Parámetros!$G$85),2))</f>
        <v>0</v>
      </c>
      <c r="CK367" s="66">
        <f>+IF($W367="","",ROUND((CG367*(Parámetros!$G$86)),2))</f>
        <v>0</v>
      </c>
      <c r="CL367" s="66">
        <f t="shared" si="534"/>
        <v>0</v>
      </c>
      <c r="CM367" t="str">
        <f t="shared" si="487"/>
        <v>00063</v>
      </c>
      <c r="CN367" s="118" t="str">
        <f t="shared" si="488"/>
        <v>Renta Diaria por Hospitalización</v>
      </c>
      <c r="CO367" s="118">
        <f t="shared" si="489"/>
        <v>0</v>
      </c>
      <c r="CP367" s="118" t="str">
        <f t="shared" si="490"/>
        <v>A</v>
      </c>
      <c r="CQ367" s="119" t="str">
        <f t="shared" si="535"/>
        <v/>
      </c>
      <c r="CR367" s="66">
        <f>+IF($W367="","",ROUND((VLOOKUP(Parámetros!$F$51,'COBERTURAS ADICIONALES'!$S$4:$T$32,2,FALSE)*(1+i/frec)^-0.5*(1+Parámetros!$D$103)*(1+rec_fracc)/frec*$CO$42),2))</f>
        <v>0</v>
      </c>
      <c r="CS367" s="119" t="str">
        <f t="shared" si="536"/>
        <v/>
      </c>
      <c r="CT367" s="66">
        <f>+IF($W367="","",ROUND(IF($B367&gt;Parámetros!$D$107,'Tablas Servicio'!CR367+('Tablas Servicio'!CT366-'Tablas Servicio'!CR366),CR367/(1-IF(B367&lt;=10,Parámetros!$D$100,0))),2))</f>
        <v>0</v>
      </c>
      <c r="CU367" s="66">
        <f t="shared" si="537"/>
        <v>0</v>
      </c>
      <c r="CV367" s="66">
        <f t="shared" si="537"/>
        <v>0</v>
      </c>
      <c r="CW367" s="66">
        <f>+IF($W367="","",ROUND((CT367*Parámetros!$G$85),2))</f>
        <v>0</v>
      </c>
      <c r="CX367" s="66">
        <f>+IF($W367="","",ROUND((CT367*(Parámetros!$G$86)),2))</f>
        <v>0</v>
      </c>
      <c r="CY367" s="66">
        <f t="shared" si="538"/>
        <v>0</v>
      </c>
      <c r="CZ367" t="str">
        <f t="shared" si="491"/>
        <v>00064</v>
      </c>
      <c r="DA367" s="118" t="str">
        <f t="shared" si="492"/>
        <v>Enfermedades Graves</v>
      </c>
      <c r="DB367" s="118">
        <f t="shared" si="493"/>
        <v>0</v>
      </c>
      <c r="DC367" s="118" t="str">
        <f t="shared" si="494"/>
        <v>A</v>
      </c>
      <c r="DD367" s="121" t="str">
        <f>+IF(OR($W367="",DB367=0),"",ROUND((VLOOKUP(ROUNDDOWN($D367-1/frec,0),cob_adi,CO$40,FALSE)*(1+i/frec)^-0.5*(1+Parámetros!$D$103)*(1+rec_fracc)/frec),6))</f>
        <v/>
      </c>
      <c r="DE367" s="66">
        <f t="shared" si="539"/>
        <v>0</v>
      </c>
      <c r="DF367" s="119" t="str">
        <f t="shared" si="540"/>
        <v/>
      </c>
      <c r="DG367" s="66">
        <f>+IF($W367="","",ROUND(IF($B367&gt;Parámetros!$D$107,'Tablas Servicio'!DE367+('Tablas Servicio'!DG366-'Tablas Servicio'!DE366),DE367/(1-IF(B367&lt;=10,Parámetros!$D$100,0))),2))</f>
        <v>0</v>
      </c>
      <c r="DH367" s="66">
        <f t="shared" si="541"/>
        <v>0</v>
      </c>
      <c r="DI367" s="66">
        <f t="shared" si="541"/>
        <v>0</v>
      </c>
      <c r="DJ367" s="66">
        <f>+IF($W367="","",ROUND((DG367*Parámetros!$G$85),2))</f>
        <v>0</v>
      </c>
      <c r="DK367" s="66">
        <f>+IF($W367="","",ROUND((DG367*(Parámetros!$G$86)),2))</f>
        <v>0</v>
      </c>
      <c r="DL367" s="66">
        <f t="shared" si="542"/>
        <v>0</v>
      </c>
      <c r="DM367" t="str">
        <f t="shared" si="495"/>
        <v>00065</v>
      </c>
      <c r="DN367" s="118" t="str">
        <f t="shared" si="496"/>
        <v>Exención pago de primas</v>
      </c>
      <c r="DO367" s="118">
        <f t="shared" si="497"/>
        <v>0</v>
      </c>
      <c r="DP367" s="118" t="str">
        <f t="shared" si="498"/>
        <v>A</v>
      </c>
      <c r="DQ367" s="122" t="str">
        <f>+IF(OR($W367="",DO367=0),"",ROUND((VLOOKUP(ROUNDDOWN($D367-1/frec,0),cob_adi,DB$40,FALSE)*(1+i/frec)^-0.5*(1+Parámetros!$D$103)*(1+rec_fracc)/frec),6))</f>
        <v/>
      </c>
      <c r="DR367" s="66">
        <f t="shared" si="543"/>
        <v>0</v>
      </c>
      <c r="DS367" s="68" t="str">
        <f t="shared" si="544"/>
        <v/>
      </c>
      <c r="DT367" s="66">
        <f>+IF($W367="","",ROUND(IF($B367&gt;Parámetros!$D$107,'Tablas Servicio'!DR367+('Tablas Servicio'!DT366-'Tablas Servicio'!DR366),DR367/(1-IF(B367&lt;=10,Parámetros!$D$100,0))),2))</f>
        <v>0</v>
      </c>
      <c r="DU367" s="66">
        <f t="shared" si="545"/>
        <v>0</v>
      </c>
      <c r="DV367" s="66">
        <f t="shared" si="545"/>
        <v>0</v>
      </c>
      <c r="DW367" s="66">
        <f>+IF($W367="","",ROUND((DT367*Parámetros!$G$85),2))</f>
        <v>0</v>
      </c>
      <c r="DX367" s="66">
        <f>+IF($W367="","",ROUND((DT367*(Parámetros!$G$86)),2))</f>
        <v>0</v>
      </c>
      <c r="DY367" s="66">
        <f t="shared" si="546"/>
        <v>0</v>
      </c>
      <c r="DZ367" t="str">
        <f t="shared" si="547"/>
        <v>00066</v>
      </c>
      <c r="EA367" s="118" t="str">
        <f t="shared" si="547"/>
        <v>Enfermedad terminal</v>
      </c>
      <c r="EB367" s="118">
        <f>+IF($W367="","",ROUND(IF(Parámetros!$D$25='TABLAS MORT'!$V$33,EB366,Z367/2),0))</f>
        <v>50000</v>
      </c>
      <c r="EC367" s="118" t="str">
        <f t="shared" si="547"/>
        <v>A</v>
      </c>
      <c r="ED367" s="122">
        <f>+IF(OR($W367="",EB367=0),"",ROUND((VLOOKUP(ROUNDDOWN($D367-1/frec,0),cob_adi,DO$40,FALSE)*(1+i/frec)^-0.5*(1+Parámetros!$D$103)*(1+rec_fracc)/frec),6))</f>
        <v>5.5000000000000002E-5</v>
      </c>
      <c r="EE367" s="66">
        <f t="shared" si="548"/>
        <v>2.75</v>
      </c>
      <c r="EF367" s="68">
        <f t="shared" si="549"/>
        <v>5.5000000000000002E-5</v>
      </c>
      <c r="EG367" s="66">
        <f>+IF($W367="","",ROUND(IF($B367&gt;Parámetros!$D$107,'Tablas Servicio'!EE367+('Tablas Servicio'!EG366-'Tablas Servicio'!EE366),EE367/(1-IF(B367&lt;=10,Parámetros!$D$100,0))),2))</f>
        <v>2.75</v>
      </c>
      <c r="EH367" s="66">
        <f t="shared" si="550"/>
        <v>0</v>
      </c>
      <c r="EI367" s="66">
        <f t="shared" si="550"/>
        <v>0</v>
      </c>
      <c r="EJ367" s="66">
        <f>+IF($W367="","",ROUND((EG367*Parámetros!$G$85),2))</f>
        <v>0.1</v>
      </c>
      <c r="EK367" s="66">
        <f>+IF($W367="","",ROUND((EG367*(Parámetros!$G$86)),2))</f>
        <v>0.01</v>
      </c>
      <c r="EL367" s="66">
        <f t="shared" si="551"/>
        <v>2.86</v>
      </c>
    </row>
    <row r="368" spans="1:142" x14ac:dyDescent="0.25">
      <c r="A368">
        <f>+IF($C368="","",ROUND(VLOOKUP('Tablas Servicio'!B368,Parámetros!$H$100:$J$159,IF(Parámetros!$E$16="F",2,3),FALSE),2))</f>
        <v>150</v>
      </c>
      <c r="B368">
        <f t="shared" si="502"/>
        <v>28</v>
      </c>
      <c r="C368" s="57">
        <f>+IF(D368="","",'Tablas Servicio'!C367+1)</f>
        <v>327</v>
      </c>
      <c r="D368" s="56">
        <f>+IF(D367&lt;edadmaxtabla,D367+1/Parámetros!$E$25,"")</f>
        <v>67.270000000000493</v>
      </c>
      <c r="E368" s="57">
        <f t="shared" si="512"/>
        <v>67</v>
      </c>
      <c r="F368" s="59">
        <f t="shared" si="513"/>
        <v>100000</v>
      </c>
      <c r="G368" s="66">
        <f t="shared" si="503"/>
        <v>102.25</v>
      </c>
      <c r="H368" s="66">
        <f t="shared" si="504"/>
        <v>106.34</v>
      </c>
      <c r="I368" s="66">
        <f t="shared" si="464"/>
        <v>-12.340000000000003</v>
      </c>
      <c r="J368" s="66">
        <f t="shared" si="505"/>
        <v>3.58</v>
      </c>
      <c r="K368" s="66">
        <f t="shared" si="506"/>
        <v>0.51</v>
      </c>
      <c r="L368" s="66">
        <f t="shared" si="507"/>
        <v>0</v>
      </c>
      <c r="M368" s="66">
        <f t="shared" si="508"/>
        <v>0</v>
      </c>
      <c r="N368" s="66">
        <f>+IF(C368="","",ROUND(Parámetros!$D$23,2))</f>
        <v>94</v>
      </c>
      <c r="O368" s="66">
        <f t="shared" si="509"/>
        <v>89.75</v>
      </c>
      <c r="P368" s="66">
        <f>+IF($C368="","",ROUND(IF(B368&gt;Parámetros!$D$117,0,N368*Parámetros!$D$116-G368*Parámetros!$D$100),2))</f>
        <v>0</v>
      </c>
      <c r="Q368" s="75">
        <f t="shared" si="465"/>
        <v>3.5012224938875305E-2</v>
      </c>
      <c r="R368" s="75">
        <f t="shared" si="466"/>
        <v>4.9877750611246946E-3</v>
      </c>
      <c r="S368" s="117">
        <f>+IF($C368="","",ROUND((S367+I368)*(1+Parámetros!$D$91),2))</f>
        <v>24369.42</v>
      </c>
      <c r="T368" s="117">
        <f>+IF($C368="","",ROUND(S368*VLOOKUP(B368,Parámetros!$C$30:$D$39,2,TRUE),2))</f>
        <v>24369.42</v>
      </c>
      <c r="U368" s="117">
        <f>+IF($C368="","",ROUND((U367+I368)*(1+Parámetros!$D$92),2))</f>
        <v>26624.11</v>
      </c>
      <c r="V368" s="117">
        <f>+IF($C368="","",ROUND(U368*VLOOKUP(B368,Parámetros!$C$30:$D$39,2,TRUE),2))</f>
        <v>26624.11</v>
      </c>
      <c r="W368" s="57">
        <f t="shared" si="467"/>
        <v>327</v>
      </c>
      <c r="X368" t="str">
        <f t="shared" si="468"/>
        <v>00058</v>
      </c>
      <c r="Y368" t="str">
        <f t="shared" si="469"/>
        <v>MUERTE POR CUALQUIER CAUSA</v>
      </c>
      <c r="Z368" s="118">
        <f>+IF($W368="","",ROUND(IF(Parámetros!$D$25='TABLAS MORT'!$V$33,Z367,Parámetros!$D$21-'Tablas Servicio'!T367),0))</f>
        <v>100000</v>
      </c>
      <c r="AA368" s="118" t="str">
        <f t="shared" si="470"/>
        <v>P</v>
      </c>
      <c r="AB368" s="119">
        <f>+IF(W368="","",ROUND((VLOOKUP(ROUNDDOWN($D368-1/frec,0),qx_tabla,2,FALSE)*(1+i/frec)^-0.5*(1+Parámetros!$D$103)*(1+rec_fracc)/frec),6))</f>
        <v>8.7000000000000001E-4</v>
      </c>
      <c r="AC368" s="66">
        <f t="shared" si="514"/>
        <v>87</v>
      </c>
      <c r="AD368" s="119">
        <f t="shared" si="510"/>
        <v>9.9500000000000001E-4</v>
      </c>
      <c r="AE368" s="66">
        <f>+IF($W368="","",ROUND(IF($B368&gt;Parámetros!$D$107,'Tablas Servicio'!AC368+('Tablas Servicio'!AG367-'Tablas Servicio'!AC367),AC368/(1-IF(B368&lt;=10,Parámetros!$D$104,Parámetros!$D$105))),2))</f>
        <v>145</v>
      </c>
      <c r="AF368" s="66">
        <f>+IF($W368="","",ROUND(IF($B368&gt;Parámetros!$D$107,'Tablas Servicio'!AC368+('Tablas Servicio'!AG367-'Tablas Servicio'!AC367),(AC368+$A367/frec)/(1-IF(B368&lt;=Parámetros!$D$117,Parámetros!$D$100,0))),2))</f>
        <v>99.5</v>
      </c>
      <c r="AG368" s="66">
        <f t="shared" si="515"/>
        <v>99.5</v>
      </c>
      <c r="AH368" s="66">
        <f t="shared" si="516"/>
        <v>0</v>
      </c>
      <c r="AI368" s="66">
        <f t="shared" si="517"/>
        <v>0</v>
      </c>
      <c r="AJ368" s="66">
        <f>+IF($W368="","",ROUND((AG368*Parámetros!$G$85),2))</f>
        <v>3.48</v>
      </c>
      <c r="AK368" s="66">
        <f>+IF($W368="","",ROUND((AG368*(Parámetros!$G$86)),2))</f>
        <v>0.5</v>
      </c>
      <c r="AL368" s="66">
        <f t="shared" si="511"/>
        <v>103.48</v>
      </c>
      <c r="AM368" t="str">
        <f t="shared" si="471"/>
        <v>00059</v>
      </c>
      <c r="AN368" t="str">
        <f t="shared" si="472"/>
        <v>Incapacidad Total y Permanente</v>
      </c>
      <c r="AO368" s="118">
        <f t="shared" si="473"/>
        <v>0</v>
      </c>
      <c r="AP368" s="118" t="str">
        <f t="shared" si="474"/>
        <v>A</v>
      </c>
      <c r="AQ368" s="119" t="str">
        <f>+IF(OR($W368="",AO368=0),"",ROUND((VLOOKUP(ROUNDDOWN($D368-1/frec,0),cob_adi,Z$40,FALSE)*(1+i/frec)^-0.5*(1+Parámetros!$D$103)*(1+rec_fracc)/frec),6))</f>
        <v/>
      </c>
      <c r="AR368" s="66">
        <f t="shared" si="518"/>
        <v>0</v>
      </c>
      <c r="AS368" s="119" t="str">
        <f t="shared" si="519"/>
        <v/>
      </c>
      <c r="AT368" s="66">
        <f>+IF($W368="","",ROUND(IF($B368&gt;Parámetros!$D$107,'Tablas Servicio'!AR368+('Tablas Servicio'!AT367-'Tablas Servicio'!AR367),AR368/(1-IF(B368&lt;=10,Parámetros!$D$100,0))),2))</f>
        <v>0</v>
      </c>
      <c r="AU368" s="66">
        <f t="shared" si="520"/>
        <v>0</v>
      </c>
      <c r="AV368" s="66">
        <f t="shared" si="520"/>
        <v>0</v>
      </c>
      <c r="AW368" s="66">
        <f>+IF($W368="","",ROUND((AT368*Parámetros!$G$85),2))</f>
        <v>0</v>
      </c>
      <c r="AX368" s="66">
        <f>+IF($W368="","",ROUND((AT368*(Parámetros!$G$86)),2))</f>
        <v>0</v>
      </c>
      <c r="AY368" s="66">
        <f t="shared" si="521"/>
        <v>0</v>
      </c>
      <c r="AZ368" t="str">
        <f t="shared" si="475"/>
        <v>00060</v>
      </c>
      <c r="BA368" t="str">
        <f t="shared" si="476"/>
        <v>Muerte Accidental</v>
      </c>
      <c r="BB368" s="118">
        <f t="shared" si="477"/>
        <v>0</v>
      </c>
      <c r="BC368" s="118" t="str">
        <f t="shared" si="478"/>
        <v>A</v>
      </c>
      <c r="BD368" s="119" t="str">
        <f>+IF(OR($W368="",BB368=0),"",ROUND((VLOOKUP(ROUNDDOWN($D368-1/frec,0),cob_adi,AO$40,FALSE)*(1+i/frec)^-0.5*(1+Parámetros!$D$103)*(1+rec_fracc)/frec),6))</f>
        <v/>
      </c>
      <c r="BE368" s="66">
        <f t="shared" si="522"/>
        <v>0</v>
      </c>
      <c r="BF368" s="119" t="str">
        <f t="shared" si="523"/>
        <v/>
      </c>
      <c r="BG368" s="66">
        <f>+IF($W368="","",ROUND(IF($B368&gt;Parámetros!$D$107,'Tablas Servicio'!BE368+('Tablas Servicio'!BG367-'Tablas Servicio'!BE367),BE368/(1-IF(B368&lt;=10,Parámetros!$D$100,0))),2))</f>
        <v>0</v>
      </c>
      <c r="BH368" s="66">
        <f t="shared" si="524"/>
        <v>0</v>
      </c>
      <c r="BI368" s="66">
        <f t="shared" si="525"/>
        <v>0</v>
      </c>
      <c r="BJ368" s="66">
        <f>+IF($W368="","",ROUND((BG368*Parámetros!$G$85),2))</f>
        <v>0</v>
      </c>
      <c r="BK368" s="66">
        <f>+IF($W368="","",ROUND((BG368*(Parámetros!$G$86)),2))</f>
        <v>0</v>
      </c>
      <c r="BL368" s="66">
        <f t="shared" si="526"/>
        <v>0</v>
      </c>
      <c r="BM368" t="str">
        <f t="shared" si="479"/>
        <v>00061</v>
      </c>
      <c r="BN368" t="str">
        <f t="shared" si="480"/>
        <v>Gastos de Entierro</v>
      </c>
      <c r="BO368" s="118">
        <f t="shared" si="481"/>
        <v>0</v>
      </c>
      <c r="BP368" s="118" t="str">
        <f t="shared" si="482"/>
        <v>A</v>
      </c>
      <c r="BQ368" s="119" t="str">
        <f>+IF(OR($W368="",BO368=0),"",ROUND((VLOOKUP(ROUNDDOWN($D368-1/frec,0),cob_adi,BB$40,FALSE)*(1+i/frec)^-0.5*(1+Parámetros!$D$103)*(1+rec_fracc)/frec),6))</f>
        <v/>
      </c>
      <c r="BR368" s="66">
        <f t="shared" si="527"/>
        <v>0</v>
      </c>
      <c r="BS368" s="119" t="str">
        <f t="shared" si="528"/>
        <v/>
      </c>
      <c r="BT368" s="66">
        <f>+IF($W368="","",ROUND(IF($B368&gt;Parámetros!$D$107,'Tablas Servicio'!BR368+('Tablas Servicio'!BT367-'Tablas Servicio'!BR367),BR368/(1-IF(B368&lt;=10,Parámetros!$D$100,0))),2))</f>
        <v>0</v>
      </c>
      <c r="BU368" s="66">
        <f t="shared" si="529"/>
        <v>0</v>
      </c>
      <c r="BV368" s="66">
        <f t="shared" si="529"/>
        <v>0</v>
      </c>
      <c r="BW368" s="66">
        <f>+IF($W368="","",ROUND((BT368*Parámetros!$G$85),2))</f>
        <v>0</v>
      </c>
      <c r="BX368" s="66">
        <f>+IF($W368="","",ROUND((BT368*(Parámetros!$G$86)),2))</f>
        <v>0</v>
      </c>
      <c r="BY368" s="66">
        <f t="shared" si="530"/>
        <v>0</v>
      </c>
      <c r="BZ368" t="str">
        <f t="shared" si="483"/>
        <v>00062</v>
      </c>
      <c r="CA368" t="str">
        <f t="shared" si="484"/>
        <v>Gastos médicos por accidente</v>
      </c>
      <c r="CB368" s="118">
        <f t="shared" si="485"/>
        <v>0</v>
      </c>
      <c r="CC368" s="118" t="str">
        <f t="shared" si="486"/>
        <v>A</v>
      </c>
      <c r="CD368" s="119" t="str">
        <f t="shared" si="531"/>
        <v/>
      </c>
      <c r="CE368" s="66">
        <f>+IF($W368="","",ROUND((VLOOKUP(ROUNDDOWN($D368-1/frec,0),cob_adi,BO$40,FALSE)*(1+i/frec)^-0.5*(1+Parámetros!$D$103)*(1+rec_fracc)/frec*'TABLAS ADI'!$BC$17),2))</f>
        <v>0</v>
      </c>
      <c r="CF368" s="119" t="str">
        <f t="shared" si="532"/>
        <v/>
      </c>
      <c r="CG368" s="66">
        <f>+IF($W368="","",ROUND(IF($B368&gt;Parámetros!$D$107,'Tablas Servicio'!CE368+('Tablas Servicio'!CG367-'Tablas Servicio'!CE367),CE368/(1-IF(B368&lt;=10,Parámetros!$D$100,0))),2))</f>
        <v>0</v>
      </c>
      <c r="CH368" s="66">
        <f t="shared" si="533"/>
        <v>0</v>
      </c>
      <c r="CI368" s="66">
        <f t="shared" si="533"/>
        <v>0</v>
      </c>
      <c r="CJ368" s="66">
        <f>+IF($W368="","",ROUND((CG368*Parámetros!$G$85),2))</f>
        <v>0</v>
      </c>
      <c r="CK368" s="66">
        <f>+IF($W368="","",ROUND((CG368*(Parámetros!$G$86)),2))</f>
        <v>0</v>
      </c>
      <c r="CL368" s="66">
        <f t="shared" si="534"/>
        <v>0</v>
      </c>
      <c r="CM368" t="str">
        <f t="shared" si="487"/>
        <v>00063</v>
      </c>
      <c r="CN368" s="118" t="str">
        <f t="shared" si="488"/>
        <v>Renta Diaria por Hospitalización</v>
      </c>
      <c r="CO368" s="118">
        <f t="shared" si="489"/>
        <v>0</v>
      </c>
      <c r="CP368" s="118" t="str">
        <f t="shared" si="490"/>
        <v>A</v>
      </c>
      <c r="CQ368" s="119" t="str">
        <f t="shared" si="535"/>
        <v/>
      </c>
      <c r="CR368" s="66">
        <f>+IF($W368="","",ROUND((VLOOKUP(Parámetros!$F$51,'COBERTURAS ADICIONALES'!$S$4:$T$32,2,FALSE)*(1+i/frec)^-0.5*(1+Parámetros!$D$103)*(1+rec_fracc)/frec*$CO$42),2))</f>
        <v>0</v>
      </c>
      <c r="CS368" s="119" t="str">
        <f t="shared" si="536"/>
        <v/>
      </c>
      <c r="CT368" s="66">
        <f>+IF($W368="","",ROUND(IF($B368&gt;Parámetros!$D$107,'Tablas Servicio'!CR368+('Tablas Servicio'!CT367-'Tablas Servicio'!CR367),CR368/(1-IF(B368&lt;=10,Parámetros!$D$100,0))),2))</f>
        <v>0</v>
      </c>
      <c r="CU368" s="66">
        <f t="shared" si="537"/>
        <v>0</v>
      </c>
      <c r="CV368" s="66">
        <f t="shared" si="537"/>
        <v>0</v>
      </c>
      <c r="CW368" s="66">
        <f>+IF($W368="","",ROUND((CT368*Parámetros!$G$85),2))</f>
        <v>0</v>
      </c>
      <c r="CX368" s="66">
        <f>+IF($W368="","",ROUND((CT368*(Parámetros!$G$86)),2))</f>
        <v>0</v>
      </c>
      <c r="CY368" s="66">
        <f t="shared" si="538"/>
        <v>0</v>
      </c>
      <c r="CZ368" t="str">
        <f t="shared" si="491"/>
        <v>00064</v>
      </c>
      <c r="DA368" s="118" t="str">
        <f t="shared" si="492"/>
        <v>Enfermedades Graves</v>
      </c>
      <c r="DB368" s="118">
        <f t="shared" si="493"/>
        <v>0</v>
      </c>
      <c r="DC368" s="118" t="str">
        <f t="shared" si="494"/>
        <v>A</v>
      </c>
      <c r="DD368" s="121" t="str">
        <f>+IF(OR($W368="",DB368=0),"",ROUND((VLOOKUP(ROUNDDOWN($D368-1/frec,0),cob_adi,CO$40,FALSE)*(1+i/frec)^-0.5*(1+Parámetros!$D$103)*(1+rec_fracc)/frec),6))</f>
        <v/>
      </c>
      <c r="DE368" s="66">
        <f t="shared" si="539"/>
        <v>0</v>
      </c>
      <c r="DF368" s="119" t="str">
        <f t="shared" si="540"/>
        <v/>
      </c>
      <c r="DG368" s="66">
        <f>+IF($W368="","",ROUND(IF($B368&gt;Parámetros!$D$107,'Tablas Servicio'!DE368+('Tablas Servicio'!DG367-'Tablas Servicio'!DE367),DE368/(1-IF(B368&lt;=10,Parámetros!$D$100,0))),2))</f>
        <v>0</v>
      </c>
      <c r="DH368" s="66">
        <f t="shared" si="541"/>
        <v>0</v>
      </c>
      <c r="DI368" s="66">
        <f t="shared" si="541"/>
        <v>0</v>
      </c>
      <c r="DJ368" s="66">
        <f>+IF($W368="","",ROUND((DG368*Parámetros!$G$85),2))</f>
        <v>0</v>
      </c>
      <c r="DK368" s="66">
        <f>+IF($W368="","",ROUND((DG368*(Parámetros!$G$86)),2))</f>
        <v>0</v>
      </c>
      <c r="DL368" s="66">
        <f t="shared" si="542"/>
        <v>0</v>
      </c>
      <c r="DM368" t="str">
        <f t="shared" si="495"/>
        <v>00065</v>
      </c>
      <c r="DN368" s="118" t="str">
        <f t="shared" si="496"/>
        <v>Exención pago de primas</v>
      </c>
      <c r="DO368" s="118">
        <f t="shared" si="497"/>
        <v>0</v>
      </c>
      <c r="DP368" s="118" t="str">
        <f t="shared" si="498"/>
        <v>A</v>
      </c>
      <c r="DQ368" s="122" t="str">
        <f>+IF(OR($W368="",DO368=0),"",ROUND((VLOOKUP(ROUNDDOWN($D368-1/frec,0),cob_adi,DB$40,FALSE)*(1+i/frec)^-0.5*(1+Parámetros!$D$103)*(1+rec_fracc)/frec),6))</f>
        <v/>
      </c>
      <c r="DR368" s="66">
        <f t="shared" si="543"/>
        <v>0</v>
      </c>
      <c r="DS368" s="68" t="str">
        <f t="shared" si="544"/>
        <v/>
      </c>
      <c r="DT368" s="66">
        <f>+IF($W368="","",ROUND(IF($B368&gt;Parámetros!$D$107,'Tablas Servicio'!DR368+('Tablas Servicio'!DT367-'Tablas Servicio'!DR367),DR368/(1-IF(B368&lt;=10,Parámetros!$D$100,0))),2))</f>
        <v>0</v>
      </c>
      <c r="DU368" s="66">
        <f t="shared" si="545"/>
        <v>0</v>
      </c>
      <c r="DV368" s="66">
        <f t="shared" si="545"/>
        <v>0</v>
      </c>
      <c r="DW368" s="66">
        <f>+IF($W368="","",ROUND((DT368*Parámetros!$G$85),2))</f>
        <v>0</v>
      </c>
      <c r="DX368" s="66">
        <f>+IF($W368="","",ROUND((DT368*(Parámetros!$G$86)),2))</f>
        <v>0</v>
      </c>
      <c r="DY368" s="66">
        <f t="shared" si="546"/>
        <v>0</v>
      </c>
      <c r="DZ368" t="str">
        <f t="shared" si="547"/>
        <v>00066</v>
      </c>
      <c r="EA368" s="118" t="str">
        <f t="shared" si="547"/>
        <v>Enfermedad terminal</v>
      </c>
      <c r="EB368" s="118">
        <f>+IF($W368="","",ROUND(IF(Parámetros!$D$25='TABLAS MORT'!$V$33,EB367,Z368/2),0))</f>
        <v>50000</v>
      </c>
      <c r="EC368" s="118" t="str">
        <f t="shared" si="547"/>
        <v>A</v>
      </c>
      <c r="ED368" s="122">
        <f>+IF(OR($W368="",EB368=0),"",ROUND((VLOOKUP(ROUNDDOWN($D368-1/frec,0),cob_adi,DO$40,FALSE)*(1+i/frec)^-0.5*(1+Parámetros!$D$103)*(1+rec_fracc)/frec),6))</f>
        <v>5.5000000000000002E-5</v>
      </c>
      <c r="EE368" s="66">
        <f t="shared" si="548"/>
        <v>2.75</v>
      </c>
      <c r="EF368" s="68">
        <f t="shared" si="549"/>
        <v>5.5000000000000002E-5</v>
      </c>
      <c r="EG368" s="66">
        <f>+IF($W368="","",ROUND(IF($B368&gt;Parámetros!$D$107,'Tablas Servicio'!EE368+('Tablas Servicio'!EG367-'Tablas Servicio'!EE367),EE368/(1-IF(B368&lt;=10,Parámetros!$D$100,0))),2))</f>
        <v>2.75</v>
      </c>
      <c r="EH368" s="66">
        <f t="shared" si="550"/>
        <v>0</v>
      </c>
      <c r="EI368" s="66">
        <f t="shared" si="550"/>
        <v>0</v>
      </c>
      <c r="EJ368" s="66">
        <f>+IF($W368="","",ROUND((EG368*Parámetros!$G$85),2))</f>
        <v>0.1</v>
      </c>
      <c r="EK368" s="66">
        <f>+IF($W368="","",ROUND((EG368*(Parámetros!$G$86)),2))</f>
        <v>0.01</v>
      </c>
      <c r="EL368" s="66">
        <f t="shared" si="551"/>
        <v>2.86</v>
      </c>
    </row>
    <row r="369" spans="1:142" x14ac:dyDescent="0.25">
      <c r="A369">
        <f>+IF($C369="","",ROUND(VLOOKUP('Tablas Servicio'!B369,Parámetros!$H$100:$J$159,IF(Parámetros!$E$16="F",2,3),FALSE),2))</f>
        <v>150</v>
      </c>
      <c r="B369">
        <f t="shared" si="502"/>
        <v>28</v>
      </c>
      <c r="C369" s="57">
        <f>+IF(D369="","",'Tablas Servicio'!C368+1)</f>
        <v>328</v>
      </c>
      <c r="D369" s="56">
        <f>+IF(D368&lt;edadmaxtabla,D368+1/Parámetros!$E$25,"")</f>
        <v>67.353333333333822</v>
      </c>
      <c r="E369" s="57">
        <f t="shared" si="512"/>
        <v>67</v>
      </c>
      <c r="F369" s="59">
        <f t="shared" si="513"/>
        <v>100000</v>
      </c>
      <c r="G369" s="66">
        <f t="shared" si="503"/>
        <v>102.25</v>
      </c>
      <c r="H369" s="66">
        <f t="shared" si="504"/>
        <v>106.34</v>
      </c>
      <c r="I369" s="66">
        <f t="shared" si="464"/>
        <v>-12.340000000000003</v>
      </c>
      <c r="J369" s="66">
        <f t="shared" si="505"/>
        <v>3.58</v>
      </c>
      <c r="K369" s="66">
        <f t="shared" si="506"/>
        <v>0.51</v>
      </c>
      <c r="L369" s="66">
        <f t="shared" si="507"/>
        <v>0</v>
      </c>
      <c r="M369" s="66">
        <f t="shared" si="508"/>
        <v>0</v>
      </c>
      <c r="N369" s="66">
        <f>+IF(C369="","",ROUND(Parámetros!$D$23,2))</f>
        <v>94</v>
      </c>
      <c r="O369" s="66">
        <f t="shared" si="509"/>
        <v>89.75</v>
      </c>
      <c r="P369" s="66">
        <f>+IF($C369="","",ROUND(IF(B369&gt;Parámetros!$D$117,0,N369*Parámetros!$D$116-G369*Parámetros!$D$100),2))</f>
        <v>0</v>
      </c>
      <c r="Q369" s="75">
        <f t="shared" si="465"/>
        <v>3.5012224938875305E-2</v>
      </c>
      <c r="R369" s="75">
        <f t="shared" si="466"/>
        <v>4.9877750611246946E-3</v>
      </c>
      <c r="S369" s="117">
        <f>+IF($C369="","",ROUND((S368+I369)*(1+Parámetros!$D$91),2))</f>
        <v>24426.17</v>
      </c>
      <c r="T369" s="117">
        <f>+IF($C369="","",ROUND(S369*VLOOKUP(B369,Parámetros!$C$30:$D$39,2,TRUE),2))</f>
        <v>24426.17</v>
      </c>
      <c r="U369" s="117">
        <f>+IF($C369="","",ROUND((U368+I369)*(1+Parámetros!$D$92),2))</f>
        <v>26698.04</v>
      </c>
      <c r="V369" s="117">
        <f>+IF($C369="","",ROUND(U369*VLOOKUP(B369,Parámetros!$C$30:$D$39,2,TRUE),2))</f>
        <v>26698.04</v>
      </c>
      <c r="W369" s="57">
        <f t="shared" si="467"/>
        <v>328</v>
      </c>
      <c r="X369" t="str">
        <f t="shared" si="468"/>
        <v>00058</v>
      </c>
      <c r="Y369" t="str">
        <f t="shared" si="469"/>
        <v>MUERTE POR CUALQUIER CAUSA</v>
      </c>
      <c r="Z369" s="118">
        <f>+IF($W369="","",ROUND(IF(Parámetros!$D$25='TABLAS MORT'!$V$33,Z368,Parámetros!$D$21-'Tablas Servicio'!T368),0))</f>
        <v>100000</v>
      </c>
      <c r="AA369" s="118" t="str">
        <f t="shared" si="470"/>
        <v>P</v>
      </c>
      <c r="AB369" s="119">
        <f>+IF(W369="","",ROUND((VLOOKUP(ROUNDDOWN($D369-1/frec,0),qx_tabla,2,FALSE)*(1+i/frec)^-0.5*(1+Parámetros!$D$103)*(1+rec_fracc)/frec),6))</f>
        <v>8.7000000000000001E-4</v>
      </c>
      <c r="AC369" s="66">
        <f t="shared" si="514"/>
        <v>87</v>
      </c>
      <c r="AD369" s="119">
        <f t="shared" si="510"/>
        <v>9.9500000000000001E-4</v>
      </c>
      <c r="AE369" s="66">
        <f>+IF($W369="","",ROUND(IF($B369&gt;Parámetros!$D$107,'Tablas Servicio'!AC369+('Tablas Servicio'!AG368-'Tablas Servicio'!AC368),AC369/(1-IF(B369&lt;=10,Parámetros!$D$104,Parámetros!$D$105))),2))</f>
        <v>145</v>
      </c>
      <c r="AF369" s="66">
        <f>+IF($W369="","",ROUND(IF($B369&gt;Parámetros!$D$107,'Tablas Servicio'!AC369+('Tablas Servicio'!AG368-'Tablas Servicio'!AC368),(AC369+$A368/frec)/(1-IF(B369&lt;=Parámetros!$D$117,Parámetros!$D$100,0))),2))</f>
        <v>99.5</v>
      </c>
      <c r="AG369" s="66">
        <f t="shared" si="515"/>
        <v>99.5</v>
      </c>
      <c r="AH369" s="66">
        <f t="shared" si="516"/>
        <v>0</v>
      </c>
      <c r="AI369" s="66">
        <f t="shared" si="517"/>
        <v>0</v>
      </c>
      <c r="AJ369" s="66">
        <f>+IF($W369="","",ROUND((AG369*Parámetros!$G$85),2))</f>
        <v>3.48</v>
      </c>
      <c r="AK369" s="66">
        <f>+IF($W369="","",ROUND((AG369*(Parámetros!$G$86)),2))</f>
        <v>0.5</v>
      </c>
      <c r="AL369" s="66">
        <f t="shared" si="511"/>
        <v>103.48</v>
      </c>
      <c r="AM369" t="str">
        <f t="shared" si="471"/>
        <v>00059</v>
      </c>
      <c r="AN369" t="str">
        <f t="shared" si="472"/>
        <v>Incapacidad Total y Permanente</v>
      </c>
      <c r="AO369" s="118">
        <f t="shared" si="473"/>
        <v>0</v>
      </c>
      <c r="AP369" s="118" t="str">
        <f t="shared" si="474"/>
        <v>A</v>
      </c>
      <c r="AQ369" s="119" t="str">
        <f>+IF(OR($W369="",AO369=0),"",ROUND((VLOOKUP(ROUNDDOWN($D369-1/frec,0),cob_adi,Z$40,FALSE)*(1+i/frec)^-0.5*(1+Parámetros!$D$103)*(1+rec_fracc)/frec),6))</f>
        <v/>
      </c>
      <c r="AR369" s="66">
        <f t="shared" si="518"/>
        <v>0</v>
      </c>
      <c r="AS369" s="119" t="str">
        <f t="shared" si="519"/>
        <v/>
      </c>
      <c r="AT369" s="66">
        <f>+IF($W369="","",ROUND(IF($B369&gt;Parámetros!$D$107,'Tablas Servicio'!AR369+('Tablas Servicio'!AT368-'Tablas Servicio'!AR368),AR369/(1-IF(B369&lt;=10,Parámetros!$D$100,0))),2))</f>
        <v>0</v>
      </c>
      <c r="AU369" s="66">
        <f t="shared" si="520"/>
        <v>0</v>
      </c>
      <c r="AV369" s="66">
        <f t="shared" si="520"/>
        <v>0</v>
      </c>
      <c r="AW369" s="66">
        <f>+IF($W369="","",ROUND((AT369*Parámetros!$G$85),2))</f>
        <v>0</v>
      </c>
      <c r="AX369" s="66">
        <f>+IF($W369="","",ROUND((AT369*(Parámetros!$G$86)),2))</f>
        <v>0</v>
      </c>
      <c r="AY369" s="66">
        <f t="shared" si="521"/>
        <v>0</v>
      </c>
      <c r="AZ369" t="str">
        <f t="shared" si="475"/>
        <v>00060</v>
      </c>
      <c r="BA369" t="str">
        <f t="shared" si="476"/>
        <v>Muerte Accidental</v>
      </c>
      <c r="BB369" s="118">
        <f t="shared" si="477"/>
        <v>0</v>
      </c>
      <c r="BC369" s="118" t="str">
        <f t="shared" si="478"/>
        <v>A</v>
      </c>
      <c r="BD369" s="119" t="str">
        <f>+IF(OR($W369="",BB369=0),"",ROUND((VLOOKUP(ROUNDDOWN($D369-1/frec,0),cob_adi,AO$40,FALSE)*(1+i/frec)^-0.5*(1+Parámetros!$D$103)*(1+rec_fracc)/frec),6))</f>
        <v/>
      </c>
      <c r="BE369" s="66">
        <f t="shared" si="522"/>
        <v>0</v>
      </c>
      <c r="BF369" s="119" t="str">
        <f t="shared" si="523"/>
        <v/>
      </c>
      <c r="BG369" s="66">
        <f>+IF($W369="","",ROUND(IF($B369&gt;Parámetros!$D$107,'Tablas Servicio'!BE369+('Tablas Servicio'!BG368-'Tablas Servicio'!BE368),BE369/(1-IF(B369&lt;=10,Parámetros!$D$100,0))),2))</f>
        <v>0</v>
      </c>
      <c r="BH369" s="66">
        <f t="shared" si="524"/>
        <v>0</v>
      </c>
      <c r="BI369" s="66">
        <f t="shared" si="525"/>
        <v>0</v>
      </c>
      <c r="BJ369" s="66">
        <f>+IF($W369="","",ROUND((BG369*Parámetros!$G$85),2))</f>
        <v>0</v>
      </c>
      <c r="BK369" s="66">
        <f>+IF($W369="","",ROUND((BG369*(Parámetros!$G$86)),2))</f>
        <v>0</v>
      </c>
      <c r="BL369" s="66">
        <f t="shared" si="526"/>
        <v>0</v>
      </c>
      <c r="BM369" t="str">
        <f t="shared" si="479"/>
        <v>00061</v>
      </c>
      <c r="BN369" t="str">
        <f t="shared" si="480"/>
        <v>Gastos de Entierro</v>
      </c>
      <c r="BO369" s="118">
        <f t="shared" si="481"/>
        <v>0</v>
      </c>
      <c r="BP369" s="118" t="str">
        <f t="shared" si="482"/>
        <v>A</v>
      </c>
      <c r="BQ369" s="119" t="str">
        <f>+IF(OR($W369="",BO369=0),"",ROUND((VLOOKUP(ROUNDDOWN($D369-1/frec,0),cob_adi,BB$40,FALSE)*(1+i/frec)^-0.5*(1+Parámetros!$D$103)*(1+rec_fracc)/frec),6))</f>
        <v/>
      </c>
      <c r="BR369" s="66">
        <f t="shared" si="527"/>
        <v>0</v>
      </c>
      <c r="BS369" s="119" t="str">
        <f t="shared" si="528"/>
        <v/>
      </c>
      <c r="BT369" s="66">
        <f>+IF($W369="","",ROUND(IF($B369&gt;Parámetros!$D$107,'Tablas Servicio'!BR369+('Tablas Servicio'!BT368-'Tablas Servicio'!BR368),BR369/(1-IF(B369&lt;=10,Parámetros!$D$100,0))),2))</f>
        <v>0</v>
      </c>
      <c r="BU369" s="66">
        <f t="shared" si="529"/>
        <v>0</v>
      </c>
      <c r="BV369" s="66">
        <f t="shared" si="529"/>
        <v>0</v>
      </c>
      <c r="BW369" s="66">
        <f>+IF($W369="","",ROUND((BT369*Parámetros!$G$85),2))</f>
        <v>0</v>
      </c>
      <c r="BX369" s="66">
        <f>+IF($W369="","",ROUND((BT369*(Parámetros!$G$86)),2))</f>
        <v>0</v>
      </c>
      <c r="BY369" s="66">
        <f t="shared" si="530"/>
        <v>0</v>
      </c>
      <c r="BZ369" t="str">
        <f t="shared" si="483"/>
        <v>00062</v>
      </c>
      <c r="CA369" t="str">
        <f t="shared" si="484"/>
        <v>Gastos médicos por accidente</v>
      </c>
      <c r="CB369" s="118">
        <f t="shared" si="485"/>
        <v>0</v>
      </c>
      <c r="CC369" s="118" t="str">
        <f t="shared" si="486"/>
        <v>A</v>
      </c>
      <c r="CD369" s="119" t="str">
        <f t="shared" si="531"/>
        <v/>
      </c>
      <c r="CE369" s="66">
        <f>+IF($W369="","",ROUND((VLOOKUP(ROUNDDOWN($D369-1/frec,0),cob_adi,BO$40,FALSE)*(1+i/frec)^-0.5*(1+Parámetros!$D$103)*(1+rec_fracc)/frec*'TABLAS ADI'!$BC$17),2))</f>
        <v>0</v>
      </c>
      <c r="CF369" s="119" t="str">
        <f t="shared" si="532"/>
        <v/>
      </c>
      <c r="CG369" s="66">
        <f>+IF($W369="","",ROUND(IF($B369&gt;Parámetros!$D$107,'Tablas Servicio'!CE369+('Tablas Servicio'!CG368-'Tablas Servicio'!CE368),CE369/(1-IF(B369&lt;=10,Parámetros!$D$100,0))),2))</f>
        <v>0</v>
      </c>
      <c r="CH369" s="66">
        <f t="shared" si="533"/>
        <v>0</v>
      </c>
      <c r="CI369" s="66">
        <f t="shared" si="533"/>
        <v>0</v>
      </c>
      <c r="CJ369" s="66">
        <f>+IF($W369="","",ROUND((CG369*Parámetros!$G$85),2))</f>
        <v>0</v>
      </c>
      <c r="CK369" s="66">
        <f>+IF($W369="","",ROUND((CG369*(Parámetros!$G$86)),2))</f>
        <v>0</v>
      </c>
      <c r="CL369" s="66">
        <f t="shared" si="534"/>
        <v>0</v>
      </c>
      <c r="CM369" t="str">
        <f t="shared" si="487"/>
        <v>00063</v>
      </c>
      <c r="CN369" s="118" t="str">
        <f t="shared" si="488"/>
        <v>Renta Diaria por Hospitalización</v>
      </c>
      <c r="CO369" s="118">
        <f t="shared" si="489"/>
        <v>0</v>
      </c>
      <c r="CP369" s="118" t="str">
        <f t="shared" si="490"/>
        <v>A</v>
      </c>
      <c r="CQ369" s="119" t="str">
        <f t="shared" si="535"/>
        <v/>
      </c>
      <c r="CR369" s="66">
        <f>+IF($W369="","",ROUND((VLOOKUP(Parámetros!$F$51,'COBERTURAS ADICIONALES'!$S$4:$T$32,2,FALSE)*(1+i/frec)^-0.5*(1+Parámetros!$D$103)*(1+rec_fracc)/frec*$CO$42),2))</f>
        <v>0</v>
      </c>
      <c r="CS369" s="119" t="str">
        <f t="shared" si="536"/>
        <v/>
      </c>
      <c r="CT369" s="66">
        <f>+IF($W369="","",ROUND(IF($B369&gt;Parámetros!$D$107,'Tablas Servicio'!CR369+('Tablas Servicio'!CT368-'Tablas Servicio'!CR368),CR369/(1-IF(B369&lt;=10,Parámetros!$D$100,0))),2))</f>
        <v>0</v>
      </c>
      <c r="CU369" s="66">
        <f t="shared" si="537"/>
        <v>0</v>
      </c>
      <c r="CV369" s="66">
        <f t="shared" si="537"/>
        <v>0</v>
      </c>
      <c r="CW369" s="66">
        <f>+IF($W369="","",ROUND((CT369*Parámetros!$G$85),2))</f>
        <v>0</v>
      </c>
      <c r="CX369" s="66">
        <f>+IF($W369="","",ROUND((CT369*(Parámetros!$G$86)),2))</f>
        <v>0</v>
      </c>
      <c r="CY369" s="66">
        <f t="shared" si="538"/>
        <v>0</v>
      </c>
      <c r="CZ369" t="str">
        <f t="shared" si="491"/>
        <v>00064</v>
      </c>
      <c r="DA369" s="118" t="str">
        <f t="shared" si="492"/>
        <v>Enfermedades Graves</v>
      </c>
      <c r="DB369" s="118">
        <f t="shared" si="493"/>
        <v>0</v>
      </c>
      <c r="DC369" s="118" t="str">
        <f t="shared" si="494"/>
        <v>A</v>
      </c>
      <c r="DD369" s="121" t="str">
        <f>+IF(OR($W369="",DB369=0),"",ROUND((VLOOKUP(ROUNDDOWN($D369-1/frec,0),cob_adi,CO$40,FALSE)*(1+i/frec)^-0.5*(1+Parámetros!$D$103)*(1+rec_fracc)/frec),6))</f>
        <v/>
      </c>
      <c r="DE369" s="66">
        <f t="shared" si="539"/>
        <v>0</v>
      </c>
      <c r="DF369" s="119" t="str">
        <f t="shared" si="540"/>
        <v/>
      </c>
      <c r="DG369" s="66">
        <f>+IF($W369="","",ROUND(IF($B369&gt;Parámetros!$D$107,'Tablas Servicio'!DE369+('Tablas Servicio'!DG368-'Tablas Servicio'!DE368),DE369/(1-IF(B369&lt;=10,Parámetros!$D$100,0))),2))</f>
        <v>0</v>
      </c>
      <c r="DH369" s="66">
        <f t="shared" si="541"/>
        <v>0</v>
      </c>
      <c r="DI369" s="66">
        <f t="shared" si="541"/>
        <v>0</v>
      </c>
      <c r="DJ369" s="66">
        <f>+IF($W369="","",ROUND((DG369*Parámetros!$G$85),2))</f>
        <v>0</v>
      </c>
      <c r="DK369" s="66">
        <f>+IF($W369="","",ROUND((DG369*(Parámetros!$G$86)),2))</f>
        <v>0</v>
      </c>
      <c r="DL369" s="66">
        <f t="shared" si="542"/>
        <v>0</v>
      </c>
      <c r="DM369" t="str">
        <f t="shared" si="495"/>
        <v>00065</v>
      </c>
      <c r="DN369" s="118" t="str">
        <f t="shared" si="496"/>
        <v>Exención pago de primas</v>
      </c>
      <c r="DO369" s="118">
        <f t="shared" si="497"/>
        <v>0</v>
      </c>
      <c r="DP369" s="118" t="str">
        <f t="shared" si="498"/>
        <v>A</v>
      </c>
      <c r="DQ369" s="122" t="str">
        <f>+IF(OR($W369="",DO369=0),"",ROUND((VLOOKUP(ROUNDDOWN($D369-1/frec,0),cob_adi,DB$40,FALSE)*(1+i/frec)^-0.5*(1+Parámetros!$D$103)*(1+rec_fracc)/frec),6))</f>
        <v/>
      </c>
      <c r="DR369" s="66">
        <f t="shared" si="543"/>
        <v>0</v>
      </c>
      <c r="DS369" s="68" t="str">
        <f t="shared" si="544"/>
        <v/>
      </c>
      <c r="DT369" s="66">
        <f>+IF($W369="","",ROUND(IF($B369&gt;Parámetros!$D$107,'Tablas Servicio'!DR369+('Tablas Servicio'!DT368-'Tablas Servicio'!DR368),DR369/(1-IF(B369&lt;=10,Parámetros!$D$100,0))),2))</f>
        <v>0</v>
      </c>
      <c r="DU369" s="66">
        <f t="shared" si="545"/>
        <v>0</v>
      </c>
      <c r="DV369" s="66">
        <f t="shared" si="545"/>
        <v>0</v>
      </c>
      <c r="DW369" s="66">
        <f>+IF($W369="","",ROUND((DT369*Parámetros!$G$85),2))</f>
        <v>0</v>
      </c>
      <c r="DX369" s="66">
        <f>+IF($W369="","",ROUND((DT369*(Parámetros!$G$86)),2))</f>
        <v>0</v>
      </c>
      <c r="DY369" s="66">
        <f t="shared" si="546"/>
        <v>0</v>
      </c>
      <c r="DZ369" t="str">
        <f t="shared" si="547"/>
        <v>00066</v>
      </c>
      <c r="EA369" s="118" t="str">
        <f t="shared" si="547"/>
        <v>Enfermedad terminal</v>
      </c>
      <c r="EB369" s="118">
        <f>+IF($W369="","",ROUND(IF(Parámetros!$D$25='TABLAS MORT'!$V$33,EB368,Z369/2),0))</f>
        <v>50000</v>
      </c>
      <c r="EC369" s="118" t="str">
        <f t="shared" si="547"/>
        <v>A</v>
      </c>
      <c r="ED369" s="122">
        <f>+IF(OR($W369="",EB369=0),"",ROUND((VLOOKUP(ROUNDDOWN($D369-1/frec,0),cob_adi,DO$40,FALSE)*(1+i/frec)^-0.5*(1+Parámetros!$D$103)*(1+rec_fracc)/frec),6))</f>
        <v>5.5000000000000002E-5</v>
      </c>
      <c r="EE369" s="66">
        <f t="shared" si="548"/>
        <v>2.75</v>
      </c>
      <c r="EF369" s="68">
        <f t="shared" si="549"/>
        <v>5.5000000000000002E-5</v>
      </c>
      <c r="EG369" s="66">
        <f>+IF($W369="","",ROUND(IF($B369&gt;Parámetros!$D$107,'Tablas Servicio'!EE369+('Tablas Servicio'!EG368-'Tablas Servicio'!EE368),EE369/(1-IF(B369&lt;=10,Parámetros!$D$100,0))),2))</f>
        <v>2.75</v>
      </c>
      <c r="EH369" s="66">
        <f t="shared" si="550"/>
        <v>0</v>
      </c>
      <c r="EI369" s="66">
        <f t="shared" si="550"/>
        <v>0</v>
      </c>
      <c r="EJ369" s="66">
        <f>+IF($W369="","",ROUND((EG369*Parámetros!$G$85),2))</f>
        <v>0.1</v>
      </c>
      <c r="EK369" s="66">
        <f>+IF($W369="","",ROUND((EG369*(Parámetros!$G$86)),2))</f>
        <v>0.01</v>
      </c>
      <c r="EL369" s="66">
        <f t="shared" si="551"/>
        <v>2.86</v>
      </c>
    </row>
    <row r="370" spans="1:142" x14ac:dyDescent="0.25">
      <c r="A370">
        <f>+IF($C370="","",ROUND(VLOOKUP('Tablas Servicio'!B370,Parámetros!$H$100:$J$159,IF(Parámetros!$E$16="F",2,3),FALSE),2))</f>
        <v>150</v>
      </c>
      <c r="B370">
        <f t="shared" si="502"/>
        <v>28</v>
      </c>
      <c r="C370" s="57">
        <f>+IF(D370="","",'Tablas Servicio'!C369+1)</f>
        <v>329</v>
      </c>
      <c r="D370" s="56">
        <f>+IF(D369&lt;edadmaxtabla,D369+1/Parámetros!$E$25,"")</f>
        <v>67.436666666667151</v>
      </c>
      <c r="E370" s="57">
        <f t="shared" si="512"/>
        <v>67</v>
      </c>
      <c r="F370" s="59">
        <f t="shared" si="513"/>
        <v>100000</v>
      </c>
      <c r="G370" s="66">
        <f t="shared" si="503"/>
        <v>102.25</v>
      </c>
      <c r="H370" s="66">
        <f t="shared" si="504"/>
        <v>106.34</v>
      </c>
      <c r="I370" s="66">
        <f t="shared" si="464"/>
        <v>-12.340000000000003</v>
      </c>
      <c r="J370" s="66">
        <f t="shared" si="505"/>
        <v>3.58</v>
      </c>
      <c r="K370" s="66">
        <f t="shared" si="506"/>
        <v>0.51</v>
      </c>
      <c r="L370" s="66">
        <f t="shared" si="507"/>
        <v>0</v>
      </c>
      <c r="M370" s="66">
        <f t="shared" si="508"/>
        <v>0</v>
      </c>
      <c r="N370" s="66">
        <f>+IF(C370="","",ROUND(Parámetros!$D$23,2))</f>
        <v>94</v>
      </c>
      <c r="O370" s="66">
        <f t="shared" si="509"/>
        <v>89.75</v>
      </c>
      <c r="P370" s="66">
        <f>+IF($C370="","",ROUND(IF(B370&gt;Parámetros!$D$117,0,N370*Parámetros!$D$116-G370*Parámetros!$D$100),2))</f>
        <v>0</v>
      </c>
      <c r="Q370" s="75">
        <f t="shared" si="465"/>
        <v>3.5012224938875305E-2</v>
      </c>
      <c r="R370" s="75">
        <f t="shared" si="466"/>
        <v>4.9877750611246946E-3</v>
      </c>
      <c r="S370" s="117">
        <f>+IF($C370="","",ROUND((S369+I370)*(1+Parámetros!$D$91),2))</f>
        <v>24483.08</v>
      </c>
      <c r="T370" s="117">
        <f>+IF($C370="","",ROUND(S370*VLOOKUP(B370,Parámetros!$C$30:$D$39,2,TRUE),2))</f>
        <v>24483.08</v>
      </c>
      <c r="U370" s="117">
        <f>+IF($C370="","",ROUND((U369+I370)*(1+Parámetros!$D$92),2))</f>
        <v>26772.21</v>
      </c>
      <c r="V370" s="117">
        <f>+IF($C370="","",ROUND(U370*VLOOKUP(B370,Parámetros!$C$30:$D$39,2,TRUE),2))</f>
        <v>26772.21</v>
      </c>
      <c r="W370" s="57">
        <f t="shared" si="467"/>
        <v>329</v>
      </c>
      <c r="X370" t="str">
        <f t="shared" si="468"/>
        <v>00058</v>
      </c>
      <c r="Y370" t="str">
        <f t="shared" si="469"/>
        <v>MUERTE POR CUALQUIER CAUSA</v>
      </c>
      <c r="Z370" s="118">
        <f>+IF($W370="","",ROUND(IF(Parámetros!$D$25='TABLAS MORT'!$V$33,Z369,Parámetros!$D$21-'Tablas Servicio'!T369),0))</f>
        <v>100000</v>
      </c>
      <c r="AA370" s="118" t="str">
        <f t="shared" si="470"/>
        <v>P</v>
      </c>
      <c r="AB370" s="119">
        <f>+IF(W370="","",ROUND((VLOOKUP(ROUNDDOWN($D370-1/frec,0),qx_tabla,2,FALSE)*(1+i/frec)^-0.5*(1+Parámetros!$D$103)*(1+rec_fracc)/frec),6))</f>
        <v>8.7000000000000001E-4</v>
      </c>
      <c r="AC370" s="66">
        <f t="shared" si="514"/>
        <v>87</v>
      </c>
      <c r="AD370" s="119">
        <f t="shared" si="510"/>
        <v>9.9500000000000001E-4</v>
      </c>
      <c r="AE370" s="66">
        <f>+IF($W370="","",ROUND(IF($B370&gt;Parámetros!$D$107,'Tablas Servicio'!AC370+('Tablas Servicio'!AG369-'Tablas Servicio'!AC369),AC370/(1-IF(B370&lt;=10,Parámetros!$D$104,Parámetros!$D$105))),2))</f>
        <v>145</v>
      </c>
      <c r="AF370" s="66">
        <f>+IF($W370="","",ROUND(IF($B370&gt;Parámetros!$D$107,'Tablas Servicio'!AC370+('Tablas Servicio'!AG369-'Tablas Servicio'!AC369),(AC370+$A369/frec)/(1-IF(B370&lt;=Parámetros!$D$117,Parámetros!$D$100,0))),2))</f>
        <v>99.5</v>
      </c>
      <c r="AG370" s="66">
        <f t="shared" si="515"/>
        <v>99.5</v>
      </c>
      <c r="AH370" s="66">
        <f t="shared" si="516"/>
        <v>0</v>
      </c>
      <c r="AI370" s="66">
        <f t="shared" si="517"/>
        <v>0</v>
      </c>
      <c r="AJ370" s="66">
        <f>+IF($W370="","",ROUND((AG370*Parámetros!$G$85),2))</f>
        <v>3.48</v>
      </c>
      <c r="AK370" s="66">
        <f>+IF($W370="","",ROUND((AG370*(Parámetros!$G$86)),2))</f>
        <v>0.5</v>
      </c>
      <c r="AL370" s="66">
        <f t="shared" si="511"/>
        <v>103.48</v>
      </c>
      <c r="AM370" t="str">
        <f t="shared" si="471"/>
        <v>00059</v>
      </c>
      <c r="AN370" t="str">
        <f t="shared" si="472"/>
        <v>Incapacidad Total y Permanente</v>
      </c>
      <c r="AO370" s="118">
        <f t="shared" si="473"/>
        <v>0</v>
      </c>
      <c r="AP370" s="118" t="str">
        <f t="shared" si="474"/>
        <v>A</v>
      </c>
      <c r="AQ370" s="119" t="str">
        <f>+IF(OR($W370="",AO370=0),"",ROUND((VLOOKUP(ROUNDDOWN($D370-1/frec,0),cob_adi,Z$40,FALSE)*(1+i/frec)^-0.5*(1+Parámetros!$D$103)*(1+rec_fracc)/frec),6))</f>
        <v/>
      </c>
      <c r="AR370" s="66">
        <f t="shared" si="518"/>
        <v>0</v>
      </c>
      <c r="AS370" s="119" t="str">
        <f t="shared" si="519"/>
        <v/>
      </c>
      <c r="AT370" s="66">
        <f>+IF($W370="","",ROUND(IF($B370&gt;Parámetros!$D$107,'Tablas Servicio'!AR370+('Tablas Servicio'!AT369-'Tablas Servicio'!AR369),AR370/(1-IF(B370&lt;=10,Parámetros!$D$100,0))),2))</f>
        <v>0</v>
      </c>
      <c r="AU370" s="66">
        <f t="shared" si="520"/>
        <v>0</v>
      </c>
      <c r="AV370" s="66">
        <f t="shared" si="520"/>
        <v>0</v>
      </c>
      <c r="AW370" s="66">
        <f>+IF($W370="","",ROUND((AT370*Parámetros!$G$85),2))</f>
        <v>0</v>
      </c>
      <c r="AX370" s="66">
        <f>+IF($W370="","",ROUND((AT370*(Parámetros!$G$86)),2))</f>
        <v>0</v>
      </c>
      <c r="AY370" s="66">
        <f t="shared" si="521"/>
        <v>0</v>
      </c>
      <c r="AZ370" t="str">
        <f t="shared" si="475"/>
        <v>00060</v>
      </c>
      <c r="BA370" t="str">
        <f t="shared" si="476"/>
        <v>Muerte Accidental</v>
      </c>
      <c r="BB370" s="118">
        <f t="shared" si="477"/>
        <v>0</v>
      </c>
      <c r="BC370" s="118" t="str">
        <f t="shared" si="478"/>
        <v>A</v>
      </c>
      <c r="BD370" s="119" t="str">
        <f>+IF(OR($W370="",BB370=0),"",ROUND((VLOOKUP(ROUNDDOWN($D370-1/frec,0),cob_adi,AO$40,FALSE)*(1+i/frec)^-0.5*(1+Parámetros!$D$103)*(1+rec_fracc)/frec),6))</f>
        <v/>
      </c>
      <c r="BE370" s="66">
        <f t="shared" si="522"/>
        <v>0</v>
      </c>
      <c r="BF370" s="119" t="str">
        <f t="shared" si="523"/>
        <v/>
      </c>
      <c r="BG370" s="66">
        <f>+IF($W370="","",ROUND(IF($B370&gt;Parámetros!$D$107,'Tablas Servicio'!BE370+('Tablas Servicio'!BG369-'Tablas Servicio'!BE369),BE370/(1-IF(B370&lt;=10,Parámetros!$D$100,0))),2))</f>
        <v>0</v>
      </c>
      <c r="BH370" s="66">
        <f t="shared" si="524"/>
        <v>0</v>
      </c>
      <c r="BI370" s="66">
        <f t="shared" si="525"/>
        <v>0</v>
      </c>
      <c r="BJ370" s="66">
        <f>+IF($W370="","",ROUND((BG370*Parámetros!$G$85),2))</f>
        <v>0</v>
      </c>
      <c r="BK370" s="66">
        <f>+IF($W370="","",ROUND((BG370*(Parámetros!$G$86)),2))</f>
        <v>0</v>
      </c>
      <c r="BL370" s="66">
        <f t="shared" si="526"/>
        <v>0</v>
      </c>
      <c r="BM370" t="str">
        <f t="shared" si="479"/>
        <v>00061</v>
      </c>
      <c r="BN370" t="str">
        <f t="shared" si="480"/>
        <v>Gastos de Entierro</v>
      </c>
      <c r="BO370" s="118">
        <f t="shared" si="481"/>
        <v>0</v>
      </c>
      <c r="BP370" s="118" t="str">
        <f t="shared" si="482"/>
        <v>A</v>
      </c>
      <c r="BQ370" s="119" t="str">
        <f>+IF(OR($W370="",BO370=0),"",ROUND((VLOOKUP(ROUNDDOWN($D370-1/frec,0),cob_adi,BB$40,FALSE)*(1+i/frec)^-0.5*(1+Parámetros!$D$103)*(1+rec_fracc)/frec),6))</f>
        <v/>
      </c>
      <c r="BR370" s="66">
        <f t="shared" si="527"/>
        <v>0</v>
      </c>
      <c r="BS370" s="119" t="str">
        <f t="shared" si="528"/>
        <v/>
      </c>
      <c r="BT370" s="66">
        <f>+IF($W370="","",ROUND(IF($B370&gt;Parámetros!$D$107,'Tablas Servicio'!BR370+('Tablas Servicio'!BT369-'Tablas Servicio'!BR369),BR370/(1-IF(B370&lt;=10,Parámetros!$D$100,0))),2))</f>
        <v>0</v>
      </c>
      <c r="BU370" s="66">
        <f t="shared" si="529"/>
        <v>0</v>
      </c>
      <c r="BV370" s="66">
        <f t="shared" si="529"/>
        <v>0</v>
      </c>
      <c r="BW370" s="66">
        <f>+IF($W370="","",ROUND((BT370*Parámetros!$G$85),2))</f>
        <v>0</v>
      </c>
      <c r="BX370" s="66">
        <f>+IF($W370="","",ROUND((BT370*(Parámetros!$G$86)),2))</f>
        <v>0</v>
      </c>
      <c r="BY370" s="66">
        <f t="shared" si="530"/>
        <v>0</v>
      </c>
      <c r="BZ370" t="str">
        <f t="shared" si="483"/>
        <v>00062</v>
      </c>
      <c r="CA370" t="str">
        <f t="shared" si="484"/>
        <v>Gastos médicos por accidente</v>
      </c>
      <c r="CB370" s="118">
        <f t="shared" si="485"/>
        <v>0</v>
      </c>
      <c r="CC370" s="118" t="str">
        <f t="shared" si="486"/>
        <v>A</v>
      </c>
      <c r="CD370" s="119" t="str">
        <f t="shared" si="531"/>
        <v/>
      </c>
      <c r="CE370" s="66">
        <f>+IF($W370="","",ROUND((VLOOKUP(ROUNDDOWN($D370-1/frec,0),cob_adi,BO$40,FALSE)*(1+i/frec)^-0.5*(1+Parámetros!$D$103)*(1+rec_fracc)/frec*'TABLAS ADI'!$BC$17),2))</f>
        <v>0</v>
      </c>
      <c r="CF370" s="119" t="str">
        <f t="shared" si="532"/>
        <v/>
      </c>
      <c r="CG370" s="66">
        <f>+IF($W370="","",ROUND(IF($B370&gt;Parámetros!$D$107,'Tablas Servicio'!CE370+('Tablas Servicio'!CG369-'Tablas Servicio'!CE369),CE370/(1-IF(B370&lt;=10,Parámetros!$D$100,0))),2))</f>
        <v>0</v>
      </c>
      <c r="CH370" s="66">
        <f t="shared" si="533"/>
        <v>0</v>
      </c>
      <c r="CI370" s="66">
        <f t="shared" si="533"/>
        <v>0</v>
      </c>
      <c r="CJ370" s="66">
        <f>+IF($W370="","",ROUND((CG370*Parámetros!$G$85),2))</f>
        <v>0</v>
      </c>
      <c r="CK370" s="66">
        <f>+IF($W370="","",ROUND((CG370*(Parámetros!$G$86)),2))</f>
        <v>0</v>
      </c>
      <c r="CL370" s="66">
        <f t="shared" si="534"/>
        <v>0</v>
      </c>
      <c r="CM370" t="str">
        <f t="shared" si="487"/>
        <v>00063</v>
      </c>
      <c r="CN370" s="118" t="str">
        <f t="shared" si="488"/>
        <v>Renta Diaria por Hospitalización</v>
      </c>
      <c r="CO370" s="118">
        <f t="shared" si="489"/>
        <v>0</v>
      </c>
      <c r="CP370" s="118" t="str">
        <f t="shared" si="490"/>
        <v>A</v>
      </c>
      <c r="CQ370" s="119" t="str">
        <f t="shared" si="535"/>
        <v/>
      </c>
      <c r="CR370" s="66">
        <f>+IF($W370="","",ROUND((VLOOKUP(Parámetros!$F$51,'COBERTURAS ADICIONALES'!$S$4:$T$32,2,FALSE)*(1+i/frec)^-0.5*(1+Parámetros!$D$103)*(1+rec_fracc)/frec*$CO$42),2))</f>
        <v>0</v>
      </c>
      <c r="CS370" s="119" t="str">
        <f t="shared" si="536"/>
        <v/>
      </c>
      <c r="CT370" s="66">
        <f>+IF($W370="","",ROUND(IF($B370&gt;Parámetros!$D$107,'Tablas Servicio'!CR370+('Tablas Servicio'!CT369-'Tablas Servicio'!CR369),CR370/(1-IF(B370&lt;=10,Parámetros!$D$100,0))),2))</f>
        <v>0</v>
      </c>
      <c r="CU370" s="66">
        <f t="shared" si="537"/>
        <v>0</v>
      </c>
      <c r="CV370" s="66">
        <f t="shared" si="537"/>
        <v>0</v>
      </c>
      <c r="CW370" s="66">
        <f>+IF($W370="","",ROUND((CT370*Parámetros!$G$85),2))</f>
        <v>0</v>
      </c>
      <c r="CX370" s="66">
        <f>+IF($W370="","",ROUND((CT370*(Parámetros!$G$86)),2))</f>
        <v>0</v>
      </c>
      <c r="CY370" s="66">
        <f t="shared" si="538"/>
        <v>0</v>
      </c>
      <c r="CZ370" t="str">
        <f t="shared" si="491"/>
        <v>00064</v>
      </c>
      <c r="DA370" s="118" t="str">
        <f t="shared" si="492"/>
        <v>Enfermedades Graves</v>
      </c>
      <c r="DB370" s="118">
        <f t="shared" si="493"/>
        <v>0</v>
      </c>
      <c r="DC370" s="118" t="str">
        <f t="shared" si="494"/>
        <v>A</v>
      </c>
      <c r="DD370" s="121" t="str">
        <f>+IF(OR($W370="",DB370=0),"",ROUND((VLOOKUP(ROUNDDOWN($D370-1/frec,0),cob_adi,CO$40,FALSE)*(1+i/frec)^-0.5*(1+Parámetros!$D$103)*(1+rec_fracc)/frec),6))</f>
        <v/>
      </c>
      <c r="DE370" s="66">
        <f t="shared" si="539"/>
        <v>0</v>
      </c>
      <c r="DF370" s="119" t="str">
        <f t="shared" si="540"/>
        <v/>
      </c>
      <c r="DG370" s="66">
        <f>+IF($W370="","",ROUND(IF($B370&gt;Parámetros!$D$107,'Tablas Servicio'!DE370+('Tablas Servicio'!DG369-'Tablas Servicio'!DE369),DE370/(1-IF(B370&lt;=10,Parámetros!$D$100,0))),2))</f>
        <v>0</v>
      </c>
      <c r="DH370" s="66">
        <f t="shared" si="541"/>
        <v>0</v>
      </c>
      <c r="DI370" s="66">
        <f t="shared" si="541"/>
        <v>0</v>
      </c>
      <c r="DJ370" s="66">
        <f>+IF($W370="","",ROUND((DG370*Parámetros!$G$85),2))</f>
        <v>0</v>
      </c>
      <c r="DK370" s="66">
        <f>+IF($W370="","",ROUND((DG370*(Parámetros!$G$86)),2))</f>
        <v>0</v>
      </c>
      <c r="DL370" s="66">
        <f t="shared" si="542"/>
        <v>0</v>
      </c>
      <c r="DM370" t="str">
        <f t="shared" si="495"/>
        <v>00065</v>
      </c>
      <c r="DN370" s="118" t="str">
        <f t="shared" si="496"/>
        <v>Exención pago de primas</v>
      </c>
      <c r="DO370" s="118">
        <f t="shared" si="497"/>
        <v>0</v>
      </c>
      <c r="DP370" s="118" t="str">
        <f t="shared" si="498"/>
        <v>A</v>
      </c>
      <c r="DQ370" s="122" t="str">
        <f>+IF(OR($W370="",DO370=0),"",ROUND((VLOOKUP(ROUNDDOWN($D370-1/frec,0),cob_adi,DB$40,FALSE)*(1+i/frec)^-0.5*(1+Parámetros!$D$103)*(1+rec_fracc)/frec),6))</f>
        <v/>
      </c>
      <c r="DR370" s="66">
        <f t="shared" si="543"/>
        <v>0</v>
      </c>
      <c r="DS370" s="68" t="str">
        <f t="shared" si="544"/>
        <v/>
      </c>
      <c r="DT370" s="66">
        <f>+IF($W370="","",ROUND(IF($B370&gt;Parámetros!$D$107,'Tablas Servicio'!DR370+('Tablas Servicio'!DT369-'Tablas Servicio'!DR369),DR370/(1-IF(B370&lt;=10,Parámetros!$D$100,0))),2))</f>
        <v>0</v>
      </c>
      <c r="DU370" s="66">
        <f t="shared" si="545"/>
        <v>0</v>
      </c>
      <c r="DV370" s="66">
        <f t="shared" si="545"/>
        <v>0</v>
      </c>
      <c r="DW370" s="66">
        <f>+IF($W370="","",ROUND((DT370*Parámetros!$G$85),2))</f>
        <v>0</v>
      </c>
      <c r="DX370" s="66">
        <f>+IF($W370="","",ROUND((DT370*(Parámetros!$G$86)),2))</f>
        <v>0</v>
      </c>
      <c r="DY370" s="66">
        <f t="shared" si="546"/>
        <v>0</v>
      </c>
      <c r="DZ370" t="str">
        <f t="shared" si="547"/>
        <v>00066</v>
      </c>
      <c r="EA370" s="118" t="str">
        <f t="shared" si="547"/>
        <v>Enfermedad terminal</v>
      </c>
      <c r="EB370" s="118">
        <f>+IF($W370="","",ROUND(IF(Parámetros!$D$25='TABLAS MORT'!$V$33,EB369,Z370/2),0))</f>
        <v>50000</v>
      </c>
      <c r="EC370" s="118" t="str">
        <f t="shared" si="547"/>
        <v>A</v>
      </c>
      <c r="ED370" s="122">
        <f>+IF(OR($W370="",EB370=0),"",ROUND((VLOOKUP(ROUNDDOWN($D370-1/frec,0),cob_adi,DO$40,FALSE)*(1+i/frec)^-0.5*(1+Parámetros!$D$103)*(1+rec_fracc)/frec),6))</f>
        <v>5.5000000000000002E-5</v>
      </c>
      <c r="EE370" s="66">
        <f t="shared" si="548"/>
        <v>2.75</v>
      </c>
      <c r="EF370" s="68">
        <f t="shared" si="549"/>
        <v>5.5000000000000002E-5</v>
      </c>
      <c r="EG370" s="66">
        <f>+IF($W370="","",ROUND(IF($B370&gt;Parámetros!$D$107,'Tablas Servicio'!EE370+('Tablas Servicio'!EG369-'Tablas Servicio'!EE369),EE370/(1-IF(B370&lt;=10,Parámetros!$D$100,0))),2))</f>
        <v>2.75</v>
      </c>
      <c r="EH370" s="66">
        <f t="shared" si="550"/>
        <v>0</v>
      </c>
      <c r="EI370" s="66">
        <f t="shared" si="550"/>
        <v>0</v>
      </c>
      <c r="EJ370" s="66">
        <f>+IF($W370="","",ROUND((EG370*Parámetros!$G$85),2))</f>
        <v>0.1</v>
      </c>
      <c r="EK370" s="66">
        <f>+IF($W370="","",ROUND((EG370*(Parámetros!$G$86)),2))</f>
        <v>0.01</v>
      </c>
      <c r="EL370" s="66">
        <f t="shared" si="551"/>
        <v>2.86</v>
      </c>
    </row>
    <row r="371" spans="1:142" x14ac:dyDescent="0.25">
      <c r="A371">
        <f>+IF($C371="","",ROUND(VLOOKUP('Tablas Servicio'!B371,Parámetros!$H$100:$J$159,IF(Parámetros!$E$16="F",2,3),FALSE),2))</f>
        <v>150</v>
      </c>
      <c r="B371">
        <f t="shared" si="502"/>
        <v>28</v>
      </c>
      <c r="C371" s="57">
        <f>+IF(D371="","",'Tablas Servicio'!C370+1)</f>
        <v>330</v>
      </c>
      <c r="D371" s="56">
        <f>+IF(D370&lt;edadmaxtabla,D370+1/Parámetros!$E$25,"")</f>
        <v>67.520000000000479</v>
      </c>
      <c r="E371" s="57">
        <f t="shared" si="512"/>
        <v>67</v>
      </c>
      <c r="F371" s="59">
        <f t="shared" si="513"/>
        <v>100000</v>
      </c>
      <c r="G371" s="66">
        <f t="shared" si="503"/>
        <v>102.25</v>
      </c>
      <c r="H371" s="66">
        <f t="shared" si="504"/>
        <v>106.34</v>
      </c>
      <c r="I371" s="66">
        <f t="shared" si="464"/>
        <v>-12.340000000000003</v>
      </c>
      <c r="J371" s="66">
        <f t="shared" si="505"/>
        <v>3.58</v>
      </c>
      <c r="K371" s="66">
        <f t="shared" si="506"/>
        <v>0.51</v>
      </c>
      <c r="L371" s="66">
        <f t="shared" si="507"/>
        <v>0</v>
      </c>
      <c r="M371" s="66">
        <f t="shared" si="508"/>
        <v>0</v>
      </c>
      <c r="N371" s="66">
        <f>+IF(C371="","",ROUND(Parámetros!$D$23,2))</f>
        <v>94</v>
      </c>
      <c r="O371" s="66">
        <f t="shared" si="509"/>
        <v>89.75</v>
      </c>
      <c r="P371" s="66">
        <f>+IF($C371="","",ROUND(IF(B371&gt;Parámetros!$D$117,0,N371*Parámetros!$D$116-G371*Parámetros!$D$100),2))</f>
        <v>0</v>
      </c>
      <c r="Q371" s="75">
        <f t="shared" si="465"/>
        <v>3.5012224938875305E-2</v>
      </c>
      <c r="R371" s="75">
        <f t="shared" si="466"/>
        <v>4.9877750611246946E-3</v>
      </c>
      <c r="S371" s="117">
        <f>+IF($C371="","",ROUND((S370+I371)*(1+Parámetros!$D$91),2))</f>
        <v>24540.15</v>
      </c>
      <c r="T371" s="117">
        <f>+IF($C371="","",ROUND(S371*VLOOKUP(B371,Parámetros!$C$30:$D$39,2,TRUE),2))</f>
        <v>24540.15</v>
      </c>
      <c r="U371" s="117">
        <f>+IF($C371="","",ROUND((U370+I371)*(1+Parámetros!$D$92),2))</f>
        <v>26846.62</v>
      </c>
      <c r="V371" s="117">
        <f>+IF($C371="","",ROUND(U371*VLOOKUP(B371,Parámetros!$C$30:$D$39,2,TRUE),2))</f>
        <v>26846.62</v>
      </c>
      <c r="W371" s="57">
        <f t="shared" si="467"/>
        <v>330</v>
      </c>
      <c r="X371" t="str">
        <f t="shared" si="468"/>
        <v>00058</v>
      </c>
      <c r="Y371" t="str">
        <f t="shared" si="469"/>
        <v>MUERTE POR CUALQUIER CAUSA</v>
      </c>
      <c r="Z371" s="118">
        <f>+IF($W371="","",ROUND(IF(Parámetros!$D$25='TABLAS MORT'!$V$33,Z370,Parámetros!$D$21-'Tablas Servicio'!T370),0))</f>
        <v>100000</v>
      </c>
      <c r="AA371" s="118" t="str">
        <f t="shared" si="470"/>
        <v>P</v>
      </c>
      <c r="AB371" s="119">
        <f>+IF(W371="","",ROUND((VLOOKUP(ROUNDDOWN($D371-1/frec,0),qx_tabla,2,FALSE)*(1+i/frec)^-0.5*(1+Parámetros!$D$103)*(1+rec_fracc)/frec),6))</f>
        <v>8.7000000000000001E-4</v>
      </c>
      <c r="AC371" s="66">
        <f t="shared" si="514"/>
        <v>87</v>
      </c>
      <c r="AD371" s="119">
        <f t="shared" si="510"/>
        <v>9.9500000000000001E-4</v>
      </c>
      <c r="AE371" s="66">
        <f>+IF($W371="","",ROUND(IF($B371&gt;Parámetros!$D$107,'Tablas Servicio'!AC371+('Tablas Servicio'!AG370-'Tablas Servicio'!AC370),AC371/(1-IF(B371&lt;=10,Parámetros!$D$104,Parámetros!$D$105))),2))</f>
        <v>145</v>
      </c>
      <c r="AF371" s="66">
        <f>+IF($W371="","",ROUND(IF($B371&gt;Parámetros!$D$107,'Tablas Servicio'!AC371+('Tablas Servicio'!AG370-'Tablas Servicio'!AC370),(AC371+$A370/frec)/(1-IF(B371&lt;=Parámetros!$D$117,Parámetros!$D$100,0))),2))</f>
        <v>99.5</v>
      </c>
      <c r="AG371" s="66">
        <f t="shared" si="515"/>
        <v>99.5</v>
      </c>
      <c r="AH371" s="66">
        <f t="shared" si="516"/>
        <v>0</v>
      </c>
      <c r="AI371" s="66">
        <f t="shared" si="517"/>
        <v>0</v>
      </c>
      <c r="AJ371" s="66">
        <f>+IF($W371="","",ROUND((AG371*Parámetros!$G$85),2))</f>
        <v>3.48</v>
      </c>
      <c r="AK371" s="66">
        <f>+IF($W371="","",ROUND((AG371*(Parámetros!$G$86)),2))</f>
        <v>0.5</v>
      </c>
      <c r="AL371" s="66">
        <f t="shared" si="511"/>
        <v>103.48</v>
      </c>
      <c r="AM371" t="str">
        <f t="shared" si="471"/>
        <v>00059</v>
      </c>
      <c r="AN371" t="str">
        <f t="shared" si="472"/>
        <v>Incapacidad Total y Permanente</v>
      </c>
      <c r="AO371" s="118">
        <f t="shared" si="473"/>
        <v>0</v>
      </c>
      <c r="AP371" s="118" t="str">
        <f t="shared" si="474"/>
        <v>A</v>
      </c>
      <c r="AQ371" s="119" t="str">
        <f>+IF(OR($W371="",AO371=0),"",ROUND((VLOOKUP(ROUNDDOWN($D371-1/frec,0),cob_adi,Z$40,FALSE)*(1+i/frec)^-0.5*(1+Parámetros!$D$103)*(1+rec_fracc)/frec),6))</f>
        <v/>
      </c>
      <c r="AR371" s="66">
        <f t="shared" si="518"/>
        <v>0</v>
      </c>
      <c r="AS371" s="119" t="str">
        <f t="shared" si="519"/>
        <v/>
      </c>
      <c r="AT371" s="66">
        <f>+IF($W371="","",ROUND(IF($B371&gt;Parámetros!$D$107,'Tablas Servicio'!AR371+('Tablas Servicio'!AT370-'Tablas Servicio'!AR370),AR371/(1-IF(B371&lt;=10,Parámetros!$D$100,0))),2))</f>
        <v>0</v>
      </c>
      <c r="AU371" s="66">
        <f t="shared" si="520"/>
        <v>0</v>
      </c>
      <c r="AV371" s="66">
        <f t="shared" si="520"/>
        <v>0</v>
      </c>
      <c r="AW371" s="66">
        <f>+IF($W371="","",ROUND((AT371*Parámetros!$G$85),2))</f>
        <v>0</v>
      </c>
      <c r="AX371" s="66">
        <f>+IF($W371="","",ROUND((AT371*(Parámetros!$G$86)),2))</f>
        <v>0</v>
      </c>
      <c r="AY371" s="66">
        <f t="shared" si="521"/>
        <v>0</v>
      </c>
      <c r="AZ371" t="str">
        <f t="shared" si="475"/>
        <v>00060</v>
      </c>
      <c r="BA371" t="str">
        <f t="shared" si="476"/>
        <v>Muerte Accidental</v>
      </c>
      <c r="BB371" s="118">
        <f t="shared" si="477"/>
        <v>0</v>
      </c>
      <c r="BC371" s="118" t="str">
        <f t="shared" si="478"/>
        <v>A</v>
      </c>
      <c r="BD371" s="119" t="str">
        <f>+IF(OR($W371="",BB371=0),"",ROUND((VLOOKUP(ROUNDDOWN($D371-1/frec,0),cob_adi,AO$40,FALSE)*(1+i/frec)^-0.5*(1+Parámetros!$D$103)*(1+rec_fracc)/frec),6))</f>
        <v/>
      </c>
      <c r="BE371" s="66">
        <f t="shared" si="522"/>
        <v>0</v>
      </c>
      <c r="BF371" s="119" t="str">
        <f t="shared" si="523"/>
        <v/>
      </c>
      <c r="BG371" s="66">
        <f>+IF($W371="","",ROUND(IF($B371&gt;Parámetros!$D$107,'Tablas Servicio'!BE371+('Tablas Servicio'!BG370-'Tablas Servicio'!BE370),BE371/(1-IF(B371&lt;=10,Parámetros!$D$100,0))),2))</f>
        <v>0</v>
      </c>
      <c r="BH371" s="66">
        <f t="shared" si="524"/>
        <v>0</v>
      </c>
      <c r="BI371" s="66">
        <f t="shared" si="525"/>
        <v>0</v>
      </c>
      <c r="BJ371" s="66">
        <f>+IF($W371="","",ROUND((BG371*Parámetros!$G$85),2))</f>
        <v>0</v>
      </c>
      <c r="BK371" s="66">
        <f>+IF($W371="","",ROUND((BG371*(Parámetros!$G$86)),2))</f>
        <v>0</v>
      </c>
      <c r="BL371" s="66">
        <f t="shared" si="526"/>
        <v>0</v>
      </c>
      <c r="BM371" t="str">
        <f t="shared" si="479"/>
        <v>00061</v>
      </c>
      <c r="BN371" t="str">
        <f t="shared" si="480"/>
        <v>Gastos de Entierro</v>
      </c>
      <c r="BO371" s="118">
        <f t="shared" si="481"/>
        <v>0</v>
      </c>
      <c r="BP371" s="118" t="str">
        <f t="shared" si="482"/>
        <v>A</v>
      </c>
      <c r="BQ371" s="119" t="str">
        <f>+IF(OR($W371="",BO371=0),"",ROUND((VLOOKUP(ROUNDDOWN($D371-1/frec,0),cob_adi,BB$40,FALSE)*(1+i/frec)^-0.5*(1+Parámetros!$D$103)*(1+rec_fracc)/frec),6))</f>
        <v/>
      </c>
      <c r="BR371" s="66">
        <f t="shared" si="527"/>
        <v>0</v>
      </c>
      <c r="BS371" s="119" t="str">
        <f t="shared" si="528"/>
        <v/>
      </c>
      <c r="BT371" s="66">
        <f>+IF($W371="","",ROUND(IF($B371&gt;Parámetros!$D$107,'Tablas Servicio'!BR371+('Tablas Servicio'!BT370-'Tablas Servicio'!BR370),BR371/(1-IF(B371&lt;=10,Parámetros!$D$100,0))),2))</f>
        <v>0</v>
      </c>
      <c r="BU371" s="66">
        <f t="shared" si="529"/>
        <v>0</v>
      </c>
      <c r="BV371" s="66">
        <f t="shared" si="529"/>
        <v>0</v>
      </c>
      <c r="BW371" s="66">
        <f>+IF($W371="","",ROUND((BT371*Parámetros!$G$85),2))</f>
        <v>0</v>
      </c>
      <c r="BX371" s="66">
        <f>+IF($W371="","",ROUND((BT371*(Parámetros!$G$86)),2))</f>
        <v>0</v>
      </c>
      <c r="BY371" s="66">
        <f t="shared" si="530"/>
        <v>0</v>
      </c>
      <c r="BZ371" t="str">
        <f t="shared" si="483"/>
        <v>00062</v>
      </c>
      <c r="CA371" t="str">
        <f t="shared" si="484"/>
        <v>Gastos médicos por accidente</v>
      </c>
      <c r="CB371" s="118">
        <f t="shared" si="485"/>
        <v>0</v>
      </c>
      <c r="CC371" s="118" t="str">
        <f t="shared" si="486"/>
        <v>A</v>
      </c>
      <c r="CD371" s="119" t="str">
        <f t="shared" si="531"/>
        <v/>
      </c>
      <c r="CE371" s="66">
        <f>+IF($W371="","",ROUND((VLOOKUP(ROUNDDOWN($D371-1/frec,0),cob_adi,BO$40,FALSE)*(1+i/frec)^-0.5*(1+Parámetros!$D$103)*(1+rec_fracc)/frec*'TABLAS ADI'!$BC$17),2))</f>
        <v>0</v>
      </c>
      <c r="CF371" s="119" t="str">
        <f t="shared" si="532"/>
        <v/>
      </c>
      <c r="CG371" s="66">
        <f>+IF($W371="","",ROUND(IF($B371&gt;Parámetros!$D$107,'Tablas Servicio'!CE371+('Tablas Servicio'!CG370-'Tablas Servicio'!CE370),CE371/(1-IF(B371&lt;=10,Parámetros!$D$100,0))),2))</f>
        <v>0</v>
      </c>
      <c r="CH371" s="66">
        <f t="shared" si="533"/>
        <v>0</v>
      </c>
      <c r="CI371" s="66">
        <f t="shared" si="533"/>
        <v>0</v>
      </c>
      <c r="CJ371" s="66">
        <f>+IF($W371="","",ROUND((CG371*Parámetros!$G$85),2))</f>
        <v>0</v>
      </c>
      <c r="CK371" s="66">
        <f>+IF($W371="","",ROUND((CG371*(Parámetros!$G$86)),2))</f>
        <v>0</v>
      </c>
      <c r="CL371" s="66">
        <f t="shared" si="534"/>
        <v>0</v>
      </c>
      <c r="CM371" t="str">
        <f t="shared" si="487"/>
        <v>00063</v>
      </c>
      <c r="CN371" s="118" t="str">
        <f t="shared" si="488"/>
        <v>Renta Diaria por Hospitalización</v>
      </c>
      <c r="CO371" s="118">
        <f t="shared" si="489"/>
        <v>0</v>
      </c>
      <c r="CP371" s="118" t="str">
        <f t="shared" si="490"/>
        <v>A</v>
      </c>
      <c r="CQ371" s="119" t="str">
        <f t="shared" si="535"/>
        <v/>
      </c>
      <c r="CR371" s="66">
        <f>+IF($W371="","",ROUND((VLOOKUP(Parámetros!$F$51,'COBERTURAS ADICIONALES'!$S$4:$T$32,2,FALSE)*(1+i/frec)^-0.5*(1+Parámetros!$D$103)*(1+rec_fracc)/frec*$CO$42),2))</f>
        <v>0</v>
      </c>
      <c r="CS371" s="119" t="str">
        <f t="shared" si="536"/>
        <v/>
      </c>
      <c r="CT371" s="66">
        <f>+IF($W371="","",ROUND(IF($B371&gt;Parámetros!$D$107,'Tablas Servicio'!CR371+('Tablas Servicio'!CT370-'Tablas Servicio'!CR370),CR371/(1-IF(B371&lt;=10,Parámetros!$D$100,0))),2))</f>
        <v>0</v>
      </c>
      <c r="CU371" s="66">
        <f t="shared" si="537"/>
        <v>0</v>
      </c>
      <c r="CV371" s="66">
        <f t="shared" si="537"/>
        <v>0</v>
      </c>
      <c r="CW371" s="66">
        <f>+IF($W371="","",ROUND((CT371*Parámetros!$G$85),2))</f>
        <v>0</v>
      </c>
      <c r="CX371" s="66">
        <f>+IF($W371="","",ROUND((CT371*(Parámetros!$G$86)),2))</f>
        <v>0</v>
      </c>
      <c r="CY371" s="66">
        <f t="shared" si="538"/>
        <v>0</v>
      </c>
      <c r="CZ371" t="str">
        <f t="shared" si="491"/>
        <v>00064</v>
      </c>
      <c r="DA371" s="118" t="str">
        <f t="shared" si="492"/>
        <v>Enfermedades Graves</v>
      </c>
      <c r="DB371" s="118">
        <f t="shared" si="493"/>
        <v>0</v>
      </c>
      <c r="DC371" s="118" t="str">
        <f t="shared" si="494"/>
        <v>A</v>
      </c>
      <c r="DD371" s="121" t="str">
        <f>+IF(OR($W371="",DB371=0),"",ROUND((VLOOKUP(ROUNDDOWN($D371-1/frec,0),cob_adi,CO$40,FALSE)*(1+i/frec)^-0.5*(1+Parámetros!$D$103)*(1+rec_fracc)/frec),6))</f>
        <v/>
      </c>
      <c r="DE371" s="66">
        <f t="shared" si="539"/>
        <v>0</v>
      </c>
      <c r="DF371" s="119" t="str">
        <f t="shared" si="540"/>
        <v/>
      </c>
      <c r="DG371" s="66">
        <f>+IF($W371="","",ROUND(IF($B371&gt;Parámetros!$D$107,'Tablas Servicio'!DE371+('Tablas Servicio'!DG370-'Tablas Servicio'!DE370),DE371/(1-IF(B371&lt;=10,Parámetros!$D$100,0))),2))</f>
        <v>0</v>
      </c>
      <c r="DH371" s="66">
        <f t="shared" si="541"/>
        <v>0</v>
      </c>
      <c r="DI371" s="66">
        <f t="shared" si="541"/>
        <v>0</v>
      </c>
      <c r="DJ371" s="66">
        <f>+IF($W371="","",ROUND((DG371*Parámetros!$G$85),2))</f>
        <v>0</v>
      </c>
      <c r="DK371" s="66">
        <f>+IF($W371="","",ROUND((DG371*(Parámetros!$G$86)),2))</f>
        <v>0</v>
      </c>
      <c r="DL371" s="66">
        <f t="shared" si="542"/>
        <v>0</v>
      </c>
      <c r="DM371" t="str">
        <f t="shared" si="495"/>
        <v>00065</v>
      </c>
      <c r="DN371" s="118" t="str">
        <f t="shared" si="496"/>
        <v>Exención pago de primas</v>
      </c>
      <c r="DO371" s="118">
        <f t="shared" si="497"/>
        <v>0</v>
      </c>
      <c r="DP371" s="118" t="str">
        <f t="shared" si="498"/>
        <v>A</v>
      </c>
      <c r="DQ371" s="122" t="str">
        <f>+IF(OR($W371="",DO371=0),"",ROUND((VLOOKUP(ROUNDDOWN($D371-1/frec,0),cob_adi,DB$40,FALSE)*(1+i/frec)^-0.5*(1+Parámetros!$D$103)*(1+rec_fracc)/frec),6))</f>
        <v/>
      </c>
      <c r="DR371" s="66">
        <f t="shared" si="543"/>
        <v>0</v>
      </c>
      <c r="DS371" s="68" t="str">
        <f t="shared" si="544"/>
        <v/>
      </c>
      <c r="DT371" s="66">
        <f>+IF($W371="","",ROUND(IF($B371&gt;Parámetros!$D$107,'Tablas Servicio'!DR371+('Tablas Servicio'!DT370-'Tablas Servicio'!DR370),DR371/(1-IF(B371&lt;=10,Parámetros!$D$100,0))),2))</f>
        <v>0</v>
      </c>
      <c r="DU371" s="66">
        <f t="shared" si="545"/>
        <v>0</v>
      </c>
      <c r="DV371" s="66">
        <f t="shared" si="545"/>
        <v>0</v>
      </c>
      <c r="DW371" s="66">
        <f>+IF($W371="","",ROUND((DT371*Parámetros!$G$85),2))</f>
        <v>0</v>
      </c>
      <c r="DX371" s="66">
        <f>+IF($W371="","",ROUND((DT371*(Parámetros!$G$86)),2))</f>
        <v>0</v>
      </c>
      <c r="DY371" s="66">
        <f t="shared" si="546"/>
        <v>0</v>
      </c>
      <c r="DZ371" t="str">
        <f t="shared" si="547"/>
        <v>00066</v>
      </c>
      <c r="EA371" s="118" t="str">
        <f t="shared" si="547"/>
        <v>Enfermedad terminal</v>
      </c>
      <c r="EB371" s="118">
        <f>+IF($W371="","",ROUND(IF(Parámetros!$D$25='TABLAS MORT'!$V$33,EB370,Z371/2),0))</f>
        <v>50000</v>
      </c>
      <c r="EC371" s="118" t="str">
        <f t="shared" si="547"/>
        <v>A</v>
      </c>
      <c r="ED371" s="122">
        <f>+IF(OR($W371="",EB371=0),"",ROUND((VLOOKUP(ROUNDDOWN($D371-1/frec,0),cob_adi,DO$40,FALSE)*(1+i/frec)^-0.5*(1+Parámetros!$D$103)*(1+rec_fracc)/frec),6))</f>
        <v>5.5000000000000002E-5</v>
      </c>
      <c r="EE371" s="66">
        <f t="shared" si="548"/>
        <v>2.75</v>
      </c>
      <c r="EF371" s="68">
        <f t="shared" si="549"/>
        <v>5.5000000000000002E-5</v>
      </c>
      <c r="EG371" s="66">
        <f>+IF($W371="","",ROUND(IF($B371&gt;Parámetros!$D$107,'Tablas Servicio'!EE371+('Tablas Servicio'!EG370-'Tablas Servicio'!EE370),EE371/(1-IF(B371&lt;=10,Parámetros!$D$100,0))),2))</f>
        <v>2.75</v>
      </c>
      <c r="EH371" s="66">
        <f t="shared" si="550"/>
        <v>0</v>
      </c>
      <c r="EI371" s="66">
        <f t="shared" si="550"/>
        <v>0</v>
      </c>
      <c r="EJ371" s="66">
        <f>+IF($W371="","",ROUND((EG371*Parámetros!$G$85),2))</f>
        <v>0.1</v>
      </c>
      <c r="EK371" s="66">
        <f>+IF($W371="","",ROUND((EG371*(Parámetros!$G$86)),2))</f>
        <v>0.01</v>
      </c>
      <c r="EL371" s="66">
        <f t="shared" si="551"/>
        <v>2.86</v>
      </c>
    </row>
    <row r="372" spans="1:142" x14ac:dyDescent="0.25">
      <c r="A372">
        <f>+IF($C372="","",ROUND(VLOOKUP('Tablas Servicio'!B372,Parámetros!$H$100:$J$159,IF(Parámetros!$E$16="F",2,3),FALSE),2))</f>
        <v>150</v>
      </c>
      <c r="B372">
        <f t="shared" si="502"/>
        <v>28</v>
      </c>
      <c r="C372" s="57">
        <f>+IF(D372="","",'Tablas Servicio'!C371+1)</f>
        <v>331</v>
      </c>
      <c r="D372" s="56">
        <f>+IF(D371&lt;edadmaxtabla,D371+1/Parámetros!$E$25,"")</f>
        <v>67.603333333333808</v>
      </c>
      <c r="E372" s="57">
        <f t="shared" si="512"/>
        <v>67</v>
      </c>
      <c r="F372" s="59">
        <f t="shared" si="513"/>
        <v>100000</v>
      </c>
      <c r="G372" s="66">
        <f t="shared" si="503"/>
        <v>102.25</v>
      </c>
      <c r="H372" s="66">
        <f t="shared" si="504"/>
        <v>106.34</v>
      </c>
      <c r="I372" s="66">
        <f t="shared" si="464"/>
        <v>-12.340000000000003</v>
      </c>
      <c r="J372" s="66">
        <f t="shared" si="505"/>
        <v>3.58</v>
      </c>
      <c r="K372" s="66">
        <f t="shared" si="506"/>
        <v>0.51</v>
      </c>
      <c r="L372" s="66">
        <f t="shared" si="507"/>
        <v>0</v>
      </c>
      <c r="M372" s="66">
        <f t="shared" si="508"/>
        <v>0</v>
      </c>
      <c r="N372" s="66">
        <f>+IF(C372="","",ROUND(Parámetros!$D$23,2))</f>
        <v>94</v>
      </c>
      <c r="O372" s="66">
        <f t="shared" si="509"/>
        <v>89.75</v>
      </c>
      <c r="P372" s="66">
        <f>+IF($C372="","",ROUND(IF(B372&gt;Parámetros!$D$117,0,N372*Parámetros!$D$116-G372*Parámetros!$D$100),2))</f>
        <v>0</v>
      </c>
      <c r="Q372" s="75">
        <f t="shared" si="465"/>
        <v>3.5012224938875305E-2</v>
      </c>
      <c r="R372" s="75">
        <f t="shared" si="466"/>
        <v>4.9877750611246946E-3</v>
      </c>
      <c r="S372" s="117">
        <f>+IF($C372="","",ROUND((S371+I372)*(1+Parámetros!$D$91),2))</f>
        <v>24597.38</v>
      </c>
      <c r="T372" s="117">
        <f>+IF($C372="","",ROUND(S372*VLOOKUP(B372,Parámetros!$C$30:$D$39,2,TRUE),2))</f>
        <v>24597.38</v>
      </c>
      <c r="U372" s="117">
        <f>+IF($C372="","",ROUND((U371+I372)*(1+Parámetros!$D$92),2))</f>
        <v>26921.27</v>
      </c>
      <c r="V372" s="117">
        <f>+IF($C372="","",ROUND(U372*VLOOKUP(B372,Parámetros!$C$30:$D$39,2,TRUE),2))</f>
        <v>26921.27</v>
      </c>
      <c r="W372" s="57">
        <f t="shared" si="467"/>
        <v>331</v>
      </c>
      <c r="X372" t="str">
        <f t="shared" si="468"/>
        <v>00058</v>
      </c>
      <c r="Y372" t="str">
        <f t="shared" si="469"/>
        <v>MUERTE POR CUALQUIER CAUSA</v>
      </c>
      <c r="Z372" s="118">
        <f>+IF($W372="","",ROUND(IF(Parámetros!$D$25='TABLAS MORT'!$V$33,Z371,Parámetros!$D$21-'Tablas Servicio'!T371),0))</f>
        <v>100000</v>
      </c>
      <c r="AA372" s="118" t="str">
        <f t="shared" si="470"/>
        <v>P</v>
      </c>
      <c r="AB372" s="119">
        <f>+IF(W372="","",ROUND((VLOOKUP(ROUNDDOWN($D372-1/frec,0),qx_tabla,2,FALSE)*(1+i/frec)^-0.5*(1+Parámetros!$D$103)*(1+rec_fracc)/frec),6))</f>
        <v>8.7000000000000001E-4</v>
      </c>
      <c r="AC372" s="66">
        <f t="shared" si="514"/>
        <v>87</v>
      </c>
      <c r="AD372" s="119">
        <f t="shared" si="510"/>
        <v>9.9500000000000001E-4</v>
      </c>
      <c r="AE372" s="66">
        <f>+IF($W372="","",ROUND(IF($B372&gt;Parámetros!$D$107,'Tablas Servicio'!AC372+('Tablas Servicio'!AG371-'Tablas Servicio'!AC371),AC372/(1-IF(B372&lt;=10,Parámetros!$D$104,Parámetros!$D$105))),2))</f>
        <v>145</v>
      </c>
      <c r="AF372" s="66">
        <f>+IF($W372="","",ROUND(IF($B372&gt;Parámetros!$D$107,'Tablas Servicio'!AC372+('Tablas Servicio'!AG371-'Tablas Servicio'!AC371),(AC372+$A371/frec)/(1-IF(B372&lt;=Parámetros!$D$117,Parámetros!$D$100,0))),2))</f>
        <v>99.5</v>
      </c>
      <c r="AG372" s="66">
        <f t="shared" si="515"/>
        <v>99.5</v>
      </c>
      <c r="AH372" s="66">
        <f t="shared" si="516"/>
        <v>0</v>
      </c>
      <c r="AI372" s="66">
        <f t="shared" si="517"/>
        <v>0</v>
      </c>
      <c r="AJ372" s="66">
        <f>+IF($W372="","",ROUND((AG372*Parámetros!$G$85),2))</f>
        <v>3.48</v>
      </c>
      <c r="AK372" s="66">
        <f>+IF($W372="","",ROUND((AG372*(Parámetros!$G$86)),2))</f>
        <v>0.5</v>
      </c>
      <c r="AL372" s="66">
        <f t="shared" si="511"/>
        <v>103.48</v>
      </c>
      <c r="AM372" t="str">
        <f t="shared" si="471"/>
        <v>00059</v>
      </c>
      <c r="AN372" t="str">
        <f t="shared" si="472"/>
        <v>Incapacidad Total y Permanente</v>
      </c>
      <c r="AO372" s="118">
        <f t="shared" si="473"/>
        <v>0</v>
      </c>
      <c r="AP372" s="118" t="str">
        <f t="shared" si="474"/>
        <v>A</v>
      </c>
      <c r="AQ372" s="119" t="str">
        <f>+IF(OR($W372="",AO372=0),"",ROUND((VLOOKUP(ROUNDDOWN($D372-1/frec,0),cob_adi,Z$40,FALSE)*(1+i/frec)^-0.5*(1+Parámetros!$D$103)*(1+rec_fracc)/frec),6))</f>
        <v/>
      </c>
      <c r="AR372" s="66">
        <f t="shared" si="518"/>
        <v>0</v>
      </c>
      <c r="AS372" s="119" t="str">
        <f t="shared" si="519"/>
        <v/>
      </c>
      <c r="AT372" s="66">
        <f>+IF($W372="","",ROUND(IF($B372&gt;Parámetros!$D$107,'Tablas Servicio'!AR372+('Tablas Servicio'!AT371-'Tablas Servicio'!AR371),AR372/(1-IF(B372&lt;=10,Parámetros!$D$100,0))),2))</f>
        <v>0</v>
      </c>
      <c r="AU372" s="66">
        <f t="shared" si="520"/>
        <v>0</v>
      </c>
      <c r="AV372" s="66">
        <f t="shared" si="520"/>
        <v>0</v>
      </c>
      <c r="AW372" s="66">
        <f>+IF($W372="","",ROUND((AT372*Parámetros!$G$85),2))</f>
        <v>0</v>
      </c>
      <c r="AX372" s="66">
        <f>+IF($W372="","",ROUND((AT372*(Parámetros!$G$86)),2))</f>
        <v>0</v>
      </c>
      <c r="AY372" s="66">
        <f t="shared" si="521"/>
        <v>0</v>
      </c>
      <c r="AZ372" t="str">
        <f t="shared" si="475"/>
        <v>00060</v>
      </c>
      <c r="BA372" t="str">
        <f t="shared" si="476"/>
        <v>Muerte Accidental</v>
      </c>
      <c r="BB372" s="118">
        <f t="shared" si="477"/>
        <v>0</v>
      </c>
      <c r="BC372" s="118" t="str">
        <f t="shared" si="478"/>
        <v>A</v>
      </c>
      <c r="BD372" s="119" t="str">
        <f>+IF(OR($W372="",BB372=0),"",ROUND((VLOOKUP(ROUNDDOWN($D372-1/frec,0),cob_adi,AO$40,FALSE)*(1+i/frec)^-0.5*(1+Parámetros!$D$103)*(1+rec_fracc)/frec),6))</f>
        <v/>
      </c>
      <c r="BE372" s="66">
        <f t="shared" si="522"/>
        <v>0</v>
      </c>
      <c r="BF372" s="119" t="str">
        <f t="shared" si="523"/>
        <v/>
      </c>
      <c r="BG372" s="66">
        <f>+IF($W372="","",ROUND(IF($B372&gt;Parámetros!$D$107,'Tablas Servicio'!BE372+('Tablas Servicio'!BG371-'Tablas Servicio'!BE371),BE372/(1-IF(B372&lt;=10,Parámetros!$D$100,0))),2))</f>
        <v>0</v>
      </c>
      <c r="BH372" s="66">
        <f t="shared" si="524"/>
        <v>0</v>
      </c>
      <c r="BI372" s="66">
        <f t="shared" si="525"/>
        <v>0</v>
      </c>
      <c r="BJ372" s="66">
        <f>+IF($W372="","",ROUND((BG372*Parámetros!$G$85),2))</f>
        <v>0</v>
      </c>
      <c r="BK372" s="66">
        <f>+IF($W372="","",ROUND((BG372*(Parámetros!$G$86)),2))</f>
        <v>0</v>
      </c>
      <c r="BL372" s="66">
        <f t="shared" si="526"/>
        <v>0</v>
      </c>
      <c r="BM372" t="str">
        <f t="shared" si="479"/>
        <v>00061</v>
      </c>
      <c r="BN372" t="str">
        <f t="shared" si="480"/>
        <v>Gastos de Entierro</v>
      </c>
      <c r="BO372" s="118">
        <f t="shared" si="481"/>
        <v>0</v>
      </c>
      <c r="BP372" s="118" t="str">
        <f t="shared" si="482"/>
        <v>A</v>
      </c>
      <c r="BQ372" s="119" t="str">
        <f>+IF(OR($W372="",BO372=0),"",ROUND((VLOOKUP(ROUNDDOWN($D372-1/frec,0),cob_adi,BB$40,FALSE)*(1+i/frec)^-0.5*(1+Parámetros!$D$103)*(1+rec_fracc)/frec),6))</f>
        <v/>
      </c>
      <c r="BR372" s="66">
        <f t="shared" si="527"/>
        <v>0</v>
      </c>
      <c r="BS372" s="119" t="str">
        <f t="shared" si="528"/>
        <v/>
      </c>
      <c r="BT372" s="66">
        <f>+IF($W372="","",ROUND(IF($B372&gt;Parámetros!$D$107,'Tablas Servicio'!BR372+('Tablas Servicio'!BT371-'Tablas Servicio'!BR371),BR372/(1-IF(B372&lt;=10,Parámetros!$D$100,0))),2))</f>
        <v>0</v>
      </c>
      <c r="BU372" s="66">
        <f t="shared" si="529"/>
        <v>0</v>
      </c>
      <c r="BV372" s="66">
        <f t="shared" si="529"/>
        <v>0</v>
      </c>
      <c r="BW372" s="66">
        <f>+IF($W372="","",ROUND((BT372*Parámetros!$G$85),2))</f>
        <v>0</v>
      </c>
      <c r="BX372" s="66">
        <f>+IF($W372="","",ROUND((BT372*(Parámetros!$G$86)),2))</f>
        <v>0</v>
      </c>
      <c r="BY372" s="66">
        <f t="shared" si="530"/>
        <v>0</v>
      </c>
      <c r="BZ372" t="str">
        <f t="shared" si="483"/>
        <v>00062</v>
      </c>
      <c r="CA372" t="str">
        <f t="shared" si="484"/>
        <v>Gastos médicos por accidente</v>
      </c>
      <c r="CB372" s="118">
        <f t="shared" si="485"/>
        <v>0</v>
      </c>
      <c r="CC372" s="118" t="str">
        <f t="shared" si="486"/>
        <v>A</v>
      </c>
      <c r="CD372" s="119" t="str">
        <f t="shared" si="531"/>
        <v/>
      </c>
      <c r="CE372" s="66">
        <f>+IF($W372="","",ROUND((VLOOKUP(ROUNDDOWN($D372-1/frec,0),cob_adi,BO$40,FALSE)*(1+i/frec)^-0.5*(1+Parámetros!$D$103)*(1+rec_fracc)/frec*'TABLAS ADI'!$BC$17),2))</f>
        <v>0</v>
      </c>
      <c r="CF372" s="119" t="str">
        <f t="shared" si="532"/>
        <v/>
      </c>
      <c r="CG372" s="66">
        <f>+IF($W372="","",ROUND(IF($B372&gt;Parámetros!$D$107,'Tablas Servicio'!CE372+('Tablas Servicio'!CG371-'Tablas Servicio'!CE371),CE372/(1-IF(B372&lt;=10,Parámetros!$D$100,0))),2))</f>
        <v>0</v>
      </c>
      <c r="CH372" s="66">
        <f t="shared" si="533"/>
        <v>0</v>
      </c>
      <c r="CI372" s="66">
        <f t="shared" si="533"/>
        <v>0</v>
      </c>
      <c r="CJ372" s="66">
        <f>+IF($W372="","",ROUND((CG372*Parámetros!$G$85),2))</f>
        <v>0</v>
      </c>
      <c r="CK372" s="66">
        <f>+IF($W372="","",ROUND((CG372*(Parámetros!$G$86)),2))</f>
        <v>0</v>
      </c>
      <c r="CL372" s="66">
        <f t="shared" si="534"/>
        <v>0</v>
      </c>
      <c r="CM372" t="str">
        <f t="shared" si="487"/>
        <v>00063</v>
      </c>
      <c r="CN372" s="118" t="str">
        <f t="shared" si="488"/>
        <v>Renta Diaria por Hospitalización</v>
      </c>
      <c r="CO372" s="118">
        <f t="shared" si="489"/>
        <v>0</v>
      </c>
      <c r="CP372" s="118" t="str">
        <f t="shared" si="490"/>
        <v>A</v>
      </c>
      <c r="CQ372" s="119" t="str">
        <f t="shared" si="535"/>
        <v/>
      </c>
      <c r="CR372" s="66">
        <f>+IF($W372="","",ROUND((VLOOKUP(Parámetros!$F$51,'COBERTURAS ADICIONALES'!$S$4:$T$32,2,FALSE)*(1+i/frec)^-0.5*(1+Parámetros!$D$103)*(1+rec_fracc)/frec*$CO$42),2))</f>
        <v>0</v>
      </c>
      <c r="CS372" s="119" t="str">
        <f t="shared" si="536"/>
        <v/>
      </c>
      <c r="CT372" s="66">
        <f>+IF($W372="","",ROUND(IF($B372&gt;Parámetros!$D$107,'Tablas Servicio'!CR372+('Tablas Servicio'!CT371-'Tablas Servicio'!CR371),CR372/(1-IF(B372&lt;=10,Parámetros!$D$100,0))),2))</f>
        <v>0</v>
      </c>
      <c r="CU372" s="66">
        <f t="shared" si="537"/>
        <v>0</v>
      </c>
      <c r="CV372" s="66">
        <f t="shared" si="537"/>
        <v>0</v>
      </c>
      <c r="CW372" s="66">
        <f>+IF($W372="","",ROUND((CT372*Parámetros!$G$85),2))</f>
        <v>0</v>
      </c>
      <c r="CX372" s="66">
        <f>+IF($W372="","",ROUND((CT372*(Parámetros!$G$86)),2))</f>
        <v>0</v>
      </c>
      <c r="CY372" s="66">
        <f t="shared" si="538"/>
        <v>0</v>
      </c>
      <c r="CZ372" t="str">
        <f t="shared" si="491"/>
        <v>00064</v>
      </c>
      <c r="DA372" s="118" t="str">
        <f t="shared" si="492"/>
        <v>Enfermedades Graves</v>
      </c>
      <c r="DB372" s="118">
        <f t="shared" si="493"/>
        <v>0</v>
      </c>
      <c r="DC372" s="118" t="str">
        <f t="shared" si="494"/>
        <v>A</v>
      </c>
      <c r="DD372" s="121" t="str">
        <f>+IF(OR($W372="",DB372=0),"",ROUND((VLOOKUP(ROUNDDOWN($D372-1/frec,0),cob_adi,CO$40,FALSE)*(1+i/frec)^-0.5*(1+Parámetros!$D$103)*(1+rec_fracc)/frec),6))</f>
        <v/>
      </c>
      <c r="DE372" s="66">
        <f t="shared" si="539"/>
        <v>0</v>
      </c>
      <c r="DF372" s="119" t="str">
        <f t="shared" si="540"/>
        <v/>
      </c>
      <c r="DG372" s="66">
        <f>+IF($W372="","",ROUND(IF($B372&gt;Parámetros!$D$107,'Tablas Servicio'!DE372+('Tablas Servicio'!DG371-'Tablas Servicio'!DE371),DE372/(1-IF(B372&lt;=10,Parámetros!$D$100,0))),2))</f>
        <v>0</v>
      </c>
      <c r="DH372" s="66">
        <f t="shared" si="541"/>
        <v>0</v>
      </c>
      <c r="DI372" s="66">
        <f t="shared" si="541"/>
        <v>0</v>
      </c>
      <c r="DJ372" s="66">
        <f>+IF($W372="","",ROUND((DG372*Parámetros!$G$85),2))</f>
        <v>0</v>
      </c>
      <c r="DK372" s="66">
        <f>+IF($W372="","",ROUND((DG372*(Parámetros!$G$86)),2))</f>
        <v>0</v>
      </c>
      <c r="DL372" s="66">
        <f t="shared" si="542"/>
        <v>0</v>
      </c>
      <c r="DM372" t="str">
        <f t="shared" si="495"/>
        <v>00065</v>
      </c>
      <c r="DN372" s="118" t="str">
        <f t="shared" si="496"/>
        <v>Exención pago de primas</v>
      </c>
      <c r="DO372" s="118">
        <f t="shared" si="497"/>
        <v>0</v>
      </c>
      <c r="DP372" s="118" t="str">
        <f t="shared" si="498"/>
        <v>A</v>
      </c>
      <c r="DQ372" s="122" t="str">
        <f>+IF(OR($W372="",DO372=0),"",ROUND((VLOOKUP(ROUNDDOWN($D372-1/frec,0),cob_adi,DB$40,FALSE)*(1+i/frec)^-0.5*(1+Parámetros!$D$103)*(1+rec_fracc)/frec),6))</f>
        <v/>
      </c>
      <c r="DR372" s="66">
        <f t="shared" si="543"/>
        <v>0</v>
      </c>
      <c r="DS372" s="68" t="str">
        <f t="shared" si="544"/>
        <v/>
      </c>
      <c r="DT372" s="66">
        <f>+IF($W372="","",ROUND(IF($B372&gt;Parámetros!$D$107,'Tablas Servicio'!DR372+('Tablas Servicio'!DT371-'Tablas Servicio'!DR371),DR372/(1-IF(B372&lt;=10,Parámetros!$D$100,0))),2))</f>
        <v>0</v>
      </c>
      <c r="DU372" s="66">
        <f t="shared" si="545"/>
        <v>0</v>
      </c>
      <c r="DV372" s="66">
        <f t="shared" si="545"/>
        <v>0</v>
      </c>
      <c r="DW372" s="66">
        <f>+IF($W372="","",ROUND((DT372*Parámetros!$G$85),2))</f>
        <v>0</v>
      </c>
      <c r="DX372" s="66">
        <f>+IF($W372="","",ROUND((DT372*(Parámetros!$G$86)),2))</f>
        <v>0</v>
      </c>
      <c r="DY372" s="66">
        <f t="shared" si="546"/>
        <v>0</v>
      </c>
      <c r="DZ372" t="str">
        <f t="shared" si="547"/>
        <v>00066</v>
      </c>
      <c r="EA372" s="118" t="str">
        <f t="shared" si="547"/>
        <v>Enfermedad terminal</v>
      </c>
      <c r="EB372" s="118">
        <f>+IF($W372="","",ROUND(IF(Parámetros!$D$25='TABLAS MORT'!$V$33,EB371,Z372/2),0))</f>
        <v>50000</v>
      </c>
      <c r="EC372" s="118" t="str">
        <f t="shared" si="547"/>
        <v>A</v>
      </c>
      <c r="ED372" s="122">
        <f>+IF(OR($W372="",EB372=0),"",ROUND((VLOOKUP(ROUNDDOWN($D372-1/frec,0),cob_adi,DO$40,FALSE)*(1+i/frec)^-0.5*(1+Parámetros!$D$103)*(1+rec_fracc)/frec),6))</f>
        <v>5.5000000000000002E-5</v>
      </c>
      <c r="EE372" s="66">
        <f t="shared" si="548"/>
        <v>2.75</v>
      </c>
      <c r="EF372" s="68">
        <f t="shared" si="549"/>
        <v>5.5000000000000002E-5</v>
      </c>
      <c r="EG372" s="66">
        <f>+IF($W372="","",ROUND(IF($B372&gt;Parámetros!$D$107,'Tablas Servicio'!EE372+('Tablas Servicio'!EG371-'Tablas Servicio'!EE371),EE372/(1-IF(B372&lt;=10,Parámetros!$D$100,0))),2))</f>
        <v>2.75</v>
      </c>
      <c r="EH372" s="66">
        <f t="shared" si="550"/>
        <v>0</v>
      </c>
      <c r="EI372" s="66">
        <f t="shared" si="550"/>
        <v>0</v>
      </c>
      <c r="EJ372" s="66">
        <f>+IF($W372="","",ROUND((EG372*Parámetros!$G$85),2))</f>
        <v>0.1</v>
      </c>
      <c r="EK372" s="66">
        <f>+IF($W372="","",ROUND((EG372*(Parámetros!$G$86)),2))</f>
        <v>0.01</v>
      </c>
      <c r="EL372" s="66">
        <f t="shared" si="551"/>
        <v>2.86</v>
      </c>
    </row>
    <row r="373" spans="1:142" x14ac:dyDescent="0.25">
      <c r="A373">
        <f>+IF($C373="","",ROUND(VLOOKUP('Tablas Servicio'!B373,Parámetros!$H$100:$J$159,IF(Parámetros!$E$16="F",2,3),FALSE),2))</f>
        <v>150</v>
      </c>
      <c r="B373">
        <f t="shared" si="502"/>
        <v>28</v>
      </c>
      <c r="C373" s="57">
        <f>+IF(D373="","",'Tablas Servicio'!C372+1)</f>
        <v>332</v>
      </c>
      <c r="D373" s="56">
        <f>+IF(D372&lt;edadmaxtabla,D372+1/Parámetros!$E$25,"")</f>
        <v>67.686666666667136</v>
      </c>
      <c r="E373" s="57">
        <f t="shared" si="512"/>
        <v>67</v>
      </c>
      <c r="F373" s="59">
        <f t="shared" si="513"/>
        <v>100000</v>
      </c>
      <c r="G373" s="66">
        <f t="shared" si="503"/>
        <v>102.25</v>
      </c>
      <c r="H373" s="66">
        <f t="shared" si="504"/>
        <v>106.34</v>
      </c>
      <c r="I373" s="66">
        <f t="shared" si="464"/>
        <v>-12.340000000000003</v>
      </c>
      <c r="J373" s="66">
        <f t="shared" si="505"/>
        <v>3.58</v>
      </c>
      <c r="K373" s="66">
        <f t="shared" si="506"/>
        <v>0.51</v>
      </c>
      <c r="L373" s="66">
        <f t="shared" si="507"/>
        <v>0</v>
      </c>
      <c r="M373" s="66">
        <f t="shared" si="508"/>
        <v>0</v>
      </c>
      <c r="N373" s="66">
        <f>+IF(C373="","",ROUND(Parámetros!$D$23,2))</f>
        <v>94</v>
      </c>
      <c r="O373" s="66">
        <f t="shared" si="509"/>
        <v>89.75</v>
      </c>
      <c r="P373" s="66">
        <f>+IF($C373="","",ROUND(IF(B373&gt;Parámetros!$D$117,0,N373*Parámetros!$D$116-G373*Parámetros!$D$100),2))</f>
        <v>0</v>
      </c>
      <c r="Q373" s="75">
        <f t="shared" si="465"/>
        <v>3.5012224938875305E-2</v>
      </c>
      <c r="R373" s="75">
        <f t="shared" si="466"/>
        <v>4.9877750611246946E-3</v>
      </c>
      <c r="S373" s="117">
        <f>+IF($C373="","",ROUND((S372+I373)*(1+Parámetros!$D$91),2))</f>
        <v>24654.77</v>
      </c>
      <c r="T373" s="117">
        <f>+IF($C373="","",ROUND(S373*VLOOKUP(B373,Parámetros!$C$30:$D$39,2,TRUE),2))</f>
        <v>24654.77</v>
      </c>
      <c r="U373" s="117">
        <f>+IF($C373="","",ROUND((U372+I373)*(1+Parámetros!$D$92),2))</f>
        <v>26996.16</v>
      </c>
      <c r="V373" s="117">
        <f>+IF($C373="","",ROUND(U373*VLOOKUP(B373,Parámetros!$C$30:$D$39,2,TRUE),2))</f>
        <v>26996.16</v>
      </c>
      <c r="W373" s="57">
        <f t="shared" si="467"/>
        <v>332</v>
      </c>
      <c r="X373" t="str">
        <f t="shared" si="468"/>
        <v>00058</v>
      </c>
      <c r="Y373" t="str">
        <f t="shared" si="469"/>
        <v>MUERTE POR CUALQUIER CAUSA</v>
      </c>
      <c r="Z373" s="118">
        <f>+IF($W373="","",ROUND(IF(Parámetros!$D$25='TABLAS MORT'!$V$33,Z372,Parámetros!$D$21-'Tablas Servicio'!T372),0))</f>
        <v>100000</v>
      </c>
      <c r="AA373" s="118" t="str">
        <f t="shared" si="470"/>
        <v>P</v>
      </c>
      <c r="AB373" s="119">
        <f>+IF(W373="","",ROUND((VLOOKUP(ROUNDDOWN($D373-1/frec,0),qx_tabla,2,FALSE)*(1+i/frec)^-0.5*(1+Parámetros!$D$103)*(1+rec_fracc)/frec),6))</f>
        <v>8.7000000000000001E-4</v>
      </c>
      <c r="AC373" s="66">
        <f t="shared" si="514"/>
        <v>87</v>
      </c>
      <c r="AD373" s="119">
        <f t="shared" si="510"/>
        <v>9.9500000000000001E-4</v>
      </c>
      <c r="AE373" s="66">
        <f>+IF($W373="","",ROUND(IF($B373&gt;Parámetros!$D$107,'Tablas Servicio'!AC373+('Tablas Servicio'!AG372-'Tablas Servicio'!AC372),AC373/(1-IF(B373&lt;=10,Parámetros!$D$104,Parámetros!$D$105))),2))</f>
        <v>145</v>
      </c>
      <c r="AF373" s="66">
        <f>+IF($W373="","",ROUND(IF($B373&gt;Parámetros!$D$107,'Tablas Servicio'!AC373+('Tablas Servicio'!AG372-'Tablas Servicio'!AC372),(AC373+$A372/frec)/(1-IF(B373&lt;=Parámetros!$D$117,Parámetros!$D$100,0))),2))</f>
        <v>99.5</v>
      </c>
      <c r="AG373" s="66">
        <f t="shared" si="515"/>
        <v>99.5</v>
      </c>
      <c r="AH373" s="66">
        <f t="shared" si="516"/>
        <v>0</v>
      </c>
      <c r="AI373" s="66">
        <f t="shared" si="517"/>
        <v>0</v>
      </c>
      <c r="AJ373" s="66">
        <f>+IF($W373="","",ROUND((AG373*Parámetros!$G$85),2))</f>
        <v>3.48</v>
      </c>
      <c r="AK373" s="66">
        <f>+IF($W373="","",ROUND((AG373*(Parámetros!$G$86)),2))</f>
        <v>0.5</v>
      </c>
      <c r="AL373" s="66">
        <f t="shared" si="511"/>
        <v>103.48</v>
      </c>
      <c r="AM373" t="str">
        <f t="shared" si="471"/>
        <v>00059</v>
      </c>
      <c r="AN373" t="str">
        <f t="shared" si="472"/>
        <v>Incapacidad Total y Permanente</v>
      </c>
      <c r="AO373" s="118">
        <f t="shared" si="473"/>
        <v>0</v>
      </c>
      <c r="AP373" s="118" t="str">
        <f t="shared" si="474"/>
        <v>A</v>
      </c>
      <c r="AQ373" s="119" t="str">
        <f>+IF(OR($W373="",AO373=0),"",ROUND((VLOOKUP(ROUNDDOWN($D373-1/frec,0),cob_adi,Z$40,FALSE)*(1+i/frec)^-0.5*(1+Parámetros!$D$103)*(1+rec_fracc)/frec),6))</f>
        <v/>
      </c>
      <c r="AR373" s="66">
        <f t="shared" si="518"/>
        <v>0</v>
      </c>
      <c r="AS373" s="119" t="str">
        <f t="shared" si="519"/>
        <v/>
      </c>
      <c r="AT373" s="66">
        <f>+IF($W373="","",ROUND(IF($B373&gt;Parámetros!$D$107,'Tablas Servicio'!AR373+('Tablas Servicio'!AT372-'Tablas Servicio'!AR372),AR373/(1-IF(B373&lt;=10,Parámetros!$D$100,0))),2))</f>
        <v>0</v>
      </c>
      <c r="AU373" s="66">
        <f t="shared" si="520"/>
        <v>0</v>
      </c>
      <c r="AV373" s="66">
        <f t="shared" si="520"/>
        <v>0</v>
      </c>
      <c r="AW373" s="66">
        <f>+IF($W373="","",ROUND((AT373*Parámetros!$G$85),2))</f>
        <v>0</v>
      </c>
      <c r="AX373" s="66">
        <f>+IF($W373="","",ROUND((AT373*(Parámetros!$G$86)),2))</f>
        <v>0</v>
      </c>
      <c r="AY373" s="66">
        <f t="shared" si="521"/>
        <v>0</v>
      </c>
      <c r="AZ373" t="str">
        <f t="shared" si="475"/>
        <v>00060</v>
      </c>
      <c r="BA373" t="str">
        <f t="shared" si="476"/>
        <v>Muerte Accidental</v>
      </c>
      <c r="BB373" s="118">
        <f t="shared" si="477"/>
        <v>0</v>
      </c>
      <c r="BC373" s="118" t="str">
        <f t="shared" si="478"/>
        <v>A</v>
      </c>
      <c r="BD373" s="119" t="str">
        <f>+IF(OR($W373="",BB373=0),"",ROUND((VLOOKUP(ROUNDDOWN($D373-1/frec,0),cob_adi,AO$40,FALSE)*(1+i/frec)^-0.5*(1+Parámetros!$D$103)*(1+rec_fracc)/frec),6))</f>
        <v/>
      </c>
      <c r="BE373" s="66">
        <f t="shared" si="522"/>
        <v>0</v>
      </c>
      <c r="BF373" s="119" t="str">
        <f t="shared" si="523"/>
        <v/>
      </c>
      <c r="BG373" s="66">
        <f>+IF($W373="","",ROUND(IF($B373&gt;Parámetros!$D$107,'Tablas Servicio'!BE373+('Tablas Servicio'!BG372-'Tablas Servicio'!BE372),BE373/(1-IF(B373&lt;=10,Parámetros!$D$100,0))),2))</f>
        <v>0</v>
      </c>
      <c r="BH373" s="66">
        <f t="shared" si="524"/>
        <v>0</v>
      </c>
      <c r="BI373" s="66">
        <f t="shared" si="525"/>
        <v>0</v>
      </c>
      <c r="BJ373" s="66">
        <f>+IF($W373="","",ROUND((BG373*Parámetros!$G$85),2))</f>
        <v>0</v>
      </c>
      <c r="BK373" s="66">
        <f>+IF($W373="","",ROUND((BG373*(Parámetros!$G$86)),2))</f>
        <v>0</v>
      </c>
      <c r="BL373" s="66">
        <f t="shared" si="526"/>
        <v>0</v>
      </c>
      <c r="BM373" t="str">
        <f t="shared" si="479"/>
        <v>00061</v>
      </c>
      <c r="BN373" t="str">
        <f t="shared" si="480"/>
        <v>Gastos de Entierro</v>
      </c>
      <c r="BO373" s="118">
        <f t="shared" si="481"/>
        <v>0</v>
      </c>
      <c r="BP373" s="118" t="str">
        <f t="shared" si="482"/>
        <v>A</v>
      </c>
      <c r="BQ373" s="119" t="str">
        <f>+IF(OR($W373="",BO373=0),"",ROUND((VLOOKUP(ROUNDDOWN($D373-1/frec,0),cob_adi,BB$40,FALSE)*(1+i/frec)^-0.5*(1+Parámetros!$D$103)*(1+rec_fracc)/frec),6))</f>
        <v/>
      </c>
      <c r="BR373" s="66">
        <f t="shared" si="527"/>
        <v>0</v>
      </c>
      <c r="BS373" s="119" t="str">
        <f t="shared" si="528"/>
        <v/>
      </c>
      <c r="BT373" s="66">
        <f>+IF($W373="","",ROUND(IF($B373&gt;Parámetros!$D$107,'Tablas Servicio'!BR373+('Tablas Servicio'!BT372-'Tablas Servicio'!BR372),BR373/(1-IF(B373&lt;=10,Parámetros!$D$100,0))),2))</f>
        <v>0</v>
      </c>
      <c r="BU373" s="66">
        <f t="shared" si="529"/>
        <v>0</v>
      </c>
      <c r="BV373" s="66">
        <f t="shared" si="529"/>
        <v>0</v>
      </c>
      <c r="BW373" s="66">
        <f>+IF($W373="","",ROUND((BT373*Parámetros!$G$85),2))</f>
        <v>0</v>
      </c>
      <c r="BX373" s="66">
        <f>+IF($W373="","",ROUND((BT373*(Parámetros!$G$86)),2))</f>
        <v>0</v>
      </c>
      <c r="BY373" s="66">
        <f t="shared" si="530"/>
        <v>0</v>
      </c>
      <c r="BZ373" t="str">
        <f t="shared" si="483"/>
        <v>00062</v>
      </c>
      <c r="CA373" t="str">
        <f t="shared" si="484"/>
        <v>Gastos médicos por accidente</v>
      </c>
      <c r="CB373" s="118">
        <f t="shared" si="485"/>
        <v>0</v>
      </c>
      <c r="CC373" s="118" t="str">
        <f t="shared" si="486"/>
        <v>A</v>
      </c>
      <c r="CD373" s="119" t="str">
        <f t="shared" si="531"/>
        <v/>
      </c>
      <c r="CE373" s="66">
        <f>+IF($W373="","",ROUND((VLOOKUP(ROUNDDOWN($D373-1/frec,0),cob_adi,BO$40,FALSE)*(1+i/frec)^-0.5*(1+Parámetros!$D$103)*(1+rec_fracc)/frec*'TABLAS ADI'!$BC$17),2))</f>
        <v>0</v>
      </c>
      <c r="CF373" s="119" t="str">
        <f t="shared" si="532"/>
        <v/>
      </c>
      <c r="CG373" s="66">
        <f>+IF($W373="","",ROUND(IF($B373&gt;Parámetros!$D$107,'Tablas Servicio'!CE373+('Tablas Servicio'!CG372-'Tablas Servicio'!CE372),CE373/(1-IF(B373&lt;=10,Parámetros!$D$100,0))),2))</f>
        <v>0</v>
      </c>
      <c r="CH373" s="66">
        <f t="shared" si="533"/>
        <v>0</v>
      </c>
      <c r="CI373" s="66">
        <f t="shared" si="533"/>
        <v>0</v>
      </c>
      <c r="CJ373" s="66">
        <f>+IF($W373="","",ROUND((CG373*Parámetros!$G$85),2))</f>
        <v>0</v>
      </c>
      <c r="CK373" s="66">
        <f>+IF($W373="","",ROUND((CG373*(Parámetros!$G$86)),2))</f>
        <v>0</v>
      </c>
      <c r="CL373" s="66">
        <f t="shared" si="534"/>
        <v>0</v>
      </c>
      <c r="CM373" t="str">
        <f t="shared" si="487"/>
        <v>00063</v>
      </c>
      <c r="CN373" s="118" t="str">
        <f t="shared" si="488"/>
        <v>Renta Diaria por Hospitalización</v>
      </c>
      <c r="CO373" s="118">
        <f t="shared" si="489"/>
        <v>0</v>
      </c>
      <c r="CP373" s="118" t="str">
        <f t="shared" si="490"/>
        <v>A</v>
      </c>
      <c r="CQ373" s="119" t="str">
        <f t="shared" si="535"/>
        <v/>
      </c>
      <c r="CR373" s="66">
        <f>+IF($W373="","",ROUND((VLOOKUP(Parámetros!$F$51,'COBERTURAS ADICIONALES'!$S$4:$T$32,2,FALSE)*(1+i/frec)^-0.5*(1+Parámetros!$D$103)*(1+rec_fracc)/frec*$CO$42),2))</f>
        <v>0</v>
      </c>
      <c r="CS373" s="119" t="str">
        <f t="shared" si="536"/>
        <v/>
      </c>
      <c r="CT373" s="66">
        <f>+IF($W373="","",ROUND(IF($B373&gt;Parámetros!$D$107,'Tablas Servicio'!CR373+('Tablas Servicio'!CT372-'Tablas Servicio'!CR372),CR373/(1-IF(B373&lt;=10,Parámetros!$D$100,0))),2))</f>
        <v>0</v>
      </c>
      <c r="CU373" s="66">
        <f t="shared" si="537"/>
        <v>0</v>
      </c>
      <c r="CV373" s="66">
        <f t="shared" si="537"/>
        <v>0</v>
      </c>
      <c r="CW373" s="66">
        <f>+IF($W373="","",ROUND((CT373*Parámetros!$G$85),2))</f>
        <v>0</v>
      </c>
      <c r="CX373" s="66">
        <f>+IF($W373="","",ROUND((CT373*(Parámetros!$G$86)),2))</f>
        <v>0</v>
      </c>
      <c r="CY373" s="66">
        <f t="shared" si="538"/>
        <v>0</v>
      </c>
      <c r="CZ373" t="str">
        <f t="shared" si="491"/>
        <v>00064</v>
      </c>
      <c r="DA373" s="118" t="str">
        <f t="shared" si="492"/>
        <v>Enfermedades Graves</v>
      </c>
      <c r="DB373" s="118">
        <f t="shared" si="493"/>
        <v>0</v>
      </c>
      <c r="DC373" s="118" t="str">
        <f t="shared" si="494"/>
        <v>A</v>
      </c>
      <c r="DD373" s="121" t="str">
        <f>+IF(OR($W373="",DB373=0),"",ROUND((VLOOKUP(ROUNDDOWN($D373-1/frec,0),cob_adi,CO$40,FALSE)*(1+i/frec)^-0.5*(1+Parámetros!$D$103)*(1+rec_fracc)/frec),6))</f>
        <v/>
      </c>
      <c r="DE373" s="66">
        <f t="shared" si="539"/>
        <v>0</v>
      </c>
      <c r="DF373" s="119" t="str">
        <f t="shared" si="540"/>
        <v/>
      </c>
      <c r="DG373" s="66">
        <f>+IF($W373="","",ROUND(IF($B373&gt;Parámetros!$D$107,'Tablas Servicio'!DE373+('Tablas Servicio'!DG372-'Tablas Servicio'!DE372),DE373/(1-IF(B373&lt;=10,Parámetros!$D$100,0))),2))</f>
        <v>0</v>
      </c>
      <c r="DH373" s="66">
        <f t="shared" si="541"/>
        <v>0</v>
      </c>
      <c r="DI373" s="66">
        <f t="shared" si="541"/>
        <v>0</v>
      </c>
      <c r="DJ373" s="66">
        <f>+IF($W373="","",ROUND((DG373*Parámetros!$G$85),2))</f>
        <v>0</v>
      </c>
      <c r="DK373" s="66">
        <f>+IF($W373="","",ROUND((DG373*(Parámetros!$G$86)),2))</f>
        <v>0</v>
      </c>
      <c r="DL373" s="66">
        <f t="shared" si="542"/>
        <v>0</v>
      </c>
      <c r="DM373" t="str">
        <f t="shared" si="495"/>
        <v>00065</v>
      </c>
      <c r="DN373" s="118" t="str">
        <f t="shared" si="496"/>
        <v>Exención pago de primas</v>
      </c>
      <c r="DO373" s="118">
        <f t="shared" si="497"/>
        <v>0</v>
      </c>
      <c r="DP373" s="118" t="str">
        <f t="shared" si="498"/>
        <v>A</v>
      </c>
      <c r="DQ373" s="122" t="str">
        <f>+IF(OR($W373="",DO373=0),"",ROUND((VLOOKUP(ROUNDDOWN($D373-1/frec,0),cob_adi,DB$40,FALSE)*(1+i/frec)^-0.5*(1+Parámetros!$D$103)*(1+rec_fracc)/frec),6))</f>
        <v/>
      </c>
      <c r="DR373" s="66">
        <f t="shared" si="543"/>
        <v>0</v>
      </c>
      <c r="DS373" s="68" t="str">
        <f t="shared" si="544"/>
        <v/>
      </c>
      <c r="DT373" s="66">
        <f>+IF($W373="","",ROUND(IF($B373&gt;Parámetros!$D$107,'Tablas Servicio'!DR373+('Tablas Servicio'!DT372-'Tablas Servicio'!DR372),DR373/(1-IF(B373&lt;=10,Parámetros!$D$100,0))),2))</f>
        <v>0</v>
      </c>
      <c r="DU373" s="66">
        <f t="shared" si="545"/>
        <v>0</v>
      </c>
      <c r="DV373" s="66">
        <f t="shared" si="545"/>
        <v>0</v>
      </c>
      <c r="DW373" s="66">
        <f>+IF($W373="","",ROUND((DT373*Parámetros!$G$85),2))</f>
        <v>0</v>
      </c>
      <c r="DX373" s="66">
        <f>+IF($W373="","",ROUND((DT373*(Parámetros!$G$86)),2))</f>
        <v>0</v>
      </c>
      <c r="DY373" s="66">
        <f t="shared" si="546"/>
        <v>0</v>
      </c>
      <c r="DZ373" t="str">
        <f t="shared" si="547"/>
        <v>00066</v>
      </c>
      <c r="EA373" s="118" t="str">
        <f t="shared" si="547"/>
        <v>Enfermedad terminal</v>
      </c>
      <c r="EB373" s="118">
        <f>+IF($W373="","",ROUND(IF(Parámetros!$D$25='TABLAS MORT'!$V$33,EB372,Z373/2),0))</f>
        <v>50000</v>
      </c>
      <c r="EC373" s="118" t="str">
        <f t="shared" si="547"/>
        <v>A</v>
      </c>
      <c r="ED373" s="122">
        <f>+IF(OR($W373="",EB373=0),"",ROUND((VLOOKUP(ROUNDDOWN($D373-1/frec,0),cob_adi,DO$40,FALSE)*(1+i/frec)^-0.5*(1+Parámetros!$D$103)*(1+rec_fracc)/frec),6))</f>
        <v>5.5000000000000002E-5</v>
      </c>
      <c r="EE373" s="66">
        <f t="shared" si="548"/>
        <v>2.75</v>
      </c>
      <c r="EF373" s="68">
        <f t="shared" si="549"/>
        <v>5.5000000000000002E-5</v>
      </c>
      <c r="EG373" s="66">
        <f>+IF($W373="","",ROUND(IF($B373&gt;Parámetros!$D$107,'Tablas Servicio'!EE373+('Tablas Servicio'!EG372-'Tablas Servicio'!EE372),EE373/(1-IF(B373&lt;=10,Parámetros!$D$100,0))),2))</f>
        <v>2.75</v>
      </c>
      <c r="EH373" s="66">
        <f t="shared" si="550"/>
        <v>0</v>
      </c>
      <c r="EI373" s="66">
        <f t="shared" si="550"/>
        <v>0</v>
      </c>
      <c r="EJ373" s="66">
        <f>+IF($W373="","",ROUND((EG373*Parámetros!$G$85),2))</f>
        <v>0.1</v>
      </c>
      <c r="EK373" s="66">
        <f>+IF($W373="","",ROUND((EG373*(Parámetros!$G$86)),2))</f>
        <v>0.01</v>
      </c>
      <c r="EL373" s="66">
        <f t="shared" si="551"/>
        <v>2.86</v>
      </c>
    </row>
    <row r="374" spans="1:142" x14ac:dyDescent="0.25">
      <c r="A374">
        <f>+IF($C374="","",ROUND(VLOOKUP('Tablas Servicio'!B374,Parámetros!$H$100:$J$159,IF(Parámetros!$E$16="F",2,3),FALSE),2))</f>
        <v>150</v>
      </c>
      <c r="B374">
        <f t="shared" si="502"/>
        <v>28</v>
      </c>
      <c r="C374" s="57">
        <f>+IF(D374="","",'Tablas Servicio'!C373+1)</f>
        <v>333</v>
      </c>
      <c r="D374" s="56">
        <f>+IF(D373&lt;edadmaxtabla,D373+1/Parámetros!$E$25,"")</f>
        <v>67.770000000000465</v>
      </c>
      <c r="E374" s="57">
        <f t="shared" si="512"/>
        <v>67</v>
      </c>
      <c r="F374" s="59">
        <f t="shared" si="513"/>
        <v>100000</v>
      </c>
      <c r="G374" s="66">
        <f t="shared" si="503"/>
        <v>102.25</v>
      </c>
      <c r="H374" s="66">
        <f t="shared" si="504"/>
        <v>106.34</v>
      </c>
      <c r="I374" s="66">
        <f t="shared" ref="I374:I437" si="552">+IF($C374="","",N374-H374-P374)</f>
        <v>-12.340000000000003</v>
      </c>
      <c r="J374" s="66">
        <f t="shared" si="505"/>
        <v>3.58</v>
      </c>
      <c r="K374" s="66">
        <f t="shared" si="506"/>
        <v>0.51</v>
      </c>
      <c r="L374" s="66">
        <f t="shared" si="507"/>
        <v>0</v>
      </c>
      <c r="M374" s="66">
        <f t="shared" si="508"/>
        <v>0</v>
      </c>
      <c r="N374" s="66">
        <f>+IF(C374="","",ROUND(Parámetros!$D$23,2))</f>
        <v>94</v>
      </c>
      <c r="O374" s="66">
        <f t="shared" si="509"/>
        <v>89.75</v>
      </c>
      <c r="P374" s="66">
        <f>+IF($C374="","",ROUND(IF(B374&gt;Parámetros!$D$117,0,N374*Parámetros!$D$116-G374*Parámetros!$D$100),2))</f>
        <v>0</v>
      </c>
      <c r="Q374" s="75">
        <f t="shared" ref="Q374:Q437" si="553">+IF($C374="","",J374/$G374)</f>
        <v>3.5012224938875305E-2</v>
      </c>
      <c r="R374" s="75">
        <f t="shared" ref="R374:R437" si="554">+IF($C374="","",K374/$G374)</f>
        <v>4.9877750611246946E-3</v>
      </c>
      <c r="S374" s="117">
        <f>+IF($C374="","",ROUND((S373+I374)*(1+Parámetros!$D$91),2))</f>
        <v>24712.33</v>
      </c>
      <c r="T374" s="117">
        <f>+IF($C374="","",ROUND(S374*VLOOKUP(B374,Parámetros!$C$30:$D$39,2,TRUE),2))</f>
        <v>24712.33</v>
      </c>
      <c r="U374" s="117">
        <f>+IF($C374="","",ROUND((U373+I374)*(1+Parámetros!$D$92),2))</f>
        <v>27071.29</v>
      </c>
      <c r="V374" s="117">
        <f>+IF($C374="","",ROUND(U374*VLOOKUP(B374,Parámetros!$C$30:$D$39,2,TRUE),2))</f>
        <v>27071.29</v>
      </c>
      <c r="W374" s="57">
        <f t="shared" ref="W374:W437" si="555">+C374</f>
        <v>333</v>
      </c>
      <c r="X374" t="str">
        <f t="shared" ref="X374:X437" si="556">+IF($W374="","",X373)</f>
        <v>00058</v>
      </c>
      <c r="Y374" t="str">
        <f t="shared" ref="Y374:Y437" si="557">+IF($W374="","",Y373)</f>
        <v>MUERTE POR CUALQUIER CAUSA</v>
      </c>
      <c r="Z374" s="118">
        <f>+IF($W374="","",ROUND(IF(Parámetros!$D$25='TABLAS MORT'!$V$33,Z373,Parámetros!$D$21-'Tablas Servicio'!T373),0))</f>
        <v>100000</v>
      </c>
      <c r="AA374" s="118" t="str">
        <f t="shared" ref="AA374:AA437" si="558">+IF($W374="","",AA373)</f>
        <v>P</v>
      </c>
      <c r="AB374" s="119">
        <f>+IF(W374="","",ROUND((VLOOKUP(ROUNDDOWN($D374-1/frec,0),qx_tabla,2,FALSE)*(1+i/frec)^-0.5*(1+Parámetros!$D$103)*(1+rec_fracc)/frec),6))</f>
        <v>8.7000000000000001E-4</v>
      </c>
      <c r="AC374" s="66">
        <f t="shared" si="514"/>
        <v>87</v>
      </c>
      <c r="AD374" s="119">
        <f t="shared" si="510"/>
        <v>9.9500000000000001E-4</v>
      </c>
      <c r="AE374" s="66">
        <f>+IF($W374="","",ROUND(IF($B374&gt;Parámetros!$D$107,'Tablas Servicio'!AC374+('Tablas Servicio'!AG373-'Tablas Servicio'!AC373),AC374/(1-IF(B374&lt;=10,Parámetros!$D$104,Parámetros!$D$105))),2))</f>
        <v>145</v>
      </c>
      <c r="AF374" s="66">
        <f>+IF($W374="","",ROUND(IF($B374&gt;Parámetros!$D$107,'Tablas Servicio'!AC374+('Tablas Servicio'!AG373-'Tablas Servicio'!AC373),(AC374+$A373/frec)/(1-IF(B374&lt;=Parámetros!$D$117,Parámetros!$D$100,0))),2))</f>
        <v>99.5</v>
      </c>
      <c r="AG374" s="66">
        <f t="shared" si="515"/>
        <v>99.5</v>
      </c>
      <c r="AH374" s="66">
        <f t="shared" si="516"/>
        <v>0</v>
      </c>
      <c r="AI374" s="66">
        <f t="shared" si="517"/>
        <v>0</v>
      </c>
      <c r="AJ374" s="66">
        <f>+IF($W374="","",ROUND((AG374*Parámetros!$G$85),2))</f>
        <v>3.48</v>
      </c>
      <c r="AK374" s="66">
        <f>+IF($W374="","",ROUND((AG374*(Parámetros!$G$86)),2))</f>
        <v>0.5</v>
      </c>
      <c r="AL374" s="66">
        <f t="shared" si="511"/>
        <v>103.48</v>
      </c>
      <c r="AM374" t="str">
        <f t="shared" ref="AM374:AM437" si="559">+IF($W374="","",AM373)</f>
        <v>00059</v>
      </c>
      <c r="AN374" t="str">
        <f t="shared" ref="AN374:AN437" si="560">+IF($W374="","",AN373)</f>
        <v>Incapacidad Total y Permanente</v>
      </c>
      <c r="AO374" s="118">
        <f t="shared" ref="AO374:AO437" si="561">+IF($W374="","",AO373)</f>
        <v>0</v>
      </c>
      <c r="AP374" s="118" t="str">
        <f t="shared" ref="AP374:AP437" si="562">+IF($W374="","",AP373)</f>
        <v>A</v>
      </c>
      <c r="AQ374" s="119" t="str">
        <f>+IF(OR($W374="",AO374=0),"",ROUND((VLOOKUP(ROUNDDOWN($D374-1/frec,0),cob_adi,Z$40,FALSE)*(1+i/frec)^-0.5*(1+Parámetros!$D$103)*(1+rec_fracc)/frec),6))</f>
        <v/>
      </c>
      <c r="AR374" s="66">
        <f t="shared" si="518"/>
        <v>0</v>
      </c>
      <c r="AS374" s="119" t="str">
        <f t="shared" si="519"/>
        <v/>
      </c>
      <c r="AT374" s="66">
        <f>+IF($W374="","",ROUND(IF($B374&gt;Parámetros!$D$107,'Tablas Servicio'!AR374+('Tablas Servicio'!AT373-'Tablas Servicio'!AR373),AR374/(1-IF(B374&lt;=10,Parámetros!$D$100,0))),2))</f>
        <v>0</v>
      </c>
      <c r="AU374" s="66">
        <f t="shared" si="520"/>
        <v>0</v>
      </c>
      <c r="AV374" s="66">
        <f t="shared" si="520"/>
        <v>0</v>
      </c>
      <c r="AW374" s="66">
        <f>+IF($W374="","",ROUND((AT374*Parámetros!$G$85),2))</f>
        <v>0</v>
      </c>
      <c r="AX374" s="66">
        <f>+IF($W374="","",ROUND((AT374*(Parámetros!$G$86)),2))</f>
        <v>0</v>
      </c>
      <c r="AY374" s="66">
        <f t="shared" si="521"/>
        <v>0</v>
      </c>
      <c r="AZ374" t="str">
        <f t="shared" ref="AZ374:AZ437" si="563">+IF($W374="","",AZ373)</f>
        <v>00060</v>
      </c>
      <c r="BA374" t="str">
        <f t="shared" ref="BA374:BA437" si="564">+IF($W374="","",BA373)</f>
        <v>Muerte Accidental</v>
      </c>
      <c r="BB374" s="118">
        <f t="shared" ref="BB374:BB437" si="565">+IF($W374="","",BB373)</f>
        <v>0</v>
      </c>
      <c r="BC374" s="118" t="str">
        <f t="shared" ref="BC374:BC437" si="566">+IF($W374="","",BC373)</f>
        <v>A</v>
      </c>
      <c r="BD374" s="119" t="str">
        <f>+IF(OR($W374="",BB374=0),"",ROUND((VLOOKUP(ROUNDDOWN($D374-1/frec,0),cob_adi,AO$40,FALSE)*(1+i/frec)^-0.5*(1+Parámetros!$D$103)*(1+rec_fracc)/frec),6))</f>
        <v/>
      </c>
      <c r="BE374" s="66">
        <f t="shared" si="522"/>
        <v>0</v>
      </c>
      <c r="BF374" s="119" t="str">
        <f t="shared" si="523"/>
        <v/>
      </c>
      <c r="BG374" s="66">
        <f>+IF($W374="","",ROUND(IF($B374&gt;Parámetros!$D$107,'Tablas Servicio'!BE374+('Tablas Servicio'!BG373-'Tablas Servicio'!BE373),BE374/(1-IF(B374&lt;=10,Parámetros!$D$100,0))),2))</f>
        <v>0</v>
      </c>
      <c r="BH374" s="66">
        <f t="shared" si="524"/>
        <v>0</v>
      </c>
      <c r="BI374" s="66">
        <f t="shared" si="525"/>
        <v>0</v>
      </c>
      <c r="BJ374" s="66">
        <f>+IF($W374="","",ROUND((BG374*Parámetros!$G$85),2))</f>
        <v>0</v>
      </c>
      <c r="BK374" s="66">
        <f>+IF($W374="","",ROUND((BG374*(Parámetros!$G$86)),2))</f>
        <v>0</v>
      </c>
      <c r="BL374" s="66">
        <f t="shared" si="526"/>
        <v>0</v>
      </c>
      <c r="BM374" t="str">
        <f t="shared" ref="BM374:BM437" si="567">+IF($W374="","",BM373)</f>
        <v>00061</v>
      </c>
      <c r="BN374" t="str">
        <f t="shared" ref="BN374:BN437" si="568">+IF($W374="","",BN373)</f>
        <v>Gastos de Entierro</v>
      </c>
      <c r="BO374" s="118">
        <f t="shared" ref="BO374:BO437" si="569">+IF($W374="","",BO373)</f>
        <v>0</v>
      </c>
      <c r="BP374" s="118" t="str">
        <f t="shared" ref="BP374:BP437" si="570">+IF($W374="","",BP373)</f>
        <v>A</v>
      </c>
      <c r="BQ374" s="119" t="str">
        <f>+IF(OR($W374="",BO374=0),"",ROUND((VLOOKUP(ROUNDDOWN($D374-1/frec,0),cob_adi,BB$40,FALSE)*(1+i/frec)^-0.5*(1+Parámetros!$D$103)*(1+rec_fracc)/frec),6))</f>
        <v/>
      </c>
      <c r="BR374" s="66">
        <f t="shared" si="527"/>
        <v>0</v>
      </c>
      <c r="BS374" s="119" t="str">
        <f t="shared" si="528"/>
        <v/>
      </c>
      <c r="BT374" s="66">
        <f>+IF($W374="","",ROUND(IF($B374&gt;Parámetros!$D$107,'Tablas Servicio'!BR374+('Tablas Servicio'!BT373-'Tablas Servicio'!BR373),BR374/(1-IF(B374&lt;=10,Parámetros!$D$100,0))),2))</f>
        <v>0</v>
      </c>
      <c r="BU374" s="66">
        <f t="shared" si="529"/>
        <v>0</v>
      </c>
      <c r="BV374" s="66">
        <f t="shared" si="529"/>
        <v>0</v>
      </c>
      <c r="BW374" s="66">
        <f>+IF($W374="","",ROUND((BT374*Parámetros!$G$85),2))</f>
        <v>0</v>
      </c>
      <c r="BX374" s="66">
        <f>+IF($W374="","",ROUND((BT374*(Parámetros!$G$86)),2))</f>
        <v>0</v>
      </c>
      <c r="BY374" s="66">
        <f t="shared" si="530"/>
        <v>0</v>
      </c>
      <c r="BZ374" t="str">
        <f t="shared" ref="BZ374:BZ437" si="571">+IF($W374="","",BZ373)</f>
        <v>00062</v>
      </c>
      <c r="CA374" t="str">
        <f t="shared" ref="CA374:CA437" si="572">+IF($W374="","",CA373)</f>
        <v>Gastos médicos por accidente</v>
      </c>
      <c r="CB374" s="118">
        <f t="shared" ref="CB374:CB437" si="573">+IF($W374="","",CB373)</f>
        <v>0</v>
      </c>
      <c r="CC374" s="118" t="str">
        <f t="shared" ref="CC374:CC437" si="574">+IF($W374="","",CC373)</f>
        <v>A</v>
      </c>
      <c r="CD374" s="119" t="str">
        <f t="shared" si="531"/>
        <v/>
      </c>
      <c r="CE374" s="66">
        <f>+IF($W374="","",ROUND((VLOOKUP(ROUNDDOWN($D374-1/frec,0),cob_adi,BO$40,FALSE)*(1+i/frec)^-0.5*(1+Parámetros!$D$103)*(1+rec_fracc)/frec*'TABLAS ADI'!$BC$17),2))</f>
        <v>0</v>
      </c>
      <c r="CF374" s="119" t="str">
        <f t="shared" si="532"/>
        <v/>
      </c>
      <c r="CG374" s="66">
        <f>+IF($W374="","",ROUND(IF($B374&gt;Parámetros!$D$107,'Tablas Servicio'!CE374+('Tablas Servicio'!CG373-'Tablas Servicio'!CE373),CE374/(1-IF(B374&lt;=10,Parámetros!$D$100,0))),2))</f>
        <v>0</v>
      </c>
      <c r="CH374" s="66">
        <f t="shared" si="533"/>
        <v>0</v>
      </c>
      <c r="CI374" s="66">
        <f t="shared" si="533"/>
        <v>0</v>
      </c>
      <c r="CJ374" s="66">
        <f>+IF($W374="","",ROUND((CG374*Parámetros!$G$85),2))</f>
        <v>0</v>
      </c>
      <c r="CK374" s="66">
        <f>+IF($W374="","",ROUND((CG374*(Parámetros!$G$86)),2))</f>
        <v>0</v>
      </c>
      <c r="CL374" s="66">
        <f t="shared" si="534"/>
        <v>0</v>
      </c>
      <c r="CM374" t="str">
        <f t="shared" ref="CM374:CM437" si="575">+IF($W374="","",CM373)</f>
        <v>00063</v>
      </c>
      <c r="CN374" s="118" t="str">
        <f t="shared" ref="CN374:CN437" si="576">+IF($W374="","",CN373)</f>
        <v>Renta Diaria por Hospitalización</v>
      </c>
      <c r="CO374" s="118">
        <f t="shared" ref="CO374:CO437" si="577">+IF($W374="","",CO373)</f>
        <v>0</v>
      </c>
      <c r="CP374" s="118" t="str">
        <f t="shared" ref="CP374:CP437" si="578">+IF($W374="","",CP373)</f>
        <v>A</v>
      </c>
      <c r="CQ374" s="119" t="str">
        <f t="shared" si="535"/>
        <v/>
      </c>
      <c r="CR374" s="66">
        <f>+IF($W374="","",ROUND((VLOOKUP(Parámetros!$F$51,'COBERTURAS ADICIONALES'!$S$4:$T$32,2,FALSE)*(1+i/frec)^-0.5*(1+Parámetros!$D$103)*(1+rec_fracc)/frec*$CO$42),2))</f>
        <v>0</v>
      </c>
      <c r="CS374" s="119" t="str">
        <f t="shared" si="536"/>
        <v/>
      </c>
      <c r="CT374" s="66">
        <f>+IF($W374="","",ROUND(IF($B374&gt;Parámetros!$D$107,'Tablas Servicio'!CR374+('Tablas Servicio'!CT373-'Tablas Servicio'!CR373),CR374/(1-IF(B374&lt;=10,Parámetros!$D$100,0))),2))</f>
        <v>0</v>
      </c>
      <c r="CU374" s="66">
        <f t="shared" si="537"/>
        <v>0</v>
      </c>
      <c r="CV374" s="66">
        <f t="shared" si="537"/>
        <v>0</v>
      </c>
      <c r="CW374" s="66">
        <f>+IF($W374="","",ROUND((CT374*Parámetros!$G$85),2))</f>
        <v>0</v>
      </c>
      <c r="CX374" s="66">
        <f>+IF($W374="","",ROUND((CT374*(Parámetros!$G$86)),2))</f>
        <v>0</v>
      </c>
      <c r="CY374" s="66">
        <f t="shared" si="538"/>
        <v>0</v>
      </c>
      <c r="CZ374" t="str">
        <f t="shared" ref="CZ374:CZ437" si="579">+IF($W374="","",CZ373)</f>
        <v>00064</v>
      </c>
      <c r="DA374" s="118" t="str">
        <f t="shared" ref="DA374:DA437" si="580">+IF($W374="","",DA373)</f>
        <v>Enfermedades Graves</v>
      </c>
      <c r="DB374" s="118">
        <f t="shared" ref="DB374:DB437" si="581">+IF($W374="","",DB373)</f>
        <v>0</v>
      </c>
      <c r="DC374" s="118" t="str">
        <f t="shared" ref="DC374:DC437" si="582">+IF($W374="","",DC373)</f>
        <v>A</v>
      </c>
      <c r="DD374" s="121" t="str">
        <f>+IF(OR($W374="",DB374=0),"",ROUND((VLOOKUP(ROUNDDOWN($D374-1/frec,0),cob_adi,CO$40,FALSE)*(1+i/frec)^-0.5*(1+Parámetros!$D$103)*(1+rec_fracc)/frec),6))</f>
        <v/>
      </c>
      <c r="DE374" s="66">
        <f t="shared" si="539"/>
        <v>0</v>
      </c>
      <c r="DF374" s="119" t="str">
        <f t="shared" si="540"/>
        <v/>
      </c>
      <c r="DG374" s="66">
        <f>+IF($W374="","",ROUND(IF($B374&gt;Parámetros!$D$107,'Tablas Servicio'!DE374+('Tablas Servicio'!DG373-'Tablas Servicio'!DE373),DE374/(1-IF(B374&lt;=10,Parámetros!$D$100,0))),2))</f>
        <v>0</v>
      </c>
      <c r="DH374" s="66">
        <f t="shared" si="541"/>
        <v>0</v>
      </c>
      <c r="DI374" s="66">
        <f t="shared" si="541"/>
        <v>0</v>
      </c>
      <c r="DJ374" s="66">
        <f>+IF($W374="","",ROUND((DG374*Parámetros!$G$85),2))</f>
        <v>0</v>
      </c>
      <c r="DK374" s="66">
        <f>+IF($W374="","",ROUND((DG374*(Parámetros!$G$86)),2))</f>
        <v>0</v>
      </c>
      <c r="DL374" s="66">
        <f t="shared" si="542"/>
        <v>0</v>
      </c>
      <c r="DM374" t="str">
        <f t="shared" ref="DM374:DM437" si="583">+IF($W374="","",DM373)</f>
        <v>00065</v>
      </c>
      <c r="DN374" s="118" t="str">
        <f t="shared" ref="DN374:DN437" si="584">+IF($W374="","",DN373)</f>
        <v>Exención pago de primas</v>
      </c>
      <c r="DO374" s="118">
        <f t="shared" ref="DO374:DO437" si="585">+IF($W374="","",DO373)</f>
        <v>0</v>
      </c>
      <c r="DP374" s="118" t="str">
        <f t="shared" ref="DP374:DP437" si="586">+IF($W374="","",DP373)</f>
        <v>A</v>
      </c>
      <c r="DQ374" s="122" t="str">
        <f>+IF(OR($W374="",DO374=0),"",ROUND((VLOOKUP(ROUNDDOWN($D374-1/frec,0),cob_adi,DB$40,FALSE)*(1+i/frec)^-0.5*(1+Parámetros!$D$103)*(1+rec_fracc)/frec),6))</f>
        <v/>
      </c>
      <c r="DR374" s="66">
        <f t="shared" si="543"/>
        <v>0</v>
      </c>
      <c r="DS374" s="68" t="str">
        <f t="shared" si="544"/>
        <v/>
      </c>
      <c r="DT374" s="66">
        <f>+IF($W374="","",ROUND(IF($B374&gt;Parámetros!$D$107,'Tablas Servicio'!DR374+('Tablas Servicio'!DT373-'Tablas Servicio'!DR373),DR374/(1-IF(B374&lt;=10,Parámetros!$D$100,0))),2))</f>
        <v>0</v>
      </c>
      <c r="DU374" s="66">
        <f t="shared" si="545"/>
        <v>0</v>
      </c>
      <c r="DV374" s="66">
        <f t="shared" si="545"/>
        <v>0</v>
      </c>
      <c r="DW374" s="66">
        <f>+IF($W374="","",ROUND((DT374*Parámetros!$G$85),2))</f>
        <v>0</v>
      </c>
      <c r="DX374" s="66">
        <f>+IF($W374="","",ROUND((DT374*(Parámetros!$G$86)),2))</f>
        <v>0</v>
      </c>
      <c r="DY374" s="66">
        <f t="shared" si="546"/>
        <v>0</v>
      </c>
      <c r="DZ374" t="str">
        <f t="shared" si="547"/>
        <v>00066</v>
      </c>
      <c r="EA374" s="118" t="str">
        <f t="shared" si="547"/>
        <v>Enfermedad terminal</v>
      </c>
      <c r="EB374" s="118">
        <f>+IF($W374="","",ROUND(IF(Parámetros!$D$25='TABLAS MORT'!$V$33,EB373,Z374/2),0))</f>
        <v>50000</v>
      </c>
      <c r="EC374" s="118" t="str">
        <f t="shared" si="547"/>
        <v>A</v>
      </c>
      <c r="ED374" s="122">
        <f>+IF(OR($W374="",EB374=0),"",ROUND((VLOOKUP(ROUNDDOWN($D374-1/frec,0),cob_adi,DO$40,FALSE)*(1+i/frec)^-0.5*(1+Parámetros!$D$103)*(1+rec_fracc)/frec),6))</f>
        <v>5.5000000000000002E-5</v>
      </c>
      <c r="EE374" s="66">
        <f t="shared" si="548"/>
        <v>2.75</v>
      </c>
      <c r="EF374" s="68">
        <f t="shared" si="549"/>
        <v>5.5000000000000002E-5</v>
      </c>
      <c r="EG374" s="66">
        <f>+IF($W374="","",ROUND(IF($B374&gt;Parámetros!$D$107,'Tablas Servicio'!EE374+('Tablas Servicio'!EG373-'Tablas Servicio'!EE373),EE374/(1-IF(B374&lt;=10,Parámetros!$D$100,0))),2))</f>
        <v>2.75</v>
      </c>
      <c r="EH374" s="66">
        <f t="shared" si="550"/>
        <v>0</v>
      </c>
      <c r="EI374" s="66">
        <f t="shared" si="550"/>
        <v>0</v>
      </c>
      <c r="EJ374" s="66">
        <f>+IF($W374="","",ROUND((EG374*Parámetros!$G$85),2))</f>
        <v>0.1</v>
      </c>
      <c r="EK374" s="66">
        <f>+IF($W374="","",ROUND((EG374*(Parámetros!$G$86)),2))</f>
        <v>0.01</v>
      </c>
      <c r="EL374" s="66">
        <f t="shared" si="551"/>
        <v>2.86</v>
      </c>
    </row>
    <row r="375" spans="1:142" x14ac:dyDescent="0.25">
      <c r="A375">
        <f>+IF($C375="","",ROUND(VLOOKUP('Tablas Servicio'!B375,Parámetros!$H$100:$J$159,IF(Parámetros!$E$16="F",2,3),FALSE),2))</f>
        <v>150</v>
      </c>
      <c r="B375">
        <f t="shared" si="502"/>
        <v>28</v>
      </c>
      <c r="C375" s="57">
        <f>+IF(D375="","",'Tablas Servicio'!C374+1)</f>
        <v>334</v>
      </c>
      <c r="D375" s="56">
        <f>+IF(D374&lt;edadmaxtabla,D374+1/Parámetros!$E$25,"")</f>
        <v>67.853333333333794</v>
      </c>
      <c r="E375" s="57">
        <f t="shared" si="512"/>
        <v>67</v>
      </c>
      <c r="F375" s="59">
        <f t="shared" si="513"/>
        <v>100000</v>
      </c>
      <c r="G375" s="66">
        <f t="shared" si="503"/>
        <v>102.25</v>
      </c>
      <c r="H375" s="66">
        <f t="shared" si="504"/>
        <v>106.34</v>
      </c>
      <c r="I375" s="66">
        <f t="shared" si="552"/>
        <v>-12.340000000000003</v>
      </c>
      <c r="J375" s="66">
        <f t="shared" si="505"/>
        <v>3.58</v>
      </c>
      <c r="K375" s="66">
        <f t="shared" si="506"/>
        <v>0.51</v>
      </c>
      <c r="L375" s="66">
        <f t="shared" si="507"/>
        <v>0</v>
      </c>
      <c r="M375" s="66">
        <f t="shared" si="508"/>
        <v>0</v>
      </c>
      <c r="N375" s="66">
        <f>+IF(C375="","",ROUND(Parámetros!$D$23,2))</f>
        <v>94</v>
      </c>
      <c r="O375" s="66">
        <f t="shared" si="509"/>
        <v>89.75</v>
      </c>
      <c r="P375" s="66">
        <f>+IF($C375="","",ROUND(IF(B375&gt;Parámetros!$D$117,0,N375*Parámetros!$D$116-G375*Parámetros!$D$100),2))</f>
        <v>0</v>
      </c>
      <c r="Q375" s="75">
        <f t="shared" si="553"/>
        <v>3.5012224938875305E-2</v>
      </c>
      <c r="R375" s="75">
        <f t="shared" si="554"/>
        <v>4.9877750611246946E-3</v>
      </c>
      <c r="S375" s="117">
        <f>+IF($C375="","",ROUND((S374+I375)*(1+Parámetros!$D$91),2))</f>
        <v>24770.05</v>
      </c>
      <c r="T375" s="117">
        <f>+IF($C375="","",ROUND(S375*VLOOKUP(B375,Parámetros!$C$30:$D$39,2,TRUE),2))</f>
        <v>24770.05</v>
      </c>
      <c r="U375" s="117">
        <f>+IF($C375="","",ROUND((U374+I375)*(1+Parámetros!$D$92),2))</f>
        <v>27146.67</v>
      </c>
      <c r="V375" s="117">
        <f>+IF($C375="","",ROUND(U375*VLOOKUP(B375,Parámetros!$C$30:$D$39,2,TRUE),2))</f>
        <v>27146.67</v>
      </c>
      <c r="W375" s="57">
        <f t="shared" si="555"/>
        <v>334</v>
      </c>
      <c r="X375" t="str">
        <f t="shared" si="556"/>
        <v>00058</v>
      </c>
      <c r="Y375" t="str">
        <f t="shared" si="557"/>
        <v>MUERTE POR CUALQUIER CAUSA</v>
      </c>
      <c r="Z375" s="118">
        <f>+IF($W375="","",ROUND(IF(Parámetros!$D$25='TABLAS MORT'!$V$33,Z374,Parámetros!$D$21-'Tablas Servicio'!T374),0))</f>
        <v>100000</v>
      </c>
      <c r="AA375" s="118" t="str">
        <f t="shared" si="558"/>
        <v>P</v>
      </c>
      <c r="AB375" s="119">
        <f>+IF(W375="","",ROUND((VLOOKUP(ROUNDDOWN($D375-1/frec,0),qx_tabla,2,FALSE)*(1+i/frec)^-0.5*(1+Parámetros!$D$103)*(1+rec_fracc)/frec),6))</f>
        <v>8.7000000000000001E-4</v>
      </c>
      <c r="AC375" s="66">
        <f t="shared" si="514"/>
        <v>87</v>
      </c>
      <c r="AD375" s="119">
        <f t="shared" si="510"/>
        <v>9.9500000000000001E-4</v>
      </c>
      <c r="AE375" s="66">
        <f>+IF($W375="","",ROUND(IF($B375&gt;Parámetros!$D$107,'Tablas Servicio'!AC375+('Tablas Servicio'!AG374-'Tablas Servicio'!AC374),AC375/(1-IF(B375&lt;=10,Parámetros!$D$104,Parámetros!$D$105))),2))</f>
        <v>145</v>
      </c>
      <c r="AF375" s="66">
        <f>+IF($W375="","",ROUND(IF($B375&gt;Parámetros!$D$107,'Tablas Servicio'!AC375+('Tablas Servicio'!AG374-'Tablas Servicio'!AC374),(AC375+$A374/frec)/(1-IF(B375&lt;=Parámetros!$D$117,Parámetros!$D$100,0))),2))</f>
        <v>99.5</v>
      </c>
      <c r="AG375" s="66">
        <f t="shared" si="515"/>
        <v>99.5</v>
      </c>
      <c r="AH375" s="66">
        <f t="shared" si="516"/>
        <v>0</v>
      </c>
      <c r="AI375" s="66">
        <f t="shared" si="517"/>
        <v>0</v>
      </c>
      <c r="AJ375" s="66">
        <f>+IF($W375="","",ROUND((AG375*Parámetros!$G$85),2))</f>
        <v>3.48</v>
      </c>
      <c r="AK375" s="66">
        <f>+IF($W375="","",ROUND((AG375*(Parámetros!$G$86)),2))</f>
        <v>0.5</v>
      </c>
      <c r="AL375" s="66">
        <f t="shared" si="511"/>
        <v>103.48</v>
      </c>
      <c r="AM375" t="str">
        <f t="shared" si="559"/>
        <v>00059</v>
      </c>
      <c r="AN375" t="str">
        <f t="shared" si="560"/>
        <v>Incapacidad Total y Permanente</v>
      </c>
      <c r="AO375" s="118">
        <f t="shared" si="561"/>
        <v>0</v>
      </c>
      <c r="AP375" s="118" t="str">
        <f t="shared" si="562"/>
        <v>A</v>
      </c>
      <c r="AQ375" s="119" t="str">
        <f>+IF(OR($W375="",AO375=0),"",ROUND((VLOOKUP(ROUNDDOWN($D375-1/frec,0),cob_adi,Z$40,FALSE)*(1+i/frec)^-0.5*(1+Parámetros!$D$103)*(1+rec_fracc)/frec),6))</f>
        <v/>
      </c>
      <c r="AR375" s="66">
        <f t="shared" si="518"/>
        <v>0</v>
      </c>
      <c r="AS375" s="119" t="str">
        <f t="shared" si="519"/>
        <v/>
      </c>
      <c r="AT375" s="66">
        <f>+IF($W375="","",ROUND(IF($B375&gt;Parámetros!$D$107,'Tablas Servicio'!AR375+('Tablas Servicio'!AT374-'Tablas Servicio'!AR374),AR375/(1-IF(B375&lt;=10,Parámetros!$D$100,0))),2))</f>
        <v>0</v>
      </c>
      <c r="AU375" s="66">
        <f t="shared" si="520"/>
        <v>0</v>
      </c>
      <c r="AV375" s="66">
        <f t="shared" si="520"/>
        <v>0</v>
      </c>
      <c r="AW375" s="66">
        <f>+IF($W375="","",ROUND((AT375*Parámetros!$G$85),2))</f>
        <v>0</v>
      </c>
      <c r="AX375" s="66">
        <f>+IF($W375="","",ROUND((AT375*(Parámetros!$G$86)),2))</f>
        <v>0</v>
      </c>
      <c r="AY375" s="66">
        <f t="shared" si="521"/>
        <v>0</v>
      </c>
      <c r="AZ375" t="str">
        <f t="shared" si="563"/>
        <v>00060</v>
      </c>
      <c r="BA375" t="str">
        <f t="shared" si="564"/>
        <v>Muerte Accidental</v>
      </c>
      <c r="BB375" s="118">
        <f t="shared" si="565"/>
        <v>0</v>
      </c>
      <c r="BC375" s="118" t="str">
        <f t="shared" si="566"/>
        <v>A</v>
      </c>
      <c r="BD375" s="119" t="str">
        <f>+IF(OR($W375="",BB375=0),"",ROUND((VLOOKUP(ROUNDDOWN($D375-1/frec,0),cob_adi,AO$40,FALSE)*(1+i/frec)^-0.5*(1+Parámetros!$D$103)*(1+rec_fracc)/frec),6))</f>
        <v/>
      </c>
      <c r="BE375" s="66">
        <f t="shared" si="522"/>
        <v>0</v>
      </c>
      <c r="BF375" s="119" t="str">
        <f t="shared" si="523"/>
        <v/>
      </c>
      <c r="BG375" s="66">
        <f>+IF($W375="","",ROUND(IF($B375&gt;Parámetros!$D$107,'Tablas Servicio'!BE375+('Tablas Servicio'!BG374-'Tablas Servicio'!BE374),BE375/(1-IF(B375&lt;=10,Parámetros!$D$100,0))),2))</f>
        <v>0</v>
      </c>
      <c r="BH375" s="66">
        <f t="shared" si="524"/>
        <v>0</v>
      </c>
      <c r="BI375" s="66">
        <f t="shared" si="525"/>
        <v>0</v>
      </c>
      <c r="BJ375" s="66">
        <f>+IF($W375="","",ROUND((BG375*Parámetros!$G$85),2))</f>
        <v>0</v>
      </c>
      <c r="BK375" s="66">
        <f>+IF($W375="","",ROUND((BG375*(Parámetros!$G$86)),2))</f>
        <v>0</v>
      </c>
      <c r="BL375" s="66">
        <f t="shared" si="526"/>
        <v>0</v>
      </c>
      <c r="BM375" t="str">
        <f t="shared" si="567"/>
        <v>00061</v>
      </c>
      <c r="BN375" t="str">
        <f t="shared" si="568"/>
        <v>Gastos de Entierro</v>
      </c>
      <c r="BO375" s="118">
        <f t="shared" si="569"/>
        <v>0</v>
      </c>
      <c r="BP375" s="118" t="str">
        <f t="shared" si="570"/>
        <v>A</v>
      </c>
      <c r="BQ375" s="119" t="str">
        <f>+IF(OR($W375="",BO375=0),"",ROUND((VLOOKUP(ROUNDDOWN($D375-1/frec,0),cob_adi,BB$40,FALSE)*(1+i/frec)^-0.5*(1+Parámetros!$D$103)*(1+rec_fracc)/frec),6))</f>
        <v/>
      </c>
      <c r="BR375" s="66">
        <f t="shared" si="527"/>
        <v>0</v>
      </c>
      <c r="BS375" s="119" t="str">
        <f t="shared" si="528"/>
        <v/>
      </c>
      <c r="BT375" s="66">
        <f>+IF($W375="","",ROUND(IF($B375&gt;Parámetros!$D$107,'Tablas Servicio'!BR375+('Tablas Servicio'!BT374-'Tablas Servicio'!BR374),BR375/(1-IF(B375&lt;=10,Parámetros!$D$100,0))),2))</f>
        <v>0</v>
      </c>
      <c r="BU375" s="66">
        <f t="shared" si="529"/>
        <v>0</v>
      </c>
      <c r="BV375" s="66">
        <f t="shared" si="529"/>
        <v>0</v>
      </c>
      <c r="BW375" s="66">
        <f>+IF($W375="","",ROUND((BT375*Parámetros!$G$85),2))</f>
        <v>0</v>
      </c>
      <c r="BX375" s="66">
        <f>+IF($W375="","",ROUND((BT375*(Parámetros!$G$86)),2))</f>
        <v>0</v>
      </c>
      <c r="BY375" s="66">
        <f t="shared" si="530"/>
        <v>0</v>
      </c>
      <c r="BZ375" t="str">
        <f t="shared" si="571"/>
        <v>00062</v>
      </c>
      <c r="CA375" t="str">
        <f t="shared" si="572"/>
        <v>Gastos médicos por accidente</v>
      </c>
      <c r="CB375" s="118">
        <f t="shared" si="573"/>
        <v>0</v>
      </c>
      <c r="CC375" s="118" t="str">
        <f t="shared" si="574"/>
        <v>A</v>
      </c>
      <c r="CD375" s="119" t="str">
        <f t="shared" si="531"/>
        <v/>
      </c>
      <c r="CE375" s="66">
        <f>+IF($W375="","",ROUND((VLOOKUP(ROUNDDOWN($D375-1/frec,0),cob_adi,BO$40,FALSE)*(1+i/frec)^-0.5*(1+Parámetros!$D$103)*(1+rec_fracc)/frec*'TABLAS ADI'!$BC$17),2))</f>
        <v>0</v>
      </c>
      <c r="CF375" s="119" t="str">
        <f t="shared" si="532"/>
        <v/>
      </c>
      <c r="CG375" s="66">
        <f>+IF($W375="","",ROUND(IF($B375&gt;Parámetros!$D$107,'Tablas Servicio'!CE375+('Tablas Servicio'!CG374-'Tablas Servicio'!CE374),CE375/(1-IF(B375&lt;=10,Parámetros!$D$100,0))),2))</f>
        <v>0</v>
      </c>
      <c r="CH375" s="66">
        <f t="shared" si="533"/>
        <v>0</v>
      </c>
      <c r="CI375" s="66">
        <f t="shared" si="533"/>
        <v>0</v>
      </c>
      <c r="CJ375" s="66">
        <f>+IF($W375="","",ROUND((CG375*Parámetros!$G$85),2))</f>
        <v>0</v>
      </c>
      <c r="CK375" s="66">
        <f>+IF($W375="","",ROUND((CG375*(Parámetros!$G$86)),2))</f>
        <v>0</v>
      </c>
      <c r="CL375" s="66">
        <f t="shared" si="534"/>
        <v>0</v>
      </c>
      <c r="CM375" t="str">
        <f t="shared" si="575"/>
        <v>00063</v>
      </c>
      <c r="CN375" s="118" t="str">
        <f t="shared" si="576"/>
        <v>Renta Diaria por Hospitalización</v>
      </c>
      <c r="CO375" s="118">
        <f t="shared" si="577"/>
        <v>0</v>
      </c>
      <c r="CP375" s="118" t="str">
        <f t="shared" si="578"/>
        <v>A</v>
      </c>
      <c r="CQ375" s="119" t="str">
        <f t="shared" si="535"/>
        <v/>
      </c>
      <c r="CR375" s="66">
        <f>+IF($W375="","",ROUND((VLOOKUP(Parámetros!$F$51,'COBERTURAS ADICIONALES'!$S$4:$T$32,2,FALSE)*(1+i/frec)^-0.5*(1+Parámetros!$D$103)*(1+rec_fracc)/frec*$CO$42),2))</f>
        <v>0</v>
      </c>
      <c r="CS375" s="119" t="str">
        <f t="shared" si="536"/>
        <v/>
      </c>
      <c r="CT375" s="66">
        <f>+IF($W375="","",ROUND(IF($B375&gt;Parámetros!$D$107,'Tablas Servicio'!CR375+('Tablas Servicio'!CT374-'Tablas Servicio'!CR374),CR375/(1-IF(B375&lt;=10,Parámetros!$D$100,0))),2))</f>
        <v>0</v>
      </c>
      <c r="CU375" s="66">
        <f t="shared" si="537"/>
        <v>0</v>
      </c>
      <c r="CV375" s="66">
        <f t="shared" si="537"/>
        <v>0</v>
      </c>
      <c r="CW375" s="66">
        <f>+IF($W375="","",ROUND((CT375*Parámetros!$G$85),2))</f>
        <v>0</v>
      </c>
      <c r="CX375" s="66">
        <f>+IF($W375="","",ROUND((CT375*(Parámetros!$G$86)),2))</f>
        <v>0</v>
      </c>
      <c r="CY375" s="66">
        <f t="shared" si="538"/>
        <v>0</v>
      </c>
      <c r="CZ375" t="str">
        <f t="shared" si="579"/>
        <v>00064</v>
      </c>
      <c r="DA375" s="118" t="str">
        <f t="shared" si="580"/>
        <v>Enfermedades Graves</v>
      </c>
      <c r="DB375" s="118">
        <f t="shared" si="581"/>
        <v>0</v>
      </c>
      <c r="DC375" s="118" t="str">
        <f t="shared" si="582"/>
        <v>A</v>
      </c>
      <c r="DD375" s="121" t="str">
        <f>+IF(OR($W375="",DB375=0),"",ROUND((VLOOKUP(ROUNDDOWN($D375-1/frec,0),cob_adi,CO$40,FALSE)*(1+i/frec)^-0.5*(1+Parámetros!$D$103)*(1+rec_fracc)/frec),6))</f>
        <v/>
      </c>
      <c r="DE375" s="66">
        <f t="shared" si="539"/>
        <v>0</v>
      </c>
      <c r="DF375" s="119" t="str">
        <f t="shared" si="540"/>
        <v/>
      </c>
      <c r="DG375" s="66">
        <f>+IF($W375="","",ROUND(IF($B375&gt;Parámetros!$D$107,'Tablas Servicio'!DE375+('Tablas Servicio'!DG374-'Tablas Servicio'!DE374),DE375/(1-IF(B375&lt;=10,Parámetros!$D$100,0))),2))</f>
        <v>0</v>
      </c>
      <c r="DH375" s="66">
        <f t="shared" si="541"/>
        <v>0</v>
      </c>
      <c r="DI375" s="66">
        <f t="shared" si="541"/>
        <v>0</v>
      </c>
      <c r="DJ375" s="66">
        <f>+IF($W375="","",ROUND((DG375*Parámetros!$G$85),2))</f>
        <v>0</v>
      </c>
      <c r="DK375" s="66">
        <f>+IF($W375="","",ROUND((DG375*(Parámetros!$G$86)),2))</f>
        <v>0</v>
      </c>
      <c r="DL375" s="66">
        <f t="shared" si="542"/>
        <v>0</v>
      </c>
      <c r="DM375" t="str">
        <f t="shared" si="583"/>
        <v>00065</v>
      </c>
      <c r="DN375" s="118" t="str">
        <f t="shared" si="584"/>
        <v>Exención pago de primas</v>
      </c>
      <c r="DO375" s="118">
        <f t="shared" si="585"/>
        <v>0</v>
      </c>
      <c r="DP375" s="118" t="str">
        <f t="shared" si="586"/>
        <v>A</v>
      </c>
      <c r="DQ375" s="122" t="str">
        <f>+IF(OR($W375="",DO375=0),"",ROUND((VLOOKUP(ROUNDDOWN($D375-1/frec,0),cob_adi,DB$40,FALSE)*(1+i/frec)^-0.5*(1+Parámetros!$D$103)*(1+rec_fracc)/frec),6))</f>
        <v/>
      </c>
      <c r="DR375" s="66">
        <f t="shared" si="543"/>
        <v>0</v>
      </c>
      <c r="DS375" s="68" t="str">
        <f t="shared" si="544"/>
        <v/>
      </c>
      <c r="DT375" s="66">
        <f>+IF($W375="","",ROUND(IF($B375&gt;Parámetros!$D$107,'Tablas Servicio'!DR375+('Tablas Servicio'!DT374-'Tablas Servicio'!DR374),DR375/(1-IF(B375&lt;=10,Parámetros!$D$100,0))),2))</f>
        <v>0</v>
      </c>
      <c r="DU375" s="66">
        <f t="shared" si="545"/>
        <v>0</v>
      </c>
      <c r="DV375" s="66">
        <f t="shared" si="545"/>
        <v>0</v>
      </c>
      <c r="DW375" s="66">
        <f>+IF($W375="","",ROUND((DT375*Parámetros!$G$85),2))</f>
        <v>0</v>
      </c>
      <c r="DX375" s="66">
        <f>+IF($W375="","",ROUND((DT375*(Parámetros!$G$86)),2))</f>
        <v>0</v>
      </c>
      <c r="DY375" s="66">
        <f t="shared" si="546"/>
        <v>0</v>
      </c>
      <c r="DZ375" t="str">
        <f t="shared" si="547"/>
        <v>00066</v>
      </c>
      <c r="EA375" s="118" t="str">
        <f t="shared" si="547"/>
        <v>Enfermedad terminal</v>
      </c>
      <c r="EB375" s="118">
        <f>+IF($W375="","",ROUND(IF(Parámetros!$D$25='TABLAS MORT'!$V$33,EB374,Z375/2),0))</f>
        <v>50000</v>
      </c>
      <c r="EC375" s="118" t="str">
        <f t="shared" si="547"/>
        <v>A</v>
      </c>
      <c r="ED375" s="122">
        <f>+IF(OR($W375="",EB375=0),"",ROUND((VLOOKUP(ROUNDDOWN($D375-1/frec,0),cob_adi,DO$40,FALSE)*(1+i/frec)^-0.5*(1+Parámetros!$D$103)*(1+rec_fracc)/frec),6))</f>
        <v>5.5000000000000002E-5</v>
      </c>
      <c r="EE375" s="66">
        <f t="shared" si="548"/>
        <v>2.75</v>
      </c>
      <c r="EF375" s="68">
        <f t="shared" si="549"/>
        <v>5.5000000000000002E-5</v>
      </c>
      <c r="EG375" s="66">
        <f>+IF($W375="","",ROUND(IF($B375&gt;Parámetros!$D$107,'Tablas Servicio'!EE375+('Tablas Servicio'!EG374-'Tablas Servicio'!EE374),EE375/(1-IF(B375&lt;=10,Parámetros!$D$100,0))),2))</f>
        <v>2.75</v>
      </c>
      <c r="EH375" s="66">
        <f t="shared" si="550"/>
        <v>0</v>
      </c>
      <c r="EI375" s="66">
        <f t="shared" si="550"/>
        <v>0</v>
      </c>
      <c r="EJ375" s="66">
        <f>+IF($W375="","",ROUND((EG375*Parámetros!$G$85),2))</f>
        <v>0.1</v>
      </c>
      <c r="EK375" s="66">
        <f>+IF($W375="","",ROUND((EG375*(Parámetros!$G$86)),2))</f>
        <v>0.01</v>
      </c>
      <c r="EL375" s="66">
        <f t="shared" si="551"/>
        <v>2.86</v>
      </c>
    </row>
    <row r="376" spans="1:142" x14ac:dyDescent="0.25">
      <c r="A376">
        <f>+IF($C376="","",ROUND(VLOOKUP('Tablas Servicio'!B376,Parámetros!$H$100:$J$159,IF(Parámetros!$E$16="F",2,3),FALSE),2))</f>
        <v>150</v>
      </c>
      <c r="B376">
        <f t="shared" si="502"/>
        <v>28</v>
      </c>
      <c r="C376" s="57">
        <f>+IF(D376="","",'Tablas Servicio'!C375+1)</f>
        <v>335</v>
      </c>
      <c r="D376" s="56">
        <f>+IF(D375&lt;edadmaxtabla,D375+1/Parámetros!$E$25,"")</f>
        <v>67.936666666667122</v>
      </c>
      <c r="E376" s="57">
        <f t="shared" si="512"/>
        <v>67</v>
      </c>
      <c r="F376" s="59">
        <f t="shared" si="513"/>
        <v>100000</v>
      </c>
      <c r="G376" s="66">
        <f t="shared" si="503"/>
        <v>102.25</v>
      </c>
      <c r="H376" s="66">
        <f t="shared" si="504"/>
        <v>106.34</v>
      </c>
      <c r="I376" s="66">
        <f t="shared" si="552"/>
        <v>-12.340000000000003</v>
      </c>
      <c r="J376" s="66">
        <f t="shared" si="505"/>
        <v>3.58</v>
      </c>
      <c r="K376" s="66">
        <f t="shared" si="506"/>
        <v>0.51</v>
      </c>
      <c r="L376" s="66">
        <f t="shared" si="507"/>
        <v>0</v>
      </c>
      <c r="M376" s="66">
        <f t="shared" si="508"/>
        <v>0</v>
      </c>
      <c r="N376" s="66">
        <f>+IF(C376="","",ROUND(Parámetros!$D$23,2))</f>
        <v>94</v>
      </c>
      <c r="O376" s="66">
        <f t="shared" si="509"/>
        <v>89.75</v>
      </c>
      <c r="P376" s="66">
        <f>+IF($C376="","",ROUND(IF(B376&gt;Parámetros!$D$117,0,N376*Parámetros!$D$116-G376*Parámetros!$D$100),2))</f>
        <v>0</v>
      </c>
      <c r="Q376" s="75">
        <f t="shared" si="553"/>
        <v>3.5012224938875305E-2</v>
      </c>
      <c r="R376" s="75">
        <f t="shared" si="554"/>
        <v>4.9877750611246946E-3</v>
      </c>
      <c r="S376" s="117">
        <f>+IF($C376="","",ROUND((S375+I376)*(1+Parámetros!$D$91),2))</f>
        <v>24827.93</v>
      </c>
      <c r="T376" s="117">
        <f>+IF($C376="","",ROUND(S376*VLOOKUP(B376,Parámetros!$C$30:$D$39,2,TRUE),2))</f>
        <v>24827.93</v>
      </c>
      <c r="U376" s="117">
        <f>+IF($C376="","",ROUND((U375+I376)*(1+Parámetros!$D$92),2))</f>
        <v>27222.29</v>
      </c>
      <c r="V376" s="117">
        <f>+IF($C376="","",ROUND(U376*VLOOKUP(B376,Parámetros!$C$30:$D$39,2,TRUE),2))</f>
        <v>27222.29</v>
      </c>
      <c r="W376" s="57">
        <f t="shared" si="555"/>
        <v>335</v>
      </c>
      <c r="X376" t="str">
        <f t="shared" si="556"/>
        <v>00058</v>
      </c>
      <c r="Y376" t="str">
        <f t="shared" si="557"/>
        <v>MUERTE POR CUALQUIER CAUSA</v>
      </c>
      <c r="Z376" s="118">
        <f>+IF($W376="","",ROUND(IF(Parámetros!$D$25='TABLAS MORT'!$V$33,Z375,Parámetros!$D$21-'Tablas Servicio'!T375),0))</f>
        <v>100000</v>
      </c>
      <c r="AA376" s="118" t="str">
        <f t="shared" si="558"/>
        <v>P</v>
      </c>
      <c r="AB376" s="119">
        <f>+IF(W376="","",ROUND((VLOOKUP(ROUNDDOWN($D376-1/frec,0),qx_tabla,2,FALSE)*(1+i/frec)^-0.5*(1+Parámetros!$D$103)*(1+rec_fracc)/frec),6))</f>
        <v>8.7000000000000001E-4</v>
      </c>
      <c r="AC376" s="66">
        <f t="shared" si="514"/>
        <v>87</v>
      </c>
      <c r="AD376" s="119">
        <f t="shared" si="510"/>
        <v>9.9500000000000001E-4</v>
      </c>
      <c r="AE376" s="66">
        <f>+IF($W376="","",ROUND(IF($B376&gt;Parámetros!$D$107,'Tablas Servicio'!AC376+('Tablas Servicio'!AG375-'Tablas Servicio'!AC375),AC376/(1-IF(B376&lt;=10,Parámetros!$D$104,Parámetros!$D$105))),2))</f>
        <v>145</v>
      </c>
      <c r="AF376" s="66">
        <f>+IF($W376="","",ROUND(IF($B376&gt;Parámetros!$D$107,'Tablas Servicio'!AC376+('Tablas Servicio'!AG375-'Tablas Servicio'!AC375),(AC376+$A375/frec)/(1-IF(B376&lt;=Parámetros!$D$117,Parámetros!$D$100,0))),2))</f>
        <v>99.5</v>
      </c>
      <c r="AG376" s="66">
        <f t="shared" si="515"/>
        <v>99.5</v>
      </c>
      <c r="AH376" s="66">
        <f t="shared" si="516"/>
        <v>0</v>
      </c>
      <c r="AI376" s="66">
        <f t="shared" si="517"/>
        <v>0</v>
      </c>
      <c r="AJ376" s="66">
        <f>+IF($W376="","",ROUND((AG376*Parámetros!$G$85),2))</f>
        <v>3.48</v>
      </c>
      <c r="AK376" s="66">
        <f>+IF($W376="","",ROUND((AG376*(Parámetros!$G$86)),2))</f>
        <v>0.5</v>
      </c>
      <c r="AL376" s="66">
        <f t="shared" si="511"/>
        <v>103.48</v>
      </c>
      <c r="AM376" t="str">
        <f t="shared" si="559"/>
        <v>00059</v>
      </c>
      <c r="AN376" t="str">
        <f t="shared" si="560"/>
        <v>Incapacidad Total y Permanente</v>
      </c>
      <c r="AO376" s="118">
        <f t="shared" si="561"/>
        <v>0</v>
      </c>
      <c r="AP376" s="118" t="str">
        <f t="shared" si="562"/>
        <v>A</v>
      </c>
      <c r="AQ376" s="119" t="str">
        <f>+IF(OR($W376="",AO376=0),"",ROUND((VLOOKUP(ROUNDDOWN($D376-1/frec,0),cob_adi,Z$40,FALSE)*(1+i/frec)^-0.5*(1+Parámetros!$D$103)*(1+rec_fracc)/frec),6))</f>
        <v/>
      </c>
      <c r="AR376" s="66">
        <f t="shared" si="518"/>
        <v>0</v>
      </c>
      <c r="AS376" s="119" t="str">
        <f t="shared" si="519"/>
        <v/>
      </c>
      <c r="AT376" s="66">
        <f>+IF($W376="","",ROUND(IF($B376&gt;Parámetros!$D$107,'Tablas Servicio'!AR376+('Tablas Servicio'!AT375-'Tablas Servicio'!AR375),AR376/(1-IF(B376&lt;=10,Parámetros!$D$100,0))),2))</f>
        <v>0</v>
      </c>
      <c r="AU376" s="66">
        <f t="shared" si="520"/>
        <v>0</v>
      </c>
      <c r="AV376" s="66">
        <f t="shared" si="520"/>
        <v>0</v>
      </c>
      <c r="AW376" s="66">
        <f>+IF($W376="","",ROUND((AT376*Parámetros!$G$85),2))</f>
        <v>0</v>
      </c>
      <c r="AX376" s="66">
        <f>+IF($W376="","",ROUND((AT376*(Parámetros!$G$86)),2))</f>
        <v>0</v>
      </c>
      <c r="AY376" s="66">
        <f t="shared" si="521"/>
        <v>0</v>
      </c>
      <c r="AZ376" t="str">
        <f t="shared" si="563"/>
        <v>00060</v>
      </c>
      <c r="BA376" t="str">
        <f t="shared" si="564"/>
        <v>Muerte Accidental</v>
      </c>
      <c r="BB376" s="118">
        <f t="shared" si="565"/>
        <v>0</v>
      </c>
      <c r="BC376" s="118" t="str">
        <f t="shared" si="566"/>
        <v>A</v>
      </c>
      <c r="BD376" s="119" t="str">
        <f>+IF(OR($W376="",BB376=0),"",ROUND((VLOOKUP(ROUNDDOWN($D376-1/frec,0),cob_adi,AO$40,FALSE)*(1+i/frec)^-0.5*(1+Parámetros!$D$103)*(1+rec_fracc)/frec),6))</f>
        <v/>
      </c>
      <c r="BE376" s="66">
        <f t="shared" si="522"/>
        <v>0</v>
      </c>
      <c r="BF376" s="119" t="str">
        <f t="shared" si="523"/>
        <v/>
      </c>
      <c r="BG376" s="66">
        <f>+IF($W376="","",ROUND(IF($B376&gt;Parámetros!$D$107,'Tablas Servicio'!BE376+('Tablas Servicio'!BG375-'Tablas Servicio'!BE375),BE376/(1-IF(B376&lt;=10,Parámetros!$D$100,0))),2))</f>
        <v>0</v>
      </c>
      <c r="BH376" s="66">
        <f t="shared" si="524"/>
        <v>0</v>
      </c>
      <c r="BI376" s="66">
        <f t="shared" si="525"/>
        <v>0</v>
      </c>
      <c r="BJ376" s="66">
        <f>+IF($W376="","",ROUND((BG376*Parámetros!$G$85),2))</f>
        <v>0</v>
      </c>
      <c r="BK376" s="66">
        <f>+IF($W376="","",ROUND((BG376*(Parámetros!$G$86)),2))</f>
        <v>0</v>
      </c>
      <c r="BL376" s="66">
        <f t="shared" si="526"/>
        <v>0</v>
      </c>
      <c r="BM376" t="str">
        <f t="shared" si="567"/>
        <v>00061</v>
      </c>
      <c r="BN376" t="str">
        <f t="shared" si="568"/>
        <v>Gastos de Entierro</v>
      </c>
      <c r="BO376" s="118">
        <f t="shared" si="569"/>
        <v>0</v>
      </c>
      <c r="BP376" s="118" t="str">
        <f t="shared" si="570"/>
        <v>A</v>
      </c>
      <c r="BQ376" s="119" t="str">
        <f>+IF(OR($W376="",BO376=0),"",ROUND((VLOOKUP(ROUNDDOWN($D376-1/frec,0),cob_adi,BB$40,FALSE)*(1+i/frec)^-0.5*(1+Parámetros!$D$103)*(1+rec_fracc)/frec),6))</f>
        <v/>
      </c>
      <c r="BR376" s="66">
        <f t="shared" si="527"/>
        <v>0</v>
      </c>
      <c r="BS376" s="119" t="str">
        <f t="shared" si="528"/>
        <v/>
      </c>
      <c r="BT376" s="66">
        <f>+IF($W376="","",ROUND(IF($B376&gt;Parámetros!$D$107,'Tablas Servicio'!BR376+('Tablas Servicio'!BT375-'Tablas Servicio'!BR375),BR376/(1-IF(B376&lt;=10,Parámetros!$D$100,0))),2))</f>
        <v>0</v>
      </c>
      <c r="BU376" s="66">
        <f t="shared" si="529"/>
        <v>0</v>
      </c>
      <c r="BV376" s="66">
        <f t="shared" si="529"/>
        <v>0</v>
      </c>
      <c r="BW376" s="66">
        <f>+IF($W376="","",ROUND((BT376*Parámetros!$G$85),2))</f>
        <v>0</v>
      </c>
      <c r="BX376" s="66">
        <f>+IF($W376="","",ROUND((BT376*(Parámetros!$G$86)),2))</f>
        <v>0</v>
      </c>
      <c r="BY376" s="66">
        <f t="shared" si="530"/>
        <v>0</v>
      </c>
      <c r="BZ376" t="str">
        <f t="shared" si="571"/>
        <v>00062</v>
      </c>
      <c r="CA376" t="str">
        <f t="shared" si="572"/>
        <v>Gastos médicos por accidente</v>
      </c>
      <c r="CB376" s="118">
        <f t="shared" si="573"/>
        <v>0</v>
      </c>
      <c r="CC376" s="118" t="str">
        <f t="shared" si="574"/>
        <v>A</v>
      </c>
      <c r="CD376" s="119" t="str">
        <f t="shared" si="531"/>
        <v/>
      </c>
      <c r="CE376" s="66">
        <f>+IF($W376="","",ROUND((VLOOKUP(ROUNDDOWN($D376-1/frec,0),cob_adi,BO$40,FALSE)*(1+i/frec)^-0.5*(1+Parámetros!$D$103)*(1+rec_fracc)/frec*'TABLAS ADI'!$BC$17),2))</f>
        <v>0</v>
      </c>
      <c r="CF376" s="119" t="str">
        <f t="shared" si="532"/>
        <v/>
      </c>
      <c r="CG376" s="66">
        <f>+IF($W376="","",ROUND(IF($B376&gt;Parámetros!$D$107,'Tablas Servicio'!CE376+('Tablas Servicio'!CG375-'Tablas Servicio'!CE375),CE376/(1-IF(B376&lt;=10,Parámetros!$D$100,0))),2))</f>
        <v>0</v>
      </c>
      <c r="CH376" s="66">
        <f t="shared" si="533"/>
        <v>0</v>
      </c>
      <c r="CI376" s="66">
        <f t="shared" si="533"/>
        <v>0</v>
      </c>
      <c r="CJ376" s="66">
        <f>+IF($W376="","",ROUND((CG376*Parámetros!$G$85),2))</f>
        <v>0</v>
      </c>
      <c r="CK376" s="66">
        <f>+IF($W376="","",ROUND((CG376*(Parámetros!$G$86)),2))</f>
        <v>0</v>
      </c>
      <c r="CL376" s="66">
        <f t="shared" si="534"/>
        <v>0</v>
      </c>
      <c r="CM376" t="str">
        <f t="shared" si="575"/>
        <v>00063</v>
      </c>
      <c r="CN376" s="118" t="str">
        <f t="shared" si="576"/>
        <v>Renta Diaria por Hospitalización</v>
      </c>
      <c r="CO376" s="118">
        <f t="shared" si="577"/>
        <v>0</v>
      </c>
      <c r="CP376" s="118" t="str">
        <f t="shared" si="578"/>
        <v>A</v>
      </c>
      <c r="CQ376" s="119" t="str">
        <f t="shared" si="535"/>
        <v/>
      </c>
      <c r="CR376" s="66">
        <f>+IF($W376="","",ROUND((VLOOKUP(Parámetros!$F$51,'COBERTURAS ADICIONALES'!$S$4:$T$32,2,FALSE)*(1+i/frec)^-0.5*(1+Parámetros!$D$103)*(1+rec_fracc)/frec*$CO$42),2))</f>
        <v>0</v>
      </c>
      <c r="CS376" s="119" t="str">
        <f t="shared" si="536"/>
        <v/>
      </c>
      <c r="CT376" s="66">
        <f>+IF($W376="","",ROUND(IF($B376&gt;Parámetros!$D$107,'Tablas Servicio'!CR376+('Tablas Servicio'!CT375-'Tablas Servicio'!CR375),CR376/(1-IF(B376&lt;=10,Parámetros!$D$100,0))),2))</f>
        <v>0</v>
      </c>
      <c r="CU376" s="66">
        <f t="shared" si="537"/>
        <v>0</v>
      </c>
      <c r="CV376" s="66">
        <f t="shared" si="537"/>
        <v>0</v>
      </c>
      <c r="CW376" s="66">
        <f>+IF($W376="","",ROUND((CT376*Parámetros!$G$85),2))</f>
        <v>0</v>
      </c>
      <c r="CX376" s="66">
        <f>+IF($W376="","",ROUND((CT376*(Parámetros!$G$86)),2))</f>
        <v>0</v>
      </c>
      <c r="CY376" s="66">
        <f t="shared" si="538"/>
        <v>0</v>
      </c>
      <c r="CZ376" t="str">
        <f t="shared" si="579"/>
        <v>00064</v>
      </c>
      <c r="DA376" s="118" t="str">
        <f t="shared" si="580"/>
        <v>Enfermedades Graves</v>
      </c>
      <c r="DB376" s="118">
        <f t="shared" si="581"/>
        <v>0</v>
      </c>
      <c r="DC376" s="118" t="str">
        <f t="shared" si="582"/>
        <v>A</v>
      </c>
      <c r="DD376" s="121" t="str">
        <f>+IF(OR($W376="",DB376=0),"",ROUND((VLOOKUP(ROUNDDOWN($D376-1/frec,0),cob_adi,CO$40,FALSE)*(1+i/frec)^-0.5*(1+Parámetros!$D$103)*(1+rec_fracc)/frec),6))</f>
        <v/>
      </c>
      <c r="DE376" s="66">
        <f t="shared" si="539"/>
        <v>0</v>
      </c>
      <c r="DF376" s="119" t="str">
        <f t="shared" si="540"/>
        <v/>
      </c>
      <c r="DG376" s="66">
        <f>+IF($W376="","",ROUND(IF($B376&gt;Parámetros!$D$107,'Tablas Servicio'!DE376+('Tablas Servicio'!DG375-'Tablas Servicio'!DE375),DE376/(1-IF(B376&lt;=10,Parámetros!$D$100,0))),2))</f>
        <v>0</v>
      </c>
      <c r="DH376" s="66">
        <f t="shared" si="541"/>
        <v>0</v>
      </c>
      <c r="DI376" s="66">
        <f t="shared" si="541"/>
        <v>0</v>
      </c>
      <c r="DJ376" s="66">
        <f>+IF($W376="","",ROUND((DG376*Parámetros!$G$85),2))</f>
        <v>0</v>
      </c>
      <c r="DK376" s="66">
        <f>+IF($W376="","",ROUND((DG376*(Parámetros!$G$86)),2))</f>
        <v>0</v>
      </c>
      <c r="DL376" s="66">
        <f t="shared" si="542"/>
        <v>0</v>
      </c>
      <c r="DM376" t="str">
        <f t="shared" si="583"/>
        <v>00065</v>
      </c>
      <c r="DN376" s="118" t="str">
        <f t="shared" si="584"/>
        <v>Exención pago de primas</v>
      </c>
      <c r="DO376" s="118">
        <f t="shared" si="585"/>
        <v>0</v>
      </c>
      <c r="DP376" s="118" t="str">
        <f t="shared" si="586"/>
        <v>A</v>
      </c>
      <c r="DQ376" s="122" t="str">
        <f>+IF(OR($W376="",DO376=0),"",ROUND((VLOOKUP(ROUNDDOWN($D376-1/frec,0),cob_adi,DB$40,FALSE)*(1+i/frec)^-0.5*(1+Parámetros!$D$103)*(1+rec_fracc)/frec),6))</f>
        <v/>
      </c>
      <c r="DR376" s="66">
        <f t="shared" si="543"/>
        <v>0</v>
      </c>
      <c r="DS376" s="68" t="str">
        <f t="shared" si="544"/>
        <v/>
      </c>
      <c r="DT376" s="66">
        <f>+IF($W376="","",ROUND(IF($B376&gt;Parámetros!$D$107,'Tablas Servicio'!DR376+('Tablas Servicio'!DT375-'Tablas Servicio'!DR375),DR376/(1-IF(B376&lt;=10,Parámetros!$D$100,0))),2))</f>
        <v>0</v>
      </c>
      <c r="DU376" s="66">
        <f t="shared" si="545"/>
        <v>0</v>
      </c>
      <c r="DV376" s="66">
        <f t="shared" si="545"/>
        <v>0</v>
      </c>
      <c r="DW376" s="66">
        <f>+IF($W376="","",ROUND((DT376*Parámetros!$G$85),2))</f>
        <v>0</v>
      </c>
      <c r="DX376" s="66">
        <f>+IF($W376="","",ROUND((DT376*(Parámetros!$G$86)),2))</f>
        <v>0</v>
      </c>
      <c r="DY376" s="66">
        <f t="shared" si="546"/>
        <v>0</v>
      </c>
      <c r="DZ376" t="str">
        <f t="shared" si="547"/>
        <v>00066</v>
      </c>
      <c r="EA376" s="118" t="str">
        <f t="shared" si="547"/>
        <v>Enfermedad terminal</v>
      </c>
      <c r="EB376" s="118">
        <f>+IF($W376="","",ROUND(IF(Parámetros!$D$25='TABLAS MORT'!$V$33,EB375,Z376/2),0))</f>
        <v>50000</v>
      </c>
      <c r="EC376" s="118" t="str">
        <f t="shared" si="547"/>
        <v>A</v>
      </c>
      <c r="ED376" s="122">
        <f>+IF(OR($W376="",EB376=0),"",ROUND((VLOOKUP(ROUNDDOWN($D376-1/frec,0),cob_adi,DO$40,FALSE)*(1+i/frec)^-0.5*(1+Parámetros!$D$103)*(1+rec_fracc)/frec),6))</f>
        <v>5.5000000000000002E-5</v>
      </c>
      <c r="EE376" s="66">
        <f t="shared" si="548"/>
        <v>2.75</v>
      </c>
      <c r="EF376" s="68">
        <f t="shared" si="549"/>
        <v>5.5000000000000002E-5</v>
      </c>
      <c r="EG376" s="66">
        <f>+IF($W376="","",ROUND(IF($B376&gt;Parámetros!$D$107,'Tablas Servicio'!EE376+('Tablas Servicio'!EG375-'Tablas Servicio'!EE375),EE376/(1-IF(B376&lt;=10,Parámetros!$D$100,0))),2))</f>
        <v>2.75</v>
      </c>
      <c r="EH376" s="66">
        <f t="shared" si="550"/>
        <v>0</v>
      </c>
      <c r="EI376" s="66">
        <f t="shared" si="550"/>
        <v>0</v>
      </c>
      <c r="EJ376" s="66">
        <f>+IF($W376="","",ROUND((EG376*Parámetros!$G$85),2))</f>
        <v>0.1</v>
      </c>
      <c r="EK376" s="66">
        <f>+IF($W376="","",ROUND((EG376*(Parámetros!$G$86)),2))</f>
        <v>0.01</v>
      </c>
      <c r="EL376" s="66">
        <f t="shared" si="551"/>
        <v>2.86</v>
      </c>
    </row>
    <row r="377" spans="1:142" x14ac:dyDescent="0.25">
      <c r="A377">
        <f>+IF($C377="","",ROUND(VLOOKUP('Tablas Servicio'!B377,Parámetros!$H$100:$J$159,IF(Parámetros!$E$16="F",2,3),FALSE),2))</f>
        <v>150</v>
      </c>
      <c r="B377">
        <f t="shared" si="502"/>
        <v>28</v>
      </c>
      <c r="C377" s="57">
        <f>+IF(D377="","",'Tablas Servicio'!C376+1)</f>
        <v>336</v>
      </c>
      <c r="D377" s="56">
        <f>+IF(D376&lt;edadmaxtabla,D376+1/Parámetros!$E$25,"")</f>
        <v>68.020000000000451</v>
      </c>
      <c r="E377" s="57">
        <f t="shared" si="512"/>
        <v>68</v>
      </c>
      <c r="F377" s="59">
        <f t="shared" si="513"/>
        <v>100000</v>
      </c>
      <c r="G377" s="66">
        <f t="shared" si="503"/>
        <v>102.25</v>
      </c>
      <c r="H377" s="66">
        <f t="shared" si="504"/>
        <v>106.34</v>
      </c>
      <c r="I377" s="66">
        <f t="shared" si="552"/>
        <v>-12.340000000000003</v>
      </c>
      <c r="J377" s="66">
        <f t="shared" si="505"/>
        <v>3.58</v>
      </c>
      <c r="K377" s="66">
        <f t="shared" si="506"/>
        <v>0.51</v>
      </c>
      <c r="L377" s="66">
        <f t="shared" si="507"/>
        <v>0</v>
      </c>
      <c r="M377" s="66">
        <f t="shared" si="508"/>
        <v>0</v>
      </c>
      <c r="N377" s="66">
        <f>+IF(C377="","",ROUND(Parámetros!$D$23,2))</f>
        <v>94</v>
      </c>
      <c r="O377" s="66">
        <f t="shared" si="509"/>
        <v>89.75</v>
      </c>
      <c r="P377" s="66">
        <f>+IF($C377="","",ROUND(IF(B377&gt;Parámetros!$D$117,0,N377*Parámetros!$D$116-G377*Parámetros!$D$100),2))</f>
        <v>0</v>
      </c>
      <c r="Q377" s="75">
        <f t="shared" si="553"/>
        <v>3.5012224938875305E-2</v>
      </c>
      <c r="R377" s="75">
        <f t="shared" si="554"/>
        <v>4.9877750611246946E-3</v>
      </c>
      <c r="S377" s="117">
        <f>+IF($C377="","",ROUND((S376+I377)*(1+Parámetros!$D$91),2))</f>
        <v>24885.98</v>
      </c>
      <c r="T377" s="117">
        <f>+IF($C377="","",ROUND(S377*VLOOKUP(B377,Parámetros!$C$30:$D$39,2,TRUE),2))</f>
        <v>24885.98</v>
      </c>
      <c r="U377" s="117">
        <f>+IF($C377="","",ROUND((U376+I377)*(1+Parámetros!$D$92),2))</f>
        <v>27298.16</v>
      </c>
      <c r="V377" s="117">
        <f>+IF($C377="","",ROUND(U377*VLOOKUP(B377,Parámetros!$C$30:$D$39,2,TRUE),2))</f>
        <v>27298.16</v>
      </c>
      <c r="W377" s="57">
        <f t="shared" si="555"/>
        <v>336</v>
      </c>
      <c r="X377" t="str">
        <f t="shared" si="556"/>
        <v>00058</v>
      </c>
      <c r="Y377" t="str">
        <f t="shared" si="557"/>
        <v>MUERTE POR CUALQUIER CAUSA</v>
      </c>
      <c r="Z377" s="118">
        <f>+IF($W377="","",ROUND(IF(Parámetros!$D$25='TABLAS MORT'!$V$33,Z376,Parámetros!$D$21-'Tablas Servicio'!T376),0))</f>
        <v>100000</v>
      </c>
      <c r="AA377" s="118" t="str">
        <f t="shared" si="558"/>
        <v>P</v>
      </c>
      <c r="AB377" s="119">
        <f>+IF(W377="","",ROUND((VLOOKUP(ROUNDDOWN($D377-1/frec,0),qx_tabla,2,FALSE)*(1+i/frec)^-0.5*(1+Parámetros!$D$103)*(1+rec_fracc)/frec),6))</f>
        <v>8.7000000000000001E-4</v>
      </c>
      <c r="AC377" s="66">
        <f t="shared" si="514"/>
        <v>87</v>
      </c>
      <c r="AD377" s="119">
        <f t="shared" si="510"/>
        <v>9.9500000000000001E-4</v>
      </c>
      <c r="AE377" s="66">
        <f>+IF($W377="","",ROUND(IF($B377&gt;Parámetros!$D$107,'Tablas Servicio'!AC377+('Tablas Servicio'!AG376-'Tablas Servicio'!AC376),AC377/(1-IF(B377&lt;=10,Parámetros!$D$104,Parámetros!$D$105))),2))</f>
        <v>145</v>
      </c>
      <c r="AF377" s="66">
        <f>+IF($W377="","",ROUND(IF($B377&gt;Parámetros!$D$107,'Tablas Servicio'!AC377+('Tablas Servicio'!AG376-'Tablas Servicio'!AC376),(AC377+$A376/frec)/(1-IF(B377&lt;=Parámetros!$D$117,Parámetros!$D$100,0))),2))</f>
        <v>99.5</v>
      </c>
      <c r="AG377" s="66">
        <f t="shared" si="515"/>
        <v>99.5</v>
      </c>
      <c r="AH377" s="66">
        <f t="shared" si="516"/>
        <v>0</v>
      </c>
      <c r="AI377" s="66">
        <f t="shared" si="517"/>
        <v>0</v>
      </c>
      <c r="AJ377" s="66">
        <f>+IF($W377="","",ROUND((AG377*Parámetros!$G$85),2))</f>
        <v>3.48</v>
      </c>
      <c r="AK377" s="66">
        <f>+IF($W377="","",ROUND((AG377*(Parámetros!$G$86)),2))</f>
        <v>0.5</v>
      </c>
      <c r="AL377" s="66">
        <f t="shared" si="511"/>
        <v>103.48</v>
      </c>
      <c r="AM377" t="str">
        <f t="shared" si="559"/>
        <v>00059</v>
      </c>
      <c r="AN377" t="str">
        <f t="shared" si="560"/>
        <v>Incapacidad Total y Permanente</v>
      </c>
      <c r="AO377" s="118">
        <f t="shared" si="561"/>
        <v>0</v>
      </c>
      <c r="AP377" s="118" t="str">
        <f t="shared" si="562"/>
        <v>A</v>
      </c>
      <c r="AQ377" s="119" t="str">
        <f>+IF(OR($W377="",AO377=0),"",ROUND((VLOOKUP(ROUNDDOWN($D377-1/frec,0),cob_adi,Z$40,FALSE)*(1+i/frec)^-0.5*(1+Parámetros!$D$103)*(1+rec_fracc)/frec),6))</f>
        <v/>
      </c>
      <c r="AR377" s="66">
        <f t="shared" si="518"/>
        <v>0</v>
      </c>
      <c r="AS377" s="119" t="str">
        <f t="shared" si="519"/>
        <v/>
      </c>
      <c r="AT377" s="66">
        <f>+IF($W377="","",ROUND(IF($B377&gt;Parámetros!$D$107,'Tablas Servicio'!AR377+('Tablas Servicio'!AT376-'Tablas Servicio'!AR376),AR377/(1-IF(B377&lt;=10,Parámetros!$D$100,0))),2))</f>
        <v>0</v>
      </c>
      <c r="AU377" s="66">
        <f t="shared" si="520"/>
        <v>0</v>
      </c>
      <c r="AV377" s="66">
        <f t="shared" si="520"/>
        <v>0</v>
      </c>
      <c r="AW377" s="66">
        <f>+IF($W377="","",ROUND((AT377*Parámetros!$G$85),2))</f>
        <v>0</v>
      </c>
      <c r="AX377" s="66">
        <f>+IF($W377="","",ROUND((AT377*(Parámetros!$G$86)),2))</f>
        <v>0</v>
      </c>
      <c r="AY377" s="66">
        <f t="shared" si="521"/>
        <v>0</v>
      </c>
      <c r="AZ377" t="str">
        <f t="shared" si="563"/>
        <v>00060</v>
      </c>
      <c r="BA377" t="str">
        <f t="shared" si="564"/>
        <v>Muerte Accidental</v>
      </c>
      <c r="BB377" s="118">
        <f t="shared" si="565"/>
        <v>0</v>
      </c>
      <c r="BC377" s="118" t="str">
        <f t="shared" si="566"/>
        <v>A</v>
      </c>
      <c r="BD377" s="119" t="str">
        <f>+IF(OR($W377="",BB377=0),"",ROUND((VLOOKUP(ROUNDDOWN($D377-1/frec,0),cob_adi,AO$40,FALSE)*(1+i/frec)^-0.5*(1+Parámetros!$D$103)*(1+rec_fracc)/frec),6))</f>
        <v/>
      </c>
      <c r="BE377" s="66">
        <f t="shared" si="522"/>
        <v>0</v>
      </c>
      <c r="BF377" s="119" t="str">
        <f t="shared" si="523"/>
        <v/>
      </c>
      <c r="BG377" s="66">
        <f>+IF($W377="","",ROUND(IF($B377&gt;Parámetros!$D$107,'Tablas Servicio'!BE377+('Tablas Servicio'!BG376-'Tablas Servicio'!BE376),BE377/(1-IF(B377&lt;=10,Parámetros!$D$100,0))),2))</f>
        <v>0</v>
      </c>
      <c r="BH377" s="66">
        <f t="shared" si="524"/>
        <v>0</v>
      </c>
      <c r="BI377" s="66">
        <f t="shared" si="525"/>
        <v>0</v>
      </c>
      <c r="BJ377" s="66">
        <f>+IF($W377="","",ROUND((BG377*Parámetros!$G$85),2))</f>
        <v>0</v>
      </c>
      <c r="BK377" s="66">
        <f>+IF($W377="","",ROUND((BG377*(Parámetros!$G$86)),2))</f>
        <v>0</v>
      </c>
      <c r="BL377" s="66">
        <f t="shared" si="526"/>
        <v>0</v>
      </c>
      <c r="BM377" t="str">
        <f t="shared" si="567"/>
        <v>00061</v>
      </c>
      <c r="BN377" t="str">
        <f t="shared" si="568"/>
        <v>Gastos de Entierro</v>
      </c>
      <c r="BO377" s="118">
        <f t="shared" si="569"/>
        <v>0</v>
      </c>
      <c r="BP377" s="118" t="str">
        <f t="shared" si="570"/>
        <v>A</v>
      </c>
      <c r="BQ377" s="119" t="str">
        <f>+IF(OR($W377="",BO377=0),"",ROUND((VLOOKUP(ROUNDDOWN($D377-1/frec,0),cob_adi,BB$40,FALSE)*(1+i/frec)^-0.5*(1+Parámetros!$D$103)*(1+rec_fracc)/frec),6))</f>
        <v/>
      </c>
      <c r="BR377" s="66">
        <f t="shared" si="527"/>
        <v>0</v>
      </c>
      <c r="BS377" s="119" t="str">
        <f t="shared" si="528"/>
        <v/>
      </c>
      <c r="BT377" s="66">
        <f>+IF($W377="","",ROUND(IF($B377&gt;Parámetros!$D$107,'Tablas Servicio'!BR377+('Tablas Servicio'!BT376-'Tablas Servicio'!BR376),BR377/(1-IF(B377&lt;=10,Parámetros!$D$100,0))),2))</f>
        <v>0</v>
      </c>
      <c r="BU377" s="66">
        <f t="shared" si="529"/>
        <v>0</v>
      </c>
      <c r="BV377" s="66">
        <f t="shared" si="529"/>
        <v>0</v>
      </c>
      <c r="BW377" s="66">
        <f>+IF($W377="","",ROUND((BT377*Parámetros!$G$85),2))</f>
        <v>0</v>
      </c>
      <c r="BX377" s="66">
        <f>+IF($W377="","",ROUND((BT377*(Parámetros!$G$86)),2))</f>
        <v>0</v>
      </c>
      <c r="BY377" s="66">
        <f t="shared" si="530"/>
        <v>0</v>
      </c>
      <c r="BZ377" t="str">
        <f t="shared" si="571"/>
        <v>00062</v>
      </c>
      <c r="CA377" t="str">
        <f t="shared" si="572"/>
        <v>Gastos médicos por accidente</v>
      </c>
      <c r="CB377" s="118">
        <f t="shared" si="573"/>
        <v>0</v>
      </c>
      <c r="CC377" s="118" t="str">
        <f t="shared" si="574"/>
        <v>A</v>
      </c>
      <c r="CD377" s="119" t="str">
        <f t="shared" si="531"/>
        <v/>
      </c>
      <c r="CE377" s="66">
        <f>+IF($W377="","",ROUND((VLOOKUP(ROUNDDOWN($D377-1/frec,0),cob_adi,BO$40,FALSE)*(1+i/frec)^-0.5*(1+Parámetros!$D$103)*(1+rec_fracc)/frec*'TABLAS ADI'!$BC$17),2))</f>
        <v>0</v>
      </c>
      <c r="CF377" s="119" t="str">
        <f t="shared" si="532"/>
        <v/>
      </c>
      <c r="CG377" s="66">
        <f>+IF($W377="","",ROUND(IF($B377&gt;Parámetros!$D$107,'Tablas Servicio'!CE377+('Tablas Servicio'!CG376-'Tablas Servicio'!CE376),CE377/(1-IF(B377&lt;=10,Parámetros!$D$100,0))),2))</f>
        <v>0</v>
      </c>
      <c r="CH377" s="66">
        <f t="shared" si="533"/>
        <v>0</v>
      </c>
      <c r="CI377" s="66">
        <f t="shared" si="533"/>
        <v>0</v>
      </c>
      <c r="CJ377" s="66">
        <f>+IF($W377="","",ROUND((CG377*Parámetros!$G$85),2))</f>
        <v>0</v>
      </c>
      <c r="CK377" s="66">
        <f>+IF($W377="","",ROUND((CG377*(Parámetros!$G$86)),2))</f>
        <v>0</v>
      </c>
      <c r="CL377" s="66">
        <f t="shared" si="534"/>
        <v>0</v>
      </c>
      <c r="CM377" t="str">
        <f t="shared" si="575"/>
        <v>00063</v>
      </c>
      <c r="CN377" s="118" t="str">
        <f t="shared" si="576"/>
        <v>Renta Diaria por Hospitalización</v>
      </c>
      <c r="CO377" s="118">
        <f t="shared" si="577"/>
        <v>0</v>
      </c>
      <c r="CP377" s="118" t="str">
        <f t="shared" si="578"/>
        <v>A</v>
      </c>
      <c r="CQ377" s="119" t="str">
        <f t="shared" si="535"/>
        <v/>
      </c>
      <c r="CR377" s="66">
        <f>+IF($W377="","",ROUND((VLOOKUP(Parámetros!$F$51,'COBERTURAS ADICIONALES'!$S$4:$T$32,2,FALSE)*(1+i/frec)^-0.5*(1+Parámetros!$D$103)*(1+rec_fracc)/frec*$CO$42),2))</f>
        <v>0</v>
      </c>
      <c r="CS377" s="119" t="str">
        <f t="shared" si="536"/>
        <v/>
      </c>
      <c r="CT377" s="66">
        <f>+IF($W377="","",ROUND(IF($B377&gt;Parámetros!$D$107,'Tablas Servicio'!CR377+('Tablas Servicio'!CT376-'Tablas Servicio'!CR376),CR377/(1-IF(B377&lt;=10,Parámetros!$D$100,0))),2))</f>
        <v>0</v>
      </c>
      <c r="CU377" s="66">
        <f t="shared" si="537"/>
        <v>0</v>
      </c>
      <c r="CV377" s="66">
        <f t="shared" si="537"/>
        <v>0</v>
      </c>
      <c r="CW377" s="66">
        <f>+IF($W377="","",ROUND((CT377*Parámetros!$G$85),2))</f>
        <v>0</v>
      </c>
      <c r="CX377" s="66">
        <f>+IF($W377="","",ROUND((CT377*(Parámetros!$G$86)),2))</f>
        <v>0</v>
      </c>
      <c r="CY377" s="66">
        <f t="shared" si="538"/>
        <v>0</v>
      </c>
      <c r="CZ377" t="str">
        <f t="shared" si="579"/>
        <v>00064</v>
      </c>
      <c r="DA377" s="118" t="str">
        <f t="shared" si="580"/>
        <v>Enfermedades Graves</v>
      </c>
      <c r="DB377" s="118">
        <f t="shared" si="581"/>
        <v>0</v>
      </c>
      <c r="DC377" s="118" t="str">
        <f t="shared" si="582"/>
        <v>A</v>
      </c>
      <c r="DD377" s="121" t="str">
        <f>+IF(OR($W377="",DB377=0),"",ROUND((VLOOKUP(ROUNDDOWN($D377-1/frec,0),cob_adi,CO$40,FALSE)*(1+i/frec)^-0.5*(1+Parámetros!$D$103)*(1+rec_fracc)/frec),6))</f>
        <v/>
      </c>
      <c r="DE377" s="66">
        <f t="shared" si="539"/>
        <v>0</v>
      </c>
      <c r="DF377" s="119" t="str">
        <f t="shared" si="540"/>
        <v/>
      </c>
      <c r="DG377" s="66">
        <f>+IF($W377="","",ROUND(IF($B377&gt;Parámetros!$D$107,'Tablas Servicio'!DE377+('Tablas Servicio'!DG376-'Tablas Servicio'!DE376),DE377/(1-IF(B377&lt;=10,Parámetros!$D$100,0))),2))</f>
        <v>0</v>
      </c>
      <c r="DH377" s="66">
        <f t="shared" si="541"/>
        <v>0</v>
      </c>
      <c r="DI377" s="66">
        <f t="shared" si="541"/>
        <v>0</v>
      </c>
      <c r="DJ377" s="66">
        <f>+IF($W377="","",ROUND((DG377*Parámetros!$G$85),2))</f>
        <v>0</v>
      </c>
      <c r="DK377" s="66">
        <f>+IF($W377="","",ROUND((DG377*(Parámetros!$G$86)),2))</f>
        <v>0</v>
      </c>
      <c r="DL377" s="66">
        <f t="shared" si="542"/>
        <v>0</v>
      </c>
      <c r="DM377" t="str">
        <f t="shared" si="583"/>
        <v>00065</v>
      </c>
      <c r="DN377" s="118" t="str">
        <f t="shared" si="584"/>
        <v>Exención pago de primas</v>
      </c>
      <c r="DO377" s="118">
        <f t="shared" si="585"/>
        <v>0</v>
      </c>
      <c r="DP377" s="118" t="str">
        <f t="shared" si="586"/>
        <v>A</v>
      </c>
      <c r="DQ377" s="122" t="str">
        <f>+IF(OR($W377="",DO377=0),"",ROUND((VLOOKUP(ROUNDDOWN($D377-1/frec,0),cob_adi,DB$40,FALSE)*(1+i/frec)^-0.5*(1+Parámetros!$D$103)*(1+rec_fracc)/frec),6))</f>
        <v/>
      </c>
      <c r="DR377" s="66">
        <f t="shared" si="543"/>
        <v>0</v>
      </c>
      <c r="DS377" s="68" t="str">
        <f t="shared" si="544"/>
        <v/>
      </c>
      <c r="DT377" s="66">
        <f>+IF($W377="","",ROUND(IF($B377&gt;Parámetros!$D$107,'Tablas Servicio'!DR377+('Tablas Servicio'!DT376-'Tablas Servicio'!DR376),DR377/(1-IF(B377&lt;=10,Parámetros!$D$100,0))),2))</f>
        <v>0</v>
      </c>
      <c r="DU377" s="66">
        <f t="shared" si="545"/>
        <v>0</v>
      </c>
      <c r="DV377" s="66">
        <f t="shared" si="545"/>
        <v>0</v>
      </c>
      <c r="DW377" s="66">
        <f>+IF($W377="","",ROUND((DT377*Parámetros!$G$85),2))</f>
        <v>0</v>
      </c>
      <c r="DX377" s="66">
        <f>+IF($W377="","",ROUND((DT377*(Parámetros!$G$86)),2))</f>
        <v>0</v>
      </c>
      <c r="DY377" s="66">
        <f t="shared" si="546"/>
        <v>0</v>
      </c>
      <c r="DZ377" t="str">
        <f t="shared" si="547"/>
        <v>00066</v>
      </c>
      <c r="EA377" s="118" t="str">
        <f t="shared" si="547"/>
        <v>Enfermedad terminal</v>
      </c>
      <c r="EB377" s="118">
        <f>+IF($W377="","",ROUND(IF(Parámetros!$D$25='TABLAS MORT'!$V$33,EB376,Z377/2),0))</f>
        <v>50000</v>
      </c>
      <c r="EC377" s="118" t="str">
        <f t="shared" si="547"/>
        <v>A</v>
      </c>
      <c r="ED377" s="122">
        <f>+IF(OR($W377="",EB377=0),"",ROUND((VLOOKUP(ROUNDDOWN($D377-1/frec,0),cob_adi,DO$40,FALSE)*(1+i/frec)^-0.5*(1+Parámetros!$D$103)*(1+rec_fracc)/frec),6))</f>
        <v>5.5000000000000002E-5</v>
      </c>
      <c r="EE377" s="66">
        <f t="shared" si="548"/>
        <v>2.75</v>
      </c>
      <c r="EF377" s="68">
        <f t="shared" si="549"/>
        <v>5.5000000000000002E-5</v>
      </c>
      <c r="EG377" s="66">
        <f>+IF($W377="","",ROUND(IF($B377&gt;Parámetros!$D$107,'Tablas Servicio'!EE377+('Tablas Servicio'!EG376-'Tablas Servicio'!EE376),EE377/(1-IF(B377&lt;=10,Parámetros!$D$100,0))),2))</f>
        <v>2.75</v>
      </c>
      <c r="EH377" s="66">
        <f t="shared" si="550"/>
        <v>0</v>
      </c>
      <c r="EI377" s="66">
        <f t="shared" si="550"/>
        <v>0</v>
      </c>
      <c r="EJ377" s="66">
        <f>+IF($W377="","",ROUND((EG377*Parámetros!$G$85),2))</f>
        <v>0.1</v>
      </c>
      <c r="EK377" s="66">
        <f>+IF($W377="","",ROUND((EG377*(Parámetros!$G$86)),2))</f>
        <v>0.01</v>
      </c>
      <c r="EL377" s="66">
        <f t="shared" si="551"/>
        <v>2.86</v>
      </c>
    </row>
    <row r="378" spans="1:142" x14ac:dyDescent="0.25">
      <c r="A378">
        <f>+IF($C378="","",ROUND(VLOOKUP('Tablas Servicio'!B378,Parámetros!$H$100:$J$159,IF(Parámetros!$E$16="F",2,3),FALSE),2))</f>
        <v>150</v>
      </c>
      <c r="B378">
        <f t="shared" si="502"/>
        <v>29</v>
      </c>
      <c r="C378" s="57">
        <f>+IF(D378="","",'Tablas Servicio'!C377+1)</f>
        <v>337</v>
      </c>
      <c r="D378" s="56">
        <f>+IF(D377&lt;edadmaxtabla,D377+1/Parámetros!$E$25,"")</f>
        <v>68.103333333333779</v>
      </c>
      <c r="E378" s="57">
        <f t="shared" si="512"/>
        <v>68</v>
      </c>
      <c r="F378" s="59">
        <f t="shared" si="513"/>
        <v>100000</v>
      </c>
      <c r="G378" s="66">
        <f t="shared" si="503"/>
        <v>109.95</v>
      </c>
      <c r="H378" s="66">
        <f t="shared" si="504"/>
        <v>114.35</v>
      </c>
      <c r="I378" s="66">
        <f t="shared" si="552"/>
        <v>-20.349999999999994</v>
      </c>
      <c r="J378" s="66">
        <f t="shared" si="505"/>
        <v>3.85</v>
      </c>
      <c r="K378" s="66">
        <f t="shared" si="506"/>
        <v>0.55000000000000004</v>
      </c>
      <c r="L378" s="66">
        <f t="shared" si="507"/>
        <v>0</v>
      </c>
      <c r="M378" s="66">
        <f t="shared" si="508"/>
        <v>0</v>
      </c>
      <c r="N378" s="66">
        <f>+IF(C378="","",ROUND(Parámetros!$D$23,2))</f>
        <v>94</v>
      </c>
      <c r="O378" s="66">
        <f t="shared" si="509"/>
        <v>97.45</v>
      </c>
      <c r="P378" s="66">
        <f>+IF($C378="","",ROUND(IF(B378&gt;Parámetros!$D$117,0,N378*Parámetros!$D$116-G378*Parámetros!$D$100),2))</f>
        <v>0</v>
      </c>
      <c r="Q378" s="75">
        <f t="shared" si="553"/>
        <v>3.5015916325602546E-2</v>
      </c>
      <c r="R378" s="75">
        <f t="shared" si="554"/>
        <v>5.0022737608003643E-3</v>
      </c>
      <c r="S378" s="117">
        <f>+IF($C378="","",ROUND((S377+I378)*(1+Parámetros!$D$91),2))</f>
        <v>24936.16</v>
      </c>
      <c r="T378" s="117">
        <f>+IF($C378="","",ROUND(S378*VLOOKUP(B378,Parámetros!$C$30:$D$39,2,TRUE),2))</f>
        <v>24936.16</v>
      </c>
      <c r="U378" s="117">
        <f>+IF($C378="","",ROUND((U377+I378)*(1+Parámetros!$D$92),2))</f>
        <v>27366.240000000002</v>
      </c>
      <c r="V378" s="117">
        <f>+IF($C378="","",ROUND(U378*VLOOKUP(B378,Parámetros!$C$30:$D$39,2,TRUE),2))</f>
        <v>27366.240000000002</v>
      </c>
      <c r="W378" s="57">
        <f t="shared" si="555"/>
        <v>337</v>
      </c>
      <c r="X378" t="str">
        <f t="shared" si="556"/>
        <v>00058</v>
      </c>
      <c r="Y378" t="str">
        <f t="shared" si="557"/>
        <v>MUERTE POR CUALQUIER CAUSA</v>
      </c>
      <c r="Z378" s="118">
        <f>+IF($W378="","",ROUND(IF(Parámetros!$D$25='TABLAS MORT'!$V$33,Z377,Parámetros!$D$21-'Tablas Servicio'!T377),0))</f>
        <v>100000</v>
      </c>
      <c r="AA378" s="118" t="str">
        <f t="shared" si="558"/>
        <v>P</v>
      </c>
      <c r="AB378" s="119">
        <f>+IF(W378="","",ROUND((VLOOKUP(ROUNDDOWN($D378-1/frec,0),qx_tabla,2,FALSE)*(1+i/frec)^-0.5*(1+Parámetros!$D$103)*(1+rec_fracc)/frec),6))</f>
        <v>9.4700000000000003E-4</v>
      </c>
      <c r="AC378" s="66">
        <f t="shared" si="514"/>
        <v>94.7</v>
      </c>
      <c r="AD378" s="119">
        <f t="shared" si="510"/>
        <v>1.072E-3</v>
      </c>
      <c r="AE378" s="66">
        <f>+IF($W378="","",ROUND(IF($B378&gt;Parámetros!$D$107,'Tablas Servicio'!AC378+('Tablas Servicio'!AG377-'Tablas Servicio'!AC377),AC378/(1-IF(B378&lt;=10,Parámetros!$D$104,Parámetros!$D$105))),2))</f>
        <v>157.83000000000001</v>
      </c>
      <c r="AF378" s="66">
        <f>+IF($W378="","",ROUND(IF($B378&gt;Parámetros!$D$107,'Tablas Servicio'!AC378+('Tablas Servicio'!AG377-'Tablas Servicio'!AC377),(AC378+$A377/frec)/(1-IF(B378&lt;=Parámetros!$D$117,Parámetros!$D$100,0))),2))</f>
        <v>107.2</v>
      </c>
      <c r="AG378" s="66">
        <f t="shared" si="515"/>
        <v>107.2</v>
      </c>
      <c r="AH378" s="66">
        <f t="shared" si="516"/>
        <v>0</v>
      </c>
      <c r="AI378" s="66">
        <f t="shared" si="517"/>
        <v>0</v>
      </c>
      <c r="AJ378" s="66">
        <f>+IF($W378="","",ROUND((AG378*Parámetros!$G$85),2))</f>
        <v>3.75</v>
      </c>
      <c r="AK378" s="66">
        <f>+IF($W378="","",ROUND((AG378*(Parámetros!$G$86)),2))</f>
        <v>0.54</v>
      </c>
      <c r="AL378" s="66">
        <f t="shared" si="511"/>
        <v>111.49</v>
      </c>
      <c r="AM378" t="str">
        <f t="shared" si="559"/>
        <v>00059</v>
      </c>
      <c r="AN378" t="str">
        <f t="shared" si="560"/>
        <v>Incapacidad Total y Permanente</v>
      </c>
      <c r="AO378" s="118">
        <f t="shared" si="561"/>
        <v>0</v>
      </c>
      <c r="AP378" s="118" t="str">
        <f t="shared" si="562"/>
        <v>A</v>
      </c>
      <c r="AQ378" s="119" t="str">
        <f>+IF(OR($W378="",AO378=0),"",ROUND((VLOOKUP(ROUNDDOWN($D378-1/frec,0),cob_adi,Z$40,FALSE)*(1+i/frec)^-0.5*(1+Parámetros!$D$103)*(1+rec_fracc)/frec),6))</f>
        <v/>
      </c>
      <c r="AR378" s="66">
        <f t="shared" si="518"/>
        <v>0</v>
      </c>
      <c r="AS378" s="119" t="str">
        <f t="shared" si="519"/>
        <v/>
      </c>
      <c r="AT378" s="66">
        <f>+IF($W378="","",ROUND(IF($B378&gt;Parámetros!$D$107,'Tablas Servicio'!AR378+('Tablas Servicio'!AT377-'Tablas Servicio'!AR377),AR378/(1-IF(B378&lt;=10,Parámetros!$D$100,0))),2))</f>
        <v>0</v>
      </c>
      <c r="AU378" s="66">
        <f t="shared" si="520"/>
        <v>0</v>
      </c>
      <c r="AV378" s="66">
        <f t="shared" si="520"/>
        <v>0</v>
      </c>
      <c r="AW378" s="66">
        <f>+IF($W378="","",ROUND((AT378*Parámetros!$G$85),2))</f>
        <v>0</v>
      </c>
      <c r="AX378" s="66">
        <f>+IF($W378="","",ROUND((AT378*(Parámetros!$G$86)),2))</f>
        <v>0</v>
      </c>
      <c r="AY378" s="66">
        <f t="shared" si="521"/>
        <v>0</v>
      </c>
      <c r="AZ378" t="str">
        <f t="shared" si="563"/>
        <v>00060</v>
      </c>
      <c r="BA378" t="str">
        <f t="shared" si="564"/>
        <v>Muerte Accidental</v>
      </c>
      <c r="BB378" s="118">
        <f t="shared" si="565"/>
        <v>0</v>
      </c>
      <c r="BC378" s="118" t="str">
        <f t="shared" si="566"/>
        <v>A</v>
      </c>
      <c r="BD378" s="119" t="str">
        <f>+IF(OR($W378="",BB378=0),"",ROUND((VLOOKUP(ROUNDDOWN($D378-1/frec,0),cob_adi,AO$40,FALSE)*(1+i/frec)^-0.5*(1+Parámetros!$D$103)*(1+rec_fracc)/frec),6))</f>
        <v/>
      </c>
      <c r="BE378" s="66">
        <f t="shared" si="522"/>
        <v>0</v>
      </c>
      <c r="BF378" s="119" t="str">
        <f t="shared" si="523"/>
        <v/>
      </c>
      <c r="BG378" s="66">
        <f>+IF($W378="","",ROUND(IF($B378&gt;Parámetros!$D$107,'Tablas Servicio'!BE378+('Tablas Servicio'!BG377-'Tablas Servicio'!BE377),BE378/(1-IF(B378&lt;=10,Parámetros!$D$100,0))),2))</f>
        <v>0</v>
      </c>
      <c r="BH378" s="66">
        <f t="shared" si="524"/>
        <v>0</v>
      </c>
      <c r="BI378" s="66">
        <f t="shared" si="525"/>
        <v>0</v>
      </c>
      <c r="BJ378" s="66">
        <f>+IF($W378="","",ROUND((BG378*Parámetros!$G$85),2))</f>
        <v>0</v>
      </c>
      <c r="BK378" s="66">
        <f>+IF($W378="","",ROUND((BG378*(Parámetros!$G$86)),2))</f>
        <v>0</v>
      </c>
      <c r="BL378" s="66">
        <f t="shared" si="526"/>
        <v>0</v>
      </c>
      <c r="BM378" t="str">
        <f t="shared" si="567"/>
        <v>00061</v>
      </c>
      <c r="BN378" t="str">
        <f t="shared" si="568"/>
        <v>Gastos de Entierro</v>
      </c>
      <c r="BO378" s="118">
        <f t="shared" si="569"/>
        <v>0</v>
      </c>
      <c r="BP378" s="118" t="str">
        <f t="shared" si="570"/>
        <v>A</v>
      </c>
      <c r="BQ378" s="119" t="str">
        <f>+IF(OR($W378="",BO378=0),"",ROUND((VLOOKUP(ROUNDDOWN($D378-1/frec,0),cob_adi,BB$40,FALSE)*(1+i/frec)^-0.5*(1+Parámetros!$D$103)*(1+rec_fracc)/frec),6))</f>
        <v/>
      </c>
      <c r="BR378" s="66">
        <f t="shared" si="527"/>
        <v>0</v>
      </c>
      <c r="BS378" s="119" t="str">
        <f t="shared" si="528"/>
        <v/>
      </c>
      <c r="BT378" s="66">
        <f>+IF($W378="","",ROUND(IF($B378&gt;Parámetros!$D$107,'Tablas Servicio'!BR378+('Tablas Servicio'!BT377-'Tablas Servicio'!BR377),BR378/(1-IF(B378&lt;=10,Parámetros!$D$100,0))),2))</f>
        <v>0</v>
      </c>
      <c r="BU378" s="66">
        <f t="shared" si="529"/>
        <v>0</v>
      </c>
      <c r="BV378" s="66">
        <f t="shared" si="529"/>
        <v>0</v>
      </c>
      <c r="BW378" s="66">
        <f>+IF($W378="","",ROUND((BT378*Parámetros!$G$85),2))</f>
        <v>0</v>
      </c>
      <c r="BX378" s="66">
        <f>+IF($W378="","",ROUND((BT378*(Parámetros!$G$86)),2))</f>
        <v>0</v>
      </c>
      <c r="BY378" s="66">
        <f t="shared" si="530"/>
        <v>0</v>
      </c>
      <c r="BZ378" t="str">
        <f t="shared" si="571"/>
        <v>00062</v>
      </c>
      <c r="CA378" t="str">
        <f t="shared" si="572"/>
        <v>Gastos médicos por accidente</v>
      </c>
      <c r="CB378" s="118">
        <f t="shared" si="573"/>
        <v>0</v>
      </c>
      <c r="CC378" s="118" t="str">
        <f t="shared" si="574"/>
        <v>A</v>
      </c>
      <c r="CD378" s="119" t="str">
        <f t="shared" si="531"/>
        <v/>
      </c>
      <c r="CE378" s="66">
        <f>+IF($W378="","",ROUND((VLOOKUP(ROUNDDOWN($D378-1/frec,0),cob_adi,BO$40,FALSE)*(1+i/frec)^-0.5*(1+Parámetros!$D$103)*(1+rec_fracc)/frec*'TABLAS ADI'!$BC$17),2))</f>
        <v>0</v>
      </c>
      <c r="CF378" s="119" t="str">
        <f t="shared" si="532"/>
        <v/>
      </c>
      <c r="CG378" s="66">
        <f>+IF($W378="","",ROUND(IF($B378&gt;Parámetros!$D$107,'Tablas Servicio'!CE378+('Tablas Servicio'!CG377-'Tablas Servicio'!CE377),CE378/(1-IF(B378&lt;=10,Parámetros!$D$100,0))),2))</f>
        <v>0</v>
      </c>
      <c r="CH378" s="66">
        <f t="shared" si="533"/>
        <v>0</v>
      </c>
      <c r="CI378" s="66">
        <f t="shared" si="533"/>
        <v>0</v>
      </c>
      <c r="CJ378" s="66">
        <f>+IF($W378="","",ROUND((CG378*Parámetros!$G$85),2))</f>
        <v>0</v>
      </c>
      <c r="CK378" s="66">
        <f>+IF($W378="","",ROUND((CG378*(Parámetros!$G$86)),2))</f>
        <v>0</v>
      </c>
      <c r="CL378" s="66">
        <f t="shared" si="534"/>
        <v>0</v>
      </c>
      <c r="CM378" t="str">
        <f t="shared" si="575"/>
        <v>00063</v>
      </c>
      <c r="CN378" s="118" t="str">
        <f t="shared" si="576"/>
        <v>Renta Diaria por Hospitalización</v>
      </c>
      <c r="CO378" s="118">
        <f t="shared" si="577"/>
        <v>0</v>
      </c>
      <c r="CP378" s="118" t="str">
        <f t="shared" si="578"/>
        <v>A</v>
      </c>
      <c r="CQ378" s="119" t="str">
        <f t="shared" si="535"/>
        <v/>
      </c>
      <c r="CR378" s="66">
        <f>+IF($W378="","",ROUND((VLOOKUP(Parámetros!$F$51,'COBERTURAS ADICIONALES'!$S$4:$T$32,2,FALSE)*(1+i/frec)^-0.5*(1+Parámetros!$D$103)*(1+rec_fracc)/frec*$CO$42),2))</f>
        <v>0</v>
      </c>
      <c r="CS378" s="119" t="str">
        <f t="shared" si="536"/>
        <v/>
      </c>
      <c r="CT378" s="66">
        <f>+IF($W378="","",ROUND(IF($B378&gt;Parámetros!$D$107,'Tablas Servicio'!CR378+('Tablas Servicio'!CT377-'Tablas Servicio'!CR377),CR378/(1-IF(B378&lt;=10,Parámetros!$D$100,0))),2))</f>
        <v>0</v>
      </c>
      <c r="CU378" s="66">
        <f t="shared" si="537"/>
        <v>0</v>
      </c>
      <c r="CV378" s="66">
        <f t="shared" si="537"/>
        <v>0</v>
      </c>
      <c r="CW378" s="66">
        <f>+IF($W378="","",ROUND((CT378*Parámetros!$G$85),2))</f>
        <v>0</v>
      </c>
      <c r="CX378" s="66">
        <f>+IF($W378="","",ROUND((CT378*(Parámetros!$G$86)),2))</f>
        <v>0</v>
      </c>
      <c r="CY378" s="66">
        <f t="shared" si="538"/>
        <v>0</v>
      </c>
      <c r="CZ378" t="str">
        <f t="shared" si="579"/>
        <v>00064</v>
      </c>
      <c r="DA378" s="118" t="str">
        <f t="shared" si="580"/>
        <v>Enfermedades Graves</v>
      </c>
      <c r="DB378" s="118">
        <f t="shared" si="581"/>
        <v>0</v>
      </c>
      <c r="DC378" s="118" t="str">
        <f t="shared" si="582"/>
        <v>A</v>
      </c>
      <c r="DD378" s="121" t="str">
        <f>+IF(OR($W378="",DB378=0),"",ROUND((VLOOKUP(ROUNDDOWN($D378-1/frec,0),cob_adi,CO$40,FALSE)*(1+i/frec)^-0.5*(1+Parámetros!$D$103)*(1+rec_fracc)/frec),6))</f>
        <v/>
      </c>
      <c r="DE378" s="66">
        <f t="shared" si="539"/>
        <v>0</v>
      </c>
      <c r="DF378" s="119" t="str">
        <f t="shared" si="540"/>
        <v/>
      </c>
      <c r="DG378" s="66">
        <f>+IF($W378="","",ROUND(IF($B378&gt;Parámetros!$D$107,'Tablas Servicio'!DE378+('Tablas Servicio'!DG377-'Tablas Servicio'!DE377),DE378/(1-IF(B378&lt;=10,Parámetros!$D$100,0))),2))</f>
        <v>0</v>
      </c>
      <c r="DH378" s="66">
        <f t="shared" si="541"/>
        <v>0</v>
      </c>
      <c r="DI378" s="66">
        <f t="shared" si="541"/>
        <v>0</v>
      </c>
      <c r="DJ378" s="66">
        <f>+IF($W378="","",ROUND((DG378*Parámetros!$G$85),2))</f>
        <v>0</v>
      </c>
      <c r="DK378" s="66">
        <f>+IF($W378="","",ROUND((DG378*(Parámetros!$G$86)),2))</f>
        <v>0</v>
      </c>
      <c r="DL378" s="66">
        <f t="shared" si="542"/>
        <v>0</v>
      </c>
      <c r="DM378" t="str">
        <f t="shared" si="583"/>
        <v>00065</v>
      </c>
      <c r="DN378" s="118" t="str">
        <f t="shared" si="584"/>
        <v>Exención pago de primas</v>
      </c>
      <c r="DO378" s="118">
        <f t="shared" si="585"/>
        <v>0</v>
      </c>
      <c r="DP378" s="118" t="str">
        <f t="shared" si="586"/>
        <v>A</v>
      </c>
      <c r="DQ378" s="122" t="str">
        <f>+IF(OR($W378="",DO378=0),"",ROUND((VLOOKUP(ROUNDDOWN($D378-1/frec,0),cob_adi,DB$40,FALSE)*(1+i/frec)^-0.5*(1+Parámetros!$D$103)*(1+rec_fracc)/frec),6))</f>
        <v/>
      </c>
      <c r="DR378" s="66">
        <f t="shared" si="543"/>
        <v>0</v>
      </c>
      <c r="DS378" s="68" t="str">
        <f t="shared" si="544"/>
        <v/>
      </c>
      <c r="DT378" s="66">
        <f>+IF($W378="","",ROUND(IF($B378&gt;Parámetros!$D$107,'Tablas Servicio'!DR378+('Tablas Servicio'!DT377-'Tablas Servicio'!DR377),DR378/(1-IF(B378&lt;=10,Parámetros!$D$100,0))),2))</f>
        <v>0</v>
      </c>
      <c r="DU378" s="66">
        <f t="shared" si="545"/>
        <v>0</v>
      </c>
      <c r="DV378" s="66">
        <f t="shared" si="545"/>
        <v>0</v>
      </c>
      <c r="DW378" s="66">
        <f>+IF($W378="","",ROUND((DT378*Parámetros!$G$85),2))</f>
        <v>0</v>
      </c>
      <c r="DX378" s="66">
        <f>+IF($W378="","",ROUND((DT378*(Parámetros!$G$86)),2))</f>
        <v>0</v>
      </c>
      <c r="DY378" s="66">
        <f t="shared" si="546"/>
        <v>0</v>
      </c>
      <c r="DZ378" t="str">
        <f t="shared" si="547"/>
        <v>00066</v>
      </c>
      <c r="EA378" s="118" t="str">
        <f t="shared" si="547"/>
        <v>Enfermedad terminal</v>
      </c>
      <c r="EB378" s="118">
        <f>+IF($W378="","",ROUND(IF(Parámetros!$D$25='TABLAS MORT'!$V$33,EB377,Z378/2),0))</f>
        <v>50000</v>
      </c>
      <c r="EC378" s="118" t="str">
        <f t="shared" si="547"/>
        <v>A</v>
      </c>
      <c r="ED378" s="122">
        <f>+IF(OR($W378="",EB378=0),"",ROUND((VLOOKUP(ROUNDDOWN($D378-1/frec,0),cob_adi,DO$40,FALSE)*(1+i/frec)^-0.5*(1+Parámetros!$D$103)*(1+rec_fracc)/frec),6))</f>
        <v>5.5000000000000002E-5</v>
      </c>
      <c r="EE378" s="66">
        <f t="shared" si="548"/>
        <v>2.75</v>
      </c>
      <c r="EF378" s="68">
        <f t="shared" si="549"/>
        <v>5.5000000000000002E-5</v>
      </c>
      <c r="EG378" s="66">
        <f>+IF($W378="","",ROUND(IF($B378&gt;Parámetros!$D$107,'Tablas Servicio'!EE378+('Tablas Servicio'!EG377-'Tablas Servicio'!EE377),EE378/(1-IF(B378&lt;=10,Parámetros!$D$100,0))),2))</f>
        <v>2.75</v>
      </c>
      <c r="EH378" s="66">
        <f t="shared" si="550"/>
        <v>0</v>
      </c>
      <c r="EI378" s="66">
        <f t="shared" si="550"/>
        <v>0</v>
      </c>
      <c r="EJ378" s="66">
        <f>+IF($W378="","",ROUND((EG378*Parámetros!$G$85),2))</f>
        <v>0.1</v>
      </c>
      <c r="EK378" s="66">
        <f>+IF($W378="","",ROUND((EG378*(Parámetros!$G$86)),2))</f>
        <v>0.01</v>
      </c>
      <c r="EL378" s="66">
        <f t="shared" si="551"/>
        <v>2.86</v>
      </c>
    </row>
    <row r="379" spans="1:142" x14ac:dyDescent="0.25">
      <c r="A379">
        <f>+IF($C379="","",ROUND(VLOOKUP('Tablas Servicio'!B379,Parámetros!$H$100:$J$159,IF(Parámetros!$E$16="F",2,3),FALSE),2))</f>
        <v>150</v>
      </c>
      <c r="B379">
        <f t="shared" si="502"/>
        <v>29</v>
      </c>
      <c r="C379" s="57">
        <f>+IF(D379="","",'Tablas Servicio'!C378+1)</f>
        <v>338</v>
      </c>
      <c r="D379" s="56">
        <f>+IF(D378&lt;edadmaxtabla,D378+1/Parámetros!$E$25,"")</f>
        <v>68.186666666667108</v>
      </c>
      <c r="E379" s="57">
        <f t="shared" si="512"/>
        <v>68</v>
      </c>
      <c r="F379" s="59">
        <f t="shared" si="513"/>
        <v>100000</v>
      </c>
      <c r="G379" s="66">
        <f t="shared" si="503"/>
        <v>109.95</v>
      </c>
      <c r="H379" s="66">
        <f t="shared" si="504"/>
        <v>114.35</v>
      </c>
      <c r="I379" s="66">
        <f t="shared" si="552"/>
        <v>-20.349999999999994</v>
      </c>
      <c r="J379" s="66">
        <f t="shared" si="505"/>
        <v>3.85</v>
      </c>
      <c r="K379" s="66">
        <f t="shared" si="506"/>
        <v>0.55000000000000004</v>
      </c>
      <c r="L379" s="66">
        <f t="shared" si="507"/>
        <v>0</v>
      </c>
      <c r="M379" s="66">
        <f t="shared" si="508"/>
        <v>0</v>
      </c>
      <c r="N379" s="66">
        <f>+IF(C379="","",ROUND(Parámetros!$D$23,2))</f>
        <v>94</v>
      </c>
      <c r="O379" s="66">
        <f t="shared" si="509"/>
        <v>97.45</v>
      </c>
      <c r="P379" s="66">
        <f>+IF($C379="","",ROUND(IF(B379&gt;Parámetros!$D$117,0,N379*Parámetros!$D$116-G379*Parámetros!$D$100),2))</f>
        <v>0</v>
      </c>
      <c r="Q379" s="75">
        <f t="shared" si="553"/>
        <v>3.5015916325602546E-2</v>
      </c>
      <c r="R379" s="75">
        <f t="shared" si="554"/>
        <v>5.0022737608003643E-3</v>
      </c>
      <c r="S379" s="117">
        <f>+IF($C379="","",ROUND((S378+I379)*(1+Parámetros!$D$91),2))</f>
        <v>24986.48</v>
      </c>
      <c r="T379" s="117">
        <f>+IF($C379="","",ROUND(S379*VLOOKUP(B379,Parámetros!$C$30:$D$39,2,TRUE),2))</f>
        <v>24986.48</v>
      </c>
      <c r="U379" s="117">
        <f>+IF($C379="","",ROUND((U378+I379)*(1+Parámetros!$D$92),2))</f>
        <v>27434.54</v>
      </c>
      <c r="V379" s="117">
        <f>+IF($C379="","",ROUND(U379*VLOOKUP(B379,Parámetros!$C$30:$D$39,2,TRUE),2))</f>
        <v>27434.54</v>
      </c>
      <c r="W379" s="57">
        <f t="shared" si="555"/>
        <v>338</v>
      </c>
      <c r="X379" t="str">
        <f t="shared" si="556"/>
        <v>00058</v>
      </c>
      <c r="Y379" t="str">
        <f t="shared" si="557"/>
        <v>MUERTE POR CUALQUIER CAUSA</v>
      </c>
      <c r="Z379" s="118">
        <f>+IF($W379="","",ROUND(IF(Parámetros!$D$25='TABLAS MORT'!$V$33,Z378,Parámetros!$D$21-'Tablas Servicio'!T378),0))</f>
        <v>100000</v>
      </c>
      <c r="AA379" s="118" t="str">
        <f t="shared" si="558"/>
        <v>P</v>
      </c>
      <c r="AB379" s="119">
        <f>+IF(W379="","",ROUND((VLOOKUP(ROUNDDOWN($D379-1/frec,0),qx_tabla,2,FALSE)*(1+i/frec)^-0.5*(1+Parámetros!$D$103)*(1+rec_fracc)/frec),6))</f>
        <v>9.4700000000000003E-4</v>
      </c>
      <c r="AC379" s="66">
        <f t="shared" si="514"/>
        <v>94.7</v>
      </c>
      <c r="AD379" s="119">
        <f t="shared" si="510"/>
        <v>1.072E-3</v>
      </c>
      <c r="AE379" s="66">
        <f>+IF($W379="","",ROUND(IF($B379&gt;Parámetros!$D$107,'Tablas Servicio'!AC379+('Tablas Servicio'!AG378-'Tablas Servicio'!AC378),AC379/(1-IF(B379&lt;=10,Parámetros!$D$104,Parámetros!$D$105))),2))</f>
        <v>157.83000000000001</v>
      </c>
      <c r="AF379" s="66">
        <f>+IF($W379="","",ROUND(IF($B379&gt;Parámetros!$D$107,'Tablas Servicio'!AC379+('Tablas Servicio'!AG378-'Tablas Servicio'!AC378),(AC379+$A378/frec)/(1-IF(B379&lt;=Parámetros!$D$117,Parámetros!$D$100,0))),2))</f>
        <v>107.2</v>
      </c>
      <c r="AG379" s="66">
        <f t="shared" si="515"/>
        <v>107.2</v>
      </c>
      <c r="AH379" s="66">
        <f t="shared" si="516"/>
        <v>0</v>
      </c>
      <c r="AI379" s="66">
        <f t="shared" si="517"/>
        <v>0</v>
      </c>
      <c r="AJ379" s="66">
        <f>+IF($W379="","",ROUND((AG379*Parámetros!$G$85),2))</f>
        <v>3.75</v>
      </c>
      <c r="AK379" s="66">
        <f>+IF($W379="","",ROUND((AG379*(Parámetros!$G$86)),2))</f>
        <v>0.54</v>
      </c>
      <c r="AL379" s="66">
        <f t="shared" si="511"/>
        <v>111.49</v>
      </c>
      <c r="AM379" t="str">
        <f t="shared" si="559"/>
        <v>00059</v>
      </c>
      <c r="AN379" t="str">
        <f t="shared" si="560"/>
        <v>Incapacidad Total y Permanente</v>
      </c>
      <c r="AO379" s="118">
        <f t="shared" si="561"/>
        <v>0</v>
      </c>
      <c r="AP379" s="118" t="str">
        <f t="shared" si="562"/>
        <v>A</v>
      </c>
      <c r="AQ379" s="119" t="str">
        <f>+IF(OR($W379="",AO379=0),"",ROUND((VLOOKUP(ROUNDDOWN($D379-1/frec,0),cob_adi,Z$40,FALSE)*(1+i/frec)^-0.5*(1+Parámetros!$D$103)*(1+rec_fracc)/frec),6))</f>
        <v/>
      </c>
      <c r="AR379" s="66">
        <f t="shared" si="518"/>
        <v>0</v>
      </c>
      <c r="AS379" s="119" t="str">
        <f t="shared" si="519"/>
        <v/>
      </c>
      <c r="AT379" s="66">
        <f>+IF($W379="","",ROUND(IF($B379&gt;Parámetros!$D$107,'Tablas Servicio'!AR379+('Tablas Servicio'!AT378-'Tablas Servicio'!AR378),AR379/(1-IF(B379&lt;=10,Parámetros!$D$100,0))),2))</f>
        <v>0</v>
      </c>
      <c r="AU379" s="66">
        <f t="shared" si="520"/>
        <v>0</v>
      </c>
      <c r="AV379" s="66">
        <f t="shared" si="520"/>
        <v>0</v>
      </c>
      <c r="AW379" s="66">
        <f>+IF($W379="","",ROUND((AT379*Parámetros!$G$85),2))</f>
        <v>0</v>
      </c>
      <c r="AX379" s="66">
        <f>+IF($W379="","",ROUND((AT379*(Parámetros!$G$86)),2))</f>
        <v>0</v>
      </c>
      <c r="AY379" s="66">
        <f t="shared" si="521"/>
        <v>0</v>
      </c>
      <c r="AZ379" t="str">
        <f t="shared" si="563"/>
        <v>00060</v>
      </c>
      <c r="BA379" t="str">
        <f t="shared" si="564"/>
        <v>Muerte Accidental</v>
      </c>
      <c r="BB379" s="118">
        <f t="shared" si="565"/>
        <v>0</v>
      </c>
      <c r="BC379" s="118" t="str">
        <f t="shared" si="566"/>
        <v>A</v>
      </c>
      <c r="BD379" s="119" t="str">
        <f>+IF(OR($W379="",BB379=0),"",ROUND((VLOOKUP(ROUNDDOWN($D379-1/frec,0),cob_adi,AO$40,FALSE)*(1+i/frec)^-0.5*(1+Parámetros!$D$103)*(1+rec_fracc)/frec),6))</f>
        <v/>
      </c>
      <c r="BE379" s="66">
        <f t="shared" si="522"/>
        <v>0</v>
      </c>
      <c r="BF379" s="119" t="str">
        <f t="shared" si="523"/>
        <v/>
      </c>
      <c r="BG379" s="66">
        <f>+IF($W379="","",ROUND(IF($B379&gt;Parámetros!$D$107,'Tablas Servicio'!BE379+('Tablas Servicio'!BG378-'Tablas Servicio'!BE378),BE379/(1-IF(B379&lt;=10,Parámetros!$D$100,0))),2))</f>
        <v>0</v>
      </c>
      <c r="BH379" s="66">
        <f t="shared" si="524"/>
        <v>0</v>
      </c>
      <c r="BI379" s="66">
        <f t="shared" si="525"/>
        <v>0</v>
      </c>
      <c r="BJ379" s="66">
        <f>+IF($W379="","",ROUND((BG379*Parámetros!$G$85),2))</f>
        <v>0</v>
      </c>
      <c r="BK379" s="66">
        <f>+IF($W379="","",ROUND((BG379*(Parámetros!$G$86)),2))</f>
        <v>0</v>
      </c>
      <c r="BL379" s="66">
        <f t="shared" si="526"/>
        <v>0</v>
      </c>
      <c r="BM379" t="str">
        <f t="shared" si="567"/>
        <v>00061</v>
      </c>
      <c r="BN379" t="str">
        <f t="shared" si="568"/>
        <v>Gastos de Entierro</v>
      </c>
      <c r="BO379" s="118">
        <f t="shared" si="569"/>
        <v>0</v>
      </c>
      <c r="BP379" s="118" t="str">
        <f t="shared" si="570"/>
        <v>A</v>
      </c>
      <c r="BQ379" s="119" t="str">
        <f>+IF(OR($W379="",BO379=0),"",ROUND((VLOOKUP(ROUNDDOWN($D379-1/frec,0),cob_adi,BB$40,FALSE)*(1+i/frec)^-0.5*(1+Parámetros!$D$103)*(1+rec_fracc)/frec),6))</f>
        <v/>
      </c>
      <c r="BR379" s="66">
        <f t="shared" si="527"/>
        <v>0</v>
      </c>
      <c r="BS379" s="119" t="str">
        <f t="shared" si="528"/>
        <v/>
      </c>
      <c r="BT379" s="66">
        <f>+IF($W379="","",ROUND(IF($B379&gt;Parámetros!$D$107,'Tablas Servicio'!BR379+('Tablas Servicio'!BT378-'Tablas Servicio'!BR378),BR379/(1-IF(B379&lt;=10,Parámetros!$D$100,0))),2))</f>
        <v>0</v>
      </c>
      <c r="BU379" s="66">
        <f t="shared" si="529"/>
        <v>0</v>
      </c>
      <c r="BV379" s="66">
        <f t="shared" si="529"/>
        <v>0</v>
      </c>
      <c r="BW379" s="66">
        <f>+IF($W379="","",ROUND((BT379*Parámetros!$G$85),2))</f>
        <v>0</v>
      </c>
      <c r="BX379" s="66">
        <f>+IF($W379="","",ROUND((BT379*(Parámetros!$G$86)),2))</f>
        <v>0</v>
      </c>
      <c r="BY379" s="66">
        <f t="shared" si="530"/>
        <v>0</v>
      </c>
      <c r="BZ379" t="str">
        <f t="shared" si="571"/>
        <v>00062</v>
      </c>
      <c r="CA379" t="str">
        <f t="shared" si="572"/>
        <v>Gastos médicos por accidente</v>
      </c>
      <c r="CB379" s="118">
        <f t="shared" si="573"/>
        <v>0</v>
      </c>
      <c r="CC379" s="118" t="str">
        <f t="shared" si="574"/>
        <v>A</v>
      </c>
      <c r="CD379" s="119" t="str">
        <f t="shared" si="531"/>
        <v/>
      </c>
      <c r="CE379" s="66">
        <f>+IF($W379="","",ROUND((VLOOKUP(ROUNDDOWN($D379-1/frec,0),cob_adi,BO$40,FALSE)*(1+i/frec)^-0.5*(1+Parámetros!$D$103)*(1+rec_fracc)/frec*'TABLAS ADI'!$BC$17),2))</f>
        <v>0</v>
      </c>
      <c r="CF379" s="119" t="str">
        <f t="shared" si="532"/>
        <v/>
      </c>
      <c r="CG379" s="66">
        <f>+IF($W379="","",ROUND(IF($B379&gt;Parámetros!$D$107,'Tablas Servicio'!CE379+('Tablas Servicio'!CG378-'Tablas Servicio'!CE378),CE379/(1-IF(B379&lt;=10,Parámetros!$D$100,0))),2))</f>
        <v>0</v>
      </c>
      <c r="CH379" s="66">
        <f t="shared" si="533"/>
        <v>0</v>
      </c>
      <c r="CI379" s="66">
        <f t="shared" si="533"/>
        <v>0</v>
      </c>
      <c r="CJ379" s="66">
        <f>+IF($W379="","",ROUND((CG379*Parámetros!$G$85),2))</f>
        <v>0</v>
      </c>
      <c r="CK379" s="66">
        <f>+IF($W379="","",ROUND((CG379*(Parámetros!$G$86)),2))</f>
        <v>0</v>
      </c>
      <c r="CL379" s="66">
        <f t="shared" si="534"/>
        <v>0</v>
      </c>
      <c r="CM379" t="str">
        <f t="shared" si="575"/>
        <v>00063</v>
      </c>
      <c r="CN379" s="118" t="str">
        <f t="shared" si="576"/>
        <v>Renta Diaria por Hospitalización</v>
      </c>
      <c r="CO379" s="118">
        <f t="shared" si="577"/>
        <v>0</v>
      </c>
      <c r="CP379" s="118" t="str">
        <f t="shared" si="578"/>
        <v>A</v>
      </c>
      <c r="CQ379" s="119" t="str">
        <f t="shared" si="535"/>
        <v/>
      </c>
      <c r="CR379" s="66">
        <f>+IF($W379="","",ROUND((VLOOKUP(Parámetros!$F$51,'COBERTURAS ADICIONALES'!$S$4:$T$32,2,FALSE)*(1+i/frec)^-0.5*(1+Parámetros!$D$103)*(1+rec_fracc)/frec*$CO$42),2))</f>
        <v>0</v>
      </c>
      <c r="CS379" s="119" t="str">
        <f t="shared" si="536"/>
        <v/>
      </c>
      <c r="CT379" s="66">
        <f>+IF($W379="","",ROUND(IF($B379&gt;Parámetros!$D$107,'Tablas Servicio'!CR379+('Tablas Servicio'!CT378-'Tablas Servicio'!CR378),CR379/(1-IF(B379&lt;=10,Parámetros!$D$100,0))),2))</f>
        <v>0</v>
      </c>
      <c r="CU379" s="66">
        <f t="shared" si="537"/>
        <v>0</v>
      </c>
      <c r="CV379" s="66">
        <f t="shared" si="537"/>
        <v>0</v>
      </c>
      <c r="CW379" s="66">
        <f>+IF($W379="","",ROUND((CT379*Parámetros!$G$85),2))</f>
        <v>0</v>
      </c>
      <c r="CX379" s="66">
        <f>+IF($W379="","",ROUND((CT379*(Parámetros!$G$86)),2))</f>
        <v>0</v>
      </c>
      <c r="CY379" s="66">
        <f t="shared" si="538"/>
        <v>0</v>
      </c>
      <c r="CZ379" t="str">
        <f t="shared" si="579"/>
        <v>00064</v>
      </c>
      <c r="DA379" s="118" t="str">
        <f t="shared" si="580"/>
        <v>Enfermedades Graves</v>
      </c>
      <c r="DB379" s="118">
        <f t="shared" si="581"/>
        <v>0</v>
      </c>
      <c r="DC379" s="118" t="str">
        <f t="shared" si="582"/>
        <v>A</v>
      </c>
      <c r="DD379" s="121" t="str">
        <f>+IF(OR($W379="",DB379=0),"",ROUND((VLOOKUP(ROUNDDOWN($D379-1/frec,0),cob_adi,CO$40,FALSE)*(1+i/frec)^-0.5*(1+Parámetros!$D$103)*(1+rec_fracc)/frec),6))</f>
        <v/>
      </c>
      <c r="DE379" s="66">
        <f t="shared" si="539"/>
        <v>0</v>
      </c>
      <c r="DF379" s="119" t="str">
        <f t="shared" si="540"/>
        <v/>
      </c>
      <c r="DG379" s="66">
        <f>+IF($W379="","",ROUND(IF($B379&gt;Parámetros!$D$107,'Tablas Servicio'!DE379+('Tablas Servicio'!DG378-'Tablas Servicio'!DE378),DE379/(1-IF(B379&lt;=10,Parámetros!$D$100,0))),2))</f>
        <v>0</v>
      </c>
      <c r="DH379" s="66">
        <f t="shared" si="541"/>
        <v>0</v>
      </c>
      <c r="DI379" s="66">
        <f t="shared" si="541"/>
        <v>0</v>
      </c>
      <c r="DJ379" s="66">
        <f>+IF($W379="","",ROUND((DG379*Parámetros!$G$85),2))</f>
        <v>0</v>
      </c>
      <c r="DK379" s="66">
        <f>+IF($W379="","",ROUND((DG379*(Parámetros!$G$86)),2))</f>
        <v>0</v>
      </c>
      <c r="DL379" s="66">
        <f t="shared" si="542"/>
        <v>0</v>
      </c>
      <c r="DM379" t="str">
        <f t="shared" si="583"/>
        <v>00065</v>
      </c>
      <c r="DN379" s="118" t="str">
        <f t="shared" si="584"/>
        <v>Exención pago de primas</v>
      </c>
      <c r="DO379" s="118">
        <f t="shared" si="585"/>
        <v>0</v>
      </c>
      <c r="DP379" s="118" t="str">
        <f t="shared" si="586"/>
        <v>A</v>
      </c>
      <c r="DQ379" s="122" t="str">
        <f>+IF(OR($W379="",DO379=0),"",ROUND((VLOOKUP(ROUNDDOWN($D379-1/frec,0),cob_adi,DB$40,FALSE)*(1+i/frec)^-0.5*(1+Parámetros!$D$103)*(1+rec_fracc)/frec),6))</f>
        <v/>
      </c>
      <c r="DR379" s="66">
        <f t="shared" si="543"/>
        <v>0</v>
      </c>
      <c r="DS379" s="68" t="str">
        <f t="shared" si="544"/>
        <v/>
      </c>
      <c r="DT379" s="66">
        <f>+IF($W379="","",ROUND(IF($B379&gt;Parámetros!$D$107,'Tablas Servicio'!DR379+('Tablas Servicio'!DT378-'Tablas Servicio'!DR378),DR379/(1-IF(B379&lt;=10,Parámetros!$D$100,0))),2))</f>
        <v>0</v>
      </c>
      <c r="DU379" s="66">
        <f t="shared" si="545"/>
        <v>0</v>
      </c>
      <c r="DV379" s="66">
        <f t="shared" si="545"/>
        <v>0</v>
      </c>
      <c r="DW379" s="66">
        <f>+IF($W379="","",ROUND((DT379*Parámetros!$G$85),2))</f>
        <v>0</v>
      </c>
      <c r="DX379" s="66">
        <f>+IF($W379="","",ROUND((DT379*(Parámetros!$G$86)),2))</f>
        <v>0</v>
      </c>
      <c r="DY379" s="66">
        <f t="shared" si="546"/>
        <v>0</v>
      </c>
      <c r="DZ379" t="str">
        <f t="shared" ref="DZ379:EC394" si="587">+IF($W379="","",DZ378)</f>
        <v>00066</v>
      </c>
      <c r="EA379" s="118" t="str">
        <f t="shared" si="587"/>
        <v>Enfermedad terminal</v>
      </c>
      <c r="EB379" s="118">
        <f>+IF($W379="","",ROUND(IF(Parámetros!$D$25='TABLAS MORT'!$V$33,EB378,Z379/2),0))</f>
        <v>50000</v>
      </c>
      <c r="EC379" s="118" t="str">
        <f t="shared" si="587"/>
        <v>A</v>
      </c>
      <c r="ED379" s="122">
        <f>+IF(OR($W379="",EB379=0),"",ROUND((VLOOKUP(ROUNDDOWN($D379-1/frec,0),cob_adi,DO$40,FALSE)*(1+i/frec)^-0.5*(1+Parámetros!$D$103)*(1+rec_fracc)/frec),6))</f>
        <v>5.5000000000000002E-5</v>
      </c>
      <c r="EE379" s="66">
        <f t="shared" si="548"/>
        <v>2.75</v>
      </c>
      <c r="EF379" s="68">
        <f t="shared" si="549"/>
        <v>5.5000000000000002E-5</v>
      </c>
      <c r="EG379" s="66">
        <f>+IF($W379="","",ROUND(IF($B379&gt;Parámetros!$D$107,'Tablas Servicio'!EE379+('Tablas Servicio'!EG378-'Tablas Servicio'!EE378),EE379/(1-IF(B379&lt;=10,Parámetros!$D$100,0))),2))</f>
        <v>2.75</v>
      </c>
      <c r="EH379" s="66">
        <f t="shared" si="550"/>
        <v>0</v>
      </c>
      <c r="EI379" s="66">
        <f t="shared" si="550"/>
        <v>0</v>
      </c>
      <c r="EJ379" s="66">
        <f>+IF($W379="","",ROUND((EG379*Parámetros!$G$85),2))</f>
        <v>0.1</v>
      </c>
      <c r="EK379" s="66">
        <f>+IF($W379="","",ROUND((EG379*(Parámetros!$G$86)),2))</f>
        <v>0.01</v>
      </c>
      <c r="EL379" s="66">
        <f t="shared" si="551"/>
        <v>2.86</v>
      </c>
    </row>
    <row r="380" spans="1:142" x14ac:dyDescent="0.25">
      <c r="A380">
        <f>+IF($C380="","",ROUND(VLOOKUP('Tablas Servicio'!B380,Parámetros!$H$100:$J$159,IF(Parámetros!$E$16="F",2,3),FALSE),2))</f>
        <v>150</v>
      </c>
      <c r="B380">
        <f t="shared" si="502"/>
        <v>29</v>
      </c>
      <c r="C380" s="57">
        <f>+IF(D380="","",'Tablas Servicio'!C379+1)</f>
        <v>339</v>
      </c>
      <c r="D380" s="56">
        <f>+IF(D379&lt;edadmaxtabla,D379+1/Parámetros!$E$25,"")</f>
        <v>68.270000000000437</v>
      </c>
      <c r="E380" s="57">
        <f t="shared" si="512"/>
        <v>68</v>
      </c>
      <c r="F380" s="59">
        <f t="shared" si="513"/>
        <v>100000</v>
      </c>
      <c r="G380" s="66">
        <f t="shared" si="503"/>
        <v>109.95</v>
      </c>
      <c r="H380" s="66">
        <f t="shared" si="504"/>
        <v>114.35</v>
      </c>
      <c r="I380" s="66">
        <f t="shared" si="552"/>
        <v>-20.349999999999994</v>
      </c>
      <c r="J380" s="66">
        <f t="shared" si="505"/>
        <v>3.85</v>
      </c>
      <c r="K380" s="66">
        <f t="shared" si="506"/>
        <v>0.55000000000000004</v>
      </c>
      <c r="L380" s="66">
        <f t="shared" si="507"/>
        <v>0</v>
      </c>
      <c r="M380" s="66">
        <f t="shared" si="508"/>
        <v>0</v>
      </c>
      <c r="N380" s="66">
        <f>+IF(C380="","",ROUND(Parámetros!$D$23,2))</f>
        <v>94</v>
      </c>
      <c r="O380" s="66">
        <f t="shared" si="509"/>
        <v>97.45</v>
      </c>
      <c r="P380" s="66">
        <f>+IF($C380="","",ROUND(IF(B380&gt;Parámetros!$D$117,0,N380*Parámetros!$D$116-G380*Parámetros!$D$100),2))</f>
        <v>0</v>
      </c>
      <c r="Q380" s="75">
        <f t="shared" si="553"/>
        <v>3.5015916325602546E-2</v>
      </c>
      <c r="R380" s="75">
        <f t="shared" si="554"/>
        <v>5.0022737608003643E-3</v>
      </c>
      <c r="S380" s="117">
        <f>+IF($C380="","",ROUND((S379+I380)*(1+Parámetros!$D$91),2))</f>
        <v>25036.95</v>
      </c>
      <c r="T380" s="117">
        <f>+IF($C380="","",ROUND(S380*VLOOKUP(B380,Parámetros!$C$30:$D$39,2,TRUE),2))</f>
        <v>25036.95</v>
      </c>
      <c r="U380" s="117">
        <f>+IF($C380="","",ROUND((U379+I380)*(1+Parámetros!$D$92),2))</f>
        <v>27503.06</v>
      </c>
      <c r="V380" s="117">
        <f>+IF($C380="","",ROUND(U380*VLOOKUP(B380,Parámetros!$C$30:$D$39,2,TRUE),2))</f>
        <v>27503.06</v>
      </c>
      <c r="W380" s="57">
        <f t="shared" si="555"/>
        <v>339</v>
      </c>
      <c r="X380" t="str">
        <f t="shared" si="556"/>
        <v>00058</v>
      </c>
      <c r="Y380" t="str">
        <f t="shared" si="557"/>
        <v>MUERTE POR CUALQUIER CAUSA</v>
      </c>
      <c r="Z380" s="118">
        <f>+IF($W380="","",ROUND(IF(Parámetros!$D$25='TABLAS MORT'!$V$33,Z379,Parámetros!$D$21-'Tablas Servicio'!T379),0))</f>
        <v>100000</v>
      </c>
      <c r="AA380" s="118" t="str">
        <f t="shared" si="558"/>
        <v>P</v>
      </c>
      <c r="AB380" s="119">
        <f>+IF(W380="","",ROUND((VLOOKUP(ROUNDDOWN($D380-1/frec,0),qx_tabla,2,FALSE)*(1+i/frec)^-0.5*(1+Parámetros!$D$103)*(1+rec_fracc)/frec),6))</f>
        <v>9.4700000000000003E-4</v>
      </c>
      <c r="AC380" s="66">
        <f t="shared" si="514"/>
        <v>94.7</v>
      </c>
      <c r="AD380" s="119">
        <f t="shared" si="510"/>
        <v>1.072E-3</v>
      </c>
      <c r="AE380" s="66">
        <f>+IF($W380="","",ROUND(IF($B380&gt;Parámetros!$D$107,'Tablas Servicio'!AC380+('Tablas Servicio'!AG379-'Tablas Servicio'!AC379),AC380/(1-IF(B380&lt;=10,Parámetros!$D$104,Parámetros!$D$105))),2))</f>
        <v>157.83000000000001</v>
      </c>
      <c r="AF380" s="66">
        <f>+IF($W380="","",ROUND(IF($B380&gt;Parámetros!$D$107,'Tablas Servicio'!AC380+('Tablas Servicio'!AG379-'Tablas Servicio'!AC379),(AC380+$A379/frec)/(1-IF(B380&lt;=Parámetros!$D$117,Parámetros!$D$100,0))),2))</f>
        <v>107.2</v>
      </c>
      <c r="AG380" s="66">
        <f t="shared" si="515"/>
        <v>107.2</v>
      </c>
      <c r="AH380" s="66">
        <f t="shared" si="516"/>
        <v>0</v>
      </c>
      <c r="AI380" s="66">
        <f t="shared" si="517"/>
        <v>0</v>
      </c>
      <c r="AJ380" s="66">
        <f>+IF($W380="","",ROUND((AG380*Parámetros!$G$85),2))</f>
        <v>3.75</v>
      </c>
      <c r="AK380" s="66">
        <f>+IF($W380="","",ROUND((AG380*(Parámetros!$G$86)),2))</f>
        <v>0.54</v>
      </c>
      <c r="AL380" s="66">
        <f t="shared" si="511"/>
        <v>111.49</v>
      </c>
      <c r="AM380" t="str">
        <f t="shared" si="559"/>
        <v>00059</v>
      </c>
      <c r="AN380" t="str">
        <f t="shared" si="560"/>
        <v>Incapacidad Total y Permanente</v>
      </c>
      <c r="AO380" s="118">
        <f t="shared" si="561"/>
        <v>0</v>
      </c>
      <c r="AP380" s="118" t="str">
        <f t="shared" si="562"/>
        <v>A</v>
      </c>
      <c r="AQ380" s="119" t="str">
        <f>+IF(OR($W380="",AO380=0),"",ROUND((VLOOKUP(ROUNDDOWN($D380-1/frec,0),cob_adi,Z$40,FALSE)*(1+i/frec)^-0.5*(1+Parámetros!$D$103)*(1+rec_fracc)/frec),6))</f>
        <v/>
      </c>
      <c r="AR380" s="66">
        <f t="shared" si="518"/>
        <v>0</v>
      </c>
      <c r="AS380" s="119" t="str">
        <f t="shared" si="519"/>
        <v/>
      </c>
      <c r="AT380" s="66">
        <f>+IF($W380="","",ROUND(IF($B380&gt;Parámetros!$D$107,'Tablas Servicio'!AR380+('Tablas Servicio'!AT379-'Tablas Servicio'!AR379),AR380/(1-IF(B380&lt;=10,Parámetros!$D$100,0))),2))</f>
        <v>0</v>
      </c>
      <c r="AU380" s="66">
        <f t="shared" si="520"/>
        <v>0</v>
      </c>
      <c r="AV380" s="66">
        <f t="shared" si="520"/>
        <v>0</v>
      </c>
      <c r="AW380" s="66">
        <f>+IF($W380="","",ROUND((AT380*Parámetros!$G$85),2))</f>
        <v>0</v>
      </c>
      <c r="AX380" s="66">
        <f>+IF($W380="","",ROUND((AT380*(Parámetros!$G$86)),2))</f>
        <v>0</v>
      </c>
      <c r="AY380" s="66">
        <f t="shared" si="521"/>
        <v>0</v>
      </c>
      <c r="AZ380" t="str">
        <f t="shared" si="563"/>
        <v>00060</v>
      </c>
      <c r="BA380" t="str">
        <f t="shared" si="564"/>
        <v>Muerte Accidental</v>
      </c>
      <c r="BB380" s="118">
        <f t="shared" si="565"/>
        <v>0</v>
      </c>
      <c r="BC380" s="118" t="str">
        <f t="shared" si="566"/>
        <v>A</v>
      </c>
      <c r="BD380" s="119" t="str">
        <f>+IF(OR($W380="",BB380=0),"",ROUND((VLOOKUP(ROUNDDOWN($D380-1/frec,0),cob_adi,AO$40,FALSE)*(1+i/frec)^-0.5*(1+Parámetros!$D$103)*(1+rec_fracc)/frec),6))</f>
        <v/>
      </c>
      <c r="BE380" s="66">
        <f t="shared" si="522"/>
        <v>0</v>
      </c>
      <c r="BF380" s="119" t="str">
        <f t="shared" si="523"/>
        <v/>
      </c>
      <c r="BG380" s="66">
        <f>+IF($W380="","",ROUND(IF($B380&gt;Parámetros!$D$107,'Tablas Servicio'!BE380+('Tablas Servicio'!BG379-'Tablas Servicio'!BE379),BE380/(1-IF(B380&lt;=10,Parámetros!$D$100,0))),2))</f>
        <v>0</v>
      </c>
      <c r="BH380" s="66">
        <f t="shared" si="524"/>
        <v>0</v>
      </c>
      <c r="BI380" s="66">
        <f t="shared" si="525"/>
        <v>0</v>
      </c>
      <c r="BJ380" s="66">
        <f>+IF($W380="","",ROUND((BG380*Parámetros!$G$85),2))</f>
        <v>0</v>
      </c>
      <c r="BK380" s="66">
        <f>+IF($W380="","",ROUND((BG380*(Parámetros!$G$86)),2))</f>
        <v>0</v>
      </c>
      <c r="BL380" s="66">
        <f t="shared" si="526"/>
        <v>0</v>
      </c>
      <c r="BM380" t="str">
        <f t="shared" si="567"/>
        <v>00061</v>
      </c>
      <c r="BN380" t="str">
        <f t="shared" si="568"/>
        <v>Gastos de Entierro</v>
      </c>
      <c r="BO380" s="118">
        <f t="shared" si="569"/>
        <v>0</v>
      </c>
      <c r="BP380" s="118" t="str">
        <f t="shared" si="570"/>
        <v>A</v>
      </c>
      <c r="BQ380" s="119" t="str">
        <f>+IF(OR($W380="",BO380=0),"",ROUND((VLOOKUP(ROUNDDOWN($D380-1/frec,0),cob_adi,BB$40,FALSE)*(1+i/frec)^-0.5*(1+Parámetros!$D$103)*(1+rec_fracc)/frec),6))</f>
        <v/>
      </c>
      <c r="BR380" s="66">
        <f t="shared" si="527"/>
        <v>0</v>
      </c>
      <c r="BS380" s="119" t="str">
        <f t="shared" si="528"/>
        <v/>
      </c>
      <c r="BT380" s="66">
        <f>+IF($W380="","",ROUND(IF($B380&gt;Parámetros!$D$107,'Tablas Servicio'!BR380+('Tablas Servicio'!BT379-'Tablas Servicio'!BR379),BR380/(1-IF(B380&lt;=10,Parámetros!$D$100,0))),2))</f>
        <v>0</v>
      </c>
      <c r="BU380" s="66">
        <f t="shared" si="529"/>
        <v>0</v>
      </c>
      <c r="BV380" s="66">
        <f t="shared" si="529"/>
        <v>0</v>
      </c>
      <c r="BW380" s="66">
        <f>+IF($W380="","",ROUND((BT380*Parámetros!$G$85),2))</f>
        <v>0</v>
      </c>
      <c r="BX380" s="66">
        <f>+IF($W380="","",ROUND((BT380*(Parámetros!$G$86)),2))</f>
        <v>0</v>
      </c>
      <c r="BY380" s="66">
        <f t="shared" si="530"/>
        <v>0</v>
      </c>
      <c r="BZ380" t="str">
        <f t="shared" si="571"/>
        <v>00062</v>
      </c>
      <c r="CA380" t="str">
        <f t="shared" si="572"/>
        <v>Gastos médicos por accidente</v>
      </c>
      <c r="CB380" s="118">
        <f t="shared" si="573"/>
        <v>0</v>
      </c>
      <c r="CC380" s="118" t="str">
        <f t="shared" si="574"/>
        <v>A</v>
      </c>
      <c r="CD380" s="119" t="str">
        <f t="shared" si="531"/>
        <v/>
      </c>
      <c r="CE380" s="66">
        <f>+IF($W380="","",ROUND((VLOOKUP(ROUNDDOWN($D380-1/frec,0),cob_adi,BO$40,FALSE)*(1+i/frec)^-0.5*(1+Parámetros!$D$103)*(1+rec_fracc)/frec*'TABLAS ADI'!$BC$17),2))</f>
        <v>0</v>
      </c>
      <c r="CF380" s="119" t="str">
        <f t="shared" si="532"/>
        <v/>
      </c>
      <c r="CG380" s="66">
        <f>+IF($W380="","",ROUND(IF($B380&gt;Parámetros!$D$107,'Tablas Servicio'!CE380+('Tablas Servicio'!CG379-'Tablas Servicio'!CE379),CE380/(1-IF(B380&lt;=10,Parámetros!$D$100,0))),2))</f>
        <v>0</v>
      </c>
      <c r="CH380" s="66">
        <f t="shared" si="533"/>
        <v>0</v>
      </c>
      <c r="CI380" s="66">
        <f t="shared" si="533"/>
        <v>0</v>
      </c>
      <c r="CJ380" s="66">
        <f>+IF($W380="","",ROUND((CG380*Parámetros!$G$85),2))</f>
        <v>0</v>
      </c>
      <c r="CK380" s="66">
        <f>+IF($W380="","",ROUND((CG380*(Parámetros!$G$86)),2))</f>
        <v>0</v>
      </c>
      <c r="CL380" s="66">
        <f t="shared" si="534"/>
        <v>0</v>
      </c>
      <c r="CM380" t="str">
        <f t="shared" si="575"/>
        <v>00063</v>
      </c>
      <c r="CN380" s="118" t="str">
        <f t="shared" si="576"/>
        <v>Renta Diaria por Hospitalización</v>
      </c>
      <c r="CO380" s="118">
        <f t="shared" si="577"/>
        <v>0</v>
      </c>
      <c r="CP380" s="118" t="str">
        <f t="shared" si="578"/>
        <v>A</v>
      </c>
      <c r="CQ380" s="119" t="str">
        <f t="shared" si="535"/>
        <v/>
      </c>
      <c r="CR380" s="66">
        <f>+IF($W380="","",ROUND((VLOOKUP(Parámetros!$F$51,'COBERTURAS ADICIONALES'!$S$4:$T$32,2,FALSE)*(1+i/frec)^-0.5*(1+Parámetros!$D$103)*(1+rec_fracc)/frec*$CO$42),2))</f>
        <v>0</v>
      </c>
      <c r="CS380" s="119" t="str">
        <f t="shared" si="536"/>
        <v/>
      </c>
      <c r="CT380" s="66">
        <f>+IF($W380="","",ROUND(IF($B380&gt;Parámetros!$D$107,'Tablas Servicio'!CR380+('Tablas Servicio'!CT379-'Tablas Servicio'!CR379),CR380/(1-IF(B380&lt;=10,Parámetros!$D$100,0))),2))</f>
        <v>0</v>
      </c>
      <c r="CU380" s="66">
        <f t="shared" si="537"/>
        <v>0</v>
      </c>
      <c r="CV380" s="66">
        <f t="shared" si="537"/>
        <v>0</v>
      </c>
      <c r="CW380" s="66">
        <f>+IF($W380="","",ROUND((CT380*Parámetros!$G$85),2))</f>
        <v>0</v>
      </c>
      <c r="CX380" s="66">
        <f>+IF($W380="","",ROUND((CT380*(Parámetros!$G$86)),2))</f>
        <v>0</v>
      </c>
      <c r="CY380" s="66">
        <f t="shared" si="538"/>
        <v>0</v>
      </c>
      <c r="CZ380" t="str">
        <f t="shared" si="579"/>
        <v>00064</v>
      </c>
      <c r="DA380" s="118" t="str">
        <f t="shared" si="580"/>
        <v>Enfermedades Graves</v>
      </c>
      <c r="DB380" s="118">
        <f t="shared" si="581"/>
        <v>0</v>
      </c>
      <c r="DC380" s="118" t="str">
        <f t="shared" si="582"/>
        <v>A</v>
      </c>
      <c r="DD380" s="121" t="str">
        <f>+IF(OR($W380="",DB380=0),"",ROUND((VLOOKUP(ROUNDDOWN($D380-1/frec,0),cob_adi,CO$40,FALSE)*(1+i/frec)^-0.5*(1+Parámetros!$D$103)*(1+rec_fracc)/frec),6))</f>
        <v/>
      </c>
      <c r="DE380" s="66">
        <f t="shared" si="539"/>
        <v>0</v>
      </c>
      <c r="DF380" s="119" t="str">
        <f t="shared" si="540"/>
        <v/>
      </c>
      <c r="DG380" s="66">
        <f>+IF($W380="","",ROUND(IF($B380&gt;Parámetros!$D$107,'Tablas Servicio'!DE380+('Tablas Servicio'!DG379-'Tablas Servicio'!DE379),DE380/(1-IF(B380&lt;=10,Parámetros!$D$100,0))),2))</f>
        <v>0</v>
      </c>
      <c r="DH380" s="66">
        <f t="shared" si="541"/>
        <v>0</v>
      </c>
      <c r="DI380" s="66">
        <f t="shared" si="541"/>
        <v>0</v>
      </c>
      <c r="DJ380" s="66">
        <f>+IF($W380="","",ROUND((DG380*Parámetros!$G$85),2))</f>
        <v>0</v>
      </c>
      <c r="DK380" s="66">
        <f>+IF($W380="","",ROUND((DG380*(Parámetros!$G$86)),2))</f>
        <v>0</v>
      </c>
      <c r="DL380" s="66">
        <f t="shared" si="542"/>
        <v>0</v>
      </c>
      <c r="DM380" t="str">
        <f t="shared" si="583"/>
        <v>00065</v>
      </c>
      <c r="DN380" s="118" t="str">
        <f t="shared" si="584"/>
        <v>Exención pago de primas</v>
      </c>
      <c r="DO380" s="118">
        <f t="shared" si="585"/>
        <v>0</v>
      </c>
      <c r="DP380" s="118" t="str">
        <f t="shared" si="586"/>
        <v>A</v>
      </c>
      <c r="DQ380" s="122" t="str">
        <f>+IF(OR($W380="",DO380=0),"",ROUND((VLOOKUP(ROUNDDOWN($D380-1/frec,0),cob_adi,DB$40,FALSE)*(1+i/frec)^-0.5*(1+Parámetros!$D$103)*(1+rec_fracc)/frec),6))</f>
        <v/>
      </c>
      <c r="DR380" s="66">
        <f t="shared" si="543"/>
        <v>0</v>
      </c>
      <c r="DS380" s="68" t="str">
        <f t="shared" si="544"/>
        <v/>
      </c>
      <c r="DT380" s="66">
        <f>+IF($W380="","",ROUND(IF($B380&gt;Parámetros!$D$107,'Tablas Servicio'!DR380+('Tablas Servicio'!DT379-'Tablas Servicio'!DR379),DR380/(1-IF(B380&lt;=10,Parámetros!$D$100,0))),2))</f>
        <v>0</v>
      </c>
      <c r="DU380" s="66">
        <f t="shared" si="545"/>
        <v>0</v>
      </c>
      <c r="DV380" s="66">
        <f t="shared" si="545"/>
        <v>0</v>
      </c>
      <c r="DW380" s="66">
        <f>+IF($W380="","",ROUND((DT380*Parámetros!$G$85),2))</f>
        <v>0</v>
      </c>
      <c r="DX380" s="66">
        <f>+IF($W380="","",ROUND((DT380*(Parámetros!$G$86)),2))</f>
        <v>0</v>
      </c>
      <c r="DY380" s="66">
        <f t="shared" si="546"/>
        <v>0</v>
      </c>
      <c r="DZ380" t="str">
        <f t="shared" si="587"/>
        <v>00066</v>
      </c>
      <c r="EA380" s="118" t="str">
        <f t="shared" si="587"/>
        <v>Enfermedad terminal</v>
      </c>
      <c r="EB380" s="118">
        <f>+IF($W380="","",ROUND(IF(Parámetros!$D$25='TABLAS MORT'!$V$33,EB379,Z380/2),0))</f>
        <v>50000</v>
      </c>
      <c r="EC380" s="118" t="str">
        <f t="shared" si="587"/>
        <v>A</v>
      </c>
      <c r="ED380" s="122">
        <f>+IF(OR($W380="",EB380=0),"",ROUND((VLOOKUP(ROUNDDOWN($D380-1/frec,0),cob_adi,DO$40,FALSE)*(1+i/frec)^-0.5*(1+Parámetros!$D$103)*(1+rec_fracc)/frec),6))</f>
        <v>5.5000000000000002E-5</v>
      </c>
      <c r="EE380" s="66">
        <f t="shared" si="548"/>
        <v>2.75</v>
      </c>
      <c r="EF380" s="68">
        <f t="shared" si="549"/>
        <v>5.5000000000000002E-5</v>
      </c>
      <c r="EG380" s="66">
        <f>+IF($W380="","",ROUND(IF($B380&gt;Parámetros!$D$107,'Tablas Servicio'!EE380+('Tablas Servicio'!EG379-'Tablas Servicio'!EE379),EE380/(1-IF(B380&lt;=10,Parámetros!$D$100,0))),2))</f>
        <v>2.75</v>
      </c>
      <c r="EH380" s="66">
        <f t="shared" si="550"/>
        <v>0</v>
      </c>
      <c r="EI380" s="66">
        <f t="shared" si="550"/>
        <v>0</v>
      </c>
      <c r="EJ380" s="66">
        <f>+IF($W380="","",ROUND((EG380*Parámetros!$G$85),2))</f>
        <v>0.1</v>
      </c>
      <c r="EK380" s="66">
        <f>+IF($W380="","",ROUND((EG380*(Parámetros!$G$86)),2))</f>
        <v>0.01</v>
      </c>
      <c r="EL380" s="66">
        <f t="shared" si="551"/>
        <v>2.86</v>
      </c>
    </row>
    <row r="381" spans="1:142" x14ac:dyDescent="0.25">
      <c r="A381">
        <f>+IF($C381="","",ROUND(VLOOKUP('Tablas Servicio'!B381,Parámetros!$H$100:$J$159,IF(Parámetros!$E$16="F",2,3),FALSE),2))</f>
        <v>150</v>
      </c>
      <c r="B381">
        <f t="shared" si="502"/>
        <v>29</v>
      </c>
      <c r="C381" s="57">
        <f>+IF(D381="","",'Tablas Servicio'!C380+1)</f>
        <v>340</v>
      </c>
      <c r="D381" s="56">
        <f>+IF(D380&lt;edadmaxtabla,D380+1/Parámetros!$E$25,"")</f>
        <v>68.353333333333765</v>
      </c>
      <c r="E381" s="57">
        <f t="shared" si="512"/>
        <v>68</v>
      </c>
      <c r="F381" s="59">
        <f t="shared" si="513"/>
        <v>100000</v>
      </c>
      <c r="G381" s="66">
        <f t="shared" si="503"/>
        <v>109.95</v>
      </c>
      <c r="H381" s="66">
        <f t="shared" si="504"/>
        <v>114.35</v>
      </c>
      <c r="I381" s="66">
        <f t="shared" si="552"/>
        <v>-20.349999999999994</v>
      </c>
      <c r="J381" s="66">
        <f t="shared" si="505"/>
        <v>3.85</v>
      </c>
      <c r="K381" s="66">
        <f t="shared" si="506"/>
        <v>0.55000000000000004</v>
      </c>
      <c r="L381" s="66">
        <f t="shared" si="507"/>
        <v>0</v>
      </c>
      <c r="M381" s="66">
        <f t="shared" si="508"/>
        <v>0</v>
      </c>
      <c r="N381" s="66">
        <f>+IF(C381="","",ROUND(Parámetros!$D$23,2))</f>
        <v>94</v>
      </c>
      <c r="O381" s="66">
        <f t="shared" si="509"/>
        <v>97.45</v>
      </c>
      <c r="P381" s="66">
        <f>+IF($C381="","",ROUND(IF(B381&gt;Parámetros!$D$117,0,N381*Parámetros!$D$116-G381*Parámetros!$D$100),2))</f>
        <v>0</v>
      </c>
      <c r="Q381" s="75">
        <f t="shared" si="553"/>
        <v>3.5015916325602546E-2</v>
      </c>
      <c r="R381" s="75">
        <f t="shared" si="554"/>
        <v>5.0022737608003643E-3</v>
      </c>
      <c r="S381" s="117">
        <f>+IF($C381="","",ROUND((S380+I381)*(1+Parámetros!$D$91),2))</f>
        <v>25087.56</v>
      </c>
      <c r="T381" s="117">
        <f>+IF($C381="","",ROUND(S381*VLOOKUP(B381,Parámetros!$C$30:$D$39,2,TRUE),2))</f>
        <v>25087.56</v>
      </c>
      <c r="U381" s="117">
        <f>+IF($C381="","",ROUND((U380+I381)*(1+Parámetros!$D$92),2))</f>
        <v>27571.8</v>
      </c>
      <c r="V381" s="117">
        <f>+IF($C381="","",ROUND(U381*VLOOKUP(B381,Parámetros!$C$30:$D$39,2,TRUE),2))</f>
        <v>27571.8</v>
      </c>
      <c r="W381" s="57">
        <f t="shared" si="555"/>
        <v>340</v>
      </c>
      <c r="X381" t="str">
        <f t="shared" si="556"/>
        <v>00058</v>
      </c>
      <c r="Y381" t="str">
        <f t="shared" si="557"/>
        <v>MUERTE POR CUALQUIER CAUSA</v>
      </c>
      <c r="Z381" s="118">
        <f>+IF($W381="","",ROUND(IF(Parámetros!$D$25='TABLAS MORT'!$V$33,Z380,Parámetros!$D$21-'Tablas Servicio'!T380),0))</f>
        <v>100000</v>
      </c>
      <c r="AA381" s="118" t="str">
        <f t="shared" si="558"/>
        <v>P</v>
      </c>
      <c r="AB381" s="119">
        <f>+IF(W381="","",ROUND((VLOOKUP(ROUNDDOWN($D381-1/frec,0),qx_tabla,2,FALSE)*(1+i/frec)^-0.5*(1+Parámetros!$D$103)*(1+rec_fracc)/frec),6))</f>
        <v>9.4700000000000003E-4</v>
      </c>
      <c r="AC381" s="66">
        <f t="shared" si="514"/>
        <v>94.7</v>
      </c>
      <c r="AD381" s="119">
        <f t="shared" si="510"/>
        <v>1.072E-3</v>
      </c>
      <c r="AE381" s="66">
        <f>+IF($W381="","",ROUND(IF($B381&gt;Parámetros!$D$107,'Tablas Servicio'!AC381+('Tablas Servicio'!AG380-'Tablas Servicio'!AC380),AC381/(1-IF(B381&lt;=10,Parámetros!$D$104,Parámetros!$D$105))),2))</f>
        <v>157.83000000000001</v>
      </c>
      <c r="AF381" s="66">
        <f>+IF($W381="","",ROUND(IF($B381&gt;Parámetros!$D$107,'Tablas Servicio'!AC381+('Tablas Servicio'!AG380-'Tablas Servicio'!AC380),(AC381+$A380/frec)/(1-IF(B381&lt;=Parámetros!$D$117,Parámetros!$D$100,0))),2))</f>
        <v>107.2</v>
      </c>
      <c r="AG381" s="66">
        <f t="shared" si="515"/>
        <v>107.2</v>
      </c>
      <c r="AH381" s="66">
        <f t="shared" si="516"/>
        <v>0</v>
      </c>
      <c r="AI381" s="66">
        <f t="shared" si="517"/>
        <v>0</v>
      </c>
      <c r="AJ381" s="66">
        <f>+IF($W381="","",ROUND((AG381*Parámetros!$G$85),2))</f>
        <v>3.75</v>
      </c>
      <c r="AK381" s="66">
        <f>+IF($W381="","",ROUND((AG381*(Parámetros!$G$86)),2))</f>
        <v>0.54</v>
      </c>
      <c r="AL381" s="66">
        <f t="shared" si="511"/>
        <v>111.49</v>
      </c>
      <c r="AM381" t="str">
        <f t="shared" si="559"/>
        <v>00059</v>
      </c>
      <c r="AN381" t="str">
        <f t="shared" si="560"/>
        <v>Incapacidad Total y Permanente</v>
      </c>
      <c r="AO381" s="118">
        <f t="shared" si="561"/>
        <v>0</v>
      </c>
      <c r="AP381" s="118" t="str">
        <f t="shared" si="562"/>
        <v>A</v>
      </c>
      <c r="AQ381" s="119" t="str">
        <f>+IF(OR($W381="",AO381=0),"",ROUND((VLOOKUP(ROUNDDOWN($D381-1/frec,0),cob_adi,Z$40,FALSE)*(1+i/frec)^-0.5*(1+Parámetros!$D$103)*(1+rec_fracc)/frec),6))</f>
        <v/>
      </c>
      <c r="AR381" s="66">
        <f t="shared" si="518"/>
        <v>0</v>
      </c>
      <c r="AS381" s="119" t="str">
        <f t="shared" si="519"/>
        <v/>
      </c>
      <c r="AT381" s="66">
        <f>+IF($W381="","",ROUND(IF($B381&gt;Parámetros!$D$107,'Tablas Servicio'!AR381+('Tablas Servicio'!AT380-'Tablas Servicio'!AR380),AR381/(1-IF(B381&lt;=10,Parámetros!$D$100,0))),2))</f>
        <v>0</v>
      </c>
      <c r="AU381" s="66">
        <f t="shared" si="520"/>
        <v>0</v>
      </c>
      <c r="AV381" s="66">
        <f t="shared" si="520"/>
        <v>0</v>
      </c>
      <c r="AW381" s="66">
        <f>+IF($W381="","",ROUND((AT381*Parámetros!$G$85),2))</f>
        <v>0</v>
      </c>
      <c r="AX381" s="66">
        <f>+IF($W381="","",ROUND((AT381*(Parámetros!$G$86)),2))</f>
        <v>0</v>
      </c>
      <c r="AY381" s="66">
        <f t="shared" si="521"/>
        <v>0</v>
      </c>
      <c r="AZ381" t="str">
        <f t="shared" si="563"/>
        <v>00060</v>
      </c>
      <c r="BA381" t="str">
        <f t="shared" si="564"/>
        <v>Muerte Accidental</v>
      </c>
      <c r="BB381" s="118">
        <f t="shared" si="565"/>
        <v>0</v>
      </c>
      <c r="BC381" s="118" t="str">
        <f t="shared" si="566"/>
        <v>A</v>
      </c>
      <c r="BD381" s="119" t="str">
        <f>+IF(OR($W381="",BB381=0),"",ROUND((VLOOKUP(ROUNDDOWN($D381-1/frec,0),cob_adi,AO$40,FALSE)*(1+i/frec)^-0.5*(1+Parámetros!$D$103)*(1+rec_fracc)/frec),6))</f>
        <v/>
      </c>
      <c r="BE381" s="66">
        <f t="shared" si="522"/>
        <v>0</v>
      </c>
      <c r="BF381" s="119" t="str">
        <f t="shared" si="523"/>
        <v/>
      </c>
      <c r="BG381" s="66">
        <f>+IF($W381="","",ROUND(IF($B381&gt;Parámetros!$D$107,'Tablas Servicio'!BE381+('Tablas Servicio'!BG380-'Tablas Servicio'!BE380),BE381/(1-IF(B381&lt;=10,Parámetros!$D$100,0))),2))</f>
        <v>0</v>
      </c>
      <c r="BH381" s="66">
        <f t="shared" si="524"/>
        <v>0</v>
      </c>
      <c r="BI381" s="66">
        <f t="shared" si="525"/>
        <v>0</v>
      </c>
      <c r="BJ381" s="66">
        <f>+IF($W381="","",ROUND((BG381*Parámetros!$G$85),2))</f>
        <v>0</v>
      </c>
      <c r="BK381" s="66">
        <f>+IF($W381="","",ROUND((BG381*(Parámetros!$G$86)),2))</f>
        <v>0</v>
      </c>
      <c r="BL381" s="66">
        <f t="shared" si="526"/>
        <v>0</v>
      </c>
      <c r="BM381" t="str">
        <f t="shared" si="567"/>
        <v>00061</v>
      </c>
      <c r="BN381" t="str">
        <f t="shared" si="568"/>
        <v>Gastos de Entierro</v>
      </c>
      <c r="BO381" s="118">
        <f t="shared" si="569"/>
        <v>0</v>
      </c>
      <c r="BP381" s="118" t="str">
        <f t="shared" si="570"/>
        <v>A</v>
      </c>
      <c r="BQ381" s="119" t="str">
        <f>+IF(OR($W381="",BO381=0),"",ROUND((VLOOKUP(ROUNDDOWN($D381-1/frec,0),cob_adi,BB$40,FALSE)*(1+i/frec)^-0.5*(1+Parámetros!$D$103)*(1+rec_fracc)/frec),6))</f>
        <v/>
      </c>
      <c r="BR381" s="66">
        <f t="shared" si="527"/>
        <v>0</v>
      </c>
      <c r="BS381" s="119" t="str">
        <f t="shared" si="528"/>
        <v/>
      </c>
      <c r="BT381" s="66">
        <f>+IF($W381="","",ROUND(IF($B381&gt;Parámetros!$D$107,'Tablas Servicio'!BR381+('Tablas Servicio'!BT380-'Tablas Servicio'!BR380),BR381/(1-IF(B381&lt;=10,Parámetros!$D$100,0))),2))</f>
        <v>0</v>
      </c>
      <c r="BU381" s="66">
        <f t="shared" si="529"/>
        <v>0</v>
      </c>
      <c r="BV381" s="66">
        <f t="shared" si="529"/>
        <v>0</v>
      </c>
      <c r="BW381" s="66">
        <f>+IF($W381="","",ROUND((BT381*Parámetros!$G$85),2))</f>
        <v>0</v>
      </c>
      <c r="BX381" s="66">
        <f>+IF($W381="","",ROUND((BT381*(Parámetros!$G$86)),2))</f>
        <v>0</v>
      </c>
      <c r="BY381" s="66">
        <f t="shared" si="530"/>
        <v>0</v>
      </c>
      <c r="BZ381" t="str">
        <f t="shared" si="571"/>
        <v>00062</v>
      </c>
      <c r="CA381" t="str">
        <f t="shared" si="572"/>
        <v>Gastos médicos por accidente</v>
      </c>
      <c r="CB381" s="118">
        <f t="shared" si="573"/>
        <v>0</v>
      </c>
      <c r="CC381" s="118" t="str">
        <f t="shared" si="574"/>
        <v>A</v>
      </c>
      <c r="CD381" s="119" t="str">
        <f t="shared" si="531"/>
        <v/>
      </c>
      <c r="CE381" s="66">
        <f>+IF($W381="","",ROUND((VLOOKUP(ROUNDDOWN($D381-1/frec,0),cob_adi,BO$40,FALSE)*(1+i/frec)^-0.5*(1+Parámetros!$D$103)*(1+rec_fracc)/frec*'TABLAS ADI'!$BC$17),2))</f>
        <v>0</v>
      </c>
      <c r="CF381" s="119" t="str">
        <f t="shared" si="532"/>
        <v/>
      </c>
      <c r="CG381" s="66">
        <f>+IF($W381="","",ROUND(IF($B381&gt;Parámetros!$D$107,'Tablas Servicio'!CE381+('Tablas Servicio'!CG380-'Tablas Servicio'!CE380),CE381/(1-IF(B381&lt;=10,Parámetros!$D$100,0))),2))</f>
        <v>0</v>
      </c>
      <c r="CH381" s="66">
        <f t="shared" si="533"/>
        <v>0</v>
      </c>
      <c r="CI381" s="66">
        <f t="shared" si="533"/>
        <v>0</v>
      </c>
      <c r="CJ381" s="66">
        <f>+IF($W381="","",ROUND((CG381*Parámetros!$G$85),2))</f>
        <v>0</v>
      </c>
      <c r="CK381" s="66">
        <f>+IF($W381="","",ROUND((CG381*(Parámetros!$G$86)),2))</f>
        <v>0</v>
      </c>
      <c r="CL381" s="66">
        <f t="shared" si="534"/>
        <v>0</v>
      </c>
      <c r="CM381" t="str">
        <f t="shared" si="575"/>
        <v>00063</v>
      </c>
      <c r="CN381" s="118" t="str">
        <f t="shared" si="576"/>
        <v>Renta Diaria por Hospitalización</v>
      </c>
      <c r="CO381" s="118">
        <f t="shared" si="577"/>
        <v>0</v>
      </c>
      <c r="CP381" s="118" t="str">
        <f t="shared" si="578"/>
        <v>A</v>
      </c>
      <c r="CQ381" s="119" t="str">
        <f t="shared" si="535"/>
        <v/>
      </c>
      <c r="CR381" s="66">
        <f>+IF($W381="","",ROUND((VLOOKUP(Parámetros!$F$51,'COBERTURAS ADICIONALES'!$S$4:$T$32,2,FALSE)*(1+i/frec)^-0.5*(1+Parámetros!$D$103)*(1+rec_fracc)/frec*$CO$42),2))</f>
        <v>0</v>
      </c>
      <c r="CS381" s="119" t="str">
        <f t="shared" si="536"/>
        <v/>
      </c>
      <c r="CT381" s="66">
        <f>+IF($W381="","",ROUND(IF($B381&gt;Parámetros!$D$107,'Tablas Servicio'!CR381+('Tablas Servicio'!CT380-'Tablas Servicio'!CR380),CR381/(1-IF(B381&lt;=10,Parámetros!$D$100,0))),2))</f>
        <v>0</v>
      </c>
      <c r="CU381" s="66">
        <f t="shared" si="537"/>
        <v>0</v>
      </c>
      <c r="CV381" s="66">
        <f t="shared" si="537"/>
        <v>0</v>
      </c>
      <c r="CW381" s="66">
        <f>+IF($W381="","",ROUND((CT381*Parámetros!$G$85),2))</f>
        <v>0</v>
      </c>
      <c r="CX381" s="66">
        <f>+IF($W381="","",ROUND((CT381*(Parámetros!$G$86)),2))</f>
        <v>0</v>
      </c>
      <c r="CY381" s="66">
        <f t="shared" si="538"/>
        <v>0</v>
      </c>
      <c r="CZ381" t="str">
        <f t="shared" si="579"/>
        <v>00064</v>
      </c>
      <c r="DA381" s="118" t="str">
        <f t="shared" si="580"/>
        <v>Enfermedades Graves</v>
      </c>
      <c r="DB381" s="118">
        <f t="shared" si="581"/>
        <v>0</v>
      </c>
      <c r="DC381" s="118" t="str">
        <f t="shared" si="582"/>
        <v>A</v>
      </c>
      <c r="DD381" s="121" t="str">
        <f>+IF(OR($W381="",DB381=0),"",ROUND((VLOOKUP(ROUNDDOWN($D381-1/frec,0),cob_adi,CO$40,FALSE)*(1+i/frec)^-0.5*(1+Parámetros!$D$103)*(1+rec_fracc)/frec),6))</f>
        <v/>
      </c>
      <c r="DE381" s="66">
        <f t="shared" si="539"/>
        <v>0</v>
      </c>
      <c r="DF381" s="119" t="str">
        <f t="shared" si="540"/>
        <v/>
      </c>
      <c r="DG381" s="66">
        <f>+IF($W381="","",ROUND(IF($B381&gt;Parámetros!$D$107,'Tablas Servicio'!DE381+('Tablas Servicio'!DG380-'Tablas Servicio'!DE380),DE381/(1-IF(B381&lt;=10,Parámetros!$D$100,0))),2))</f>
        <v>0</v>
      </c>
      <c r="DH381" s="66">
        <f t="shared" si="541"/>
        <v>0</v>
      </c>
      <c r="DI381" s="66">
        <f t="shared" si="541"/>
        <v>0</v>
      </c>
      <c r="DJ381" s="66">
        <f>+IF($W381="","",ROUND((DG381*Parámetros!$G$85),2))</f>
        <v>0</v>
      </c>
      <c r="DK381" s="66">
        <f>+IF($W381="","",ROUND((DG381*(Parámetros!$G$86)),2))</f>
        <v>0</v>
      </c>
      <c r="DL381" s="66">
        <f t="shared" si="542"/>
        <v>0</v>
      </c>
      <c r="DM381" t="str">
        <f t="shared" si="583"/>
        <v>00065</v>
      </c>
      <c r="DN381" s="118" t="str">
        <f t="shared" si="584"/>
        <v>Exención pago de primas</v>
      </c>
      <c r="DO381" s="118">
        <f t="shared" si="585"/>
        <v>0</v>
      </c>
      <c r="DP381" s="118" t="str">
        <f t="shared" si="586"/>
        <v>A</v>
      </c>
      <c r="DQ381" s="122" t="str">
        <f>+IF(OR($W381="",DO381=0),"",ROUND((VLOOKUP(ROUNDDOWN($D381-1/frec,0),cob_adi,DB$40,FALSE)*(1+i/frec)^-0.5*(1+Parámetros!$D$103)*(1+rec_fracc)/frec),6))</f>
        <v/>
      </c>
      <c r="DR381" s="66">
        <f t="shared" si="543"/>
        <v>0</v>
      </c>
      <c r="DS381" s="68" t="str">
        <f t="shared" si="544"/>
        <v/>
      </c>
      <c r="DT381" s="66">
        <f>+IF($W381="","",ROUND(IF($B381&gt;Parámetros!$D$107,'Tablas Servicio'!DR381+('Tablas Servicio'!DT380-'Tablas Servicio'!DR380),DR381/(1-IF(B381&lt;=10,Parámetros!$D$100,0))),2))</f>
        <v>0</v>
      </c>
      <c r="DU381" s="66">
        <f t="shared" si="545"/>
        <v>0</v>
      </c>
      <c r="DV381" s="66">
        <f t="shared" si="545"/>
        <v>0</v>
      </c>
      <c r="DW381" s="66">
        <f>+IF($W381="","",ROUND((DT381*Parámetros!$G$85),2))</f>
        <v>0</v>
      </c>
      <c r="DX381" s="66">
        <f>+IF($W381="","",ROUND((DT381*(Parámetros!$G$86)),2))</f>
        <v>0</v>
      </c>
      <c r="DY381" s="66">
        <f t="shared" si="546"/>
        <v>0</v>
      </c>
      <c r="DZ381" t="str">
        <f t="shared" si="587"/>
        <v>00066</v>
      </c>
      <c r="EA381" s="118" t="str">
        <f t="shared" si="587"/>
        <v>Enfermedad terminal</v>
      </c>
      <c r="EB381" s="118">
        <f>+IF($W381="","",ROUND(IF(Parámetros!$D$25='TABLAS MORT'!$V$33,EB380,Z381/2),0))</f>
        <v>50000</v>
      </c>
      <c r="EC381" s="118" t="str">
        <f t="shared" si="587"/>
        <v>A</v>
      </c>
      <c r="ED381" s="122">
        <f>+IF(OR($W381="",EB381=0),"",ROUND((VLOOKUP(ROUNDDOWN($D381-1/frec,0),cob_adi,DO$40,FALSE)*(1+i/frec)^-0.5*(1+Parámetros!$D$103)*(1+rec_fracc)/frec),6))</f>
        <v>5.5000000000000002E-5</v>
      </c>
      <c r="EE381" s="66">
        <f t="shared" si="548"/>
        <v>2.75</v>
      </c>
      <c r="EF381" s="68">
        <f t="shared" si="549"/>
        <v>5.5000000000000002E-5</v>
      </c>
      <c r="EG381" s="66">
        <f>+IF($W381="","",ROUND(IF($B381&gt;Parámetros!$D$107,'Tablas Servicio'!EE381+('Tablas Servicio'!EG380-'Tablas Servicio'!EE380),EE381/(1-IF(B381&lt;=10,Parámetros!$D$100,0))),2))</f>
        <v>2.75</v>
      </c>
      <c r="EH381" s="66">
        <f t="shared" si="550"/>
        <v>0</v>
      </c>
      <c r="EI381" s="66">
        <f t="shared" si="550"/>
        <v>0</v>
      </c>
      <c r="EJ381" s="66">
        <f>+IF($W381="","",ROUND((EG381*Parámetros!$G$85),2))</f>
        <v>0.1</v>
      </c>
      <c r="EK381" s="66">
        <f>+IF($W381="","",ROUND((EG381*(Parámetros!$G$86)),2))</f>
        <v>0.01</v>
      </c>
      <c r="EL381" s="66">
        <f t="shared" si="551"/>
        <v>2.86</v>
      </c>
    </row>
    <row r="382" spans="1:142" x14ac:dyDescent="0.25">
      <c r="A382">
        <f>+IF($C382="","",ROUND(VLOOKUP('Tablas Servicio'!B382,Parámetros!$H$100:$J$159,IF(Parámetros!$E$16="F",2,3),FALSE),2))</f>
        <v>150</v>
      </c>
      <c r="B382">
        <f t="shared" si="502"/>
        <v>29</v>
      </c>
      <c r="C382" s="57">
        <f>+IF(D382="","",'Tablas Servicio'!C381+1)</f>
        <v>341</v>
      </c>
      <c r="D382" s="56">
        <f>+IF(D381&lt;edadmaxtabla,D381+1/Parámetros!$E$25,"")</f>
        <v>68.436666666667094</v>
      </c>
      <c r="E382" s="57">
        <f t="shared" si="512"/>
        <v>68</v>
      </c>
      <c r="F382" s="59">
        <f t="shared" si="513"/>
        <v>100000</v>
      </c>
      <c r="G382" s="66">
        <f t="shared" si="503"/>
        <v>109.95</v>
      </c>
      <c r="H382" s="66">
        <f t="shared" si="504"/>
        <v>114.35</v>
      </c>
      <c r="I382" s="66">
        <f t="shared" si="552"/>
        <v>-20.349999999999994</v>
      </c>
      <c r="J382" s="66">
        <f t="shared" si="505"/>
        <v>3.85</v>
      </c>
      <c r="K382" s="66">
        <f t="shared" si="506"/>
        <v>0.55000000000000004</v>
      </c>
      <c r="L382" s="66">
        <f t="shared" si="507"/>
        <v>0</v>
      </c>
      <c r="M382" s="66">
        <f t="shared" si="508"/>
        <v>0</v>
      </c>
      <c r="N382" s="66">
        <f>+IF(C382="","",ROUND(Parámetros!$D$23,2))</f>
        <v>94</v>
      </c>
      <c r="O382" s="66">
        <f t="shared" si="509"/>
        <v>97.45</v>
      </c>
      <c r="P382" s="66">
        <f>+IF($C382="","",ROUND(IF(B382&gt;Parámetros!$D$117,0,N382*Parámetros!$D$116-G382*Parámetros!$D$100),2))</f>
        <v>0</v>
      </c>
      <c r="Q382" s="75">
        <f t="shared" si="553"/>
        <v>3.5015916325602546E-2</v>
      </c>
      <c r="R382" s="75">
        <f t="shared" si="554"/>
        <v>5.0022737608003643E-3</v>
      </c>
      <c r="S382" s="117">
        <f>+IF($C382="","",ROUND((S381+I382)*(1+Parámetros!$D$91),2))</f>
        <v>25138.31</v>
      </c>
      <c r="T382" s="117">
        <f>+IF($C382="","",ROUND(S382*VLOOKUP(B382,Parámetros!$C$30:$D$39,2,TRUE),2))</f>
        <v>25138.31</v>
      </c>
      <c r="U382" s="117">
        <f>+IF($C382="","",ROUND((U381+I382)*(1+Parámetros!$D$92),2))</f>
        <v>27640.76</v>
      </c>
      <c r="V382" s="117">
        <f>+IF($C382="","",ROUND(U382*VLOOKUP(B382,Parámetros!$C$30:$D$39,2,TRUE),2))</f>
        <v>27640.76</v>
      </c>
      <c r="W382" s="57">
        <f t="shared" si="555"/>
        <v>341</v>
      </c>
      <c r="X382" t="str">
        <f t="shared" si="556"/>
        <v>00058</v>
      </c>
      <c r="Y382" t="str">
        <f t="shared" si="557"/>
        <v>MUERTE POR CUALQUIER CAUSA</v>
      </c>
      <c r="Z382" s="118">
        <f>+IF($W382="","",ROUND(IF(Parámetros!$D$25='TABLAS MORT'!$V$33,Z381,Parámetros!$D$21-'Tablas Servicio'!T381),0))</f>
        <v>100000</v>
      </c>
      <c r="AA382" s="118" t="str">
        <f t="shared" si="558"/>
        <v>P</v>
      </c>
      <c r="AB382" s="119">
        <f>+IF(W382="","",ROUND((VLOOKUP(ROUNDDOWN($D382-1/frec,0),qx_tabla,2,FALSE)*(1+i/frec)^-0.5*(1+Parámetros!$D$103)*(1+rec_fracc)/frec),6))</f>
        <v>9.4700000000000003E-4</v>
      </c>
      <c r="AC382" s="66">
        <f t="shared" si="514"/>
        <v>94.7</v>
      </c>
      <c r="AD382" s="119">
        <f t="shared" si="510"/>
        <v>1.072E-3</v>
      </c>
      <c r="AE382" s="66">
        <f>+IF($W382="","",ROUND(IF($B382&gt;Parámetros!$D$107,'Tablas Servicio'!AC382+('Tablas Servicio'!AG381-'Tablas Servicio'!AC381),AC382/(1-IF(B382&lt;=10,Parámetros!$D$104,Parámetros!$D$105))),2))</f>
        <v>157.83000000000001</v>
      </c>
      <c r="AF382" s="66">
        <f>+IF($W382="","",ROUND(IF($B382&gt;Parámetros!$D$107,'Tablas Servicio'!AC382+('Tablas Servicio'!AG381-'Tablas Servicio'!AC381),(AC382+$A381/frec)/(1-IF(B382&lt;=Parámetros!$D$117,Parámetros!$D$100,0))),2))</f>
        <v>107.2</v>
      </c>
      <c r="AG382" s="66">
        <f t="shared" si="515"/>
        <v>107.2</v>
      </c>
      <c r="AH382" s="66">
        <f t="shared" si="516"/>
        <v>0</v>
      </c>
      <c r="AI382" s="66">
        <f t="shared" si="517"/>
        <v>0</v>
      </c>
      <c r="AJ382" s="66">
        <f>+IF($W382="","",ROUND((AG382*Parámetros!$G$85),2))</f>
        <v>3.75</v>
      </c>
      <c r="AK382" s="66">
        <f>+IF($W382="","",ROUND((AG382*(Parámetros!$G$86)),2))</f>
        <v>0.54</v>
      </c>
      <c r="AL382" s="66">
        <f t="shared" si="511"/>
        <v>111.49</v>
      </c>
      <c r="AM382" t="str">
        <f t="shared" si="559"/>
        <v>00059</v>
      </c>
      <c r="AN382" t="str">
        <f t="shared" si="560"/>
        <v>Incapacidad Total y Permanente</v>
      </c>
      <c r="AO382" s="118">
        <f t="shared" si="561"/>
        <v>0</v>
      </c>
      <c r="AP382" s="118" t="str">
        <f t="shared" si="562"/>
        <v>A</v>
      </c>
      <c r="AQ382" s="119" t="str">
        <f>+IF(OR($W382="",AO382=0),"",ROUND((VLOOKUP(ROUNDDOWN($D382-1/frec,0),cob_adi,Z$40,FALSE)*(1+i/frec)^-0.5*(1+Parámetros!$D$103)*(1+rec_fracc)/frec),6))</f>
        <v/>
      </c>
      <c r="AR382" s="66">
        <f t="shared" si="518"/>
        <v>0</v>
      </c>
      <c r="AS382" s="119" t="str">
        <f t="shared" si="519"/>
        <v/>
      </c>
      <c r="AT382" s="66">
        <f>+IF($W382="","",ROUND(IF($B382&gt;Parámetros!$D$107,'Tablas Servicio'!AR382+('Tablas Servicio'!AT381-'Tablas Servicio'!AR381),AR382/(1-IF(B382&lt;=10,Parámetros!$D$100,0))),2))</f>
        <v>0</v>
      </c>
      <c r="AU382" s="66">
        <f t="shared" si="520"/>
        <v>0</v>
      </c>
      <c r="AV382" s="66">
        <f t="shared" si="520"/>
        <v>0</v>
      </c>
      <c r="AW382" s="66">
        <f>+IF($W382="","",ROUND((AT382*Parámetros!$G$85),2))</f>
        <v>0</v>
      </c>
      <c r="AX382" s="66">
        <f>+IF($W382="","",ROUND((AT382*(Parámetros!$G$86)),2))</f>
        <v>0</v>
      </c>
      <c r="AY382" s="66">
        <f t="shared" si="521"/>
        <v>0</v>
      </c>
      <c r="AZ382" t="str">
        <f t="shared" si="563"/>
        <v>00060</v>
      </c>
      <c r="BA382" t="str">
        <f t="shared" si="564"/>
        <v>Muerte Accidental</v>
      </c>
      <c r="BB382" s="118">
        <f t="shared" si="565"/>
        <v>0</v>
      </c>
      <c r="BC382" s="118" t="str">
        <f t="shared" si="566"/>
        <v>A</v>
      </c>
      <c r="BD382" s="119" t="str">
        <f>+IF(OR($W382="",BB382=0),"",ROUND((VLOOKUP(ROUNDDOWN($D382-1/frec,0),cob_adi,AO$40,FALSE)*(1+i/frec)^-0.5*(1+Parámetros!$D$103)*(1+rec_fracc)/frec),6))</f>
        <v/>
      </c>
      <c r="BE382" s="66">
        <f t="shared" si="522"/>
        <v>0</v>
      </c>
      <c r="BF382" s="119" t="str">
        <f t="shared" si="523"/>
        <v/>
      </c>
      <c r="BG382" s="66">
        <f>+IF($W382="","",ROUND(IF($B382&gt;Parámetros!$D$107,'Tablas Servicio'!BE382+('Tablas Servicio'!BG381-'Tablas Servicio'!BE381),BE382/(1-IF(B382&lt;=10,Parámetros!$D$100,0))),2))</f>
        <v>0</v>
      </c>
      <c r="BH382" s="66">
        <f t="shared" si="524"/>
        <v>0</v>
      </c>
      <c r="BI382" s="66">
        <f t="shared" si="525"/>
        <v>0</v>
      </c>
      <c r="BJ382" s="66">
        <f>+IF($W382="","",ROUND((BG382*Parámetros!$G$85),2))</f>
        <v>0</v>
      </c>
      <c r="BK382" s="66">
        <f>+IF($W382="","",ROUND((BG382*(Parámetros!$G$86)),2))</f>
        <v>0</v>
      </c>
      <c r="BL382" s="66">
        <f t="shared" si="526"/>
        <v>0</v>
      </c>
      <c r="BM382" t="str">
        <f t="shared" si="567"/>
        <v>00061</v>
      </c>
      <c r="BN382" t="str">
        <f t="shared" si="568"/>
        <v>Gastos de Entierro</v>
      </c>
      <c r="BO382" s="118">
        <f t="shared" si="569"/>
        <v>0</v>
      </c>
      <c r="BP382" s="118" t="str">
        <f t="shared" si="570"/>
        <v>A</v>
      </c>
      <c r="BQ382" s="119" t="str">
        <f>+IF(OR($W382="",BO382=0),"",ROUND((VLOOKUP(ROUNDDOWN($D382-1/frec,0),cob_adi,BB$40,FALSE)*(1+i/frec)^-0.5*(1+Parámetros!$D$103)*(1+rec_fracc)/frec),6))</f>
        <v/>
      </c>
      <c r="BR382" s="66">
        <f t="shared" si="527"/>
        <v>0</v>
      </c>
      <c r="BS382" s="119" t="str">
        <f t="shared" si="528"/>
        <v/>
      </c>
      <c r="BT382" s="66">
        <f>+IF($W382="","",ROUND(IF($B382&gt;Parámetros!$D$107,'Tablas Servicio'!BR382+('Tablas Servicio'!BT381-'Tablas Servicio'!BR381),BR382/(1-IF(B382&lt;=10,Parámetros!$D$100,0))),2))</f>
        <v>0</v>
      </c>
      <c r="BU382" s="66">
        <f t="shared" si="529"/>
        <v>0</v>
      </c>
      <c r="BV382" s="66">
        <f t="shared" si="529"/>
        <v>0</v>
      </c>
      <c r="BW382" s="66">
        <f>+IF($W382="","",ROUND((BT382*Parámetros!$G$85),2))</f>
        <v>0</v>
      </c>
      <c r="BX382" s="66">
        <f>+IF($W382="","",ROUND((BT382*(Parámetros!$G$86)),2))</f>
        <v>0</v>
      </c>
      <c r="BY382" s="66">
        <f t="shared" si="530"/>
        <v>0</v>
      </c>
      <c r="BZ382" t="str">
        <f t="shared" si="571"/>
        <v>00062</v>
      </c>
      <c r="CA382" t="str">
        <f t="shared" si="572"/>
        <v>Gastos médicos por accidente</v>
      </c>
      <c r="CB382" s="118">
        <f t="shared" si="573"/>
        <v>0</v>
      </c>
      <c r="CC382" s="118" t="str">
        <f t="shared" si="574"/>
        <v>A</v>
      </c>
      <c r="CD382" s="119" t="str">
        <f t="shared" si="531"/>
        <v/>
      </c>
      <c r="CE382" s="66">
        <f>+IF($W382="","",ROUND((VLOOKUP(ROUNDDOWN($D382-1/frec,0),cob_adi,BO$40,FALSE)*(1+i/frec)^-0.5*(1+Parámetros!$D$103)*(1+rec_fracc)/frec*'TABLAS ADI'!$BC$17),2))</f>
        <v>0</v>
      </c>
      <c r="CF382" s="119" t="str">
        <f t="shared" si="532"/>
        <v/>
      </c>
      <c r="CG382" s="66">
        <f>+IF($W382="","",ROUND(IF($B382&gt;Parámetros!$D$107,'Tablas Servicio'!CE382+('Tablas Servicio'!CG381-'Tablas Servicio'!CE381),CE382/(1-IF(B382&lt;=10,Parámetros!$D$100,0))),2))</f>
        <v>0</v>
      </c>
      <c r="CH382" s="66">
        <f t="shared" si="533"/>
        <v>0</v>
      </c>
      <c r="CI382" s="66">
        <f t="shared" si="533"/>
        <v>0</v>
      </c>
      <c r="CJ382" s="66">
        <f>+IF($W382="","",ROUND((CG382*Parámetros!$G$85),2))</f>
        <v>0</v>
      </c>
      <c r="CK382" s="66">
        <f>+IF($W382="","",ROUND((CG382*(Parámetros!$G$86)),2))</f>
        <v>0</v>
      </c>
      <c r="CL382" s="66">
        <f t="shared" si="534"/>
        <v>0</v>
      </c>
      <c r="CM382" t="str">
        <f t="shared" si="575"/>
        <v>00063</v>
      </c>
      <c r="CN382" s="118" t="str">
        <f t="shared" si="576"/>
        <v>Renta Diaria por Hospitalización</v>
      </c>
      <c r="CO382" s="118">
        <f t="shared" si="577"/>
        <v>0</v>
      </c>
      <c r="CP382" s="118" t="str">
        <f t="shared" si="578"/>
        <v>A</v>
      </c>
      <c r="CQ382" s="119" t="str">
        <f t="shared" si="535"/>
        <v/>
      </c>
      <c r="CR382" s="66">
        <f>+IF($W382="","",ROUND((VLOOKUP(Parámetros!$F$51,'COBERTURAS ADICIONALES'!$S$4:$T$32,2,FALSE)*(1+i/frec)^-0.5*(1+Parámetros!$D$103)*(1+rec_fracc)/frec*$CO$42),2))</f>
        <v>0</v>
      </c>
      <c r="CS382" s="119" t="str">
        <f t="shared" si="536"/>
        <v/>
      </c>
      <c r="CT382" s="66">
        <f>+IF($W382="","",ROUND(IF($B382&gt;Parámetros!$D$107,'Tablas Servicio'!CR382+('Tablas Servicio'!CT381-'Tablas Servicio'!CR381),CR382/(1-IF(B382&lt;=10,Parámetros!$D$100,0))),2))</f>
        <v>0</v>
      </c>
      <c r="CU382" s="66">
        <f t="shared" si="537"/>
        <v>0</v>
      </c>
      <c r="CV382" s="66">
        <f t="shared" si="537"/>
        <v>0</v>
      </c>
      <c r="CW382" s="66">
        <f>+IF($W382="","",ROUND((CT382*Parámetros!$G$85),2))</f>
        <v>0</v>
      </c>
      <c r="CX382" s="66">
        <f>+IF($W382="","",ROUND((CT382*(Parámetros!$G$86)),2))</f>
        <v>0</v>
      </c>
      <c r="CY382" s="66">
        <f t="shared" si="538"/>
        <v>0</v>
      </c>
      <c r="CZ382" t="str">
        <f t="shared" si="579"/>
        <v>00064</v>
      </c>
      <c r="DA382" s="118" t="str">
        <f t="shared" si="580"/>
        <v>Enfermedades Graves</v>
      </c>
      <c r="DB382" s="118">
        <f t="shared" si="581"/>
        <v>0</v>
      </c>
      <c r="DC382" s="118" t="str">
        <f t="shared" si="582"/>
        <v>A</v>
      </c>
      <c r="DD382" s="121" t="str">
        <f>+IF(OR($W382="",DB382=0),"",ROUND((VLOOKUP(ROUNDDOWN($D382-1/frec,0),cob_adi,CO$40,FALSE)*(1+i/frec)^-0.5*(1+Parámetros!$D$103)*(1+rec_fracc)/frec),6))</f>
        <v/>
      </c>
      <c r="DE382" s="66">
        <f t="shared" si="539"/>
        <v>0</v>
      </c>
      <c r="DF382" s="119" t="str">
        <f t="shared" si="540"/>
        <v/>
      </c>
      <c r="DG382" s="66">
        <f>+IF($W382="","",ROUND(IF($B382&gt;Parámetros!$D$107,'Tablas Servicio'!DE382+('Tablas Servicio'!DG381-'Tablas Servicio'!DE381),DE382/(1-IF(B382&lt;=10,Parámetros!$D$100,0))),2))</f>
        <v>0</v>
      </c>
      <c r="DH382" s="66">
        <f t="shared" si="541"/>
        <v>0</v>
      </c>
      <c r="DI382" s="66">
        <f t="shared" si="541"/>
        <v>0</v>
      </c>
      <c r="DJ382" s="66">
        <f>+IF($W382="","",ROUND((DG382*Parámetros!$G$85),2))</f>
        <v>0</v>
      </c>
      <c r="DK382" s="66">
        <f>+IF($W382="","",ROUND((DG382*(Parámetros!$G$86)),2))</f>
        <v>0</v>
      </c>
      <c r="DL382" s="66">
        <f t="shared" si="542"/>
        <v>0</v>
      </c>
      <c r="DM382" t="str">
        <f t="shared" si="583"/>
        <v>00065</v>
      </c>
      <c r="DN382" s="118" t="str">
        <f t="shared" si="584"/>
        <v>Exención pago de primas</v>
      </c>
      <c r="DO382" s="118">
        <f t="shared" si="585"/>
        <v>0</v>
      </c>
      <c r="DP382" s="118" t="str">
        <f t="shared" si="586"/>
        <v>A</v>
      </c>
      <c r="DQ382" s="122" t="str">
        <f>+IF(OR($W382="",DO382=0),"",ROUND((VLOOKUP(ROUNDDOWN($D382-1/frec,0),cob_adi,DB$40,FALSE)*(1+i/frec)^-0.5*(1+Parámetros!$D$103)*(1+rec_fracc)/frec),6))</f>
        <v/>
      </c>
      <c r="DR382" s="66">
        <f t="shared" si="543"/>
        <v>0</v>
      </c>
      <c r="DS382" s="68" t="str">
        <f t="shared" si="544"/>
        <v/>
      </c>
      <c r="DT382" s="66">
        <f>+IF($W382="","",ROUND(IF($B382&gt;Parámetros!$D$107,'Tablas Servicio'!DR382+('Tablas Servicio'!DT381-'Tablas Servicio'!DR381),DR382/(1-IF(B382&lt;=10,Parámetros!$D$100,0))),2))</f>
        <v>0</v>
      </c>
      <c r="DU382" s="66">
        <f t="shared" si="545"/>
        <v>0</v>
      </c>
      <c r="DV382" s="66">
        <f t="shared" si="545"/>
        <v>0</v>
      </c>
      <c r="DW382" s="66">
        <f>+IF($W382="","",ROUND((DT382*Parámetros!$G$85),2))</f>
        <v>0</v>
      </c>
      <c r="DX382" s="66">
        <f>+IF($W382="","",ROUND((DT382*(Parámetros!$G$86)),2))</f>
        <v>0</v>
      </c>
      <c r="DY382" s="66">
        <f t="shared" si="546"/>
        <v>0</v>
      </c>
      <c r="DZ382" t="str">
        <f t="shared" si="587"/>
        <v>00066</v>
      </c>
      <c r="EA382" s="118" t="str">
        <f t="shared" si="587"/>
        <v>Enfermedad terminal</v>
      </c>
      <c r="EB382" s="118">
        <f>+IF($W382="","",ROUND(IF(Parámetros!$D$25='TABLAS MORT'!$V$33,EB381,Z382/2),0))</f>
        <v>50000</v>
      </c>
      <c r="EC382" s="118" t="str">
        <f t="shared" si="587"/>
        <v>A</v>
      </c>
      <c r="ED382" s="122">
        <f>+IF(OR($W382="",EB382=0),"",ROUND((VLOOKUP(ROUNDDOWN($D382-1/frec,0),cob_adi,DO$40,FALSE)*(1+i/frec)^-0.5*(1+Parámetros!$D$103)*(1+rec_fracc)/frec),6))</f>
        <v>5.5000000000000002E-5</v>
      </c>
      <c r="EE382" s="66">
        <f t="shared" si="548"/>
        <v>2.75</v>
      </c>
      <c r="EF382" s="68">
        <f t="shared" si="549"/>
        <v>5.5000000000000002E-5</v>
      </c>
      <c r="EG382" s="66">
        <f>+IF($W382="","",ROUND(IF($B382&gt;Parámetros!$D$107,'Tablas Servicio'!EE382+('Tablas Servicio'!EG381-'Tablas Servicio'!EE381),EE382/(1-IF(B382&lt;=10,Parámetros!$D$100,0))),2))</f>
        <v>2.75</v>
      </c>
      <c r="EH382" s="66">
        <f t="shared" si="550"/>
        <v>0</v>
      </c>
      <c r="EI382" s="66">
        <f t="shared" si="550"/>
        <v>0</v>
      </c>
      <c r="EJ382" s="66">
        <f>+IF($W382="","",ROUND((EG382*Parámetros!$G$85),2))</f>
        <v>0.1</v>
      </c>
      <c r="EK382" s="66">
        <f>+IF($W382="","",ROUND((EG382*(Parámetros!$G$86)),2))</f>
        <v>0.01</v>
      </c>
      <c r="EL382" s="66">
        <f t="shared" si="551"/>
        <v>2.86</v>
      </c>
    </row>
    <row r="383" spans="1:142" x14ac:dyDescent="0.25">
      <c r="A383">
        <f>+IF($C383="","",ROUND(VLOOKUP('Tablas Servicio'!B383,Parámetros!$H$100:$J$159,IF(Parámetros!$E$16="F",2,3),FALSE),2))</f>
        <v>150</v>
      </c>
      <c r="B383">
        <f t="shared" si="502"/>
        <v>29</v>
      </c>
      <c r="C383" s="57">
        <f>+IF(D383="","",'Tablas Servicio'!C382+1)</f>
        <v>342</v>
      </c>
      <c r="D383" s="56">
        <f>+IF(D382&lt;edadmaxtabla,D382+1/Parámetros!$E$25,"")</f>
        <v>68.520000000000422</v>
      </c>
      <c r="E383" s="57">
        <f t="shared" si="512"/>
        <v>68</v>
      </c>
      <c r="F383" s="59">
        <f t="shared" si="513"/>
        <v>100000</v>
      </c>
      <c r="G383" s="66">
        <f t="shared" si="503"/>
        <v>109.95</v>
      </c>
      <c r="H383" s="66">
        <f t="shared" si="504"/>
        <v>114.35</v>
      </c>
      <c r="I383" s="66">
        <f t="shared" si="552"/>
        <v>-20.349999999999994</v>
      </c>
      <c r="J383" s="66">
        <f t="shared" si="505"/>
        <v>3.85</v>
      </c>
      <c r="K383" s="66">
        <f t="shared" si="506"/>
        <v>0.55000000000000004</v>
      </c>
      <c r="L383" s="66">
        <f t="shared" si="507"/>
        <v>0</v>
      </c>
      <c r="M383" s="66">
        <f t="shared" si="508"/>
        <v>0</v>
      </c>
      <c r="N383" s="66">
        <f>+IF(C383="","",ROUND(Parámetros!$D$23,2))</f>
        <v>94</v>
      </c>
      <c r="O383" s="66">
        <f t="shared" si="509"/>
        <v>97.45</v>
      </c>
      <c r="P383" s="66">
        <f>+IF($C383="","",ROUND(IF(B383&gt;Parámetros!$D$117,0,N383*Parámetros!$D$116-G383*Parámetros!$D$100),2))</f>
        <v>0</v>
      </c>
      <c r="Q383" s="75">
        <f t="shared" si="553"/>
        <v>3.5015916325602546E-2</v>
      </c>
      <c r="R383" s="75">
        <f t="shared" si="554"/>
        <v>5.0022737608003643E-3</v>
      </c>
      <c r="S383" s="117">
        <f>+IF($C383="","",ROUND((S382+I383)*(1+Parámetros!$D$91),2))</f>
        <v>25189.21</v>
      </c>
      <c r="T383" s="117">
        <f>+IF($C383="","",ROUND(S383*VLOOKUP(B383,Parámetros!$C$30:$D$39,2,TRUE),2))</f>
        <v>25189.21</v>
      </c>
      <c r="U383" s="117">
        <f>+IF($C383="","",ROUND((U382+I383)*(1+Parámetros!$D$92),2))</f>
        <v>27709.95</v>
      </c>
      <c r="V383" s="117">
        <f>+IF($C383="","",ROUND(U383*VLOOKUP(B383,Parámetros!$C$30:$D$39,2,TRUE),2))</f>
        <v>27709.95</v>
      </c>
      <c r="W383" s="57">
        <f t="shared" si="555"/>
        <v>342</v>
      </c>
      <c r="X383" t="str">
        <f t="shared" si="556"/>
        <v>00058</v>
      </c>
      <c r="Y383" t="str">
        <f t="shared" si="557"/>
        <v>MUERTE POR CUALQUIER CAUSA</v>
      </c>
      <c r="Z383" s="118">
        <f>+IF($W383="","",ROUND(IF(Parámetros!$D$25='TABLAS MORT'!$V$33,Z382,Parámetros!$D$21-'Tablas Servicio'!T382),0))</f>
        <v>100000</v>
      </c>
      <c r="AA383" s="118" t="str">
        <f t="shared" si="558"/>
        <v>P</v>
      </c>
      <c r="AB383" s="119">
        <f>+IF(W383="","",ROUND((VLOOKUP(ROUNDDOWN($D383-1/frec,0),qx_tabla,2,FALSE)*(1+i/frec)^-0.5*(1+Parámetros!$D$103)*(1+rec_fracc)/frec),6))</f>
        <v>9.4700000000000003E-4</v>
      </c>
      <c r="AC383" s="66">
        <f t="shared" si="514"/>
        <v>94.7</v>
      </c>
      <c r="AD383" s="119">
        <f t="shared" si="510"/>
        <v>1.072E-3</v>
      </c>
      <c r="AE383" s="66">
        <f>+IF($W383="","",ROUND(IF($B383&gt;Parámetros!$D$107,'Tablas Servicio'!AC383+('Tablas Servicio'!AG382-'Tablas Servicio'!AC382),AC383/(1-IF(B383&lt;=10,Parámetros!$D$104,Parámetros!$D$105))),2))</f>
        <v>157.83000000000001</v>
      </c>
      <c r="AF383" s="66">
        <f>+IF($W383="","",ROUND(IF($B383&gt;Parámetros!$D$107,'Tablas Servicio'!AC383+('Tablas Servicio'!AG382-'Tablas Servicio'!AC382),(AC383+$A382/frec)/(1-IF(B383&lt;=Parámetros!$D$117,Parámetros!$D$100,0))),2))</f>
        <v>107.2</v>
      </c>
      <c r="AG383" s="66">
        <f t="shared" si="515"/>
        <v>107.2</v>
      </c>
      <c r="AH383" s="66">
        <f t="shared" si="516"/>
        <v>0</v>
      </c>
      <c r="AI383" s="66">
        <f t="shared" si="517"/>
        <v>0</v>
      </c>
      <c r="AJ383" s="66">
        <f>+IF($W383="","",ROUND((AG383*Parámetros!$G$85),2))</f>
        <v>3.75</v>
      </c>
      <c r="AK383" s="66">
        <f>+IF($W383="","",ROUND((AG383*(Parámetros!$G$86)),2))</f>
        <v>0.54</v>
      </c>
      <c r="AL383" s="66">
        <f t="shared" si="511"/>
        <v>111.49</v>
      </c>
      <c r="AM383" t="str">
        <f t="shared" si="559"/>
        <v>00059</v>
      </c>
      <c r="AN383" t="str">
        <f t="shared" si="560"/>
        <v>Incapacidad Total y Permanente</v>
      </c>
      <c r="AO383" s="118">
        <f t="shared" si="561"/>
        <v>0</v>
      </c>
      <c r="AP383" s="118" t="str">
        <f t="shared" si="562"/>
        <v>A</v>
      </c>
      <c r="AQ383" s="119" t="str">
        <f>+IF(OR($W383="",AO383=0),"",ROUND((VLOOKUP(ROUNDDOWN($D383-1/frec,0),cob_adi,Z$40,FALSE)*(1+i/frec)^-0.5*(1+Parámetros!$D$103)*(1+rec_fracc)/frec),6))</f>
        <v/>
      </c>
      <c r="AR383" s="66">
        <f t="shared" si="518"/>
        <v>0</v>
      </c>
      <c r="AS383" s="119" t="str">
        <f t="shared" si="519"/>
        <v/>
      </c>
      <c r="AT383" s="66">
        <f>+IF($W383="","",ROUND(IF($B383&gt;Parámetros!$D$107,'Tablas Servicio'!AR383+('Tablas Servicio'!AT382-'Tablas Servicio'!AR382),AR383/(1-IF(B383&lt;=10,Parámetros!$D$100,0))),2))</f>
        <v>0</v>
      </c>
      <c r="AU383" s="66">
        <f t="shared" si="520"/>
        <v>0</v>
      </c>
      <c r="AV383" s="66">
        <f t="shared" si="520"/>
        <v>0</v>
      </c>
      <c r="AW383" s="66">
        <f>+IF($W383="","",ROUND((AT383*Parámetros!$G$85),2))</f>
        <v>0</v>
      </c>
      <c r="AX383" s="66">
        <f>+IF($W383="","",ROUND((AT383*(Parámetros!$G$86)),2))</f>
        <v>0</v>
      </c>
      <c r="AY383" s="66">
        <f t="shared" si="521"/>
        <v>0</v>
      </c>
      <c r="AZ383" t="str">
        <f t="shared" si="563"/>
        <v>00060</v>
      </c>
      <c r="BA383" t="str">
        <f t="shared" si="564"/>
        <v>Muerte Accidental</v>
      </c>
      <c r="BB383" s="118">
        <f t="shared" si="565"/>
        <v>0</v>
      </c>
      <c r="BC383" s="118" t="str">
        <f t="shared" si="566"/>
        <v>A</v>
      </c>
      <c r="BD383" s="119" t="str">
        <f>+IF(OR($W383="",BB383=0),"",ROUND((VLOOKUP(ROUNDDOWN($D383-1/frec,0),cob_adi,AO$40,FALSE)*(1+i/frec)^-0.5*(1+Parámetros!$D$103)*(1+rec_fracc)/frec),6))</f>
        <v/>
      </c>
      <c r="BE383" s="66">
        <f t="shared" si="522"/>
        <v>0</v>
      </c>
      <c r="BF383" s="119" t="str">
        <f t="shared" si="523"/>
        <v/>
      </c>
      <c r="BG383" s="66">
        <f>+IF($W383="","",ROUND(IF($B383&gt;Parámetros!$D$107,'Tablas Servicio'!BE383+('Tablas Servicio'!BG382-'Tablas Servicio'!BE382),BE383/(1-IF(B383&lt;=10,Parámetros!$D$100,0))),2))</f>
        <v>0</v>
      </c>
      <c r="BH383" s="66">
        <f t="shared" si="524"/>
        <v>0</v>
      </c>
      <c r="BI383" s="66">
        <f t="shared" si="525"/>
        <v>0</v>
      </c>
      <c r="BJ383" s="66">
        <f>+IF($W383="","",ROUND((BG383*Parámetros!$G$85),2))</f>
        <v>0</v>
      </c>
      <c r="BK383" s="66">
        <f>+IF($W383="","",ROUND((BG383*(Parámetros!$G$86)),2))</f>
        <v>0</v>
      </c>
      <c r="BL383" s="66">
        <f t="shared" si="526"/>
        <v>0</v>
      </c>
      <c r="BM383" t="str">
        <f t="shared" si="567"/>
        <v>00061</v>
      </c>
      <c r="BN383" t="str">
        <f t="shared" si="568"/>
        <v>Gastos de Entierro</v>
      </c>
      <c r="BO383" s="118">
        <f t="shared" si="569"/>
        <v>0</v>
      </c>
      <c r="BP383" s="118" t="str">
        <f t="shared" si="570"/>
        <v>A</v>
      </c>
      <c r="BQ383" s="119" t="str">
        <f>+IF(OR($W383="",BO383=0),"",ROUND((VLOOKUP(ROUNDDOWN($D383-1/frec,0),cob_adi,BB$40,FALSE)*(1+i/frec)^-0.5*(1+Parámetros!$D$103)*(1+rec_fracc)/frec),6))</f>
        <v/>
      </c>
      <c r="BR383" s="66">
        <f t="shared" si="527"/>
        <v>0</v>
      </c>
      <c r="BS383" s="119" t="str">
        <f t="shared" si="528"/>
        <v/>
      </c>
      <c r="BT383" s="66">
        <f>+IF($W383="","",ROUND(IF($B383&gt;Parámetros!$D$107,'Tablas Servicio'!BR383+('Tablas Servicio'!BT382-'Tablas Servicio'!BR382),BR383/(1-IF(B383&lt;=10,Parámetros!$D$100,0))),2))</f>
        <v>0</v>
      </c>
      <c r="BU383" s="66">
        <f t="shared" si="529"/>
        <v>0</v>
      </c>
      <c r="BV383" s="66">
        <f t="shared" si="529"/>
        <v>0</v>
      </c>
      <c r="BW383" s="66">
        <f>+IF($W383="","",ROUND((BT383*Parámetros!$G$85),2))</f>
        <v>0</v>
      </c>
      <c r="BX383" s="66">
        <f>+IF($W383="","",ROUND((BT383*(Parámetros!$G$86)),2))</f>
        <v>0</v>
      </c>
      <c r="BY383" s="66">
        <f t="shared" si="530"/>
        <v>0</v>
      </c>
      <c r="BZ383" t="str">
        <f t="shared" si="571"/>
        <v>00062</v>
      </c>
      <c r="CA383" t="str">
        <f t="shared" si="572"/>
        <v>Gastos médicos por accidente</v>
      </c>
      <c r="CB383" s="118">
        <f t="shared" si="573"/>
        <v>0</v>
      </c>
      <c r="CC383" s="118" t="str">
        <f t="shared" si="574"/>
        <v>A</v>
      </c>
      <c r="CD383" s="119" t="str">
        <f t="shared" si="531"/>
        <v/>
      </c>
      <c r="CE383" s="66">
        <f>+IF($W383="","",ROUND((VLOOKUP(ROUNDDOWN($D383-1/frec,0),cob_adi,BO$40,FALSE)*(1+i/frec)^-0.5*(1+Parámetros!$D$103)*(1+rec_fracc)/frec*'TABLAS ADI'!$BC$17),2))</f>
        <v>0</v>
      </c>
      <c r="CF383" s="119" t="str">
        <f t="shared" si="532"/>
        <v/>
      </c>
      <c r="CG383" s="66">
        <f>+IF($W383="","",ROUND(IF($B383&gt;Parámetros!$D$107,'Tablas Servicio'!CE383+('Tablas Servicio'!CG382-'Tablas Servicio'!CE382),CE383/(1-IF(B383&lt;=10,Parámetros!$D$100,0))),2))</f>
        <v>0</v>
      </c>
      <c r="CH383" s="66">
        <f t="shared" si="533"/>
        <v>0</v>
      </c>
      <c r="CI383" s="66">
        <f t="shared" si="533"/>
        <v>0</v>
      </c>
      <c r="CJ383" s="66">
        <f>+IF($W383="","",ROUND((CG383*Parámetros!$G$85),2))</f>
        <v>0</v>
      </c>
      <c r="CK383" s="66">
        <f>+IF($W383="","",ROUND((CG383*(Parámetros!$G$86)),2))</f>
        <v>0</v>
      </c>
      <c r="CL383" s="66">
        <f t="shared" si="534"/>
        <v>0</v>
      </c>
      <c r="CM383" t="str">
        <f t="shared" si="575"/>
        <v>00063</v>
      </c>
      <c r="CN383" s="118" t="str">
        <f t="shared" si="576"/>
        <v>Renta Diaria por Hospitalización</v>
      </c>
      <c r="CO383" s="118">
        <f t="shared" si="577"/>
        <v>0</v>
      </c>
      <c r="CP383" s="118" t="str">
        <f t="shared" si="578"/>
        <v>A</v>
      </c>
      <c r="CQ383" s="119" t="str">
        <f t="shared" si="535"/>
        <v/>
      </c>
      <c r="CR383" s="66">
        <f>+IF($W383="","",ROUND((VLOOKUP(Parámetros!$F$51,'COBERTURAS ADICIONALES'!$S$4:$T$32,2,FALSE)*(1+i/frec)^-0.5*(1+Parámetros!$D$103)*(1+rec_fracc)/frec*$CO$42),2))</f>
        <v>0</v>
      </c>
      <c r="CS383" s="119" t="str">
        <f t="shared" si="536"/>
        <v/>
      </c>
      <c r="CT383" s="66">
        <f>+IF($W383="","",ROUND(IF($B383&gt;Parámetros!$D$107,'Tablas Servicio'!CR383+('Tablas Servicio'!CT382-'Tablas Servicio'!CR382),CR383/(1-IF(B383&lt;=10,Parámetros!$D$100,0))),2))</f>
        <v>0</v>
      </c>
      <c r="CU383" s="66">
        <f t="shared" si="537"/>
        <v>0</v>
      </c>
      <c r="CV383" s="66">
        <f t="shared" si="537"/>
        <v>0</v>
      </c>
      <c r="CW383" s="66">
        <f>+IF($W383="","",ROUND((CT383*Parámetros!$G$85),2))</f>
        <v>0</v>
      </c>
      <c r="CX383" s="66">
        <f>+IF($W383="","",ROUND((CT383*(Parámetros!$G$86)),2))</f>
        <v>0</v>
      </c>
      <c r="CY383" s="66">
        <f t="shared" si="538"/>
        <v>0</v>
      </c>
      <c r="CZ383" t="str">
        <f t="shared" si="579"/>
        <v>00064</v>
      </c>
      <c r="DA383" s="118" t="str">
        <f t="shared" si="580"/>
        <v>Enfermedades Graves</v>
      </c>
      <c r="DB383" s="118">
        <f t="shared" si="581"/>
        <v>0</v>
      </c>
      <c r="DC383" s="118" t="str">
        <f t="shared" si="582"/>
        <v>A</v>
      </c>
      <c r="DD383" s="121" t="str">
        <f>+IF(OR($W383="",DB383=0),"",ROUND((VLOOKUP(ROUNDDOWN($D383-1/frec,0),cob_adi,CO$40,FALSE)*(1+i/frec)^-0.5*(1+Parámetros!$D$103)*(1+rec_fracc)/frec),6))</f>
        <v/>
      </c>
      <c r="DE383" s="66">
        <f t="shared" si="539"/>
        <v>0</v>
      </c>
      <c r="DF383" s="119" t="str">
        <f t="shared" si="540"/>
        <v/>
      </c>
      <c r="DG383" s="66">
        <f>+IF($W383="","",ROUND(IF($B383&gt;Parámetros!$D$107,'Tablas Servicio'!DE383+('Tablas Servicio'!DG382-'Tablas Servicio'!DE382),DE383/(1-IF(B383&lt;=10,Parámetros!$D$100,0))),2))</f>
        <v>0</v>
      </c>
      <c r="DH383" s="66">
        <f t="shared" si="541"/>
        <v>0</v>
      </c>
      <c r="DI383" s="66">
        <f t="shared" si="541"/>
        <v>0</v>
      </c>
      <c r="DJ383" s="66">
        <f>+IF($W383="","",ROUND((DG383*Parámetros!$G$85),2))</f>
        <v>0</v>
      </c>
      <c r="DK383" s="66">
        <f>+IF($W383="","",ROUND((DG383*(Parámetros!$G$86)),2))</f>
        <v>0</v>
      </c>
      <c r="DL383" s="66">
        <f t="shared" si="542"/>
        <v>0</v>
      </c>
      <c r="DM383" t="str">
        <f t="shared" si="583"/>
        <v>00065</v>
      </c>
      <c r="DN383" s="118" t="str">
        <f t="shared" si="584"/>
        <v>Exención pago de primas</v>
      </c>
      <c r="DO383" s="118">
        <f t="shared" si="585"/>
        <v>0</v>
      </c>
      <c r="DP383" s="118" t="str">
        <f t="shared" si="586"/>
        <v>A</v>
      </c>
      <c r="DQ383" s="122" t="str">
        <f>+IF(OR($W383="",DO383=0),"",ROUND((VLOOKUP(ROUNDDOWN($D383-1/frec,0),cob_adi,DB$40,FALSE)*(1+i/frec)^-0.5*(1+Parámetros!$D$103)*(1+rec_fracc)/frec),6))</f>
        <v/>
      </c>
      <c r="DR383" s="66">
        <f t="shared" si="543"/>
        <v>0</v>
      </c>
      <c r="DS383" s="68" t="str">
        <f t="shared" si="544"/>
        <v/>
      </c>
      <c r="DT383" s="66">
        <f>+IF($W383="","",ROUND(IF($B383&gt;Parámetros!$D$107,'Tablas Servicio'!DR383+('Tablas Servicio'!DT382-'Tablas Servicio'!DR382),DR383/(1-IF(B383&lt;=10,Parámetros!$D$100,0))),2))</f>
        <v>0</v>
      </c>
      <c r="DU383" s="66">
        <f t="shared" si="545"/>
        <v>0</v>
      </c>
      <c r="DV383" s="66">
        <f t="shared" si="545"/>
        <v>0</v>
      </c>
      <c r="DW383" s="66">
        <f>+IF($W383="","",ROUND((DT383*Parámetros!$G$85),2))</f>
        <v>0</v>
      </c>
      <c r="DX383" s="66">
        <f>+IF($W383="","",ROUND((DT383*(Parámetros!$G$86)),2))</f>
        <v>0</v>
      </c>
      <c r="DY383" s="66">
        <f t="shared" si="546"/>
        <v>0</v>
      </c>
      <c r="DZ383" t="str">
        <f t="shared" si="587"/>
        <v>00066</v>
      </c>
      <c r="EA383" s="118" t="str">
        <f t="shared" si="587"/>
        <v>Enfermedad terminal</v>
      </c>
      <c r="EB383" s="118">
        <f>+IF($W383="","",ROUND(IF(Parámetros!$D$25='TABLAS MORT'!$V$33,EB382,Z383/2),0))</f>
        <v>50000</v>
      </c>
      <c r="EC383" s="118" t="str">
        <f t="shared" si="587"/>
        <v>A</v>
      </c>
      <c r="ED383" s="122">
        <f>+IF(OR($W383="",EB383=0),"",ROUND((VLOOKUP(ROUNDDOWN($D383-1/frec,0),cob_adi,DO$40,FALSE)*(1+i/frec)^-0.5*(1+Parámetros!$D$103)*(1+rec_fracc)/frec),6))</f>
        <v>5.5000000000000002E-5</v>
      </c>
      <c r="EE383" s="66">
        <f t="shared" si="548"/>
        <v>2.75</v>
      </c>
      <c r="EF383" s="68">
        <f t="shared" si="549"/>
        <v>5.5000000000000002E-5</v>
      </c>
      <c r="EG383" s="66">
        <f>+IF($W383="","",ROUND(IF($B383&gt;Parámetros!$D$107,'Tablas Servicio'!EE383+('Tablas Servicio'!EG382-'Tablas Servicio'!EE382),EE383/(1-IF(B383&lt;=10,Parámetros!$D$100,0))),2))</f>
        <v>2.75</v>
      </c>
      <c r="EH383" s="66">
        <f t="shared" si="550"/>
        <v>0</v>
      </c>
      <c r="EI383" s="66">
        <f t="shared" si="550"/>
        <v>0</v>
      </c>
      <c r="EJ383" s="66">
        <f>+IF($W383="","",ROUND((EG383*Parámetros!$G$85),2))</f>
        <v>0.1</v>
      </c>
      <c r="EK383" s="66">
        <f>+IF($W383="","",ROUND((EG383*(Parámetros!$G$86)),2))</f>
        <v>0.01</v>
      </c>
      <c r="EL383" s="66">
        <f t="shared" si="551"/>
        <v>2.86</v>
      </c>
    </row>
    <row r="384" spans="1:142" x14ac:dyDescent="0.25">
      <c r="A384">
        <f>+IF($C384="","",ROUND(VLOOKUP('Tablas Servicio'!B384,Parámetros!$H$100:$J$159,IF(Parámetros!$E$16="F",2,3),FALSE),2))</f>
        <v>150</v>
      </c>
      <c r="B384">
        <f t="shared" si="502"/>
        <v>29</v>
      </c>
      <c r="C384" s="57">
        <f>+IF(D384="","",'Tablas Servicio'!C383+1)</f>
        <v>343</v>
      </c>
      <c r="D384" s="56">
        <f>+IF(D383&lt;edadmaxtabla,D383+1/Parámetros!$E$25,"")</f>
        <v>68.603333333333751</v>
      </c>
      <c r="E384" s="57">
        <f t="shared" si="512"/>
        <v>68</v>
      </c>
      <c r="F384" s="59">
        <f t="shared" si="513"/>
        <v>100000</v>
      </c>
      <c r="G384" s="66">
        <f t="shared" si="503"/>
        <v>109.95</v>
      </c>
      <c r="H384" s="66">
        <f t="shared" si="504"/>
        <v>114.35</v>
      </c>
      <c r="I384" s="66">
        <f t="shared" si="552"/>
        <v>-20.349999999999994</v>
      </c>
      <c r="J384" s="66">
        <f t="shared" si="505"/>
        <v>3.85</v>
      </c>
      <c r="K384" s="66">
        <f t="shared" si="506"/>
        <v>0.55000000000000004</v>
      </c>
      <c r="L384" s="66">
        <f t="shared" si="507"/>
        <v>0</v>
      </c>
      <c r="M384" s="66">
        <f t="shared" si="508"/>
        <v>0</v>
      </c>
      <c r="N384" s="66">
        <f>+IF(C384="","",ROUND(Parámetros!$D$23,2))</f>
        <v>94</v>
      </c>
      <c r="O384" s="66">
        <f t="shared" si="509"/>
        <v>97.45</v>
      </c>
      <c r="P384" s="66">
        <f>+IF($C384="","",ROUND(IF(B384&gt;Parámetros!$D$117,0,N384*Parámetros!$D$116-G384*Parámetros!$D$100),2))</f>
        <v>0</v>
      </c>
      <c r="Q384" s="75">
        <f t="shared" si="553"/>
        <v>3.5015916325602546E-2</v>
      </c>
      <c r="R384" s="75">
        <f t="shared" si="554"/>
        <v>5.0022737608003643E-3</v>
      </c>
      <c r="S384" s="117">
        <f>+IF($C384="","",ROUND((S383+I384)*(1+Parámetros!$D$91),2))</f>
        <v>25240.25</v>
      </c>
      <c r="T384" s="117">
        <f>+IF($C384="","",ROUND(S384*VLOOKUP(B384,Parámetros!$C$30:$D$39,2,TRUE),2))</f>
        <v>25240.25</v>
      </c>
      <c r="U384" s="117">
        <f>+IF($C384="","",ROUND((U383+I384)*(1+Parámetros!$D$92),2))</f>
        <v>27779.360000000001</v>
      </c>
      <c r="V384" s="117">
        <f>+IF($C384="","",ROUND(U384*VLOOKUP(B384,Parámetros!$C$30:$D$39,2,TRUE),2))</f>
        <v>27779.360000000001</v>
      </c>
      <c r="W384" s="57">
        <f t="shared" si="555"/>
        <v>343</v>
      </c>
      <c r="X384" t="str">
        <f t="shared" si="556"/>
        <v>00058</v>
      </c>
      <c r="Y384" t="str">
        <f t="shared" si="557"/>
        <v>MUERTE POR CUALQUIER CAUSA</v>
      </c>
      <c r="Z384" s="118">
        <f>+IF($W384="","",ROUND(IF(Parámetros!$D$25='TABLAS MORT'!$V$33,Z383,Parámetros!$D$21-'Tablas Servicio'!T383),0))</f>
        <v>100000</v>
      </c>
      <c r="AA384" s="118" t="str">
        <f t="shared" si="558"/>
        <v>P</v>
      </c>
      <c r="AB384" s="119">
        <f>+IF(W384="","",ROUND((VLOOKUP(ROUNDDOWN($D384-1/frec,0),qx_tabla,2,FALSE)*(1+i/frec)^-0.5*(1+Parámetros!$D$103)*(1+rec_fracc)/frec),6))</f>
        <v>9.4700000000000003E-4</v>
      </c>
      <c r="AC384" s="66">
        <f t="shared" si="514"/>
        <v>94.7</v>
      </c>
      <c r="AD384" s="119">
        <f t="shared" si="510"/>
        <v>1.072E-3</v>
      </c>
      <c r="AE384" s="66">
        <f>+IF($W384="","",ROUND(IF($B384&gt;Parámetros!$D$107,'Tablas Servicio'!AC384+('Tablas Servicio'!AG383-'Tablas Servicio'!AC383),AC384/(1-IF(B384&lt;=10,Parámetros!$D$104,Parámetros!$D$105))),2))</f>
        <v>157.83000000000001</v>
      </c>
      <c r="AF384" s="66">
        <f>+IF($W384="","",ROUND(IF($B384&gt;Parámetros!$D$107,'Tablas Servicio'!AC384+('Tablas Servicio'!AG383-'Tablas Servicio'!AC383),(AC384+$A383/frec)/(1-IF(B384&lt;=Parámetros!$D$117,Parámetros!$D$100,0))),2))</f>
        <v>107.2</v>
      </c>
      <c r="AG384" s="66">
        <f t="shared" si="515"/>
        <v>107.2</v>
      </c>
      <c r="AH384" s="66">
        <f t="shared" si="516"/>
        <v>0</v>
      </c>
      <c r="AI384" s="66">
        <f t="shared" si="517"/>
        <v>0</v>
      </c>
      <c r="AJ384" s="66">
        <f>+IF($W384="","",ROUND((AG384*Parámetros!$G$85),2))</f>
        <v>3.75</v>
      </c>
      <c r="AK384" s="66">
        <f>+IF($W384="","",ROUND((AG384*(Parámetros!$G$86)),2))</f>
        <v>0.54</v>
      </c>
      <c r="AL384" s="66">
        <f t="shared" si="511"/>
        <v>111.49</v>
      </c>
      <c r="AM384" t="str">
        <f t="shared" si="559"/>
        <v>00059</v>
      </c>
      <c r="AN384" t="str">
        <f t="shared" si="560"/>
        <v>Incapacidad Total y Permanente</v>
      </c>
      <c r="AO384" s="118">
        <f t="shared" si="561"/>
        <v>0</v>
      </c>
      <c r="AP384" s="118" t="str">
        <f t="shared" si="562"/>
        <v>A</v>
      </c>
      <c r="AQ384" s="119" t="str">
        <f>+IF(OR($W384="",AO384=0),"",ROUND((VLOOKUP(ROUNDDOWN($D384-1/frec,0),cob_adi,Z$40,FALSE)*(1+i/frec)^-0.5*(1+Parámetros!$D$103)*(1+rec_fracc)/frec),6))</f>
        <v/>
      </c>
      <c r="AR384" s="66">
        <f t="shared" si="518"/>
        <v>0</v>
      </c>
      <c r="AS384" s="119" t="str">
        <f t="shared" si="519"/>
        <v/>
      </c>
      <c r="AT384" s="66">
        <f>+IF($W384="","",ROUND(IF($B384&gt;Parámetros!$D$107,'Tablas Servicio'!AR384+('Tablas Servicio'!AT383-'Tablas Servicio'!AR383),AR384/(1-IF(B384&lt;=10,Parámetros!$D$100,0))),2))</f>
        <v>0</v>
      </c>
      <c r="AU384" s="66">
        <f t="shared" si="520"/>
        <v>0</v>
      </c>
      <c r="AV384" s="66">
        <f t="shared" si="520"/>
        <v>0</v>
      </c>
      <c r="AW384" s="66">
        <f>+IF($W384="","",ROUND((AT384*Parámetros!$G$85),2))</f>
        <v>0</v>
      </c>
      <c r="AX384" s="66">
        <f>+IF($W384="","",ROUND((AT384*(Parámetros!$G$86)),2))</f>
        <v>0</v>
      </c>
      <c r="AY384" s="66">
        <f t="shared" si="521"/>
        <v>0</v>
      </c>
      <c r="AZ384" t="str">
        <f t="shared" si="563"/>
        <v>00060</v>
      </c>
      <c r="BA384" t="str">
        <f t="shared" si="564"/>
        <v>Muerte Accidental</v>
      </c>
      <c r="BB384" s="118">
        <f t="shared" si="565"/>
        <v>0</v>
      </c>
      <c r="BC384" s="118" t="str">
        <f t="shared" si="566"/>
        <v>A</v>
      </c>
      <c r="BD384" s="119" t="str">
        <f>+IF(OR($W384="",BB384=0),"",ROUND((VLOOKUP(ROUNDDOWN($D384-1/frec,0),cob_adi,AO$40,FALSE)*(1+i/frec)^-0.5*(1+Parámetros!$D$103)*(1+rec_fracc)/frec),6))</f>
        <v/>
      </c>
      <c r="BE384" s="66">
        <f t="shared" si="522"/>
        <v>0</v>
      </c>
      <c r="BF384" s="119" t="str">
        <f t="shared" si="523"/>
        <v/>
      </c>
      <c r="BG384" s="66">
        <f>+IF($W384="","",ROUND(IF($B384&gt;Parámetros!$D$107,'Tablas Servicio'!BE384+('Tablas Servicio'!BG383-'Tablas Servicio'!BE383),BE384/(1-IF(B384&lt;=10,Parámetros!$D$100,0))),2))</f>
        <v>0</v>
      </c>
      <c r="BH384" s="66">
        <f t="shared" si="524"/>
        <v>0</v>
      </c>
      <c r="BI384" s="66">
        <f t="shared" si="525"/>
        <v>0</v>
      </c>
      <c r="BJ384" s="66">
        <f>+IF($W384="","",ROUND((BG384*Parámetros!$G$85),2))</f>
        <v>0</v>
      </c>
      <c r="BK384" s="66">
        <f>+IF($W384="","",ROUND((BG384*(Parámetros!$G$86)),2))</f>
        <v>0</v>
      </c>
      <c r="BL384" s="66">
        <f t="shared" si="526"/>
        <v>0</v>
      </c>
      <c r="BM384" t="str">
        <f t="shared" si="567"/>
        <v>00061</v>
      </c>
      <c r="BN384" t="str">
        <f t="shared" si="568"/>
        <v>Gastos de Entierro</v>
      </c>
      <c r="BO384" s="118">
        <f t="shared" si="569"/>
        <v>0</v>
      </c>
      <c r="BP384" s="118" t="str">
        <f t="shared" si="570"/>
        <v>A</v>
      </c>
      <c r="BQ384" s="119" t="str">
        <f>+IF(OR($W384="",BO384=0),"",ROUND((VLOOKUP(ROUNDDOWN($D384-1/frec,0),cob_adi,BB$40,FALSE)*(1+i/frec)^-0.5*(1+Parámetros!$D$103)*(1+rec_fracc)/frec),6))</f>
        <v/>
      </c>
      <c r="BR384" s="66">
        <f t="shared" si="527"/>
        <v>0</v>
      </c>
      <c r="BS384" s="119" t="str">
        <f t="shared" si="528"/>
        <v/>
      </c>
      <c r="BT384" s="66">
        <f>+IF($W384="","",ROUND(IF($B384&gt;Parámetros!$D$107,'Tablas Servicio'!BR384+('Tablas Servicio'!BT383-'Tablas Servicio'!BR383),BR384/(1-IF(B384&lt;=10,Parámetros!$D$100,0))),2))</f>
        <v>0</v>
      </c>
      <c r="BU384" s="66">
        <f t="shared" si="529"/>
        <v>0</v>
      </c>
      <c r="BV384" s="66">
        <f t="shared" si="529"/>
        <v>0</v>
      </c>
      <c r="BW384" s="66">
        <f>+IF($W384="","",ROUND((BT384*Parámetros!$G$85),2))</f>
        <v>0</v>
      </c>
      <c r="BX384" s="66">
        <f>+IF($W384="","",ROUND((BT384*(Parámetros!$G$86)),2))</f>
        <v>0</v>
      </c>
      <c r="BY384" s="66">
        <f t="shared" si="530"/>
        <v>0</v>
      </c>
      <c r="BZ384" t="str">
        <f t="shared" si="571"/>
        <v>00062</v>
      </c>
      <c r="CA384" t="str">
        <f t="shared" si="572"/>
        <v>Gastos médicos por accidente</v>
      </c>
      <c r="CB384" s="118">
        <f t="shared" si="573"/>
        <v>0</v>
      </c>
      <c r="CC384" s="118" t="str">
        <f t="shared" si="574"/>
        <v>A</v>
      </c>
      <c r="CD384" s="119" t="str">
        <f t="shared" si="531"/>
        <v/>
      </c>
      <c r="CE384" s="66">
        <f>+IF($W384="","",ROUND((VLOOKUP(ROUNDDOWN($D384-1/frec,0),cob_adi,BO$40,FALSE)*(1+i/frec)^-0.5*(1+Parámetros!$D$103)*(1+rec_fracc)/frec*'TABLAS ADI'!$BC$17),2))</f>
        <v>0</v>
      </c>
      <c r="CF384" s="119" t="str">
        <f t="shared" si="532"/>
        <v/>
      </c>
      <c r="CG384" s="66">
        <f>+IF($W384="","",ROUND(IF($B384&gt;Parámetros!$D$107,'Tablas Servicio'!CE384+('Tablas Servicio'!CG383-'Tablas Servicio'!CE383),CE384/(1-IF(B384&lt;=10,Parámetros!$D$100,0))),2))</f>
        <v>0</v>
      </c>
      <c r="CH384" s="66">
        <f t="shared" si="533"/>
        <v>0</v>
      </c>
      <c r="CI384" s="66">
        <f t="shared" si="533"/>
        <v>0</v>
      </c>
      <c r="CJ384" s="66">
        <f>+IF($W384="","",ROUND((CG384*Parámetros!$G$85),2))</f>
        <v>0</v>
      </c>
      <c r="CK384" s="66">
        <f>+IF($W384="","",ROUND((CG384*(Parámetros!$G$86)),2))</f>
        <v>0</v>
      </c>
      <c r="CL384" s="66">
        <f t="shared" si="534"/>
        <v>0</v>
      </c>
      <c r="CM384" t="str">
        <f t="shared" si="575"/>
        <v>00063</v>
      </c>
      <c r="CN384" s="118" t="str">
        <f t="shared" si="576"/>
        <v>Renta Diaria por Hospitalización</v>
      </c>
      <c r="CO384" s="118">
        <f t="shared" si="577"/>
        <v>0</v>
      </c>
      <c r="CP384" s="118" t="str">
        <f t="shared" si="578"/>
        <v>A</v>
      </c>
      <c r="CQ384" s="119" t="str">
        <f t="shared" si="535"/>
        <v/>
      </c>
      <c r="CR384" s="66">
        <f>+IF($W384="","",ROUND((VLOOKUP(Parámetros!$F$51,'COBERTURAS ADICIONALES'!$S$4:$T$32,2,FALSE)*(1+i/frec)^-0.5*(1+Parámetros!$D$103)*(1+rec_fracc)/frec*$CO$42),2))</f>
        <v>0</v>
      </c>
      <c r="CS384" s="119" t="str">
        <f t="shared" si="536"/>
        <v/>
      </c>
      <c r="CT384" s="66">
        <f>+IF($W384="","",ROUND(IF($B384&gt;Parámetros!$D$107,'Tablas Servicio'!CR384+('Tablas Servicio'!CT383-'Tablas Servicio'!CR383),CR384/(1-IF(B384&lt;=10,Parámetros!$D$100,0))),2))</f>
        <v>0</v>
      </c>
      <c r="CU384" s="66">
        <f t="shared" si="537"/>
        <v>0</v>
      </c>
      <c r="CV384" s="66">
        <f t="shared" si="537"/>
        <v>0</v>
      </c>
      <c r="CW384" s="66">
        <f>+IF($W384="","",ROUND((CT384*Parámetros!$G$85),2))</f>
        <v>0</v>
      </c>
      <c r="CX384" s="66">
        <f>+IF($W384="","",ROUND((CT384*(Parámetros!$G$86)),2))</f>
        <v>0</v>
      </c>
      <c r="CY384" s="66">
        <f t="shared" si="538"/>
        <v>0</v>
      </c>
      <c r="CZ384" t="str">
        <f t="shared" si="579"/>
        <v>00064</v>
      </c>
      <c r="DA384" s="118" t="str">
        <f t="shared" si="580"/>
        <v>Enfermedades Graves</v>
      </c>
      <c r="DB384" s="118">
        <f t="shared" si="581"/>
        <v>0</v>
      </c>
      <c r="DC384" s="118" t="str">
        <f t="shared" si="582"/>
        <v>A</v>
      </c>
      <c r="DD384" s="121" t="str">
        <f>+IF(OR($W384="",DB384=0),"",ROUND((VLOOKUP(ROUNDDOWN($D384-1/frec,0),cob_adi,CO$40,FALSE)*(1+i/frec)^-0.5*(1+Parámetros!$D$103)*(1+rec_fracc)/frec),6))</f>
        <v/>
      </c>
      <c r="DE384" s="66">
        <f t="shared" si="539"/>
        <v>0</v>
      </c>
      <c r="DF384" s="119" t="str">
        <f t="shared" si="540"/>
        <v/>
      </c>
      <c r="DG384" s="66">
        <f>+IF($W384="","",ROUND(IF($B384&gt;Parámetros!$D$107,'Tablas Servicio'!DE384+('Tablas Servicio'!DG383-'Tablas Servicio'!DE383),DE384/(1-IF(B384&lt;=10,Parámetros!$D$100,0))),2))</f>
        <v>0</v>
      </c>
      <c r="DH384" s="66">
        <f t="shared" si="541"/>
        <v>0</v>
      </c>
      <c r="DI384" s="66">
        <f t="shared" si="541"/>
        <v>0</v>
      </c>
      <c r="DJ384" s="66">
        <f>+IF($W384="","",ROUND((DG384*Parámetros!$G$85),2))</f>
        <v>0</v>
      </c>
      <c r="DK384" s="66">
        <f>+IF($W384="","",ROUND((DG384*(Parámetros!$G$86)),2))</f>
        <v>0</v>
      </c>
      <c r="DL384" s="66">
        <f t="shared" si="542"/>
        <v>0</v>
      </c>
      <c r="DM384" t="str">
        <f t="shared" si="583"/>
        <v>00065</v>
      </c>
      <c r="DN384" s="118" t="str">
        <f t="shared" si="584"/>
        <v>Exención pago de primas</v>
      </c>
      <c r="DO384" s="118">
        <f t="shared" si="585"/>
        <v>0</v>
      </c>
      <c r="DP384" s="118" t="str">
        <f t="shared" si="586"/>
        <v>A</v>
      </c>
      <c r="DQ384" s="122" t="str">
        <f>+IF(OR($W384="",DO384=0),"",ROUND((VLOOKUP(ROUNDDOWN($D384-1/frec,0),cob_adi,DB$40,FALSE)*(1+i/frec)^-0.5*(1+Parámetros!$D$103)*(1+rec_fracc)/frec),6))</f>
        <v/>
      </c>
      <c r="DR384" s="66">
        <f t="shared" si="543"/>
        <v>0</v>
      </c>
      <c r="DS384" s="68" t="str">
        <f t="shared" si="544"/>
        <v/>
      </c>
      <c r="DT384" s="66">
        <f>+IF($W384="","",ROUND(IF($B384&gt;Parámetros!$D$107,'Tablas Servicio'!DR384+('Tablas Servicio'!DT383-'Tablas Servicio'!DR383),DR384/(1-IF(B384&lt;=10,Parámetros!$D$100,0))),2))</f>
        <v>0</v>
      </c>
      <c r="DU384" s="66">
        <f t="shared" si="545"/>
        <v>0</v>
      </c>
      <c r="DV384" s="66">
        <f t="shared" si="545"/>
        <v>0</v>
      </c>
      <c r="DW384" s="66">
        <f>+IF($W384="","",ROUND((DT384*Parámetros!$G$85),2))</f>
        <v>0</v>
      </c>
      <c r="DX384" s="66">
        <f>+IF($W384="","",ROUND((DT384*(Parámetros!$G$86)),2))</f>
        <v>0</v>
      </c>
      <c r="DY384" s="66">
        <f t="shared" si="546"/>
        <v>0</v>
      </c>
      <c r="DZ384" t="str">
        <f t="shared" si="587"/>
        <v>00066</v>
      </c>
      <c r="EA384" s="118" t="str">
        <f t="shared" si="587"/>
        <v>Enfermedad terminal</v>
      </c>
      <c r="EB384" s="118">
        <f>+IF($W384="","",ROUND(IF(Parámetros!$D$25='TABLAS MORT'!$V$33,EB383,Z384/2),0))</f>
        <v>50000</v>
      </c>
      <c r="EC384" s="118" t="str">
        <f t="shared" si="587"/>
        <v>A</v>
      </c>
      <c r="ED384" s="122">
        <f>+IF(OR($W384="",EB384=0),"",ROUND((VLOOKUP(ROUNDDOWN($D384-1/frec,0),cob_adi,DO$40,FALSE)*(1+i/frec)^-0.5*(1+Parámetros!$D$103)*(1+rec_fracc)/frec),6))</f>
        <v>5.5000000000000002E-5</v>
      </c>
      <c r="EE384" s="66">
        <f t="shared" si="548"/>
        <v>2.75</v>
      </c>
      <c r="EF384" s="68">
        <f t="shared" si="549"/>
        <v>5.5000000000000002E-5</v>
      </c>
      <c r="EG384" s="66">
        <f>+IF($W384="","",ROUND(IF($B384&gt;Parámetros!$D$107,'Tablas Servicio'!EE384+('Tablas Servicio'!EG383-'Tablas Servicio'!EE383),EE384/(1-IF(B384&lt;=10,Parámetros!$D$100,0))),2))</f>
        <v>2.75</v>
      </c>
      <c r="EH384" s="66">
        <f t="shared" si="550"/>
        <v>0</v>
      </c>
      <c r="EI384" s="66">
        <f t="shared" si="550"/>
        <v>0</v>
      </c>
      <c r="EJ384" s="66">
        <f>+IF($W384="","",ROUND((EG384*Parámetros!$G$85),2))</f>
        <v>0.1</v>
      </c>
      <c r="EK384" s="66">
        <f>+IF($W384="","",ROUND((EG384*(Parámetros!$G$86)),2))</f>
        <v>0.01</v>
      </c>
      <c r="EL384" s="66">
        <f t="shared" si="551"/>
        <v>2.86</v>
      </c>
    </row>
    <row r="385" spans="1:142" x14ac:dyDescent="0.25">
      <c r="A385">
        <f>+IF($C385="","",ROUND(VLOOKUP('Tablas Servicio'!B385,Parámetros!$H$100:$J$159,IF(Parámetros!$E$16="F",2,3),FALSE),2))</f>
        <v>150</v>
      </c>
      <c r="B385">
        <f t="shared" si="502"/>
        <v>29</v>
      </c>
      <c r="C385" s="57">
        <f>+IF(D385="","",'Tablas Servicio'!C384+1)</f>
        <v>344</v>
      </c>
      <c r="D385" s="56">
        <f>+IF(D384&lt;edadmaxtabla,D384+1/Parámetros!$E$25,"")</f>
        <v>68.68666666666708</v>
      </c>
      <c r="E385" s="57">
        <f t="shared" si="512"/>
        <v>68</v>
      </c>
      <c r="F385" s="59">
        <f t="shared" si="513"/>
        <v>100000</v>
      </c>
      <c r="G385" s="66">
        <f t="shared" si="503"/>
        <v>109.95</v>
      </c>
      <c r="H385" s="66">
        <f t="shared" si="504"/>
        <v>114.35</v>
      </c>
      <c r="I385" s="66">
        <f t="shared" si="552"/>
        <v>-20.349999999999994</v>
      </c>
      <c r="J385" s="66">
        <f t="shared" si="505"/>
        <v>3.85</v>
      </c>
      <c r="K385" s="66">
        <f t="shared" si="506"/>
        <v>0.55000000000000004</v>
      </c>
      <c r="L385" s="66">
        <f t="shared" si="507"/>
        <v>0</v>
      </c>
      <c r="M385" s="66">
        <f t="shared" si="508"/>
        <v>0</v>
      </c>
      <c r="N385" s="66">
        <f>+IF(C385="","",ROUND(Parámetros!$D$23,2))</f>
        <v>94</v>
      </c>
      <c r="O385" s="66">
        <f t="shared" si="509"/>
        <v>97.45</v>
      </c>
      <c r="P385" s="66">
        <f>+IF($C385="","",ROUND(IF(B385&gt;Parámetros!$D$117,0,N385*Parámetros!$D$116-G385*Parámetros!$D$100),2))</f>
        <v>0</v>
      </c>
      <c r="Q385" s="75">
        <f t="shared" si="553"/>
        <v>3.5015916325602546E-2</v>
      </c>
      <c r="R385" s="75">
        <f t="shared" si="554"/>
        <v>5.0022737608003643E-3</v>
      </c>
      <c r="S385" s="117">
        <f>+IF($C385="","",ROUND((S384+I385)*(1+Parámetros!$D$91),2))</f>
        <v>25291.439999999999</v>
      </c>
      <c r="T385" s="117">
        <f>+IF($C385="","",ROUND(S385*VLOOKUP(B385,Parámetros!$C$30:$D$39,2,TRUE),2))</f>
        <v>25291.439999999999</v>
      </c>
      <c r="U385" s="117">
        <f>+IF($C385="","",ROUND((U384+I385)*(1+Parámetros!$D$92),2))</f>
        <v>27849</v>
      </c>
      <c r="V385" s="117">
        <f>+IF($C385="","",ROUND(U385*VLOOKUP(B385,Parámetros!$C$30:$D$39,2,TRUE),2))</f>
        <v>27849</v>
      </c>
      <c r="W385" s="57">
        <f t="shared" si="555"/>
        <v>344</v>
      </c>
      <c r="X385" t="str">
        <f t="shared" si="556"/>
        <v>00058</v>
      </c>
      <c r="Y385" t="str">
        <f t="shared" si="557"/>
        <v>MUERTE POR CUALQUIER CAUSA</v>
      </c>
      <c r="Z385" s="118">
        <f>+IF($W385="","",ROUND(IF(Parámetros!$D$25='TABLAS MORT'!$V$33,Z384,Parámetros!$D$21-'Tablas Servicio'!T384),0))</f>
        <v>100000</v>
      </c>
      <c r="AA385" s="118" t="str">
        <f t="shared" si="558"/>
        <v>P</v>
      </c>
      <c r="AB385" s="119">
        <f>+IF(W385="","",ROUND((VLOOKUP(ROUNDDOWN($D385-1/frec,0),qx_tabla,2,FALSE)*(1+i/frec)^-0.5*(1+Parámetros!$D$103)*(1+rec_fracc)/frec),6))</f>
        <v>9.4700000000000003E-4</v>
      </c>
      <c r="AC385" s="66">
        <f t="shared" si="514"/>
        <v>94.7</v>
      </c>
      <c r="AD385" s="119">
        <f t="shared" si="510"/>
        <v>1.072E-3</v>
      </c>
      <c r="AE385" s="66">
        <f>+IF($W385="","",ROUND(IF($B385&gt;Parámetros!$D$107,'Tablas Servicio'!AC385+('Tablas Servicio'!AG384-'Tablas Servicio'!AC384),AC385/(1-IF(B385&lt;=10,Parámetros!$D$104,Parámetros!$D$105))),2))</f>
        <v>157.83000000000001</v>
      </c>
      <c r="AF385" s="66">
        <f>+IF($W385="","",ROUND(IF($B385&gt;Parámetros!$D$107,'Tablas Servicio'!AC385+('Tablas Servicio'!AG384-'Tablas Servicio'!AC384),(AC385+$A384/frec)/(1-IF(B385&lt;=Parámetros!$D$117,Parámetros!$D$100,0))),2))</f>
        <v>107.2</v>
      </c>
      <c r="AG385" s="66">
        <f t="shared" si="515"/>
        <v>107.2</v>
      </c>
      <c r="AH385" s="66">
        <f t="shared" si="516"/>
        <v>0</v>
      </c>
      <c r="AI385" s="66">
        <f t="shared" si="517"/>
        <v>0</v>
      </c>
      <c r="AJ385" s="66">
        <f>+IF($W385="","",ROUND((AG385*Parámetros!$G$85),2))</f>
        <v>3.75</v>
      </c>
      <c r="AK385" s="66">
        <f>+IF($W385="","",ROUND((AG385*(Parámetros!$G$86)),2))</f>
        <v>0.54</v>
      </c>
      <c r="AL385" s="66">
        <f t="shared" si="511"/>
        <v>111.49</v>
      </c>
      <c r="AM385" t="str">
        <f t="shared" si="559"/>
        <v>00059</v>
      </c>
      <c r="AN385" t="str">
        <f t="shared" si="560"/>
        <v>Incapacidad Total y Permanente</v>
      </c>
      <c r="AO385" s="118">
        <f t="shared" si="561"/>
        <v>0</v>
      </c>
      <c r="AP385" s="118" t="str">
        <f t="shared" si="562"/>
        <v>A</v>
      </c>
      <c r="AQ385" s="119" t="str">
        <f>+IF(OR($W385="",AO385=0),"",ROUND((VLOOKUP(ROUNDDOWN($D385-1/frec,0),cob_adi,Z$40,FALSE)*(1+i/frec)^-0.5*(1+Parámetros!$D$103)*(1+rec_fracc)/frec),6))</f>
        <v/>
      </c>
      <c r="AR385" s="66">
        <f t="shared" si="518"/>
        <v>0</v>
      </c>
      <c r="AS385" s="119" t="str">
        <f t="shared" si="519"/>
        <v/>
      </c>
      <c r="AT385" s="66">
        <f>+IF($W385="","",ROUND(IF($B385&gt;Parámetros!$D$107,'Tablas Servicio'!AR385+('Tablas Servicio'!AT384-'Tablas Servicio'!AR384),AR385/(1-IF(B385&lt;=10,Parámetros!$D$100,0))),2))</f>
        <v>0</v>
      </c>
      <c r="AU385" s="66">
        <f t="shared" si="520"/>
        <v>0</v>
      </c>
      <c r="AV385" s="66">
        <f t="shared" si="520"/>
        <v>0</v>
      </c>
      <c r="AW385" s="66">
        <f>+IF($W385="","",ROUND((AT385*Parámetros!$G$85),2))</f>
        <v>0</v>
      </c>
      <c r="AX385" s="66">
        <f>+IF($W385="","",ROUND((AT385*(Parámetros!$G$86)),2))</f>
        <v>0</v>
      </c>
      <c r="AY385" s="66">
        <f t="shared" si="521"/>
        <v>0</v>
      </c>
      <c r="AZ385" t="str">
        <f t="shared" si="563"/>
        <v>00060</v>
      </c>
      <c r="BA385" t="str">
        <f t="shared" si="564"/>
        <v>Muerte Accidental</v>
      </c>
      <c r="BB385" s="118">
        <f t="shared" si="565"/>
        <v>0</v>
      </c>
      <c r="BC385" s="118" t="str">
        <f t="shared" si="566"/>
        <v>A</v>
      </c>
      <c r="BD385" s="119" t="str">
        <f>+IF(OR($W385="",BB385=0),"",ROUND((VLOOKUP(ROUNDDOWN($D385-1/frec,0),cob_adi,AO$40,FALSE)*(1+i/frec)^-0.5*(1+Parámetros!$D$103)*(1+rec_fracc)/frec),6))</f>
        <v/>
      </c>
      <c r="BE385" s="66">
        <f t="shared" si="522"/>
        <v>0</v>
      </c>
      <c r="BF385" s="119" t="str">
        <f t="shared" si="523"/>
        <v/>
      </c>
      <c r="BG385" s="66">
        <f>+IF($W385="","",ROUND(IF($B385&gt;Parámetros!$D$107,'Tablas Servicio'!BE385+('Tablas Servicio'!BG384-'Tablas Servicio'!BE384),BE385/(1-IF(B385&lt;=10,Parámetros!$D$100,0))),2))</f>
        <v>0</v>
      </c>
      <c r="BH385" s="66">
        <f t="shared" si="524"/>
        <v>0</v>
      </c>
      <c r="BI385" s="66">
        <f t="shared" si="525"/>
        <v>0</v>
      </c>
      <c r="BJ385" s="66">
        <f>+IF($W385="","",ROUND((BG385*Parámetros!$G$85),2))</f>
        <v>0</v>
      </c>
      <c r="BK385" s="66">
        <f>+IF($W385="","",ROUND((BG385*(Parámetros!$G$86)),2))</f>
        <v>0</v>
      </c>
      <c r="BL385" s="66">
        <f t="shared" si="526"/>
        <v>0</v>
      </c>
      <c r="BM385" t="str">
        <f t="shared" si="567"/>
        <v>00061</v>
      </c>
      <c r="BN385" t="str">
        <f t="shared" si="568"/>
        <v>Gastos de Entierro</v>
      </c>
      <c r="BO385" s="118">
        <f t="shared" si="569"/>
        <v>0</v>
      </c>
      <c r="BP385" s="118" t="str">
        <f t="shared" si="570"/>
        <v>A</v>
      </c>
      <c r="BQ385" s="119" t="str">
        <f>+IF(OR($W385="",BO385=0),"",ROUND((VLOOKUP(ROUNDDOWN($D385-1/frec,0),cob_adi,BB$40,FALSE)*(1+i/frec)^-0.5*(1+Parámetros!$D$103)*(1+rec_fracc)/frec),6))</f>
        <v/>
      </c>
      <c r="BR385" s="66">
        <f t="shared" si="527"/>
        <v>0</v>
      </c>
      <c r="BS385" s="119" t="str">
        <f t="shared" si="528"/>
        <v/>
      </c>
      <c r="BT385" s="66">
        <f>+IF($W385="","",ROUND(IF($B385&gt;Parámetros!$D$107,'Tablas Servicio'!BR385+('Tablas Servicio'!BT384-'Tablas Servicio'!BR384),BR385/(1-IF(B385&lt;=10,Parámetros!$D$100,0))),2))</f>
        <v>0</v>
      </c>
      <c r="BU385" s="66">
        <f t="shared" si="529"/>
        <v>0</v>
      </c>
      <c r="BV385" s="66">
        <f t="shared" si="529"/>
        <v>0</v>
      </c>
      <c r="BW385" s="66">
        <f>+IF($W385="","",ROUND((BT385*Parámetros!$G$85),2))</f>
        <v>0</v>
      </c>
      <c r="BX385" s="66">
        <f>+IF($W385="","",ROUND((BT385*(Parámetros!$G$86)),2))</f>
        <v>0</v>
      </c>
      <c r="BY385" s="66">
        <f t="shared" si="530"/>
        <v>0</v>
      </c>
      <c r="BZ385" t="str">
        <f t="shared" si="571"/>
        <v>00062</v>
      </c>
      <c r="CA385" t="str">
        <f t="shared" si="572"/>
        <v>Gastos médicos por accidente</v>
      </c>
      <c r="CB385" s="118">
        <f t="shared" si="573"/>
        <v>0</v>
      </c>
      <c r="CC385" s="118" t="str">
        <f t="shared" si="574"/>
        <v>A</v>
      </c>
      <c r="CD385" s="119" t="str">
        <f t="shared" si="531"/>
        <v/>
      </c>
      <c r="CE385" s="66">
        <f>+IF($W385="","",ROUND((VLOOKUP(ROUNDDOWN($D385-1/frec,0),cob_adi,BO$40,FALSE)*(1+i/frec)^-0.5*(1+Parámetros!$D$103)*(1+rec_fracc)/frec*'TABLAS ADI'!$BC$17),2))</f>
        <v>0</v>
      </c>
      <c r="CF385" s="119" t="str">
        <f t="shared" si="532"/>
        <v/>
      </c>
      <c r="CG385" s="66">
        <f>+IF($W385="","",ROUND(IF($B385&gt;Parámetros!$D$107,'Tablas Servicio'!CE385+('Tablas Servicio'!CG384-'Tablas Servicio'!CE384),CE385/(1-IF(B385&lt;=10,Parámetros!$D$100,0))),2))</f>
        <v>0</v>
      </c>
      <c r="CH385" s="66">
        <f t="shared" si="533"/>
        <v>0</v>
      </c>
      <c r="CI385" s="66">
        <f t="shared" si="533"/>
        <v>0</v>
      </c>
      <c r="CJ385" s="66">
        <f>+IF($W385="","",ROUND((CG385*Parámetros!$G$85),2))</f>
        <v>0</v>
      </c>
      <c r="CK385" s="66">
        <f>+IF($W385="","",ROUND((CG385*(Parámetros!$G$86)),2))</f>
        <v>0</v>
      </c>
      <c r="CL385" s="66">
        <f t="shared" si="534"/>
        <v>0</v>
      </c>
      <c r="CM385" t="str">
        <f t="shared" si="575"/>
        <v>00063</v>
      </c>
      <c r="CN385" s="118" t="str">
        <f t="shared" si="576"/>
        <v>Renta Diaria por Hospitalización</v>
      </c>
      <c r="CO385" s="118">
        <f t="shared" si="577"/>
        <v>0</v>
      </c>
      <c r="CP385" s="118" t="str">
        <f t="shared" si="578"/>
        <v>A</v>
      </c>
      <c r="CQ385" s="119" t="str">
        <f t="shared" si="535"/>
        <v/>
      </c>
      <c r="CR385" s="66">
        <f>+IF($W385="","",ROUND((VLOOKUP(Parámetros!$F$51,'COBERTURAS ADICIONALES'!$S$4:$T$32,2,FALSE)*(1+i/frec)^-0.5*(1+Parámetros!$D$103)*(1+rec_fracc)/frec*$CO$42),2))</f>
        <v>0</v>
      </c>
      <c r="CS385" s="119" t="str">
        <f t="shared" si="536"/>
        <v/>
      </c>
      <c r="CT385" s="66">
        <f>+IF($W385="","",ROUND(IF($B385&gt;Parámetros!$D$107,'Tablas Servicio'!CR385+('Tablas Servicio'!CT384-'Tablas Servicio'!CR384),CR385/(1-IF(B385&lt;=10,Parámetros!$D$100,0))),2))</f>
        <v>0</v>
      </c>
      <c r="CU385" s="66">
        <f t="shared" si="537"/>
        <v>0</v>
      </c>
      <c r="CV385" s="66">
        <f t="shared" si="537"/>
        <v>0</v>
      </c>
      <c r="CW385" s="66">
        <f>+IF($W385="","",ROUND((CT385*Parámetros!$G$85),2))</f>
        <v>0</v>
      </c>
      <c r="CX385" s="66">
        <f>+IF($W385="","",ROUND((CT385*(Parámetros!$G$86)),2))</f>
        <v>0</v>
      </c>
      <c r="CY385" s="66">
        <f t="shared" si="538"/>
        <v>0</v>
      </c>
      <c r="CZ385" t="str">
        <f t="shared" si="579"/>
        <v>00064</v>
      </c>
      <c r="DA385" s="118" t="str">
        <f t="shared" si="580"/>
        <v>Enfermedades Graves</v>
      </c>
      <c r="DB385" s="118">
        <f t="shared" si="581"/>
        <v>0</v>
      </c>
      <c r="DC385" s="118" t="str">
        <f t="shared" si="582"/>
        <v>A</v>
      </c>
      <c r="DD385" s="121" t="str">
        <f>+IF(OR($W385="",DB385=0),"",ROUND((VLOOKUP(ROUNDDOWN($D385-1/frec,0),cob_adi,CO$40,FALSE)*(1+i/frec)^-0.5*(1+Parámetros!$D$103)*(1+rec_fracc)/frec),6))</f>
        <v/>
      </c>
      <c r="DE385" s="66">
        <f t="shared" si="539"/>
        <v>0</v>
      </c>
      <c r="DF385" s="119" t="str">
        <f t="shared" si="540"/>
        <v/>
      </c>
      <c r="DG385" s="66">
        <f>+IF($W385="","",ROUND(IF($B385&gt;Parámetros!$D$107,'Tablas Servicio'!DE385+('Tablas Servicio'!DG384-'Tablas Servicio'!DE384),DE385/(1-IF(B385&lt;=10,Parámetros!$D$100,0))),2))</f>
        <v>0</v>
      </c>
      <c r="DH385" s="66">
        <f t="shared" si="541"/>
        <v>0</v>
      </c>
      <c r="DI385" s="66">
        <f t="shared" si="541"/>
        <v>0</v>
      </c>
      <c r="DJ385" s="66">
        <f>+IF($W385="","",ROUND((DG385*Parámetros!$G$85),2))</f>
        <v>0</v>
      </c>
      <c r="DK385" s="66">
        <f>+IF($W385="","",ROUND((DG385*(Parámetros!$G$86)),2))</f>
        <v>0</v>
      </c>
      <c r="DL385" s="66">
        <f t="shared" si="542"/>
        <v>0</v>
      </c>
      <c r="DM385" t="str">
        <f t="shared" si="583"/>
        <v>00065</v>
      </c>
      <c r="DN385" s="118" t="str">
        <f t="shared" si="584"/>
        <v>Exención pago de primas</v>
      </c>
      <c r="DO385" s="118">
        <f t="shared" si="585"/>
        <v>0</v>
      </c>
      <c r="DP385" s="118" t="str">
        <f t="shared" si="586"/>
        <v>A</v>
      </c>
      <c r="DQ385" s="122" t="str">
        <f>+IF(OR($W385="",DO385=0),"",ROUND((VLOOKUP(ROUNDDOWN($D385-1/frec,0),cob_adi,DB$40,FALSE)*(1+i/frec)^-0.5*(1+Parámetros!$D$103)*(1+rec_fracc)/frec),6))</f>
        <v/>
      </c>
      <c r="DR385" s="66">
        <f t="shared" si="543"/>
        <v>0</v>
      </c>
      <c r="DS385" s="68" t="str">
        <f t="shared" si="544"/>
        <v/>
      </c>
      <c r="DT385" s="66">
        <f>+IF($W385="","",ROUND(IF($B385&gt;Parámetros!$D$107,'Tablas Servicio'!DR385+('Tablas Servicio'!DT384-'Tablas Servicio'!DR384),DR385/(1-IF(B385&lt;=10,Parámetros!$D$100,0))),2))</f>
        <v>0</v>
      </c>
      <c r="DU385" s="66">
        <f t="shared" si="545"/>
        <v>0</v>
      </c>
      <c r="DV385" s="66">
        <f t="shared" si="545"/>
        <v>0</v>
      </c>
      <c r="DW385" s="66">
        <f>+IF($W385="","",ROUND((DT385*Parámetros!$G$85),2))</f>
        <v>0</v>
      </c>
      <c r="DX385" s="66">
        <f>+IF($W385="","",ROUND((DT385*(Parámetros!$G$86)),2))</f>
        <v>0</v>
      </c>
      <c r="DY385" s="66">
        <f t="shared" si="546"/>
        <v>0</v>
      </c>
      <c r="DZ385" t="str">
        <f t="shared" si="587"/>
        <v>00066</v>
      </c>
      <c r="EA385" s="118" t="str">
        <f t="shared" si="587"/>
        <v>Enfermedad terminal</v>
      </c>
      <c r="EB385" s="118">
        <f>+IF($W385="","",ROUND(IF(Parámetros!$D$25='TABLAS MORT'!$V$33,EB384,Z385/2),0))</f>
        <v>50000</v>
      </c>
      <c r="EC385" s="118" t="str">
        <f t="shared" si="587"/>
        <v>A</v>
      </c>
      <c r="ED385" s="122">
        <f>+IF(OR($W385="",EB385=0),"",ROUND((VLOOKUP(ROUNDDOWN($D385-1/frec,0),cob_adi,DO$40,FALSE)*(1+i/frec)^-0.5*(1+Parámetros!$D$103)*(1+rec_fracc)/frec),6))</f>
        <v>5.5000000000000002E-5</v>
      </c>
      <c r="EE385" s="66">
        <f t="shared" si="548"/>
        <v>2.75</v>
      </c>
      <c r="EF385" s="68">
        <f t="shared" si="549"/>
        <v>5.5000000000000002E-5</v>
      </c>
      <c r="EG385" s="66">
        <f>+IF($W385="","",ROUND(IF($B385&gt;Parámetros!$D$107,'Tablas Servicio'!EE385+('Tablas Servicio'!EG384-'Tablas Servicio'!EE384),EE385/(1-IF(B385&lt;=10,Parámetros!$D$100,0))),2))</f>
        <v>2.75</v>
      </c>
      <c r="EH385" s="66">
        <f t="shared" si="550"/>
        <v>0</v>
      </c>
      <c r="EI385" s="66">
        <f t="shared" si="550"/>
        <v>0</v>
      </c>
      <c r="EJ385" s="66">
        <f>+IF($W385="","",ROUND((EG385*Parámetros!$G$85),2))</f>
        <v>0.1</v>
      </c>
      <c r="EK385" s="66">
        <f>+IF($W385="","",ROUND((EG385*(Parámetros!$G$86)),2))</f>
        <v>0.01</v>
      </c>
      <c r="EL385" s="66">
        <f t="shared" si="551"/>
        <v>2.86</v>
      </c>
    </row>
    <row r="386" spans="1:142" x14ac:dyDescent="0.25">
      <c r="A386">
        <f>+IF($C386="","",ROUND(VLOOKUP('Tablas Servicio'!B386,Parámetros!$H$100:$J$159,IF(Parámetros!$E$16="F",2,3),FALSE),2))</f>
        <v>150</v>
      </c>
      <c r="B386">
        <f t="shared" si="502"/>
        <v>29</v>
      </c>
      <c r="C386" s="57">
        <f>+IF(D386="","",'Tablas Servicio'!C385+1)</f>
        <v>345</v>
      </c>
      <c r="D386" s="56">
        <f>+IF(D385&lt;edadmaxtabla,D385+1/Parámetros!$E$25,"")</f>
        <v>68.770000000000408</v>
      </c>
      <c r="E386" s="57">
        <f t="shared" si="512"/>
        <v>68</v>
      </c>
      <c r="F386" s="59">
        <f t="shared" si="513"/>
        <v>100000</v>
      </c>
      <c r="G386" s="66">
        <f t="shared" si="503"/>
        <v>109.95</v>
      </c>
      <c r="H386" s="66">
        <f t="shared" si="504"/>
        <v>114.35</v>
      </c>
      <c r="I386" s="66">
        <f t="shared" si="552"/>
        <v>-20.349999999999994</v>
      </c>
      <c r="J386" s="66">
        <f t="shared" si="505"/>
        <v>3.85</v>
      </c>
      <c r="K386" s="66">
        <f t="shared" si="506"/>
        <v>0.55000000000000004</v>
      </c>
      <c r="L386" s="66">
        <f t="shared" si="507"/>
        <v>0</v>
      </c>
      <c r="M386" s="66">
        <f t="shared" si="508"/>
        <v>0</v>
      </c>
      <c r="N386" s="66">
        <f>+IF(C386="","",ROUND(Parámetros!$D$23,2))</f>
        <v>94</v>
      </c>
      <c r="O386" s="66">
        <f t="shared" si="509"/>
        <v>97.45</v>
      </c>
      <c r="P386" s="66">
        <f>+IF($C386="","",ROUND(IF(B386&gt;Parámetros!$D$117,0,N386*Parámetros!$D$116-G386*Parámetros!$D$100),2))</f>
        <v>0</v>
      </c>
      <c r="Q386" s="75">
        <f t="shared" si="553"/>
        <v>3.5015916325602546E-2</v>
      </c>
      <c r="R386" s="75">
        <f t="shared" si="554"/>
        <v>5.0022737608003643E-3</v>
      </c>
      <c r="S386" s="117">
        <f>+IF($C386="","",ROUND((S385+I386)*(1+Parámetros!$D$91),2))</f>
        <v>25342.77</v>
      </c>
      <c r="T386" s="117">
        <f>+IF($C386="","",ROUND(S386*VLOOKUP(B386,Parámetros!$C$30:$D$39,2,TRUE),2))</f>
        <v>25342.77</v>
      </c>
      <c r="U386" s="117">
        <f>+IF($C386="","",ROUND((U385+I386)*(1+Parámetros!$D$92),2))</f>
        <v>27918.86</v>
      </c>
      <c r="V386" s="117">
        <f>+IF($C386="","",ROUND(U386*VLOOKUP(B386,Parámetros!$C$30:$D$39,2,TRUE),2))</f>
        <v>27918.86</v>
      </c>
      <c r="W386" s="57">
        <f t="shared" si="555"/>
        <v>345</v>
      </c>
      <c r="X386" t="str">
        <f t="shared" si="556"/>
        <v>00058</v>
      </c>
      <c r="Y386" t="str">
        <f t="shared" si="557"/>
        <v>MUERTE POR CUALQUIER CAUSA</v>
      </c>
      <c r="Z386" s="118">
        <f>+IF($W386="","",ROUND(IF(Parámetros!$D$25='TABLAS MORT'!$V$33,Z385,Parámetros!$D$21-'Tablas Servicio'!T385),0))</f>
        <v>100000</v>
      </c>
      <c r="AA386" s="118" t="str">
        <f t="shared" si="558"/>
        <v>P</v>
      </c>
      <c r="AB386" s="119">
        <f>+IF(W386="","",ROUND((VLOOKUP(ROUNDDOWN($D386-1/frec,0),qx_tabla,2,FALSE)*(1+i/frec)^-0.5*(1+Parámetros!$D$103)*(1+rec_fracc)/frec),6))</f>
        <v>9.4700000000000003E-4</v>
      </c>
      <c r="AC386" s="66">
        <f t="shared" si="514"/>
        <v>94.7</v>
      </c>
      <c r="AD386" s="119">
        <f t="shared" si="510"/>
        <v>1.072E-3</v>
      </c>
      <c r="AE386" s="66">
        <f>+IF($W386="","",ROUND(IF($B386&gt;Parámetros!$D$107,'Tablas Servicio'!AC386+('Tablas Servicio'!AG385-'Tablas Servicio'!AC385),AC386/(1-IF(B386&lt;=10,Parámetros!$D$104,Parámetros!$D$105))),2))</f>
        <v>157.83000000000001</v>
      </c>
      <c r="AF386" s="66">
        <f>+IF($W386="","",ROUND(IF($B386&gt;Parámetros!$D$107,'Tablas Servicio'!AC386+('Tablas Servicio'!AG385-'Tablas Servicio'!AC385),(AC386+$A385/frec)/(1-IF(B386&lt;=Parámetros!$D$117,Parámetros!$D$100,0))),2))</f>
        <v>107.2</v>
      </c>
      <c r="AG386" s="66">
        <f t="shared" si="515"/>
        <v>107.2</v>
      </c>
      <c r="AH386" s="66">
        <f t="shared" si="516"/>
        <v>0</v>
      </c>
      <c r="AI386" s="66">
        <f t="shared" si="517"/>
        <v>0</v>
      </c>
      <c r="AJ386" s="66">
        <f>+IF($W386="","",ROUND((AG386*Parámetros!$G$85),2))</f>
        <v>3.75</v>
      </c>
      <c r="AK386" s="66">
        <f>+IF($W386="","",ROUND((AG386*(Parámetros!$G$86)),2))</f>
        <v>0.54</v>
      </c>
      <c r="AL386" s="66">
        <f t="shared" si="511"/>
        <v>111.49</v>
      </c>
      <c r="AM386" t="str">
        <f t="shared" si="559"/>
        <v>00059</v>
      </c>
      <c r="AN386" t="str">
        <f t="shared" si="560"/>
        <v>Incapacidad Total y Permanente</v>
      </c>
      <c r="AO386" s="118">
        <f t="shared" si="561"/>
        <v>0</v>
      </c>
      <c r="AP386" s="118" t="str">
        <f t="shared" si="562"/>
        <v>A</v>
      </c>
      <c r="AQ386" s="119" t="str">
        <f>+IF(OR($W386="",AO386=0),"",ROUND((VLOOKUP(ROUNDDOWN($D386-1/frec,0),cob_adi,Z$40,FALSE)*(1+i/frec)^-0.5*(1+Parámetros!$D$103)*(1+rec_fracc)/frec),6))</f>
        <v/>
      </c>
      <c r="AR386" s="66">
        <f t="shared" si="518"/>
        <v>0</v>
      </c>
      <c r="AS386" s="119" t="str">
        <f t="shared" si="519"/>
        <v/>
      </c>
      <c r="AT386" s="66">
        <f>+IF($W386="","",ROUND(IF($B386&gt;Parámetros!$D$107,'Tablas Servicio'!AR386+('Tablas Servicio'!AT385-'Tablas Servicio'!AR385),AR386/(1-IF(B386&lt;=10,Parámetros!$D$100,0))),2))</f>
        <v>0</v>
      </c>
      <c r="AU386" s="66">
        <f t="shared" si="520"/>
        <v>0</v>
      </c>
      <c r="AV386" s="66">
        <f t="shared" si="520"/>
        <v>0</v>
      </c>
      <c r="AW386" s="66">
        <f>+IF($W386="","",ROUND((AT386*Parámetros!$G$85),2))</f>
        <v>0</v>
      </c>
      <c r="AX386" s="66">
        <f>+IF($W386="","",ROUND((AT386*(Parámetros!$G$86)),2))</f>
        <v>0</v>
      </c>
      <c r="AY386" s="66">
        <f t="shared" si="521"/>
        <v>0</v>
      </c>
      <c r="AZ386" t="str">
        <f t="shared" si="563"/>
        <v>00060</v>
      </c>
      <c r="BA386" t="str">
        <f t="shared" si="564"/>
        <v>Muerte Accidental</v>
      </c>
      <c r="BB386" s="118">
        <f t="shared" si="565"/>
        <v>0</v>
      </c>
      <c r="BC386" s="118" t="str">
        <f t="shared" si="566"/>
        <v>A</v>
      </c>
      <c r="BD386" s="119" t="str">
        <f>+IF(OR($W386="",BB386=0),"",ROUND((VLOOKUP(ROUNDDOWN($D386-1/frec,0),cob_adi,AO$40,FALSE)*(1+i/frec)^-0.5*(1+Parámetros!$D$103)*(1+rec_fracc)/frec),6))</f>
        <v/>
      </c>
      <c r="BE386" s="66">
        <f t="shared" si="522"/>
        <v>0</v>
      </c>
      <c r="BF386" s="119" t="str">
        <f t="shared" si="523"/>
        <v/>
      </c>
      <c r="BG386" s="66">
        <f>+IF($W386="","",ROUND(IF($B386&gt;Parámetros!$D$107,'Tablas Servicio'!BE386+('Tablas Servicio'!BG385-'Tablas Servicio'!BE385),BE386/(1-IF(B386&lt;=10,Parámetros!$D$100,0))),2))</f>
        <v>0</v>
      </c>
      <c r="BH386" s="66">
        <f t="shared" si="524"/>
        <v>0</v>
      </c>
      <c r="BI386" s="66">
        <f t="shared" si="525"/>
        <v>0</v>
      </c>
      <c r="BJ386" s="66">
        <f>+IF($W386="","",ROUND((BG386*Parámetros!$G$85),2))</f>
        <v>0</v>
      </c>
      <c r="BK386" s="66">
        <f>+IF($W386="","",ROUND((BG386*(Parámetros!$G$86)),2))</f>
        <v>0</v>
      </c>
      <c r="BL386" s="66">
        <f t="shared" si="526"/>
        <v>0</v>
      </c>
      <c r="BM386" t="str">
        <f t="shared" si="567"/>
        <v>00061</v>
      </c>
      <c r="BN386" t="str">
        <f t="shared" si="568"/>
        <v>Gastos de Entierro</v>
      </c>
      <c r="BO386" s="118">
        <f t="shared" si="569"/>
        <v>0</v>
      </c>
      <c r="BP386" s="118" t="str">
        <f t="shared" si="570"/>
        <v>A</v>
      </c>
      <c r="BQ386" s="119" t="str">
        <f>+IF(OR($W386="",BO386=0),"",ROUND((VLOOKUP(ROUNDDOWN($D386-1/frec,0),cob_adi,BB$40,FALSE)*(1+i/frec)^-0.5*(1+Parámetros!$D$103)*(1+rec_fracc)/frec),6))</f>
        <v/>
      </c>
      <c r="BR386" s="66">
        <f t="shared" si="527"/>
        <v>0</v>
      </c>
      <c r="BS386" s="119" t="str">
        <f t="shared" si="528"/>
        <v/>
      </c>
      <c r="BT386" s="66">
        <f>+IF($W386="","",ROUND(IF($B386&gt;Parámetros!$D$107,'Tablas Servicio'!BR386+('Tablas Servicio'!BT385-'Tablas Servicio'!BR385),BR386/(1-IF(B386&lt;=10,Parámetros!$D$100,0))),2))</f>
        <v>0</v>
      </c>
      <c r="BU386" s="66">
        <f t="shared" si="529"/>
        <v>0</v>
      </c>
      <c r="BV386" s="66">
        <f t="shared" si="529"/>
        <v>0</v>
      </c>
      <c r="BW386" s="66">
        <f>+IF($W386="","",ROUND((BT386*Parámetros!$G$85),2))</f>
        <v>0</v>
      </c>
      <c r="BX386" s="66">
        <f>+IF($W386="","",ROUND((BT386*(Parámetros!$G$86)),2))</f>
        <v>0</v>
      </c>
      <c r="BY386" s="66">
        <f t="shared" si="530"/>
        <v>0</v>
      </c>
      <c r="BZ386" t="str">
        <f t="shared" si="571"/>
        <v>00062</v>
      </c>
      <c r="CA386" t="str">
        <f t="shared" si="572"/>
        <v>Gastos médicos por accidente</v>
      </c>
      <c r="CB386" s="118">
        <f t="shared" si="573"/>
        <v>0</v>
      </c>
      <c r="CC386" s="118" t="str">
        <f t="shared" si="574"/>
        <v>A</v>
      </c>
      <c r="CD386" s="119" t="str">
        <f t="shared" si="531"/>
        <v/>
      </c>
      <c r="CE386" s="66">
        <f>+IF($W386="","",ROUND((VLOOKUP(ROUNDDOWN($D386-1/frec,0),cob_adi,BO$40,FALSE)*(1+i/frec)^-0.5*(1+Parámetros!$D$103)*(1+rec_fracc)/frec*'TABLAS ADI'!$BC$17),2))</f>
        <v>0</v>
      </c>
      <c r="CF386" s="119" t="str">
        <f t="shared" si="532"/>
        <v/>
      </c>
      <c r="CG386" s="66">
        <f>+IF($W386="","",ROUND(IF($B386&gt;Parámetros!$D$107,'Tablas Servicio'!CE386+('Tablas Servicio'!CG385-'Tablas Servicio'!CE385),CE386/(1-IF(B386&lt;=10,Parámetros!$D$100,0))),2))</f>
        <v>0</v>
      </c>
      <c r="CH386" s="66">
        <f t="shared" si="533"/>
        <v>0</v>
      </c>
      <c r="CI386" s="66">
        <f t="shared" si="533"/>
        <v>0</v>
      </c>
      <c r="CJ386" s="66">
        <f>+IF($W386="","",ROUND((CG386*Parámetros!$G$85),2))</f>
        <v>0</v>
      </c>
      <c r="CK386" s="66">
        <f>+IF($W386="","",ROUND((CG386*(Parámetros!$G$86)),2))</f>
        <v>0</v>
      </c>
      <c r="CL386" s="66">
        <f t="shared" si="534"/>
        <v>0</v>
      </c>
      <c r="CM386" t="str">
        <f t="shared" si="575"/>
        <v>00063</v>
      </c>
      <c r="CN386" s="118" t="str">
        <f t="shared" si="576"/>
        <v>Renta Diaria por Hospitalización</v>
      </c>
      <c r="CO386" s="118">
        <f t="shared" si="577"/>
        <v>0</v>
      </c>
      <c r="CP386" s="118" t="str">
        <f t="shared" si="578"/>
        <v>A</v>
      </c>
      <c r="CQ386" s="119" t="str">
        <f t="shared" si="535"/>
        <v/>
      </c>
      <c r="CR386" s="66">
        <f>+IF($W386="","",ROUND((VLOOKUP(Parámetros!$F$51,'COBERTURAS ADICIONALES'!$S$4:$T$32,2,FALSE)*(1+i/frec)^-0.5*(1+Parámetros!$D$103)*(1+rec_fracc)/frec*$CO$42),2))</f>
        <v>0</v>
      </c>
      <c r="CS386" s="119" t="str">
        <f t="shared" si="536"/>
        <v/>
      </c>
      <c r="CT386" s="66">
        <f>+IF($W386="","",ROUND(IF($B386&gt;Parámetros!$D$107,'Tablas Servicio'!CR386+('Tablas Servicio'!CT385-'Tablas Servicio'!CR385),CR386/(1-IF(B386&lt;=10,Parámetros!$D$100,0))),2))</f>
        <v>0</v>
      </c>
      <c r="CU386" s="66">
        <f t="shared" si="537"/>
        <v>0</v>
      </c>
      <c r="CV386" s="66">
        <f t="shared" si="537"/>
        <v>0</v>
      </c>
      <c r="CW386" s="66">
        <f>+IF($W386="","",ROUND((CT386*Parámetros!$G$85),2))</f>
        <v>0</v>
      </c>
      <c r="CX386" s="66">
        <f>+IF($W386="","",ROUND((CT386*(Parámetros!$G$86)),2))</f>
        <v>0</v>
      </c>
      <c r="CY386" s="66">
        <f t="shared" si="538"/>
        <v>0</v>
      </c>
      <c r="CZ386" t="str">
        <f t="shared" si="579"/>
        <v>00064</v>
      </c>
      <c r="DA386" s="118" t="str">
        <f t="shared" si="580"/>
        <v>Enfermedades Graves</v>
      </c>
      <c r="DB386" s="118">
        <f t="shared" si="581"/>
        <v>0</v>
      </c>
      <c r="DC386" s="118" t="str">
        <f t="shared" si="582"/>
        <v>A</v>
      </c>
      <c r="DD386" s="121" t="str">
        <f>+IF(OR($W386="",DB386=0),"",ROUND((VLOOKUP(ROUNDDOWN($D386-1/frec,0),cob_adi,CO$40,FALSE)*(1+i/frec)^-0.5*(1+Parámetros!$D$103)*(1+rec_fracc)/frec),6))</f>
        <v/>
      </c>
      <c r="DE386" s="66">
        <f t="shared" si="539"/>
        <v>0</v>
      </c>
      <c r="DF386" s="119" t="str">
        <f t="shared" si="540"/>
        <v/>
      </c>
      <c r="DG386" s="66">
        <f>+IF($W386="","",ROUND(IF($B386&gt;Parámetros!$D$107,'Tablas Servicio'!DE386+('Tablas Servicio'!DG385-'Tablas Servicio'!DE385),DE386/(1-IF(B386&lt;=10,Parámetros!$D$100,0))),2))</f>
        <v>0</v>
      </c>
      <c r="DH386" s="66">
        <f t="shared" si="541"/>
        <v>0</v>
      </c>
      <c r="DI386" s="66">
        <f t="shared" si="541"/>
        <v>0</v>
      </c>
      <c r="DJ386" s="66">
        <f>+IF($W386="","",ROUND((DG386*Parámetros!$G$85),2))</f>
        <v>0</v>
      </c>
      <c r="DK386" s="66">
        <f>+IF($W386="","",ROUND((DG386*(Parámetros!$G$86)),2))</f>
        <v>0</v>
      </c>
      <c r="DL386" s="66">
        <f t="shared" si="542"/>
        <v>0</v>
      </c>
      <c r="DM386" t="str">
        <f t="shared" si="583"/>
        <v>00065</v>
      </c>
      <c r="DN386" s="118" t="str">
        <f t="shared" si="584"/>
        <v>Exención pago de primas</v>
      </c>
      <c r="DO386" s="118">
        <f t="shared" si="585"/>
        <v>0</v>
      </c>
      <c r="DP386" s="118" t="str">
        <f t="shared" si="586"/>
        <v>A</v>
      </c>
      <c r="DQ386" s="122" t="str">
        <f>+IF(OR($W386="",DO386=0),"",ROUND((VLOOKUP(ROUNDDOWN($D386-1/frec,0),cob_adi,DB$40,FALSE)*(1+i/frec)^-0.5*(1+Parámetros!$D$103)*(1+rec_fracc)/frec),6))</f>
        <v/>
      </c>
      <c r="DR386" s="66">
        <f t="shared" si="543"/>
        <v>0</v>
      </c>
      <c r="DS386" s="68" t="str">
        <f t="shared" si="544"/>
        <v/>
      </c>
      <c r="DT386" s="66">
        <f>+IF($W386="","",ROUND(IF($B386&gt;Parámetros!$D$107,'Tablas Servicio'!DR386+('Tablas Servicio'!DT385-'Tablas Servicio'!DR385),DR386/(1-IF(B386&lt;=10,Parámetros!$D$100,0))),2))</f>
        <v>0</v>
      </c>
      <c r="DU386" s="66">
        <f t="shared" si="545"/>
        <v>0</v>
      </c>
      <c r="DV386" s="66">
        <f t="shared" si="545"/>
        <v>0</v>
      </c>
      <c r="DW386" s="66">
        <f>+IF($W386="","",ROUND((DT386*Parámetros!$G$85),2))</f>
        <v>0</v>
      </c>
      <c r="DX386" s="66">
        <f>+IF($W386="","",ROUND((DT386*(Parámetros!$G$86)),2))</f>
        <v>0</v>
      </c>
      <c r="DY386" s="66">
        <f t="shared" si="546"/>
        <v>0</v>
      </c>
      <c r="DZ386" t="str">
        <f t="shared" si="587"/>
        <v>00066</v>
      </c>
      <c r="EA386" s="118" t="str">
        <f t="shared" si="587"/>
        <v>Enfermedad terminal</v>
      </c>
      <c r="EB386" s="118">
        <f>+IF($W386="","",ROUND(IF(Parámetros!$D$25='TABLAS MORT'!$V$33,EB385,Z386/2),0))</f>
        <v>50000</v>
      </c>
      <c r="EC386" s="118" t="str">
        <f t="shared" si="587"/>
        <v>A</v>
      </c>
      <c r="ED386" s="122">
        <f>+IF(OR($W386="",EB386=0),"",ROUND((VLOOKUP(ROUNDDOWN($D386-1/frec,0),cob_adi,DO$40,FALSE)*(1+i/frec)^-0.5*(1+Parámetros!$D$103)*(1+rec_fracc)/frec),6))</f>
        <v>5.5000000000000002E-5</v>
      </c>
      <c r="EE386" s="66">
        <f t="shared" si="548"/>
        <v>2.75</v>
      </c>
      <c r="EF386" s="68">
        <f t="shared" si="549"/>
        <v>5.5000000000000002E-5</v>
      </c>
      <c r="EG386" s="66">
        <f>+IF($W386="","",ROUND(IF($B386&gt;Parámetros!$D$107,'Tablas Servicio'!EE386+('Tablas Servicio'!EG385-'Tablas Servicio'!EE385),EE386/(1-IF(B386&lt;=10,Parámetros!$D$100,0))),2))</f>
        <v>2.75</v>
      </c>
      <c r="EH386" s="66">
        <f t="shared" si="550"/>
        <v>0</v>
      </c>
      <c r="EI386" s="66">
        <f t="shared" si="550"/>
        <v>0</v>
      </c>
      <c r="EJ386" s="66">
        <f>+IF($W386="","",ROUND((EG386*Parámetros!$G$85),2))</f>
        <v>0.1</v>
      </c>
      <c r="EK386" s="66">
        <f>+IF($W386="","",ROUND((EG386*(Parámetros!$G$86)),2))</f>
        <v>0.01</v>
      </c>
      <c r="EL386" s="66">
        <f t="shared" si="551"/>
        <v>2.86</v>
      </c>
    </row>
    <row r="387" spans="1:142" x14ac:dyDescent="0.25">
      <c r="A387">
        <f>+IF($C387="","",ROUND(VLOOKUP('Tablas Servicio'!B387,Parámetros!$H$100:$J$159,IF(Parámetros!$E$16="F",2,3),FALSE),2))</f>
        <v>150</v>
      </c>
      <c r="B387">
        <f t="shared" si="502"/>
        <v>29</v>
      </c>
      <c r="C387" s="57">
        <f>+IF(D387="","",'Tablas Servicio'!C386+1)</f>
        <v>346</v>
      </c>
      <c r="D387" s="56">
        <f>+IF(D386&lt;edadmaxtabla,D386+1/Parámetros!$E$25,"")</f>
        <v>68.853333333333737</v>
      </c>
      <c r="E387" s="57">
        <f t="shared" si="512"/>
        <v>68</v>
      </c>
      <c r="F387" s="59">
        <f t="shared" si="513"/>
        <v>100000</v>
      </c>
      <c r="G387" s="66">
        <f t="shared" si="503"/>
        <v>109.95</v>
      </c>
      <c r="H387" s="66">
        <f t="shared" si="504"/>
        <v>114.35</v>
      </c>
      <c r="I387" s="66">
        <f t="shared" si="552"/>
        <v>-20.349999999999994</v>
      </c>
      <c r="J387" s="66">
        <f t="shared" si="505"/>
        <v>3.85</v>
      </c>
      <c r="K387" s="66">
        <f t="shared" si="506"/>
        <v>0.55000000000000004</v>
      </c>
      <c r="L387" s="66">
        <f t="shared" si="507"/>
        <v>0</v>
      </c>
      <c r="M387" s="66">
        <f t="shared" si="508"/>
        <v>0</v>
      </c>
      <c r="N387" s="66">
        <f>+IF(C387="","",ROUND(Parámetros!$D$23,2))</f>
        <v>94</v>
      </c>
      <c r="O387" s="66">
        <f t="shared" si="509"/>
        <v>97.45</v>
      </c>
      <c r="P387" s="66">
        <f>+IF($C387="","",ROUND(IF(B387&gt;Parámetros!$D$117,0,N387*Parámetros!$D$116-G387*Parámetros!$D$100),2))</f>
        <v>0</v>
      </c>
      <c r="Q387" s="75">
        <f t="shared" si="553"/>
        <v>3.5015916325602546E-2</v>
      </c>
      <c r="R387" s="75">
        <f t="shared" si="554"/>
        <v>5.0022737608003643E-3</v>
      </c>
      <c r="S387" s="117">
        <f>+IF($C387="","",ROUND((S386+I387)*(1+Parámetros!$D$91),2))</f>
        <v>25394.25</v>
      </c>
      <c r="T387" s="117">
        <f>+IF($C387="","",ROUND(S387*VLOOKUP(B387,Parámetros!$C$30:$D$39,2,TRUE),2))</f>
        <v>25394.25</v>
      </c>
      <c r="U387" s="117">
        <f>+IF($C387="","",ROUND((U386+I387)*(1+Parámetros!$D$92),2))</f>
        <v>27988.95</v>
      </c>
      <c r="V387" s="117">
        <f>+IF($C387="","",ROUND(U387*VLOOKUP(B387,Parámetros!$C$30:$D$39,2,TRUE),2))</f>
        <v>27988.95</v>
      </c>
      <c r="W387" s="57">
        <f t="shared" si="555"/>
        <v>346</v>
      </c>
      <c r="X387" t="str">
        <f t="shared" si="556"/>
        <v>00058</v>
      </c>
      <c r="Y387" t="str">
        <f t="shared" si="557"/>
        <v>MUERTE POR CUALQUIER CAUSA</v>
      </c>
      <c r="Z387" s="118">
        <f>+IF($W387="","",ROUND(IF(Parámetros!$D$25='TABLAS MORT'!$V$33,Z386,Parámetros!$D$21-'Tablas Servicio'!T386),0))</f>
        <v>100000</v>
      </c>
      <c r="AA387" s="118" t="str">
        <f t="shared" si="558"/>
        <v>P</v>
      </c>
      <c r="AB387" s="119">
        <f>+IF(W387="","",ROUND((VLOOKUP(ROUNDDOWN($D387-1/frec,0),qx_tabla,2,FALSE)*(1+i/frec)^-0.5*(1+Parámetros!$D$103)*(1+rec_fracc)/frec),6))</f>
        <v>9.4700000000000003E-4</v>
      </c>
      <c r="AC387" s="66">
        <f t="shared" si="514"/>
        <v>94.7</v>
      </c>
      <c r="AD387" s="119">
        <f t="shared" si="510"/>
        <v>1.072E-3</v>
      </c>
      <c r="AE387" s="66">
        <f>+IF($W387="","",ROUND(IF($B387&gt;Parámetros!$D$107,'Tablas Servicio'!AC387+('Tablas Servicio'!AG386-'Tablas Servicio'!AC386),AC387/(1-IF(B387&lt;=10,Parámetros!$D$104,Parámetros!$D$105))),2))</f>
        <v>157.83000000000001</v>
      </c>
      <c r="AF387" s="66">
        <f>+IF($W387="","",ROUND(IF($B387&gt;Parámetros!$D$107,'Tablas Servicio'!AC387+('Tablas Servicio'!AG386-'Tablas Servicio'!AC386),(AC387+$A386/frec)/(1-IF(B387&lt;=Parámetros!$D$117,Parámetros!$D$100,0))),2))</f>
        <v>107.2</v>
      </c>
      <c r="AG387" s="66">
        <f t="shared" si="515"/>
        <v>107.2</v>
      </c>
      <c r="AH387" s="66">
        <f t="shared" si="516"/>
        <v>0</v>
      </c>
      <c r="AI387" s="66">
        <f t="shared" si="517"/>
        <v>0</v>
      </c>
      <c r="AJ387" s="66">
        <f>+IF($W387="","",ROUND((AG387*Parámetros!$G$85),2))</f>
        <v>3.75</v>
      </c>
      <c r="AK387" s="66">
        <f>+IF($W387="","",ROUND((AG387*(Parámetros!$G$86)),2))</f>
        <v>0.54</v>
      </c>
      <c r="AL387" s="66">
        <f t="shared" si="511"/>
        <v>111.49</v>
      </c>
      <c r="AM387" t="str">
        <f t="shared" si="559"/>
        <v>00059</v>
      </c>
      <c r="AN387" t="str">
        <f t="shared" si="560"/>
        <v>Incapacidad Total y Permanente</v>
      </c>
      <c r="AO387" s="118">
        <f t="shared" si="561"/>
        <v>0</v>
      </c>
      <c r="AP387" s="118" t="str">
        <f t="shared" si="562"/>
        <v>A</v>
      </c>
      <c r="AQ387" s="119" t="str">
        <f>+IF(OR($W387="",AO387=0),"",ROUND((VLOOKUP(ROUNDDOWN($D387-1/frec,0),cob_adi,Z$40,FALSE)*(1+i/frec)^-0.5*(1+Parámetros!$D$103)*(1+rec_fracc)/frec),6))</f>
        <v/>
      </c>
      <c r="AR387" s="66">
        <f t="shared" si="518"/>
        <v>0</v>
      </c>
      <c r="AS387" s="119" t="str">
        <f t="shared" si="519"/>
        <v/>
      </c>
      <c r="AT387" s="66">
        <f>+IF($W387="","",ROUND(IF($B387&gt;Parámetros!$D$107,'Tablas Servicio'!AR387+('Tablas Servicio'!AT386-'Tablas Servicio'!AR386),AR387/(1-IF(B387&lt;=10,Parámetros!$D$100,0))),2))</f>
        <v>0</v>
      </c>
      <c r="AU387" s="66">
        <f t="shared" si="520"/>
        <v>0</v>
      </c>
      <c r="AV387" s="66">
        <f t="shared" si="520"/>
        <v>0</v>
      </c>
      <c r="AW387" s="66">
        <f>+IF($W387="","",ROUND((AT387*Parámetros!$G$85),2))</f>
        <v>0</v>
      </c>
      <c r="AX387" s="66">
        <f>+IF($W387="","",ROUND((AT387*(Parámetros!$G$86)),2))</f>
        <v>0</v>
      </c>
      <c r="AY387" s="66">
        <f t="shared" si="521"/>
        <v>0</v>
      </c>
      <c r="AZ387" t="str">
        <f t="shared" si="563"/>
        <v>00060</v>
      </c>
      <c r="BA387" t="str">
        <f t="shared" si="564"/>
        <v>Muerte Accidental</v>
      </c>
      <c r="BB387" s="118">
        <f t="shared" si="565"/>
        <v>0</v>
      </c>
      <c r="BC387" s="118" t="str">
        <f t="shared" si="566"/>
        <v>A</v>
      </c>
      <c r="BD387" s="119" t="str">
        <f>+IF(OR($W387="",BB387=0),"",ROUND((VLOOKUP(ROUNDDOWN($D387-1/frec,0),cob_adi,AO$40,FALSE)*(1+i/frec)^-0.5*(1+Parámetros!$D$103)*(1+rec_fracc)/frec),6))</f>
        <v/>
      </c>
      <c r="BE387" s="66">
        <f t="shared" si="522"/>
        <v>0</v>
      </c>
      <c r="BF387" s="119" t="str">
        <f t="shared" si="523"/>
        <v/>
      </c>
      <c r="BG387" s="66">
        <f>+IF($W387="","",ROUND(IF($B387&gt;Parámetros!$D$107,'Tablas Servicio'!BE387+('Tablas Servicio'!BG386-'Tablas Servicio'!BE386),BE387/(1-IF(B387&lt;=10,Parámetros!$D$100,0))),2))</f>
        <v>0</v>
      </c>
      <c r="BH387" s="66">
        <f t="shared" si="524"/>
        <v>0</v>
      </c>
      <c r="BI387" s="66">
        <f t="shared" si="525"/>
        <v>0</v>
      </c>
      <c r="BJ387" s="66">
        <f>+IF($W387="","",ROUND((BG387*Parámetros!$G$85),2))</f>
        <v>0</v>
      </c>
      <c r="BK387" s="66">
        <f>+IF($W387="","",ROUND((BG387*(Parámetros!$G$86)),2))</f>
        <v>0</v>
      </c>
      <c r="BL387" s="66">
        <f t="shared" si="526"/>
        <v>0</v>
      </c>
      <c r="BM387" t="str">
        <f t="shared" si="567"/>
        <v>00061</v>
      </c>
      <c r="BN387" t="str">
        <f t="shared" si="568"/>
        <v>Gastos de Entierro</v>
      </c>
      <c r="BO387" s="118">
        <f t="shared" si="569"/>
        <v>0</v>
      </c>
      <c r="BP387" s="118" t="str">
        <f t="shared" si="570"/>
        <v>A</v>
      </c>
      <c r="BQ387" s="119" t="str">
        <f>+IF(OR($W387="",BO387=0),"",ROUND((VLOOKUP(ROUNDDOWN($D387-1/frec,0),cob_adi,BB$40,FALSE)*(1+i/frec)^-0.5*(1+Parámetros!$D$103)*(1+rec_fracc)/frec),6))</f>
        <v/>
      </c>
      <c r="BR387" s="66">
        <f t="shared" si="527"/>
        <v>0</v>
      </c>
      <c r="BS387" s="119" t="str">
        <f t="shared" si="528"/>
        <v/>
      </c>
      <c r="BT387" s="66">
        <f>+IF($W387="","",ROUND(IF($B387&gt;Parámetros!$D$107,'Tablas Servicio'!BR387+('Tablas Servicio'!BT386-'Tablas Servicio'!BR386),BR387/(1-IF(B387&lt;=10,Parámetros!$D$100,0))),2))</f>
        <v>0</v>
      </c>
      <c r="BU387" s="66">
        <f t="shared" si="529"/>
        <v>0</v>
      </c>
      <c r="BV387" s="66">
        <f t="shared" si="529"/>
        <v>0</v>
      </c>
      <c r="BW387" s="66">
        <f>+IF($W387="","",ROUND((BT387*Parámetros!$G$85),2))</f>
        <v>0</v>
      </c>
      <c r="BX387" s="66">
        <f>+IF($W387="","",ROUND((BT387*(Parámetros!$G$86)),2))</f>
        <v>0</v>
      </c>
      <c r="BY387" s="66">
        <f t="shared" si="530"/>
        <v>0</v>
      </c>
      <c r="BZ387" t="str">
        <f t="shared" si="571"/>
        <v>00062</v>
      </c>
      <c r="CA387" t="str">
        <f t="shared" si="572"/>
        <v>Gastos médicos por accidente</v>
      </c>
      <c r="CB387" s="118">
        <f t="shared" si="573"/>
        <v>0</v>
      </c>
      <c r="CC387" s="118" t="str">
        <f t="shared" si="574"/>
        <v>A</v>
      </c>
      <c r="CD387" s="119" t="str">
        <f t="shared" si="531"/>
        <v/>
      </c>
      <c r="CE387" s="66">
        <f>+IF($W387="","",ROUND((VLOOKUP(ROUNDDOWN($D387-1/frec,0),cob_adi,BO$40,FALSE)*(1+i/frec)^-0.5*(1+Parámetros!$D$103)*(1+rec_fracc)/frec*'TABLAS ADI'!$BC$17),2))</f>
        <v>0</v>
      </c>
      <c r="CF387" s="119" t="str">
        <f t="shared" si="532"/>
        <v/>
      </c>
      <c r="CG387" s="66">
        <f>+IF($W387="","",ROUND(IF($B387&gt;Parámetros!$D$107,'Tablas Servicio'!CE387+('Tablas Servicio'!CG386-'Tablas Servicio'!CE386),CE387/(1-IF(B387&lt;=10,Parámetros!$D$100,0))),2))</f>
        <v>0</v>
      </c>
      <c r="CH387" s="66">
        <f t="shared" si="533"/>
        <v>0</v>
      </c>
      <c r="CI387" s="66">
        <f t="shared" si="533"/>
        <v>0</v>
      </c>
      <c r="CJ387" s="66">
        <f>+IF($W387="","",ROUND((CG387*Parámetros!$G$85),2))</f>
        <v>0</v>
      </c>
      <c r="CK387" s="66">
        <f>+IF($W387="","",ROUND((CG387*(Parámetros!$G$86)),2))</f>
        <v>0</v>
      </c>
      <c r="CL387" s="66">
        <f t="shared" si="534"/>
        <v>0</v>
      </c>
      <c r="CM387" t="str">
        <f t="shared" si="575"/>
        <v>00063</v>
      </c>
      <c r="CN387" s="118" t="str">
        <f t="shared" si="576"/>
        <v>Renta Diaria por Hospitalización</v>
      </c>
      <c r="CO387" s="118">
        <f t="shared" si="577"/>
        <v>0</v>
      </c>
      <c r="CP387" s="118" t="str">
        <f t="shared" si="578"/>
        <v>A</v>
      </c>
      <c r="CQ387" s="119" t="str">
        <f t="shared" si="535"/>
        <v/>
      </c>
      <c r="CR387" s="66">
        <f>+IF($W387="","",ROUND((VLOOKUP(Parámetros!$F$51,'COBERTURAS ADICIONALES'!$S$4:$T$32,2,FALSE)*(1+i/frec)^-0.5*(1+Parámetros!$D$103)*(1+rec_fracc)/frec*$CO$42),2))</f>
        <v>0</v>
      </c>
      <c r="CS387" s="119" t="str">
        <f t="shared" si="536"/>
        <v/>
      </c>
      <c r="CT387" s="66">
        <f>+IF($W387="","",ROUND(IF($B387&gt;Parámetros!$D$107,'Tablas Servicio'!CR387+('Tablas Servicio'!CT386-'Tablas Servicio'!CR386),CR387/(1-IF(B387&lt;=10,Parámetros!$D$100,0))),2))</f>
        <v>0</v>
      </c>
      <c r="CU387" s="66">
        <f t="shared" si="537"/>
        <v>0</v>
      </c>
      <c r="CV387" s="66">
        <f t="shared" si="537"/>
        <v>0</v>
      </c>
      <c r="CW387" s="66">
        <f>+IF($W387="","",ROUND((CT387*Parámetros!$G$85),2))</f>
        <v>0</v>
      </c>
      <c r="CX387" s="66">
        <f>+IF($W387="","",ROUND((CT387*(Parámetros!$G$86)),2))</f>
        <v>0</v>
      </c>
      <c r="CY387" s="66">
        <f t="shared" si="538"/>
        <v>0</v>
      </c>
      <c r="CZ387" t="str">
        <f t="shared" si="579"/>
        <v>00064</v>
      </c>
      <c r="DA387" s="118" t="str">
        <f t="shared" si="580"/>
        <v>Enfermedades Graves</v>
      </c>
      <c r="DB387" s="118">
        <f t="shared" si="581"/>
        <v>0</v>
      </c>
      <c r="DC387" s="118" t="str">
        <f t="shared" si="582"/>
        <v>A</v>
      </c>
      <c r="DD387" s="121" t="str">
        <f>+IF(OR($W387="",DB387=0),"",ROUND((VLOOKUP(ROUNDDOWN($D387-1/frec,0),cob_adi,CO$40,FALSE)*(1+i/frec)^-0.5*(1+Parámetros!$D$103)*(1+rec_fracc)/frec),6))</f>
        <v/>
      </c>
      <c r="DE387" s="66">
        <f t="shared" si="539"/>
        <v>0</v>
      </c>
      <c r="DF387" s="119" t="str">
        <f t="shared" si="540"/>
        <v/>
      </c>
      <c r="DG387" s="66">
        <f>+IF($W387="","",ROUND(IF($B387&gt;Parámetros!$D$107,'Tablas Servicio'!DE387+('Tablas Servicio'!DG386-'Tablas Servicio'!DE386),DE387/(1-IF(B387&lt;=10,Parámetros!$D$100,0))),2))</f>
        <v>0</v>
      </c>
      <c r="DH387" s="66">
        <f t="shared" si="541"/>
        <v>0</v>
      </c>
      <c r="DI387" s="66">
        <f t="shared" si="541"/>
        <v>0</v>
      </c>
      <c r="DJ387" s="66">
        <f>+IF($W387="","",ROUND((DG387*Parámetros!$G$85),2))</f>
        <v>0</v>
      </c>
      <c r="DK387" s="66">
        <f>+IF($W387="","",ROUND((DG387*(Parámetros!$G$86)),2))</f>
        <v>0</v>
      </c>
      <c r="DL387" s="66">
        <f t="shared" si="542"/>
        <v>0</v>
      </c>
      <c r="DM387" t="str">
        <f t="shared" si="583"/>
        <v>00065</v>
      </c>
      <c r="DN387" s="118" t="str">
        <f t="shared" si="584"/>
        <v>Exención pago de primas</v>
      </c>
      <c r="DO387" s="118">
        <f t="shared" si="585"/>
        <v>0</v>
      </c>
      <c r="DP387" s="118" t="str">
        <f t="shared" si="586"/>
        <v>A</v>
      </c>
      <c r="DQ387" s="122" t="str">
        <f>+IF(OR($W387="",DO387=0),"",ROUND((VLOOKUP(ROUNDDOWN($D387-1/frec,0),cob_adi,DB$40,FALSE)*(1+i/frec)^-0.5*(1+Parámetros!$D$103)*(1+rec_fracc)/frec),6))</f>
        <v/>
      </c>
      <c r="DR387" s="66">
        <f t="shared" si="543"/>
        <v>0</v>
      </c>
      <c r="DS387" s="68" t="str">
        <f t="shared" si="544"/>
        <v/>
      </c>
      <c r="DT387" s="66">
        <f>+IF($W387="","",ROUND(IF($B387&gt;Parámetros!$D$107,'Tablas Servicio'!DR387+('Tablas Servicio'!DT386-'Tablas Servicio'!DR386),DR387/(1-IF(B387&lt;=10,Parámetros!$D$100,0))),2))</f>
        <v>0</v>
      </c>
      <c r="DU387" s="66">
        <f t="shared" si="545"/>
        <v>0</v>
      </c>
      <c r="DV387" s="66">
        <f t="shared" si="545"/>
        <v>0</v>
      </c>
      <c r="DW387" s="66">
        <f>+IF($W387="","",ROUND((DT387*Parámetros!$G$85),2))</f>
        <v>0</v>
      </c>
      <c r="DX387" s="66">
        <f>+IF($W387="","",ROUND((DT387*(Parámetros!$G$86)),2))</f>
        <v>0</v>
      </c>
      <c r="DY387" s="66">
        <f t="shared" si="546"/>
        <v>0</v>
      </c>
      <c r="DZ387" t="str">
        <f t="shared" si="587"/>
        <v>00066</v>
      </c>
      <c r="EA387" s="118" t="str">
        <f t="shared" si="587"/>
        <v>Enfermedad terminal</v>
      </c>
      <c r="EB387" s="118">
        <f>+IF($W387="","",ROUND(IF(Parámetros!$D$25='TABLAS MORT'!$V$33,EB386,Z387/2),0))</f>
        <v>50000</v>
      </c>
      <c r="EC387" s="118" t="str">
        <f t="shared" si="587"/>
        <v>A</v>
      </c>
      <c r="ED387" s="122">
        <f>+IF(OR($W387="",EB387=0),"",ROUND((VLOOKUP(ROUNDDOWN($D387-1/frec,0),cob_adi,DO$40,FALSE)*(1+i/frec)^-0.5*(1+Parámetros!$D$103)*(1+rec_fracc)/frec),6))</f>
        <v>5.5000000000000002E-5</v>
      </c>
      <c r="EE387" s="66">
        <f t="shared" si="548"/>
        <v>2.75</v>
      </c>
      <c r="EF387" s="68">
        <f t="shared" si="549"/>
        <v>5.5000000000000002E-5</v>
      </c>
      <c r="EG387" s="66">
        <f>+IF($W387="","",ROUND(IF($B387&gt;Parámetros!$D$107,'Tablas Servicio'!EE387+('Tablas Servicio'!EG386-'Tablas Servicio'!EE386),EE387/(1-IF(B387&lt;=10,Parámetros!$D$100,0))),2))</f>
        <v>2.75</v>
      </c>
      <c r="EH387" s="66">
        <f t="shared" si="550"/>
        <v>0</v>
      </c>
      <c r="EI387" s="66">
        <f t="shared" si="550"/>
        <v>0</v>
      </c>
      <c r="EJ387" s="66">
        <f>+IF($W387="","",ROUND((EG387*Parámetros!$G$85),2))</f>
        <v>0.1</v>
      </c>
      <c r="EK387" s="66">
        <f>+IF($W387="","",ROUND((EG387*(Parámetros!$G$86)),2))</f>
        <v>0.01</v>
      </c>
      <c r="EL387" s="66">
        <f t="shared" si="551"/>
        <v>2.86</v>
      </c>
    </row>
    <row r="388" spans="1:142" x14ac:dyDescent="0.25">
      <c r="A388">
        <f>+IF($C388="","",ROUND(VLOOKUP('Tablas Servicio'!B388,Parámetros!$H$100:$J$159,IF(Parámetros!$E$16="F",2,3),FALSE),2))</f>
        <v>150</v>
      </c>
      <c r="B388">
        <f t="shared" si="502"/>
        <v>29</v>
      </c>
      <c r="C388" s="57">
        <f>+IF(D388="","",'Tablas Servicio'!C387+1)</f>
        <v>347</v>
      </c>
      <c r="D388" s="56">
        <f>+IF(D387&lt;edadmaxtabla,D387+1/Parámetros!$E$25,"")</f>
        <v>68.936666666667065</v>
      </c>
      <c r="E388" s="57">
        <f t="shared" si="512"/>
        <v>68</v>
      </c>
      <c r="F388" s="59">
        <f t="shared" si="513"/>
        <v>100000</v>
      </c>
      <c r="G388" s="66">
        <f t="shared" si="503"/>
        <v>109.95</v>
      </c>
      <c r="H388" s="66">
        <f t="shared" si="504"/>
        <v>114.35</v>
      </c>
      <c r="I388" s="66">
        <f t="shared" si="552"/>
        <v>-20.349999999999994</v>
      </c>
      <c r="J388" s="66">
        <f t="shared" si="505"/>
        <v>3.85</v>
      </c>
      <c r="K388" s="66">
        <f t="shared" si="506"/>
        <v>0.55000000000000004</v>
      </c>
      <c r="L388" s="66">
        <f t="shared" si="507"/>
        <v>0</v>
      </c>
      <c r="M388" s="66">
        <f t="shared" si="508"/>
        <v>0</v>
      </c>
      <c r="N388" s="66">
        <f>+IF(C388="","",ROUND(Parámetros!$D$23,2))</f>
        <v>94</v>
      </c>
      <c r="O388" s="66">
        <f t="shared" si="509"/>
        <v>97.45</v>
      </c>
      <c r="P388" s="66">
        <f>+IF($C388="","",ROUND(IF(B388&gt;Parámetros!$D$117,0,N388*Parámetros!$D$116-G388*Parámetros!$D$100),2))</f>
        <v>0</v>
      </c>
      <c r="Q388" s="75">
        <f t="shared" si="553"/>
        <v>3.5015916325602546E-2</v>
      </c>
      <c r="R388" s="75">
        <f t="shared" si="554"/>
        <v>5.0022737608003643E-3</v>
      </c>
      <c r="S388" s="117">
        <f>+IF($C388="","",ROUND((S387+I388)*(1+Parámetros!$D$91),2))</f>
        <v>25445.87</v>
      </c>
      <c r="T388" s="117">
        <f>+IF($C388="","",ROUND(S388*VLOOKUP(B388,Parámetros!$C$30:$D$39,2,TRUE),2))</f>
        <v>25445.87</v>
      </c>
      <c r="U388" s="117">
        <f>+IF($C388="","",ROUND((U387+I388)*(1+Parámetros!$D$92),2))</f>
        <v>28059.26</v>
      </c>
      <c r="V388" s="117">
        <f>+IF($C388="","",ROUND(U388*VLOOKUP(B388,Parámetros!$C$30:$D$39,2,TRUE),2))</f>
        <v>28059.26</v>
      </c>
      <c r="W388" s="57">
        <f t="shared" si="555"/>
        <v>347</v>
      </c>
      <c r="X388" t="str">
        <f t="shared" si="556"/>
        <v>00058</v>
      </c>
      <c r="Y388" t="str">
        <f t="shared" si="557"/>
        <v>MUERTE POR CUALQUIER CAUSA</v>
      </c>
      <c r="Z388" s="118">
        <f>+IF($W388="","",ROUND(IF(Parámetros!$D$25='TABLAS MORT'!$V$33,Z387,Parámetros!$D$21-'Tablas Servicio'!T387),0))</f>
        <v>100000</v>
      </c>
      <c r="AA388" s="118" t="str">
        <f t="shared" si="558"/>
        <v>P</v>
      </c>
      <c r="AB388" s="119">
        <f>+IF(W388="","",ROUND((VLOOKUP(ROUNDDOWN($D388-1/frec,0),qx_tabla,2,FALSE)*(1+i/frec)^-0.5*(1+Parámetros!$D$103)*(1+rec_fracc)/frec),6))</f>
        <v>9.4700000000000003E-4</v>
      </c>
      <c r="AC388" s="66">
        <f t="shared" si="514"/>
        <v>94.7</v>
      </c>
      <c r="AD388" s="119">
        <f t="shared" si="510"/>
        <v>1.072E-3</v>
      </c>
      <c r="AE388" s="66">
        <f>+IF($W388="","",ROUND(IF($B388&gt;Parámetros!$D$107,'Tablas Servicio'!AC388+('Tablas Servicio'!AG387-'Tablas Servicio'!AC387),AC388/(1-IF(B388&lt;=10,Parámetros!$D$104,Parámetros!$D$105))),2))</f>
        <v>157.83000000000001</v>
      </c>
      <c r="AF388" s="66">
        <f>+IF($W388="","",ROUND(IF($B388&gt;Parámetros!$D$107,'Tablas Servicio'!AC388+('Tablas Servicio'!AG387-'Tablas Servicio'!AC387),(AC388+$A387/frec)/(1-IF(B388&lt;=Parámetros!$D$117,Parámetros!$D$100,0))),2))</f>
        <v>107.2</v>
      </c>
      <c r="AG388" s="66">
        <f t="shared" si="515"/>
        <v>107.2</v>
      </c>
      <c r="AH388" s="66">
        <f t="shared" si="516"/>
        <v>0</v>
      </c>
      <c r="AI388" s="66">
        <f t="shared" si="517"/>
        <v>0</v>
      </c>
      <c r="AJ388" s="66">
        <f>+IF($W388="","",ROUND((AG388*Parámetros!$G$85),2))</f>
        <v>3.75</v>
      </c>
      <c r="AK388" s="66">
        <f>+IF($W388="","",ROUND((AG388*(Parámetros!$G$86)),2))</f>
        <v>0.54</v>
      </c>
      <c r="AL388" s="66">
        <f t="shared" si="511"/>
        <v>111.49</v>
      </c>
      <c r="AM388" t="str">
        <f t="shared" si="559"/>
        <v>00059</v>
      </c>
      <c r="AN388" t="str">
        <f t="shared" si="560"/>
        <v>Incapacidad Total y Permanente</v>
      </c>
      <c r="AO388" s="118">
        <f t="shared" si="561"/>
        <v>0</v>
      </c>
      <c r="AP388" s="118" t="str">
        <f t="shared" si="562"/>
        <v>A</v>
      </c>
      <c r="AQ388" s="119" t="str">
        <f>+IF(OR($W388="",AO388=0),"",ROUND((VLOOKUP(ROUNDDOWN($D388-1/frec,0),cob_adi,Z$40,FALSE)*(1+i/frec)^-0.5*(1+Parámetros!$D$103)*(1+rec_fracc)/frec),6))</f>
        <v/>
      </c>
      <c r="AR388" s="66">
        <f t="shared" si="518"/>
        <v>0</v>
      </c>
      <c r="AS388" s="119" t="str">
        <f t="shared" si="519"/>
        <v/>
      </c>
      <c r="AT388" s="66">
        <f>+IF($W388="","",ROUND(IF($B388&gt;Parámetros!$D$107,'Tablas Servicio'!AR388+('Tablas Servicio'!AT387-'Tablas Servicio'!AR387),AR388/(1-IF(B388&lt;=10,Parámetros!$D$100,0))),2))</f>
        <v>0</v>
      </c>
      <c r="AU388" s="66">
        <f t="shared" si="520"/>
        <v>0</v>
      </c>
      <c r="AV388" s="66">
        <f t="shared" si="520"/>
        <v>0</v>
      </c>
      <c r="AW388" s="66">
        <f>+IF($W388="","",ROUND((AT388*Parámetros!$G$85),2))</f>
        <v>0</v>
      </c>
      <c r="AX388" s="66">
        <f>+IF($W388="","",ROUND((AT388*(Parámetros!$G$86)),2))</f>
        <v>0</v>
      </c>
      <c r="AY388" s="66">
        <f t="shared" si="521"/>
        <v>0</v>
      </c>
      <c r="AZ388" t="str">
        <f t="shared" si="563"/>
        <v>00060</v>
      </c>
      <c r="BA388" t="str">
        <f t="shared" si="564"/>
        <v>Muerte Accidental</v>
      </c>
      <c r="BB388" s="118">
        <f t="shared" si="565"/>
        <v>0</v>
      </c>
      <c r="BC388" s="118" t="str">
        <f t="shared" si="566"/>
        <v>A</v>
      </c>
      <c r="BD388" s="119" t="str">
        <f>+IF(OR($W388="",BB388=0),"",ROUND((VLOOKUP(ROUNDDOWN($D388-1/frec,0),cob_adi,AO$40,FALSE)*(1+i/frec)^-0.5*(1+Parámetros!$D$103)*(1+rec_fracc)/frec),6))</f>
        <v/>
      </c>
      <c r="BE388" s="66">
        <f t="shared" si="522"/>
        <v>0</v>
      </c>
      <c r="BF388" s="119" t="str">
        <f t="shared" si="523"/>
        <v/>
      </c>
      <c r="BG388" s="66">
        <f>+IF($W388="","",ROUND(IF($B388&gt;Parámetros!$D$107,'Tablas Servicio'!BE388+('Tablas Servicio'!BG387-'Tablas Servicio'!BE387),BE388/(1-IF(B388&lt;=10,Parámetros!$D$100,0))),2))</f>
        <v>0</v>
      </c>
      <c r="BH388" s="66">
        <f t="shared" si="524"/>
        <v>0</v>
      </c>
      <c r="BI388" s="66">
        <f t="shared" si="525"/>
        <v>0</v>
      </c>
      <c r="BJ388" s="66">
        <f>+IF($W388="","",ROUND((BG388*Parámetros!$G$85),2))</f>
        <v>0</v>
      </c>
      <c r="BK388" s="66">
        <f>+IF($W388="","",ROUND((BG388*(Parámetros!$G$86)),2))</f>
        <v>0</v>
      </c>
      <c r="BL388" s="66">
        <f t="shared" si="526"/>
        <v>0</v>
      </c>
      <c r="BM388" t="str">
        <f t="shared" si="567"/>
        <v>00061</v>
      </c>
      <c r="BN388" t="str">
        <f t="shared" si="568"/>
        <v>Gastos de Entierro</v>
      </c>
      <c r="BO388" s="118">
        <f t="shared" si="569"/>
        <v>0</v>
      </c>
      <c r="BP388" s="118" t="str">
        <f t="shared" si="570"/>
        <v>A</v>
      </c>
      <c r="BQ388" s="119" t="str">
        <f>+IF(OR($W388="",BO388=0),"",ROUND((VLOOKUP(ROUNDDOWN($D388-1/frec,0),cob_adi,BB$40,FALSE)*(1+i/frec)^-0.5*(1+Parámetros!$D$103)*(1+rec_fracc)/frec),6))</f>
        <v/>
      </c>
      <c r="BR388" s="66">
        <f t="shared" si="527"/>
        <v>0</v>
      </c>
      <c r="BS388" s="119" t="str">
        <f t="shared" si="528"/>
        <v/>
      </c>
      <c r="BT388" s="66">
        <f>+IF($W388="","",ROUND(IF($B388&gt;Parámetros!$D$107,'Tablas Servicio'!BR388+('Tablas Servicio'!BT387-'Tablas Servicio'!BR387),BR388/(1-IF(B388&lt;=10,Parámetros!$D$100,0))),2))</f>
        <v>0</v>
      </c>
      <c r="BU388" s="66">
        <f t="shared" si="529"/>
        <v>0</v>
      </c>
      <c r="BV388" s="66">
        <f t="shared" si="529"/>
        <v>0</v>
      </c>
      <c r="BW388" s="66">
        <f>+IF($W388="","",ROUND((BT388*Parámetros!$G$85),2))</f>
        <v>0</v>
      </c>
      <c r="BX388" s="66">
        <f>+IF($W388="","",ROUND((BT388*(Parámetros!$G$86)),2))</f>
        <v>0</v>
      </c>
      <c r="BY388" s="66">
        <f t="shared" si="530"/>
        <v>0</v>
      </c>
      <c r="BZ388" t="str">
        <f t="shared" si="571"/>
        <v>00062</v>
      </c>
      <c r="CA388" t="str">
        <f t="shared" si="572"/>
        <v>Gastos médicos por accidente</v>
      </c>
      <c r="CB388" s="118">
        <f t="shared" si="573"/>
        <v>0</v>
      </c>
      <c r="CC388" s="118" t="str">
        <f t="shared" si="574"/>
        <v>A</v>
      </c>
      <c r="CD388" s="119" t="str">
        <f t="shared" si="531"/>
        <v/>
      </c>
      <c r="CE388" s="66">
        <f>+IF($W388="","",ROUND((VLOOKUP(ROUNDDOWN($D388-1/frec,0),cob_adi,BO$40,FALSE)*(1+i/frec)^-0.5*(1+Parámetros!$D$103)*(1+rec_fracc)/frec*'TABLAS ADI'!$BC$17),2))</f>
        <v>0</v>
      </c>
      <c r="CF388" s="119" t="str">
        <f t="shared" si="532"/>
        <v/>
      </c>
      <c r="CG388" s="66">
        <f>+IF($W388="","",ROUND(IF($B388&gt;Parámetros!$D$107,'Tablas Servicio'!CE388+('Tablas Servicio'!CG387-'Tablas Servicio'!CE387),CE388/(1-IF(B388&lt;=10,Parámetros!$D$100,0))),2))</f>
        <v>0</v>
      </c>
      <c r="CH388" s="66">
        <f t="shared" si="533"/>
        <v>0</v>
      </c>
      <c r="CI388" s="66">
        <f t="shared" si="533"/>
        <v>0</v>
      </c>
      <c r="CJ388" s="66">
        <f>+IF($W388="","",ROUND((CG388*Parámetros!$G$85),2))</f>
        <v>0</v>
      </c>
      <c r="CK388" s="66">
        <f>+IF($W388="","",ROUND((CG388*(Parámetros!$G$86)),2))</f>
        <v>0</v>
      </c>
      <c r="CL388" s="66">
        <f t="shared" si="534"/>
        <v>0</v>
      </c>
      <c r="CM388" t="str">
        <f t="shared" si="575"/>
        <v>00063</v>
      </c>
      <c r="CN388" s="118" t="str">
        <f t="shared" si="576"/>
        <v>Renta Diaria por Hospitalización</v>
      </c>
      <c r="CO388" s="118">
        <f t="shared" si="577"/>
        <v>0</v>
      </c>
      <c r="CP388" s="118" t="str">
        <f t="shared" si="578"/>
        <v>A</v>
      </c>
      <c r="CQ388" s="119" t="str">
        <f t="shared" si="535"/>
        <v/>
      </c>
      <c r="CR388" s="66">
        <f>+IF($W388="","",ROUND((VLOOKUP(Parámetros!$F$51,'COBERTURAS ADICIONALES'!$S$4:$T$32,2,FALSE)*(1+i/frec)^-0.5*(1+Parámetros!$D$103)*(1+rec_fracc)/frec*$CO$42),2))</f>
        <v>0</v>
      </c>
      <c r="CS388" s="119" t="str">
        <f t="shared" si="536"/>
        <v/>
      </c>
      <c r="CT388" s="66">
        <f>+IF($W388="","",ROUND(IF($B388&gt;Parámetros!$D$107,'Tablas Servicio'!CR388+('Tablas Servicio'!CT387-'Tablas Servicio'!CR387),CR388/(1-IF(B388&lt;=10,Parámetros!$D$100,0))),2))</f>
        <v>0</v>
      </c>
      <c r="CU388" s="66">
        <f t="shared" si="537"/>
        <v>0</v>
      </c>
      <c r="CV388" s="66">
        <f t="shared" si="537"/>
        <v>0</v>
      </c>
      <c r="CW388" s="66">
        <f>+IF($W388="","",ROUND((CT388*Parámetros!$G$85),2))</f>
        <v>0</v>
      </c>
      <c r="CX388" s="66">
        <f>+IF($W388="","",ROUND((CT388*(Parámetros!$G$86)),2))</f>
        <v>0</v>
      </c>
      <c r="CY388" s="66">
        <f t="shared" si="538"/>
        <v>0</v>
      </c>
      <c r="CZ388" t="str">
        <f t="shared" si="579"/>
        <v>00064</v>
      </c>
      <c r="DA388" s="118" t="str">
        <f t="shared" si="580"/>
        <v>Enfermedades Graves</v>
      </c>
      <c r="DB388" s="118">
        <f t="shared" si="581"/>
        <v>0</v>
      </c>
      <c r="DC388" s="118" t="str">
        <f t="shared" si="582"/>
        <v>A</v>
      </c>
      <c r="DD388" s="121" t="str">
        <f>+IF(OR($W388="",DB388=0),"",ROUND((VLOOKUP(ROUNDDOWN($D388-1/frec,0),cob_adi,CO$40,FALSE)*(1+i/frec)^-0.5*(1+Parámetros!$D$103)*(1+rec_fracc)/frec),6))</f>
        <v/>
      </c>
      <c r="DE388" s="66">
        <f t="shared" si="539"/>
        <v>0</v>
      </c>
      <c r="DF388" s="119" t="str">
        <f t="shared" si="540"/>
        <v/>
      </c>
      <c r="DG388" s="66">
        <f>+IF($W388="","",ROUND(IF($B388&gt;Parámetros!$D$107,'Tablas Servicio'!DE388+('Tablas Servicio'!DG387-'Tablas Servicio'!DE387),DE388/(1-IF(B388&lt;=10,Parámetros!$D$100,0))),2))</f>
        <v>0</v>
      </c>
      <c r="DH388" s="66">
        <f t="shared" si="541"/>
        <v>0</v>
      </c>
      <c r="DI388" s="66">
        <f t="shared" si="541"/>
        <v>0</v>
      </c>
      <c r="DJ388" s="66">
        <f>+IF($W388="","",ROUND((DG388*Parámetros!$G$85),2))</f>
        <v>0</v>
      </c>
      <c r="DK388" s="66">
        <f>+IF($W388="","",ROUND((DG388*(Parámetros!$G$86)),2))</f>
        <v>0</v>
      </c>
      <c r="DL388" s="66">
        <f t="shared" si="542"/>
        <v>0</v>
      </c>
      <c r="DM388" t="str">
        <f t="shared" si="583"/>
        <v>00065</v>
      </c>
      <c r="DN388" s="118" t="str">
        <f t="shared" si="584"/>
        <v>Exención pago de primas</v>
      </c>
      <c r="DO388" s="118">
        <f t="shared" si="585"/>
        <v>0</v>
      </c>
      <c r="DP388" s="118" t="str">
        <f t="shared" si="586"/>
        <v>A</v>
      </c>
      <c r="DQ388" s="122" t="str">
        <f>+IF(OR($W388="",DO388=0),"",ROUND((VLOOKUP(ROUNDDOWN($D388-1/frec,0),cob_adi,DB$40,FALSE)*(1+i/frec)^-0.5*(1+Parámetros!$D$103)*(1+rec_fracc)/frec),6))</f>
        <v/>
      </c>
      <c r="DR388" s="66">
        <f t="shared" si="543"/>
        <v>0</v>
      </c>
      <c r="DS388" s="68" t="str">
        <f t="shared" si="544"/>
        <v/>
      </c>
      <c r="DT388" s="66">
        <f>+IF($W388="","",ROUND(IF($B388&gt;Parámetros!$D$107,'Tablas Servicio'!DR388+('Tablas Servicio'!DT387-'Tablas Servicio'!DR387),DR388/(1-IF(B388&lt;=10,Parámetros!$D$100,0))),2))</f>
        <v>0</v>
      </c>
      <c r="DU388" s="66">
        <f t="shared" si="545"/>
        <v>0</v>
      </c>
      <c r="DV388" s="66">
        <f t="shared" si="545"/>
        <v>0</v>
      </c>
      <c r="DW388" s="66">
        <f>+IF($W388="","",ROUND((DT388*Parámetros!$G$85),2))</f>
        <v>0</v>
      </c>
      <c r="DX388" s="66">
        <f>+IF($W388="","",ROUND((DT388*(Parámetros!$G$86)),2))</f>
        <v>0</v>
      </c>
      <c r="DY388" s="66">
        <f t="shared" si="546"/>
        <v>0</v>
      </c>
      <c r="DZ388" t="str">
        <f t="shared" si="587"/>
        <v>00066</v>
      </c>
      <c r="EA388" s="118" t="str">
        <f t="shared" si="587"/>
        <v>Enfermedad terminal</v>
      </c>
      <c r="EB388" s="118">
        <f>+IF($W388="","",ROUND(IF(Parámetros!$D$25='TABLAS MORT'!$V$33,EB387,Z388/2),0))</f>
        <v>50000</v>
      </c>
      <c r="EC388" s="118" t="str">
        <f t="shared" si="587"/>
        <v>A</v>
      </c>
      <c r="ED388" s="122">
        <f>+IF(OR($W388="",EB388=0),"",ROUND((VLOOKUP(ROUNDDOWN($D388-1/frec,0),cob_adi,DO$40,FALSE)*(1+i/frec)^-0.5*(1+Parámetros!$D$103)*(1+rec_fracc)/frec),6))</f>
        <v>5.5000000000000002E-5</v>
      </c>
      <c r="EE388" s="66">
        <f t="shared" si="548"/>
        <v>2.75</v>
      </c>
      <c r="EF388" s="68">
        <f t="shared" si="549"/>
        <v>5.5000000000000002E-5</v>
      </c>
      <c r="EG388" s="66">
        <f>+IF($W388="","",ROUND(IF($B388&gt;Parámetros!$D$107,'Tablas Servicio'!EE388+('Tablas Servicio'!EG387-'Tablas Servicio'!EE387),EE388/(1-IF(B388&lt;=10,Parámetros!$D$100,0))),2))</f>
        <v>2.75</v>
      </c>
      <c r="EH388" s="66">
        <f t="shared" si="550"/>
        <v>0</v>
      </c>
      <c r="EI388" s="66">
        <f t="shared" si="550"/>
        <v>0</v>
      </c>
      <c r="EJ388" s="66">
        <f>+IF($W388="","",ROUND((EG388*Parámetros!$G$85),2))</f>
        <v>0.1</v>
      </c>
      <c r="EK388" s="66">
        <f>+IF($W388="","",ROUND((EG388*(Parámetros!$G$86)),2))</f>
        <v>0.01</v>
      </c>
      <c r="EL388" s="66">
        <f t="shared" si="551"/>
        <v>2.86</v>
      </c>
    </row>
    <row r="389" spans="1:142" x14ac:dyDescent="0.25">
      <c r="A389">
        <f>+IF($C389="","",ROUND(VLOOKUP('Tablas Servicio'!B389,Parámetros!$H$100:$J$159,IF(Parámetros!$E$16="F",2,3),FALSE),2))</f>
        <v>150</v>
      </c>
      <c r="B389">
        <f t="shared" si="502"/>
        <v>29</v>
      </c>
      <c r="C389" s="57">
        <f>+IF(D389="","",'Tablas Servicio'!C388+1)</f>
        <v>348</v>
      </c>
      <c r="D389" s="56">
        <f>+IF(D388&lt;edadmaxtabla,D388+1/Parámetros!$E$25,"")</f>
        <v>69.020000000000394</v>
      </c>
      <c r="E389" s="57">
        <f t="shared" si="512"/>
        <v>69</v>
      </c>
      <c r="F389" s="59">
        <f t="shared" si="513"/>
        <v>100000</v>
      </c>
      <c r="G389" s="66">
        <f t="shared" si="503"/>
        <v>109.95</v>
      </c>
      <c r="H389" s="66">
        <f t="shared" si="504"/>
        <v>114.35</v>
      </c>
      <c r="I389" s="66">
        <f t="shared" si="552"/>
        <v>-20.349999999999994</v>
      </c>
      <c r="J389" s="66">
        <f t="shared" si="505"/>
        <v>3.85</v>
      </c>
      <c r="K389" s="66">
        <f t="shared" si="506"/>
        <v>0.55000000000000004</v>
      </c>
      <c r="L389" s="66">
        <f t="shared" si="507"/>
        <v>0</v>
      </c>
      <c r="M389" s="66">
        <f t="shared" si="508"/>
        <v>0</v>
      </c>
      <c r="N389" s="66">
        <f>+IF(C389="","",ROUND(Parámetros!$D$23,2))</f>
        <v>94</v>
      </c>
      <c r="O389" s="66">
        <f t="shared" si="509"/>
        <v>97.45</v>
      </c>
      <c r="P389" s="66">
        <f>+IF($C389="","",ROUND(IF(B389&gt;Parámetros!$D$117,0,N389*Parámetros!$D$116-G389*Parámetros!$D$100),2))</f>
        <v>0</v>
      </c>
      <c r="Q389" s="75">
        <f t="shared" si="553"/>
        <v>3.5015916325602546E-2</v>
      </c>
      <c r="R389" s="75">
        <f t="shared" si="554"/>
        <v>5.0022737608003643E-3</v>
      </c>
      <c r="S389" s="117">
        <f>+IF($C389="","",ROUND((S388+I389)*(1+Parámetros!$D$91),2))</f>
        <v>25497.64</v>
      </c>
      <c r="T389" s="117">
        <f>+IF($C389="","",ROUND(S389*VLOOKUP(B389,Parámetros!$C$30:$D$39,2,TRUE),2))</f>
        <v>25497.64</v>
      </c>
      <c r="U389" s="117">
        <f>+IF($C389="","",ROUND((U388+I389)*(1+Parámetros!$D$92),2))</f>
        <v>28129.8</v>
      </c>
      <c r="V389" s="117">
        <f>+IF($C389="","",ROUND(U389*VLOOKUP(B389,Parámetros!$C$30:$D$39,2,TRUE),2))</f>
        <v>28129.8</v>
      </c>
      <c r="W389" s="57">
        <f t="shared" si="555"/>
        <v>348</v>
      </c>
      <c r="X389" t="str">
        <f t="shared" si="556"/>
        <v>00058</v>
      </c>
      <c r="Y389" t="str">
        <f t="shared" si="557"/>
        <v>MUERTE POR CUALQUIER CAUSA</v>
      </c>
      <c r="Z389" s="118">
        <f>+IF($W389="","",ROUND(IF(Parámetros!$D$25='TABLAS MORT'!$V$33,Z388,Parámetros!$D$21-'Tablas Servicio'!T388),0))</f>
        <v>100000</v>
      </c>
      <c r="AA389" s="118" t="str">
        <f t="shared" si="558"/>
        <v>P</v>
      </c>
      <c r="AB389" s="119">
        <f>+IF(W389="","",ROUND((VLOOKUP(ROUNDDOWN($D389-1/frec,0),qx_tabla,2,FALSE)*(1+i/frec)^-0.5*(1+Parámetros!$D$103)*(1+rec_fracc)/frec),6))</f>
        <v>9.4700000000000003E-4</v>
      </c>
      <c r="AC389" s="66">
        <f t="shared" si="514"/>
        <v>94.7</v>
      </c>
      <c r="AD389" s="119">
        <f t="shared" si="510"/>
        <v>1.072E-3</v>
      </c>
      <c r="AE389" s="66">
        <f>+IF($W389="","",ROUND(IF($B389&gt;Parámetros!$D$107,'Tablas Servicio'!AC389+('Tablas Servicio'!AG388-'Tablas Servicio'!AC388),AC389/(1-IF(B389&lt;=10,Parámetros!$D$104,Parámetros!$D$105))),2))</f>
        <v>157.83000000000001</v>
      </c>
      <c r="AF389" s="66">
        <f>+IF($W389="","",ROUND(IF($B389&gt;Parámetros!$D$107,'Tablas Servicio'!AC389+('Tablas Servicio'!AG388-'Tablas Servicio'!AC388),(AC389+$A388/frec)/(1-IF(B389&lt;=Parámetros!$D$117,Parámetros!$D$100,0))),2))</f>
        <v>107.2</v>
      </c>
      <c r="AG389" s="66">
        <f t="shared" si="515"/>
        <v>107.2</v>
      </c>
      <c r="AH389" s="66">
        <f t="shared" si="516"/>
        <v>0</v>
      </c>
      <c r="AI389" s="66">
        <f t="shared" si="517"/>
        <v>0</v>
      </c>
      <c r="AJ389" s="66">
        <f>+IF($W389="","",ROUND((AG389*Parámetros!$G$85),2))</f>
        <v>3.75</v>
      </c>
      <c r="AK389" s="66">
        <f>+IF($W389="","",ROUND((AG389*(Parámetros!$G$86)),2))</f>
        <v>0.54</v>
      </c>
      <c r="AL389" s="66">
        <f t="shared" si="511"/>
        <v>111.49</v>
      </c>
      <c r="AM389" t="str">
        <f t="shared" si="559"/>
        <v>00059</v>
      </c>
      <c r="AN389" t="str">
        <f t="shared" si="560"/>
        <v>Incapacidad Total y Permanente</v>
      </c>
      <c r="AO389" s="118">
        <f t="shared" si="561"/>
        <v>0</v>
      </c>
      <c r="AP389" s="118" t="str">
        <f t="shared" si="562"/>
        <v>A</v>
      </c>
      <c r="AQ389" s="119" t="str">
        <f>+IF(OR($W389="",AO389=0),"",ROUND((VLOOKUP(ROUNDDOWN($D389-1/frec,0),cob_adi,Z$40,FALSE)*(1+i/frec)^-0.5*(1+Parámetros!$D$103)*(1+rec_fracc)/frec),6))</f>
        <v/>
      </c>
      <c r="AR389" s="66">
        <f t="shared" si="518"/>
        <v>0</v>
      </c>
      <c r="AS389" s="119" t="str">
        <f t="shared" si="519"/>
        <v/>
      </c>
      <c r="AT389" s="66">
        <f>+IF($W389="","",ROUND(IF($B389&gt;Parámetros!$D$107,'Tablas Servicio'!AR389+('Tablas Servicio'!AT388-'Tablas Servicio'!AR388),AR389/(1-IF(B389&lt;=10,Parámetros!$D$100,0))),2))</f>
        <v>0</v>
      </c>
      <c r="AU389" s="66">
        <f t="shared" si="520"/>
        <v>0</v>
      </c>
      <c r="AV389" s="66">
        <f t="shared" si="520"/>
        <v>0</v>
      </c>
      <c r="AW389" s="66">
        <f>+IF($W389="","",ROUND((AT389*Parámetros!$G$85),2))</f>
        <v>0</v>
      </c>
      <c r="AX389" s="66">
        <f>+IF($W389="","",ROUND((AT389*(Parámetros!$G$86)),2))</f>
        <v>0</v>
      </c>
      <c r="AY389" s="66">
        <f t="shared" si="521"/>
        <v>0</v>
      </c>
      <c r="AZ389" t="str">
        <f t="shared" si="563"/>
        <v>00060</v>
      </c>
      <c r="BA389" t="str">
        <f t="shared" si="564"/>
        <v>Muerte Accidental</v>
      </c>
      <c r="BB389" s="118">
        <f t="shared" si="565"/>
        <v>0</v>
      </c>
      <c r="BC389" s="118" t="str">
        <f t="shared" si="566"/>
        <v>A</v>
      </c>
      <c r="BD389" s="119" t="str">
        <f>+IF(OR($W389="",BB389=0),"",ROUND((VLOOKUP(ROUNDDOWN($D389-1/frec,0),cob_adi,AO$40,FALSE)*(1+i/frec)^-0.5*(1+Parámetros!$D$103)*(1+rec_fracc)/frec),6))</f>
        <v/>
      </c>
      <c r="BE389" s="66">
        <f t="shared" si="522"/>
        <v>0</v>
      </c>
      <c r="BF389" s="119" t="str">
        <f t="shared" si="523"/>
        <v/>
      </c>
      <c r="BG389" s="66">
        <f>+IF($W389="","",ROUND(IF($B389&gt;Parámetros!$D$107,'Tablas Servicio'!BE389+('Tablas Servicio'!BG388-'Tablas Servicio'!BE388),BE389/(1-IF(B389&lt;=10,Parámetros!$D$100,0))),2))</f>
        <v>0</v>
      </c>
      <c r="BH389" s="66">
        <f t="shared" si="524"/>
        <v>0</v>
      </c>
      <c r="BI389" s="66">
        <f t="shared" si="525"/>
        <v>0</v>
      </c>
      <c r="BJ389" s="66">
        <f>+IF($W389="","",ROUND((BG389*Parámetros!$G$85),2))</f>
        <v>0</v>
      </c>
      <c r="BK389" s="66">
        <f>+IF($W389="","",ROUND((BG389*(Parámetros!$G$86)),2))</f>
        <v>0</v>
      </c>
      <c r="BL389" s="66">
        <f t="shared" si="526"/>
        <v>0</v>
      </c>
      <c r="BM389" t="str">
        <f t="shared" si="567"/>
        <v>00061</v>
      </c>
      <c r="BN389" t="str">
        <f t="shared" si="568"/>
        <v>Gastos de Entierro</v>
      </c>
      <c r="BO389" s="118">
        <f t="shared" si="569"/>
        <v>0</v>
      </c>
      <c r="BP389" s="118" t="str">
        <f t="shared" si="570"/>
        <v>A</v>
      </c>
      <c r="BQ389" s="119" t="str">
        <f>+IF(OR($W389="",BO389=0),"",ROUND((VLOOKUP(ROUNDDOWN($D389-1/frec,0),cob_adi,BB$40,FALSE)*(1+i/frec)^-0.5*(1+Parámetros!$D$103)*(1+rec_fracc)/frec),6))</f>
        <v/>
      </c>
      <c r="BR389" s="66">
        <f t="shared" si="527"/>
        <v>0</v>
      </c>
      <c r="BS389" s="119" t="str">
        <f t="shared" si="528"/>
        <v/>
      </c>
      <c r="BT389" s="66">
        <f>+IF($W389="","",ROUND(IF($B389&gt;Parámetros!$D$107,'Tablas Servicio'!BR389+('Tablas Servicio'!BT388-'Tablas Servicio'!BR388),BR389/(1-IF(B389&lt;=10,Parámetros!$D$100,0))),2))</f>
        <v>0</v>
      </c>
      <c r="BU389" s="66">
        <f t="shared" si="529"/>
        <v>0</v>
      </c>
      <c r="BV389" s="66">
        <f t="shared" si="529"/>
        <v>0</v>
      </c>
      <c r="BW389" s="66">
        <f>+IF($W389="","",ROUND((BT389*Parámetros!$G$85),2))</f>
        <v>0</v>
      </c>
      <c r="BX389" s="66">
        <f>+IF($W389="","",ROUND((BT389*(Parámetros!$G$86)),2))</f>
        <v>0</v>
      </c>
      <c r="BY389" s="66">
        <f t="shared" si="530"/>
        <v>0</v>
      </c>
      <c r="BZ389" t="str">
        <f t="shared" si="571"/>
        <v>00062</v>
      </c>
      <c r="CA389" t="str">
        <f t="shared" si="572"/>
        <v>Gastos médicos por accidente</v>
      </c>
      <c r="CB389" s="118">
        <f t="shared" si="573"/>
        <v>0</v>
      </c>
      <c r="CC389" s="118" t="str">
        <f t="shared" si="574"/>
        <v>A</v>
      </c>
      <c r="CD389" s="119" t="str">
        <f t="shared" si="531"/>
        <v/>
      </c>
      <c r="CE389" s="66">
        <f>+IF($W389="","",ROUND((VLOOKUP(ROUNDDOWN($D389-1/frec,0),cob_adi,BO$40,FALSE)*(1+i/frec)^-0.5*(1+Parámetros!$D$103)*(1+rec_fracc)/frec*'TABLAS ADI'!$BC$17),2))</f>
        <v>0</v>
      </c>
      <c r="CF389" s="119" t="str">
        <f t="shared" si="532"/>
        <v/>
      </c>
      <c r="CG389" s="66">
        <f>+IF($W389="","",ROUND(IF($B389&gt;Parámetros!$D$107,'Tablas Servicio'!CE389+('Tablas Servicio'!CG388-'Tablas Servicio'!CE388),CE389/(1-IF(B389&lt;=10,Parámetros!$D$100,0))),2))</f>
        <v>0</v>
      </c>
      <c r="CH389" s="66">
        <f t="shared" si="533"/>
        <v>0</v>
      </c>
      <c r="CI389" s="66">
        <f t="shared" si="533"/>
        <v>0</v>
      </c>
      <c r="CJ389" s="66">
        <f>+IF($W389="","",ROUND((CG389*Parámetros!$G$85),2))</f>
        <v>0</v>
      </c>
      <c r="CK389" s="66">
        <f>+IF($W389="","",ROUND((CG389*(Parámetros!$G$86)),2))</f>
        <v>0</v>
      </c>
      <c r="CL389" s="66">
        <f t="shared" si="534"/>
        <v>0</v>
      </c>
      <c r="CM389" t="str">
        <f t="shared" si="575"/>
        <v>00063</v>
      </c>
      <c r="CN389" s="118" t="str">
        <f t="shared" si="576"/>
        <v>Renta Diaria por Hospitalización</v>
      </c>
      <c r="CO389" s="118">
        <f t="shared" si="577"/>
        <v>0</v>
      </c>
      <c r="CP389" s="118" t="str">
        <f t="shared" si="578"/>
        <v>A</v>
      </c>
      <c r="CQ389" s="119" t="str">
        <f t="shared" si="535"/>
        <v/>
      </c>
      <c r="CR389" s="66">
        <f>+IF($W389="","",ROUND((VLOOKUP(Parámetros!$F$51,'COBERTURAS ADICIONALES'!$S$4:$T$32,2,FALSE)*(1+i/frec)^-0.5*(1+Parámetros!$D$103)*(1+rec_fracc)/frec*$CO$42),2))</f>
        <v>0</v>
      </c>
      <c r="CS389" s="119" t="str">
        <f t="shared" si="536"/>
        <v/>
      </c>
      <c r="CT389" s="66">
        <f>+IF($W389="","",ROUND(IF($B389&gt;Parámetros!$D$107,'Tablas Servicio'!CR389+('Tablas Servicio'!CT388-'Tablas Servicio'!CR388),CR389/(1-IF(B389&lt;=10,Parámetros!$D$100,0))),2))</f>
        <v>0</v>
      </c>
      <c r="CU389" s="66">
        <f t="shared" si="537"/>
        <v>0</v>
      </c>
      <c r="CV389" s="66">
        <f t="shared" si="537"/>
        <v>0</v>
      </c>
      <c r="CW389" s="66">
        <f>+IF($W389="","",ROUND((CT389*Parámetros!$G$85),2))</f>
        <v>0</v>
      </c>
      <c r="CX389" s="66">
        <f>+IF($W389="","",ROUND((CT389*(Parámetros!$G$86)),2))</f>
        <v>0</v>
      </c>
      <c r="CY389" s="66">
        <f t="shared" si="538"/>
        <v>0</v>
      </c>
      <c r="CZ389" t="str">
        <f t="shared" si="579"/>
        <v>00064</v>
      </c>
      <c r="DA389" s="118" t="str">
        <f t="shared" si="580"/>
        <v>Enfermedades Graves</v>
      </c>
      <c r="DB389" s="118">
        <f t="shared" si="581"/>
        <v>0</v>
      </c>
      <c r="DC389" s="118" t="str">
        <f t="shared" si="582"/>
        <v>A</v>
      </c>
      <c r="DD389" s="121" t="str">
        <f>+IF(OR($W389="",DB389=0),"",ROUND((VLOOKUP(ROUNDDOWN($D389-1/frec,0),cob_adi,CO$40,FALSE)*(1+i/frec)^-0.5*(1+Parámetros!$D$103)*(1+rec_fracc)/frec),6))</f>
        <v/>
      </c>
      <c r="DE389" s="66">
        <f t="shared" si="539"/>
        <v>0</v>
      </c>
      <c r="DF389" s="119" t="str">
        <f t="shared" si="540"/>
        <v/>
      </c>
      <c r="DG389" s="66">
        <f>+IF($W389="","",ROUND(IF($B389&gt;Parámetros!$D$107,'Tablas Servicio'!DE389+('Tablas Servicio'!DG388-'Tablas Servicio'!DE388),DE389/(1-IF(B389&lt;=10,Parámetros!$D$100,0))),2))</f>
        <v>0</v>
      </c>
      <c r="DH389" s="66">
        <f t="shared" si="541"/>
        <v>0</v>
      </c>
      <c r="DI389" s="66">
        <f t="shared" si="541"/>
        <v>0</v>
      </c>
      <c r="DJ389" s="66">
        <f>+IF($W389="","",ROUND((DG389*Parámetros!$G$85),2))</f>
        <v>0</v>
      </c>
      <c r="DK389" s="66">
        <f>+IF($W389="","",ROUND((DG389*(Parámetros!$G$86)),2))</f>
        <v>0</v>
      </c>
      <c r="DL389" s="66">
        <f t="shared" si="542"/>
        <v>0</v>
      </c>
      <c r="DM389" t="str">
        <f t="shared" si="583"/>
        <v>00065</v>
      </c>
      <c r="DN389" s="118" t="str">
        <f t="shared" si="584"/>
        <v>Exención pago de primas</v>
      </c>
      <c r="DO389" s="118">
        <f t="shared" si="585"/>
        <v>0</v>
      </c>
      <c r="DP389" s="118" t="str">
        <f t="shared" si="586"/>
        <v>A</v>
      </c>
      <c r="DQ389" s="122" t="str">
        <f>+IF(OR($W389="",DO389=0),"",ROUND((VLOOKUP(ROUNDDOWN($D389-1/frec,0),cob_adi,DB$40,FALSE)*(1+i/frec)^-0.5*(1+Parámetros!$D$103)*(1+rec_fracc)/frec),6))</f>
        <v/>
      </c>
      <c r="DR389" s="66">
        <f t="shared" si="543"/>
        <v>0</v>
      </c>
      <c r="DS389" s="68" t="str">
        <f t="shared" si="544"/>
        <v/>
      </c>
      <c r="DT389" s="66">
        <f>+IF($W389="","",ROUND(IF($B389&gt;Parámetros!$D$107,'Tablas Servicio'!DR389+('Tablas Servicio'!DT388-'Tablas Servicio'!DR388),DR389/(1-IF(B389&lt;=10,Parámetros!$D$100,0))),2))</f>
        <v>0</v>
      </c>
      <c r="DU389" s="66">
        <f t="shared" si="545"/>
        <v>0</v>
      </c>
      <c r="DV389" s="66">
        <f t="shared" si="545"/>
        <v>0</v>
      </c>
      <c r="DW389" s="66">
        <f>+IF($W389="","",ROUND((DT389*Parámetros!$G$85),2))</f>
        <v>0</v>
      </c>
      <c r="DX389" s="66">
        <f>+IF($W389="","",ROUND((DT389*(Parámetros!$G$86)),2))</f>
        <v>0</v>
      </c>
      <c r="DY389" s="66">
        <f t="shared" si="546"/>
        <v>0</v>
      </c>
      <c r="DZ389" t="str">
        <f t="shared" si="587"/>
        <v>00066</v>
      </c>
      <c r="EA389" s="118" t="str">
        <f t="shared" si="587"/>
        <v>Enfermedad terminal</v>
      </c>
      <c r="EB389" s="118">
        <f>+IF($W389="","",ROUND(IF(Parámetros!$D$25='TABLAS MORT'!$V$33,EB388,Z389/2),0))</f>
        <v>50000</v>
      </c>
      <c r="EC389" s="118" t="str">
        <f t="shared" si="587"/>
        <v>A</v>
      </c>
      <c r="ED389" s="122">
        <f>+IF(OR($W389="",EB389=0),"",ROUND((VLOOKUP(ROUNDDOWN($D389-1/frec,0),cob_adi,DO$40,FALSE)*(1+i/frec)^-0.5*(1+Parámetros!$D$103)*(1+rec_fracc)/frec),6))</f>
        <v>5.5000000000000002E-5</v>
      </c>
      <c r="EE389" s="66">
        <f t="shared" si="548"/>
        <v>2.75</v>
      </c>
      <c r="EF389" s="68">
        <f t="shared" si="549"/>
        <v>5.5000000000000002E-5</v>
      </c>
      <c r="EG389" s="66">
        <f>+IF($W389="","",ROUND(IF($B389&gt;Parámetros!$D$107,'Tablas Servicio'!EE389+('Tablas Servicio'!EG388-'Tablas Servicio'!EE388),EE389/(1-IF(B389&lt;=10,Parámetros!$D$100,0))),2))</f>
        <v>2.75</v>
      </c>
      <c r="EH389" s="66">
        <f t="shared" si="550"/>
        <v>0</v>
      </c>
      <c r="EI389" s="66">
        <f t="shared" si="550"/>
        <v>0</v>
      </c>
      <c r="EJ389" s="66">
        <f>+IF($W389="","",ROUND((EG389*Parámetros!$G$85),2))</f>
        <v>0.1</v>
      </c>
      <c r="EK389" s="66">
        <f>+IF($W389="","",ROUND((EG389*(Parámetros!$G$86)),2))</f>
        <v>0.01</v>
      </c>
      <c r="EL389" s="66">
        <f t="shared" si="551"/>
        <v>2.86</v>
      </c>
    </row>
    <row r="390" spans="1:142" x14ac:dyDescent="0.25">
      <c r="A390">
        <f>+IF($C390="","",ROUND(VLOOKUP('Tablas Servicio'!B390,Parámetros!$H$100:$J$159,IF(Parámetros!$E$16="F",2,3),FALSE),2))</f>
        <v>150</v>
      </c>
      <c r="B390">
        <f t="shared" si="502"/>
        <v>30</v>
      </c>
      <c r="C390" s="57">
        <f>+IF(D390="","",'Tablas Servicio'!C389+1)</f>
        <v>349</v>
      </c>
      <c r="D390" s="56">
        <f>+IF(D389&lt;edadmaxtabla,D389+1/Parámetros!$E$25,"")</f>
        <v>69.103333333333723</v>
      </c>
      <c r="E390" s="57">
        <f t="shared" si="512"/>
        <v>69</v>
      </c>
      <c r="F390" s="59">
        <f t="shared" si="513"/>
        <v>100000</v>
      </c>
      <c r="G390" s="66">
        <f t="shared" si="503"/>
        <v>118.25</v>
      </c>
      <c r="H390" s="66">
        <f t="shared" si="504"/>
        <v>122.98</v>
      </c>
      <c r="I390" s="66">
        <f t="shared" si="552"/>
        <v>-28.980000000000004</v>
      </c>
      <c r="J390" s="66">
        <f t="shared" si="505"/>
        <v>4.1399999999999997</v>
      </c>
      <c r="K390" s="66">
        <f t="shared" si="506"/>
        <v>0.59</v>
      </c>
      <c r="L390" s="66">
        <f t="shared" si="507"/>
        <v>0</v>
      </c>
      <c r="M390" s="66">
        <f t="shared" si="508"/>
        <v>0</v>
      </c>
      <c r="N390" s="66">
        <f>+IF(C390="","",ROUND(Parámetros!$D$23,2))</f>
        <v>94</v>
      </c>
      <c r="O390" s="66">
        <f t="shared" si="509"/>
        <v>105.75</v>
      </c>
      <c r="P390" s="66">
        <f>+IF($C390="","",ROUND(IF(B390&gt;Parámetros!$D$117,0,N390*Parámetros!$D$116-G390*Parámetros!$D$100),2))</f>
        <v>0</v>
      </c>
      <c r="Q390" s="75">
        <f t="shared" si="553"/>
        <v>3.5010570824524308E-2</v>
      </c>
      <c r="R390" s="75">
        <f t="shared" si="554"/>
        <v>4.989429175475687E-3</v>
      </c>
      <c r="S390" s="117">
        <f>+IF($C390="","",ROUND((S389+I390)*(1+Parámetros!$D$91),2))</f>
        <v>25540.9</v>
      </c>
      <c r="T390" s="117">
        <f>+IF($C390="","",ROUND(S390*VLOOKUP(B390,Parámetros!$C$30:$D$39,2,TRUE),2))</f>
        <v>25540.9</v>
      </c>
      <c r="U390" s="117">
        <f>+IF($C390="","",ROUND((U389+I390)*(1+Parámetros!$D$92),2))</f>
        <v>28191.91</v>
      </c>
      <c r="V390" s="117">
        <f>+IF($C390="","",ROUND(U390*VLOOKUP(B390,Parámetros!$C$30:$D$39,2,TRUE),2))</f>
        <v>28191.91</v>
      </c>
      <c r="W390" s="57">
        <f t="shared" si="555"/>
        <v>349</v>
      </c>
      <c r="X390" t="str">
        <f t="shared" si="556"/>
        <v>00058</v>
      </c>
      <c r="Y390" t="str">
        <f t="shared" si="557"/>
        <v>MUERTE POR CUALQUIER CAUSA</v>
      </c>
      <c r="Z390" s="118">
        <f>+IF($W390="","",ROUND(IF(Parámetros!$D$25='TABLAS MORT'!$V$33,Z389,Parámetros!$D$21-'Tablas Servicio'!T389),0))</f>
        <v>100000</v>
      </c>
      <c r="AA390" s="118" t="str">
        <f t="shared" si="558"/>
        <v>P</v>
      </c>
      <c r="AB390" s="119">
        <f>+IF(W390="","",ROUND((VLOOKUP(ROUNDDOWN($D390-1/frec,0),qx_tabla,2,FALSE)*(1+i/frec)^-0.5*(1+Parámetros!$D$103)*(1+rec_fracc)/frec),6))</f>
        <v>1.0300000000000001E-3</v>
      </c>
      <c r="AC390" s="66">
        <f t="shared" si="514"/>
        <v>103</v>
      </c>
      <c r="AD390" s="119">
        <f t="shared" si="510"/>
        <v>1.155E-3</v>
      </c>
      <c r="AE390" s="66">
        <f>+IF($W390="","",ROUND(IF($B390&gt;Parámetros!$D$107,'Tablas Servicio'!AC390+('Tablas Servicio'!AG389-'Tablas Servicio'!AC389),AC390/(1-IF(B390&lt;=10,Parámetros!$D$104,Parámetros!$D$105))),2))</f>
        <v>171.67</v>
      </c>
      <c r="AF390" s="66">
        <f>+IF($W390="","",ROUND(IF($B390&gt;Parámetros!$D$107,'Tablas Servicio'!AC390+('Tablas Servicio'!AG389-'Tablas Servicio'!AC389),(AC390+$A389/frec)/(1-IF(B390&lt;=Parámetros!$D$117,Parámetros!$D$100,0))),2))</f>
        <v>115.5</v>
      </c>
      <c r="AG390" s="66">
        <f t="shared" si="515"/>
        <v>115.5</v>
      </c>
      <c r="AH390" s="66">
        <f t="shared" si="516"/>
        <v>0</v>
      </c>
      <c r="AI390" s="66">
        <f t="shared" si="517"/>
        <v>0</v>
      </c>
      <c r="AJ390" s="66">
        <f>+IF($W390="","",ROUND((AG390*Parámetros!$G$85),2))</f>
        <v>4.04</v>
      </c>
      <c r="AK390" s="66">
        <f>+IF($W390="","",ROUND((AG390*(Parámetros!$G$86)),2))</f>
        <v>0.57999999999999996</v>
      </c>
      <c r="AL390" s="66">
        <f t="shared" si="511"/>
        <v>120.12</v>
      </c>
      <c r="AM390" t="str">
        <f t="shared" si="559"/>
        <v>00059</v>
      </c>
      <c r="AN390" t="str">
        <f t="shared" si="560"/>
        <v>Incapacidad Total y Permanente</v>
      </c>
      <c r="AO390" s="118">
        <f t="shared" si="561"/>
        <v>0</v>
      </c>
      <c r="AP390" s="118" t="str">
        <f t="shared" si="562"/>
        <v>A</v>
      </c>
      <c r="AQ390" s="119" t="str">
        <f>+IF(OR($W390="",AO390=0),"",ROUND((VLOOKUP(ROUNDDOWN($D390-1/frec,0),cob_adi,Z$40,FALSE)*(1+i/frec)^-0.5*(1+Parámetros!$D$103)*(1+rec_fracc)/frec),6))</f>
        <v/>
      </c>
      <c r="AR390" s="66">
        <f t="shared" si="518"/>
        <v>0</v>
      </c>
      <c r="AS390" s="119" t="str">
        <f t="shared" si="519"/>
        <v/>
      </c>
      <c r="AT390" s="66">
        <f>+IF($W390="","",ROUND(IF($B390&gt;Parámetros!$D$107,'Tablas Servicio'!AR390+('Tablas Servicio'!AT389-'Tablas Servicio'!AR389),AR390/(1-IF(B390&lt;=10,Parámetros!$D$100,0))),2))</f>
        <v>0</v>
      </c>
      <c r="AU390" s="66">
        <f t="shared" si="520"/>
        <v>0</v>
      </c>
      <c r="AV390" s="66">
        <f t="shared" si="520"/>
        <v>0</v>
      </c>
      <c r="AW390" s="66">
        <f>+IF($W390="","",ROUND((AT390*Parámetros!$G$85),2))</f>
        <v>0</v>
      </c>
      <c r="AX390" s="66">
        <f>+IF($W390="","",ROUND((AT390*(Parámetros!$G$86)),2))</f>
        <v>0</v>
      </c>
      <c r="AY390" s="66">
        <f t="shared" si="521"/>
        <v>0</v>
      </c>
      <c r="AZ390" t="str">
        <f t="shared" si="563"/>
        <v>00060</v>
      </c>
      <c r="BA390" t="str">
        <f t="shared" si="564"/>
        <v>Muerte Accidental</v>
      </c>
      <c r="BB390" s="118">
        <f t="shared" si="565"/>
        <v>0</v>
      </c>
      <c r="BC390" s="118" t="str">
        <f t="shared" si="566"/>
        <v>A</v>
      </c>
      <c r="BD390" s="119" t="str">
        <f>+IF(OR($W390="",BB390=0),"",ROUND((VLOOKUP(ROUNDDOWN($D390-1/frec,0),cob_adi,AO$40,FALSE)*(1+i/frec)^-0.5*(1+Parámetros!$D$103)*(1+rec_fracc)/frec),6))</f>
        <v/>
      </c>
      <c r="BE390" s="66">
        <f t="shared" si="522"/>
        <v>0</v>
      </c>
      <c r="BF390" s="119" t="str">
        <f t="shared" si="523"/>
        <v/>
      </c>
      <c r="BG390" s="66">
        <f>+IF($W390="","",ROUND(IF($B390&gt;Parámetros!$D$107,'Tablas Servicio'!BE390+('Tablas Servicio'!BG389-'Tablas Servicio'!BE389),BE390/(1-IF(B390&lt;=10,Parámetros!$D$100,0))),2))</f>
        <v>0</v>
      </c>
      <c r="BH390" s="66">
        <f t="shared" si="524"/>
        <v>0</v>
      </c>
      <c r="BI390" s="66">
        <f t="shared" si="525"/>
        <v>0</v>
      </c>
      <c r="BJ390" s="66">
        <f>+IF($W390="","",ROUND((BG390*Parámetros!$G$85),2))</f>
        <v>0</v>
      </c>
      <c r="BK390" s="66">
        <f>+IF($W390="","",ROUND((BG390*(Parámetros!$G$86)),2))</f>
        <v>0</v>
      </c>
      <c r="BL390" s="66">
        <f t="shared" si="526"/>
        <v>0</v>
      </c>
      <c r="BM390" t="str">
        <f t="shared" si="567"/>
        <v>00061</v>
      </c>
      <c r="BN390" t="str">
        <f t="shared" si="568"/>
        <v>Gastos de Entierro</v>
      </c>
      <c r="BO390" s="118">
        <f t="shared" si="569"/>
        <v>0</v>
      </c>
      <c r="BP390" s="118" t="str">
        <f t="shared" si="570"/>
        <v>A</v>
      </c>
      <c r="BQ390" s="119" t="str">
        <f>+IF(OR($W390="",BO390=0),"",ROUND((VLOOKUP(ROUNDDOWN($D390-1/frec,0),cob_adi,BB$40,FALSE)*(1+i/frec)^-0.5*(1+Parámetros!$D$103)*(1+rec_fracc)/frec),6))</f>
        <v/>
      </c>
      <c r="BR390" s="66">
        <f t="shared" si="527"/>
        <v>0</v>
      </c>
      <c r="BS390" s="119" t="str">
        <f t="shared" si="528"/>
        <v/>
      </c>
      <c r="BT390" s="66">
        <f>+IF($W390="","",ROUND(IF($B390&gt;Parámetros!$D$107,'Tablas Servicio'!BR390+('Tablas Servicio'!BT389-'Tablas Servicio'!BR389),BR390/(1-IF(B390&lt;=10,Parámetros!$D$100,0))),2))</f>
        <v>0</v>
      </c>
      <c r="BU390" s="66">
        <f t="shared" si="529"/>
        <v>0</v>
      </c>
      <c r="BV390" s="66">
        <f t="shared" si="529"/>
        <v>0</v>
      </c>
      <c r="BW390" s="66">
        <f>+IF($W390="","",ROUND((BT390*Parámetros!$G$85),2))</f>
        <v>0</v>
      </c>
      <c r="BX390" s="66">
        <f>+IF($W390="","",ROUND((BT390*(Parámetros!$G$86)),2))</f>
        <v>0</v>
      </c>
      <c r="BY390" s="66">
        <f t="shared" si="530"/>
        <v>0</v>
      </c>
      <c r="BZ390" t="str">
        <f t="shared" si="571"/>
        <v>00062</v>
      </c>
      <c r="CA390" t="str">
        <f t="shared" si="572"/>
        <v>Gastos médicos por accidente</v>
      </c>
      <c r="CB390" s="118">
        <f t="shared" si="573"/>
        <v>0</v>
      </c>
      <c r="CC390" s="118" t="str">
        <f t="shared" si="574"/>
        <v>A</v>
      </c>
      <c r="CD390" s="119" t="str">
        <f t="shared" si="531"/>
        <v/>
      </c>
      <c r="CE390" s="66">
        <f>+IF($W390="","",ROUND((VLOOKUP(ROUNDDOWN($D390-1/frec,0),cob_adi,BO$40,FALSE)*(1+i/frec)^-0.5*(1+Parámetros!$D$103)*(1+rec_fracc)/frec*'TABLAS ADI'!$BC$17),2))</f>
        <v>0</v>
      </c>
      <c r="CF390" s="119" t="str">
        <f t="shared" si="532"/>
        <v/>
      </c>
      <c r="CG390" s="66">
        <f>+IF($W390="","",ROUND(IF($B390&gt;Parámetros!$D$107,'Tablas Servicio'!CE390+('Tablas Servicio'!CG389-'Tablas Servicio'!CE389),CE390/(1-IF(B390&lt;=10,Parámetros!$D$100,0))),2))</f>
        <v>0</v>
      </c>
      <c r="CH390" s="66">
        <f t="shared" si="533"/>
        <v>0</v>
      </c>
      <c r="CI390" s="66">
        <f t="shared" si="533"/>
        <v>0</v>
      </c>
      <c r="CJ390" s="66">
        <f>+IF($W390="","",ROUND((CG390*Parámetros!$G$85),2))</f>
        <v>0</v>
      </c>
      <c r="CK390" s="66">
        <f>+IF($W390="","",ROUND((CG390*(Parámetros!$G$86)),2))</f>
        <v>0</v>
      </c>
      <c r="CL390" s="66">
        <f t="shared" si="534"/>
        <v>0</v>
      </c>
      <c r="CM390" t="str">
        <f t="shared" si="575"/>
        <v>00063</v>
      </c>
      <c r="CN390" s="118" t="str">
        <f t="shared" si="576"/>
        <v>Renta Diaria por Hospitalización</v>
      </c>
      <c r="CO390" s="118">
        <f t="shared" si="577"/>
        <v>0</v>
      </c>
      <c r="CP390" s="118" t="str">
        <f t="shared" si="578"/>
        <v>A</v>
      </c>
      <c r="CQ390" s="119" t="str">
        <f t="shared" si="535"/>
        <v/>
      </c>
      <c r="CR390" s="66">
        <f>+IF($W390="","",ROUND((VLOOKUP(Parámetros!$F$51,'COBERTURAS ADICIONALES'!$S$4:$T$32,2,FALSE)*(1+i/frec)^-0.5*(1+Parámetros!$D$103)*(1+rec_fracc)/frec*$CO$42),2))</f>
        <v>0</v>
      </c>
      <c r="CS390" s="119" t="str">
        <f t="shared" si="536"/>
        <v/>
      </c>
      <c r="CT390" s="66">
        <f>+IF($W390="","",ROUND(IF($B390&gt;Parámetros!$D$107,'Tablas Servicio'!CR390+('Tablas Servicio'!CT389-'Tablas Servicio'!CR389),CR390/(1-IF(B390&lt;=10,Parámetros!$D$100,0))),2))</f>
        <v>0</v>
      </c>
      <c r="CU390" s="66">
        <f t="shared" si="537"/>
        <v>0</v>
      </c>
      <c r="CV390" s="66">
        <f t="shared" si="537"/>
        <v>0</v>
      </c>
      <c r="CW390" s="66">
        <f>+IF($W390="","",ROUND((CT390*Parámetros!$G$85),2))</f>
        <v>0</v>
      </c>
      <c r="CX390" s="66">
        <f>+IF($W390="","",ROUND((CT390*(Parámetros!$G$86)),2))</f>
        <v>0</v>
      </c>
      <c r="CY390" s="66">
        <f t="shared" si="538"/>
        <v>0</v>
      </c>
      <c r="CZ390" t="str">
        <f t="shared" si="579"/>
        <v>00064</v>
      </c>
      <c r="DA390" s="118" t="str">
        <f t="shared" si="580"/>
        <v>Enfermedades Graves</v>
      </c>
      <c r="DB390" s="118">
        <f t="shared" si="581"/>
        <v>0</v>
      </c>
      <c r="DC390" s="118" t="str">
        <f t="shared" si="582"/>
        <v>A</v>
      </c>
      <c r="DD390" s="121" t="str">
        <f>+IF(OR($W390="",DB390=0),"",ROUND((VLOOKUP(ROUNDDOWN($D390-1/frec,0),cob_adi,CO$40,FALSE)*(1+i/frec)^-0.5*(1+Parámetros!$D$103)*(1+rec_fracc)/frec),6))</f>
        <v/>
      </c>
      <c r="DE390" s="66">
        <f t="shared" si="539"/>
        <v>0</v>
      </c>
      <c r="DF390" s="119" t="str">
        <f t="shared" si="540"/>
        <v/>
      </c>
      <c r="DG390" s="66">
        <f>+IF($W390="","",ROUND(IF($B390&gt;Parámetros!$D$107,'Tablas Servicio'!DE390+('Tablas Servicio'!DG389-'Tablas Servicio'!DE389),DE390/(1-IF(B390&lt;=10,Parámetros!$D$100,0))),2))</f>
        <v>0</v>
      </c>
      <c r="DH390" s="66">
        <f t="shared" si="541"/>
        <v>0</v>
      </c>
      <c r="DI390" s="66">
        <f t="shared" si="541"/>
        <v>0</v>
      </c>
      <c r="DJ390" s="66">
        <f>+IF($W390="","",ROUND((DG390*Parámetros!$G$85),2))</f>
        <v>0</v>
      </c>
      <c r="DK390" s="66">
        <f>+IF($W390="","",ROUND((DG390*(Parámetros!$G$86)),2))</f>
        <v>0</v>
      </c>
      <c r="DL390" s="66">
        <f t="shared" si="542"/>
        <v>0</v>
      </c>
      <c r="DM390" t="str">
        <f t="shared" si="583"/>
        <v>00065</v>
      </c>
      <c r="DN390" s="118" t="str">
        <f t="shared" si="584"/>
        <v>Exención pago de primas</v>
      </c>
      <c r="DO390" s="118">
        <f t="shared" si="585"/>
        <v>0</v>
      </c>
      <c r="DP390" s="118" t="str">
        <f t="shared" si="586"/>
        <v>A</v>
      </c>
      <c r="DQ390" s="122" t="str">
        <f>+IF(OR($W390="",DO390=0),"",ROUND((VLOOKUP(ROUNDDOWN($D390-1/frec,0),cob_adi,DB$40,FALSE)*(1+i/frec)^-0.5*(1+Parámetros!$D$103)*(1+rec_fracc)/frec),6))</f>
        <v/>
      </c>
      <c r="DR390" s="66">
        <f t="shared" si="543"/>
        <v>0</v>
      </c>
      <c r="DS390" s="68" t="str">
        <f t="shared" si="544"/>
        <v/>
      </c>
      <c r="DT390" s="66">
        <f>+IF($W390="","",ROUND(IF($B390&gt;Parámetros!$D$107,'Tablas Servicio'!DR390+('Tablas Servicio'!DT389-'Tablas Servicio'!DR389),DR390/(1-IF(B390&lt;=10,Parámetros!$D$100,0))),2))</f>
        <v>0</v>
      </c>
      <c r="DU390" s="66">
        <f t="shared" si="545"/>
        <v>0</v>
      </c>
      <c r="DV390" s="66">
        <f t="shared" si="545"/>
        <v>0</v>
      </c>
      <c r="DW390" s="66">
        <f>+IF($W390="","",ROUND((DT390*Parámetros!$G$85),2))</f>
        <v>0</v>
      </c>
      <c r="DX390" s="66">
        <f>+IF($W390="","",ROUND((DT390*(Parámetros!$G$86)),2))</f>
        <v>0</v>
      </c>
      <c r="DY390" s="66">
        <f t="shared" si="546"/>
        <v>0</v>
      </c>
      <c r="DZ390" t="str">
        <f t="shared" si="587"/>
        <v>00066</v>
      </c>
      <c r="EA390" s="118" t="str">
        <f t="shared" si="587"/>
        <v>Enfermedad terminal</v>
      </c>
      <c r="EB390" s="118">
        <f>+IF($W390="","",ROUND(IF(Parámetros!$D$25='TABLAS MORT'!$V$33,EB389,Z390/2),0))</f>
        <v>50000</v>
      </c>
      <c r="EC390" s="118" t="str">
        <f t="shared" si="587"/>
        <v>A</v>
      </c>
      <c r="ED390" s="122">
        <f>+IF(OR($W390="",EB390=0),"",ROUND((VLOOKUP(ROUNDDOWN($D390-1/frec,0),cob_adi,DO$40,FALSE)*(1+i/frec)^-0.5*(1+Parámetros!$D$103)*(1+rec_fracc)/frec),6))</f>
        <v>5.5000000000000002E-5</v>
      </c>
      <c r="EE390" s="66">
        <f t="shared" si="548"/>
        <v>2.75</v>
      </c>
      <c r="EF390" s="68">
        <f t="shared" si="549"/>
        <v>5.5000000000000002E-5</v>
      </c>
      <c r="EG390" s="66">
        <f>+IF($W390="","",ROUND(IF($B390&gt;Parámetros!$D$107,'Tablas Servicio'!EE390+('Tablas Servicio'!EG389-'Tablas Servicio'!EE389),EE390/(1-IF(B390&lt;=10,Parámetros!$D$100,0))),2))</f>
        <v>2.75</v>
      </c>
      <c r="EH390" s="66">
        <f t="shared" si="550"/>
        <v>0</v>
      </c>
      <c r="EI390" s="66">
        <f t="shared" si="550"/>
        <v>0</v>
      </c>
      <c r="EJ390" s="66">
        <f>+IF($W390="","",ROUND((EG390*Parámetros!$G$85),2))</f>
        <v>0.1</v>
      </c>
      <c r="EK390" s="66">
        <f>+IF($W390="","",ROUND((EG390*(Parámetros!$G$86)),2))</f>
        <v>0.01</v>
      </c>
      <c r="EL390" s="66">
        <f t="shared" si="551"/>
        <v>2.86</v>
      </c>
    </row>
    <row r="391" spans="1:142" x14ac:dyDescent="0.25">
      <c r="A391">
        <f>+IF($C391="","",ROUND(VLOOKUP('Tablas Servicio'!B391,Parámetros!$H$100:$J$159,IF(Parámetros!$E$16="F",2,3),FALSE),2))</f>
        <v>150</v>
      </c>
      <c r="B391">
        <f t="shared" si="502"/>
        <v>30</v>
      </c>
      <c r="C391" s="57">
        <f>+IF(D391="","",'Tablas Servicio'!C390+1)</f>
        <v>350</v>
      </c>
      <c r="D391" s="56">
        <f>+IF(D390&lt;edadmaxtabla,D390+1/Parámetros!$E$25,"")</f>
        <v>69.186666666667051</v>
      </c>
      <c r="E391" s="57">
        <f t="shared" si="512"/>
        <v>69</v>
      </c>
      <c r="F391" s="59">
        <f t="shared" si="513"/>
        <v>100000</v>
      </c>
      <c r="G391" s="66">
        <f t="shared" si="503"/>
        <v>118.25</v>
      </c>
      <c r="H391" s="66">
        <f t="shared" si="504"/>
        <v>122.98</v>
      </c>
      <c r="I391" s="66">
        <f t="shared" si="552"/>
        <v>-28.980000000000004</v>
      </c>
      <c r="J391" s="66">
        <f t="shared" si="505"/>
        <v>4.1399999999999997</v>
      </c>
      <c r="K391" s="66">
        <f t="shared" si="506"/>
        <v>0.59</v>
      </c>
      <c r="L391" s="66">
        <f t="shared" si="507"/>
        <v>0</v>
      </c>
      <c r="M391" s="66">
        <f t="shared" si="508"/>
        <v>0</v>
      </c>
      <c r="N391" s="66">
        <f>+IF(C391="","",ROUND(Parámetros!$D$23,2))</f>
        <v>94</v>
      </c>
      <c r="O391" s="66">
        <f t="shared" si="509"/>
        <v>105.75</v>
      </c>
      <c r="P391" s="66">
        <f>+IF($C391="","",ROUND(IF(B391&gt;Parámetros!$D$117,0,N391*Parámetros!$D$116-G391*Parámetros!$D$100),2))</f>
        <v>0</v>
      </c>
      <c r="Q391" s="75">
        <f t="shared" si="553"/>
        <v>3.5010570824524308E-2</v>
      </c>
      <c r="R391" s="75">
        <f t="shared" si="554"/>
        <v>4.989429175475687E-3</v>
      </c>
      <c r="S391" s="117">
        <f>+IF($C391="","",ROUND((S390+I391)*(1+Parámetros!$D$91),2))</f>
        <v>25584.28</v>
      </c>
      <c r="T391" s="117">
        <f>+IF($C391="","",ROUND(S391*VLOOKUP(B391,Parámetros!$C$30:$D$39,2,TRUE),2))</f>
        <v>25584.28</v>
      </c>
      <c r="U391" s="117">
        <f>+IF($C391="","",ROUND((U390+I391)*(1+Parámetros!$D$92),2))</f>
        <v>28254.22</v>
      </c>
      <c r="V391" s="117">
        <f>+IF($C391="","",ROUND(U391*VLOOKUP(B391,Parámetros!$C$30:$D$39,2,TRUE),2))</f>
        <v>28254.22</v>
      </c>
      <c r="W391" s="57">
        <f t="shared" si="555"/>
        <v>350</v>
      </c>
      <c r="X391" t="str">
        <f t="shared" si="556"/>
        <v>00058</v>
      </c>
      <c r="Y391" t="str">
        <f t="shared" si="557"/>
        <v>MUERTE POR CUALQUIER CAUSA</v>
      </c>
      <c r="Z391" s="118">
        <f>+IF($W391="","",ROUND(IF(Parámetros!$D$25='TABLAS MORT'!$V$33,Z390,Parámetros!$D$21-'Tablas Servicio'!T390),0))</f>
        <v>100000</v>
      </c>
      <c r="AA391" s="118" t="str">
        <f t="shared" si="558"/>
        <v>P</v>
      </c>
      <c r="AB391" s="119">
        <f>+IF(W391="","",ROUND((VLOOKUP(ROUNDDOWN($D391-1/frec,0),qx_tabla,2,FALSE)*(1+i/frec)^-0.5*(1+Parámetros!$D$103)*(1+rec_fracc)/frec),6))</f>
        <v>1.0300000000000001E-3</v>
      </c>
      <c r="AC391" s="66">
        <f t="shared" si="514"/>
        <v>103</v>
      </c>
      <c r="AD391" s="119">
        <f t="shared" si="510"/>
        <v>1.155E-3</v>
      </c>
      <c r="AE391" s="66">
        <f>+IF($W391="","",ROUND(IF($B391&gt;Parámetros!$D$107,'Tablas Servicio'!AC391+('Tablas Servicio'!AG390-'Tablas Servicio'!AC390),AC391/(1-IF(B391&lt;=10,Parámetros!$D$104,Parámetros!$D$105))),2))</f>
        <v>171.67</v>
      </c>
      <c r="AF391" s="66">
        <f>+IF($W391="","",ROUND(IF($B391&gt;Parámetros!$D$107,'Tablas Servicio'!AC391+('Tablas Servicio'!AG390-'Tablas Servicio'!AC390),(AC391+$A390/frec)/(1-IF(B391&lt;=Parámetros!$D$117,Parámetros!$D$100,0))),2))</f>
        <v>115.5</v>
      </c>
      <c r="AG391" s="66">
        <f t="shared" si="515"/>
        <v>115.5</v>
      </c>
      <c r="AH391" s="66">
        <f t="shared" si="516"/>
        <v>0</v>
      </c>
      <c r="AI391" s="66">
        <f t="shared" si="517"/>
        <v>0</v>
      </c>
      <c r="AJ391" s="66">
        <f>+IF($W391="","",ROUND((AG391*Parámetros!$G$85),2))</f>
        <v>4.04</v>
      </c>
      <c r="AK391" s="66">
        <f>+IF($W391="","",ROUND((AG391*(Parámetros!$G$86)),2))</f>
        <v>0.57999999999999996</v>
      </c>
      <c r="AL391" s="66">
        <f t="shared" si="511"/>
        <v>120.12</v>
      </c>
      <c r="AM391" t="str">
        <f t="shared" si="559"/>
        <v>00059</v>
      </c>
      <c r="AN391" t="str">
        <f t="shared" si="560"/>
        <v>Incapacidad Total y Permanente</v>
      </c>
      <c r="AO391" s="118">
        <f t="shared" si="561"/>
        <v>0</v>
      </c>
      <c r="AP391" s="118" t="str">
        <f t="shared" si="562"/>
        <v>A</v>
      </c>
      <c r="AQ391" s="119" t="str">
        <f>+IF(OR($W391="",AO391=0),"",ROUND((VLOOKUP(ROUNDDOWN($D391-1/frec,0),cob_adi,Z$40,FALSE)*(1+i/frec)^-0.5*(1+Parámetros!$D$103)*(1+rec_fracc)/frec),6))</f>
        <v/>
      </c>
      <c r="AR391" s="66">
        <f t="shared" si="518"/>
        <v>0</v>
      </c>
      <c r="AS391" s="119" t="str">
        <f t="shared" si="519"/>
        <v/>
      </c>
      <c r="AT391" s="66">
        <f>+IF($W391="","",ROUND(IF($B391&gt;Parámetros!$D$107,'Tablas Servicio'!AR391+('Tablas Servicio'!AT390-'Tablas Servicio'!AR390),AR391/(1-IF(B391&lt;=10,Parámetros!$D$100,0))),2))</f>
        <v>0</v>
      </c>
      <c r="AU391" s="66">
        <f t="shared" si="520"/>
        <v>0</v>
      </c>
      <c r="AV391" s="66">
        <f t="shared" si="520"/>
        <v>0</v>
      </c>
      <c r="AW391" s="66">
        <f>+IF($W391="","",ROUND((AT391*Parámetros!$G$85),2))</f>
        <v>0</v>
      </c>
      <c r="AX391" s="66">
        <f>+IF($W391="","",ROUND((AT391*(Parámetros!$G$86)),2))</f>
        <v>0</v>
      </c>
      <c r="AY391" s="66">
        <f t="shared" si="521"/>
        <v>0</v>
      </c>
      <c r="AZ391" t="str">
        <f t="shared" si="563"/>
        <v>00060</v>
      </c>
      <c r="BA391" t="str">
        <f t="shared" si="564"/>
        <v>Muerte Accidental</v>
      </c>
      <c r="BB391" s="118">
        <f t="shared" si="565"/>
        <v>0</v>
      </c>
      <c r="BC391" s="118" t="str">
        <f t="shared" si="566"/>
        <v>A</v>
      </c>
      <c r="BD391" s="119" t="str">
        <f>+IF(OR($W391="",BB391=0),"",ROUND((VLOOKUP(ROUNDDOWN($D391-1/frec,0),cob_adi,AO$40,FALSE)*(1+i/frec)^-0.5*(1+Parámetros!$D$103)*(1+rec_fracc)/frec),6))</f>
        <v/>
      </c>
      <c r="BE391" s="66">
        <f t="shared" si="522"/>
        <v>0</v>
      </c>
      <c r="BF391" s="119" t="str">
        <f t="shared" si="523"/>
        <v/>
      </c>
      <c r="BG391" s="66">
        <f>+IF($W391="","",ROUND(IF($B391&gt;Parámetros!$D$107,'Tablas Servicio'!BE391+('Tablas Servicio'!BG390-'Tablas Servicio'!BE390),BE391/(1-IF(B391&lt;=10,Parámetros!$D$100,0))),2))</f>
        <v>0</v>
      </c>
      <c r="BH391" s="66">
        <f t="shared" si="524"/>
        <v>0</v>
      </c>
      <c r="BI391" s="66">
        <f t="shared" si="525"/>
        <v>0</v>
      </c>
      <c r="BJ391" s="66">
        <f>+IF($W391="","",ROUND((BG391*Parámetros!$G$85),2))</f>
        <v>0</v>
      </c>
      <c r="BK391" s="66">
        <f>+IF($W391="","",ROUND((BG391*(Parámetros!$G$86)),2))</f>
        <v>0</v>
      </c>
      <c r="BL391" s="66">
        <f t="shared" si="526"/>
        <v>0</v>
      </c>
      <c r="BM391" t="str">
        <f t="shared" si="567"/>
        <v>00061</v>
      </c>
      <c r="BN391" t="str">
        <f t="shared" si="568"/>
        <v>Gastos de Entierro</v>
      </c>
      <c r="BO391" s="118">
        <f t="shared" si="569"/>
        <v>0</v>
      </c>
      <c r="BP391" s="118" t="str">
        <f t="shared" si="570"/>
        <v>A</v>
      </c>
      <c r="BQ391" s="119" t="str">
        <f>+IF(OR($W391="",BO391=0),"",ROUND((VLOOKUP(ROUNDDOWN($D391-1/frec,0),cob_adi,BB$40,FALSE)*(1+i/frec)^-0.5*(1+Parámetros!$D$103)*(1+rec_fracc)/frec),6))</f>
        <v/>
      </c>
      <c r="BR391" s="66">
        <f t="shared" si="527"/>
        <v>0</v>
      </c>
      <c r="BS391" s="119" t="str">
        <f t="shared" si="528"/>
        <v/>
      </c>
      <c r="BT391" s="66">
        <f>+IF($W391="","",ROUND(IF($B391&gt;Parámetros!$D$107,'Tablas Servicio'!BR391+('Tablas Servicio'!BT390-'Tablas Servicio'!BR390),BR391/(1-IF(B391&lt;=10,Parámetros!$D$100,0))),2))</f>
        <v>0</v>
      </c>
      <c r="BU391" s="66">
        <f t="shared" si="529"/>
        <v>0</v>
      </c>
      <c r="BV391" s="66">
        <f t="shared" si="529"/>
        <v>0</v>
      </c>
      <c r="BW391" s="66">
        <f>+IF($W391="","",ROUND((BT391*Parámetros!$G$85),2))</f>
        <v>0</v>
      </c>
      <c r="BX391" s="66">
        <f>+IF($W391="","",ROUND((BT391*(Parámetros!$G$86)),2))</f>
        <v>0</v>
      </c>
      <c r="BY391" s="66">
        <f t="shared" si="530"/>
        <v>0</v>
      </c>
      <c r="BZ391" t="str">
        <f t="shared" si="571"/>
        <v>00062</v>
      </c>
      <c r="CA391" t="str">
        <f t="shared" si="572"/>
        <v>Gastos médicos por accidente</v>
      </c>
      <c r="CB391" s="118">
        <f t="shared" si="573"/>
        <v>0</v>
      </c>
      <c r="CC391" s="118" t="str">
        <f t="shared" si="574"/>
        <v>A</v>
      </c>
      <c r="CD391" s="119" t="str">
        <f t="shared" si="531"/>
        <v/>
      </c>
      <c r="CE391" s="66">
        <f>+IF($W391="","",ROUND((VLOOKUP(ROUNDDOWN($D391-1/frec,0),cob_adi,BO$40,FALSE)*(1+i/frec)^-0.5*(1+Parámetros!$D$103)*(1+rec_fracc)/frec*'TABLAS ADI'!$BC$17),2))</f>
        <v>0</v>
      </c>
      <c r="CF391" s="119" t="str">
        <f t="shared" si="532"/>
        <v/>
      </c>
      <c r="CG391" s="66">
        <f>+IF($W391="","",ROUND(IF($B391&gt;Parámetros!$D$107,'Tablas Servicio'!CE391+('Tablas Servicio'!CG390-'Tablas Servicio'!CE390),CE391/(1-IF(B391&lt;=10,Parámetros!$D$100,0))),2))</f>
        <v>0</v>
      </c>
      <c r="CH391" s="66">
        <f t="shared" si="533"/>
        <v>0</v>
      </c>
      <c r="CI391" s="66">
        <f t="shared" si="533"/>
        <v>0</v>
      </c>
      <c r="CJ391" s="66">
        <f>+IF($W391="","",ROUND((CG391*Parámetros!$G$85),2))</f>
        <v>0</v>
      </c>
      <c r="CK391" s="66">
        <f>+IF($W391="","",ROUND((CG391*(Parámetros!$G$86)),2))</f>
        <v>0</v>
      </c>
      <c r="CL391" s="66">
        <f t="shared" si="534"/>
        <v>0</v>
      </c>
      <c r="CM391" t="str">
        <f t="shared" si="575"/>
        <v>00063</v>
      </c>
      <c r="CN391" s="118" t="str">
        <f t="shared" si="576"/>
        <v>Renta Diaria por Hospitalización</v>
      </c>
      <c r="CO391" s="118">
        <f t="shared" si="577"/>
        <v>0</v>
      </c>
      <c r="CP391" s="118" t="str">
        <f t="shared" si="578"/>
        <v>A</v>
      </c>
      <c r="CQ391" s="119" t="str">
        <f t="shared" si="535"/>
        <v/>
      </c>
      <c r="CR391" s="66">
        <f>+IF($W391="","",ROUND((VLOOKUP(Parámetros!$F$51,'COBERTURAS ADICIONALES'!$S$4:$T$32,2,FALSE)*(1+i/frec)^-0.5*(1+Parámetros!$D$103)*(1+rec_fracc)/frec*$CO$42),2))</f>
        <v>0</v>
      </c>
      <c r="CS391" s="119" t="str">
        <f t="shared" si="536"/>
        <v/>
      </c>
      <c r="CT391" s="66">
        <f>+IF($W391="","",ROUND(IF($B391&gt;Parámetros!$D$107,'Tablas Servicio'!CR391+('Tablas Servicio'!CT390-'Tablas Servicio'!CR390),CR391/(1-IF(B391&lt;=10,Parámetros!$D$100,0))),2))</f>
        <v>0</v>
      </c>
      <c r="CU391" s="66">
        <f t="shared" si="537"/>
        <v>0</v>
      </c>
      <c r="CV391" s="66">
        <f t="shared" si="537"/>
        <v>0</v>
      </c>
      <c r="CW391" s="66">
        <f>+IF($W391="","",ROUND((CT391*Parámetros!$G$85),2))</f>
        <v>0</v>
      </c>
      <c r="CX391" s="66">
        <f>+IF($W391="","",ROUND((CT391*(Parámetros!$G$86)),2))</f>
        <v>0</v>
      </c>
      <c r="CY391" s="66">
        <f t="shared" si="538"/>
        <v>0</v>
      </c>
      <c r="CZ391" t="str">
        <f t="shared" si="579"/>
        <v>00064</v>
      </c>
      <c r="DA391" s="118" t="str">
        <f t="shared" si="580"/>
        <v>Enfermedades Graves</v>
      </c>
      <c r="DB391" s="118">
        <f t="shared" si="581"/>
        <v>0</v>
      </c>
      <c r="DC391" s="118" t="str">
        <f t="shared" si="582"/>
        <v>A</v>
      </c>
      <c r="DD391" s="121" t="str">
        <f>+IF(OR($W391="",DB391=0),"",ROUND((VLOOKUP(ROUNDDOWN($D391-1/frec,0),cob_adi,CO$40,FALSE)*(1+i/frec)^-0.5*(1+Parámetros!$D$103)*(1+rec_fracc)/frec),6))</f>
        <v/>
      </c>
      <c r="DE391" s="66">
        <f t="shared" si="539"/>
        <v>0</v>
      </c>
      <c r="DF391" s="119" t="str">
        <f t="shared" si="540"/>
        <v/>
      </c>
      <c r="DG391" s="66">
        <f>+IF($W391="","",ROUND(IF($B391&gt;Parámetros!$D$107,'Tablas Servicio'!DE391+('Tablas Servicio'!DG390-'Tablas Servicio'!DE390),DE391/(1-IF(B391&lt;=10,Parámetros!$D$100,0))),2))</f>
        <v>0</v>
      </c>
      <c r="DH391" s="66">
        <f t="shared" si="541"/>
        <v>0</v>
      </c>
      <c r="DI391" s="66">
        <f t="shared" si="541"/>
        <v>0</v>
      </c>
      <c r="DJ391" s="66">
        <f>+IF($W391="","",ROUND((DG391*Parámetros!$G$85),2))</f>
        <v>0</v>
      </c>
      <c r="DK391" s="66">
        <f>+IF($W391="","",ROUND((DG391*(Parámetros!$G$86)),2))</f>
        <v>0</v>
      </c>
      <c r="DL391" s="66">
        <f t="shared" si="542"/>
        <v>0</v>
      </c>
      <c r="DM391" t="str">
        <f t="shared" si="583"/>
        <v>00065</v>
      </c>
      <c r="DN391" s="118" t="str">
        <f t="shared" si="584"/>
        <v>Exención pago de primas</v>
      </c>
      <c r="DO391" s="118">
        <f t="shared" si="585"/>
        <v>0</v>
      </c>
      <c r="DP391" s="118" t="str">
        <f t="shared" si="586"/>
        <v>A</v>
      </c>
      <c r="DQ391" s="122" t="str">
        <f>+IF(OR($W391="",DO391=0),"",ROUND((VLOOKUP(ROUNDDOWN($D391-1/frec,0),cob_adi,DB$40,FALSE)*(1+i/frec)^-0.5*(1+Parámetros!$D$103)*(1+rec_fracc)/frec),6))</f>
        <v/>
      </c>
      <c r="DR391" s="66">
        <f t="shared" si="543"/>
        <v>0</v>
      </c>
      <c r="DS391" s="68" t="str">
        <f t="shared" si="544"/>
        <v/>
      </c>
      <c r="DT391" s="66">
        <f>+IF($W391="","",ROUND(IF($B391&gt;Parámetros!$D$107,'Tablas Servicio'!DR391+('Tablas Servicio'!DT390-'Tablas Servicio'!DR390),DR391/(1-IF(B391&lt;=10,Parámetros!$D$100,0))),2))</f>
        <v>0</v>
      </c>
      <c r="DU391" s="66">
        <f t="shared" si="545"/>
        <v>0</v>
      </c>
      <c r="DV391" s="66">
        <f t="shared" si="545"/>
        <v>0</v>
      </c>
      <c r="DW391" s="66">
        <f>+IF($W391="","",ROUND((DT391*Parámetros!$G$85),2))</f>
        <v>0</v>
      </c>
      <c r="DX391" s="66">
        <f>+IF($W391="","",ROUND((DT391*(Parámetros!$G$86)),2))</f>
        <v>0</v>
      </c>
      <c r="DY391" s="66">
        <f t="shared" si="546"/>
        <v>0</v>
      </c>
      <c r="DZ391" t="str">
        <f t="shared" si="587"/>
        <v>00066</v>
      </c>
      <c r="EA391" s="118" t="str">
        <f t="shared" si="587"/>
        <v>Enfermedad terminal</v>
      </c>
      <c r="EB391" s="118">
        <f>+IF($W391="","",ROUND(IF(Parámetros!$D$25='TABLAS MORT'!$V$33,EB390,Z391/2),0))</f>
        <v>50000</v>
      </c>
      <c r="EC391" s="118" t="str">
        <f t="shared" si="587"/>
        <v>A</v>
      </c>
      <c r="ED391" s="122">
        <f>+IF(OR($W391="",EB391=0),"",ROUND((VLOOKUP(ROUNDDOWN($D391-1/frec,0),cob_adi,DO$40,FALSE)*(1+i/frec)^-0.5*(1+Parámetros!$D$103)*(1+rec_fracc)/frec),6))</f>
        <v>5.5000000000000002E-5</v>
      </c>
      <c r="EE391" s="66">
        <f t="shared" si="548"/>
        <v>2.75</v>
      </c>
      <c r="EF391" s="68">
        <f t="shared" si="549"/>
        <v>5.5000000000000002E-5</v>
      </c>
      <c r="EG391" s="66">
        <f>+IF($W391="","",ROUND(IF($B391&gt;Parámetros!$D$107,'Tablas Servicio'!EE391+('Tablas Servicio'!EG390-'Tablas Servicio'!EE390),EE391/(1-IF(B391&lt;=10,Parámetros!$D$100,0))),2))</f>
        <v>2.75</v>
      </c>
      <c r="EH391" s="66">
        <f t="shared" si="550"/>
        <v>0</v>
      </c>
      <c r="EI391" s="66">
        <f t="shared" si="550"/>
        <v>0</v>
      </c>
      <c r="EJ391" s="66">
        <f>+IF($W391="","",ROUND((EG391*Parámetros!$G$85),2))</f>
        <v>0.1</v>
      </c>
      <c r="EK391" s="66">
        <f>+IF($W391="","",ROUND((EG391*(Parámetros!$G$86)),2))</f>
        <v>0.01</v>
      </c>
      <c r="EL391" s="66">
        <f t="shared" si="551"/>
        <v>2.86</v>
      </c>
    </row>
    <row r="392" spans="1:142" x14ac:dyDescent="0.25">
      <c r="A392">
        <f>+IF($C392="","",ROUND(VLOOKUP('Tablas Servicio'!B392,Parámetros!$H$100:$J$159,IF(Parámetros!$E$16="F",2,3),FALSE),2))</f>
        <v>150</v>
      </c>
      <c r="B392">
        <f t="shared" si="502"/>
        <v>30</v>
      </c>
      <c r="C392" s="57">
        <f>+IF(D392="","",'Tablas Servicio'!C391+1)</f>
        <v>351</v>
      </c>
      <c r="D392" s="56">
        <f>+IF(D391&lt;edadmaxtabla,D391+1/Parámetros!$E$25,"")</f>
        <v>69.27000000000038</v>
      </c>
      <c r="E392" s="57">
        <f t="shared" si="512"/>
        <v>69</v>
      </c>
      <c r="F392" s="59">
        <f t="shared" si="513"/>
        <v>100000</v>
      </c>
      <c r="G392" s="66">
        <f t="shared" si="503"/>
        <v>118.25</v>
      </c>
      <c r="H392" s="66">
        <f t="shared" si="504"/>
        <v>122.98</v>
      </c>
      <c r="I392" s="66">
        <f t="shared" si="552"/>
        <v>-28.980000000000004</v>
      </c>
      <c r="J392" s="66">
        <f t="shared" si="505"/>
        <v>4.1399999999999997</v>
      </c>
      <c r="K392" s="66">
        <f t="shared" si="506"/>
        <v>0.59</v>
      </c>
      <c r="L392" s="66">
        <f t="shared" si="507"/>
        <v>0</v>
      </c>
      <c r="M392" s="66">
        <f t="shared" si="508"/>
        <v>0</v>
      </c>
      <c r="N392" s="66">
        <f>+IF(C392="","",ROUND(Parámetros!$D$23,2))</f>
        <v>94</v>
      </c>
      <c r="O392" s="66">
        <f t="shared" si="509"/>
        <v>105.75</v>
      </c>
      <c r="P392" s="66">
        <f>+IF($C392="","",ROUND(IF(B392&gt;Parámetros!$D$117,0,N392*Parámetros!$D$116-G392*Parámetros!$D$100),2))</f>
        <v>0</v>
      </c>
      <c r="Q392" s="75">
        <f t="shared" si="553"/>
        <v>3.5010570824524308E-2</v>
      </c>
      <c r="R392" s="75">
        <f t="shared" si="554"/>
        <v>4.989429175475687E-3</v>
      </c>
      <c r="S392" s="117">
        <f>+IF($C392="","",ROUND((S391+I392)*(1+Parámetros!$D$91),2))</f>
        <v>25627.79</v>
      </c>
      <c r="T392" s="117">
        <f>+IF($C392="","",ROUND(S392*VLOOKUP(B392,Parámetros!$C$30:$D$39,2,TRUE),2))</f>
        <v>25627.79</v>
      </c>
      <c r="U392" s="117">
        <f>+IF($C392="","",ROUND((U391+I392)*(1+Parámetros!$D$92),2))</f>
        <v>28316.74</v>
      </c>
      <c r="V392" s="117">
        <f>+IF($C392="","",ROUND(U392*VLOOKUP(B392,Parámetros!$C$30:$D$39,2,TRUE),2))</f>
        <v>28316.74</v>
      </c>
      <c r="W392" s="57">
        <f t="shared" si="555"/>
        <v>351</v>
      </c>
      <c r="X392" t="str">
        <f t="shared" si="556"/>
        <v>00058</v>
      </c>
      <c r="Y392" t="str">
        <f t="shared" si="557"/>
        <v>MUERTE POR CUALQUIER CAUSA</v>
      </c>
      <c r="Z392" s="118">
        <f>+IF($W392="","",ROUND(IF(Parámetros!$D$25='TABLAS MORT'!$V$33,Z391,Parámetros!$D$21-'Tablas Servicio'!T391),0))</f>
        <v>100000</v>
      </c>
      <c r="AA392" s="118" t="str">
        <f t="shared" si="558"/>
        <v>P</v>
      </c>
      <c r="AB392" s="119">
        <f>+IF(W392="","",ROUND((VLOOKUP(ROUNDDOWN($D392-1/frec,0),qx_tabla,2,FALSE)*(1+i/frec)^-0.5*(1+Parámetros!$D$103)*(1+rec_fracc)/frec),6))</f>
        <v>1.0300000000000001E-3</v>
      </c>
      <c r="AC392" s="66">
        <f t="shared" si="514"/>
        <v>103</v>
      </c>
      <c r="AD392" s="119">
        <f t="shared" si="510"/>
        <v>1.155E-3</v>
      </c>
      <c r="AE392" s="66">
        <f>+IF($W392="","",ROUND(IF($B392&gt;Parámetros!$D$107,'Tablas Servicio'!AC392+('Tablas Servicio'!AG391-'Tablas Servicio'!AC391),AC392/(1-IF(B392&lt;=10,Parámetros!$D$104,Parámetros!$D$105))),2))</f>
        <v>171.67</v>
      </c>
      <c r="AF392" s="66">
        <f>+IF($W392="","",ROUND(IF($B392&gt;Parámetros!$D$107,'Tablas Servicio'!AC392+('Tablas Servicio'!AG391-'Tablas Servicio'!AC391),(AC392+$A391/frec)/(1-IF(B392&lt;=Parámetros!$D$117,Parámetros!$D$100,0))),2))</f>
        <v>115.5</v>
      </c>
      <c r="AG392" s="66">
        <f t="shared" si="515"/>
        <v>115.5</v>
      </c>
      <c r="AH392" s="66">
        <f t="shared" si="516"/>
        <v>0</v>
      </c>
      <c r="AI392" s="66">
        <f t="shared" si="517"/>
        <v>0</v>
      </c>
      <c r="AJ392" s="66">
        <f>+IF($W392="","",ROUND((AG392*Parámetros!$G$85),2))</f>
        <v>4.04</v>
      </c>
      <c r="AK392" s="66">
        <f>+IF($W392="","",ROUND((AG392*(Parámetros!$G$86)),2))</f>
        <v>0.57999999999999996</v>
      </c>
      <c r="AL392" s="66">
        <f t="shared" si="511"/>
        <v>120.12</v>
      </c>
      <c r="AM392" t="str">
        <f t="shared" si="559"/>
        <v>00059</v>
      </c>
      <c r="AN392" t="str">
        <f t="shared" si="560"/>
        <v>Incapacidad Total y Permanente</v>
      </c>
      <c r="AO392" s="118">
        <f t="shared" si="561"/>
        <v>0</v>
      </c>
      <c r="AP392" s="118" t="str">
        <f t="shared" si="562"/>
        <v>A</v>
      </c>
      <c r="AQ392" s="119" t="str">
        <f>+IF(OR($W392="",AO392=0),"",ROUND((VLOOKUP(ROUNDDOWN($D392-1/frec,0),cob_adi,Z$40,FALSE)*(1+i/frec)^-0.5*(1+Parámetros!$D$103)*(1+rec_fracc)/frec),6))</f>
        <v/>
      </c>
      <c r="AR392" s="66">
        <f t="shared" si="518"/>
        <v>0</v>
      </c>
      <c r="AS392" s="119" t="str">
        <f t="shared" si="519"/>
        <v/>
      </c>
      <c r="AT392" s="66">
        <f>+IF($W392="","",ROUND(IF($B392&gt;Parámetros!$D$107,'Tablas Servicio'!AR392+('Tablas Servicio'!AT391-'Tablas Servicio'!AR391),AR392/(1-IF(B392&lt;=10,Parámetros!$D$100,0))),2))</f>
        <v>0</v>
      </c>
      <c r="AU392" s="66">
        <f t="shared" si="520"/>
        <v>0</v>
      </c>
      <c r="AV392" s="66">
        <f t="shared" si="520"/>
        <v>0</v>
      </c>
      <c r="AW392" s="66">
        <f>+IF($W392="","",ROUND((AT392*Parámetros!$G$85),2))</f>
        <v>0</v>
      </c>
      <c r="AX392" s="66">
        <f>+IF($W392="","",ROUND((AT392*(Parámetros!$G$86)),2))</f>
        <v>0</v>
      </c>
      <c r="AY392" s="66">
        <f t="shared" si="521"/>
        <v>0</v>
      </c>
      <c r="AZ392" t="str">
        <f t="shared" si="563"/>
        <v>00060</v>
      </c>
      <c r="BA392" t="str">
        <f t="shared" si="564"/>
        <v>Muerte Accidental</v>
      </c>
      <c r="BB392" s="118">
        <f t="shared" si="565"/>
        <v>0</v>
      </c>
      <c r="BC392" s="118" t="str">
        <f t="shared" si="566"/>
        <v>A</v>
      </c>
      <c r="BD392" s="119" t="str">
        <f>+IF(OR($W392="",BB392=0),"",ROUND((VLOOKUP(ROUNDDOWN($D392-1/frec,0),cob_adi,AO$40,FALSE)*(1+i/frec)^-0.5*(1+Parámetros!$D$103)*(1+rec_fracc)/frec),6))</f>
        <v/>
      </c>
      <c r="BE392" s="66">
        <f t="shared" si="522"/>
        <v>0</v>
      </c>
      <c r="BF392" s="119" t="str">
        <f t="shared" si="523"/>
        <v/>
      </c>
      <c r="BG392" s="66">
        <f>+IF($W392="","",ROUND(IF($B392&gt;Parámetros!$D$107,'Tablas Servicio'!BE392+('Tablas Servicio'!BG391-'Tablas Servicio'!BE391),BE392/(1-IF(B392&lt;=10,Parámetros!$D$100,0))),2))</f>
        <v>0</v>
      </c>
      <c r="BH392" s="66">
        <f t="shared" si="524"/>
        <v>0</v>
      </c>
      <c r="BI392" s="66">
        <f t="shared" si="525"/>
        <v>0</v>
      </c>
      <c r="BJ392" s="66">
        <f>+IF($W392="","",ROUND((BG392*Parámetros!$G$85),2))</f>
        <v>0</v>
      </c>
      <c r="BK392" s="66">
        <f>+IF($W392="","",ROUND((BG392*(Parámetros!$G$86)),2))</f>
        <v>0</v>
      </c>
      <c r="BL392" s="66">
        <f t="shared" si="526"/>
        <v>0</v>
      </c>
      <c r="BM392" t="str">
        <f t="shared" si="567"/>
        <v>00061</v>
      </c>
      <c r="BN392" t="str">
        <f t="shared" si="568"/>
        <v>Gastos de Entierro</v>
      </c>
      <c r="BO392" s="118">
        <f t="shared" si="569"/>
        <v>0</v>
      </c>
      <c r="BP392" s="118" t="str">
        <f t="shared" si="570"/>
        <v>A</v>
      </c>
      <c r="BQ392" s="119" t="str">
        <f>+IF(OR($W392="",BO392=0),"",ROUND((VLOOKUP(ROUNDDOWN($D392-1/frec,0),cob_adi,BB$40,FALSE)*(1+i/frec)^-0.5*(1+Parámetros!$D$103)*(1+rec_fracc)/frec),6))</f>
        <v/>
      </c>
      <c r="BR392" s="66">
        <f t="shared" si="527"/>
        <v>0</v>
      </c>
      <c r="BS392" s="119" t="str">
        <f t="shared" si="528"/>
        <v/>
      </c>
      <c r="BT392" s="66">
        <f>+IF($W392="","",ROUND(IF($B392&gt;Parámetros!$D$107,'Tablas Servicio'!BR392+('Tablas Servicio'!BT391-'Tablas Servicio'!BR391),BR392/(1-IF(B392&lt;=10,Parámetros!$D$100,0))),2))</f>
        <v>0</v>
      </c>
      <c r="BU392" s="66">
        <f t="shared" si="529"/>
        <v>0</v>
      </c>
      <c r="BV392" s="66">
        <f t="shared" si="529"/>
        <v>0</v>
      </c>
      <c r="BW392" s="66">
        <f>+IF($W392="","",ROUND((BT392*Parámetros!$G$85),2))</f>
        <v>0</v>
      </c>
      <c r="BX392" s="66">
        <f>+IF($W392="","",ROUND((BT392*(Parámetros!$G$86)),2))</f>
        <v>0</v>
      </c>
      <c r="BY392" s="66">
        <f t="shared" si="530"/>
        <v>0</v>
      </c>
      <c r="BZ392" t="str">
        <f t="shared" si="571"/>
        <v>00062</v>
      </c>
      <c r="CA392" t="str">
        <f t="shared" si="572"/>
        <v>Gastos médicos por accidente</v>
      </c>
      <c r="CB392" s="118">
        <f t="shared" si="573"/>
        <v>0</v>
      </c>
      <c r="CC392" s="118" t="str">
        <f t="shared" si="574"/>
        <v>A</v>
      </c>
      <c r="CD392" s="119" t="str">
        <f t="shared" si="531"/>
        <v/>
      </c>
      <c r="CE392" s="66">
        <f>+IF($W392="","",ROUND((VLOOKUP(ROUNDDOWN($D392-1/frec,0),cob_adi,BO$40,FALSE)*(1+i/frec)^-0.5*(1+Parámetros!$D$103)*(1+rec_fracc)/frec*'TABLAS ADI'!$BC$17),2))</f>
        <v>0</v>
      </c>
      <c r="CF392" s="119" t="str">
        <f t="shared" si="532"/>
        <v/>
      </c>
      <c r="CG392" s="66">
        <f>+IF($W392="","",ROUND(IF($B392&gt;Parámetros!$D$107,'Tablas Servicio'!CE392+('Tablas Servicio'!CG391-'Tablas Servicio'!CE391),CE392/(1-IF(B392&lt;=10,Parámetros!$D$100,0))),2))</f>
        <v>0</v>
      </c>
      <c r="CH392" s="66">
        <f t="shared" si="533"/>
        <v>0</v>
      </c>
      <c r="CI392" s="66">
        <f t="shared" si="533"/>
        <v>0</v>
      </c>
      <c r="CJ392" s="66">
        <f>+IF($W392="","",ROUND((CG392*Parámetros!$G$85),2))</f>
        <v>0</v>
      </c>
      <c r="CK392" s="66">
        <f>+IF($W392="","",ROUND((CG392*(Parámetros!$G$86)),2))</f>
        <v>0</v>
      </c>
      <c r="CL392" s="66">
        <f t="shared" si="534"/>
        <v>0</v>
      </c>
      <c r="CM392" t="str">
        <f t="shared" si="575"/>
        <v>00063</v>
      </c>
      <c r="CN392" s="118" t="str">
        <f t="shared" si="576"/>
        <v>Renta Diaria por Hospitalización</v>
      </c>
      <c r="CO392" s="118">
        <f t="shared" si="577"/>
        <v>0</v>
      </c>
      <c r="CP392" s="118" t="str">
        <f t="shared" si="578"/>
        <v>A</v>
      </c>
      <c r="CQ392" s="119" t="str">
        <f t="shared" si="535"/>
        <v/>
      </c>
      <c r="CR392" s="66">
        <f>+IF($W392="","",ROUND((VLOOKUP(Parámetros!$F$51,'COBERTURAS ADICIONALES'!$S$4:$T$32,2,FALSE)*(1+i/frec)^-0.5*(1+Parámetros!$D$103)*(1+rec_fracc)/frec*$CO$42),2))</f>
        <v>0</v>
      </c>
      <c r="CS392" s="119" t="str">
        <f t="shared" si="536"/>
        <v/>
      </c>
      <c r="CT392" s="66">
        <f>+IF($W392="","",ROUND(IF($B392&gt;Parámetros!$D$107,'Tablas Servicio'!CR392+('Tablas Servicio'!CT391-'Tablas Servicio'!CR391),CR392/(1-IF(B392&lt;=10,Parámetros!$D$100,0))),2))</f>
        <v>0</v>
      </c>
      <c r="CU392" s="66">
        <f t="shared" si="537"/>
        <v>0</v>
      </c>
      <c r="CV392" s="66">
        <f t="shared" si="537"/>
        <v>0</v>
      </c>
      <c r="CW392" s="66">
        <f>+IF($W392="","",ROUND((CT392*Parámetros!$G$85),2))</f>
        <v>0</v>
      </c>
      <c r="CX392" s="66">
        <f>+IF($W392="","",ROUND((CT392*(Parámetros!$G$86)),2))</f>
        <v>0</v>
      </c>
      <c r="CY392" s="66">
        <f t="shared" si="538"/>
        <v>0</v>
      </c>
      <c r="CZ392" t="str">
        <f t="shared" si="579"/>
        <v>00064</v>
      </c>
      <c r="DA392" s="118" t="str">
        <f t="shared" si="580"/>
        <v>Enfermedades Graves</v>
      </c>
      <c r="DB392" s="118">
        <f t="shared" si="581"/>
        <v>0</v>
      </c>
      <c r="DC392" s="118" t="str">
        <f t="shared" si="582"/>
        <v>A</v>
      </c>
      <c r="DD392" s="121" t="str">
        <f>+IF(OR($W392="",DB392=0),"",ROUND((VLOOKUP(ROUNDDOWN($D392-1/frec,0),cob_adi,CO$40,FALSE)*(1+i/frec)^-0.5*(1+Parámetros!$D$103)*(1+rec_fracc)/frec),6))</f>
        <v/>
      </c>
      <c r="DE392" s="66">
        <f t="shared" si="539"/>
        <v>0</v>
      </c>
      <c r="DF392" s="119" t="str">
        <f t="shared" si="540"/>
        <v/>
      </c>
      <c r="DG392" s="66">
        <f>+IF($W392="","",ROUND(IF($B392&gt;Parámetros!$D$107,'Tablas Servicio'!DE392+('Tablas Servicio'!DG391-'Tablas Servicio'!DE391),DE392/(1-IF(B392&lt;=10,Parámetros!$D$100,0))),2))</f>
        <v>0</v>
      </c>
      <c r="DH392" s="66">
        <f t="shared" si="541"/>
        <v>0</v>
      </c>
      <c r="DI392" s="66">
        <f t="shared" si="541"/>
        <v>0</v>
      </c>
      <c r="DJ392" s="66">
        <f>+IF($W392="","",ROUND((DG392*Parámetros!$G$85),2))</f>
        <v>0</v>
      </c>
      <c r="DK392" s="66">
        <f>+IF($W392="","",ROUND((DG392*(Parámetros!$G$86)),2))</f>
        <v>0</v>
      </c>
      <c r="DL392" s="66">
        <f t="shared" si="542"/>
        <v>0</v>
      </c>
      <c r="DM392" t="str">
        <f t="shared" si="583"/>
        <v>00065</v>
      </c>
      <c r="DN392" s="118" t="str">
        <f t="shared" si="584"/>
        <v>Exención pago de primas</v>
      </c>
      <c r="DO392" s="118">
        <f t="shared" si="585"/>
        <v>0</v>
      </c>
      <c r="DP392" s="118" t="str">
        <f t="shared" si="586"/>
        <v>A</v>
      </c>
      <c r="DQ392" s="122" t="str">
        <f>+IF(OR($W392="",DO392=0),"",ROUND((VLOOKUP(ROUNDDOWN($D392-1/frec,0),cob_adi,DB$40,FALSE)*(1+i/frec)^-0.5*(1+Parámetros!$D$103)*(1+rec_fracc)/frec),6))</f>
        <v/>
      </c>
      <c r="DR392" s="66">
        <f t="shared" si="543"/>
        <v>0</v>
      </c>
      <c r="DS392" s="68" t="str">
        <f t="shared" si="544"/>
        <v/>
      </c>
      <c r="DT392" s="66">
        <f>+IF($W392="","",ROUND(IF($B392&gt;Parámetros!$D$107,'Tablas Servicio'!DR392+('Tablas Servicio'!DT391-'Tablas Servicio'!DR391),DR392/(1-IF(B392&lt;=10,Parámetros!$D$100,0))),2))</f>
        <v>0</v>
      </c>
      <c r="DU392" s="66">
        <f t="shared" si="545"/>
        <v>0</v>
      </c>
      <c r="DV392" s="66">
        <f t="shared" si="545"/>
        <v>0</v>
      </c>
      <c r="DW392" s="66">
        <f>+IF($W392="","",ROUND((DT392*Parámetros!$G$85),2))</f>
        <v>0</v>
      </c>
      <c r="DX392" s="66">
        <f>+IF($W392="","",ROUND((DT392*(Parámetros!$G$86)),2))</f>
        <v>0</v>
      </c>
      <c r="DY392" s="66">
        <f t="shared" si="546"/>
        <v>0</v>
      </c>
      <c r="DZ392" t="str">
        <f t="shared" si="587"/>
        <v>00066</v>
      </c>
      <c r="EA392" s="118" t="str">
        <f t="shared" si="587"/>
        <v>Enfermedad terminal</v>
      </c>
      <c r="EB392" s="118">
        <f>+IF($W392="","",ROUND(IF(Parámetros!$D$25='TABLAS MORT'!$V$33,EB391,Z392/2),0))</f>
        <v>50000</v>
      </c>
      <c r="EC392" s="118" t="str">
        <f t="shared" si="587"/>
        <v>A</v>
      </c>
      <c r="ED392" s="122">
        <f>+IF(OR($W392="",EB392=0),"",ROUND((VLOOKUP(ROUNDDOWN($D392-1/frec,0),cob_adi,DO$40,FALSE)*(1+i/frec)^-0.5*(1+Parámetros!$D$103)*(1+rec_fracc)/frec),6))</f>
        <v>5.5000000000000002E-5</v>
      </c>
      <c r="EE392" s="66">
        <f t="shared" si="548"/>
        <v>2.75</v>
      </c>
      <c r="EF392" s="68">
        <f t="shared" si="549"/>
        <v>5.5000000000000002E-5</v>
      </c>
      <c r="EG392" s="66">
        <f>+IF($W392="","",ROUND(IF($B392&gt;Parámetros!$D$107,'Tablas Servicio'!EE392+('Tablas Servicio'!EG391-'Tablas Servicio'!EE391),EE392/(1-IF(B392&lt;=10,Parámetros!$D$100,0))),2))</f>
        <v>2.75</v>
      </c>
      <c r="EH392" s="66">
        <f t="shared" si="550"/>
        <v>0</v>
      </c>
      <c r="EI392" s="66">
        <f t="shared" si="550"/>
        <v>0</v>
      </c>
      <c r="EJ392" s="66">
        <f>+IF($W392="","",ROUND((EG392*Parámetros!$G$85),2))</f>
        <v>0.1</v>
      </c>
      <c r="EK392" s="66">
        <f>+IF($W392="","",ROUND((EG392*(Parámetros!$G$86)),2))</f>
        <v>0.01</v>
      </c>
      <c r="EL392" s="66">
        <f t="shared" si="551"/>
        <v>2.86</v>
      </c>
    </row>
    <row r="393" spans="1:142" x14ac:dyDescent="0.25">
      <c r="A393">
        <f>+IF($C393="","",ROUND(VLOOKUP('Tablas Servicio'!B393,Parámetros!$H$100:$J$159,IF(Parámetros!$E$16="F",2,3),FALSE),2))</f>
        <v>150</v>
      </c>
      <c r="B393">
        <f t="shared" si="502"/>
        <v>30</v>
      </c>
      <c r="C393" s="57">
        <f>+IF(D393="","",'Tablas Servicio'!C392+1)</f>
        <v>352</v>
      </c>
      <c r="D393" s="56">
        <f>+IF(D392&lt;edadmaxtabla,D392+1/Parámetros!$E$25,"")</f>
        <v>69.353333333333708</v>
      </c>
      <c r="E393" s="57">
        <f t="shared" si="512"/>
        <v>69</v>
      </c>
      <c r="F393" s="59">
        <f t="shared" si="513"/>
        <v>100000</v>
      </c>
      <c r="G393" s="66">
        <f t="shared" si="503"/>
        <v>118.25</v>
      </c>
      <c r="H393" s="66">
        <f t="shared" si="504"/>
        <v>122.98</v>
      </c>
      <c r="I393" s="66">
        <f t="shared" si="552"/>
        <v>-28.980000000000004</v>
      </c>
      <c r="J393" s="66">
        <f t="shared" si="505"/>
        <v>4.1399999999999997</v>
      </c>
      <c r="K393" s="66">
        <f t="shared" si="506"/>
        <v>0.59</v>
      </c>
      <c r="L393" s="66">
        <f t="shared" si="507"/>
        <v>0</v>
      </c>
      <c r="M393" s="66">
        <f t="shared" si="508"/>
        <v>0</v>
      </c>
      <c r="N393" s="66">
        <f>+IF(C393="","",ROUND(Parámetros!$D$23,2))</f>
        <v>94</v>
      </c>
      <c r="O393" s="66">
        <f t="shared" si="509"/>
        <v>105.75</v>
      </c>
      <c r="P393" s="66">
        <f>+IF($C393="","",ROUND(IF(B393&gt;Parámetros!$D$117,0,N393*Parámetros!$D$116-G393*Parámetros!$D$100),2))</f>
        <v>0</v>
      </c>
      <c r="Q393" s="75">
        <f t="shared" si="553"/>
        <v>3.5010570824524308E-2</v>
      </c>
      <c r="R393" s="75">
        <f t="shared" si="554"/>
        <v>4.989429175475687E-3</v>
      </c>
      <c r="S393" s="117">
        <f>+IF($C393="","",ROUND((S392+I393)*(1+Parámetros!$D$91),2))</f>
        <v>25671.42</v>
      </c>
      <c r="T393" s="117">
        <f>+IF($C393="","",ROUND(S393*VLOOKUP(B393,Parámetros!$C$30:$D$39,2,TRUE),2))</f>
        <v>25671.42</v>
      </c>
      <c r="U393" s="117">
        <f>+IF($C393="","",ROUND((U392+I393)*(1+Parámetros!$D$92),2))</f>
        <v>28379.46</v>
      </c>
      <c r="V393" s="117">
        <f>+IF($C393="","",ROUND(U393*VLOOKUP(B393,Parámetros!$C$30:$D$39,2,TRUE),2))</f>
        <v>28379.46</v>
      </c>
      <c r="W393" s="57">
        <f t="shared" si="555"/>
        <v>352</v>
      </c>
      <c r="X393" t="str">
        <f t="shared" si="556"/>
        <v>00058</v>
      </c>
      <c r="Y393" t="str">
        <f t="shared" si="557"/>
        <v>MUERTE POR CUALQUIER CAUSA</v>
      </c>
      <c r="Z393" s="118">
        <f>+IF($W393="","",ROUND(IF(Parámetros!$D$25='TABLAS MORT'!$V$33,Z392,Parámetros!$D$21-'Tablas Servicio'!T392),0))</f>
        <v>100000</v>
      </c>
      <c r="AA393" s="118" t="str">
        <f t="shared" si="558"/>
        <v>P</v>
      </c>
      <c r="AB393" s="119">
        <f>+IF(W393="","",ROUND((VLOOKUP(ROUNDDOWN($D393-1/frec,0),qx_tabla,2,FALSE)*(1+i/frec)^-0.5*(1+Parámetros!$D$103)*(1+rec_fracc)/frec),6))</f>
        <v>1.0300000000000001E-3</v>
      </c>
      <c r="AC393" s="66">
        <f t="shared" si="514"/>
        <v>103</v>
      </c>
      <c r="AD393" s="119">
        <f t="shared" si="510"/>
        <v>1.155E-3</v>
      </c>
      <c r="AE393" s="66">
        <f>+IF($W393="","",ROUND(IF($B393&gt;Parámetros!$D$107,'Tablas Servicio'!AC393+('Tablas Servicio'!AG392-'Tablas Servicio'!AC392),AC393/(1-IF(B393&lt;=10,Parámetros!$D$104,Parámetros!$D$105))),2))</f>
        <v>171.67</v>
      </c>
      <c r="AF393" s="66">
        <f>+IF($W393="","",ROUND(IF($B393&gt;Parámetros!$D$107,'Tablas Servicio'!AC393+('Tablas Servicio'!AG392-'Tablas Servicio'!AC392),(AC393+$A392/frec)/(1-IF(B393&lt;=Parámetros!$D$117,Parámetros!$D$100,0))),2))</f>
        <v>115.5</v>
      </c>
      <c r="AG393" s="66">
        <f t="shared" si="515"/>
        <v>115.5</v>
      </c>
      <c r="AH393" s="66">
        <f t="shared" si="516"/>
        <v>0</v>
      </c>
      <c r="AI393" s="66">
        <f t="shared" si="517"/>
        <v>0</v>
      </c>
      <c r="AJ393" s="66">
        <f>+IF($W393="","",ROUND((AG393*Parámetros!$G$85),2))</f>
        <v>4.04</v>
      </c>
      <c r="AK393" s="66">
        <f>+IF($W393="","",ROUND((AG393*(Parámetros!$G$86)),2))</f>
        <v>0.57999999999999996</v>
      </c>
      <c r="AL393" s="66">
        <f t="shared" si="511"/>
        <v>120.12</v>
      </c>
      <c r="AM393" t="str">
        <f t="shared" si="559"/>
        <v>00059</v>
      </c>
      <c r="AN393" t="str">
        <f t="shared" si="560"/>
        <v>Incapacidad Total y Permanente</v>
      </c>
      <c r="AO393" s="118">
        <f t="shared" si="561"/>
        <v>0</v>
      </c>
      <c r="AP393" s="118" t="str">
        <f t="shared" si="562"/>
        <v>A</v>
      </c>
      <c r="AQ393" s="119" t="str">
        <f>+IF(OR($W393="",AO393=0),"",ROUND((VLOOKUP(ROUNDDOWN($D393-1/frec,0),cob_adi,Z$40,FALSE)*(1+i/frec)^-0.5*(1+Parámetros!$D$103)*(1+rec_fracc)/frec),6))</f>
        <v/>
      </c>
      <c r="AR393" s="66">
        <f t="shared" si="518"/>
        <v>0</v>
      </c>
      <c r="AS393" s="119" t="str">
        <f t="shared" si="519"/>
        <v/>
      </c>
      <c r="AT393" s="66">
        <f>+IF($W393="","",ROUND(IF($B393&gt;Parámetros!$D$107,'Tablas Servicio'!AR393+('Tablas Servicio'!AT392-'Tablas Servicio'!AR392),AR393/(1-IF(B393&lt;=10,Parámetros!$D$100,0))),2))</f>
        <v>0</v>
      </c>
      <c r="AU393" s="66">
        <f t="shared" si="520"/>
        <v>0</v>
      </c>
      <c r="AV393" s="66">
        <f t="shared" si="520"/>
        <v>0</v>
      </c>
      <c r="AW393" s="66">
        <f>+IF($W393="","",ROUND((AT393*Parámetros!$G$85),2))</f>
        <v>0</v>
      </c>
      <c r="AX393" s="66">
        <f>+IF($W393="","",ROUND((AT393*(Parámetros!$G$86)),2))</f>
        <v>0</v>
      </c>
      <c r="AY393" s="66">
        <f t="shared" si="521"/>
        <v>0</v>
      </c>
      <c r="AZ393" t="str">
        <f t="shared" si="563"/>
        <v>00060</v>
      </c>
      <c r="BA393" t="str">
        <f t="shared" si="564"/>
        <v>Muerte Accidental</v>
      </c>
      <c r="BB393" s="118">
        <f t="shared" si="565"/>
        <v>0</v>
      </c>
      <c r="BC393" s="118" t="str">
        <f t="shared" si="566"/>
        <v>A</v>
      </c>
      <c r="BD393" s="119" t="str">
        <f>+IF(OR($W393="",BB393=0),"",ROUND((VLOOKUP(ROUNDDOWN($D393-1/frec,0),cob_adi,AO$40,FALSE)*(1+i/frec)^-0.5*(1+Parámetros!$D$103)*(1+rec_fracc)/frec),6))</f>
        <v/>
      </c>
      <c r="BE393" s="66">
        <f t="shared" si="522"/>
        <v>0</v>
      </c>
      <c r="BF393" s="119" t="str">
        <f t="shared" si="523"/>
        <v/>
      </c>
      <c r="BG393" s="66">
        <f>+IF($W393="","",ROUND(IF($B393&gt;Parámetros!$D$107,'Tablas Servicio'!BE393+('Tablas Servicio'!BG392-'Tablas Servicio'!BE392),BE393/(1-IF(B393&lt;=10,Parámetros!$D$100,0))),2))</f>
        <v>0</v>
      </c>
      <c r="BH393" s="66">
        <f t="shared" si="524"/>
        <v>0</v>
      </c>
      <c r="BI393" s="66">
        <f t="shared" si="525"/>
        <v>0</v>
      </c>
      <c r="BJ393" s="66">
        <f>+IF($W393="","",ROUND((BG393*Parámetros!$G$85),2))</f>
        <v>0</v>
      </c>
      <c r="BK393" s="66">
        <f>+IF($W393="","",ROUND((BG393*(Parámetros!$G$86)),2))</f>
        <v>0</v>
      </c>
      <c r="BL393" s="66">
        <f t="shared" si="526"/>
        <v>0</v>
      </c>
      <c r="BM393" t="str">
        <f t="shared" si="567"/>
        <v>00061</v>
      </c>
      <c r="BN393" t="str">
        <f t="shared" si="568"/>
        <v>Gastos de Entierro</v>
      </c>
      <c r="BO393" s="118">
        <f t="shared" si="569"/>
        <v>0</v>
      </c>
      <c r="BP393" s="118" t="str">
        <f t="shared" si="570"/>
        <v>A</v>
      </c>
      <c r="BQ393" s="119" t="str">
        <f>+IF(OR($W393="",BO393=0),"",ROUND((VLOOKUP(ROUNDDOWN($D393-1/frec,0),cob_adi,BB$40,FALSE)*(1+i/frec)^-0.5*(1+Parámetros!$D$103)*(1+rec_fracc)/frec),6))</f>
        <v/>
      </c>
      <c r="BR393" s="66">
        <f t="shared" si="527"/>
        <v>0</v>
      </c>
      <c r="BS393" s="119" t="str">
        <f t="shared" si="528"/>
        <v/>
      </c>
      <c r="BT393" s="66">
        <f>+IF($W393="","",ROUND(IF($B393&gt;Parámetros!$D$107,'Tablas Servicio'!BR393+('Tablas Servicio'!BT392-'Tablas Servicio'!BR392),BR393/(1-IF(B393&lt;=10,Parámetros!$D$100,0))),2))</f>
        <v>0</v>
      </c>
      <c r="BU393" s="66">
        <f t="shared" si="529"/>
        <v>0</v>
      </c>
      <c r="BV393" s="66">
        <f t="shared" si="529"/>
        <v>0</v>
      </c>
      <c r="BW393" s="66">
        <f>+IF($W393="","",ROUND((BT393*Parámetros!$G$85),2))</f>
        <v>0</v>
      </c>
      <c r="BX393" s="66">
        <f>+IF($W393="","",ROUND((BT393*(Parámetros!$G$86)),2))</f>
        <v>0</v>
      </c>
      <c r="BY393" s="66">
        <f t="shared" si="530"/>
        <v>0</v>
      </c>
      <c r="BZ393" t="str">
        <f t="shared" si="571"/>
        <v>00062</v>
      </c>
      <c r="CA393" t="str">
        <f t="shared" si="572"/>
        <v>Gastos médicos por accidente</v>
      </c>
      <c r="CB393" s="118">
        <f t="shared" si="573"/>
        <v>0</v>
      </c>
      <c r="CC393" s="118" t="str">
        <f t="shared" si="574"/>
        <v>A</v>
      </c>
      <c r="CD393" s="119" t="str">
        <f t="shared" si="531"/>
        <v/>
      </c>
      <c r="CE393" s="66">
        <f>+IF($W393="","",ROUND((VLOOKUP(ROUNDDOWN($D393-1/frec,0),cob_adi,BO$40,FALSE)*(1+i/frec)^-0.5*(1+Parámetros!$D$103)*(1+rec_fracc)/frec*'TABLAS ADI'!$BC$17),2))</f>
        <v>0</v>
      </c>
      <c r="CF393" s="119" t="str">
        <f t="shared" si="532"/>
        <v/>
      </c>
      <c r="CG393" s="66">
        <f>+IF($W393="","",ROUND(IF($B393&gt;Parámetros!$D$107,'Tablas Servicio'!CE393+('Tablas Servicio'!CG392-'Tablas Servicio'!CE392),CE393/(1-IF(B393&lt;=10,Parámetros!$D$100,0))),2))</f>
        <v>0</v>
      </c>
      <c r="CH393" s="66">
        <f t="shared" si="533"/>
        <v>0</v>
      </c>
      <c r="CI393" s="66">
        <f t="shared" si="533"/>
        <v>0</v>
      </c>
      <c r="CJ393" s="66">
        <f>+IF($W393="","",ROUND((CG393*Parámetros!$G$85),2))</f>
        <v>0</v>
      </c>
      <c r="CK393" s="66">
        <f>+IF($W393="","",ROUND((CG393*(Parámetros!$G$86)),2))</f>
        <v>0</v>
      </c>
      <c r="CL393" s="66">
        <f t="shared" si="534"/>
        <v>0</v>
      </c>
      <c r="CM393" t="str">
        <f t="shared" si="575"/>
        <v>00063</v>
      </c>
      <c r="CN393" s="118" t="str">
        <f t="shared" si="576"/>
        <v>Renta Diaria por Hospitalización</v>
      </c>
      <c r="CO393" s="118">
        <f t="shared" si="577"/>
        <v>0</v>
      </c>
      <c r="CP393" s="118" t="str">
        <f t="shared" si="578"/>
        <v>A</v>
      </c>
      <c r="CQ393" s="119" t="str">
        <f t="shared" si="535"/>
        <v/>
      </c>
      <c r="CR393" s="66">
        <f>+IF($W393="","",ROUND((VLOOKUP(Parámetros!$F$51,'COBERTURAS ADICIONALES'!$S$4:$T$32,2,FALSE)*(1+i/frec)^-0.5*(1+Parámetros!$D$103)*(1+rec_fracc)/frec*$CO$42),2))</f>
        <v>0</v>
      </c>
      <c r="CS393" s="119" t="str">
        <f t="shared" si="536"/>
        <v/>
      </c>
      <c r="CT393" s="66">
        <f>+IF($W393="","",ROUND(IF($B393&gt;Parámetros!$D$107,'Tablas Servicio'!CR393+('Tablas Servicio'!CT392-'Tablas Servicio'!CR392),CR393/(1-IF(B393&lt;=10,Parámetros!$D$100,0))),2))</f>
        <v>0</v>
      </c>
      <c r="CU393" s="66">
        <f t="shared" si="537"/>
        <v>0</v>
      </c>
      <c r="CV393" s="66">
        <f t="shared" si="537"/>
        <v>0</v>
      </c>
      <c r="CW393" s="66">
        <f>+IF($W393="","",ROUND((CT393*Parámetros!$G$85),2))</f>
        <v>0</v>
      </c>
      <c r="CX393" s="66">
        <f>+IF($W393="","",ROUND((CT393*(Parámetros!$G$86)),2))</f>
        <v>0</v>
      </c>
      <c r="CY393" s="66">
        <f t="shared" si="538"/>
        <v>0</v>
      </c>
      <c r="CZ393" t="str">
        <f t="shared" si="579"/>
        <v>00064</v>
      </c>
      <c r="DA393" s="118" t="str">
        <f t="shared" si="580"/>
        <v>Enfermedades Graves</v>
      </c>
      <c r="DB393" s="118">
        <f t="shared" si="581"/>
        <v>0</v>
      </c>
      <c r="DC393" s="118" t="str">
        <f t="shared" si="582"/>
        <v>A</v>
      </c>
      <c r="DD393" s="121" t="str">
        <f>+IF(OR($W393="",DB393=0),"",ROUND((VLOOKUP(ROUNDDOWN($D393-1/frec,0),cob_adi,CO$40,FALSE)*(1+i/frec)^-0.5*(1+Parámetros!$D$103)*(1+rec_fracc)/frec),6))</f>
        <v/>
      </c>
      <c r="DE393" s="66">
        <f t="shared" si="539"/>
        <v>0</v>
      </c>
      <c r="DF393" s="119" t="str">
        <f t="shared" si="540"/>
        <v/>
      </c>
      <c r="DG393" s="66">
        <f>+IF($W393="","",ROUND(IF($B393&gt;Parámetros!$D$107,'Tablas Servicio'!DE393+('Tablas Servicio'!DG392-'Tablas Servicio'!DE392),DE393/(1-IF(B393&lt;=10,Parámetros!$D$100,0))),2))</f>
        <v>0</v>
      </c>
      <c r="DH393" s="66">
        <f t="shared" si="541"/>
        <v>0</v>
      </c>
      <c r="DI393" s="66">
        <f t="shared" si="541"/>
        <v>0</v>
      </c>
      <c r="DJ393" s="66">
        <f>+IF($W393="","",ROUND((DG393*Parámetros!$G$85),2))</f>
        <v>0</v>
      </c>
      <c r="DK393" s="66">
        <f>+IF($W393="","",ROUND((DG393*(Parámetros!$G$86)),2))</f>
        <v>0</v>
      </c>
      <c r="DL393" s="66">
        <f t="shared" si="542"/>
        <v>0</v>
      </c>
      <c r="DM393" t="str">
        <f t="shared" si="583"/>
        <v>00065</v>
      </c>
      <c r="DN393" s="118" t="str">
        <f t="shared" si="584"/>
        <v>Exención pago de primas</v>
      </c>
      <c r="DO393" s="118">
        <f t="shared" si="585"/>
        <v>0</v>
      </c>
      <c r="DP393" s="118" t="str">
        <f t="shared" si="586"/>
        <v>A</v>
      </c>
      <c r="DQ393" s="122" t="str">
        <f>+IF(OR($W393="",DO393=0),"",ROUND((VLOOKUP(ROUNDDOWN($D393-1/frec,0),cob_adi,DB$40,FALSE)*(1+i/frec)^-0.5*(1+Parámetros!$D$103)*(1+rec_fracc)/frec),6))</f>
        <v/>
      </c>
      <c r="DR393" s="66">
        <f t="shared" si="543"/>
        <v>0</v>
      </c>
      <c r="DS393" s="68" t="str">
        <f t="shared" si="544"/>
        <v/>
      </c>
      <c r="DT393" s="66">
        <f>+IF($W393="","",ROUND(IF($B393&gt;Parámetros!$D$107,'Tablas Servicio'!DR393+('Tablas Servicio'!DT392-'Tablas Servicio'!DR392),DR393/(1-IF(B393&lt;=10,Parámetros!$D$100,0))),2))</f>
        <v>0</v>
      </c>
      <c r="DU393" s="66">
        <f t="shared" si="545"/>
        <v>0</v>
      </c>
      <c r="DV393" s="66">
        <f t="shared" si="545"/>
        <v>0</v>
      </c>
      <c r="DW393" s="66">
        <f>+IF($W393="","",ROUND((DT393*Parámetros!$G$85),2))</f>
        <v>0</v>
      </c>
      <c r="DX393" s="66">
        <f>+IF($W393="","",ROUND((DT393*(Parámetros!$G$86)),2))</f>
        <v>0</v>
      </c>
      <c r="DY393" s="66">
        <f t="shared" si="546"/>
        <v>0</v>
      </c>
      <c r="DZ393" t="str">
        <f t="shared" si="587"/>
        <v>00066</v>
      </c>
      <c r="EA393" s="118" t="str">
        <f t="shared" si="587"/>
        <v>Enfermedad terminal</v>
      </c>
      <c r="EB393" s="118">
        <f>+IF($W393="","",ROUND(IF(Parámetros!$D$25='TABLAS MORT'!$V$33,EB392,Z393/2),0))</f>
        <v>50000</v>
      </c>
      <c r="EC393" s="118" t="str">
        <f t="shared" si="587"/>
        <v>A</v>
      </c>
      <c r="ED393" s="122">
        <f>+IF(OR($W393="",EB393=0),"",ROUND((VLOOKUP(ROUNDDOWN($D393-1/frec,0),cob_adi,DO$40,FALSE)*(1+i/frec)^-0.5*(1+Parámetros!$D$103)*(1+rec_fracc)/frec),6))</f>
        <v>5.5000000000000002E-5</v>
      </c>
      <c r="EE393" s="66">
        <f t="shared" si="548"/>
        <v>2.75</v>
      </c>
      <c r="EF393" s="68">
        <f t="shared" si="549"/>
        <v>5.5000000000000002E-5</v>
      </c>
      <c r="EG393" s="66">
        <f>+IF($W393="","",ROUND(IF($B393&gt;Parámetros!$D$107,'Tablas Servicio'!EE393+('Tablas Servicio'!EG392-'Tablas Servicio'!EE392),EE393/(1-IF(B393&lt;=10,Parámetros!$D$100,0))),2))</f>
        <v>2.75</v>
      </c>
      <c r="EH393" s="66">
        <f t="shared" si="550"/>
        <v>0</v>
      </c>
      <c r="EI393" s="66">
        <f t="shared" si="550"/>
        <v>0</v>
      </c>
      <c r="EJ393" s="66">
        <f>+IF($W393="","",ROUND((EG393*Parámetros!$G$85),2))</f>
        <v>0.1</v>
      </c>
      <c r="EK393" s="66">
        <f>+IF($W393="","",ROUND((EG393*(Parámetros!$G$86)),2))</f>
        <v>0.01</v>
      </c>
      <c r="EL393" s="66">
        <f t="shared" si="551"/>
        <v>2.86</v>
      </c>
    </row>
    <row r="394" spans="1:142" x14ac:dyDescent="0.25">
      <c r="A394">
        <f>+IF($C394="","",ROUND(VLOOKUP('Tablas Servicio'!B394,Parámetros!$H$100:$J$159,IF(Parámetros!$E$16="F",2,3),FALSE),2))</f>
        <v>150</v>
      </c>
      <c r="B394">
        <f t="shared" si="502"/>
        <v>30</v>
      </c>
      <c r="C394" s="57">
        <f>+IF(D394="","",'Tablas Servicio'!C393+1)</f>
        <v>353</v>
      </c>
      <c r="D394" s="56">
        <f>+IF(D393&lt;edadmaxtabla,D393+1/Parámetros!$E$25,"")</f>
        <v>69.436666666667037</v>
      </c>
      <c r="E394" s="57">
        <f t="shared" si="512"/>
        <v>69</v>
      </c>
      <c r="F394" s="59">
        <f t="shared" si="513"/>
        <v>100000</v>
      </c>
      <c r="G394" s="66">
        <f t="shared" si="503"/>
        <v>118.25</v>
      </c>
      <c r="H394" s="66">
        <f t="shared" si="504"/>
        <v>122.98</v>
      </c>
      <c r="I394" s="66">
        <f t="shared" si="552"/>
        <v>-28.980000000000004</v>
      </c>
      <c r="J394" s="66">
        <f t="shared" si="505"/>
        <v>4.1399999999999997</v>
      </c>
      <c r="K394" s="66">
        <f t="shared" si="506"/>
        <v>0.59</v>
      </c>
      <c r="L394" s="66">
        <f t="shared" si="507"/>
        <v>0</v>
      </c>
      <c r="M394" s="66">
        <f t="shared" si="508"/>
        <v>0</v>
      </c>
      <c r="N394" s="66">
        <f>+IF(C394="","",ROUND(Parámetros!$D$23,2))</f>
        <v>94</v>
      </c>
      <c r="O394" s="66">
        <f t="shared" si="509"/>
        <v>105.75</v>
      </c>
      <c r="P394" s="66">
        <f>+IF($C394="","",ROUND(IF(B394&gt;Parámetros!$D$117,0,N394*Parámetros!$D$116-G394*Parámetros!$D$100),2))</f>
        <v>0</v>
      </c>
      <c r="Q394" s="75">
        <f t="shared" si="553"/>
        <v>3.5010570824524308E-2</v>
      </c>
      <c r="R394" s="75">
        <f t="shared" si="554"/>
        <v>4.989429175475687E-3</v>
      </c>
      <c r="S394" s="117">
        <f>+IF($C394="","",ROUND((S393+I394)*(1+Parámetros!$D$91),2))</f>
        <v>25715.17</v>
      </c>
      <c r="T394" s="117">
        <f>+IF($C394="","",ROUND(S394*VLOOKUP(B394,Parámetros!$C$30:$D$39,2,TRUE),2))</f>
        <v>25715.17</v>
      </c>
      <c r="U394" s="117">
        <f>+IF($C394="","",ROUND((U393+I394)*(1+Parámetros!$D$92),2))</f>
        <v>28442.38</v>
      </c>
      <c r="V394" s="117">
        <f>+IF($C394="","",ROUND(U394*VLOOKUP(B394,Parámetros!$C$30:$D$39,2,TRUE),2))</f>
        <v>28442.38</v>
      </c>
      <c r="W394" s="57">
        <f t="shared" si="555"/>
        <v>353</v>
      </c>
      <c r="X394" t="str">
        <f t="shared" si="556"/>
        <v>00058</v>
      </c>
      <c r="Y394" t="str">
        <f t="shared" si="557"/>
        <v>MUERTE POR CUALQUIER CAUSA</v>
      </c>
      <c r="Z394" s="118">
        <f>+IF($W394="","",ROUND(IF(Parámetros!$D$25='TABLAS MORT'!$V$33,Z393,Parámetros!$D$21-'Tablas Servicio'!T393),0))</f>
        <v>100000</v>
      </c>
      <c r="AA394" s="118" t="str">
        <f t="shared" si="558"/>
        <v>P</v>
      </c>
      <c r="AB394" s="119">
        <f>+IF(W394="","",ROUND((VLOOKUP(ROUNDDOWN($D394-1/frec,0),qx_tabla,2,FALSE)*(1+i/frec)^-0.5*(1+Parámetros!$D$103)*(1+rec_fracc)/frec),6))</f>
        <v>1.0300000000000001E-3</v>
      </c>
      <c r="AC394" s="66">
        <f t="shared" si="514"/>
        <v>103</v>
      </c>
      <c r="AD394" s="119">
        <f t="shared" si="510"/>
        <v>1.155E-3</v>
      </c>
      <c r="AE394" s="66">
        <f>+IF($W394="","",ROUND(IF($B394&gt;Parámetros!$D$107,'Tablas Servicio'!AC394+('Tablas Servicio'!AG393-'Tablas Servicio'!AC393),AC394/(1-IF(B394&lt;=10,Parámetros!$D$104,Parámetros!$D$105))),2))</f>
        <v>171.67</v>
      </c>
      <c r="AF394" s="66">
        <f>+IF($W394="","",ROUND(IF($B394&gt;Parámetros!$D$107,'Tablas Servicio'!AC394+('Tablas Servicio'!AG393-'Tablas Servicio'!AC393),(AC394+$A393/frec)/(1-IF(B394&lt;=Parámetros!$D$117,Parámetros!$D$100,0))),2))</f>
        <v>115.5</v>
      </c>
      <c r="AG394" s="66">
        <f t="shared" si="515"/>
        <v>115.5</v>
      </c>
      <c r="AH394" s="66">
        <f t="shared" si="516"/>
        <v>0</v>
      </c>
      <c r="AI394" s="66">
        <f t="shared" si="517"/>
        <v>0</v>
      </c>
      <c r="AJ394" s="66">
        <f>+IF($W394="","",ROUND((AG394*Parámetros!$G$85),2))</f>
        <v>4.04</v>
      </c>
      <c r="AK394" s="66">
        <f>+IF($W394="","",ROUND((AG394*(Parámetros!$G$86)),2))</f>
        <v>0.57999999999999996</v>
      </c>
      <c r="AL394" s="66">
        <f t="shared" si="511"/>
        <v>120.12</v>
      </c>
      <c r="AM394" t="str">
        <f t="shared" si="559"/>
        <v>00059</v>
      </c>
      <c r="AN394" t="str">
        <f t="shared" si="560"/>
        <v>Incapacidad Total y Permanente</v>
      </c>
      <c r="AO394" s="118">
        <f t="shared" si="561"/>
        <v>0</v>
      </c>
      <c r="AP394" s="118" t="str">
        <f t="shared" si="562"/>
        <v>A</v>
      </c>
      <c r="AQ394" s="119" t="str">
        <f>+IF(OR($W394="",AO394=0),"",ROUND((VLOOKUP(ROUNDDOWN($D394-1/frec,0),cob_adi,Z$40,FALSE)*(1+i/frec)^-0.5*(1+Parámetros!$D$103)*(1+rec_fracc)/frec),6))</f>
        <v/>
      </c>
      <c r="AR394" s="66">
        <f t="shared" si="518"/>
        <v>0</v>
      </c>
      <c r="AS394" s="119" t="str">
        <f t="shared" si="519"/>
        <v/>
      </c>
      <c r="AT394" s="66">
        <f>+IF($W394="","",ROUND(IF($B394&gt;Parámetros!$D$107,'Tablas Servicio'!AR394+('Tablas Servicio'!AT393-'Tablas Servicio'!AR393),AR394/(1-IF(B394&lt;=10,Parámetros!$D$100,0))),2))</f>
        <v>0</v>
      </c>
      <c r="AU394" s="66">
        <f t="shared" si="520"/>
        <v>0</v>
      </c>
      <c r="AV394" s="66">
        <f t="shared" si="520"/>
        <v>0</v>
      </c>
      <c r="AW394" s="66">
        <f>+IF($W394="","",ROUND((AT394*Parámetros!$G$85),2))</f>
        <v>0</v>
      </c>
      <c r="AX394" s="66">
        <f>+IF($W394="","",ROUND((AT394*(Parámetros!$G$86)),2))</f>
        <v>0</v>
      </c>
      <c r="AY394" s="66">
        <f t="shared" si="521"/>
        <v>0</v>
      </c>
      <c r="AZ394" t="str">
        <f t="shared" si="563"/>
        <v>00060</v>
      </c>
      <c r="BA394" t="str">
        <f t="shared" si="564"/>
        <v>Muerte Accidental</v>
      </c>
      <c r="BB394" s="118">
        <f t="shared" si="565"/>
        <v>0</v>
      </c>
      <c r="BC394" s="118" t="str">
        <f t="shared" si="566"/>
        <v>A</v>
      </c>
      <c r="BD394" s="119" t="str">
        <f>+IF(OR($W394="",BB394=0),"",ROUND((VLOOKUP(ROUNDDOWN($D394-1/frec,0),cob_adi,AO$40,FALSE)*(1+i/frec)^-0.5*(1+Parámetros!$D$103)*(1+rec_fracc)/frec),6))</f>
        <v/>
      </c>
      <c r="BE394" s="66">
        <f t="shared" si="522"/>
        <v>0</v>
      </c>
      <c r="BF394" s="119" t="str">
        <f t="shared" si="523"/>
        <v/>
      </c>
      <c r="BG394" s="66">
        <f>+IF($W394="","",ROUND(IF($B394&gt;Parámetros!$D$107,'Tablas Servicio'!BE394+('Tablas Servicio'!BG393-'Tablas Servicio'!BE393),BE394/(1-IF(B394&lt;=10,Parámetros!$D$100,0))),2))</f>
        <v>0</v>
      </c>
      <c r="BH394" s="66">
        <f t="shared" si="524"/>
        <v>0</v>
      </c>
      <c r="BI394" s="66">
        <f t="shared" si="525"/>
        <v>0</v>
      </c>
      <c r="BJ394" s="66">
        <f>+IF($W394="","",ROUND((BG394*Parámetros!$G$85),2))</f>
        <v>0</v>
      </c>
      <c r="BK394" s="66">
        <f>+IF($W394="","",ROUND((BG394*(Parámetros!$G$86)),2))</f>
        <v>0</v>
      </c>
      <c r="BL394" s="66">
        <f t="shared" si="526"/>
        <v>0</v>
      </c>
      <c r="BM394" t="str">
        <f t="shared" si="567"/>
        <v>00061</v>
      </c>
      <c r="BN394" t="str">
        <f t="shared" si="568"/>
        <v>Gastos de Entierro</v>
      </c>
      <c r="BO394" s="118">
        <f t="shared" si="569"/>
        <v>0</v>
      </c>
      <c r="BP394" s="118" t="str">
        <f t="shared" si="570"/>
        <v>A</v>
      </c>
      <c r="BQ394" s="119" t="str">
        <f>+IF(OR($W394="",BO394=0),"",ROUND((VLOOKUP(ROUNDDOWN($D394-1/frec,0),cob_adi,BB$40,FALSE)*(1+i/frec)^-0.5*(1+Parámetros!$D$103)*(1+rec_fracc)/frec),6))</f>
        <v/>
      </c>
      <c r="BR394" s="66">
        <f t="shared" si="527"/>
        <v>0</v>
      </c>
      <c r="BS394" s="119" t="str">
        <f t="shared" si="528"/>
        <v/>
      </c>
      <c r="BT394" s="66">
        <f>+IF($W394="","",ROUND(IF($B394&gt;Parámetros!$D$107,'Tablas Servicio'!BR394+('Tablas Servicio'!BT393-'Tablas Servicio'!BR393),BR394/(1-IF(B394&lt;=10,Parámetros!$D$100,0))),2))</f>
        <v>0</v>
      </c>
      <c r="BU394" s="66">
        <f t="shared" si="529"/>
        <v>0</v>
      </c>
      <c r="BV394" s="66">
        <f t="shared" si="529"/>
        <v>0</v>
      </c>
      <c r="BW394" s="66">
        <f>+IF($W394="","",ROUND((BT394*Parámetros!$G$85),2))</f>
        <v>0</v>
      </c>
      <c r="BX394" s="66">
        <f>+IF($W394="","",ROUND((BT394*(Parámetros!$G$86)),2))</f>
        <v>0</v>
      </c>
      <c r="BY394" s="66">
        <f t="shared" si="530"/>
        <v>0</v>
      </c>
      <c r="BZ394" t="str">
        <f t="shared" si="571"/>
        <v>00062</v>
      </c>
      <c r="CA394" t="str">
        <f t="shared" si="572"/>
        <v>Gastos médicos por accidente</v>
      </c>
      <c r="CB394" s="118">
        <f t="shared" si="573"/>
        <v>0</v>
      </c>
      <c r="CC394" s="118" t="str">
        <f t="shared" si="574"/>
        <v>A</v>
      </c>
      <c r="CD394" s="119" t="str">
        <f t="shared" si="531"/>
        <v/>
      </c>
      <c r="CE394" s="66">
        <f>+IF($W394="","",ROUND((VLOOKUP(ROUNDDOWN($D394-1/frec,0),cob_adi,BO$40,FALSE)*(1+i/frec)^-0.5*(1+Parámetros!$D$103)*(1+rec_fracc)/frec*'TABLAS ADI'!$BC$17),2))</f>
        <v>0</v>
      </c>
      <c r="CF394" s="119" t="str">
        <f t="shared" si="532"/>
        <v/>
      </c>
      <c r="CG394" s="66">
        <f>+IF($W394="","",ROUND(IF($B394&gt;Parámetros!$D$107,'Tablas Servicio'!CE394+('Tablas Servicio'!CG393-'Tablas Servicio'!CE393),CE394/(1-IF(B394&lt;=10,Parámetros!$D$100,0))),2))</f>
        <v>0</v>
      </c>
      <c r="CH394" s="66">
        <f t="shared" si="533"/>
        <v>0</v>
      </c>
      <c r="CI394" s="66">
        <f t="shared" si="533"/>
        <v>0</v>
      </c>
      <c r="CJ394" s="66">
        <f>+IF($W394="","",ROUND((CG394*Parámetros!$G$85),2))</f>
        <v>0</v>
      </c>
      <c r="CK394" s="66">
        <f>+IF($W394="","",ROUND((CG394*(Parámetros!$G$86)),2))</f>
        <v>0</v>
      </c>
      <c r="CL394" s="66">
        <f t="shared" si="534"/>
        <v>0</v>
      </c>
      <c r="CM394" t="str">
        <f t="shared" si="575"/>
        <v>00063</v>
      </c>
      <c r="CN394" s="118" t="str">
        <f t="shared" si="576"/>
        <v>Renta Diaria por Hospitalización</v>
      </c>
      <c r="CO394" s="118">
        <f t="shared" si="577"/>
        <v>0</v>
      </c>
      <c r="CP394" s="118" t="str">
        <f t="shared" si="578"/>
        <v>A</v>
      </c>
      <c r="CQ394" s="119" t="str">
        <f t="shared" si="535"/>
        <v/>
      </c>
      <c r="CR394" s="66">
        <f>+IF($W394="","",ROUND((VLOOKUP(Parámetros!$F$51,'COBERTURAS ADICIONALES'!$S$4:$T$32,2,FALSE)*(1+i/frec)^-0.5*(1+Parámetros!$D$103)*(1+rec_fracc)/frec*$CO$42),2))</f>
        <v>0</v>
      </c>
      <c r="CS394" s="119" t="str">
        <f t="shared" si="536"/>
        <v/>
      </c>
      <c r="CT394" s="66">
        <f>+IF($W394="","",ROUND(IF($B394&gt;Parámetros!$D$107,'Tablas Servicio'!CR394+('Tablas Servicio'!CT393-'Tablas Servicio'!CR393),CR394/(1-IF(B394&lt;=10,Parámetros!$D$100,0))),2))</f>
        <v>0</v>
      </c>
      <c r="CU394" s="66">
        <f t="shared" si="537"/>
        <v>0</v>
      </c>
      <c r="CV394" s="66">
        <f t="shared" si="537"/>
        <v>0</v>
      </c>
      <c r="CW394" s="66">
        <f>+IF($W394="","",ROUND((CT394*Parámetros!$G$85),2))</f>
        <v>0</v>
      </c>
      <c r="CX394" s="66">
        <f>+IF($W394="","",ROUND((CT394*(Parámetros!$G$86)),2))</f>
        <v>0</v>
      </c>
      <c r="CY394" s="66">
        <f t="shared" si="538"/>
        <v>0</v>
      </c>
      <c r="CZ394" t="str">
        <f t="shared" si="579"/>
        <v>00064</v>
      </c>
      <c r="DA394" s="118" t="str">
        <f t="shared" si="580"/>
        <v>Enfermedades Graves</v>
      </c>
      <c r="DB394" s="118">
        <f t="shared" si="581"/>
        <v>0</v>
      </c>
      <c r="DC394" s="118" t="str">
        <f t="shared" si="582"/>
        <v>A</v>
      </c>
      <c r="DD394" s="121" t="str">
        <f>+IF(OR($W394="",DB394=0),"",ROUND((VLOOKUP(ROUNDDOWN($D394-1/frec,0),cob_adi,CO$40,FALSE)*(1+i/frec)^-0.5*(1+Parámetros!$D$103)*(1+rec_fracc)/frec),6))</f>
        <v/>
      </c>
      <c r="DE394" s="66">
        <f t="shared" si="539"/>
        <v>0</v>
      </c>
      <c r="DF394" s="119" t="str">
        <f t="shared" si="540"/>
        <v/>
      </c>
      <c r="DG394" s="66">
        <f>+IF($W394="","",ROUND(IF($B394&gt;Parámetros!$D$107,'Tablas Servicio'!DE394+('Tablas Servicio'!DG393-'Tablas Servicio'!DE393),DE394/(1-IF(B394&lt;=10,Parámetros!$D$100,0))),2))</f>
        <v>0</v>
      </c>
      <c r="DH394" s="66">
        <f t="shared" si="541"/>
        <v>0</v>
      </c>
      <c r="DI394" s="66">
        <f t="shared" si="541"/>
        <v>0</v>
      </c>
      <c r="DJ394" s="66">
        <f>+IF($W394="","",ROUND((DG394*Parámetros!$G$85),2))</f>
        <v>0</v>
      </c>
      <c r="DK394" s="66">
        <f>+IF($W394="","",ROUND((DG394*(Parámetros!$G$86)),2))</f>
        <v>0</v>
      </c>
      <c r="DL394" s="66">
        <f t="shared" si="542"/>
        <v>0</v>
      </c>
      <c r="DM394" t="str">
        <f t="shared" si="583"/>
        <v>00065</v>
      </c>
      <c r="DN394" s="118" t="str">
        <f t="shared" si="584"/>
        <v>Exención pago de primas</v>
      </c>
      <c r="DO394" s="118">
        <f t="shared" si="585"/>
        <v>0</v>
      </c>
      <c r="DP394" s="118" t="str">
        <f t="shared" si="586"/>
        <v>A</v>
      </c>
      <c r="DQ394" s="122" t="str">
        <f>+IF(OR($W394="",DO394=0),"",ROUND((VLOOKUP(ROUNDDOWN($D394-1/frec,0),cob_adi,DB$40,FALSE)*(1+i/frec)^-0.5*(1+Parámetros!$D$103)*(1+rec_fracc)/frec),6))</f>
        <v/>
      </c>
      <c r="DR394" s="66">
        <f t="shared" si="543"/>
        <v>0</v>
      </c>
      <c r="DS394" s="68" t="str">
        <f t="shared" si="544"/>
        <v/>
      </c>
      <c r="DT394" s="66">
        <f>+IF($W394="","",ROUND(IF($B394&gt;Parámetros!$D$107,'Tablas Servicio'!DR394+('Tablas Servicio'!DT393-'Tablas Servicio'!DR393),DR394/(1-IF(B394&lt;=10,Parámetros!$D$100,0))),2))</f>
        <v>0</v>
      </c>
      <c r="DU394" s="66">
        <f t="shared" si="545"/>
        <v>0</v>
      </c>
      <c r="DV394" s="66">
        <f t="shared" si="545"/>
        <v>0</v>
      </c>
      <c r="DW394" s="66">
        <f>+IF($W394="","",ROUND((DT394*Parámetros!$G$85),2))</f>
        <v>0</v>
      </c>
      <c r="DX394" s="66">
        <f>+IF($W394="","",ROUND((DT394*(Parámetros!$G$86)),2))</f>
        <v>0</v>
      </c>
      <c r="DY394" s="66">
        <f t="shared" si="546"/>
        <v>0</v>
      </c>
      <c r="DZ394" t="str">
        <f t="shared" si="587"/>
        <v>00066</v>
      </c>
      <c r="EA394" s="118" t="str">
        <f t="shared" si="587"/>
        <v>Enfermedad terminal</v>
      </c>
      <c r="EB394" s="118">
        <f>+IF($W394="","",ROUND(IF(Parámetros!$D$25='TABLAS MORT'!$V$33,EB393,Z394/2),0))</f>
        <v>50000</v>
      </c>
      <c r="EC394" s="118" t="str">
        <f t="shared" si="587"/>
        <v>A</v>
      </c>
      <c r="ED394" s="122">
        <f>+IF(OR($W394="",EB394=0),"",ROUND((VLOOKUP(ROUNDDOWN($D394-1/frec,0),cob_adi,DO$40,FALSE)*(1+i/frec)^-0.5*(1+Parámetros!$D$103)*(1+rec_fracc)/frec),6))</f>
        <v>5.5000000000000002E-5</v>
      </c>
      <c r="EE394" s="66">
        <f t="shared" si="548"/>
        <v>2.75</v>
      </c>
      <c r="EF394" s="68">
        <f t="shared" si="549"/>
        <v>5.5000000000000002E-5</v>
      </c>
      <c r="EG394" s="66">
        <f>+IF($W394="","",ROUND(IF($B394&gt;Parámetros!$D$107,'Tablas Servicio'!EE394+('Tablas Servicio'!EG393-'Tablas Servicio'!EE393),EE394/(1-IF(B394&lt;=10,Parámetros!$D$100,0))),2))</f>
        <v>2.75</v>
      </c>
      <c r="EH394" s="66">
        <f t="shared" si="550"/>
        <v>0</v>
      </c>
      <c r="EI394" s="66">
        <f t="shared" si="550"/>
        <v>0</v>
      </c>
      <c r="EJ394" s="66">
        <f>+IF($W394="","",ROUND((EG394*Parámetros!$G$85),2))</f>
        <v>0.1</v>
      </c>
      <c r="EK394" s="66">
        <f>+IF($W394="","",ROUND((EG394*(Parámetros!$G$86)),2))</f>
        <v>0.01</v>
      </c>
      <c r="EL394" s="66">
        <f t="shared" si="551"/>
        <v>2.86</v>
      </c>
    </row>
    <row r="395" spans="1:142" x14ac:dyDescent="0.25">
      <c r="A395">
        <f>+IF($C395="","",ROUND(VLOOKUP('Tablas Servicio'!B395,Parámetros!$H$100:$J$159,IF(Parámetros!$E$16="F",2,3),FALSE),2))</f>
        <v>150</v>
      </c>
      <c r="B395">
        <f t="shared" si="502"/>
        <v>30</v>
      </c>
      <c r="C395" s="57">
        <f>+IF(D395="","",'Tablas Servicio'!C394+1)</f>
        <v>354</v>
      </c>
      <c r="D395" s="56">
        <f>+IF(D394&lt;edadmaxtabla,D394+1/Parámetros!$E$25,"")</f>
        <v>69.520000000000366</v>
      </c>
      <c r="E395" s="57">
        <f t="shared" si="512"/>
        <v>69</v>
      </c>
      <c r="F395" s="59">
        <f t="shared" si="513"/>
        <v>100000</v>
      </c>
      <c r="G395" s="66">
        <f t="shared" si="503"/>
        <v>118.25</v>
      </c>
      <c r="H395" s="66">
        <f t="shared" si="504"/>
        <v>122.98</v>
      </c>
      <c r="I395" s="66">
        <f t="shared" si="552"/>
        <v>-28.980000000000004</v>
      </c>
      <c r="J395" s="66">
        <f t="shared" si="505"/>
        <v>4.1399999999999997</v>
      </c>
      <c r="K395" s="66">
        <f t="shared" si="506"/>
        <v>0.59</v>
      </c>
      <c r="L395" s="66">
        <f t="shared" si="507"/>
        <v>0</v>
      </c>
      <c r="M395" s="66">
        <f t="shared" si="508"/>
        <v>0</v>
      </c>
      <c r="N395" s="66">
        <f>+IF(C395="","",ROUND(Parámetros!$D$23,2))</f>
        <v>94</v>
      </c>
      <c r="O395" s="66">
        <f t="shared" si="509"/>
        <v>105.75</v>
      </c>
      <c r="P395" s="66">
        <f>+IF($C395="","",ROUND(IF(B395&gt;Parámetros!$D$117,0,N395*Parámetros!$D$116-G395*Parámetros!$D$100),2))</f>
        <v>0</v>
      </c>
      <c r="Q395" s="75">
        <f t="shared" si="553"/>
        <v>3.5010570824524308E-2</v>
      </c>
      <c r="R395" s="75">
        <f t="shared" si="554"/>
        <v>4.989429175475687E-3</v>
      </c>
      <c r="S395" s="117">
        <f>+IF($C395="","",ROUND((S394+I395)*(1+Parámetros!$D$91),2))</f>
        <v>25759.05</v>
      </c>
      <c r="T395" s="117">
        <f>+IF($C395="","",ROUND(S395*VLOOKUP(B395,Parámetros!$C$30:$D$39,2,TRUE),2))</f>
        <v>25759.05</v>
      </c>
      <c r="U395" s="117">
        <f>+IF($C395="","",ROUND((U394+I395)*(1+Parámetros!$D$92),2))</f>
        <v>28505.51</v>
      </c>
      <c r="V395" s="117">
        <f>+IF($C395="","",ROUND(U395*VLOOKUP(B395,Parámetros!$C$30:$D$39,2,TRUE),2))</f>
        <v>28505.51</v>
      </c>
      <c r="W395" s="57">
        <f t="shared" si="555"/>
        <v>354</v>
      </c>
      <c r="X395" t="str">
        <f t="shared" si="556"/>
        <v>00058</v>
      </c>
      <c r="Y395" t="str">
        <f t="shared" si="557"/>
        <v>MUERTE POR CUALQUIER CAUSA</v>
      </c>
      <c r="Z395" s="118">
        <f>+IF($W395="","",ROUND(IF(Parámetros!$D$25='TABLAS MORT'!$V$33,Z394,Parámetros!$D$21-'Tablas Servicio'!T394),0))</f>
        <v>100000</v>
      </c>
      <c r="AA395" s="118" t="str">
        <f t="shared" si="558"/>
        <v>P</v>
      </c>
      <c r="AB395" s="119">
        <f>+IF(W395="","",ROUND((VLOOKUP(ROUNDDOWN($D395-1/frec,0),qx_tabla,2,FALSE)*(1+i/frec)^-0.5*(1+Parámetros!$D$103)*(1+rec_fracc)/frec),6))</f>
        <v>1.0300000000000001E-3</v>
      </c>
      <c r="AC395" s="66">
        <f t="shared" si="514"/>
        <v>103</v>
      </c>
      <c r="AD395" s="119">
        <f t="shared" si="510"/>
        <v>1.155E-3</v>
      </c>
      <c r="AE395" s="66">
        <f>+IF($W395="","",ROUND(IF($B395&gt;Parámetros!$D$107,'Tablas Servicio'!AC395+('Tablas Servicio'!AG394-'Tablas Servicio'!AC394),AC395/(1-IF(B395&lt;=10,Parámetros!$D$104,Parámetros!$D$105))),2))</f>
        <v>171.67</v>
      </c>
      <c r="AF395" s="66">
        <f>+IF($W395="","",ROUND(IF($B395&gt;Parámetros!$D$107,'Tablas Servicio'!AC395+('Tablas Servicio'!AG394-'Tablas Servicio'!AC394),(AC395+$A394/frec)/(1-IF(B395&lt;=Parámetros!$D$117,Parámetros!$D$100,0))),2))</f>
        <v>115.5</v>
      </c>
      <c r="AG395" s="66">
        <f t="shared" si="515"/>
        <v>115.5</v>
      </c>
      <c r="AH395" s="66">
        <f t="shared" si="516"/>
        <v>0</v>
      </c>
      <c r="AI395" s="66">
        <f t="shared" si="517"/>
        <v>0</v>
      </c>
      <c r="AJ395" s="66">
        <f>+IF($W395="","",ROUND((AG395*Parámetros!$G$85),2))</f>
        <v>4.04</v>
      </c>
      <c r="AK395" s="66">
        <f>+IF($W395="","",ROUND((AG395*(Parámetros!$G$86)),2))</f>
        <v>0.57999999999999996</v>
      </c>
      <c r="AL395" s="66">
        <f t="shared" si="511"/>
        <v>120.12</v>
      </c>
      <c r="AM395" t="str">
        <f t="shared" si="559"/>
        <v>00059</v>
      </c>
      <c r="AN395" t="str">
        <f t="shared" si="560"/>
        <v>Incapacidad Total y Permanente</v>
      </c>
      <c r="AO395" s="118">
        <f t="shared" si="561"/>
        <v>0</v>
      </c>
      <c r="AP395" s="118" t="str">
        <f t="shared" si="562"/>
        <v>A</v>
      </c>
      <c r="AQ395" s="119" t="str">
        <f>+IF(OR($W395="",AO395=0),"",ROUND((VLOOKUP(ROUNDDOWN($D395-1/frec,0),cob_adi,Z$40,FALSE)*(1+i/frec)^-0.5*(1+Parámetros!$D$103)*(1+rec_fracc)/frec),6))</f>
        <v/>
      </c>
      <c r="AR395" s="66">
        <f t="shared" si="518"/>
        <v>0</v>
      </c>
      <c r="AS395" s="119" t="str">
        <f t="shared" si="519"/>
        <v/>
      </c>
      <c r="AT395" s="66">
        <f>+IF($W395="","",ROUND(IF($B395&gt;Parámetros!$D$107,'Tablas Servicio'!AR395+('Tablas Servicio'!AT394-'Tablas Servicio'!AR394),AR395/(1-IF(B395&lt;=10,Parámetros!$D$100,0))),2))</f>
        <v>0</v>
      </c>
      <c r="AU395" s="66">
        <f t="shared" si="520"/>
        <v>0</v>
      </c>
      <c r="AV395" s="66">
        <f t="shared" si="520"/>
        <v>0</v>
      </c>
      <c r="AW395" s="66">
        <f>+IF($W395="","",ROUND((AT395*Parámetros!$G$85),2))</f>
        <v>0</v>
      </c>
      <c r="AX395" s="66">
        <f>+IF($W395="","",ROUND((AT395*(Parámetros!$G$86)),2))</f>
        <v>0</v>
      </c>
      <c r="AY395" s="66">
        <f t="shared" si="521"/>
        <v>0</v>
      </c>
      <c r="AZ395" t="str">
        <f t="shared" si="563"/>
        <v>00060</v>
      </c>
      <c r="BA395" t="str">
        <f t="shared" si="564"/>
        <v>Muerte Accidental</v>
      </c>
      <c r="BB395" s="118">
        <f t="shared" si="565"/>
        <v>0</v>
      </c>
      <c r="BC395" s="118" t="str">
        <f t="shared" si="566"/>
        <v>A</v>
      </c>
      <c r="BD395" s="119" t="str">
        <f>+IF(OR($W395="",BB395=0),"",ROUND((VLOOKUP(ROUNDDOWN($D395-1/frec,0),cob_adi,AO$40,FALSE)*(1+i/frec)^-0.5*(1+Parámetros!$D$103)*(1+rec_fracc)/frec),6))</f>
        <v/>
      </c>
      <c r="BE395" s="66">
        <f t="shared" si="522"/>
        <v>0</v>
      </c>
      <c r="BF395" s="119" t="str">
        <f t="shared" si="523"/>
        <v/>
      </c>
      <c r="BG395" s="66">
        <f>+IF($W395="","",ROUND(IF($B395&gt;Parámetros!$D$107,'Tablas Servicio'!BE395+('Tablas Servicio'!BG394-'Tablas Servicio'!BE394),BE395/(1-IF(B395&lt;=10,Parámetros!$D$100,0))),2))</f>
        <v>0</v>
      </c>
      <c r="BH395" s="66">
        <f t="shared" si="524"/>
        <v>0</v>
      </c>
      <c r="BI395" s="66">
        <f t="shared" si="525"/>
        <v>0</v>
      </c>
      <c r="BJ395" s="66">
        <f>+IF($W395="","",ROUND((BG395*Parámetros!$G$85),2))</f>
        <v>0</v>
      </c>
      <c r="BK395" s="66">
        <f>+IF($W395="","",ROUND((BG395*(Parámetros!$G$86)),2))</f>
        <v>0</v>
      </c>
      <c r="BL395" s="66">
        <f t="shared" si="526"/>
        <v>0</v>
      </c>
      <c r="BM395" t="str">
        <f t="shared" si="567"/>
        <v>00061</v>
      </c>
      <c r="BN395" t="str">
        <f t="shared" si="568"/>
        <v>Gastos de Entierro</v>
      </c>
      <c r="BO395" s="118">
        <f t="shared" si="569"/>
        <v>0</v>
      </c>
      <c r="BP395" s="118" t="str">
        <f t="shared" si="570"/>
        <v>A</v>
      </c>
      <c r="BQ395" s="119" t="str">
        <f>+IF(OR($W395="",BO395=0),"",ROUND((VLOOKUP(ROUNDDOWN($D395-1/frec,0),cob_adi,BB$40,FALSE)*(1+i/frec)^-0.5*(1+Parámetros!$D$103)*(1+rec_fracc)/frec),6))</f>
        <v/>
      </c>
      <c r="BR395" s="66">
        <f t="shared" si="527"/>
        <v>0</v>
      </c>
      <c r="BS395" s="119" t="str">
        <f t="shared" si="528"/>
        <v/>
      </c>
      <c r="BT395" s="66">
        <f>+IF($W395="","",ROUND(IF($B395&gt;Parámetros!$D$107,'Tablas Servicio'!BR395+('Tablas Servicio'!BT394-'Tablas Servicio'!BR394),BR395/(1-IF(B395&lt;=10,Parámetros!$D$100,0))),2))</f>
        <v>0</v>
      </c>
      <c r="BU395" s="66">
        <f t="shared" si="529"/>
        <v>0</v>
      </c>
      <c r="BV395" s="66">
        <f t="shared" si="529"/>
        <v>0</v>
      </c>
      <c r="BW395" s="66">
        <f>+IF($W395="","",ROUND((BT395*Parámetros!$G$85),2))</f>
        <v>0</v>
      </c>
      <c r="BX395" s="66">
        <f>+IF($W395="","",ROUND((BT395*(Parámetros!$G$86)),2))</f>
        <v>0</v>
      </c>
      <c r="BY395" s="66">
        <f t="shared" si="530"/>
        <v>0</v>
      </c>
      <c r="BZ395" t="str">
        <f t="shared" si="571"/>
        <v>00062</v>
      </c>
      <c r="CA395" t="str">
        <f t="shared" si="572"/>
        <v>Gastos médicos por accidente</v>
      </c>
      <c r="CB395" s="118">
        <f t="shared" si="573"/>
        <v>0</v>
      </c>
      <c r="CC395" s="118" t="str">
        <f t="shared" si="574"/>
        <v>A</v>
      </c>
      <c r="CD395" s="119" t="str">
        <f t="shared" si="531"/>
        <v/>
      </c>
      <c r="CE395" s="66">
        <f>+IF($W395="","",ROUND((VLOOKUP(ROUNDDOWN($D395-1/frec,0),cob_adi,BO$40,FALSE)*(1+i/frec)^-0.5*(1+Parámetros!$D$103)*(1+rec_fracc)/frec*'TABLAS ADI'!$BC$17),2))</f>
        <v>0</v>
      </c>
      <c r="CF395" s="119" t="str">
        <f t="shared" si="532"/>
        <v/>
      </c>
      <c r="CG395" s="66">
        <f>+IF($W395="","",ROUND(IF($B395&gt;Parámetros!$D$107,'Tablas Servicio'!CE395+('Tablas Servicio'!CG394-'Tablas Servicio'!CE394),CE395/(1-IF(B395&lt;=10,Parámetros!$D$100,0))),2))</f>
        <v>0</v>
      </c>
      <c r="CH395" s="66">
        <f t="shared" si="533"/>
        <v>0</v>
      </c>
      <c r="CI395" s="66">
        <f t="shared" si="533"/>
        <v>0</v>
      </c>
      <c r="CJ395" s="66">
        <f>+IF($W395="","",ROUND((CG395*Parámetros!$G$85),2))</f>
        <v>0</v>
      </c>
      <c r="CK395" s="66">
        <f>+IF($W395="","",ROUND((CG395*(Parámetros!$G$86)),2))</f>
        <v>0</v>
      </c>
      <c r="CL395" s="66">
        <f t="shared" si="534"/>
        <v>0</v>
      </c>
      <c r="CM395" t="str">
        <f t="shared" si="575"/>
        <v>00063</v>
      </c>
      <c r="CN395" s="118" t="str">
        <f t="shared" si="576"/>
        <v>Renta Diaria por Hospitalización</v>
      </c>
      <c r="CO395" s="118">
        <f t="shared" si="577"/>
        <v>0</v>
      </c>
      <c r="CP395" s="118" t="str">
        <f t="shared" si="578"/>
        <v>A</v>
      </c>
      <c r="CQ395" s="119" t="str">
        <f t="shared" si="535"/>
        <v/>
      </c>
      <c r="CR395" s="66">
        <f>+IF($W395="","",ROUND((VLOOKUP(Parámetros!$F$51,'COBERTURAS ADICIONALES'!$S$4:$T$32,2,FALSE)*(1+i/frec)^-0.5*(1+Parámetros!$D$103)*(1+rec_fracc)/frec*$CO$42),2))</f>
        <v>0</v>
      </c>
      <c r="CS395" s="119" t="str">
        <f t="shared" si="536"/>
        <v/>
      </c>
      <c r="CT395" s="66">
        <f>+IF($W395="","",ROUND(IF($B395&gt;Parámetros!$D$107,'Tablas Servicio'!CR395+('Tablas Servicio'!CT394-'Tablas Servicio'!CR394),CR395/(1-IF(B395&lt;=10,Parámetros!$D$100,0))),2))</f>
        <v>0</v>
      </c>
      <c r="CU395" s="66">
        <f t="shared" si="537"/>
        <v>0</v>
      </c>
      <c r="CV395" s="66">
        <f t="shared" si="537"/>
        <v>0</v>
      </c>
      <c r="CW395" s="66">
        <f>+IF($W395="","",ROUND((CT395*Parámetros!$G$85),2))</f>
        <v>0</v>
      </c>
      <c r="CX395" s="66">
        <f>+IF($W395="","",ROUND((CT395*(Parámetros!$G$86)),2))</f>
        <v>0</v>
      </c>
      <c r="CY395" s="66">
        <f t="shared" si="538"/>
        <v>0</v>
      </c>
      <c r="CZ395" t="str">
        <f t="shared" si="579"/>
        <v>00064</v>
      </c>
      <c r="DA395" s="118" t="str">
        <f t="shared" si="580"/>
        <v>Enfermedades Graves</v>
      </c>
      <c r="DB395" s="118">
        <f t="shared" si="581"/>
        <v>0</v>
      </c>
      <c r="DC395" s="118" t="str">
        <f t="shared" si="582"/>
        <v>A</v>
      </c>
      <c r="DD395" s="121" t="str">
        <f>+IF(OR($W395="",DB395=0),"",ROUND((VLOOKUP(ROUNDDOWN($D395-1/frec,0),cob_adi,CO$40,FALSE)*(1+i/frec)^-0.5*(1+Parámetros!$D$103)*(1+rec_fracc)/frec),6))</f>
        <v/>
      </c>
      <c r="DE395" s="66">
        <f t="shared" si="539"/>
        <v>0</v>
      </c>
      <c r="DF395" s="119" t="str">
        <f t="shared" si="540"/>
        <v/>
      </c>
      <c r="DG395" s="66">
        <f>+IF($W395="","",ROUND(IF($B395&gt;Parámetros!$D$107,'Tablas Servicio'!DE395+('Tablas Servicio'!DG394-'Tablas Servicio'!DE394),DE395/(1-IF(B395&lt;=10,Parámetros!$D$100,0))),2))</f>
        <v>0</v>
      </c>
      <c r="DH395" s="66">
        <f t="shared" si="541"/>
        <v>0</v>
      </c>
      <c r="DI395" s="66">
        <f t="shared" si="541"/>
        <v>0</v>
      </c>
      <c r="DJ395" s="66">
        <f>+IF($W395="","",ROUND((DG395*Parámetros!$G$85),2))</f>
        <v>0</v>
      </c>
      <c r="DK395" s="66">
        <f>+IF($W395="","",ROUND((DG395*(Parámetros!$G$86)),2))</f>
        <v>0</v>
      </c>
      <c r="DL395" s="66">
        <f t="shared" si="542"/>
        <v>0</v>
      </c>
      <c r="DM395" t="str">
        <f t="shared" si="583"/>
        <v>00065</v>
      </c>
      <c r="DN395" s="118" t="str">
        <f t="shared" si="584"/>
        <v>Exención pago de primas</v>
      </c>
      <c r="DO395" s="118">
        <f t="shared" si="585"/>
        <v>0</v>
      </c>
      <c r="DP395" s="118" t="str">
        <f t="shared" si="586"/>
        <v>A</v>
      </c>
      <c r="DQ395" s="122" t="str">
        <f>+IF(OR($W395="",DO395=0),"",ROUND((VLOOKUP(ROUNDDOWN($D395-1/frec,0),cob_adi,DB$40,FALSE)*(1+i/frec)^-0.5*(1+Parámetros!$D$103)*(1+rec_fracc)/frec),6))</f>
        <v/>
      </c>
      <c r="DR395" s="66">
        <f t="shared" si="543"/>
        <v>0</v>
      </c>
      <c r="DS395" s="68" t="str">
        <f t="shared" si="544"/>
        <v/>
      </c>
      <c r="DT395" s="66">
        <f>+IF($W395="","",ROUND(IF($B395&gt;Parámetros!$D$107,'Tablas Servicio'!DR395+('Tablas Servicio'!DT394-'Tablas Servicio'!DR394),DR395/(1-IF(B395&lt;=10,Parámetros!$D$100,0))),2))</f>
        <v>0</v>
      </c>
      <c r="DU395" s="66">
        <f t="shared" si="545"/>
        <v>0</v>
      </c>
      <c r="DV395" s="66">
        <f t="shared" si="545"/>
        <v>0</v>
      </c>
      <c r="DW395" s="66">
        <f>+IF($W395="","",ROUND((DT395*Parámetros!$G$85),2))</f>
        <v>0</v>
      </c>
      <c r="DX395" s="66">
        <f>+IF($W395="","",ROUND((DT395*(Parámetros!$G$86)),2))</f>
        <v>0</v>
      </c>
      <c r="DY395" s="66">
        <f t="shared" si="546"/>
        <v>0</v>
      </c>
      <c r="DZ395" t="str">
        <f t="shared" ref="DZ395:EC410" si="588">+IF($W395="","",DZ394)</f>
        <v>00066</v>
      </c>
      <c r="EA395" s="118" t="str">
        <f t="shared" si="588"/>
        <v>Enfermedad terminal</v>
      </c>
      <c r="EB395" s="118">
        <f>+IF($W395="","",ROUND(IF(Parámetros!$D$25='TABLAS MORT'!$V$33,EB394,Z395/2),0))</f>
        <v>50000</v>
      </c>
      <c r="EC395" s="118" t="str">
        <f t="shared" si="588"/>
        <v>A</v>
      </c>
      <c r="ED395" s="122">
        <f>+IF(OR($W395="",EB395=0),"",ROUND((VLOOKUP(ROUNDDOWN($D395-1/frec,0),cob_adi,DO$40,FALSE)*(1+i/frec)^-0.5*(1+Parámetros!$D$103)*(1+rec_fracc)/frec),6))</f>
        <v>5.5000000000000002E-5</v>
      </c>
      <c r="EE395" s="66">
        <f t="shared" si="548"/>
        <v>2.75</v>
      </c>
      <c r="EF395" s="68">
        <f t="shared" si="549"/>
        <v>5.5000000000000002E-5</v>
      </c>
      <c r="EG395" s="66">
        <f>+IF($W395="","",ROUND(IF($B395&gt;Parámetros!$D$107,'Tablas Servicio'!EE395+('Tablas Servicio'!EG394-'Tablas Servicio'!EE394),EE395/(1-IF(B395&lt;=10,Parámetros!$D$100,0))),2))</f>
        <v>2.75</v>
      </c>
      <c r="EH395" s="66">
        <f t="shared" si="550"/>
        <v>0</v>
      </c>
      <c r="EI395" s="66">
        <f t="shared" si="550"/>
        <v>0</v>
      </c>
      <c r="EJ395" s="66">
        <f>+IF($W395="","",ROUND((EG395*Parámetros!$G$85),2))</f>
        <v>0.1</v>
      </c>
      <c r="EK395" s="66">
        <f>+IF($W395="","",ROUND((EG395*(Parámetros!$G$86)),2))</f>
        <v>0.01</v>
      </c>
      <c r="EL395" s="66">
        <f t="shared" si="551"/>
        <v>2.86</v>
      </c>
    </row>
    <row r="396" spans="1:142" x14ac:dyDescent="0.25">
      <c r="A396">
        <f>+IF($C396="","",ROUND(VLOOKUP('Tablas Servicio'!B396,Parámetros!$H$100:$J$159,IF(Parámetros!$E$16="F",2,3),FALSE),2))</f>
        <v>150</v>
      </c>
      <c r="B396">
        <f t="shared" si="502"/>
        <v>30</v>
      </c>
      <c r="C396" s="57">
        <f>+IF(D396="","",'Tablas Servicio'!C395+1)</f>
        <v>355</v>
      </c>
      <c r="D396" s="56">
        <f>+IF(D395&lt;edadmaxtabla,D395+1/Parámetros!$E$25,"")</f>
        <v>69.603333333333694</v>
      </c>
      <c r="E396" s="57">
        <f t="shared" si="512"/>
        <v>69</v>
      </c>
      <c r="F396" s="59">
        <f t="shared" si="513"/>
        <v>100000</v>
      </c>
      <c r="G396" s="66">
        <f t="shared" si="503"/>
        <v>118.25</v>
      </c>
      <c r="H396" s="66">
        <f t="shared" si="504"/>
        <v>122.98</v>
      </c>
      <c r="I396" s="66">
        <f t="shared" si="552"/>
        <v>-28.980000000000004</v>
      </c>
      <c r="J396" s="66">
        <f t="shared" si="505"/>
        <v>4.1399999999999997</v>
      </c>
      <c r="K396" s="66">
        <f t="shared" si="506"/>
        <v>0.59</v>
      </c>
      <c r="L396" s="66">
        <f t="shared" si="507"/>
        <v>0</v>
      </c>
      <c r="M396" s="66">
        <f t="shared" si="508"/>
        <v>0</v>
      </c>
      <c r="N396" s="66">
        <f>+IF(C396="","",ROUND(Parámetros!$D$23,2))</f>
        <v>94</v>
      </c>
      <c r="O396" s="66">
        <f t="shared" si="509"/>
        <v>105.75</v>
      </c>
      <c r="P396" s="66">
        <f>+IF($C396="","",ROUND(IF(B396&gt;Parámetros!$D$117,0,N396*Parámetros!$D$116-G396*Parámetros!$D$100),2))</f>
        <v>0</v>
      </c>
      <c r="Q396" s="75">
        <f t="shared" si="553"/>
        <v>3.5010570824524308E-2</v>
      </c>
      <c r="R396" s="75">
        <f t="shared" si="554"/>
        <v>4.989429175475687E-3</v>
      </c>
      <c r="S396" s="117">
        <f>+IF($C396="","",ROUND((S395+I396)*(1+Parámetros!$D$91),2))</f>
        <v>25803.05</v>
      </c>
      <c r="T396" s="117">
        <f>+IF($C396="","",ROUND(S396*VLOOKUP(B396,Parámetros!$C$30:$D$39,2,TRUE),2))</f>
        <v>25803.05</v>
      </c>
      <c r="U396" s="117">
        <f>+IF($C396="","",ROUND((U395+I396)*(1+Parámetros!$D$92),2))</f>
        <v>28568.84</v>
      </c>
      <c r="V396" s="117">
        <f>+IF($C396="","",ROUND(U396*VLOOKUP(B396,Parámetros!$C$30:$D$39,2,TRUE),2))</f>
        <v>28568.84</v>
      </c>
      <c r="W396" s="57">
        <f t="shared" si="555"/>
        <v>355</v>
      </c>
      <c r="X396" t="str">
        <f t="shared" si="556"/>
        <v>00058</v>
      </c>
      <c r="Y396" t="str">
        <f t="shared" si="557"/>
        <v>MUERTE POR CUALQUIER CAUSA</v>
      </c>
      <c r="Z396" s="118">
        <f>+IF($W396="","",ROUND(IF(Parámetros!$D$25='TABLAS MORT'!$V$33,Z395,Parámetros!$D$21-'Tablas Servicio'!T395),0))</f>
        <v>100000</v>
      </c>
      <c r="AA396" s="118" t="str">
        <f t="shared" si="558"/>
        <v>P</v>
      </c>
      <c r="AB396" s="119">
        <f>+IF(W396="","",ROUND((VLOOKUP(ROUNDDOWN($D396-1/frec,0),qx_tabla,2,FALSE)*(1+i/frec)^-0.5*(1+Parámetros!$D$103)*(1+rec_fracc)/frec),6))</f>
        <v>1.0300000000000001E-3</v>
      </c>
      <c r="AC396" s="66">
        <f t="shared" si="514"/>
        <v>103</v>
      </c>
      <c r="AD396" s="119">
        <f t="shared" si="510"/>
        <v>1.155E-3</v>
      </c>
      <c r="AE396" s="66">
        <f>+IF($W396="","",ROUND(IF($B396&gt;Parámetros!$D$107,'Tablas Servicio'!AC396+('Tablas Servicio'!AG395-'Tablas Servicio'!AC395),AC396/(1-IF(B396&lt;=10,Parámetros!$D$104,Parámetros!$D$105))),2))</f>
        <v>171.67</v>
      </c>
      <c r="AF396" s="66">
        <f>+IF($W396="","",ROUND(IF($B396&gt;Parámetros!$D$107,'Tablas Servicio'!AC396+('Tablas Servicio'!AG395-'Tablas Servicio'!AC395),(AC396+$A395/frec)/(1-IF(B396&lt;=Parámetros!$D$117,Parámetros!$D$100,0))),2))</f>
        <v>115.5</v>
      </c>
      <c r="AG396" s="66">
        <f t="shared" si="515"/>
        <v>115.5</v>
      </c>
      <c r="AH396" s="66">
        <f t="shared" si="516"/>
        <v>0</v>
      </c>
      <c r="AI396" s="66">
        <f t="shared" si="517"/>
        <v>0</v>
      </c>
      <c r="AJ396" s="66">
        <f>+IF($W396="","",ROUND((AG396*Parámetros!$G$85),2))</f>
        <v>4.04</v>
      </c>
      <c r="AK396" s="66">
        <f>+IF($W396="","",ROUND((AG396*(Parámetros!$G$86)),2))</f>
        <v>0.57999999999999996</v>
      </c>
      <c r="AL396" s="66">
        <f t="shared" si="511"/>
        <v>120.12</v>
      </c>
      <c r="AM396" t="str">
        <f t="shared" si="559"/>
        <v>00059</v>
      </c>
      <c r="AN396" t="str">
        <f t="shared" si="560"/>
        <v>Incapacidad Total y Permanente</v>
      </c>
      <c r="AO396" s="118">
        <f t="shared" si="561"/>
        <v>0</v>
      </c>
      <c r="AP396" s="118" t="str">
        <f t="shared" si="562"/>
        <v>A</v>
      </c>
      <c r="AQ396" s="119" t="str">
        <f>+IF(OR($W396="",AO396=0),"",ROUND((VLOOKUP(ROUNDDOWN($D396-1/frec,0),cob_adi,Z$40,FALSE)*(1+i/frec)^-0.5*(1+Parámetros!$D$103)*(1+rec_fracc)/frec),6))</f>
        <v/>
      </c>
      <c r="AR396" s="66">
        <f t="shared" si="518"/>
        <v>0</v>
      </c>
      <c r="AS396" s="119" t="str">
        <f t="shared" si="519"/>
        <v/>
      </c>
      <c r="AT396" s="66">
        <f>+IF($W396="","",ROUND(IF($B396&gt;Parámetros!$D$107,'Tablas Servicio'!AR396+('Tablas Servicio'!AT395-'Tablas Servicio'!AR395),AR396/(1-IF(B396&lt;=10,Parámetros!$D$100,0))),2))</f>
        <v>0</v>
      </c>
      <c r="AU396" s="66">
        <f t="shared" si="520"/>
        <v>0</v>
      </c>
      <c r="AV396" s="66">
        <f t="shared" si="520"/>
        <v>0</v>
      </c>
      <c r="AW396" s="66">
        <f>+IF($W396="","",ROUND((AT396*Parámetros!$G$85),2))</f>
        <v>0</v>
      </c>
      <c r="AX396" s="66">
        <f>+IF($W396="","",ROUND((AT396*(Parámetros!$G$86)),2))</f>
        <v>0</v>
      </c>
      <c r="AY396" s="66">
        <f t="shared" si="521"/>
        <v>0</v>
      </c>
      <c r="AZ396" t="str">
        <f t="shared" si="563"/>
        <v>00060</v>
      </c>
      <c r="BA396" t="str">
        <f t="shared" si="564"/>
        <v>Muerte Accidental</v>
      </c>
      <c r="BB396" s="118">
        <f t="shared" si="565"/>
        <v>0</v>
      </c>
      <c r="BC396" s="118" t="str">
        <f t="shared" si="566"/>
        <v>A</v>
      </c>
      <c r="BD396" s="119" t="str">
        <f>+IF(OR($W396="",BB396=0),"",ROUND((VLOOKUP(ROUNDDOWN($D396-1/frec,0),cob_adi,AO$40,FALSE)*(1+i/frec)^-0.5*(1+Parámetros!$D$103)*(1+rec_fracc)/frec),6))</f>
        <v/>
      </c>
      <c r="BE396" s="66">
        <f t="shared" si="522"/>
        <v>0</v>
      </c>
      <c r="BF396" s="119" t="str">
        <f t="shared" si="523"/>
        <v/>
      </c>
      <c r="BG396" s="66">
        <f>+IF($W396="","",ROUND(IF($B396&gt;Parámetros!$D$107,'Tablas Servicio'!BE396+('Tablas Servicio'!BG395-'Tablas Servicio'!BE395),BE396/(1-IF(B396&lt;=10,Parámetros!$D$100,0))),2))</f>
        <v>0</v>
      </c>
      <c r="BH396" s="66">
        <f t="shared" si="524"/>
        <v>0</v>
      </c>
      <c r="BI396" s="66">
        <f t="shared" si="525"/>
        <v>0</v>
      </c>
      <c r="BJ396" s="66">
        <f>+IF($W396="","",ROUND((BG396*Parámetros!$G$85),2))</f>
        <v>0</v>
      </c>
      <c r="BK396" s="66">
        <f>+IF($W396="","",ROUND((BG396*(Parámetros!$G$86)),2))</f>
        <v>0</v>
      </c>
      <c r="BL396" s="66">
        <f t="shared" si="526"/>
        <v>0</v>
      </c>
      <c r="BM396" t="str">
        <f t="shared" si="567"/>
        <v>00061</v>
      </c>
      <c r="BN396" t="str">
        <f t="shared" si="568"/>
        <v>Gastos de Entierro</v>
      </c>
      <c r="BO396" s="118">
        <f t="shared" si="569"/>
        <v>0</v>
      </c>
      <c r="BP396" s="118" t="str">
        <f t="shared" si="570"/>
        <v>A</v>
      </c>
      <c r="BQ396" s="119" t="str">
        <f>+IF(OR($W396="",BO396=0),"",ROUND((VLOOKUP(ROUNDDOWN($D396-1/frec,0),cob_adi,BB$40,FALSE)*(1+i/frec)^-0.5*(1+Parámetros!$D$103)*(1+rec_fracc)/frec),6))</f>
        <v/>
      </c>
      <c r="BR396" s="66">
        <f t="shared" si="527"/>
        <v>0</v>
      </c>
      <c r="BS396" s="119" t="str">
        <f t="shared" si="528"/>
        <v/>
      </c>
      <c r="BT396" s="66">
        <f>+IF($W396="","",ROUND(IF($B396&gt;Parámetros!$D$107,'Tablas Servicio'!BR396+('Tablas Servicio'!BT395-'Tablas Servicio'!BR395),BR396/(1-IF(B396&lt;=10,Parámetros!$D$100,0))),2))</f>
        <v>0</v>
      </c>
      <c r="BU396" s="66">
        <f t="shared" si="529"/>
        <v>0</v>
      </c>
      <c r="BV396" s="66">
        <f t="shared" si="529"/>
        <v>0</v>
      </c>
      <c r="BW396" s="66">
        <f>+IF($W396="","",ROUND((BT396*Parámetros!$G$85),2))</f>
        <v>0</v>
      </c>
      <c r="BX396" s="66">
        <f>+IF($W396="","",ROUND((BT396*(Parámetros!$G$86)),2))</f>
        <v>0</v>
      </c>
      <c r="BY396" s="66">
        <f t="shared" si="530"/>
        <v>0</v>
      </c>
      <c r="BZ396" t="str">
        <f t="shared" si="571"/>
        <v>00062</v>
      </c>
      <c r="CA396" t="str">
        <f t="shared" si="572"/>
        <v>Gastos médicos por accidente</v>
      </c>
      <c r="CB396" s="118">
        <f t="shared" si="573"/>
        <v>0</v>
      </c>
      <c r="CC396" s="118" t="str">
        <f t="shared" si="574"/>
        <v>A</v>
      </c>
      <c r="CD396" s="119" t="str">
        <f t="shared" si="531"/>
        <v/>
      </c>
      <c r="CE396" s="66">
        <f>+IF($W396="","",ROUND((VLOOKUP(ROUNDDOWN($D396-1/frec,0),cob_adi,BO$40,FALSE)*(1+i/frec)^-0.5*(1+Parámetros!$D$103)*(1+rec_fracc)/frec*'TABLAS ADI'!$BC$17),2))</f>
        <v>0</v>
      </c>
      <c r="CF396" s="119" t="str">
        <f t="shared" si="532"/>
        <v/>
      </c>
      <c r="CG396" s="66">
        <f>+IF($W396="","",ROUND(IF($B396&gt;Parámetros!$D$107,'Tablas Servicio'!CE396+('Tablas Servicio'!CG395-'Tablas Servicio'!CE395),CE396/(1-IF(B396&lt;=10,Parámetros!$D$100,0))),2))</f>
        <v>0</v>
      </c>
      <c r="CH396" s="66">
        <f t="shared" si="533"/>
        <v>0</v>
      </c>
      <c r="CI396" s="66">
        <f t="shared" si="533"/>
        <v>0</v>
      </c>
      <c r="CJ396" s="66">
        <f>+IF($W396="","",ROUND((CG396*Parámetros!$G$85),2))</f>
        <v>0</v>
      </c>
      <c r="CK396" s="66">
        <f>+IF($W396="","",ROUND((CG396*(Parámetros!$G$86)),2))</f>
        <v>0</v>
      </c>
      <c r="CL396" s="66">
        <f t="shared" si="534"/>
        <v>0</v>
      </c>
      <c r="CM396" t="str">
        <f t="shared" si="575"/>
        <v>00063</v>
      </c>
      <c r="CN396" s="118" t="str">
        <f t="shared" si="576"/>
        <v>Renta Diaria por Hospitalización</v>
      </c>
      <c r="CO396" s="118">
        <f t="shared" si="577"/>
        <v>0</v>
      </c>
      <c r="CP396" s="118" t="str">
        <f t="shared" si="578"/>
        <v>A</v>
      </c>
      <c r="CQ396" s="119" t="str">
        <f t="shared" si="535"/>
        <v/>
      </c>
      <c r="CR396" s="66">
        <f>+IF($W396="","",ROUND((VLOOKUP(Parámetros!$F$51,'COBERTURAS ADICIONALES'!$S$4:$T$32,2,FALSE)*(1+i/frec)^-0.5*(1+Parámetros!$D$103)*(1+rec_fracc)/frec*$CO$42),2))</f>
        <v>0</v>
      </c>
      <c r="CS396" s="119" t="str">
        <f t="shared" si="536"/>
        <v/>
      </c>
      <c r="CT396" s="66">
        <f>+IF($W396="","",ROUND(IF($B396&gt;Parámetros!$D$107,'Tablas Servicio'!CR396+('Tablas Servicio'!CT395-'Tablas Servicio'!CR395),CR396/(1-IF(B396&lt;=10,Parámetros!$D$100,0))),2))</f>
        <v>0</v>
      </c>
      <c r="CU396" s="66">
        <f t="shared" si="537"/>
        <v>0</v>
      </c>
      <c r="CV396" s="66">
        <f t="shared" si="537"/>
        <v>0</v>
      </c>
      <c r="CW396" s="66">
        <f>+IF($W396="","",ROUND((CT396*Parámetros!$G$85),2))</f>
        <v>0</v>
      </c>
      <c r="CX396" s="66">
        <f>+IF($W396="","",ROUND((CT396*(Parámetros!$G$86)),2))</f>
        <v>0</v>
      </c>
      <c r="CY396" s="66">
        <f t="shared" si="538"/>
        <v>0</v>
      </c>
      <c r="CZ396" t="str">
        <f t="shared" si="579"/>
        <v>00064</v>
      </c>
      <c r="DA396" s="118" t="str">
        <f t="shared" si="580"/>
        <v>Enfermedades Graves</v>
      </c>
      <c r="DB396" s="118">
        <f t="shared" si="581"/>
        <v>0</v>
      </c>
      <c r="DC396" s="118" t="str">
        <f t="shared" si="582"/>
        <v>A</v>
      </c>
      <c r="DD396" s="121" t="str">
        <f>+IF(OR($W396="",DB396=0),"",ROUND((VLOOKUP(ROUNDDOWN($D396-1/frec,0),cob_adi,CO$40,FALSE)*(1+i/frec)^-0.5*(1+Parámetros!$D$103)*(1+rec_fracc)/frec),6))</f>
        <v/>
      </c>
      <c r="DE396" s="66">
        <f t="shared" si="539"/>
        <v>0</v>
      </c>
      <c r="DF396" s="119" t="str">
        <f t="shared" si="540"/>
        <v/>
      </c>
      <c r="DG396" s="66">
        <f>+IF($W396="","",ROUND(IF($B396&gt;Parámetros!$D$107,'Tablas Servicio'!DE396+('Tablas Servicio'!DG395-'Tablas Servicio'!DE395),DE396/(1-IF(B396&lt;=10,Parámetros!$D$100,0))),2))</f>
        <v>0</v>
      </c>
      <c r="DH396" s="66">
        <f t="shared" si="541"/>
        <v>0</v>
      </c>
      <c r="DI396" s="66">
        <f t="shared" si="541"/>
        <v>0</v>
      </c>
      <c r="DJ396" s="66">
        <f>+IF($W396="","",ROUND((DG396*Parámetros!$G$85),2))</f>
        <v>0</v>
      </c>
      <c r="DK396" s="66">
        <f>+IF($W396="","",ROUND((DG396*(Parámetros!$G$86)),2))</f>
        <v>0</v>
      </c>
      <c r="DL396" s="66">
        <f t="shared" si="542"/>
        <v>0</v>
      </c>
      <c r="DM396" t="str">
        <f t="shared" si="583"/>
        <v>00065</v>
      </c>
      <c r="DN396" s="118" t="str">
        <f t="shared" si="584"/>
        <v>Exención pago de primas</v>
      </c>
      <c r="DO396" s="118">
        <f t="shared" si="585"/>
        <v>0</v>
      </c>
      <c r="DP396" s="118" t="str">
        <f t="shared" si="586"/>
        <v>A</v>
      </c>
      <c r="DQ396" s="122" t="str">
        <f>+IF(OR($W396="",DO396=0),"",ROUND((VLOOKUP(ROUNDDOWN($D396-1/frec,0),cob_adi,DB$40,FALSE)*(1+i/frec)^-0.5*(1+Parámetros!$D$103)*(1+rec_fracc)/frec),6))</f>
        <v/>
      </c>
      <c r="DR396" s="66">
        <f t="shared" si="543"/>
        <v>0</v>
      </c>
      <c r="DS396" s="68" t="str">
        <f t="shared" si="544"/>
        <v/>
      </c>
      <c r="DT396" s="66">
        <f>+IF($W396="","",ROUND(IF($B396&gt;Parámetros!$D$107,'Tablas Servicio'!DR396+('Tablas Servicio'!DT395-'Tablas Servicio'!DR395),DR396/(1-IF(B396&lt;=10,Parámetros!$D$100,0))),2))</f>
        <v>0</v>
      </c>
      <c r="DU396" s="66">
        <f t="shared" si="545"/>
        <v>0</v>
      </c>
      <c r="DV396" s="66">
        <f t="shared" si="545"/>
        <v>0</v>
      </c>
      <c r="DW396" s="66">
        <f>+IF($W396="","",ROUND((DT396*Parámetros!$G$85),2))</f>
        <v>0</v>
      </c>
      <c r="DX396" s="66">
        <f>+IF($W396="","",ROUND((DT396*(Parámetros!$G$86)),2))</f>
        <v>0</v>
      </c>
      <c r="DY396" s="66">
        <f t="shared" si="546"/>
        <v>0</v>
      </c>
      <c r="DZ396" t="str">
        <f t="shared" si="588"/>
        <v>00066</v>
      </c>
      <c r="EA396" s="118" t="str">
        <f t="shared" si="588"/>
        <v>Enfermedad terminal</v>
      </c>
      <c r="EB396" s="118">
        <f>+IF($W396="","",ROUND(IF(Parámetros!$D$25='TABLAS MORT'!$V$33,EB395,Z396/2),0))</f>
        <v>50000</v>
      </c>
      <c r="EC396" s="118" t="str">
        <f t="shared" si="588"/>
        <v>A</v>
      </c>
      <c r="ED396" s="122">
        <f>+IF(OR($W396="",EB396=0),"",ROUND((VLOOKUP(ROUNDDOWN($D396-1/frec,0),cob_adi,DO$40,FALSE)*(1+i/frec)^-0.5*(1+Parámetros!$D$103)*(1+rec_fracc)/frec),6))</f>
        <v>5.5000000000000002E-5</v>
      </c>
      <c r="EE396" s="66">
        <f t="shared" si="548"/>
        <v>2.75</v>
      </c>
      <c r="EF396" s="68">
        <f t="shared" si="549"/>
        <v>5.5000000000000002E-5</v>
      </c>
      <c r="EG396" s="66">
        <f>+IF($W396="","",ROUND(IF($B396&gt;Parámetros!$D$107,'Tablas Servicio'!EE396+('Tablas Servicio'!EG395-'Tablas Servicio'!EE395),EE396/(1-IF(B396&lt;=10,Parámetros!$D$100,0))),2))</f>
        <v>2.75</v>
      </c>
      <c r="EH396" s="66">
        <f t="shared" si="550"/>
        <v>0</v>
      </c>
      <c r="EI396" s="66">
        <f t="shared" si="550"/>
        <v>0</v>
      </c>
      <c r="EJ396" s="66">
        <f>+IF($W396="","",ROUND((EG396*Parámetros!$G$85),2))</f>
        <v>0.1</v>
      </c>
      <c r="EK396" s="66">
        <f>+IF($W396="","",ROUND((EG396*(Parámetros!$G$86)),2))</f>
        <v>0.01</v>
      </c>
      <c r="EL396" s="66">
        <f t="shared" si="551"/>
        <v>2.86</v>
      </c>
    </row>
    <row r="397" spans="1:142" x14ac:dyDescent="0.25">
      <c r="A397">
        <f>+IF($C397="","",ROUND(VLOOKUP('Tablas Servicio'!B397,Parámetros!$H$100:$J$159,IF(Parámetros!$E$16="F",2,3),FALSE),2))</f>
        <v>150</v>
      </c>
      <c r="B397">
        <f t="shared" si="502"/>
        <v>30</v>
      </c>
      <c r="C397" s="57">
        <f>+IF(D397="","",'Tablas Servicio'!C396+1)</f>
        <v>356</v>
      </c>
      <c r="D397" s="56">
        <f>+IF(D396&lt;edadmaxtabla,D396+1/Parámetros!$E$25,"")</f>
        <v>69.686666666667023</v>
      </c>
      <c r="E397" s="57">
        <f t="shared" si="512"/>
        <v>69</v>
      </c>
      <c r="F397" s="59">
        <f t="shared" si="513"/>
        <v>100000</v>
      </c>
      <c r="G397" s="66">
        <f t="shared" si="503"/>
        <v>118.25</v>
      </c>
      <c r="H397" s="66">
        <f t="shared" si="504"/>
        <v>122.98</v>
      </c>
      <c r="I397" s="66">
        <f t="shared" si="552"/>
        <v>-28.980000000000004</v>
      </c>
      <c r="J397" s="66">
        <f t="shared" si="505"/>
        <v>4.1399999999999997</v>
      </c>
      <c r="K397" s="66">
        <f t="shared" si="506"/>
        <v>0.59</v>
      </c>
      <c r="L397" s="66">
        <f t="shared" si="507"/>
        <v>0</v>
      </c>
      <c r="M397" s="66">
        <f t="shared" si="508"/>
        <v>0</v>
      </c>
      <c r="N397" s="66">
        <f>+IF(C397="","",ROUND(Parámetros!$D$23,2))</f>
        <v>94</v>
      </c>
      <c r="O397" s="66">
        <f t="shared" si="509"/>
        <v>105.75</v>
      </c>
      <c r="P397" s="66">
        <f>+IF($C397="","",ROUND(IF(B397&gt;Parámetros!$D$117,0,N397*Parámetros!$D$116-G397*Parámetros!$D$100),2))</f>
        <v>0</v>
      </c>
      <c r="Q397" s="75">
        <f t="shared" si="553"/>
        <v>3.5010570824524308E-2</v>
      </c>
      <c r="R397" s="75">
        <f t="shared" si="554"/>
        <v>4.989429175475687E-3</v>
      </c>
      <c r="S397" s="117">
        <f>+IF($C397="","",ROUND((S396+I397)*(1+Parámetros!$D$91),2))</f>
        <v>25847.18</v>
      </c>
      <c r="T397" s="117">
        <f>+IF($C397="","",ROUND(S397*VLOOKUP(B397,Parámetros!$C$30:$D$39,2,TRUE),2))</f>
        <v>25847.18</v>
      </c>
      <c r="U397" s="117">
        <f>+IF($C397="","",ROUND((U396+I397)*(1+Parámetros!$D$92),2))</f>
        <v>28632.38</v>
      </c>
      <c r="V397" s="117">
        <f>+IF($C397="","",ROUND(U397*VLOOKUP(B397,Parámetros!$C$30:$D$39,2,TRUE),2))</f>
        <v>28632.38</v>
      </c>
      <c r="W397" s="57">
        <f t="shared" si="555"/>
        <v>356</v>
      </c>
      <c r="X397" t="str">
        <f t="shared" si="556"/>
        <v>00058</v>
      </c>
      <c r="Y397" t="str">
        <f t="shared" si="557"/>
        <v>MUERTE POR CUALQUIER CAUSA</v>
      </c>
      <c r="Z397" s="118">
        <f>+IF($W397="","",ROUND(IF(Parámetros!$D$25='TABLAS MORT'!$V$33,Z396,Parámetros!$D$21-'Tablas Servicio'!T396),0))</f>
        <v>100000</v>
      </c>
      <c r="AA397" s="118" t="str">
        <f t="shared" si="558"/>
        <v>P</v>
      </c>
      <c r="AB397" s="119">
        <f>+IF(W397="","",ROUND((VLOOKUP(ROUNDDOWN($D397-1/frec,0),qx_tabla,2,FALSE)*(1+i/frec)^-0.5*(1+Parámetros!$D$103)*(1+rec_fracc)/frec),6))</f>
        <v>1.0300000000000001E-3</v>
      </c>
      <c r="AC397" s="66">
        <f t="shared" si="514"/>
        <v>103</v>
      </c>
      <c r="AD397" s="119">
        <f t="shared" si="510"/>
        <v>1.155E-3</v>
      </c>
      <c r="AE397" s="66">
        <f>+IF($W397="","",ROUND(IF($B397&gt;Parámetros!$D$107,'Tablas Servicio'!AC397+('Tablas Servicio'!AG396-'Tablas Servicio'!AC396),AC397/(1-IF(B397&lt;=10,Parámetros!$D$104,Parámetros!$D$105))),2))</f>
        <v>171.67</v>
      </c>
      <c r="AF397" s="66">
        <f>+IF($W397="","",ROUND(IF($B397&gt;Parámetros!$D$107,'Tablas Servicio'!AC397+('Tablas Servicio'!AG396-'Tablas Servicio'!AC396),(AC397+$A396/frec)/(1-IF(B397&lt;=Parámetros!$D$117,Parámetros!$D$100,0))),2))</f>
        <v>115.5</v>
      </c>
      <c r="AG397" s="66">
        <f t="shared" si="515"/>
        <v>115.5</v>
      </c>
      <c r="AH397" s="66">
        <f t="shared" si="516"/>
        <v>0</v>
      </c>
      <c r="AI397" s="66">
        <f t="shared" si="517"/>
        <v>0</v>
      </c>
      <c r="AJ397" s="66">
        <f>+IF($W397="","",ROUND((AG397*Parámetros!$G$85),2))</f>
        <v>4.04</v>
      </c>
      <c r="AK397" s="66">
        <f>+IF($W397="","",ROUND((AG397*(Parámetros!$G$86)),2))</f>
        <v>0.57999999999999996</v>
      </c>
      <c r="AL397" s="66">
        <f t="shared" si="511"/>
        <v>120.12</v>
      </c>
      <c r="AM397" t="str">
        <f t="shared" si="559"/>
        <v>00059</v>
      </c>
      <c r="AN397" t="str">
        <f t="shared" si="560"/>
        <v>Incapacidad Total y Permanente</v>
      </c>
      <c r="AO397" s="118">
        <f t="shared" si="561"/>
        <v>0</v>
      </c>
      <c r="AP397" s="118" t="str">
        <f t="shared" si="562"/>
        <v>A</v>
      </c>
      <c r="AQ397" s="119" t="str">
        <f>+IF(OR($W397="",AO397=0),"",ROUND((VLOOKUP(ROUNDDOWN($D397-1/frec,0),cob_adi,Z$40,FALSE)*(1+i/frec)^-0.5*(1+Parámetros!$D$103)*(1+rec_fracc)/frec),6))</f>
        <v/>
      </c>
      <c r="AR397" s="66">
        <f t="shared" si="518"/>
        <v>0</v>
      </c>
      <c r="AS397" s="119" t="str">
        <f t="shared" si="519"/>
        <v/>
      </c>
      <c r="AT397" s="66">
        <f>+IF($W397="","",ROUND(IF($B397&gt;Parámetros!$D$107,'Tablas Servicio'!AR397+('Tablas Servicio'!AT396-'Tablas Servicio'!AR396),AR397/(1-IF(B397&lt;=10,Parámetros!$D$100,0))),2))</f>
        <v>0</v>
      </c>
      <c r="AU397" s="66">
        <f t="shared" si="520"/>
        <v>0</v>
      </c>
      <c r="AV397" s="66">
        <f t="shared" si="520"/>
        <v>0</v>
      </c>
      <c r="AW397" s="66">
        <f>+IF($W397="","",ROUND((AT397*Parámetros!$G$85),2))</f>
        <v>0</v>
      </c>
      <c r="AX397" s="66">
        <f>+IF($W397="","",ROUND((AT397*(Parámetros!$G$86)),2))</f>
        <v>0</v>
      </c>
      <c r="AY397" s="66">
        <f t="shared" si="521"/>
        <v>0</v>
      </c>
      <c r="AZ397" t="str">
        <f t="shared" si="563"/>
        <v>00060</v>
      </c>
      <c r="BA397" t="str">
        <f t="shared" si="564"/>
        <v>Muerte Accidental</v>
      </c>
      <c r="BB397" s="118">
        <f t="shared" si="565"/>
        <v>0</v>
      </c>
      <c r="BC397" s="118" t="str">
        <f t="shared" si="566"/>
        <v>A</v>
      </c>
      <c r="BD397" s="119" t="str">
        <f>+IF(OR($W397="",BB397=0),"",ROUND((VLOOKUP(ROUNDDOWN($D397-1/frec,0),cob_adi,AO$40,FALSE)*(1+i/frec)^-0.5*(1+Parámetros!$D$103)*(1+rec_fracc)/frec),6))</f>
        <v/>
      </c>
      <c r="BE397" s="66">
        <f t="shared" si="522"/>
        <v>0</v>
      </c>
      <c r="BF397" s="119" t="str">
        <f t="shared" si="523"/>
        <v/>
      </c>
      <c r="BG397" s="66">
        <f>+IF($W397="","",ROUND(IF($B397&gt;Parámetros!$D$107,'Tablas Servicio'!BE397+('Tablas Servicio'!BG396-'Tablas Servicio'!BE396),BE397/(1-IF(B397&lt;=10,Parámetros!$D$100,0))),2))</f>
        <v>0</v>
      </c>
      <c r="BH397" s="66">
        <f t="shared" si="524"/>
        <v>0</v>
      </c>
      <c r="BI397" s="66">
        <f t="shared" si="525"/>
        <v>0</v>
      </c>
      <c r="BJ397" s="66">
        <f>+IF($W397="","",ROUND((BG397*Parámetros!$G$85),2))</f>
        <v>0</v>
      </c>
      <c r="BK397" s="66">
        <f>+IF($W397="","",ROUND((BG397*(Parámetros!$G$86)),2))</f>
        <v>0</v>
      </c>
      <c r="BL397" s="66">
        <f t="shared" si="526"/>
        <v>0</v>
      </c>
      <c r="BM397" t="str">
        <f t="shared" si="567"/>
        <v>00061</v>
      </c>
      <c r="BN397" t="str">
        <f t="shared" si="568"/>
        <v>Gastos de Entierro</v>
      </c>
      <c r="BO397" s="118">
        <f t="shared" si="569"/>
        <v>0</v>
      </c>
      <c r="BP397" s="118" t="str">
        <f t="shared" si="570"/>
        <v>A</v>
      </c>
      <c r="BQ397" s="119" t="str">
        <f>+IF(OR($W397="",BO397=0),"",ROUND((VLOOKUP(ROUNDDOWN($D397-1/frec,0),cob_adi,BB$40,FALSE)*(1+i/frec)^-0.5*(1+Parámetros!$D$103)*(1+rec_fracc)/frec),6))</f>
        <v/>
      </c>
      <c r="BR397" s="66">
        <f t="shared" si="527"/>
        <v>0</v>
      </c>
      <c r="BS397" s="119" t="str">
        <f t="shared" si="528"/>
        <v/>
      </c>
      <c r="BT397" s="66">
        <f>+IF($W397="","",ROUND(IF($B397&gt;Parámetros!$D$107,'Tablas Servicio'!BR397+('Tablas Servicio'!BT396-'Tablas Servicio'!BR396),BR397/(1-IF(B397&lt;=10,Parámetros!$D$100,0))),2))</f>
        <v>0</v>
      </c>
      <c r="BU397" s="66">
        <f t="shared" si="529"/>
        <v>0</v>
      </c>
      <c r="BV397" s="66">
        <f t="shared" si="529"/>
        <v>0</v>
      </c>
      <c r="BW397" s="66">
        <f>+IF($W397="","",ROUND((BT397*Parámetros!$G$85),2))</f>
        <v>0</v>
      </c>
      <c r="BX397" s="66">
        <f>+IF($W397="","",ROUND((BT397*(Parámetros!$G$86)),2))</f>
        <v>0</v>
      </c>
      <c r="BY397" s="66">
        <f t="shared" si="530"/>
        <v>0</v>
      </c>
      <c r="BZ397" t="str">
        <f t="shared" si="571"/>
        <v>00062</v>
      </c>
      <c r="CA397" t="str">
        <f t="shared" si="572"/>
        <v>Gastos médicos por accidente</v>
      </c>
      <c r="CB397" s="118">
        <f t="shared" si="573"/>
        <v>0</v>
      </c>
      <c r="CC397" s="118" t="str">
        <f t="shared" si="574"/>
        <v>A</v>
      </c>
      <c r="CD397" s="119" t="str">
        <f t="shared" si="531"/>
        <v/>
      </c>
      <c r="CE397" s="66">
        <f>+IF($W397="","",ROUND((VLOOKUP(ROUNDDOWN($D397-1/frec,0),cob_adi,BO$40,FALSE)*(1+i/frec)^-0.5*(1+Parámetros!$D$103)*(1+rec_fracc)/frec*'TABLAS ADI'!$BC$17),2))</f>
        <v>0</v>
      </c>
      <c r="CF397" s="119" t="str">
        <f t="shared" si="532"/>
        <v/>
      </c>
      <c r="CG397" s="66">
        <f>+IF($W397="","",ROUND(IF($B397&gt;Parámetros!$D$107,'Tablas Servicio'!CE397+('Tablas Servicio'!CG396-'Tablas Servicio'!CE396),CE397/(1-IF(B397&lt;=10,Parámetros!$D$100,0))),2))</f>
        <v>0</v>
      </c>
      <c r="CH397" s="66">
        <f t="shared" si="533"/>
        <v>0</v>
      </c>
      <c r="CI397" s="66">
        <f t="shared" si="533"/>
        <v>0</v>
      </c>
      <c r="CJ397" s="66">
        <f>+IF($W397="","",ROUND((CG397*Parámetros!$G$85),2))</f>
        <v>0</v>
      </c>
      <c r="CK397" s="66">
        <f>+IF($W397="","",ROUND((CG397*(Parámetros!$G$86)),2))</f>
        <v>0</v>
      </c>
      <c r="CL397" s="66">
        <f t="shared" si="534"/>
        <v>0</v>
      </c>
      <c r="CM397" t="str">
        <f t="shared" si="575"/>
        <v>00063</v>
      </c>
      <c r="CN397" s="118" t="str">
        <f t="shared" si="576"/>
        <v>Renta Diaria por Hospitalización</v>
      </c>
      <c r="CO397" s="118">
        <f t="shared" si="577"/>
        <v>0</v>
      </c>
      <c r="CP397" s="118" t="str">
        <f t="shared" si="578"/>
        <v>A</v>
      </c>
      <c r="CQ397" s="119" t="str">
        <f t="shared" si="535"/>
        <v/>
      </c>
      <c r="CR397" s="66">
        <f>+IF($W397="","",ROUND((VLOOKUP(Parámetros!$F$51,'COBERTURAS ADICIONALES'!$S$4:$T$32,2,FALSE)*(1+i/frec)^-0.5*(1+Parámetros!$D$103)*(1+rec_fracc)/frec*$CO$42),2))</f>
        <v>0</v>
      </c>
      <c r="CS397" s="119" t="str">
        <f t="shared" si="536"/>
        <v/>
      </c>
      <c r="CT397" s="66">
        <f>+IF($W397="","",ROUND(IF($B397&gt;Parámetros!$D$107,'Tablas Servicio'!CR397+('Tablas Servicio'!CT396-'Tablas Servicio'!CR396),CR397/(1-IF(B397&lt;=10,Parámetros!$D$100,0))),2))</f>
        <v>0</v>
      </c>
      <c r="CU397" s="66">
        <f t="shared" si="537"/>
        <v>0</v>
      </c>
      <c r="CV397" s="66">
        <f t="shared" si="537"/>
        <v>0</v>
      </c>
      <c r="CW397" s="66">
        <f>+IF($W397="","",ROUND((CT397*Parámetros!$G$85),2))</f>
        <v>0</v>
      </c>
      <c r="CX397" s="66">
        <f>+IF($W397="","",ROUND((CT397*(Parámetros!$G$86)),2))</f>
        <v>0</v>
      </c>
      <c r="CY397" s="66">
        <f t="shared" si="538"/>
        <v>0</v>
      </c>
      <c r="CZ397" t="str">
        <f t="shared" si="579"/>
        <v>00064</v>
      </c>
      <c r="DA397" s="118" t="str">
        <f t="shared" si="580"/>
        <v>Enfermedades Graves</v>
      </c>
      <c r="DB397" s="118">
        <f t="shared" si="581"/>
        <v>0</v>
      </c>
      <c r="DC397" s="118" t="str">
        <f t="shared" si="582"/>
        <v>A</v>
      </c>
      <c r="DD397" s="121" t="str">
        <f>+IF(OR($W397="",DB397=0),"",ROUND((VLOOKUP(ROUNDDOWN($D397-1/frec,0),cob_adi,CO$40,FALSE)*(1+i/frec)^-0.5*(1+Parámetros!$D$103)*(1+rec_fracc)/frec),6))</f>
        <v/>
      </c>
      <c r="DE397" s="66">
        <f t="shared" si="539"/>
        <v>0</v>
      </c>
      <c r="DF397" s="119" t="str">
        <f t="shared" si="540"/>
        <v/>
      </c>
      <c r="DG397" s="66">
        <f>+IF($W397="","",ROUND(IF($B397&gt;Parámetros!$D$107,'Tablas Servicio'!DE397+('Tablas Servicio'!DG396-'Tablas Servicio'!DE396),DE397/(1-IF(B397&lt;=10,Parámetros!$D$100,0))),2))</f>
        <v>0</v>
      </c>
      <c r="DH397" s="66">
        <f t="shared" si="541"/>
        <v>0</v>
      </c>
      <c r="DI397" s="66">
        <f t="shared" si="541"/>
        <v>0</v>
      </c>
      <c r="DJ397" s="66">
        <f>+IF($W397="","",ROUND((DG397*Parámetros!$G$85),2))</f>
        <v>0</v>
      </c>
      <c r="DK397" s="66">
        <f>+IF($W397="","",ROUND((DG397*(Parámetros!$G$86)),2))</f>
        <v>0</v>
      </c>
      <c r="DL397" s="66">
        <f t="shared" si="542"/>
        <v>0</v>
      </c>
      <c r="DM397" t="str">
        <f t="shared" si="583"/>
        <v>00065</v>
      </c>
      <c r="DN397" s="118" t="str">
        <f t="shared" si="584"/>
        <v>Exención pago de primas</v>
      </c>
      <c r="DO397" s="118">
        <f t="shared" si="585"/>
        <v>0</v>
      </c>
      <c r="DP397" s="118" t="str">
        <f t="shared" si="586"/>
        <v>A</v>
      </c>
      <c r="DQ397" s="122" t="str">
        <f>+IF(OR($W397="",DO397=0),"",ROUND((VLOOKUP(ROUNDDOWN($D397-1/frec,0),cob_adi,DB$40,FALSE)*(1+i/frec)^-0.5*(1+Parámetros!$D$103)*(1+rec_fracc)/frec),6))</f>
        <v/>
      </c>
      <c r="DR397" s="66">
        <f t="shared" si="543"/>
        <v>0</v>
      </c>
      <c r="DS397" s="68" t="str">
        <f t="shared" si="544"/>
        <v/>
      </c>
      <c r="DT397" s="66">
        <f>+IF($W397="","",ROUND(IF($B397&gt;Parámetros!$D$107,'Tablas Servicio'!DR397+('Tablas Servicio'!DT396-'Tablas Servicio'!DR396),DR397/(1-IF(B397&lt;=10,Parámetros!$D$100,0))),2))</f>
        <v>0</v>
      </c>
      <c r="DU397" s="66">
        <f t="shared" si="545"/>
        <v>0</v>
      </c>
      <c r="DV397" s="66">
        <f t="shared" si="545"/>
        <v>0</v>
      </c>
      <c r="DW397" s="66">
        <f>+IF($W397="","",ROUND((DT397*Parámetros!$G$85),2))</f>
        <v>0</v>
      </c>
      <c r="DX397" s="66">
        <f>+IF($W397="","",ROUND((DT397*(Parámetros!$G$86)),2))</f>
        <v>0</v>
      </c>
      <c r="DY397" s="66">
        <f t="shared" si="546"/>
        <v>0</v>
      </c>
      <c r="DZ397" t="str">
        <f t="shared" si="588"/>
        <v>00066</v>
      </c>
      <c r="EA397" s="118" t="str">
        <f t="shared" si="588"/>
        <v>Enfermedad terminal</v>
      </c>
      <c r="EB397" s="118">
        <f>+IF($W397="","",ROUND(IF(Parámetros!$D$25='TABLAS MORT'!$V$33,EB396,Z397/2),0))</f>
        <v>50000</v>
      </c>
      <c r="EC397" s="118" t="str">
        <f t="shared" si="588"/>
        <v>A</v>
      </c>
      <c r="ED397" s="122">
        <f>+IF(OR($W397="",EB397=0),"",ROUND((VLOOKUP(ROUNDDOWN($D397-1/frec,0),cob_adi,DO$40,FALSE)*(1+i/frec)^-0.5*(1+Parámetros!$D$103)*(1+rec_fracc)/frec),6))</f>
        <v>5.5000000000000002E-5</v>
      </c>
      <c r="EE397" s="66">
        <f t="shared" si="548"/>
        <v>2.75</v>
      </c>
      <c r="EF397" s="68">
        <f t="shared" si="549"/>
        <v>5.5000000000000002E-5</v>
      </c>
      <c r="EG397" s="66">
        <f>+IF($W397="","",ROUND(IF($B397&gt;Parámetros!$D$107,'Tablas Servicio'!EE397+('Tablas Servicio'!EG396-'Tablas Servicio'!EE396),EE397/(1-IF(B397&lt;=10,Parámetros!$D$100,0))),2))</f>
        <v>2.75</v>
      </c>
      <c r="EH397" s="66">
        <f t="shared" si="550"/>
        <v>0</v>
      </c>
      <c r="EI397" s="66">
        <f t="shared" si="550"/>
        <v>0</v>
      </c>
      <c r="EJ397" s="66">
        <f>+IF($W397="","",ROUND((EG397*Parámetros!$G$85),2))</f>
        <v>0.1</v>
      </c>
      <c r="EK397" s="66">
        <f>+IF($W397="","",ROUND((EG397*(Parámetros!$G$86)),2))</f>
        <v>0.01</v>
      </c>
      <c r="EL397" s="66">
        <f t="shared" si="551"/>
        <v>2.86</v>
      </c>
    </row>
    <row r="398" spans="1:142" x14ac:dyDescent="0.25">
      <c r="A398">
        <f>+IF($C398="","",ROUND(VLOOKUP('Tablas Servicio'!B398,Parámetros!$H$100:$J$159,IF(Parámetros!$E$16="F",2,3),FALSE),2))</f>
        <v>150</v>
      </c>
      <c r="B398">
        <f t="shared" si="502"/>
        <v>30</v>
      </c>
      <c r="C398" s="57">
        <f>+IF(D398="","",'Tablas Servicio'!C397+1)</f>
        <v>357</v>
      </c>
      <c r="D398" s="56">
        <f>+IF(D397&lt;edadmaxtabla,D397+1/Parámetros!$E$25,"")</f>
        <v>69.770000000000351</v>
      </c>
      <c r="E398" s="57">
        <f t="shared" si="512"/>
        <v>69</v>
      </c>
      <c r="F398" s="59">
        <f t="shared" si="513"/>
        <v>100000</v>
      </c>
      <c r="G398" s="66">
        <f t="shared" si="503"/>
        <v>118.25</v>
      </c>
      <c r="H398" s="66">
        <f t="shared" si="504"/>
        <v>122.98</v>
      </c>
      <c r="I398" s="66">
        <f t="shared" si="552"/>
        <v>-28.980000000000004</v>
      </c>
      <c r="J398" s="66">
        <f t="shared" si="505"/>
        <v>4.1399999999999997</v>
      </c>
      <c r="K398" s="66">
        <f t="shared" si="506"/>
        <v>0.59</v>
      </c>
      <c r="L398" s="66">
        <f t="shared" si="507"/>
        <v>0</v>
      </c>
      <c r="M398" s="66">
        <f t="shared" si="508"/>
        <v>0</v>
      </c>
      <c r="N398" s="66">
        <f>+IF(C398="","",ROUND(Parámetros!$D$23,2))</f>
        <v>94</v>
      </c>
      <c r="O398" s="66">
        <f t="shared" si="509"/>
        <v>105.75</v>
      </c>
      <c r="P398" s="66">
        <f>+IF($C398="","",ROUND(IF(B398&gt;Parámetros!$D$117,0,N398*Parámetros!$D$116-G398*Parámetros!$D$100),2))</f>
        <v>0</v>
      </c>
      <c r="Q398" s="75">
        <f t="shared" si="553"/>
        <v>3.5010570824524308E-2</v>
      </c>
      <c r="R398" s="75">
        <f t="shared" si="554"/>
        <v>4.989429175475687E-3</v>
      </c>
      <c r="S398" s="117">
        <f>+IF($C398="","",ROUND((S397+I398)*(1+Parámetros!$D$91),2))</f>
        <v>25891.43</v>
      </c>
      <c r="T398" s="117">
        <f>+IF($C398="","",ROUND(S398*VLOOKUP(B398,Parámetros!$C$30:$D$39,2,TRUE),2))</f>
        <v>25891.43</v>
      </c>
      <c r="U398" s="117">
        <f>+IF($C398="","",ROUND((U397+I398)*(1+Parámetros!$D$92),2))</f>
        <v>28696.12</v>
      </c>
      <c r="V398" s="117">
        <f>+IF($C398="","",ROUND(U398*VLOOKUP(B398,Parámetros!$C$30:$D$39,2,TRUE),2))</f>
        <v>28696.12</v>
      </c>
      <c r="W398" s="57">
        <f t="shared" si="555"/>
        <v>357</v>
      </c>
      <c r="X398" t="str">
        <f t="shared" si="556"/>
        <v>00058</v>
      </c>
      <c r="Y398" t="str">
        <f t="shared" si="557"/>
        <v>MUERTE POR CUALQUIER CAUSA</v>
      </c>
      <c r="Z398" s="118">
        <f>+IF($W398="","",ROUND(IF(Parámetros!$D$25='TABLAS MORT'!$V$33,Z397,Parámetros!$D$21-'Tablas Servicio'!T397),0))</f>
        <v>100000</v>
      </c>
      <c r="AA398" s="118" t="str">
        <f t="shared" si="558"/>
        <v>P</v>
      </c>
      <c r="AB398" s="119">
        <f>+IF(W398="","",ROUND((VLOOKUP(ROUNDDOWN($D398-1/frec,0),qx_tabla,2,FALSE)*(1+i/frec)^-0.5*(1+Parámetros!$D$103)*(1+rec_fracc)/frec),6))</f>
        <v>1.0300000000000001E-3</v>
      </c>
      <c r="AC398" s="66">
        <f t="shared" si="514"/>
        <v>103</v>
      </c>
      <c r="AD398" s="119">
        <f t="shared" si="510"/>
        <v>1.155E-3</v>
      </c>
      <c r="AE398" s="66">
        <f>+IF($W398="","",ROUND(IF($B398&gt;Parámetros!$D$107,'Tablas Servicio'!AC398+('Tablas Servicio'!AG397-'Tablas Servicio'!AC397),AC398/(1-IF(B398&lt;=10,Parámetros!$D$104,Parámetros!$D$105))),2))</f>
        <v>171.67</v>
      </c>
      <c r="AF398" s="66">
        <f>+IF($W398="","",ROUND(IF($B398&gt;Parámetros!$D$107,'Tablas Servicio'!AC398+('Tablas Servicio'!AG397-'Tablas Servicio'!AC397),(AC398+$A397/frec)/(1-IF(B398&lt;=Parámetros!$D$117,Parámetros!$D$100,0))),2))</f>
        <v>115.5</v>
      </c>
      <c r="AG398" s="66">
        <f t="shared" si="515"/>
        <v>115.5</v>
      </c>
      <c r="AH398" s="66">
        <f t="shared" si="516"/>
        <v>0</v>
      </c>
      <c r="AI398" s="66">
        <f t="shared" si="517"/>
        <v>0</v>
      </c>
      <c r="AJ398" s="66">
        <f>+IF($W398="","",ROUND((AG398*Parámetros!$G$85),2))</f>
        <v>4.04</v>
      </c>
      <c r="AK398" s="66">
        <f>+IF($W398="","",ROUND((AG398*(Parámetros!$G$86)),2))</f>
        <v>0.57999999999999996</v>
      </c>
      <c r="AL398" s="66">
        <f t="shared" si="511"/>
        <v>120.12</v>
      </c>
      <c r="AM398" t="str">
        <f t="shared" si="559"/>
        <v>00059</v>
      </c>
      <c r="AN398" t="str">
        <f t="shared" si="560"/>
        <v>Incapacidad Total y Permanente</v>
      </c>
      <c r="AO398" s="118">
        <f t="shared" si="561"/>
        <v>0</v>
      </c>
      <c r="AP398" s="118" t="str">
        <f t="shared" si="562"/>
        <v>A</v>
      </c>
      <c r="AQ398" s="119" t="str">
        <f>+IF(OR($W398="",AO398=0),"",ROUND((VLOOKUP(ROUNDDOWN($D398-1/frec,0),cob_adi,Z$40,FALSE)*(1+i/frec)^-0.5*(1+Parámetros!$D$103)*(1+rec_fracc)/frec),6))</f>
        <v/>
      </c>
      <c r="AR398" s="66">
        <f t="shared" si="518"/>
        <v>0</v>
      </c>
      <c r="AS398" s="119" t="str">
        <f t="shared" si="519"/>
        <v/>
      </c>
      <c r="AT398" s="66">
        <f>+IF($W398="","",ROUND(IF($B398&gt;Parámetros!$D$107,'Tablas Servicio'!AR398+('Tablas Servicio'!AT397-'Tablas Servicio'!AR397),AR398/(1-IF(B398&lt;=10,Parámetros!$D$100,0))),2))</f>
        <v>0</v>
      </c>
      <c r="AU398" s="66">
        <f t="shared" si="520"/>
        <v>0</v>
      </c>
      <c r="AV398" s="66">
        <f t="shared" si="520"/>
        <v>0</v>
      </c>
      <c r="AW398" s="66">
        <f>+IF($W398="","",ROUND((AT398*Parámetros!$G$85),2))</f>
        <v>0</v>
      </c>
      <c r="AX398" s="66">
        <f>+IF($W398="","",ROUND((AT398*(Parámetros!$G$86)),2))</f>
        <v>0</v>
      </c>
      <c r="AY398" s="66">
        <f t="shared" si="521"/>
        <v>0</v>
      </c>
      <c r="AZ398" t="str">
        <f t="shared" si="563"/>
        <v>00060</v>
      </c>
      <c r="BA398" t="str">
        <f t="shared" si="564"/>
        <v>Muerte Accidental</v>
      </c>
      <c r="BB398" s="118">
        <f t="shared" si="565"/>
        <v>0</v>
      </c>
      <c r="BC398" s="118" t="str">
        <f t="shared" si="566"/>
        <v>A</v>
      </c>
      <c r="BD398" s="119" t="str">
        <f>+IF(OR($W398="",BB398=0),"",ROUND((VLOOKUP(ROUNDDOWN($D398-1/frec,0),cob_adi,AO$40,FALSE)*(1+i/frec)^-0.5*(1+Parámetros!$D$103)*(1+rec_fracc)/frec),6))</f>
        <v/>
      </c>
      <c r="BE398" s="66">
        <f t="shared" si="522"/>
        <v>0</v>
      </c>
      <c r="BF398" s="119" t="str">
        <f t="shared" si="523"/>
        <v/>
      </c>
      <c r="BG398" s="66">
        <f>+IF($W398="","",ROUND(IF($B398&gt;Parámetros!$D$107,'Tablas Servicio'!BE398+('Tablas Servicio'!BG397-'Tablas Servicio'!BE397),BE398/(1-IF(B398&lt;=10,Parámetros!$D$100,0))),2))</f>
        <v>0</v>
      </c>
      <c r="BH398" s="66">
        <f t="shared" si="524"/>
        <v>0</v>
      </c>
      <c r="BI398" s="66">
        <f t="shared" si="525"/>
        <v>0</v>
      </c>
      <c r="BJ398" s="66">
        <f>+IF($W398="","",ROUND((BG398*Parámetros!$G$85),2))</f>
        <v>0</v>
      </c>
      <c r="BK398" s="66">
        <f>+IF($W398="","",ROUND((BG398*(Parámetros!$G$86)),2))</f>
        <v>0</v>
      </c>
      <c r="BL398" s="66">
        <f t="shared" si="526"/>
        <v>0</v>
      </c>
      <c r="BM398" t="str">
        <f t="shared" si="567"/>
        <v>00061</v>
      </c>
      <c r="BN398" t="str">
        <f t="shared" si="568"/>
        <v>Gastos de Entierro</v>
      </c>
      <c r="BO398" s="118">
        <f t="shared" si="569"/>
        <v>0</v>
      </c>
      <c r="BP398" s="118" t="str">
        <f t="shared" si="570"/>
        <v>A</v>
      </c>
      <c r="BQ398" s="119" t="str">
        <f>+IF(OR($W398="",BO398=0),"",ROUND((VLOOKUP(ROUNDDOWN($D398-1/frec,0),cob_adi,BB$40,FALSE)*(1+i/frec)^-0.5*(1+Parámetros!$D$103)*(1+rec_fracc)/frec),6))</f>
        <v/>
      </c>
      <c r="BR398" s="66">
        <f t="shared" si="527"/>
        <v>0</v>
      </c>
      <c r="BS398" s="119" t="str">
        <f t="shared" si="528"/>
        <v/>
      </c>
      <c r="BT398" s="66">
        <f>+IF($W398="","",ROUND(IF($B398&gt;Parámetros!$D$107,'Tablas Servicio'!BR398+('Tablas Servicio'!BT397-'Tablas Servicio'!BR397),BR398/(1-IF(B398&lt;=10,Parámetros!$D$100,0))),2))</f>
        <v>0</v>
      </c>
      <c r="BU398" s="66">
        <f t="shared" si="529"/>
        <v>0</v>
      </c>
      <c r="BV398" s="66">
        <f t="shared" si="529"/>
        <v>0</v>
      </c>
      <c r="BW398" s="66">
        <f>+IF($W398="","",ROUND((BT398*Parámetros!$G$85),2))</f>
        <v>0</v>
      </c>
      <c r="BX398" s="66">
        <f>+IF($W398="","",ROUND((BT398*(Parámetros!$G$86)),2))</f>
        <v>0</v>
      </c>
      <c r="BY398" s="66">
        <f t="shared" si="530"/>
        <v>0</v>
      </c>
      <c r="BZ398" t="str">
        <f t="shared" si="571"/>
        <v>00062</v>
      </c>
      <c r="CA398" t="str">
        <f t="shared" si="572"/>
        <v>Gastos médicos por accidente</v>
      </c>
      <c r="CB398" s="118">
        <f t="shared" si="573"/>
        <v>0</v>
      </c>
      <c r="CC398" s="118" t="str">
        <f t="shared" si="574"/>
        <v>A</v>
      </c>
      <c r="CD398" s="119" t="str">
        <f t="shared" si="531"/>
        <v/>
      </c>
      <c r="CE398" s="66">
        <f>+IF($W398="","",ROUND((VLOOKUP(ROUNDDOWN($D398-1/frec,0),cob_adi,BO$40,FALSE)*(1+i/frec)^-0.5*(1+Parámetros!$D$103)*(1+rec_fracc)/frec*'TABLAS ADI'!$BC$17),2))</f>
        <v>0</v>
      </c>
      <c r="CF398" s="119" t="str">
        <f t="shared" si="532"/>
        <v/>
      </c>
      <c r="CG398" s="66">
        <f>+IF($W398="","",ROUND(IF($B398&gt;Parámetros!$D$107,'Tablas Servicio'!CE398+('Tablas Servicio'!CG397-'Tablas Servicio'!CE397),CE398/(1-IF(B398&lt;=10,Parámetros!$D$100,0))),2))</f>
        <v>0</v>
      </c>
      <c r="CH398" s="66">
        <f t="shared" si="533"/>
        <v>0</v>
      </c>
      <c r="CI398" s="66">
        <f t="shared" si="533"/>
        <v>0</v>
      </c>
      <c r="CJ398" s="66">
        <f>+IF($W398="","",ROUND((CG398*Parámetros!$G$85),2))</f>
        <v>0</v>
      </c>
      <c r="CK398" s="66">
        <f>+IF($W398="","",ROUND((CG398*(Parámetros!$G$86)),2))</f>
        <v>0</v>
      </c>
      <c r="CL398" s="66">
        <f t="shared" si="534"/>
        <v>0</v>
      </c>
      <c r="CM398" t="str">
        <f t="shared" si="575"/>
        <v>00063</v>
      </c>
      <c r="CN398" s="118" t="str">
        <f t="shared" si="576"/>
        <v>Renta Diaria por Hospitalización</v>
      </c>
      <c r="CO398" s="118">
        <f t="shared" si="577"/>
        <v>0</v>
      </c>
      <c r="CP398" s="118" t="str">
        <f t="shared" si="578"/>
        <v>A</v>
      </c>
      <c r="CQ398" s="119" t="str">
        <f t="shared" si="535"/>
        <v/>
      </c>
      <c r="CR398" s="66">
        <f>+IF($W398="","",ROUND((VLOOKUP(Parámetros!$F$51,'COBERTURAS ADICIONALES'!$S$4:$T$32,2,FALSE)*(1+i/frec)^-0.5*(1+Parámetros!$D$103)*(1+rec_fracc)/frec*$CO$42),2))</f>
        <v>0</v>
      </c>
      <c r="CS398" s="119" t="str">
        <f t="shared" si="536"/>
        <v/>
      </c>
      <c r="CT398" s="66">
        <f>+IF($W398="","",ROUND(IF($B398&gt;Parámetros!$D$107,'Tablas Servicio'!CR398+('Tablas Servicio'!CT397-'Tablas Servicio'!CR397),CR398/(1-IF(B398&lt;=10,Parámetros!$D$100,0))),2))</f>
        <v>0</v>
      </c>
      <c r="CU398" s="66">
        <f t="shared" si="537"/>
        <v>0</v>
      </c>
      <c r="CV398" s="66">
        <f t="shared" si="537"/>
        <v>0</v>
      </c>
      <c r="CW398" s="66">
        <f>+IF($W398="","",ROUND((CT398*Parámetros!$G$85),2))</f>
        <v>0</v>
      </c>
      <c r="CX398" s="66">
        <f>+IF($W398="","",ROUND((CT398*(Parámetros!$G$86)),2))</f>
        <v>0</v>
      </c>
      <c r="CY398" s="66">
        <f t="shared" si="538"/>
        <v>0</v>
      </c>
      <c r="CZ398" t="str">
        <f t="shared" si="579"/>
        <v>00064</v>
      </c>
      <c r="DA398" s="118" t="str">
        <f t="shared" si="580"/>
        <v>Enfermedades Graves</v>
      </c>
      <c r="DB398" s="118">
        <f t="shared" si="581"/>
        <v>0</v>
      </c>
      <c r="DC398" s="118" t="str">
        <f t="shared" si="582"/>
        <v>A</v>
      </c>
      <c r="DD398" s="121" t="str">
        <f>+IF(OR($W398="",DB398=0),"",ROUND((VLOOKUP(ROUNDDOWN($D398-1/frec,0),cob_adi,CO$40,FALSE)*(1+i/frec)^-0.5*(1+Parámetros!$D$103)*(1+rec_fracc)/frec),6))</f>
        <v/>
      </c>
      <c r="DE398" s="66">
        <f t="shared" si="539"/>
        <v>0</v>
      </c>
      <c r="DF398" s="119" t="str">
        <f t="shared" si="540"/>
        <v/>
      </c>
      <c r="DG398" s="66">
        <f>+IF($W398="","",ROUND(IF($B398&gt;Parámetros!$D$107,'Tablas Servicio'!DE398+('Tablas Servicio'!DG397-'Tablas Servicio'!DE397),DE398/(1-IF(B398&lt;=10,Parámetros!$D$100,0))),2))</f>
        <v>0</v>
      </c>
      <c r="DH398" s="66">
        <f t="shared" si="541"/>
        <v>0</v>
      </c>
      <c r="DI398" s="66">
        <f t="shared" si="541"/>
        <v>0</v>
      </c>
      <c r="DJ398" s="66">
        <f>+IF($W398="","",ROUND((DG398*Parámetros!$G$85),2))</f>
        <v>0</v>
      </c>
      <c r="DK398" s="66">
        <f>+IF($W398="","",ROUND((DG398*(Parámetros!$G$86)),2))</f>
        <v>0</v>
      </c>
      <c r="DL398" s="66">
        <f t="shared" si="542"/>
        <v>0</v>
      </c>
      <c r="DM398" t="str">
        <f t="shared" si="583"/>
        <v>00065</v>
      </c>
      <c r="DN398" s="118" t="str">
        <f t="shared" si="584"/>
        <v>Exención pago de primas</v>
      </c>
      <c r="DO398" s="118">
        <f t="shared" si="585"/>
        <v>0</v>
      </c>
      <c r="DP398" s="118" t="str">
        <f t="shared" si="586"/>
        <v>A</v>
      </c>
      <c r="DQ398" s="122" t="str">
        <f>+IF(OR($W398="",DO398=0),"",ROUND((VLOOKUP(ROUNDDOWN($D398-1/frec,0),cob_adi,DB$40,FALSE)*(1+i/frec)^-0.5*(1+Parámetros!$D$103)*(1+rec_fracc)/frec),6))</f>
        <v/>
      </c>
      <c r="DR398" s="66">
        <f t="shared" si="543"/>
        <v>0</v>
      </c>
      <c r="DS398" s="68" t="str">
        <f t="shared" si="544"/>
        <v/>
      </c>
      <c r="DT398" s="66">
        <f>+IF($W398="","",ROUND(IF($B398&gt;Parámetros!$D$107,'Tablas Servicio'!DR398+('Tablas Servicio'!DT397-'Tablas Servicio'!DR397),DR398/(1-IF(B398&lt;=10,Parámetros!$D$100,0))),2))</f>
        <v>0</v>
      </c>
      <c r="DU398" s="66">
        <f t="shared" si="545"/>
        <v>0</v>
      </c>
      <c r="DV398" s="66">
        <f t="shared" si="545"/>
        <v>0</v>
      </c>
      <c r="DW398" s="66">
        <f>+IF($W398="","",ROUND((DT398*Parámetros!$G$85),2))</f>
        <v>0</v>
      </c>
      <c r="DX398" s="66">
        <f>+IF($W398="","",ROUND((DT398*(Parámetros!$G$86)),2))</f>
        <v>0</v>
      </c>
      <c r="DY398" s="66">
        <f t="shared" si="546"/>
        <v>0</v>
      </c>
      <c r="DZ398" t="str">
        <f t="shared" si="588"/>
        <v>00066</v>
      </c>
      <c r="EA398" s="118" t="str">
        <f t="shared" si="588"/>
        <v>Enfermedad terminal</v>
      </c>
      <c r="EB398" s="118">
        <f>+IF($W398="","",ROUND(IF(Parámetros!$D$25='TABLAS MORT'!$V$33,EB397,Z398/2),0))</f>
        <v>50000</v>
      </c>
      <c r="EC398" s="118" t="str">
        <f t="shared" si="588"/>
        <v>A</v>
      </c>
      <c r="ED398" s="122">
        <f>+IF(OR($W398="",EB398=0),"",ROUND((VLOOKUP(ROUNDDOWN($D398-1/frec,0),cob_adi,DO$40,FALSE)*(1+i/frec)^-0.5*(1+Parámetros!$D$103)*(1+rec_fracc)/frec),6))</f>
        <v>5.5000000000000002E-5</v>
      </c>
      <c r="EE398" s="66">
        <f t="shared" si="548"/>
        <v>2.75</v>
      </c>
      <c r="EF398" s="68">
        <f t="shared" si="549"/>
        <v>5.5000000000000002E-5</v>
      </c>
      <c r="EG398" s="66">
        <f>+IF($W398="","",ROUND(IF($B398&gt;Parámetros!$D$107,'Tablas Servicio'!EE398+('Tablas Servicio'!EG397-'Tablas Servicio'!EE397),EE398/(1-IF(B398&lt;=10,Parámetros!$D$100,0))),2))</f>
        <v>2.75</v>
      </c>
      <c r="EH398" s="66">
        <f t="shared" si="550"/>
        <v>0</v>
      </c>
      <c r="EI398" s="66">
        <f t="shared" si="550"/>
        <v>0</v>
      </c>
      <c r="EJ398" s="66">
        <f>+IF($W398="","",ROUND((EG398*Parámetros!$G$85),2))</f>
        <v>0.1</v>
      </c>
      <c r="EK398" s="66">
        <f>+IF($W398="","",ROUND((EG398*(Parámetros!$G$86)),2))</f>
        <v>0.01</v>
      </c>
      <c r="EL398" s="66">
        <f t="shared" si="551"/>
        <v>2.86</v>
      </c>
    </row>
    <row r="399" spans="1:142" x14ac:dyDescent="0.25">
      <c r="A399">
        <f>+IF($C399="","",ROUND(VLOOKUP('Tablas Servicio'!B399,Parámetros!$H$100:$J$159,IF(Parámetros!$E$16="F",2,3),FALSE),2))</f>
        <v>150</v>
      </c>
      <c r="B399">
        <f t="shared" si="502"/>
        <v>30</v>
      </c>
      <c r="C399" s="57">
        <f>+IF(D399="","",'Tablas Servicio'!C398+1)</f>
        <v>358</v>
      </c>
      <c r="D399" s="56">
        <f>+IF(D398&lt;edadmaxtabla,D398+1/Parámetros!$E$25,"")</f>
        <v>69.85333333333368</v>
      </c>
      <c r="E399" s="57">
        <f t="shared" si="512"/>
        <v>69</v>
      </c>
      <c r="F399" s="59">
        <f t="shared" si="513"/>
        <v>100000</v>
      </c>
      <c r="G399" s="66">
        <f t="shared" si="503"/>
        <v>118.25</v>
      </c>
      <c r="H399" s="66">
        <f t="shared" si="504"/>
        <v>122.98</v>
      </c>
      <c r="I399" s="66">
        <f t="shared" si="552"/>
        <v>-28.980000000000004</v>
      </c>
      <c r="J399" s="66">
        <f t="shared" si="505"/>
        <v>4.1399999999999997</v>
      </c>
      <c r="K399" s="66">
        <f t="shared" si="506"/>
        <v>0.59</v>
      </c>
      <c r="L399" s="66">
        <f t="shared" si="507"/>
        <v>0</v>
      </c>
      <c r="M399" s="66">
        <f t="shared" si="508"/>
        <v>0</v>
      </c>
      <c r="N399" s="66">
        <f>+IF(C399="","",ROUND(Parámetros!$D$23,2))</f>
        <v>94</v>
      </c>
      <c r="O399" s="66">
        <f t="shared" si="509"/>
        <v>105.75</v>
      </c>
      <c r="P399" s="66">
        <f>+IF($C399="","",ROUND(IF(B399&gt;Parámetros!$D$117,0,N399*Parámetros!$D$116-G399*Parámetros!$D$100),2))</f>
        <v>0</v>
      </c>
      <c r="Q399" s="75">
        <f t="shared" si="553"/>
        <v>3.5010570824524308E-2</v>
      </c>
      <c r="R399" s="75">
        <f t="shared" si="554"/>
        <v>4.989429175475687E-3</v>
      </c>
      <c r="S399" s="117">
        <f>+IF($C399="","",ROUND((S398+I399)*(1+Parámetros!$D$91),2))</f>
        <v>25935.81</v>
      </c>
      <c r="T399" s="117">
        <f>+IF($C399="","",ROUND(S399*VLOOKUP(B399,Parámetros!$C$30:$D$39,2,TRUE),2))</f>
        <v>25935.81</v>
      </c>
      <c r="U399" s="117">
        <f>+IF($C399="","",ROUND((U398+I399)*(1+Parámetros!$D$92),2))</f>
        <v>28760.07</v>
      </c>
      <c r="V399" s="117">
        <f>+IF($C399="","",ROUND(U399*VLOOKUP(B399,Parámetros!$C$30:$D$39,2,TRUE),2))</f>
        <v>28760.07</v>
      </c>
      <c r="W399" s="57">
        <f t="shared" si="555"/>
        <v>358</v>
      </c>
      <c r="X399" t="str">
        <f t="shared" si="556"/>
        <v>00058</v>
      </c>
      <c r="Y399" t="str">
        <f t="shared" si="557"/>
        <v>MUERTE POR CUALQUIER CAUSA</v>
      </c>
      <c r="Z399" s="118">
        <f>+IF($W399="","",ROUND(IF(Parámetros!$D$25='TABLAS MORT'!$V$33,Z398,Parámetros!$D$21-'Tablas Servicio'!T398),0))</f>
        <v>100000</v>
      </c>
      <c r="AA399" s="118" t="str">
        <f t="shared" si="558"/>
        <v>P</v>
      </c>
      <c r="AB399" s="119">
        <f>+IF(W399="","",ROUND((VLOOKUP(ROUNDDOWN($D399-1/frec,0),qx_tabla,2,FALSE)*(1+i/frec)^-0.5*(1+Parámetros!$D$103)*(1+rec_fracc)/frec),6))</f>
        <v>1.0300000000000001E-3</v>
      </c>
      <c r="AC399" s="66">
        <f t="shared" si="514"/>
        <v>103</v>
      </c>
      <c r="AD399" s="119">
        <f t="shared" si="510"/>
        <v>1.155E-3</v>
      </c>
      <c r="AE399" s="66">
        <f>+IF($W399="","",ROUND(IF($B399&gt;Parámetros!$D$107,'Tablas Servicio'!AC399+('Tablas Servicio'!AG398-'Tablas Servicio'!AC398),AC399/(1-IF(B399&lt;=10,Parámetros!$D$104,Parámetros!$D$105))),2))</f>
        <v>171.67</v>
      </c>
      <c r="AF399" s="66">
        <f>+IF($W399="","",ROUND(IF($B399&gt;Parámetros!$D$107,'Tablas Servicio'!AC399+('Tablas Servicio'!AG398-'Tablas Servicio'!AC398),(AC399+$A398/frec)/(1-IF(B399&lt;=Parámetros!$D$117,Parámetros!$D$100,0))),2))</f>
        <v>115.5</v>
      </c>
      <c r="AG399" s="66">
        <f t="shared" si="515"/>
        <v>115.5</v>
      </c>
      <c r="AH399" s="66">
        <f t="shared" si="516"/>
        <v>0</v>
      </c>
      <c r="AI399" s="66">
        <f t="shared" si="517"/>
        <v>0</v>
      </c>
      <c r="AJ399" s="66">
        <f>+IF($W399="","",ROUND((AG399*Parámetros!$G$85),2))</f>
        <v>4.04</v>
      </c>
      <c r="AK399" s="66">
        <f>+IF($W399="","",ROUND((AG399*(Parámetros!$G$86)),2))</f>
        <v>0.57999999999999996</v>
      </c>
      <c r="AL399" s="66">
        <f t="shared" si="511"/>
        <v>120.12</v>
      </c>
      <c r="AM399" t="str">
        <f t="shared" si="559"/>
        <v>00059</v>
      </c>
      <c r="AN399" t="str">
        <f t="shared" si="560"/>
        <v>Incapacidad Total y Permanente</v>
      </c>
      <c r="AO399" s="118">
        <f t="shared" si="561"/>
        <v>0</v>
      </c>
      <c r="AP399" s="118" t="str">
        <f t="shared" si="562"/>
        <v>A</v>
      </c>
      <c r="AQ399" s="119" t="str">
        <f>+IF(OR($W399="",AO399=0),"",ROUND((VLOOKUP(ROUNDDOWN($D399-1/frec,0),cob_adi,Z$40,FALSE)*(1+i/frec)^-0.5*(1+Parámetros!$D$103)*(1+rec_fracc)/frec),6))</f>
        <v/>
      </c>
      <c r="AR399" s="66">
        <f t="shared" si="518"/>
        <v>0</v>
      </c>
      <c r="AS399" s="119" t="str">
        <f t="shared" si="519"/>
        <v/>
      </c>
      <c r="AT399" s="66">
        <f>+IF($W399="","",ROUND(IF($B399&gt;Parámetros!$D$107,'Tablas Servicio'!AR399+('Tablas Servicio'!AT398-'Tablas Servicio'!AR398),AR399/(1-IF(B399&lt;=10,Parámetros!$D$100,0))),2))</f>
        <v>0</v>
      </c>
      <c r="AU399" s="66">
        <f t="shared" si="520"/>
        <v>0</v>
      </c>
      <c r="AV399" s="66">
        <f t="shared" si="520"/>
        <v>0</v>
      </c>
      <c r="AW399" s="66">
        <f>+IF($W399="","",ROUND((AT399*Parámetros!$G$85),2))</f>
        <v>0</v>
      </c>
      <c r="AX399" s="66">
        <f>+IF($W399="","",ROUND((AT399*(Parámetros!$G$86)),2))</f>
        <v>0</v>
      </c>
      <c r="AY399" s="66">
        <f t="shared" si="521"/>
        <v>0</v>
      </c>
      <c r="AZ399" t="str">
        <f t="shared" si="563"/>
        <v>00060</v>
      </c>
      <c r="BA399" t="str">
        <f t="shared" si="564"/>
        <v>Muerte Accidental</v>
      </c>
      <c r="BB399" s="118">
        <f t="shared" si="565"/>
        <v>0</v>
      </c>
      <c r="BC399" s="118" t="str">
        <f t="shared" si="566"/>
        <v>A</v>
      </c>
      <c r="BD399" s="119" t="str">
        <f>+IF(OR($W399="",BB399=0),"",ROUND((VLOOKUP(ROUNDDOWN($D399-1/frec,0),cob_adi,AO$40,FALSE)*(1+i/frec)^-0.5*(1+Parámetros!$D$103)*(1+rec_fracc)/frec),6))</f>
        <v/>
      </c>
      <c r="BE399" s="66">
        <f t="shared" si="522"/>
        <v>0</v>
      </c>
      <c r="BF399" s="119" t="str">
        <f t="shared" si="523"/>
        <v/>
      </c>
      <c r="BG399" s="66">
        <f>+IF($W399="","",ROUND(IF($B399&gt;Parámetros!$D$107,'Tablas Servicio'!BE399+('Tablas Servicio'!BG398-'Tablas Servicio'!BE398),BE399/(1-IF(B399&lt;=10,Parámetros!$D$100,0))),2))</f>
        <v>0</v>
      </c>
      <c r="BH399" s="66">
        <f t="shared" si="524"/>
        <v>0</v>
      </c>
      <c r="BI399" s="66">
        <f t="shared" si="525"/>
        <v>0</v>
      </c>
      <c r="BJ399" s="66">
        <f>+IF($W399="","",ROUND((BG399*Parámetros!$G$85),2))</f>
        <v>0</v>
      </c>
      <c r="BK399" s="66">
        <f>+IF($W399="","",ROUND((BG399*(Parámetros!$G$86)),2))</f>
        <v>0</v>
      </c>
      <c r="BL399" s="66">
        <f t="shared" si="526"/>
        <v>0</v>
      </c>
      <c r="BM399" t="str">
        <f t="shared" si="567"/>
        <v>00061</v>
      </c>
      <c r="BN399" t="str">
        <f t="shared" si="568"/>
        <v>Gastos de Entierro</v>
      </c>
      <c r="BO399" s="118">
        <f t="shared" si="569"/>
        <v>0</v>
      </c>
      <c r="BP399" s="118" t="str">
        <f t="shared" si="570"/>
        <v>A</v>
      </c>
      <c r="BQ399" s="119" t="str">
        <f>+IF(OR($W399="",BO399=0),"",ROUND((VLOOKUP(ROUNDDOWN($D399-1/frec,0),cob_adi,BB$40,FALSE)*(1+i/frec)^-0.5*(1+Parámetros!$D$103)*(1+rec_fracc)/frec),6))</f>
        <v/>
      </c>
      <c r="BR399" s="66">
        <f t="shared" si="527"/>
        <v>0</v>
      </c>
      <c r="BS399" s="119" t="str">
        <f t="shared" si="528"/>
        <v/>
      </c>
      <c r="BT399" s="66">
        <f>+IF($W399="","",ROUND(IF($B399&gt;Parámetros!$D$107,'Tablas Servicio'!BR399+('Tablas Servicio'!BT398-'Tablas Servicio'!BR398),BR399/(1-IF(B399&lt;=10,Parámetros!$D$100,0))),2))</f>
        <v>0</v>
      </c>
      <c r="BU399" s="66">
        <f t="shared" si="529"/>
        <v>0</v>
      </c>
      <c r="BV399" s="66">
        <f t="shared" si="529"/>
        <v>0</v>
      </c>
      <c r="BW399" s="66">
        <f>+IF($W399="","",ROUND((BT399*Parámetros!$G$85),2))</f>
        <v>0</v>
      </c>
      <c r="BX399" s="66">
        <f>+IF($W399="","",ROUND((BT399*(Parámetros!$G$86)),2))</f>
        <v>0</v>
      </c>
      <c r="BY399" s="66">
        <f t="shared" si="530"/>
        <v>0</v>
      </c>
      <c r="BZ399" t="str">
        <f t="shared" si="571"/>
        <v>00062</v>
      </c>
      <c r="CA399" t="str">
        <f t="shared" si="572"/>
        <v>Gastos médicos por accidente</v>
      </c>
      <c r="CB399" s="118">
        <f t="shared" si="573"/>
        <v>0</v>
      </c>
      <c r="CC399" s="118" t="str">
        <f t="shared" si="574"/>
        <v>A</v>
      </c>
      <c r="CD399" s="119" t="str">
        <f t="shared" si="531"/>
        <v/>
      </c>
      <c r="CE399" s="66">
        <f>+IF($W399="","",ROUND((VLOOKUP(ROUNDDOWN($D399-1/frec,0),cob_adi,BO$40,FALSE)*(1+i/frec)^-0.5*(1+Parámetros!$D$103)*(1+rec_fracc)/frec*'TABLAS ADI'!$BC$17),2))</f>
        <v>0</v>
      </c>
      <c r="CF399" s="119" t="str">
        <f t="shared" si="532"/>
        <v/>
      </c>
      <c r="CG399" s="66">
        <f>+IF($W399="","",ROUND(IF($B399&gt;Parámetros!$D$107,'Tablas Servicio'!CE399+('Tablas Servicio'!CG398-'Tablas Servicio'!CE398),CE399/(1-IF(B399&lt;=10,Parámetros!$D$100,0))),2))</f>
        <v>0</v>
      </c>
      <c r="CH399" s="66">
        <f t="shared" si="533"/>
        <v>0</v>
      </c>
      <c r="CI399" s="66">
        <f t="shared" si="533"/>
        <v>0</v>
      </c>
      <c r="CJ399" s="66">
        <f>+IF($W399="","",ROUND((CG399*Parámetros!$G$85),2))</f>
        <v>0</v>
      </c>
      <c r="CK399" s="66">
        <f>+IF($W399="","",ROUND((CG399*(Parámetros!$G$86)),2))</f>
        <v>0</v>
      </c>
      <c r="CL399" s="66">
        <f t="shared" si="534"/>
        <v>0</v>
      </c>
      <c r="CM399" t="str">
        <f t="shared" si="575"/>
        <v>00063</v>
      </c>
      <c r="CN399" s="118" t="str">
        <f t="shared" si="576"/>
        <v>Renta Diaria por Hospitalización</v>
      </c>
      <c r="CO399" s="118">
        <f t="shared" si="577"/>
        <v>0</v>
      </c>
      <c r="CP399" s="118" t="str">
        <f t="shared" si="578"/>
        <v>A</v>
      </c>
      <c r="CQ399" s="119" t="str">
        <f t="shared" si="535"/>
        <v/>
      </c>
      <c r="CR399" s="66">
        <f>+IF($W399="","",ROUND((VLOOKUP(Parámetros!$F$51,'COBERTURAS ADICIONALES'!$S$4:$T$32,2,FALSE)*(1+i/frec)^-0.5*(1+Parámetros!$D$103)*(1+rec_fracc)/frec*$CO$42),2))</f>
        <v>0</v>
      </c>
      <c r="CS399" s="119" t="str">
        <f t="shared" si="536"/>
        <v/>
      </c>
      <c r="CT399" s="66">
        <f>+IF($W399="","",ROUND(IF($B399&gt;Parámetros!$D$107,'Tablas Servicio'!CR399+('Tablas Servicio'!CT398-'Tablas Servicio'!CR398),CR399/(1-IF(B399&lt;=10,Parámetros!$D$100,0))),2))</f>
        <v>0</v>
      </c>
      <c r="CU399" s="66">
        <f t="shared" si="537"/>
        <v>0</v>
      </c>
      <c r="CV399" s="66">
        <f t="shared" si="537"/>
        <v>0</v>
      </c>
      <c r="CW399" s="66">
        <f>+IF($W399="","",ROUND((CT399*Parámetros!$G$85),2))</f>
        <v>0</v>
      </c>
      <c r="CX399" s="66">
        <f>+IF($W399="","",ROUND((CT399*(Parámetros!$G$86)),2))</f>
        <v>0</v>
      </c>
      <c r="CY399" s="66">
        <f t="shared" si="538"/>
        <v>0</v>
      </c>
      <c r="CZ399" t="str">
        <f t="shared" si="579"/>
        <v>00064</v>
      </c>
      <c r="DA399" s="118" t="str">
        <f t="shared" si="580"/>
        <v>Enfermedades Graves</v>
      </c>
      <c r="DB399" s="118">
        <f t="shared" si="581"/>
        <v>0</v>
      </c>
      <c r="DC399" s="118" t="str">
        <f t="shared" si="582"/>
        <v>A</v>
      </c>
      <c r="DD399" s="121" t="str">
        <f>+IF(OR($W399="",DB399=0),"",ROUND((VLOOKUP(ROUNDDOWN($D399-1/frec,0),cob_adi,CO$40,FALSE)*(1+i/frec)^-0.5*(1+Parámetros!$D$103)*(1+rec_fracc)/frec),6))</f>
        <v/>
      </c>
      <c r="DE399" s="66">
        <f t="shared" si="539"/>
        <v>0</v>
      </c>
      <c r="DF399" s="119" t="str">
        <f t="shared" si="540"/>
        <v/>
      </c>
      <c r="DG399" s="66">
        <f>+IF($W399="","",ROUND(IF($B399&gt;Parámetros!$D$107,'Tablas Servicio'!DE399+('Tablas Servicio'!DG398-'Tablas Servicio'!DE398),DE399/(1-IF(B399&lt;=10,Parámetros!$D$100,0))),2))</f>
        <v>0</v>
      </c>
      <c r="DH399" s="66">
        <f t="shared" si="541"/>
        <v>0</v>
      </c>
      <c r="DI399" s="66">
        <f t="shared" si="541"/>
        <v>0</v>
      </c>
      <c r="DJ399" s="66">
        <f>+IF($W399="","",ROUND((DG399*Parámetros!$G$85),2))</f>
        <v>0</v>
      </c>
      <c r="DK399" s="66">
        <f>+IF($W399="","",ROUND((DG399*(Parámetros!$G$86)),2))</f>
        <v>0</v>
      </c>
      <c r="DL399" s="66">
        <f t="shared" si="542"/>
        <v>0</v>
      </c>
      <c r="DM399" t="str">
        <f t="shared" si="583"/>
        <v>00065</v>
      </c>
      <c r="DN399" s="118" t="str">
        <f t="shared" si="584"/>
        <v>Exención pago de primas</v>
      </c>
      <c r="DO399" s="118">
        <f t="shared" si="585"/>
        <v>0</v>
      </c>
      <c r="DP399" s="118" t="str">
        <f t="shared" si="586"/>
        <v>A</v>
      </c>
      <c r="DQ399" s="122" t="str">
        <f>+IF(OR($W399="",DO399=0),"",ROUND((VLOOKUP(ROUNDDOWN($D399-1/frec,0),cob_adi,DB$40,FALSE)*(1+i/frec)^-0.5*(1+Parámetros!$D$103)*(1+rec_fracc)/frec),6))</f>
        <v/>
      </c>
      <c r="DR399" s="66">
        <f t="shared" si="543"/>
        <v>0</v>
      </c>
      <c r="DS399" s="68" t="str">
        <f t="shared" si="544"/>
        <v/>
      </c>
      <c r="DT399" s="66">
        <f>+IF($W399="","",ROUND(IF($B399&gt;Parámetros!$D$107,'Tablas Servicio'!DR399+('Tablas Servicio'!DT398-'Tablas Servicio'!DR398),DR399/(1-IF(B399&lt;=10,Parámetros!$D$100,0))),2))</f>
        <v>0</v>
      </c>
      <c r="DU399" s="66">
        <f t="shared" si="545"/>
        <v>0</v>
      </c>
      <c r="DV399" s="66">
        <f t="shared" si="545"/>
        <v>0</v>
      </c>
      <c r="DW399" s="66">
        <f>+IF($W399="","",ROUND((DT399*Parámetros!$G$85),2))</f>
        <v>0</v>
      </c>
      <c r="DX399" s="66">
        <f>+IF($W399="","",ROUND((DT399*(Parámetros!$G$86)),2))</f>
        <v>0</v>
      </c>
      <c r="DY399" s="66">
        <f t="shared" si="546"/>
        <v>0</v>
      </c>
      <c r="DZ399" t="str">
        <f t="shared" si="588"/>
        <v>00066</v>
      </c>
      <c r="EA399" s="118" t="str">
        <f t="shared" si="588"/>
        <v>Enfermedad terminal</v>
      </c>
      <c r="EB399" s="118">
        <f>+IF($W399="","",ROUND(IF(Parámetros!$D$25='TABLAS MORT'!$V$33,EB398,Z399/2),0))</f>
        <v>50000</v>
      </c>
      <c r="EC399" s="118" t="str">
        <f t="shared" si="588"/>
        <v>A</v>
      </c>
      <c r="ED399" s="122">
        <f>+IF(OR($W399="",EB399=0),"",ROUND((VLOOKUP(ROUNDDOWN($D399-1/frec,0),cob_adi,DO$40,FALSE)*(1+i/frec)^-0.5*(1+Parámetros!$D$103)*(1+rec_fracc)/frec),6))</f>
        <v>5.5000000000000002E-5</v>
      </c>
      <c r="EE399" s="66">
        <f t="shared" si="548"/>
        <v>2.75</v>
      </c>
      <c r="EF399" s="68">
        <f t="shared" si="549"/>
        <v>5.5000000000000002E-5</v>
      </c>
      <c r="EG399" s="66">
        <f>+IF($W399="","",ROUND(IF($B399&gt;Parámetros!$D$107,'Tablas Servicio'!EE399+('Tablas Servicio'!EG398-'Tablas Servicio'!EE398),EE399/(1-IF(B399&lt;=10,Parámetros!$D$100,0))),2))</f>
        <v>2.75</v>
      </c>
      <c r="EH399" s="66">
        <f t="shared" si="550"/>
        <v>0</v>
      </c>
      <c r="EI399" s="66">
        <f t="shared" si="550"/>
        <v>0</v>
      </c>
      <c r="EJ399" s="66">
        <f>+IF($W399="","",ROUND((EG399*Parámetros!$G$85),2))</f>
        <v>0.1</v>
      </c>
      <c r="EK399" s="66">
        <f>+IF($W399="","",ROUND((EG399*(Parámetros!$G$86)),2))</f>
        <v>0.01</v>
      </c>
      <c r="EL399" s="66">
        <f t="shared" si="551"/>
        <v>2.86</v>
      </c>
    </row>
    <row r="400" spans="1:142" x14ac:dyDescent="0.25">
      <c r="A400">
        <f>+IF($C400="","",ROUND(VLOOKUP('Tablas Servicio'!B400,Parámetros!$H$100:$J$159,IF(Parámetros!$E$16="F",2,3),FALSE),2))</f>
        <v>150</v>
      </c>
      <c r="B400">
        <f t="shared" si="502"/>
        <v>30</v>
      </c>
      <c r="C400" s="57">
        <f>+IF(D400="","",'Tablas Servicio'!C399+1)</f>
        <v>359</v>
      </c>
      <c r="D400" s="56">
        <f>+IF(D399&lt;edadmaxtabla,D399+1/Parámetros!$E$25,"")</f>
        <v>69.936666666667008</v>
      </c>
      <c r="E400" s="57">
        <f t="shared" si="512"/>
        <v>69</v>
      </c>
      <c r="F400" s="59">
        <f t="shared" si="513"/>
        <v>100000</v>
      </c>
      <c r="G400" s="66">
        <f t="shared" si="503"/>
        <v>118.25</v>
      </c>
      <c r="H400" s="66">
        <f t="shared" si="504"/>
        <v>122.98</v>
      </c>
      <c r="I400" s="66">
        <f t="shared" si="552"/>
        <v>-28.980000000000004</v>
      </c>
      <c r="J400" s="66">
        <f t="shared" si="505"/>
        <v>4.1399999999999997</v>
      </c>
      <c r="K400" s="66">
        <f t="shared" si="506"/>
        <v>0.59</v>
      </c>
      <c r="L400" s="66">
        <f t="shared" si="507"/>
        <v>0</v>
      </c>
      <c r="M400" s="66">
        <f t="shared" si="508"/>
        <v>0</v>
      </c>
      <c r="N400" s="66">
        <f>+IF(C400="","",ROUND(Parámetros!$D$23,2))</f>
        <v>94</v>
      </c>
      <c r="O400" s="66">
        <f t="shared" si="509"/>
        <v>105.75</v>
      </c>
      <c r="P400" s="66">
        <f>+IF($C400="","",ROUND(IF(B400&gt;Parámetros!$D$117,0,N400*Parámetros!$D$116-G400*Parámetros!$D$100),2))</f>
        <v>0</v>
      </c>
      <c r="Q400" s="75">
        <f t="shared" si="553"/>
        <v>3.5010570824524308E-2</v>
      </c>
      <c r="R400" s="75">
        <f t="shared" si="554"/>
        <v>4.989429175475687E-3</v>
      </c>
      <c r="S400" s="117">
        <f>+IF($C400="","",ROUND((S399+I400)*(1+Parámetros!$D$91),2))</f>
        <v>25980.31</v>
      </c>
      <c r="T400" s="117">
        <f>+IF($C400="","",ROUND(S400*VLOOKUP(B400,Parámetros!$C$30:$D$39,2,TRUE),2))</f>
        <v>25980.31</v>
      </c>
      <c r="U400" s="117">
        <f>+IF($C400="","",ROUND((U399+I400)*(1+Parámetros!$D$92),2))</f>
        <v>28824.23</v>
      </c>
      <c r="V400" s="117">
        <f>+IF($C400="","",ROUND(U400*VLOOKUP(B400,Parámetros!$C$30:$D$39,2,TRUE),2))</f>
        <v>28824.23</v>
      </c>
      <c r="W400" s="57">
        <f t="shared" si="555"/>
        <v>359</v>
      </c>
      <c r="X400" t="str">
        <f t="shared" si="556"/>
        <v>00058</v>
      </c>
      <c r="Y400" t="str">
        <f t="shared" si="557"/>
        <v>MUERTE POR CUALQUIER CAUSA</v>
      </c>
      <c r="Z400" s="118">
        <f>+IF($W400="","",ROUND(IF(Parámetros!$D$25='TABLAS MORT'!$V$33,Z399,Parámetros!$D$21-'Tablas Servicio'!T399),0))</f>
        <v>100000</v>
      </c>
      <c r="AA400" s="118" t="str">
        <f t="shared" si="558"/>
        <v>P</v>
      </c>
      <c r="AB400" s="119">
        <f>+IF(W400="","",ROUND((VLOOKUP(ROUNDDOWN($D400-1/frec,0),qx_tabla,2,FALSE)*(1+i/frec)^-0.5*(1+Parámetros!$D$103)*(1+rec_fracc)/frec),6))</f>
        <v>1.0300000000000001E-3</v>
      </c>
      <c r="AC400" s="66">
        <f t="shared" si="514"/>
        <v>103</v>
      </c>
      <c r="AD400" s="119">
        <f t="shared" si="510"/>
        <v>1.155E-3</v>
      </c>
      <c r="AE400" s="66">
        <f>+IF($W400="","",ROUND(IF($B400&gt;Parámetros!$D$107,'Tablas Servicio'!AC400+('Tablas Servicio'!AG399-'Tablas Servicio'!AC399),AC400/(1-IF(B400&lt;=10,Parámetros!$D$104,Parámetros!$D$105))),2))</f>
        <v>171.67</v>
      </c>
      <c r="AF400" s="66">
        <f>+IF($W400="","",ROUND(IF($B400&gt;Parámetros!$D$107,'Tablas Servicio'!AC400+('Tablas Servicio'!AG399-'Tablas Servicio'!AC399),(AC400+$A399/frec)/(1-IF(B400&lt;=Parámetros!$D$117,Parámetros!$D$100,0))),2))</f>
        <v>115.5</v>
      </c>
      <c r="AG400" s="66">
        <f t="shared" si="515"/>
        <v>115.5</v>
      </c>
      <c r="AH400" s="66">
        <f t="shared" si="516"/>
        <v>0</v>
      </c>
      <c r="AI400" s="66">
        <f t="shared" si="517"/>
        <v>0</v>
      </c>
      <c r="AJ400" s="66">
        <f>+IF($W400="","",ROUND((AG400*Parámetros!$G$85),2))</f>
        <v>4.04</v>
      </c>
      <c r="AK400" s="66">
        <f>+IF($W400="","",ROUND((AG400*(Parámetros!$G$86)),2))</f>
        <v>0.57999999999999996</v>
      </c>
      <c r="AL400" s="66">
        <f t="shared" si="511"/>
        <v>120.12</v>
      </c>
      <c r="AM400" t="str">
        <f t="shared" si="559"/>
        <v>00059</v>
      </c>
      <c r="AN400" t="str">
        <f t="shared" si="560"/>
        <v>Incapacidad Total y Permanente</v>
      </c>
      <c r="AO400" s="118">
        <f t="shared" si="561"/>
        <v>0</v>
      </c>
      <c r="AP400" s="118" t="str">
        <f t="shared" si="562"/>
        <v>A</v>
      </c>
      <c r="AQ400" s="119" t="str">
        <f>+IF(OR($W400="",AO400=0),"",ROUND((VLOOKUP(ROUNDDOWN($D400-1/frec,0),cob_adi,Z$40,FALSE)*(1+i/frec)^-0.5*(1+Parámetros!$D$103)*(1+rec_fracc)/frec),6))</f>
        <v/>
      </c>
      <c r="AR400" s="66">
        <f t="shared" si="518"/>
        <v>0</v>
      </c>
      <c r="AS400" s="119" t="str">
        <f t="shared" si="519"/>
        <v/>
      </c>
      <c r="AT400" s="66">
        <f>+IF($W400="","",ROUND(IF($B400&gt;Parámetros!$D$107,'Tablas Servicio'!AR400+('Tablas Servicio'!AT399-'Tablas Servicio'!AR399),AR400/(1-IF(B400&lt;=10,Parámetros!$D$100,0))),2))</f>
        <v>0</v>
      </c>
      <c r="AU400" s="66">
        <f t="shared" si="520"/>
        <v>0</v>
      </c>
      <c r="AV400" s="66">
        <f t="shared" si="520"/>
        <v>0</v>
      </c>
      <c r="AW400" s="66">
        <f>+IF($W400="","",ROUND((AT400*Parámetros!$G$85),2))</f>
        <v>0</v>
      </c>
      <c r="AX400" s="66">
        <f>+IF($W400="","",ROUND((AT400*(Parámetros!$G$86)),2))</f>
        <v>0</v>
      </c>
      <c r="AY400" s="66">
        <f t="shared" si="521"/>
        <v>0</v>
      </c>
      <c r="AZ400" t="str">
        <f t="shared" si="563"/>
        <v>00060</v>
      </c>
      <c r="BA400" t="str">
        <f t="shared" si="564"/>
        <v>Muerte Accidental</v>
      </c>
      <c r="BB400" s="118">
        <f t="shared" si="565"/>
        <v>0</v>
      </c>
      <c r="BC400" s="118" t="str">
        <f t="shared" si="566"/>
        <v>A</v>
      </c>
      <c r="BD400" s="119" t="str">
        <f>+IF(OR($W400="",BB400=0),"",ROUND((VLOOKUP(ROUNDDOWN($D400-1/frec,0),cob_adi,AO$40,FALSE)*(1+i/frec)^-0.5*(1+Parámetros!$D$103)*(1+rec_fracc)/frec),6))</f>
        <v/>
      </c>
      <c r="BE400" s="66">
        <f t="shared" si="522"/>
        <v>0</v>
      </c>
      <c r="BF400" s="119" t="str">
        <f t="shared" si="523"/>
        <v/>
      </c>
      <c r="BG400" s="66">
        <f>+IF($W400="","",ROUND(IF($B400&gt;Parámetros!$D$107,'Tablas Servicio'!BE400+('Tablas Servicio'!BG399-'Tablas Servicio'!BE399),BE400/(1-IF(B400&lt;=10,Parámetros!$D$100,0))),2))</f>
        <v>0</v>
      </c>
      <c r="BH400" s="66">
        <f t="shared" si="524"/>
        <v>0</v>
      </c>
      <c r="BI400" s="66">
        <f t="shared" si="525"/>
        <v>0</v>
      </c>
      <c r="BJ400" s="66">
        <f>+IF($W400="","",ROUND((BG400*Parámetros!$G$85),2))</f>
        <v>0</v>
      </c>
      <c r="BK400" s="66">
        <f>+IF($W400="","",ROUND((BG400*(Parámetros!$G$86)),2))</f>
        <v>0</v>
      </c>
      <c r="BL400" s="66">
        <f t="shared" si="526"/>
        <v>0</v>
      </c>
      <c r="BM400" t="str">
        <f t="shared" si="567"/>
        <v>00061</v>
      </c>
      <c r="BN400" t="str">
        <f t="shared" si="568"/>
        <v>Gastos de Entierro</v>
      </c>
      <c r="BO400" s="118">
        <f t="shared" si="569"/>
        <v>0</v>
      </c>
      <c r="BP400" s="118" t="str">
        <f t="shared" si="570"/>
        <v>A</v>
      </c>
      <c r="BQ400" s="119" t="str">
        <f>+IF(OR($W400="",BO400=0),"",ROUND((VLOOKUP(ROUNDDOWN($D400-1/frec,0),cob_adi,BB$40,FALSE)*(1+i/frec)^-0.5*(1+Parámetros!$D$103)*(1+rec_fracc)/frec),6))</f>
        <v/>
      </c>
      <c r="BR400" s="66">
        <f t="shared" si="527"/>
        <v>0</v>
      </c>
      <c r="BS400" s="119" t="str">
        <f t="shared" si="528"/>
        <v/>
      </c>
      <c r="BT400" s="66">
        <f>+IF($W400="","",ROUND(IF($B400&gt;Parámetros!$D$107,'Tablas Servicio'!BR400+('Tablas Servicio'!BT399-'Tablas Servicio'!BR399),BR400/(1-IF(B400&lt;=10,Parámetros!$D$100,0))),2))</f>
        <v>0</v>
      </c>
      <c r="BU400" s="66">
        <f t="shared" si="529"/>
        <v>0</v>
      </c>
      <c r="BV400" s="66">
        <f t="shared" si="529"/>
        <v>0</v>
      </c>
      <c r="BW400" s="66">
        <f>+IF($W400="","",ROUND((BT400*Parámetros!$G$85),2))</f>
        <v>0</v>
      </c>
      <c r="BX400" s="66">
        <f>+IF($W400="","",ROUND((BT400*(Parámetros!$G$86)),2))</f>
        <v>0</v>
      </c>
      <c r="BY400" s="66">
        <f t="shared" si="530"/>
        <v>0</v>
      </c>
      <c r="BZ400" t="str">
        <f t="shared" si="571"/>
        <v>00062</v>
      </c>
      <c r="CA400" t="str">
        <f t="shared" si="572"/>
        <v>Gastos médicos por accidente</v>
      </c>
      <c r="CB400" s="118">
        <f t="shared" si="573"/>
        <v>0</v>
      </c>
      <c r="CC400" s="118" t="str">
        <f t="shared" si="574"/>
        <v>A</v>
      </c>
      <c r="CD400" s="119" t="str">
        <f t="shared" si="531"/>
        <v/>
      </c>
      <c r="CE400" s="66">
        <f>+IF($W400="","",ROUND((VLOOKUP(ROUNDDOWN($D400-1/frec,0),cob_adi,BO$40,FALSE)*(1+i/frec)^-0.5*(1+Parámetros!$D$103)*(1+rec_fracc)/frec*'TABLAS ADI'!$BC$17),2))</f>
        <v>0</v>
      </c>
      <c r="CF400" s="119" t="str">
        <f t="shared" si="532"/>
        <v/>
      </c>
      <c r="CG400" s="66">
        <f>+IF($W400="","",ROUND(IF($B400&gt;Parámetros!$D$107,'Tablas Servicio'!CE400+('Tablas Servicio'!CG399-'Tablas Servicio'!CE399),CE400/(1-IF(B400&lt;=10,Parámetros!$D$100,0))),2))</f>
        <v>0</v>
      </c>
      <c r="CH400" s="66">
        <f t="shared" si="533"/>
        <v>0</v>
      </c>
      <c r="CI400" s="66">
        <f t="shared" si="533"/>
        <v>0</v>
      </c>
      <c r="CJ400" s="66">
        <f>+IF($W400="","",ROUND((CG400*Parámetros!$G$85),2))</f>
        <v>0</v>
      </c>
      <c r="CK400" s="66">
        <f>+IF($W400="","",ROUND((CG400*(Parámetros!$G$86)),2))</f>
        <v>0</v>
      </c>
      <c r="CL400" s="66">
        <f t="shared" si="534"/>
        <v>0</v>
      </c>
      <c r="CM400" t="str">
        <f t="shared" si="575"/>
        <v>00063</v>
      </c>
      <c r="CN400" s="118" t="str">
        <f t="shared" si="576"/>
        <v>Renta Diaria por Hospitalización</v>
      </c>
      <c r="CO400" s="118">
        <f t="shared" si="577"/>
        <v>0</v>
      </c>
      <c r="CP400" s="118" t="str">
        <f t="shared" si="578"/>
        <v>A</v>
      </c>
      <c r="CQ400" s="119" t="str">
        <f t="shared" si="535"/>
        <v/>
      </c>
      <c r="CR400" s="66">
        <f>+IF($W400="","",ROUND((VLOOKUP(Parámetros!$F$51,'COBERTURAS ADICIONALES'!$S$4:$T$32,2,FALSE)*(1+i/frec)^-0.5*(1+Parámetros!$D$103)*(1+rec_fracc)/frec*$CO$42),2))</f>
        <v>0</v>
      </c>
      <c r="CS400" s="119" t="str">
        <f t="shared" si="536"/>
        <v/>
      </c>
      <c r="CT400" s="66">
        <f>+IF($W400="","",ROUND(IF($B400&gt;Parámetros!$D$107,'Tablas Servicio'!CR400+('Tablas Servicio'!CT399-'Tablas Servicio'!CR399),CR400/(1-IF(B400&lt;=10,Parámetros!$D$100,0))),2))</f>
        <v>0</v>
      </c>
      <c r="CU400" s="66">
        <f t="shared" si="537"/>
        <v>0</v>
      </c>
      <c r="CV400" s="66">
        <f t="shared" si="537"/>
        <v>0</v>
      </c>
      <c r="CW400" s="66">
        <f>+IF($W400="","",ROUND((CT400*Parámetros!$G$85),2))</f>
        <v>0</v>
      </c>
      <c r="CX400" s="66">
        <f>+IF($W400="","",ROUND((CT400*(Parámetros!$G$86)),2))</f>
        <v>0</v>
      </c>
      <c r="CY400" s="66">
        <f t="shared" si="538"/>
        <v>0</v>
      </c>
      <c r="CZ400" t="str">
        <f t="shared" si="579"/>
        <v>00064</v>
      </c>
      <c r="DA400" s="118" t="str">
        <f t="shared" si="580"/>
        <v>Enfermedades Graves</v>
      </c>
      <c r="DB400" s="118">
        <f t="shared" si="581"/>
        <v>0</v>
      </c>
      <c r="DC400" s="118" t="str">
        <f t="shared" si="582"/>
        <v>A</v>
      </c>
      <c r="DD400" s="121" t="str">
        <f>+IF(OR($W400="",DB400=0),"",ROUND((VLOOKUP(ROUNDDOWN($D400-1/frec,0),cob_adi,CO$40,FALSE)*(1+i/frec)^-0.5*(1+Parámetros!$D$103)*(1+rec_fracc)/frec),6))</f>
        <v/>
      </c>
      <c r="DE400" s="66">
        <f t="shared" si="539"/>
        <v>0</v>
      </c>
      <c r="DF400" s="119" t="str">
        <f t="shared" si="540"/>
        <v/>
      </c>
      <c r="DG400" s="66">
        <f>+IF($W400="","",ROUND(IF($B400&gt;Parámetros!$D$107,'Tablas Servicio'!DE400+('Tablas Servicio'!DG399-'Tablas Servicio'!DE399),DE400/(1-IF(B400&lt;=10,Parámetros!$D$100,0))),2))</f>
        <v>0</v>
      </c>
      <c r="DH400" s="66">
        <f t="shared" si="541"/>
        <v>0</v>
      </c>
      <c r="DI400" s="66">
        <f t="shared" si="541"/>
        <v>0</v>
      </c>
      <c r="DJ400" s="66">
        <f>+IF($W400="","",ROUND((DG400*Parámetros!$G$85),2))</f>
        <v>0</v>
      </c>
      <c r="DK400" s="66">
        <f>+IF($W400="","",ROUND((DG400*(Parámetros!$G$86)),2))</f>
        <v>0</v>
      </c>
      <c r="DL400" s="66">
        <f t="shared" si="542"/>
        <v>0</v>
      </c>
      <c r="DM400" t="str">
        <f t="shared" si="583"/>
        <v>00065</v>
      </c>
      <c r="DN400" s="118" t="str">
        <f t="shared" si="584"/>
        <v>Exención pago de primas</v>
      </c>
      <c r="DO400" s="118">
        <f t="shared" si="585"/>
        <v>0</v>
      </c>
      <c r="DP400" s="118" t="str">
        <f t="shared" si="586"/>
        <v>A</v>
      </c>
      <c r="DQ400" s="122" t="str">
        <f>+IF(OR($W400="",DO400=0),"",ROUND((VLOOKUP(ROUNDDOWN($D400-1/frec,0),cob_adi,DB$40,FALSE)*(1+i/frec)^-0.5*(1+Parámetros!$D$103)*(1+rec_fracc)/frec),6))</f>
        <v/>
      </c>
      <c r="DR400" s="66">
        <f t="shared" si="543"/>
        <v>0</v>
      </c>
      <c r="DS400" s="68" t="str">
        <f t="shared" si="544"/>
        <v/>
      </c>
      <c r="DT400" s="66">
        <f>+IF($W400="","",ROUND(IF($B400&gt;Parámetros!$D$107,'Tablas Servicio'!DR400+('Tablas Servicio'!DT399-'Tablas Servicio'!DR399),DR400/(1-IF(B400&lt;=10,Parámetros!$D$100,0))),2))</f>
        <v>0</v>
      </c>
      <c r="DU400" s="66">
        <f t="shared" si="545"/>
        <v>0</v>
      </c>
      <c r="DV400" s="66">
        <f t="shared" si="545"/>
        <v>0</v>
      </c>
      <c r="DW400" s="66">
        <f>+IF($W400="","",ROUND((DT400*Parámetros!$G$85),2))</f>
        <v>0</v>
      </c>
      <c r="DX400" s="66">
        <f>+IF($W400="","",ROUND((DT400*(Parámetros!$G$86)),2))</f>
        <v>0</v>
      </c>
      <c r="DY400" s="66">
        <f t="shared" si="546"/>
        <v>0</v>
      </c>
      <c r="DZ400" t="str">
        <f t="shared" si="588"/>
        <v>00066</v>
      </c>
      <c r="EA400" s="118" t="str">
        <f t="shared" si="588"/>
        <v>Enfermedad terminal</v>
      </c>
      <c r="EB400" s="118">
        <f>+IF($W400="","",ROUND(IF(Parámetros!$D$25='TABLAS MORT'!$V$33,EB399,Z400/2),0))</f>
        <v>50000</v>
      </c>
      <c r="EC400" s="118" t="str">
        <f t="shared" si="588"/>
        <v>A</v>
      </c>
      <c r="ED400" s="122">
        <f>+IF(OR($W400="",EB400=0),"",ROUND((VLOOKUP(ROUNDDOWN($D400-1/frec,0),cob_adi,DO$40,FALSE)*(1+i/frec)^-0.5*(1+Parámetros!$D$103)*(1+rec_fracc)/frec),6))</f>
        <v>5.5000000000000002E-5</v>
      </c>
      <c r="EE400" s="66">
        <f t="shared" si="548"/>
        <v>2.75</v>
      </c>
      <c r="EF400" s="68">
        <f t="shared" si="549"/>
        <v>5.5000000000000002E-5</v>
      </c>
      <c r="EG400" s="66">
        <f>+IF($W400="","",ROUND(IF($B400&gt;Parámetros!$D$107,'Tablas Servicio'!EE400+('Tablas Servicio'!EG399-'Tablas Servicio'!EE399),EE400/(1-IF(B400&lt;=10,Parámetros!$D$100,0))),2))</f>
        <v>2.75</v>
      </c>
      <c r="EH400" s="66">
        <f t="shared" si="550"/>
        <v>0</v>
      </c>
      <c r="EI400" s="66">
        <f t="shared" si="550"/>
        <v>0</v>
      </c>
      <c r="EJ400" s="66">
        <f>+IF($W400="","",ROUND((EG400*Parámetros!$G$85),2))</f>
        <v>0.1</v>
      </c>
      <c r="EK400" s="66">
        <f>+IF($W400="","",ROUND((EG400*(Parámetros!$G$86)),2))</f>
        <v>0.01</v>
      </c>
      <c r="EL400" s="66">
        <f t="shared" si="551"/>
        <v>2.86</v>
      </c>
    </row>
    <row r="401" spans="1:142" x14ac:dyDescent="0.25">
      <c r="A401">
        <f>+IF($C401="","",ROUND(VLOOKUP('Tablas Servicio'!B401,Parámetros!$H$100:$J$159,IF(Parámetros!$E$16="F",2,3),FALSE),2))</f>
        <v>150</v>
      </c>
      <c r="B401">
        <f t="shared" si="502"/>
        <v>30</v>
      </c>
      <c r="C401" s="57">
        <f>+IF(D401="","",'Tablas Servicio'!C400+1)</f>
        <v>360</v>
      </c>
      <c r="D401" s="56">
        <f>+IF(D400&lt;edadmaxtabla,D400+1/Parámetros!$E$25,"")</f>
        <v>70.020000000000337</v>
      </c>
      <c r="E401" s="57">
        <f t="shared" si="512"/>
        <v>70</v>
      </c>
      <c r="F401" s="59">
        <f t="shared" si="513"/>
        <v>100000</v>
      </c>
      <c r="G401" s="66">
        <f t="shared" si="503"/>
        <v>118.25</v>
      </c>
      <c r="H401" s="66">
        <f t="shared" si="504"/>
        <v>122.98</v>
      </c>
      <c r="I401" s="66">
        <f t="shared" si="552"/>
        <v>-28.980000000000004</v>
      </c>
      <c r="J401" s="66">
        <f t="shared" si="505"/>
        <v>4.1399999999999997</v>
      </c>
      <c r="K401" s="66">
        <f t="shared" si="506"/>
        <v>0.59</v>
      </c>
      <c r="L401" s="66">
        <f t="shared" si="507"/>
        <v>0</v>
      </c>
      <c r="M401" s="66">
        <f t="shared" si="508"/>
        <v>0</v>
      </c>
      <c r="N401" s="66">
        <f>+IF(C401="","",ROUND(Parámetros!$D$23,2))</f>
        <v>94</v>
      </c>
      <c r="O401" s="66">
        <f t="shared" si="509"/>
        <v>105.75</v>
      </c>
      <c r="P401" s="66">
        <f>+IF($C401="","",ROUND(IF(B401&gt;Parámetros!$D$117,0,N401*Parámetros!$D$116-G401*Parámetros!$D$100),2))</f>
        <v>0</v>
      </c>
      <c r="Q401" s="75">
        <f t="shared" si="553"/>
        <v>3.5010570824524308E-2</v>
      </c>
      <c r="R401" s="75">
        <f t="shared" si="554"/>
        <v>4.989429175475687E-3</v>
      </c>
      <c r="S401" s="117">
        <f>+IF($C401="","",ROUND((S400+I401)*(1+Parámetros!$D$91),2))</f>
        <v>26024.94</v>
      </c>
      <c r="T401" s="117">
        <f>+IF($C401="","",ROUND(S401*VLOOKUP(B401,Parámetros!$C$30:$D$39,2,TRUE),2))</f>
        <v>26024.94</v>
      </c>
      <c r="U401" s="117">
        <f>+IF($C401="","",ROUND((U400+I401)*(1+Parámetros!$D$92),2))</f>
        <v>28888.59</v>
      </c>
      <c r="V401" s="117">
        <f>+IF($C401="","",ROUND(U401*VLOOKUP(B401,Parámetros!$C$30:$D$39,2,TRUE),2))</f>
        <v>28888.59</v>
      </c>
      <c r="W401" s="57">
        <f t="shared" si="555"/>
        <v>360</v>
      </c>
      <c r="X401" t="str">
        <f t="shared" si="556"/>
        <v>00058</v>
      </c>
      <c r="Y401" t="str">
        <f t="shared" si="557"/>
        <v>MUERTE POR CUALQUIER CAUSA</v>
      </c>
      <c r="Z401" s="118">
        <f>+IF($W401="","",ROUND(IF(Parámetros!$D$25='TABLAS MORT'!$V$33,Z400,Parámetros!$D$21-'Tablas Servicio'!T400),0))</f>
        <v>100000</v>
      </c>
      <c r="AA401" s="118" t="str">
        <f t="shared" si="558"/>
        <v>P</v>
      </c>
      <c r="AB401" s="119">
        <f>+IF(W401="","",ROUND((VLOOKUP(ROUNDDOWN($D401-1/frec,0),qx_tabla,2,FALSE)*(1+i/frec)^-0.5*(1+Parámetros!$D$103)*(1+rec_fracc)/frec),6))</f>
        <v>1.0300000000000001E-3</v>
      </c>
      <c r="AC401" s="66">
        <f t="shared" si="514"/>
        <v>103</v>
      </c>
      <c r="AD401" s="119">
        <f t="shared" si="510"/>
        <v>1.155E-3</v>
      </c>
      <c r="AE401" s="66">
        <f>+IF($W401="","",ROUND(IF($B401&gt;Parámetros!$D$107,'Tablas Servicio'!AC401+('Tablas Servicio'!AG400-'Tablas Servicio'!AC400),AC401/(1-IF(B401&lt;=10,Parámetros!$D$104,Parámetros!$D$105))),2))</f>
        <v>171.67</v>
      </c>
      <c r="AF401" s="66">
        <f>+IF($W401="","",ROUND(IF($B401&gt;Parámetros!$D$107,'Tablas Servicio'!AC401+('Tablas Servicio'!AG400-'Tablas Servicio'!AC400),(AC401+$A400/frec)/(1-IF(B401&lt;=Parámetros!$D$117,Parámetros!$D$100,0))),2))</f>
        <v>115.5</v>
      </c>
      <c r="AG401" s="66">
        <f t="shared" si="515"/>
        <v>115.5</v>
      </c>
      <c r="AH401" s="66">
        <f t="shared" si="516"/>
        <v>0</v>
      </c>
      <c r="AI401" s="66">
        <f t="shared" si="517"/>
        <v>0</v>
      </c>
      <c r="AJ401" s="66">
        <f>+IF($W401="","",ROUND((AG401*Parámetros!$G$85),2))</f>
        <v>4.04</v>
      </c>
      <c r="AK401" s="66">
        <f>+IF($W401="","",ROUND((AG401*(Parámetros!$G$86)),2))</f>
        <v>0.57999999999999996</v>
      </c>
      <c r="AL401" s="66">
        <f t="shared" si="511"/>
        <v>120.12</v>
      </c>
      <c r="AM401" t="str">
        <f t="shared" si="559"/>
        <v>00059</v>
      </c>
      <c r="AN401" t="str">
        <f t="shared" si="560"/>
        <v>Incapacidad Total y Permanente</v>
      </c>
      <c r="AO401" s="118">
        <f t="shared" si="561"/>
        <v>0</v>
      </c>
      <c r="AP401" s="118" t="str">
        <f t="shared" si="562"/>
        <v>A</v>
      </c>
      <c r="AQ401" s="119" t="str">
        <f>+IF(OR($W401="",AO401=0),"",ROUND((VLOOKUP(ROUNDDOWN($D401-1/frec,0),cob_adi,Z$40,FALSE)*(1+i/frec)^-0.5*(1+Parámetros!$D$103)*(1+rec_fracc)/frec),6))</f>
        <v/>
      </c>
      <c r="AR401" s="66">
        <f t="shared" si="518"/>
        <v>0</v>
      </c>
      <c r="AS401" s="119" t="str">
        <f t="shared" si="519"/>
        <v/>
      </c>
      <c r="AT401" s="66">
        <f>+IF($W401="","",ROUND(IF($B401&gt;Parámetros!$D$107,'Tablas Servicio'!AR401+('Tablas Servicio'!AT400-'Tablas Servicio'!AR400),AR401/(1-IF(B401&lt;=10,Parámetros!$D$100,0))),2))</f>
        <v>0</v>
      </c>
      <c r="AU401" s="66">
        <f t="shared" si="520"/>
        <v>0</v>
      </c>
      <c r="AV401" s="66">
        <f t="shared" si="520"/>
        <v>0</v>
      </c>
      <c r="AW401" s="66">
        <f>+IF($W401="","",ROUND((AT401*Parámetros!$G$85),2))</f>
        <v>0</v>
      </c>
      <c r="AX401" s="66">
        <f>+IF($W401="","",ROUND((AT401*(Parámetros!$G$86)),2))</f>
        <v>0</v>
      </c>
      <c r="AY401" s="66">
        <f t="shared" si="521"/>
        <v>0</v>
      </c>
      <c r="AZ401" t="str">
        <f t="shared" si="563"/>
        <v>00060</v>
      </c>
      <c r="BA401" t="str">
        <f t="shared" si="564"/>
        <v>Muerte Accidental</v>
      </c>
      <c r="BB401" s="118">
        <f t="shared" si="565"/>
        <v>0</v>
      </c>
      <c r="BC401" s="118" t="str">
        <f t="shared" si="566"/>
        <v>A</v>
      </c>
      <c r="BD401" s="119" t="str">
        <f>+IF(OR($W401="",BB401=0),"",ROUND((VLOOKUP(ROUNDDOWN($D401-1/frec,0),cob_adi,AO$40,FALSE)*(1+i/frec)^-0.5*(1+Parámetros!$D$103)*(1+rec_fracc)/frec),6))</f>
        <v/>
      </c>
      <c r="BE401" s="66">
        <f t="shared" si="522"/>
        <v>0</v>
      </c>
      <c r="BF401" s="119" t="str">
        <f t="shared" si="523"/>
        <v/>
      </c>
      <c r="BG401" s="66">
        <f>+IF($W401="","",ROUND(IF($B401&gt;Parámetros!$D$107,'Tablas Servicio'!BE401+('Tablas Servicio'!BG400-'Tablas Servicio'!BE400),BE401/(1-IF(B401&lt;=10,Parámetros!$D$100,0))),2))</f>
        <v>0</v>
      </c>
      <c r="BH401" s="66">
        <f t="shared" si="524"/>
        <v>0</v>
      </c>
      <c r="BI401" s="66">
        <f t="shared" si="525"/>
        <v>0</v>
      </c>
      <c r="BJ401" s="66">
        <f>+IF($W401="","",ROUND((BG401*Parámetros!$G$85),2))</f>
        <v>0</v>
      </c>
      <c r="BK401" s="66">
        <f>+IF($W401="","",ROUND((BG401*(Parámetros!$G$86)),2))</f>
        <v>0</v>
      </c>
      <c r="BL401" s="66">
        <f t="shared" si="526"/>
        <v>0</v>
      </c>
      <c r="BM401" t="str">
        <f t="shared" si="567"/>
        <v>00061</v>
      </c>
      <c r="BN401" t="str">
        <f t="shared" si="568"/>
        <v>Gastos de Entierro</v>
      </c>
      <c r="BO401" s="118">
        <f t="shared" si="569"/>
        <v>0</v>
      </c>
      <c r="BP401" s="118" t="str">
        <f t="shared" si="570"/>
        <v>A</v>
      </c>
      <c r="BQ401" s="119" t="str">
        <f>+IF(OR($W401="",BO401=0),"",ROUND((VLOOKUP(ROUNDDOWN($D401-1/frec,0),cob_adi,BB$40,FALSE)*(1+i/frec)^-0.5*(1+Parámetros!$D$103)*(1+rec_fracc)/frec),6))</f>
        <v/>
      </c>
      <c r="BR401" s="66">
        <f t="shared" si="527"/>
        <v>0</v>
      </c>
      <c r="BS401" s="119" t="str">
        <f t="shared" si="528"/>
        <v/>
      </c>
      <c r="BT401" s="66">
        <f>+IF($W401="","",ROUND(IF($B401&gt;Parámetros!$D$107,'Tablas Servicio'!BR401+('Tablas Servicio'!BT400-'Tablas Servicio'!BR400),BR401/(1-IF(B401&lt;=10,Parámetros!$D$100,0))),2))</f>
        <v>0</v>
      </c>
      <c r="BU401" s="66">
        <f t="shared" si="529"/>
        <v>0</v>
      </c>
      <c r="BV401" s="66">
        <f t="shared" si="529"/>
        <v>0</v>
      </c>
      <c r="BW401" s="66">
        <f>+IF($W401="","",ROUND((BT401*Parámetros!$G$85),2))</f>
        <v>0</v>
      </c>
      <c r="BX401" s="66">
        <f>+IF($W401="","",ROUND((BT401*(Parámetros!$G$86)),2))</f>
        <v>0</v>
      </c>
      <c r="BY401" s="66">
        <f t="shared" si="530"/>
        <v>0</v>
      </c>
      <c r="BZ401" t="str">
        <f t="shared" si="571"/>
        <v>00062</v>
      </c>
      <c r="CA401" t="str">
        <f t="shared" si="572"/>
        <v>Gastos médicos por accidente</v>
      </c>
      <c r="CB401" s="118">
        <f t="shared" si="573"/>
        <v>0</v>
      </c>
      <c r="CC401" s="118" t="str">
        <f t="shared" si="574"/>
        <v>A</v>
      </c>
      <c r="CD401" s="119" t="str">
        <f t="shared" si="531"/>
        <v/>
      </c>
      <c r="CE401" s="66">
        <f>+IF($W401="","",ROUND((VLOOKUP(ROUNDDOWN($D401-1/frec,0),cob_adi,BO$40,FALSE)*(1+i/frec)^-0.5*(1+Parámetros!$D$103)*(1+rec_fracc)/frec*'TABLAS ADI'!$BC$17),2))</f>
        <v>0</v>
      </c>
      <c r="CF401" s="119" t="str">
        <f t="shared" si="532"/>
        <v/>
      </c>
      <c r="CG401" s="66">
        <f>+IF($W401="","",ROUND(IF($B401&gt;Parámetros!$D$107,'Tablas Servicio'!CE401+('Tablas Servicio'!CG400-'Tablas Servicio'!CE400),CE401/(1-IF(B401&lt;=10,Parámetros!$D$100,0))),2))</f>
        <v>0</v>
      </c>
      <c r="CH401" s="66">
        <f t="shared" si="533"/>
        <v>0</v>
      </c>
      <c r="CI401" s="66">
        <f t="shared" si="533"/>
        <v>0</v>
      </c>
      <c r="CJ401" s="66">
        <f>+IF($W401="","",ROUND((CG401*Parámetros!$G$85),2))</f>
        <v>0</v>
      </c>
      <c r="CK401" s="66">
        <f>+IF($W401="","",ROUND((CG401*(Parámetros!$G$86)),2))</f>
        <v>0</v>
      </c>
      <c r="CL401" s="66">
        <f t="shared" si="534"/>
        <v>0</v>
      </c>
      <c r="CM401" t="str">
        <f t="shared" si="575"/>
        <v>00063</v>
      </c>
      <c r="CN401" s="118" t="str">
        <f t="shared" si="576"/>
        <v>Renta Diaria por Hospitalización</v>
      </c>
      <c r="CO401" s="118">
        <f t="shared" si="577"/>
        <v>0</v>
      </c>
      <c r="CP401" s="118" t="str">
        <f t="shared" si="578"/>
        <v>A</v>
      </c>
      <c r="CQ401" s="119" t="str">
        <f t="shared" si="535"/>
        <v/>
      </c>
      <c r="CR401" s="66">
        <f>+IF($W401="","",ROUND((VLOOKUP(Parámetros!$F$51,'COBERTURAS ADICIONALES'!$S$4:$T$32,2,FALSE)*(1+i/frec)^-0.5*(1+Parámetros!$D$103)*(1+rec_fracc)/frec*$CO$42),2))</f>
        <v>0</v>
      </c>
      <c r="CS401" s="119" t="str">
        <f t="shared" si="536"/>
        <v/>
      </c>
      <c r="CT401" s="66">
        <f>+IF($W401="","",ROUND(IF($B401&gt;Parámetros!$D$107,'Tablas Servicio'!CR401+('Tablas Servicio'!CT400-'Tablas Servicio'!CR400),CR401/(1-IF(B401&lt;=10,Parámetros!$D$100,0))),2))</f>
        <v>0</v>
      </c>
      <c r="CU401" s="66">
        <f t="shared" si="537"/>
        <v>0</v>
      </c>
      <c r="CV401" s="66">
        <f t="shared" si="537"/>
        <v>0</v>
      </c>
      <c r="CW401" s="66">
        <f>+IF($W401="","",ROUND((CT401*Parámetros!$G$85),2))</f>
        <v>0</v>
      </c>
      <c r="CX401" s="66">
        <f>+IF($W401="","",ROUND((CT401*(Parámetros!$G$86)),2))</f>
        <v>0</v>
      </c>
      <c r="CY401" s="66">
        <f t="shared" si="538"/>
        <v>0</v>
      </c>
      <c r="CZ401" t="str">
        <f t="shared" si="579"/>
        <v>00064</v>
      </c>
      <c r="DA401" s="118" t="str">
        <f t="shared" si="580"/>
        <v>Enfermedades Graves</v>
      </c>
      <c r="DB401" s="118">
        <f t="shared" si="581"/>
        <v>0</v>
      </c>
      <c r="DC401" s="118" t="str">
        <f t="shared" si="582"/>
        <v>A</v>
      </c>
      <c r="DD401" s="121" t="str">
        <f>+IF(OR($W401="",DB401=0),"",ROUND((VLOOKUP(ROUNDDOWN($D401-1/frec,0),cob_adi,CO$40,FALSE)*(1+i/frec)^-0.5*(1+Parámetros!$D$103)*(1+rec_fracc)/frec),6))</f>
        <v/>
      </c>
      <c r="DE401" s="66">
        <f t="shared" si="539"/>
        <v>0</v>
      </c>
      <c r="DF401" s="119" t="str">
        <f t="shared" si="540"/>
        <v/>
      </c>
      <c r="DG401" s="66">
        <f>+IF($W401="","",ROUND(IF($B401&gt;Parámetros!$D$107,'Tablas Servicio'!DE401+('Tablas Servicio'!DG400-'Tablas Servicio'!DE400),DE401/(1-IF(B401&lt;=10,Parámetros!$D$100,0))),2))</f>
        <v>0</v>
      </c>
      <c r="DH401" s="66">
        <f t="shared" si="541"/>
        <v>0</v>
      </c>
      <c r="DI401" s="66">
        <f t="shared" si="541"/>
        <v>0</v>
      </c>
      <c r="DJ401" s="66">
        <f>+IF($W401="","",ROUND((DG401*Parámetros!$G$85),2))</f>
        <v>0</v>
      </c>
      <c r="DK401" s="66">
        <f>+IF($W401="","",ROUND((DG401*(Parámetros!$G$86)),2))</f>
        <v>0</v>
      </c>
      <c r="DL401" s="66">
        <f t="shared" si="542"/>
        <v>0</v>
      </c>
      <c r="DM401" t="str">
        <f t="shared" si="583"/>
        <v>00065</v>
      </c>
      <c r="DN401" s="118" t="str">
        <f t="shared" si="584"/>
        <v>Exención pago de primas</v>
      </c>
      <c r="DO401" s="118">
        <f t="shared" si="585"/>
        <v>0</v>
      </c>
      <c r="DP401" s="118" t="str">
        <f t="shared" si="586"/>
        <v>A</v>
      </c>
      <c r="DQ401" s="122" t="str">
        <f>+IF(OR($W401="",DO401=0),"",ROUND((VLOOKUP(ROUNDDOWN($D401-1/frec,0),cob_adi,DB$40,FALSE)*(1+i/frec)^-0.5*(1+Parámetros!$D$103)*(1+rec_fracc)/frec),6))</f>
        <v/>
      </c>
      <c r="DR401" s="66">
        <f t="shared" si="543"/>
        <v>0</v>
      </c>
      <c r="DS401" s="68" t="str">
        <f t="shared" si="544"/>
        <v/>
      </c>
      <c r="DT401" s="66">
        <f>+IF($W401="","",ROUND(IF($B401&gt;Parámetros!$D$107,'Tablas Servicio'!DR401+('Tablas Servicio'!DT400-'Tablas Servicio'!DR400),DR401/(1-IF(B401&lt;=10,Parámetros!$D$100,0))),2))</f>
        <v>0</v>
      </c>
      <c r="DU401" s="66">
        <f t="shared" si="545"/>
        <v>0</v>
      </c>
      <c r="DV401" s="66">
        <f t="shared" si="545"/>
        <v>0</v>
      </c>
      <c r="DW401" s="66">
        <f>+IF($W401="","",ROUND((DT401*Parámetros!$G$85),2))</f>
        <v>0</v>
      </c>
      <c r="DX401" s="66">
        <f>+IF($W401="","",ROUND((DT401*(Parámetros!$G$86)),2))</f>
        <v>0</v>
      </c>
      <c r="DY401" s="66">
        <f t="shared" si="546"/>
        <v>0</v>
      </c>
      <c r="DZ401" t="str">
        <f t="shared" si="588"/>
        <v>00066</v>
      </c>
      <c r="EA401" s="118" t="str">
        <f t="shared" si="588"/>
        <v>Enfermedad terminal</v>
      </c>
      <c r="EB401" s="118">
        <f>+IF($W401="","",ROUND(IF(Parámetros!$D$25='TABLAS MORT'!$V$33,EB400,Z401/2),0))</f>
        <v>50000</v>
      </c>
      <c r="EC401" s="118" t="str">
        <f t="shared" si="588"/>
        <v>A</v>
      </c>
      <c r="ED401" s="122">
        <f>+IF(OR($W401="",EB401=0),"",ROUND((VLOOKUP(ROUNDDOWN($D401-1/frec,0),cob_adi,DO$40,FALSE)*(1+i/frec)^-0.5*(1+Parámetros!$D$103)*(1+rec_fracc)/frec),6))</f>
        <v>5.5000000000000002E-5</v>
      </c>
      <c r="EE401" s="66">
        <f t="shared" si="548"/>
        <v>2.75</v>
      </c>
      <c r="EF401" s="68">
        <f t="shared" si="549"/>
        <v>5.5000000000000002E-5</v>
      </c>
      <c r="EG401" s="66">
        <f>+IF($W401="","",ROUND(IF($B401&gt;Parámetros!$D$107,'Tablas Servicio'!EE401+('Tablas Servicio'!EG400-'Tablas Servicio'!EE400),EE401/(1-IF(B401&lt;=10,Parámetros!$D$100,0))),2))</f>
        <v>2.75</v>
      </c>
      <c r="EH401" s="66">
        <f t="shared" si="550"/>
        <v>0</v>
      </c>
      <c r="EI401" s="66">
        <f t="shared" si="550"/>
        <v>0</v>
      </c>
      <c r="EJ401" s="66">
        <f>+IF($W401="","",ROUND((EG401*Parámetros!$G$85),2))</f>
        <v>0.1</v>
      </c>
      <c r="EK401" s="66">
        <f>+IF($W401="","",ROUND((EG401*(Parámetros!$G$86)),2))</f>
        <v>0.01</v>
      </c>
      <c r="EL401" s="66">
        <f t="shared" si="551"/>
        <v>2.86</v>
      </c>
    </row>
    <row r="402" spans="1:142" x14ac:dyDescent="0.25">
      <c r="A402">
        <f>+IF($C402="","",ROUND(VLOOKUP('Tablas Servicio'!B402,Parámetros!$H$100:$J$159,IF(Parámetros!$E$16="F",2,3),FALSE),2))</f>
        <v>150</v>
      </c>
      <c r="B402">
        <f t="shared" si="502"/>
        <v>31</v>
      </c>
      <c r="C402" s="57">
        <f>+IF(D402="","",'Tablas Servicio'!C401+1)</f>
        <v>361</v>
      </c>
      <c r="D402" s="56">
        <f>+IF(D401&lt;edadmaxtabla,D401+1/Parámetros!$E$25,"")</f>
        <v>70.103333333333666</v>
      </c>
      <c r="E402" s="57">
        <f t="shared" si="512"/>
        <v>70</v>
      </c>
      <c r="F402" s="59">
        <f t="shared" si="513"/>
        <v>100000</v>
      </c>
      <c r="G402" s="66">
        <f t="shared" si="503"/>
        <v>128.25</v>
      </c>
      <c r="H402" s="66">
        <f t="shared" si="504"/>
        <v>133.38999999999999</v>
      </c>
      <c r="I402" s="66">
        <f t="shared" si="552"/>
        <v>-39.389999999999986</v>
      </c>
      <c r="J402" s="66">
        <f t="shared" si="505"/>
        <v>4.49</v>
      </c>
      <c r="K402" s="66">
        <f t="shared" si="506"/>
        <v>0.65</v>
      </c>
      <c r="L402" s="66">
        <f t="shared" si="507"/>
        <v>0</v>
      </c>
      <c r="M402" s="66">
        <f t="shared" si="508"/>
        <v>0</v>
      </c>
      <c r="N402" s="66">
        <f>+IF(C402="","",ROUND(Parámetros!$D$23,2))</f>
        <v>94</v>
      </c>
      <c r="O402" s="66">
        <f t="shared" si="509"/>
        <v>115.75</v>
      </c>
      <c r="P402" s="66">
        <f>+IF($C402="","",ROUND(IF(B402&gt;Parámetros!$D$117,0,N402*Parámetros!$D$116-G402*Parámetros!$D$100),2))</f>
        <v>0</v>
      </c>
      <c r="Q402" s="75">
        <f t="shared" si="553"/>
        <v>3.5009746588693956E-2</v>
      </c>
      <c r="R402" s="75">
        <f t="shared" si="554"/>
        <v>5.0682261208577E-3</v>
      </c>
      <c r="S402" s="117">
        <f>+IF($C402="","",ROUND((S401+I402)*(1+Parámetros!$D$91),2))</f>
        <v>26059.26</v>
      </c>
      <c r="T402" s="117">
        <f>+IF($C402="","",ROUND(S402*VLOOKUP(B402,Parámetros!$C$30:$D$39,2,TRUE),2))</f>
        <v>26059.26</v>
      </c>
      <c r="U402" s="117">
        <f>+IF($C402="","",ROUND((U401+I402)*(1+Parámetros!$D$92),2))</f>
        <v>28942.720000000001</v>
      </c>
      <c r="V402" s="117">
        <f>+IF($C402="","",ROUND(U402*VLOOKUP(B402,Parámetros!$C$30:$D$39,2,TRUE),2))</f>
        <v>28942.720000000001</v>
      </c>
      <c r="W402" s="57">
        <f t="shared" si="555"/>
        <v>361</v>
      </c>
      <c r="X402" t="str">
        <f t="shared" si="556"/>
        <v>00058</v>
      </c>
      <c r="Y402" t="str">
        <f t="shared" si="557"/>
        <v>MUERTE POR CUALQUIER CAUSA</v>
      </c>
      <c r="Z402" s="118">
        <f>+IF($W402="","",ROUND(IF(Parámetros!$D$25='TABLAS MORT'!$V$33,Z401,Parámetros!$D$21-'Tablas Servicio'!T401),0))</f>
        <v>100000</v>
      </c>
      <c r="AA402" s="118" t="str">
        <f t="shared" si="558"/>
        <v>P</v>
      </c>
      <c r="AB402" s="119">
        <f>+IF(W402="","",ROUND((VLOOKUP(ROUNDDOWN($D402-1/frec,0),qx_tabla,2,FALSE)*(1+i/frec)^-0.5*(1+Parámetros!$D$103)*(1+rec_fracc)/frec),6))</f>
        <v>1.1249999999999999E-3</v>
      </c>
      <c r="AC402" s="66">
        <f t="shared" si="514"/>
        <v>112.5</v>
      </c>
      <c r="AD402" s="119">
        <f t="shared" si="510"/>
        <v>1.25E-3</v>
      </c>
      <c r="AE402" s="66">
        <f>+IF($W402="","",ROUND(IF($B402&gt;Parámetros!$D$107,'Tablas Servicio'!AC402+('Tablas Servicio'!AG401-'Tablas Servicio'!AC401),AC402/(1-IF(B402&lt;=10,Parámetros!$D$104,Parámetros!$D$105))),2))</f>
        <v>187.5</v>
      </c>
      <c r="AF402" s="66">
        <f>+IF($W402="","",ROUND(IF($B402&gt;Parámetros!$D$107,'Tablas Servicio'!AC402+('Tablas Servicio'!AG401-'Tablas Servicio'!AC401),(AC402+$A401/frec)/(1-IF(B402&lt;=Parámetros!$D$117,Parámetros!$D$100,0))),2))</f>
        <v>125</v>
      </c>
      <c r="AG402" s="66">
        <f t="shared" si="515"/>
        <v>125</v>
      </c>
      <c r="AH402" s="66">
        <f t="shared" si="516"/>
        <v>0</v>
      </c>
      <c r="AI402" s="66">
        <f t="shared" si="517"/>
        <v>0</v>
      </c>
      <c r="AJ402" s="66">
        <f>+IF($W402="","",ROUND((AG402*Parámetros!$G$85),2))</f>
        <v>4.38</v>
      </c>
      <c r="AK402" s="66">
        <f>+IF($W402="","",ROUND((AG402*(Parámetros!$G$86)),2))</f>
        <v>0.63</v>
      </c>
      <c r="AL402" s="66">
        <f t="shared" si="511"/>
        <v>130.01</v>
      </c>
      <c r="AM402" t="str">
        <f t="shared" si="559"/>
        <v>00059</v>
      </c>
      <c r="AN402" t="str">
        <f t="shared" si="560"/>
        <v>Incapacidad Total y Permanente</v>
      </c>
      <c r="AO402" s="118">
        <f t="shared" si="561"/>
        <v>0</v>
      </c>
      <c r="AP402" s="118" t="str">
        <f t="shared" si="562"/>
        <v>A</v>
      </c>
      <c r="AQ402" s="119" t="str">
        <f>+IF(OR($W402="",AO402=0),"",ROUND((VLOOKUP(ROUNDDOWN($D402-1/frec,0),cob_adi,Z$40,FALSE)*(1+i/frec)^-0.5*(1+Parámetros!$D$103)*(1+rec_fracc)/frec),6))</f>
        <v/>
      </c>
      <c r="AR402" s="66">
        <f t="shared" si="518"/>
        <v>0</v>
      </c>
      <c r="AS402" s="119" t="str">
        <f t="shared" si="519"/>
        <v/>
      </c>
      <c r="AT402" s="66">
        <f>+IF($W402="","",ROUND(IF($B402&gt;Parámetros!$D$107,'Tablas Servicio'!AR402+('Tablas Servicio'!AT401-'Tablas Servicio'!AR401),AR402/(1-IF(B402&lt;=10,Parámetros!$D$100,0))),2))</f>
        <v>0</v>
      </c>
      <c r="AU402" s="66">
        <f t="shared" si="520"/>
        <v>0</v>
      </c>
      <c r="AV402" s="66">
        <f t="shared" si="520"/>
        <v>0</v>
      </c>
      <c r="AW402" s="66">
        <f>+IF($W402="","",ROUND((AT402*Parámetros!$G$85),2))</f>
        <v>0</v>
      </c>
      <c r="AX402" s="66">
        <f>+IF($W402="","",ROUND((AT402*(Parámetros!$G$86)),2))</f>
        <v>0</v>
      </c>
      <c r="AY402" s="66">
        <f t="shared" si="521"/>
        <v>0</v>
      </c>
      <c r="AZ402" t="str">
        <f t="shared" si="563"/>
        <v>00060</v>
      </c>
      <c r="BA402" t="str">
        <f t="shared" si="564"/>
        <v>Muerte Accidental</v>
      </c>
      <c r="BB402" s="118">
        <f t="shared" si="565"/>
        <v>0</v>
      </c>
      <c r="BC402" s="118" t="str">
        <f t="shared" si="566"/>
        <v>A</v>
      </c>
      <c r="BD402" s="119" t="str">
        <f>+IF(OR($W402="",BB402=0),"",ROUND((VLOOKUP(ROUNDDOWN($D402-1/frec,0),cob_adi,AO$40,FALSE)*(1+i/frec)^-0.5*(1+Parámetros!$D$103)*(1+rec_fracc)/frec),6))</f>
        <v/>
      </c>
      <c r="BE402" s="66">
        <f t="shared" si="522"/>
        <v>0</v>
      </c>
      <c r="BF402" s="119" t="str">
        <f t="shared" si="523"/>
        <v/>
      </c>
      <c r="BG402" s="66">
        <f>+IF($W402="","",ROUND(IF($B402&gt;Parámetros!$D$107,'Tablas Servicio'!BE402+('Tablas Servicio'!BG401-'Tablas Servicio'!BE401),BE402/(1-IF(B402&lt;=10,Parámetros!$D$100,0))),2))</f>
        <v>0</v>
      </c>
      <c r="BH402" s="66">
        <f t="shared" si="524"/>
        <v>0</v>
      </c>
      <c r="BI402" s="66">
        <f t="shared" si="525"/>
        <v>0</v>
      </c>
      <c r="BJ402" s="66">
        <f>+IF($W402="","",ROUND((BG402*Parámetros!$G$85),2))</f>
        <v>0</v>
      </c>
      <c r="BK402" s="66">
        <f>+IF($W402="","",ROUND((BG402*(Parámetros!$G$86)),2))</f>
        <v>0</v>
      </c>
      <c r="BL402" s="66">
        <f t="shared" si="526"/>
        <v>0</v>
      </c>
      <c r="BM402" t="str">
        <f t="shared" si="567"/>
        <v>00061</v>
      </c>
      <c r="BN402" t="str">
        <f t="shared" si="568"/>
        <v>Gastos de Entierro</v>
      </c>
      <c r="BO402" s="118">
        <f t="shared" si="569"/>
        <v>0</v>
      </c>
      <c r="BP402" s="118" t="str">
        <f t="shared" si="570"/>
        <v>A</v>
      </c>
      <c r="BQ402" s="119" t="str">
        <f>+IF(OR($W402="",BO402=0),"",ROUND((VLOOKUP(ROUNDDOWN($D402-1/frec,0),cob_adi,BB$40,FALSE)*(1+i/frec)^-0.5*(1+Parámetros!$D$103)*(1+rec_fracc)/frec),6))</f>
        <v/>
      </c>
      <c r="BR402" s="66">
        <f t="shared" si="527"/>
        <v>0</v>
      </c>
      <c r="BS402" s="119" t="str">
        <f t="shared" si="528"/>
        <v/>
      </c>
      <c r="BT402" s="66">
        <f>+IF($W402="","",ROUND(IF($B402&gt;Parámetros!$D$107,'Tablas Servicio'!BR402+('Tablas Servicio'!BT401-'Tablas Servicio'!BR401),BR402/(1-IF(B402&lt;=10,Parámetros!$D$100,0))),2))</f>
        <v>0</v>
      </c>
      <c r="BU402" s="66">
        <f t="shared" si="529"/>
        <v>0</v>
      </c>
      <c r="BV402" s="66">
        <f t="shared" si="529"/>
        <v>0</v>
      </c>
      <c r="BW402" s="66">
        <f>+IF($W402="","",ROUND((BT402*Parámetros!$G$85),2))</f>
        <v>0</v>
      </c>
      <c r="BX402" s="66">
        <f>+IF($W402="","",ROUND((BT402*(Parámetros!$G$86)),2))</f>
        <v>0</v>
      </c>
      <c r="BY402" s="66">
        <f t="shared" si="530"/>
        <v>0</v>
      </c>
      <c r="BZ402" t="str">
        <f t="shared" si="571"/>
        <v>00062</v>
      </c>
      <c r="CA402" t="str">
        <f t="shared" si="572"/>
        <v>Gastos médicos por accidente</v>
      </c>
      <c r="CB402" s="118">
        <f t="shared" si="573"/>
        <v>0</v>
      </c>
      <c r="CC402" s="118" t="str">
        <f t="shared" si="574"/>
        <v>A</v>
      </c>
      <c r="CD402" s="119" t="str">
        <f t="shared" si="531"/>
        <v/>
      </c>
      <c r="CE402" s="66">
        <f>+IF($W402="","",ROUND((VLOOKUP(ROUNDDOWN($D402-1/frec,0),cob_adi,BO$40,FALSE)*(1+i/frec)^-0.5*(1+Parámetros!$D$103)*(1+rec_fracc)/frec*'TABLAS ADI'!$BC$17),2))</f>
        <v>0</v>
      </c>
      <c r="CF402" s="119" t="str">
        <f t="shared" si="532"/>
        <v/>
      </c>
      <c r="CG402" s="66">
        <f>+IF($W402="","",ROUND(IF($B402&gt;Parámetros!$D$107,'Tablas Servicio'!CE402+('Tablas Servicio'!CG401-'Tablas Servicio'!CE401),CE402/(1-IF(B402&lt;=10,Parámetros!$D$100,0))),2))</f>
        <v>0</v>
      </c>
      <c r="CH402" s="66">
        <f t="shared" si="533"/>
        <v>0</v>
      </c>
      <c r="CI402" s="66">
        <f t="shared" si="533"/>
        <v>0</v>
      </c>
      <c r="CJ402" s="66">
        <f>+IF($W402="","",ROUND((CG402*Parámetros!$G$85),2))</f>
        <v>0</v>
      </c>
      <c r="CK402" s="66">
        <f>+IF($W402="","",ROUND((CG402*(Parámetros!$G$86)),2))</f>
        <v>0</v>
      </c>
      <c r="CL402" s="66">
        <f t="shared" si="534"/>
        <v>0</v>
      </c>
      <c r="CM402" t="str">
        <f t="shared" si="575"/>
        <v>00063</v>
      </c>
      <c r="CN402" s="118" t="str">
        <f t="shared" si="576"/>
        <v>Renta Diaria por Hospitalización</v>
      </c>
      <c r="CO402" s="118">
        <f t="shared" si="577"/>
        <v>0</v>
      </c>
      <c r="CP402" s="118" t="str">
        <f t="shared" si="578"/>
        <v>A</v>
      </c>
      <c r="CQ402" s="119" t="str">
        <f t="shared" si="535"/>
        <v/>
      </c>
      <c r="CR402" s="66">
        <f>+IF($W402="","",ROUND((VLOOKUP(Parámetros!$F$51,'COBERTURAS ADICIONALES'!$S$4:$T$32,2,FALSE)*(1+i/frec)^-0.5*(1+Parámetros!$D$103)*(1+rec_fracc)/frec*$CO$42),2))</f>
        <v>0</v>
      </c>
      <c r="CS402" s="119" t="str">
        <f t="shared" si="536"/>
        <v/>
      </c>
      <c r="CT402" s="66">
        <f>+IF($W402="","",ROUND(IF($B402&gt;Parámetros!$D$107,'Tablas Servicio'!CR402+('Tablas Servicio'!CT401-'Tablas Servicio'!CR401),CR402/(1-IF(B402&lt;=10,Parámetros!$D$100,0))),2))</f>
        <v>0</v>
      </c>
      <c r="CU402" s="66">
        <f t="shared" si="537"/>
        <v>0</v>
      </c>
      <c r="CV402" s="66">
        <f t="shared" si="537"/>
        <v>0</v>
      </c>
      <c r="CW402" s="66">
        <f>+IF($W402="","",ROUND((CT402*Parámetros!$G$85),2))</f>
        <v>0</v>
      </c>
      <c r="CX402" s="66">
        <f>+IF($W402="","",ROUND((CT402*(Parámetros!$G$86)),2))</f>
        <v>0</v>
      </c>
      <c r="CY402" s="66">
        <f t="shared" si="538"/>
        <v>0</v>
      </c>
      <c r="CZ402" t="str">
        <f t="shared" si="579"/>
        <v>00064</v>
      </c>
      <c r="DA402" s="118" t="str">
        <f t="shared" si="580"/>
        <v>Enfermedades Graves</v>
      </c>
      <c r="DB402" s="118">
        <f t="shared" si="581"/>
        <v>0</v>
      </c>
      <c r="DC402" s="118" t="str">
        <f t="shared" si="582"/>
        <v>A</v>
      </c>
      <c r="DD402" s="121" t="str">
        <f>+IF(OR($W402="",DB402=0),"",ROUND((VLOOKUP(ROUNDDOWN($D402-1/frec,0),cob_adi,CO$40,FALSE)*(1+i/frec)^-0.5*(1+Parámetros!$D$103)*(1+rec_fracc)/frec),6))</f>
        <v/>
      </c>
      <c r="DE402" s="66">
        <f t="shared" si="539"/>
        <v>0</v>
      </c>
      <c r="DF402" s="119" t="str">
        <f t="shared" si="540"/>
        <v/>
      </c>
      <c r="DG402" s="66">
        <f>+IF($W402="","",ROUND(IF($B402&gt;Parámetros!$D$107,'Tablas Servicio'!DE402+('Tablas Servicio'!DG401-'Tablas Servicio'!DE401),DE402/(1-IF(B402&lt;=10,Parámetros!$D$100,0))),2))</f>
        <v>0</v>
      </c>
      <c r="DH402" s="66">
        <f t="shared" si="541"/>
        <v>0</v>
      </c>
      <c r="DI402" s="66">
        <f t="shared" si="541"/>
        <v>0</v>
      </c>
      <c r="DJ402" s="66">
        <f>+IF($W402="","",ROUND((DG402*Parámetros!$G$85),2))</f>
        <v>0</v>
      </c>
      <c r="DK402" s="66">
        <f>+IF($W402="","",ROUND((DG402*(Parámetros!$G$86)),2))</f>
        <v>0</v>
      </c>
      <c r="DL402" s="66">
        <f t="shared" si="542"/>
        <v>0</v>
      </c>
      <c r="DM402" t="str">
        <f t="shared" si="583"/>
        <v>00065</v>
      </c>
      <c r="DN402" s="118" t="str">
        <f t="shared" si="584"/>
        <v>Exención pago de primas</v>
      </c>
      <c r="DO402" s="118">
        <f t="shared" si="585"/>
        <v>0</v>
      </c>
      <c r="DP402" s="118" t="str">
        <f t="shared" si="586"/>
        <v>A</v>
      </c>
      <c r="DQ402" s="122" t="str">
        <f>+IF(OR($W402="",DO402=0),"",ROUND((VLOOKUP(ROUNDDOWN($D402-1/frec,0),cob_adi,DB$40,FALSE)*(1+i/frec)^-0.5*(1+Parámetros!$D$103)*(1+rec_fracc)/frec),6))</f>
        <v/>
      </c>
      <c r="DR402" s="66">
        <f t="shared" si="543"/>
        <v>0</v>
      </c>
      <c r="DS402" s="68" t="str">
        <f t="shared" si="544"/>
        <v/>
      </c>
      <c r="DT402" s="66">
        <f>+IF($W402="","",ROUND(IF($B402&gt;Parámetros!$D$107,'Tablas Servicio'!DR402+('Tablas Servicio'!DT401-'Tablas Servicio'!DR401),DR402/(1-IF(B402&lt;=10,Parámetros!$D$100,0))),2))</f>
        <v>0</v>
      </c>
      <c r="DU402" s="66">
        <f t="shared" si="545"/>
        <v>0</v>
      </c>
      <c r="DV402" s="66">
        <f t="shared" si="545"/>
        <v>0</v>
      </c>
      <c r="DW402" s="66">
        <f>+IF($W402="","",ROUND((DT402*Parámetros!$G$85),2))</f>
        <v>0</v>
      </c>
      <c r="DX402" s="66">
        <f>+IF($W402="","",ROUND((DT402*(Parámetros!$G$86)),2))</f>
        <v>0</v>
      </c>
      <c r="DY402" s="66">
        <f t="shared" si="546"/>
        <v>0</v>
      </c>
      <c r="DZ402" t="str">
        <f t="shared" si="588"/>
        <v>00066</v>
      </c>
      <c r="EA402" s="118" t="str">
        <f t="shared" si="588"/>
        <v>Enfermedad terminal</v>
      </c>
      <c r="EB402" s="118">
        <f>+IF($W402="","",ROUND(IF(Parámetros!$D$25='TABLAS MORT'!$V$33,EB401,Z402/2),0))</f>
        <v>50000</v>
      </c>
      <c r="EC402" s="118" t="str">
        <f t="shared" si="588"/>
        <v>A</v>
      </c>
      <c r="ED402" s="122">
        <f>+IF(OR($W402="",EB402=0),"",ROUND((VLOOKUP(ROUNDDOWN($D402-1/frec,0),cob_adi,DO$40,FALSE)*(1+i/frec)^-0.5*(1+Parámetros!$D$103)*(1+rec_fracc)/frec),6))</f>
        <v>6.4999999999999994E-5</v>
      </c>
      <c r="EE402" s="66">
        <f t="shared" si="548"/>
        <v>3.25</v>
      </c>
      <c r="EF402" s="68">
        <f t="shared" si="549"/>
        <v>6.4999999999999994E-5</v>
      </c>
      <c r="EG402" s="66">
        <f>+IF($W402="","",ROUND(IF($B402&gt;Parámetros!$D$107,'Tablas Servicio'!EE402+('Tablas Servicio'!EG401-'Tablas Servicio'!EE401),EE402/(1-IF(B402&lt;=10,Parámetros!$D$100,0))),2))</f>
        <v>3.25</v>
      </c>
      <c r="EH402" s="66">
        <f t="shared" si="550"/>
        <v>0</v>
      </c>
      <c r="EI402" s="66">
        <f t="shared" si="550"/>
        <v>0</v>
      </c>
      <c r="EJ402" s="66">
        <f>+IF($W402="","",ROUND((EG402*Parámetros!$G$85),2))</f>
        <v>0.11</v>
      </c>
      <c r="EK402" s="66">
        <f>+IF($W402="","",ROUND((EG402*(Parámetros!$G$86)),2))</f>
        <v>0.02</v>
      </c>
      <c r="EL402" s="66">
        <f t="shared" si="551"/>
        <v>3.38</v>
      </c>
    </row>
    <row r="403" spans="1:142" x14ac:dyDescent="0.25">
      <c r="A403">
        <f>+IF($C403="","",ROUND(VLOOKUP('Tablas Servicio'!B403,Parámetros!$H$100:$J$159,IF(Parámetros!$E$16="F",2,3),FALSE),2))</f>
        <v>150</v>
      </c>
      <c r="B403">
        <f t="shared" si="502"/>
        <v>31</v>
      </c>
      <c r="C403" s="57">
        <f>+IF(D403="","",'Tablas Servicio'!C402+1)</f>
        <v>362</v>
      </c>
      <c r="D403" s="56">
        <f>+IF(D402&lt;edadmaxtabla,D402+1/Parámetros!$E$25,"")</f>
        <v>70.186666666666994</v>
      </c>
      <c r="E403" s="57">
        <f t="shared" si="512"/>
        <v>70</v>
      </c>
      <c r="F403" s="59">
        <f t="shared" si="513"/>
        <v>100000</v>
      </c>
      <c r="G403" s="66">
        <f t="shared" si="503"/>
        <v>128.25</v>
      </c>
      <c r="H403" s="66">
        <f t="shared" si="504"/>
        <v>133.38999999999999</v>
      </c>
      <c r="I403" s="66">
        <f t="shared" si="552"/>
        <v>-39.389999999999986</v>
      </c>
      <c r="J403" s="66">
        <f t="shared" si="505"/>
        <v>4.49</v>
      </c>
      <c r="K403" s="66">
        <f t="shared" si="506"/>
        <v>0.65</v>
      </c>
      <c r="L403" s="66">
        <f t="shared" si="507"/>
        <v>0</v>
      </c>
      <c r="M403" s="66">
        <f t="shared" si="508"/>
        <v>0</v>
      </c>
      <c r="N403" s="66">
        <f>+IF(C403="","",ROUND(Parámetros!$D$23,2))</f>
        <v>94</v>
      </c>
      <c r="O403" s="66">
        <f t="shared" si="509"/>
        <v>115.75</v>
      </c>
      <c r="P403" s="66">
        <f>+IF($C403="","",ROUND(IF(B403&gt;Parámetros!$D$117,0,N403*Parámetros!$D$116-G403*Parámetros!$D$100),2))</f>
        <v>0</v>
      </c>
      <c r="Q403" s="75">
        <f t="shared" si="553"/>
        <v>3.5009746588693956E-2</v>
      </c>
      <c r="R403" s="75">
        <f t="shared" si="554"/>
        <v>5.0682261208577E-3</v>
      </c>
      <c r="S403" s="117">
        <f>+IF($C403="","",ROUND((S402+I403)*(1+Parámetros!$D$91),2))</f>
        <v>26093.67</v>
      </c>
      <c r="T403" s="117">
        <f>+IF($C403="","",ROUND(S403*VLOOKUP(B403,Parámetros!$C$30:$D$39,2,TRUE),2))</f>
        <v>26093.67</v>
      </c>
      <c r="U403" s="117">
        <f>+IF($C403="","",ROUND((U402+I403)*(1+Parámetros!$D$92),2))</f>
        <v>28997.02</v>
      </c>
      <c r="V403" s="117">
        <f>+IF($C403="","",ROUND(U403*VLOOKUP(B403,Parámetros!$C$30:$D$39,2,TRUE),2))</f>
        <v>28997.02</v>
      </c>
      <c r="W403" s="57">
        <f t="shared" si="555"/>
        <v>362</v>
      </c>
      <c r="X403" t="str">
        <f t="shared" si="556"/>
        <v>00058</v>
      </c>
      <c r="Y403" t="str">
        <f t="shared" si="557"/>
        <v>MUERTE POR CUALQUIER CAUSA</v>
      </c>
      <c r="Z403" s="118">
        <f>+IF($W403="","",ROUND(IF(Parámetros!$D$25='TABLAS MORT'!$V$33,Z402,Parámetros!$D$21-'Tablas Servicio'!T402),0))</f>
        <v>100000</v>
      </c>
      <c r="AA403" s="118" t="str">
        <f t="shared" si="558"/>
        <v>P</v>
      </c>
      <c r="AB403" s="119">
        <f>+IF(W403="","",ROUND((VLOOKUP(ROUNDDOWN($D403-1/frec,0),qx_tabla,2,FALSE)*(1+i/frec)^-0.5*(1+Parámetros!$D$103)*(1+rec_fracc)/frec),6))</f>
        <v>1.1249999999999999E-3</v>
      </c>
      <c r="AC403" s="66">
        <f t="shared" si="514"/>
        <v>112.5</v>
      </c>
      <c r="AD403" s="119">
        <f t="shared" si="510"/>
        <v>1.25E-3</v>
      </c>
      <c r="AE403" s="66">
        <f>+IF($W403="","",ROUND(IF($B403&gt;Parámetros!$D$107,'Tablas Servicio'!AC403+('Tablas Servicio'!AG402-'Tablas Servicio'!AC402),AC403/(1-IF(B403&lt;=10,Parámetros!$D$104,Parámetros!$D$105))),2))</f>
        <v>187.5</v>
      </c>
      <c r="AF403" s="66">
        <f>+IF($W403="","",ROUND(IF($B403&gt;Parámetros!$D$107,'Tablas Servicio'!AC403+('Tablas Servicio'!AG402-'Tablas Servicio'!AC402),(AC403+$A402/frec)/(1-IF(B403&lt;=Parámetros!$D$117,Parámetros!$D$100,0))),2))</f>
        <v>125</v>
      </c>
      <c r="AG403" s="66">
        <f t="shared" si="515"/>
        <v>125</v>
      </c>
      <c r="AH403" s="66">
        <f t="shared" si="516"/>
        <v>0</v>
      </c>
      <c r="AI403" s="66">
        <f t="shared" si="517"/>
        <v>0</v>
      </c>
      <c r="AJ403" s="66">
        <f>+IF($W403="","",ROUND((AG403*Parámetros!$G$85),2))</f>
        <v>4.38</v>
      </c>
      <c r="AK403" s="66">
        <f>+IF($W403="","",ROUND((AG403*(Parámetros!$G$86)),2))</f>
        <v>0.63</v>
      </c>
      <c r="AL403" s="66">
        <f t="shared" si="511"/>
        <v>130.01</v>
      </c>
      <c r="AM403" t="str">
        <f t="shared" si="559"/>
        <v>00059</v>
      </c>
      <c r="AN403" t="str">
        <f t="shared" si="560"/>
        <v>Incapacidad Total y Permanente</v>
      </c>
      <c r="AO403" s="118">
        <f t="shared" si="561"/>
        <v>0</v>
      </c>
      <c r="AP403" s="118" t="str">
        <f t="shared" si="562"/>
        <v>A</v>
      </c>
      <c r="AQ403" s="119" t="str">
        <f>+IF(OR($W403="",AO403=0),"",ROUND((VLOOKUP(ROUNDDOWN($D403-1/frec,0),cob_adi,Z$40,FALSE)*(1+i/frec)^-0.5*(1+Parámetros!$D$103)*(1+rec_fracc)/frec),6))</f>
        <v/>
      </c>
      <c r="AR403" s="66">
        <f t="shared" si="518"/>
        <v>0</v>
      </c>
      <c r="AS403" s="119" t="str">
        <f t="shared" si="519"/>
        <v/>
      </c>
      <c r="AT403" s="66">
        <f>+IF($W403="","",ROUND(IF($B403&gt;Parámetros!$D$107,'Tablas Servicio'!AR403+('Tablas Servicio'!AT402-'Tablas Servicio'!AR402),AR403/(1-IF(B403&lt;=10,Parámetros!$D$100,0))),2))</f>
        <v>0</v>
      </c>
      <c r="AU403" s="66">
        <f t="shared" si="520"/>
        <v>0</v>
      </c>
      <c r="AV403" s="66">
        <f t="shared" si="520"/>
        <v>0</v>
      </c>
      <c r="AW403" s="66">
        <f>+IF($W403="","",ROUND((AT403*Parámetros!$G$85),2))</f>
        <v>0</v>
      </c>
      <c r="AX403" s="66">
        <f>+IF($W403="","",ROUND((AT403*(Parámetros!$G$86)),2))</f>
        <v>0</v>
      </c>
      <c r="AY403" s="66">
        <f t="shared" si="521"/>
        <v>0</v>
      </c>
      <c r="AZ403" t="str">
        <f t="shared" si="563"/>
        <v>00060</v>
      </c>
      <c r="BA403" t="str">
        <f t="shared" si="564"/>
        <v>Muerte Accidental</v>
      </c>
      <c r="BB403" s="118">
        <f t="shared" si="565"/>
        <v>0</v>
      </c>
      <c r="BC403" s="118" t="str">
        <f t="shared" si="566"/>
        <v>A</v>
      </c>
      <c r="BD403" s="119" t="str">
        <f>+IF(OR($W403="",BB403=0),"",ROUND((VLOOKUP(ROUNDDOWN($D403-1/frec,0),cob_adi,AO$40,FALSE)*(1+i/frec)^-0.5*(1+Parámetros!$D$103)*(1+rec_fracc)/frec),6))</f>
        <v/>
      </c>
      <c r="BE403" s="66">
        <f t="shared" si="522"/>
        <v>0</v>
      </c>
      <c r="BF403" s="119" t="str">
        <f t="shared" si="523"/>
        <v/>
      </c>
      <c r="BG403" s="66">
        <f>+IF($W403="","",ROUND(IF($B403&gt;Parámetros!$D$107,'Tablas Servicio'!BE403+('Tablas Servicio'!BG402-'Tablas Servicio'!BE402),BE403/(1-IF(B403&lt;=10,Parámetros!$D$100,0))),2))</f>
        <v>0</v>
      </c>
      <c r="BH403" s="66">
        <f t="shared" si="524"/>
        <v>0</v>
      </c>
      <c r="BI403" s="66">
        <f t="shared" si="525"/>
        <v>0</v>
      </c>
      <c r="BJ403" s="66">
        <f>+IF($W403="","",ROUND((BG403*Parámetros!$G$85),2))</f>
        <v>0</v>
      </c>
      <c r="BK403" s="66">
        <f>+IF($W403="","",ROUND((BG403*(Parámetros!$G$86)),2))</f>
        <v>0</v>
      </c>
      <c r="BL403" s="66">
        <f t="shared" si="526"/>
        <v>0</v>
      </c>
      <c r="BM403" t="str">
        <f t="shared" si="567"/>
        <v>00061</v>
      </c>
      <c r="BN403" t="str">
        <f t="shared" si="568"/>
        <v>Gastos de Entierro</v>
      </c>
      <c r="BO403" s="118">
        <f t="shared" si="569"/>
        <v>0</v>
      </c>
      <c r="BP403" s="118" t="str">
        <f t="shared" si="570"/>
        <v>A</v>
      </c>
      <c r="BQ403" s="119" t="str">
        <f>+IF(OR($W403="",BO403=0),"",ROUND((VLOOKUP(ROUNDDOWN($D403-1/frec,0),cob_adi,BB$40,FALSE)*(1+i/frec)^-0.5*(1+Parámetros!$D$103)*(1+rec_fracc)/frec),6))</f>
        <v/>
      </c>
      <c r="BR403" s="66">
        <f t="shared" si="527"/>
        <v>0</v>
      </c>
      <c r="BS403" s="119" t="str">
        <f t="shared" si="528"/>
        <v/>
      </c>
      <c r="BT403" s="66">
        <f>+IF($W403="","",ROUND(IF($B403&gt;Parámetros!$D$107,'Tablas Servicio'!BR403+('Tablas Servicio'!BT402-'Tablas Servicio'!BR402),BR403/(1-IF(B403&lt;=10,Parámetros!$D$100,0))),2))</f>
        <v>0</v>
      </c>
      <c r="BU403" s="66">
        <f t="shared" si="529"/>
        <v>0</v>
      </c>
      <c r="BV403" s="66">
        <f t="shared" si="529"/>
        <v>0</v>
      </c>
      <c r="BW403" s="66">
        <f>+IF($W403="","",ROUND((BT403*Parámetros!$G$85),2))</f>
        <v>0</v>
      </c>
      <c r="BX403" s="66">
        <f>+IF($W403="","",ROUND((BT403*(Parámetros!$G$86)),2))</f>
        <v>0</v>
      </c>
      <c r="BY403" s="66">
        <f t="shared" si="530"/>
        <v>0</v>
      </c>
      <c r="BZ403" t="str">
        <f t="shared" si="571"/>
        <v>00062</v>
      </c>
      <c r="CA403" t="str">
        <f t="shared" si="572"/>
        <v>Gastos médicos por accidente</v>
      </c>
      <c r="CB403" s="118">
        <f t="shared" si="573"/>
        <v>0</v>
      </c>
      <c r="CC403" s="118" t="str">
        <f t="shared" si="574"/>
        <v>A</v>
      </c>
      <c r="CD403" s="119" t="str">
        <f t="shared" si="531"/>
        <v/>
      </c>
      <c r="CE403" s="66">
        <f>+IF($W403="","",ROUND((VLOOKUP(ROUNDDOWN($D403-1/frec,0),cob_adi,BO$40,FALSE)*(1+i/frec)^-0.5*(1+Parámetros!$D$103)*(1+rec_fracc)/frec*'TABLAS ADI'!$BC$17),2))</f>
        <v>0</v>
      </c>
      <c r="CF403" s="119" t="str">
        <f t="shared" si="532"/>
        <v/>
      </c>
      <c r="CG403" s="66">
        <f>+IF($W403="","",ROUND(IF($B403&gt;Parámetros!$D$107,'Tablas Servicio'!CE403+('Tablas Servicio'!CG402-'Tablas Servicio'!CE402),CE403/(1-IF(B403&lt;=10,Parámetros!$D$100,0))),2))</f>
        <v>0</v>
      </c>
      <c r="CH403" s="66">
        <f t="shared" si="533"/>
        <v>0</v>
      </c>
      <c r="CI403" s="66">
        <f t="shared" si="533"/>
        <v>0</v>
      </c>
      <c r="CJ403" s="66">
        <f>+IF($W403="","",ROUND((CG403*Parámetros!$G$85),2))</f>
        <v>0</v>
      </c>
      <c r="CK403" s="66">
        <f>+IF($W403="","",ROUND((CG403*(Parámetros!$G$86)),2))</f>
        <v>0</v>
      </c>
      <c r="CL403" s="66">
        <f t="shared" si="534"/>
        <v>0</v>
      </c>
      <c r="CM403" t="str">
        <f t="shared" si="575"/>
        <v>00063</v>
      </c>
      <c r="CN403" s="118" t="str">
        <f t="shared" si="576"/>
        <v>Renta Diaria por Hospitalización</v>
      </c>
      <c r="CO403" s="118">
        <f t="shared" si="577"/>
        <v>0</v>
      </c>
      <c r="CP403" s="118" t="str">
        <f t="shared" si="578"/>
        <v>A</v>
      </c>
      <c r="CQ403" s="119" t="str">
        <f t="shared" si="535"/>
        <v/>
      </c>
      <c r="CR403" s="66">
        <f>+IF($W403="","",ROUND((VLOOKUP(Parámetros!$F$51,'COBERTURAS ADICIONALES'!$S$4:$T$32,2,FALSE)*(1+i/frec)^-0.5*(1+Parámetros!$D$103)*(1+rec_fracc)/frec*$CO$42),2))</f>
        <v>0</v>
      </c>
      <c r="CS403" s="119" t="str">
        <f t="shared" si="536"/>
        <v/>
      </c>
      <c r="CT403" s="66">
        <f>+IF($W403="","",ROUND(IF($B403&gt;Parámetros!$D$107,'Tablas Servicio'!CR403+('Tablas Servicio'!CT402-'Tablas Servicio'!CR402),CR403/(1-IF(B403&lt;=10,Parámetros!$D$100,0))),2))</f>
        <v>0</v>
      </c>
      <c r="CU403" s="66">
        <f t="shared" si="537"/>
        <v>0</v>
      </c>
      <c r="CV403" s="66">
        <f t="shared" si="537"/>
        <v>0</v>
      </c>
      <c r="CW403" s="66">
        <f>+IF($W403="","",ROUND((CT403*Parámetros!$G$85),2))</f>
        <v>0</v>
      </c>
      <c r="CX403" s="66">
        <f>+IF($W403="","",ROUND((CT403*(Parámetros!$G$86)),2))</f>
        <v>0</v>
      </c>
      <c r="CY403" s="66">
        <f t="shared" si="538"/>
        <v>0</v>
      </c>
      <c r="CZ403" t="str">
        <f t="shared" si="579"/>
        <v>00064</v>
      </c>
      <c r="DA403" s="118" t="str">
        <f t="shared" si="580"/>
        <v>Enfermedades Graves</v>
      </c>
      <c r="DB403" s="118">
        <f t="shared" si="581"/>
        <v>0</v>
      </c>
      <c r="DC403" s="118" t="str">
        <f t="shared" si="582"/>
        <v>A</v>
      </c>
      <c r="DD403" s="121" t="str">
        <f>+IF(OR($W403="",DB403=0),"",ROUND((VLOOKUP(ROUNDDOWN($D403-1/frec,0),cob_adi,CO$40,FALSE)*(1+i/frec)^-0.5*(1+Parámetros!$D$103)*(1+rec_fracc)/frec),6))</f>
        <v/>
      </c>
      <c r="DE403" s="66">
        <f t="shared" si="539"/>
        <v>0</v>
      </c>
      <c r="DF403" s="119" t="str">
        <f t="shared" si="540"/>
        <v/>
      </c>
      <c r="DG403" s="66">
        <f>+IF($W403="","",ROUND(IF($B403&gt;Parámetros!$D$107,'Tablas Servicio'!DE403+('Tablas Servicio'!DG402-'Tablas Servicio'!DE402),DE403/(1-IF(B403&lt;=10,Parámetros!$D$100,0))),2))</f>
        <v>0</v>
      </c>
      <c r="DH403" s="66">
        <f t="shared" si="541"/>
        <v>0</v>
      </c>
      <c r="DI403" s="66">
        <f t="shared" si="541"/>
        <v>0</v>
      </c>
      <c r="DJ403" s="66">
        <f>+IF($W403="","",ROUND((DG403*Parámetros!$G$85),2))</f>
        <v>0</v>
      </c>
      <c r="DK403" s="66">
        <f>+IF($W403="","",ROUND((DG403*(Parámetros!$G$86)),2))</f>
        <v>0</v>
      </c>
      <c r="DL403" s="66">
        <f t="shared" si="542"/>
        <v>0</v>
      </c>
      <c r="DM403" t="str">
        <f t="shared" si="583"/>
        <v>00065</v>
      </c>
      <c r="DN403" s="118" t="str">
        <f t="shared" si="584"/>
        <v>Exención pago de primas</v>
      </c>
      <c r="DO403" s="118">
        <f t="shared" si="585"/>
        <v>0</v>
      </c>
      <c r="DP403" s="118" t="str">
        <f t="shared" si="586"/>
        <v>A</v>
      </c>
      <c r="DQ403" s="122" t="str">
        <f>+IF(OR($W403="",DO403=0),"",ROUND((VLOOKUP(ROUNDDOWN($D403-1/frec,0),cob_adi,DB$40,FALSE)*(1+i/frec)^-0.5*(1+Parámetros!$D$103)*(1+rec_fracc)/frec),6))</f>
        <v/>
      </c>
      <c r="DR403" s="66">
        <f t="shared" si="543"/>
        <v>0</v>
      </c>
      <c r="DS403" s="68" t="str">
        <f t="shared" si="544"/>
        <v/>
      </c>
      <c r="DT403" s="66">
        <f>+IF($W403="","",ROUND(IF($B403&gt;Parámetros!$D$107,'Tablas Servicio'!DR403+('Tablas Servicio'!DT402-'Tablas Servicio'!DR402),DR403/(1-IF(B403&lt;=10,Parámetros!$D$100,0))),2))</f>
        <v>0</v>
      </c>
      <c r="DU403" s="66">
        <f t="shared" si="545"/>
        <v>0</v>
      </c>
      <c r="DV403" s="66">
        <f t="shared" si="545"/>
        <v>0</v>
      </c>
      <c r="DW403" s="66">
        <f>+IF($W403="","",ROUND((DT403*Parámetros!$G$85),2))</f>
        <v>0</v>
      </c>
      <c r="DX403" s="66">
        <f>+IF($W403="","",ROUND((DT403*(Parámetros!$G$86)),2))</f>
        <v>0</v>
      </c>
      <c r="DY403" s="66">
        <f t="shared" si="546"/>
        <v>0</v>
      </c>
      <c r="DZ403" t="str">
        <f t="shared" si="588"/>
        <v>00066</v>
      </c>
      <c r="EA403" s="118" t="str">
        <f t="shared" si="588"/>
        <v>Enfermedad terminal</v>
      </c>
      <c r="EB403" s="118">
        <f>+IF($W403="","",ROUND(IF(Parámetros!$D$25='TABLAS MORT'!$V$33,EB402,Z403/2),0))</f>
        <v>50000</v>
      </c>
      <c r="EC403" s="118" t="str">
        <f t="shared" si="588"/>
        <v>A</v>
      </c>
      <c r="ED403" s="122">
        <f>+IF(OR($W403="",EB403=0),"",ROUND((VLOOKUP(ROUNDDOWN($D403-1/frec,0),cob_adi,DO$40,FALSE)*(1+i/frec)^-0.5*(1+Parámetros!$D$103)*(1+rec_fracc)/frec),6))</f>
        <v>6.4999999999999994E-5</v>
      </c>
      <c r="EE403" s="66">
        <f t="shared" si="548"/>
        <v>3.25</v>
      </c>
      <c r="EF403" s="68">
        <f t="shared" si="549"/>
        <v>6.4999999999999994E-5</v>
      </c>
      <c r="EG403" s="66">
        <f>+IF($W403="","",ROUND(IF($B403&gt;Parámetros!$D$107,'Tablas Servicio'!EE403+('Tablas Servicio'!EG402-'Tablas Servicio'!EE402),EE403/(1-IF(B403&lt;=10,Parámetros!$D$100,0))),2))</f>
        <v>3.25</v>
      </c>
      <c r="EH403" s="66">
        <f t="shared" si="550"/>
        <v>0</v>
      </c>
      <c r="EI403" s="66">
        <f t="shared" si="550"/>
        <v>0</v>
      </c>
      <c r="EJ403" s="66">
        <f>+IF($W403="","",ROUND((EG403*Parámetros!$G$85),2))</f>
        <v>0.11</v>
      </c>
      <c r="EK403" s="66">
        <f>+IF($W403="","",ROUND((EG403*(Parámetros!$G$86)),2))</f>
        <v>0.02</v>
      </c>
      <c r="EL403" s="66">
        <f t="shared" si="551"/>
        <v>3.38</v>
      </c>
    </row>
    <row r="404" spans="1:142" x14ac:dyDescent="0.25">
      <c r="A404">
        <f>+IF($C404="","",ROUND(VLOOKUP('Tablas Servicio'!B404,Parámetros!$H$100:$J$159,IF(Parámetros!$E$16="F",2,3),FALSE),2))</f>
        <v>150</v>
      </c>
      <c r="B404">
        <f t="shared" si="502"/>
        <v>31</v>
      </c>
      <c r="C404" s="57">
        <f>+IF(D404="","",'Tablas Servicio'!C403+1)</f>
        <v>363</v>
      </c>
      <c r="D404" s="56">
        <f>+IF(D403&lt;edadmaxtabla,D403+1/Parámetros!$E$25,"")</f>
        <v>70.270000000000323</v>
      </c>
      <c r="E404" s="57">
        <f t="shared" si="512"/>
        <v>70</v>
      </c>
      <c r="F404" s="59">
        <f t="shared" si="513"/>
        <v>100000</v>
      </c>
      <c r="G404" s="66">
        <f t="shared" si="503"/>
        <v>128.25</v>
      </c>
      <c r="H404" s="66">
        <f t="shared" si="504"/>
        <v>133.38999999999999</v>
      </c>
      <c r="I404" s="66">
        <f t="shared" si="552"/>
        <v>-39.389999999999986</v>
      </c>
      <c r="J404" s="66">
        <f t="shared" si="505"/>
        <v>4.49</v>
      </c>
      <c r="K404" s="66">
        <f t="shared" si="506"/>
        <v>0.65</v>
      </c>
      <c r="L404" s="66">
        <f t="shared" si="507"/>
        <v>0</v>
      </c>
      <c r="M404" s="66">
        <f t="shared" si="508"/>
        <v>0</v>
      </c>
      <c r="N404" s="66">
        <f>+IF(C404="","",ROUND(Parámetros!$D$23,2))</f>
        <v>94</v>
      </c>
      <c r="O404" s="66">
        <f t="shared" si="509"/>
        <v>115.75</v>
      </c>
      <c r="P404" s="66">
        <f>+IF($C404="","",ROUND(IF(B404&gt;Parámetros!$D$117,0,N404*Parámetros!$D$116-G404*Parámetros!$D$100),2))</f>
        <v>0</v>
      </c>
      <c r="Q404" s="75">
        <f t="shared" si="553"/>
        <v>3.5009746588693956E-2</v>
      </c>
      <c r="R404" s="75">
        <f t="shared" si="554"/>
        <v>5.0682261208577E-3</v>
      </c>
      <c r="S404" s="117">
        <f>+IF($C404="","",ROUND((S403+I404)*(1+Parámetros!$D$91),2))</f>
        <v>26128.18</v>
      </c>
      <c r="T404" s="117">
        <f>+IF($C404="","",ROUND(S404*VLOOKUP(B404,Parámetros!$C$30:$D$39,2,TRUE),2))</f>
        <v>26128.18</v>
      </c>
      <c r="U404" s="117">
        <f>+IF($C404="","",ROUND((U403+I404)*(1+Parámetros!$D$92),2))</f>
        <v>29051.5</v>
      </c>
      <c r="V404" s="117">
        <f>+IF($C404="","",ROUND(U404*VLOOKUP(B404,Parámetros!$C$30:$D$39,2,TRUE),2))</f>
        <v>29051.5</v>
      </c>
      <c r="W404" s="57">
        <f t="shared" si="555"/>
        <v>363</v>
      </c>
      <c r="X404" t="str">
        <f t="shared" si="556"/>
        <v>00058</v>
      </c>
      <c r="Y404" t="str">
        <f t="shared" si="557"/>
        <v>MUERTE POR CUALQUIER CAUSA</v>
      </c>
      <c r="Z404" s="118">
        <f>+IF($W404="","",ROUND(IF(Parámetros!$D$25='TABLAS MORT'!$V$33,Z403,Parámetros!$D$21-'Tablas Servicio'!T403),0))</f>
        <v>100000</v>
      </c>
      <c r="AA404" s="118" t="str">
        <f t="shared" si="558"/>
        <v>P</v>
      </c>
      <c r="AB404" s="119">
        <f>+IF(W404="","",ROUND((VLOOKUP(ROUNDDOWN($D404-1/frec,0),qx_tabla,2,FALSE)*(1+i/frec)^-0.5*(1+Parámetros!$D$103)*(1+rec_fracc)/frec),6))</f>
        <v>1.1249999999999999E-3</v>
      </c>
      <c r="AC404" s="66">
        <f t="shared" si="514"/>
        <v>112.5</v>
      </c>
      <c r="AD404" s="119">
        <f t="shared" si="510"/>
        <v>1.25E-3</v>
      </c>
      <c r="AE404" s="66">
        <f>+IF($W404="","",ROUND(IF($B404&gt;Parámetros!$D$107,'Tablas Servicio'!AC404+('Tablas Servicio'!AG403-'Tablas Servicio'!AC403),AC404/(1-IF(B404&lt;=10,Parámetros!$D$104,Parámetros!$D$105))),2))</f>
        <v>187.5</v>
      </c>
      <c r="AF404" s="66">
        <f>+IF($W404="","",ROUND(IF($B404&gt;Parámetros!$D$107,'Tablas Servicio'!AC404+('Tablas Servicio'!AG403-'Tablas Servicio'!AC403),(AC404+$A403/frec)/(1-IF(B404&lt;=Parámetros!$D$117,Parámetros!$D$100,0))),2))</f>
        <v>125</v>
      </c>
      <c r="AG404" s="66">
        <f t="shared" si="515"/>
        <v>125</v>
      </c>
      <c r="AH404" s="66">
        <f t="shared" si="516"/>
        <v>0</v>
      </c>
      <c r="AI404" s="66">
        <f t="shared" si="517"/>
        <v>0</v>
      </c>
      <c r="AJ404" s="66">
        <f>+IF($W404="","",ROUND((AG404*Parámetros!$G$85),2))</f>
        <v>4.38</v>
      </c>
      <c r="AK404" s="66">
        <f>+IF($W404="","",ROUND((AG404*(Parámetros!$G$86)),2))</f>
        <v>0.63</v>
      </c>
      <c r="AL404" s="66">
        <f t="shared" si="511"/>
        <v>130.01</v>
      </c>
      <c r="AM404" t="str">
        <f t="shared" si="559"/>
        <v>00059</v>
      </c>
      <c r="AN404" t="str">
        <f t="shared" si="560"/>
        <v>Incapacidad Total y Permanente</v>
      </c>
      <c r="AO404" s="118">
        <f t="shared" si="561"/>
        <v>0</v>
      </c>
      <c r="AP404" s="118" t="str">
        <f t="shared" si="562"/>
        <v>A</v>
      </c>
      <c r="AQ404" s="119" t="str">
        <f>+IF(OR($W404="",AO404=0),"",ROUND((VLOOKUP(ROUNDDOWN($D404-1/frec,0),cob_adi,Z$40,FALSE)*(1+i/frec)^-0.5*(1+Parámetros!$D$103)*(1+rec_fracc)/frec),6))</f>
        <v/>
      </c>
      <c r="AR404" s="66">
        <f t="shared" si="518"/>
        <v>0</v>
      </c>
      <c r="AS404" s="119" t="str">
        <f t="shared" si="519"/>
        <v/>
      </c>
      <c r="AT404" s="66">
        <f>+IF($W404="","",ROUND(IF($B404&gt;Parámetros!$D$107,'Tablas Servicio'!AR404+('Tablas Servicio'!AT403-'Tablas Servicio'!AR403),AR404/(1-IF(B404&lt;=10,Parámetros!$D$100,0))),2))</f>
        <v>0</v>
      </c>
      <c r="AU404" s="66">
        <f t="shared" si="520"/>
        <v>0</v>
      </c>
      <c r="AV404" s="66">
        <f t="shared" si="520"/>
        <v>0</v>
      </c>
      <c r="AW404" s="66">
        <f>+IF($W404="","",ROUND((AT404*Parámetros!$G$85),2))</f>
        <v>0</v>
      </c>
      <c r="AX404" s="66">
        <f>+IF($W404="","",ROUND((AT404*(Parámetros!$G$86)),2))</f>
        <v>0</v>
      </c>
      <c r="AY404" s="66">
        <f t="shared" si="521"/>
        <v>0</v>
      </c>
      <c r="AZ404" t="str">
        <f t="shared" si="563"/>
        <v>00060</v>
      </c>
      <c r="BA404" t="str">
        <f t="shared" si="564"/>
        <v>Muerte Accidental</v>
      </c>
      <c r="BB404" s="118">
        <f t="shared" si="565"/>
        <v>0</v>
      </c>
      <c r="BC404" s="118" t="str">
        <f t="shared" si="566"/>
        <v>A</v>
      </c>
      <c r="BD404" s="119" t="str">
        <f>+IF(OR($W404="",BB404=0),"",ROUND((VLOOKUP(ROUNDDOWN($D404-1/frec,0),cob_adi,AO$40,FALSE)*(1+i/frec)^-0.5*(1+Parámetros!$D$103)*(1+rec_fracc)/frec),6))</f>
        <v/>
      </c>
      <c r="BE404" s="66">
        <f t="shared" si="522"/>
        <v>0</v>
      </c>
      <c r="BF404" s="119" t="str">
        <f t="shared" si="523"/>
        <v/>
      </c>
      <c r="BG404" s="66">
        <f>+IF($W404="","",ROUND(IF($B404&gt;Parámetros!$D$107,'Tablas Servicio'!BE404+('Tablas Servicio'!BG403-'Tablas Servicio'!BE403),BE404/(1-IF(B404&lt;=10,Parámetros!$D$100,0))),2))</f>
        <v>0</v>
      </c>
      <c r="BH404" s="66">
        <f t="shared" si="524"/>
        <v>0</v>
      </c>
      <c r="BI404" s="66">
        <f t="shared" si="525"/>
        <v>0</v>
      </c>
      <c r="BJ404" s="66">
        <f>+IF($W404="","",ROUND((BG404*Parámetros!$G$85),2))</f>
        <v>0</v>
      </c>
      <c r="BK404" s="66">
        <f>+IF($W404="","",ROUND((BG404*(Parámetros!$G$86)),2))</f>
        <v>0</v>
      </c>
      <c r="BL404" s="66">
        <f t="shared" si="526"/>
        <v>0</v>
      </c>
      <c r="BM404" t="str">
        <f t="shared" si="567"/>
        <v>00061</v>
      </c>
      <c r="BN404" t="str">
        <f t="shared" si="568"/>
        <v>Gastos de Entierro</v>
      </c>
      <c r="BO404" s="118">
        <f t="shared" si="569"/>
        <v>0</v>
      </c>
      <c r="BP404" s="118" t="str">
        <f t="shared" si="570"/>
        <v>A</v>
      </c>
      <c r="BQ404" s="119" t="str">
        <f>+IF(OR($W404="",BO404=0),"",ROUND((VLOOKUP(ROUNDDOWN($D404-1/frec,0),cob_adi,BB$40,FALSE)*(1+i/frec)^-0.5*(1+Parámetros!$D$103)*(1+rec_fracc)/frec),6))</f>
        <v/>
      </c>
      <c r="BR404" s="66">
        <f t="shared" si="527"/>
        <v>0</v>
      </c>
      <c r="BS404" s="119" t="str">
        <f t="shared" si="528"/>
        <v/>
      </c>
      <c r="BT404" s="66">
        <f>+IF($W404="","",ROUND(IF($B404&gt;Parámetros!$D$107,'Tablas Servicio'!BR404+('Tablas Servicio'!BT403-'Tablas Servicio'!BR403),BR404/(1-IF(B404&lt;=10,Parámetros!$D$100,0))),2))</f>
        <v>0</v>
      </c>
      <c r="BU404" s="66">
        <f t="shared" si="529"/>
        <v>0</v>
      </c>
      <c r="BV404" s="66">
        <f t="shared" si="529"/>
        <v>0</v>
      </c>
      <c r="BW404" s="66">
        <f>+IF($W404="","",ROUND((BT404*Parámetros!$G$85),2))</f>
        <v>0</v>
      </c>
      <c r="BX404" s="66">
        <f>+IF($W404="","",ROUND((BT404*(Parámetros!$G$86)),2))</f>
        <v>0</v>
      </c>
      <c r="BY404" s="66">
        <f t="shared" si="530"/>
        <v>0</v>
      </c>
      <c r="BZ404" t="str">
        <f t="shared" si="571"/>
        <v>00062</v>
      </c>
      <c r="CA404" t="str">
        <f t="shared" si="572"/>
        <v>Gastos médicos por accidente</v>
      </c>
      <c r="CB404" s="118">
        <f t="shared" si="573"/>
        <v>0</v>
      </c>
      <c r="CC404" s="118" t="str">
        <f t="shared" si="574"/>
        <v>A</v>
      </c>
      <c r="CD404" s="119" t="str">
        <f t="shared" si="531"/>
        <v/>
      </c>
      <c r="CE404" s="66">
        <f>+IF($W404="","",ROUND((VLOOKUP(ROUNDDOWN($D404-1/frec,0),cob_adi,BO$40,FALSE)*(1+i/frec)^-0.5*(1+Parámetros!$D$103)*(1+rec_fracc)/frec*'TABLAS ADI'!$BC$17),2))</f>
        <v>0</v>
      </c>
      <c r="CF404" s="119" t="str">
        <f t="shared" si="532"/>
        <v/>
      </c>
      <c r="CG404" s="66">
        <f>+IF($W404="","",ROUND(IF($B404&gt;Parámetros!$D$107,'Tablas Servicio'!CE404+('Tablas Servicio'!CG403-'Tablas Servicio'!CE403),CE404/(1-IF(B404&lt;=10,Parámetros!$D$100,0))),2))</f>
        <v>0</v>
      </c>
      <c r="CH404" s="66">
        <f t="shared" si="533"/>
        <v>0</v>
      </c>
      <c r="CI404" s="66">
        <f t="shared" si="533"/>
        <v>0</v>
      </c>
      <c r="CJ404" s="66">
        <f>+IF($W404="","",ROUND((CG404*Parámetros!$G$85),2))</f>
        <v>0</v>
      </c>
      <c r="CK404" s="66">
        <f>+IF($W404="","",ROUND((CG404*(Parámetros!$G$86)),2))</f>
        <v>0</v>
      </c>
      <c r="CL404" s="66">
        <f t="shared" si="534"/>
        <v>0</v>
      </c>
      <c r="CM404" t="str">
        <f t="shared" si="575"/>
        <v>00063</v>
      </c>
      <c r="CN404" s="118" t="str">
        <f t="shared" si="576"/>
        <v>Renta Diaria por Hospitalización</v>
      </c>
      <c r="CO404" s="118">
        <f t="shared" si="577"/>
        <v>0</v>
      </c>
      <c r="CP404" s="118" t="str">
        <f t="shared" si="578"/>
        <v>A</v>
      </c>
      <c r="CQ404" s="119" t="str">
        <f t="shared" si="535"/>
        <v/>
      </c>
      <c r="CR404" s="66">
        <f>+IF($W404="","",ROUND((VLOOKUP(Parámetros!$F$51,'COBERTURAS ADICIONALES'!$S$4:$T$32,2,FALSE)*(1+i/frec)^-0.5*(1+Parámetros!$D$103)*(1+rec_fracc)/frec*$CO$42),2))</f>
        <v>0</v>
      </c>
      <c r="CS404" s="119" t="str">
        <f t="shared" si="536"/>
        <v/>
      </c>
      <c r="CT404" s="66">
        <f>+IF($W404="","",ROUND(IF($B404&gt;Parámetros!$D$107,'Tablas Servicio'!CR404+('Tablas Servicio'!CT403-'Tablas Servicio'!CR403),CR404/(1-IF(B404&lt;=10,Parámetros!$D$100,0))),2))</f>
        <v>0</v>
      </c>
      <c r="CU404" s="66">
        <f t="shared" si="537"/>
        <v>0</v>
      </c>
      <c r="CV404" s="66">
        <f t="shared" si="537"/>
        <v>0</v>
      </c>
      <c r="CW404" s="66">
        <f>+IF($W404="","",ROUND((CT404*Parámetros!$G$85),2))</f>
        <v>0</v>
      </c>
      <c r="CX404" s="66">
        <f>+IF($W404="","",ROUND((CT404*(Parámetros!$G$86)),2))</f>
        <v>0</v>
      </c>
      <c r="CY404" s="66">
        <f t="shared" si="538"/>
        <v>0</v>
      </c>
      <c r="CZ404" t="str">
        <f t="shared" si="579"/>
        <v>00064</v>
      </c>
      <c r="DA404" s="118" t="str">
        <f t="shared" si="580"/>
        <v>Enfermedades Graves</v>
      </c>
      <c r="DB404" s="118">
        <f t="shared" si="581"/>
        <v>0</v>
      </c>
      <c r="DC404" s="118" t="str">
        <f t="shared" si="582"/>
        <v>A</v>
      </c>
      <c r="DD404" s="121" t="str">
        <f>+IF(OR($W404="",DB404=0),"",ROUND((VLOOKUP(ROUNDDOWN($D404-1/frec,0),cob_adi,CO$40,FALSE)*(1+i/frec)^-0.5*(1+Parámetros!$D$103)*(1+rec_fracc)/frec),6))</f>
        <v/>
      </c>
      <c r="DE404" s="66">
        <f t="shared" si="539"/>
        <v>0</v>
      </c>
      <c r="DF404" s="119" t="str">
        <f t="shared" si="540"/>
        <v/>
      </c>
      <c r="DG404" s="66">
        <f>+IF($W404="","",ROUND(IF($B404&gt;Parámetros!$D$107,'Tablas Servicio'!DE404+('Tablas Servicio'!DG403-'Tablas Servicio'!DE403),DE404/(1-IF(B404&lt;=10,Parámetros!$D$100,0))),2))</f>
        <v>0</v>
      </c>
      <c r="DH404" s="66">
        <f t="shared" si="541"/>
        <v>0</v>
      </c>
      <c r="DI404" s="66">
        <f t="shared" si="541"/>
        <v>0</v>
      </c>
      <c r="DJ404" s="66">
        <f>+IF($W404="","",ROUND((DG404*Parámetros!$G$85),2))</f>
        <v>0</v>
      </c>
      <c r="DK404" s="66">
        <f>+IF($W404="","",ROUND((DG404*(Parámetros!$G$86)),2))</f>
        <v>0</v>
      </c>
      <c r="DL404" s="66">
        <f t="shared" si="542"/>
        <v>0</v>
      </c>
      <c r="DM404" t="str">
        <f t="shared" si="583"/>
        <v>00065</v>
      </c>
      <c r="DN404" s="118" t="str">
        <f t="shared" si="584"/>
        <v>Exención pago de primas</v>
      </c>
      <c r="DO404" s="118">
        <f t="shared" si="585"/>
        <v>0</v>
      </c>
      <c r="DP404" s="118" t="str">
        <f t="shared" si="586"/>
        <v>A</v>
      </c>
      <c r="DQ404" s="122" t="str">
        <f>+IF(OR($W404="",DO404=0),"",ROUND((VLOOKUP(ROUNDDOWN($D404-1/frec,0),cob_adi,DB$40,FALSE)*(1+i/frec)^-0.5*(1+Parámetros!$D$103)*(1+rec_fracc)/frec),6))</f>
        <v/>
      </c>
      <c r="DR404" s="66">
        <f t="shared" si="543"/>
        <v>0</v>
      </c>
      <c r="DS404" s="68" t="str">
        <f t="shared" si="544"/>
        <v/>
      </c>
      <c r="DT404" s="66">
        <f>+IF($W404="","",ROUND(IF($B404&gt;Parámetros!$D$107,'Tablas Servicio'!DR404+('Tablas Servicio'!DT403-'Tablas Servicio'!DR403),DR404/(1-IF(B404&lt;=10,Parámetros!$D$100,0))),2))</f>
        <v>0</v>
      </c>
      <c r="DU404" s="66">
        <f t="shared" si="545"/>
        <v>0</v>
      </c>
      <c r="DV404" s="66">
        <f t="shared" si="545"/>
        <v>0</v>
      </c>
      <c r="DW404" s="66">
        <f>+IF($W404="","",ROUND((DT404*Parámetros!$G$85),2))</f>
        <v>0</v>
      </c>
      <c r="DX404" s="66">
        <f>+IF($W404="","",ROUND((DT404*(Parámetros!$G$86)),2))</f>
        <v>0</v>
      </c>
      <c r="DY404" s="66">
        <f t="shared" si="546"/>
        <v>0</v>
      </c>
      <c r="DZ404" t="str">
        <f t="shared" si="588"/>
        <v>00066</v>
      </c>
      <c r="EA404" s="118" t="str">
        <f t="shared" si="588"/>
        <v>Enfermedad terminal</v>
      </c>
      <c r="EB404" s="118">
        <f>+IF($W404="","",ROUND(IF(Parámetros!$D$25='TABLAS MORT'!$V$33,EB403,Z404/2),0))</f>
        <v>50000</v>
      </c>
      <c r="EC404" s="118" t="str">
        <f t="shared" si="588"/>
        <v>A</v>
      </c>
      <c r="ED404" s="122">
        <f>+IF(OR($W404="",EB404=0),"",ROUND((VLOOKUP(ROUNDDOWN($D404-1/frec,0),cob_adi,DO$40,FALSE)*(1+i/frec)^-0.5*(1+Parámetros!$D$103)*(1+rec_fracc)/frec),6))</f>
        <v>6.4999999999999994E-5</v>
      </c>
      <c r="EE404" s="66">
        <f t="shared" si="548"/>
        <v>3.25</v>
      </c>
      <c r="EF404" s="68">
        <f t="shared" si="549"/>
        <v>6.4999999999999994E-5</v>
      </c>
      <c r="EG404" s="66">
        <f>+IF($W404="","",ROUND(IF($B404&gt;Parámetros!$D$107,'Tablas Servicio'!EE404+('Tablas Servicio'!EG403-'Tablas Servicio'!EE403),EE404/(1-IF(B404&lt;=10,Parámetros!$D$100,0))),2))</f>
        <v>3.25</v>
      </c>
      <c r="EH404" s="66">
        <f t="shared" si="550"/>
        <v>0</v>
      </c>
      <c r="EI404" s="66">
        <f t="shared" si="550"/>
        <v>0</v>
      </c>
      <c r="EJ404" s="66">
        <f>+IF($W404="","",ROUND((EG404*Parámetros!$G$85),2))</f>
        <v>0.11</v>
      </c>
      <c r="EK404" s="66">
        <f>+IF($W404="","",ROUND((EG404*(Parámetros!$G$86)),2))</f>
        <v>0.02</v>
      </c>
      <c r="EL404" s="66">
        <f t="shared" si="551"/>
        <v>3.38</v>
      </c>
    </row>
    <row r="405" spans="1:142" x14ac:dyDescent="0.25">
      <c r="A405">
        <f>+IF($C405="","",ROUND(VLOOKUP('Tablas Servicio'!B405,Parámetros!$H$100:$J$159,IF(Parámetros!$E$16="F",2,3),FALSE),2))</f>
        <v>150</v>
      </c>
      <c r="B405">
        <f t="shared" si="502"/>
        <v>31</v>
      </c>
      <c r="C405" s="57">
        <f>+IF(D405="","",'Tablas Servicio'!C404+1)</f>
        <v>364</v>
      </c>
      <c r="D405" s="56">
        <f>+IF(D404&lt;edadmaxtabla,D404+1/Parámetros!$E$25,"")</f>
        <v>70.353333333333651</v>
      </c>
      <c r="E405" s="57">
        <f t="shared" si="512"/>
        <v>70</v>
      </c>
      <c r="F405" s="59">
        <f t="shared" si="513"/>
        <v>100000</v>
      </c>
      <c r="G405" s="66">
        <f t="shared" si="503"/>
        <v>128.25</v>
      </c>
      <c r="H405" s="66">
        <f t="shared" si="504"/>
        <v>133.38999999999999</v>
      </c>
      <c r="I405" s="66">
        <f t="shared" si="552"/>
        <v>-39.389999999999986</v>
      </c>
      <c r="J405" s="66">
        <f t="shared" si="505"/>
        <v>4.49</v>
      </c>
      <c r="K405" s="66">
        <f t="shared" si="506"/>
        <v>0.65</v>
      </c>
      <c r="L405" s="66">
        <f t="shared" si="507"/>
        <v>0</v>
      </c>
      <c r="M405" s="66">
        <f t="shared" si="508"/>
        <v>0</v>
      </c>
      <c r="N405" s="66">
        <f>+IF(C405="","",ROUND(Parámetros!$D$23,2))</f>
        <v>94</v>
      </c>
      <c r="O405" s="66">
        <f t="shared" si="509"/>
        <v>115.75</v>
      </c>
      <c r="P405" s="66">
        <f>+IF($C405="","",ROUND(IF(B405&gt;Parámetros!$D$117,0,N405*Parámetros!$D$116-G405*Parámetros!$D$100),2))</f>
        <v>0</v>
      </c>
      <c r="Q405" s="75">
        <f t="shared" si="553"/>
        <v>3.5009746588693956E-2</v>
      </c>
      <c r="R405" s="75">
        <f t="shared" si="554"/>
        <v>5.0682261208577E-3</v>
      </c>
      <c r="S405" s="117">
        <f>+IF($C405="","",ROUND((S404+I405)*(1+Parámetros!$D$91),2))</f>
        <v>26162.79</v>
      </c>
      <c r="T405" s="117">
        <f>+IF($C405="","",ROUND(S405*VLOOKUP(B405,Parámetros!$C$30:$D$39,2,TRUE),2))</f>
        <v>26162.79</v>
      </c>
      <c r="U405" s="117">
        <f>+IF($C405="","",ROUND((U404+I405)*(1+Parámetros!$D$92),2))</f>
        <v>29106.16</v>
      </c>
      <c r="V405" s="117">
        <f>+IF($C405="","",ROUND(U405*VLOOKUP(B405,Parámetros!$C$30:$D$39,2,TRUE),2))</f>
        <v>29106.16</v>
      </c>
      <c r="W405" s="57">
        <f t="shared" si="555"/>
        <v>364</v>
      </c>
      <c r="X405" t="str">
        <f t="shared" si="556"/>
        <v>00058</v>
      </c>
      <c r="Y405" t="str">
        <f t="shared" si="557"/>
        <v>MUERTE POR CUALQUIER CAUSA</v>
      </c>
      <c r="Z405" s="118">
        <f>+IF($W405="","",ROUND(IF(Parámetros!$D$25='TABLAS MORT'!$V$33,Z404,Parámetros!$D$21-'Tablas Servicio'!T404),0))</f>
        <v>100000</v>
      </c>
      <c r="AA405" s="118" t="str">
        <f t="shared" si="558"/>
        <v>P</v>
      </c>
      <c r="AB405" s="119">
        <f>+IF(W405="","",ROUND((VLOOKUP(ROUNDDOWN($D405-1/frec,0),qx_tabla,2,FALSE)*(1+i/frec)^-0.5*(1+Parámetros!$D$103)*(1+rec_fracc)/frec),6))</f>
        <v>1.1249999999999999E-3</v>
      </c>
      <c r="AC405" s="66">
        <f t="shared" si="514"/>
        <v>112.5</v>
      </c>
      <c r="AD405" s="119">
        <f t="shared" si="510"/>
        <v>1.25E-3</v>
      </c>
      <c r="AE405" s="66">
        <f>+IF($W405="","",ROUND(IF($B405&gt;Parámetros!$D$107,'Tablas Servicio'!AC405+('Tablas Servicio'!AG404-'Tablas Servicio'!AC404),AC405/(1-IF(B405&lt;=10,Parámetros!$D$104,Parámetros!$D$105))),2))</f>
        <v>187.5</v>
      </c>
      <c r="AF405" s="66">
        <f>+IF($W405="","",ROUND(IF($B405&gt;Parámetros!$D$107,'Tablas Servicio'!AC405+('Tablas Servicio'!AG404-'Tablas Servicio'!AC404),(AC405+$A404/frec)/(1-IF(B405&lt;=Parámetros!$D$117,Parámetros!$D$100,0))),2))</f>
        <v>125</v>
      </c>
      <c r="AG405" s="66">
        <f t="shared" si="515"/>
        <v>125</v>
      </c>
      <c r="AH405" s="66">
        <f t="shared" si="516"/>
        <v>0</v>
      </c>
      <c r="AI405" s="66">
        <f t="shared" si="517"/>
        <v>0</v>
      </c>
      <c r="AJ405" s="66">
        <f>+IF($W405="","",ROUND((AG405*Parámetros!$G$85),2))</f>
        <v>4.38</v>
      </c>
      <c r="AK405" s="66">
        <f>+IF($W405="","",ROUND((AG405*(Parámetros!$G$86)),2))</f>
        <v>0.63</v>
      </c>
      <c r="AL405" s="66">
        <f t="shared" si="511"/>
        <v>130.01</v>
      </c>
      <c r="AM405" t="str">
        <f t="shared" si="559"/>
        <v>00059</v>
      </c>
      <c r="AN405" t="str">
        <f t="shared" si="560"/>
        <v>Incapacidad Total y Permanente</v>
      </c>
      <c r="AO405" s="118">
        <f t="shared" si="561"/>
        <v>0</v>
      </c>
      <c r="AP405" s="118" t="str">
        <f t="shared" si="562"/>
        <v>A</v>
      </c>
      <c r="AQ405" s="119" t="str">
        <f>+IF(OR($W405="",AO405=0),"",ROUND((VLOOKUP(ROUNDDOWN($D405-1/frec,0),cob_adi,Z$40,FALSE)*(1+i/frec)^-0.5*(1+Parámetros!$D$103)*(1+rec_fracc)/frec),6))</f>
        <v/>
      </c>
      <c r="AR405" s="66">
        <f t="shared" si="518"/>
        <v>0</v>
      </c>
      <c r="AS405" s="119" t="str">
        <f t="shared" si="519"/>
        <v/>
      </c>
      <c r="AT405" s="66">
        <f>+IF($W405="","",ROUND(IF($B405&gt;Parámetros!$D$107,'Tablas Servicio'!AR405+('Tablas Servicio'!AT404-'Tablas Servicio'!AR404),AR405/(1-IF(B405&lt;=10,Parámetros!$D$100,0))),2))</f>
        <v>0</v>
      </c>
      <c r="AU405" s="66">
        <f t="shared" si="520"/>
        <v>0</v>
      </c>
      <c r="AV405" s="66">
        <f t="shared" si="520"/>
        <v>0</v>
      </c>
      <c r="AW405" s="66">
        <f>+IF($W405="","",ROUND((AT405*Parámetros!$G$85),2))</f>
        <v>0</v>
      </c>
      <c r="AX405" s="66">
        <f>+IF($W405="","",ROUND((AT405*(Parámetros!$G$86)),2))</f>
        <v>0</v>
      </c>
      <c r="AY405" s="66">
        <f t="shared" si="521"/>
        <v>0</v>
      </c>
      <c r="AZ405" t="str">
        <f t="shared" si="563"/>
        <v>00060</v>
      </c>
      <c r="BA405" t="str">
        <f t="shared" si="564"/>
        <v>Muerte Accidental</v>
      </c>
      <c r="BB405" s="118">
        <f t="shared" si="565"/>
        <v>0</v>
      </c>
      <c r="BC405" s="118" t="str">
        <f t="shared" si="566"/>
        <v>A</v>
      </c>
      <c r="BD405" s="119" t="str">
        <f>+IF(OR($W405="",BB405=0),"",ROUND((VLOOKUP(ROUNDDOWN($D405-1/frec,0),cob_adi,AO$40,FALSE)*(1+i/frec)^-0.5*(1+Parámetros!$D$103)*(1+rec_fracc)/frec),6))</f>
        <v/>
      </c>
      <c r="BE405" s="66">
        <f t="shared" si="522"/>
        <v>0</v>
      </c>
      <c r="BF405" s="119" t="str">
        <f t="shared" si="523"/>
        <v/>
      </c>
      <c r="BG405" s="66">
        <f>+IF($W405="","",ROUND(IF($B405&gt;Parámetros!$D$107,'Tablas Servicio'!BE405+('Tablas Servicio'!BG404-'Tablas Servicio'!BE404),BE405/(1-IF(B405&lt;=10,Parámetros!$D$100,0))),2))</f>
        <v>0</v>
      </c>
      <c r="BH405" s="66">
        <f t="shared" si="524"/>
        <v>0</v>
      </c>
      <c r="BI405" s="66">
        <f t="shared" si="525"/>
        <v>0</v>
      </c>
      <c r="BJ405" s="66">
        <f>+IF($W405="","",ROUND((BG405*Parámetros!$G$85),2))</f>
        <v>0</v>
      </c>
      <c r="BK405" s="66">
        <f>+IF($W405="","",ROUND((BG405*(Parámetros!$G$86)),2))</f>
        <v>0</v>
      </c>
      <c r="BL405" s="66">
        <f t="shared" si="526"/>
        <v>0</v>
      </c>
      <c r="BM405" t="str">
        <f t="shared" si="567"/>
        <v>00061</v>
      </c>
      <c r="BN405" t="str">
        <f t="shared" si="568"/>
        <v>Gastos de Entierro</v>
      </c>
      <c r="BO405" s="118">
        <f t="shared" si="569"/>
        <v>0</v>
      </c>
      <c r="BP405" s="118" t="str">
        <f t="shared" si="570"/>
        <v>A</v>
      </c>
      <c r="BQ405" s="119" t="str">
        <f>+IF(OR($W405="",BO405=0),"",ROUND((VLOOKUP(ROUNDDOWN($D405-1/frec,0),cob_adi,BB$40,FALSE)*(1+i/frec)^-0.5*(1+Parámetros!$D$103)*(1+rec_fracc)/frec),6))</f>
        <v/>
      </c>
      <c r="BR405" s="66">
        <f t="shared" si="527"/>
        <v>0</v>
      </c>
      <c r="BS405" s="119" t="str">
        <f t="shared" si="528"/>
        <v/>
      </c>
      <c r="BT405" s="66">
        <f>+IF($W405="","",ROUND(IF($B405&gt;Parámetros!$D$107,'Tablas Servicio'!BR405+('Tablas Servicio'!BT404-'Tablas Servicio'!BR404),BR405/(1-IF(B405&lt;=10,Parámetros!$D$100,0))),2))</f>
        <v>0</v>
      </c>
      <c r="BU405" s="66">
        <f t="shared" si="529"/>
        <v>0</v>
      </c>
      <c r="BV405" s="66">
        <f t="shared" si="529"/>
        <v>0</v>
      </c>
      <c r="BW405" s="66">
        <f>+IF($W405="","",ROUND((BT405*Parámetros!$G$85),2))</f>
        <v>0</v>
      </c>
      <c r="BX405" s="66">
        <f>+IF($W405="","",ROUND((BT405*(Parámetros!$G$86)),2))</f>
        <v>0</v>
      </c>
      <c r="BY405" s="66">
        <f t="shared" si="530"/>
        <v>0</v>
      </c>
      <c r="BZ405" t="str">
        <f t="shared" si="571"/>
        <v>00062</v>
      </c>
      <c r="CA405" t="str">
        <f t="shared" si="572"/>
        <v>Gastos médicos por accidente</v>
      </c>
      <c r="CB405" s="118">
        <f t="shared" si="573"/>
        <v>0</v>
      </c>
      <c r="CC405" s="118" t="str">
        <f t="shared" si="574"/>
        <v>A</v>
      </c>
      <c r="CD405" s="119" t="str">
        <f t="shared" si="531"/>
        <v/>
      </c>
      <c r="CE405" s="66">
        <f>+IF($W405="","",ROUND((VLOOKUP(ROUNDDOWN($D405-1/frec,0),cob_adi,BO$40,FALSE)*(1+i/frec)^-0.5*(1+Parámetros!$D$103)*(1+rec_fracc)/frec*'TABLAS ADI'!$BC$17),2))</f>
        <v>0</v>
      </c>
      <c r="CF405" s="119" t="str">
        <f t="shared" si="532"/>
        <v/>
      </c>
      <c r="CG405" s="66">
        <f>+IF($W405="","",ROUND(IF($B405&gt;Parámetros!$D$107,'Tablas Servicio'!CE405+('Tablas Servicio'!CG404-'Tablas Servicio'!CE404),CE405/(1-IF(B405&lt;=10,Parámetros!$D$100,0))),2))</f>
        <v>0</v>
      </c>
      <c r="CH405" s="66">
        <f t="shared" si="533"/>
        <v>0</v>
      </c>
      <c r="CI405" s="66">
        <f t="shared" si="533"/>
        <v>0</v>
      </c>
      <c r="CJ405" s="66">
        <f>+IF($W405="","",ROUND((CG405*Parámetros!$G$85),2))</f>
        <v>0</v>
      </c>
      <c r="CK405" s="66">
        <f>+IF($W405="","",ROUND((CG405*(Parámetros!$G$86)),2))</f>
        <v>0</v>
      </c>
      <c r="CL405" s="66">
        <f t="shared" si="534"/>
        <v>0</v>
      </c>
      <c r="CM405" t="str">
        <f t="shared" si="575"/>
        <v>00063</v>
      </c>
      <c r="CN405" s="118" t="str">
        <f t="shared" si="576"/>
        <v>Renta Diaria por Hospitalización</v>
      </c>
      <c r="CO405" s="118">
        <f t="shared" si="577"/>
        <v>0</v>
      </c>
      <c r="CP405" s="118" t="str">
        <f t="shared" si="578"/>
        <v>A</v>
      </c>
      <c r="CQ405" s="119" t="str">
        <f t="shared" si="535"/>
        <v/>
      </c>
      <c r="CR405" s="66">
        <f>+IF($W405="","",ROUND((VLOOKUP(Parámetros!$F$51,'COBERTURAS ADICIONALES'!$S$4:$T$32,2,FALSE)*(1+i/frec)^-0.5*(1+Parámetros!$D$103)*(1+rec_fracc)/frec*$CO$42),2))</f>
        <v>0</v>
      </c>
      <c r="CS405" s="119" t="str">
        <f t="shared" si="536"/>
        <v/>
      </c>
      <c r="CT405" s="66">
        <f>+IF($W405="","",ROUND(IF($B405&gt;Parámetros!$D$107,'Tablas Servicio'!CR405+('Tablas Servicio'!CT404-'Tablas Servicio'!CR404),CR405/(1-IF(B405&lt;=10,Parámetros!$D$100,0))),2))</f>
        <v>0</v>
      </c>
      <c r="CU405" s="66">
        <f t="shared" si="537"/>
        <v>0</v>
      </c>
      <c r="CV405" s="66">
        <f t="shared" si="537"/>
        <v>0</v>
      </c>
      <c r="CW405" s="66">
        <f>+IF($W405="","",ROUND((CT405*Parámetros!$G$85),2))</f>
        <v>0</v>
      </c>
      <c r="CX405" s="66">
        <f>+IF($W405="","",ROUND((CT405*(Parámetros!$G$86)),2))</f>
        <v>0</v>
      </c>
      <c r="CY405" s="66">
        <f t="shared" si="538"/>
        <v>0</v>
      </c>
      <c r="CZ405" t="str">
        <f t="shared" si="579"/>
        <v>00064</v>
      </c>
      <c r="DA405" s="118" t="str">
        <f t="shared" si="580"/>
        <v>Enfermedades Graves</v>
      </c>
      <c r="DB405" s="118">
        <f t="shared" si="581"/>
        <v>0</v>
      </c>
      <c r="DC405" s="118" t="str">
        <f t="shared" si="582"/>
        <v>A</v>
      </c>
      <c r="DD405" s="121" t="str">
        <f>+IF(OR($W405="",DB405=0),"",ROUND((VLOOKUP(ROUNDDOWN($D405-1/frec,0),cob_adi,CO$40,FALSE)*(1+i/frec)^-0.5*(1+Parámetros!$D$103)*(1+rec_fracc)/frec),6))</f>
        <v/>
      </c>
      <c r="DE405" s="66">
        <f t="shared" si="539"/>
        <v>0</v>
      </c>
      <c r="DF405" s="119" t="str">
        <f t="shared" si="540"/>
        <v/>
      </c>
      <c r="DG405" s="66">
        <f>+IF($W405="","",ROUND(IF($B405&gt;Parámetros!$D$107,'Tablas Servicio'!DE405+('Tablas Servicio'!DG404-'Tablas Servicio'!DE404),DE405/(1-IF(B405&lt;=10,Parámetros!$D$100,0))),2))</f>
        <v>0</v>
      </c>
      <c r="DH405" s="66">
        <f t="shared" si="541"/>
        <v>0</v>
      </c>
      <c r="DI405" s="66">
        <f t="shared" si="541"/>
        <v>0</v>
      </c>
      <c r="DJ405" s="66">
        <f>+IF($W405="","",ROUND((DG405*Parámetros!$G$85),2))</f>
        <v>0</v>
      </c>
      <c r="DK405" s="66">
        <f>+IF($W405="","",ROUND((DG405*(Parámetros!$G$86)),2))</f>
        <v>0</v>
      </c>
      <c r="DL405" s="66">
        <f t="shared" si="542"/>
        <v>0</v>
      </c>
      <c r="DM405" t="str">
        <f t="shared" si="583"/>
        <v>00065</v>
      </c>
      <c r="DN405" s="118" t="str">
        <f t="shared" si="584"/>
        <v>Exención pago de primas</v>
      </c>
      <c r="DO405" s="118">
        <f t="shared" si="585"/>
        <v>0</v>
      </c>
      <c r="DP405" s="118" t="str">
        <f t="shared" si="586"/>
        <v>A</v>
      </c>
      <c r="DQ405" s="122" t="str">
        <f>+IF(OR($W405="",DO405=0),"",ROUND((VLOOKUP(ROUNDDOWN($D405-1/frec,0),cob_adi,DB$40,FALSE)*(1+i/frec)^-0.5*(1+Parámetros!$D$103)*(1+rec_fracc)/frec),6))</f>
        <v/>
      </c>
      <c r="DR405" s="66">
        <f t="shared" si="543"/>
        <v>0</v>
      </c>
      <c r="DS405" s="68" t="str">
        <f t="shared" si="544"/>
        <v/>
      </c>
      <c r="DT405" s="66">
        <f>+IF($W405="","",ROUND(IF($B405&gt;Parámetros!$D$107,'Tablas Servicio'!DR405+('Tablas Servicio'!DT404-'Tablas Servicio'!DR404),DR405/(1-IF(B405&lt;=10,Parámetros!$D$100,0))),2))</f>
        <v>0</v>
      </c>
      <c r="DU405" s="66">
        <f t="shared" si="545"/>
        <v>0</v>
      </c>
      <c r="DV405" s="66">
        <f t="shared" si="545"/>
        <v>0</v>
      </c>
      <c r="DW405" s="66">
        <f>+IF($W405="","",ROUND((DT405*Parámetros!$G$85),2))</f>
        <v>0</v>
      </c>
      <c r="DX405" s="66">
        <f>+IF($W405="","",ROUND((DT405*(Parámetros!$G$86)),2))</f>
        <v>0</v>
      </c>
      <c r="DY405" s="66">
        <f t="shared" si="546"/>
        <v>0</v>
      </c>
      <c r="DZ405" t="str">
        <f t="shared" si="588"/>
        <v>00066</v>
      </c>
      <c r="EA405" s="118" t="str">
        <f t="shared" si="588"/>
        <v>Enfermedad terminal</v>
      </c>
      <c r="EB405" s="118">
        <f>+IF($W405="","",ROUND(IF(Parámetros!$D$25='TABLAS MORT'!$V$33,EB404,Z405/2),0))</f>
        <v>50000</v>
      </c>
      <c r="EC405" s="118" t="str">
        <f t="shared" si="588"/>
        <v>A</v>
      </c>
      <c r="ED405" s="122">
        <f>+IF(OR($W405="",EB405=0),"",ROUND((VLOOKUP(ROUNDDOWN($D405-1/frec,0),cob_adi,DO$40,FALSE)*(1+i/frec)^-0.5*(1+Parámetros!$D$103)*(1+rec_fracc)/frec),6))</f>
        <v>6.4999999999999994E-5</v>
      </c>
      <c r="EE405" s="66">
        <f t="shared" si="548"/>
        <v>3.25</v>
      </c>
      <c r="EF405" s="68">
        <f t="shared" si="549"/>
        <v>6.4999999999999994E-5</v>
      </c>
      <c r="EG405" s="66">
        <f>+IF($W405="","",ROUND(IF($B405&gt;Parámetros!$D$107,'Tablas Servicio'!EE405+('Tablas Servicio'!EG404-'Tablas Servicio'!EE404),EE405/(1-IF(B405&lt;=10,Parámetros!$D$100,0))),2))</f>
        <v>3.25</v>
      </c>
      <c r="EH405" s="66">
        <f t="shared" si="550"/>
        <v>0</v>
      </c>
      <c r="EI405" s="66">
        <f t="shared" si="550"/>
        <v>0</v>
      </c>
      <c r="EJ405" s="66">
        <f>+IF($W405="","",ROUND((EG405*Parámetros!$G$85),2))</f>
        <v>0.11</v>
      </c>
      <c r="EK405" s="66">
        <f>+IF($W405="","",ROUND((EG405*(Parámetros!$G$86)),2))</f>
        <v>0.02</v>
      </c>
      <c r="EL405" s="66">
        <f t="shared" si="551"/>
        <v>3.38</v>
      </c>
    </row>
    <row r="406" spans="1:142" x14ac:dyDescent="0.25">
      <c r="A406">
        <f>+IF($C406="","",ROUND(VLOOKUP('Tablas Servicio'!B406,Parámetros!$H$100:$J$159,IF(Parámetros!$E$16="F",2,3),FALSE),2))</f>
        <v>150</v>
      </c>
      <c r="B406">
        <f t="shared" si="502"/>
        <v>31</v>
      </c>
      <c r="C406" s="57">
        <f>+IF(D406="","",'Tablas Servicio'!C405+1)</f>
        <v>365</v>
      </c>
      <c r="D406" s="56">
        <f>+IF(D405&lt;edadmaxtabla,D405+1/Parámetros!$E$25,"")</f>
        <v>70.43666666666698</v>
      </c>
      <c r="E406" s="57">
        <f t="shared" si="512"/>
        <v>70</v>
      </c>
      <c r="F406" s="59">
        <f t="shared" si="513"/>
        <v>100000</v>
      </c>
      <c r="G406" s="66">
        <f t="shared" si="503"/>
        <v>128.25</v>
      </c>
      <c r="H406" s="66">
        <f t="shared" si="504"/>
        <v>133.38999999999999</v>
      </c>
      <c r="I406" s="66">
        <f t="shared" si="552"/>
        <v>-39.389999999999986</v>
      </c>
      <c r="J406" s="66">
        <f t="shared" si="505"/>
        <v>4.49</v>
      </c>
      <c r="K406" s="66">
        <f t="shared" si="506"/>
        <v>0.65</v>
      </c>
      <c r="L406" s="66">
        <f t="shared" si="507"/>
        <v>0</v>
      </c>
      <c r="M406" s="66">
        <f t="shared" si="508"/>
        <v>0</v>
      </c>
      <c r="N406" s="66">
        <f>+IF(C406="","",ROUND(Parámetros!$D$23,2))</f>
        <v>94</v>
      </c>
      <c r="O406" s="66">
        <f t="shared" si="509"/>
        <v>115.75</v>
      </c>
      <c r="P406" s="66">
        <f>+IF($C406="","",ROUND(IF(B406&gt;Parámetros!$D$117,0,N406*Parámetros!$D$116-G406*Parámetros!$D$100),2))</f>
        <v>0</v>
      </c>
      <c r="Q406" s="75">
        <f t="shared" si="553"/>
        <v>3.5009746588693956E-2</v>
      </c>
      <c r="R406" s="75">
        <f t="shared" si="554"/>
        <v>5.0682261208577E-3</v>
      </c>
      <c r="S406" s="117">
        <f>+IF($C406="","",ROUND((S405+I406)*(1+Parámetros!$D$91),2))</f>
        <v>26197.5</v>
      </c>
      <c r="T406" s="117">
        <f>+IF($C406="","",ROUND(S406*VLOOKUP(B406,Parámetros!$C$30:$D$39,2,TRUE),2))</f>
        <v>26197.5</v>
      </c>
      <c r="U406" s="117">
        <f>+IF($C406="","",ROUND((U405+I406)*(1+Parámetros!$D$92),2))</f>
        <v>29160.99</v>
      </c>
      <c r="V406" s="117">
        <f>+IF($C406="","",ROUND(U406*VLOOKUP(B406,Parámetros!$C$30:$D$39,2,TRUE),2))</f>
        <v>29160.99</v>
      </c>
      <c r="W406" s="57">
        <f t="shared" si="555"/>
        <v>365</v>
      </c>
      <c r="X406" t="str">
        <f t="shared" si="556"/>
        <v>00058</v>
      </c>
      <c r="Y406" t="str">
        <f t="shared" si="557"/>
        <v>MUERTE POR CUALQUIER CAUSA</v>
      </c>
      <c r="Z406" s="118">
        <f>+IF($W406="","",ROUND(IF(Parámetros!$D$25='TABLAS MORT'!$V$33,Z405,Parámetros!$D$21-'Tablas Servicio'!T405),0))</f>
        <v>100000</v>
      </c>
      <c r="AA406" s="118" t="str">
        <f t="shared" si="558"/>
        <v>P</v>
      </c>
      <c r="AB406" s="119">
        <f>+IF(W406="","",ROUND((VLOOKUP(ROUNDDOWN($D406-1/frec,0),qx_tabla,2,FALSE)*(1+i/frec)^-0.5*(1+Parámetros!$D$103)*(1+rec_fracc)/frec),6))</f>
        <v>1.1249999999999999E-3</v>
      </c>
      <c r="AC406" s="66">
        <f t="shared" si="514"/>
        <v>112.5</v>
      </c>
      <c r="AD406" s="119">
        <f t="shared" si="510"/>
        <v>1.25E-3</v>
      </c>
      <c r="AE406" s="66">
        <f>+IF($W406="","",ROUND(IF($B406&gt;Parámetros!$D$107,'Tablas Servicio'!AC406+('Tablas Servicio'!AG405-'Tablas Servicio'!AC405),AC406/(1-IF(B406&lt;=10,Parámetros!$D$104,Parámetros!$D$105))),2))</f>
        <v>187.5</v>
      </c>
      <c r="AF406" s="66">
        <f>+IF($W406="","",ROUND(IF($B406&gt;Parámetros!$D$107,'Tablas Servicio'!AC406+('Tablas Servicio'!AG405-'Tablas Servicio'!AC405),(AC406+$A405/frec)/(1-IF(B406&lt;=Parámetros!$D$117,Parámetros!$D$100,0))),2))</f>
        <v>125</v>
      </c>
      <c r="AG406" s="66">
        <f t="shared" si="515"/>
        <v>125</v>
      </c>
      <c r="AH406" s="66">
        <f t="shared" si="516"/>
        <v>0</v>
      </c>
      <c r="AI406" s="66">
        <f t="shared" si="517"/>
        <v>0</v>
      </c>
      <c r="AJ406" s="66">
        <f>+IF($W406="","",ROUND((AG406*Parámetros!$G$85),2))</f>
        <v>4.38</v>
      </c>
      <c r="AK406" s="66">
        <f>+IF($W406="","",ROUND((AG406*(Parámetros!$G$86)),2))</f>
        <v>0.63</v>
      </c>
      <c r="AL406" s="66">
        <f t="shared" si="511"/>
        <v>130.01</v>
      </c>
      <c r="AM406" t="str">
        <f t="shared" si="559"/>
        <v>00059</v>
      </c>
      <c r="AN406" t="str">
        <f t="shared" si="560"/>
        <v>Incapacidad Total y Permanente</v>
      </c>
      <c r="AO406" s="118">
        <f t="shared" si="561"/>
        <v>0</v>
      </c>
      <c r="AP406" s="118" t="str">
        <f t="shared" si="562"/>
        <v>A</v>
      </c>
      <c r="AQ406" s="119" t="str">
        <f>+IF(OR($W406="",AO406=0),"",ROUND((VLOOKUP(ROUNDDOWN($D406-1/frec,0),cob_adi,Z$40,FALSE)*(1+i/frec)^-0.5*(1+Parámetros!$D$103)*(1+rec_fracc)/frec),6))</f>
        <v/>
      </c>
      <c r="AR406" s="66">
        <f t="shared" si="518"/>
        <v>0</v>
      </c>
      <c r="AS406" s="119" t="str">
        <f t="shared" si="519"/>
        <v/>
      </c>
      <c r="AT406" s="66">
        <f>+IF($W406="","",ROUND(IF($B406&gt;Parámetros!$D$107,'Tablas Servicio'!AR406+('Tablas Servicio'!AT405-'Tablas Servicio'!AR405),AR406/(1-IF(B406&lt;=10,Parámetros!$D$100,0))),2))</f>
        <v>0</v>
      </c>
      <c r="AU406" s="66">
        <f t="shared" si="520"/>
        <v>0</v>
      </c>
      <c r="AV406" s="66">
        <f t="shared" si="520"/>
        <v>0</v>
      </c>
      <c r="AW406" s="66">
        <f>+IF($W406="","",ROUND((AT406*Parámetros!$G$85),2))</f>
        <v>0</v>
      </c>
      <c r="AX406" s="66">
        <f>+IF($W406="","",ROUND((AT406*(Parámetros!$G$86)),2))</f>
        <v>0</v>
      </c>
      <c r="AY406" s="66">
        <f t="shared" si="521"/>
        <v>0</v>
      </c>
      <c r="AZ406" t="str">
        <f t="shared" si="563"/>
        <v>00060</v>
      </c>
      <c r="BA406" t="str">
        <f t="shared" si="564"/>
        <v>Muerte Accidental</v>
      </c>
      <c r="BB406" s="118">
        <f t="shared" si="565"/>
        <v>0</v>
      </c>
      <c r="BC406" s="118" t="str">
        <f t="shared" si="566"/>
        <v>A</v>
      </c>
      <c r="BD406" s="119" t="str">
        <f>+IF(OR($W406="",BB406=0),"",ROUND((VLOOKUP(ROUNDDOWN($D406-1/frec,0),cob_adi,AO$40,FALSE)*(1+i/frec)^-0.5*(1+Parámetros!$D$103)*(1+rec_fracc)/frec),6))</f>
        <v/>
      </c>
      <c r="BE406" s="66">
        <f t="shared" si="522"/>
        <v>0</v>
      </c>
      <c r="BF406" s="119" t="str">
        <f t="shared" si="523"/>
        <v/>
      </c>
      <c r="BG406" s="66">
        <f>+IF($W406="","",ROUND(IF($B406&gt;Parámetros!$D$107,'Tablas Servicio'!BE406+('Tablas Servicio'!BG405-'Tablas Servicio'!BE405),BE406/(1-IF(B406&lt;=10,Parámetros!$D$100,0))),2))</f>
        <v>0</v>
      </c>
      <c r="BH406" s="66">
        <f t="shared" si="524"/>
        <v>0</v>
      </c>
      <c r="BI406" s="66">
        <f t="shared" si="525"/>
        <v>0</v>
      </c>
      <c r="BJ406" s="66">
        <f>+IF($W406="","",ROUND((BG406*Parámetros!$G$85),2))</f>
        <v>0</v>
      </c>
      <c r="BK406" s="66">
        <f>+IF($W406="","",ROUND((BG406*(Parámetros!$G$86)),2))</f>
        <v>0</v>
      </c>
      <c r="BL406" s="66">
        <f t="shared" si="526"/>
        <v>0</v>
      </c>
      <c r="BM406" t="str">
        <f t="shared" si="567"/>
        <v>00061</v>
      </c>
      <c r="BN406" t="str">
        <f t="shared" si="568"/>
        <v>Gastos de Entierro</v>
      </c>
      <c r="BO406" s="118">
        <f t="shared" si="569"/>
        <v>0</v>
      </c>
      <c r="BP406" s="118" t="str">
        <f t="shared" si="570"/>
        <v>A</v>
      </c>
      <c r="BQ406" s="119" t="str">
        <f>+IF(OR($W406="",BO406=0),"",ROUND((VLOOKUP(ROUNDDOWN($D406-1/frec,0),cob_adi,BB$40,FALSE)*(1+i/frec)^-0.5*(1+Parámetros!$D$103)*(1+rec_fracc)/frec),6))</f>
        <v/>
      </c>
      <c r="BR406" s="66">
        <f t="shared" si="527"/>
        <v>0</v>
      </c>
      <c r="BS406" s="119" t="str">
        <f t="shared" si="528"/>
        <v/>
      </c>
      <c r="BT406" s="66">
        <f>+IF($W406="","",ROUND(IF($B406&gt;Parámetros!$D$107,'Tablas Servicio'!BR406+('Tablas Servicio'!BT405-'Tablas Servicio'!BR405),BR406/(1-IF(B406&lt;=10,Parámetros!$D$100,0))),2))</f>
        <v>0</v>
      </c>
      <c r="BU406" s="66">
        <f t="shared" si="529"/>
        <v>0</v>
      </c>
      <c r="BV406" s="66">
        <f t="shared" si="529"/>
        <v>0</v>
      </c>
      <c r="BW406" s="66">
        <f>+IF($W406="","",ROUND((BT406*Parámetros!$G$85),2))</f>
        <v>0</v>
      </c>
      <c r="BX406" s="66">
        <f>+IF($W406="","",ROUND((BT406*(Parámetros!$G$86)),2))</f>
        <v>0</v>
      </c>
      <c r="BY406" s="66">
        <f t="shared" si="530"/>
        <v>0</v>
      </c>
      <c r="BZ406" t="str">
        <f t="shared" si="571"/>
        <v>00062</v>
      </c>
      <c r="CA406" t="str">
        <f t="shared" si="572"/>
        <v>Gastos médicos por accidente</v>
      </c>
      <c r="CB406" s="118">
        <f t="shared" si="573"/>
        <v>0</v>
      </c>
      <c r="CC406" s="118" t="str">
        <f t="shared" si="574"/>
        <v>A</v>
      </c>
      <c r="CD406" s="119" t="str">
        <f t="shared" si="531"/>
        <v/>
      </c>
      <c r="CE406" s="66">
        <f>+IF($W406="","",ROUND((VLOOKUP(ROUNDDOWN($D406-1/frec,0),cob_adi,BO$40,FALSE)*(1+i/frec)^-0.5*(1+Parámetros!$D$103)*(1+rec_fracc)/frec*'TABLAS ADI'!$BC$17),2))</f>
        <v>0</v>
      </c>
      <c r="CF406" s="119" t="str">
        <f t="shared" si="532"/>
        <v/>
      </c>
      <c r="CG406" s="66">
        <f>+IF($W406="","",ROUND(IF($B406&gt;Parámetros!$D$107,'Tablas Servicio'!CE406+('Tablas Servicio'!CG405-'Tablas Servicio'!CE405),CE406/(1-IF(B406&lt;=10,Parámetros!$D$100,0))),2))</f>
        <v>0</v>
      </c>
      <c r="CH406" s="66">
        <f t="shared" si="533"/>
        <v>0</v>
      </c>
      <c r="CI406" s="66">
        <f t="shared" si="533"/>
        <v>0</v>
      </c>
      <c r="CJ406" s="66">
        <f>+IF($W406="","",ROUND((CG406*Parámetros!$G$85),2))</f>
        <v>0</v>
      </c>
      <c r="CK406" s="66">
        <f>+IF($W406="","",ROUND((CG406*(Parámetros!$G$86)),2))</f>
        <v>0</v>
      </c>
      <c r="CL406" s="66">
        <f t="shared" si="534"/>
        <v>0</v>
      </c>
      <c r="CM406" t="str">
        <f t="shared" si="575"/>
        <v>00063</v>
      </c>
      <c r="CN406" s="118" t="str">
        <f t="shared" si="576"/>
        <v>Renta Diaria por Hospitalización</v>
      </c>
      <c r="CO406" s="118">
        <f t="shared" si="577"/>
        <v>0</v>
      </c>
      <c r="CP406" s="118" t="str">
        <f t="shared" si="578"/>
        <v>A</v>
      </c>
      <c r="CQ406" s="119" t="str">
        <f t="shared" si="535"/>
        <v/>
      </c>
      <c r="CR406" s="66">
        <f>+IF($W406="","",ROUND((VLOOKUP(Parámetros!$F$51,'COBERTURAS ADICIONALES'!$S$4:$T$32,2,FALSE)*(1+i/frec)^-0.5*(1+Parámetros!$D$103)*(1+rec_fracc)/frec*$CO$42),2))</f>
        <v>0</v>
      </c>
      <c r="CS406" s="119" t="str">
        <f t="shared" si="536"/>
        <v/>
      </c>
      <c r="CT406" s="66">
        <f>+IF($W406="","",ROUND(IF($B406&gt;Parámetros!$D$107,'Tablas Servicio'!CR406+('Tablas Servicio'!CT405-'Tablas Servicio'!CR405),CR406/(1-IF(B406&lt;=10,Parámetros!$D$100,0))),2))</f>
        <v>0</v>
      </c>
      <c r="CU406" s="66">
        <f t="shared" si="537"/>
        <v>0</v>
      </c>
      <c r="CV406" s="66">
        <f t="shared" si="537"/>
        <v>0</v>
      </c>
      <c r="CW406" s="66">
        <f>+IF($W406="","",ROUND((CT406*Parámetros!$G$85),2))</f>
        <v>0</v>
      </c>
      <c r="CX406" s="66">
        <f>+IF($W406="","",ROUND((CT406*(Parámetros!$G$86)),2))</f>
        <v>0</v>
      </c>
      <c r="CY406" s="66">
        <f t="shared" si="538"/>
        <v>0</v>
      </c>
      <c r="CZ406" t="str">
        <f t="shared" si="579"/>
        <v>00064</v>
      </c>
      <c r="DA406" s="118" t="str">
        <f t="shared" si="580"/>
        <v>Enfermedades Graves</v>
      </c>
      <c r="DB406" s="118">
        <f t="shared" si="581"/>
        <v>0</v>
      </c>
      <c r="DC406" s="118" t="str">
        <f t="shared" si="582"/>
        <v>A</v>
      </c>
      <c r="DD406" s="121" t="str">
        <f>+IF(OR($W406="",DB406=0),"",ROUND((VLOOKUP(ROUNDDOWN($D406-1/frec,0),cob_adi,CO$40,FALSE)*(1+i/frec)^-0.5*(1+Parámetros!$D$103)*(1+rec_fracc)/frec),6))</f>
        <v/>
      </c>
      <c r="DE406" s="66">
        <f t="shared" si="539"/>
        <v>0</v>
      </c>
      <c r="DF406" s="119" t="str">
        <f t="shared" si="540"/>
        <v/>
      </c>
      <c r="DG406" s="66">
        <f>+IF($W406="","",ROUND(IF($B406&gt;Parámetros!$D$107,'Tablas Servicio'!DE406+('Tablas Servicio'!DG405-'Tablas Servicio'!DE405),DE406/(1-IF(B406&lt;=10,Parámetros!$D$100,0))),2))</f>
        <v>0</v>
      </c>
      <c r="DH406" s="66">
        <f t="shared" si="541"/>
        <v>0</v>
      </c>
      <c r="DI406" s="66">
        <f t="shared" si="541"/>
        <v>0</v>
      </c>
      <c r="DJ406" s="66">
        <f>+IF($W406="","",ROUND((DG406*Parámetros!$G$85),2))</f>
        <v>0</v>
      </c>
      <c r="DK406" s="66">
        <f>+IF($W406="","",ROUND((DG406*(Parámetros!$G$86)),2))</f>
        <v>0</v>
      </c>
      <c r="DL406" s="66">
        <f t="shared" si="542"/>
        <v>0</v>
      </c>
      <c r="DM406" t="str">
        <f t="shared" si="583"/>
        <v>00065</v>
      </c>
      <c r="DN406" s="118" t="str">
        <f t="shared" si="584"/>
        <v>Exención pago de primas</v>
      </c>
      <c r="DO406" s="118">
        <f t="shared" si="585"/>
        <v>0</v>
      </c>
      <c r="DP406" s="118" t="str">
        <f t="shared" si="586"/>
        <v>A</v>
      </c>
      <c r="DQ406" s="122" t="str">
        <f>+IF(OR($W406="",DO406=0),"",ROUND((VLOOKUP(ROUNDDOWN($D406-1/frec,0),cob_adi,DB$40,FALSE)*(1+i/frec)^-0.5*(1+Parámetros!$D$103)*(1+rec_fracc)/frec),6))</f>
        <v/>
      </c>
      <c r="DR406" s="66">
        <f t="shared" si="543"/>
        <v>0</v>
      </c>
      <c r="DS406" s="68" t="str">
        <f t="shared" si="544"/>
        <v/>
      </c>
      <c r="DT406" s="66">
        <f>+IF($W406="","",ROUND(IF($B406&gt;Parámetros!$D$107,'Tablas Servicio'!DR406+('Tablas Servicio'!DT405-'Tablas Servicio'!DR405),DR406/(1-IF(B406&lt;=10,Parámetros!$D$100,0))),2))</f>
        <v>0</v>
      </c>
      <c r="DU406" s="66">
        <f t="shared" si="545"/>
        <v>0</v>
      </c>
      <c r="DV406" s="66">
        <f t="shared" si="545"/>
        <v>0</v>
      </c>
      <c r="DW406" s="66">
        <f>+IF($W406="","",ROUND((DT406*Parámetros!$G$85),2))</f>
        <v>0</v>
      </c>
      <c r="DX406" s="66">
        <f>+IF($W406="","",ROUND((DT406*(Parámetros!$G$86)),2))</f>
        <v>0</v>
      </c>
      <c r="DY406" s="66">
        <f t="shared" si="546"/>
        <v>0</v>
      </c>
      <c r="DZ406" t="str">
        <f t="shared" si="588"/>
        <v>00066</v>
      </c>
      <c r="EA406" s="118" t="str">
        <f t="shared" si="588"/>
        <v>Enfermedad terminal</v>
      </c>
      <c r="EB406" s="118">
        <f>+IF($W406="","",ROUND(IF(Parámetros!$D$25='TABLAS MORT'!$V$33,EB405,Z406/2),0))</f>
        <v>50000</v>
      </c>
      <c r="EC406" s="118" t="str">
        <f t="shared" si="588"/>
        <v>A</v>
      </c>
      <c r="ED406" s="122">
        <f>+IF(OR($W406="",EB406=0),"",ROUND((VLOOKUP(ROUNDDOWN($D406-1/frec,0),cob_adi,DO$40,FALSE)*(1+i/frec)^-0.5*(1+Parámetros!$D$103)*(1+rec_fracc)/frec),6))</f>
        <v>6.4999999999999994E-5</v>
      </c>
      <c r="EE406" s="66">
        <f t="shared" si="548"/>
        <v>3.25</v>
      </c>
      <c r="EF406" s="68">
        <f t="shared" si="549"/>
        <v>6.4999999999999994E-5</v>
      </c>
      <c r="EG406" s="66">
        <f>+IF($W406="","",ROUND(IF($B406&gt;Parámetros!$D$107,'Tablas Servicio'!EE406+('Tablas Servicio'!EG405-'Tablas Servicio'!EE405),EE406/(1-IF(B406&lt;=10,Parámetros!$D$100,0))),2))</f>
        <v>3.25</v>
      </c>
      <c r="EH406" s="66">
        <f t="shared" si="550"/>
        <v>0</v>
      </c>
      <c r="EI406" s="66">
        <f t="shared" si="550"/>
        <v>0</v>
      </c>
      <c r="EJ406" s="66">
        <f>+IF($W406="","",ROUND((EG406*Parámetros!$G$85),2))</f>
        <v>0.11</v>
      </c>
      <c r="EK406" s="66">
        <f>+IF($W406="","",ROUND((EG406*(Parámetros!$G$86)),2))</f>
        <v>0.02</v>
      </c>
      <c r="EL406" s="66">
        <f t="shared" si="551"/>
        <v>3.38</v>
      </c>
    </row>
    <row r="407" spans="1:142" x14ac:dyDescent="0.25">
      <c r="A407">
        <f>+IF($C407="","",ROUND(VLOOKUP('Tablas Servicio'!B407,Parámetros!$H$100:$J$159,IF(Parámetros!$E$16="F",2,3),FALSE),2))</f>
        <v>150</v>
      </c>
      <c r="B407">
        <f t="shared" si="502"/>
        <v>31</v>
      </c>
      <c r="C407" s="57">
        <f>+IF(D407="","",'Tablas Servicio'!C406+1)</f>
        <v>366</v>
      </c>
      <c r="D407" s="56">
        <f>+IF(D406&lt;edadmaxtabla,D406+1/Parámetros!$E$25,"")</f>
        <v>70.520000000000309</v>
      </c>
      <c r="E407" s="57">
        <f t="shared" si="512"/>
        <v>70</v>
      </c>
      <c r="F407" s="59">
        <f t="shared" si="513"/>
        <v>100000</v>
      </c>
      <c r="G407" s="66">
        <f t="shared" si="503"/>
        <v>128.25</v>
      </c>
      <c r="H407" s="66">
        <f t="shared" si="504"/>
        <v>133.38999999999999</v>
      </c>
      <c r="I407" s="66">
        <f t="shared" si="552"/>
        <v>-39.389999999999986</v>
      </c>
      <c r="J407" s="66">
        <f t="shared" si="505"/>
        <v>4.49</v>
      </c>
      <c r="K407" s="66">
        <f t="shared" si="506"/>
        <v>0.65</v>
      </c>
      <c r="L407" s="66">
        <f t="shared" si="507"/>
        <v>0</v>
      </c>
      <c r="M407" s="66">
        <f t="shared" si="508"/>
        <v>0</v>
      </c>
      <c r="N407" s="66">
        <f>+IF(C407="","",ROUND(Parámetros!$D$23,2))</f>
        <v>94</v>
      </c>
      <c r="O407" s="66">
        <f t="shared" si="509"/>
        <v>115.75</v>
      </c>
      <c r="P407" s="66">
        <f>+IF($C407="","",ROUND(IF(B407&gt;Parámetros!$D$117,0,N407*Parámetros!$D$116-G407*Parámetros!$D$100),2))</f>
        <v>0</v>
      </c>
      <c r="Q407" s="75">
        <f t="shared" si="553"/>
        <v>3.5009746588693956E-2</v>
      </c>
      <c r="R407" s="75">
        <f t="shared" si="554"/>
        <v>5.0682261208577E-3</v>
      </c>
      <c r="S407" s="117">
        <f>+IF($C407="","",ROUND((S406+I407)*(1+Parámetros!$D$91),2))</f>
        <v>26232.31</v>
      </c>
      <c r="T407" s="117">
        <f>+IF($C407="","",ROUND(S407*VLOOKUP(B407,Parámetros!$C$30:$D$39,2,TRUE),2))</f>
        <v>26232.31</v>
      </c>
      <c r="U407" s="117">
        <f>+IF($C407="","",ROUND((U406+I407)*(1+Parámetros!$D$92),2))</f>
        <v>29216</v>
      </c>
      <c r="V407" s="117">
        <f>+IF($C407="","",ROUND(U407*VLOOKUP(B407,Parámetros!$C$30:$D$39,2,TRUE),2))</f>
        <v>29216</v>
      </c>
      <c r="W407" s="57">
        <f t="shared" si="555"/>
        <v>366</v>
      </c>
      <c r="X407" t="str">
        <f t="shared" si="556"/>
        <v>00058</v>
      </c>
      <c r="Y407" t="str">
        <f t="shared" si="557"/>
        <v>MUERTE POR CUALQUIER CAUSA</v>
      </c>
      <c r="Z407" s="118">
        <f>+IF($W407="","",ROUND(IF(Parámetros!$D$25='TABLAS MORT'!$V$33,Z406,Parámetros!$D$21-'Tablas Servicio'!T406),0))</f>
        <v>100000</v>
      </c>
      <c r="AA407" s="118" t="str">
        <f t="shared" si="558"/>
        <v>P</v>
      </c>
      <c r="AB407" s="119">
        <f>+IF(W407="","",ROUND((VLOOKUP(ROUNDDOWN($D407-1/frec,0),qx_tabla,2,FALSE)*(1+i/frec)^-0.5*(1+Parámetros!$D$103)*(1+rec_fracc)/frec),6))</f>
        <v>1.1249999999999999E-3</v>
      </c>
      <c r="AC407" s="66">
        <f t="shared" si="514"/>
        <v>112.5</v>
      </c>
      <c r="AD407" s="119">
        <f t="shared" si="510"/>
        <v>1.25E-3</v>
      </c>
      <c r="AE407" s="66">
        <f>+IF($W407="","",ROUND(IF($B407&gt;Parámetros!$D$107,'Tablas Servicio'!AC407+('Tablas Servicio'!AG406-'Tablas Servicio'!AC406),AC407/(1-IF(B407&lt;=10,Parámetros!$D$104,Parámetros!$D$105))),2))</f>
        <v>187.5</v>
      </c>
      <c r="AF407" s="66">
        <f>+IF($W407="","",ROUND(IF($B407&gt;Parámetros!$D$107,'Tablas Servicio'!AC407+('Tablas Servicio'!AG406-'Tablas Servicio'!AC406),(AC407+$A406/frec)/(1-IF(B407&lt;=Parámetros!$D$117,Parámetros!$D$100,0))),2))</f>
        <v>125</v>
      </c>
      <c r="AG407" s="66">
        <f t="shared" si="515"/>
        <v>125</v>
      </c>
      <c r="AH407" s="66">
        <f t="shared" si="516"/>
        <v>0</v>
      </c>
      <c r="AI407" s="66">
        <f t="shared" si="517"/>
        <v>0</v>
      </c>
      <c r="AJ407" s="66">
        <f>+IF($W407="","",ROUND((AG407*Parámetros!$G$85),2))</f>
        <v>4.38</v>
      </c>
      <c r="AK407" s="66">
        <f>+IF($W407="","",ROUND((AG407*(Parámetros!$G$86)),2))</f>
        <v>0.63</v>
      </c>
      <c r="AL407" s="66">
        <f t="shared" si="511"/>
        <v>130.01</v>
      </c>
      <c r="AM407" t="str">
        <f t="shared" si="559"/>
        <v>00059</v>
      </c>
      <c r="AN407" t="str">
        <f t="shared" si="560"/>
        <v>Incapacidad Total y Permanente</v>
      </c>
      <c r="AO407" s="118">
        <f t="shared" si="561"/>
        <v>0</v>
      </c>
      <c r="AP407" s="118" t="str">
        <f t="shared" si="562"/>
        <v>A</v>
      </c>
      <c r="AQ407" s="119" t="str">
        <f>+IF(OR($W407="",AO407=0),"",ROUND((VLOOKUP(ROUNDDOWN($D407-1/frec,0),cob_adi,Z$40,FALSE)*(1+i/frec)^-0.5*(1+Parámetros!$D$103)*(1+rec_fracc)/frec),6))</f>
        <v/>
      </c>
      <c r="AR407" s="66">
        <f t="shared" si="518"/>
        <v>0</v>
      </c>
      <c r="AS407" s="119" t="str">
        <f t="shared" si="519"/>
        <v/>
      </c>
      <c r="AT407" s="66">
        <f>+IF($W407="","",ROUND(IF($B407&gt;Parámetros!$D$107,'Tablas Servicio'!AR407+('Tablas Servicio'!AT406-'Tablas Servicio'!AR406),AR407/(1-IF(B407&lt;=10,Parámetros!$D$100,0))),2))</f>
        <v>0</v>
      </c>
      <c r="AU407" s="66">
        <f t="shared" si="520"/>
        <v>0</v>
      </c>
      <c r="AV407" s="66">
        <f t="shared" si="520"/>
        <v>0</v>
      </c>
      <c r="AW407" s="66">
        <f>+IF($W407="","",ROUND((AT407*Parámetros!$G$85),2))</f>
        <v>0</v>
      </c>
      <c r="AX407" s="66">
        <f>+IF($W407="","",ROUND((AT407*(Parámetros!$G$86)),2))</f>
        <v>0</v>
      </c>
      <c r="AY407" s="66">
        <f t="shared" si="521"/>
        <v>0</v>
      </c>
      <c r="AZ407" t="str">
        <f t="shared" si="563"/>
        <v>00060</v>
      </c>
      <c r="BA407" t="str">
        <f t="shared" si="564"/>
        <v>Muerte Accidental</v>
      </c>
      <c r="BB407" s="118">
        <f t="shared" si="565"/>
        <v>0</v>
      </c>
      <c r="BC407" s="118" t="str">
        <f t="shared" si="566"/>
        <v>A</v>
      </c>
      <c r="BD407" s="119" t="str">
        <f>+IF(OR($W407="",BB407=0),"",ROUND((VLOOKUP(ROUNDDOWN($D407-1/frec,0),cob_adi,AO$40,FALSE)*(1+i/frec)^-0.5*(1+Parámetros!$D$103)*(1+rec_fracc)/frec),6))</f>
        <v/>
      </c>
      <c r="BE407" s="66">
        <f t="shared" si="522"/>
        <v>0</v>
      </c>
      <c r="BF407" s="119" t="str">
        <f t="shared" si="523"/>
        <v/>
      </c>
      <c r="BG407" s="66">
        <f>+IF($W407="","",ROUND(IF($B407&gt;Parámetros!$D$107,'Tablas Servicio'!BE407+('Tablas Servicio'!BG406-'Tablas Servicio'!BE406),BE407/(1-IF(B407&lt;=10,Parámetros!$D$100,0))),2))</f>
        <v>0</v>
      </c>
      <c r="BH407" s="66">
        <f t="shared" si="524"/>
        <v>0</v>
      </c>
      <c r="BI407" s="66">
        <f t="shared" si="525"/>
        <v>0</v>
      </c>
      <c r="BJ407" s="66">
        <f>+IF($W407="","",ROUND((BG407*Parámetros!$G$85),2))</f>
        <v>0</v>
      </c>
      <c r="BK407" s="66">
        <f>+IF($W407="","",ROUND((BG407*(Parámetros!$G$86)),2))</f>
        <v>0</v>
      </c>
      <c r="BL407" s="66">
        <f t="shared" si="526"/>
        <v>0</v>
      </c>
      <c r="BM407" t="str">
        <f t="shared" si="567"/>
        <v>00061</v>
      </c>
      <c r="BN407" t="str">
        <f t="shared" si="568"/>
        <v>Gastos de Entierro</v>
      </c>
      <c r="BO407" s="118">
        <f t="shared" si="569"/>
        <v>0</v>
      </c>
      <c r="BP407" s="118" t="str">
        <f t="shared" si="570"/>
        <v>A</v>
      </c>
      <c r="BQ407" s="119" t="str">
        <f>+IF(OR($W407="",BO407=0),"",ROUND((VLOOKUP(ROUNDDOWN($D407-1/frec,0),cob_adi,BB$40,FALSE)*(1+i/frec)^-0.5*(1+Parámetros!$D$103)*(1+rec_fracc)/frec),6))</f>
        <v/>
      </c>
      <c r="BR407" s="66">
        <f t="shared" si="527"/>
        <v>0</v>
      </c>
      <c r="BS407" s="119" t="str">
        <f t="shared" si="528"/>
        <v/>
      </c>
      <c r="BT407" s="66">
        <f>+IF($W407="","",ROUND(IF($B407&gt;Parámetros!$D$107,'Tablas Servicio'!BR407+('Tablas Servicio'!BT406-'Tablas Servicio'!BR406),BR407/(1-IF(B407&lt;=10,Parámetros!$D$100,0))),2))</f>
        <v>0</v>
      </c>
      <c r="BU407" s="66">
        <f t="shared" si="529"/>
        <v>0</v>
      </c>
      <c r="BV407" s="66">
        <f t="shared" si="529"/>
        <v>0</v>
      </c>
      <c r="BW407" s="66">
        <f>+IF($W407="","",ROUND((BT407*Parámetros!$G$85),2))</f>
        <v>0</v>
      </c>
      <c r="BX407" s="66">
        <f>+IF($W407="","",ROUND((BT407*(Parámetros!$G$86)),2))</f>
        <v>0</v>
      </c>
      <c r="BY407" s="66">
        <f t="shared" si="530"/>
        <v>0</v>
      </c>
      <c r="BZ407" t="str">
        <f t="shared" si="571"/>
        <v>00062</v>
      </c>
      <c r="CA407" t="str">
        <f t="shared" si="572"/>
        <v>Gastos médicos por accidente</v>
      </c>
      <c r="CB407" s="118">
        <f t="shared" si="573"/>
        <v>0</v>
      </c>
      <c r="CC407" s="118" t="str">
        <f t="shared" si="574"/>
        <v>A</v>
      </c>
      <c r="CD407" s="119" t="str">
        <f t="shared" si="531"/>
        <v/>
      </c>
      <c r="CE407" s="66">
        <f>+IF($W407="","",ROUND((VLOOKUP(ROUNDDOWN($D407-1/frec,0),cob_adi,BO$40,FALSE)*(1+i/frec)^-0.5*(1+Parámetros!$D$103)*(1+rec_fracc)/frec*'TABLAS ADI'!$BC$17),2))</f>
        <v>0</v>
      </c>
      <c r="CF407" s="119" t="str">
        <f t="shared" si="532"/>
        <v/>
      </c>
      <c r="CG407" s="66">
        <f>+IF($W407="","",ROUND(IF($B407&gt;Parámetros!$D$107,'Tablas Servicio'!CE407+('Tablas Servicio'!CG406-'Tablas Servicio'!CE406),CE407/(1-IF(B407&lt;=10,Parámetros!$D$100,0))),2))</f>
        <v>0</v>
      </c>
      <c r="CH407" s="66">
        <f t="shared" si="533"/>
        <v>0</v>
      </c>
      <c r="CI407" s="66">
        <f t="shared" si="533"/>
        <v>0</v>
      </c>
      <c r="CJ407" s="66">
        <f>+IF($W407="","",ROUND((CG407*Parámetros!$G$85),2))</f>
        <v>0</v>
      </c>
      <c r="CK407" s="66">
        <f>+IF($W407="","",ROUND((CG407*(Parámetros!$G$86)),2))</f>
        <v>0</v>
      </c>
      <c r="CL407" s="66">
        <f t="shared" si="534"/>
        <v>0</v>
      </c>
      <c r="CM407" t="str">
        <f t="shared" si="575"/>
        <v>00063</v>
      </c>
      <c r="CN407" s="118" t="str">
        <f t="shared" si="576"/>
        <v>Renta Diaria por Hospitalización</v>
      </c>
      <c r="CO407" s="118">
        <f t="shared" si="577"/>
        <v>0</v>
      </c>
      <c r="CP407" s="118" t="str">
        <f t="shared" si="578"/>
        <v>A</v>
      </c>
      <c r="CQ407" s="119" t="str">
        <f t="shared" si="535"/>
        <v/>
      </c>
      <c r="CR407" s="66">
        <f>+IF($W407="","",ROUND((VLOOKUP(Parámetros!$F$51,'COBERTURAS ADICIONALES'!$S$4:$T$32,2,FALSE)*(1+i/frec)^-0.5*(1+Parámetros!$D$103)*(1+rec_fracc)/frec*$CO$42),2))</f>
        <v>0</v>
      </c>
      <c r="CS407" s="119" t="str">
        <f t="shared" si="536"/>
        <v/>
      </c>
      <c r="CT407" s="66">
        <f>+IF($W407="","",ROUND(IF($B407&gt;Parámetros!$D$107,'Tablas Servicio'!CR407+('Tablas Servicio'!CT406-'Tablas Servicio'!CR406),CR407/(1-IF(B407&lt;=10,Parámetros!$D$100,0))),2))</f>
        <v>0</v>
      </c>
      <c r="CU407" s="66">
        <f t="shared" si="537"/>
        <v>0</v>
      </c>
      <c r="CV407" s="66">
        <f t="shared" si="537"/>
        <v>0</v>
      </c>
      <c r="CW407" s="66">
        <f>+IF($W407="","",ROUND((CT407*Parámetros!$G$85),2))</f>
        <v>0</v>
      </c>
      <c r="CX407" s="66">
        <f>+IF($W407="","",ROUND((CT407*(Parámetros!$G$86)),2))</f>
        <v>0</v>
      </c>
      <c r="CY407" s="66">
        <f t="shared" si="538"/>
        <v>0</v>
      </c>
      <c r="CZ407" t="str">
        <f t="shared" si="579"/>
        <v>00064</v>
      </c>
      <c r="DA407" s="118" t="str">
        <f t="shared" si="580"/>
        <v>Enfermedades Graves</v>
      </c>
      <c r="DB407" s="118">
        <f t="shared" si="581"/>
        <v>0</v>
      </c>
      <c r="DC407" s="118" t="str">
        <f t="shared" si="582"/>
        <v>A</v>
      </c>
      <c r="DD407" s="121" t="str">
        <f>+IF(OR($W407="",DB407=0),"",ROUND((VLOOKUP(ROUNDDOWN($D407-1/frec,0),cob_adi,CO$40,FALSE)*(1+i/frec)^-0.5*(1+Parámetros!$D$103)*(1+rec_fracc)/frec),6))</f>
        <v/>
      </c>
      <c r="DE407" s="66">
        <f t="shared" si="539"/>
        <v>0</v>
      </c>
      <c r="DF407" s="119" t="str">
        <f t="shared" si="540"/>
        <v/>
      </c>
      <c r="DG407" s="66">
        <f>+IF($W407="","",ROUND(IF($B407&gt;Parámetros!$D$107,'Tablas Servicio'!DE407+('Tablas Servicio'!DG406-'Tablas Servicio'!DE406),DE407/(1-IF(B407&lt;=10,Parámetros!$D$100,0))),2))</f>
        <v>0</v>
      </c>
      <c r="DH407" s="66">
        <f t="shared" si="541"/>
        <v>0</v>
      </c>
      <c r="DI407" s="66">
        <f t="shared" si="541"/>
        <v>0</v>
      </c>
      <c r="DJ407" s="66">
        <f>+IF($W407="","",ROUND((DG407*Parámetros!$G$85),2))</f>
        <v>0</v>
      </c>
      <c r="DK407" s="66">
        <f>+IF($W407="","",ROUND((DG407*(Parámetros!$G$86)),2))</f>
        <v>0</v>
      </c>
      <c r="DL407" s="66">
        <f t="shared" si="542"/>
        <v>0</v>
      </c>
      <c r="DM407" t="str">
        <f t="shared" si="583"/>
        <v>00065</v>
      </c>
      <c r="DN407" s="118" t="str">
        <f t="shared" si="584"/>
        <v>Exención pago de primas</v>
      </c>
      <c r="DO407" s="118">
        <f t="shared" si="585"/>
        <v>0</v>
      </c>
      <c r="DP407" s="118" t="str">
        <f t="shared" si="586"/>
        <v>A</v>
      </c>
      <c r="DQ407" s="122" t="str">
        <f>+IF(OR($W407="",DO407=0),"",ROUND((VLOOKUP(ROUNDDOWN($D407-1/frec,0),cob_adi,DB$40,FALSE)*(1+i/frec)^-0.5*(1+Parámetros!$D$103)*(1+rec_fracc)/frec),6))</f>
        <v/>
      </c>
      <c r="DR407" s="66">
        <f t="shared" si="543"/>
        <v>0</v>
      </c>
      <c r="DS407" s="68" t="str">
        <f t="shared" si="544"/>
        <v/>
      </c>
      <c r="DT407" s="66">
        <f>+IF($W407="","",ROUND(IF($B407&gt;Parámetros!$D$107,'Tablas Servicio'!DR407+('Tablas Servicio'!DT406-'Tablas Servicio'!DR406),DR407/(1-IF(B407&lt;=10,Parámetros!$D$100,0))),2))</f>
        <v>0</v>
      </c>
      <c r="DU407" s="66">
        <f t="shared" si="545"/>
        <v>0</v>
      </c>
      <c r="DV407" s="66">
        <f t="shared" si="545"/>
        <v>0</v>
      </c>
      <c r="DW407" s="66">
        <f>+IF($W407="","",ROUND((DT407*Parámetros!$G$85),2))</f>
        <v>0</v>
      </c>
      <c r="DX407" s="66">
        <f>+IF($W407="","",ROUND((DT407*(Parámetros!$G$86)),2))</f>
        <v>0</v>
      </c>
      <c r="DY407" s="66">
        <f t="shared" si="546"/>
        <v>0</v>
      </c>
      <c r="DZ407" t="str">
        <f t="shared" si="588"/>
        <v>00066</v>
      </c>
      <c r="EA407" s="118" t="str">
        <f t="shared" si="588"/>
        <v>Enfermedad terminal</v>
      </c>
      <c r="EB407" s="118">
        <f>+IF($W407="","",ROUND(IF(Parámetros!$D$25='TABLAS MORT'!$V$33,EB406,Z407/2),0))</f>
        <v>50000</v>
      </c>
      <c r="EC407" s="118" t="str">
        <f t="shared" si="588"/>
        <v>A</v>
      </c>
      <c r="ED407" s="122">
        <f>+IF(OR($W407="",EB407=0),"",ROUND((VLOOKUP(ROUNDDOWN($D407-1/frec,0),cob_adi,DO$40,FALSE)*(1+i/frec)^-0.5*(1+Parámetros!$D$103)*(1+rec_fracc)/frec),6))</f>
        <v>6.4999999999999994E-5</v>
      </c>
      <c r="EE407" s="66">
        <f t="shared" si="548"/>
        <v>3.25</v>
      </c>
      <c r="EF407" s="68">
        <f t="shared" si="549"/>
        <v>6.4999999999999994E-5</v>
      </c>
      <c r="EG407" s="66">
        <f>+IF($W407="","",ROUND(IF($B407&gt;Parámetros!$D$107,'Tablas Servicio'!EE407+('Tablas Servicio'!EG406-'Tablas Servicio'!EE406),EE407/(1-IF(B407&lt;=10,Parámetros!$D$100,0))),2))</f>
        <v>3.25</v>
      </c>
      <c r="EH407" s="66">
        <f t="shared" si="550"/>
        <v>0</v>
      </c>
      <c r="EI407" s="66">
        <f t="shared" si="550"/>
        <v>0</v>
      </c>
      <c r="EJ407" s="66">
        <f>+IF($W407="","",ROUND((EG407*Parámetros!$G$85),2))</f>
        <v>0.11</v>
      </c>
      <c r="EK407" s="66">
        <f>+IF($W407="","",ROUND((EG407*(Parámetros!$G$86)),2))</f>
        <v>0.02</v>
      </c>
      <c r="EL407" s="66">
        <f t="shared" si="551"/>
        <v>3.38</v>
      </c>
    </row>
    <row r="408" spans="1:142" x14ac:dyDescent="0.25">
      <c r="A408">
        <f>+IF($C408="","",ROUND(VLOOKUP('Tablas Servicio'!B408,Parámetros!$H$100:$J$159,IF(Parámetros!$E$16="F",2,3),FALSE),2))</f>
        <v>150</v>
      </c>
      <c r="B408">
        <f t="shared" si="502"/>
        <v>31</v>
      </c>
      <c r="C408" s="57">
        <f>+IF(D408="","",'Tablas Servicio'!C407+1)</f>
        <v>367</v>
      </c>
      <c r="D408" s="56">
        <f>+IF(D407&lt;edadmaxtabla,D407+1/Parámetros!$E$25,"")</f>
        <v>70.603333333333637</v>
      </c>
      <c r="E408" s="57">
        <f t="shared" si="512"/>
        <v>70</v>
      </c>
      <c r="F408" s="59">
        <f t="shared" si="513"/>
        <v>100000</v>
      </c>
      <c r="G408" s="66">
        <f t="shared" si="503"/>
        <v>128.25</v>
      </c>
      <c r="H408" s="66">
        <f t="shared" si="504"/>
        <v>133.38999999999999</v>
      </c>
      <c r="I408" s="66">
        <f t="shared" si="552"/>
        <v>-39.389999999999986</v>
      </c>
      <c r="J408" s="66">
        <f t="shared" si="505"/>
        <v>4.49</v>
      </c>
      <c r="K408" s="66">
        <f t="shared" si="506"/>
        <v>0.65</v>
      </c>
      <c r="L408" s="66">
        <f t="shared" si="507"/>
        <v>0</v>
      </c>
      <c r="M408" s="66">
        <f t="shared" si="508"/>
        <v>0</v>
      </c>
      <c r="N408" s="66">
        <f>+IF(C408="","",ROUND(Parámetros!$D$23,2))</f>
        <v>94</v>
      </c>
      <c r="O408" s="66">
        <f t="shared" si="509"/>
        <v>115.75</v>
      </c>
      <c r="P408" s="66">
        <f>+IF($C408="","",ROUND(IF(B408&gt;Parámetros!$D$117,0,N408*Parámetros!$D$116-G408*Parámetros!$D$100),2))</f>
        <v>0</v>
      </c>
      <c r="Q408" s="75">
        <f t="shared" si="553"/>
        <v>3.5009746588693956E-2</v>
      </c>
      <c r="R408" s="75">
        <f t="shared" si="554"/>
        <v>5.0682261208577E-3</v>
      </c>
      <c r="S408" s="117">
        <f>+IF($C408="","",ROUND((S407+I408)*(1+Parámetros!$D$91),2))</f>
        <v>26267.22</v>
      </c>
      <c r="T408" s="117">
        <f>+IF($C408="","",ROUND(S408*VLOOKUP(B408,Parámetros!$C$30:$D$39,2,TRUE),2))</f>
        <v>26267.22</v>
      </c>
      <c r="U408" s="117">
        <f>+IF($C408="","",ROUND((U407+I408)*(1+Parámetros!$D$92),2))</f>
        <v>29271.19</v>
      </c>
      <c r="V408" s="117">
        <f>+IF($C408="","",ROUND(U408*VLOOKUP(B408,Parámetros!$C$30:$D$39,2,TRUE),2))</f>
        <v>29271.19</v>
      </c>
      <c r="W408" s="57">
        <f t="shared" si="555"/>
        <v>367</v>
      </c>
      <c r="X408" t="str">
        <f t="shared" si="556"/>
        <v>00058</v>
      </c>
      <c r="Y408" t="str">
        <f t="shared" si="557"/>
        <v>MUERTE POR CUALQUIER CAUSA</v>
      </c>
      <c r="Z408" s="118">
        <f>+IF($W408="","",ROUND(IF(Parámetros!$D$25='TABLAS MORT'!$V$33,Z407,Parámetros!$D$21-'Tablas Servicio'!T407),0))</f>
        <v>100000</v>
      </c>
      <c r="AA408" s="118" t="str">
        <f t="shared" si="558"/>
        <v>P</v>
      </c>
      <c r="AB408" s="119">
        <f>+IF(W408="","",ROUND((VLOOKUP(ROUNDDOWN($D408-1/frec,0),qx_tabla,2,FALSE)*(1+i/frec)^-0.5*(1+Parámetros!$D$103)*(1+rec_fracc)/frec),6))</f>
        <v>1.1249999999999999E-3</v>
      </c>
      <c r="AC408" s="66">
        <f t="shared" si="514"/>
        <v>112.5</v>
      </c>
      <c r="AD408" s="119">
        <f t="shared" si="510"/>
        <v>1.25E-3</v>
      </c>
      <c r="AE408" s="66">
        <f>+IF($W408="","",ROUND(IF($B408&gt;Parámetros!$D$107,'Tablas Servicio'!AC408+('Tablas Servicio'!AG407-'Tablas Servicio'!AC407),AC408/(1-IF(B408&lt;=10,Parámetros!$D$104,Parámetros!$D$105))),2))</f>
        <v>187.5</v>
      </c>
      <c r="AF408" s="66">
        <f>+IF($W408="","",ROUND(IF($B408&gt;Parámetros!$D$107,'Tablas Servicio'!AC408+('Tablas Servicio'!AG407-'Tablas Servicio'!AC407),(AC408+$A407/frec)/(1-IF(B408&lt;=Parámetros!$D$117,Parámetros!$D$100,0))),2))</f>
        <v>125</v>
      </c>
      <c r="AG408" s="66">
        <f t="shared" si="515"/>
        <v>125</v>
      </c>
      <c r="AH408" s="66">
        <f t="shared" si="516"/>
        <v>0</v>
      </c>
      <c r="AI408" s="66">
        <f t="shared" si="517"/>
        <v>0</v>
      </c>
      <c r="AJ408" s="66">
        <f>+IF($W408="","",ROUND((AG408*Parámetros!$G$85),2))</f>
        <v>4.38</v>
      </c>
      <c r="AK408" s="66">
        <f>+IF($W408="","",ROUND((AG408*(Parámetros!$G$86)),2))</f>
        <v>0.63</v>
      </c>
      <c r="AL408" s="66">
        <f t="shared" si="511"/>
        <v>130.01</v>
      </c>
      <c r="AM408" t="str">
        <f t="shared" si="559"/>
        <v>00059</v>
      </c>
      <c r="AN408" t="str">
        <f t="shared" si="560"/>
        <v>Incapacidad Total y Permanente</v>
      </c>
      <c r="AO408" s="118">
        <f t="shared" si="561"/>
        <v>0</v>
      </c>
      <c r="AP408" s="118" t="str">
        <f t="shared" si="562"/>
        <v>A</v>
      </c>
      <c r="AQ408" s="119" t="str">
        <f>+IF(OR($W408="",AO408=0),"",ROUND((VLOOKUP(ROUNDDOWN($D408-1/frec,0),cob_adi,Z$40,FALSE)*(1+i/frec)^-0.5*(1+Parámetros!$D$103)*(1+rec_fracc)/frec),6))</f>
        <v/>
      </c>
      <c r="AR408" s="66">
        <f t="shared" si="518"/>
        <v>0</v>
      </c>
      <c r="AS408" s="119" t="str">
        <f t="shared" si="519"/>
        <v/>
      </c>
      <c r="AT408" s="66">
        <f>+IF($W408="","",ROUND(IF($B408&gt;Parámetros!$D$107,'Tablas Servicio'!AR408+('Tablas Servicio'!AT407-'Tablas Servicio'!AR407),AR408/(1-IF(B408&lt;=10,Parámetros!$D$100,0))),2))</f>
        <v>0</v>
      </c>
      <c r="AU408" s="66">
        <f t="shared" si="520"/>
        <v>0</v>
      </c>
      <c r="AV408" s="66">
        <f t="shared" si="520"/>
        <v>0</v>
      </c>
      <c r="AW408" s="66">
        <f>+IF($W408="","",ROUND((AT408*Parámetros!$G$85),2))</f>
        <v>0</v>
      </c>
      <c r="AX408" s="66">
        <f>+IF($W408="","",ROUND((AT408*(Parámetros!$G$86)),2))</f>
        <v>0</v>
      </c>
      <c r="AY408" s="66">
        <f t="shared" si="521"/>
        <v>0</v>
      </c>
      <c r="AZ408" t="str">
        <f t="shared" si="563"/>
        <v>00060</v>
      </c>
      <c r="BA408" t="str">
        <f t="shared" si="564"/>
        <v>Muerte Accidental</v>
      </c>
      <c r="BB408" s="118">
        <f t="shared" si="565"/>
        <v>0</v>
      </c>
      <c r="BC408" s="118" t="str">
        <f t="shared" si="566"/>
        <v>A</v>
      </c>
      <c r="BD408" s="119" t="str">
        <f>+IF(OR($W408="",BB408=0),"",ROUND((VLOOKUP(ROUNDDOWN($D408-1/frec,0),cob_adi,AO$40,FALSE)*(1+i/frec)^-0.5*(1+Parámetros!$D$103)*(1+rec_fracc)/frec),6))</f>
        <v/>
      </c>
      <c r="BE408" s="66">
        <f t="shared" si="522"/>
        <v>0</v>
      </c>
      <c r="BF408" s="119" t="str">
        <f t="shared" si="523"/>
        <v/>
      </c>
      <c r="BG408" s="66">
        <f>+IF($W408="","",ROUND(IF($B408&gt;Parámetros!$D$107,'Tablas Servicio'!BE408+('Tablas Servicio'!BG407-'Tablas Servicio'!BE407),BE408/(1-IF(B408&lt;=10,Parámetros!$D$100,0))),2))</f>
        <v>0</v>
      </c>
      <c r="BH408" s="66">
        <f t="shared" si="524"/>
        <v>0</v>
      </c>
      <c r="BI408" s="66">
        <f t="shared" si="525"/>
        <v>0</v>
      </c>
      <c r="BJ408" s="66">
        <f>+IF($W408="","",ROUND((BG408*Parámetros!$G$85),2))</f>
        <v>0</v>
      </c>
      <c r="BK408" s="66">
        <f>+IF($W408="","",ROUND((BG408*(Parámetros!$G$86)),2))</f>
        <v>0</v>
      </c>
      <c r="BL408" s="66">
        <f t="shared" si="526"/>
        <v>0</v>
      </c>
      <c r="BM408" t="str">
        <f t="shared" si="567"/>
        <v>00061</v>
      </c>
      <c r="BN408" t="str">
        <f t="shared" si="568"/>
        <v>Gastos de Entierro</v>
      </c>
      <c r="BO408" s="118">
        <f t="shared" si="569"/>
        <v>0</v>
      </c>
      <c r="BP408" s="118" t="str">
        <f t="shared" si="570"/>
        <v>A</v>
      </c>
      <c r="BQ408" s="119" t="str">
        <f>+IF(OR($W408="",BO408=0),"",ROUND((VLOOKUP(ROUNDDOWN($D408-1/frec,0),cob_adi,BB$40,FALSE)*(1+i/frec)^-0.5*(1+Parámetros!$D$103)*(1+rec_fracc)/frec),6))</f>
        <v/>
      </c>
      <c r="BR408" s="66">
        <f t="shared" si="527"/>
        <v>0</v>
      </c>
      <c r="BS408" s="119" t="str">
        <f t="shared" si="528"/>
        <v/>
      </c>
      <c r="BT408" s="66">
        <f>+IF($W408="","",ROUND(IF($B408&gt;Parámetros!$D$107,'Tablas Servicio'!BR408+('Tablas Servicio'!BT407-'Tablas Servicio'!BR407),BR408/(1-IF(B408&lt;=10,Parámetros!$D$100,0))),2))</f>
        <v>0</v>
      </c>
      <c r="BU408" s="66">
        <f t="shared" si="529"/>
        <v>0</v>
      </c>
      <c r="BV408" s="66">
        <f t="shared" si="529"/>
        <v>0</v>
      </c>
      <c r="BW408" s="66">
        <f>+IF($W408="","",ROUND((BT408*Parámetros!$G$85),2))</f>
        <v>0</v>
      </c>
      <c r="BX408" s="66">
        <f>+IF($W408="","",ROUND((BT408*(Parámetros!$G$86)),2))</f>
        <v>0</v>
      </c>
      <c r="BY408" s="66">
        <f t="shared" si="530"/>
        <v>0</v>
      </c>
      <c r="BZ408" t="str">
        <f t="shared" si="571"/>
        <v>00062</v>
      </c>
      <c r="CA408" t="str">
        <f t="shared" si="572"/>
        <v>Gastos médicos por accidente</v>
      </c>
      <c r="CB408" s="118">
        <f t="shared" si="573"/>
        <v>0</v>
      </c>
      <c r="CC408" s="118" t="str">
        <f t="shared" si="574"/>
        <v>A</v>
      </c>
      <c r="CD408" s="119" t="str">
        <f t="shared" si="531"/>
        <v/>
      </c>
      <c r="CE408" s="66">
        <f>+IF($W408="","",ROUND((VLOOKUP(ROUNDDOWN($D408-1/frec,0),cob_adi,BO$40,FALSE)*(1+i/frec)^-0.5*(1+Parámetros!$D$103)*(1+rec_fracc)/frec*'TABLAS ADI'!$BC$17),2))</f>
        <v>0</v>
      </c>
      <c r="CF408" s="119" t="str">
        <f t="shared" si="532"/>
        <v/>
      </c>
      <c r="CG408" s="66">
        <f>+IF($W408="","",ROUND(IF($B408&gt;Parámetros!$D$107,'Tablas Servicio'!CE408+('Tablas Servicio'!CG407-'Tablas Servicio'!CE407),CE408/(1-IF(B408&lt;=10,Parámetros!$D$100,0))),2))</f>
        <v>0</v>
      </c>
      <c r="CH408" s="66">
        <f t="shared" si="533"/>
        <v>0</v>
      </c>
      <c r="CI408" s="66">
        <f t="shared" si="533"/>
        <v>0</v>
      </c>
      <c r="CJ408" s="66">
        <f>+IF($W408="","",ROUND((CG408*Parámetros!$G$85),2))</f>
        <v>0</v>
      </c>
      <c r="CK408" s="66">
        <f>+IF($W408="","",ROUND((CG408*(Parámetros!$G$86)),2))</f>
        <v>0</v>
      </c>
      <c r="CL408" s="66">
        <f t="shared" si="534"/>
        <v>0</v>
      </c>
      <c r="CM408" t="str">
        <f t="shared" si="575"/>
        <v>00063</v>
      </c>
      <c r="CN408" s="118" t="str">
        <f t="shared" si="576"/>
        <v>Renta Diaria por Hospitalización</v>
      </c>
      <c r="CO408" s="118">
        <f t="shared" si="577"/>
        <v>0</v>
      </c>
      <c r="CP408" s="118" t="str">
        <f t="shared" si="578"/>
        <v>A</v>
      </c>
      <c r="CQ408" s="119" t="str">
        <f t="shared" si="535"/>
        <v/>
      </c>
      <c r="CR408" s="66">
        <f>+IF($W408="","",ROUND((VLOOKUP(Parámetros!$F$51,'COBERTURAS ADICIONALES'!$S$4:$T$32,2,FALSE)*(1+i/frec)^-0.5*(1+Parámetros!$D$103)*(1+rec_fracc)/frec*$CO$42),2))</f>
        <v>0</v>
      </c>
      <c r="CS408" s="119" t="str">
        <f t="shared" si="536"/>
        <v/>
      </c>
      <c r="CT408" s="66">
        <f>+IF($W408="","",ROUND(IF($B408&gt;Parámetros!$D$107,'Tablas Servicio'!CR408+('Tablas Servicio'!CT407-'Tablas Servicio'!CR407),CR408/(1-IF(B408&lt;=10,Parámetros!$D$100,0))),2))</f>
        <v>0</v>
      </c>
      <c r="CU408" s="66">
        <f t="shared" si="537"/>
        <v>0</v>
      </c>
      <c r="CV408" s="66">
        <f t="shared" si="537"/>
        <v>0</v>
      </c>
      <c r="CW408" s="66">
        <f>+IF($W408="","",ROUND((CT408*Parámetros!$G$85),2))</f>
        <v>0</v>
      </c>
      <c r="CX408" s="66">
        <f>+IF($W408="","",ROUND((CT408*(Parámetros!$G$86)),2))</f>
        <v>0</v>
      </c>
      <c r="CY408" s="66">
        <f t="shared" si="538"/>
        <v>0</v>
      </c>
      <c r="CZ408" t="str">
        <f t="shared" si="579"/>
        <v>00064</v>
      </c>
      <c r="DA408" s="118" t="str">
        <f t="shared" si="580"/>
        <v>Enfermedades Graves</v>
      </c>
      <c r="DB408" s="118">
        <f t="shared" si="581"/>
        <v>0</v>
      </c>
      <c r="DC408" s="118" t="str">
        <f t="shared" si="582"/>
        <v>A</v>
      </c>
      <c r="DD408" s="121" t="str">
        <f>+IF(OR($W408="",DB408=0),"",ROUND((VLOOKUP(ROUNDDOWN($D408-1/frec,0),cob_adi,CO$40,FALSE)*(1+i/frec)^-0.5*(1+Parámetros!$D$103)*(1+rec_fracc)/frec),6))</f>
        <v/>
      </c>
      <c r="DE408" s="66">
        <f t="shared" si="539"/>
        <v>0</v>
      </c>
      <c r="DF408" s="119" t="str">
        <f t="shared" si="540"/>
        <v/>
      </c>
      <c r="DG408" s="66">
        <f>+IF($W408="","",ROUND(IF($B408&gt;Parámetros!$D$107,'Tablas Servicio'!DE408+('Tablas Servicio'!DG407-'Tablas Servicio'!DE407),DE408/(1-IF(B408&lt;=10,Parámetros!$D$100,0))),2))</f>
        <v>0</v>
      </c>
      <c r="DH408" s="66">
        <f t="shared" si="541"/>
        <v>0</v>
      </c>
      <c r="DI408" s="66">
        <f t="shared" si="541"/>
        <v>0</v>
      </c>
      <c r="DJ408" s="66">
        <f>+IF($W408="","",ROUND((DG408*Parámetros!$G$85),2))</f>
        <v>0</v>
      </c>
      <c r="DK408" s="66">
        <f>+IF($W408="","",ROUND((DG408*(Parámetros!$G$86)),2))</f>
        <v>0</v>
      </c>
      <c r="DL408" s="66">
        <f t="shared" si="542"/>
        <v>0</v>
      </c>
      <c r="DM408" t="str">
        <f t="shared" si="583"/>
        <v>00065</v>
      </c>
      <c r="DN408" s="118" t="str">
        <f t="shared" si="584"/>
        <v>Exención pago de primas</v>
      </c>
      <c r="DO408" s="118">
        <f t="shared" si="585"/>
        <v>0</v>
      </c>
      <c r="DP408" s="118" t="str">
        <f t="shared" si="586"/>
        <v>A</v>
      </c>
      <c r="DQ408" s="122" t="str">
        <f>+IF(OR($W408="",DO408=0),"",ROUND((VLOOKUP(ROUNDDOWN($D408-1/frec,0),cob_adi,DB$40,FALSE)*(1+i/frec)^-0.5*(1+Parámetros!$D$103)*(1+rec_fracc)/frec),6))</f>
        <v/>
      </c>
      <c r="DR408" s="66">
        <f t="shared" si="543"/>
        <v>0</v>
      </c>
      <c r="DS408" s="68" t="str">
        <f t="shared" si="544"/>
        <v/>
      </c>
      <c r="DT408" s="66">
        <f>+IF($W408="","",ROUND(IF($B408&gt;Parámetros!$D$107,'Tablas Servicio'!DR408+('Tablas Servicio'!DT407-'Tablas Servicio'!DR407),DR408/(1-IF(B408&lt;=10,Parámetros!$D$100,0))),2))</f>
        <v>0</v>
      </c>
      <c r="DU408" s="66">
        <f t="shared" si="545"/>
        <v>0</v>
      </c>
      <c r="DV408" s="66">
        <f t="shared" si="545"/>
        <v>0</v>
      </c>
      <c r="DW408" s="66">
        <f>+IF($W408="","",ROUND((DT408*Parámetros!$G$85),2))</f>
        <v>0</v>
      </c>
      <c r="DX408" s="66">
        <f>+IF($W408="","",ROUND((DT408*(Parámetros!$G$86)),2))</f>
        <v>0</v>
      </c>
      <c r="DY408" s="66">
        <f t="shared" si="546"/>
        <v>0</v>
      </c>
      <c r="DZ408" t="str">
        <f t="shared" si="588"/>
        <v>00066</v>
      </c>
      <c r="EA408" s="118" t="str">
        <f t="shared" si="588"/>
        <v>Enfermedad terminal</v>
      </c>
      <c r="EB408" s="118">
        <f>+IF($W408="","",ROUND(IF(Parámetros!$D$25='TABLAS MORT'!$V$33,EB407,Z408/2),0))</f>
        <v>50000</v>
      </c>
      <c r="EC408" s="118" t="str">
        <f t="shared" si="588"/>
        <v>A</v>
      </c>
      <c r="ED408" s="122">
        <f>+IF(OR($W408="",EB408=0),"",ROUND((VLOOKUP(ROUNDDOWN($D408-1/frec,0),cob_adi,DO$40,FALSE)*(1+i/frec)^-0.5*(1+Parámetros!$D$103)*(1+rec_fracc)/frec),6))</f>
        <v>6.4999999999999994E-5</v>
      </c>
      <c r="EE408" s="66">
        <f t="shared" si="548"/>
        <v>3.25</v>
      </c>
      <c r="EF408" s="68">
        <f t="shared" si="549"/>
        <v>6.4999999999999994E-5</v>
      </c>
      <c r="EG408" s="66">
        <f>+IF($W408="","",ROUND(IF($B408&gt;Parámetros!$D$107,'Tablas Servicio'!EE408+('Tablas Servicio'!EG407-'Tablas Servicio'!EE407),EE408/(1-IF(B408&lt;=10,Parámetros!$D$100,0))),2))</f>
        <v>3.25</v>
      </c>
      <c r="EH408" s="66">
        <f t="shared" si="550"/>
        <v>0</v>
      </c>
      <c r="EI408" s="66">
        <f t="shared" si="550"/>
        <v>0</v>
      </c>
      <c r="EJ408" s="66">
        <f>+IF($W408="","",ROUND((EG408*Parámetros!$G$85),2))</f>
        <v>0.11</v>
      </c>
      <c r="EK408" s="66">
        <f>+IF($W408="","",ROUND((EG408*(Parámetros!$G$86)),2))</f>
        <v>0.02</v>
      </c>
      <c r="EL408" s="66">
        <f t="shared" si="551"/>
        <v>3.38</v>
      </c>
    </row>
    <row r="409" spans="1:142" x14ac:dyDescent="0.25">
      <c r="A409">
        <f>+IF($C409="","",ROUND(VLOOKUP('Tablas Servicio'!B409,Parámetros!$H$100:$J$159,IF(Parámetros!$E$16="F",2,3),FALSE),2))</f>
        <v>150</v>
      </c>
      <c r="B409">
        <f t="shared" si="502"/>
        <v>31</v>
      </c>
      <c r="C409" s="57">
        <f>+IF(D409="","",'Tablas Servicio'!C408+1)</f>
        <v>368</v>
      </c>
      <c r="D409" s="56">
        <f>+IF(D408&lt;edadmaxtabla,D408+1/Parámetros!$E$25,"")</f>
        <v>70.686666666666966</v>
      </c>
      <c r="E409" s="57">
        <f t="shared" si="512"/>
        <v>70</v>
      </c>
      <c r="F409" s="59">
        <f t="shared" si="513"/>
        <v>100000</v>
      </c>
      <c r="G409" s="66">
        <f t="shared" si="503"/>
        <v>128.25</v>
      </c>
      <c r="H409" s="66">
        <f t="shared" si="504"/>
        <v>133.38999999999999</v>
      </c>
      <c r="I409" s="66">
        <f t="shared" si="552"/>
        <v>-39.389999999999986</v>
      </c>
      <c r="J409" s="66">
        <f t="shared" si="505"/>
        <v>4.49</v>
      </c>
      <c r="K409" s="66">
        <f t="shared" si="506"/>
        <v>0.65</v>
      </c>
      <c r="L409" s="66">
        <f t="shared" si="507"/>
        <v>0</v>
      </c>
      <c r="M409" s="66">
        <f t="shared" si="508"/>
        <v>0</v>
      </c>
      <c r="N409" s="66">
        <f>+IF(C409="","",ROUND(Parámetros!$D$23,2))</f>
        <v>94</v>
      </c>
      <c r="O409" s="66">
        <f t="shared" si="509"/>
        <v>115.75</v>
      </c>
      <c r="P409" s="66">
        <f>+IF($C409="","",ROUND(IF(B409&gt;Parámetros!$D$117,0,N409*Parámetros!$D$116-G409*Parámetros!$D$100),2))</f>
        <v>0</v>
      </c>
      <c r="Q409" s="75">
        <f t="shared" si="553"/>
        <v>3.5009746588693956E-2</v>
      </c>
      <c r="R409" s="75">
        <f t="shared" si="554"/>
        <v>5.0682261208577E-3</v>
      </c>
      <c r="S409" s="117">
        <f>+IF($C409="","",ROUND((S408+I409)*(1+Parámetros!$D$91),2))</f>
        <v>26302.22</v>
      </c>
      <c r="T409" s="117">
        <f>+IF($C409="","",ROUND(S409*VLOOKUP(B409,Parámetros!$C$30:$D$39,2,TRUE),2))</f>
        <v>26302.22</v>
      </c>
      <c r="U409" s="117">
        <f>+IF($C409="","",ROUND((U408+I409)*(1+Parámetros!$D$92),2))</f>
        <v>29326.560000000001</v>
      </c>
      <c r="V409" s="117">
        <f>+IF($C409="","",ROUND(U409*VLOOKUP(B409,Parámetros!$C$30:$D$39,2,TRUE),2))</f>
        <v>29326.560000000001</v>
      </c>
      <c r="W409" s="57">
        <f t="shared" si="555"/>
        <v>368</v>
      </c>
      <c r="X409" t="str">
        <f t="shared" si="556"/>
        <v>00058</v>
      </c>
      <c r="Y409" t="str">
        <f t="shared" si="557"/>
        <v>MUERTE POR CUALQUIER CAUSA</v>
      </c>
      <c r="Z409" s="118">
        <f>+IF($W409="","",ROUND(IF(Parámetros!$D$25='TABLAS MORT'!$V$33,Z408,Parámetros!$D$21-'Tablas Servicio'!T408),0))</f>
        <v>100000</v>
      </c>
      <c r="AA409" s="118" t="str">
        <f t="shared" si="558"/>
        <v>P</v>
      </c>
      <c r="AB409" s="119">
        <f>+IF(W409="","",ROUND((VLOOKUP(ROUNDDOWN($D409-1/frec,0),qx_tabla,2,FALSE)*(1+i/frec)^-0.5*(1+Parámetros!$D$103)*(1+rec_fracc)/frec),6))</f>
        <v>1.1249999999999999E-3</v>
      </c>
      <c r="AC409" s="66">
        <f t="shared" si="514"/>
        <v>112.5</v>
      </c>
      <c r="AD409" s="119">
        <f t="shared" si="510"/>
        <v>1.25E-3</v>
      </c>
      <c r="AE409" s="66">
        <f>+IF($W409="","",ROUND(IF($B409&gt;Parámetros!$D$107,'Tablas Servicio'!AC409+('Tablas Servicio'!AG408-'Tablas Servicio'!AC408),AC409/(1-IF(B409&lt;=10,Parámetros!$D$104,Parámetros!$D$105))),2))</f>
        <v>187.5</v>
      </c>
      <c r="AF409" s="66">
        <f>+IF($W409="","",ROUND(IF($B409&gt;Parámetros!$D$107,'Tablas Servicio'!AC409+('Tablas Servicio'!AG408-'Tablas Servicio'!AC408),(AC409+$A408/frec)/(1-IF(B409&lt;=Parámetros!$D$117,Parámetros!$D$100,0))),2))</f>
        <v>125</v>
      </c>
      <c r="AG409" s="66">
        <f t="shared" si="515"/>
        <v>125</v>
      </c>
      <c r="AH409" s="66">
        <f t="shared" si="516"/>
        <v>0</v>
      </c>
      <c r="AI409" s="66">
        <f t="shared" si="517"/>
        <v>0</v>
      </c>
      <c r="AJ409" s="66">
        <f>+IF($W409="","",ROUND((AG409*Parámetros!$G$85),2))</f>
        <v>4.38</v>
      </c>
      <c r="AK409" s="66">
        <f>+IF($W409="","",ROUND((AG409*(Parámetros!$G$86)),2))</f>
        <v>0.63</v>
      </c>
      <c r="AL409" s="66">
        <f t="shared" si="511"/>
        <v>130.01</v>
      </c>
      <c r="AM409" t="str">
        <f t="shared" si="559"/>
        <v>00059</v>
      </c>
      <c r="AN409" t="str">
        <f t="shared" si="560"/>
        <v>Incapacidad Total y Permanente</v>
      </c>
      <c r="AO409" s="118">
        <f t="shared" si="561"/>
        <v>0</v>
      </c>
      <c r="AP409" s="118" t="str">
        <f t="shared" si="562"/>
        <v>A</v>
      </c>
      <c r="AQ409" s="119" t="str">
        <f>+IF(OR($W409="",AO409=0),"",ROUND((VLOOKUP(ROUNDDOWN($D409-1/frec,0),cob_adi,Z$40,FALSE)*(1+i/frec)^-0.5*(1+Parámetros!$D$103)*(1+rec_fracc)/frec),6))</f>
        <v/>
      </c>
      <c r="AR409" s="66">
        <f t="shared" si="518"/>
        <v>0</v>
      </c>
      <c r="AS409" s="119" t="str">
        <f t="shared" si="519"/>
        <v/>
      </c>
      <c r="AT409" s="66">
        <f>+IF($W409="","",ROUND(IF($B409&gt;Parámetros!$D$107,'Tablas Servicio'!AR409+('Tablas Servicio'!AT408-'Tablas Servicio'!AR408),AR409/(1-IF(B409&lt;=10,Parámetros!$D$100,0))),2))</f>
        <v>0</v>
      </c>
      <c r="AU409" s="66">
        <f t="shared" si="520"/>
        <v>0</v>
      </c>
      <c r="AV409" s="66">
        <f t="shared" si="520"/>
        <v>0</v>
      </c>
      <c r="AW409" s="66">
        <f>+IF($W409="","",ROUND((AT409*Parámetros!$G$85),2))</f>
        <v>0</v>
      </c>
      <c r="AX409" s="66">
        <f>+IF($W409="","",ROUND((AT409*(Parámetros!$G$86)),2))</f>
        <v>0</v>
      </c>
      <c r="AY409" s="66">
        <f t="shared" si="521"/>
        <v>0</v>
      </c>
      <c r="AZ409" t="str">
        <f t="shared" si="563"/>
        <v>00060</v>
      </c>
      <c r="BA409" t="str">
        <f t="shared" si="564"/>
        <v>Muerte Accidental</v>
      </c>
      <c r="BB409" s="118">
        <f t="shared" si="565"/>
        <v>0</v>
      </c>
      <c r="BC409" s="118" t="str">
        <f t="shared" si="566"/>
        <v>A</v>
      </c>
      <c r="BD409" s="119" t="str">
        <f>+IF(OR($W409="",BB409=0),"",ROUND((VLOOKUP(ROUNDDOWN($D409-1/frec,0),cob_adi,AO$40,FALSE)*(1+i/frec)^-0.5*(1+Parámetros!$D$103)*(1+rec_fracc)/frec),6))</f>
        <v/>
      </c>
      <c r="BE409" s="66">
        <f t="shared" si="522"/>
        <v>0</v>
      </c>
      <c r="BF409" s="119" t="str">
        <f t="shared" si="523"/>
        <v/>
      </c>
      <c r="BG409" s="66">
        <f>+IF($W409="","",ROUND(IF($B409&gt;Parámetros!$D$107,'Tablas Servicio'!BE409+('Tablas Servicio'!BG408-'Tablas Servicio'!BE408),BE409/(1-IF(B409&lt;=10,Parámetros!$D$100,0))),2))</f>
        <v>0</v>
      </c>
      <c r="BH409" s="66">
        <f t="shared" si="524"/>
        <v>0</v>
      </c>
      <c r="BI409" s="66">
        <f t="shared" si="525"/>
        <v>0</v>
      </c>
      <c r="BJ409" s="66">
        <f>+IF($W409="","",ROUND((BG409*Parámetros!$G$85),2))</f>
        <v>0</v>
      </c>
      <c r="BK409" s="66">
        <f>+IF($W409="","",ROUND((BG409*(Parámetros!$G$86)),2))</f>
        <v>0</v>
      </c>
      <c r="BL409" s="66">
        <f t="shared" si="526"/>
        <v>0</v>
      </c>
      <c r="BM409" t="str">
        <f t="shared" si="567"/>
        <v>00061</v>
      </c>
      <c r="BN409" t="str">
        <f t="shared" si="568"/>
        <v>Gastos de Entierro</v>
      </c>
      <c r="BO409" s="118">
        <f t="shared" si="569"/>
        <v>0</v>
      </c>
      <c r="BP409" s="118" t="str">
        <f t="shared" si="570"/>
        <v>A</v>
      </c>
      <c r="BQ409" s="119" t="str">
        <f>+IF(OR($W409="",BO409=0),"",ROUND((VLOOKUP(ROUNDDOWN($D409-1/frec,0),cob_adi,BB$40,FALSE)*(1+i/frec)^-0.5*(1+Parámetros!$D$103)*(1+rec_fracc)/frec),6))</f>
        <v/>
      </c>
      <c r="BR409" s="66">
        <f t="shared" si="527"/>
        <v>0</v>
      </c>
      <c r="BS409" s="119" t="str">
        <f t="shared" si="528"/>
        <v/>
      </c>
      <c r="BT409" s="66">
        <f>+IF($W409="","",ROUND(IF($B409&gt;Parámetros!$D$107,'Tablas Servicio'!BR409+('Tablas Servicio'!BT408-'Tablas Servicio'!BR408),BR409/(1-IF(B409&lt;=10,Parámetros!$D$100,0))),2))</f>
        <v>0</v>
      </c>
      <c r="BU409" s="66">
        <f t="shared" si="529"/>
        <v>0</v>
      </c>
      <c r="BV409" s="66">
        <f t="shared" si="529"/>
        <v>0</v>
      </c>
      <c r="BW409" s="66">
        <f>+IF($W409="","",ROUND((BT409*Parámetros!$G$85),2))</f>
        <v>0</v>
      </c>
      <c r="BX409" s="66">
        <f>+IF($W409="","",ROUND((BT409*(Parámetros!$G$86)),2))</f>
        <v>0</v>
      </c>
      <c r="BY409" s="66">
        <f t="shared" si="530"/>
        <v>0</v>
      </c>
      <c r="BZ409" t="str">
        <f t="shared" si="571"/>
        <v>00062</v>
      </c>
      <c r="CA409" t="str">
        <f t="shared" si="572"/>
        <v>Gastos médicos por accidente</v>
      </c>
      <c r="CB409" s="118">
        <f t="shared" si="573"/>
        <v>0</v>
      </c>
      <c r="CC409" s="118" t="str">
        <f t="shared" si="574"/>
        <v>A</v>
      </c>
      <c r="CD409" s="119" t="str">
        <f t="shared" si="531"/>
        <v/>
      </c>
      <c r="CE409" s="66">
        <f>+IF($W409="","",ROUND((VLOOKUP(ROUNDDOWN($D409-1/frec,0),cob_adi,BO$40,FALSE)*(1+i/frec)^-0.5*(1+Parámetros!$D$103)*(1+rec_fracc)/frec*'TABLAS ADI'!$BC$17),2))</f>
        <v>0</v>
      </c>
      <c r="CF409" s="119" t="str">
        <f t="shared" si="532"/>
        <v/>
      </c>
      <c r="CG409" s="66">
        <f>+IF($W409="","",ROUND(IF($B409&gt;Parámetros!$D$107,'Tablas Servicio'!CE409+('Tablas Servicio'!CG408-'Tablas Servicio'!CE408),CE409/(1-IF(B409&lt;=10,Parámetros!$D$100,0))),2))</f>
        <v>0</v>
      </c>
      <c r="CH409" s="66">
        <f t="shared" si="533"/>
        <v>0</v>
      </c>
      <c r="CI409" s="66">
        <f t="shared" si="533"/>
        <v>0</v>
      </c>
      <c r="CJ409" s="66">
        <f>+IF($W409="","",ROUND((CG409*Parámetros!$G$85),2))</f>
        <v>0</v>
      </c>
      <c r="CK409" s="66">
        <f>+IF($W409="","",ROUND((CG409*(Parámetros!$G$86)),2))</f>
        <v>0</v>
      </c>
      <c r="CL409" s="66">
        <f t="shared" si="534"/>
        <v>0</v>
      </c>
      <c r="CM409" t="str">
        <f t="shared" si="575"/>
        <v>00063</v>
      </c>
      <c r="CN409" s="118" t="str">
        <f t="shared" si="576"/>
        <v>Renta Diaria por Hospitalización</v>
      </c>
      <c r="CO409" s="118">
        <f t="shared" si="577"/>
        <v>0</v>
      </c>
      <c r="CP409" s="118" t="str">
        <f t="shared" si="578"/>
        <v>A</v>
      </c>
      <c r="CQ409" s="119" t="str">
        <f t="shared" si="535"/>
        <v/>
      </c>
      <c r="CR409" s="66">
        <f>+IF($W409="","",ROUND((VLOOKUP(Parámetros!$F$51,'COBERTURAS ADICIONALES'!$S$4:$T$32,2,FALSE)*(1+i/frec)^-0.5*(1+Parámetros!$D$103)*(1+rec_fracc)/frec*$CO$42),2))</f>
        <v>0</v>
      </c>
      <c r="CS409" s="119" t="str">
        <f t="shared" si="536"/>
        <v/>
      </c>
      <c r="CT409" s="66">
        <f>+IF($W409="","",ROUND(IF($B409&gt;Parámetros!$D$107,'Tablas Servicio'!CR409+('Tablas Servicio'!CT408-'Tablas Servicio'!CR408),CR409/(1-IF(B409&lt;=10,Parámetros!$D$100,0))),2))</f>
        <v>0</v>
      </c>
      <c r="CU409" s="66">
        <f t="shared" si="537"/>
        <v>0</v>
      </c>
      <c r="CV409" s="66">
        <f t="shared" si="537"/>
        <v>0</v>
      </c>
      <c r="CW409" s="66">
        <f>+IF($W409="","",ROUND((CT409*Parámetros!$G$85),2))</f>
        <v>0</v>
      </c>
      <c r="CX409" s="66">
        <f>+IF($W409="","",ROUND((CT409*(Parámetros!$G$86)),2))</f>
        <v>0</v>
      </c>
      <c r="CY409" s="66">
        <f t="shared" si="538"/>
        <v>0</v>
      </c>
      <c r="CZ409" t="str">
        <f t="shared" si="579"/>
        <v>00064</v>
      </c>
      <c r="DA409" s="118" t="str">
        <f t="shared" si="580"/>
        <v>Enfermedades Graves</v>
      </c>
      <c r="DB409" s="118">
        <f t="shared" si="581"/>
        <v>0</v>
      </c>
      <c r="DC409" s="118" t="str">
        <f t="shared" si="582"/>
        <v>A</v>
      </c>
      <c r="DD409" s="121" t="str">
        <f>+IF(OR($W409="",DB409=0),"",ROUND((VLOOKUP(ROUNDDOWN($D409-1/frec,0),cob_adi,CO$40,FALSE)*(1+i/frec)^-0.5*(1+Parámetros!$D$103)*(1+rec_fracc)/frec),6))</f>
        <v/>
      </c>
      <c r="DE409" s="66">
        <f t="shared" si="539"/>
        <v>0</v>
      </c>
      <c r="DF409" s="119" t="str">
        <f t="shared" si="540"/>
        <v/>
      </c>
      <c r="DG409" s="66">
        <f>+IF($W409="","",ROUND(IF($B409&gt;Parámetros!$D$107,'Tablas Servicio'!DE409+('Tablas Servicio'!DG408-'Tablas Servicio'!DE408),DE409/(1-IF(B409&lt;=10,Parámetros!$D$100,0))),2))</f>
        <v>0</v>
      </c>
      <c r="DH409" s="66">
        <f t="shared" si="541"/>
        <v>0</v>
      </c>
      <c r="DI409" s="66">
        <f t="shared" si="541"/>
        <v>0</v>
      </c>
      <c r="DJ409" s="66">
        <f>+IF($W409="","",ROUND((DG409*Parámetros!$G$85),2))</f>
        <v>0</v>
      </c>
      <c r="DK409" s="66">
        <f>+IF($W409="","",ROUND((DG409*(Parámetros!$G$86)),2))</f>
        <v>0</v>
      </c>
      <c r="DL409" s="66">
        <f t="shared" si="542"/>
        <v>0</v>
      </c>
      <c r="DM409" t="str">
        <f t="shared" si="583"/>
        <v>00065</v>
      </c>
      <c r="DN409" s="118" t="str">
        <f t="shared" si="584"/>
        <v>Exención pago de primas</v>
      </c>
      <c r="DO409" s="118">
        <f t="shared" si="585"/>
        <v>0</v>
      </c>
      <c r="DP409" s="118" t="str">
        <f t="shared" si="586"/>
        <v>A</v>
      </c>
      <c r="DQ409" s="122" t="str">
        <f>+IF(OR($W409="",DO409=0),"",ROUND((VLOOKUP(ROUNDDOWN($D409-1/frec,0),cob_adi,DB$40,FALSE)*(1+i/frec)^-0.5*(1+Parámetros!$D$103)*(1+rec_fracc)/frec),6))</f>
        <v/>
      </c>
      <c r="DR409" s="66">
        <f t="shared" si="543"/>
        <v>0</v>
      </c>
      <c r="DS409" s="68" t="str">
        <f t="shared" si="544"/>
        <v/>
      </c>
      <c r="DT409" s="66">
        <f>+IF($W409="","",ROUND(IF($B409&gt;Parámetros!$D$107,'Tablas Servicio'!DR409+('Tablas Servicio'!DT408-'Tablas Servicio'!DR408),DR409/(1-IF(B409&lt;=10,Parámetros!$D$100,0))),2))</f>
        <v>0</v>
      </c>
      <c r="DU409" s="66">
        <f t="shared" si="545"/>
        <v>0</v>
      </c>
      <c r="DV409" s="66">
        <f t="shared" si="545"/>
        <v>0</v>
      </c>
      <c r="DW409" s="66">
        <f>+IF($W409="","",ROUND((DT409*Parámetros!$G$85),2))</f>
        <v>0</v>
      </c>
      <c r="DX409" s="66">
        <f>+IF($W409="","",ROUND((DT409*(Parámetros!$G$86)),2))</f>
        <v>0</v>
      </c>
      <c r="DY409" s="66">
        <f t="shared" si="546"/>
        <v>0</v>
      </c>
      <c r="DZ409" t="str">
        <f t="shared" si="588"/>
        <v>00066</v>
      </c>
      <c r="EA409" s="118" t="str">
        <f t="shared" si="588"/>
        <v>Enfermedad terminal</v>
      </c>
      <c r="EB409" s="118">
        <f>+IF($W409="","",ROUND(IF(Parámetros!$D$25='TABLAS MORT'!$V$33,EB408,Z409/2),0))</f>
        <v>50000</v>
      </c>
      <c r="EC409" s="118" t="str">
        <f t="shared" si="588"/>
        <v>A</v>
      </c>
      <c r="ED409" s="122">
        <f>+IF(OR($W409="",EB409=0),"",ROUND((VLOOKUP(ROUNDDOWN($D409-1/frec,0),cob_adi,DO$40,FALSE)*(1+i/frec)^-0.5*(1+Parámetros!$D$103)*(1+rec_fracc)/frec),6))</f>
        <v>6.4999999999999994E-5</v>
      </c>
      <c r="EE409" s="66">
        <f t="shared" si="548"/>
        <v>3.25</v>
      </c>
      <c r="EF409" s="68">
        <f t="shared" si="549"/>
        <v>6.4999999999999994E-5</v>
      </c>
      <c r="EG409" s="66">
        <f>+IF($W409="","",ROUND(IF($B409&gt;Parámetros!$D$107,'Tablas Servicio'!EE409+('Tablas Servicio'!EG408-'Tablas Servicio'!EE408),EE409/(1-IF(B409&lt;=10,Parámetros!$D$100,0))),2))</f>
        <v>3.25</v>
      </c>
      <c r="EH409" s="66">
        <f t="shared" si="550"/>
        <v>0</v>
      </c>
      <c r="EI409" s="66">
        <f t="shared" si="550"/>
        <v>0</v>
      </c>
      <c r="EJ409" s="66">
        <f>+IF($W409="","",ROUND((EG409*Parámetros!$G$85),2))</f>
        <v>0.11</v>
      </c>
      <c r="EK409" s="66">
        <f>+IF($W409="","",ROUND((EG409*(Parámetros!$G$86)),2))</f>
        <v>0.02</v>
      </c>
      <c r="EL409" s="66">
        <f t="shared" si="551"/>
        <v>3.38</v>
      </c>
    </row>
    <row r="410" spans="1:142" x14ac:dyDescent="0.25">
      <c r="A410">
        <f>+IF($C410="","",ROUND(VLOOKUP('Tablas Servicio'!B410,Parámetros!$H$100:$J$159,IF(Parámetros!$E$16="F",2,3),FALSE),2))</f>
        <v>150</v>
      </c>
      <c r="B410">
        <f t="shared" si="502"/>
        <v>31</v>
      </c>
      <c r="C410" s="57">
        <f>+IF(D410="","",'Tablas Servicio'!C409+1)</f>
        <v>369</v>
      </c>
      <c r="D410" s="56">
        <f>+IF(D409&lt;edadmaxtabla,D409+1/Parámetros!$E$25,"")</f>
        <v>70.770000000000294</v>
      </c>
      <c r="E410" s="57">
        <f t="shared" si="512"/>
        <v>70</v>
      </c>
      <c r="F410" s="59">
        <f t="shared" si="513"/>
        <v>100000</v>
      </c>
      <c r="G410" s="66">
        <f t="shared" si="503"/>
        <v>128.25</v>
      </c>
      <c r="H410" s="66">
        <f t="shared" si="504"/>
        <v>133.38999999999999</v>
      </c>
      <c r="I410" s="66">
        <f t="shared" si="552"/>
        <v>-39.389999999999986</v>
      </c>
      <c r="J410" s="66">
        <f t="shared" si="505"/>
        <v>4.49</v>
      </c>
      <c r="K410" s="66">
        <f t="shared" si="506"/>
        <v>0.65</v>
      </c>
      <c r="L410" s="66">
        <f t="shared" si="507"/>
        <v>0</v>
      </c>
      <c r="M410" s="66">
        <f t="shared" si="508"/>
        <v>0</v>
      </c>
      <c r="N410" s="66">
        <f>+IF(C410="","",ROUND(Parámetros!$D$23,2))</f>
        <v>94</v>
      </c>
      <c r="O410" s="66">
        <f t="shared" si="509"/>
        <v>115.75</v>
      </c>
      <c r="P410" s="66">
        <f>+IF($C410="","",ROUND(IF(B410&gt;Parámetros!$D$117,0,N410*Parámetros!$D$116-G410*Parámetros!$D$100),2))</f>
        <v>0</v>
      </c>
      <c r="Q410" s="75">
        <f t="shared" si="553"/>
        <v>3.5009746588693956E-2</v>
      </c>
      <c r="R410" s="75">
        <f t="shared" si="554"/>
        <v>5.0682261208577E-3</v>
      </c>
      <c r="S410" s="117">
        <f>+IF($C410="","",ROUND((S409+I410)*(1+Parámetros!$D$91),2))</f>
        <v>26337.32</v>
      </c>
      <c r="T410" s="117">
        <f>+IF($C410="","",ROUND(S410*VLOOKUP(B410,Parámetros!$C$30:$D$39,2,TRUE),2))</f>
        <v>26337.32</v>
      </c>
      <c r="U410" s="117">
        <f>+IF($C410="","",ROUND((U409+I410)*(1+Parámetros!$D$92),2))</f>
        <v>29382.11</v>
      </c>
      <c r="V410" s="117">
        <f>+IF($C410="","",ROUND(U410*VLOOKUP(B410,Parámetros!$C$30:$D$39,2,TRUE),2))</f>
        <v>29382.11</v>
      </c>
      <c r="W410" s="57">
        <f t="shared" si="555"/>
        <v>369</v>
      </c>
      <c r="X410" t="str">
        <f t="shared" si="556"/>
        <v>00058</v>
      </c>
      <c r="Y410" t="str">
        <f t="shared" si="557"/>
        <v>MUERTE POR CUALQUIER CAUSA</v>
      </c>
      <c r="Z410" s="118">
        <f>+IF($W410="","",ROUND(IF(Parámetros!$D$25='TABLAS MORT'!$V$33,Z409,Parámetros!$D$21-'Tablas Servicio'!T409),0))</f>
        <v>100000</v>
      </c>
      <c r="AA410" s="118" t="str">
        <f t="shared" si="558"/>
        <v>P</v>
      </c>
      <c r="AB410" s="119">
        <f>+IF(W410="","",ROUND((VLOOKUP(ROUNDDOWN($D410-1/frec,0),qx_tabla,2,FALSE)*(1+i/frec)^-0.5*(1+Parámetros!$D$103)*(1+rec_fracc)/frec),6))</f>
        <v>1.1249999999999999E-3</v>
      </c>
      <c r="AC410" s="66">
        <f t="shared" si="514"/>
        <v>112.5</v>
      </c>
      <c r="AD410" s="119">
        <f t="shared" si="510"/>
        <v>1.25E-3</v>
      </c>
      <c r="AE410" s="66">
        <f>+IF($W410="","",ROUND(IF($B410&gt;Parámetros!$D$107,'Tablas Servicio'!AC410+('Tablas Servicio'!AG409-'Tablas Servicio'!AC409),AC410/(1-IF(B410&lt;=10,Parámetros!$D$104,Parámetros!$D$105))),2))</f>
        <v>187.5</v>
      </c>
      <c r="AF410" s="66">
        <f>+IF($W410="","",ROUND(IF($B410&gt;Parámetros!$D$107,'Tablas Servicio'!AC410+('Tablas Servicio'!AG409-'Tablas Servicio'!AC409),(AC410+$A409/frec)/(1-IF(B410&lt;=Parámetros!$D$117,Parámetros!$D$100,0))),2))</f>
        <v>125</v>
      </c>
      <c r="AG410" s="66">
        <f t="shared" si="515"/>
        <v>125</v>
      </c>
      <c r="AH410" s="66">
        <f t="shared" si="516"/>
        <v>0</v>
      </c>
      <c r="AI410" s="66">
        <f t="shared" si="517"/>
        <v>0</v>
      </c>
      <c r="AJ410" s="66">
        <f>+IF($W410="","",ROUND((AG410*Parámetros!$G$85),2))</f>
        <v>4.38</v>
      </c>
      <c r="AK410" s="66">
        <f>+IF($W410="","",ROUND((AG410*(Parámetros!$G$86)),2))</f>
        <v>0.63</v>
      </c>
      <c r="AL410" s="66">
        <f t="shared" si="511"/>
        <v>130.01</v>
      </c>
      <c r="AM410" t="str">
        <f t="shared" si="559"/>
        <v>00059</v>
      </c>
      <c r="AN410" t="str">
        <f t="shared" si="560"/>
        <v>Incapacidad Total y Permanente</v>
      </c>
      <c r="AO410" s="118">
        <f t="shared" si="561"/>
        <v>0</v>
      </c>
      <c r="AP410" s="118" t="str">
        <f t="shared" si="562"/>
        <v>A</v>
      </c>
      <c r="AQ410" s="119" t="str">
        <f>+IF(OR($W410="",AO410=0),"",ROUND((VLOOKUP(ROUNDDOWN($D410-1/frec,0),cob_adi,Z$40,FALSE)*(1+i/frec)^-0.5*(1+Parámetros!$D$103)*(1+rec_fracc)/frec),6))</f>
        <v/>
      </c>
      <c r="AR410" s="66">
        <f t="shared" si="518"/>
        <v>0</v>
      </c>
      <c r="AS410" s="119" t="str">
        <f t="shared" si="519"/>
        <v/>
      </c>
      <c r="AT410" s="66">
        <f>+IF($W410="","",ROUND(IF($B410&gt;Parámetros!$D$107,'Tablas Servicio'!AR410+('Tablas Servicio'!AT409-'Tablas Servicio'!AR409),AR410/(1-IF(B410&lt;=10,Parámetros!$D$100,0))),2))</f>
        <v>0</v>
      </c>
      <c r="AU410" s="66">
        <f t="shared" si="520"/>
        <v>0</v>
      </c>
      <c r="AV410" s="66">
        <f t="shared" si="520"/>
        <v>0</v>
      </c>
      <c r="AW410" s="66">
        <f>+IF($W410="","",ROUND((AT410*Parámetros!$G$85),2))</f>
        <v>0</v>
      </c>
      <c r="AX410" s="66">
        <f>+IF($W410="","",ROUND((AT410*(Parámetros!$G$86)),2))</f>
        <v>0</v>
      </c>
      <c r="AY410" s="66">
        <f t="shared" si="521"/>
        <v>0</v>
      </c>
      <c r="AZ410" t="str">
        <f t="shared" si="563"/>
        <v>00060</v>
      </c>
      <c r="BA410" t="str">
        <f t="shared" si="564"/>
        <v>Muerte Accidental</v>
      </c>
      <c r="BB410" s="118">
        <f t="shared" si="565"/>
        <v>0</v>
      </c>
      <c r="BC410" s="118" t="str">
        <f t="shared" si="566"/>
        <v>A</v>
      </c>
      <c r="BD410" s="119" t="str">
        <f>+IF(OR($W410="",BB410=0),"",ROUND((VLOOKUP(ROUNDDOWN($D410-1/frec,0),cob_adi,AO$40,FALSE)*(1+i/frec)^-0.5*(1+Parámetros!$D$103)*(1+rec_fracc)/frec),6))</f>
        <v/>
      </c>
      <c r="BE410" s="66">
        <f t="shared" si="522"/>
        <v>0</v>
      </c>
      <c r="BF410" s="119" t="str">
        <f t="shared" si="523"/>
        <v/>
      </c>
      <c r="BG410" s="66">
        <f>+IF($W410="","",ROUND(IF($B410&gt;Parámetros!$D$107,'Tablas Servicio'!BE410+('Tablas Servicio'!BG409-'Tablas Servicio'!BE409),BE410/(1-IF(B410&lt;=10,Parámetros!$D$100,0))),2))</f>
        <v>0</v>
      </c>
      <c r="BH410" s="66">
        <f t="shared" si="524"/>
        <v>0</v>
      </c>
      <c r="BI410" s="66">
        <f t="shared" si="525"/>
        <v>0</v>
      </c>
      <c r="BJ410" s="66">
        <f>+IF($W410="","",ROUND((BG410*Parámetros!$G$85),2))</f>
        <v>0</v>
      </c>
      <c r="BK410" s="66">
        <f>+IF($W410="","",ROUND((BG410*(Parámetros!$G$86)),2))</f>
        <v>0</v>
      </c>
      <c r="BL410" s="66">
        <f t="shared" si="526"/>
        <v>0</v>
      </c>
      <c r="BM410" t="str">
        <f t="shared" si="567"/>
        <v>00061</v>
      </c>
      <c r="BN410" t="str">
        <f t="shared" si="568"/>
        <v>Gastos de Entierro</v>
      </c>
      <c r="BO410" s="118">
        <f t="shared" si="569"/>
        <v>0</v>
      </c>
      <c r="BP410" s="118" t="str">
        <f t="shared" si="570"/>
        <v>A</v>
      </c>
      <c r="BQ410" s="119" t="str">
        <f>+IF(OR($W410="",BO410=0),"",ROUND((VLOOKUP(ROUNDDOWN($D410-1/frec,0),cob_adi,BB$40,FALSE)*(1+i/frec)^-0.5*(1+Parámetros!$D$103)*(1+rec_fracc)/frec),6))</f>
        <v/>
      </c>
      <c r="BR410" s="66">
        <f t="shared" si="527"/>
        <v>0</v>
      </c>
      <c r="BS410" s="119" t="str">
        <f t="shared" si="528"/>
        <v/>
      </c>
      <c r="BT410" s="66">
        <f>+IF($W410="","",ROUND(IF($B410&gt;Parámetros!$D$107,'Tablas Servicio'!BR410+('Tablas Servicio'!BT409-'Tablas Servicio'!BR409),BR410/(1-IF(B410&lt;=10,Parámetros!$D$100,0))),2))</f>
        <v>0</v>
      </c>
      <c r="BU410" s="66">
        <f t="shared" si="529"/>
        <v>0</v>
      </c>
      <c r="BV410" s="66">
        <f t="shared" si="529"/>
        <v>0</v>
      </c>
      <c r="BW410" s="66">
        <f>+IF($W410="","",ROUND((BT410*Parámetros!$G$85),2))</f>
        <v>0</v>
      </c>
      <c r="BX410" s="66">
        <f>+IF($W410="","",ROUND((BT410*(Parámetros!$G$86)),2))</f>
        <v>0</v>
      </c>
      <c r="BY410" s="66">
        <f t="shared" si="530"/>
        <v>0</v>
      </c>
      <c r="BZ410" t="str">
        <f t="shared" si="571"/>
        <v>00062</v>
      </c>
      <c r="CA410" t="str">
        <f t="shared" si="572"/>
        <v>Gastos médicos por accidente</v>
      </c>
      <c r="CB410" s="118">
        <f t="shared" si="573"/>
        <v>0</v>
      </c>
      <c r="CC410" s="118" t="str">
        <f t="shared" si="574"/>
        <v>A</v>
      </c>
      <c r="CD410" s="119" t="str">
        <f t="shared" si="531"/>
        <v/>
      </c>
      <c r="CE410" s="66">
        <f>+IF($W410="","",ROUND((VLOOKUP(ROUNDDOWN($D410-1/frec,0),cob_adi,BO$40,FALSE)*(1+i/frec)^-0.5*(1+Parámetros!$D$103)*(1+rec_fracc)/frec*'TABLAS ADI'!$BC$17),2))</f>
        <v>0</v>
      </c>
      <c r="CF410" s="119" t="str">
        <f t="shared" si="532"/>
        <v/>
      </c>
      <c r="CG410" s="66">
        <f>+IF($W410="","",ROUND(IF($B410&gt;Parámetros!$D$107,'Tablas Servicio'!CE410+('Tablas Servicio'!CG409-'Tablas Servicio'!CE409),CE410/(1-IF(B410&lt;=10,Parámetros!$D$100,0))),2))</f>
        <v>0</v>
      </c>
      <c r="CH410" s="66">
        <f t="shared" si="533"/>
        <v>0</v>
      </c>
      <c r="CI410" s="66">
        <f t="shared" si="533"/>
        <v>0</v>
      </c>
      <c r="CJ410" s="66">
        <f>+IF($W410="","",ROUND((CG410*Parámetros!$G$85),2))</f>
        <v>0</v>
      </c>
      <c r="CK410" s="66">
        <f>+IF($W410="","",ROUND((CG410*(Parámetros!$G$86)),2))</f>
        <v>0</v>
      </c>
      <c r="CL410" s="66">
        <f t="shared" si="534"/>
        <v>0</v>
      </c>
      <c r="CM410" t="str">
        <f t="shared" si="575"/>
        <v>00063</v>
      </c>
      <c r="CN410" s="118" t="str">
        <f t="shared" si="576"/>
        <v>Renta Diaria por Hospitalización</v>
      </c>
      <c r="CO410" s="118">
        <f t="shared" si="577"/>
        <v>0</v>
      </c>
      <c r="CP410" s="118" t="str">
        <f t="shared" si="578"/>
        <v>A</v>
      </c>
      <c r="CQ410" s="119" t="str">
        <f t="shared" si="535"/>
        <v/>
      </c>
      <c r="CR410" s="66">
        <f>+IF($W410="","",ROUND((VLOOKUP(Parámetros!$F$51,'COBERTURAS ADICIONALES'!$S$4:$T$32,2,FALSE)*(1+i/frec)^-0.5*(1+Parámetros!$D$103)*(1+rec_fracc)/frec*$CO$42),2))</f>
        <v>0</v>
      </c>
      <c r="CS410" s="119" t="str">
        <f t="shared" si="536"/>
        <v/>
      </c>
      <c r="CT410" s="66">
        <f>+IF($W410="","",ROUND(IF($B410&gt;Parámetros!$D$107,'Tablas Servicio'!CR410+('Tablas Servicio'!CT409-'Tablas Servicio'!CR409),CR410/(1-IF(B410&lt;=10,Parámetros!$D$100,0))),2))</f>
        <v>0</v>
      </c>
      <c r="CU410" s="66">
        <f t="shared" si="537"/>
        <v>0</v>
      </c>
      <c r="CV410" s="66">
        <f t="shared" si="537"/>
        <v>0</v>
      </c>
      <c r="CW410" s="66">
        <f>+IF($W410="","",ROUND((CT410*Parámetros!$G$85),2))</f>
        <v>0</v>
      </c>
      <c r="CX410" s="66">
        <f>+IF($W410="","",ROUND((CT410*(Parámetros!$G$86)),2))</f>
        <v>0</v>
      </c>
      <c r="CY410" s="66">
        <f t="shared" si="538"/>
        <v>0</v>
      </c>
      <c r="CZ410" t="str">
        <f t="shared" si="579"/>
        <v>00064</v>
      </c>
      <c r="DA410" s="118" t="str">
        <f t="shared" si="580"/>
        <v>Enfermedades Graves</v>
      </c>
      <c r="DB410" s="118">
        <f t="shared" si="581"/>
        <v>0</v>
      </c>
      <c r="DC410" s="118" t="str">
        <f t="shared" si="582"/>
        <v>A</v>
      </c>
      <c r="DD410" s="121" t="str">
        <f>+IF(OR($W410="",DB410=0),"",ROUND((VLOOKUP(ROUNDDOWN($D410-1/frec,0),cob_adi,CO$40,FALSE)*(1+i/frec)^-0.5*(1+Parámetros!$D$103)*(1+rec_fracc)/frec),6))</f>
        <v/>
      </c>
      <c r="DE410" s="66">
        <f t="shared" si="539"/>
        <v>0</v>
      </c>
      <c r="DF410" s="119" t="str">
        <f t="shared" si="540"/>
        <v/>
      </c>
      <c r="DG410" s="66">
        <f>+IF($W410="","",ROUND(IF($B410&gt;Parámetros!$D$107,'Tablas Servicio'!DE410+('Tablas Servicio'!DG409-'Tablas Servicio'!DE409),DE410/(1-IF(B410&lt;=10,Parámetros!$D$100,0))),2))</f>
        <v>0</v>
      </c>
      <c r="DH410" s="66">
        <f t="shared" si="541"/>
        <v>0</v>
      </c>
      <c r="DI410" s="66">
        <f t="shared" si="541"/>
        <v>0</v>
      </c>
      <c r="DJ410" s="66">
        <f>+IF($W410="","",ROUND((DG410*Parámetros!$G$85),2))</f>
        <v>0</v>
      </c>
      <c r="DK410" s="66">
        <f>+IF($W410="","",ROUND((DG410*(Parámetros!$G$86)),2))</f>
        <v>0</v>
      </c>
      <c r="DL410" s="66">
        <f t="shared" si="542"/>
        <v>0</v>
      </c>
      <c r="DM410" t="str">
        <f t="shared" si="583"/>
        <v>00065</v>
      </c>
      <c r="DN410" s="118" t="str">
        <f t="shared" si="584"/>
        <v>Exención pago de primas</v>
      </c>
      <c r="DO410" s="118">
        <f t="shared" si="585"/>
        <v>0</v>
      </c>
      <c r="DP410" s="118" t="str">
        <f t="shared" si="586"/>
        <v>A</v>
      </c>
      <c r="DQ410" s="122" t="str">
        <f>+IF(OR($W410="",DO410=0),"",ROUND((VLOOKUP(ROUNDDOWN($D410-1/frec,0),cob_adi,DB$40,FALSE)*(1+i/frec)^-0.5*(1+Parámetros!$D$103)*(1+rec_fracc)/frec),6))</f>
        <v/>
      </c>
      <c r="DR410" s="66">
        <f t="shared" si="543"/>
        <v>0</v>
      </c>
      <c r="DS410" s="68" t="str">
        <f t="shared" si="544"/>
        <v/>
      </c>
      <c r="DT410" s="66">
        <f>+IF($W410="","",ROUND(IF($B410&gt;Parámetros!$D$107,'Tablas Servicio'!DR410+('Tablas Servicio'!DT409-'Tablas Servicio'!DR409),DR410/(1-IF(B410&lt;=10,Parámetros!$D$100,0))),2))</f>
        <v>0</v>
      </c>
      <c r="DU410" s="66">
        <f t="shared" si="545"/>
        <v>0</v>
      </c>
      <c r="DV410" s="66">
        <f t="shared" si="545"/>
        <v>0</v>
      </c>
      <c r="DW410" s="66">
        <f>+IF($W410="","",ROUND((DT410*Parámetros!$G$85),2))</f>
        <v>0</v>
      </c>
      <c r="DX410" s="66">
        <f>+IF($W410="","",ROUND((DT410*(Parámetros!$G$86)),2))</f>
        <v>0</v>
      </c>
      <c r="DY410" s="66">
        <f t="shared" si="546"/>
        <v>0</v>
      </c>
      <c r="DZ410" t="str">
        <f t="shared" si="588"/>
        <v>00066</v>
      </c>
      <c r="EA410" s="118" t="str">
        <f t="shared" si="588"/>
        <v>Enfermedad terminal</v>
      </c>
      <c r="EB410" s="118">
        <f>+IF($W410="","",ROUND(IF(Parámetros!$D$25='TABLAS MORT'!$V$33,EB409,Z410/2),0))</f>
        <v>50000</v>
      </c>
      <c r="EC410" s="118" t="str">
        <f t="shared" si="588"/>
        <v>A</v>
      </c>
      <c r="ED410" s="122">
        <f>+IF(OR($W410="",EB410=0),"",ROUND((VLOOKUP(ROUNDDOWN($D410-1/frec,0),cob_adi,DO$40,FALSE)*(1+i/frec)^-0.5*(1+Parámetros!$D$103)*(1+rec_fracc)/frec),6))</f>
        <v>6.4999999999999994E-5</v>
      </c>
      <c r="EE410" s="66">
        <f t="shared" si="548"/>
        <v>3.25</v>
      </c>
      <c r="EF410" s="68">
        <f t="shared" si="549"/>
        <v>6.4999999999999994E-5</v>
      </c>
      <c r="EG410" s="66">
        <f>+IF($W410="","",ROUND(IF($B410&gt;Parámetros!$D$107,'Tablas Servicio'!EE410+('Tablas Servicio'!EG409-'Tablas Servicio'!EE409),EE410/(1-IF(B410&lt;=10,Parámetros!$D$100,0))),2))</f>
        <v>3.25</v>
      </c>
      <c r="EH410" s="66">
        <f t="shared" si="550"/>
        <v>0</v>
      </c>
      <c r="EI410" s="66">
        <f t="shared" si="550"/>
        <v>0</v>
      </c>
      <c r="EJ410" s="66">
        <f>+IF($W410="","",ROUND((EG410*Parámetros!$G$85),2))</f>
        <v>0.11</v>
      </c>
      <c r="EK410" s="66">
        <f>+IF($W410="","",ROUND((EG410*(Parámetros!$G$86)),2))</f>
        <v>0.02</v>
      </c>
      <c r="EL410" s="66">
        <f t="shared" si="551"/>
        <v>3.38</v>
      </c>
    </row>
    <row r="411" spans="1:142" x14ac:dyDescent="0.25">
      <c r="A411">
        <f>+IF($C411="","",ROUND(VLOOKUP('Tablas Servicio'!B411,Parámetros!$H$100:$J$159,IF(Parámetros!$E$16="F",2,3),FALSE),2))</f>
        <v>150</v>
      </c>
      <c r="B411">
        <f t="shared" si="502"/>
        <v>31</v>
      </c>
      <c r="C411" s="57">
        <f>+IF(D411="","",'Tablas Servicio'!C410+1)</f>
        <v>370</v>
      </c>
      <c r="D411" s="56">
        <f>+IF(D410&lt;edadmaxtabla,D410+1/Parámetros!$E$25,"")</f>
        <v>70.853333333333623</v>
      </c>
      <c r="E411" s="57">
        <f t="shared" si="512"/>
        <v>70</v>
      </c>
      <c r="F411" s="59">
        <f t="shared" si="513"/>
        <v>100000</v>
      </c>
      <c r="G411" s="66">
        <f t="shared" si="503"/>
        <v>128.25</v>
      </c>
      <c r="H411" s="66">
        <f t="shared" si="504"/>
        <v>133.38999999999999</v>
      </c>
      <c r="I411" s="66">
        <f t="shared" si="552"/>
        <v>-39.389999999999986</v>
      </c>
      <c r="J411" s="66">
        <f t="shared" si="505"/>
        <v>4.49</v>
      </c>
      <c r="K411" s="66">
        <f t="shared" si="506"/>
        <v>0.65</v>
      </c>
      <c r="L411" s="66">
        <f t="shared" si="507"/>
        <v>0</v>
      </c>
      <c r="M411" s="66">
        <f t="shared" si="508"/>
        <v>0</v>
      </c>
      <c r="N411" s="66">
        <f>+IF(C411="","",ROUND(Parámetros!$D$23,2))</f>
        <v>94</v>
      </c>
      <c r="O411" s="66">
        <f t="shared" si="509"/>
        <v>115.75</v>
      </c>
      <c r="P411" s="66">
        <f>+IF($C411="","",ROUND(IF(B411&gt;Parámetros!$D$117,0,N411*Parámetros!$D$116-G411*Parámetros!$D$100),2))</f>
        <v>0</v>
      </c>
      <c r="Q411" s="75">
        <f t="shared" si="553"/>
        <v>3.5009746588693956E-2</v>
      </c>
      <c r="R411" s="75">
        <f t="shared" si="554"/>
        <v>5.0682261208577E-3</v>
      </c>
      <c r="S411" s="117">
        <f>+IF($C411="","",ROUND((S410+I411)*(1+Parámetros!$D$91),2))</f>
        <v>26372.52</v>
      </c>
      <c r="T411" s="117">
        <f>+IF($C411="","",ROUND(S411*VLOOKUP(B411,Parámetros!$C$30:$D$39,2,TRUE),2))</f>
        <v>26372.52</v>
      </c>
      <c r="U411" s="117">
        <f>+IF($C411="","",ROUND((U410+I411)*(1+Parámetros!$D$92),2))</f>
        <v>29437.84</v>
      </c>
      <c r="V411" s="117">
        <f>+IF($C411="","",ROUND(U411*VLOOKUP(B411,Parámetros!$C$30:$D$39,2,TRUE),2))</f>
        <v>29437.84</v>
      </c>
      <c r="W411" s="57">
        <f t="shared" si="555"/>
        <v>370</v>
      </c>
      <c r="X411" t="str">
        <f t="shared" si="556"/>
        <v>00058</v>
      </c>
      <c r="Y411" t="str">
        <f t="shared" si="557"/>
        <v>MUERTE POR CUALQUIER CAUSA</v>
      </c>
      <c r="Z411" s="118">
        <f>+IF($W411="","",ROUND(IF(Parámetros!$D$25='TABLAS MORT'!$V$33,Z410,Parámetros!$D$21-'Tablas Servicio'!T410),0))</f>
        <v>100000</v>
      </c>
      <c r="AA411" s="118" t="str">
        <f t="shared" si="558"/>
        <v>P</v>
      </c>
      <c r="AB411" s="119">
        <f>+IF(W411="","",ROUND((VLOOKUP(ROUNDDOWN($D411-1/frec,0),qx_tabla,2,FALSE)*(1+i/frec)^-0.5*(1+Parámetros!$D$103)*(1+rec_fracc)/frec),6))</f>
        <v>1.1249999999999999E-3</v>
      </c>
      <c r="AC411" s="66">
        <f t="shared" si="514"/>
        <v>112.5</v>
      </c>
      <c r="AD411" s="119">
        <f t="shared" si="510"/>
        <v>1.25E-3</v>
      </c>
      <c r="AE411" s="66">
        <f>+IF($W411="","",ROUND(IF($B411&gt;Parámetros!$D$107,'Tablas Servicio'!AC411+('Tablas Servicio'!AG410-'Tablas Servicio'!AC410),AC411/(1-IF(B411&lt;=10,Parámetros!$D$104,Parámetros!$D$105))),2))</f>
        <v>187.5</v>
      </c>
      <c r="AF411" s="66">
        <f>+IF($W411="","",ROUND(IF($B411&gt;Parámetros!$D$107,'Tablas Servicio'!AC411+('Tablas Servicio'!AG410-'Tablas Servicio'!AC410),(AC411+$A410/frec)/(1-IF(B411&lt;=Parámetros!$D$117,Parámetros!$D$100,0))),2))</f>
        <v>125</v>
      </c>
      <c r="AG411" s="66">
        <f t="shared" si="515"/>
        <v>125</v>
      </c>
      <c r="AH411" s="66">
        <f t="shared" si="516"/>
        <v>0</v>
      </c>
      <c r="AI411" s="66">
        <f t="shared" si="517"/>
        <v>0</v>
      </c>
      <c r="AJ411" s="66">
        <f>+IF($W411="","",ROUND((AG411*Parámetros!$G$85),2))</f>
        <v>4.38</v>
      </c>
      <c r="AK411" s="66">
        <f>+IF($W411="","",ROUND((AG411*(Parámetros!$G$86)),2))</f>
        <v>0.63</v>
      </c>
      <c r="AL411" s="66">
        <f t="shared" si="511"/>
        <v>130.01</v>
      </c>
      <c r="AM411" t="str">
        <f t="shared" si="559"/>
        <v>00059</v>
      </c>
      <c r="AN411" t="str">
        <f t="shared" si="560"/>
        <v>Incapacidad Total y Permanente</v>
      </c>
      <c r="AO411" s="118">
        <f t="shared" si="561"/>
        <v>0</v>
      </c>
      <c r="AP411" s="118" t="str">
        <f t="shared" si="562"/>
        <v>A</v>
      </c>
      <c r="AQ411" s="119" t="str">
        <f>+IF(OR($W411="",AO411=0),"",ROUND((VLOOKUP(ROUNDDOWN($D411-1/frec,0),cob_adi,Z$40,FALSE)*(1+i/frec)^-0.5*(1+Parámetros!$D$103)*(1+rec_fracc)/frec),6))</f>
        <v/>
      </c>
      <c r="AR411" s="66">
        <f t="shared" si="518"/>
        <v>0</v>
      </c>
      <c r="AS411" s="119" t="str">
        <f t="shared" si="519"/>
        <v/>
      </c>
      <c r="AT411" s="66">
        <f>+IF($W411="","",ROUND(IF($B411&gt;Parámetros!$D$107,'Tablas Servicio'!AR411+('Tablas Servicio'!AT410-'Tablas Servicio'!AR410),AR411/(1-IF(B411&lt;=10,Parámetros!$D$100,0))),2))</f>
        <v>0</v>
      </c>
      <c r="AU411" s="66">
        <f t="shared" si="520"/>
        <v>0</v>
      </c>
      <c r="AV411" s="66">
        <f t="shared" si="520"/>
        <v>0</v>
      </c>
      <c r="AW411" s="66">
        <f>+IF($W411="","",ROUND((AT411*Parámetros!$G$85),2))</f>
        <v>0</v>
      </c>
      <c r="AX411" s="66">
        <f>+IF($W411="","",ROUND((AT411*(Parámetros!$G$86)),2))</f>
        <v>0</v>
      </c>
      <c r="AY411" s="66">
        <f t="shared" si="521"/>
        <v>0</v>
      </c>
      <c r="AZ411" t="str">
        <f t="shared" si="563"/>
        <v>00060</v>
      </c>
      <c r="BA411" t="str">
        <f t="shared" si="564"/>
        <v>Muerte Accidental</v>
      </c>
      <c r="BB411" s="118">
        <f t="shared" si="565"/>
        <v>0</v>
      </c>
      <c r="BC411" s="118" t="str">
        <f t="shared" si="566"/>
        <v>A</v>
      </c>
      <c r="BD411" s="119" t="str">
        <f>+IF(OR($W411="",BB411=0),"",ROUND((VLOOKUP(ROUNDDOWN($D411-1/frec,0),cob_adi,AO$40,FALSE)*(1+i/frec)^-0.5*(1+Parámetros!$D$103)*(1+rec_fracc)/frec),6))</f>
        <v/>
      </c>
      <c r="BE411" s="66">
        <f t="shared" si="522"/>
        <v>0</v>
      </c>
      <c r="BF411" s="119" t="str">
        <f t="shared" si="523"/>
        <v/>
      </c>
      <c r="BG411" s="66">
        <f>+IF($W411="","",ROUND(IF($B411&gt;Parámetros!$D$107,'Tablas Servicio'!BE411+('Tablas Servicio'!BG410-'Tablas Servicio'!BE410),BE411/(1-IF(B411&lt;=10,Parámetros!$D$100,0))),2))</f>
        <v>0</v>
      </c>
      <c r="BH411" s="66">
        <f t="shared" si="524"/>
        <v>0</v>
      </c>
      <c r="BI411" s="66">
        <f t="shared" si="525"/>
        <v>0</v>
      </c>
      <c r="BJ411" s="66">
        <f>+IF($W411="","",ROUND((BG411*Parámetros!$G$85),2))</f>
        <v>0</v>
      </c>
      <c r="BK411" s="66">
        <f>+IF($W411="","",ROUND((BG411*(Parámetros!$G$86)),2))</f>
        <v>0</v>
      </c>
      <c r="BL411" s="66">
        <f t="shared" si="526"/>
        <v>0</v>
      </c>
      <c r="BM411" t="str">
        <f t="shared" si="567"/>
        <v>00061</v>
      </c>
      <c r="BN411" t="str">
        <f t="shared" si="568"/>
        <v>Gastos de Entierro</v>
      </c>
      <c r="BO411" s="118">
        <f t="shared" si="569"/>
        <v>0</v>
      </c>
      <c r="BP411" s="118" t="str">
        <f t="shared" si="570"/>
        <v>A</v>
      </c>
      <c r="BQ411" s="119" t="str">
        <f>+IF(OR($W411="",BO411=0),"",ROUND((VLOOKUP(ROUNDDOWN($D411-1/frec,0),cob_adi,BB$40,FALSE)*(1+i/frec)^-0.5*(1+Parámetros!$D$103)*(1+rec_fracc)/frec),6))</f>
        <v/>
      </c>
      <c r="BR411" s="66">
        <f t="shared" si="527"/>
        <v>0</v>
      </c>
      <c r="BS411" s="119" t="str">
        <f t="shared" si="528"/>
        <v/>
      </c>
      <c r="BT411" s="66">
        <f>+IF($W411="","",ROUND(IF($B411&gt;Parámetros!$D$107,'Tablas Servicio'!BR411+('Tablas Servicio'!BT410-'Tablas Servicio'!BR410),BR411/(1-IF(B411&lt;=10,Parámetros!$D$100,0))),2))</f>
        <v>0</v>
      </c>
      <c r="BU411" s="66">
        <f t="shared" si="529"/>
        <v>0</v>
      </c>
      <c r="BV411" s="66">
        <f t="shared" si="529"/>
        <v>0</v>
      </c>
      <c r="BW411" s="66">
        <f>+IF($W411="","",ROUND((BT411*Parámetros!$G$85),2))</f>
        <v>0</v>
      </c>
      <c r="BX411" s="66">
        <f>+IF($W411="","",ROUND((BT411*(Parámetros!$G$86)),2))</f>
        <v>0</v>
      </c>
      <c r="BY411" s="66">
        <f t="shared" si="530"/>
        <v>0</v>
      </c>
      <c r="BZ411" t="str">
        <f t="shared" si="571"/>
        <v>00062</v>
      </c>
      <c r="CA411" t="str">
        <f t="shared" si="572"/>
        <v>Gastos médicos por accidente</v>
      </c>
      <c r="CB411" s="118">
        <f t="shared" si="573"/>
        <v>0</v>
      </c>
      <c r="CC411" s="118" t="str">
        <f t="shared" si="574"/>
        <v>A</v>
      </c>
      <c r="CD411" s="119" t="str">
        <f t="shared" si="531"/>
        <v/>
      </c>
      <c r="CE411" s="66">
        <f>+IF($W411="","",ROUND((VLOOKUP(ROUNDDOWN($D411-1/frec,0),cob_adi,BO$40,FALSE)*(1+i/frec)^-0.5*(1+Parámetros!$D$103)*(1+rec_fracc)/frec*'TABLAS ADI'!$BC$17),2))</f>
        <v>0</v>
      </c>
      <c r="CF411" s="119" t="str">
        <f t="shared" si="532"/>
        <v/>
      </c>
      <c r="CG411" s="66">
        <f>+IF($W411="","",ROUND(IF($B411&gt;Parámetros!$D$107,'Tablas Servicio'!CE411+('Tablas Servicio'!CG410-'Tablas Servicio'!CE410),CE411/(1-IF(B411&lt;=10,Parámetros!$D$100,0))),2))</f>
        <v>0</v>
      </c>
      <c r="CH411" s="66">
        <f t="shared" si="533"/>
        <v>0</v>
      </c>
      <c r="CI411" s="66">
        <f t="shared" si="533"/>
        <v>0</v>
      </c>
      <c r="CJ411" s="66">
        <f>+IF($W411="","",ROUND((CG411*Parámetros!$G$85),2))</f>
        <v>0</v>
      </c>
      <c r="CK411" s="66">
        <f>+IF($W411="","",ROUND((CG411*(Parámetros!$G$86)),2))</f>
        <v>0</v>
      </c>
      <c r="CL411" s="66">
        <f t="shared" si="534"/>
        <v>0</v>
      </c>
      <c r="CM411" t="str">
        <f t="shared" si="575"/>
        <v>00063</v>
      </c>
      <c r="CN411" s="118" t="str">
        <f t="shared" si="576"/>
        <v>Renta Diaria por Hospitalización</v>
      </c>
      <c r="CO411" s="118">
        <f t="shared" si="577"/>
        <v>0</v>
      </c>
      <c r="CP411" s="118" t="str">
        <f t="shared" si="578"/>
        <v>A</v>
      </c>
      <c r="CQ411" s="119" t="str">
        <f t="shared" si="535"/>
        <v/>
      </c>
      <c r="CR411" s="66">
        <f>+IF($W411="","",ROUND((VLOOKUP(Parámetros!$F$51,'COBERTURAS ADICIONALES'!$S$4:$T$32,2,FALSE)*(1+i/frec)^-0.5*(1+Parámetros!$D$103)*(1+rec_fracc)/frec*$CO$42),2))</f>
        <v>0</v>
      </c>
      <c r="CS411" s="119" t="str">
        <f t="shared" si="536"/>
        <v/>
      </c>
      <c r="CT411" s="66">
        <f>+IF($W411="","",ROUND(IF($B411&gt;Parámetros!$D$107,'Tablas Servicio'!CR411+('Tablas Servicio'!CT410-'Tablas Servicio'!CR410),CR411/(1-IF(B411&lt;=10,Parámetros!$D$100,0))),2))</f>
        <v>0</v>
      </c>
      <c r="CU411" s="66">
        <f t="shared" si="537"/>
        <v>0</v>
      </c>
      <c r="CV411" s="66">
        <f t="shared" si="537"/>
        <v>0</v>
      </c>
      <c r="CW411" s="66">
        <f>+IF($W411="","",ROUND((CT411*Parámetros!$G$85),2))</f>
        <v>0</v>
      </c>
      <c r="CX411" s="66">
        <f>+IF($W411="","",ROUND((CT411*(Parámetros!$G$86)),2))</f>
        <v>0</v>
      </c>
      <c r="CY411" s="66">
        <f t="shared" si="538"/>
        <v>0</v>
      </c>
      <c r="CZ411" t="str">
        <f t="shared" si="579"/>
        <v>00064</v>
      </c>
      <c r="DA411" s="118" t="str">
        <f t="shared" si="580"/>
        <v>Enfermedades Graves</v>
      </c>
      <c r="DB411" s="118">
        <f t="shared" si="581"/>
        <v>0</v>
      </c>
      <c r="DC411" s="118" t="str">
        <f t="shared" si="582"/>
        <v>A</v>
      </c>
      <c r="DD411" s="121" t="str">
        <f>+IF(OR($W411="",DB411=0),"",ROUND((VLOOKUP(ROUNDDOWN($D411-1/frec,0),cob_adi,CO$40,FALSE)*(1+i/frec)^-0.5*(1+Parámetros!$D$103)*(1+rec_fracc)/frec),6))</f>
        <v/>
      </c>
      <c r="DE411" s="66">
        <f t="shared" si="539"/>
        <v>0</v>
      </c>
      <c r="DF411" s="119" t="str">
        <f t="shared" si="540"/>
        <v/>
      </c>
      <c r="DG411" s="66">
        <f>+IF($W411="","",ROUND(IF($B411&gt;Parámetros!$D$107,'Tablas Servicio'!DE411+('Tablas Servicio'!DG410-'Tablas Servicio'!DE410),DE411/(1-IF(B411&lt;=10,Parámetros!$D$100,0))),2))</f>
        <v>0</v>
      </c>
      <c r="DH411" s="66">
        <f t="shared" si="541"/>
        <v>0</v>
      </c>
      <c r="DI411" s="66">
        <f t="shared" si="541"/>
        <v>0</v>
      </c>
      <c r="DJ411" s="66">
        <f>+IF($W411="","",ROUND((DG411*Parámetros!$G$85),2))</f>
        <v>0</v>
      </c>
      <c r="DK411" s="66">
        <f>+IF($W411="","",ROUND((DG411*(Parámetros!$G$86)),2))</f>
        <v>0</v>
      </c>
      <c r="DL411" s="66">
        <f t="shared" si="542"/>
        <v>0</v>
      </c>
      <c r="DM411" t="str">
        <f t="shared" si="583"/>
        <v>00065</v>
      </c>
      <c r="DN411" s="118" t="str">
        <f t="shared" si="584"/>
        <v>Exención pago de primas</v>
      </c>
      <c r="DO411" s="118">
        <f t="shared" si="585"/>
        <v>0</v>
      </c>
      <c r="DP411" s="118" t="str">
        <f t="shared" si="586"/>
        <v>A</v>
      </c>
      <c r="DQ411" s="122" t="str">
        <f>+IF(OR($W411="",DO411=0),"",ROUND((VLOOKUP(ROUNDDOWN($D411-1/frec,0),cob_adi,DB$40,FALSE)*(1+i/frec)^-0.5*(1+Parámetros!$D$103)*(1+rec_fracc)/frec),6))</f>
        <v/>
      </c>
      <c r="DR411" s="66">
        <f t="shared" si="543"/>
        <v>0</v>
      </c>
      <c r="DS411" s="68" t="str">
        <f t="shared" si="544"/>
        <v/>
      </c>
      <c r="DT411" s="66">
        <f>+IF($W411="","",ROUND(IF($B411&gt;Parámetros!$D$107,'Tablas Servicio'!DR411+('Tablas Servicio'!DT410-'Tablas Servicio'!DR410),DR411/(1-IF(B411&lt;=10,Parámetros!$D$100,0))),2))</f>
        <v>0</v>
      </c>
      <c r="DU411" s="66">
        <f t="shared" si="545"/>
        <v>0</v>
      </c>
      <c r="DV411" s="66">
        <f t="shared" si="545"/>
        <v>0</v>
      </c>
      <c r="DW411" s="66">
        <f>+IF($W411="","",ROUND((DT411*Parámetros!$G$85),2))</f>
        <v>0</v>
      </c>
      <c r="DX411" s="66">
        <f>+IF($W411="","",ROUND((DT411*(Parámetros!$G$86)),2))</f>
        <v>0</v>
      </c>
      <c r="DY411" s="66">
        <f t="shared" si="546"/>
        <v>0</v>
      </c>
      <c r="DZ411" t="str">
        <f t="shared" ref="DZ411:EC426" si="589">+IF($W411="","",DZ410)</f>
        <v>00066</v>
      </c>
      <c r="EA411" s="118" t="str">
        <f t="shared" si="589"/>
        <v>Enfermedad terminal</v>
      </c>
      <c r="EB411" s="118">
        <f>+IF($W411="","",ROUND(IF(Parámetros!$D$25='TABLAS MORT'!$V$33,EB410,Z411/2),0))</f>
        <v>50000</v>
      </c>
      <c r="EC411" s="118" t="str">
        <f t="shared" si="589"/>
        <v>A</v>
      </c>
      <c r="ED411" s="122">
        <f>+IF(OR($W411="",EB411=0),"",ROUND((VLOOKUP(ROUNDDOWN($D411-1/frec,0),cob_adi,DO$40,FALSE)*(1+i/frec)^-0.5*(1+Parámetros!$D$103)*(1+rec_fracc)/frec),6))</f>
        <v>6.4999999999999994E-5</v>
      </c>
      <c r="EE411" s="66">
        <f t="shared" si="548"/>
        <v>3.25</v>
      </c>
      <c r="EF411" s="68">
        <f t="shared" si="549"/>
        <v>6.4999999999999994E-5</v>
      </c>
      <c r="EG411" s="66">
        <f>+IF($W411="","",ROUND(IF($B411&gt;Parámetros!$D$107,'Tablas Servicio'!EE411+('Tablas Servicio'!EG410-'Tablas Servicio'!EE410),EE411/(1-IF(B411&lt;=10,Parámetros!$D$100,0))),2))</f>
        <v>3.25</v>
      </c>
      <c r="EH411" s="66">
        <f t="shared" si="550"/>
        <v>0</v>
      </c>
      <c r="EI411" s="66">
        <f t="shared" si="550"/>
        <v>0</v>
      </c>
      <c r="EJ411" s="66">
        <f>+IF($W411="","",ROUND((EG411*Parámetros!$G$85),2))</f>
        <v>0.11</v>
      </c>
      <c r="EK411" s="66">
        <f>+IF($W411="","",ROUND((EG411*(Parámetros!$G$86)),2))</f>
        <v>0.02</v>
      </c>
      <c r="EL411" s="66">
        <f t="shared" si="551"/>
        <v>3.38</v>
      </c>
    </row>
    <row r="412" spans="1:142" x14ac:dyDescent="0.25">
      <c r="A412">
        <f>+IF($C412="","",ROUND(VLOOKUP('Tablas Servicio'!B412,Parámetros!$H$100:$J$159,IF(Parámetros!$E$16="F",2,3),FALSE),2))</f>
        <v>150</v>
      </c>
      <c r="B412">
        <f t="shared" si="502"/>
        <v>31</v>
      </c>
      <c r="C412" s="57">
        <f>+IF(D412="","",'Tablas Servicio'!C411+1)</f>
        <v>371</v>
      </c>
      <c r="D412" s="56">
        <f>+IF(D411&lt;edadmaxtabla,D411+1/Parámetros!$E$25,"")</f>
        <v>70.936666666666952</v>
      </c>
      <c r="E412" s="57">
        <f t="shared" si="512"/>
        <v>70</v>
      </c>
      <c r="F412" s="59">
        <f t="shared" si="513"/>
        <v>100000</v>
      </c>
      <c r="G412" s="66">
        <f t="shared" si="503"/>
        <v>128.25</v>
      </c>
      <c r="H412" s="66">
        <f t="shared" si="504"/>
        <v>133.38999999999999</v>
      </c>
      <c r="I412" s="66">
        <f t="shared" si="552"/>
        <v>-39.389999999999986</v>
      </c>
      <c r="J412" s="66">
        <f t="shared" si="505"/>
        <v>4.49</v>
      </c>
      <c r="K412" s="66">
        <f t="shared" si="506"/>
        <v>0.65</v>
      </c>
      <c r="L412" s="66">
        <f t="shared" si="507"/>
        <v>0</v>
      </c>
      <c r="M412" s="66">
        <f t="shared" si="508"/>
        <v>0</v>
      </c>
      <c r="N412" s="66">
        <f>+IF(C412="","",ROUND(Parámetros!$D$23,2))</f>
        <v>94</v>
      </c>
      <c r="O412" s="66">
        <f t="shared" si="509"/>
        <v>115.75</v>
      </c>
      <c r="P412" s="66">
        <f>+IF($C412="","",ROUND(IF(B412&gt;Parámetros!$D$117,0,N412*Parámetros!$D$116-G412*Parámetros!$D$100),2))</f>
        <v>0</v>
      </c>
      <c r="Q412" s="75">
        <f t="shared" si="553"/>
        <v>3.5009746588693956E-2</v>
      </c>
      <c r="R412" s="75">
        <f t="shared" si="554"/>
        <v>5.0682261208577E-3</v>
      </c>
      <c r="S412" s="117">
        <f>+IF($C412="","",ROUND((S411+I412)*(1+Parámetros!$D$91),2))</f>
        <v>26407.82</v>
      </c>
      <c r="T412" s="117">
        <f>+IF($C412="","",ROUND(S412*VLOOKUP(B412,Parámetros!$C$30:$D$39,2,TRUE),2))</f>
        <v>26407.82</v>
      </c>
      <c r="U412" s="117">
        <f>+IF($C412="","",ROUND((U411+I412)*(1+Parámetros!$D$92),2))</f>
        <v>29493.75</v>
      </c>
      <c r="V412" s="117">
        <f>+IF($C412="","",ROUND(U412*VLOOKUP(B412,Parámetros!$C$30:$D$39,2,TRUE),2))</f>
        <v>29493.75</v>
      </c>
      <c r="W412" s="57">
        <f t="shared" si="555"/>
        <v>371</v>
      </c>
      <c r="X412" t="str">
        <f t="shared" si="556"/>
        <v>00058</v>
      </c>
      <c r="Y412" t="str">
        <f t="shared" si="557"/>
        <v>MUERTE POR CUALQUIER CAUSA</v>
      </c>
      <c r="Z412" s="118">
        <f>+IF($W412="","",ROUND(IF(Parámetros!$D$25='TABLAS MORT'!$V$33,Z411,Parámetros!$D$21-'Tablas Servicio'!T411),0))</f>
        <v>100000</v>
      </c>
      <c r="AA412" s="118" t="str">
        <f t="shared" si="558"/>
        <v>P</v>
      </c>
      <c r="AB412" s="119">
        <f>+IF(W412="","",ROUND((VLOOKUP(ROUNDDOWN($D412-1/frec,0),qx_tabla,2,FALSE)*(1+i/frec)^-0.5*(1+Parámetros!$D$103)*(1+rec_fracc)/frec),6))</f>
        <v>1.1249999999999999E-3</v>
      </c>
      <c r="AC412" s="66">
        <f t="shared" si="514"/>
        <v>112.5</v>
      </c>
      <c r="AD412" s="119">
        <f t="shared" si="510"/>
        <v>1.25E-3</v>
      </c>
      <c r="AE412" s="66">
        <f>+IF($W412="","",ROUND(IF($B412&gt;Parámetros!$D$107,'Tablas Servicio'!AC412+('Tablas Servicio'!AG411-'Tablas Servicio'!AC411),AC412/(1-IF(B412&lt;=10,Parámetros!$D$104,Parámetros!$D$105))),2))</f>
        <v>187.5</v>
      </c>
      <c r="AF412" s="66">
        <f>+IF($W412="","",ROUND(IF($B412&gt;Parámetros!$D$107,'Tablas Servicio'!AC412+('Tablas Servicio'!AG411-'Tablas Servicio'!AC411),(AC412+$A411/frec)/(1-IF(B412&lt;=Parámetros!$D$117,Parámetros!$D$100,0))),2))</f>
        <v>125</v>
      </c>
      <c r="AG412" s="66">
        <f t="shared" si="515"/>
        <v>125</v>
      </c>
      <c r="AH412" s="66">
        <f t="shared" si="516"/>
        <v>0</v>
      </c>
      <c r="AI412" s="66">
        <f t="shared" si="517"/>
        <v>0</v>
      </c>
      <c r="AJ412" s="66">
        <f>+IF($W412="","",ROUND((AG412*Parámetros!$G$85),2))</f>
        <v>4.38</v>
      </c>
      <c r="AK412" s="66">
        <f>+IF($W412="","",ROUND((AG412*(Parámetros!$G$86)),2))</f>
        <v>0.63</v>
      </c>
      <c r="AL412" s="66">
        <f t="shared" si="511"/>
        <v>130.01</v>
      </c>
      <c r="AM412" t="str">
        <f t="shared" si="559"/>
        <v>00059</v>
      </c>
      <c r="AN412" t="str">
        <f t="shared" si="560"/>
        <v>Incapacidad Total y Permanente</v>
      </c>
      <c r="AO412" s="118">
        <f t="shared" si="561"/>
        <v>0</v>
      </c>
      <c r="AP412" s="118" t="str">
        <f t="shared" si="562"/>
        <v>A</v>
      </c>
      <c r="AQ412" s="119" t="str">
        <f>+IF(OR($W412="",AO412=0),"",ROUND((VLOOKUP(ROUNDDOWN($D412-1/frec,0),cob_adi,Z$40,FALSE)*(1+i/frec)^-0.5*(1+Parámetros!$D$103)*(1+rec_fracc)/frec),6))</f>
        <v/>
      </c>
      <c r="AR412" s="66">
        <f t="shared" si="518"/>
        <v>0</v>
      </c>
      <c r="AS412" s="119" t="str">
        <f t="shared" si="519"/>
        <v/>
      </c>
      <c r="AT412" s="66">
        <f>+IF($W412="","",ROUND(IF($B412&gt;Parámetros!$D$107,'Tablas Servicio'!AR412+('Tablas Servicio'!AT411-'Tablas Servicio'!AR411),AR412/(1-IF(B412&lt;=10,Parámetros!$D$100,0))),2))</f>
        <v>0</v>
      </c>
      <c r="AU412" s="66">
        <f t="shared" si="520"/>
        <v>0</v>
      </c>
      <c r="AV412" s="66">
        <f t="shared" si="520"/>
        <v>0</v>
      </c>
      <c r="AW412" s="66">
        <f>+IF($W412="","",ROUND((AT412*Parámetros!$G$85),2))</f>
        <v>0</v>
      </c>
      <c r="AX412" s="66">
        <f>+IF($W412="","",ROUND((AT412*(Parámetros!$G$86)),2))</f>
        <v>0</v>
      </c>
      <c r="AY412" s="66">
        <f t="shared" si="521"/>
        <v>0</v>
      </c>
      <c r="AZ412" t="str">
        <f t="shared" si="563"/>
        <v>00060</v>
      </c>
      <c r="BA412" t="str">
        <f t="shared" si="564"/>
        <v>Muerte Accidental</v>
      </c>
      <c r="BB412" s="118">
        <f t="shared" si="565"/>
        <v>0</v>
      </c>
      <c r="BC412" s="118" t="str">
        <f t="shared" si="566"/>
        <v>A</v>
      </c>
      <c r="BD412" s="119" t="str">
        <f>+IF(OR($W412="",BB412=0),"",ROUND((VLOOKUP(ROUNDDOWN($D412-1/frec,0),cob_adi,AO$40,FALSE)*(1+i/frec)^-0.5*(1+Parámetros!$D$103)*(1+rec_fracc)/frec),6))</f>
        <v/>
      </c>
      <c r="BE412" s="66">
        <f t="shared" si="522"/>
        <v>0</v>
      </c>
      <c r="BF412" s="119" t="str">
        <f t="shared" si="523"/>
        <v/>
      </c>
      <c r="BG412" s="66">
        <f>+IF($W412="","",ROUND(IF($B412&gt;Parámetros!$D$107,'Tablas Servicio'!BE412+('Tablas Servicio'!BG411-'Tablas Servicio'!BE411),BE412/(1-IF(B412&lt;=10,Parámetros!$D$100,0))),2))</f>
        <v>0</v>
      </c>
      <c r="BH412" s="66">
        <f t="shared" si="524"/>
        <v>0</v>
      </c>
      <c r="BI412" s="66">
        <f t="shared" si="525"/>
        <v>0</v>
      </c>
      <c r="BJ412" s="66">
        <f>+IF($W412="","",ROUND((BG412*Parámetros!$G$85),2))</f>
        <v>0</v>
      </c>
      <c r="BK412" s="66">
        <f>+IF($W412="","",ROUND((BG412*(Parámetros!$G$86)),2))</f>
        <v>0</v>
      </c>
      <c r="BL412" s="66">
        <f t="shared" si="526"/>
        <v>0</v>
      </c>
      <c r="BM412" t="str">
        <f t="shared" si="567"/>
        <v>00061</v>
      </c>
      <c r="BN412" t="str">
        <f t="shared" si="568"/>
        <v>Gastos de Entierro</v>
      </c>
      <c r="BO412" s="118">
        <f t="shared" si="569"/>
        <v>0</v>
      </c>
      <c r="BP412" s="118" t="str">
        <f t="shared" si="570"/>
        <v>A</v>
      </c>
      <c r="BQ412" s="119" t="str">
        <f>+IF(OR($W412="",BO412=0),"",ROUND((VLOOKUP(ROUNDDOWN($D412-1/frec,0),cob_adi,BB$40,FALSE)*(1+i/frec)^-0.5*(1+Parámetros!$D$103)*(1+rec_fracc)/frec),6))</f>
        <v/>
      </c>
      <c r="BR412" s="66">
        <f t="shared" si="527"/>
        <v>0</v>
      </c>
      <c r="BS412" s="119" t="str">
        <f t="shared" si="528"/>
        <v/>
      </c>
      <c r="BT412" s="66">
        <f>+IF($W412="","",ROUND(IF($B412&gt;Parámetros!$D$107,'Tablas Servicio'!BR412+('Tablas Servicio'!BT411-'Tablas Servicio'!BR411),BR412/(1-IF(B412&lt;=10,Parámetros!$D$100,0))),2))</f>
        <v>0</v>
      </c>
      <c r="BU412" s="66">
        <f t="shared" si="529"/>
        <v>0</v>
      </c>
      <c r="BV412" s="66">
        <f t="shared" si="529"/>
        <v>0</v>
      </c>
      <c r="BW412" s="66">
        <f>+IF($W412="","",ROUND((BT412*Parámetros!$G$85),2))</f>
        <v>0</v>
      </c>
      <c r="BX412" s="66">
        <f>+IF($W412="","",ROUND((BT412*(Parámetros!$G$86)),2))</f>
        <v>0</v>
      </c>
      <c r="BY412" s="66">
        <f t="shared" si="530"/>
        <v>0</v>
      </c>
      <c r="BZ412" t="str">
        <f t="shared" si="571"/>
        <v>00062</v>
      </c>
      <c r="CA412" t="str">
        <f t="shared" si="572"/>
        <v>Gastos médicos por accidente</v>
      </c>
      <c r="CB412" s="118">
        <f t="shared" si="573"/>
        <v>0</v>
      </c>
      <c r="CC412" s="118" t="str">
        <f t="shared" si="574"/>
        <v>A</v>
      </c>
      <c r="CD412" s="119" t="str">
        <f t="shared" si="531"/>
        <v/>
      </c>
      <c r="CE412" s="66">
        <f>+IF($W412="","",ROUND((VLOOKUP(ROUNDDOWN($D412-1/frec,0),cob_adi,BO$40,FALSE)*(1+i/frec)^-0.5*(1+Parámetros!$D$103)*(1+rec_fracc)/frec*'TABLAS ADI'!$BC$17),2))</f>
        <v>0</v>
      </c>
      <c r="CF412" s="119" t="str">
        <f t="shared" si="532"/>
        <v/>
      </c>
      <c r="CG412" s="66">
        <f>+IF($W412="","",ROUND(IF($B412&gt;Parámetros!$D$107,'Tablas Servicio'!CE412+('Tablas Servicio'!CG411-'Tablas Servicio'!CE411),CE412/(1-IF(B412&lt;=10,Parámetros!$D$100,0))),2))</f>
        <v>0</v>
      </c>
      <c r="CH412" s="66">
        <f t="shared" si="533"/>
        <v>0</v>
      </c>
      <c r="CI412" s="66">
        <f t="shared" si="533"/>
        <v>0</v>
      </c>
      <c r="CJ412" s="66">
        <f>+IF($W412="","",ROUND((CG412*Parámetros!$G$85),2))</f>
        <v>0</v>
      </c>
      <c r="CK412" s="66">
        <f>+IF($W412="","",ROUND((CG412*(Parámetros!$G$86)),2))</f>
        <v>0</v>
      </c>
      <c r="CL412" s="66">
        <f t="shared" si="534"/>
        <v>0</v>
      </c>
      <c r="CM412" t="str">
        <f t="shared" si="575"/>
        <v>00063</v>
      </c>
      <c r="CN412" s="118" t="str">
        <f t="shared" si="576"/>
        <v>Renta Diaria por Hospitalización</v>
      </c>
      <c r="CO412" s="118">
        <f t="shared" si="577"/>
        <v>0</v>
      </c>
      <c r="CP412" s="118" t="str">
        <f t="shared" si="578"/>
        <v>A</v>
      </c>
      <c r="CQ412" s="119" t="str">
        <f t="shared" si="535"/>
        <v/>
      </c>
      <c r="CR412" s="66">
        <f>+IF($W412="","",ROUND((VLOOKUP(Parámetros!$F$51,'COBERTURAS ADICIONALES'!$S$4:$T$32,2,FALSE)*(1+i/frec)^-0.5*(1+Parámetros!$D$103)*(1+rec_fracc)/frec*$CO$42),2))</f>
        <v>0</v>
      </c>
      <c r="CS412" s="119" t="str">
        <f t="shared" si="536"/>
        <v/>
      </c>
      <c r="CT412" s="66">
        <f>+IF($W412="","",ROUND(IF($B412&gt;Parámetros!$D$107,'Tablas Servicio'!CR412+('Tablas Servicio'!CT411-'Tablas Servicio'!CR411),CR412/(1-IF(B412&lt;=10,Parámetros!$D$100,0))),2))</f>
        <v>0</v>
      </c>
      <c r="CU412" s="66">
        <f t="shared" si="537"/>
        <v>0</v>
      </c>
      <c r="CV412" s="66">
        <f t="shared" si="537"/>
        <v>0</v>
      </c>
      <c r="CW412" s="66">
        <f>+IF($W412="","",ROUND((CT412*Parámetros!$G$85),2))</f>
        <v>0</v>
      </c>
      <c r="CX412" s="66">
        <f>+IF($W412="","",ROUND((CT412*(Parámetros!$G$86)),2))</f>
        <v>0</v>
      </c>
      <c r="CY412" s="66">
        <f t="shared" si="538"/>
        <v>0</v>
      </c>
      <c r="CZ412" t="str">
        <f t="shared" si="579"/>
        <v>00064</v>
      </c>
      <c r="DA412" s="118" t="str">
        <f t="shared" si="580"/>
        <v>Enfermedades Graves</v>
      </c>
      <c r="DB412" s="118">
        <f t="shared" si="581"/>
        <v>0</v>
      </c>
      <c r="DC412" s="118" t="str">
        <f t="shared" si="582"/>
        <v>A</v>
      </c>
      <c r="DD412" s="121" t="str">
        <f>+IF(OR($W412="",DB412=0),"",ROUND((VLOOKUP(ROUNDDOWN($D412-1/frec,0),cob_adi,CO$40,FALSE)*(1+i/frec)^-0.5*(1+Parámetros!$D$103)*(1+rec_fracc)/frec),6))</f>
        <v/>
      </c>
      <c r="DE412" s="66">
        <f t="shared" si="539"/>
        <v>0</v>
      </c>
      <c r="DF412" s="119" t="str">
        <f t="shared" si="540"/>
        <v/>
      </c>
      <c r="DG412" s="66">
        <f>+IF($W412="","",ROUND(IF($B412&gt;Parámetros!$D$107,'Tablas Servicio'!DE412+('Tablas Servicio'!DG411-'Tablas Servicio'!DE411),DE412/(1-IF(B412&lt;=10,Parámetros!$D$100,0))),2))</f>
        <v>0</v>
      </c>
      <c r="DH412" s="66">
        <f t="shared" si="541"/>
        <v>0</v>
      </c>
      <c r="DI412" s="66">
        <f t="shared" si="541"/>
        <v>0</v>
      </c>
      <c r="DJ412" s="66">
        <f>+IF($W412="","",ROUND((DG412*Parámetros!$G$85),2))</f>
        <v>0</v>
      </c>
      <c r="DK412" s="66">
        <f>+IF($W412="","",ROUND((DG412*(Parámetros!$G$86)),2))</f>
        <v>0</v>
      </c>
      <c r="DL412" s="66">
        <f t="shared" si="542"/>
        <v>0</v>
      </c>
      <c r="DM412" t="str">
        <f t="shared" si="583"/>
        <v>00065</v>
      </c>
      <c r="DN412" s="118" t="str">
        <f t="shared" si="584"/>
        <v>Exención pago de primas</v>
      </c>
      <c r="DO412" s="118">
        <f t="shared" si="585"/>
        <v>0</v>
      </c>
      <c r="DP412" s="118" t="str">
        <f t="shared" si="586"/>
        <v>A</v>
      </c>
      <c r="DQ412" s="122" t="str">
        <f>+IF(OR($W412="",DO412=0),"",ROUND((VLOOKUP(ROUNDDOWN($D412-1/frec,0),cob_adi,DB$40,FALSE)*(1+i/frec)^-0.5*(1+Parámetros!$D$103)*(1+rec_fracc)/frec),6))</f>
        <v/>
      </c>
      <c r="DR412" s="66">
        <f t="shared" si="543"/>
        <v>0</v>
      </c>
      <c r="DS412" s="68" t="str">
        <f t="shared" si="544"/>
        <v/>
      </c>
      <c r="DT412" s="66">
        <f>+IF($W412="","",ROUND(IF($B412&gt;Parámetros!$D$107,'Tablas Servicio'!DR412+('Tablas Servicio'!DT411-'Tablas Servicio'!DR411),DR412/(1-IF(B412&lt;=10,Parámetros!$D$100,0))),2))</f>
        <v>0</v>
      </c>
      <c r="DU412" s="66">
        <f t="shared" si="545"/>
        <v>0</v>
      </c>
      <c r="DV412" s="66">
        <f t="shared" si="545"/>
        <v>0</v>
      </c>
      <c r="DW412" s="66">
        <f>+IF($W412="","",ROUND((DT412*Parámetros!$G$85),2))</f>
        <v>0</v>
      </c>
      <c r="DX412" s="66">
        <f>+IF($W412="","",ROUND((DT412*(Parámetros!$G$86)),2))</f>
        <v>0</v>
      </c>
      <c r="DY412" s="66">
        <f t="shared" si="546"/>
        <v>0</v>
      </c>
      <c r="DZ412" t="str">
        <f t="shared" si="589"/>
        <v>00066</v>
      </c>
      <c r="EA412" s="118" t="str">
        <f t="shared" si="589"/>
        <v>Enfermedad terminal</v>
      </c>
      <c r="EB412" s="118">
        <f>+IF($W412="","",ROUND(IF(Parámetros!$D$25='TABLAS MORT'!$V$33,EB411,Z412/2),0))</f>
        <v>50000</v>
      </c>
      <c r="EC412" s="118" t="str">
        <f t="shared" si="589"/>
        <v>A</v>
      </c>
      <c r="ED412" s="122">
        <f>+IF(OR($W412="",EB412=0),"",ROUND((VLOOKUP(ROUNDDOWN($D412-1/frec,0),cob_adi,DO$40,FALSE)*(1+i/frec)^-0.5*(1+Parámetros!$D$103)*(1+rec_fracc)/frec),6))</f>
        <v>6.4999999999999994E-5</v>
      </c>
      <c r="EE412" s="66">
        <f t="shared" si="548"/>
        <v>3.25</v>
      </c>
      <c r="EF412" s="68">
        <f t="shared" si="549"/>
        <v>6.4999999999999994E-5</v>
      </c>
      <c r="EG412" s="66">
        <f>+IF($W412="","",ROUND(IF($B412&gt;Parámetros!$D$107,'Tablas Servicio'!EE412+('Tablas Servicio'!EG411-'Tablas Servicio'!EE411),EE412/(1-IF(B412&lt;=10,Parámetros!$D$100,0))),2))</f>
        <v>3.25</v>
      </c>
      <c r="EH412" s="66">
        <f t="shared" si="550"/>
        <v>0</v>
      </c>
      <c r="EI412" s="66">
        <f t="shared" si="550"/>
        <v>0</v>
      </c>
      <c r="EJ412" s="66">
        <f>+IF($W412="","",ROUND((EG412*Parámetros!$G$85),2))</f>
        <v>0.11</v>
      </c>
      <c r="EK412" s="66">
        <f>+IF($W412="","",ROUND((EG412*(Parámetros!$G$86)),2))</f>
        <v>0.02</v>
      </c>
      <c r="EL412" s="66">
        <f t="shared" si="551"/>
        <v>3.38</v>
      </c>
    </row>
    <row r="413" spans="1:142" x14ac:dyDescent="0.25">
      <c r="A413">
        <f>+IF($C413="","",ROUND(VLOOKUP('Tablas Servicio'!B413,Parámetros!$H$100:$J$159,IF(Parámetros!$E$16="F",2,3),FALSE),2))</f>
        <v>150</v>
      </c>
      <c r="B413">
        <f t="shared" si="502"/>
        <v>31</v>
      </c>
      <c r="C413" s="57">
        <f>+IF(D413="","",'Tablas Servicio'!C412+1)</f>
        <v>372</v>
      </c>
      <c r="D413" s="56">
        <f>+IF(D412&lt;edadmaxtabla,D412+1/Parámetros!$E$25,"")</f>
        <v>71.02000000000028</v>
      </c>
      <c r="E413" s="57">
        <f t="shared" si="512"/>
        <v>71</v>
      </c>
      <c r="F413" s="59">
        <f t="shared" si="513"/>
        <v>100000</v>
      </c>
      <c r="G413" s="66">
        <f t="shared" si="503"/>
        <v>128.25</v>
      </c>
      <c r="H413" s="66">
        <f t="shared" si="504"/>
        <v>133.38999999999999</v>
      </c>
      <c r="I413" s="66">
        <f t="shared" si="552"/>
        <v>-39.389999999999986</v>
      </c>
      <c r="J413" s="66">
        <f t="shared" si="505"/>
        <v>4.49</v>
      </c>
      <c r="K413" s="66">
        <f t="shared" si="506"/>
        <v>0.65</v>
      </c>
      <c r="L413" s="66">
        <f t="shared" si="507"/>
        <v>0</v>
      </c>
      <c r="M413" s="66">
        <f t="shared" si="508"/>
        <v>0</v>
      </c>
      <c r="N413" s="66">
        <f>+IF(C413="","",ROUND(Parámetros!$D$23,2))</f>
        <v>94</v>
      </c>
      <c r="O413" s="66">
        <f t="shared" si="509"/>
        <v>115.75</v>
      </c>
      <c r="P413" s="66">
        <f>+IF($C413="","",ROUND(IF(B413&gt;Parámetros!$D$117,0,N413*Parámetros!$D$116-G413*Parámetros!$D$100),2))</f>
        <v>0</v>
      </c>
      <c r="Q413" s="75">
        <f t="shared" si="553"/>
        <v>3.5009746588693956E-2</v>
      </c>
      <c r="R413" s="75">
        <f t="shared" si="554"/>
        <v>5.0682261208577E-3</v>
      </c>
      <c r="S413" s="117">
        <f>+IF($C413="","",ROUND((S412+I413)*(1+Parámetros!$D$91),2))</f>
        <v>26443.22</v>
      </c>
      <c r="T413" s="117">
        <f>+IF($C413="","",ROUND(S413*VLOOKUP(B413,Parámetros!$C$30:$D$39,2,TRUE),2))</f>
        <v>26443.22</v>
      </c>
      <c r="U413" s="117">
        <f>+IF($C413="","",ROUND((U412+I413)*(1+Parámetros!$D$92),2))</f>
        <v>29549.84</v>
      </c>
      <c r="V413" s="117">
        <f>+IF($C413="","",ROUND(U413*VLOOKUP(B413,Parámetros!$C$30:$D$39,2,TRUE),2))</f>
        <v>29549.84</v>
      </c>
      <c r="W413" s="57">
        <f t="shared" si="555"/>
        <v>372</v>
      </c>
      <c r="X413" t="str">
        <f t="shared" si="556"/>
        <v>00058</v>
      </c>
      <c r="Y413" t="str">
        <f t="shared" si="557"/>
        <v>MUERTE POR CUALQUIER CAUSA</v>
      </c>
      <c r="Z413" s="118">
        <f>+IF($W413="","",ROUND(IF(Parámetros!$D$25='TABLAS MORT'!$V$33,Z412,Parámetros!$D$21-'Tablas Servicio'!T412),0))</f>
        <v>100000</v>
      </c>
      <c r="AA413" s="118" t="str">
        <f t="shared" si="558"/>
        <v>P</v>
      </c>
      <c r="AB413" s="119">
        <f>+IF(W413="","",ROUND((VLOOKUP(ROUNDDOWN($D413-1/frec,0),qx_tabla,2,FALSE)*(1+i/frec)^-0.5*(1+Parámetros!$D$103)*(1+rec_fracc)/frec),6))</f>
        <v>1.1249999999999999E-3</v>
      </c>
      <c r="AC413" s="66">
        <f t="shared" si="514"/>
        <v>112.5</v>
      </c>
      <c r="AD413" s="119">
        <f t="shared" si="510"/>
        <v>1.25E-3</v>
      </c>
      <c r="AE413" s="66">
        <f>+IF($W413="","",ROUND(IF($B413&gt;Parámetros!$D$107,'Tablas Servicio'!AC413+('Tablas Servicio'!AG412-'Tablas Servicio'!AC412),AC413/(1-IF(B413&lt;=10,Parámetros!$D$104,Parámetros!$D$105))),2))</f>
        <v>187.5</v>
      </c>
      <c r="AF413" s="66">
        <f>+IF($W413="","",ROUND(IF($B413&gt;Parámetros!$D$107,'Tablas Servicio'!AC413+('Tablas Servicio'!AG412-'Tablas Servicio'!AC412),(AC413+$A412/frec)/(1-IF(B413&lt;=Parámetros!$D$117,Parámetros!$D$100,0))),2))</f>
        <v>125</v>
      </c>
      <c r="AG413" s="66">
        <f t="shared" si="515"/>
        <v>125</v>
      </c>
      <c r="AH413" s="66">
        <f t="shared" si="516"/>
        <v>0</v>
      </c>
      <c r="AI413" s="66">
        <f t="shared" si="517"/>
        <v>0</v>
      </c>
      <c r="AJ413" s="66">
        <f>+IF($W413="","",ROUND((AG413*Parámetros!$G$85),2))</f>
        <v>4.38</v>
      </c>
      <c r="AK413" s="66">
        <f>+IF($W413="","",ROUND((AG413*(Parámetros!$G$86)),2))</f>
        <v>0.63</v>
      </c>
      <c r="AL413" s="66">
        <f t="shared" si="511"/>
        <v>130.01</v>
      </c>
      <c r="AM413" t="str">
        <f t="shared" si="559"/>
        <v>00059</v>
      </c>
      <c r="AN413" t="str">
        <f t="shared" si="560"/>
        <v>Incapacidad Total y Permanente</v>
      </c>
      <c r="AO413" s="118">
        <f t="shared" si="561"/>
        <v>0</v>
      </c>
      <c r="AP413" s="118" t="str">
        <f t="shared" si="562"/>
        <v>A</v>
      </c>
      <c r="AQ413" s="119" t="str">
        <f>+IF(OR($W413="",AO413=0),"",ROUND((VLOOKUP(ROUNDDOWN($D413-1/frec,0),cob_adi,Z$40,FALSE)*(1+i/frec)^-0.5*(1+Parámetros!$D$103)*(1+rec_fracc)/frec),6))</f>
        <v/>
      </c>
      <c r="AR413" s="66">
        <f t="shared" si="518"/>
        <v>0</v>
      </c>
      <c r="AS413" s="119" t="str">
        <f t="shared" si="519"/>
        <v/>
      </c>
      <c r="AT413" s="66">
        <f>+IF($W413="","",ROUND(IF($B413&gt;Parámetros!$D$107,'Tablas Servicio'!AR413+('Tablas Servicio'!AT412-'Tablas Servicio'!AR412),AR413/(1-IF(B413&lt;=10,Parámetros!$D$100,0))),2))</f>
        <v>0</v>
      </c>
      <c r="AU413" s="66">
        <f t="shared" si="520"/>
        <v>0</v>
      </c>
      <c r="AV413" s="66">
        <f t="shared" si="520"/>
        <v>0</v>
      </c>
      <c r="AW413" s="66">
        <f>+IF($W413="","",ROUND((AT413*Parámetros!$G$85),2))</f>
        <v>0</v>
      </c>
      <c r="AX413" s="66">
        <f>+IF($W413="","",ROUND((AT413*(Parámetros!$G$86)),2))</f>
        <v>0</v>
      </c>
      <c r="AY413" s="66">
        <f t="shared" si="521"/>
        <v>0</v>
      </c>
      <c r="AZ413" t="str">
        <f t="shared" si="563"/>
        <v>00060</v>
      </c>
      <c r="BA413" t="str">
        <f t="shared" si="564"/>
        <v>Muerte Accidental</v>
      </c>
      <c r="BB413" s="118">
        <f t="shared" si="565"/>
        <v>0</v>
      </c>
      <c r="BC413" s="118" t="str">
        <f t="shared" si="566"/>
        <v>A</v>
      </c>
      <c r="BD413" s="119" t="str">
        <f>+IF(OR($W413="",BB413=0),"",ROUND((VLOOKUP(ROUNDDOWN($D413-1/frec,0),cob_adi,AO$40,FALSE)*(1+i/frec)^-0.5*(1+Parámetros!$D$103)*(1+rec_fracc)/frec),6))</f>
        <v/>
      </c>
      <c r="BE413" s="66">
        <f t="shared" si="522"/>
        <v>0</v>
      </c>
      <c r="BF413" s="119" t="str">
        <f t="shared" si="523"/>
        <v/>
      </c>
      <c r="BG413" s="66">
        <f>+IF($W413="","",ROUND(IF($B413&gt;Parámetros!$D$107,'Tablas Servicio'!BE413+('Tablas Servicio'!BG412-'Tablas Servicio'!BE412),BE413/(1-IF(B413&lt;=10,Parámetros!$D$100,0))),2))</f>
        <v>0</v>
      </c>
      <c r="BH413" s="66">
        <f t="shared" si="524"/>
        <v>0</v>
      </c>
      <c r="BI413" s="66">
        <f t="shared" si="525"/>
        <v>0</v>
      </c>
      <c r="BJ413" s="66">
        <f>+IF($W413="","",ROUND((BG413*Parámetros!$G$85),2))</f>
        <v>0</v>
      </c>
      <c r="BK413" s="66">
        <f>+IF($W413="","",ROUND((BG413*(Parámetros!$G$86)),2))</f>
        <v>0</v>
      </c>
      <c r="BL413" s="66">
        <f t="shared" si="526"/>
        <v>0</v>
      </c>
      <c r="BM413" t="str">
        <f t="shared" si="567"/>
        <v>00061</v>
      </c>
      <c r="BN413" t="str">
        <f t="shared" si="568"/>
        <v>Gastos de Entierro</v>
      </c>
      <c r="BO413" s="118">
        <f t="shared" si="569"/>
        <v>0</v>
      </c>
      <c r="BP413" s="118" t="str">
        <f t="shared" si="570"/>
        <v>A</v>
      </c>
      <c r="BQ413" s="119" t="str">
        <f>+IF(OR($W413="",BO413=0),"",ROUND((VLOOKUP(ROUNDDOWN($D413-1/frec,0),cob_adi,BB$40,FALSE)*(1+i/frec)^-0.5*(1+Parámetros!$D$103)*(1+rec_fracc)/frec),6))</f>
        <v/>
      </c>
      <c r="BR413" s="66">
        <f t="shared" si="527"/>
        <v>0</v>
      </c>
      <c r="BS413" s="119" t="str">
        <f t="shared" si="528"/>
        <v/>
      </c>
      <c r="BT413" s="66">
        <f>+IF($W413="","",ROUND(IF($B413&gt;Parámetros!$D$107,'Tablas Servicio'!BR413+('Tablas Servicio'!BT412-'Tablas Servicio'!BR412),BR413/(1-IF(B413&lt;=10,Parámetros!$D$100,0))),2))</f>
        <v>0</v>
      </c>
      <c r="BU413" s="66">
        <f t="shared" si="529"/>
        <v>0</v>
      </c>
      <c r="BV413" s="66">
        <f t="shared" si="529"/>
        <v>0</v>
      </c>
      <c r="BW413" s="66">
        <f>+IF($W413="","",ROUND((BT413*Parámetros!$G$85),2))</f>
        <v>0</v>
      </c>
      <c r="BX413" s="66">
        <f>+IF($W413="","",ROUND((BT413*(Parámetros!$G$86)),2))</f>
        <v>0</v>
      </c>
      <c r="BY413" s="66">
        <f t="shared" si="530"/>
        <v>0</v>
      </c>
      <c r="BZ413" t="str">
        <f t="shared" si="571"/>
        <v>00062</v>
      </c>
      <c r="CA413" t="str">
        <f t="shared" si="572"/>
        <v>Gastos médicos por accidente</v>
      </c>
      <c r="CB413" s="118">
        <f t="shared" si="573"/>
        <v>0</v>
      </c>
      <c r="CC413" s="118" t="str">
        <f t="shared" si="574"/>
        <v>A</v>
      </c>
      <c r="CD413" s="119" t="str">
        <f t="shared" si="531"/>
        <v/>
      </c>
      <c r="CE413" s="66">
        <f>+IF($W413="","",ROUND((VLOOKUP(ROUNDDOWN($D413-1/frec,0),cob_adi,BO$40,FALSE)*(1+i/frec)^-0.5*(1+Parámetros!$D$103)*(1+rec_fracc)/frec*'TABLAS ADI'!$BC$17),2))</f>
        <v>0</v>
      </c>
      <c r="CF413" s="119" t="str">
        <f t="shared" si="532"/>
        <v/>
      </c>
      <c r="CG413" s="66">
        <f>+IF($W413="","",ROUND(IF($B413&gt;Parámetros!$D$107,'Tablas Servicio'!CE413+('Tablas Servicio'!CG412-'Tablas Servicio'!CE412),CE413/(1-IF(B413&lt;=10,Parámetros!$D$100,0))),2))</f>
        <v>0</v>
      </c>
      <c r="CH413" s="66">
        <f t="shared" si="533"/>
        <v>0</v>
      </c>
      <c r="CI413" s="66">
        <f t="shared" si="533"/>
        <v>0</v>
      </c>
      <c r="CJ413" s="66">
        <f>+IF($W413="","",ROUND((CG413*Parámetros!$G$85),2))</f>
        <v>0</v>
      </c>
      <c r="CK413" s="66">
        <f>+IF($W413="","",ROUND((CG413*(Parámetros!$G$86)),2))</f>
        <v>0</v>
      </c>
      <c r="CL413" s="66">
        <f t="shared" si="534"/>
        <v>0</v>
      </c>
      <c r="CM413" t="str">
        <f t="shared" si="575"/>
        <v>00063</v>
      </c>
      <c r="CN413" s="118" t="str">
        <f t="shared" si="576"/>
        <v>Renta Diaria por Hospitalización</v>
      </c>
      <c r="CO413" s="118">
        <f t="shared" si="577"/>
        <v>0</v>
      </c>
      <c r="CP413" s="118" t="str">
        <f t="shared" si="578"/>
        <v>A</v>
      </c>
      <c r="CQ413" s="119" t="str">
        <f t="shared" si="535"/>
        <v/>
      </c>
      <c r="CR413" s="66">
        <f>+IF($W413="","",ROUND((VLOOKUP(Parámetros!$F$51,'COBERTURAS ADICIONALES'!$S$4:$T$32,2,FALSE)*(1+i/frec)^-0.5*(1+Parámetros!$D$103)*(1+rec_fracc)/frec*$CO$42),2))</f>
        <v>0</v>
      </c>
      <c r="CS413" s="119" t="str">
        <f t="shared" si="536"/>
        <v/>
      </c>
      <c r="CT413" s="66">
        <f>+IF($W413="","",ROUND(IF($B413&gt;Parámetros!$D$107,'Tablas Servicio'!CR413+('Tablas Servicio'!CT412-'Tablas Servicio'!CR412),CR413/(1-IF(B413&lt;=10,Parámetros!$D$100,0))),2))</f>
        <v>0</v>
      </c>
      <c r="CU413" s="66">
        <f t="shared" si="537"/>
        <v>0</v>
      </c>
      <c r="CV413" s="66">
        <f t="shared" si="537"/>
        <v>0</v>
      </c>
      <c r="CW413" s="66">
        <f>+IF($W413="","",ROUND((CT413*Parámetros!$G$85),2))</f>
        <v>0</v>
      </c>
      <c r="CX413" s="66">
        <f>+IF($W413="","",ROUND((CT413*(Parámetros!$G$86)),2))</f>
        <v>0</v>
      </c>
      <c r="CY413" s="66">
        <f t="shared" si="538"/>
        <v>0</v>
      </c>
      <c r="CZ413" t="str">
        <f t="shared" si="579"/>
        <v>00064</v>
      </c>
      <c r="DA413" s="118" t="str">
        <f t="shared" si="580"/>
        <v>Enfermedades Graves</v>
      </c>
      <c r="DB413" s="118">
        <f t="shared" si="581"/>
        <v>0</v>
      </c>
      <c r="DC413" s="118" t="str">
        <f t="shared" si="582"/>
        <v>A</v>
      </c>
      <c r="DD413" s="121" t="str">
        <f>+IF(OR($W413="",DB413=0),"",ROUND((VLOOKUP(ROUNDDOWN($D413-1/frec,0),cob_adi,CO$40,FALSE)*(1+i/frec)^-0.5*(1+Parámetros!$D$103)*(1+rec_fracc)/frec),6))</f>
        <v/>
      </c>
      <c r="DE413" s="66">
        <f t="shared" si="539"/>
        <v>0</v>
      </c>
      <c r="DF413" s="119" t="str">
        <f t="shared" si="540"/>
        <v/>
      </c>
      <c r="DG413" s="66">
        <f>+IF($W413="","",ROUND(IF($B413&gt;Parámetros!$D$107,'Tablas Servicio'!DE413+('Tablas Servicio'!DG412-'Tablas Servicio'!DE412),DE413/(1-IF(B413&lt;=10,Parámetros!$D$100,0))),2))</f>
        <v>0</v>
      </c>
      <c r="DH413" s="66">
        <f t="shared" si="541"/>
        <v>0</v>
      </c>
      <c r="DI413" s="66">
        <f t="shared" si="541"/>
        <v>0</v>
      </c>
      <c r="DJ413" s="66">
        <f>+IF($W413="","",ROUND((DG413*Parámetros!$G$85),2))</f>
        <v>0</v>
      </c>
      <c r="DK413" s="66">
        <f>+IF($W413="","",ROUND((DG413*(Parámetros!$G$86)),2))</f>
        <v>0</v>
      </c>
      <c r="DL413" s="66">
        <f t="shared" si="542"/>
        <v>0</v>
      </c>
      <c r="DM413" t="str">
        <f t="shared" si="583"/>
        <v>00065</v>
      </c>
      <c r="DN413" s="118" t="str">
        <f t="shared" si="584"/>
        <v>Exención pago de primas</v>
      </c>
      <c r="DO413" s="118">
        <f t="shared" si="585"/>
        <v>0</v>
      </c>
      <c r="DP413" s="118" t="str">
        <f t="shared" si="586"/>
        <v>A</v>
      </c>
      <c r="DQ413" s="122" t="str">
        <f>+IF(OR($W413="",DO413=0),"",ROUND((VLOOKUP(ROUNDDOWN($D413-1/frec,0),cob_adi,DB$40,FALSE)*(1+i/frec)^-0.5*(1+Parámetros!$D$103)*(1+rec_fracc)/frec),6))</f>
        <v/>
      </c>
      <c r="DR413" s="66">
        <f t="shared" si="543"/>
        <v>0</v>
      </c>
      <c r="DS413" s="68" t="str">
        <f t="shared" si="544"/>
        <v/>
      </c>
      <c r="DT413" s="66">
        <f>+IF($W413="","",ROUND(IF($B413&gt;Parámetros!$D$107,'Tablas Servicio'!DR413+('Tablas Servicio'!DT412-'Tablas Servicio'!DR412),DR413/(1-IF(B413&lt;=10,Parámetros!$D$100,0))),2))</f>
        <v>0</v>
      </c>
      <c r="DU413" s="66">
        <f t="shared" si="545"/>
        <v>0</v>
      </c>
      <c r="DV413" s="66">
        <f t="shared" si="545"/>
        <v>0</v>
      </c>
      <c r="DW413" s="66">
        <f>+IF($W413="","",ROUND((DT413*Parámetros!$G$85),2))</f>
        <v>0</v>
      </c>
      <c r="DX413" s="66">
        <f>+IF($W413="","",ROUND((DT413*(Parámetros!$G$86)),2))</f>
        <v>0</v>
      </c>
      <c r="DY413" s="66">
        <f t="shared" si="546"/>
        <v>0</v>
      </c>
      <c r="DZ413" t="str">
        <f t="shared" si="589"/>
        <v>00066</v>
      </c>
      <c r="EA413" s="118" t="str">
        <f t="shared" si="589"/>
        <v>Enfermedad terminal</v>
      </c>
      <c r="EB413" s="118">
        <f>+IF($W413="","",ROUND(IF(Parámetros!$D$25='TABLAS MORT'!$V$33,EB412,Z413/2),0))</f>
        <v>50000</v>
      </c>
      <c r="EC413" s="118" t="str">
        <f t="shared" si="589"/>
        <v>A</v>
      </c>
      <c r="ED413" s="122">
        <f>+IF(OR($W413="",EB413=0),"",ROUND((VLOOKUP(ROUNDDOWN($D413-1/frec,0),cob_adi,DO$40,FALSE)*(1+i/frec)^-0.5*(1+Parámetros!$D$103)*(1+rec_fracc)/frec),6))</f>
        <v>6.4999999999999994E-5</v>
      </c>
      <c r="EE413" s="66">
        <f t="shared" si="548"/>
        <v>3.25</v>
      </c>
      <c r="EF413" s="68">
        <f t="shared" si="549"/>
        <v>6.4999999999999994E-5</v>
      </c>
      <c r="EG413" s="66">
        <f>+IF($W413="","",ROUND(IF($B413&gt;Parámetros!$D$107,'Tablas Servicio'!EE413+('Tablas Servicio'!EG412-'Tablas Servicio'!EE412),EE413/(1-IF(B413&lt;=10,Parámetros!$D$100,0))),2))</f>
        <v>3.25</v>
      </c>
      <c r="EH413" s="66">
        <f t="shared" si="550"/>
        <v>0</v>
      </c>
      <c r="EI413" s="66">
        <f t="shared" si="550"/>
        <v>0</v>
      </c>
      <c r="EJ413" s="66">
        <f>+IF($W413="","",ROUND((EG413*Parámetros!$G$85),2))</f>
        <v>0.11</v>
      </c>
      <c r="EK413" s="66">
        <f>+IF($W413="","",ROUND((EG413*(Parámetros!$G$86)),2))</f>
        <v>0.02</v>
      </c>
      <c r="EL413" s="66">
        <f t="shared" si="551"/>
        <v>3.38</v>
      </c>
    </row>
    <row r="414" spans="1:142" x14ac:dyDescent="0.25">
      <c r="A414">
        <f>+IF($C414="","",ROUND(VLOOKUP('Tablas Servicio'!B414,Parámetros!$H$100:$J$159,IF(Parámetros!$E$16="F",2,3),FALSE),2))</f>
        <v>150</v>
      </c>
      <c r="B414">
        <f t="shared" si="502"/>
        <v>32</v>
      </c>
      <c r="C414" s="57">
        <f>+IF(D414="","",'Tablas Servicio'!C413+1)</f>
        <v>373</v>
      </c>
      <c r="D414" s="56">
        <f>+IF(D413&lt;edadmaxtabla,D413+1/Parámetros!$E$25,"")</f>
        <v>71.103333333333609</v>
      </c>
      <c r="E414" s="57">
        <f t="shared" si="512"/>
        <v>71</v>
      </c>
      <c r="F414" s="59">
        <f t="shared" si="513"/>
        <v>100000</v>
      </c>
      <c r="G414" s="66">
        <f t="shared" si="503"/>
        <v>139.65</v>
      </c>
      <c r="H414" s="66">
        <f t="shared" si="504"/>
        <v>145.22999999999999</v>
      </c>
      <c r="I414" s="66">
        <f t="shared" si="552"/>
        <v>-51.22999999999999</v>
      </c>
      <c r="J414" s="66">
        <f t="shared" si="505"/>
        <v>4.88</v>
      </c>
      <c r="K414" s="66">
        <f t="shared" si="506"/>
        <v>0.70000000000000007</v>
      </c>
      <c r="L414" s="66">
        <f t="shared" si="507"/>
        <v>0</v>
      </c>
      <c r="M414" s="66">
        <f t="shared" si="508"/>
        <v>0</v>
      </c>
      <c r="N414" s="66">
        <f>+IF(C414="","",ROUND(Parámetros!$D$23,2))</f>
        <v>94</v>
      </c>
      <c r="O414" s="66">
        <f t="shared" si="509"/>
        <v>127.15</v>
      </c>
      <c r="P414" s="66">
        <f>+IF($C414="","",ROUND(IF(B414&gt;Parámetros!$D$117,0,N414*Parámetros!$D$116-G414*Parámetros!$D$100),2))</f>
        <v>0</v>
      </c>
      <c r="Q414" s="75">
        <f t="shared" si="553"/>
        <v>3.4944504117436444E-2</v>
      </c>
      <c r="R414" s="75">
        <f t="shared" si="554"/>
        <v>5.0125313283208026E-3</v>
      </c>
      <c r="S414" s="117">
        <f>+IF($C414="","",ROUND((S413+I414)*(1+Parámetros!$D$91),2))</f>
        <v>26466.85</v>
      </c>
      <c r="T414" s="117">
        <f>+IF($C414="","",ROUND(S414*VLOOKUP(B414,Parámetros!$C$30:$D$39,2,TRUE),2))</f>
        <v>26466.85</v>
      </c>
      <c r="U414" s="117">
        <f>+IF($C414="","",ROUND((U413+I414)*(1+Parámetros!$D$92),2))</f>
        <v>29594.23</v>
      </c>
      <c r="V414" s="117">
        <f>+IF($C414="","",ROUND(U414*VLOOKUP(B414,Parámetros!$C$30:$D$39,2,TRUE),2))</f>
        <v>29594.23</v>
      </c>
      <c r="W414" s="57">
        <f t="shared" si="555"/>
        <v>373</v>
      </c>
      <c r="X414" t="str">
        <f t="shared" si="556"/>
        <v>00058</v>
      </c>
      <c r="Y414" t="str">
        <f t="shared" si="557"/>
        <v>MUERTE POR CUALQUIER CAUSA</v>
      </c>
      <c r="Z414" s="118">
        <f>+IF($W414="","",ROUND(IF(Parámetros!$D$25='TABLAS MORT'!$V$33,Z413,Parámetros!$D$21-'Tablas Servicio'!T413),0))</f>
        <v>100000</v>
      </c>
      <c r="AA414" s="118" t="str">
        <f t="shared" si="558"/>
        <v>P</v>
      </c>
      <c r="AB414" s="119">
        <f>+IF(W414="","",ROUND((VLOOKUP(ROUNDDOWN($D414-1/frec,0),qx_tabla,2,FALSE)*(1+i/frec)^-0.5*(1+Parámetros!$D$103)*(1+rec_fracc)/frec),6))</f>
        <v>1.2390000000000001E-3</v>
      </c>
      <c r="AC414" s="66">
        <f t="shared" si="514"/>
        <v>123.9</v>
      </c>
      <c r="AD414" s="119">
        <f t="shared" si="510"/>
        <v>1.364E-3</v>
      </c>
      <c r="AE414" s="66">
        <f>+IF($W414="","",ROUND(IF($B414&gt;Parámetros!$D$107,'Tablas Servicio'!AC414+('Tablas Servicio'!AG413-'Tablas Servicio'!AC413),AC414/(1-IF(B414&lt;=10,Parámetros!$D$104,Parámetros!$D$105))),2))</f>
        <v>206.5</v>
      </c>
      <c r="AF414" s="66">
        <f>+IF($W414="","",ROUND(IF($B414&gt;Parámetros!$D$107,'Tablas Servicio'!AC414+('Tablas Servicio'!AG413-'Tablas Servicio'!AC413),(AC414+$A413/frec)/(1-IF(B414&lt;=Parámetros!$D$117,Parámetros!$D$100,0))),2))</f>
        <v>136.4</v>
      </c>
      <c r="AG414" s="66">
        <f t="shared" si="515"/>
        <v>136.4</v>
      </c>
      <c r="AH414" s="66">
        <f t="shared" si="516"/>
        <v>0</v>
      </c>
      <c r="AI414" s="66">
        <f t="shared" si="517"/>
        <v>0</v>
      </c>
      <c r="AJ414" s="66">
        <f>+IF($W414="","",ROUND((AG414*Parámetros!$G$85),2))</f>
        <v>4.7699999999999996</v>
      </c>
      <c r="AK414" s="66">
        <f>+IF($W414="","",ROUND((AG414*(Parámetros!$G$86)),2))</f>
        <v>0.68</v>
      </c>
      <c r="AL414" s="66">
        <f t="shared" si="511"/>
        <v>141.85</v>
      </c>
      <c r="AM414" t="str">
        <f t="shared" si="559"/>
        <v>00059</v>
      </c>
      <c r="AN414" t="str">
        <f t="shared" si="560"/>
        <v>Incapacidad Total y Permanente</v>
      </c>
      <c r="AO414" s="118">
        <f t="shared" si="561"/>
        <v>0</v>
      </c>
      <c r="AP414" s="118" t="str">
        <f t="shared" si="562"/>
        <v>A</v>
      </c>
      <c r="AQ414" s="119" t="str">
        <f>+IF(OR($W414="",AO414=0),"",ROUND((VLOOKUP(ROUNDDOWN($D414-1/frec,0),cob_adi,Z$40,FALSE)*(1+i/frec)^-0.5*(1+Parámetros!$D$103)*(1+rec_fracc)/frec),6))</f>
        <v/>
      </c>
      <c r="AR414" s="66">
        <f t="shared" si="518"/>
        <v>0</v>
      </c>
      <c r="AS414" s="119" t="str">
        <f t="shared" si="519"/>
        <v/>
      </c>
      <c r="AT414" s="66">
        <f>+IF($W414="","",ROUND(IF($B414&gt;Parámetros!$D$107,'Tablas Servicio'!AR414+('Tablas Servicio'!AT413-'Tablas Servicio'!AR413),AR414/(1-IF(B414&lt;=10,Parámetros!$D$100,0))),2))</f>
        <v>0</v>
      </c>
      <c r="AU414" s="66">
        <f t="shared" si="520"/>
        <v>0</v>
      </c>
      <c r="AV414" s="66">
        <f t="shared" si="520"/>
        <v>0</v>
      </c>
      <c r="AW414" s="66">
        <f>+IF($W414="","",ROUND((AT414*Parámetros!$G$85),2))</f>
        <v>0</v>
      </c>
      <c r="AX414" s="66">
        <f>+IF($W414="","",ROUND((AT414*(Parámetros!$G$86)),2))</f>
        <v>0</v>
      </c>
      <c r="AY414" s="66">
        <f t="shared" si="521"/>
        <v>0</v>
      </c>
      <c r="AZ414" t="str">
        <f t="shared" si="563"/>
        <v>00060</v>
      </c>
      <c r="BA414" t="str">
        <f t="shared" si="564"/>
        <v>Muerte Accidental</v>
      </c>
      <c r="BB414" s="118">
        <f t="shared" si="565"/>
        <v>0</v>
      </c>
      <c r="BC414" s="118" t="str">
        <f t="shared" si="566"/>
        <v>A</v>
      </c>
      <c r="BD414" s="119" t="str">
        <f>+IF(OR($W414="",BB414=0),"",ROUND((VLOOKUP(ROUNDDOWN($D414-1/frec,0),cob_adi,AO$40,FALSE)*(1+i/frec)^-0.5*(1+Parámetros!$D$103)*(1+rec_fracc)/frec),6))</f>
        <v/>
      </c>
      <c r="BE414" s="66">
        <f t="shared" si="522"/>
        <v>0</v>
      </c>
      <c r="BF414" s="119" t="str">
        <f t="shared" si="523"/>
        <v/>
      </c>
      <c r="BG414" s="66">
        <f>+IF($W414="","",ROUND(IF($B414&gt;Parámetros!$D$107,'Tablas Servicio'!BE414+('Tablas Servicio'!BG413-'Tablas Servicio'!BE413),BE414/(1-IF(B414&lt;=10,Parámetros!$D$100,0))),2))</f>
        <v>0</v>
      </c>
      <c r="BH414" s="66">
        <f t="shared" si="524"/>
        <v>0</v>
      </c>
      <c r="BI414" s="66">
        <f t="shared" si="525"/>
        <v>0</v>
      </c>
      <c r="BJ414" s="66">
        <f>+IF($W414="","",ROUND((BG414*Parámetros!$G$85),2))</f>
        <v>0</v>
      </c>
      <c r="BK414" s="66">
        <f>+IF($W414="","",ROUND((BG414*(Parámetros!$G$86)),2))</f>
        <v>0</v>
      </c>
      <c r="BL414" s="66">
        <f t="shared" si="526"/>
        <v>0</v>
      </c>
      <c r="BM414" t="str">
        <f t="shared" si="567"/>
        <v>00061</v>
      </c>
      <c r="BN414" t="str">
        <f t="shared" si="568"/>
        <v>Gastos de Entierro</v>
      </c>
      <c r="BO414" s="118">
        <f t="shared" si="569"/>
        <v>0</v>
      </c>
      <c r="BP414" s="118" t="str">
        <f t="shared" si="570"/>
        <v>A</v>
      </c>
      <c r="BQ414" s="119" t="str">
        <f>+IF(OR($W414="",BO414=0),"",ROUND((VLOOKUP(ROUNDDOWN($D414-1/frec,0),cob_adi,BB$40,FALSE)*(1+i/frec)^-0.5*(1+Parámetros!$D$103)*(1+rec_fracc)/frec),6))</f>
        <v/>
      </c>
      <c r="BR414" s="66">
        <f t="shared" si="527"/>
        <v>0</v>
      </c>
      <c r="BS414" s="119" t="str">
        <f t="shared" si="528"/>
        <v/>
      </c>
      <c r="BT414" s="66">
        <f>+IF($W414="","",ROUND(IF($B414&gt;Parámetros!$D$107,'Tablas Servicio'!BR414+('Tablas Servicio'!BT413-'Tablas Servicio'!BR413),BR414/(1-IF(B414&lt;=10,Parámetros!$D$100,0))),2))</f>
        <v>0</v>
      </c>
      <c r="BU414" s="66">
        <f t="shared" si="529"/>
        <v>0</v>
      </c>
      <c r="BV414" s="66">
        <f t="shared" si="529"/>
        <v>0</v>
      </c>
      <c r="BW414" s="66">
        <f>+IF($W414="","",ROUND((BT414*Parámetros!$G$85),2))</f>
        <v>0</v>
      </c>
      <c r="BX414" s="66">
        <f>+IF($W414="","",ROUND((BT414*(Parámetros!$G$86)),2))</f>
        <v>0</v>
      </c>
      <c r="BY414" s="66">
        <f t="shared" si="530"/>
        <v>0</v>
      </c>
      <c r="BZ414" t="str">
        <f t="shared" si="571"/>
        <v>00062</v>
      </c>
      <c r="CA414" t="str">
        <f t="shared" si="572"/>
        <v>Gastos médicos por accidente</v>
      </c>
      <c r="CB414" s="118">
        <f t="shared" si="573"/>
        <v>0</v>
      </c>
      <c r="CC414" s="118" t="str">
        <f t="shared" si="574"/>
        <v>A</v>
      </c>
      <c r="CD414" s="119" t="str">
        <f t="shared" si="531"/>
        <v/>
      </c>
      <c r="CE414" s="66">
        <f>+IF($W414="","",ROUND((VLOOKUP(ROUNDDOWN($D414-1/frec,0),cob_adi,BO$40,FALSE)*(1+i/frec)^-0.5*(1+Parámetros!$D$103)*(1+rec_fracc)/frec*'TABLAS ADI'!$BC$17),2))</f>
        <v>0</v>
      </c>
      <c r="CF414" s="119" t="str">
        <f t="shared" si="532"/>
        <v/>
      </c>
      <c r="CG414" s="66">
        <f>+IF($W414="","",ROUND(IF($B414&gt;Parámetros!$D$107,'Tablas Servicio'!CE414+('Tablas Servicio'!CG413-'Tablas Servicio'!CE413),CE414/(1-IF(B414&lt;=10,Parámetros!$D$100,0))),2))</f>
        <v>0</v>
      </c>
      <c r="CH414" s="66">
        <f t="shared" si="533"/>
        <v>0</v>
      </c>
      <c r="CI414" s="66">
        <f t="shared" si="533"/>
        <v>0</v>
      </c>
      <c r="CJ414" s="66">
        <f>+IF($W414="","",ROUND((CG414*Parámetros!$G$85),2))</f>
        <v>0</v>
      </c>
      <c r="CK414" s="66">
        <f>+IF($W414="","",ROUND((CG414*(Parámetros!$G$86)),2))</f>
        <v>0</v>
      </c>
      <c r="CL414" s="66">
        <f t="shared" si="534"/>
        <v>0</v>
      </c>
      <c r="CM414" t="str">
        <f t="shared" si="575"/>
        <v>00063</v>
      </c>
      <c r="CN414" s="118" t="str">
        <f t="shared" si="576"/>
        <v>Renta Diaria por Hospitalización</v>
      </c>
      <c r="CO414" s="118">
        <f t="shared" si="577"/>
        <v>0</v>
      </c>
      <c r="CP414" s="118" t="str">
        <f t="shared" si="578"/>
        <v>A</v>
      </c>
      <c r="CQ414" s="119" t="str">
        <f t="shared" si="535"/>
        <v/>
      </c>
      <c r="CR414" s="66">
        <f>+IF($W414="","",ROUND((VLOOKUP(Parámetros!$F$51,'COBERTURAS ADICIONALES'!$S$4:$T$32,2,FALSE)*(1+i/frec)^-0.5*(1+Parámetros!$D$103)*(1+rec_fracc)/frec*$CO$42),2))</f>
        <v>0</v>
      </c>
      <c r="CS414" s="119" t="str">
        <f t="shared" si="536"/>
        <v/>
      </c>
      <c r="CT414" s="66">
        <f>+IF($W414="","",ROUND(IF($B414&gt;Parámetros!$D$107,'Tablas Servicio'!CR414+('Tablas Servicio'!CT413-'Tablas Servicio'!CR413),CR414/(1-IF(B414&lt;=10,Parámetros!$D$100,0))),2))</f>
        <v>0</v>
      </c>
      <c r="CU414" s="66">
        <f t="shared" si="537"/>
        <v>0</v>
      </c>
      <c r="CV414" s="66">
        <f t="shared" si="537"/>
        <v>0</v>
      </c>
      <c r="CW414" s="66">
        <f>+IF($W414="","",ROUND((CT414*Parámetros!$G$85),2))</f>
        <v>0</v>
      </c>
      <c r="CX414" s="66">
        <f>+IF($W414="","",ROUND((CT414*(Parámetros!$G$86)),2))</f>
        <v>0</v>
      </c>
      <c r="CY414" s="66">
        <f t="shared" si="538"/>
        <v>0</v>
      </c>
      <c r="CZ414" t="str">
        <f t="shared" si="579"/>
        <v>00064</v>
      </c>
      <c r="DA414" s="118" t="str">
        <f t="shared" si="580"/>
        <v>Enfermedades Graves</v>
      </c>
      <c r="DB414" s="118">
        <f t="shared" si="581"/>
        <v>0</v>
      </c>
      <c r="DC414" s="118" t="str">
        <f t="shared" si="582"/>
        <v>A</v>
      </c>
      <c r="DD414" s="121" t="str">
        <f>+IF(OR($W414="",DB414=0),"",ROUND((VLOOKUP(ROUNDDOWN($D414-1/frec,0),cob_adi,CO$40,FALSE)*(1+i/frec)^-0.5*(1+Parámetros!$D$103)*(1+rec_fracc)/frec),6))</f>
        <v/>
      </c>
      <c r="DE414" s="66">
        <f t="shared" si="539"/>
        <v>0</v>
      </c>
      <c r="DF414" s="119" t="str">
        <f t="shared" si="540"/>
        <v/>
      </c>
      <c r="DG414" s="66">
        <f>+IF($W414="","",ROUND(IF($B414&gt;Parámetros!$D$107,'Tablas Servicio'!DE414+('Tablas Servicio'!DG413-'Tablas Servicio'!DE413),DE414/(1-IF(B414&lt;=10,Parámetros!$D$100,0))),2))</f>
        <v>0</v>
      </c>
      <c r="DH414" s="66">
        <f t="shared" si="541"/>
        <v>0</v>
      </c>
      <c r="DI414" s="66">
        <f t="shared" si="541"/>
        <v>0</v>
      </c>
      <c r="DJ414" s="66">
        <f>+IF($W414="","",ROUND((DG414*Parámetros!$G$85),2))</f>
        <v>0</v>
      </c>
      <c r="DK414" s="66">
        <f>+IF($W414="","",ROUND((DG414*(Parámetros!$G$86)),2))</f>
        <v>0</v>
      </c>
      <c r="DL414" s="66">
        <f t="shared" si="542"/>
        <v>0</v>
      </c>
      <c r="DM414" t="str">
        <f t="shared" si="583"/>
        <v>00065</v>
      </c>
      <c r="DN414" s="118" t="str">
        <f t="shared" si="584"/>
        <v>Exención pago de primas</v>
      </c>
      <c r="DO414" s="118">
        <f t="shared" si="585"/>
        <v>0</v>
      </c>
      <c r="DP414" s="118" t="str">
        <f t="shared" si="586"/>
        <v>A</v>
      </c>
      <c r="DQ414" s="122" t="str">
        <f>+IF(OR($W414="",DO414=0),"",ROUND((VLOOKUP(ROUNDDOWN($D414-1/frec,0),cob_adi,DB$40,FALSE)*(1+i/frec)^-0.5*(1+Parámetros!$D$103)*(1+rec_fracc)/frec),6))</f>
        <v/>
      </c>
      <c r="DR414" s="66">
        <f t="shared" si="543"/>
        <v>0</v>
      </c>
      <c r="DS414" s="68" t="str">
        <f t="shared" si="544"/>
        <v/>
      </c>
      <c r="DT414" s="66">
        <f>+IF($W414="","",ROUND(IF($B414&gt;Parámetros!$D$107,'Tablas Servicio'!DR414+('Tablas Servicio'!DT413-'Tablas Servicio'!DR413),DR414/(1-IF(B414&lt;=10,Parámetros!$D$100,0))),2))</f>
        <v>0</v>
      </c>
      <c r="DU414" s="66">
        <f t="shared" si="545"/>
        <v>0</v>
      </c>
      <c r="DV414" s="66">
        <f t="shared" si="545"/>
        <v>0</v>
      </c>
      <c r="DW414" s="66">
        <f>+IF($W414="","",ROUND((DT414*Parámetros!$G$85),2))</f>
        <v>0</v>
      </c>
      <c r="DX414" s="66">
        <f>+IF($W414="","",ROUND((DT414*(Parámetros!$G$86)),2))</f>
        <v>0</v>
      </c>
      <c r="DY414" s="66">
        <f t="shared" si="546"/>
        <v>0</v>
      </c>
      <c r="DZ414" t="str">
        <f t="shared" si="589"/>
        <v>00066</v>
      </c>
      <c r="EA414" s="118" t="str">
        <f t="shared" si="589"/>
        <v>Enfermedad terminal</v>
      </c>
      <c r="EB414" s="118">
        <f>+IF($W414="","",ROUND(IF(Parámetros!$D$25='TABLAS MORT'!$V$33,EB413,Z414/2),0))</f>
        <v>50000</v>
      </c>
      <c r="EC414" s="118" t="str">
        <f t="shared" si="589"/>
        <v>A</v>
      </c>
      <c r="ED414" s="122">
        <f>+IF(OR($W414="",EB414=0),"",ROUND((VLOOKUP(ROUNDDOWN($D414-1/frec,0),cob_adi,DO$40,FALSE)*(1+i/frec)^-0.5*(1+Parámetros!$D$103)*(1+rec_fracc)/frec),6))</f>
        <v>6.4999999999999994E-5</v>
      </c>
      <c r="EE414" s="66">
        <f t="shared" si="548"/>
        <v>3.25</v>
      </c>
      <c r="EF414" s="68">
        <f t="shared" si="549"/>
        <v>6.4999999999999994E-5</v>
      </c>
      <c r="EG414" s="66">
        <f>+IF($W414="","",ROUND(IF($B414&gt;Parámetros!$D$107,'Tablas Servicio'!EE414+('Tablas Servicio'!EG413-'Tablas Servicio'!EE413),EE414/(1-IF(B414&lt;=10,Parámetros!$D$100,0))),2))</f>
        <v>3.25</v>
      </c>
      <c r="EH414" s="66">
        <f t="shared" si="550"/>
        <v>0</v>
      </c>
      <c r="EI414" s="66">
        <f t="shared" si="550"/>
        <v>0</v>
      </c>
      <c r="EJ414" s="66">
        <f>+IF($W414="","",ROUND((EG414*Parámetros!$G$85),2))</f>
        <v>0.11</v>
      </c>
      <c r="EK414" s="66">
        <f>+IF($W414="","",ROUND((EG414*(Parámetros!$G$86)),2))</f>
        <v>0.02</v>
      </c>
      <c r="EL414" s="66">
        <f t="shared" si="551"/>
        <v>3.38</v>
      </c>
    </row>
    <row r="415" spans="1:142" x14ac:dyDescent="0.25">
      <c r="A415">
        <f>+IF($C415="","",ROUND(VLOOKUP('Tablas Servicio'!B415,Parámetros!$H$100:$J$159,IF(Parámetros!$E$16="F",2,3),FALSE),2))</f>
        <v>150</v>
      </c>
      <c r="B415">
        <f t="shared" si="502"/>
        <v>32</v>
      </c>
      <c r="C415" s="57">
        <f>+IF(D415="","",'Tablas Servicio'!C414+1)</f>
        <v>374</v>
      </c>
      <c r="D415" s="56">
        <f>+IF(D414&lt;edadmaxtabla,D414+1/Parámetros!$E$25,"")</f>
        <v>71.186666666666937</v>
      </c>
      <c r="E415" s="57">
        <f t="shared" si="512"/>
        <v>71</v>
      </c>
      <c r="F415" s="59">
        <f t="shared" si="513"/>
        <v>100000</v>
      </c>
      <c r="G415" s="66">
        <f t="shared" si="503"/>
        <v>139.65</v>
      </c>
      <c r="H415" s="66">
        <f t="shared" si="504"/>
        <v>145.22999999999999</v>
      </c>
      <c r="I415" s="66">
        <f t="shared" si="552"/>
        <v>-51.22999999999999</v>
      </c>
      <c r="J415" s="66">
        <f t="shared" si="505"/>
        <v>4.88</v>
      </c>
      <c r="K415" s="66">
        <f t="shared" si="506"/>
        <v>0.70000000000000007</v>
      </c>
      <c r="L415" s="66">
        <f t="shared" si="507"/>
        <v>0</v>
      </c>
      <c r="M415" s="66">
        <f t="shared" si="508"/>
        <v>0</v>
      </c>
      <c r="N415" s="66">
        <f>+IF(C415="","",ROUND(Parámetros!$D$23,2))</f>
        <v>94</v>
      </c>
      <c r="O415" s="66">
        <f t="shared" si="509"/>
        <v>127.15</v>
      </c>
      <c r="P415" s="66">
        <f>+IF($C415="","",ROUND(IF(B415&gt;Parámetros!$D$117,0,N415*Parámetros!$D$116-G415*Parámetros!$D$100),2))</f>
        <v>0</v>
      </c>
      <c r="Q415" s="75">
        <f t="shared" si="553"/>
        <v>3.4944504117436444E-2</v>
      </c>
      <c r="R415" s="75">
        <f t="shared" si="554"/>
        <v>5.0125313283208026E-3</v>
      </c>
      <c r="S415" s="117">
        <f>+IF($C415="","",ROUND((S414+I415)*(1+Parámetros!$D$91),2))</f>
        <v>26490.55</v>
      </c>
      <c r="T415" s="117">
        <f>+IF($C415="","",ROUND(S415*VLOOKUP(B415,Parámetros!$C$30:$D$39,2,TRUE),2))</f>
        <v>26490.55</v>
      </c>
      <c r="U415" s="117">
        <f>+IF($C415="","",ROUND((U414+I415)*(1+Parámetros!$D$92),2))</f>
        <v>29638.77</v>
      </c>
      <c r="V415" s="117">
        <f>+IF($C415="","",ROUND(U415*VLOOKUP(B415,Parámetros!$C$30:$D$39,2,TRUE),2))</f>
        <v>29638.77</v>
      </c>
      <c r="W415" s="57">
        <f t="shared" si="555"/>
        <v>374</v>
      </c>
      <c r="X415" t="str">
        <f t="shared" si="556"/>
        <v>00058</v>
      </c>
      <c r="Y415" t="str">
        <f t="shared" si="557"/>
        <v>MUERTE POR CUALQUIER CAUSA</v>
      </c>
      <c r="Z415" s="118">
        <f>+IF($W415="","",ROUND(IF(Parámetros!$D$25='TABLAS MORT'!$V$33,Z414,Parámetros!$D$21-'Tablas Servicio'!T414),0))</f>
        <v>100000</v>
      </c>
      <c r="AA415" s="118" t="str">
        <f t="shared" si="558"/>
        <v>P</v>
      </c>
      <c r="AB415" s="119">
        <f>+IF(W415="","",ROUND((VLOOKUP(ROUNDDOWN($D415-1/frec,0),qx_tabla,2,FALSE)*(1+i/frec)^-0.5*(1+Parámetros!$D$103)*(1+rec_fracc)/frec),6))</f>
        <v>1.2390000000000001E-3</v>
      </c>
      <c r="AC415" s="66">
        <f t="shared" si="514"/>
        <v>123.9</v>
      </c>
      <c r="AD415" s="119">
        <f t="shared" si="510"/>
        <v>1.364E-3</v>
      </c>
      <c r="AE415" s="66">
        <f>+IF($W415="","",ROUND(IF($B415&gt;Parámetros!$D$107,'Tablas Servicio'!AC415+('Tablas Servicio'!AG414-'Tablas Servicio'!AC414),AC415/(1-IF(B415&lt;=10,Parámetros!$D$104,Parámetros!$D$105))),2))</f>
        <v>206.5</v>
      </c>
      <c r="AF415" s="66">
        <f>+IF($W415="","",ROUND(IF($B415&gt;Parámetros!$D$107,'Tablas Servicio'!AC415+('Tablas Servicio'!AG414-'Tablas Servicio'!AC414),(AC415+$A414/frec)/(1-IF(B415&lt;=Parámetros!$D$117,Parámetros!$D$100,0))),2))</f>
        <v>136.4</v>
      </c>
      <c r="AG415" s="66">
        <f t="shared" si="515"/>
        <v>136.4</v>
      </c>
      <c r="AH415" s="66">
        <f t="shared" si="516"/>
        <v>0</v>
      </c>
      <c r="AI415" s="66">
        <f t="shared" si="517"/>
        <v>0</v>
      </c>
      <c r="AJ415" s="66">
        <f>+IF($W415="","",ROUND((AG415*Parámetros!$G$85),2))</f>
        <v>4.7699999999999996</v>
      </c>
      <c r="AK415" s="66">
        <f>+IF($W415="","",ROUND((AG415*(Parámetros!$G$86)),2))</f>
        <v>0.68</v>
      </c>
      <c r="AL415" s="66">
        <f t="shared" si="511"/>
        <v>141.85</v>
      </c>
      <c r="AM415" t="str">
        <f t="shared" si="559"/>
        <v>00059</v>
      </c>
      <c r="AN415" t="str">
        <f t="shared" si="560"/>
        <v>Incapacidad Total y Permanente</v>
      </c>
      <c r="AO415" s="118">
        <f t="shared" si="561"/>
        <v>0</v>
      </c>
      <c r="AP415" s="118" t="str">
        <f t="shared" si="562"/>
        <v>A</v>
      </c>
      <c r="AQ415" s="119" t="str">
        <f>+IF(OR($W415="",AO415=0),"",ROUND((VLOOKUP(ROUNDDOWN($D415-1/frec,0),cob_adi,Z$40,FALSE)*(1+i/frec)^-0.5*(1+Parámetros!$D$103)*(1+rec_fracc)/frec),6))</f>
        <v/>
      </c>
      <c r="AR415" s="66">
        <f t="shared" si="518"/>
        <v>0</v>
      </c>
      <c r="AS415" s="119" t="str">
        <f t="shared" si="519"/>
        <v/>
      </c>
      <c r="AT415" s="66">
        <f>+IF($W415="","",ROUND(IF($B415&gt;Parámetros!$D$107,'Tablas Servicio'!AR415+('Tablas Servicio'!AT414-'Tablas Servicio'!AR414),AR415/(1-IF(B415&lt;=10,Parámetros!$D$100,0))),2))</f>
        <v>0</v>
      </c>
      <c r="AU415" s="66">
        <f t="shared" si="520"/>
        <v>0</v>
      </c>
      <c r="AV415" s="66">
        <f t="shared" si="520"/>
        <v>0</v>
      </c>
      <c r="AW415" s="66">
        <f>+IF($W415="","",ROUND((AT415*Parámetros!$G$85),2))</f>
        <v>0</v>
      </c>
      <c r="AX415" s="66">
        <f>+IF($W415="","",ROUND((AT415*(Parámetros!$G$86)),2))</f>
        <v>0</v>
      </c>
      <c r="AY415" s="66">
        <f t="shared" si="521"/>
        <v>0</v>
      </c>
      <c r="AZ415" t="str">
        <f t="shared" si="563"/>
        <v>00060</v>
      </c>
      <c r="BA415" t="str">
        <f t="shared" si="564"/>
        <v>Muerte Accidental</v>
      </c>
      <c r="BB415" s="118">
        <f t="shared" si="565"/>
        <v>0</v>
      </c>
      <c r="BC415" s="118" t="str">
        <f t="shared" si="566"/>
        <v>A</v>
      </c>
      <c r="BD415" s="119" t="str">
        <f>+IF(OR($W415="",BB415=0),"",ROUND((VLOOKUP(ROUNDDOWN($D415-1/frec,0),cob_adi,AO$40,FALSE)*(1+i/frec)^-0.5*(1+Parámetros!$D$103)*(1+rec_fracc)/frec),6))</f>
        <v/>
      </c>
      <c r="BE415" s="66">
        <f t="shared" si="522"/>
        <v>0</v>
      </c>
      <c r="BF415" s="119" t="str">
        <f t="shared" si="523"/>
        <v/>
      </c>
      <c r="BG415" s="66">
        <f>+IF($W415="","",ROUND(IF($B415&gt;Parámetros!$D$107,'Tablas Servicio'!BE415+('Tablas Servicio'!BG414-'Tablas Servicio'!BE414),BE415/(1-IF(B415&lt;=10,Parámetros!$D$100,0))),2))</f>
        <v>0</v>
      </c>
      <c r="BH415" s="66">
        <f t="shared" si="524"/>
        <v>0</v>
      </c>
      <c r="BI415" s="66">
        <f t="shared" si="525"/>
        <v>0</v>
      </c>
      <c r="BJ415" s="66">
        <f>+IF($W415="","",ROUND((BG415*Parámetros!$G$85),2))</f>
        <v>0</v>
      </c>
      <c r="BK415" s="66">
        <f>+IF($W415="","",ROUND((BG415*(Parámetros!$G$86)),2))</f>
        <v>0</v>
      </c>
      <c r="BL415" s="66">
        <f t="shared" si="526"/>
        <v>0</v>
      </c>
      <c r="BM415" t="str">
        <f t="shared" si="567"/>
        <v>00061</v>
      </c>
      <c r="BN415" t="str">
        <f t="shared" si="568"/>
        <v>Gastos de Entierro</v>
      </c>
      <c r="BO415" s="118">
        <f t="shared" si="569"/>
        <v>0</v>
      </c>
      <c r="BP415" s="118" t="str">
        <f t="shared" si="570"/>
        <v>A</v>
      </c>
      <c r="BQ415" s="119" t="str">
        <f>+IF(OR($W415="",BO415=0),"",ROUND((VLOOKUP(ROUNDDOWN($D415-1/frec,0),cob_adi,BB$40,FALSE)*(1+i/frec)^-0.5*(1+Parámetros!$D$103)*(1+rec_fracc)/frec),6))</f>
        <v/>
      </c>
      <c r="BR415" s="66">
        <f t="shared" si="527"/>
        <v>0</v>
      </c>
      <c r="BS415" s="119" t="str">
        <f t="shared" si="528"/>
        <v/>
      </c>
      <c r="BT415" s="66">
        <f>+IF($W415="","",ROUND(IF($B415&gt;Parámetros!$D$107,'Tablas Servicio'!BR415+('Tablas Servicio'!BT414-'Tablas Servicio'!BR414),BR415/(1-IF(B415&lt;=10,Parámetros!$D$100,0))),2))</f>
        <v>0</v>
      </c>
      <c r="BU415" s="66">
        <f t="shared" si="529"/>
        <v>0</v>
      </c>
      <c r="BV415" s="66">
        <f t="shared" si="529"/>
        <v>0</v>
      </c>
      <c r="BW415" s="66">
        <f>+IF($W415="","",ROUND((BT415*Parámetros!$G$85),2))</f>
        <v>0</v>
      </c>
      <c r="BX415" s="66">
        <f>+IF($W415="","",ROUND((BT415*(Parámetros!$G$86)),2))</f>
        <v>0</v>
      </c>
      <c r="BY415" s="66">
        <f t="shared" si="530"/>
        <v>0</v>
      </c>
      <c r="BZ415" t="str">
        <f t="shared" si="571"/>
        <v>00062</v>
      </c>
      <c r="CA415" t="str">
        <f t="shared" si="572"/>
        <v>Gastos médicos por accidente</v>
      </c>
      <c r="CB415" s="118">
        <f t="shared" si="573"/>
        <v>0</v>
      </c>
      <c r="CC415" s="118" t="str">
        <f t="shared" si="574"/>
        <v>A</v>
      </c>
      <c r="CD415" s="119" t="str">
        <f t="shared" si="531"/>
        <v/>
      </c>
      <c r="CE415" s="66">
        <f>+IF($W415="","",ROUND((VLOOKUP(ROUNDDOWN($D415-1/frec,0),cob_adi,BO$40,FALSE)*(1+i/frec)^-0.5*(1+Parámetros!$D$103)*(1+rec_fracc)/frec*'TABLAS ADI'!$BC$17),2))</f>
        <v>0</v>
      </c>
      <c r="CF415" s="119" t="str">
        <f t="shared" si="532"/>
        <v/>
      </c>
      <c r="CG415" s="66">
        <f>+IF($W415="","",ROUND(IF($B415&gt;Parámetros!$D$107,'Tablas Servicio'!CE415+('Tablas Servicio'!CG414-'Tablas Servicio'!CE414),CE415/(1-IF(B415&lt;=10,Parámetros!$D$100,0))),2))</f>
        <v>0</v>
      </c>
      <c r="CH415" s="66">
        <f t="shared" si="533"/>
        <v>0</v>
      </c>
      <c r="CI415" s="66">
        <f t="shared" si="533"/>
        <v>0</v>
      </c>
      <c r="CJ415" s="66">
        <f>+IF($W415="","",ROUND((CG415*Parámetros!$G$85),2))</f>
        <v>0</v>
      </c>
      <c r="CK415" s="66">
        <f>+IF($W415="","",ROUND((CG415*(Parámetros!$G$86)),2))</f>
        <v>0</v>
      </c>
      <c r="CL415" s="66">
        <f t="shared" si="534"/>
        <v>0</v>
      </c>
      <c r="CM415" t="str">
        <f t="shared" si="575"/>
        <v>00063</v>
      </c>
      <c r="CN415" s="118" t="str">
        <f t="shared" si="576"/>
        <v>Renta Diaria por Hospitalización</v>
      </c>
      <c r="CO415" s="118">
        <f t="shared" si="577"/>
        <v>0</v>
      </c>
      <c r="CP415" s="118" t="str">
        <f t="shared" si="578"/>
        <v>A</v>
      </c>
      <c r="CQ415" s="119" t="str">
        <f t="shared" si="535"/>
        <v/>
      </c>
      <c r="CR415" s="66">
        <f>+IF($W415="","",ROUND((VLOOKUP(Parámetros!$F$51,'COBERTURAS ADICIONALES'!$S$4:$T$32,2,FALSE)*(1+i/frec)^-0.5*(1+Parámetros!$D$103)*(1+rec_fracc)/frec*$CO$42),2))</f>
        <v>0</v>
      </c>
      <c r="CS415" s="119" t="str">
        <f t="shared" si="536"/>
        <v/>
      </c>
      <c r="CT415" s="66">
        <f>+IF($W415="","",ROUND(IF($B415&gt;Parámetros!$D$107,'Tablas Servicio'!CR415+('Tablas Servicio'!CT414-'Tablas Servicio'!CR414),CR415/(1-IF(B415&lt;=10,Parámetros!$D$100,0))),2))</f>
        <v>0</v>
      </c>
      <c r="CU415" s="66">
        <f t="shared" si="537"/>
        <v>0</v>
      </c>
      <c r="CV415" s="66">
        <f t="shared" si="537"/>
        <v>0</v>
      </c>
      <c r="CW415" s="66">
        <f>+IF($W415="","",ROUND((CT415*Parámetros!$G$85),2))</f>
        <v>0</v>
      </c>
      <c r="CX415" s="66">
        <f>+IF($W415="","",ROUND((CT415*(Parámetros!$G$86)),2))</f>
        <v>0</v>
      </c>
      <c r="CY415" s="66">
        <f t="shared" si="538"/>
        <v>0</v>
      </c>
      <c r="CZ415" t="str">
        <f t="shared" si="579"/>
        <v>00064</v>
      </c>
      <c r="DA415" s="118" t="str">
        <f t="shared" si="580"/>
        <v>Enfermedades Graves</v>
      </c>
      <c r="DB415" s="118">
        <f t="shared" si="581"/>
        <v>0</v>
      </c>
      <c r="DC415" s="118" t="str">
        <f t="shared" si="582"/>
        <v>A</v>
      </c>
      <c r="DD415" s="121" t="str">
        <f>+IF(OR($W415="",DB415=0),"",ROUND((VLOOKUP(ROUNDDOWN($D415-1/frec,0),cob_adi,CO$40,FALSE)*(1+i/frec)^-0.5*(1+Parámetros!$D$103)*(1+rec_fracc)/frec),6))</f>
        <v/>
      </c>
      <c r="DE415" s="66">
        <f t="shared" si="539"/>
        <v>0</v>
      </c>
      <c r="DF415" s="119" t="str">
        <f t="shared" si="540"/>
        <v/>
      </c>
      <c r="DG415" s="66">
        <f>+IF($W415="","",ROUND(IF($B415&gt;Parámetros!$D$107,'Tablas Servicio'!DE415+('Tablas Servicio'!DG414-'Tablas Servicio'!DE414),DE415/(1-IF(B415&lt;=10,Parámetros!$D$100,0))),2))</f>
        <v>0</v>
      </c>
      <c r="DH415" s="66">
        <f t="shared" si="541"/>
        <v>0</v>
      </c>
      <c r="DI415" s="66">
        <f t="shared" si="541"/>
        <v>0</v>
      </c>
      <c r="DJ415" s="66">
        <f>+IF($W415="","",ROUND((DG415*Parámetros!$G$85),2))</f>
        <v>0</v>
      </c>
      <c r="DK415" s="66">
        <f>+IF($W415="","",ROUND((DG415*(Parámetros!$G$86)),2))</f>
        <v>0</v>
      </c>
      <c r="DL415" s="66">
        <f t="shared" si="542"/>
        <v>0</v>
      </c>
      <c r="DM415" t="str">
        <f t="shared" si="583"/>
        <v>00065</v>
      </c>
      <c r="DN415" s="118" t="str">
        <f t="shared" si="584"/>
        <v>Exención pago de primas</v>
      </c>
      <c r="DO415" s="118">
        <f t="shared" si="585"/>
        <v>0</v>
      </c>
      <c r="DP415" s="118" t="str">
        <f t="shared" si="586"/>
        <v>A</v>
      </c>
      <c r="DQ415" s="122" t="str">
        <f>+IF(OR($W415="",DO415=0),"",ROUND((VLOOKUP(ROUNDDOWN($D415-1/frec,0),cob_adi,DB$40,FALSE)*(1+i/frec)^-0.5*(1+Parámetros!$D$103)*(1+rec_fracc)/frec),6))</f>
        <v/>
      </c>
      <c r="DR415" s="66">
        <f t="shared" si="543"/>
        <v>0</v>
      </c>
      <c r="DS415" s="68" t="str">
        <f t="shared" si="544"/>
        <v/>
      </c>
      <c r="DT415" s="66">
        <f>+IF($W415="","",ROUND(IF($B415&gt;Parámetros!$D$107,'Tablas Servicio'!DR415+('Tablas Servicio'!DT414-'Tablas Servicio'!DR414),DR415/(1-IF(B415&lt;=10,Parámetros!$D$100,0))),2))</f>
        <v>0</v>
      </c>
      <c r="DU415" s="66">
        <f t="shared" si="545"/>
        <v>0</v>
      </c>
      <c r="DV415" s="66">
        <f t="shared" si="545"/>
        <v>0</v>
      </c>
      <c r="DW415" s="66">
        <f>+IF($W415="","",ROUND((DT415*Parámetros!$G$85),2))</f>
        <v>0</v>
      </c>
      <c r="DX415" s="66">
        <f>+IF($W415="","",ROUND((DT415*(Parámetros!$G$86)),2))</f>
        <v>0</v>
      </c>
      <c r="DY415" s="66">
        <f t="shared" si="546"/>
        <v>0</v>
      </c>
      <c r="DZ415" t="str">
        <f t="shared" si="589"/>
        <v>00066</v>
      </c>
      <c r="EA415" s="118" t="str">
        <f t="shared" si="589"/>
        <v>Enfermedad terminal</v>
      </c>
      <c r="EB415" s="118">
        <f>+IF($W415="","",ROUND(IF(Parámetros!$D$25='TABLAS MORT'!$V$33,EB414,Z415/2),0))</f>
        <v>50000</v>
      </c>
      <c r="EC415" s="118" t="str">
        <f t="shared" si="589"/>
        <v>A</v>
      </c>
      <c r="ED415" s="122">
        <f>+IF(OR($W415="",EB415=0),"",ROUND((VLOOKUP(ROUNDDOWN($D415-1/frec,0),cob_adi,DO$40,FALSE)*(1+i/frec)^-0.5*(1+Parámetros!$D$103)*(1+rec_fracc)/frec),6))</f>
        <v>6.4999999999999994E-5</v>
      </c>
      <c r="EE415" s="66">
        <f t="shared" si="548"/>
        <v>3.25</v>
      </c>
      <c r="EF415" s="68">
        <f t="shared" si="549"/>
        <v>6.4999999999999994E-5</v>
      </c>
      <c r="EG415" s="66">
        <f>+IF($W415="","",ROUND(IF($B415&gt;Parámetros!$D$107,'Tablas Servicio'!EE415+('Tablas Servicio'!EG414-'Tablas Servicio'!EE414),EE415/(1-IF(B415&lt;=10,Parámetros!$D$100,0))),2))</f>
        <v>3.25</v>
      </c>
      <c r="EH415" s="66">
        <f t="shared" si="550"/>
        <v>0</v>
      </c>
      <c r="EI415" s="66">
        <f t="shared" si="550"/>
        <v>0</v>
      </c>
      <c r="EJ415" s="66">
        <f>+IF($W415="","",ROUND((EG415*Parámetros!$G$85),2))</f>
        <v>0.11</v>
      </c>
      <c r="EK415" s="66">
        <f>+IF($W415="","",ROUND((EG415*(Parámetros!$G$86)),2))</f>
        <v>0.02</v>
      </c>
      <c r="EL415" s="66">
        <f t="shared" si="551"/>
        <v>3.38</v>
      </c>
    </row>
    <row r="416" spans="1:142" x14ac:dyDescent="0.25">
      <c r="A416">
        <f>+IF($C416="","",ROUND(VLOOKUP('Tablas Servicio'!B416,Parámetros!$H$100:$J$159,IF(Parámetros!$E$16="F",2,3),FALSE),2))</f>
        <v>150</v>
      </c>
      <c r="B416">
        <f t="shared" si="502"/>
        <v>32</v>
      </c>
      <c r="C416" s="57">
        <f>+IF(D416="","",'Tablas Servicio'!C415+1)</f>
        <v>375</v>
      </c>
      <c r="D416" s="56">
        <f>+IF(D415&lt;edadmaxtabla,D415+1/Parámetros!$E$25,"")</f>
        <v>71.270000000000266</v>
      </c>
      <c r="E416" s="57">
        <f t="shared" si="512"/>
        <v>71</v>
      </c>
      <c r="F416" s="59">
        <f t="shared" si="513"/>
        <v>100000</v>
      </c>
      <c r="G416" s="66">
        <f t="shared" si="503"/>
        <v>139.65</v>
      </c>
      <c r="H416" s="66">
        <f t="shared" si="504"/>
        <v>145.22999999999999</v>
      </c>
      <c r="I416" s="66">
        <f t="shared" si="552"/>
        <v>-51.22999999999999</v>
      </c>
      <c r="J416" s="66">
        <f t="shared" si="505"/>
        <v>4.88</v>
      </c>
      <c r="K416" s="66">
        <f t="shared" si="506"/>
        <v>0.70000000000000007</v>
      </c>
      <c r="L416" s="66">
        <f t="shared" si="507"/>
        <v>0</v>
      </c>
      <c r="M416" s="66">
        <f t="shared" si="508"/>
        <v>0</v>
      </c>
      <c r="N416" s="66">
        <f>+IF(C416="","",ROUND(Parámetros!$D$23,2))</f>
        <v>94</v>
      </c>
      <c r="O416" s="66">
        <f t="shared" si="509"/>
        <v>127.15</v>
      </c>
      <c r="P416" s="66">
        <f>+IF($C416="","",ROUND(IF(B416&gt;Parámetros!$D$117,0,N416*Parámetros!$D$116-G416*Parámetros!$D$100),2))</f>
        <v>0</v>
      </c>
      <c r="Q416" s="75">
        <f t="shared" si="553"/>
        <v>3.4944504117436444E-2</v>
      </c>
      <c r="R416" s="75">
        <f t="shared" si="554"/>
        <v>5.0125313283208026E-3</v>
      </c>
      <c r="S416" s="117">
        <f>+IF($C416="","",ROUND((S415+I416)*(1+Parámetros!$D$91),2))</f>
        <v>26514.31</v>
      </c>
      <c r="T416" s="117">
        <f>+IF($C416="","",ROUND(S416*VLOOKUP(B416,Parámetros!$C$30:$D$39,2,TRUE),2))</f>
        <v>26514.31</v>
      </c>
      <c r="U416" s="117">
        <f>+IF($C416="","",ROUND((U415+I416)*(1+Parámetros!$D$92),2))</f>
        <v>29683.45</v>
      </c>
      <c r="V416" s="117">
        <f>+IF($C416="","",ROUND(U416*VLOOKUP(B416,Parámetros!$C$30:$D$39,2,TRUE),2))</f>
        <v>29683.45</v>
      </c>
      <c r="W416" s="57">
        <f t="shared" si="555"/>
        <v>375</v>
      </c>
      <c r="X416" t="str">
        <f t="shared" si="556"/>
        <v>00058</v>
      </c>
      <c r="Y416" t="str">
        <f t="shared" si="557"/>
        <v>MUERTE POR CUALQUIER CAUSA</v>
      </c>
      <c r="Z416" s="118">
        <f>+IF($W416="","",ROUND(IF(Parámetros!$D$25='TABLAS MORT'!$V$33,Z415,Parámetros!$D$21-'Tablas Servicio'!T415),0))</f>
        <v>100000</v>
      </c>
      <c r="AA416" s="118" t="str">
        <f t="shared" si="558"/>
        <v>P</v>
      </c>
      <c r="AB416" s="119">
        <f>+IF(W416="","",ROUND((VLOOKUP(ROUNDDOWN($D416-1/frec,0),qx_tabla,2,FALSE)*(1+i/frec)^-0.5*(1+Parámetros!$D$103)*(1+rec_fracc)/frec),6))</f>
        <v>1.2390000000000001E-3</v>
      </c>
      <c r="AC416" s="66">
        <f t="shared" si="514"/>
        <v>123.9</v>
      </c>
      <c r="AD416" s="119">
        <f t="shared" si="510"/>
        <v>1.364E-3</v>
      </c>
      <c r="AE416" s="66">
        <f>+IF($W416="","",ROUND(IF($B416&gt;Parámetros!$D$107,'Tablas Servicio'!AC416+('Tablas Servicio'!AG415-'Tablas Servicio'!AC415),AC416/(1-IF(B416&lt;=10,Parámetros!$D$104,Parámetros!$D$105))),2))</f>
        <v>206.5</v>
      </c>
      <c r="AF416" s="66">
        <f>+IF($W416="","",ROUND(IF($B416&gt;Parámetros!$D$107,'Tablas Servicio'!AC416+('Tablas Servicio'!AG415-'Tablas Servicio'!AC415),(AC416+$A415/frec)/(1-IF(B416&lt;=Parámetros!$D$117,Parámetros!$D$100,0))),2))</f>
        <v>136.4</v>
      </c>
      <c r="AG416" s="66">
        <f t="shared" si="515"/>
        <v>136.4</v>
      </c>
      <c r="AH416" s="66">
        <f t="shared" si="516"/>
        <v>0</v>
      </c>
      <c r="AI416" s="66">
        <f t="shared" si="517"/>
        <v>0</v>
      </c>
      <c r="AJ416" s="66">
        <f>+IF($W416="","",ROUND((AG416*Parámetros!$G$85),2))</f>
        <v>4.7699999999999996</v>
      </c>
      <c r="AK416" s="66">
        <f>+IF($W416="","",ROUND((AG416*(Parámetros!$G$86)),2))</f>
        <v>0.68</v>
      </c>
      <c r="AL416" s="66">
        <f t="shared" si="511"/>
        <v>141.85</v>
      </c>
      <c r="AM416" t="str">
        <f t="shared" si="559"/>
        <v>00059</v>
      </c>
      <c r="AN416" t="str">
        <f t="shared" si="560"/>
        <v>Incapacidad Total y Permanente</v>
      </c>
      <c r="AO416" s="118">
        <f t="shared" si="561"/>
        <v>0</v>
      </c>
      <c r="AP416" s="118" t="str">
        <f t="shared" si="562"/>
        <v>A</v>
      </c>
      <c r="AQ416" s="119" t="str">
        <f>+IF(OR($W416="",AO416=0),"",ROUND((VLOOKUP(ROUNDDOWN($D416-1/frec,0),cob_adi,Z$40,FALSE)*(1+i/frec)^-0.5*(1+Parámetros!$D$103)*(1+rec_fracc)/frec),6))</f>
        <v/>
      </c>
      <c r="AR416" s="66">
        <f t="shared" si="518"/>
        <v>0</v>
      </c>
      <c r="AS416" s="119" t="str">
        <f t="shared" si="519"/>
        <v/>
      </c>
      <c r="AT416" s="66">
        <f>+IF($W416="","",ROUND(IF($B416&gt;Parámetros!$D$107,'Tablas Servicio'!AR416+('Tablas Servicio'!AT415-'Tablas Servicio'!AR415),AR416/(1-IF(B416&lt;=10,Parámetros!$D$100,0))),2))</f>
        <v>0</v>
      </c>
      <c r="AU416" s="66">
        <f t="shared" si="520"/>
        <v>0</v>
      </c>
      <c r="AV416" s="66">
        <f t="shared" si="520"/>
        <v>0</v>
      </c>
      <c r="AW416" s="66">
        <f>+IF($W416="","",ROUND((AT416*Parámetros!$G$85),2))</f>
        <v>0</v>
      </c>
      <c r="AX416" s="66">
        <f>+IF($W416="","",ROUND((AT416*(Parámetros!$G$86)),2))</f>
        <v>0</v>
      </c>
      <c r="AY416" s="66">
        <f t="shared" si="521"/>
        <v>0</v>
      </c>
      <c r="AZ416" t="str">
        <f t="shared" si="563"/>
        <v>00060</v>
      </c>
      <c r="BA416" t="str">
        <f t="shared" si="564"/>
        <v>Muerte Accidental</v>
      </c>
      <c r="BB416" s="118">
        <f t="shared" si="565"/>
        <v>0</v>
      </c>
      <c r="BC416" s="118" t="str">
        <f t="shared" si="566"/>
        <v>A</v>
      </c>
      <c r="BD416" s="119" t="str">
        <f>+IF(OR($W416="",BB416=0),"",ROUND((VLOOKUP(ROUNDDOWN($D416-1/frec,0),cob_adi,AO$40,FALSE)*(1+i/frec)^-0.5*(1+Parámetros!$D$103)*(1+rec_fracc)/frec),6))</f>
        <v/>
      </c>
      <c r="BE416" s="66">
        <f t="shared" si="522"/>
        <v>0</v>
      </c>
      <c r="BF416" s="119" t="str">
        <f t="shared" si="523"/>
        <v/>
      </c>
      <c r="BG416" s="66">
        <f>+IF($W416="","",ROUND(IF($B416&gt;Parámetros!$D$107,'Tablas Servicio'!BE416+('Tablas Servicio'!BG415-'Tablas Servicio'!BE415),BE416/(1-IF(B416&lt;=10,Parámetros!$D$100,0))),2))</f>
        <v>0</v>
      </c>
      <c r="BH416" s="66">
        <f t="shared" si="524"/>
        <v>0</v>
      </c>
      <c r="BI416" s="66">
        <f t="shared" si="525"/>
        <v>0</v>
      </c>
      <c r="BJ416" s="66">
        <f>+IF($W416="","",ROUND((BG416*Parámetros!$G$85),2))</f>
        <v>0</v>
      </c>
      <c r="BK416" s="66">
        <f>+IF($W416="","",ROUND((BG416*(Parámetros!$G$86)),2))</f>
        <v>0</v>
      </c>
      <c r="BL416" s="66">
        <f t="shared" si="526"/>
        <v>0</v>
      </c>
      <c r="BM416" t="str">
        <f t="shared" si="567"/>
        <v>00061</v>
      </c>
      <c r="BN416" t="str">
        <f t="shared" si="568"/>
        <v>Gastos de Entierro</v>
      </c>
      <c r="BO416" s="118">
        <f t="shared" si="569"/>
        <v>0</v>
      </c>
      <c r="BP416" s="118" t="str">
        <f t="shared" si="570"/>
        <v>A</v>
      </c>
      <c r="BQ416" s="119" t="str">
        <f>+IF(OR($W416="",BO416=0),"",ROUND((VLOOKUP(ROUNDDOWN($D416-1/frec,0),cob_adi,BB$40,FALSE)*(1+i/frec)^-0.5*(1+Parámetros!$D$103)*(1+rec_fracc)/frec),6))</f>
        <v/>
      </c>
      <c r="BR416" s="66">
        <f t="shared" si="527"/>
        <v>0</v>
      </c>
      <c r="BS416" s="119" t="str">
        <f t="shared" si="528"/>
        <v/>
      </c>
      <c r="BT416" s="66">
        <f>+IF($W416="","",ROUND(IF($B416&gt;Parámetros!$D$107,'Tablas Servicio'!BR416+('Tablas Servicio'!BT415-'Tablas Servicio'!BR415),BR416/(1-IF(B416&lt;=10,Parámetros!$D$100,0))),2))</f>
        <v>0</v>
      </c>
      <c r="BU416" s="66">
        <f t="shared" si="529"/>
        <v>0</v>
      </c>
      <c r="BV416" s="66">
        <f t="shared" si="529"/>
        <v>0</v>
      </c>
      <c r="BW416" s="66">
        <f>+IF($W416="","",ROUND((BT416*Parámetros!$G$85),2))</f>
        <v>0</v>
      </c>
      <c r="BX416" s="66">
        <f>+IF($W416="","",ROUND((BT416*(Parámetros!$G$86)),2))</f>
        <v>0</v>
      </c>
      <c r="BY416" s="66">
        <f t="shared" si="530"/>
        <v>0</v>
      </c>
      <c r="BZ416" t="str">
        <f t="shared" si="571"/>
        <v>00062</v>
      </c>
      <c r="CA416" t="str">
        <f t="shared" si="572"/>
        <v>Gastos médicos por accidente</v>
      </c>
      <c r="CB416" s="118">
        <f t="shared" si="573"/>
        <v>0</v>
      </c>
      <c r="CC416" s="118" t="str">
        <f t="shared" si="574"/>
        <v>A</v>
      </c>
      <c r="CD416" s="119" t="str">
        <f t="shared" si="531"/>
        <v/>
      </c>
      <c r="CE416" s="66">
        <f>+IF($W416="","",ROUND((VLOOKUP(ROUNDDOWN($D416-1/frec,0),cob_adi,BO$40,FALSE)*(1+i/frec)^-0.5*(1+Parámetros!$D$103)*(1+rec_fracc)/frec*'TABLAS ADI'!$BC$17),2))</f>
        <v>0</v>
      </c>
      <c r="CF416" s="119" t="str">
        <f t="shared" si="532"/>
        <v/>
      </c>
      <c r="CG416" s="66">
        <f>+IF($W416="","",ROUND(IF($B416&gt;Parámetros!$D$107,'Tablas Servicio'!CE416+('Tablas Servicio'!CG415-'Tablas Servicio'!CE415),CE416/(1-IF(B416&lt;=10,Parámetros!$D$100,0))),2))</f>
        <v>0</v>
      </c>
      <c r="CH416" s="66">
        <f t="shared" si="533"/>
        <v>0</v>
      </c>
      <c r="CI416" s="66">
        <f t="shared" si="533"/>
        <v>0</v>
      </c>
      <c r="CJ416" s="66">
        <f>+IF($W416="","",ROUND((CG416*Parámetros!$G$85),2))</f>
        <v>0</v>
      </c>
      <c r="CK416" s="66">
        <f>+IF($W416="","",ROUND((CG416*(Parámetros!$G$86)),2))</f>
        <v>0</v>
      </c>
      <c r="CL416" s="66">
        <f t="shared" si="534"/>
        <v>0</v>
      </c>
      <c r="CM416" t="str">
        <f t="shared" si="575"/>
        <v>00063</v>
      </c>
      <c r="CN416" s="118" t="str">
        <f t="shared" si="576"/>
        <v>Renta Diaria por Hospitalización</v>
      </c>
      <c r="CO416" s="118">
        <f t="shared" si="577"/>
        <v>0</v>
      </c>
      <c r="CP416" s="118" t="str">
        <f t="shared" si="578"/>
        <v>A</v>
      </c>
      <c r="CQ416" s="119" t="str">
        <f t="shared" si="535"/>
        <v/>
      </c>
      <c r="CR416" s="66">
        <f>+IF($W416="","",ROUND((VLOOKUP(Parámetros!$F$51,'COBERTURAS ADICIONALES'!$S$4:$T$32,2,FALSE)*(1+i/frec)^-0.5*(1+Parámetros!$D$103)*(1+rec_fracc)/frec*$CO$42),2))</f>
        <v>0</v>
      </c>
      <c r="CS416" s="119" t="str">
        <f t="shared" si="536"/>
        <v/>
      </c>
      <c r="CT416" s="66">
        <f>+IF($W416="","",ROUND(IF($B416&gt;Parámetros!$D$107,'Tablas Servicio'!CR416+('Tablas Servicio'!CT415-'Tablas Servicio'!CR415),CR416/(1-IF(B416&lt;=10,Parámetros!$D$100,0))),2))</f>
        <v>0</v>
      </c>
      <c r="CU416" s="66">
        <f t="shared" si="537"/>
        <v>0</v>
      </c>
      <c r="CV416" s="66">
        <f t="shared" si="537"/>
        <v>0</v>
      </c>
      <c r="CW416" s="66">
        <f>+IF($W416="","",ROUND((CT416*Parámetros!$G$85),2))</f>
        <v>0</v>
      </c>
      <c r="CX416" s="66">
        <f>+IF($W416="","",ROUND((CT416*(Parámetros!$G$86)),2))</f>
        <v>0</v>
      </c>
      <c r="CY416" s="66">
        <f t="shared" si="538"/>
        <v>0</v>
      </c>
      <c r="CZ416" t="str">
        <f t="shared" si="579"/>
        <v>00064</v>
      </c>
      <c r="DA416" s="118" t="str">
        <f t="shared" si="580"/>
        <v>Enfermedades Graves</v>
      </c>
      <c r="DB416" s="118">
        <f t="shared" si="581"/>
        <v>0</v>
      </c>
      <c r="DC416" s="118" t="str">
        <f t="shared" si="582"/>
        <v>A</v>
      </c>
      <c r="DD416" s="121" t="str">
        <f>+IF(OR($W416="",DB416=0),"",ROUND((VLOOKUP(ROUNDDOWN($D416-1/frec,0),cob_adi,CO$40,FALSE)*(1+i/frec)^-0.5*(1+Parámetros!$D$103)*(1+rec_fracc)/frec),6))</f>
        <v/>
      </c>
      <c r="DE416" s="66">
        <f t="shared" si="539"/>
        <v>0</v>
      </c>
      <c r="DF416" s="119" t="str">
        <f t="shared" si="540"/>
        <v/>
      </c>
      <c r="DG416" s="66">
        <f>+IF($W416="","",ROUND(IF($B416&gt;Parámetros!$D$107,'Tablas Servicio'!DE416+('Tablas Servicio'!DG415-'Tablas Servicio'!DE415),DE416/(1-IF(B416&lt;=10,Parámetros!$D$100,0))),2))</f>
        <v>0</v>
      </c>
      <c r="DH416" s="66">
        <f t="shared" si="541"/>
        <v>0</v>
      </c>
      <c r="DI416" s="66">
        <f t="shared" si="541"/>
        <v>0</v>
      </c>
      <c r="DJ416" s="66">
        <f>+IF($W416="","",ROUND((DG416*Parámetros!$G$85),2))</f>
        <v>0</v>
      </c>
      <c r="DK416" s="66">
        <f>+IF($W416="","",ROUND((DG416*(Parámetros!$G$86)),2))</f>
        <v>0</v>
      </c>
      <c r="DL416" s="66">
        <f t="shared" si="542"/>
        <v>0</v>
      </c>
      <c r="DM416" t="str">
        <f t="shared" si="583"/>
        <v>00065</v>
      </c>
      <c r="DN416" s="118" t="str">
        <f t="shared" si="584"/>
        <v>Exención pago de primas</v>
      </c>
      <c r="DO416" s="118">
        <f t="shared" si="585"/>
        <v>0</v>
      </c>
      <c r="DP416" s="118" t="str">
        <f t="shared" si="586"/>
        <v>A</v>
      </c>
      <c r="DQ416" s="122" t="str">
        <f>+IF(OR($W416="",DO416=0),"",ROUND((VLOOKUP(ROUNDDOWN($D416-1/frec,0),cob_adi,DB$40,FALSE)*(1+i/frec)^-0.5*(1+Parámetros!$D$103)*(1+rec_fracc)/frec),6))</f>
        <v/>
      </c>
      <c r="DR416" s="66">
        <f t="shared" si="543"/>
        <v>0</v>
      </c>
      <c r="DS416" s="68" t="str">
        <f t="shared" si="544"/>
        <v/>
      </c>
      <c r="DT416" s="66">
        <f>+IF($W416="","",ROUND(IF($B416&gt;Parámetros!$D$107,'Tablas Servicio'!DR416+('Tablas Servicio'!DT415-'Tablas Servicio'!DR415),DR416/(1-IF(B416&lt;=10,Parámetros!$D$100,0))),2))</f>
        <v>0</v>
      </c>
      <c r="DU416" s="66">
        <f t="shared" si="545"/>
        <v>0</v>
      </c>
      <c r="DV416" s="66">
        <f t="shared" si="545"/>
        <v>0</v>
      </c>
      <c r="DW416" s="66">
        <f>+IF($W416="","",ROUND((DT416*Parámetros!$G$85),2))</f>
        <v>0</v>
      </c>
      <c r="DX416" s="66">
        <f>+IF($W416="","",ROUND((DT416*(Parámetros!$G$86)),2))</f>
        <v>0</v>
      </c>
      <c r="DY416" s="66">
        <f t="shared" si="546"/>
        <v>0</v>
      </c>
      <c r="DZ416" t="str">
        <f t="shared" si="589"/>
        <v>00066</v>
      </c>
      <c r="EA416" s="118" t="str">
        <f t="shared" si="589"/>
        <v>Enfermedad terminal</v>
      </c>
      <c r="EB416" s="118">
        <f>+IF($W416="","",ROUND(IF(Parámetros!$D$25='TABLAS MORT'!$V$33,EB415,Z416/2),0))</f>
        <v>50000</v>
      </c>
      <c r="EC416" s="118" t="str">
        <f t="shared" si="589"/>
        <v>A</v>
      </c>
      <c r="ED416" s="122">
        <f>+IF(OR($W416="",EB416=0),"",ROUND((VLOOKUP(ROUNDDOWN($D416-1/frec,0),cob_adi,DO$40,FALSE)*(1+i/frec)^-0.5*(1+Parámetros!$D$103)*(1+rec_fracc)/frec),6))</f>
        <v>6.4999999999999994E-5</v>
      </c>
      <c r="EE416" s="66">
        <f t="shared" si="548"/>
        <v>3.25</v>
      </c>
      <c r="EF416" s="68">
        <f t="shared" si="549"/>
        <v>6.4999999999999994E-5</v>
      </c>
      <c r="EG416" s="66">
        <f>+IF($W416="","",ROUND(IF($B416&gt;Parámetros!$D$107,'Tablas Servicio'!EE416+('Tablas Servicio'!EG415-'Tablas Servicio'!EE415),EE416/(1-IF(B416&lt;=10,Parámetros!$D$100,0))),2))</f>
        <v>3.25</v>
      </c>
      <c r="EH416" s="66">
        <f t="shared" si="550"/>
        <v>0</v>
      </c>
      <c r="EI416" s="66">
        <f t="shared" si="550"/>
        <v>0</v>
      </c>
      <c r="EJ416" s="66">
        <f>+IF($W416="","",ROUND((EG416*Parámetros!$G$85),2))</f>
        <v>0.11</v>
      </c>
      <c r="EK416" s="66">
        <f>+IF($W416="","",ROUND((EG416*(Parámetros!$G$86)),2))</f>
        <v>0.02</v>
      </c>
      <c r="EL416" s="66">
        <f t="shared" si="551"/>
        <v>3.38</v>
      </c>
    </row>
    <row r="417" spans="1:142" x14ac:dyDescent="0.25">
      <c r="A417">
        <f>+IF($C417="","",ROUND(VLOOKUP('Tablas Servicio'!B417,Parámetros!$H$100:$J$159,IF(Parámetros!$E$16="F",2,3),FALSE),2))</f>
        <v>150</v>
      </c>
      <c r="B417">
        <f t="shared" si="502"/>
        <v>32</v>
      </c>
      <c r="C417" s="57">
        <f>+IF(D417="","",'Tablas Servicio'!C416+1)</f>
        <v>376</v>
      </c>
      <c r="D417" s="56">
        <f>+IF(D416&lt;edadmaxtabla,D416+1/Parámetros!$E$25,"")</f>
        <v>71.353333333333595</v>
      </c>
      <c r="E417" s="57">
        <f t="shared" si="512"/>
        <v>71</v>
      </c>
      <c r="F417" s="59">
        <f t="shared" si="513"/>
        <v>100000</v>
      </c>
      <c r="G417" s="66">
        <f t="shared" si="503"/>
        <v>139.65</v>
      </c>
      <c r="H417" s="66">
        <f t="shared" si="504"/>
        <v>145.22999999999999</v>
      </c>
      <c r="I417" s="66">
        <f t="shared" si="552"/>
        <v>-51.22999999999999</v>
      </c>
      <c r="J417" s="66">
        <f t="shared" si="505"/>
        <v>4.88</v>
      </c>
      <c r="K417" s="66">
        <f t="shared" si="506"/>
        <v>0.70000000000000007</v>
      </c>
      <c r="L417" s="66">
        <f t="shared" si="507"/>
        <v>0</v>
      </c>
      <c r="M417" s="66">
        <f t="shared" si="508"/>
        <v>0</v>
      </c>
      <c r="N417" s="66">
        <f>+IF(C417="","",ROUND(Parámetros!$D$23,2))</f>
        <v>94</v>
      </c>
      <c r="O417" s="66">
        <f t="shared" si="509"/>
        <v>127.15</v>
      </c>
      <c r="P417" s="66">
        <f>+IF($C417="","",ROUND(IF(B417&gt;Parámetros!$D$117,0,N417*Parámetros!$D$116-G417*Parámetros!$D$100),2))</f>
        <v>0</v>
      </c>
      <c r="Q417" s="75">
        <f t="shared" si="553"/>
        <v>3.4944504117436444E-2</v>
      </c>
      <c r="R417" s="75">
        <f t="shared" si="554"/>
        <v>5.0125313283208026E-3</v>
      </c>
      <c r="S417" s="117">
        <f>+IF($C417="","",ROUND((S416+I417)*(1+Parámetros!$D$91),2))</f>
        <v>26538.14</v>
      </c>
      <c r="T417" s="117">
        <f>+IF($C417="","",ROUND(S417*VLOOKUP(B417,Parámetros!$C$30:$D$39,2,TRUE),2))</f>
        <v>26538.14</v>
      </c>
      <c r="U417" s="117">
        <f>+IF($C417="","",ROUND((U416+I417)*(1+Parámetros!$D$92),2))</f>
        <v>29728.28</v>
      </c>
      <c r="V417" s="117">
        <f>+IF($C417="","",ROUND(U417*VLOOKUP(B417,Parámetros!$C$30:$D$39,2,TRUE),2))</f>
        <v>29728.28</v>
      </c>
      <c r="W417" s="57">
        <f t="shared" si="555"/>
        <v>376</v>
      </c>
      <c r="X417" t="str">
        <f t="shared" si="556"/>
        <v>00058</v>
      </c>
      <c r="Y417" t="str">
        <f t="shared" si="557"/>
        <v>MUERTE POR CUALQUIER CAUSA</v>
      </c>
      <c r="Z417" s="118">
        <f>+IF($W417="","",ROUND(IF(Parámetros!$D$25='TABLAS MORT'!$V$33,Z416,Parámetros!$D$21-'Tablas Servicio'!T416),0))</f>
        <v>100000</v>
      </c>
      <c r="AA417" s="118" t="str">
        <f t="shared" si="558"/>
        <v>P</v>
      </c>
      <c r="AB417" s="119">
        <f>+IF(W417="","",ROUND((VLOOKUP(ROUNDDOWN($D417-1/frec,0),qx_tabla,2,FALSE)*(1+i/frec)^-0.5*(1+Parámetros!$D$103)*(1+rec_fracc)/frec),6))</f>
        <v>1.2390000000000001E-3</v>
      </c>
      <c r="AC417" s="66">
        <f t="shared" si="514"/>
        <v>123.9</v>
      </c>
      <c r="AD417" s="119">
        <f t="shared" si="510"/>
        <v>1.364E-3</v>
      </c>
      <c r="AE417" s="66">
        <f>+IF($W417="","",ROUND(IF($B417&gt;Parámetros!$D$107,'Tablas Servicio'!AC417+('Tablas Servicio'!AG416-'Tablas Servicio'!AC416),AC417/(1-IF(B417&lt;=10,Parámetros!$D$104,Parámetros!$D$105))),2))</f>
        <v>206.5</v>
      </c>
      <c r="AF417" s="66">
        <f>+IF($W417="","",ROUND(IF($B417&gt;Parámetros!$D$107,'Tablas Servicio'!AC417+('Tablas Servicio'!AG416-'Tablas Servicio'!AC416),(AC417+$A416/frec)/(1-IF(B417&lt;=Parámetros!$D$117,Parámetros!$D$100,0))),2))</f>
        <v>136.4</v>
      </c>
      <c r="AG417" s="66">
        <f t="shared" si="515"/>
        <v>136.4</v>
      </c>
      <c r="AH417" s="66">
        <f t="shared" si="516"/>
        <v>0</v>
      </c>
      <c r="AI417" s="66">
        <f t="shared" si="517"/>
        <v>0</v>
      </c>
      <c r="AJ417" s="66">
        <f>+IF($W417="","",ROUND((AG417*Parámetros!$G$85),2))</f>
        <v>4.7699999999999996</v>
      </c>
      <c r="AK417" s="66">
        <f>+IF($W417="","",ROUND((AG417*(Parámetros!$G$86)),2))</f>
        <v>0.68</v>
      </c>
      <c r="AL417" s="66">
        <f t="shared" si="511"/>
        <v>141.85</v>
      </c>
      <c r="AM417" t="str">
        <f t="shared" si="559"/>
        <v>00059</v>
      </c>
      <c r="AN417" t="str">
        <f t="shared" si="560"/>
        <v>Incapacidad Total y Permanente</v>
      </c>
      <c r="AO417" s="118">
        <f t="shared" si="561"/>
        <v>0</v>
      </c>
      <c r="AP417" s="118" t="str">
        <f t="shared" si="562"/>
        <v>A</v>
      </c>
      <c r="AQ417" s="119" t="str">
        <f>+IF(OR($W417="",AO417=0),"",ROUND((VLOOKUP(ROUNDDOWN($D417-1/frec,0),cob_adi,Z$40,FALSE)*(1+i/frec)^-0.5*(1+Parámetros!$D$103)*(1+rec_fracc)/frec),6))</f>
        <v/>
      </c>
      <c r="AR417" s="66">
        <f t="shared" si="518"/>
        <v>0</v>
      </c>
      <c r="AS417" s="119" t="str">
        <f t="shared" si="519"/>
        <v/>
      </c>
      <c r="AT417" s="66">
        <f>+IF($W417="","",ROUND(IF($B417&gt;Parámetros!$D$107,'Tablas Servicio'!AR417+('Tablas Servicio'!AT416-'Tablas Servicio'!AR416),AR417/(1-IF(B417&lt;=10,Parámetros!$D$100,0))),2))</f>
        <v>0</v>
      </c>
      <c r="AU417" s="66">
        <f t="shared" si="520"/>
        <v>0</v>
      </c>
      <c r="AV417" s="66">
        <f t="shared" si="520"/>
        <v>0</v>
      </c>
      <c r="AW417" s="66">
        <f>+IF($W417="","",ROUND((AT417*Parámetros!$G$85),2))</f>
        <v>0</v>
      </c>
      <c r="AX417" s="66">
        <f>+IF($W417="","",ROUND((AT417*(Parámetros!$G$86)),2))</f>
        <v>0</v>
      </c>
      <c r="AY417" s="66">
        <f t="shared" si="521"/>
        <v>0</v>
      </c>
      <c r="AZ417" t="str">
        <f t="shared" si="563"/>
        <v>00060</v>
      </c>
      <c r="BA417" t="str">
        <f t="shared" si="564"/>
        <v>Muerte Accidental</v>
      </c>
      <c r="BB417" s="118">
        <f t="shared" si="565"/>
        <v>0</v>
      </c>
      <c r="BC417" s="118" t="str">
        <f t="shared" si="566"/>
        <v>A</v>
      </c>
      <c r="BD417" s="119" t="str">
        <f>+IF(OR($W417="",BB417=0),"",ROUND((VLOOKUP(ROUNDDOWN($D417-1/frec,0),cob_adi,AO$40,FALSE)*(1+i/frec)^-0.5*(1+Parámetros!$D$103)*(1+rec_fracc)/frec),6))</f>
        <v/>
      </c>
      <c r="BE417" s="66">
        <f t="shared" si="522"/>
        <v>0</v>
      </c>
      <c r="BF417" s="119" t="str">
        <f t="shared" si="523"/>
        <v/>
      </c>
      <c r="BG417" s="66">
        <f>+IF($W417="","",ROUND(IF($B417&gt;Parámetros!$D$107,'Tablas Servicio'!BE417+('Tablas Servicio'!BG416-'Tablas Servicio'!BE416),BE417/(1-IF(B417&lt;=10,Parámetros!$D$100,0))),2))</f>
        <v>0</v>
      </c>
      <c r="BH417" s="66">
        <f t="shared" si="524"/>
        <v>0</v>
      </c>
      <c r="BI417" s="66">
        <f t="shared" si="525"/>
        <v>0</v>
      </c>
      <c r="BJ417" s="66">
        <f>+IF($W417="","",ROUND((BG417*Parámetros!$G$85),2))</f>
        <v>0</v>
      </c>
      <c r="BK417" s="66">
        <f>+IF($W417="","",ROUND((BG417*(Parámetros!$G$86)),2))</f>
        <v>0</v>
      </c>
      <c r="BL417" s="66">
        <f t="shared" si="526"/>
        <v>0</v>
      </c>
      <c r="BM417" t="str">
        <f t="shared" si="567"/>
        <v>00061</v>
      </c>
      <c r="BN417" t="str">
        <f t="shared" si="568"/>
        <v>Gastos de Entierro</v>
      </c>
      <c r="BO417" s="118">
        <f t="shared" si="569"/>
        <v>0</v>
      </c>
      <c r="BP417" s="118" t="str">
        <f t="shared" si="570"/>
        <v>A</v>
      </c>
      <c r="BQ417" s="119" t="str">
        <f>+IF(OR($W417="",BO417=0),"",ROUND((VLOOKUP(ROUNDDOWN($D417-1/frec,0),cob_adi,BB$40,FALSE)*(1+i/frec)^-0.5*(1+Parámetros!$D$103)*(1+rec_fracc)/frec),6))</f>
        <v/>
      </c>
      <c r="BR417" s="66">
        <f t="shared" si="527"/>
        <v>0</v>
      </c>
      <c r="BS417" s="119" t="str">
        <f t="shared" si="528"/>
        <v/>
      </c>
      <c r="BT417" s="66">
        <f>+IF($W417="","",ROUND(IF($B417&gt;Parámetros!$D$107,'Tablas Servicio'!BR417+('Tablas Servicio'!BT416-'Tablas Servicio'!BR416),BR417/(1-IF(B417&lt;=10,Parámetros!$D$100,0))),2))</f>
        <v>0</v>
      </c>
      <c r="BU417" s="66">
        <f t="shared" si="529"/>
        <v>0</v>
      </c>
      <c r="BV417" s="66">
        <f t="shared" si="529"/>
        <v>0</v>
      </c>
      <c r="BW417" s="66">
        <f>+IF($W417="","",ROUND((BT417*Parámetros!$G$85),2))</f>
        <v>0</v>
      </c>
      <c r="BX417" s="66">
        <f>+IF($W417="","",ROUND((BT417*(Parámetros!$G$86)),2))</f>
        <v>0</v>
      </c>
      <c r="BY417" s="66">
        <f t="shared" si="530"/>
        <v>0</v>
      </c>
      <c r="BZ417" t="str">
        <f t="shared" si="571"/>
        <v>00062</v>
      </c>
      <c r="CA417" t="str">
        <f t="shared" si="572"/>
        <v>Gastos médicos por accidente</v>
      </c>
      <c r="CB417" s="118">
        <f t="shared" si="573"/>
        <v>0</v>
      </c>
      <c r="CC417" s="118" t="str">
        <f t="shared" si="574"/>
        <v>A</v>
      </c>
      <c r="CD417" s="119" t="str">
        <f t="shared" si="531"/>
        <v/>
      </c>
      <c r="CE417" s="66">
        <f>+IF($W417="","",ROUND((VLOOKUP(ROUNDDOWN($D417-1/frec,0),cob_adi,BO$40,FALSE)*(1+i/frec)^-0.5*(1+Parámetros!$D$103)*(1+rec_fracc)/frec*'TABLAS ADI'!$BC$17),2))</f>
        <v>0</v>
      </c>
      <c r="CF417" s="119" t="str">
        <f t="shared" si="532"/>
        <v/>
      </c>
      <c r="CG417" s="66">
        <f>+IF($W417="","",ROUND(IF($B417&gt;Parámetros!$D$107,'Tablas Servicio'!CE417+('Tablas Servicio'!CG416-'Tablas Servicio'!CE416),CE417/(1-IF(B417&lt;=10,Parámetros!$D$100,0))),2))</f>
        <v>0</v>
      </c>
      <c r="CH417" s="66">
        <f t="shared" si="533"/>
        <v>0</v>
      </c>
      <c r="CI417" s="66">
        <f t="shared" si="533"/>
        <v>0</v>
      </c>
      <c r="CJ417" s="66">
        <f>+IF($W417="","",ROUND((CG417*Parámetros!$G$85),2))</f>
        <v>0</v>
      </c>
      <c r="CK417" s="66">
        <f>+IF($W417="","",ROUND((CG417*(Parámetros!$G$86)),2))</f>
        <v>0</v>
      </c>
      <c r="CL417" s="66">
        <f t="shared" si="534"/>
        <v>0</v>
      </c>
      <c r="CM417" t="str">
        <f t="shared" si="575"/>
        <v>00063</v>
      </c>
      <c r="CN417" s="118" t="str">
        <f t="shared" si="576"/>
        <v>Renta Diaria por Hospitalización</v>
      </c>
      <c r="CO417" s="118">
        <f t="shared" si="577"/>
        <v>0</v>
      </c>
      <c r="CP417" s="118" t="str">
        <f t="shared" si="578"/>
        <v>A</v>
      </c>
      <c r="CQ417" s="119" t="str">
        <f t="shared" si="535"/>
        <v/>
      </c>
      <c r="CR417" s="66">
        <f>+IF($W417="","",ROUND((VLOOKUP(Parámetros!$F$51,'COBERTURAS ADICIONALES'!$S$4:$T$32,2,FALSE)*(1+i/frec)^-0.5*(1+Parámetros!$D$103)*(1+rec_fracc)/frec*$CO$42),2))</f>
        <v>0</v>
      </c>
      <c r="CS417" s="119" t="str">
        <f t="shared" si="536"/>
        <v/>
      </c>
      <c r="CT417" s="66">
        <f>+IF($W417="","",ROUND(IF($B417&gt;Parámetros!$D$107,'Tablas Servicio'!CR417+('Tablas Servicio'!CT416-'Tablas Servicio'!CR416),CR417/(1-IF(B417&lt;=10,Parámetros!$D$100,0))),2))</f>
        <v>0</v>
      </c>
      <c r="CU417" s="66">
        <f t="shared" si="537"/>
        <v>0</v>
      </c>
      <c r="CV417" s="66">
        <f t="shared" si="537"/>
        <v>0</v>
      </c>
      <c r="CW417" s="66">
        <f>+IF($W417="","",ROUND((CT417*Parámetros!$G$85),2))</f>
        <v>0</v>
      </c>
      <c r="CX417" s="66">
        <f>+IF($W417="","",ROUND((CT417*(Parámetros!$G$86)),2))</f>
        <v>0</v>
      </c>
      <c r="CY417" s="66">
        <f t="shared" si="538"/>
        <v>0</v>
      </c>
      <c r="CZ417" t="str">
        <f t="shared" si="579"/>
        <v>00064</v>
      </c>
      <c r="DA417" s="118" t="str">
        <f t="shared" si="580"/>
        <v>Enfermedades Graves</v>
      </c>
      <c r="DB417" s="118">
        <f t="shared" si="581"/>
        <v>0</v>
      </c>
      <c r="DC417" s="118" t="str">
        <f t="shared" si="582"/>
        <v>A</v>
      </c>
      <c r="DD417" s="121" t="str">
        <f>+IF(OR($W417="",DB417=0),"",ROUND((VLOOKUP(ROUNDDOWN($D417-1/frec,0),cob_adi,CO$40,FALSE)*(1+i/frec)^-0.5*(1+Parámetros!$D$103)*(1+rec_fracc)/frec),6))</f>
        <v/>
      </c>
      <c r="DE417" s="66">
        <f t="shared" si="539"/>
        <v>0</v>
      </c>
      <c r="DF417" s="119" t="str">
        <f t="shared" si="540"/>
        <v/>
      </c>
      <c r="DG417" s="66">
        <f>+IF($W417="","",ROUND(IF($B417&gt;Parámetros!$D$107,'Tablas Servicio'!DE417+('Tablas Servicio'!DG416-'Tablas Servicio'!DE416),DE417/(1-IF(B417&lt;=10,Parámetros!$D$100,0))),2))</f>
        <v>0</v>
      </c>
      <c r="DH417" s="66">
        <f t="shared" si="541"/>
        <v>0</v>
      </c>
      <c r="DI417" s="66">
        <f t="shared" si="541"/>
        <v>0</v>
      </c>
      <c r="DJ417" s="66">
        <f>+IF($W417="","",ROUND((DG417*Parámetros!$G$85),2))</f>
        <v>0</v>
      </c>
      <c r="DK417" s="66">
        <f>+IF($W417="","",ROUND((DG417*(Parámetros!$G$86)),2))</f>
        <v>0</v>
      </c>
      <c r="DL417" s="66">
        <f t="shared" si="542"/>
        <v>0</v>
      </c>
      <c r="DM417" t="str">
        <f t="shared" si="583"/>
        <v>00065</v>
      </c>
      <c r="DN417" s="118" t="str">
        <f t="shared" si="584"/>
        <v>Exención pago de primas</v>
      </c>
      <c r="DO417" s="118">
        <f t="shared" si="585"/>
        <v>0</v>
      </c>
      <c r="DP417" s="118" t="str">
        <f t="shared" si="586"/>
        <v>A</v>
      </c>
      <c r="DQ417" s="122" t="str">
        <f>+IF(OR($W417="",DO417=0),"",ROUND((VLOOKUP(ROUNDDOWN($D417-1/frec,0),cob_adi,DB$40,FALSE)*(1+i/frec)^-0.5*(1+Parámetros!$D$103)*(1+rec_fracc)/frec),6))</f>
        <v/>
      </c>
      <c r="DR417" s="66">
        <f t="shared" si="543"/>
        <v>0</v>
      </c>
      <c r="DS417" s="68" t="str">
        <f t="shared" si="544"/>
        <v/>
      </c>
      <c r="DT417" s="66">
        <f>+IF($W417="","",ROUND(IF($B417&gt;Parámetros!$D$107,'Tablas Servicio'!DR417+('Tablas Servicio'!DT416-'Tablas Servicio'!DR416),DR417/(1-IF(B417&lt;=10,Parámetros!$D$100,0))),2))</f>
        <v>0</v>
      </c>
      <c r="DU417" s="66">
        <f t="shared" si="545"/>
        <v>0</v>
      </c>
      <c r="DV417" s="66">
        <f t="shared" si="545"/>
        <v>0</v>
      </c>
      <c r="DW417" s="66">
        <f>+IF($W417="","",ROUND((DT417*Parámetros!$G$85),2))</f>
        <v>0</v>
      </c>
      <c r="DX417" s="66">
        <f>+IF($W417="","",ROUND((DT417*(Parámetros!$G$86)),2))</f>
        <v>0</v>
      </c>
      <c r="DY417" s="66">
        <f t="shared" si="546"/>
        <v>0</v>
      </c>
      <c r="DZ417" t="str">
        <f t="shared" si="589"/>
        <v>00066</v>
      </c>
      <c r="EA417" s="118" t="str">
        <f t="shared" si="589"/>
        <v>Enfermedad terminal</v>
      </c>
      <c r="EB417" s="118">
        <f>+IF($W417="","",ROUND(IF(Parámetros!$D$25='TABLAS MORT'!$V$33,EB416,Z417/2),0))</f>
        <v>50000</v>
      </c>
      <c r="EC417" s="118" t="str">
        <f t="shared" si="589"/>
        <v>A</v>
      </c>
      <c r="ED417" s="122">
        <f>+IF(OR($W417="",EB417=0),"",ROUND((VLOOKUP(ROUNDDOWN($D417-1/frec,0),cob_adi,DO$40,FALSE)*(1+i/frec)^-0.5*(1+Parámetros!$D$103)*(1+rec_fracc)/frec),6))</f>
        <v>6.4999999999999994E-5</v>
      </c>
      <c r="EE417" s="66">
        <f t="shared" si="548"/>
        <v>3.25</v>
      </c>
      <c r="EF417" s="68">
        <f t="shared" si="549"/>
        <v>6.4999999999999994E-5</v>
      </c>
      <c r="EG417" s="66">
        <f>+IF($W417="","",ROUND(IF($B417&gt;Parámetros!$D$107,'Tablas Servicio'!EE417+('Tablas Servicio'!EG416-'Tablas Servicio'!EE416),EE417/(1-IF(B417&lt;=10,Parámetros!$D$100,0))),2))</f>
        <v>3.25</v>
      </c>
      <c r="EH417" s="66">
        <f t="shared" si="550"/>
        <v>0</v>
      </c>
      <c r="EI417" s="66">
        <f t="shared" si="550"/>
        <v>0</v>
      </c>
      <c r="EJ417" s="66">
        <f>+IF($W417="","",ROUND((EG417*Parámetros!$G$85),2))</f>
        <v>0.11</v>
      </c>
      <c r="EK417" s="66">
        <f>+IF($W417="","",ROUND((EG417*(Parámetros!$G$86)),2))</f>
        <v>0.02</v>
      </c>
      <c r="EL417" s="66">
        <f t="shared" si="551"/>
        <v>3.38</v>
      </c>
    </row>
    <row r="418" spans="1:142" x14ac:dyDescent="0.25">
      <c r="A418">
        <f>+IF($C418="","",ROUND(VLOOKUP('Tablas Servicio'!B418,Parámetros!$H$100:$J$159,IF(Parámetros!$E$16="F",2,3),FALSE),2))</f>
        <v>150</v>
      </c>
      <c r="B418">
        <f t="shared" si="502"/>
        <v>32</v>
      </c>
      <c r="C418" s="57">
        <f>+IF(D418="","",'Tablas Servicio'!C417+1)</f>
        <v>377</v>
      </c>
      <c r="D418" s="56">
        <f>+IF(D417&lt;edadmaxtabla,D417+1/Parámetros!$E$25,"")</f>
        <v>71.436666666666923</v>
      </c>
      <c r="E418" s="57">
        <f t="shared" si="512"/>
        <v>71</v>
      </c>
      <c r="F418" s="59">
        <f t="shared" si="513"/>
        <v>100000</v>
      </c>
      <c r="G418" s="66">
        <f t="shared" si="503"/>
        <v>139.65</v>
      </c>
      <c r="H418" s="66">
        <f t="shared" si="504"/>
        <v>145.22999999999999</v>
      </c>
      <c r="I418" s="66">
        <f t="shared" si="552"/>
        <v>-51.22999999999999</v>
      </c>
      <c r="J418" s="66">
        <f t="shared" si="505"/>
        <v>4.88</v>
      </c>
      <c r="K418" s="66">
        <f t="shared" si="506"/>
        <v>0.70000000000000007</v>
      </c>
      <c r="L418" s="66">
        <f t="shared" si="507"/>
        <v>0</v>
      </c>
      <c r="M418" s="66">
        <f t="shared" si="508"/>
        <v>0</v>
      </c>
      <c r="N418" s="66">
        <f>+IF(C418="","",ROUND(Parámetros!$D$23,2))</f>
        <v>94</v>
      </c>
      <c r="O418" s="66">
        <f t="shared" si="509"/>
        <v>127.15</v>
      </c>
      <c r="P418" s="66">
        <f>+IF($C418="","",ROUND(IF(B418&gt;Parámetros!$D$117,0,N418*Parámetros!$D$116-G418*Parámetros!$D$100),2))</f>
        <v>0</v>
      </c>
      <c r="Q418" s="75">
        <f t="shared" si="553"/>
        <v>3.4944504117436444E-2</v>
      </c>
      <c r="R418" s="75">
        <f t="shared" si="554"/>
        <v>5.0125313283208026E-3</v>
      </c>
      <c r="S418" s="117">
        <f>+IF($C418="","",ROUND((S417+I418)*(1+Parámetros!$D$91),2))</f>
        <v>26562.04</v>
      </c>
      <c r="T418" s="117">
        <f>+IF($C418="","",ROUND(S418*VLOOKUP(B418,Parámetros!$C$30:$D$39,2,TRUE),2))</f>
        <v>26562.04</v>
      </c>
      <c r="U418" s="117">
        <f>+IF($C418="","",ROUND((U417+I418)*(1+Parámetros!$D$92),2))</f>
        <v>29773.25</v>
      </c>
      <c r="V418" s="117">
        <f>+IF($C418="","",ROUND(U418*VLOOKUP(B418,Parámetros!$C$30:$D$39,2,TRUE),2))</f>
        <v>29773.25</v>
      </c>
      <c r="W418" s="57">
        <f t="shared" si="555"/>
        <v>377</v>
      </c>
      <c r="X418" t="str">
        <f t="shared" si="556"/>
        <v>00058</v>
      </c>
      <c r="Y418" t="str">
        <f t="shared" si="557"/>
        <v>MUERTE POR CUALQUIER CAUSA</v>
      </c>
      <c r="Z418" s="118">
        <f>+IF($W418="","",ROUND(IF(Parámetros!$D$25='TABLAS MORT'!$V$33,Z417,Parámetros!$D$21-'Tablas Servicio'!T417),0))</f>
        <v>100000</v>
      </c>
      <c r="AA418" s="118" t="str">
        <f t="shared" si="558"/>
        <v>P</v>
      </c>
      <c r="AB418" s="119">
        <f>+IF(W418="","",ROUND((VLOOKUP(ROUNDDOWN($D418-1/frec,0),qx_tabla,2,FALSE)*(1+i/frec)^-0.5*(1+Parámetros!$D$103)*(1+rec_fracc)/frec),6))</f>
        <v>1.2390000000000001E-3</v>
      </c>
      <c r="AC418" s="66">
        <f t="shared" si="514"/>
        <v>123.9</v>
      </c>
      <c r="AD418" s="119">
        <f t="shared" si="510"/>
        <v>1.364E-3</v>
      </c>
      <c r="AE418" s="66">
        <f>+IF($W418="","",ROUND(IF($B418&gt;Parámetros!$D$107,'Tablas Servicio'!AC418+('Tablas Servicio'!AG417-'Tablas Servicio'!AC417),AC418/(1-IF(B418&lt;=10,Parámetros!$D$104,Parámetros!$D$105))),2))</f>
        <v>206.5</v>
      </c>
      <c r="AF418" s="66">
        <f>+IF($W418="","",ROUND(IF($B418&gt;Parámetros!$D$107,'Tablas Servicio'!AC418+('Tablas Servicio'!AG417-'Tablas Servicio'!AC417),(AC418+$A417/frec)/(1-IF(B418&lt;=Parámetros!$D$117,Parámetros!$D$100,0))),2))</f>
        <v>136.4</v>
      </c>
      <c r="AG418" s="66">
        <f t="shared" si="515"/>
        <v>136.4</v>
      </c>
      <c r="AH418" s="66">
        <f t="shared" si="516"/>
        <v>0</v>
      </c>
      <c r="AI418" s="66">
        <f t="shared" si="517"/>
        <v>0</v>
      </c>
      <c r="AJ418" s="66">
        <f>+IF($W418="","",ROUND((AG418*Parámetros!$G$85),2))</f>
        <v>4.7699999999999996</v>
      </c>
      <c r="AK418" s="66">
        <f>+IF($W418="","",ROUND((AG418*(Parámetros!$G$86)),2))</f>
        <v>0.68</v>
      </c>
      <c r="AL418" s="66">
        <f t="shared" si="511"/>
        <v>141.85</v>
      </c>
      <c r="AM418" t="str">
        <f t="shared" si="559"/>
        <v>00059</v>
      </c>
      <c r="AN418" t="str">
        <f t="shared" si="560"/>
        <v>Incapacidad Total y Permanente</v>
      </c>
      <c r="AO418" s="118">
        <f t="shared" si="561"/>
        <v>0</v>
      </c>
      <c r="AP418" s="118" t="str">
        <f t="shared" si="562"/>
        <v>A</v>
      </c>
      <c r="AQ418" s="119" t="str">
        <f>+IF(OR($W418="",AO418=0),"",ROUND((VLOOKUP(ROUNDDOWN($D418-1/frec,0),cob_adi,Z$40,FALSE)*(1+i/frec)^-0.5*(1+Parámetros!$D$103)*(1+rec_fracc)/frec),6))</f>
        <v/>
      </c>
      <c r="AR418" s="66">
        <f t="shared" si="518"/>
        <v>0</v>
      </c>
      <c r="AS418" s="119" t="str">
        <f t="shared" si="519"/>
        <v/>
      </c>
      <c r="AT418" s="66">
        <f>+IF($W418="","",ROUND(IF($B418&gt;Parámetros!$D$107,'Tablas Servicio'!AR418+('Tablas Servicio'!AT417-'Tablas Servicio'!AR417),AR418/(1-IF(B418&lt;=10,Parámetros!$D$100,0))),2))</f>
        <v>0</v>
      </c>
      <c r="AU418" s="66">
        <f t="shared" si="520"/>
        <v>0</v>
      </c>
      <c r="AV418" s="66">
        <f t="shared" si="520"/>
        <v>0</v>
      </c>
      <c r="AW418" s="66">
        <f>+IF($W418="","",ROUND((AT418*Parámetros!$G$85),2))</f>
        <v>0</v>
      </c>
      <c r="AX418" s="66">
        <f>+IF($W418="","",ROUND((AT418*(Parámetros!$G$86)),2))</f>
        <v>0</v>
      </c>
      <c r="AY418" s="66">
        <f t="shared" si="521"/>
        <v>0</v>
      </c>
      <c r="AZ418" t="str">
        <f t="shared" si="563"/>
        <v>00060</v>
      </c>
      <c r="BA418" t="str">
        <f t="shared" si="564"/>
        <v>Muerte Accidental</v>
      </c>
      <c r="BB418" s="118">
        <f t="shared" si="565"/>
        <v>0</v>
      </c>
      <c r="BC418" s="118" t="str">
        <f t="shared" si="566"/>
        <v>A</v>
      </c>
      <c r="BD418" s="119" t="str">
        <f>+IF(OR($W418="",BB418=0),"",ROUND((VLOOKUP(ROUNDDOWN($D418-1/frec,0),cob_adi,AO$40,FALSE)*(1+i/frec)^-0.5*(1+Parámetros!$D$103)*(1+rec_fracc)/frec),6))</f>
        <v/>
      </c>
      <c r="BE418" s="66">
        <f t="shared" si="522"/>
        <v>0</v>
      </c>
      <c r="BF418" s="119" t="str">
        <f t="shared" si="523"/>
        <v/>
      </c>
      <c r="BG418" s="66">
        <f>+IF($W418="","",ROUND(IF($B418&gt;Parámetros!$D$107,'Tablas Servicio'!BE418+('Tablas Servicio'!BG417-'Tablas Servicio'!BE417),BE418/(1-IF(B418&lt;=10,Parámetros!$D$100,0))),2))</f>
        <v>0</v>
      </c>
      <c r="BH418" s="66">
        <f t="shared" si="524"/>
        <v>0</v>
      </c>
      <c r="BI418" s="66">
        <f t="shared" si="525"/>
        <v>0</v>
      </c>
      <c r="BJ418" s="66">
        <f>+IF($W418="","",ROUND((BG418*Parámetros!$G$85),2))</f>
        <v>0</v>
      </c>
      <c r="BK418" s="66">
        <f>+IF($W418="","",ROUND((BG418*(Parámetros!$G$86)),2))</f>
        <v>0</v>
      </c>
      <c r="BL418" s="66">
        <f t="shared" si="526"/>
        <v>0</v>
      </c>
      <c r="BM418" t="str">
        <f t="shared" si="567"/>
        <v>00061</v>
      </c>
      <c r="BN418" t="str">
        <f t="shared" si="568"/>
        <v>Gastos de Entierro</v>
      </c>
      <c r="BO418" s="118">
        <f t="shared" si="569"/>
        <v>0</v>
      </c>
      <c r="BP418" s="118" t="str">
        <f t="shared" si="570"/>
        <v>A</v>
      </c>
      <c r="BQ418" s="119" t="str">
        <f>+IF(OR($W418="",BO418=0),"",ROUND((VLOOKUP(ROUNDDOWN($D418-1/frec,0),cob_adi,BB$40,FALSE)*(1+i/frec)^-0.5*(1+Parámetros!$D$103)*(1+rec_fracc)/frec),6))</f>
        <v/>
      </c>
      <c r="BR418" s="66">
        <f t="shared" si="527"/>
        <v>0</v>
      </c>
      <c r="BS418" s="119" t="str">
        <f t="shared" si="528"/>
        <v/>
      </c>
      <c r="BT418" s="66">
        <f>+IF($W418="","",ROUND(IF($B418&gt;Parámetros!$D$107,'Tablas Servicio'!BR418+('Tablas Servicio'!BT417-'Tablas Servicio'!BR417),BR418/(1-IF(B418&lt;=10,Parámetros!$D$100,0))),2))</f>
        <v>0</v>
      </c>
      <c r="BU418" s="66">
        <f t="shared" si="529"/>
        <v>0</v>
      </c>
      <c r="BV418" s="66">
        <f t="shared" si="529"/>
        <v>0</v>
      </c>
      <c r="BW418" s="66">
        <f>+IF($W418="","",ROUND((BT418*Parámetros!$G$85),2))</f>
        <v>0</v>
      </c>
      <c r="BX418" s="66">
        <f>+IF($W418="","",ROUND((BT418*(Parámetros!$G$86)),2))</f>
        <v>0</v>
      </c>
      <c r="BY418" s="66">
        <f t="shared" si="530"/>
        <v>0</v>
      </c>
      <c r="BZ418" t="str">
        <f t="shared" si="571"/>
        <v>00062</v>
      </c>
      <c r="CA418" t="str">
        <f t="shared" si="572"/>
        <v>Gastos médicos por accidente</v>
      </c>
      <c r="CB418" s="118">
        <f t="shared" si="573"/>
        <v>0</v>
      </c>
      <c r="CC418" s="118" t="str">
        <f t="shared" si="574"/>
        <v>A</v>
      </c>
      <c r="CD418" s="119" t="str">
        <f t="shared" si="531"/>
        <v/>
      </c>
      <c r="CE418" s="66">
        <f>+IF($W418="","",ROUND((VLOOKUP(ROUNDDOWN($D418-1/frec,0),cob_adi,BO$40,FALSE)*(1+i/frec)^-0.5*(1+Parámetros!$D$103)*(1+rec_fracc)/frec*'TABLAS ADI'!$BC$17),2))</f>
        <v>0</v>
      </c>
      <c r="CF418" s="119" t="str">
        <f t="shared" si="532"/>
        <v/>
      </c>
      <c r="CG418" s="66">
        <f>+IF($W418="","",ROUND(IF($B418&gt;Parámetros!$D$107,'Tablas Servicio'!CE418+('Tablas Servicio'!CG417-'Tablas Servicio'!CE417),CE418/(1-IF(B418&lt;=10,Parámetros!$D$100,0))),2))</f>
        <v>0</v>
      </c>
      <c r="CH418" s="66">
        <f t="shared" si="533"/>
        <v>0</v>
      </c>
      <c r="CI418" s="66">
        <f t="shared" si="533"/>
        <v>0</v>
      </c>
      <c r="CJ418" s="66">
        <f>+IF($W418="","",ROUND((CG418*Parámetros!$G$85),2))</f>
        <v>0</v>
      </c>
      <c r="CK418" s="66">
        <f>+IF($W418="","",ROUND((CG418*(Parámetros!$G$86)),2))</f>
        <v>0</v>
      </c>
      <c r="CL418" s="66">
        <f t="shared" si="534"/>
        <v>0</v>
      </c>
      <c r="CM418" t="str">
        <f t="shared" si="575"/>
        <v>00063</v>
      </c>
      <c r="CN418" s="118" t="str">
        <f t="shared" si="576"/>
        <v>Renta Diaria por Hospitalización</v>
      </c>
      <c r="CO418" s="118">
        <f t="shared" si="577"/>
        <v>0</v>
      </c>
      <c r="CP418" s="118" t="str">
        <f t="shared" si="578"/>
        <v>A</v>
      </c>
      <c r="CQ418" s="119" t="str">
        <f t="shared" si="535"/>
        <v/>
      </c>
      <c r="CR418" s="66">
        <f>+IF($W418="","",ROUND((VLOOKUP(Parámetros!$F$51,'COBERTURAS ADICIONALES'!$S$4:$T$32,2,FALSE)*(1+i/frec)^-0.5*(1+Parámetros!$D$103)*(1+rec_fracc)/frec*$CO$42),2))</f>
        <v>0</v>
      </c>
      <c r="CS418" s="119" t="str">
        <f t="shared" si="536"/>
        <v/>
      </c>
      <c r="CT418" s="66">
        <f>+IF($W418="","",ROUND(IF($B418&gt;Parámetros!$D$107,'Tablas Servicio'!CR418+('Tablas Servicio'!CT417-'Tablas Servicio'!CR417),CR418/(1-IF(B418&lt;=10,Parámetros!$D$100,0))),2))</f>
        <v>0</v>
      </c>
      <c r="CU418" s="66">
        <f t="shared" si="537"/>
        <v>0</v>
      </c>
      <c r="CV418" s="66">
        <f t="shared" si="537"/>
        <v>0</v>
      </c>
      <c r="CW418" s="66">
        <f>+IF($W418="","",ROUND((CT418*Parámetros!$G$85),2))</f>
        <v>0</v>
      </c>
      <c r="CX418" s="66">
        <f>+IF($W418="","",ROUND((CT418*(Parámetros!$G$86)),2))</f>
        <v>0</v>
      </c>
      <c r="CY418" s="66">
        <f t="shared" si="538"/>
        <v>0</v>
      </c>
      <c r="CZ418" t="str">
        <f t="shared" si="579"/>
        <v>00064</v>
      </c>
      <c r="DA418" s="118" t="str">
        <f t="shared" si="580"/>
        <v>Enfermedades Graves</v>
      </c>
      <c r="DB418" s="118">
        <f t="shared" si="581"/>
        <v>0</v>
      </c>
      <c r="DC418" s="118" t="str">
        <f t="shared" si="582"/>
        <v>A</v>
      </c>
      <c r="DD418" s="121" t="str">
        <f>+IF(OR($W418="",DB418=0),"",ROUND((VLOOKUP(ROUNDDOWN($D418-1/frec,0),cob_adi,CO$40,FALSE)*(1+i/frec)^-0.5*(1+Parámetros!$D$103)*(1+rec_fracc)/frec),6))</f>
        <v/>
      </c>
      <c r="DE418" s="66">
        <f t="shared" si="539"/>
        <v>0</v>
      </c>
      <c r="DF418" s="119" t="str">
        <f t="shared" si="540"/>
        <v/>
      </c>
      <c r="DG418" s="66">
        <f>+IF($W418="","",ROUND(IF($B418&gt;Parámetros!$D$107,'Tablas Servicio'!DE418+('Tablas Servicio'!DG417-'Tablas Servicio'!DE417),DE418/(1-IF(B418&lt;=10,Parámetros!$D$100,0))),2))</f>
        <v>0</v>
      </c>
      <c r="DH418" s="66">
        <f t="shared" si="541"/>
        <v>0</v>
      </c>
      <c r="DI418" s="66">
        <f t="shared" si="541"/>
        <v>0</v>
      </c>
      <c r="DJ418" s="66">
        <f>+IF($W418="","",ROUND((DG418*Parámetros!$G$85),2))</f>
        <v>0</v>
      </c>
      <c r="DK418" s="66">
        <f>+IF($W418="","",ROUND((DG418*(Parámetros!$G$86)),2))</f>
        <v>0</v>
      </c>
      <c r="DL418" s="66">
        <f t="shared" si="542"/>
        <v>0</v>
      </c>
      <c r="DM418" t="str">
        <f t="shared" si="583"/>
        <v>00065</v>
      </c>
      <c r="DN418" s="118" t="str">
        <f t="shared" si="584"/>
        <v>Exención pago de primas</v>
      </c>
      <c r="DO418" s="118">
        <f t="shared" si="585"/>
        <v>0</v>
      </c>
      <c r="DP418" s="118" t="str">
        <f t="shared" si="586"/>
        <v>A</v>
      </c>
      <c r="DQ418" s="122" t="str">
        <f>+IF(OR($W418="",DO418=0),"",ROUND((VLOOKUP(ROUNDDOWN($D418-1/frec,0),cob_adi,DB$40,FALSE)*(1+i/frec)^-0.5*(1+Parámetros!$D$103)*(1+rec_fracc)/frec),6))</f>
        <v/>
      </c>
      <c r="DR418" s="66">
        <f t="shared" si="543"/>
        <v>0</v>
      </c>
      <c r="DS418" s="68" t="str">
        <f t="shared" si="544"/>
        <v/>
      </c>
      <c r="DT418" s="66">
        <f>+IF($W418="","",ROUND(IF($B418&gt;Parámetros!$D$107,'Tablas Servicio'!DR418+('Tablas Servicio'!DT417-'Tablas Servicio'!DR417),DR418/(1-IF(B418&lt;=10,Parámetros!$D$100,0))),2))</f>
        <v>0</v>
      </c>
      <c r="DU418" s="66">
        <f t="shared" si="545"/>
        <v>0</v>
      </c>
      <c r="DV418" s="66">
        <f t="shared" si="545"/>
        <v>0</v>
      </c>
      <c r="DW418" s="66">
        <f>+IF($W418="","",ROUND((DT418*Parámetros!$G$85),2))</f>
        <v>0</v>
      </c>
      <c r="DX418" s="66">
        <f>+IF($W418="","",ROUND((DT418*(Parámetros!$G$86)),2))</f>
        <v>0</v>
      </c>
      <c r="DY418" s="66">
        <f t="shared" si="546"/>
        <v>0</v>
      </c>
      <c r="DZ418" t="str">
        <f t="shared" si="589"/>
        <v>00066</v>
      </c>
      <c r="EA418" s="118" t="str">
        <f t="shared" si="589"/>
        <v>Enfermedad terminal</v>
      </c>
      <c r="EB418" s="118">
        <f>+IF($W418="","",ROUND(IF(Parámetros!$D$25='TABLAS MORT'!$V$33,EB417,Z418/2),0))</f>
        <v>50000</v>
      </c>
      <c r="EC418" s="118" t="str">
        <f t="shared" si="589"/>
        <v>A</v>
      </c>
      <c r="ED418" s="122">
        <f>+IF(OR($W418="",EB418=0),"",ROUND((VLOOKUP(ROUNDDOWN($D418-1/frec,0),cob_adi,DO$40,FALSE)*(1+i/frec)^-0.5*(1+Parámetros!$D$103)*(1+rec_fracc)/frec),6))</f>
        <v>6.4999999999999994E-5</v>
      </c>
      <c r="EE418" s="66">
        <f t="shared" si="548"/>
        <v>3.25</v>
      </c>
      <c r="EF418" s="68">
        <f t="shared" si="549"/>
        <v>6.4999999999999994E-5</v>
      </c>
      <c r="EG418" s="66">
        <f>+IF($W418="","",ROUND(IF($B418&gt;Parámetros!$D$107,'Tablas Servicio'!EE418+('Tablas Servicio'!EG417-'Tablas Servicio'!EE417),EE418/(1-IF(B418&lt;=10,Parámetros!$D$100,0))),2))</f>
        <v>3.25</v>
      </c>
      <c r="EH418" s="66">
        <f t="shared" si="550"/>
        <v>0</v>
      </c>
      <c r="EI418" s="66">
        <f t="shared" si="550"/>
        <v>0</v>
      </c>
      <c r="EJ418" s="66">
        <f>+IF($W418="","",ROUND((EG418*Parámetros!$G$85),2))</f>
        <v>0.11</v>
      </c>
      <c r="EK418" s="66">
        <f>+IF($W418="","",ROUND((EG418*(Parámetros!$G$86)),2))</f>
        <v>0.02</v>
      </c>
      <c r="EL418" s="66">
        <f t="shared" si="551"/>
        <v>3.38</v>
      </c>
    </row>
    <row r="419" spans="1:142" x14ac:dyDescent="0.25">
      <c r="A419">
        <f>+IF($C419="","",ROUND(VLOOKUP('Tablas Servicio'!B419,Parámetros!$H$100:$J$159,IF(Parámetros!$E$16="F",2,3),FALSE),2))</f>
        <v>150</v>
      </c>
      <c r="B419">
        <f t="shared" si="502"/>
        <v>32</v>
      </c>
      <c r="C419" s="57">
        <f>+IF(D419="","",'Tablas Servicio'!C418+1)</f>
        <v>378</v>
      </c>
      <c r="D419" s="56">
        <f>+IF(D418&lt;edadmaxtabla,D418+1/Parámetros!$E$25,"")</f>
        <v>71.520000000000252</v>
      </c>
      <c r="E419" s="57">
        <f t="shared" si="512"/>
        <v>71</v>
      </c>
      <c r="F419" s="59">
        <f t="shared" si="513"/>
        <v>100000</v>
      </c>
      <c r="G419" s="66">
        <f t="shared" si="503"/>
        <v>139.65</v>
      </c>
      <c r="H419" s="66">
        <f t="shared" si="504"/>
        <v>145.22999999999999</v>
      </c>
      <c r="I419" s="66">
        <f t="shared" si="552"/>
        <v>-51.22999999999999</v>
      </c>
      <c r="J419" s="66">
        <f t="shared" si="505"/>
        <v>4.88</v>
      </c>
      <c r="K419" s="66">
        <f t="shared" si="506"/>
        <v>0.70000000000000007</v>
      </c>
      <c r="L419" s="66">
        <f t="shared" si="507"/>
        <v>0</v>
      </c>
      <c r="M419" s="66">
        <f t="shared" si="508"/>
        <v>0</v>
      </c>
      <c r="N419" s="66">
        <f>+IF(C419="","",ROUND(Parámetros!$D$23,2))</f>
        <v>94</v>
      </c>
      <c r="O419" s="66">
        <f t="shared" si="509"/>
        <v>127.15</v>
      </c>
      <c r="P419" s="66">
        <f>+IF($C419="","",ROUND(IF(B419&gt;Parámetros!$D$117,0,N419*Parámetros!$D$116-G419*Parámetros!$D$100),2))</f>
        <v>0</v>
      </c>
      <c r="Q419" s="75">
        <f t="shared" si="553"/>
        <v>3.4944504117436444E-2</v>
      </c>
      <c r="R419" s="75">
        <f t="shared" si="554"/>
        <v>5.0125313283208026E-3</v>
      </c>
      <c r="S419" s="117">
        <f>+IF($C419="","",ROUND((S418+I419)*(1+Parámetros!$D$91),2))</f>
        <v>26586.01</v>
      </c>
      <c r="T419" s="117">
        <f>+IF($C419="","",ROUND(S419*VLOOKUP(B419,Parámetros!$C$30:$D$39,2,TRUE),2))</f>
        <v>26586.01</v>
      </c>
      <c r="U419" s="117">
        <f>+IF($C419="","",ROUND((U418+I419)*(1+Parámetros!$D$92),2))</f>
        <v>29818.37</v>
      </c>
      <c r="V419" s="117">
        <f>+IF($C419="","",ROUND(U419*VLOOKUP(B419,Parámetros!$C$30:$D$39,2,TRUE),2))</f>
        <v>29818.37</v>
      </c>
      <c r="W419" s="57">
        <f t="shared" si="555"/>
        <v>378</v>
      </c>
      <c r="X419" t="str">
        <f t="shared" si="556"/>
        <v>00058</v>
      </c>
      <c r="Y419" t="str">
        <f t="shared" si="557"/>
        <v>MUERTE POR CUALQUIER CAUSA</v>
      </c>
      <c r="Z419" s="118">
        <f>+IF($W419="","",ROUND(IF(Parámetros!$D$25='TABLAS MORT'!$V$33,Z418,Parámetros!$D$21-'Tablas Servicio'!T418),0))</f>
        <v>100000</v>
      </c>
      <c r="AA419" s="118" t="str">
        <f t="shared" si="558"/>
        <v>P</v>
      </c>
      <c r="AB419" s="119">
        <f>+IF(W419="","",ROUND((VLOOKUP(ROUNDDOWN($D419-1/frec,0),qx_tabla,2,FALSE)*(1+i/frec)^-0.5*(1+Parámetros!$D$103)*(1+rec_fracc)/frec),6))</f>
        <v>1.2390000000000001E-3</v>
      </c>
      <c r="AC419" s="66">
        <f t="shared" si="514"/>
        <v>123.9</v>
      </c>
      <c r="AD419" s="119">
        <f t="shared" si="510"/>
        <v>1.364E-3</v>
      </c>
      <c r="AE419" s="66">
        <f>+IF($W419="","",ROUND(IF($B419&gt;Parámetros!$D$107,'Tablas Servicio'!AC419+('Tablas Servicio'!AG418-'Tablas Servicio'!AC418),AC419/(1-IF(B419&lt;=10,Parámetros!$D$104,Parámetros!$D$105))),2))</f>
        <v>206.5</v>
      </c>
      <c r="AF419" s="66">
        <f>+IF($W419="","",ROUND(IF($B419&gt;Parámetros!$D$107,'Tablas Servicio'!AC419+('Tablas Servicio'!AG418-'Tablas Servicio'!AC418),(AC419+$A418/frec)/(1-IF(B419&lt;=Parámetros!$D$117,Parámetros!$D$100,0))),2))</f>
        <v>136.4</v>
      </c>
      <c r="AG419" s="66">
        <f t="shared" si="515"/>
        <v>136.4</v>
      </c>
      <c r="AH419" s="66">
        <f t="shared" si="516"/>
        <v>0</v>
      </c>
      <c r="AI419" s="66">
        <f t="shared" si="517"/>
        <v>0</v>
      </c>
      <c r="AJ419" s="66">
        <f>+IF($W419="","",ROUND((AG419*Parámetros!$G$85),2))</f>
        <v>4.7699999999999996</v>
      </c>
      <c r="AK419" s="66">
        <f>+IF($W419="","",ROUND((AG419*(Parámetros!$G$86)),2))</f>
        <v>0.68</v>
      </c>
      <c r="AL419" s="66">
        <f t="shared" si="511"/>
        <v>141.85</v>
      </c>
      <c r="AM419" t="str">
        <f t="shared" si="559"/>
        <v>00059</v>
      </c>
      <c r="AN419" t="str">
        <f t="shared" si="560"/>
        <v>Incapacidad Total y Permanente</v>
      </c>
      <c r="AO419" s="118">
        <f t="shared" si="561"/>
        <v>0</v>
      </c>
      <c r="AP419" s="118" t="str">
        <f t="shared" si="562"/>
        <v>A</v>
      </c>
      <c r="AQ419" s="119" t="str">
        <f>+IF(OR($W419="",AO419=0),"",ROUND((VLOOKUP(ROUNDDOWN($D419-1/frec,0),cob_adi,Z$40,FALSE)*(1+i/frec)^-0.5*(1+Parámetros!$D$103)*(1+rec_fracc)/frec),6))</f>
        <v/>
      </c>
      <c r="AR419" s="66">
        <f t="shared" si="518"/>
        <v>0</v>
      </c>
      <c r="AS419" s="119" t="str">
        <f t="shared" si="519"/>
        <v/>
      </c>
      <c r="AT419" s="66">
        <f>+IF($W419="","",ROUND(IF($B419&gt;Parámetros!$D$107,'Tablas Servicio'!AR419+('Tablas Servicio'!AT418-'Tablas Servicio'!AR418),AR419/(1-IF(B419&lt;=10,Parámetros!$D$100,0))),2))</f>
        <v>0</v>
      </c>
      <c r="AU419" s="66">
        <f t="shared" si="520"/>
        <v>0</v>
      </c>
      <c r="AV419" s="66">
        <f t="shared" si="520"/>
        <v>0</v>
      </c>
      <c r="AW419" s="66">
        <f>+IF($W419="","",ROUND((AT419*Parámetros!$G$85),2))</f>
        <v>0</v>
      </c>
      <c r="AX419" s="66">
        <f>+IF($W419="","",ROUND((AT419*(Parámetros!$G$86)),2))</f>
        <v>0</v>
      </c>
      <c r="AY419" s="66">
        <f t="shared" si="521"/>
        <v>0</v>
      </c>
      <c r="AZ419" t="str">
        <f t="shared" si="563"/>
        <v>00060</v>
      </c>
      <c r="BA419" t="str">
        <f t="shared" si="564"/>
        <v>Muerte Accidental</v>
      </c>
      <c r="BB419" s="118">
        <f t="shared" si="565"/>
        <v>0</v>
      </c>
      <c r="BC419" s="118" t="str">
        <f t="shared" si="566"/>
        <v>A</v>
      </c>
      <c r="BD419" s="119" t="str">
        <f>+IF(OR($W419="",BB419=0),"",ROUND((VLOOKUP(ROUNDDOWN($D419-1/frec,0),cob_adi,AO$40,FALSE)*(1+i/frec)^-0.5*(1+Parámetros!$D$103)*(1+rec_fracc)/frec),6))</f>
        <v/>
      </c>
      <c r="BE419" s="66">
        <f t="shared" si="522"/>
        <v>0</v>
      </c>
      <c r="BF419" s="119" t="str">
        <f t="shared" si="523"/>
        <v/>
      </c>
      <c r="BG419" s="66">
        <f>+IF($W419="","",ROUND(IF($B419&gt;Parámetros!$D$107,'Tablas Servicio'!BE419+('Tablas Servicio'!BG418-'Tablas Servicio'!BE418),BE419/(1-IF(B419&lt;=10,Parámetros!$D$100,0))),2))</f>
        <v>0</v>
      </c>
      <c r="BH419" s="66">
        <f t="shared" si="524"/>
        <v>0</v>
      </c>
      <c r="BI419" s="66">
        <f t="shared" si="525"/>
        <v>0</v>
      </c>
      <c r="BJ419" s="66">
        <f>+IF($W419="","",ROUND((BG419*Parámetros!$G$85),2))</f>
        <v>0</v>
      </c>
      <c r="BK419" s="66">
        <f>+IF($W419="","",ROUND((BG419*(Parámetros!$G$86)),2))</f>
        <v>0</v>
      </c>
      <c r="BL419" s="66">
        <f t="shared" si="526"/>
        <v>0</v>
      </c>
      <c r="BM419" t="str">
        <f t="shared" si="567"/>
        <v>00061</v>
      </c>
      <c r="BN419" t="str">
        <f t="shared" si="568"/>
        <v>Gastos de Entierro</v>
      </c>
      <c r="BO419" s="118">
        <f t="shared" si="569"/>
        <v>0</v>
      </c>
      <c r="BP419" s="118" t="str">
        <f t="shared" si="570"/>
        <v>A</v>
      </c>
      <c r="BQ419" s="119" t="str">
        <f>+IF(OR($W419="",BO419=0),"",ROUND((VLOOKUP(ROUNDDOWN($D419-1/frec,0),cob_adi,BB$40,FALSE)*(1+i/frec)^-0.5*(1+Parámetros!$D$103)*(1+rec_fracc)/frec),6))</f>
        <v/>
      </c>
      <c r="BR419" s="66">
        <f t="shared" si="527"/>
        <v>0</v>
      </c>
      <c r="BS419" s="119" t="str">
        <f t="shared" si="528"/>
        <v/>
      </c>
      <c r="BT419" s="66">
        <f>+IF($W419="","",ROUND(IF($B419&gt;Parámetros!$D$107,'Tablas Servicio'!BR419+('Tablas Servicio'!BT418-'Tablas Servicio'!BR418),BR419/(1-IF(B419&lt;=10,Parámetros!$D$100,0))),2))</f>
        <v>0</v>
      </c>
      <c r="BU419" s="66">
        <f t="shared" si="529"/>
        <v>0</v>
      </c>
      <c r="BV419" s="66">
        <f t="shared" si="529"/>
        <v>0</v>
      </c>
      <c r="BW419" s="66">
        <f>+IF($W419="","",ROUND((BT419*Parámetros!$G$85),2))</f>
        <v>0</v>
      </c>
      <c r="BX419" s="66">
        <f>+IF($W419="","",ROUND((BT419*(Parámetros!$G$86)),2))</f>
        <v>0</v>
      </c>
      <c r="BY419" s="66">
        <f t="shared" si="530"/>
        <v>0</v>
      </c>
      <c r="BZ419" t="str">
        <f t="shared" si="571"/>
        <v>00062</v>
      </c>
      <c r="CA419" t="str">
        <f t="shared" si="572"/>
        <v>Gastos médicos por accidente</v>
      </c>
      <c r="CB419" s="118">
        <f t="shared" si="573"/>
        <v>0</v>
      </c>
      <c r="CC419" s="118" t="str">
        <f t="shared" si="574"/>
        <v>A</v>
      </c>
      <c r="CD419" s="119" t="str">
        <f t="shared" si="531"/>
        <v/>
      </c>
      <c r="CE419" s="66">
        <f>+IF($W419="","",ROUND((VLOOKUP(ROUNDDOWN($D419-1/frec,0),cob_adi,BO$40,FALSE)*(1+i/frec)^-0.5*(1+Parámetros!$D$103)*(1+rec_fracc)/frec*'TABLAS ADI'!$BC$17),2))</f>
        <v>0</v>
      </c>
      <c r="CF419" s="119" t="str">
        <f t="shared" si="532"/>
        <v/>
      </c>
      <c r="CG419" s="66">
        <f>+IF($W419="","",ROUND(IF($B419&gt;Parámetros!$D$107,'Tablas Servicio'!CE419+('Tablas Servicio'!CG418-'Tablas Servicio'!CE418),CE419/(1-IF(B419&lt;=10,Parámetros!$D$100,0))),2))</f>
        <v>0</v>
      </c>
      <c r="CH419" s="66">
        <f t="shared" si="533"/>
        <v>0</v>
      </c>
      <c r="CI419" s="66">
        <f t="shared" si="533"/>
        <v>0</v>
      </c>
      <c r="CJ419" s="66">
        <f>+IF($W419="","",ROUND((CG419*Parámetros!$G$85),2))</f>
        <v>0</v>
      </c>
      <c r="CK419" s="66">
        <f>+IF($W419="","",ROUND((CG419*(Parámetros!$G$86)),2))</f>
        <v>0</v>
      </c>
      <c r="CL419" s="66">
        <f t="shared" si="534"/>
        <v>0</v>
      </c>
      <c r="CM419" t="str">
        <f t="shared" si="575"/>
        <v>00063</v>
      </c>
      <c r="CN419" s="118" t="str">
        <f t="shared" si="576"/>
        <v>Renta Diaria por Hospitalización</v>
      </c>
      <c r="CO419" s="118">
        <f t="shared" si="577"/>
        <v>0</v>
      </c>
      <c r="CP419" s="118" t="str">
        <f t="shared" si="578"/>
        <v>A</v>
      </c>
      <c r="CQ419" s="119" t="str">
        <f t="shared" si="535"/>
        <v/>
      </c>
      <c r="CR419" s="66">
        <f>+IF($W419="","",ROUND((VLOOKUP(Parámetros!$F$51,'COBERTURAS ADICIONALES'!$S$4:$T$32,2,FALSE)*(1+i/frec)^-0.5*(1+Parámetros!$D$103)*(1+rec_fracc)/frec*$CO$42),2))</f>
        <v>0</v>
      </c>
      <c r="CS419" s="119" t="str">
        <f t="shared" si="536"/>
        <v/>
      </c>
      <c r="CT419" s="66">
        <f>+IF($W419="","",ROUND(IF($B419&gt;Parámetros!$D$107,'Tablas Servicio'!CR419+('Tablas Servicio'!CT418-'Tablas Servicio'!CR418),CR419/(1-IF(B419&lt;=10,Parámetros!$D$100,0))),2))</f>
        <v>0</v>
      </c>
      <c r="CU419" s="66">
        <f t="shared" si="537"/>
        <v>0</v>
      </c>
      <c r="CV419" s="66">
        <f t="shared" si="537"/>
        <v>0</v>
      </c>
      <c r="CW419" s="66">
        <f>+IF($W419="","",ROUND((CT419*Parámetros!$G$85),2))</f>
        <v>0</v>
      </c>
      <c r="CX419" s="66">
        <f>+IF($W419="","",ROUND((CT419*(Parámetros!$G$86)),2))</f>
        <v>0</v>
      </c>
      <c r="CY419" s="66">
        <f t="shared" si="538"/>
        <v>0</v>
      </c>
      <c r="CZ419" t="str">
        <f t="shared" si="579"/>
        <v>00064</v>
      </c>
      <c r="DA419" s="118" t="str">
        <f t="shared" si="580"/>
        <v>Enfermedades Graves</v>
      </c>
      <c r="DB419" s="118">
        <f t="shared" si="581"/>
        <v>0</v>
      </c>
      <c r="DC419" s="118" t="str">
        <f t="shared" si="582"/>
        <v>A</v>
      </c>
      <c r="DD419" s="121" t="str">
        <f>+IF(OR($W419="",DB419=0),"",ROUND((VLOOKUP(ROUNDDOWN($D419-1/frec,0),cob_adi,CO$40,FALSE)*(1+i/frec)^-0.5*(1+Parámetros!$D$103)*(1+rec_fracc)/frec),6))</f>
        <v/>
      </c>
      <c r="DE419" s="66">
        <f t="shared" si="539"/>
        <v>0</v>
      </c>
      <c r="DF419" s="119" t="str">
        <f t="shared" si="540"/>
        <v/>
      </c>
      <c r="DG419" s="66">
        <f>+IF($W419="","",ROUND(IF($B419&gt;Parámetros!$D$107,'Tablas Servicio'!DE419+('Tablas Servicio'!DG418-'Tablas Servicio'!DE418),DE419/(1-IF(B419&lt;=10,Parámetros!$D$100,0))),2))</f>
        <v>0</v>
      </c>
      <c r="DH419" s="66">
        <f t="shared" si="541"/>
        <v>0</v>
      </c>
      <c r="DI419" s="66">
        <f t="shared" si="541"/>
        <v>0</v>
      </c>
      <c r="DJ419" s="66">
        <f>+IF($W419="","",ROUND((DG419*Parámetros!$G$85),2))</f>
        <v>0</v>
      </c>
      <c r="DK419" s="66">
        <f>+IF($W419="","",ROUND((DG419*(Parámetros!$G$86)),2))</f>
        <v>0</v>
      </c>
      <c r="DL419" s="66">
        <f t="shared" si="542"/>
        <v>0</v>
      </c>
      <c r="DM419" t="str">
        <f t="shared" si="583"/>
        <v>00065</v>
      </c>
      <c r="DN419" s="118" t="str">
        <f t="shared" si="584"/>
        <v>Exención pago de primas</v>
      </c>
      <c r="DO419" s="118">
        <f t="shared" si="585"/>
        <v>0</v>
      </c>
      <c r="DP419" s="118" t="str">
        <f t="shared" si="586"/>
        <v>A</v>
      </c>
      <c r="DQ419" s="122" t="str">
        <f>+IF(OR($W419="",DO419=0),"",ROUND((VLOOKUP(ROUNDDOWN($D419-1/frec,0),cob_adi,DB$40,FALSE)*(1+i/frec)^-0.5*(1+Parámetros!$D$103)*(1+rec_fracc)/frec),6))</f>
        <v/>
      </c>
      <c r="DR419" s="66">
        <f t="shared" si="543"/>
        <v>0</v>
      </c>
      <c r="DS419" s="68" t="str">
        <f t="shared" si="544"/>
        <v/>
      </c>
      <c r="DT419" s="66">
        <f>+IF($W419="","",ROUND(IF($B419&gt;Parámetros!$D$107,'Tablas Servicio'!DR419+('Tablas Servicio'!DT418-'Tablas Servicio'!DR418),DR419/(1-IF(B419&lt;=10,Parámetros!$D$100,0))),2))</f>
        <v>0</v>
      </c>
      <c r="DU419" s="66">
        <f t="shared" si="545"/>
        <v>0</v>
      </c>
      <c r="DV419" s="66">
        <f t="shared" si="545"/>
        <v>0</v>
      </c>
      <c r="DW419" s="66">
        <f>+IF($W419="","",ROUND((DT419*Parámetros!$G$85),2))</f>
        <v>0</v>
      </c>
      <c r="DX419" s="66">
        <f>+IF($W419="","",ROUND((DT419*(Parámetros!$G$86)),2))</f>
        <v>0</v>
      </c>
      <c r="DY419" s="66">
        <f t="shared" si="546"/>
        <v>0</v>
      </c>
      <c r="DZ419" t="str">
        <f t="shared" si="589"/>
        <v>00066</v>
      </c>
      <c r="EA419" s="118" t="str">
        <f t="shared" si="589"/>
        <v>Enfermedad terminal</v>
      </c>
      <c r="EB419" s="118">
        <f>+IF($W419="","",ROUND(IF(Parámetros!$D$25='TABLAS MORT'!$V$33,EB418,Z419/2),0))</f>
        <v>50000</v>
      </c>
      <c r="EC419" s="118" t="str">
        <f t="shared" si="589"/>
        <v>A</v>
      </c>
      <c r="ED419" s="122">
        <f>+IF(OR($W419="",EB419=0),"",ROUND((VLOOKUP(ROUNDDOWN($D419-1/frec,0),cob_adi,DO$40,FALSE)*(1+i/frec)^-0.5*(1+Parámetros!$D$103)*(1+rec_fracc)/frec),6))</f>
        <v>6.4999999999999994E-5</v>
      </c>
      <c r="EE419" s="66">
        <f t="shared" si="548"/>
        <v>3.25</v>
      </c>
      <c r="EF419" s="68">
        <f t="shared" si="549"/>
        <v>6.4999999999999994E-5</v>
      </c>
      <c r="EG419" s="66">
        <f>+IF($W419="","",ROUND(IF($B419&gt;Parámetros!$D$107,'Tablas Servicio'!EE419+('Tablas Servicio'!EG418-'Tablas Servicio'!EE418),EE419/(1-IF(B419&lt;=10,Parámetros!$D$100,0))),2))</f>
        <v>3.25</v>
      </c>
      <c r="EH419" s="66">
        <f t="shared" si="550"/>
        <v>0</v>
      </c>
      <c r="EI419" s="66">
        <f t="shared" si="550"/>
        <v>0</v>
      </c>
      <c r="EJ419" s="66">
        <f>+IF($W419="","",ROUND((EG419*Parámetros!$G$85),2))</f>
        <v>0.11</v>
      </c>
      <c r="EK419" s="66">
        <f>+IF($W419="","",ROUND((EG419*(Parámetros!$G$86)),2))</f>
        <v>0.02</v>
      </c>
      <c r="EL419" s="66">
        <f t="shared" si="551"/>
        <v>3.38</v>
      </c>
    </row>
    <row r="420" spans="1:142" x14ac:dyDescent="0.25">
      <c r="A420">
        <f>+IF($C420="","",ROUND(VLOOKUP('Tablas Servicio'!B420,Parámetros!$H$100:$J$159,IF(Parámetros!$E$16="F",2,3),FALSE),2))</f>
        <v>150</v>
      </c>
      <c r="B420">
        <f t="shared" si="502"/>
        <v>32</v>
      </c>
      <c r="C420" s="57">
        <f>+IF(D420="","",'Tablas Servicio'!C419+1)</f>
        <v>379</v>
      </c>
      <c r="D420" s="56">
        <f>+IF(D419&lt;edadmaxtabla,D419+1/Parámetros!$E$25,"")</f>
        <v>71.60333333333358</v>
      </c>
      <c r="E420" s="57">
        <f t="shared" si="512"/>
        <v>71</v>
      </c>
      <c r="F420" s="59">
        <f t="shared" si="513"/>
        <v>100000</v>
      </c>
      <c r="G420" s="66">
        <f t="shared" si="503"/>
        <v>139.65</v>
      </c>
      <c r="H420" s="66">
        <f t="shared" si="504"/>
        <v>145.22999999999999</v>
      </c>
      <c r="I420" s="66">
        <f t="shared" si="552"/>
        <v>-51.22999999999999</v>
      </c>
      <c r="J420" s="66">
        <f t="shared" si="505"/>
        <v>4.88</v>
      </c>
      <c r="K420" s="66">
        <f t="shared" si="506"/>
        <v>0.70000000000000007</v>
      </c>
      <c r="L420" s="66">
        <f t="shared" si="507"/>
        <v>0</v>
      </c>
      <c r="M420" s="66">
        <f t="shared" si="508"/>
        <v>0</v>
      </c>
      <c r="N420" s="66">
        <f>+IF(C420="","",ROUND(Parámetros!$D$23,2))</f>
        <v>94</v>
      </c>
      <c r="O420" s="66">
        <f t="shared" si="509"/>
        <v>127.15</v>
      </c>
      <c r="P420" s="66">
        <f>+IF($C420="","",ROUND(IF(B420&gt;Parámetros!$D$117,0,N420*Parámetros!$D$116-G420*Parámetros!$D$100),2))</f>
        <v>0</v>
      </c>
      <c r="Q420" s="75">
        <f t="shared" si="553"/>
        <v>3.4944504117436444E-2</v>
      </c>
      <c r="R420" s="75">
        <f t="shared" si="554"/>
        <v>5.0125313283208026E-3</v>
      </c>
      <c r="S420" s="117">
        <f>+IF($C420="","",ROUND((S419+I420)*(1+Parámetros!$D$91),2))</f>
        <v>26610.04</v>
      </c>
      <c r="T420" s="117">
        <f>+IF($C420="","",ROUND(S420*VLOOKUP(B420,Parámetros!$C$30:$D$39,2,TRUE),2))</f>
        <v>26610.04</v>
      </c>
      <c r="U420" s="117">
        <f>+IF($C420="","",ROUND((U419+I420)*(1+Parámetros!$D$92),2))</f>
        <v>29863.64</v>
      </c>
      <c r="V420" s="117">
        <f>+IF($C420="","",ROUND(U420*VLOOKUP(B420,Parámetros!$C$30:$D$39,2,TRUE),2))</f>
        <v>29863.64</v>
      </c>
      <c r="W420" s="57">
        <f t="shared" si="555"/>
        <v>379</v>
      </c>
      <c r="X420" t="str">
        <f t="shared" si="556"/>
        <v>00058</v>
      </c>
      <c r="Y420" t="str">
        <f t="shared" si="557"/>
        <v>MUERTE POR CUALQUIER CAUSA</v>
      </c>
      <c r="Z420" s="118">
        <f>+IF($W420="","",ROUND(IF(Parámetros!$D$25='TABLAS MORT'!$V$33,Z419,Parámetros!$D$21-'Tablas Servicio'!T419),0))</f>
        <v>100000</v>
      </c>
      <c r="AA420" s="118" t="str">
        <f t="shared" si="558"/>
        <v>P</v>
      </c>
      <c r="AB420" s="119">
        <f>+IF(W420="","",ROUND((VLOOKUP(ROUNDDOWN($D420-1/frec,0),qx_tabla,2,FALSE)*(1+i/frec)^-0.5*(1+Parámetros!$D$103)*(1+rec_fracc)/frec),6))</f>
        <v>1.2390000000000001E-3</v>
      </c>
      <c r="AC420" s="66">
        <f t="shared" si="514"/>
        <v>123.9</v>
      </c>
      <c r="AD420" s="119">
        <f t="shared" si="510"/>
        <v>1.364E-3</v>
      </c>
      <c r="AE420" s="66">
        <f>+IF($W420="","",ROUND(IF($B420&gt;Parámetros!$D$107,'Tablas Servicio'!AC420+('Tablas Servicio'!AG419-'Tablas Servicio'!AC419),AC420/(1-IF(B420&lt;=10,Parámetros!$D$104,Parámetros!$D$105))),2))</f>
        <v>206.5</v>
      </c>
      <c r="AF420" s="66">
        <f>+IF($W420="","",ROUND(IF($B420&gt;Parámetros!$D$107,'Tablas Servicio'!AC420+('Tablas Servicio'!AG419-'Tablas Servicio'!AC419),(AC420+$A419/frec)/(1-IF(B420&lt;=Parámetros!$D$117,Parámetros!$D$100,0))),2))</f>
        <v>136.4</v>
      </c>
      <c r="AG420" s="66">
        <f t="shared" si="515"/>
        <v>136.4</v>
      </c>
      <c r="AH420" s="66">
        <f t="shared" si="516"/>
        <v>0</v>
      </c>
      <c r="AI420" s="66">
        <f t="shared" si="517"/>
        <v>0</v>
      </c>
      <c r="AJ420" s="66">
        <f>+IF($W420="","",ROUND((AG420*Parámetros!$G$85),2))</f>
        <v>4.7699999999999996</v>
      </c>
      <c r="AK420" s="66">
        <f>+IF($W420="","",ROUND((AG420*(Parámetros!$G$86)),2))</f>
        <v>0.68</v>
      </c>
      <c r="AL420" s="66">
        <f t="shared" si="511"/>
        <v>141.85</v>
      </c>
      <c r="AM420" t="str">
        <f t="shared" si="559"/>
        <v>00059</v>
      </c>
      <c r="AN420" t="str">
        <f t="shared" si="560"/>
        <v>Incapacidad Total y Permanente</v>
      </c>
      <c r="AO420" s="118">
        <f t="shared" si="561"/>
        <v>0</v>
      </c>
      <c r="AP420" s="118" t="str">
        <f t="shared" si="562"/>
        <v>A</v>
      </c>
      <c r="AQ420" s="119" t="str">
        <f>+IF(OR($W420="",AO420=0),"",ROUND((VLOOKUP(ROUNDDOWN($D420-1/frec,0),cob_adi,Z$40,FALSE)*(1+i/frec)^-0.5*(1+Parámetros!$D$103)*(1+rec_fracc)/frec),6))</f>
        <v/>
      </c>
      <c r="AR420" s="66">
        <f t="shared" si="518"/>
        <v>0</v>
      </c>
      <c r="AS420" s="119" t="str">
        <f t="shared" si="519"/>
        <v/>
      </c>
      <c r="AT420" s="66">
        <f>+IF($W420="","",ROUND(IF($B420&gt;Parámetros!$D$107,'Tablas Servicio'!AR420+('Tablas Servicio'!AT419-'Tablas Servicio'!AR419),AR420/(1-IF(B420&lt;=10,Parámetros!$D$100,0))),2))</f>
        <v>0</v>
      </c>
      <c r="AU420" s="66">
        <f t="shared" si="520"/>
        <v>0</v>
      </c>
      <c r="AV420" s="66">
        <f t="shared" si="520"/>
        <v>0</v>
      </c>
      <c r="AW420" s="66">
        <f>+IF($W420="","",ROUND((AT420*Parámetros!$G$85),2))</f>
        <v>0</v>
      </c>
      <c r="AX420" s="66">
        <f>+IF($W420="","",ROUND((AT420*(Parámetros!$G$86)),2))</f>
        <v>0</v>
      </c>
      <c r="AY420" s="66">
        <f t="shared" si="521"/>
        <v>0</v>
      </c>
      <c r="AZ420" t="str">
        <f t="shared" si="563"/>
        <v>00060</v>
      </c>
      <c r="BA420" t="str">
        <f t="shared" si="564"/>
        <v>Muerte Accidental</v>
      </c>
      <c r="BB420" s="118">
        <f t="shared" si="565"/>
        <v>0</v>
      </c>
      <c r="BC420" s="118" t="str">
        <f t="shared" si="566"/>
        <v>A</v>
      </c>
      <c r="BD420" s="119" t="str">
        <f>+IF(OR($W420="",BB420=0),"",ROUND((VLOOKUP(ROUNDDOWN($D420-1/frec,0),cob_adi,AO$40,FALSE)*(1+i/frec)^-0.5*(1+Parámetros!$D$103)*(1+rec_fracc)/frec),6))</f>
        <v/>
      </c>
      <c r="BE420" s="66">
        <f t="shared" si="522"/>
        <v>0</v>
      </c>
      <c r="BF420" s="119" t="str">
        <f t="shared" si="523"/>
        <v/>
      </c>
      <c r="BG420" s="66">
        <f>+IF($W420="","",ROUND(IF($B420&gt;Parámetros!$D$107,'Tablas Servicio'!BE420+('Tablas Servicio'!BG419-'Tablas Servicio'!BE419),BE420/(1-IF(B420&lt;=10,Parámetros!$D$100,0))),2))</f>
        <v>0</v>
      </c>
      <c r="BH420" s="66">
        <f t="shared" si="524"/>
        <v>0</v>
      </c>
      <c r="BI420" s="66">
        <f t="shared" si="525"/>
        <v>0</v>
      </c>
      <c r="BJ420" s="66">
        <f>+IF($W420="","",ROUND((BG420*Parámetros!$G$85),2))</f>
        <v>0</v>
      </c>
      <c r="BK420" s="66">
        <f>+IF($W420="","",ROUND((BG420*(Parámetros!$G$86)),2))</f>
        <v>0</v>
      </c>
      <c r="BL420" s="66">
        <f t="shared" si="526"/>
        <v>0</v>
      </c>
      <c r="BM420" t="str">
        <f t="shared" si="567"/>
        <v>00061</v>
      </c>
      <c r="BN420" t="str">
        <f t="shared" si="568"/>
        <v>Gastos de Entierro</v>
      </c>
      <c r="BO420" s="118">
        <f t="shared" si="569"/>
        <v>0</v>
      </c>
      <c r="BP420" s="118" t="str">
        <f t="shared" si="570"/>
        <v>A</v>
      </c>
      <c r="BQ420" s="119" t="str">
        <f>+IF(OR($W420="",BO420=0),"",ROUND((VLOOKUP(ROUNDDOWN($D420-1/frec,0),cob_adi,BB$40,FALSE)*(1+i/frec)^-0.5*(1+Parámetros!$D$103)*(1+rec_fracc)/frec),6))</f>
        <v/>
      </c>
      <c r="BR420" s="66">
        <f t="shared" si="527"/>
        <v>0</v>
      </c>
      <c r="BS420" s="119" t="str">
        <f t="shared" si="528"/>
        <v/>
      </c>
      <c r="BT420" s="66">
        <f>+IF($W420="","",ROUND(IF($B420&gt;Parámetros!$D$107,'Tablas Servicio'!BR420+('Tablas Servicio'!BT419-'Tablas Servicio'!BR419),BR420/(1-IF(B420&lt;=10,Parámetros!$D$100,0))),2))</f>
        <v>0</v>
      </c>
      <c r="BU420" s="66">
        <f t="shared" si="529"/>
        <v>0</v>
      </c>
      <c r="BV420" s="66">
        <f t="shared" si="529"/>
        <v>0</v>
      </c>
      <c r="BW420" s="66">
        <f>+IF($W420="","",ROUND((BT420*Parámetros!$G$85),2))</f>
        <v>0</v>
      </c>
      <c r="BX420" s="66">
        <f>+IF($W420="","",ROUND((BT420*(Parámetros!$G$86)),2))</f>
        <v>0</v>
      </c>
      <c r="BY420" s="66">
        <f t="shared" si="530"/>
        <v>0</v>
      </c>
      <c r="BZ420" t="str">
        <f t="shared" si="571"/>
        <v>00062</v>
      </c>
      <c r="CA420" t="str">
        <f t="shared" si="572"/>
        <v>Gastos médicos por accidente</v>
      </c>
      <c r="CB420" s="118">
        <f t="shared" si="573"/>
        <v>0</v>
      </c>
      <c r="CC420" s="118" t="str">
        <f t="shared" si="574"/>
        <v>A</v>
      </c>
      <c r="CD420" s="119" t="str">
        <f t="shared" si="531"/>
        <v/>
      </c>
      <c r="CE420" s="66">
        <f>+IF($W420="","",ROUND((VLOOKUP(ROUNDDOWN($D420-1/frec,0),cob_adi,BO$40,FALSE)*(1+i/frec)^-0.5*(1+Parámetros!$D$103)*(1+rec_fracc)/frec*'TABLAS ADI'!$BC$17),2))</f>
        <v>0</v>
      </c>
      <c r="CF420" s="119" t="str">
        <f t="shared" si="532"/>
        <v/>
      </c>
      <c r="CG420" s="66">
        <f>+IF($W420="","",ROUND(IF($B420&gt;Parámetros!$D$107,'Tablas Servicio'!CE420+('Tablas Servicio'!CG419-'Tablas Servicio'!CE419),CE420/(1-IF(B420&lt;=10,Parámetros!$D$100,0))),2))</f>
        <v>0</v>
      </c>
      <c r="CH420" s="66">
        <f t="shared" si="533"/>
        <v>0</v>
      </c>
      <c r="CI420" s="66">
        <f t="shared" si="533"/>
        <v>0</v>
      </c>
      <c r="CJ420" s="66">
        <f>+IF($W420="","",ROUND((CG420*Parámetros!$G$85),2))</f>
        <v>0</v>
      </c>
      <c r="CK420" s="66">
        <f>+IF($W420="","",ROUND((CG420*(Parámetros!$G$86)),2))</f>
        <v>0</v>
      </c>
      <c r="CL420" s="66">
        <f t="shared" si="534"/>
        <v>0</v>
      </c>
      <c r="CM420" t="str">
        <f t="shared" si="575"/>
        <v>00063</v>
      </c>
      <c r="CN420" s="118" t="str">
        <f t="shared" si="576"/>
        <v>Renta Diaria por Hospitalización</v>
      </c>
      <c r="CO420" s="118">
        <f t="shared" si="577"/>
        <v>0</v>
      </c>
      <c r="CP420" s="118" t="str">
        <f t="shared" si="578"/>
        <v>A</v>
      </c>
      <c r="CQ420" s="119" t="str">
        <f t="shared" si="535"/>
        <v/>
      </c>
      <c r="CR420" s="66">
        <f>+IF($W420="","",ROUND((VLOOKUP(Parámetros!$F$51,'COBERTURAS ADICIONALES'!$S$4:$T$32,2,FALSE)*(1+i/frec)^-0.5*(1+Parámetros!$D$103)*(1+rec_fracc)/frec*$CO$42),2))</f>
        <v>0</v>
      </c>
      <c r="CS420" s="119" t="str">
        <f t="shared" si="536"/>
        <v/>
      </c>
      <c r="CT420" s="66">
        <f>+IF($W420="","",ROUND(IF($B420&gt;Parámetros!$D$107,'Tablas Servicio'!CR420+('Tablas Servicio'!CT419-'Tablas Servicio'!CR419),CR420/(1-IF(B420&lt;=10,Parámetros!$D$100,0))),2))</f>
        <v>0</v>
      </c>
      <c r="CU420" s="66">
        <f t="shared" si="537"/>
        <v>0</v>
      </c>
      <c r="CV420" s="66">
        <f t="shared" si="537"/>
        <v>0</v>
      </c>
      <c r="CW420" s="66">
        <f>+IF($W420="","",ROUND((CT420*Parámetros!$G$85),2))</f>
        <v>0</v>
      </c>
      <c r="CX420" s="66">
        <f>+IF($W420="","",ROUND((CT420*(Parámetros!$G$86)),2))</f>
        <v>0</v>
      </c>
      <c r="CY420" s="66">
        <f t="shared" si="538"/>
        <v>0</v>
      </c>
      <c r="CZ420" t="str">
        <f t="shared" si="579"/>
        <v>00064</v>
      </c>
      <c r="DA420" s="118" t="str">
        <f t="shared" si="580"/>
        <v>Enfermedades Graves</v>
      </c>
      <c r="DB420" s="118">
        <f t="shared" si="581"/>
        <v>0</v>
      </c>
      <c r="DC420" s="118" t="str">
        <f t="shared" si="582"/>
        <v>A</v>
      </c>
      <c r="DD420" s="121" t="str">
        <f>+IF(OR($W420="",DB420=0),"",ROUND((VLOOKUP(ROUNDDOWN($D420-1/frec,0),cob_adi,CO$40,FALSE)*(1+i/frec)^-0.5*(1+Parámetros!$D$103)*(1+rec_fracc)/frec),6))</f>
        <v/>
      </c>
      <c r="DE420" s="66">
        <f t="shared" si="539"/>
        <v>0</v>
      </c>
      <c r="DF420" s="119" t="str">
        <f t="shared" si="540"/>
        <v/>
      </c>
      <c r="DG420" s="66">
        <f>+IF($W420="","",ROUND(IF($B420&gt;Parámetros!$D$107,'Tablas Servicio'!DE420+('Tablas Servicio'!DG419-'Tablas Servicio'!DE419),DE420/(1-IF(B420&lt;=10,Parámetros!$D$100,0))),2))</f>
        <v>0</v>
      </c>
      <c r="DH420" s="66">
        <f t="shared" si="541"/>
        <v>0</v>
      </c>
      <c r="DI420" s="66">
        <f t="shared" si="541"/>
        <v>0</v>
      </c>
      <c r="DJ420" s="66">
        <f>+IF($W420="","",ROUND((DG420*Parámetros!$G$85),2))</f>
        <v>0</v>
      </c>
      <c r="DK420" s="66">
        <f>+IF($W420="","",ROUND((DG420*(Parámetros!$G$86)),2))</f>
        <v>0</v>
      </c>
      <c r="DL420" s="66">
        <f t="shared" si="542"/>
        <v>0</v>
      </c>
      <c r="DM420" t="str">
        <f t="shared" si="583"/>
        <v>00065</v>
      </c>
      <c r="DN420" s="118" t="str">
        <f t="shared" si="584"/>
        <v>Exención pago de primas</v>
      </c>
      <c r="DO420" s="118">
        <f t="shared" si="585"/>
        <v>0</v>
      </c>
      <c r="DP420" s="118" t="str">
        <f t="shared" si="586"/>
        <v>A</v>
      </c>
      <c r="DQ420" s="122" t="str">
        <f>+IF(OR($W420="",DO420=0),"",ROUND((VLOOKUP(ROUNDDOWN($D420-1/frec,0),cob_adi,DB$40,FALSE)*(1+i/frec)^-0.5*(1+Parámetros!$D$103)*(1+rec_fracc)/frec),6))</f>
        <v/>
      </c>
      <c r="DR420" s="66">
        <f t="shared" si="543"/>
        <v>0</v>
      </c>
      <c r="DS420" s="68" t="str">
        <f t="shared" si="544"/>
        <v/>
      </c>
      <c r="DT420" s="66">
        <f>+IF($W420="","",ROUND(IF($B420&gt;Parámetros!$D$107,'Tablas Servicio'!DR420+('Tablas Servicio'!DT419-'Tablas Servicio'!DR419),DR420/(1-IF(B420&lt;=10,Parámetros!$D$100,0))),2))</f>
        <v>0</v>
      </c>
      <c r="DU420" s="66">
        <f t="shared" si="545"/>
        <v>0</v>
      </c>
      <c r="DV420" s="66">
        <f t="shared" si="545"/>
        <v>0</v>
      </c>
      <c r="DW420" s="66">
        <f>+IF($W420="","",ROUND((DT420*Parámetros!$G$85),2))</f>
        <v>0</v>
      </c>
      <c r="DX420" s="66">
        <f>+IF($W420="","",ROUND((DT420*(Parámetros!$G$86)),2))</f>
        <v>0</v>
      </c>
      <c r="DY420" s="66">
        <f t="shared" si="546"/>
        <v>0</v>
      </c>
      <c r="DZ420" t="str">
        <f t="shared" si="589"/>
        <v>00066</v>
      </c>
      <c r="EA420" s="118" t="str">
        <f t="shared" si="589"/>
        <v>Enfermedad terminal</v>
      </c>
      <c r="EB420" s="118">
        <f>+IF($W420="","",ROUND(IF(Parámetros!$D$25='TABLAS MORT'!$V$33,EB419,Z420/2),0))</f>
        <v>50000</v>
      </c>
      <c r="EC420" s="118" t="str">
        <f t="shared" si="589"/>
        <v>A</v>
      </c>
      <c r="ED420" s="122">
        <f>+IF(OR($W420="",EB420=0),"",ROUND((VLOOKUP(ROUNDDOWN($D420-1/frec,0),cob_adi,DO$40,FALSE)*(1+i/frec)^-0.5*(1+Parámetros!$D$103)*(1+rec_fracc)/frec),6))</f>
        <v>6.4999999999999994E-5</v>
      </c>
      <c r="EE420" s="66">
        <f t="shared" si="548"/>
        <v>3.25</v>
      </c>
      <c r="EF420" s="68">
        <f t="shared" si="549"/>
        <v>6.4999999999999994E-5</v>
      </c>
      <c r="EG420" s="66">
        <f>+IF($W420="","",ROUND(IF($B420&gt;Parámetros!$D$107,'Tablas Servicio'!EE420+('Tablas Servicio'!EG419-'Tablas Servicio'!EE419),EE420/(1-IF(B420&lt;=10,Parámetros!$D$100,0))),2))</f>
        <v>3.25</v>
      </c>
      <c r="EH420" s="66">
        <f t="shared" si="550"/>
        <v>0</v>
      </c>
      <c r="EI420" s="66">
        <f t="shared" si="550"/>
        <v>0</v>
      </c>
      <c r="EJ420" s="66">
        <f>+IF($W420="","",ROUND((EG420*Parámetros!$G$85),2))</f>
        <v>0.11</v>
      </c>
      <c r="EK420" s="66">
        <f>+IF($W420="","",ROUND((EG420*(Parámetros!$G$86)),2))</f>
        <v>0.02</v>
      </c>
      <c r="EL420" s="66">
        <f t="shared" si="551"/>
        <v>3.38</v>
      </c>
    </row>
    <row r="421" spans="1:142" x14ac:dyDescent="0.25">
      <c r="A421">
        <f>+IF($C421="","",ROUND(VLOOKUP('Tablas Servicio'!B421,Parámetros!$H$100:$J$159,IF(Parámetros!$E$16="F",2,3),FALSE),2))</f>
        <v>150</v>
      </c>
      <c r="B421">
        <f t="shared" si="502"/>
        <v>32</v>
      </c>
      <c r="C421" s="57">
        <f>+IF(D421="","",'Tablas Servicio'!C420+1)</f>
        <v>380</v>
      </c>
      <c r="D421" s="56">
        <f>+IF(D420&lt;edadmaxtabla,D420+1/Parámetros!$E$25,"")</f>
        <v>71.686666666666909</v>
      </c>
      <c r="E421" s="57">
        <f t="shared" si="512"/>
        <v>71</v>
      </c>
      <c r="F421" s="59">
        <f t="shared" si="513"/>
        <v>100000</v>
      </c>
      <c r="G421" s="66">
        <f t="shared" si="503"/>
        <v>139.65</v>
      </c>
      <c r="H421" s="66">
        <f t="shared" si="504"/>
        <v>145.22999999999999</v>
      </c>
      <c r="I421" s="66">
        <f t="shared" si="552"/>
        <v>-51.22999999999999</v>
      </c>
      <c r="J421" s="66">
        <f t="shared" si="505"/>
        <v>4.88</v>
      </c>
      <c r="K421" s="66">
        <f t="shared" si="506"/>
        <v>0.70000000000000007</v>
      </c>
      <c r="L421" s="66">
        <f t="shared" si="507"/>
        <v>0</v>
      </c>
      <c r="M421" s="66">
        <f t="shared" si="508"/>
        <v>0</v>
      </c>
      <c r="N421" s="66">
        <f>+IF(C421="","",ROUND(Parámetros!$D$23,2))</f>
        <v>94</v>
      </c>
      <c r="O421" s="66">
        <f t="shared" si="509"/>
        <v>127.15</v>
      </c>
      <c r="P421" s="66">
        <f>+IF($C421="","",ROUND(IF(B421&gt;Parámetros!$D$117,0,N421*Parámetros!$D$116-G421*Parámetros!$D$100),2))</f>
        <v>0</v>
      </c>
      <c r="Q421" s="75">
        <f t="shared" si="553"/>
        <v>3.4944504117436444E-2</v>
      </c>
      <c r="R421" s="75">
        <f t="shared" si="554"/>
        <v>5.0125313283208026E-3</v>
      </c>
      <c r="S421" s="117">
        <f>+IF($C421="","",ROUND((S420+I421)*(1+Parámetros!$D$91),2))</f>
        <v>26634.14</v>
      </c>
      <c r="T421" s="117">
        <f>+IF($C421="","",ROUND(S421*VLOOKUP(B421,Parámetros!$C$30:$D$39,2,TRUE),2))</f>
        <v>26634.14</v>
      </c>
      <c r="U421" s="117">
        <f>+IF($C421="","",ROUND((U420+I421)*(1+Parámetros!$D$92),2))</f>
        <v>29909.05</v>
      </c>
      <c r="V421" s="117">
        <f>+IF($C421="","",ROUND(U421*VLOOKUP(B421,Parámetros!$C$30:$D$39,2,TRUE),2))</f>
        <v>29909.05</v>
      </c>
      <c r="W421" s="57">
        <f t="shared" si="555"/>
        <v>380</v>
      </c>
      <c r="X421" t="str">
        <f t="shared" si="556"/>
        <v>00058</v>
      </c>
      <c r="Y421" t="str">
        <f t="shared" si="557"/>
        <v>MUERTE POR CUALQUIER CAUSA</v>
      </c>
      <c r="Z421" s="118">
        <f>+IF($W421="","",ROUND(IF(Parámetros!$D$25='TABLAS MORT'!$V$33,Z420,Parámetros!$D$21-'Tablas Servicio'!T420),0))</f>
        <v>100000</v>
      </c>
      <c r="AA421" s="118" t="str">
        <f t="shared" si="558"/>
        <v>P</v>
      </c>
      <c r="AB421" s="119">
        <f>+IF(W421="","",ROUND((VLOOKUP(ROUNDDOWN($D421-1/frec,0),qx_tabla,2,FALSE)*(1+i/frec)^-0.5*(1+Parámetros!$D$103)*(1+rec_fracc)/frec),6))</f>
        <v>1.2390000000000001E-3</v>
      </c>
      <c r="AC421" s="66">
        <f t="shared" si="514"/>
        <v>123.9</v>
      </c>
      <c r="AD421" s="119">
        <f t="shared" si="510"/>
        <v>1.364E-3</v>
      </c>
      <c r="AE421" s="66">
        <f>+IF($W421="","",ROUND(IF($B421&gt;Parámetros!$D$107,'Tablas Servicio'!AC421+('Tablas Servicio'!AG420-'Tablas Servicio'!AC420),AC421/(1-IF(B421&lt;=10,Parámetros!$D$104,Parámetros!$D$105))),2))</f>
        <v>206.5</v>
      </c>
      <c r="AF421" s="66">
        <f>+IF($W421="","",ROUND(IF($B421&gt;Parámetros!$D$107,'Tablas Servicio'!AC421+('Tablas Servicio'!AG420-'Tablas Servicio'!AC420),(AC421+$A420/frec)/(1-IF(B421&lt;=Parámetros!$D$117,Parámetros!$D$100,0))),2))</f>
        <v>136.4</v>
      </c>
      <c r="AG421" s="66">
        <f t="shared" si="515"/>
        <v>136.4</v>
      </c>
      <c r="AH421" s="66">
        <f t="shared" si="516"/>
        <v>0</v>
      </c>
      <c r="AI421" s="66">
        <f t="shared" si="517"/>
        <v>0</v>
      </c>
      <c r="AJ421" s="66">
        <f>+IF($W421="","",ROUND((AG421*Parámetros!$G$85),2))</f>
        <v>4.7699999999999996</v>
      </c>
      <c r="AK421" s="66">
        <f>+IF($W421="","",ROUND((AG421*(Parámetros!$G$86)),2))</f>
        <v>0.68</v>
      </c>
      <c r="AL421" s="66">
        <f t="shared" si="511"/>
        <v>141.85</v>
      </c>
      <c r="AM421" t="str">
        <f t="shared" si="559"/>
        <v>00059</v>
      </c>
      <c r="AN421" t="str">
        <f t="shared" si="560"/>
        <v>Incapacidad Total y Permanente</v>
      </c>
      <c r="AO421" s="118">
        <f t="shared" si="561"/>
        <v>0</v>
      </c>
      <c r="AP421" s="118" t="str">
        <f t="shared" si="562"/>
        <v>A</v>
      </c>
      <c r="AQ421" s="119" t="str">
        <f>+IF(OR($W421="",AO421=0),"",ROUND((VLOOKUP(ROUNDDOWN($D421-1/frec,0),cob_adi,Z$40,FALSE)*(1+i/frec)^-0.5*(1+Parámetros!$D$103)*(1+rec_fracc)/frec),6))</f>
        <v/>
      </c>
      <c r="AR421" s="66">
        <f t="shared" si="518"/>
        <v>0</v>
      </c>
      <c r="AS421" s="119" t="str">
        <f t="shared" si="519"/>
        <v/>
      </c>
      <c r="AT421" s="66">
        <f>+IF($W421="","",ROUND(IF($B421&gt;Parámetros!$D$107,'Tablas Servicio'!AR421+('Tablas Servicio'!AT420-'Tablas Servicio'!AR420),AR421/(1-IF(B421&lt;=10,Parámetros!$D$100,0))),2))</f>
        <v>0</v>
      </c>
      <c r="AU421" s="66">
        <f t="shared" si="520"/>
        <v>0</v>
      </c>
      <c r="AV421" s="66">
        <f t="shared" si="520"/>
        <v>0</v>
      </c>
      <c r="AW421" s="66">
        <f>+IF($W421="","",ROUND((AT421*Parámetros!$G$85),2))</f>
        <v>0</v>
      </c>
      <c r="AX421" s="66">
        <f>+IF($W421="","",ROUND((AT421*(Parámetros!$G$86)),2))</f>
        <v>0</v>
      </c>
      <c r="AY421" s="66">
        <f t="shared" si="521"/>
        <v>0</v>
      </c>
      <c r="AZ421" t="str">
        <f t="shared" si="563"/>
        <v>00060</v>
      </c>
      <c r="BA421" t="str">
        <f t="shared" si="564"/>
        <v>Muerte Accidental</v>
      </c>
      <c r="BB421" s="118">
        <f t="shared" si="565"/>
        <v>0</v>
      </c>
      <c r="BC421" s="118" t="str">
        <f t="shared" si="566"/>
        <v>A</v>
      </c>
      <c r="BD421" s="119" t="str">
        <f>+IF(OR($W421="",BB421=0),"",ROUND((VLOOKUP(ROUNDDOWN($D421-1/frec,0),cob_adi,AO$40,FALSE)*(1+i/frec)^-0.5*(1+Parámetros!$D$103)*(1+rec_fracc)/frec),6))</f>
        <v/>
      </c>
      <c r="BE421" s="66">
        <f t="shared" si="522"/>
        <v>0</v>
      </c>
      <c r="BF421" s="119" t="str">
        <f t="shared" si="523"/>
        <v/>
      </c>
      <c r="BG421" s="66">
        <f>+IF($W421="","",ROUND(IF($B421&gt;Parámetros!$D$107,'Tablas Servicio'!BE421+('Tablas Servicio'!BG420-'Tablas Servicio'!BE420),BE421/(1-IF(B421&lt;=10,Parámetros!$D$100,0))),2))</f>
        <v>0</v>
      </c>
      <c r="BH421" s="66">
        <f t="shared" si="524"/>
        <v>0</v>
      </c>
      <c r="BI421" s="66">
        <f t="shared" si="525"/>
        <v>0</v>
      </c>
      <c r="BJ421" s="66">
        <f>+IF($W421="","",ROUND((BG421*Parámetros!$G$85),2))</f>
        <v>0</v>
      </c>
      <c r="BK421" s="66">
        <f>+IF($W421="","",ROUND((BG421*(Parámetros!$G$86)),2))</f>
        <v>0</v>
      </c>
      <c r="BL421" s="66">
        <f t="shared" si="526"/>
        <v>0</v>
      </c>
      <c r="BM421" t="str">
        <f t="shared" si="567"/>
        <v>00061</v>
      </c>
      <c r="BN421" t="str">
        <f t="shared" si="568"/>
        <v>Gastos de Entierro</v>
      </c>
      <c r="BO421" s="118">
        <f t="shared" si="569"/>
        <v>0</v>
      </c>
      <c r="BP421" s="118" t="str">
        <f t="shared" si="570"/>
        <v>A</v>
      </c>
      <c r="BQ421" s="119" t="str">
        <f>+IF(OR($W421="",BO421=0),"",ROUND((VLOOKUP(ROUNDDOWN($D421-1/frec,0),cob_adi,BB$40,FALSE)*(1+i/frec)^-0.5*(1+Parámetros!$D$103)*(1+rec_fracc)/frec),6))</f>
        <v/>
      </c>
      <c r="BR421" s="66">
        <f t="shared" si="527"/>
        <v>0</v>
      </c>
      <c r="BS421" s="119" t="str">
        <f t="shared" si="528"/>
        <v/>
      </c>
      <c r="BT421" s="66">
        <f>+IF($W421="","",ROUND(IF($B421&gt;Parámetros!$D$107,'Tablas Servicio'!BR421+('Tablas Servicio'!BT420-'Tablas Servicio'!BR420),BR421/(1-IF(B421&lt;=10,Parámetros!$D$100,0))),2))</f>
        <v>0</v>
      </c>
      <c r="BU421" s="66">
        <f t="shared" si="529"/>
        <v>0</v>
      </c>
      <c r="BV421" s="66">
        <f t="shared" si="529"/>
        <v>0</v>
      </c>
      <c r="BW421" s="66">
        <f>+IF($W421="","",ROUND((BT421*Parámetros!$G$85),2))</f>
        <v>0</v>
      </c>
      <c r="BX421" s="66">
        <f>+IF($W421="","",ROUND((BT421*(Parámetros!$G$86)),2))</f>
        <v>0</v>
      </c>
      <c r="BY421" s="66">
        <f t="shared" si="530"/>
        <v>0</v>
      </c>
      <c r="BZ421" t="str">
        <f t="shared" si="571"/>
        <v>00062</v>
      </c>
      <c r="CA421" t="str">
        <f t="shared" si="572"/>
        <v>Gastos médicos por accidente</v>
      </c>
      <c r="CB421" s="118">
        <f t="shared" si="573"/>
        <v>0</v>
      </c>
      <c r="CC421" s="118" t="str">
        <f t="shared" si="574"/>
        <v>A</v>
      </c>
      <c r="CD421" s="119" t="str">
        <f t="shared" si="531"/>
        <v/>
      </c>
      <c r="CE421" s="66">
        <f>+IF($W421="","",ROUND((VLOOKUP(ROUNDDOWN($D421-1/frec,0),cob_adi,BO$40,FALSE)*(1+i/frec)^-0.5*(1+Parámetros!$D$103)*(1+rec_fracc)/frec*'TABLAS ADI'!$BC$17),2))</f>
        <v>0</v>
      </c>
      <c r="CF421" s="119" t="str">
        <f t="shared" si="532"/>
        <v/>
      </c>
      <c r="CG421" s="66">
        <f>+IF($W421="","",ROUND(IF($B421&gt;Parámetros!$D$107,'Tablas Servicio'!CE421+('Tablas Servicio'!CG420-'Tablas Servicio'!CE420),CE421/(1-IF(B421&lt;=10,Parámetros!$D$100,0))),2))</f>
        <v>0</v>
      </c>
      <c r="CH421" s="66">
        <f t="shared" si="533"/>
        <v>0</v>
      </c>
      <c r="CI421" s="66">
        <f t="shared" si="533"/>
        <v>0</v>
      </c>
      <c r="CJ421" s="66">
        <f>+IF($W421="","",ROUND((CG421*Parámetros!$G$85),2))</f>
        <v>0</v>
      </c>
      <c r="CK421" s="66">
        <f>+IF($W421="","",ROUND((CG421*(Parámetros!$G$86)),2))</f>
        <v>0</v>
      </c>
      <c r="CL421" s="66">
        <f t="shared" si="534"/>
        <v>0</v>
      </c>
      <c r="CM421" t="str">
        <f t="shared" si="575"/>
        <v>00063</v>
      </c>
      <c r="CN421" s="118" t="str">
        <f t="shared" si="576"/>
        <v>Renta Diaria por Hospitalización</v>
      </c>
      <c r="CO421" s="118">
        <f t="shared" si="577"/>
        <v>0</v>
      </c>
      <c r="CP421" s="118" t="str">
        <f t="shared" si="578"/>
        <v>A</v>
      </c>
      <c r="CQ421" s="119" t="str">
        <f t="shared" si="535"/>
        <v/>
      </c>
      <c r="CR421" s="66">
        <f>+IF($W421="","",ROUND((VLOOKUP(Parámetros!$F$51,'COBERTURAS ADICIONALES'!$S$4:$T$32,2,FALSE)*(1+i/frec)^-0.5*(1+Parámetros!$D$103)*(1+rec_fracc)/frec*$CO$42),2))</f>
        <v>0</v>
      </c>
      <c r="CS421" s="119" t="str">
        <f t="shared" si="536"/>
        <v/>
      </c>
      <c r="CT421" s="66">
        <f>+IF($W421="","",ROUND(IF($B421&gt;Parámetros!$D$107,'Tablas Servicio'!CR421+('Tablas Servicio'!CT420-'Tablas Servicio'!CR420),CR421/(1-IF(B421&lt;=10,Parámetros!$D$100,0))),2))</f>
        <v>0</v>
      </c>
      <c r="CU421" s="66">
        <f t="shared" si="537"/>
        <v>0</v>
      </c>
      <c r="CV421" s="66">
        <f t="shared" si="537"/>
        <v>0</v>
      </c>
      <c r="CW421" s="66">
        <f>+IF($W421="","",ROUND((CT421*Parámetros!$G$85),2))</f>
        <v>0</v>
      </c>
      <c r="CX421" s="66">
        <f>+IF($W421="","",ROUND((CT421*(Parámetros!$G$86)),2))</f>
        <v>0</v>
      </c>
      <c r="CY421" s="66">
        <f t="shared" si="538"/>
        <v>0</v>
      </c>
      <c r="CZ421" t="str">
        <f t="shared" si="579"/>
        <v>00064</v>
      </c>
      <c r="DA421" s="118" t="str">
        <f t="shared" si="580"/>
        <v>Enfermedades Graves</v>
      </c>
      <c r="DB421" s="118">
        <f t="shared" si="581"/>
        <v>0</v>
      </c>
      <c r="DC421" s="118" t="str">
        <f t="shared" si="582"/>
        <v>A</v>
      </c>
      <c r="DD421" s="121" t="str">
        <f>+IF(OR($W421="",DB421=0),"",ROUND((VLOOKUP(ROUNDDOWN($D421-1/frec,0),cob_adi,CO$40,FALSE)*(1+i/frec)^-0.5*(1+Parámetros!$D$103)*(1+rec_fracc)/frec),6))</f>
        <v/>
      </c>
      <c r="DE421" s="66">
        <f t="shared" si="539"/>
        <v>0</v>
      </c>
      <c r="DF421" s="119" t="str">
        <f t="shared" si="540"/>
        <v/>
      </c>
      <c r="DG421" s="66">
        <f>+IF($W421="","",ROUND(IF($B421&gt;Parámetros!$D$107,'Tablas Servicio'!DE421+('Tablas Servicio'!DG420-'Tablas Servicio'!DE420),DE421/(1-IF(B421&lt;=10,Parámetros!$D$100,0))),2))</f>
        <v>0</v>
      </c>
      <c r="DH421" s="66">
        <f t="shared" si="541"/>
        <v>0</v>
      </c>
      <c r="DI421" s="66">
        <f t="shared" si="541"/>
        <v>0</v>
      </c>
      <c r="DJ421" s="66">
        <f>+IF($W421="","",ROUND((DG421*Parámetros!$G$85),2))</f>
        <v>0</v>
      </c>
      <c r="DK421" s="66">
        <f>+IF($W421="","",ROUND((DG421*(Parámetros!$G$86)),2))</f>
        <v>0</v>
      </c>
      <c r="DL421" s="66">
        <f t="shared" si="542"/>
        <v>0</v>
      </c>
      <c r="DM421" t="str">
        <f t="shared" si="583"/>
        <v>00065</v>
      </c>
      <c r="DN421" s="118" t="str">
        <f t="shared" si="584"/>
        <v>Exención pago de primas</v>
      </c>
      <c r="DO421" s="118">
        <f t="shared" si="585"/>
        <v>0</v>
      </c>
      <c r="DP421" s="118" t="str">
        <f t="shared" si="586"/>
        <v>A</v>
      </c>
      <c r="DQ421" s="122" t="str">
        <f>+IF(OR($W421="",DO421=0),"",ROUND((VLOOKUP(ROUNDDOWN($D421-1/frec,0),cob_adi,DB$40,FALSE)*(1+i/frec)^-0.5*(1+Parámetros!$D$103)*(1+rec_fracc)/frec),6))</f>
        <v/>
      </c>
      <c r="DR421" s="66">
        <f t="shared" si="543"/>
        <v>0</v>
      </c>
      <c r="DS421" s="68" t="str">
        <f t="shared" si="544"/>
        <v/>
      </c>
      <c r="DT421" s="66">
        <f>+IF($W421="","",ROUND(IF($B421&gt;Parámetros!$D$107,'Tablas Servicio'!DR421+('Tablas Servicio'!DT420-'Tablas Servicio'!DR420),DR421/(1-IF(B421&lt;=10,Parámetros!$D$100,0))),2))</f>
        <v>0</v>
      </c>
      <c r="DU421" s="66">
        <f t="shared" si="545"/>
        <v>0</v>
      </c>
      <c r="DV421" s="66">
        <f t="shared" si="545"/>
        <v>0</v>
      </c>
      <c r="DW421" s="66">
        <f>+IF($W421="","",ROUND((DT421*Parámetros!$G$85),2))</f>
        <v>0</v>
      </c>
      <c r="DX421" s="66">
        <f>+IF($W421="","",ROUND((DT421*(Parámetros!$G$86)),2))</f>
        <v>0</v>
      </c>
      <c r="DY421" s="66">
        <f t="shared" si="546"/>
        <v>0</v>
      </c>
      <c r="DZ421" t="str">
        <f t="shared" si="589"/>
        <v>00066</v>
      </c>
      <c r="EA421" s="118" t="str">
        <f t="shared" si="589"/>
        <v>Enfermedad terminal</v>
      </c>
      <c r="EB421" s="118">
        <f>+IF($W421="","",ROUND(IF(Parámetros!$D$25='TABLAS MORT'!$V$33,EB420,Z421/2),0))</f>
        <v>50000</v>
      </c>
      <c r="EC421" s="118" t="str">
        <f t="shared" si="589"/>
        <v>A</v>
      </c>
      <c r="ED421" s="122">
        <f>+IF(OR($W421="",EB421=0),"",ROUND((VLOOKUP(ROUNDDOWN($D421-1/frec,0),cob_adi,DO$40,FALSE)*(1+i/frec)^-0.5*(1+Parámetros!$D$103)*(1+rec_fracc)/frec),6))</f>
        <v>6.4999999999999994E-5</v>
      </c>
      <c r="EE421" s="66">
        <f t="shared" si="548"/>
        <v>3.25</v>
      </c>
      <c r="EF421" s="68">
        <f t="shared" si="549"/>
        <v>6.4999999999999994E-5</v>
      </c>
      <c r="EG421" s="66">
        <f>+IF($W421="","",ROUND(IF($B421&gt;Parámetros!$D$107,'Tablas Servicio'!EE421+('Tablas Servicio'!EG420-'Tablas Servicio'!EE420),EE421/(1-IF(B421&lt;=10,Parámetros!$D$100,0))),2))</f>
        <v>3.25</v>
      </c>
      <c r="EH421" s="66">
        <f t="shared" si="550"/>
        <v>0</v>
      </c>
      <c r="EI421" s="66">
        <f t="shared" si="550"/>
        <v>0</v>
      </c>
      <c r="EJ421" s="66">
        <f>+IF($W421="","",ROUND((EG421*Parámetros!$G$85),2))</f>
        <v>0.11</v>
      </c>
      <c r="EK421" s="66">
        <f>+IF($W421="","",ROUND((EG421*(Parámetros!$G$86)),2))</f>
        <v>0.02</v>
      </c>
      <c r="EL421" s="66">
        <f t="shared" si="551"/>
        <v>3.38</v>
      </c>
    </row>
    <row r="422" spans="1:142" x14ac:dyDescent="0.25">
      <c r="A422">
        <f>+IF($C422="","",ROUND(VLOOKUP('Tablas Servicio'!B422,Parámetros!$H$100:$J$159,IF(Parámetros!$E$16="F",2,3),FALSE),2))</f>
        <v>150</v>
      </c>
      <c r="B422">
        <f t="shared" si="502"/>
        <v>32</v>
      </c>
      <c r="C422" s="57">
        <f>+IF(D422="","",'Tablas Servicio'!C421+1)</f>
        <v>381</v>
      </c>
      <c r="D422" s="56">
        <f>+IF(D421&lt;edadmaxtabla,D421+1/Parámetros!$E$25,"")</f>
        <v>71.770000000000238</v>
      </c>
      <c r="E422" s="57">
        <f t="shared" si="512"/>
        <v>71</v>
      </c>
      <c r="F422" s="59">
        <f t="shared" si="513"/>
        <v>100000</v>
      </c>
      <c r="G422" s="66">
        <f t="shared" si="503"/>
        <v>139.65</v>
      </c>
      <c r="H422" s="66">
        <f t="shared" si="504"/>
        <v>145.22999999999999</v>
      </c>
      <c r="I422" s="66">
        <f t="shared" si="552"/>
        <v>-51.22999999999999</v>
      </c>
      <c r="J422" s="66">
        <f t="shared" si="505"/>
        <v>4.88</v>
      </c>
      <c r="K422" s="66">
        <f t="shared" si="506"/>
        <v>0.70000000000000007</v>
      </c>
      <c r="L422" s="66">
        <f t="shared" si="507"/>
        <v>0</v>
      </c>
      <c r="M422" s="66">
        <f t="shared" si="508"/>
        <v>0</v>
      </c>
      <c r="N422" s="66">
        <f>+IF(C422="","",ROUND(Parámetros!$D$23,2))</f>
        <v>94</v>
      </c>
      <c r="O422" s="66">
        <f t="shared" si="509"/>
        <v>127.15</v>
      </c>
      <c r="P422" s="66">
        <f>+IF($C422="","",ROUND(IF(B422&gt;Parámetros!$D$117,0,N422*Parámetros!$D$116-G422*Parámetros!$D$100),2))</f>
        <v>0</v>
      </c>
      <c r="Q422" s="75">
        <f t="shared" si="553"/>
        <v>3.4944504117436444E-2</v>
      </c>
      <c r="R422" s="75">
        <f t="shared" si="554"/>
        <v>5.0125313283208026E-3</v>
      </c>
      <c r="S422" s="117">
        <f>+IF($C422="","",ROUND((S421+I422)*(1+Parámetros!$D$91),2))</f>
        <v>26658.31</v>
      </c>
      <c r="T422" s="117">
        <f>+IF($C422="","",ROUND(S422*VLOOKUP(B422,Parámetros!$C$30:$D$39,2,TRUE),2))</f>
        <v>26658.31</v>
      </c>
      <c r="U422" s="117">
        <f>+IF($C422="","",ROUND((U421+I422)*(1+Parámetros!$D$92),2))</f>
        <v>29954.61</v>
      </c>
      <c r="V422" s="117">
        <f>+IF($C422="","",ROUND(U422*VLOOKUP(B422,Parámetros!$C$30:$D$39,2,TRUE),2))</f>
        <v>29954.61</v>
      </c>
      <c r="W422" s="57">
        <f t="shared" si="555"/>
        <v>381</v>
      </c>
      <c r="X422" t="str">
        <f t="shared" si="556"/>
        <v>00058</v>
      </c>
      <c r="Y422" t="str">
        <f t="shared" si="557"/>
        <v>MUERTE POR CUALQUIER CAUSA</v>
      </c>
      <c r="Z422" s="118">
        <f>+IF($W422="","",ROUND(IF(Parámetros!$D$25='TABLAS MORT'!$V$33,Z421,Parámetros!$D$21-'Tablas Servicio'!T421),0))</f>
        <v>100000</v>
      </c>
      <c r="AA422" s="118" t="str">
        <f t="shared" si="558"/>
        <v>P</v>
      </c>
      <c r="AB422" s="119">
        <f>+IF(W422="","",ROUND((VLOOKUP(ROUNDDOWN($D422-1/frec,0),qx_tabla,2,FALSE)*(1+i/frec)^-0.5*(1+Parámetros!$D$103)*(1+rec_fracc)/frec),6))</f>
        <v>1.2390000000000001E-3</v>
      </c>
      <c r="AC422" s="66">
        <f t="shared" si="514"/>
        <v>123.9</v>
      </c>
      <c r="AD422" s="119">
        <f t="shared" si="510"/>
        <v>1.364E-3</v>
      </c>
      <c r="AE422" s="66">
        <f>+IF($W422="","",ROUND(IF($B422&gt;Parámetros!$D$107,'Tablas Servicio'!AC422+('Tablas Servicio'!AG421-'Tablas Servicio'!AC421),AC422/(1-IF(B422&lt;=10,Parámetros!$D$104,Parámetros!$D$105))),2))</f>
        <v>206.5</v>
      </c>
      <c r="AF422" s="66">
        <f>+IF($W422="","",ROUND(IF($B422&gt;Parámetros!$D$107,'Tablas Servicio'!AC422+('Tablas Servicio'!AG421-'Tablas Servicio'!AC421),(AC422+$A421/frec)/(1-IF(B422&lt;=Parámetros!$D$117,Parámetros!$D$100,0))),2))</f>
        <v>136.4</v>
      </c>
      <c r="AG422" s="66">
        <f t="shared" si="515"/>
        <v>136.4</v>
      </c>
      <c r="AH422" s="66">
        <f t="shared" si="516"/>
        <v>0</v>
      </c>
      <c r="AI422" s="66">
        <f t="shared" si="517"/>
        <v>0</v>
      </c>
      <c r="AJ422" s="66">
        <f>+IF($W422="","",ROUND((AG422*Parámetros!$G$85),2))</f>
        <v>4.7699999999999996</v>
      </c>
      <c r="AK422" s="66">
        <f>+IF($W422="","",ROUND((AG422*(Parámetros!$G$86)),2))</f>
        <v>0.68</v>
      </c>
      <c r="AL422" s="66">
        <f t="shared" si="511"/>
        <v>141.85</v>
      </c>
      <c r="AM422" t="str">
        <f t="shared" si="559"/>
        <v>00059</v>
      </c>
      <c r="AN422" t="str">
        <f t="shared" si="560"/>
        <v>Incapacidad Total y Permanente</v>
      </c>
      <c r="AO422" s="118">
        <f t="shared" si="561"/>
        <v>0</v>
      </c>
      <c r="AP422" s="118" t="str">
        <f t="shared" si="562"/>
        <v>A</v>
      </c>
      <c r="AQ422" s="119" t="str">
        <f>+IF(OR($W422="",AO422=0),"",ROUND((VLOOKUP(ROUNDDOWN($D422-1/frec,0),cob_adi,Z$40,FALSE)*(1+i/frec)^-0.5*(1+Parámetros!$D$103)*(1+rec_fracc)/frec),6))</f>
        <v/>
      </c>
      <c r="AR422" s="66">
        <f t="shared" si="518"/>
        <v>0</v>
      </c>
      <c r="AS422" s="119" t="str">
        <f t="shared" si="519"/>
        <v/>
      </c>
      <c r="AT422" s="66">
        <f>+IF($W422="","",ROUND(IF($B422&gt;Parámetros!$D$107,'Tablas Servicio'!AR422+('Tablas Servicio'!AT421-'Tablas Servicio'!AR421),AR422/(1-IF(B422&lt;=10,Parámetros!$D$100,0))),2))</f>
        <v>0</v>
      </c>
      <c r="AU422" s="66">
        <f t="shared" si="520"/>
        <v>0</v>
      </c>
      <c r="AV422" s="66">
        <f t="shared" si="520"/>
        <v>0</v>
      </c>
      <c r="AW422" s="66">
        <f>+IF($W422="","",ROUND((AT422*Parámetros!$G$85),2))</f>
        <v>0</v>
      </c>
      <c r="AX422" s="66">
        <f>+IF($W422="","",ROUND((AT422*(Parámetros!$G$86)),2))</f>
        <v>0</v>
      </c>
      <c r="AY422" s="66">
        <f t="shared" si="521"/>
        <v>0</v>
      </c>
      <c r="AZ422" t="str">
        <f t="shared" si="563"/>
        <v>00060</v>
      </c>
      <c r="BA422" t="str">
        <f t="shared" si="564"/>
        <v>Muerte Accidental</v>
      </c>
      <c r="BB422" s="118">
        <f t="shared" si="565"/>
        <v>0</v>
      </c>
      <c r="BC422" s="118" t="str">
        <f t="shared" si="566"/>
        <v>A</v>
      </c>
      <c r="BD422" s="119" t="str">
        <f>+IF(OR($W422="",BB422=0),"",ROUND((VLOOKUP(ROUNDDOWN($D422-1/frec,0),cob_adi,AO$40,FALSE)*(1+i/frec)^-0.5*(1+Parámetros!$D$103)*(1+rec_fracc)/frec),6))</f>
        <v/>
      </c>
      <c r="BE422" s="66">
        <f t="shared" si="522"/>
        <v>0</v>
      </c>
      <c r="BF422" s="119" t="str">
        <f t="shared" si="523"/>
        <v/>
      </c>
      <c r="BG422" s="66">
        <f>+IF($W422="","",ROUND(IF($B422&gt;Parámetros!$D$107,'Tablas Servicio'!BE422+('Tablas Servicio'!BG421-'Tablas Servicio'!BE421),BE422/(1-IF(B422&lt;=10,Parámetros!$D$100,0))),2))</f>
        <v>0</v>
      </c>
      <c r="BH422" s="66">
        <f t="shared" si="524"/>
        <v>0</v>
      </c>
      <c r="BI422" s="66">
        <f t="shared" si="525"/>
        <v>0</v>
      </c>
      <c r="BJ422" s="66">
        <f>+IF($W422="","",ROUND((BG422*Parámetros!$G$85),2))</f>
        <v>0</v>
      </c>
      <c r="BK422" s="66">
        <f>+IF($W422="","",ROUND((BG422*(Parámetros!$G$86)),2))</f>
        <v>0</v>
      </c>
      <c r="BL422" s="66">
        <f t="shared" si="526"/>
        <v>0</v>
      </c>
      <c r="BM422" t="str">
        <f t="shared" si="567"/>
        <v>00061</v>
      </c>
      <c r="BN422" t="str">
        <f t="shared" si="568"/>
        <v>Gastos de Entierro</v>
      </c>
      <c r="BO422" s="118">
        <f t="shared" si="569"/>
        <v>0</v>
      </c>
      <c r="BP422" s="118" t="str">
        <f t="shared" si="570"/>
        <v>A</v>
      </c>
      <c r="BQ422" s="119" t="str">
        <f>+IF(OR($W422="",BO422=0),"",ROUND((VLOOKUP(ROUNDDOWN($D422-1/frec,0),cob_adi,BB$40,FALSE)*(1+i/frec)^-0.5*(1+Parámetros!$D$103)*(1+rec_fracc)/frec),6))</f>
        <v/>
      </c>
      <c r="BR422" s="66">
        <f t="shared" si="527"/>
        <v>0</v>
      </c>
      <c r="BS422" s="119" t="str">
        <f t="shared" si="528"/>
        <v/>
      </c>
      <c r="BT422" s="66">
        <f>+IF($W422="","",ROUND(IF($B422&gt;Parámetros!$D$107,'Tablas Servicio'!BR422+('Tablas Servicio'!BT421-'Tablas Servicio'!BR421),BR422/(1-IF(B422&lt;=10,Parámetros!$D$100,0))),2))</f>
        <v>0</v>
      </c>
      <c r="BU422" s="66">
        <f t="shared" si="529"/>
        <v>0</v>
      </c>
      <c r="BV422" s="66">
        <f t="shared" si="529"/>
        <v>0</v>
      </c>
      <c r="BW422" s="66">
        <f>+IF($W422="","",ROUND((BT422*Parámetros!$G$85),2))</f>
        <v>0</v>
      </c>
      <c r="BX422" s="66">
        <f>+IF($W422="","",ROUND((BT422*(Parámetros!$G$86)),2))</f>
        <v>0</v>
      </c>
      <c r="BY422" s="66">
        <f t="shared" si="530"/>
        <v>0</v>
      </c>
      <c r="BZ422" t="str">
        <f t="shared" si="571"/>
        <v>00062</v>
      </c>
      <c r="CA422" t="str">
        <f t="shared" si="572"/>
        <v>Gastos médicos por accidente</v>
      </c>
      <c r="CB422" s="118">
        <f t="shared" si="573"/>
        <v>0</v>
      </c>
      <c r="CC422" s="118" t="str">
        <f t="shared" si="574"/>
        <v>A</v>
      </c>
      <c r="CD422" s="119" t="str">
        <f t="shared" si="531"/>
        <v/>
      </c>
      <c r="CE422" s="66">
        <f>+IF($W422="","",ROUND((VLOOKUP(ROUNDDOWN($D422-1/frec,0),cob_adi,BO$40,FALSE)*(1+i/frec)^-0.5*(1+Parámetros!$D$103)*(1+rec_fracc)/frec*'TABLAS ADI'!$BC$17),2))</f>
        <v>0</v>
      </c>
      <c r="CF422" s="119" t="str">
        <f t="shared" si="532"/>
        <v/>
      </c>
      <c r="CG422" s="66">
        <f>+IF($W422="","",ROUND(IF($B422&gt;Parámetros!$D$107,'Tablas Servicio'!CE422+('Tablas Servicio'!CG421-'Tablas Servicio'!CE421),CE422/(1-IF(B422&lt;=10,Parámetros!$D$100,0))),2))</f>
        <v>0</v>
      </c>
      <c r="CH422" s="66">
        <f t="shared" si="533"/>
        <v>0</v>
      </c>
      <c r="CI422" s="66">
        <f t="shared" si="533"/>
        <v>0</v>
      </c>
      <c r="CJ422" s="66">
        <f>+IF($W422="","",ROUND((CG422*Parámetros!$G$85),2))</f>
        <v>0</v>
      </c>
      <c r="CK422" s="66">
        <f>+IF($W422="","",ROUND((CG422*(Parámetros!$G$86)),2))</f>
        <v>0</v>
      </c>
      <c r="CL422" s="66">
        <f t="shared" si="534"/>
        <v>0</v>
      </c>
      <c r="CM422" t="str">
        <f t="shared" si="575"/>
        <v>00063</v>
      </c>
      <c r="CN422" s="118" t="str">
        <f t="shared" si="576"/>
        <v>Renta Diaria por Hospitalización</v>
      </c>
      <c r="CO422" s="118">
        <f t="shared" si="577"/>
        <v>0</v>
      </c>
      <c r="CP422" s="118" t="str">
        <f t="shared" si="578"/>
        <v>A</v>
      </c>
      <c r="CQ422" s="119" t="str">
        <f t="shared" si="535"/>
        <v/>
      </c>
      <c r="CR422" s="66">
        <f>+IF($W422="","",ROUND((VLOOKUP(Parámetros!$F$51,'COBERTURAS ADICIONALES'!$S$4:$T$32,2,FALSE)*(1+i/frec)^-0.5*(1+Parámetros!$D$103)*(1+rec_fracc)/frec*$CO$42),2))</f>
        <v>0</v>
      </c>
      <c r="CS422" s="119" t="str">
        <f t="shared" si="536"/>
        <v/>
      </c>
      <c r="CT422" s="66">
        <f>+IF($W422="","",ROUND(IF($B422&gt;Parámetros!$D$107,'Tablas Servicio'!CR422+('Tablas Servicio'!CT421-'Tablas Servicio'!CR421),CR422/(1-IF(B422&lt;=10,Parámetros!$D$100,0))),2))</f>
        <v>0</v>
      </c>
      <c r="CU422" s="66">
        <f t="shared" si="537"/>
        <v>0</v>
      </c>
      <c r="CV422" s="66">
        <f t="shared" si="537"/>
        <v>0</v>
      </c>
      <c r="CW422" s="66">
        <f>+IF($W422="","",ROUND((CT422*Parámetros!$G$85),2))</f>
        <v>0</v>
      </c>
      <c r="CX422" s="66">
        <f>+IF($W422="","",ROUND((CT422*(Parámetros!$G$86)),2))</f>
        <v>0</v>
      </c>
      <c r="CY422" s="66">
        <f t="shared" si="538"/>
        <v>0</v>
      </c>
      <c r="CZ422" t="str">
        <f t="shared" si="579"/>
        <v>00064</v>
      </c>
      <c r="DA422" s="118" t="str">
        <f t="shared" si="580"/>
        <v>Enfermedades Graves</v>
      </c>
      <c r="DB422" s="118">
        <f t="shared" si="581"/>
        <v>0</v>
      </c>
      <c r="DC422" s="118" t="str">
        <f t="shared" si="582"/>
        <v>A</v>
      </c>
      <c r="DD422" s="121" t="str">
        <f>+IF(OR($W422="",DB422=0),"",ROUND((VLOOKUP(ROUNDDOWN($D422-1/frec,0),cob_adi,CO$40,FALSE)*(1+i/frec)^-0.5*(1+Parámetros!$D$103)*(1+rec_fracc)/frec),6))</f>
        <v/>
      </c>
      <c r="DE422" s="66">
        <f t="shared" si="539"/>
        <v>0</v>
      </c>
      <c r="DF422" s="119" t="str">
        <f t="shared" si="540"/>
        <v/>
      </c>
      <c r="DG422" s="66">
        <f>+IF($W422="","",ROUND(IF($B422&gt;Parámetros!$D$107,'Tablas Servicio'!DE422+('Tablas Servicio'!DG421-'Tablas Servicio'!DE421),DE422/(1-IF(B422&lt;=10,Parámetros!$D$100,0))),2))</f>
        <v>0</v>
      </c>
      <c r="DH422" s="66">
        <f t="shared" si="541"/>
        <v>0</v>
      </c>
      <c r="DI422" s="66">
        <f t="shared" si="541"/>
        <v>0</v>
      </c>
      <c r="DJ422" s="66">
        <f>+IF($W422="","",ROUND((DG422*Parámetros!$G$85),2))</f>
        <v>0</v>
      </c>
      <c r="DK422" s="66">
        <f>+IF($W422="","",ROUND((DG422*(Parámetros!$G$86)),2))</f>
        <v>0</v>
      </c>
      <c r="DL422" s="66">
        <f t="shared" si="542"/>
        <v>0</v>
      </c>
      <c r="DM422" t="str">
        <f t="shared" si="583"/>
        <v>00065</v>
      </c>
      <c r="DN422" s="118" t="str">
        <f t="shared" si="584"/>
        <v>Exención pago de primas</v>
      </c>
      <c r="DO422" s="118">
        <f t="shared" si="585"/>
        <v>0</v>
      </c>
      <c r="DP422" s="118" t="str">
        <f t="shared" si="586"/>
        <v>A</v>
      </c>
      <c r="DQ422" s="122" t="str">
        <f>+IF(OR($W422="",DO422=0),"",ROUND((VLOOKUP(ROUNDDOWN($D422-1/frec,0),cob_adi,DB$40,FALSE)*(1+i/frec)^-0.5*(1+Parámetros!$D$103)*(1+rec_fracc)/frec),6))</f>
        <v/>
      </c>
      <c r="DR422" s="66">
        <f t="shared" si="543"/>
        <v>0</v>
      </c>
      <c r="DS422" s="68" t="str">
        <f t="shared" si="544"/>
        <v/>
      </c>
      <c r="DT422" s="66">
        <f>+IF($W422="","",ROUND(IF($B422&gt;Parámetros!$D$107,'Tablas Servicio'!DR422+('Tablas Servicio'!DT421-'Tablas Servicio'!DR421),DR422/(1-IF(B422&lt;=10,Parámetros!$D$100,0))),2))</f>
        <v>0</v>
      </c>
      <c r="DU422" s="66">
        <f t="shared" si="545"/>
        <v>0</v>
      </c>
      <c r="DV422" s="66">
        <f t="shared" si="545"/>
        <v>0</v>
      </c>
      <c r="DW422" s="66">
        <f>+IF($W422="","",ROUND((DT422*Parámetros!$G$85),2))</f>
        <v>0</v>
      </c>
      <c r="DX422" s="66">
        <f>+IF($W422="","",ROUND((DT422*(Parámetros!$G$86)),2))</f>
        <v>0</v>
      </c>
      <c r="DY422" s="66">
        <f t="shared" si="546"/>
        <v>0</v>
      </c>
      <c r="DZ422" t="str">
        <f t="shared" si="589"/>
        <v>00066</v>
      </c>
      <c r="EA422" s="118" t="str">
        <f t="shared" si="589"/>
        <v>Enfermedad terminal</v>
      </c>
      <c r="EB422" s="118">
        <f>+IF($W422="","",ROUND(IF(Parámetros!$D$25='TABLAS MORT'!$V$33,EB421,Z422/2),0))</f>
        <v>50000</v>
      </c>
      <c r="EC422" s="118" t="str">
        <f t="shared" si="589"/>
        <v>A</v>
      </c>
      <c r="ED422" s="122">
        <f>+IF(OR($W422="",EB422=0),"",ROUND((VLOOKUP(ROUNDDOWN($D422-1/frec,0),cob_adi,DO$40,FALSE)*(1+i/frec)^-0.5*(1+Parámetros!$D$103)*(1+rec_fracc)/frec),6))</f>
        <v>6.4999999999999994E-5</v>
      </c>
      <c r="EE422" s="66">
        <f t="shared" si="548"/>
        <v>3.25</v>
      </c>
      <c r="EF422" s="68">
        <f t="shared" si="549"/>
        <v>6.4999999999999994E-5</v>
      </c>
      <c r="EG422" s="66">
        <f>+IF($W422="","",ROUND(IF($B422&gt;Parámetros!$D$107,'Tablas Servicio'!EE422+('Tablas Servicio'!EG421-'Tablas Servicio'!EE421),EE422/(1-IF(B422&lt;=10,Parámetros!$D$100,0))),2))</f>
        <v>3.25</v>
      </c>
      <c r="EH422" s="66">
        <f t="shared" si="550"/>
        <v>0</v>
      </c>
      <c r="EI422" s="66">
        <f t="shared" si="550"/>
        <v>0</v>
      </c>
      <c r="EJ422" s="66">
        <f>+IF($W422="","",ROUND((EG422*Parámetros!$G$85),2))</f>
        <v>0.11</v>
      </c>
      <c r="EK422" s="66">
        <f>+IF($W422="","",ROUND((EG422*(Parámetros!$G$86)),2))</f>
        <v>0.02</v>
      </c>
      <c r="EL422" s="66">
        <f t="shared" si="551"/>
        <v>3.38</v>
      </c>
    </row>
    <row r="423" spans="1:142" x14ac:dyDescent="0.25">
      <c r="A423">
        <f>+IF($C423="","",ROUND(VLOOKUP('Tablas Servicio'!B423,Parámetros!$H$100:$J$159,IF(Parámetros!$E$16="F",2,3),FALSE),2))</f>
        <v>150</v>
      </c>
      <c r="B423">
        <f t="shared" si="502"/>
        <v>32</v>
      </c>
      <c r="C423" s="57">
        <f>+IF(D423="","",'Tablas Servicio'!C422+1)</f>
        <v>382</v>
      </c>
      <c r="D423" s="56">
        <f>+IF(D422&lt;edadmaxtabla,D422+1/Parámetros!$E$25,"")</f>
        <v>71.853333333333566</v>
      </c>
      <c r="E423" s="57">
        <f t="shared" si="512"/>
        <v>71</v>
      </c>
      <c r="F423" s="59">
        <f t="shared" si="513"/>
        <v>100000</v>
      </c>
      <c r="G423" s="66">
        <f t="shared" si="503"/>
        <v>139.65</v>
      </c>
      <c r="H423" s="66">
        <f t="shared" si="504"/>
        <v>145.22999999999999</v>
      </c>
      <c r="I423" s="66">
        <f t="shared" si="552"/>
        <v>-51.22999999999999</v>
      </c>
      <c r="J423" s="66">
        <f t="shared" si="505"/>
        <v>4.88</v>
      </c>
      <c r="K423" s="66">
        <f t="shared" si="506"/>
        <v>0.70000000000000007</v>
      </c>
      <c r="L423" s="66">
        <f t="shared" si="507"/>
        <v>0</v>
      </c>
      <c r="M423" s="66">
        <f t="shared" si="508"/>
        <v>0</v>
      </c>
      <c r="N423" s="66">
        <f>+IF(C423="","",ROUND(Parámetros!$D$23,2))</f>
        <v>94</v>
      </c>
      <c r="O423" s="66">
        <f t="shared" si="509"/>
        <v>127.15</v>
      </c>
      <c r="P423" s="66">
        <f>+IF($C423="","",ROUND(IF(B423&gt;Parámetros!$D$117,0,N423*Parámetros!$D$116-G423*Parámetros!$D$100),2))</f>
        <v>0</v>
      </c>
      <c r="Q423" s="75">
        <f t="shared" si="553"/>
        <v>3.4944504117436444E-2</v>
      </c>
      <c r="R423" s="75">
        <f t="shared" si="554"/>
        <v>5.0125313283208026E-3</v>
      </c>
      <c r="S423" s="117">
        <f>+IF($C423="","",ROUND((S422+I423)*(1+Parámetros!$D$91),2))</f>
        <v>26682.55</v>
      </c>
      <c r="T423" s="117">
        <f>+IF($C423="","",ROUND(S423*VLOOKUP(B423,Parámetros!$C$30:$D$39,2,TRUE),2))</f>
        <v>26682.55</v>
      </c>
      <c r="U423" s="117">
        <f>+IF($C423="","",ROUND((U422+I423)*(1+Parámetros!$D$92),2))</f>
        <v>30000.32</v>
      </c>
      <c r="V423" s="117">
        <f>+IF($C423="","",ROUND(U423*VLOOKUP(B423,Parámetros!$C$30:$D$39,2,TRUE),2))</f>
        <v>30000.32</v>
      </c>
      <c r="W423" s="57">
        <f t="shared" si="555"/>
        <v>382</v>
      </c>
      <c r="X423" t="str">
        <f t="shared" si="556"/>
        <v>00058</v>
      </c>
      <c r="Y423" t="str">
        <f t="shared" si="557"/>
        <v>MUERTE POR CUALQUIER CAUSA</v>
      </c>
      <c r="Z423" s="118">
        <f>+IF($W423="","",ROUND(IF(Parámetros!$D$25='TABLAS MORT'!$V$33,Z422,Parámetros!$D$21-'Tablas Servicio'!T422),0))</f>
        <v>100000</v>
      </c>
      <c r="AA423" s="118" t="str">
        <f t="shared" si="558"/>
        <v>P</v>
      </c>
      <c r="AB423" s="119">
        <f>+IF(W423="","",ROUND((VLOOKUP(ROUNDDOWN($D423-1/frec,0),qx_tabla,2,FALSE)*(1+i/frec)^-0.5*(1+Parámetros!$D$103)*(1+rec_fracc)/frec),6))</f>
        <v>1.2390000000000001E-3</v>
      </c>
      <c r="AC423" s="66">
        <f t="shared" si="514"/>
        <v>123.9</v>
      </c>
      <c r="AD423" s="119">
        <f t="shared" si="510"/>
        <v>1.364E-3</v>
      </c>
      <c r="AE423" s="66">
        <f>+IF($W423="","",ROUND(IF($B423&gt;Parámetros!$D$107,'Tablas Servicio'!AC423+('Tablas Servicio'!AG422-'Tablas Servicio'!AC422),AC423/(1-IF(B423&lt;=10,Parámetros!$D$104,Parámetros!$D$105))),2))</f>
        <v>206.5</v>
      </c>
      <c r="AF423" s="66">
        <f>+IF($W423="","",ROUND(IF($B423&gt;Parámetros!$D$107,'Tablas Servicio'!AC423+('Tablas Servicio'!AG422-'Tablas Servicio'!AC422),(AC423+$A422/frec)/(1-IF(B423&lt;=Parámetros!$D$117,Parámetros!$D$100,0))),2))</f>
        <v>136.4</v>
      </c>
      <c r="AG423" s="66">
        <f t="shared" si="515"/>
        <v>136.4</v>
      </c>
      <c r="AH423" s="66">
        <f t="shared" si="516"/>
        <v>0</v>
      </c>
      <c r="AI423" s="66">
        <f t="shared" si="517"/>
        <v>0</v>
      </c>
      <c r="AJ423" s="66">
        <f>+IF($W423="","",ROUND((AG423*Parámetros!$G$85),2))</f>
        <v>4.7699999999999996</v>
      </c>
      <c r="AK423" s="66">
        <f>+IF($W423="","",ROUND((AG423*(Parámetros!$G$86)),2))</f>
        <v>0.68</v>
      </c>
      <c r="AL423" s="66">
        <f t="shared" si="511"/>
        <v>141.85</v>
      </c>
      <c r="AM423" t="str">
        <f t="shared" si="559"/>
        <v>00059</v>
      </c>
      <c r="AN423" t="str">
        <f t="shared" si="560"/>
        <v>Incapacidad Total y Permanente</v>
      </c>
      <c r="AO423" s="118">
        <f t="shared" si="561"/>
        <v>0</v>
      </c>
      <c r="AP423" s="118" t="str">
        <f t="shared" si="562"/>
        <v>A</v>
      </c>
      <c r="AQ423" s="119" t="str">
        <f>+IF(OR($W423="",AO423=0),"",ROUND((VLOOKUP(ROUNDDOWN($D423-1/frec,0),cob_adi,Z$40,FALSE)*(1+i/frec)^-0.5*(1+Parámetros!$D$103)*(1+rec_fracc)/frec),6))</f>
        <v/>
      </c>
      <c r="AR423" s="66">
        <f t="shared" si="518"/>
        <v>0</v>
      </c>
      <c r="AS423" s="119" t="str">
        <f t="shared" si="519"/>
        <v/>
      </c>
      <c r="AT423" s="66">
        <f>+IF($W423="","",ROUND(IF($B423&gt;Parámetros!$D$107,'Tablas Servicio'!AR423+('Tablas Servicio'!AT422-'Tablas Servicio'!AR422),AR423/(1-IF(B423&lt;=10,Parámetros!$D$100,0))),2))</f>
        <v>0</v>
      </c>
      <c r="AU423" s="66">
        <f t="shared" si="520"/>
        <v>0</v>
      </c>
      <c r="AV423" s="66">
        <f t="shared" si="520"/>
        <v>0</v>
      </c>
      <c r="AW423" s="66">
        <f>+IF($W423="","",ROUND((AT423*Parámetros!$G$85),2))</f>
        <v>0</v>
      </c>
      <c r="AX423" s="66">
        <f>+IF($W423="","",ROUND((AT423*(Parámetros!$G$86)),2))</f>
        <v>0</v>
      </c>
      <c r="AY423" s="66">
        <f t="shared" si="521"/>
        <v>0</v>
      </c>
      <c r="AZ423" t="str">
        <f t="shared" si="563"/>
        <v>00060</v>
      </c>
      <c r="BA423" t="str">
        <f t="shared" si="564"/>
        <v>Muerte Accidental</v>
      </c>
      <c r="BB423" s="118">
        <f t="shared" si="565"/>
        <v>0</v>
      </c>
      <c r="BC423" s="118" t="str">
        <f t="shared" si="566"/>
        <v>A</v>
      </c>
      <c r="BD423" s="119" t="str">
        <f>+IF(OR($W423="",BB423=0),"",ROUND((VLOOKUP(ROUNDDOWN($D423-1/frec,0),cob_adi,AO$40,FALSE)*(1+i/frec)^-0.5*(1+Parámetros!$D$103)*(1+rec_fracc)/frec),6))</f>
        <v/>
      </c>
      <c r="BE423" s="66">
        <f t="shared" si="522"/>
        <v>0</v>
      </c>
      <c r="BF423" s="119" t="str">
        <f t="shared" si="523"/>
        <v/>
      </c>
      <c r="BG423" s="66">
        <f>+IF($W423="","",ROUND(IF($B423&gt;Parámetros!$D$107,'Tablas Servicio'!BE423+('Tablas Servicio'!BG422-'Tablas Servicio'!BE422),BE423/(1-IF(B423&lt;=10,Parámetros!$D$100,0))),2))</f>
        <v>0</v>
      </c>
      <c r="BH423" s="66">
        <f t="shared" si="524"/>
        <v>0</v>
      </c>
      <c r="BI423" s="66">
        <f t="shared" si="525"/>
        <v>0</v>
      </c>
      <c r="BJ423" s="66">
        <f>+IF($W423="","",ROUND((BG423*Parámetros!$G$85),2))</f>
        <v>0</v>
      </c>
      <c r="BK423" s="66">
        <f>+IF($W423="","",ROUND((BG423*(Parámetros!$G$86)),2))</f>
        <v>0</v>
      </c>
      <c r="BL423" s="66">
        <f t="shared" si="526"/>
        <v>0</v>
      </c>
      <c r="BM423" t="str">
        <f t="shared" si="567"/>
        <v>00061</v>
      </c>
      <c r="BN423" t="str">
        <f t="shared" si="568"/>
        <v>Gastos de Entierro</v>
      </c>
      <c r="BO423" s="118">
        <f t="shared" si="569"/>
        <v>0</v>
      </c>
      <c r="BP423" s="118" t="str">
        <f t="shared" si="570"/>
        <v>A</v>
      </c>
      <c r="BQ423" s="119" t="str">
        <f>+IF(OR($W423="",BO423=0),"",ROUND((VLOOKUP(ROUNDDOWN($D423-1/frec,0),cob_adi,BB$40,FALSE)*(1+i/frec)^-0.5*(1+Parámetros!$D$103)*(1+rec_fracc)/frec),6))</f>
        <v/>
      </c>
      <c r="BR423" s="66">
        <f t="shared" si="527"/>
        <v>0</v>
      </c>
      <c r="BS423" s="119" t="str">
        <f t="shared" si="528"/>
        <v/>
      </c>
      <c r="BT423" s="66">
        <f>+IF($W423="","",ROUND(IF($B423&gt;Parámetros!$D$107,'Tablas Servicio'!BR423+('Tablas Servicio'!BT422-'Tablas Servicio'!BR422),BR423/(1-IF(B423&lt;=10,Parámetros!$D$100,0))),2))</f>
        <v>0</v>
      </c>
      <c r="BU423" s="66">
        <f t="shared" si="529"/>
        <v>0</v>
      </c>
      <c r="BV423" s="66">
        <f t="shared" si="529"/>
        <v>0</v>
      </c>
      <c r="BW423" s="66">
        <f>+IF($W423="","",ROUND((BT423*Parámetros!$G$85),2))</f>
        <v>0</v>
      </c>
      <c r="BX423" s="66">
        <f>+IF($W423="","",ROUND((BT423*(Parámetros!$G$86)),2))</f>
        <v>0</v>
      </c>
      <c r="BY423" s="66">
        <f t="shared" si="530"/>
        <v>0</v>
      </c>
      <c r="BZ423" t="str">
        <f t="shared" si="571"/>
        <v>00062</v>
      </c>
      <c r="CA423" t="str">
        <f t="shared" si="572"/>
        <v>Gastos médicos por accidente</v>
      </c>
      <c r="CB423" s="118">
        <f t="shared" si="573"/>
        <v>0</v>
      </c>
      <c r="CC423" s="118" t="str">
        <f t="shared" si="574"/>
        <v>A</v>
      </c>
      <c r="CD423" s="119" t="str">
        <f t="shared" si="531"/>
        <v/>
      </c>
      <c r="CE423" s="66">
        <f>+IF($W423="","",ROUND((VLOOKUP(ROUNDDOWN($D423-1/frec,0),cob_adi,BO$40,FALSE)*(1+i/frec)^-0.5*(1+Parámetros!$D$103)*(1+rec_fracc)/frec*'TABLAS ADI'!$BC$17),2))</f>
        <v>0</v>
      </c>
      <c r="CF423" s="119" t="str">
        <f t="shared" si="532"/>
        <v/>
      </c>
      <c r="CG423" s="66">
        <f>+IF($W423="","",ROUND(IF($B423&gt;Parámetros!$D$107,'Tablas Servicio'!CE423+('Tablas Servicio'!CG422-'Tablas Servicio'!CE422),CE423/(1-IF(B423&lt;=10,Parámetros!$D$100,0))),2))</f>
        <v>0</v>
      </c>
      <c r="CH423" s="66">
        <f t="shared" si="533"/>
        <v>0</v>
      </c>
      <c r="CI423" s="66">
        <f t="shared" si="533"/>
        <v>0</v>
      </c>
      <c r="CJ423" s="66">
        <f>+IF($W423="","",ROUND((CG423*Parámetros!$G$85),2))</f>
        <v>0</v>
      </c>
      <c r="CK423" s="66">
        <f>+IF($W423="","",ROUND((CG423*(Parámetros!$G$86)),2))</f>
        <v>0</v>
      </c>
      <c r="CL423" s="66">
        <f t="shared" si="534"/>
        <v>0</v>
      </c>
      <c r="CM423" t="str">
        <f t="shared" si="575"/>
        <v>00063</v>
      </c>
      <c r="CN423" s="118" t="str">
        <f t="shared" si="576"/>
        <v>Renta Diaria por Hospitalización</v>
      </c>
      <c r="CO423" s="118">
        <f t="shared" si="577"/>
        <v>0</v>
      </c>
      <c r="CP423" s="118" t="str">
        <f t="shared" si="578"/>
        <v>A</v>
      </c>
      <c r="CQ423" s="119" t="str">
        <f t="shared" si="535"/>
        <v/>
      </c>
      <c r="CR423" s="66">
        <f>+IF($W423="","",ROUND((VLOOKUP(Parámetros!$F$51,'COBERTURAS ADICIONALES'!$S$4:$T$32,2,FALSE)*(1+i/frec)^-0.5*(1+Parámetros!$D$103)*(1+rec_fracc)/frec*$CO$42),2))</f>
        <v>0</v>
      </c>
      <c r="CS423" s="119" t="str">
        <f t="shared" si="536"/>
        <v/>
      </c>
      <c r="CT423" s="66">
        <f>+IF($W423="","",ROUND(IF($B423&gt;Parámetros!$D$107,'Tablas Servicio'!CR423+('Tablas Servicio'!CT422-'Tablas Servicio'!CR422),CR423/(1-IF(B423&lt;=10,Parámetros!$D$100,0))),2))</f>
        <v>0</v>
      </c>
      <c r="CU423" s="66">
        <f t="shared" si="537"/>
        <v>0</v>
      </c>
      <c r="CV423" s="66">
        <f t="shared" si="537"/>
        <v>0</v>
      </c>
      <c r="CW423" s="66">
        <f>+IF($W423="","",ROUND((CT423*Parámetros!$G$85),2))</f>
        <v>0</v>
      </c>
      <c r="CX423" s="66">
        <f>+IF($W423="","",ROUND((CT423*(Parámetros!$G$86)),2))</f>
        <v>0</v>
      </c>
      <c r="CY423" s="66">
        <f t="shared" si="538"/>
        <v>0</v>
      </c>
      <c r="CZ423" t="str">
        <f t="shared" si="579"/>
        <v>00064</v>
      </c>
      <c r="DA423" s="118" t="str">
        <f t="shared" si="580"/>
        <v>Enfermedades Graves</v>
      </c>
      <c r="DB423" s="118">
        <f t="shared" si="581"/>
        <v>0</v>
      </c>
      <c r="DC423" s="118" t="str">
        <f t="shared" si="582"/>
        <v>A</v>
      </c>
      <c r="DD423" s="121" t="str">
        <f>+IF(OR($W423="",DB423=0),"",ROUND((VLOOKUP(ROUNDDOWN($D423-1/frec,0),cob_adi,CO$40,FALSE)*(1+i/frec)^-0.5*(1+Parámetros!$D$103)*(1+rec_fracc)/frec),6))</f>
        <v/>
      </c>
      <c r="DE423" s="66">
        <f t="shared" si="539"/>
        <v>0</v>
      </c>
      <c r="DF423" s="119" t="str">
        <f t="shared" si="540"/>
        <v/>
      </c>
      <c r="DG423" s="66">
        <f>+IF($W423="","",ROUND(IF($B423&gt;Parámetros!$D$107,'Tablas Servicio'!DE423+('Tablas Servicio'!DG422-'Tablas Servicio'!DE422),DE423/(1-IF(B423&lt;=10,Parámetros!$D$100,0))),2))</f>
        <v>0</v>
      </c>
      <c r="DH423" s="66">
        <f t="shared" si="541"/>
        <v>0</v>
      </c>
      <c r="DI423" s="66">
        <f t="shared" si="541"/>
        <v>0</v>
      </c>
      <c r="DJ423" s="66">
        <f>+IF($W423="","",ROUND((DG423*Parámetros!$G$85),2))</f>
        <v>0</v>
      </c>
      <c r="DK423" s="66">
        <f>+IF($W423="","",ROUND((DG423*(Parámetros!$G$86)),2))</f>
        <v>0</v>
      </c>
      <c r="DL423" s="66">
        <f t="shared" si="542"/>
        <v>0</v>
      </c>
      <c r="DM423" t="str">
        <f t="shared" si="583"/>
        <v>00065</v>
      </c>
      <c r="DN423" s="118" t="str">
        <f t="shared" si="584"/>
        <v>Exención pago de primas</v>
      </c>
      <c r="DO423" s="118">
        <f t="shared" si="585"/>
        <v>0</v>
      </c>
      <c r="DP423" s="118" t="str">
        <f t="shared" si="586"/>
        <v>A</v>
      </c>
      <c r="DQ423" s="122" t="str">
        <f>+IF(OR($W423="",DO423=0),"",ROUND((VLOOKUP(ROUNDDOWN($D423-1/frec,0),cob_adi,DB$40,FALSE)*(1+i/frec)^-0.5*(1+Parámetros!$D$103)*(1+rec_fracc)/frec),6))</f>
        <v/>
      </c>
      <c r="DR423" s="66">
        <f t="shared" si="543"/>
        <v>0</v>
      </c>
      <c r="DS423" s="68" t="str">
        <f t="shared" si="544"/>
        <v/>
      </c>
      <c r="DT423" s="66">
        <f>+IF($W423="","",ROUND(IF($B423&gt;Parámetros!$D$107,'Tablas Servicio'!DR423+('Tablas Servicio'!DT422-'Tablas Servicio'!DR422),DR423/(1-IF(B423&lt;=10,Parámetros!$D$100,0))),2))</f>
        <v>0</v>
      </c>
      <c r="DU423" s="66">
        <f t="shared" si="545"/>
        <v>0</v>
      </c>
      <c r="DV423" s="66">
        <f t="shared" si="545"/>
        <v>0</v>
      </c>
      <c r="DW423" s="66">
        <f>+IF($W423="","",ROUND((DT423*Parámetros!$G$85),2))</f>
        <v>0</v>
      </c>
      <c r="DX423" s="66">
        <f>+IF($W423="","",ROUND((DT423*(Parámetros!$G$86)),2))</f>
        <v>0</v>
      </c>
      <c r="DY423" s="66">
        <f t="shared" si="546"/>
        <v>0</v>
      </c>
      <c r="DZ423" t="str">
        <f t="shared" si="589"/>
        <v>00066</v>
      </c>
      <c r="EA423" s="118" t="str">
        <f t="shared" si="589"/>
        <v>Enfermedad terminal</v>
      </c>
      <c r="EB423" s="118">
        <f>+IF($W423="","",ROUND(IF(Parámetros!$D$25='TABLAS MORT'!$V$33,EB422,Z423/2),0))</f>
        <v>50000</v>
      </c>
      <c r="EC423" s="118" t="str">
        <f t="shared" si="589"/>
        <v>A</v>
      </c>
      <c r="ED423" s="122">
        <f>+IF(OR($W423="",EB423=0),"",ROUND((VLOOKUP(ROUNDDOWN($D423-1/frec,0),cob_adi,DO$40,FALSE)*(1+i/frec)^-0.5*(1+Parámetros!$D$103)*(1+rec_fracc)/frec),6))</f>
        <v>6.4999999999999994E-5</v>
      </c>
      <c r="EE423" s="66">
        <f t="shared" si="548"/>
        <v>3.25</v>
      </c>
      <c r="EF423" s="68">
        <f t="shared" si="549"/>
        <v>6.4999999999999994E-5</v>
      </c>
      <c r="EG423" s="66">
        <f>+IF($W423="","",ROUND(IF($B423&gt;Parámetros!$D$107,'Tablas Servicio'!EE423+('Tablas Servicio'!EG422-'Tablas Servicio'!EE422),EE423/(1-IF(B423&lt;=10,Parámetros!$D$100,0))),2))</f>
        <v>3.25</v>
      </c>
      <c r="EH423" s="66">
        <f t="shared" si="550"/>
        <v>0</v>
      </c>
      <c r="EI423" s="66">
        <f t="shared" si="550"/>
        <v>0</v>
      </c>
      <c r="EJ423" s="66">
        <f>+IF($W423="","",ROUND((EG423*Parámetros!$G$85),2))</f>
        <v>0.11</v>
      </c>
      <c r="EK423" s="66">
        <f>+IF($W423="","",ROUND((EG423*(Parámetros!$G$86)),2))</f>
        <v>0.02</v>
      </c>
      <c r="EL423" s="66">
        <f t="shared" si="551"/>
        <v>3.38</v>
      </c>
    </row>
    <row r="424" spans="1:142" x14ac:dyDescent="0.25">
      <c r="A424">
        <f>+IF($C424="","",ROUND(VLOOKUP('Tablas Servicio'!B424,Parámetros!$H$100:$J$159,IF(Parámetros!$E$16="F",2,3),FALSE),2))</f>
        <v>150</v>
      </c>
      <c r="B424">
        <f t="shared" si="502"/>
        <v>32</v>
      </c>
      <c r="C424" s="57">
        <f>+IF(D424="","",'Tablas Servicio'!C423+1)</f>
        <v>383</v>
      </c>
      <c r="D424" s="56">
        <f>+IF(D423&lt;edadmaxtabla,D423+1/Parámetros!$E$25,"")</f>
        <v>71.936666666666895</v>
      </c>
      <c r="E424" s="57">
        <f t="shared" si="512"/>
        <v>71</v>
      </c>
      <c r="F424" s="59">
        <f t="shared" si="513"/>
        <v>100000</v>
      </c>
      <c r="G424" s="66">
        <f t="shared" si="503"/>
        <v>139.65</v>
      </c>
      <c r="H424" s="66">
        <f t="shared" si="504"/>
        <v>145.22999999999999</v>
      </c>
      <c r="I424" s="66">
        <f t="shared" si="552"/>
        <v>-51.22999999999999</v>
      </c>
      <c r="J424" s="66">
        <f t="shared" si="505"/>
        <v>4.88</v>
      </c>
      <c r="K424" s="66">
        <f t="shared" si="506"/>
        <v>0.70000000000000007</v>
      </c>
      <c r="L424" s="66">
        <f t="shared" si="507"/>
        <v>0</v>
      </c>
      <c r="M424" s="66">
        <f t="shared" si="508"/>
        <v>0</v>
      </c>
      <c r="N424" s="66">
        <f>+IF(C424="","",ROUND(Parámetros!$D$23,2))</f>
        <v>94</v>
      </c>
      <c r="O424" s="66">
        <f t="shared" si="509"/>
        <v>127.15</v>
      </c>
      <c r="P424" s="66">
        <f>+IF($C424="","",ROUND(IF(B424&gt;Parámetros!$D$117,0,N424*Parámetros!$D$116-G424*Parámetros!$D$100),2))</f>
        <v>0</v>
      </c>
      <c r="Q424" s="75">
        <f t="shared" si="553"/>
        <v>3.4944504117436444E-2</v>
      </c>
      <c r="R424" s="75">
        <f t="shared" si="554"/>
        <v>5.0125313283208026E-3</v>
      </c>
      <c r="S424" s="117">
        <f>+IF($C424="","",ROUND((S423+I424)*(1+Parámetros!$D$91),2))</f>
        <v>26706.86</v>
      </c>
      <c r="T424" s="117">
        <f>+IF($C424="","",ROUND(S424*VLOOKUP(B424,Parámetros!$C$30:$D$39,2,TRUE),2))</f>
        <v>26706.86</v>
      </c>
      <c r="U424" s="117">
        <f>+IF($C424="","",ROUND((U423+I424)*(1+Parámetros!$D$92),2))</f>
        <v>30046.17</v>
      </c>
      <c r="V424" s="117">
        <f>+IF($C424="","",ROUND(U424*VLOOKUP(B424,Parámetros!$C$30:$D$39,2,TRUE),2))</f>
        <v>30046.17</v>
      </c>
      <c r="W424" s="57">
        <f t="shared" si="555"/>
        <v>383</v>
      </c>
      <c r="X424" t="str">
        <f t="shared" si="556"/>
        <v>00058</v>
      </c>
      <c r="Y424" t="str">
        <f t="shared" si="557"/>
        <v>MUERTE POR CUALQUIER CAUSA</v>
      </c>
      <c r="Z424" s="118">
        <f>+IF($W424="","",ROUND(IF(Parámetros!$D$25='TABLAS MORT'!$V$33,Z423,Parámetros!$D$21-'Tablas Servicio'!T423),0))</f>
        <v>100000</v>
      </c>
      <c r="AA424" s="118" t="str">
        <f t="shared" si="558"/>
        <v>P</v>
      </c>
      <c r="AB424" s="119">
        <f>+IF(W424="","",ROUND((VLOOKUP(ROUNDDOWN($D424-1/frec,0),qx_tabla,2,FALSE)*(1+i/frec)^-0.5*(1+Parámetros!$D$103)*(1+rec_fracc)/frec),6))</f>
        <v>1.2390000000000001E-3</v>
      </c>
      <c r="AC424" s="66">
        <f t="shared" si="514"/>
        <v>123.9</v>
      </c>
      <c r="AD424" s="119">
        <f t="shared" si="510"/>
        <v>1.364E-3</v>
      </c>
      <c r="AE424" s="66">
        <f>+IF($W424="","",ROUND(IF($B424&gt;Parámetros!$D$107,'Tablas Servicio'!AC424+('Tablas Servicio'!AG423-'Tablas Servicio'!AC423),AC424/(1-IF(B424&lt;=10,Parámetros!$D$104,Parámetros!$D$105))),2))</f>
        <v>206.5</v>
      </c>
      <c r="AF424" s="66">
        <f>+IF($W424="","",ROUND(IF($B424&gt;Parámetros!$D$107,'Tablas Servicio'!AC424+('Tablas Servicio'!AG423-'Tablas Servicio'!AC423),(AC424+$A423/frec)/(1-IF(B424&lt;=Parámetros!$D$117,Parámetros!$D$100,0))),2))</f>
        <v>136.4</v>
      </c>
      <c r="AG424" s="66">
        <f t="shared" si="515"/>
        <v>136.4</v>
      </c>
      <c r="AH424" s="66">
        <f t="shared" si="516"/>
        <v>0</v>
      </c>
      <c r="AI424" s="66">
        <f t="shared" si="517"/>
        <v>0</v>
      </c>
      <c r="AJ424" s="66">
        <f>+IF($W424="","",ROUND((AG424*Parámetros!$G$85),2))</f>
        <v>4.7699999999999996</v>
      </c>
      <c r="AK424" s="66">
        <f>+IF($W424="","",ROUND((AG424*(Parámetros!$G$86)),2))</f>
        <v>0.68</v>
      </c>
      <c r="AL424" s="66">
        <f t="shared" si="511"/>
        <v>141.85</v>
      </c>
      <c r="AM424" t="str">
        <f t="shared" si="559"/>
        <v>00059</v>
      </c>
      <c r="AN424" t="str">
        <f t="shared" si="560"/>
        <v>Incapacidad Total y Permanente</v>
      </c>
      <c r="AO424" s="118">
        <f t="shared" si="561"/>
        <v>0</v>
      </c>
      <c r="AP424" s="118" t="str">
        <f t="shared" si="562"/>
        <v>A</v>
      </c>
      <c r="AQ424" s="119" t="str">
        <f>+IF(OR($W424="",AO424=0),"",ROUND((VLOOKUP(ROUNDDOWN($D424-1/frec,0),cob_adi,Z$40,FALSE)*(1+i/frec)^-0.5*(1+Parámetros!$D$103)*(1+rec_fracc)/frec),6))</f>
        <v/>
      </c>
      <c r="AR424" s="66">
        <f t="shared" si="518"/>
        <v>0</v>
      </c>
      <c r="AS424" s="119" t="str">
        <f t="shared" si="519"/>
        <v/>
      </c>
      <c r="AT424" s="66">
        <f>+IF($W424="","",ROUND(IF($B424&gt;Parámetros!$D$107,'Tablas Servicio'!AR424+('Tablas Servicio'!AT423-'Tablas Servicio'!AR423),AR424/(1-IF(B424&lt;=10,Parámetros!$D$100,0))),2))</f>
        <v>0</v>
      </c>
      <c r="AU424" s="66">
        <f t="shared" si="520"/>
        <v>0</v>
      </c>
      <c r="AV424" s="66">
        <f t="shared" si="520"/>
        <v>0</v>
      </c>
      <c r="AW424" s="66">
        <f>+IF($W424="","",ROUND((AT424*Parámetros!$G$85),2))</f>
        <v>0</v>
      </c>
      <c r="AX424" s="66">
        <f>+IF($W424="","",ROUND((AT424*(Parámetros!$G$86)),2))</f>
        <v>0</v>
      </c>
      <c r="AY424" s="66">
        <f t="shared" si="521"/>
        <v>0</v>
      </c>
      <c r="AZ424" t="str">
        <f t="shared" si="563"/>
        <v>00060</v>
      </c>
      <c r="BA424" t="str">
        <f t="shared" si="564"/>
        <v>Muerte Accidental</v>
      </c>
      <c r="BB424" s="118">
        <f t="shared" si="565"/>
        <v>0</v>
      </c>
      <c r="BC424" s="118" t="str">
        <f t="shared" si="566"/>
        <v>A</v>
      </c>
      <c r="BD424" s="119" t="str">
        <f>+IF(OR($W424="",BB424=0),"",ROUND((VLOOKUP(ROUNDDOWN($D424-1/frec,0),cob_adi,AO$40,FALSE)*(1+i/frec)^-0.5*(1+Parámetros!$D$103)*(1+rec_fracc)/frec),6))</f>
        <v/>
      </c>
      <c r="BE424" s="66">
        <f t="shared" si="522"/>
        <v>0</v>
      </c>
      <c r="BF424" s="119" t="str">
        <f t="shared" si="523"/>
        <v/>
      </c>
      <c r="BG424" s="66">
        <f>+IF($W424="","",ROUND(IF($B424&gt;Parámetros!$D$107,'Tablas Servicio'!BE424+('Tablas Servicio'!BG423-'Tablas Servicio'!BE423),BE424/(1-IF(B424&lt;=10,Parámetros!$D$100,0))),2))</f>
        <v>0</v>
      </c>
      <c r="BH424" s="66">
        <f t="shared" si="524"/>
        <v>0</v>
      </c>
      <c r="BI424" s="66">
        <f t="shared" si="525"/>
        <v>0</v>
      </c>
      <c r="BJ424" s="66">
        <f>+IF($W424="","",ROUND((BG424*Parámetros!$G$85),2))</f>
        <v>0</v>
      </c>
      <c r="BK424" s="66">
        <f>+IF($W424="","",ROUND((BG424*(Parámetros!$G$86)),2))</f>
        <v>0</v>
      </c>
      <c r="BL424" s="66">
        <f t="shared" si="526"/>
        <v>0</v>
      </c>
      <c r="BM424" t="str">
        <f t="shared" si="567"/>
        <v>00061</v>
      </c>
      <c r="BN424" t="str">
        <f t="shared" si="568"/>
        <v>Gastos de Entierro</v>
      </c>
      <c r="BO424" s="118">
        <f t="shared" si="569"/>
        <v>0</v>
      </c>
      <c r="BP424" s="118" t="str">
        <f t="shared" si="570"/>
        <v>A</v>
      </c>
      <c r="BQ424" s="119" t="str">
        <f>+IF(OR($W424="",BO424=0),"",ROUND((VLOOKUP(ROUNDDOWN($D424-1/frec,0),cob_adi,BB$40,FALSE)*(1+i/frec)^-0.5*(1+Parámetros!$D$103)*(1+rec_fracc)/frec),6))</f>
        <v/>
      </c>
      <c r="BR424" s="66">
        <f t="shared" si="527"/>
        <v>0</v>
      </c>
      <c r="BS424" s="119" t="str">
        <f t="shared" si="528"/>
        <v/>
      </c>
      <c r="BT424" s="66">
        <f>+IF($W424="","",ROUND(IF($B424&gt;Parámetros!$D$107,'Tablas Servicio'!BR424+('Tablas Servicio'!BT423-'Tablas Servicio'!BR423),BR424/(1-IF(B424&lt;=10,Parámetros!$D$100,0))),2))</f>
        <v>0</v>
      </c>
      <c r="BU424" s="66">
        <f t="shared" si="529"/>
        <v>0</v>
      </c>
      <c r="BV424" s="66">
        <f t="shared" si="529"/>
        <v>0</v>
      </c>
      <c r="BW424" s="66">
        <f>+IF($W424="","",ROUND((BT424*Parámetros!$G$85),2))</f>
        <v>0</v>
      </c>
      <c r="BX424" s="66">
        <f>+IF($W424="","",ROUND((BT424*(Parámetros!$G$86)),2))</f>
        <v>0</v>
      </c>
      <c r="BY424" s="66">
        <f t="shared" si="530"/>
        <v>0</v>
      </c>
      <c r="BZ424" t="str">
        <f t="shared" si="571"/>
        <v>00062</v>
      </c>
      <c r="CA424" t="str">
        <f t="shared" si="572"/>
        <v>Gastos médicos por accidente</v>
      </c>
      <c r="CB424" s="118">
        <f t="shared" si="573"/>
        <v>0</v>
      </c>
      <c r="CC424" s="118" t="str">
        <f t="shared" si="574"/>
        <v>A</v>
      </c>
      <c r="CD424" s="119" t="str">
        <f t="shared" si="531"/>
        <v/>
      </c>
      <c r="CE424" s="66">
        <f>+IF($W424="","",ROUND((VLOOKUP(ROUNDDOWN($D424-1/frec,0),cob_adi,BO$40,FALSE)*(1+i/frec)^-0.5*(1+Parámetros!$D$103)*(1+rec_fracc)/frec*'TABLAS ADI'!$BC$17),2))</f>
        <v>0</v>
      </c>
      <c r="CF424" s="119" t="str">
        <f t="shared" si="532"/>
        <v/>
      </c>
      <c r="CG424" s="66">
        <f>+IF($W424="","",ROUND(IF($B424&gt;Parámetros!$D$107,'Tablas Servicio'!CE424+('Tablas Servicio'!CG423-'Tablas Servicio'!CE423),CE424/(1-IF(B424&lt;=10,Parámetros!$D$100,0))),2))</f>
        <v>0</v>
      </c>
      <c r="CH424" s="66">
        <f t="shared" si="533"/>
        <v>0</v>
      </c>
      <c r="CI424" s="66">
        <f t="shared" si="533"/>
        <v>0</v>
      </c>
      <c r="CJ424" s="66">
        <f>+IF($W424="","",ROUND((CG424*Parámetros!$G$85),2))</f>
        <v>0</v>
      </c>
      <c r="CK424" s="66">
        <f>+IF($W424="","",ROUND((CG424*(Parámetros!$G$86)),2))</f>
        <v>0</v>
      </c>
      <c r="CL424" s="66">
        <f t="shared" si="534"/>
        <v>0</v>
      </c>
      <c r="CM424" t="str">
        <f t="shared" si="575"/>
        <v>00063</v>
      </c>
      <c r="CN424" s="118" t="str">
        <f t="shared" si="576"/>
        <v>Renta Diaria por Hospitalización</v>
      </c>
      <c r="CO424" s="118">
        <f t="shared" si="577"/>
        <v>0</v>
      </c>
      <c r="CP424" s="118" t="str">
        <f t="shared" si="578"/>
        <v>A</v>
      </c>
      <c r="CQ424" s="119" t="str">
        <f t="shared" si="535"/>
        <v/>
      </c>
      <c r="CR424" s="66">
        <f>+IF($W424="","",ROUND((VLOOKUP(Parámetros!$F$51,'COBERTURAS ADICIONALES'!$S$4:$T$32,2,FALSE)*(1+i/frec)^-0.5*(1+Parámetros!$D$103)*(1+rec_fracc)/frec*$CO$42),2))</f>
        <v>0</v>
      </c>
      <c r="CS424" s="119" t="str">
        <f t="shared" si="536"/>
        <v/>
      </c>
      <c r="CT424" s="66">
        <f>+IF($W424="","",ROUND(IF($B424&gt;Parámetros!$D$107,'Tablas Servicio'!CR424+('Tablas Servicio'!CT423-'Tablas Servicio'!CR423),CR424/(1-IF(B424&lt;=10,Parámetros!$D$100,0))),2))</f>
        <v>0</v>
      </c>
      <c r="CU424" s="66">
        <f t="shared" si="537"/>
        <v>0</v>
      </c>
      <c r="CV424" s="66">
        <f t="shared" si="537"/>
        <v>0</v>
      </c>
      <c r="CW424" s="66">
        <f>+IF($W424="","",ROUND((CT424*Parámetros!$G$85),2))</f>
        <v>0</v>
      </c>
      <c r="CX424" s="66">
        <f>+IF($W424="","",ROUND((CT424*(Parámetros!$G$86)),2))</f>
        <v>0</v>
      </c>
      <c r="CY424" s="66">
        <f t="shared" si="538"/>
        <v>0</v>
      </c>
      <c r="CZ424" t="str">
        <f t="shared" si="579"/>
        <v>00064</v>
      </c>
      <c r="DA424" s="118" t="str">
        <f t="shared" si="580"/>
        <v>Enfermedades Graves</v>
      </c>
      <c r="DB424" s="118">
        <f t="shared" si="581"/>
        <v>0</v>
      </c>
      <c r="DC424" s="118" t="str">
        <f t="shared" si="582"/>
        <v>A</v>
      </c>
      <c r="DD424" s="121" t="str">
        <f>+IF(OR($W424="",DB424=0),"",ROUND((VLOOKUP(ROUNDDOWN($D424-1/frec,0),cob_adi,CO$40,FALSE)*(1+i/frec)^-0.5*(1+Parámetros!$D$103)*(1+rec_fracc)/frec),6))</f>
        <v/>
      </c>
      <c r="DE424" s="66">
        <f t="shared" si="539"/>
        <v>0</v>
      </c>
      <c r="DF424" s="119" t="str">
        <f t="shared" si="540"/>
        <v/>
      </c>
      <c r="DG424" s="66">
        <f>+IF($W424="","",ROUND(IF($B424&gt;Parámetros!$D$107,'Tablas Servicio'!DE424+('Tablas Servicio'!DG423-'Tablas Servicio'!DE423),DE424/(1-IF(B424&lt;=10,Parámetros!$D$100,0))),2))</f>
        <v>0</v>
      </c>
      <c r="DH424" s="66">
        <f t="shared" si="541"/>
        <v>0</v>
      </c>
      <c r="DI424" s="66">
        <f t="shared" si="541"/>
        <v>0</v>
      </c>
      <c r="DJ424" s="66">
        <f>+IF($W424="","",ROUND((DG424*Parámetros!$G$85),2))</f>
        <v>0</v>
      </c>
      <c r="DK424" s="66">
        <f>+IF($W424="","",ROUND((DG424*(Parámetros!$G$86)),2))</f>
        <v>0</v>
      </c>
      <c r="DL424" s="66">
        <f t="shared" si="542"/>
        <v>0</v>
      </c>
      <c r="DM424" t="str">
        <f t="shared" si="583"/>
        <v>00065</v>
      </c>
      <c r="DN424" s="118" t="str">
        <f t="shared" si="584"/>
        <v>Exención pago de primas</v>
      </c>
      <c r="DO424" s="118">
        <f t="shared" si="585"/>
        <v>0</v>
      </c>
      <c r="DP424" s="118" t="str">
        <f t="shared" si="586"/>
        <v>A</v>
      </c>
      <c r="DQ424" s="122" t="str">
        <f>+IF(OR($W424="",DO424=0),"",ROUND((VLOOKUP(ROUNDDOWN($D424-1/frec,0),cob_adi,DB$40,FALSE)*(1+i/frec)^-0.5*(1+Parámetros!$D$103)*(1+rec_fracc)/frec),6))</f>
        <v/>
      </c>
      <c r="DR424" s="66">
        <f t="shared" si="543"/>
        <v>0</v>
      </c>
      <c r="DS424" s="68" t="str">
        <f t="shared" si="544"/>
        <v/>
      </c>
      <c r="DT424" s="66">
        <f>+IF($W424="","",ROUND(IF($B424&gt;Parámetros!$D$107,'Tablas Servicio'!DR424+('Tablas Servicio'!DT423-'Tablas Servicio'!DR423),DR424/(1-IF(B424&lt;=10,Parámetros!$D$100,0))),2))</f>
        <v>0</v>
      </c>
      <c r="DU424" s="66">
        <f t="shared" si="545"/>
        <v>0</v>
      </c>
      <c r="DV424" s="66">
        <f t="shared" si="545"/>
        <v>0</v>
      </c>
      <c r="DW424" s="66">
        <f>+IF($W424="","",ROUND((DT424*Parámetros!$G$85),2))</f>
        <v>0</v>
      </c>
      <c r="DX424" s="66">
        <f>+IF($W424="","",ROUND((DT424*(Parámetros!$G$86)),2))</f>
        <v>0</v>
      </c>
      <c r="DY424" s="66">
        <f t="shared" si="546"/>
        <v>0</v>
      </c>
      <c r="DZ424" t="str">
        <f t="shared" si="589"/>
        <v>00066</v>
      </c>
      <c r="EA424" s="118" t="str">
        <f t="shared" si="589"/>
        <v>Enfermedad terminal</v>
      </c>
      <c r="EB424" s="118">
        <f>+IF($W424="","",ROUND(IF(Parámetros!$D$25='TABLAS MORT'!$V$33,EB423,Z424/2),0))</f>
        <v>50000</v>
      </c>
      <c r="EC424" s="118" t="str">
        <f t="shared" si="589"/>
        <v>A</v>
      </c>
      <c r="ED424" s="122">
        <f>+IF(OR($W424="",EB424=0),"",ROUND((VLOOKUP(ROUNDDOWN($D424-1/frec,0),cob_adi,DO$40,FALSE)*(1+i/frec)^-0.5*(1+Parámetros!$D$103)*(1+rec_fracc)/frec),6))</f>
        <v>6.4999999999999994E-5</v>
      </c>
      <c r="EE424" s="66">
        <f t="shared" si="548"/>
        <v>3.25</v>
      </c>
      <c r="EF424" s="68">
        <f t="shared" si="549"/>
        <v>6.4999999999999994E-5</v>
      </c>
      <c r="EG424" s="66">
        <f>+IF($W424="","",ROUND(IF($B424&gt;Parámetros!$D$107,'Tablas Servicio'!EE424+('Tablas Servicio'!EG423-'Tablas Servicio'!EE423),EE424/(1-IF(B424&lt;=10,Parámetros!$D$100,0))),2))</f>
        <v>3.25</v>
      </c>
      <c r="EH424" s="66">
        <f t="shared" si="550"/>
        <v>0</v>
      </c>
      <c r="EI424" s="66">
        <f t="shared" si="550"/>
        <v>0</v>
      </c>
      <c r="EJ424" s="66">
        <f>+IF($W424="","",ROUND((EG424*Parámetros!$G$85),2))</f>
        <v>0.11</v>
      </c>
      <c r="EK424" s="66">
        <f>+IF($W424="","",ROUND((EG424*(Parámetros!$G$86)),2))</f>
        <v>0.02</v>
      </c>
      <c r="EL424" s="66">
        <f t="shared" si="551"/>
        <v>3.38</v>
      </c>
    </row>
    <row r="425" spans="1:142" x14ac:dyDescent="0.25">
      <c r="A425">
        <f>+IF($C425="","",ROUND(VLOOKUP('Tablas Servicio'!B425,Parámetros!$H$100:$J$159,IF(Parámetros!$E$16="F",2,3),FALSE),2))</f>
        <v>150</v>
      </c>
      <c r="B425">
        <f t="shared" si="502"/>
        <v>32</v>
      </c>
      <c r="C425" s="57">
        <f>+IF(D425="","",'Tablas Servicio'!C424+1)</f>
        <v>384</v>
      </c>
      <c r="D425" s="56">
        <f>+IF(D424&lt;edadmaxtabla,D424+1/Parámetros!$E$25,"")</f>
        <v>72.020000000000223</v>
      </c>
      <c r="E425" s="57">
        <f t="shared" si="512"/>
        <v>72</v>
      </c>
      <c r="F425" s="59">
        <f t="shared" si="513"/>
        <v>100000</v>
      </c>
      <c r="G425" s="66">
        <f t="shared" si="503"/>
        <v>139.65</v>
      </c>
      <c r="H425" s="66">
        <f t="shared" si="504"/>
        <v>145.22999999999999</v>
      </c>
      <c r="I425" s="66">
        <f t="shared" si="552"/>
        <v>-51.22999999999999</v>
      </c>
      <c r="J425" s="66">
        <f t="shared" si="505"/>
        <v>4.88</v>
      </c>
      <c r="K425" s="66">
        <f t="shared" si="506"/>
        <v>0.70000000000000007</v>
      </c>
      <c r="L425" s="66">
        <f t="shared" si="507"/>
        <v>0</v>
      </c>
      <c r="M425" s="66">
        <f t="shared" si="508"/>
        <v>0</v>
      </c>
      <c r="N425" s="66">
        <f>+IF(C425="","",ROUND(Parámetros!$D$23,2))</f>
        <v>94</v>
      </c>
      <c r="O425" s="66">
        <f t="shared" si="509"/>
        <v>127.15</v>
      </c>
      <c r="P425" s="66">
        <f>+IF($C425="","",ROUND(IF(B425&gt;Parámetros!$D$117,0,N425*Parámetros!$D$116-G425*Parámetros!$D$100),2))</f>
        <v>0</v>
      </c>
      <c r="Q425" s="75">
        <f t="shared" si="553"/>
        <v>3.4944504117436444E-2</v>
      </c>
      <c r="R425" s="75">
        <f t="shared" si="554"/>
        <v>5.0125313283208026E-3</v>
      </c>
      <c r="S425" s="117">
        <f>+IF($C425="","",ROUND((S424+I425)*(1+Parámetros!$D$91),2))</f>
        <v>26731.24</v>
      </c>
      <c r="T425" s="117">
        <f>+IF($C425="","",ROUND(S425*VLOOKUP(B425,Parámetros!$C$30:$D$39,2,TRUE),2))</f>
        <v>26731.24</v>
      </c>
      <c r="U425" s="117">
        <f>+IF($C425="","",ROUND((U424+I425)*(1+Parámetros!$D$92),2))</f>
        <v>30092.17</v>
      </c>
      <c r="V425" s="117">
        <f>+IF($C425="","",ROUND(U425*VLOOKUP(B425,Parámetros!$C$30:$D$39,2,TRUE),2))</f>
        <v>30092.17</v>
      </c>
      <c r="W425" s="57">
        <f t="shared" si="555"/>
        <v>384</v>
      </c>
      <c r="X425" t="str">
        <f t="shared" si="556"/>
        <v>00058</v>
      </c>
      <c r="Y425" t="str">
        <f t="shared" si="557"/>
        <v>MUERTE POR CUALQUIER CAUSA</v>
      </c>
      <c r="Z425" s="118">
        <f>+IF($W425="","",ROUND(IF(Parámetros!$D$25='TABLAS MORT'!$V$33,Z424,Parámetros!$D$21-'Tablas Servicio'!T424),0))</f>
        <v>100000</v>
      </c>
      <c r="AA425" s="118" t="str">
        <f t="shared" si="558"/>
        <v>P</v>
      </c>
      <c r="AB425" s="119">
        <f>+IF(W425="","",ROUND((VLOOKUP(ROUNDDOWN($D425-1/frec,0),qx_tabla,2,FALSE)*(1+i/frec)^-0.5*(1+Parámetros!$D$103)*(1+rec_fracc)/frec),6))</f>
        <v>1.2390000000000001E-3</v>
      </c>
      <c r="AC425" s="66">
        <f t="shared" si="514"/>
        <v>123.9</v>
      </c>
      <c r="AD425" s="119">
        <f t="shared" si="510"/>
        <v>1.364E-3</v>
      </c>
      <c r="AE425" s="66">
        <f>+IF($W425="","",ROUND(IF($B425&gt;Parámetros!$D$107,'Tablas Servicio'!AC425+('Tablas Servicio'!AG424-'Tablas Servicio'!AC424),AC425/(1-IF(B425&lt;=10,Parámetros!$D$104,Parámetros!$D$105))),2))</f>
        <v>206.5</v>
      </c>
      <c r="AF425" s="66">
        <f>+IF($W425="","",ROUND(IF($B425&gt;Parámetros!$D$107,'Tablas Servicio'!AC425+('Tablas Servicio'!AG424-'Tablas Servicio'!AC424),(AC425+$A424/frec)/(1-IF(B425&lt;=Parámetros!$D$117,Parámetros!$D$100,0))),2))</f>
        <v>136.4</v>
      </c>
      <c r="AG425" s="66">
        <f t="shared" si="515"/>
        <v>136.4</v>
      </c>
      <c r="AH425" s="66">
        <f t="shared" si="516"/>
        <v>0</v>
      </c>
      <c r="AI425" s="66">
        <f t="shared" si="517"/>
        <v>0</v>
      </c>
      <c r="AJ425" s="66">
        <f>+IF($W425="","",ROUND((AG425*Parámetros!$G$85),2))</f>
        <v>4.7699999999999996</v>
      </c>
      <c r="AK425" s="66">
        <f>+IF($W425="","",ROUND((AG425*(Parámetros!$G$86)),2))</f>
        <v>0.68</v>
      </c>
      <c r="AL425" s="66">
        <f t="shared" si="511"/>
        <v>141.85</v>
      </c>
      <c r="AM425" t="str">
        <f t="shared" si="559"/>
        <v>00059</v>
      </c>
      <c r="AN425" t="str">
        <f t="shared" si="560"/>
        <v>Incapacidad Total y Permanente</v>
      </c>
      <c r="AO425" s="118">
        <f t="shared" si="561"/>
        <v>0</v>
      </c>
      <c r="AP425" s="118" t="str">
        <f t="shared" si="562"/>
        <v>A</v>
      </c>
      <c r="AQ425" s="119" t="str">
        <f>+IF(OR($W425="",AO425=0),"",ROUND((VLOOKUP(ROUNDDOWN($D425-1/frec,0),cob_adi,Z$40,FALSE)*(1+i/frec)^-0.5*(1+Parámetros!$D$103)*(1+rec_fracc)/frec),6))</f>
        <v/>
      </c>
      <c r="AR425" s="66">
        <f t="shared" si="518"/>
        <v>0</v>
      </c>
      <c r="AS425" s="119" t="str">
        <f t="shared" si="519"/>
        <v/>
      </c>
      <c r="AT425" s="66">
        <f>+IF($W425="","",ROUND(IF($B425&gt;Parámetros!$D$107,'Tablas Servicio'!AR425+('Tablas Servicio'!AT424-'Tablas Servicio'!AR424),AR425/(1-IF(B425&lt;=10,Parámetros!$D$100,0))),2))</f>
        <v>0</v>
      </c>
      <c r="AU425" s="66">
        <f t="shared" si="520"/>
        <v>0</v>
      </c>
      <c r="AV425" s="66">
        <f t="shared" si="520"/>
        <v>0</v>
      </c>
      <c r="AW425" s="66">
        <f>+IF($W425="","",ROUND((AT425*Parámetros!$G$85),2))</f>
        <v>0</v>
      </c>
      <c r="AX425" s="66">
        <f>+IF($W425="","",ROUND((AT425*(Parámetros!$G$86)),2))</f>
        <v>0</v>
      </c>
      <c r="AY425" s="66">
        <f t="shared" si="521"/>
        <v>0</v>
      </c>
      <c r="AZ425" t="str">
        <f t="shared" si="563"/>
        <v>00060</v>
      </c>
      <c r="BA425" t="str">
        <f t="shared" si="564"/>
        <v>Muerte Accidental</v>
      </c>
      <c r="BB425" s="118">
        <f t="shared" si="565"/>
        <v>0</v>
      </c>
      <c r="BC425" s="118" t="str">
        <f t="shared" si="566"/>
        <v>A</v>
      </c>
      <c r="BD425" s="119" t="str">
        <f>+IF(OR($W425="",BB425=0),"",ROUND((VLOOKUP(ROUNDDOWN($D425-1/frec,0),cob_adi,AO$40,FALSE)*(1+i/frec)^-0.5*(1+Parámetros!$D$103)*(1+rec_fracc)/frec),6))</f>
        <v/>
      </c>
      <c r="BE425" s="66">
        <f t="shared" si="522"/>
        <v>0</v>
      </c>
      <c r="BF425" s="119" t="str">
        <f t="shared" si="523"/>
        <v/>
      </c>
      <c r="BG425" s="66">
        <f>+IF($W425="","",ROUND(IF($B425&gt;Parámetros!$D$107,'Tablas Servicio'!BE425+('Tablas Servicio'!BG424-'Tablas Servicio'!BE424),BE425/(1-IF(B425&lt;=10,Parámetros!$D$100,0))),2))</f>
        <v>0</v>
      </c>
      <c r="BH425" s="66">
        <f t="shared" si="524"/>
        <v>0</v>
      </c>
      <c r="BI425" s="66">
        <f t="shared" si="525"/>
        <v>0</v>
      </c>
      <c r="BJ425" s="66">
        <f>+IF($W425="","",ROUND((BG425*Parámetros!$G$85),2))</f>
        <v>0</v>
      </c>
      <c r="BK425" s="66">
        <f>+IF($W425="","",ROUND((BG425*(Parámetros!$G$86)),2))</f>
        <v>0</v>
      </c>
      <c r="BL425" s="66">
        <f t="shared" si="526"/>
        <v>0</v>
      </c>
      <c r="BM425" t="str">
        <f t="shared" si="567"/>
        <v>00061</v>
      </c>
      <c r="BN425" t="str">
        <f t="shared" si="568"/>
        <v>Gastos de Entierro</v>
      </c>
      <c r="BO425" s="118">
        <f t="shared" si="569"/>
        <v>0</v>
      </c>
      <c r="BP425" s="118" t="str">
        <f t="shared" si="570"/>
        <v>A</v>
      </c>
      <c r="BQ425" s="119" t="str">
        <f>+IF(OR($W425="",BO425=0),"",ROUND((VLOOKUP(ROUNDDOWN($D425-1/frec,0),cob_adi,BB$40,FALSE)*(1+i/frec)^-0.5*(1+Parámetros!$D$103)*(1+rec_fracc)/frec),6))</f>
        <v/>
      </c>
      <c r="BR425" s="66">
        <f t="shared" si="527"/>
        <v>0</v>
      </c>
      <c r="BS425" s="119" t="str">
        <f t="shared" si="528"/>
        <v/>
      </c>
      <c r="BT425" s="66">
        <f>+IF($W425="","",ROUND(IF($B425&gt;Parámetros!$D$107,'Tablas Servicio'!BR425+('Tablas Servicio'!BT424-'Tablas Servicio'!BR424),BR425/(1-IF(B425&lt;=10,Parámetros!$D$100,0))),2))</f>
        <v>0</v>
      </c>
      <c r="BU425" s="66">
        <f t="shared" si="529"/>
        <v>0</v>
      </c>
      <c r="BV425" s="66">
        <f t="shared" si="529"/>
        <v>0</v>
      </c>
      <c r="BW425" s="66">
        <f>+IF($W425="","",ROUND((BT425*Parámetros!$G$85),2))</f>
        <v>0</v>
      </c>
      <c r="BX425" s="66">
        <f>+IF($W425="","",ROUND((BT425*(Parámetros!$G$86)),2))</f>
        <v>0</v>
      </c>
      <c r="BY425" s="66">
        <f t="shared" si="530"/>
        <v>0</v>
      </c>
      <c r="BZ425" t="str">
        <f t="shared" si="571"/>
        <v>00062</v>
      </c>
      <c r="CA425" t="str">
        <f t="shared" si="572"/>
        <v>Gastos médicos por accidente</v>
      </c>
      <c r="CB425" s="118">
        <f t="shared" si="573"/>
        <v>0</v>
      </c>
      <c r="CC425" s="118" t="str">
        <f t="shared" si="574"/>
        <v>A</v>
      </c>
      <c r="CD425" s="119" t="str">
        <f t="shared" si="531"/>
        <v/>
      </c>
      <c r="CE425" s="66">
        <f>+IF($W425="","",ROUND((VLOOKUP(ROUNDDOWN($D425-1/frec,0),cob_adi,BO$40,FALSE)*(1+i/frec)^-0.5*(1+Parámetros!$D$103)*(1+rec_fracc)/frec*'TABLAS ADI'!$BC$17),2))</f>
        <v>0</v>
      </c>
      <c r="CF425" s="119" t="str">
        <f t="shared" si="532"/>
        <v/>
      </c>
      <c r="CG425" s="66">
        <f>+IF($W425="","",ROUND(IF($B425&gt;Parámetros!$D$107,'Tablas Servicio'!CE425+('Tablas Servicio'!CG424-'Tablas Servicio'!CE424),CE425/(1-IF(B425&lt;=10,Parámetros!$D$100,0))),2))</f>
        <v>0</v>
      </c>
      <c r="CH425" s="66">
        <f t="shared" si="533"/>
        <v>0</v>
      </c>
      <c r="CI425" s="66">
        <f t="shared" si="533"/>
        <v>0</v>
      </c>
      <c r="CJ425" s="66">
        <f>+IF($W425="","",ROUND((CG425*Parámetros!$G$85),2))</f>
        <v>0</v>
      </c>
      <c r="CK425" s="66">
        <f>+IF($W425="","",ROUND((CG425*(Parámetros!$G$86)),2))</f>
        <v>0</v>
      </c>
      <c r="CL425" s="66">
        <f t="shared" si="534"/>
        <v>0</v>
      </c>
      <c r="CM425" t="str">
        <f t="shared" si="575"/>
        <v>00063</v>
      </c>
      <c r="CN425" s="118" t="str">
        <f t="shared" si="576"/>
        <v>Renta Diaria por Hospitalización</v>
      </c>
      <c r="CO425" s="118">
        <f t="shared" si="577"/>
        <v>0</v>
      </c>
      <c r="CP425" s="118" t="str">
        <f t="shared" si="578"/>
        <v>A</v>
      </c>
      <c r="CQ425" s="119" t="str">
        <f t="shared" si="535"/>
        <v/>
      </c>
      <c r="CR425" s="66">
        <f>+IF($W425="","",ROUND((VLOOKUP(Parámetros!$F$51,'COBERTURAS ADICIONALES'!$S$4:$T$32,2,FALSE)*(1+i/frec)^-0.5*(1+Parámetros!$D$103)*(1+rec_fracc)/frec*$CO$42),2))</f>
        <v>0</v>
      </c>
      <c r="CS425" s="119" t="str">
        <f t="shared" si="536"/>
        <v/>
      </c>
      <c r="CT425" s="66">
        <f>+IF($W425="","",ROUND(IF($B425&gt;Parámetros!$D$107,'Tablas Servicio'!CR425+('Tablas Servicio'!CT424-'Tablas Servicio'!CR424),CR425/(1-IF(B425&lt;=10,Parámetros!$D$100,0))),2))</f>
        <v>0</v>
      </c>
      <c r="CU425" s="66">
        <f t="shared" si="537"/>
        <v>0</v>
      </c>
      <c r="CV425" s="66">
        <f t="shared" si="537"/>
        <v>0</v>
      </c>
      <c r="CW425" s="66">
        <f>+IF($W425="","",ROUND((CT425*Parámetros!$G$85),2))</f>
        <v>0</v>
      </c>
      <c r="CX425" s="66">
        <f>+IF($W425="","",ROUND((CT425*(Parámetros!$G$86)),2))</f>
        <v>0</v>
      </c>
      <c r="CY425" s="66">
        <f t="shared" si="538"/>
        <v>0</v>
      </c>
      <c r="CZ425" t="str">
        <f t="shared" si="579"/>
        <v>00064</v>
      </c>
      <c r="DA425" s="118" t="str">
        <f t="shared" si="580"/>
        <v>Enfermedades Graves</v>
      </c>
      <c r="DB425" s="118">
        <f t="shared" si="581"/>
        <v>0</v>
      </c>
      <c r="DC425" s="118" t="str">
        <f t="shared" si="582"/>
        <v>A</v>
      </c>
      <c r="DD425" s="121" t="str">
        <f>+IF(OR($W425="",DB425=0),"",ROUND((VLOOKUP(ROUNDDOWN($D425-1/frec,0),cob_adi,CO$40,FALSE)*(1+i/frec)^-0.5*(1+Parámetros!$D$103)*(1+rec_fracc)/frec),6))</f>
        <v/>
      </c>
      <c r="DE425" s="66">
        <f t="shared" si="539"/>
        <v>0</v>
      </c>
      <c r="DF425" s="119" t="str">
        <f t="shared" si="540"/>
        <v/>
      </c>
      <c r="DG425" s="66">
        <f>+IF($W425="","",ROUND(IF($B425&gt;Parámetros!$D$107,'Tablas Servicio'!DE425+('Tablas Servicio'!DG424-'Tablas Servicio'!DE424),DE425/(1-IF(B425&lt;=10,Parámetros!$D$100,0))),2))</f>
        <v>0</v>
      </c>
      <c r="DH425" s="66">
        <f t="shared" si="541"/>
        <v>0</v>
      </c>
      <c r="DI425" s="66">
        <f t="shared" si="541"/>
        <v>0</v>
      </c>
      <c r="DJ425" s="66">
        <f>+IF($W425="","",ROUND((DG425*Parámetros!$G$85),2))</f>
        <v>0</v>
      </c>
      <c r="DK425" s="66">
        <f>+IF($W425="","",ROUND((DG425*(Parámetros!$G$86)),2))</f>
        <v>0</v>
      </c>
      <c r="DL425" s="66">
        <f t="shared" si="542"/>
        <v>0</v>
      </c>
      <c r="DM425" t="str">
        <f t="shared" si="583"/>
        <v>00065</v>
      </c>
      <c r="DN425" s="118" t="str">
        <f t="shared" si="584"/>
        <v>Exención pago de primas</v>
      </c>
      <c r="DO425" s="118">
        <f t="shared" si="585"/>
        <v>0</v>
      </c>
      <c r="DP425" s="118" t="str">
        <f t="shared" si="586"/>
        <v>A</v>
      </c>
      <c r="DQ425" s="122" t="str">
        <f>+IF(OR($W425="",DO425=0),"",ROUND((VLOOKUP(ROUNDDOWN($D425-1/frec,0),cob_adi,DB$40,FALSE)*(1+i/frec)^-0.5*(1+Parámetros!$D$103)*(1+rec_fracc)/frec),6))</f>
        <v/>
      </c>
      <c r="DR425" s="66">
        <f t="shared" si="543"/>
        <v>0</v>
      </c>
      <c r="DS425" s="68" t="str">
        <f t="shared" si="544"/>
        <v/>
      </c>
      <c r="DT425" s="66">
        <f>+IF($W425="","",ROUND(IF($B425&gt;Parámetros!$D$107,'Tablas Servicio'!DR425+('Tablas Servicio'!DT424-'Tablas Servicio'!DR424),DR425/(1-IF(B425&lt;=10,Parámetros!$D$100,0))),2))</f>
        <v>0</v>
      </c>
      <c r="DU425" s="66">
        <f t="shared" si="545"/>
        <v>0</v>
      </c>
      <c r="DV425" s="66">
        <f t="shared" si="545"/>
        <v>0</v>
      </c>
      <c r="DW425" s="66">
        <f>+IF($W425="","",ROUND((DT425*Parámetros!$G$85),2))</f>
        <v>0</v>
      </c>
      <c r="DX425" s="66">
        <f>+IF($W425="","",ROUND((DT425*(Parámetros!$G$86)),2))</f>
        <v>0</v>
      </c>
      <c r="DY425" s="66">
        <f t="shared" si="546"/>
        <v>0</v>
      </c>
      <c r="DZ425" t="str">
        <f t="shared" si="589"/>
        <v>00066</v>
      </c>
      <c r="EA425" s="118" t="str">
        <f t="shared" si="589"/>
        <v>Enfermedad terminal</v>
      </c>
      <c r="EB425" s="118">
        <f>+IF($W425="","",ROUND(IF(Parámetros!$D$25='TABLAS MORT'!$V$33,EB424,Z425/2),0))</f>
        <v>50000</v>
      </c>
      <c r="EC425" s="118" t="str">
        <f t="shared" si="589"/>
        <v>A</v>
      </c>
      <c r="ED425" s="122">
        <f>+IF(OR($W425="",EB425=0),"",ROUND((VLOOKUP(ROUNDDOWN($D425-1/frec,0),cob_adi,DO$40,FALSE)*(1+i/frec)^-0.5*(1+Parámetros!$D$103)*(1+rec_fracc)/frec),6))</f>
        <v>6.4999999999999994E-5</v>
      </c>
      <c r="EE425" s="66">
        <f t="shared" si="548"/>
        <v>3.25</v>
      </c>
      <c r="EF425" s="68">
        <f t="shared" si="549"/>
        <v>6.4999999999999994E-5</v>
      </c>
      <c r="EG425" s="66">
        <f>+IF($W425="","",ROUND(IF($B425&gt;Parámetros!$D$107,'Tablas Servicio'!EE425+('Tablas Servicio'!EG424-'Tablas Servicio'!EE424),EE425/(1-IF(B425&lt;=10,Parámetros!$D$100,0))),2))</f>
        <v>3.25</v>
      </c>
      <c r="EH425" s="66">
        <f t="shared" si="550"/>
        <v>0</v>
      </c>
      <c r="EI425" s="66">
        <f t="shared" si="550"/>
        <v>0</v>
      </c>
      <c r="EJ425" s="66">
        <f>+IF($W425="","",ROUND((EG425*Parámetros!$G$85),2))</f>
        <v>0.11</v>
      </c>
      <c r="EK425" s="66">
        <f>+IF($W425="","",ROUND((EG425*(Parámetros!$G$86)),2))</f>
        <v>0.02</v>
      </c>
      <c r="EL425" s="66">
        <f t="shared" si="551"/>
        <v>3.38</v>
      </c>
    </row>
    <row r="426" spans="1:142" x14ac:dyDescent="0.25">
      <c r="A426">
        <f>+IF($C426="","",ROUND(VLOOKUP('Tablas Servicio'!B426,Parámetros!$H$100:$J$159,IF(Parámetros!$E$16="F",2,3),FALSE),2))</f>
        <v>150</v>
      </c>
      <c r="B426">
        <f t="shared" ref="B426:B489" si="590">+IF(D426="","",ROUNDUP(C426/frec,0))</f>
        <v>33</v>
      </c>
      <c r="C426" s="57">
        <f>+IF(D426="","",'Tablas Servicio'!C425+1)</f>
        <v>385</v>
      </c>
      <c r="D426" s="56">
        <f>+IF(D425&lt;edadmaxtabla,D425+1/Parámetros!$E$25,"")</f>
        <v>72.103333333333552</v>
      </c>
      <c r="E426" s="57">
        <f t="shared" si="512"/>
        <v>72</v>
      </c>
      <c r="F426" s="59">
        <f t="shared" si="513"/>
        <v>100000</v>
      </c>
      <c r="G426" s="66">
        <f t="shared" ref="G426:G489" si="591">+IF($C426="","",AG426+AT426+BG426+BT426+CG426+CT426+DG426+DT426+EG426)</f>
        <v>153.85</v>
      </c>
      <c r="H426" s="66">
        <f t="shared" ref="H426:H489" si="592">+IF($C426="","",AL426+AY426+BL426+BY426+CL426+CY426+DL426+DY426+EL426)</f>
        <v>160</v>
      </c>
      <c r="I426" s="66">
        <f t="shared" si="552"/>
        <v>-66</v>
      </c>
      <c r="J426" s="66">
        <f t="shared" ref="J426:J489" si="593">+IF($C426="","",AJ426+AW426+BJ426+BW426+CJ426+CW426+DJ426+DW426+EJ426)</f>
        <v>5.38</v>
      </c>
      <c r="K426" s="66">
        <f t="shared" ref="K426:K489" si="594">+IF($C426="","",AK426+AX426+BK426+BX426+CK426+CX426+DK426+DX426+EK426)</f>
        <v>0.77</v>
      </c>
      <c r="L426" s="66">
        <f t="shared" ref="L426:L489" si="595">+IF($C426="","",AH426+AU426+BH426+BU426+CH426+CU426+DH426+DU426+EH426)</f>
        <v>0</v>
      </c>
      <c r="M426" s="66">
        <f t="shared" ref="M426:M489" si="596">+IF($C426="","",AI426+AV426+BI426+BV426+CI426+CV426+DI426+DV426+EI426)</f>
        <v>0</v>
      </c>
      <c r="N426" s="66">
        <f>+IF(C426="","",ROUND(Parámetros!$D$23,2))</f>
        <v>94</v>
      </c>
      <c r="O426" s="66">
        <f t="shared" ref="O426:O489" si="597">+IF($C426="","",AC426+AR426+BE426+BR426+CE426+CR426+DE426+DR426+EE426)</f>
        <v>141.35</v>
      </c>
      <c r="P426" s="66">
        <f>+IF($C426="","",ROUND(IF(B426&gt;Parámetros!$D$117,0,N426*Parámetros!$D$116-G426*Parámetros!$D$100),2))</f>
        <v>0</v>
      </c>
      <c r="Q426" s="75">
        <f t="shared" si="553"/>
        <v>3.4969125771855701E-2</v>
      </c>
      <c r="R426" s="75">
        <f t="shared" si="554"/>
        <v>5.0048748781280471E-3</v>
      </c>
      <c r="S426" s="117">
        <f>+IF($C426="","",ROUND((S425+I426)*(1+Parámetros!$D$91),2))</f>
        <v>26740.87</v>
      </c>
      <c r="T426" s="117">
        <f>+IF($C426="","",ROUND(S426*VLOOKUP(B426,Parámetros!$C$30:$D$39,2,TRUE),2))</f>
        <v>26740.87</v>
      </c>
      <c r="U426" s="117">
        <f>+IF($C426="","",ROUND((U425+I426)*(1+Parámetros!$D$92),2))</f>
        <v>30123.5</v>
      </c>
      <c r="V426" s="117">
        <f>+IF($C426="","",ROUND(U426*VLOOKUP(B426,Parámetros!$C$30:$D$39,2,TRUE),2))</f>
        <v>30123.5</v>
      </c>
      <c r="W426" s="57">
        <f t="shared" si="555"/>
        <v>385</v>
      </c>
      <c r="X426" t="str">
        <f t="shared" si="556"/>
        <v>00058</v>
      </c>
      <c r="Y426" t="str">
        <f t="shared" si="557"/>
        <v>MUERTE POR CUALQUIER CAUSA</v>
      </c>
      <c r="Z426" s="118">
        <f>+IF($W426="","",ROUND(IF(Parámetros!$D$25='TABLAS MORT'!$V$33,Z425,Parámetros!$D$21-'Tablas Servicio'!T425),0))</f>
        <v>100000</v>
      </c>
      <c r="AA426" s="118" t="str">
        <f t="shared" si="558"/>
        <v>P</v>
      </c>
      <c r="AB426" s="119">
        <f>+IF(W426="","",ROUND((VLOOKUP(ROUNDDOWN($D426-1/frec,0),qx_tabla,2,FALSE)*(1+i/frec)^-0.5*(1+Parámetros!$D$103)*(1+rec_fracc)/frec),6))</f>
        <v>1.3810000000000001E-3</v>
      </c>
      <c r="AC426" s="66">
        <f t="shared" si="514"/>
        <v>138.1</v>
      </c>
      <c r="AD426" s="119">
        <f t="shared" ref="AD426:AD489" si="598">+IF($W426="","",ROUND((AG426/Z426),6))</f>
        <v>1.506E-3</v>
      </c>
      <c r="AE426" s="66">
        <f>+IF($W426="","",ROUND(IF($B426&gt;Parámetros!$D$107,'Tablas Servicio'!AC426+('Tablas Servicio'!AG425-'Tablas Servicio'!AC425),AC426/(1-IF(B426&lt;=10,Parámetros!$D$104,Parámetros!$D$105))),2))</f>
        <v>230.17</v>
      </c>
      <c r="AF426" s="66">
        <f>+IF($W426="","",ROUND(IF($B426&gt;Parámetros!$D$107,'Tablas Servicio'!AC426+('Tablas Servicio'!AG425-'Tablas Servicio'!AC425),(AC426+$A425/frec)/(1-IF(B426&lt;=Parámetros!$D$117,Parámetros!$D$100,0))),2))</f>
        <v>150.6</v>
      </c>
      <c r="AG426" s="66">
        <f t="shared" si="515"/>
        <v>150.6</v>
      </c>
      <c r="AH426" s="66">
        <f t="shared" si="516"/>
        <v>0</v>
      </c>
      <c r="AI426" s="66">
        <f t="shared" si="517"/>
        <v>0</v>
      </c>
      <c r="AJ426" s="66">
        <f>+IF($W426="","",ROUND((AG426*Parámetros!$G$85),2))</f>
        <v>5.27</v>
      </c>
      <c r="AK426" s="66">
        <f>+IF($W426="","",ROUND((AG426*(Parámetros!$G$86)),2))</f>
        <v>0.75</v>
      </c>
      <c r="AL426" s="66">
        <f t="shared" ref="AL426:AL489" si="599">+IF($W426="","",ROUND((AG426+AJ426+AK426),2))</f>
        <v>156.62</v>
      </c>
      <c r="AM426" t="str">
        <f t="shared" si="559"/>
        <v>00059</v>
      </c>
      <c r="AN426" t="str">
        <f t="shared" si="560"/>
        <v>Incapacidad Total y Permanente</v>
      </c>
      <c r="AO426" s="118">
        <f t="shared" si="561"/>
        <v>0</v>
      </c>
      <c r="AP426" s="118" t="str">
        <f t="shared" si="562"/>
        <v>A</v>
      </c>
      <c r="AQ426" s="119" t="str">
        <f>+IF(OR($W426="",AO426=0),"",ROUND((VLOOKUP(ROUNDDOWN($D426-1/frec,0),cob_adi,Z$40,FALSE)*(1+i/frec)^-0.5*(1+Parámetros!$D$103)*(1+rec_fracc)/frec),6))</f>
        <v/>
      </c>
      <c r="AR426" s="66">
        <f t="shared" si="518"/>
        <v>0</v>
      </c>
      <c r="AS426" s="119" t="str">
        <f t="shared" si="519"/>
        <v/>
      </c>
      <c r="AT426" s="66">
        <f>+IF($W426="","",ROUND(IF($B426&gt;Parámetros!$D$107,'Tablas Servicio'!AR426+('Tablas Servicio'!AT425-'Tablas Servicio'!AR425),AR426/(1-IF(B426&lt;=10,Parámetros!$D$100,0))),2))</f>
        <v>0</v>
      </c>
      <c r="AU426" s="66">
        <f t="shared" si="520"/>
        <v>0</v>
      </c>
      <c r="AV426" s="66">
        <f t="shared" si="520"/>
        <v>0</v>
      </c>
      <c r="AW426" s="66">
        <f>+IF($W426="","",ROUND((AT426*Parámetros!$G$85),2))</f>
        <v>0</v>
      </c>
      <c r="AX426" s="66">
        <f>+IF($W426="","",ROUND((AT426*(Parámetros!$G$86)),2))</f>
        <v>0</v>
      </c>
      <c r="AY426" s="66">
        <f t="shared" si="521"/>
        <v>0</v>
      </c>
      <c r="AZ426" t="str">
        <f t="shared" si="563"/>
        <v>00060</v>
      </c>
      <c r="BA426" t="str">
        <f t="shared" si="564"/>
        <v>Muerte Accidental</v>
      </c>
      <c r="BB426" s="118">
        <f t="shared" si="565"/>
        <v>0</v>
      </c>
      <c r="BC426" s="118" t="str">
        <f t="shared" si="566"/>
        <v>A</v>
      </c>
      <c r="BD426" s="119" t="str">
        <f>+IF(OR($W426="",BB426=0),"",ROUND((VLOOKUP(ROUNDDOWN($D426-1/frec,0),cob_adi,AO$40,FALSE)*(1+i/frec)^-0.5*(1+Parámetros!$D$103)*(1+rec_fracc)/frec),6))</f>
        <v/>
      </c>
      <c r="BE426" s="66">
        <f t="shared" si="522"/>
        <v>0</v>
      </c>
      <c r="BF426" s="119" t="str">
        <f t="shared" si="523"/>
        <v/>
      </c>
      <c r="BG426" s="66">
        <f>+IF($W426="","",ROUND(IF($B426&gt;Parámetros!$D$107,'Tablas Servicio'!BE426+('Tablas Servicio'!BG425-'Tablas Servicio'!BE425),BE426/(1-IF(B426&lt;=10,Parámetros!$D$100,0))),2))</f>
        <v>0</v>
      </c>
      <c r="BH426" s="66">
        <f t="shared" si="524"/>
        <v>0</v>
      </c>
      <c r="BI426" s="66">
        <f t="shared" si="525"/>
        <v>0</v>
      </c>
      <c r="BJ426" s="66">
        <f>+IF($W426="","",ROUND((BG426*Parámetros!$G$85),2))</f>
        <v>0</v>
      </c>
      <c r="BK426" s="66">
        <f>+IF($W426="","",ROUND((BG426*(Parámetros!$G$86)),2))</f>
        <v>0</v>
      </c>
      <c r="BL426" s="66">
        <f t="shared" si="526"/>
        <v>0</v>
      </c>
      <c r="BM426" t="str">
        <f t="shared" si="567"/>
        <v>00061</v>
      </c>
      <c r="BN426" t="str">
        <f t="shared" si="568"/>
        <v>Gastos de Entierro</v>
      </c>
      <c r="BO426" s="118">
        <f t="shared" si="569"/>
        <v>0</v>
      </c>
      <c r="BP426" s="118" t="str">
        <f t="shared" si="570"/>
        <v>A</v>
      </c>
      <c r="BQ426" s="119" t="str">
        <f>+IF(OR($W426="",BO426=0),"",ROUND((VLOOKUP(ROUNDDOWN($D426-1/frec,0),cob_adi,BB$40,FALSE)*(1+i/frec)^-0.5*(1+Parámetros!$D$103)*(1+rec_fracc)/frec),6))</f>
        <v/>
      </c>
      <c r="BR426" s="66">
        <f t="shared" si="527"/>
        <v>0</v>
      </c>
      <c r="BS426" s="119" t="str">
        <f t="shared" si="528"/>
        <v/>
      </c>
      <c r="BT426" s="66">
        <f>+IF($W426="","",ROUND(IF($B426&gt;Parámetros!$D$107,'Tablas Servicio'!BR426+('Tablas Servicio'!BT425-'Tablas Servicio'!BR425),BR426/(1-IF(B426&lt;=10,Parámetros!$D$100,0))),2))</f>
        <v>0</v>
      </c>
      <c r="BU426" s="66">
        <f t="shared" si="529"/>
        <v>0</v>
      </c>
      <c r="BV426" s="66">
        <f t="shared" si="529"/>
        <v>0</v>
      </c>
      <c r="BW426" s="66">
        <f>+IF($W426="","",ROUND((BT426*Parámetros!$G$85),2))</f>
        <v>0</v>
      </c>
      <c r="BX426" s="66">
        <f>+IF($W426="","",ROUND((BT426*(Parámetros!$G$86)),2))</f>
        <v>0</v>
      </c>
      <c r="BY426" s="66">
        <f t="shared" si="530"/>
        <v>0</v>
      </c>
      <c r="BZ426" t="str">
        <f t="shared" si="571"/>
        <v>00062</v>
      </c>
      <c r="CA426" t="str">
        <f t="shared" si="572"/>
        <v>Gastos médicos por accidente</v>
      </c>
      <c r="CB426" s="118">
        <f t="shared" si="573"/>
        <v>0</v>
      </c>
      <c r="CC426" s="118" t="str">
        <f t="shared" si="574"/>
        <v>A</v>
      </c>
      <c r="CD426" s="119" t="str">
        <f t="shared" si="531"/>
        <v/>
      </c>
      <c r="CE426" s="66">
        <f>+IF($W426="","",ROUND((VLOOKUP(ROUNDDOWN($D426-1/frec,0),cob_adi,BO$40,FALSE)*(1+i/frec)^-0.5*(1+Parámetros!$D$103)*(1+rec_fracc)/frec*'TABLAS ADI'!$BC$17),2))</f>
        <v>0</v>
      </c>
      <c r="CF426" s="119" t="str">
        <f t="shared" si="532"/>
        <v/>
      </c>
      <c r="CG426" s="66">
        <f>+IF($W426="","",ROUND(IF($B426&gt;Parámetros!$D$107,'Tablas Servicio'!CE426+('Tablas Servicio'!CG425-'Tablas Servicio'!CE425),CE426/(1-IF(B426&lt;=10,Parámetros!$D$100,0))),2))</f>
        <v>0</v>
      </c>
      <c r="CH426" s="66">
        <f t="shared" si="533"/>
        <v>0</v>
      </c>
      <c r="CI426" s="66">
        <f t="shared" si="533"/>
        <v>0</v>
      </c>
      <c r="CJ426" s="66">
        <f>+IF($W426="","",ROUND((CG426*Parámetros!$G$85),2))</f>
        <v>0</v>
      </c>
      <c r="CK426" s="66">
        <f>+IF($W426="","",ROUND((CG426*(Parámetros!$G$86)),2))</f>
        <v>0</v>
      </c>
      <c r="CL426" s="66">
        <f t="shared" si="534"/>
        <v>0</v>
      </c>
      <c r="CM426" t="str">
        <f t="shared" si="575"/>
        <v>00063</v>
      </c>
      <c r="CN426" s="118" t="str">
        <f t="shared" si="576"/>
        <v>Renta Diaria por Hospitalización</v>
      </c>
      <c r="CO426" s="118">
        <f t="shared" si="577"/>
        <v>0</v>
      </c>
      <c r="CP426" s="118" t="str">
        <f t="shared" si="578"/>
        <v>A</v>
      </c>
      <c r="CQ426" s="119" t="str">
        <f t="shared" si="535"/>
        <v/>
      </c>
      <c r="CR426" s="66">
        <f>+IF($W426="","",ROUND((VLOOKUP(Parámetros!$F$51,'COBERTURAS ADICIONALES'!$S$4:$T$32,2,FALSE)*(1+i/frec)^-0.5*(1+Parámetros!$D$103)*(1+rec_fracc)/frec*$CO$42),2))</f>
        <v>0</v>
      </c>
      <c r="CS426" s="119" t="str">
        <f t="shared" si="536"/>
        <v/>
      </c>
      <c r="CT426" s="66">
        <f>+IF($W426="","",ROUND(IF($B426&gt;Parámetros!$D$107,'Tablas Servicio'!CR426+('Tablas Servicio'!CT425-'Tablas Servicio'!CR425),CR426/(1-IF(B426&lt;=10,Parámetros!$D$100,0))),2))</f>
        <v>0</v>
      </c>
      <c r="CU426" s="66">
        <f t="shared" si="537"/>
        <v>0</v>
      </c>
      <c r="CV426" s="66">
        <f t="shared" si="537"/>
        <v>0</v>
      </c>
      <c r="CW426" s="66">
        <f>+IF($W426="","",ROUND((CT426*Parámetros!$G$85),2))</f>
        <v>0</v>
      </c>
      <c r="CX426" s="66">
        <f>+IF($W426="","",ROUND((CT426*(Parámetros!$G$86)),2))</f>
        <v>0</v>
      </c>
      <c r="CY426" s="66">
        <f t="shared" si="538"/>
        <v>0</v>
      </c>
      <c r="CZ426" t="str">
        <f t="shared" si="579"/>
        <v>00064</v>
      </c>
      <c r="DA426" s="118" t="str">
        <f t="shared" si="580"/>
        <v>Enfermedades Graves</v>
      </c>
      <c r="DB426" s="118">
        <f t="shared" si="581"/>
        <v>0</v>
      </c>
      <c r="DC426" s="118" t="str">
        <f t="shared" si="582"/>
        <v>A</v>
      </c>
      <c r="DD426" s="121" t="str">
        <f>+IF(OR($W426="",DB426=0),"",ROUND((VLOOKUP(ROUNDDOWN($D426-1/frec,0),cob_adi,CO$40,FALSE)*(1+i/frec)^-0.5*(1+Parámetros!$D$103)*(1+rec_fracc)/frec),6))</f>
        <v/>
      </c>
      <c r="DE426" s="66">
        <f t="shared" si="539"/>
        <v>0</v>
      </c>
      <c r="DF426" s="119" t="str">
        <f t="shared" si="540"/>
        <v/>
      </c>
      <c r="DG426" s="66">
        <f>+IF($W426="","",ROUND(IF($B426&gt;Parámetros!$D$107,'Tablas Servicio'!DE426+('Tablas Servicio'!DG425-'Tablas Servicio'!DE425),DE426/(1-IF(B426&lt;=10,Parámetros!$D$100,0))),2))</f>
        <v>0</v>
      </c>
      <c r="DH426" s="66">
        <f t="shared" si="541"/>
        <v>0</v>
      </c>
      <c r="DI426" s="66">
        <f t="shared" si="541"/>
        <v>0</v>
      </c>
      <c r="DJ426" s="66">
        <f>+IF($W426="","",ROUND((DG426*Parámetros!$G$85),2))</f>
        <v>0</v>
      </c>
      <c r="DK426" s="66">
        <f>+IF($W426="","",ROUND((DG426*(Parámetros!$G$86)),2))</f>
        <v>0</v>
      </c>
      <c r="DL426" s="66">
        <f t="shared" si="542"/>
        <v>0</v>
      </c>
      <c r="DM426" t="str">
        <f t="shared" si="583"/>
        <v>00065</v>
      </c>
      <c r="DN426" s="118" t="str">
        <f t="shared" si="584"/>
        <v>Exención pago de primas</v>
      </c>
      <c r="DO426" s="118">
        <f t="shared" si="585"/>
        <v>0</v>
      </c>
      <c r="DP426" s="118" t="str">
        <f t="shared" si="586"/>
        <v>A</v>
      </c>
      <c r="DQ426" s="122" t="str">
        <f>+IF(OR($W426="",DO426=0),"",ROUND((VLOOKUP(ROUNDDOWN($D426-1/frec,0),cob_adi,DB$40,FALSE)*(1+i/frec)^-0.5*(1+Parámetros!$D$103)*(1+rec_fracc)/frec),6))</f>
        <v/>
      </c>
      <c r="DR426" s="66">
        <f t="shared" si="543"/>
        <v>0</v>
      </c>
      <c r="DS426" s="68" t="str">
        <f t="shared" si="544"/>
        <v/>
      </c>
      <c r="DT426" s="66">
        <f>+IF($W426="","",ROUND(IF($B426&gt;Parámetros!$D$107,'Tablas Servicio'!DR426+('Tablas Servicio'!DT425-'Tablas Servicio'!DR425),DR426/(1-IF(B426&lt;=10,Parámetros!$D$100,0))),2))</f>
        <v>0</v>
      </c>
      <c r="DU426" s="66">
        <f t="shared" si="545"/>
        <v>0</v>
      </c>
      <c r="DV426" s="66">
        <f t="shared" si="545"/>
        <v>0</v>
      </c>
      <c r="DW426" s="66">
        <f>+IF($W426="","",ROUND((DT426*Parámetros!$G$85),2))</f>
        <v>0</v>
      </c>
      <c r="DX426" s="66">
        <f>+IF($W426="","",ROUND((DT426*(Parámetros!$G$86)),2))</f>
        <v>0</v>
      </c>
      <c r="DY426" s="66">
        <f t="shared" si="546"/>
        <v>0</v>
      </c>
      <c r="DZ426" t="str">
        <f t="shared" si="589"/>
        <v>00066</v>
      </c>
      <c r="EA426" s="118" t="str">
        <f t="shared" si="589"/>
        <v>Enfermedad terminal</v>
      </c>
      <c r="EB426" s="118">
        <f>+IF($W426="","",ROUND(IF(Parámetros!$D$25='TABLAS MORT'!$V$33,EB425,Z426/2),0))</f>
        <v>50000</v>
      </c>
      <c r="EC426" s="118" t="str">
        <f t="shared" si="589"/>
        <v>A</v>
      </c>
      <c r="ED426" s="122">
        <f>+IF(OR($W426="",EB426=0),"",ROUND((VLOOKUP(ROUNDDOWN($D426-1/frec,0),cob_adi,DO$40,FALSE)*(1+i/frec)^-0.5*(1+Parámetros!$D$103)*(1+rec_fracc)/frec),6))</f>
        <v>6.4999999999999994E-5</v>
      </c>
      <c r="EE426" s="66">
        <f t="shared" si="548"/>
        <v>3.25</v>
      </c>
      <c r="EF426" s="68">
        <f t="shared" si="549"/>
        <v>6.4999999999999994E-5</v>
      </c>
      <c r="EG426" s="66">
        <f>+IF($W426="","",ROUND(IF($B426&gt;Parámetros!$D$107,'Tablas Servicio'!EE426+('Tablas Servicio'!EG425-'Tablas Servicio'!EE425),EE426/(1-IF(B426&lt;=10,Parámetros!$D$100,0))),2))</f>
        <v>3.25</v>
      </c>
      <c r="EH426" s="66">
        <f t="shared" si="550"/>
        <v>0</v>
      </c>
      <c r="EI426" s="66">
        <f t="shared" si="550"/>
        <v>0</v>
      </c>
      <c r="EJ426" s="66">
        <f>+IF($W426="","",ROUND((EG426*Parámetros!$G$85),2))</f>
        <v>0.11</v>
      </c>
      <c r="EK426" s="66">
        <f>+IF($W426="","",ROUND((EG426*(Parámetros!$G$86)),2))</f>
        <v>0.02</v>
      </c>
      <c r="EL426" s="66">
        <f t="shared" si="551"/>
        <v>3.38</v>
      </c>
    </row>
    <row r="427" spans="1:142" x14ac:dyDescent="0.25">
      <c r="A427">
        <f>+IF($C427="","",ROUND(VLOOKUP('Tablas Servicio'!B427,Parámetros!$H$100:$J$159,IF(Parámetros!$E$16="F",2,3),FALSE),2))</f>
        <v>150</v>
      </c>
      <c r="B427">
        <f t="shared" si="590"/>
        <v>33</v>
      </c>
      <c r="C427" s="57">
        <f>+IF(D427="","",'Tablas Servicio'!C426+1)</f>
        <v>386</v>
      </c>
      <c r="D427" s="56">
        <f>+IF(D426&lt;edadmaxtabla,D426+1/Parámetros!$E$25,"")</f>
        <v>72.186666666666881</v>
      </c>
      <c r="E427" s="57">
        <f t="shared" ref="E427:E490" si="600">+IF(D427="","",ROUNDDOWN(D427,0))</f>
        <v>72</v>
      </c>
      <c r="F427" s="59">
        <f t="shared" ref="F427:F490" si="601">+Z427</f>
        <v>100000</v>
      </c>
      <c r="G427" s="66">
        <f t="shared" si="591"/>
        <v>153.85</v>
      </c>
      <c r="H427" s="66">
        <f t="shared" si="592"/>
        <v>160</v>
      </c>
      <c r="I427" s="66">
        <f t="shared" si="552"/>
        <v>-66</v>
      </c>
      <c r="J427" s="66">
        <f t="shared" si="593"/>
        <v>5.38</v>
      </c>
      <c r="K427" s="66">
        <f t="shared" si="594"/>
        <v>0.77</v>
      </c>
      <c r="L427" s="66">
        <f t="shared" si="595"/>
        <v>0</v>
      </c>
      <c r="M427" s="66">
        <f t="shared" si="596"/>
        <v>0</v>
      </c>
      <c r="N427" s="66">
        <f>+IF(C427="","",ROUND(Parámetros!$D$23,2))</f>
        <v>94</v>
      </c>
      <c r="O427" s="66">
        <f t="shared" si="597"/>
        <v>141.35</v>
      </c>
      <c r="P427" s="66">
        <f>+IF($C427="","",ROUND(IF(B427&gt;Parámetros!$D$117,0,N427*Parámetros!$D$116-G427*Parámetros!$D$100),2))</f>
        <v>0</v>
      </c>
      <c r="Q427" s="75">
        <f t="shared" si="553"/>
        <v>3.4969125771855701E-2</v>
      </c>
      <c r="R427" s="75">
        <f t="shared" si="554"/>
        <v>5.0048748781280471E-3</v>
      </c>
      <c r="S427" s="117">
        <f>+IF($C427="","",ROUND((S426+I427)*(1+Parámetros!$D$91),2))</f>
        <v>26750.53</v>
      </c>
      <c r="T427" s="117">
        <f>+IF($C427="","",ROUND(S427*VLOOKUP(B427,Parámetros!$C$30:$D$39,2,TRUE),2))</f>
        <v>26750.53</v>
      </c>
      <c r="U427" s="117">
        <f>+IF($C427="","",ROUND((U426+I427)*(1+Parámetros!$D$92),2))</f>
        <v>30154.94</v>
      </c>
      <c r="V427" s="117">
        <f>+IF($C427="","",ROUND(U427*VLOOKUP(B427,Parámetros!$C$30:$D$39,2,TRUE),2))</f>
        <v>30154.94</v>
      </c>
      <c r="W427" s="57">
        <f t="shared" si="555"/>
        <v>386</v>
      </c>
      <c r="X427" t="str">
        <f t="shared" si="556"/>
        <v>00058</v>
      </c>
      <c r="Y427" t="str">
        <f t="shared" si="557"/>
        <v>MUERTE POR CUALQUIER CAUSA</v>
      </c>
      <c r="Z427" s="118">
        <f>+IF($W427="","",ROUND(IF(Parámetros!$D$25='TABLAS MORT'!$V$33,Z426,Parámetros!$D$21-'Tablas Servicio'!T426),0))</f>
        <v>100000</v>
      </c>
      <c r="AA427" s="118" t="str">
        <f t="shared" si="558"/>
        <v>P</v>
      </c>
      <c r="AB427" s="119">
        <f>+IF(W427="","",ROUND((VLOOKUP(ROUNDDOWN($D427-1/frec,0),qx_tabla,2,FALSE)*(1+i/frec)^-0.5*(1+Parámetros!$D$103)*(1+rec_fracc)/frec),6))</f>
        <v>1.3810000000000001E-3</v>
      </c>
      <c r="AC427" s="66">
        <f t="shared" ref="AC427:AC490" si="602">+IF($W427="","",ROUND((AB427*Z427),2))</f>
        <v>138.1</v>
      </c>
      <c r="AD427" s="119">
        <f t="shared" si="598"/>
        <v>1.506E-3</v>
      </c>
      <c r="AE427" s="66">
        <f>+IF($W427="","",ROUND(IF($B427&gt;Parámetros!$D$107,'Tablas Servicio'!AC427+('Tablas Servicio'!AG426-'Tablas Servicio'!AC426),AC427/(1-IF(B427&lt;=10,Parámetros!$D$104,Parámetros!$D$105))),2))</f>
        <v>230.17</v>
      </c>
      <c r="AF427" s="66">
        <f>+IF($W427="","",ROUND(IF($B427&gt;Parámetros!$D$107,'Tablas Servicio'!AC427+('Tablas Servicio'!AG426-'Tablas Servicio'!AC426),(AC427+$A426/frec)/(1-IF(B427&lt;=Parámetros!$D$117,Parámetros!$D$100,0))),2))</f>
        <v>150.6</v>
      </c>
      <c r="AG427" s="66">
        <f t="shared" ref="AG427:AG490" si="603">+IF($W427="","",MIN(AE427,AF427))</f>
        <v>150.6</v>
      </c>
      <c r="AH427" s="66">
        <f t="shared" ref="AH427:AH490" si="604">+IF($W427="","",0)</f>
        <v>0</v>
      </c>
      <c r="AI427" s="66">
        <f t="shared" ref="AI427:AI490" si="605">IF($W427="","",0)</f>
        <v>0</v>
      </c>
      <c r="AJ427" s="66">
        <f>+IF($W427="","",ROUND((AG427*Parámetros!$G$85),2))</f>
        <v>5.27</v>
      </c>
      <c r="AK427" s="66">
        <f>+IF($W427="","",ROUND((AG427*(Parámetros!$G$86)),2))</f>
        <v>0.75</v>
      </c>
      <c r="AL427" s="66">
        <f t="shared" si="599"/>
        <v>156.62</v>
      </c>
      <c r="AM427" t="str">
        <f t="shared" si="559"/>
        <v>00059</v>
      </c>
      <c r="AN427" t="str">
        <f t="shared" si="560"/>
        <v>Incapacidad Total y Permanente</v>
      </c>
      <c r="AO427" s="118">
        <f t="shared" si="561"/>
        <v>0</v>
      </c>
      <c r="AP427" s="118" t="str">
        <f t="shared" si="562"/>
        <v>A</v>
      </c>
      <c r="AQ427" s="119" t="str">
        <f>+IF(OR($W427="",AO427=0),"",ROUND((VLOOKUP(ROUNDDOWN($D427-1/frec,0),cob_adi,Z$40,FALSE)*(1+i/frec)^-0.5*(1+Parámetros!$D$103)*(1+rec_fracc)/frec),6))</f>
        <v/>
      </c>
      <c r="AR427" s="66">
        <f t="shared" ref="AR427:AR490" si="606">+IF(AO427=0,0,IF($W427="","",ROUND((AQ427*AO427),2)))</f>
        <v>0</v>
      </c>
      <c r="AS427" s="119" t="str">
        <f t="shared" ref="AS427:AS490" si="607">+IF(OR($W427="",AO427=0),"",ROUND((AT427/AO427),6))</f>
        <v/>
      </c>
      <c r="AT427" s="66">
        <f>+IF($W427="","",ROUND(IF($B427&gt;Parámetros!$D$107,'Tablas Servicio'!AR427+('Tablas Servicio'!AT426-'Tablas Servicio'!AR426),AR427/(1-IF(B427&lt;=10,Parámetros!$D$100,0))),2))</f>
        <v>0</v>
      </c>
      <c r="AU427" s="66">
        <f t="shared" ref="AU427:AV490" si="608">+IF($W427="","",0)</f>
        <v>0</v>
      </c>
      <c r="AV427" s="66">
        <f t="shared" si="608"/>
        <v>0</v>
      </c>
      <c r="AW427" s="66">
        <f>+IF($W427="","",ROUND((AT427*Parámetros!$G$85),2))</f>
        <v>0</v>
      </c>
      <c r="AX427" s="66">
        <f>+IF($W427="","",ROUND((AT427*(Parámetros!$G$86)),2))</f>
        <v>0</v>
      </c>
      <c r="AY427" s="66">
        <f t="shared" ref="AY427:AY490" si="609">+IF($W427="","",ROUND((AT427+AW427+AX427),2))</f>
        <v>0</v>
      </c>
      <c r="AZ427" t="str">
        <f t="shared" si="563"/>
        <v>00060</v>
      </c>
      <c r="BA427" t="str">
        <f t="shared" si="564"/>
        <v>Muerte Accidental</v>
      </c>
      <c r="BB427" s="118">
        <f t="shared" si="565"/>
        <v>0</v>
      </c>
      <c r="BC427" s="118" t="str">
        <f t="shared" si="566"/>
        <v>A</v>
      </c>
      <c r="BD427" s="119" t="str">
        <f>+IF(OR($W427="",BB427=0),"",ROUND((VLOOKUP(ROUNDDOWN($D427-1/frec,0),cob_adi,AO$40,FALSE)*(1+i/frec)^-0.5*(1+Parámetros!$D$103)*(1+rec_fracc)/frec),6))</f>
        <v/>
      </c>
      <c r="BE427" s="66">
        <f t="shared" ref="BE427:BE490" si="610">+IF(BB427=0,0,IF($W427="","",ROUND(((BD427*BB427)),2)))</f>
        <v>0</v>
      </c>
      <c r="BF427" s="119" t="str">
        <f t="shared" ref="BF427:BF490" si="611">+IF(OR($W427="",BB427=0),"",ROUND((BG427/BB427),6))</f>
        <v/>
      </c>
      <c r="BG427" s="66">
        <f>+IF($W427="","",ROUND(IF($B427&gt;Parámetros!$D$107,'Tablas Servicio'!BE427+('Tablas Servicio'!BG426-'Tablas Servicio'!BE426),BE427/(1-IF(B427&lt;=10,Parámetros!$D$100,0))),2))</f>
        <v>0</v>
      </c>
      <c r="BH427" s="66">
        <f t="shared" ref="BH427:BH490" si="612">IF($W427="","",0)</f>
        <v>0</v>
      </c>
      <c r="BI427" s="66">
        <f t="shared" ref="BI427:BI490" si="613">+IF($W427="","",0)</f>
        <v>0</v>
      </c>
      <c r="BJ427" s="66">
        <f>+IF($W427="","",ROUND((BG427*Parámetros!$G$85),2))</f>
        <v>0</v>
      </c>
      <c r="BK427" s="66">
        <f>+IF($W427="","",ROUND((BG427*(Parámetros!$G$86)),2))</f>
        <v>0</v>
      </c>
      <c r="BL427" s="66">
        <f t="shared" ref="BL427:BL490" si="614">+IF($W427="","",ROUND((BG427+BJ427+BK427),2))</f>
        <v>0</v>
      </c>
      <c r="BM427" t="str">
        <f t="shared" si="567"/>
        <v>00061</v>
      </c>
      <c r="BN427" t="str">
        <f t="shared" si="568"/>
        <v>Gastos de Entierro</v>
      </c>
      <c r="BO427" s="118">
        <f t="shared" si="569"/>
        <v>0</v>
      </c>
      <c r="BP427" s="118" t="str">
        <f t="shared" si="570"/>
        <v>A</v>
      </c>
      <c r="BQ427" s="119" t="str">
        <f>+IF(OR($W427="",BO427=0),"",ROUND((VLOOKUP(ROUNDDOWN($D427-1/frec,0),cob_adi,BB$40,FALSE)*(1+i/frec)^-0.5*(1+Parámetros!$D$103)*(1+rec_fracc)/frec),6))</f>
        <v/>
      </c>
      <c r="BR427" s="66">
        <f t="shared" ref="BR427:BR490" si="615">+IF(BO427=0,0,IF($W427="","",ROUND(((BQ427*BO427)),2)))</f>
        <v>0</v>
      </c>
      <c r="BS427" s="119" t="str">
        <f t="shared" ref="BS427:BS490" si="616">+IF(OR($W427="",BO427=0),"",ROUND((BT427/BO427),6))</f>
        <v/>
      </c>
      <c r="BT427" s="66">
        <f>+IF($W427="","",ROUND(IF($B427&gt;Parámetros!$D$107,'Tablas Servicio'!BR427+('Tablas Servicio'!BT426-'Tablas Servicio'!BR426),BR427/(1-IF(B427&lt;=10,Parámetros!$D$100,0))),2))</f>
        <v>0</v>
      </c>
      <c r="BU427" s="66">
        <f t="shared" ref="BU427:BV490" si="617">+IF($W427="","",0)</f>
        <v>0</v>
      </c>
      <c r="BV427" s="66">
        <f t="shared" si="617"/>
        <v>0</v>
      </c>
      <c r="BW427" s="66">
        <f>+IF($W427="","",ROUND((BT427*Parámetros!$G$85),2))</f>
        <v>0</v>
      </c>
      <c r="BX427" s="66">
        <f>+IF($W427="","",ROUND((BT427*(Parámetros!$G$86)),2))</f>
        <v>0</v>
      </c>
      <c r="BY427" s="66">
        <f t="shared" ref="BY427:BY490" si="618">+IF($W427="","",ROUND((BT427+BW427+BX427),2))</f>
        <v>0</v>
      </c>
      <c r="BZ427" t="str">
        <f t="shared" si="571"/>
        <v>00062</v>
      </c>
      <c r="CA427" t="str">
        <f t="shared" si="572"/>
        <v>Gastos médicos por accidente</v>
      </c>
      <c r="CB427" s="118">
        <f t="shared" si="573"/>
        <v>0</v>
      </c>
      <c r="CC427" s="118" t="str">
        <f t="shared" si="574"/>
        <v>A</v>
      </c>
      <c r="CD427" s="119" t="str">
        <f t="shared" ref="CD427:CD490" si="619">+IF(OR($W427="",CB427=0),"",ROUND((CE427/CB427),6))</f>
        <v/>
      </c>
      <c r="CE427" s="66">
        <f>+IF($W427="","",ROUND((VLOOKUP(ROUNDDOWN($D427-1/frec,0),cob_adi,BO$40,FALSE)*(1+i/frec)^-0.5*(1+Parámetros!$D$103)*(1+rec_fracc)/frec*'TABLAS ADI'!$BC$17),2))</f>
        <v>0</v>
      </c>
      <c r="CF427" s="119" t="str">
        <f t="shared" ref="CF427:CF490" si="620">+IF(OR($W427="",CB427=0),"",ROUND((CG427/CB427),6))</f>
        <v/>
      </c>
      <c r="CG427" s="66">
        <f>+IF($W427="","",ROUND(IF($B427&gt;Parámetros!$D$107,'Tablas Servicio'!CE427+('Tablas Servicio'!CG426-'Tablas Servicio'!CE426),CE427/(1-IF(B427&lt;=10,Parámetros!$D$100,0))),2))</f>
        <v>0</v>
      </c>
      <c r="CH427" s="66">
        <f t="shared" ref="CH427:CI490" si="621">+IF($W427="","",0)</f>
        <v>0</v>
      </c>
      <c r="CI427" s="66">
        <f t="shared" si="621"/>
        <v>0</v>
      </c>
      <c r="CJ427" s="66">
        <f>+IF($W427="","",ROUND((CG427*Parámetros!$G$85),2))</f>
        <v>0</v>
      </c>
      <c r="CK427" s="66">
        <f>+IF($W427="","",ROUND((CG427*(Parámetros!$G$86)),2))</f>
        <v>0</v>
      </c>
      <c r="CL427" s="66">
        <f t="shared" ref="CL427:CL490" si="622">+IF($W427="","",ROUND((CG427+CJ427+CK427),2))</f>
        <v>0</v>
      </c>
      <c r="CM427" t="str">
        <f t="shared" si="575"/>
        <v>00063</v>
      </c>
      <c r="CN427" s="118" t="str">
        <f t="shared" si="576"/>
        <v>Renta Diaria por Hospitalización</v>
      </c>
      <c r="CO427" s="118">
        <f t="shared" si="577"/>
        <v>0</v>
      </c>
      <c r="CP427" s="118" t="str">
        <f t="shared" si="578"/>
        <v>A</v>
      </c>
      <c r="CQ427" s="119" t="str">
        <f t="shared" ref="CQ427:CQ490" si="623">+IF(OR($W427="",CO427=0),"",ROUND((CR427/CO427),6))</f>
        <v/>
      </c>
      <c r="CR427" s="66">
        <f>+IF($W427="","",ROUND((VLOOKUP(Parámetros!$F$51,'COBERTURAS ADICIONALES'!$S$4:$T$32,2,FALSE)*(1+i/frec)^-0.5*(1+Parámetros!$D$103)*(1+rec_fracc)/frec*$CO$42),2))</f>
        <v>0</v>
      </c>
      <c r="CS427" s="119" t="str">
        <f t="shared" ref="CS427:CS490" si="624">+IF(OR($W427="",CO427=0),"",ROUND((CT427/CO427),6))</f>
        <v/>
      </c>
      <c r="CT427" s="66">
        <f>+IF($W427="","",ROUND(IF($B427&gt;Parámetros!$D$107,'Tablas Servicio'!CR427+('Tablas Servicio'!CT426-'Tablas Servicio'!CR426),CR427/(1-IF(B427&lt;=10,Parámetros!$D$100,0))),2))</f>
        <v>0</v>
      </c>
      <c r="CU427" s="66">
        <f t="shared" ref="CU427:CV490" si="625">+IF($W427="","",0)</f>
        <v>0</v>
      </c>
      <c r="CV427" s="66">
        <f t="shared" si="625"/>
        <v>0</v>
      </c>
      <c r="CW427" s="66">
        <f>+IF($W427="","",ROUND((CT427*Parámetros!$G$85),2))</f>
        <v>0</v>
      </c>
      <c r="CX427" s="66">
        <f>+IF($W427="","",ROUND((CT427*(Parámetros!$G$86)),2))</f>
        <v>0</v>
      </c>
      <c r="CY427" s="66">
        <f t="shared" ref="CY427:CY490" si="626">+IF($W427="","",ROUND((CT427+CW427+CX427),2))</f>
        <v>0</v>
      </c>
      <c r="CZ427" t="str">
        <f t="shared" si="579"/>
        <v>00064</v>
      </c>
      <c r="DA427" s="118" t="str">
        <f t="shared" si="580"/>
        <v>Enfermedades Graves</v>
      </c>
      <c r="DB427" s="118">
        <f t="shared" si="581"/>
        <v>0</v>
      </c>
      <c r="DC427" s="118" t="str">
        <f t="shared" si="582"/>
        <v>A</v>
      </c>
      <c r="DD427" s="121" t="str">
        <f>+IF(OR($W427="",DB427=0),"",ROUND((VLOOKUP(ROUNDDOWN($D427-1/frec,0),cob_adi,CO$40,FALSE)*(1+i/frec)^-0.5*(1+Parámetros!$D$103)*(1+rec_fracc)/frec),6))</f>
        <v/>
      </c>
      <c r="DE427" s="66">
        <f t="shared" ref="DE427:DE490" si="627">+IF(DB427=0,0,IF($W427="","",ROUND(((DD427*DB427)),2)))</f>
        <v>0</v>
      </c>
      <c r="DF427" s="119" t="str">
        <f t="shared" ref="DF427:DF490" si="628">+IF(OR($W427="",DB427=0),"",ROUND((DG427/DB427),6))</f>
        <v/>
      </c>
      <c r="DG427" s="66">
        <f>+IF($W427="","",ROUND(IF($B427&gt;Parámetros!$D$107,'Tablas Servicio'!DE427+('Tablas Servicio'!DG426-'Tablas Servicio'!DE426),DE427/(1-IF(B427&lt;=10,Parámetros!$D$100,0))),2))</f>
        <v>0</v>
      </c>
      <c r="DH427" s="66">
        <f t="shared" ref="DH427:DI490" si="629">+IF($W427="","",0)</f>
        <v>0</v>
      </c>
      <c r="DI427" s="66">
        <f t="shared" si="629"/>
        <v>0</v>
      </c>
      <c r="DJ427" s="66">
        <f>+IF($W427="","",ROUND((DG427*Parámetros!$G$85),2))</f>
        <v>0</v>
      </c>
      <c r="DK427" s="66">
        <f>+IF($W427="","",ROUND((DG427*(Parámetros!$G$86)),2))</f>
        <v>0</v>
      </c>
      <c r="DL427" s="66">
        <f t="shared" ref="DL427:DL490" si="630">+IF($W427="","",ROUND((DG427+DJ427+DK427),2))</f>
        <v>0</v>
      </c>
      <c r="DM427" t="str">
        <f t="shared" si="583"/>
        <v>00065</v>
      </c>
      <c r="DN427" s="118" t="str">
        <f t="shared" si="584"/>
        <v>Exención pago de primas</v>
      </c>
      <c r="DO427" s="118">
        <f t="shared" si="585"/>
        <v>0</v>
      </c>
      <c r="DP427" s="118" t="str">
        <f t="shared" si="586"/>
        <v>A</v>
      </c>
      <c r="DQ427" s="122" t="str">
        <f>+IF(OR($W427="",DO427=0),"",ROUND((VLOOKUP(ROUNDDOWN($D427-1/frec,0),cob_adi,DB$40,FALSE)*(1+i/frec)^-0.5*(1+Parámetros!$D$103)*(1+rec_fracc)/frec),6))</f>
        <v/>
      </c>
      <c r="DR427" s="66">
        <f t="shared" ref="DR427:DR490" si="631">+IF(DO427=0,0,IF($W427="","",ROUND(((DQ427*DO427)),2)))</f>
        <v>0</v>
      </c>
      <c r="DS427" s="68" t="str">
        <f t="shared" ref="DS427:DS490" si="632">+IF(OR($W427="",DO427=0),"",ROUND((DT427/DO427),6))</f>
        <v/>
      </c>
      <c r="DT427" s="66">
        <f>+IF($W427="","",ROUND(IF($B427&gt;Parámetros!$D$107,'Tablas Servicio'!DR427+('Tablas Servicio'!DT426-'Tablas Servicio'!DR426),DR427/(1-IF(B427&lt;=10,Parámetros!$D$100,0))),2))</f>
        <v>0</v>
      </c>
      <c r="DU427" s="66">
        <f t="shared" ref="DU427:DV490" si="633">+IF($W427="","",0)</f>
        <v>0</v>
      </c>
      <c r="DV427" s="66">
        <f t="shared" si="633"/>
        <v>0</v>
      </c>
      <c r="DW427" s="66">
        <f>+IF($W427="","",ROUND((DT427*Parámetros!$G$85),2))</f>
        <v>0</v>
      </c>
      <c r="DX427" s="66">
        <f>+IF($W427="","",ROUND((DT427*(Parámetros!$G$86)),2))</f>
        <v>0</v>
      </c>
      <c r="DY427" s="66">
        <f t="shared" ref="DY427:DY490" si="634">+IF($W427="","",ROUND((DT427+DW427+DX427),2))</f>
        <v>0</v>
      </c>
      <c r="DZ427" t="str">
        <f t="shared" ref="DZ427:EC442" si="635">+IF($W427="","",DZ426)</f>
        <v>00066</v>
      </c>
      <c r="EA427" s="118" t="str">
        <f t="shared" si="635"/>
        <v>Enfermedad terminal</v>
      </c>
      <c r="EB427" s="118">
        <f>+IF($W427="","",ROUND(IF(Parámetros!$D$25='TABLAS MORT'!$V$33,EB426,Z427/2),0))</f>
        <v>50000</v>
      </c>
      <c r="EC427" s="118" t="str">
        <f t="shared" si="635"/>
        <v>A</v>
      </c>
      <c r="ED427" s="122">
        <f>+IF(OR($W427="",EB427=0),"",ROUND((VLOOKUP(ROUNDDOWN($D427-1/frec,0),cob_adi,DO$40,FALSE)*(1+i/frec)^-0.5*(1+Parámetros!$D$103)*(1+rec_fracc)/frec),6))</f>
        <v>6.4999999999999994E-5</v>
      </c>
      <c r="EE427" s="66">
        <f t="shared" ref="EE427:EE490" si="636">+IF(EB427=0,0,IF($W427="","",ROUND(((ED427*EB427)),2)))</f>
        <v>3.25</v>
      </c>
      <c r="EF427" s="68">
        <f t="shared" ref="EF427:EF490" si="637">+IF(OR($W427="",EB427=0),"",ROUND((EG427/EB427),6))</f>
        <v>6.4999999999999994E-5</v>
      </c>
      <c r="EG427" s="66">
        <f>+IF($W427="","",ROUND(IF($B427&gt;Parámetros!$D$107,'Tablas Servicio'!EE427+('Tablas Servicio'!EG426-'Tablas Servicio'!EE426),EE427/(1-IF(B427&lt;=10,Parámetros!$D$100,0))),2))</f>
        <v>3.25</v>
      </c>
      <c r="EH427" s="66">
        <f t="shared" ref="EH427:EI490" si="638">+IF($W427="","",0)</f>
        <v>0</v>
      </c>
      <c r="EI427" s="66">
        <f t="shared" si="638"/>
        <v>0</v>
      </c>
      <c r="EJ427" s="66">
        <f>+IF($W427="","",ROUND((EG427*Parámetros!$G$85),2))</f>
        <v>0.11</v>
      </c>
      <c r="EK427" s="66">
        <f>+IF($W427="","",ROUND((EG427*(Parámetros!$G$86)),2))</f>
        <v>0.02</v>
      </c>
      <c r="EL427" s="66">
        <f t="shared" ref="EL427:EL490" si="639">+IF($W427="","",ROUND((EG427+EJ427+EK427),2))</f>
        <v>3.38</v>
      </c>
    </row>
    <row r="428" spans="1:142" x14ac:dyDescent="0.25">
      <c r="A428">
        <f>+IF($C428="","",ROUND(VLOOKUP('Tablas Servicio'!B428,Parámetros!$H$100:$J$159,IF(Parámetros!$E$16="F",2,3),FALSE),2))</f>
        <v>150</v>
      </c>
      <c r="B428">
        <f t="shared" si="590"/>
        <v>33</v>
      </c>
      <c r="C428" s="57">
        <f>+IF(D428="","",'Tablas Servicio'!C427+1)</f>
        <v>387</v>
      </c>
      <c r="D428" s="56">
        <f>+IF(D427&lt;edadmaxtabla,D427+1/Parámetros!$E$25,"")</f>
        <v>72.270000000000209</v>
      </c>
      <c r="E428" s="57">
        <f t="shared" si="600"/>
        <v>72</v>
      </c>
      <c r="F428" s="59">
        <f t="shared" si="601"/>
        <v>100000</v>
      </c>
      <c r="G428" s="66">
        <f t="shared" si="591"/>
        <v>153.85</v>
      </c>
      <c r="H428" s="66">
        <f t="shared" si="592"/>
        <v>160</v>
      </c>
      <c r="I428" s="66">
        <f t="shared" si="552"/>
        <v>-66</v>
      </c>
      <c r="J428" s="66">
        <f t="shared" si="593"/>
        <v>5.38</v>
      </c>
      <c r="K428" s="66">
        <f t="shared" si="594"/>
        <v>0.77</v>
      </c>
      <c r="L428" s="66">
        <f t="shared" si="595"/>
        <v>0</v>
      </c>
      <c r="M428" s="66">
        <f t="shared" si="596"/>
        <v>0</v>
      </c>
      <c r="N428" s="66">
        <f>+IF(C428="","",ROUND(Parámetros!$D$23,2))</f>
        <v>94</v>
      </c>
      <c r="O428" s="66">
        <f t="shared" si="597"/>
        <v>141.35</v>
      </c>
      <c r="P428" s="66">
        <f>+IF($C428="","",ROUND(IF(B428&gt;Parámetros!$D$117,0,N428*Parámetros!$D$116-G428*Parámetros!$D$100),2))</f>
        <v>0</v>
      </c>
      <c r="Q428" s="75">
        <f t="shared" si="553"/>
        <v>3.4969125771855701E-2</v>
      </c>
      <c r="R428" s="75">
        <f t="shared" si="554"/>
        <v>5.0048748781280471E-3</v>
      </c>
      <c r="S428" s="117">
        <f>+IF($C428="","",ROUND((S427+I428)*(1+Parámetros!$D$91),2))</f>
        <v>26760.22</v>
      </c>
      <c r="T428" s="117">
        <f>+IF($C428="","",ROUND(S428*VLOOKUP(B428,Parámetros!$C$30:$D$39,2,TRUE),2))</f>
        <v>26760.22</v>
      </c>
      <c r="U428" s="117">
        <f>+IF($C428="","",ROUND((U427+I428)*(1+Parámetros!$D$92),2))</f>
        <v>30186.48</v>
      </c>
      <c r="V428" s="117">
        <f>+IF($C428="","",ROUND(U428*VLOOKUP(B428,Parámetros!$C$30:$D$39,2,TRUE),2))</f>
        <v>30186.48</v>
      </c>
      <c r="W428" s="57">
        <f t="shared" si="555"/>
        <v>387</v>
      </c>
      <c r="X428" t="str">
        <f t="shared" si="556"/>
        <v>00058</v>
      </c>
      <c r="Y428" t="str">
        <f t="shared" si="557"/>
        <v>MUERTE POR CUALQUIER CAUSA</v>
      </c>
      <c r="Z428" s="118">
        <f>+IF($W428="","",ROUND(IF(Parámetros!$D$25='TABLAS MORT'!$V$33,Z427,Parámetros!$D$21-'Tablas Servicio'!T427),0))</f>
        <v>100000</v>
      </c>
      <c r="AA428" s="118" t="str">
        <f t="shared" si="558"/>
        <v>P</v>
      </c>
      <c r="AB428" s="119">
        <f>+IF(W428="","",ROUND((VLOOKUP(ROUNDDOWN($D428-1/frec,0),qx_tabla,2,FALSE)*(1+i/frec)^-0.5*(1+Parámetros!$D$103)*(1+rec_fracc)/frec),6))</f>
        <v>1.3810000000000001E-3</v>
      </c>
      <c r="AC428" s="66">
        <f t="shared" si="602"/>
        <v>138.1</v>
      </c>
      <c r="AD428" s="119">
        <f t="shared" si="598"/>
        <v>1.506E-3</v>
      </c>
      <c r="AE428" s="66">
        <f>+IF($W428="","",ROUND(IF($B428&gt;Parámetros!$D$107,'Tablas Servicio'!AC428+('Tablas Servicio'!AG427-'Tablas Servicio'!AC427),AC428/(1-IF(B428&lt;=10,Parámetros!$D$104,Parámetros!$D$105))),2))</f>
        <v>230.17</v>
      </c>
      <c r="AF428" s="66">
        <f>+IF($W428="","",ROUND(IF($B428&gt;Parámetros!$D$107,'Tablas Servicio'!AC428+('Tablas Servicio'!AG427-'Tablas Servicio'!AC427),(AC428+$A427/frec)/(1-IF(B428&lt;=Parámetros!$D$117,Parámetros!$D$100,0))),2))</f>
        <v>150.6</v>
      </c>
      <c r="AG428" s="66">
        <f t="shared" si="603"/>
        <v>150.6</v>
      </c>
      <c r="AH428" s="66">
        <f t="shared" si="604"/>
        <v>0</v>
      </c>
      <c r="AI428" s="66">
        <f t="shared" si="605"/>
        <v>0</v>
      </c>
      <c r="AJ428" s="66">
        <f>+IF($W428="","",ROUND((AG428*Parámetros!$G$85),2))</f>
        <v>5.27</v>
      </c>
      <c r="AK428" s="66">
        <f>+IF($W428="","",ROUND((AG428*(Parámetros!$G$86)),2))</f>
        <v>0.75</v>
      </c>
      <c r="AL428" s="66">
        <f t="shared" si="599"/>
        <v>156.62</v>
      </c>
      <c r="AM428" t="str">
        <f t="shared" si="559"/>
        <v>00059</v>
      </c>
      <c r="AN428" t="str">
        <f t="shared" si="560"/>
        <v>Incapacidad Total y Permanente</v>
      </c>
      <c r="AO428" s="118">
        <f t="shared" si="561"/>
        <v>0</v>
      </c>
      <c r="AP428" s="118" t="str">
        <f t="shared" si="562"/>
        <v>A</v>
      </c>
      <c r="AQ428" s="119" t="str">
        <f>+IF(OR($W428="",AO428=0),"",ROUND((VLOOKUP(ROUNDDOWN($D428-1/frec,0),cob_adi,Z$40,FALSE)*(1+i/frec)^-0.5*(1+Parámetros!$D$103)*(1+rec_fracc)/frec),6))</f>
        <v/>
      </c>
      <c r="AR428" s="66">
        <f t="shared" si="606"/>
        <v>0</v>
      </c>
      <c r="AS428" s="119" t="str">
        <f t="shared" si="607"/>
        <v/>
      </c>
      <c r="AT428" s="66">
        <f>+IF($W428="","",ROUND(IF($B428&gt;Parámetros!$D$107,'Tablas Servicio'!AR428+('Tablas Servicio'!AT427-'Tablas Servicio'!AR427),AR428/(1-IF(B428&lt;=10,Parámetros!$D$100,0))),2))</f>
        <v>0</v>
      </c>
      <c r="AU428" s="66">
        <f t="shared" si="608"/>
        <v>0</v>
      </c>
      <c r="AV428" s="66">
        <f t="shared" si="608"/>
        <v>0</v>
      </c>
      <c r="AW428" s="66">
        <f>+IF($W428="","",ROUND((AT428*Parámetros!$G$85),2))</f>
        <v>0</v>
      </c>
      <c r="AX428" s="66">
        <f>+IF($W428="","",ROUND((AT428*(Parámetros!$G$86)),2))</f>
        <v>0</v>
      </c>
      <c r="AY428" s="66">
        <f t="shared" si="609"/>
        <v>0</v>
      </c>
      <c r="AZ428" t="str">
        <f t="shared" si="563"/>
        <v>00060</v>
      </c>
      <c r="BA428" t="str">
        <f t="shared" si="564"/>
        <v>Muerte Accidental</v>
      </c>
      <c r="BB428" s="118">
        <f t="shared" si="565"/>
        <v>0</v>
      </c>
      <c r="BC428" s="118" t="str">
        <f t="shared" si="566"/>
        <v>A</v>
      </c>
      <c r="BD428" s="119" t="str">
        <f>+IF(OR($W428="",BB428=0),"",ROUND((VLOOKUP(ROUNDDOWN($D428-1/frec,0),cob_adi,AO$40,FALSE)*(1+i/frec)^-0.5*(1+Parámetros!$D$103)*(1+rec_fracc)/frec),6))</f>
        <v/>
      </c>
      <c r="BE428" s="66">
        <f t="shared" si="610"/>
        <v>0</v>
      </c>
      <c r="BF428" s="119" t="str">
        <f t="shared" si="611"/>
        <v/>
      </c>
      <c r="BG428" s="66">
        <f>+IF($W428="","",ROUND(IF($B428&gt;Parámetros!$D$107,'Tablas Servicio'!BE428+('Tablas Servicio'!BG427-'Tablas Servicio'!BE427),BE428/(1-IF(B428&lt;=10,Parámetros!$D$100,0))),2))</f>
        <v>0</v>
      </c>
      <c r="BH428" s="66">
        <f t="shared" si="612"/>
        <v>0</v>
      </c>
      <c r="BI428" s="66">
        <f t="shared" si="613"/>
        <v>0</v>
      </c>
      <c r="BJ428" s="66">
        <f>+IF($W428="","",ROUND((BG428*Parámetros!$G$85),2))</f>
        <v>0</v>
      </c>
      <c r="BK428" s="66">
        <f>+IF($W428="","",ROUND((BG428*(Parámetros!$G$86)),2))</f>
        <v>0</v>
      </c>
      <c r="BL428" s="66">
        <f t="shared" si="614"/>
        <v>0</v>
      </c>
      <c r="BM428" t="str">
        <f t="shared" si="567"/>
        <v>00061</v>
      </c>
      <c r="BN428" t="str">
        <f t="shared" si="568"/>
        <v>Gastos de Entierro</v>
      </c>
      <c r="BO428" s="118">
        <f t="shared" si="569"/>
        <v>0</v>
      </c>
      <c r="BP428" s="118" t="str">
        <f t="shared" si="570"/>
        <v>A</v>
      </c>
      <c r="BQ428" s="119" t="str">
        <f>+IF(OR($W428="",BO428=0),"",ROUND((VLOOKUP(ROUNDDOWN($D428-1/frec,0),cob_adi,BB$40,FALSE)*(1+i/frec)^-0.5*(1+Parámetros!$D$103)*(1+rec_fracc)/frec),6))</f>
        <v/>
      </c>
      <c r="BR428" s="66">
        <f t="shared" si="615"/>
        <v>0</v>
      </c>
      <c r="BS428" s="119" t="str">
        <f t="shared" si="616"/>
        <v/>
      </c>
      <c r="BT428" s="66">
        <f>+IF($W428="","",ROUND(IF($B428&gt;Parámetros!$D$107,'Tablas Servicio'!BR428+('Tablas Servicio'!BT427-'Tablas Servicio'!BR427),BR428/(1-IF(B428&lt;=10,Parámetros!$D$100,0))),2))</f>
        <v>0</v>
      </c>
      <c r="BU428" s="66">
        <f t="shared" si="617"/>
        <v>0</v>
      </c>
      <c r="BV428" s="66">
        <f t="shared" si="617"/>
        <v>0</v>
      </c>
      <c r="BW428" s="66">
        <f>+IF($W428="","",ROUND((BT428*Parámetros!$G$85),2))</f>
        <v>0</v>
      </c>
      <c r="BX428" s="66">
        <f>+IF($W428="","",ROUND((BT428*(Parámetros!$G$86)),2))</f>
        <v>0</v>
      </c>
      <c r="BY428" s="66">
        <f t="shared" si="618"/>
        <v>0</v>
      </c>
      <c r="BZ428" t="str">
        <f t="shared" si="571"/>
        <v>00062</v>
      </c>
      <c r="CA428" t="str">
        <f t="shared" si="572"/>
        <v>Gastos médicos por accidente</v>
      </c>
      <c r="CB428" s="118">
        <f t="shared" si="573"/>
        <v>0</v>
      </c>
      <c r="CC428" s="118" t="str">
        <f t="shared" si="574"/>
        <v>A</v>
      </c>
      <c r="CD428" s="119" t="str">
        <f t="shared" si="619"/>
        <v/>
      </c>
      <c r="CE428" s="66">
        <f>+IF($W428="","",ROUND((VLOOKUP(ROUNDDOWN($D428-1/frec,0),cob_adi,BO$40,FALSE)*(1+i/frec)^-0.5*(1+Parámetros!$D$103)*(1+rec_fracc)/frec*'TABLAS ADI'!$BC$17),2))</f>
        <v>0</v>
      </c>
      <c r="CF428" s="119" t="str">
        <f t="shared" si="620"/>
        <v/>
      </c>
      <c r="CG428" s="66">
        <f>+IF($W428="","",ROUND(IF($B428&gt;Parámetros!$D$107,'Tablas Servicio'!CE428+('Tablas Servicio'!CG427-'Tablas Servicio'!CE427),CE428/(1-IF(B428&lt;=10,Parámetros!$D$100,0))),2))</f>
        <v>0</v>
      </c>
      <c r="CH428" s="66">
        <f t="shared" si="621"/>
        <v>0</v>
      </c>
      <c r="CI428" s="66">
        <f t="shared" si="621"/>
        <v>0</v>
      </c>
      <c r="CJ428" s="66">
        <f>+IF($W428="","",ROUND((CG428*Parámetros!$G$85),2))</f>
        <v>0</v>
      </c>
      <c r="CK428" s="66">
        <f>+IF($W428="","",ROUND((CG428*(Parámetros!$G$86)),2))</f>
        <v>0</v>
      </c>
      <c r="CL428" s="66">
        <f t="shared" si="622"/>
        <v>0</v>
      </c>
      <c r="CM428" t="str">
        <f t="shared" si="575"/>
        <v>00063</v>
      </c>
      <c r="CN428" s="118" t="str">
        <f t="shared" si="576"/>
        <v>Renta Diaria por Hospitalización</v>
      </c>
      <c r="CO428" s="118">
        <f t="shared" si="577"/>
        <v>0</v>
      </c>
      <c r="CP428" s="118" t="str">
        <f t="shared" si="578"/>
        <v>A</v>
      </c>
      <c r="CQ428" s="119" t="str">
        <f t="shared" si="623"/>
        <v/>
      </c>
      <c r="CR428" s="66">
        <f>+IF($W428="","",ROUND((VLOOKUP(Parámetros!$F$51,'COBERTURAS ADICIONALES'!$S$4:$T$32,2,FALSE)*(1+i/frec)^-0.5*(1+Parámetros!$D$103)*(1+rec_fracc)/frec*$CO$42),2))</f>
        <v>0</v>
      </c>
      <c r="CS428" s="119" t="str">
        <f t="shared" si="624"/>
        <v/>
      </c>
      <c r="CT428" s="66">
        <f>+IF($W428="","",ROUND(IF($B428&gt;Parámetros!$D$107,'Tablas Servicio'!CR428+('Tablas Servicio'!CT427-'Tablas Servicio'!CR427),CR428/(1-IF(B428&lt;=10,Parámetros!$D$100,0))),2))</f>
        <v>0</v>
      </c>
      <c r="CU428" s="66">
        <f t="shared" si="625"/>
        <v>0</v>
      </c>
      <c r="CV428" s="66">
        <f t="shared" si="625"/>
        <v>0</v>
      </c>
      <c r="CW428" s="66">
        <f>+IF($W428="","",ROUND((CT428*Parámetros!$G$85),2))</f>
        <v>0</v>
      </c>
      <c r="CX428" s="66">
        <f>+IF($W428="","",ROUND((CT428*(Parámetros!$G$86)),2))</f>
        <v>0</v>
      </c>
      <c r="CY428" s="66">
        <f t="shared" si="626"/>
        <v>0</v>
      </c>
      <c r="CZ428" t="str">
        <f t="shared" si="579"/>
        <v>00064</v>
      </c>
      <c r="DA428" s="118" t="str">
        <f t="shared" si="580"/>
        <v>Enfermedades Graves</v>
      </c>
      <c r="DB428" s="118">
        <f t="shared" si="581"/>
        <v>0</v>
      </c>
      <c r="DC428" s="118" t="str">
        <f t="shared" si="582"/>
        <v>A</v>
      </c>
      <c r="DD428" s="121" t="str">
        <f>+IF(OR($W428="",DB428=0),"",ROUND((VLOOKUP(ROUNDDOWN($D428-1/frec,0),cob_adi,CO$40,FALSE)*(1+i/frec)^-0.5*(1+Parámetros!$D$103)*(1+rec_fracc)/frec),6))</f>
        <v/>
      </c>
      <c r="DE428" s="66">
        <f t="shared" si="627"/>
        <v>0</v>
      </c>
      <c r="DF428" s="119" t="str">
        <f t="shared" si="628"/>
        <v/>
      </c>
      <c r="DG428" s="66">
        <f>+IF($W428="","",ROUND(IF($B428&gt;Parámetros!$D$107,'Tablas Servicio'!DE428+('Tablas Servicio'!DG427-'Tablas Servicio'!DE427),DE428/(1-IF(B428&lt;=10,Parámetros!$D$100,0))),2))</f>
        <v>0</v>
      </c>
      <c r="DH428" s="66">
        <f t="shared" si="629"/>
        <v>0</v>
      </c>
      <c r="DI428" s="66">
        <f t="shared" si="629"/>
        <v>0</v>
      </c>
      <c r="DJ428" s="66">
        <f>+IF($W428="","",ROUND((DG428*Parámetros!$G$85),2))</f>
        <v>0</v>
      </c>
      <c r="DK428" s="66">
        <f>+IF($W428="","",ROUND((DG428*(Parámetros!$G$86)),2))</f>
        <v>0</v>
      </c>
      <c r="DL428" s="66">
        <f t="shared" si="630"/>
        <v>0</v>
      </c>
      <c r="DM428" t="str">
        <f t="shared" si="583"/>
        <v>00065</v>
      </c>
      <c r="DN428" s="118" t="str">
        <f t="shared" si="584"/>
        <v>Exención pago de primas</v>
      </c>
      <c r="DO428" s="118">
        <f t="shared" si="585"/>
        <v>0</v>
      </c>
      <c r="DP428" s="118" t="str">
        <f t="shared" si="586"/>
        <v>A</v>
      </c>
      <c r="DQ428" s="122" t="str">
        <f>+IF(OR($W428="",DO428=0),"",ROUND((VLOOKUP(ROUNDDOWN($D428-1/frec,0),cob_adi,DB$40,FALSE)*(1+i/frec)^-0.5*(1+Parámetros!$D$103)*(1+rec_fracc)/frec),6))</f>
        <v/>
      </c>
      <c r="DR428" s="66">
        <f t="shared" si="631"/>
        <v>0</v>
      </c>
      <c r="DS428" s="68" t="str">
        <f t="shared" si="632"/>
        <v/>
      </c>
      <c r="DT428" s="66">
        <f>+IF($W428="","",ROUND(IF($B428&gt;Parámetros!$D$107,'Tablas Servicio'!DR428+('Tablas Servicio'!DT427-'Tablas Servicio'!DR427),DR428/(1-IF(B428&lt;=10,Parámetros!$D$100,0))),2))</f>
        <v>0</v>
      </c>
      <c r="DU428" s="66">
        <f t="shared" si="633"/>
        <v>0</v>
      </c>
      <c r="DV428" s="66">
        <f t="shared" si="633"/>
        <v>0</v>
      </c>
      <c r="DW428" s="66">
        <f>+IF($W428="","",ROUND((DT428*Parámetros!$G$85),2))</f>
        <v>0</v>
      </c>
      <c r="DX428" s="66">
        <f>+IF($W428="","",ROUND((DT428*(Parámetros!$G$86)),2))</f>
        <v>0</v>
      </c>
      <c r="DY428" s="66">
        <f t="shared" si="634"/>
        <v>0</v>
      </c>
      <c r="DZ428" t="str">
        <f t="shared" si="635"/>
        <v>00066</v>
      </c>
      <c r="EA428" s="118" t="str">
        <f t="shared" si="635"/>
        <v>Enfermedad terminal</v>
      </c>
      <c r="EB428" s="118">
        <f>+IF($W428="","",ROUND(IF(Parámetros!$D$25='TABLAS MORT'!$V$33,EB427,Z428/2),0))</f>
        <v>50000</v>
      </c>
      <c r="EC428" s="118" t="str">
        <f t="shared" si="635"/>
        <v>A</v>
      </c>
      <c r="ED428" s="122">
        <f>+IF(OR($W428="",EB428=0),"",ROUND((VLOOKUP(ROUNDDOWN($D428-1/frec,0),cob_adi,DO$40,FALSE)*(1+i/frec)^-0.5*(1+Parámetros!$D$103)*(1+rec_fracc)/frec),6))</f>
        <v>6.4999999999999994E-5</v>
      </c>
      <c r="EE428" s="66">
        <f t="shared" si="636"/>
        <v>3.25</v>
      </c>
      <c r="EF428" s="68">
        <f t="shared" si="637"/>
        <v>6.4999999999999994E-5</v>
      </c>
      <c r="EG428" s="66">
        <f>+IF($W428="","",ROUND(IF($B428&gt;Parámetros!$D$107,'Tablas Servicio'!EE428+('Tablas Servicio'!EG427-'Tablas Servicio'!EE427),EE428/(1-IF(B428&lt;=10,Parámetros!$D$100,0))),2))</f>
        <v>3.25</v>
      </c>
      <c r="EH428" s="66">
        <f t="shared" si="638"/>
        <v>0</v>
      </c>
      <c r="EI428" s="66">
        <f t="shared" si="638"/>
        <v>0</v>
      </c>
      <c r="EJ428" s="66">
        <f>+IF($W428="","",ROUND((EG428*Parámetros!$G$85),2))</f>
        <v>0.11</v>
      </c>
      <c r="EK428" s="66">
        <f>+IF($W428="","",ROUND((EG428*(Parámetros!$G$86)),2))</f>
        <v>0.02</v>
      </c>
      <c r="EL428" s="66">
        <f t="shared" si="639"/>
        <v>3.38</v>
      </c>
    </row>
    <row r="429" spans="1:142" x14ac:dyDescent="0.25">
      <c r="A429">
        <f>+IF($C429="","",ROUND(VLOOKUP('Tablas Servicio'!B429,Parámetros!$H$100:$J$159,IF(Parámetros!$E$16="F",2,3),FALSE),2))</f>
        <v>150</v>
      </c>
      <c r="B429">
        <f t="shared" si="590"/>
        <v>33</v>
      </c>
      <c r="C429" s="57">
        <f>+IF(D429="","",'Tablas Servicio'!C428+1)</f>
        <v>388</v>
      </c>
      <c r="D429" s="56">
        <f>+IF(D428&lt;edadmaxtabla,D428+1/Parámetros!$E$25,"")</f>
        <v>72.353333333333538</v>
      </c>
      <c r="E429" s="57">
        <f t="shared" si="600"/>
        <v>72</v>
      </c>
      <c r="F429" s="59">
        <f t="shared" si="601"/>
        <v>100000</v>
      </c>
      <c r="G429" s="66">
        <f t="shared" si="591"/>
        <v>153.85</v>
      </c>
      <c r="H429" s="66">
        <f t="shared" si="592"/>
        <v>160</v>
      </c>
      <c r="I429" s="66">
        <f t="shared" si="552"/>
        <v>-66</v>
      </c>
      <c r="J429" s="66">
        <f t="shared" si="593"/>
        <v>5.38</v>
      </c>
      <c r="K429" s="66">
        <f t="shared" si="594"/>
        <v>0.77</v>
      </c>
      <c r="L429" s="66">
        <f t="shared" si="595"/>
        <v>0</v>
      </c>
      <c r="M429" s="66">
        <f t="shared" si="596"/>
        <v>0</v>
      </c>
      <c r="N429" s="66">
        <f>+IF(C429="","",ROUND(Parámetros!$D$23,2))</f>
        <v>94</v>
      </c>
      <c r="O429" s="66">
        <f t="shared" si="597"/>
        <v>141.35</v>
      </c>
      <c r="P429" s="66">
        <f>+IF($C429="","",ROUND(IF(B429&gt;Parámetros!$D$117,0,N429*Parámetros!$D$116-G429*Parámetros!$D$100),2))</f>
        <v>0</v>
      </c>
      <c r="Q429" s="75">
        <f t="shared" si="553"/>
        <v>3.4969125771855701E-2</v>
      </c>
      <c r="R429" s="75">
        <f t="shared" si="554"/>
        <v>5.0048748781280471E-3</v>
      </c>
      <c r="S429" s="117">
        <f>+IF($C429="","",ROUND((S428+I429)*(1+Parámetros!$D$91),2))</f>
        <v>26769.94</v>
      </c>
      <c r="T429" s="117">
        <f>+IF($C429="","",ROUND(S429*VLOOKUP(B429,Parámetros!$C$30:$D$39,2,TRUE),2))</f>
        <v>26769.94</v>
      </c>
      <c r="U429" s="117">
        <f>+IF($C429="","",ROUND((U428+I429)*(1+Parámetros!$D$92),2))</f>
        <v>30218.12</v>
      </c>
      <c r="V429" s="117">
        <f>+IF($C429="","",ROUND(U429*VLOOKUP(B429,Parámetros!$C$30:$D$39,2,TRUE),2))</f>
        <v>30218.12</v>
      </c>
      <c r="W429" s="57">
        <f t="shared" si="555"/>
        <v>388</v>
      </c>
      <c r="X429" t="str">
        <f t="shared" si="556"/>
        <v>00058</v>
      </c>
      <c r="Y429" t="str">
        <f t="shared" si="557"/>
        <v>MUERTE POR CUALQUIER CAUSA</v>
      </c>
      <c r="Z429" s="118">
        <f>+IF($W429="","",ROUND(IF(Parámetros!$D$25='TABLAS MORT'!$V$33,Z428,Parámetros!$D$21-'Tablas Servicio'!T428),0))</f>
        <v>100000</v>
      </c>
      <c r="AA429" s="118" t="str">
        <f t="shared" si="558"/>
        <v>P</v>
      </c>
      <c r="AB429" s="119">
        <f>+IF(W429="","",ROUND((VLOOKUP(ROUNDDOWN($D429-1/frec,0),qx_tabla,2,FALSE)*(1+i/frec)^-0.5*(1+Parámetros!$D$103)*(1+rec_fracc)/frec),6))</f>
        <v>1.3810000000000001E-3</v>
      </c>
      <c r="AC429" s="66">
        <f t="shared" si="602"/>
        <v>138.1</v>
      </c>
      <c r="AD429" s="119">
        <f t="shared" si="598"/>
        <v>1.506E-3</v>
      </c>
      <c r="AE429" s="66">
        <f>+IF($W429="","",ROUND(IF($B429&gt;Parámetros!$D$107,'Tablas Servicio'!AC429+('Tablas Servicio'!AG428-'Tablas Servicio'!AC428),AC429/(1-IF(B429&lt;=10,Parámetros!$D$104,Parámetros!$D$105))),2))</f>
        <v>230.17</v>
      </c>
      <c r="AF429" s="66">
        <f>+IF($W429="","",ROUND(IF($B429&gt;Parámetros!$D$107,'Tablas Servicio'!AC429+('Tablas Servicio'!AG428-'Tablas Servicio'!AC428),(AC429+$A428/frec)/(1-IF(B429&lt;=Parámetros!$D$117,Parámetros!$D$100,0))),2))</f>
        <v>150.6</v>
      </c>
      <c r="AG429" s="66">
        <f t="shared" si="603"/>
        <v>150.6</v>
      </c>
      <c r="AH429" s="66">
        <f t="shared" si="604"/>
        <v>0</v>
      </c>
      <c r="AI429" s="66">
        <f t="shared" si="605"/>
        <v>0</v>
      </c>
      <c r="AJ429" s="66">
        <f>+IF($W429="","",ROUND((AG429*Parámetros!$G$85),2))</f>
        <v>5.27</v>
      </c>
      <c r="AK429" s="66">
        <f>+IF($W429="","",ROUND((AG429*(Parámetros!$G$86)),2))</f>
        <v>0.75</v>
      </c>
      <c r="AL429" s="66">
        <f t="shared" si="599"/>
        <v>156.62</v>
      </c>
      <c r="AM429" t="str">
        <f t="shared" si="559"/>
        <v>00059</v>
      </c>
      <c r="AN429" t="str">
        <f t="shared" si="560"/>
        <v>Incapacidad Total y Permanente</v>
      </c>
      <c r="AO429" s="118">
        <f t="shared" si="561"/>
        <v>0</v>
      </c>
      <c r="AP429" s="118" t="str">
        <f t="shared" si="562"/>
        <v>A</v>
      </c>
      <c r="AQ429" s="119" t="str">
        <f>+IF(OR($W429="",AO429=0),"",ROUND((VLOOKUP(ROUNDDOWN($D429-1/frec,0),cob_adi,Z$40,FALSE)*(1+i/frec)^-0.5*(1+Parámetros!$D$103)*(1+rec_fracc)/frec),6))</f>
        <v/>
      </c>
      <c r="AR429" s="66">
        <f t="shared" si="606"/>
        <v>0</v>
      </c>
      <c r="AS429" s="119" t="str">
        <f t="shared" si="607"/>
        <v/>
      </c>
      <c r="AT429" s="66">
        <f>+IF($W429="","",ROUND(IF($B429&gt;Parámetros!$D$107,'Tablas Servicio'!AR429+('Tablas Servicio'!AT428-'Tablas Servicio'!AR428),AR429/(1-IF(B429&lt;=10,Parámetros!$D$100,0))),2))</f>
        <v>0</v>
      </c>
      <c r="AU429" s="66">
        <f t="shared" si="608"/>
        <v>0</v>
      </c>
      <c r="AV429" s="66">
        <f t="shared" si="608"/>
        <v>0</v>
      </c>
      <c r="AW429" s="66">
        <f>+IF($W429="","",ROUND((AT429*Parámetros!$G$85),2))</f>
        <v>0</v>
      </c>
      <c r="AX429" s="66">
        <f>+IF($W429="","",ROUND((AT429*(Parámetros!$G$86)),2))</f>
        <v>0</v>
      </c>
      <c r="AY429" s="66">
        <f t="shared" si="609"/>
        <v>0</v>
      </c>
      <c r="AZ429" t="str">
        <f t="shared" si="563"/>
        <v>00060</v>
      </c>
      <c r="BA429" t="str">
        <f t="shared" si="564"/>
        <v>Muerte Accidental</v>
      </c>
      <c r="BB429" s="118">
        <f t="shared" si="565"/>
        <v>0</v>
      </c>
      <c r="BC429" s="118" t="str">
        <f t="shared" si="566"/>
        <v>A</v>
      </c>
      <c r="BD429" s="119" t="str">
        <f>+IF(OR($W429="",BB429=0),"",ROUND((VLOOKUP(ROUNDDOWN($D429-1/frec,0),cob_adi,AO$40,FALSE)*(1+i/frec)^-0.5*(1+Parámetros!$D$103)*(1+rec_fracc)/frec),6))</f>
        <v/>
      </c>
      <c r="BE429" s="66">
        <f t="shared" si="610"/>
        <v>0</v>
      </c>
      <c r="BF429" s="119" t="str">
        <f t="shared" si="611"/>
        <v/>
      </c>
      <c r="BG429" s="66">
        <f>+IF($W429="","",ROUND(IF($B429&gt;Parámetros!$D$107,'Tablas Servicio'!BE429+('Tablas Servicio'!BG428-'Tablas Servicio'!BE428),BE429/(1-IF(B429&lt;=10,Parámetros!$D$100,0))),2))</f>
        <v>0</v>
      </c>
      <c r="BH429" s="66">
        <f t="shared" si="612"/>
        <v>0</v>
      </c>
      <c r="BI429" s="66">
        <f t="shared" si="613"/>
        <v>0</v>
      </c>
      <c r="BJ429" s="66">
        <f>+IF($W429="","",ROUND((BG429*Parámetros!$G$85),2))</f>
        <v>0</v>
      </c>
      <c r="BK429" s="66">
        <f>+IF($W429="","",ROUND((BG429*(Parámetros!$G$86)),2))</f>
        <v>0</v>
      </c>
      <c r="BL429" s="66">
        <f t="shared" si="614"/>
        <v>0</v>
      </c>
      <c r="BM429" t="str">
        <f t="shared" si="567"/>
        <v>00061</v>
      </c>
      <c r="BN429" t="str">
        <f t="shared" si="568"/>
        <v>Gastos de Entierro</v>
      </c>
      <c r="BO429" s="118">
        <f t="shared" si="569"/>
        <v>0</v>
      </c>
      <c r="BP429" s="118" t="str">
        <f t="shared" si="570"/>
        <v>A</v>
      </c>
      <c r="BQ429" s="119" t="str">
        <f>+IF(OR($W429="",BO429=0),"",ROUND((VLOOKUP(ROUNDDOWN($D429-1/frec,0),cob_adi,BB$40,FALSE)*(1+i/frec)^-0.5*(1+Parámetros!$D$103)*(1+rec_fracc)/frec),6))</f>
        <v/>
      </c>
      <c r="BR429" s="66">
        <f t="shared" si="615"/>
        <v>0</v>
      </c>
      <c r="BS429" s="119" t="str">
        <f t="shared" si="616"/>
        <v/>
      </c>
      <c r="BT429" s="66">
        <f>+IF($W429="","",ROUND(IF($B429&gt;Parámetros!$D$107,'Tablas Servicio'!BR429+('Tablas Servicio'!BT428-'Tablas Servicio'!BR428),BR429/(1-IF(B429&lt;=10,Parámetros!$D$100,0))),2))</f>
        <v>0</v>
      </c>
      <c r="BU429" s="66">
        <f t="shared" si="617"/>
        <v>0</v>
      </c>
      <c r="BV429" s="66">
        <f t="shared" si="617"/>
        <v>0</v>
      </c>
      <c r="BW429" s="66">
        <f>+IF($W429="","",ROUND((BT429*Parámetros!$G$85),2))</f>
        <v>0</v>
      </c>
      <c r="BX429" s="66">
        <f>+IF($W429="","",ROUND((BT429*(Parámetros!$G$86)),2))</f>
        <v>0</v>
      </c>
      <c r="BY429" s="66">
        <f t="shared" si="618"/>
        <v>0</v>
      </c>
      <c r="BZ429" t="str">
        <f t="shared" si="571"/>
        <v>00062</v>
      </c>
      <c r="CA429" t="str">
        <f t="shared" si="572"/>
        <v>Gastos médicos por accidente</v>
      </c>
      <c r="CB429" s="118">
        <f t="shared" si="573"/>
        <v>0</v>
      </c>
      <c r="CC429" s="118" t="str">
        <f t="shared" si="574"/>
        <v>A</v>
      </c>
      <c r="CD429" s="119" t="str">
        <f t="shared" si="619"/>
        <v/>
      </c>
      <c r="CE429" s="66">
        <f>+IF($W429="","",ROUND((VLOOKUP(ROUNDDOWN($D429-1/frec,0),cob_adi,BO$40,FALSE)*(1+i/frec)^-0.5*(1+Parámetros!$D$103)*(1+rec_fracc)/frec*'TABLAS ADI'!$BC$17),2))</f>
        <v>0</v>
      </c>
      <c r="CF429" s="119" t="str">
        <f t="shared" si="620"/>
        <v/>
      </c>
      <c r="CG429" s="66">
        <f>+IF($W429="","",ROUND(IF($B429&gt;Parámetros!$D$107,'Tablas Servicio'!CE429+('Tablas Servicio'!CG428-'Tablas Servicio'!CE428),CE429/(1-IF(B429&lt;=10,Parámetros!$D$100,0))),2))</f>
        <v>0</v>
      </c>
      <c r="CH429" s="66">
        <f t="shared" si="621"/>
        <v>0</v>
      </c>
      <c r="CI429" s="66">
        <f t="shared" si="621"/>
        <v>0</v>
      </c>
      <c r="CJ429" s="66">
        <f>+IF($W429="","",ROUND((CG429*Parámetros!$G$85),2))</f>
        <v>0</v>
      </c>
      <c r="CK429" s="66">
        <f>+IF($W429="","",ROUND((CG429*(Parámetros!$G$86)),2))</f>
        <v>0</v>
      </c>
      <c r="CL429" s="66">
        <f t="shared" si="622"/>
        <v>0</v>
      </c>
      <c r="CM429" t="str">
        <f t="shared" si="575"/>
        <v>00063</v>
      </c>
      <c r="CN429" s="118" t="str">
        <f t="shared" si="576"/>
        <v>Renta Diaria por Hospitalización</v>
      </c>
      <c r="CO429" s="118">
        <f t="shared" si="577"/>
        <v>0</v>
      </c>
      <c r="CP429" s="118" t="str">
        <f t="shared" si="578"/>
        <v>A</v>
      </c>
      <c r="CQ429" s="119" t="str">
        <f t="shared" si="623"/>
        <v/>
      </c>
      <c r="CR429" s="66">
        <f>+IF($W429="","",ROUND((VLOOKUP(Parámetros!$F$51,'COBERTURAS ADICIONALES'!$S$4:$T$32,2,FALSE)*(1+i/frec)^-0.5*(1+Parámetros!$D$103)*(1+rec_fracc)/frec*$CO$42),2))</f>
        <v>0</v>
      </c>
      <c r="CS429" s="119" t="str">
        <f t="shared" si="624"/>
        <v/>
      </c>
      <c r="CT429" s="66">
        <f>+IF($W429="","",ROUND(IF($B429&gt;Parámetros!$D$107,'Tablas Servicio'!CR429+('Tablas Servicio'!CT428-'Tablas Servicio'!CR428),CR429/(1-IF(B429&lt;=10,Parámetros!$D$100,0))),2))</f>
        <v>0</v>
      </c>
      <c r="CU429" s="66">
        <f t="shared" si="625"/>
        <v>0</v>
      </c>
      <c r="CV429" s="66">
        <f t="shared" si="625"/>
        <v>0</v>
      </c>
      <c r="CW429" s="66">
        <f>+IF($W429="","",ROUND((CT429*Parámetros!$G$85),2))</f>
        <v>0</v>
      </c>
      <c r="CX429" s="66">
        <f>+IF($W429="","",ROUND((CT429*(Parámetros!$G$86)),2))</f>
        <v>0</v>
      </c>
      <c r="CY429" s="66">
        <f t="shared" si="626"/>
        <v>0</v>
      </c>
      <c r="CZ429" t="str">
        <f t="shared" si="579"/>
        <v>00064</v>
      </c>
      <c r="DA429" s="118" t="str">
        <f t="shared" si="580"/>
        <v>Enfermedades Graves</v>
      </c>
      <c r="DB429" s="118">
        <f t="shared" si="581"/>
        <v>0</v>
      </c>
      <c r="DC429" s="118" t="str">
        <f t="shared" si="582"/>
        <v>A</v>
      </c>
      <c r="DD429" s="121" t="str">
        <f>+IF(OR($W429="",DB429=0),"",ROUND((VLOOKUP(ROUNDDOWN($D429-1/frec,0),cob_adi,CO$40,FALSE)*(1+i/frec)^-0.5*(1+Parámetros!$D$103)*(1+rec_fracc)/frec),6))</f>
        <v/>
      </c>
      <c r="DE429" s="66">
        <f t="shared" si="627"/>
        <v>0</v>
      </c>
      <c r="DF429" s="119" t="str">
        <f t="shared" si="628"/>
        <v/>
      </c>
      <c r="DG429" s="66">
        <f>+IF($W429="","",ROUND(IF($B429&gt;Parámetros!$D$107,'Tablas Servicio'!DE429+('Tablas Servicio'!DG428-'Tablas Servicio'!DE428),DE429/(1-IF(B429&lt;=10,Parámetros!$D$100,0))),2))</f>
        <v>0</v>
      </c>
      <c r="DH429" s="66">
        <f t="shared" si="629"/>
        <v>0</v>
      </c>
      <c r="DI429" s="66">
        <f t="shared" si="629"/>
        <v>0</v>
      </c>
      <c r="DJ429" s="66">
        <f>+IF($W429="","",ROUND((DG429*Parámetros!$G$85),2))</f>
        <v>0</v>
      </c>
      <c r="DK429" s="66">
        <f>+IF($W429="","",ROUND((DG429*(Parámetros!$G$86)),2))</f>
        <v>0</v>
      </c>
      <c r="DL429" s="66">
        <f t="shared" si="630"/>
        <v>0</v>
      </c>
      <c r="DM429" t="str">
        <f t="shared" si="583"/>
        <v>00065</v>
      </c>
      <c r="DN429" s="118" t="str">
        <f t="shared" si="584"/>
        <v>Exención pago de primas</v>
      </c>
      <c r="DO429" s="118">
        <f t="shared" si="585"/>
        <v>0</v>
      </c>
      <c r="DP429" s="118" t="str">
        <f t="shared" si="586"/>
        <v>A</v>
      </c>
      <c r="DQ429" s="122" t="str">
        <f>+IF(OR($W429="",DO429=0),"",ROUND((VLOOKUP(ROUNDDOWN($D429-1/frec,0),cob_adi,DB$40,FALSE)*(1+i/frec)^-0.5*(1+Parámetros!$D$103)*(1+rec_fracc)/frec),6))</f>
        <v/>
      </c>
      <c r="DR429" s="66">
        <f t="shared" si="631"/>
        <v>0</v>
      </c>
      <c r="DS429" s="68" t="str">
        <f t="shared" si="632"/>
        <v/>
      </c>
      <c r="DT429" s="66">
        <f>+IF($W429="","",ROUND(IF($B429&gt;Parámetros!$D$107,'Tablas Servicio'!DR429+('Tablas Servicio'!DT428-'Tablas Servicio'!DR428),DR429/(1-IF(B429&lt;=10,Parámetros!$D$100,0))),2))</f>
        <v>0</v>
      </c>
      <c r="DU429" s="66">
        <f t="shared" si="633"/>
        <v>0</v>
      </c>
      <c r="DV429" s="66">
        <f t="shared" si="633"/>
        <v>0</v>
      </c>
      <c r="DW429" s="66">
        <f>+IF($W429="","",ROUND((DT429*Parámetros!$G$85),2))</f>
        <v>0</v>
      </c>
      <c r="DX429" s="66">
        <f>+IF($W429="","",ROUND((DT429*(Parámetros!$G$86)),2))</f>
        <v>0</v>
      </c>
      <c r="DY429" s="66">
        <f t="shared" si="634"/>
        <v>0</v>
      </c>
      <c r="DZ429" t="str">
        <f t="shared" si="635"/>
        <v>00066</v>
      </c>
      <c r="EA429" s="118" t="str">
        <f t="shared" si="635"/>
        <v>Enfermedad terminal</v>
      </c>
      <c r="EB429" s="118">
        <f>+IF($W429="","",ROUND(IF(Parámetros!$D$25='TABLAS MORT'!$V$33,EB428,Z429/2),0))</f>
        <v>50000</v>
      </c>
      <c r="EC429" s="118" t="str">
        <f t="shared" si="635"/>
        <v>A</v>
      </c>
      <c r="ED429" s="122">
        <f>+IF(OR($W429="",EB429=0),"",ROUND((VLOOKUP(ROUNDDOWN($D429-1/frec,0),cob_adi,DO$40,FALSE)*(1+i/frec)^-0.5*(1+Parámetros!$D$103)*(1+rec_fracc)/frec),6))</f>
        <v>6.4999999999999994E-5</v>
      </c>
      <c r="EE429" s="66">
        <f t="shared" si="636"/>
        <v>3.25</v>
      </c>
      <c r="EF429" s="68">
        <f t="shared" si="637"/>
        <v>6.4999999999999994E-5</v>
      </c>
      <c r="EG429" s="66">
        <f>+IF($W429="","",ROUND(IF($B429&gt;Parámetros!$D$107,'Tablas Servicio'!EE429+('Tablas Servicio'!EG428-'Tablas Servicio'!EE428),EE429/(1-IF(B429&lt;=10,Parámetros!$D$100,0))),2))</f>
        <v>3.25</v>
      </c>
      <c r="EH429" s="66">
        <f t="shared" si="638"/>
        <v>0</v>
      </c>
      <c r="EI429" s="66">
        <f t="shared" si="638"/>
        <v>0</v>
      </c>
      <c r="EJ429" s="66">
        <f>+IF($W429="","",ROUND((EG429*Parámetros!$G$85),2))</f>
        <v>0.11</v>
      </c>
      <c r="EK429" s="66">
        <f>+IF($W429="","",ROUND((EG429*(Parámetros!$G$86)),2))</f>
        <v>0.02</v>
      </c>
      <c r="EL429" s="66">
        <f t="shared" si="639"/>
        <v>3.38</v>
      </c>
    </row>
    <row r="430" spans="1:142" x14ac:dyDescent="0.25">
      <c r="A430">
        <f>+IF($C430="","",ROUND(VLOOKUP('Tablas Servicio'!B430,Parámetros!$H$100:$J$159,IF(Parámetros!$E$16="F",2,3),FALSE),2))</f>
        <v>150</v>
      </c>
      <c r="B430">
        <f t="shared" si="590"/>
        <v>33</v>
      </c>
      <c r="C430" s="57">
        <f>+IF(D430="","",'Tablas Servicio'!C429+1)</f>
        <v>389</v>
      </c>
      <c r="D430" s="56">
        <f>+IF(D429&lt;edadmaxtabla,D429+1/Parámetros!$E$25,"")</f>
        <v>72.436666666666866</v>
      </c>
      <c r="E430" s="57">
        <f t="shared" si="600"/>
        <v>72</v>
      </c>
      <c r="F430" s="59">
        <f t="shared" si="601"/>
        <v>100000</v>
      </c>
      <c r="G430" s="66">
        <f t="shared" si="591"/>
        <v>153.85</v>
      </c>
      <c r="H430" s="66">
        <f t="shared" si="592"/>
        <v>160</v>
      </c>
      <c r="I430" s="66">
        <f t="shared" si="552"/>
        <v>-66</v>
      </c>
      <c r="J430" s="66">
        <f t="shared" si="593"/>
        <v>5.38</v>
      </c>
      <c r="K430" s="66">
        <f t="shared" si="594"/>
        <v>0.77</v>
      </c>
      <c r="L430" s="66">
        <f t="shared" si="595"/>
        <v>0</v>
      </c>
      <c r="M430" s="66">
        <f t="shared" si="596"/>
        <v>0</v>
      </c>
      <c r="N430" s="66">
        <f>+IF(C430="","",ROUND(Parámetros!$D$23,2))</f>
        <v>94</v>
      </c>
      <c r="O430" s="66">
        <f t="shared" si="597"/>
        <v>141.35</v>
      </c>
      <c r="P430" s="66">
        <f>+IF($C430="","",ROUND(IF(B430&gt;Parámetros!$D$117,0,N430*Parámetros!$D$116-G430*Parámetros!$D$100),2))</f>
        <v>0</v>
      </c>
      <c r="Q430" s="75">
        <f t="shared" si="553"/>
        <v>3.4969125771855701E-2</v>
      </c>
      <c r="R430" s="75">
        <f t="shared" si="554"/>
        <v>5.0048748781280471E-3</v>
      </c>
      <c r="S430" s="117">
        <f>+IF($C430="","",ROUND((S429+I430)*(1+Parámetros!$D$91),2))</f>
        <v>26779.68</v>
      </c>
      <c r="T430" s="117">
        <f>+IF($C430="","",ROUND(S430*VLOOKUP(B430,Parámetros!$C$30:$D$39,2,TRUE),2))</f>
        <v>26779.68</v>
      </c>
      <c r="U430" s="117">
        <f>+IF($C430="","",ROUND((U429+I430)*(1+Parámetros!$D$92),2))</f>
        <v>30249.86</v>
      </c>
      <c r="V430" s="117">
        <f>+IF($C430="","",ROUND(U430*VLOOKUP(B430,Parámetros!$C$30:$D$39,2,TRUE),2))</f>
        <v>30249.86</v>
      </c>
      <c r="W430" s="57">
        <f t="shared" si="555"/>
        <v>389</v>
      </c>
      <c r="X430" t="str">
        <f t="shared" si="556"/>
        <v>00058</v>
      </c>
      <c r="Y430" t="str">
        <f t="shared" si="557"/>
        <v>MUERTE POR CUALQUIER CAUSA</v>
      </c>
      <c r="Z430" s="118">
        <f>+IF($W430="","",ROUND(IF(Parámetros!$D$25='TABLAS MORT'!$V$33,Z429,Parámetros!$D$21-'Tablas Servicio'!T429),0))</f>
        <v>100000</v>
      </c>
      <c r="AA430" s="118" t="str">
        <f t="shared" si="558"/>
        <v>P</v>
      </c>
      <c r="AB430" s="119">
        <f>+IF(W430="","",ROUND((VLOOKUP(ROUNDDOWN($D430-1/frec,0),qx_tabla,2,FALSE)*(1+i/frec)^-0.5*(1+Parámetros!$D$103)*(1+rec_fracc)/frec),6))</f>
        <v>1.3810000000000001E-3</v>
      </c>
      <c r="AC430" s="66">
        <f t="shared" si="602"/>
        <v>138.1</v>
      </c>
      <c r="AD430" s="119">
        <f t="shared" si="598"/>
        <v>1.506E-3</v>
      </c>
      <c r="AE430" s="66">
        <f>+IF($W430="","",ROUND(IF($B430&gt;Parámetros!$D$107,'Tablas Servicio'!AC430+('Tablas Servicio'!AG429-'Tablas Servicio'!AC429),AC430/(1-IF(B430&lt;=10,Parámetros!$D$104,Parámetros!$D$105))),2))</f>
        <v>230.17</v>
      </c>
      <c r="AF430" s="66">
        <f>+IF($W430="","",ROUND(IF($B430&gt;Parámetros!$D$107,'Tablas Servicio'!AC430+('Tablas Servicio'!AG429-'Tablas Servicio'!AC429),(AC430+$A429/frec)/(1-IF(B430&lt;=Parámetros!$D$117,Parámetros!$D$100,0))),2))</f>
        <v>150.6</v>
      </c>
      <c r="AG430" s="66">
        <f t="shared" si="603"/>
        <v>150.6</v>
      </c>
      <c r="AH430" s="66">
        <f t="shared" si="604"/>
        <v>0</v>
      </c>
      <c r="AI430" s="66">
        <f t="shared" si="605"/>
        <v>0</v>
      </c>
      <c r="AJ430" s="66">
        <f>+IF($W430="","",ROUND((AG430*Parámetros!$G$85),2))</f>
        <v>5.27</v>
      </c>
      <c r="AK430" s="66">
        <f>+IF($W430="","",ROUND((AG430*(Parámetros!$G$86)),2))</f>
        <v>0.75</v>
      </c>
      <c r="AL430" s="66">
        <f t="shared" si="599"/>
        <v>156.62</v>
      </c>
      <c r="AM430" t="str">
        <f t="shared" si="559"/>
        <v>00059</v>
      </c>
      <c r="AN430" t="str">
        <f t="shared" si="560"/>
        <v>Incapacidad Total y Permanente</v>
      </c>
      <c r="AO430" s="118">
        <f t="shared" si="561"/>
        <v>0</v>
      </c>
      <c r="AP430" s="118" t="str">
        <f t="shared" si="562"/>
        <v>A</v>
      </c>
      <c r="AQ430" s="119" t="str">
        <f>+IF(OR($W430="",AO430=0),"",ROUND((VLOOKUP(ROUNDDOWN($D430-1/frec,0),cob_adi,Z$40,FALSE)*(1+i/frec)^-0.5*(1+Parámetros!$D$103)*(1+rec_fracc)/frec),6))</f>
        <v/>
      </c>
      <c r="AR430" s="66">
        <f t="shared" si="606"/>
        <v>0</v>
      </c>
      <c r="AS430" s="119" t="str">
        <f t="shared" si="607"/>
        <v/>
      </c>
      <c r="AT430" s="66">
        <f>+IF($W430="","",ROUND(IF($B430&gt;Parámetros!$D$107,'Tablas Servicio'!AR430+('Tablas Servicio'!AT429-'Tablas Servicio'!AR429),AR430/(1-IF(B430&lt;=10,Parámetros!$D$100,0))),2))</f>
        <v>0</v>
      </c>
      <c r="AU430" s="66">
        <f t="shared" si="608"/>
        <v>0</v>
      </c>
      <c r="AV430" s="66">
        <f t="shared" si="608"/>
        <v>0</v>
      </c>
      <c r="AW430" s="66">
        <f>+IF($W430="","",ROUND((AT430*Parámetros!$G$85),2))</f>
        <v>0</v>
      </c>
      <c r="AX430" s="66">
        <f>+IF($W430="","",ROUND((AT430*(Parámetros!$G$86)),2))</f>
        <v>0</v>
      </c>
      <c r="AY430" s="66">
        <f t="shared" si="609"/>
        <v>0</v>
      </c>
      <c r="AZ430" t="str">
        <f t="shared" si="563"/>
        <v>00060</v>
      </c>
      <c r="BA430" t="str">
        <f t="shared" si="564"/>
        <v>Muerte Accidental</v>
      </c>
      <c r="BB430" s="118">
        <f t="shared" si="565"/>
        <v>0</v>
      </c>
      <c r="BC430" s="118" t="str">
        <f t="shared" si="566"/>
        <v>A</v>
      </c>
      <c r="BD430" s="119" t="str">
        <f>+IF(OR($W430="",BB430=0),"",ROUND((VLOOKUP(ROUNDDOWN($D430-1/frec,0),cob_adi,AO$40,FALSE)*(1+i/frec)^-0.5*(1+Parámetros!$D$103)*(1+rec_fracc)/frec),6))</f>
        <v/>
      </c>
      <c r="BE430" s="66">
        <f t="shared" si="610"/>
        <v>0</v>
      </c>
      <c r="BF430" s="119" t="str">
        <f t="shared" si="611"/>
        <v/>
      </c>
      <c r="BG430" s="66">
        <f>+IF($W430="","",ROUND(IF($B430&gt;Parámetros!$D$107,'Tablas Servicio'!BE430+('Tablas Servicio'!BG429-'Tablas Servicio'!BE429),BE430/(1-IF(B430&lt;=10,Parámetros!$D$100,0))),2))</f>
        <v>0</v>
      </c>
      <c r="BH430" s="66">
        <f t="shared" si="612"/>
        <v>0</v>
      </c>
      <c r="BI430" s="66">
        <f t="shared" si="613"/>
        <v>0</v>
      </c>
      <c r="BJ430" s="66">
        <f>+IF($W430="","",ROUND((BG430*Parámetros!$G$85),2))</f>
        <v>0</v>
      </c>
      <c r="BK430" s="66">
        <f>+IF($W430="","",ROUND((BG430*(Parámetros!$G$86)),2))</f>
        <v>0</v>
      </c>
      <c r="BL430" s="66">
        <f t="shared" si="614"/>
        <v>0</v>
      </c>
      <c r="BM430" t="str">
        <f t="shared" si="567"/>
        <v>00061</v>
      </c>
      <c r="BN430" t="str">
        <f t="shared" si="568"/>
        <v>Gastos de Entierro</v>
      </c>
      <c r="BO430" s="118">
        <f t="shared" si="569"/>
        <v>0</v>
      </c>
      <c r="BP430" s="118" t="str">
        <f t="shared" si="570"/>
        <v>A</v>
      </c>
      <c r="BQ430" s="119" t="str">
        <f>+IF(OR($W430="",BO430=0),"",ROUND((VLOOKUP(ROUNDDOWN($D430-1/frec,0),cob_adi,BB$40,FALSE)*(1+i/frec)^-0.5*(1+Parámetros!$D$103)*(1+rec_fracc)/frec),6))</f>
        <v/>
      </c>
      <c r="BR430" s="66">
        <f t="shared" si="615"/>
        <v>0</v>
      </c>
      <c r="BS430" s="119" t="str">
        <f t="shared" si="616"/>
        <v/>
      </c>
      <c r="BT430" s="66">
        <f>+IF($W430="","",ROUND(IF($B430&gt;Parámetros!$D$107,'Tablas Servicio'!BR430+('Tablas Servicio'!BT429-'Tablas Servicio'!BR429),BR430/(1-IF(B430&lt;=10,Parámetros!$D$100,0))),2))</f>
        <v>0</v>
      </c>
      <c r="BU430" s="66">
        <f t="shared" si="617"/>
        <v>0</v>
      </c>
      <c r="BV430" s="66">
        <f t="shared" si="617"/>
        <v>0</v>
      </c>
      <c r="BW430" s="66">
        <f>+IF($W430="","",ROUND((BT430*Parámetros!$G$85),2))</f>
        <v>0</v>
      </c>
      <c r="BX430" s="66">
        <f>+IF($W430="","",ROUND((BT430*(Parámetros!$G$86)),2))</f>
        <v>0</v>
      </c>
      <c r="BY430" s="66">
        <f t="shared" si="618"/>
        <v>0</v>
      </c>
      <c r="BZ430" t="str">
        <f t="shared" si="571"/>
        <v>00062</v>
      </c>
      <c r="CA430" t="str">
        <f t="shared" si="572"/>
        <v>Gastos médicos por accidente</v>
      </c>
      <c r="CB430" s="118">
        <f t="shared" si="573"/>
        <v>0</v>
      </c>
      <c r="CC430" s="118" t="str">
        <f t="shared" si="574"/>
        <v>A</v>
      </c>
      <c r="CD430" s="119" t="str">
        <f t="shared" si="619"/>
        <v/>
      </c>
      <c r="CE430" s="66">
        <f>+IF($W430="","",ROUND((VLOOKUP(ROUNDDOWN($D430-1/frec,0),cob_adi,BO$40,FALSE)*(1+i/frec)^-0.5*(1+Parámetros!$D$103)*(1+rec_fracc)/frec*'TABLAS ADI'!$BC$17),2))</f>
        <v>0</v>
      </c>
      <c r="CF430" s="119" t="str">
        <f t="shared" si="620"/>
        <v/>
      </c>
      <c r="CG430" s="66">
        <f>+IF($W430="","",ROUND(IF($B430&gt;Parámetros!$D$107,'Tablas Servicio'!CE430+('Tablas Servicio'!CG429-'Tablas Servicio'!CE429),CE430/(1-IF(B430&lt;=10,Parámetros!$D$100,0))),2))</f>
        <v>0</v>
      </c>
      <c r="CH430" s="66">
        <f t="shared" si="621"/>
        <v>0</v>
      </c>
      <c r="CI430" s="66">
        <f t="shared" si="621"/>
        <v>0</v>
      </c>
      <c r="CJ430" s="66">
        <f>+IF($W430="","",ROUND((CG430*Parámetros!$G$85),2))</f>
        <v>0</v>
      </c>
      <c r="CK430" s="66">
        <f>+IF($W430="","",ROUND((CG430*(Parámetros!$G$86)),2))</f>
        <v>0</v>
      </c>
      <c r="CL430" s="66">
        <f t="shared" si="622"/>
        <v>0</v>
      </c>
      <c r="CM430" t="str">
        <f t="shared" si="575"/>
        <v>00063</v>
      </c>
      <c r="CN430" s="118" t="str">
        <f t="shared" si="576"/>
        <v>Renta Diaria por Hospitalización</v>
      </c>
      <c r="CO430" s="118">
        <f t="shared" si="577"/>
        <v>0</v>
      </c>
      <c r="CP430" s="118" t="str">
        <f t="shared" si="578"/>
        <v>A</v>
      </c>
      <c r="CQ430" s="119" t="str">
        <f t="shared" si="623"/>
        <v/>
      </c>
      <c r="CR430" s="66">
        <f>+IF($W430="","",ROUND((VLOOKUP(Parámetros!$F$51,'COBERTURAS ADICIONALES'!$S$4:$T$32,2,FALSE)*(1+i/frec)^-0.5*(1+Parámetros!$D$103)*(1+rec_fracc)/frec*$CO$42),2))</f>
        <v>0</v>
      </c>
      <c r="CS430" s="119" t="str">
        <f t="shared" si="624"/>
        <v/>
      </c>
      <c r="CT430" s="66">
        <f>+IF($W430="","",ROUND(IF($B430&gt;Parámetros!$D$107,'Tablas Servicio'!CR430+('Tablas Servicio'!CT429-'Tablas Servicio'!CR429),CR430/(1-IF(B430&lt;=10,Parámetros!$D$100,0))),2))</f>
        <v>0</v>
      </c>
      <c r="CU430" s="66">
        <f t="shared" si="625"/>
        <v>0</v>
      </c>
      <c r="CV430" s="66">
        <f t="shared" si="625"/>
        <v>0</v>
      </c>
      <c r="CW430" s="66">
        <f>+IF($W430="","",ROUND((CT430*Parámetros!$G$85),2))</f>
        <v>0</v>
      </c>
      <c r="CX430" s="66">
        <f>+IF($W430="","",ROUND((CT430*(Parámetros!$G$86)),2))</f>
        <v>0</v>
      </c>
      <c r="CY430" s="66">
        <f t="shared" si="626"/>
        <v>0</v>
      </c>
      <c r="CZ430" t="str">
        <f t="shared" si="579"/>
        <v>00064</v>
      </c>
      <c r="DA430" s="118" t="str">
        <f t="shared" si="580"/>
        <v>Enfermedades Graves</v>
      </c>
      <c r="DB430" s="118">
        <f t="shared" si="581"/>
        <v>0</v>
      </c>
      <c r="DC430" s="118" t="str">
        <f t="shared" si="582"/>
        <v>A</v>
      </c>
      <c r="DD430" s="121" t="str">
        <f>+IF(OR($W430="",DB430=0),"",ROUND((VLOOKUP(ROUNDDOWN($D430-1/frec,0),cob_adi,CO$40,FALSE)*(1+i/frec)^-0.5*(1+Parámetros!$D$103)*(1+rec_fracc)/frec),6))</f>
        <v/>
      </c>
      <c r="DE430" s="66">
        <f t="shared" si="627"/>
        <v>0</v>
      </c>
      <c r="DF430" s="119" t="str">
        <f t="shared" si="628"/>
        <v/>
      </c>
      <c r="DG430" s="66">
        <f>+IF($W430="","",ROUND(IF($B430&gt;Parámetros!$D$107,'Tablas Servicio'!DE430+('Tablas Servicio'!DG429-'Tablas Servicio'!DE429),DE430/(1-IF(B430&lt;=10,Parámetros!$D$100,0))),2))</f>
        <v>0</v>
      </c>
      <c r="DH430" s="66">
        <f t="shared" si="629"/>
        <v>0</v>
      </c>
      <c r="DI430" s="66">
        <f t="shared" si="629"/>
        <v>0</v>
      </c>
      <c r="DJ430" s="66">
        <f>+IF($W430="","",ROUND((DG430*Parámetros!$G$85),2))</f>
        <v>0</v>
      </c>
      <c r="DK430" s="66">
        <f>+IF($W430="","",ROUND((DG430*(Parámetros!$G$86)),2))</f>
        <v>0</v>
      </c>
      <c r="DL430" s="66">
        <f t="shared" si="630"/>
        <v>0</v>
      </c>
      <c r="DM430" t="str">
        <f t="shared" si="583"/>
        <v>00065</v>
      </c>
      <c r="DN430" s="118" t="str">
        <f t="shared" si="584"/>
        <v>Exención pago de primas</v>
      </c>
      <c r="DO430" s="118">
        <f t="shared" si="585"/>
        <v>0</v>
      </c>
      <c r="DP430" s="118" t="str">
        <f t="shared" si="586"/>
        <v>A</v>
      </c>
      <c r="DQ430" s="122" t="str">
        <f>+IF(OR($W430="",DO430=0),"",ROUND((VLOOKUP(ROUNDDOWN($D430-1/frec,0),cob_adi,DB$40,FALSE)*(1+i/frec)^-0.5*(1+Parámetros!$D$103)*(1+rec_fracc)/frec),6))</f>
        <v/>
      </c>
      <c r="DR430" s="66">
        <f t="shared" si="631"/>
        <v>0</v>
      </c>
      <c r="DS430" s="68" t="str">
        <f t="shared" si="632"/>
        <v/>
      </c>
      <c r="DT430" s="66">
        <f>+IF($W430="","",ROUND(IF($B430&gt;Parámetros!$D$107,'Tablas Servicio'!DR430+('Tablas Servicio'!DT429-'Tablas Servicio'!DR429),DR430/(1-IF(B430&lt;=10,Parámetros!$D$100,0))),2))</f>
        <v>0</v>
      </c>
      <c r="DU430" s="66">
        <f t="shared" si="633"/>
        <v>0</v>
      </c>
      <c r="DV430" s="66">
        <f t="shared" si="633"/>
        <v>0</v>
      </c>
      <c r="DW430" s="66">
        <f>+IF($W430="","",ROUND((DT430*Parámetros!$G$85),2))</f>
        <v>0</v>
      </c>
      <c r="DX430" s="66">
        <f>+IF($W430="","",ROUND((DT430*(Parámetros!$G$86)),2))</f>
        <v>0</v>
      </c>
      <c r="DY430" s="66">
        <f t="shared" si="634"/>
        <v>0</v>
      </c>
      <c r="DZ430" t="str">
        <f t="shared" si="635"/>
        <v>00066</v>
      </c>
      <c r="EA430" s="118" t="str">
        <f t="shared" si="635"/>
        <v>Enfermedad terminal</v>
      </c>
      <c r="EB430" s="118">
        <f>+IF($W430="","",ROUND(IF(Parámetros!$D$25='TABLAS MORT'!$V$33,EB429,Z430/2),0))</f>
        <v>50000</v>
      </c>
      <c r="EC430" s="118" t="str">
        <f t="shared" si="635"/>
        <v>A</v>
      </c>
      <c r="ED430" s="122">
        <f>+IF(OR($W430="",EB430=0),"",ROUND((VLOOKUP(ROUNDDOWN($D430-1/frec,0),cob_adi,DO$40,FALSE)*(1+i/frec)^-0.5*(1+Parámetros!$D$103)*(1+rec_fracc)/frec),6))</f>
        <v>6.4999999999999994E-5</v>
      </c>
      <c r="EE430" s="66">
        <f t="shared" si="636"/>
        <v>3.25</v>
      </c>
      <c r="EF430" s="68">
        <f t="shared" si="637"/>
        <v>6.4999999999999994E-5</v>
      </c>
      <c r="EG430" s="66">
        <f>+IF($W430="","",ROUND(IF($B430&gt;Parámetros!$D$107,'Tablas Servicio'!EE430+('Tablas Servicio'!EG429-'Tablas Servicio'!EE429),EE430/(1-IF(B430&lt;=10,Parámetros!$D$100,0))),2))</f>
        <v>3.25</v>
      </c>
      <c r="EH430" s="66">
        <f t="shared" si="638"/>
        <v>0</v>
      </c>
      <c r="EI430" s="66">
        <f t="shared" si="638"/>
        <v>0</v>
      </c>
      <c r="EJ430" s="66">
        <f>+IF($W430="","",ROUND((EG430*Parámetros!$G$85),2))</f>
        <v>0.11</v>
      </c>
      <c r="EK430" s="66">
        <f>+IF($W430="","",ROUND((EG430*(Parámetros!$G$86)),2))</f>
        <v>0.02</v>
      </c>
      <c r="EL430" s="66">
        <f t="shared" si="639"/>
        <v>3.38</v>
      </c>
    </row>
    <row r="431" spans="1:142" x14ac:dyDescent="0.25">
      <c r="A431">
        <f>+IF($C431="","",ROUND(VLOOKUP('Tablas Servicio'!B431,Parámetros!$H$100:$J$159,IF(Parámetros!$E$16="F",2,3),FALSE),2))</f>
        <v>150</v>
      </c>
      <c r="B431">
        <f t="shared" si="590"/>
        <v>33</v>
      </c>
      <c r="C431" s="57">
        <f>+IF(D431="","",'Tablas Servicio'!C430+1)</f>
        <v>390</v>
      </c>
      <c r="D431" s="56">
        <f>+IF(D430&lt;edadmaxtabla,D430+1/Parámetros!$E$25,"")</f>
        <v>72.520000000000195</v>
      </c>
      <c r="E431" s="57">
        <f t="shared" si="600"/>
        <v>72</v>
      </c>
      <c r="F431" s="59">
        <f t="shared" si="601"/>
        <v>100000</v>
      </c>
      <c r="G431" s="66">
        <f t="shared" si="591"/>
        <v>153.85</v>
      </c>
      <c r="H431" s="66">
        <f t="shared" si="592"/>
        <v>160</v>
      </c>
      <c r="I431" s="66">
        <f t="shared" si="552"/>
        <v>-66</v>
      </c>
      <c r="J431" s="66">
        <f t="shared" si="593"/>
        <v>5.38</v>
      </c>
      <c r="K431" s="66">
        <f t="shared" si="594"/>
        <v>0.77</v>
      </c>
      <c r="L431" s="66">
        <f t="shared" si="595"/>
        <v>0</v>
      </c>
      <c r="M431" s="66">
        <f t="shared" si="596"/>
        <v>0</v>
      </c>
      <c r="N431" s="66">
        <f>+IF(C431="","",ROUND(Parámetros!$D$23,2))</f>
        <v>94</v>
      </c>
      <c r="O431" s="66">
        <f t="shared" si="597"/>
        <v>141.35</v>
      </c>
      <c r="P431" s="66">
        <f>+IF($C431="","",ROUND(IF(B431&gt;Parámetros!$D$117,0,N431*Parámetros!$D$116-G431*Parámetros!$D$100),2))</f>
        <v>0</v>
      </c>
      <c r="Q431" s="75">
        <f t="shared" si="553"/>
        <v>3.4969125771855701E-2</v>
      </c>
      <c r="R431" s="75">
        <f t="shared" si="554"/>
        <v>5.0048748781280471E-3</v>
      </c>
      <c r="S431" s="117">
        <f>+IF($C431="","",ROUND((S430+I431)*(1+Parámetros!$D$91),2))</f>
        <v>26789.45</v>
      </c>
      <c r="T431" s="117">
        <f>+IF($C431="","",ROUND(S431*VLOOKUP(B431,Parámetros!$C$30:$D$39,2,TRUE),2))</f>
        <v>26789.45</v>
      </c>
      <c r="U431" s="117">
        <f>+IF($C431="","",ROUND((U430+I431)*(1+Parámetros!$D$92),2))</f>
        <v>30281.71</v>
      </c>
      <c r="V431" s="117">
        <f>+IF($C431="","",ROUND(U431*VLOOKUP(B431,Parámetros!$C$30:$D$39,2,TRUE),2))</f>
        <v>30281.71</v>
      </c>
      <c r="W431" s="57">
        <f t="shared" si="555"/>
        <v>390</v>
      </c>
      <c r="X431" t="str">
        <f t="shared" si="556"/>
        <v>00058</v>
      </c>
      <c r="Y431" t="str">
        <f t="shared" si="557"/>
        <v>MUERTE POR CUALQUIER CAUSA</v>
      </c>
      <c r="Z431" s="118">
        <f>+IF($W431="","",ROUND(IF(Parámetros!$D$25='TABLAS MORT'!$V$33,Z430,Parámetros!$D$21-'Tablas Servicio'!T430),0))</f>
        <v>100000</v>
      </c>
      <c r="AA431" s="118" t="str">
        <f t="shared" si="558"/>
        <v>P</v>
      </c>
      <c r="AB431" s="119">
        <f>+IF(W431="","",ROUND((VLOOKUP(ROUNDDOWN($D431-1/frec,0),qx_tabla,2,FALSE)*(1+i/frec)^-0.5*(1+Parámetros!$D$103)*(1+rec_fracc)/frec),6))</f>
        <v>1.3810000000000001E-3</v>
      </c>
      <c r="AC431" s="66">
        <f t="shared" si="602"/>
        <v>138.1</v>
      </c>
      <c r="AD431" s="119">
        <f t="shared" si="598"/>
        <v>1.506E-3</v>
      </c>
      <c r="AE431" s="66">
        <f>+IF($W431="","",ROUND(IF($B431&gt;Parámetros!$D$107,'Tablas Servicio'!AC431+('Tablas Servicio'!AG430-'Tablas Servicio'!AC430),AC431/(1-IF(B431&lt;=10,Parámetros!$D$104,Parámetros!$D$105))),2))</f>
        <v>230.17</v>
      </c>
      <c r="AF431" s="66">
        <f>+IF($W431="","",ROUND(IF($B431&gt;Parámetros!$D$107,'Tablas Servicio'!AC431+('Tablas Servicio'!AG430-'Tablas Servicio'!AC430),(AC431+$A430/frec)/(1-IF(B431&lt;=Parámetros!$D$117,Parámetros!$D$100,0))),2))</f>
        <v>150.6</v>
      </c>
      <c r="AG431" s="66">
        <f t="shared" si="603"/>
        <v>150.6</v>
      </c>
      <c r="AH431" s="66">
        <f t="shared" si="604"/>
        <v>0</v>
      </c>
      <c r="AI431" s="66">
        <f t="shared" si="605"/>
        <v>0</v>
      </c>
      <c r="AJ431" s="66">
        <f>+IF($W431="","",ROUND((AG431*Parámetros!$G$85),2))</f>
        <v>5.27</v>
      </c>
      <c r="AK431" s="66">
        <f>+IF($W431="","",ROUND((AG431*(Parámetros!$G$86)),2))</f>
        <v>0.75</v>
      </c>
      <c r="AL431" s="66">
        <f t="shared" si="599"/>
        <v>156.62</v>
      </c>
      <c r="AM431" t="str">
        <f t="shared" si="559"/>
        <v>00059</v>
      </c>
      <c r="AN431" t="str">
        <f t="shared" si="560"/>
        <v>Incapacidad Total y Permanente</v>
      </c>
      <c r="AO431" s="118">
        <f t="shared" si="561"/>
        <v>0</v>
      </c>
      <c r="AP431" s="118" t="str">
        <f t="shared" si="562"/>
        <v>A</v>
      </c>
      <c r="AQ431" s="119" t="str">
        <f>+IF(OR($W431="",AO431=0),"",ROUND((VLOOKUP(ROUNDDOWN($D431-1/frec,0),cob_adi,Z$40,FALSE)*(1+i/frec)^-0.5*(1+Parámetros!$D$103)*(1+rec_fracc)/frec),6))</f>
        <v/>
      </c>
      <c r="AR431" s="66">
        <f t="shared" si="606"/>
        <v>0</v>
      </c>
      <c r="AS431" s="119" t="str">
        <f t="shared" si="607"/>
        <v/>
      </c>
      <c r="AT431" s="66">
        <f>+IF($W431="","",ROUND(IF($B431&gt;Parámetros!$D$107,'Tablas Servicio'!AR431+('Tablas Servicio'!AT430-'Tablas Servicio'!AR430),AR431/(1-IF(B431&lt;=10,Parámetros!$D$100,0))),2))</f>
        <v>0</v>
      </c>
      <c r="AU431" s="66">
        <f t="shared" si="608"/>
        <v>0</v>
      </c>
      <c r="AV431" s="66">
        <f t="shared" si="608"/>
        <v>0</v>
      </c>
      <c r="AW431" s="66">
        <f>+IF($W431="","",ROUND((AT431*Parámetros!$G$85),2))</f>
        <v>0</v>
      </c>
      <c r="AX431" s="66">
        <f>+IF($W431="","",ROUND((AT431*(Parámetros!$G$86)),2))</f>
        <v>0</v>
      </c>
      <c r="AY431" s="66">
        <f t="shared" si="609"/>
        <v>0</v>
      </c>
      <c r="AZ431" t="str">
        <f t="shared" si="563"/>
        <v>00060</v>
      </c>
      <c r="BA431" t="str">
        <f t="shared" si="564"/>
        <v>Muerte Accidental</v>
      </c>
      <c r="BB431" s="118">
        <f t="shared" si="565"/>
        <v>0</v>
      </c>
      <c r="BC431" s="118" t="str">
        <f t="shared" si="566"/>
        <v>A</v>
      </c>
      <c r="BD431" s="119" t="str">
        <f>+IF(OR($W431="",BB431=0),"",ROUND((VLOOKUP(ROUNDDOWN($D431-1/frec,0),cob_adi,AO$40,FALSE)*(1+i/frec)^-0.5*(1+Parámetros!$D$103)*(1+rec_fracc)/frec),6))</f>
        <v/>
      </c>
      <c r="BE431" s="66">
        <f t="shared" si="610"/>
        <v>0</v>
      </c>
      <c r="BF431" s="119" t="str">
        <f t="shared" si="611"/>
        <v/>
      </c>
      <c r="BG431" s="66">
        <f>+IF($W431="","",ROUND(IF($B431&gt;Parámetros!$D$107,'Tablas Servicio'!BE431+('Tablas Servicio'!BG430-'Tablas Servicio'!BE430),BE431/(1-IF(B431&lt;=10,Parámetros!$D$100,0))),2))</f>
        <v>0</v>
      </c>
      <c r="BH431" s="66">
        <f t="shared" si="612"/>
        <v>0</v>
      </c>
      <c r="BI431" s="66">
        <f t="shared" si="613"/>
        <v>0</v>
      </c>
      <c r="BJ431" s="66">
        <f>+IF($W431="","",ROUND((BG431*Parámetros!$G$85),2))</f>
        <v>0</v>
      </c>
      <c r="BK431" s="66">
        <f>+IF($W431="","",ROUND((BG431*(Parámetros!$G$86)),2))</f>
        <v>0</v>
      </c>
      <c r="BL431" s="66">
        <f t="shared" si="614"/>
        <v>0</v>
      </c>
      <c r="BM431" t="str">
        <f t="shared" si="567"/>
        <v>00061</v>
      </c>
      <c r="BN431" t="str">
        <f t="shared" si="568"/>
        <v>Gastos de Entierro</v>
      </c>
      <c r="BO431" s="118">
        <f t="shared" si="569"/>
        <v>0</v>
      </c>
      <c r="BP431" s="118" t="str">
        <f t="shared" si="570"/>
        <v>A</v>
      </c>
      <c r="BQ431" s="119" t="str">
        <f>+IF(OR($W431="",BO431=0),"",ROUND((VLOOKUP(ROUNDDOWN($D431-1/frec,0),cob_adi,BB$40,FALSE)*(1+i/frec)^-0.5*(1+Parámetros!$D$103)*(1+rec_fracc)/frec),6))</f>
        <v/>
      </c>
      <c r="BR431" s="66">
        <f t="shared" si="615"/>
        <v>0</v>
      </c>
      <c r="BS431" s="119" t="str">
        <f t="shared" si="616"/>
        <v/>
      </c>
      <c r="BT431" s="66">
        <f>+IF($W431="","",ROUND(IF($B431&gt;Parámetros!$D$107,'Tablas Servicio'!BR431+('Tablas Servicio'!BT430-'Tablas Servicio'!BR430),BR431/(1-IF(B431&lt;=10,Parámetros!$D$100,0))),2))</f>
        <v>0</v>
      </c>
      <c r="BU431" s="66">
        <f t="shared" si="617"/>
        <v>0</v>
      </c>
      <c r="BV431" s="66">
        <f t="shared" si="617"/>
        <v>0</v>
      </c>
      <c r="BW431" s="66">
        <f>+IF($W431="","",ROUND((BT431*Parámetros!$G$85),2))</f>
        <v>0</v>
      </c>
      <c r="BX431" s="66">
        <f>+IF($W431="","",ROUND((BT431*(Parámetros!$G$86)),2))</f>
        <v>0</v>
      </c>
      <c r="BY431" s="66">
        <f t="shared" si="618"/>
        <v>0</v>
      </c>
      <c r="BZ431" t="str">
        <f t="shared" si="571"/>
        <v>00062</v>
      </c>
      <c r="CA431" t="str">
        <f t="shared" si="572"/>
        <v>Gastos médicos por accidente</v>
      </c>
      <c r="CB431" s="118">
        <f t="shared" si="573"/>
        <v>0</v>
      </c>
      <c r="CC431" s="118" t="str">
        <f t="shared" si="574"/>
        <v>A</v>
      </c>
      <c r="CD431" s="119" t="str">
        <f t="shared" si="619"/>
        <v/>
      </c>
      <c r="CE431" s="66">
        <f>+IF($W431="","",ROUND((VLOOKUP(ROUNDDOWN($D431-1/frec,0),cob_adi,BO$40,FALSE)*(1+i/frec)^-0.5*(1+Parámetros!$D$103)*(1+rec_fracc)/frec*'TABLAS ADI'!$BC$17),2))</f>
        <v>0</v>
      </c>
      <c r="CF431" s="119" t="str">
        <f t="shared" si="620"/>
        <v/>
      </c>
      <c r="CG431" s="66">
        <f>+IF($W431="","",ROUND(IF($B431&gt;Parámetros!$D$107,'Tablas Servicio'!CE431+('Tablas Servicio'!CG430-'Tablas Servicio'!CE430),CE431/(1-IF(B431&lt;=10,Parámetros!$D$100,0))),2))</f>
        <v>0</v>
      </c>
      <c r="CH431" s="66">
        <f t="shared" si="621"/>
        <v>0</v>
      </c>
      <c r="CI431" s="66">
        <f t="shared" si="621"/>
        <v>0</v>
      </c>
      <c r="CJ431" s="66">
        <f>+IF($W431="","",ROUND((CG431*Parámetros!$G$85),2))</f>
        <v>0</v>
      </c>
      <c r="CK431" s="66">
        <f>+IF($W431="","",ROUND((CG431*(Parámetros!$G$86)),2))</f>
        <v>0</v>
      </c>
      <c r="CL431" s="66">
        <f t="shared" si="622"/>
        <v>0</v>
      </c>
      <c r="CM431" t="str">
        <f t="shared" si="575"/>
        <v>00063</v>
      </c>
      <c r="CN431" s="118" t="str">
        <f t="shared" si="576"/>
        <v>Renta Diaria por Hospitalización</v>
      </c>
      <c r="CO431" s="118">
        <f t="shared" si="577"/>
        <v>0</v>
      </c>
      <c r="CP431" s="118" t="str">
        <f t="shared" si="578"/>
        <v>A</v>
      </c>
      <c r="CQ431" s="119" t="str">
        <f t="shared" si="623"/>
        <v/>
      </c>
      <c r="CR431" s="66">
        <f>+IF($W431="","",ROUND((VLOOKUP(Parámetros!$F$51,'COBERTURAS ADICIONALES'!$S$4:$T$32,2,FALSE)*(1+i/frec)^-0.5*(1+Parámetros!$D$103)*(1+rec_fracc)/frec*$CO$42),2))</f>
        <v>0</v>
      </c>
      <c r="CS431" s="119" t="str">
        <f t="shared" si="624"/>
        <v/>
      </c>
      <c r="CT431" s="66">
        <f>+IF($W431="","",ROUND(IF($B431&gt;Parámetros!$D$107,'Tablas Servicio'!CR431+('Tablas Servicio'!CT430-'Tablas Servicio'!CR430),CR431/(1-IF(B431&lt;=10,Parámetros!$D$100,0))),2))</f>
        <v>0</v>
      </c>
      <c r="CU431" s="66">
        <f t="shared" si="625"/>
        <v>0</v>
      </c>
      <c r="CV431" s="66">
        <f t="shared" si="625"/>
        <v>0</v>
      </c>
      <c r="CW431" s="66">
        <f>+IF($W431="","",ROUND((CT431*Parámetros!$G$85),2))</f>
        <v>0</v>
      </c>
      <c r="CX431" s="66">
        <f>+IF($W431="","",ROUND((CT431*(Parámetros!$G$86)),2))</f>
        <v>0</v>
      </c>
      <c r="CY431" s="66">
        <f t="shared" si="626"/>
        <v>0</v>
      </c>
      <c r="CZ431" t="str">
        <f t="shared" si="579"/>
        <v>00064</v>
      </c>
      <c r="DA431" s="118" t="str">
        <f t="shared" si="580"/>
        <v>Enfermedades Graves</v>
      </c>
      <c r="DB431" s="118">
        <f t="shared" si="581"/>
        <v>0</v>
      </c>
      <c r="DC431" s="118" t="str">
        <f t="shared" si="582"/>
        <v>A</v>
      </c>
      <c r="DD431" s="121" t="str">
        <f>+IF(OR($W431="",DB431=0),"",ROUND((VLOOKUP(ROUNDDOWN($D431-1/frec,0),cob_adi,CO$40,FALSE)*(1+i/frec)^-0.5*(1+Parámetros!$D$103)*(1+rec_fracc)/frec),6))</f>
        <v/>
      </c>
      <c r="DE431" s="66">
        <f t="shared" si="627"/>
        <v>0</v>
      </c>
      <c r="DF431" s="119" t="str">
        <f t="shared" si="628"/>
        <v/>
      </c>
      <c r="DG431" s="66">
        <f>+IF($W431="","",ROUND(IF($B431&gt;Parámetros!$D$107,'Tablas Servicio'!DE431+('Tablas Servicio'!DG430-'Tablas Servicio'!DE430),DE431/(1-IF(B431&lt;=10,Parámetros!$D$100,0))),2))</f>
        <v>0</v>
      </c>
      <c r="DH431" s="66">
        <f t="shared" si="629"/>
        <v>0</v>
      </c>
      <c r="DI431" s="66">
        <f t="shared" si="629"/>
        <v>0</v>
      </c>
      <c r="DJ431" s="66">
        <f>+IF($W431="","",ROUND((DG431*Parámetros!$G$85),2))</f>
        <v>0</v>
      </c>
      <c r="DK431" s="66">
        <f>+IF($W431="","",ROUND((DG431*(Parámetros!$G$86)),2))</f>
        <v>0</v>
      </c>
      <c r="DL431" s="66">
        <f t="shared" si="630"/>
        <v>0</v>
      </c>
      <c r="DM431" t="str">
        <f t="shared" si="583"/>
        <v>00065</v>
      </c>
      <c r="DN431" s="118" t="str">
        <f t="shared" si="584"/>
        <v>Exención pago de primas</v>
      </c>
      <c r="DO431" s="118">
        <f t="shared" si="585"/>
        <v>0</v>
      </c>
      <c r="DP431" s="118" t="str">
        <f t="shared" si="586"/>
        <v>A</v>
      </c>
      <c r="DQ431" s="122" t="str">
        <f>+IF(OR($W431="",DO431=0),"",ROUND((VLOOKUP(ROUNDDOWN($D431-1/frec,0),cob_adi,DB$40,FALSE)*(1+i/frec)^-0.5*(1+Parámetros!$D$103)*(1+rec_fracc)/frec),6))</f>
        <v/>
      </c>
      <c r="DR431" s="66">
        <f t="shared" si="631"/>
        <v>0</v>
      </c>
      <c r="DS431" s="68" t="str">
        <f t="shared" si="632"/>
        <v/>
      </c>
      <c r="DT431" s="66">
        <f>+IF($W431="","",ROUND(IF($B431&gt;Parámetros!$D$107,'Tablas Servicio'!DR431+('Tablas Servicio'!DT430-'Tablas Servicio'!DR430),DR431/(1-IF(B431&lt;=10,Parámetros!$D$100,0))),2))</f>
        <v>0</v>
      </c>
      <c r="DU431" s="66">
        <f t="shared" si="633"/>
        <v>0</v>
      </c>
      <c r="DV431" s="66">
        <f t="shared" si="633"/>
        <v>0</v>
      </c>
      <c r="DW431" s="66">
        <f>+IF($W431="","",ROUND((DT431*Parámetros!$G$85),2))</f>
        <v>0</v>
      </c>
      <c r="DX431" s="66">
        <f>+IF($W431="","",ROUND((DT431*(Parámetros!$G$86)),2))</f>
        <v>0</v>
      </c>
      <c r="DY431" s="66">
        <f t="shared" si="634"/>
        <v>0</v>
      </c>
      <c r="DZ431" t="str">
        <f t="shared" si="635"/>
        <v>00066</v>
      </c>
      <c r="EA431" s="118" t="str">
        <f t="shared" si="635"/>
        <v>Enfermedad terminal</v>
      </c>
      <c r="EB431" s="118">
        <f>+IF($W431="","",ROUND(IF(Parámetros!$D$25='TABLAS MORT'!$V$33,EB430,Z431/2),0))</f>
        <v>50000</v>
      </c>
      <c r="EC431" s="118" t="str">
        <f t="shared" si="635"/>
        <v>A</v>
      </c>
      <c r="ED431" s="122">
        <f>+IF(OR($W431="",EB431=0),"",ROUND((VLOOKUP(ROUNDDOWN($D431-1/frec,0),cob_adi,DO$40,FALSE)*(1+i/frec)^-0.5*(1+Parámetros!$D$103)*(1+rec_fracc)/frec),6))</f>
        <v>6.4999999999999994E-5</v>
      </c>
      <c r="EE431" s="66">
        <f t="shared" si="636"/>
        <v>3.25</v>
      </c>
      <c r="EF431" s="68">
        <f t="shared" si="637"/>
        <v>6.4999999999999994E-5</v>
      </c>
      <c r="EG431" s="66">
        <f>+IF($W431="","",ROUND(IF($B431&gt;Parámetros!$D$107,'Tablas Servicio'!EE431+('Tablas Servicio'!EG430-'Tablas Servicio'!EE430),EE431/(1-IF(B431&lt;=10,Parámetros!$D$100,0))),2))</f>
        <v>3.25</v>
      </c>
      <c r="EH431" s="66">
        <f t="shared" si="638"/>
        <v>0</v>
      </c>
      <c r="EI431" s="66">
        <f t="shared" si="638"/>
        <v>0</v>
      </c>
      <c r="EJ431" s="66">
        <f>+IF($W431="","",ROUND((EG431*Parámetros!$G$85),2))</f>
        <v>0.11</v>
      </c>
      <c r="EK431" s="66">
        <f>+IF($W431="","",ROUND((EG431*(Parámetros!$G$86)),2))</f>
        <v>0.02</v>
      </c>
      <c r="EL431" s="66">
        <f t="shared" si="639"/>
        <v>3.38</v>
      </c>
    </row>
    <row r="432" spans="1:142" x14ac:dyDescent="0.25">
      <c r="A432">
        <f>+IF($C432="","",ROUND(VLOOKUP('Tablas Servicio'!B432,Parámetros!$H$100:$J$159,IF(Parámetros!$E$16="F",2,3),FALSE),2))</f>
        <v>150</v>
      </c>
      <c r="B432">
        <f t="shared" si="590"/>
        <v>33</v>
      </c>
      <c r="C432" s="57">
        <f>+IF(D432="","",'Tablas Servicio'!C431+1)</f>
        <v>391</v>
      </c>
      <c r="D432" s="56">
        <f>+IF(D431&lt;edadmaxtabla,D431+1/Parámetros!$E$25,"")</f>
        <v>72.603333333333524</v>
      </c>
      <c r="E432" s="57">
        <f t="shared" si="600"/>
        <v>72</v>
      </c>
      <c r="F432" s="59">
        <f t="shared" si="601"/>
        <v>100000</v>
      </c>
      <c r="G432" s="66">
        <f t="shared" si="591"/>
        <v>153.85</v>
      </c>
      <c r="H432" s="66">
        <f t="shared" si="592"/>
        <v>160</v>
      </c>
      <c r="I432" s="66">
        <f t="shared" si="552"/>
        <v>-66</v>
      </c>
      <c r="J432" s="66">
        <f t="shared" si="593"/>
        <v>5.38</v>
      </c>
      <c r="K432" s="66">
        <f t="shared" si="594"/>
        <v>0.77</v>
      </c>
      <c r="L432" s="66">
        <f t="shared" si="595"/>
        <v>0</v>
      </c>
      <c r="M432" s="66">
        <f t="shared" si="596"/>
        <v>0</v>
      </c>
      <c r="N432" s="66">
        <f>+IF(C432="","",ROUND(Parámetros!$D$23,2))</f>
        <v>94</v>
      </c>
      <c r="O432" s="66">
        <f t="shared" si="597"/>
        <v>141.35</v>
      </c>
      <c r="P432" s="66">
        <f>+IF($C432="","",ROUND(IF(B432&gt;Parámetros!$D$117,0,N432*Parámetros!$D$116-G432*Parámetros!$D$100),2))</f>
        <v>0</v>
      </c>
      <c r="Q432" s="75">
        <f t="shared" si="553"/>
        <v>3.4969125771855701E-2</v>
      </c>
      <c r="R432" s="75">
        <f t="shared" si="554"/>
        <v>5.0048748781280471E-3</v>
      </c>
      <c r="S432" s="117">
        <f>+IF($C432="","",ROUND((S431+I432)*(1+Parámetros!$D$91),2))</f>
        <v>26799.25</v>
      </c>
      <c r="T432" s="117">
        <f>+IF($C432="","",ROUND(S432*VLOOKUP(B432,Parámetros!$C$30:$D$39,2,TRUE),2))</f>
        <v>26799.25</v>
      </c>
      <c r="U432" s="117">
        <f>+IF($C432="","",ROUND((U431+I432)*(1+Parámetros!$D$92),2))</f>
        <v>30313.66</v>
      </c>
      <c r="V432" s="117">
        <f>+IF($C432="","",ROUND(U432*VLOOKUP(B432,Parámetros!$C$30:$D$39,2,TRUE),2))</f>
        <v>30313.66</v>
      </c>
      <c r="W432" s="57">
        <f t="shared" si="555"/>
        <v>391</v>
      </c>
      <c r="X432" t="str">
        <f t="shared" si="556"/>
        <v>00058</v>
      </c>
      <c r="Y432" t="str">
        <f t="shared" si="557"/>
        <v>MUERTE POR CUALQUIER CAUSA</v>
      </c>
      <c r="Z432" s="118">
        <f>+IF($W432="","",ROUND(IF(Parámetros!$D$25='TABLAS MORT'!$V$33,Z431,Parámetros!$D$21-'Tablas Servicio'!T431),0))</f>
        <v>100000</v>
      </c>
      <c r="AA432" s="118" t="str">
        <f t="shared" si="558"/>
        <v>P</v>
      </c>
      <c r="AB432" s="119">
        <f>+IF(W432="","",ROUND((VLOOKUP(ROUNDDOWN($D432-1/frec,0),qx_tabla,2,FALSE)*(1+i/frec)^-0.5*(1+Parámetros!$D$103)*(1+rec_fracc)/frec),6))</f>
        <v>1.3810000000000001E-3</v>
      </c>
      <c r="AC432" s="66">
        <f t="shared" si="602"/>
        <v>138.1</v>
      </c>
      <c r="AD432" s="119">
        <f t="shared" si="598"/>
        <v>1.506E-3</v>
      </c>
      <c r="AE432" s="66">
        <f>+IF($W432="","",ROUND(IF($B432&gt;Parámetros!$D$107,'Tablas Servicio'!AC432+('Tablas Servicio'!AG431-'Tablas Servicio'!AC431),AC432/(1-IF(B432&lt;=10,Parámetros!$D$104,Parámetros!$D$105))),2))</f>
        <v>230.17</v>
      </c>
      <c r="AF432" s="66">
        <f>+IF($W432="","",ROUND(IF($B432&gt;Parámetros!$D$107,'Tablas Servicio'!AC432+('Tablas Servicio'!AG431-'Tablas Servicio'!AC431),(AC432+$A431/frec)/(1-IF(B432&lt;=Parámetros!$D$117,Parámetros!$D$100,0))),2))</f>
        <v>150.6</v>
      </c>
      <c r="AG432" s="66">
        <f t="shared" si="603"/>
        <v>150.6</v>
      </c>
      <c r="AH432" s="66">
        <f t="shared" si="604"/>
        <v>0</v>
      </c>
      <c r="AI432" s="66">
        <f t="shared" si="605"/>
        <v>0</v>
      </c>
      <c r="AJ432" s="66">
        <f>+IF($W432="","",ROUND((AG432*Parámetros!$G$85),2))</f>
        <v>5.27</v>
      </c>
      <c r="AK432" s="66">
        <f>+IF($W432="","",ROUND((AG432*(Parámetros!$G$86)),2))</f>
        <v>0.75</v>
      </c>
      <c r="AL432" s="66">
        <f t="shared" si="599"/>
        <v>156.62</v>
      </c>
      <c r="AM432" t="str">
        <f t="shared" si="559"/>
        <v>00059</v>
      </c>
      <c r="AN432" t="str">
        <f t="shared" si="560"/>
        <v>Incapacidad Total y Permanente</v>
      </c>
      <c r="AO432" s="118">
        <f t="shared" si="561"/>
        <v>0</v>
      </c>
      <c r="AP432" s="118" t="str">
        <f t="shared" si="562"/>
        <v>A</v>
      </c>
      <c r="AQ432" s="119" t="str">
        <f>+IF(OR($W432="",AO432=0),"",ROUND((VLOOKUP(ROUNDDOWN($D432-1/frec,0),cob_adi,Z$40,FALSE)*(1+i/frec)^-0.5*(1+Parámetros!$D$103)*(1+rec_fracc)/frec),6))</f>
        <v/>
      </c>
      <c r="AR432" s="66">
        <f t="shared" si="606"/>
        <v>0</v>
      </c>
      <c r="AS432" s="119" t="str">
        <f t="shared" si="607"/>
        <v/>
      </c>
      <c r="AT432" s="66">
        <f>+IF($W432="","",ROUND(IF($B432&gt;Parámetros!$D$107,'Tablas Servicio'!AR432+('Tablas Servicio'!AT431-'Tablas Servicio'!AR431),AR432/(1-IF(B432&lt;=10,Parámetros!$D$100,0))),2))</f>
        <v>0</v>
      </c>
      <c r="AU432" s="66">
        <f t="shared" si="608"/>
        <v>0</v>
      </c>
      <c r="AV432" s="66">
        <f t="shared" si="608"/>
        <v>0</v>
      </c>
      <c r="AW432" s="66">
        <f>+IF($W432="","",ROUND((AT432*Parámetros!$G$85),2))</f>
        <v>0</v>
      </c>
      <c r="AX432" s="66">
        <f>+IF($W432="","",ROUND((AT432*(Parámetros!$G$86)),2))</f>
        <v>0</v>
      </c>
      <c r="AY432" s="66">
        <f t="shared" si="609"/>
        <v>0</v>
      </c>
      <c r="AZ432" t="str">
        <f t="shared" si="563"/>
        <v>00060</v>
      </c>
      <c r="BA432" t="str">
        <f t="shared" si="564"/>
        <v>Muerte Accidental</v>
      </c>
      <c r="BB432" s="118">
        <f t="shared" si="565"/>
        <v>0</v>
      </c>
      <c r="BC432" s="118" t="str">
        <f t="shared" si="566"/>
        <v>A</v>
      </c>
      <c r="BD432" s="119" t="str">
        <f>+IF(OR($W432="",BB432=0),"",ROUND((VLOOKUP(ROUNDDOWN($D432-1/frec,0),cob_adi,AO$40,FALSE)*(1+i/frec)^-0.5*(1+Parámetros!$D$103)*(1+rec_fracc)/frec),6))</f>
        <v/>
      </c>
      <c r="BE432" s="66">
        <f t="shared" si="610"/>
        <v>0</v>
      </c>
      <c r="BF432" s="119" t="str">
        <f t="shared" si="611"/>
        <v/>
      </c>
      <c r="BG432" s="66">
        <f>+IF($W432="","",ROUND(IF($B432&gt;Parámetros!$D$107,'Tablas Servicio'!BE432+('Tablas Servicio'!BG431-'Tablas Servicio'!BE431),BE432/(1-IF(B432&lt;=10,Parámetros!$D$100,0))),2))</f>
        <v>0</v>
      </c>
      <c r="BH432" s="66">
        <f t="shared" si="612"/>
        <v>0</v>
      </c>
      <c r="BI432" s="66">
        <f t="shared" si="613"/>
        <v>0</v>
      </c>
      <c r="BJ432" s="66">
        <f>+IF($W432="","",ROUND((BG432*Parámetros!$G$85),2))</f>
        <v>0</v>
      </c>
      <c r="BK432" s="66">
        <f>+IF($W432="","",ROUND((BG432*(Parámetros!$G$86)),2))</f>
        <v>0</v>
      </c>
      <c r="BL432" s="66">
        <f t="shared" si="614"/>
        <v>0</v>
      </c>
      <c r="BM432" t="str">
        <f t="shared" si="567"/>
        <v>00061</v>
      </c>
      <c r="BN432" t="str">
        <f t="shared" si="568"/>
        <v>Gastos de Entierro</v>
      </c>
      <c r="BO432" s="118">
        <f t="shared" si="569"/>
        <v>0</v>
      </c>
      <c r="BP432" s="118" t="str">
        <f t="shared" si="570"/>
        <v>A</v>
      </c>
      <c r="BQ432" s="119" t="str">
        <f>+IF(OR($W432="",BO432=0),"",ROUND((VLOOKUP(ROUNDDOWN($D432-1/frec,0),cob_adi,BB$40,FALSE)*(1+i/frec)^-0.5*(1+Parámetros!$D$103)*(1+rec_fracc)/frec),6))</f>
        <v/>
      </c>
      <c r="BR432" s="66">
        <f t="shared" si="615"/>
        <v>0</v>
      </c>
      <c r="BS432" s="119" t="str">
        <f t="shared" si="616"/>
        <v/>
      </c>
      <c r="BT432" s="66">
        <f>+IF($W432="","",ROUND(IF($B432&gt;Parámetros!$D$107,'Tablas Servicio'!BR432+('Tablas Servicio'!BT431-'Tablas Servicio'!BR431),BR432/(1-IF(B432&lt;=10,Parámetros!$D$100,0))),2))</f>
        <v>0</v>
      </c>
      <c r="BU432" s="66">
        <f t="shared" si="617"/>
        <v>0</v>
      </c>
      <c r="BV432" s="66">
        <f t="shared" si="617"/>
        <v>0</v>
      </c>
      <c r="BW432" s="66">
        <f>+IF($W432="","",ROUND((BT432*Parámetros!$G$85),2))</f>
        <v>0</v>
      </c>
      <c r="BX432" s="66">
        <f>+IF($W432="","",ROUND((BT432*(Parámetros!$G$86)),2))</f>
        <v>0</v>
      </c>
      <c r="BY432" s="66">
        <f t="shared" si="618"/>
        <v>0</v>
      </c>
      <c r="BZ432" t="str">
        <f t="shared" si="571"/>
        <v>00062</v>
      </c>
      <c r="CA432" t="str">
        <f t="shared" si="572"/>
        <v>Gastos médicos por accidente</v>
      </c>
      <c r="CB432" s="118">
        <f t="shared" si="573"/>
        <v>0</v>
      </c>
      <c r="CC432" s="118" t="str">
        <f t="shared" si="574"/>
        <v>A</v>
      </c>
      <c r="CD432" s="119" t="str">
        <f t="shared" si="619"/>
        <v/>
      </c>
      <c r="CE432" s="66">
        <f>+IF($W432="","",ROUND((VLOOKUP(ROUNDDOWN($D432-1/frec,0),cob_adi,BO$40,FALSE)*(1+i/frec)^-0.5*(1+Parámetros!$D$103)*(1+rec_fracc)/frec*'TABLAS ADI'!$BC$17),2))</f>
        <v>0</v>
      </c>
      <c r="CF432" s="119" t="str">
        <f t="shared" si="620"/>
        <v/>
      </c>
      <c r="CG432" s="66">
        <f>+IF($W432="","",ROUND(IF($B432&gt;Parámetros!$D$107,'Tablas Servicio'!CE432+('Tablas Servicio'!CG431-'Tablas Servicio'!CE431),CE432/(1-IF(B432&lt;=10,Parámetros!$D$100,0))),2))</f>
        <v>0</v>
      </c>
      <c r="CH432" s="66">
        <f t="shared" si="621"/>
        <v>0</v>
      </c>
      <c r="CI432" s="66">
        <f t="shared" si="621"/>
        <v>0</v>
      </c>
      <c r="CJ432" s="66">
        <f>+IF($W432="","",ROUND((CG432*Parámetros!$G$85),2))</f>
        <v>0</v>
      </c>
      <c r="CK432" s="66">
        <f>+IF($W432="","",ROUND((CG432*(Parámetros!$G$86)),2))</f>
        <v>0</v>
      </c>
      <c r="CL432" s="66">
        <f t="shared" si="622"/>
        <v>0</v>
      </c>
      <c r="CM432" t="str">
        <f t="shared" si="575"/>
        <v>00063</v>
      </c>
      <c r="CN432" s="118" t="str">
        <f t="shared" si="576"/>
        <v>Renta Diaria por Hospitalización</v>
      </c>
      <c r="CO432" s="118">
        <f t="shared" si="577"/>
        <v>0</v>
      </c>
      <c r="CP432" s="118" t="str">
        <f t="shared" si="578"/>
        <v>A</v>
      </c>
      <c r="CQ432" s="119" t="str">
        <f t="shared" si="623"/>
        <v/>
      </c>
      <c r="CR432" s="66">
        <f>+IF($W432="","",ROUND((VLOOKUP(Parámetros!$F$51,'COBERTURAS ADICIONALES'!$S$4:$T$32,2,FALSE)*(1+i/frec)^-0.5*(1+Parámetros!$D$103)*(1+rec_fracc)/frec*$CO$42),2))</f>
        <v>0</v>
      </c>
      <c r="CS432" s="119" t="str">
        <f t="shared" si="624"/>
        <v/>
      </c>
      <c r="CT432" s="66">
        <f>+IF($W432="","",ROUND(IF($B432&gt;Parámetros!$D$107,'Tablas Servicio'!CR432+('Tablas Servicio'!CT431-'Tablas Servicio'!CR431),CR432/(1-IF(B432&lt;=10,Parámetros!$D$100,0))),2))</f>
        <v>0</v>
      </c>
      <c r="CU432" s="66">
        <f t="shared" si="625"/>
        <v>0</v>
      </c>
      <c r="CV432" s="66">
        <f t="shared" si="625"/>
        <v>0</v>
      </c>
      <c r="CW432" s="66">
        <f>+IF($W432="","",ROUND((CT432*Parámetros!$G$85),2))</f>
        <v>0</v>
      </c>
      <c r="CX432" s="66">
        <f>+IF($W432="","",ROUND((CT432*(Parámetros!$G$86)),2))</f>
        <v>0</v>
      </c>
      <c r="CY432" s="66">
        <f t="shared" si="626"/>
        <v>0</v>
      </c>
      <c r="CZ432" t="str">
        <f t="shared" si="579"/>
        <v>00064</v>
      </c>
      <c r="DA432" s="118" t="str">
        <f t="shared" si="580"/>
        <v>Enfermedades Graves</v>
      </c>
      <c r="DB432" s="118">
        <f t="shared" si="581"/>
        <v>0</v>
      </c>
      <c r="DC432" s="118" t="str">
        <f t="shared" si="582"/>
        <v>A</v>
      </c>
      <c r="DD432" s="121" t="str">
        <f>+IF(OR($W432="",DB432=0),"",ROUND((VLOOKUP(ROUNDDOWN($D432-1/frec,0),cob_adi,CO$40,FALSE)*(1+i/frec)^-0.5*(1+Parámetros!$D$103)*(1+rec_fracc)/frec),6))</f>
        <v/>
      </c>
      <c r="DE432" s="66">
        <f t="shared" si="627"/>
        <v>0</v>
      </c>
      <c r="DF432" s="119" t="str">
        <f t="shared" si="628"/>
        <v/>
      </c>
      <c r="DG432" s="66">
        <f>+IF($W432="","",ROUND(IF($B432&gt;Parámetros!$D$107,'Tablas Servicio'!DE432+('Tablas Servicio'!DG431-'Tablas Servicio'!DE431),DE432/(1-IF(B432&lt;=10,Parámetros!$D$100,0))),2))</f>
        <v>0</v>
      </c>
      <c r="DH432" s="66">
        <f t="shared" si="629"/>
        <v>0</v>
      </c>
      <c r="DI432" s="66">
        <f t="shared" si="629"/>
        <v>0</v>
      </c>
      <c r="DJ432" s="66">
        <f>+IF($W432="","",ROUND((DG432*Parámetros!$G$85),2))</f>
        <v>0</v>
      </c>
      <c r="DK432" s="66">
        <f>+IF($W432="","",ROUND((DG432*(Parámetros!$G$86)),2))</f>
        <v>0</v>
      </c>
      <c r="DL432" s="66">
        <f t="shared" si="630"/>
        <v>0</v>
      </c>
      <c r="DM432" t="str">
        <f t="shared" si="583"/>
        <v>00065</v>
      </c>
      <c r="DN432" s="118" t="str">
        <f t="shared" si="584"/>
        <v>Exención pago de primas</v>
      </c>
      <c r="DO432" s="118">
        <f t="shared" si="585"/>
        <v>0</v>
      </c>
      <c r="DP432" s="118" t="str">
        <f t="shared" si="586"/>
        <v>A</v>
      </c>
      <c r="DQ432" s="122" t="str">
        <f>+IF(OR($W432="",DO432=0),"",ROUND((VLOOKUP(ROUNDDOWN($D432-1/frec,0),cob_adi,DB$40,FALSE)*(1+i/frec)^-0.5*(1+Parámetros!$D$103)*(1+rec_fracc)/frec),6))</f>
        <v/>
      </c>
      <c r="DR432" s="66">
        <f t="shared" si="631"/>
        <v>0</v>
      </c>
      <c r="DS432" s="68" t="str">
        <f t="shared" si="632"/>
        <v/>
      </c>
      <c r="DT432" s="66">
        <f>+IF($W432="","",ROUND(IF($B432&gt;Parámetros!$D$107,'Tablas Servicio'!DR432+('Tablas Servicio'!DT431-'Tablas Servicio'!DR431),DR432/(1-IF(B432&lt;=10,Parámetros!$D$100,0))),2))</f>
        <v>0</v>
      </c>
      <c r="DU432" s="66">
        <f t="shared" si="633"/>
        <v>0</v>
      </c>
      <c r="DV432" s="66">
        <f t="shared" si="633"/>
        <v>0</v>
      </c>
      <c r="DW432" s="66">
        <f>+IF($W432="","",ROUND((DT432*Parámetros!$G$85),2))</f>
        <v>0</v>
      </c>
      <c r="DX432" s="66">
        <f>+IF($W432="","",ROUND((DT432*(Parámetros!$G$86)),2))</f>
        <v>0</v>
      </c>
      <c r="DY432" s="66">
        <f t="shared" si="634"/>
        <v>0</v>
      </c>
      <c r="DZ432" t="str">
        <f t="shared" si="635"/>
        <v>00066</v>
      </c>
      <c r="EA432" s="118" t="str">
        <f t="shared" si="635"/>
        <v>Enfermedad terminal</v>
      </c>
      <c r="EB432" s="118">
        <f>+IF($W432="","",ROUND(IF(Parámetros!$D$25='TABLAS MORT'!$V$33,EB431,Z432/2),0))</f>
        <v>50000</v>
      </c>
      <c r="EC432" s="118" t="str">
        <f t="shared" si="635"/>
        <v>A</v>
      </c>
      <c r="ED432" s="122">
        <f>+IF(OR($W432="",EB432=0),"",ROUND((VLOOKUP(ROUNDDOWN($D432-1/frec,0),cob_adi,DO$40,FALSE)*(1+i/frec)^-0.5*(1+Parámetros!$D$103)*(1+rec_fracc)/frec),6))</f>
        <v>6.4999999999999994E-5</v>
      </c>
      <c r="EE432" s="66">
        <f t="shared" si="636"/>
        <v>3.25</v>
      </c>
      <c r="EF432" s="68">
        <f t="shared" si="637"/>
        <v>6.4999999999999994E-5</v>
      </c>
      <c r="EG432" s="66">
        <f>+IF($W432="","",ROUND(IF($B432&gt;Parámetros!$D$107,'Tablas Servicio'!EE432+('Tablas Servicio'!EG431-'Tablas Servicio'!EE431),EE432/(1-IF(B432&lt;=10,Parámetros!$D$100,0))),2))</f>
        <v>3.25</v>
      </c>
      <c r="EH432" s="66">
        <f t="shared" si="638"/>
        <v>0</v>
      </c>
      <c r="EI432" s="66">
        <f t="shared" si="638"/>
        <v>0</v>
      </c>
      <c r="EJ432" s="66">
        <f>+IF($W432="","",ROUND((EG432*Parámetros!$G$85),2))</f>
        <v>0.11</v>
      </c>
      <c r="EK432" s="66">
        <f>+IF($W432="","",ROUND((EG432*(Parámetros!$G$86)),2))</f>
        <v>0.02</v>
      </c>
      <c r="EL432" s="66">
        <f t="shared" si="639"/>
        <v>3.38</v>
      </c>
    </row>
    <row r="433" spans="1:142" x14ac:dyDescent="0.25">
      <c r="A433">
        <f>+IF($C433="","",ROUND(VLOOKUP('Tablas Servicio'!B433,Parámetros!$H$100:$J$159,IF(Parámetros!$E$16="F",2,3),FALSE),2))</f>
        <v>150</v>
      </c>
      <c r="B433">
        <f t="shared" si="590"/>
        <v>33</v>
      </c>
      <c r="C433" s="57">
        <f>+IF(D433="","",'Tablas Servicio'!C432+1)</f>
        <v>392</v>
      </c>
      <c r="D433" s="56">
        <f>+IF(D432&lt;edadmaxtabla,D432+1/Parámetros!$E$25,"")</f>
        <v>72.686666666666852</v>
      </c>
      <c r="E433" s="57">
        <f t="shared" si="600"/>
        <v>72</v>
      </c>
      <c r="F433" s="59">
        <f t="shared" si="601"/>
        <v>100000</v>
      </c>
      <c r="G433" s="66">
        <f t="shared" si="591"/>
        <v>153.85</v>
      </c>
      <c r="H433" s="66">
        <f t="shared" si="592"/>
        <v>160</v>
      </c>
      <c r="I433" s="66">
        <f t="shared" si="552"/>
        <v>-66</v>
      </c>
      <c r="J433" s="66">
        <f t="shared" si="593"/>
        <v>5.38</v>
      </c>
      <c r="K433" s="66">
        <f t="shared" si="594"/>
        <v>0.77</v>
      </c>
      <c r="L433" s="66">
        <f t="shared" si="595"/>
        <v>0</v>
      </c>
      <c r="M433" s="66">
        <f t="shared" si="596"/>
        <v>0</v>
      </c>
      <c r="N433" s="66">
        <f>+IF(C433="","",ROUND(Parámetros!$D$23,2))</f>
        <v>94</v>
      </c>
      <c r="O433" s="66">
        <f t="shared" si="597"/>
        <v>141.35</v>
      </c>
      <c r="P433" s="66">
        <f>+IF($C433="","",ROUND(IF(B433&gt;Parámetros!$D$117,0,N433*Parámetros!$D$116-G433*Parámetros!$D$100),2))</f>
        <v>0</v>
      </c>
      <c r="Q433" s="75">
        <f t="shared" si="553"/>
        <v>3.4969125771855701E-2</v>
      </c>
      <c r="R433" s="75">
        <f t="shared" si="554"/>
        <v>5.0048748781280471E-3</v>
      </c>
      <c r="S433" s="117">
        <f>+IF($C433="","",ROUND((S432+I433)*(1+Parámetros!$D$91),2))</f>
        <v>26809.08</v>
      </c>
      <c r="T433" s="117">
        <f>+IF($C433="","",ROUND(S433*VLOOKUP(B433,Parámetros!$C$30:$D$39,2,TRUE),2))</f>
        <v>26809.08</v>
      </c>
      <c r="U433" s="117">
        <f>+IF($C433="","",ROUND((U432+I433)*(1+Parámetros!$D$92),2))</f>
        <v>30345.71</v>
      </c>
      <c r="V433" s="117">
        <f>+IF($C433="","",ROUND(U433*VLOOKUP(B433,Parámetros!$C$30:$D$39,2,TRUE),2))</f>
        <v>30345.71</v>
      </c>
      <c r="W433" s="57">
        <f t="shared" si="555"/>
        <v>392</v>
      </c>
      <c r="X433" t="str">
        <f t="shared" si="556"/>
        <v>00058</v>
      </c>
      <c r="Y433" t="str">
        <f t="shared" si="557"/>
        <v>MUERTE POR CUALQUIER CAUSA</v>
      </c>
      <c r="Z433" s="118">
        <f>+IF($W433="","",ROUND(IF(Parámetros!$D$25='TABLAS MORT'!$V$33,Z432,Parámetros!$D$21-'Tablas Servicio'!T432),0))</f>
        <v>100000</v>
      </c>
      <c r="AA433" s="118" t="str">
        <f t="shared" si="558"/>
        <v>P</v>
      </c>
      <c r="AB433" s="119">
        <f>+IF(W433="","",ROUND((VLOOKUP(ROUNDDOWN($D433-1/frec,0),qx_tabla,2,FALSE)*(1+i/frec)^-0.5*(1+Parámetros!$D$103)*(1+rec_fracc)/frec),6))</f>
        <v>1.3810000000000001E-3</v>
      </c>
      <c r="AC433" s="66">
        <f t="shared" si="602"/>
        <v>138.1</v>
      </c>
      <c r="AD433" s="119">
        <f t="shared" si="598"/>
        <v>1.506E-3</v>
      </c>
      <c r="AE433" s="66">
        <f>+IF($W433="","",ROUND(IF($B433&gt;Parámetros!$D$107,'Tablas Servicio'!AC433+('Tablas Servicio'!AG432-'Tablas Servicio'!AC432),AC433/(1-IF(B433&lt;=10,Parámetros!$D$104,Parámetros!$D$105))),2))</f>
        <v>230.17</v>
      </c>
      <c r="AF433" s="66">
        <f>+IF($W433="","",ROUND(IF($B433&gt;Parámetros!$D$107,'Tablas Servicio'!AC433+('Tablas Servicio'!AG432-'Tablas Servicio'!AC432),(AC433+$A432/frec)/(1-IF(B433&lt;=Parámetros!$D$117,Parámetros!$D$100,0))),2))</f>
        <v>150.6</v>
      </c>
      <c r="AG433" s="66">
        <f t="shared" si="603"/>
        <v>150.6</v>
      </c>
      <c r="AH433" s="66">
        <f t="shared" si="604"/>
        <v>0</v>
      </c>
      <c r="AI433" s="66">
        <f t="shared" si="605"/>
        <v>0</v>
      </c>
      <c r="AJ433" s="66">
        <f>+IF($W433="","",ROUND((AG433*Parámetros!$G$85),2))</f>
        <v>5.27</v>
      </c>
      <c r="AK433" s="66">
        <f>+IF($W433="","",ROUND((AG433*(Parámetros!$G$86)),2))</f>
        <v>0.75</v>
      </c>
      <c r="AL433" s="66">
        <f t="shared" si="599"/>
        <v>156.62</v>
      </c>
      <c r="AM433" t="str">
        <f t="shared" si="559"/>
        <v>00059</v>
      </c>
      <c r="AN433" t="str">
        <f t="shared" si="560"/>
        <v>Incapacidad Total y Permanente</v>
      </c>
      <c r="AO433" s="118">
        <f t="shared" si="561"/>
        <v>0</v>
      </c>
      <c r="AP433" s="118" t="str">
        <f t="shared" si="562"/>
        <v>A</v>
      </c>
      <c r="AQ433" s="119" t="str">
        <f>+IF(OR($W433="",AO433=0),"",ROUND((VLOOKUP(ROUNDDOWN($D433-1/frec,0),cob_adi,Z$40,FALSE)*(1+i/frec)^-0.5*(1+Parámetros!$D$103)*(1+rec_fracc)/frec),6))</f>
        <v/>
      </c>
      <c r="AR433" s="66">
        <f t="shared" si="606"/>
        <v>0</v>
      </c>
      <c r="AS433" s="119" t="str">
        <f t="shared" si="607"/>
        <v/>
      </c>
      <c r="AT433" s="66">
        <f>+IF($W433="","",ROUND(IF($B433&gt;Parámetros!$D$107,'Tablas Servicio'!AR433+('Tablas Servicio'!AT432-'Tablas Servicio'!AR432),AR433/(1-IF(B433&lt;=10,Parámetros!$D$100,0))),2))</f>
        <v>0</v>
      </c>
      <c r="AU433" s="66">
        <f t="shared" si="608"/>
        <v>0</v>
      </c>
      <c r="AV433" s="66">
        <f t="shared" si="608"/>
        <v>0</v>
      </c>
      <c r="AW433" s="66">
        <f>+IF($W433="","",ROUND((AT433*Parámetros!$G$85),2))</f>
        <v>0</v>
      </c>
      <c r="AX433" s="66">
        <f>+IF($W433="","",ROUND((AT433*(Parámetros!$G$86)),2))</f>
        <v>0</v>
      </c>
      <c r="AY433" s="66">
        <f t="shared" si="609"/>
        <v>0</v>
      </c>
      <c r="AZ433" t="str">
        <f t="shared" si="563"/>
        <v>00060</v>
      </c>
      <c r="BA433" t="str">
        <f t="shared" si="564"/>
        <v>Muerte Accidental</v>
      </c>
      <c r="BB433" s="118">
        <f t="shared" si="565"/>
        <v>0</v>
      </c>
      <c r="BC433" s="118" t="str">
        <f t="shared" si="566"/>
        <v>A</v>
      </c>
      <c r="BD433" s="119" t="str">
        <f>+IF(OR($W433="",BB433=0),"",ROUND((VLOOKUP(ROUNDDOWN($D433-1/frec,0),cob_adi,AO$40,FALSE)*(1+i/frec)^-0.5*(1+Parámetros!$D$103)*(1+rec_fracc)/frec),6))</f>
        <v/>
      </c>
      <c r="BE433" s="66">
        <f t="shared" si="610"/>
        <v>0</v>
      </c>
      <c r="BF433" s="119" t="str">
        <f t="shared" si="611"/>
        <v/>
      </c>
      <c r="BG433" s="66">
        <f>+IF($W433="","",ROUND(IF($B433&gt;Parámetros!$D$107,'Tablas Servicio'!BE433+('Tablas Servicio'!BG432-'Tablas Servicio'!BE432),BE433/(1-IF(B433&lt;=10,Parámetros!$D$100,0))),2))</f>
        <v>0</v>
      </c>
      <c r="BH433" s="66">
        <f t="shared" si="612"/>
        <v>0</v>
      </c>
      <c r="BI433" s="66">
        <f t="shared" si="613"/>
        <v>0</v>
      </c>
      <c r="BJ433" s="66">
        <f>+IF($W433="","",ROUND((BG433*Parámetros!$G$85),2))</f>
        <v>0</v>
      </c>
      <c r="BK433" s="66">
        <f>+IF($W433="","",ROUND((BG433*(Parámetros!$G$86)),2))</f>
        <v>0</v>
      </c>
      <c r="BL433" s="66">
        <f t="shared" si="614"/>
        <v>0</v>
      </c>
      <c r="BM433" t="str">
        <f t="shared" si="567"/>
        <v>00061</v>
      </c>
      <c r="BN433" t="str">
        <f t="shared" si="568"/>
        <v>Gastos de Entierro</v>
      </c>
      <c r="BO433" s="118">
        <f t="shared" si="569"/>
        <v>0</v>
      </c>
      <c r="BP433" s="118" t="str">
        <f t="shared" si="570"/>
        <v>A</v>
      </c>
      <c r="BQ433" s="119" t="str">
        <f>+IF(OR($W433="",BO433=0),"",ROUND((VLOOKUP(ROUNDDOWN($D433-1/frec,0),cob_adi,BB$40,FALSE)*(1+i/frec)^-0.5*(1+Parámetros!$D$103)*(1+rec_fracc)/frec),6))</f>
        <v/>
      </c>
      <c r="BR433" s="66">
        <f t="shared" si="615"/>
        <v>0</v>
      </c>
      <c r="BS433" s="119" t="str">
        <f t="shared" si="616"/>
        <v/>
      </c>
      <c r="BT433" s="66">
        <f>+IF($W433="","",ROUND(IF($B433&gt;Parámetros!$D$107,'Tablas Servicio'!BR433+('Tablas Servicio'!BT432-'Tablas Servicio'!BR432),BR433/(1-IF(B433&lt;=10,Parámetros!$D$100,0))),2))</f>
        <v>0</v>
      </c>
      <c r="BU433" s="66">
        <f t="shared" si="617"/>
        <v>0</v>
      </c>
      <c r="BV433" s="66">
        <f t="shared" si="617"/>
        <v>0</v>
      </c>
      <c r="BW433" s="66">
        <f>+IF($W433="","",ROUND((BT433*Parámetros!$G$85),2))</f>
        <v>0</v>
      </c>
      <c r="BX433" s="66">
        <f>+IF($W433="","",ROUND((BT433*(Parámetros!$G$86)),2))</f>
        <v>0</v>
      </c>
      <c r="BY433" s="66">
        <f t="shared" si="618"/>
        <v>0</v>
      </c>
      <c r="BZ433" t="str">
        <f t="shared" si="571"/>
        <v>00062</v>
      </c>
      <c r="CA433" t="str">
        <f t="shared" si="572"/>
        <v>Gastos médicos por accidente</v>
      </c>
      <c r="CB433" s="118">
        <f t="shared" si="573"/>
        <v>0</v>
      </c>
      <c r="CC433" s="118" t="str">
        <f t="shared" si="574"/>
        <v>A</v>
      </c>
      <c r="CD433" s="119" t="str">
        <f t="shared" si="619"/>
        <v/>
      </c>
      <c r="CE433" s="66">
        <f>+IF($W433="","",ROUND((VLOOKUP(ROUNDDOWN($D433-1/frec,0),cob_adi,BO$40,FALSE)*(1+i/frec)^-0.5*(1+Parámetros!$D$103)*(1+rec_fracc)/frec*'TABLAS ADI'!$BC$17),2))</f>
        <v>0</v>
      </c>
      <c r="CF433" s="119" t="str">
        <f t="shared" si="620"/>
        <v/>
      </c>
      <c r="CG433" s="66">
        <f>+IF($W433="","",ROUND(IF($B433&gt;Parámetros!$D$107,'Tablas Servicio'!CE433+('Tablas Servicio'!CG432-'Tablas Servicio'!CE432),CE433/(1-IF(B433&lt;=10,Parámetros!$D$100,0))),2))</f>
        <v>0</v>
      </c>
      <c r="CH433" s="66">
        <f t="shared" si="621"/>
        <v>0</v>
      </c>
      <c r="CI433" s="66">
        <f t="shared" si="621"/>
        <v>0</v>
      </c>
      <c r="CJ433" s="66">
        <f>+IF($W433="","",ROUND((CG433*Parámetros!$G$85),2))</f>
        <v>0</v>
      </c>
      <c r="CK433" s="66">
        <f>+IF($W433="","",ROUND((CG433*(Parámetros!$G$86)),2))</f>
        <v>0</v>
      </c>
      <c r="CL433" s="66">
        <f t="shared" si="622"/>
        <v>0</v>
      </c>
      <c r="CM433" t="str">
        <f t="shared" si="575"/>
        <v>00063</v>
      </c>
      <c r="CN433" s="118" t="str">
        <f t="shared" si="576"/>
        <v>Renta Diaria por Hospitalización</v>
      </c>
      <c r="CO433" s="118">
        <f t="shared" si="577"/>
        <v>0</v>
      </c>
      <c r="CP433" s="118" t="str">
        <f t="shared" si="578"/>
        <v>A</v>
      </c>
      <c r="CQ433" s="119" t="str">
        <f t="shared" si="623"/>
        <v/>
      </c>
      <c r="CR433" s="66">
        <f>+IF($W433="","",ROUND((VLOOKUP(Parámetros!$F$51,'COBERTURAS ADICIONALES'!$S$4:$T$32,2,FALSE)*(1+i/frec)^-0.5*(1+Parámetros!$D$103)*(1+rec_fracc)/frec*$CO$42),2))</f>
        <v>0</v>
      </c>
      <c r="CS433" s="119" t="str">
        <f t="shared" si="624"/>
        <v/>
      </c>
      <c r="CT433" s="66">
        <f>+IF($W433="","",ROUND(IF($B433&gt;Parámetros!$D$107,'Tablas Servicio'!CR433+('Tablas Servicio'!CT432-'Tablas Servicio'!CR432),CR433/(1-IF(B433&lt;=10,Parámetros!$D$100,0))),2))</f>
        <v>0</v>
      </c>
      <c r="CU433" s="66">
        <f t="shared" si="625"/>
        <v>0</v>
      </c>
      <c r="CV433" s="66">
        <f t="shared" si="625"/>
        <v>0</v>
      </c>
      <c r="CW433" s="66">
        <f>+IF($W433="","",ROUND((CT433*Parámetros!$G$85),2))</f>
        <v>0</v>
      </c>
      <c r="CX433" s="66">
        <f>+IF($W433="","",ROUND((CT433*(Parámetros!$G$86)),2))</f>
        <v>0</v>
      </c>
      <c r="CY433" s="66">
        <f t="shared" si="626"/>
        <v>0</v>
      </c>
      <c r="CZ433" t="str">
        <f t="shared" si="579"/>
        <v>00064</v>
      </c>
      <c r="DA433" s="118" t="str">
        <f t="shared" si="580"/>
        <v>Enfermedades Graves</v>
      </c>
      <c r="DB433" s="118">
        <f t="shared" si="581"/>
        <v>0</v>
      </c>
      <c r="DC433" s="118" t="str">
        <f t="shared" si="582"/>
        <v>A</v>
      </c>
      <c r="DD433" s="121" t="str">
        <f>+IF(OR($W433="",DB433=0),"",ROUND((VLOOKUP(ROUNDDOWN($D433-1/frec,0),cob_adi,CO$40,FALSE)*(1+i/frec)^-0.5*(1+Parámetros!$D$103)*(1+rec_fracc)/frec),6))</f>
        <v/>
      </c>
      <c r="DE433" s="66">
        <f t="shared" si="627"/>
        <v>0</v>
      </c>
      <c r="DF433" s="119" t="str">
        <f t="shared" si="628"/>
        <v/>
      </c>
      <c r="DG433" s="66">
        <f>+IF($W433="","",ROUND(IF($B433&gt;Parámetros!$D$107,'Tablas Servicio'!DE433+('Tablas Servicio'!DG432-'Tablas Servicio'!DE432),DE433/(1-IF(B433&lt;=10,Parámetros!$D$100,0))),2))</f>
        <v>0</v>
      </c>
      <c r="DH433" s="66">
        <f t="shared" si="629"/>
        <v>0</v>
      </c>
      <c r="DI433" s="66">
        <f t="shared" si="629"/>
        <v>0</v>
      </c>
      <c r="DJ433" s="66">
        <f>+IF($W433="","",ROUND((DG433*Parámetros!$G$85),2))</f>
        <v>0</v>
      </c>
      <c r="DK433" s="66">
        <f>+IF($W433="","",ROUND((DG433*(Parámetros!$G$86)),2))</f>
        <v>0</v>
      </c>
      <c r="DL433" s="66">
        <f t="shared" si="630"/>
        <v>0</v>
      </c>
      <c r="DM433" t="str">
        <f t="shared" si="583"/>
        <v>00065</v>
      </c>
      <c r="DN433" s="118" t="str">
        <f t="shared" si="584"/>
        <v>Exención pago de primas</v>
      </c>
      <c r="DO433" s="118">
        <f t="shared" si="585"/>
        <v>0</v>
      </c>
      <c r="DP433" s="118" t="str">
        <f t="shared" si="586"/>
        <v>A</v>
      </c>
      <c r="DQ433" s="122" t="str">
        <f>+IF(OR($W433="",DO433=0),"",ROUND((VLOOKUP(ROUNDDOWN($D433-1/frec,0),cob_adi,DB$40,FALSE)*(1+i/frec)^-0.5*(1+Parámetros!$D$103)*(1+rec_fracc)/frec),6))</f>
        <v/>
      </c>
      <c r="DR433" s="66">
        <f t="shared" si="631"/>
        <v>0</v>
      </c>
      <c r="DS433" s="68" t="str">
        <f t="shared" si="632"/>
        <v/>
      </c>
      <c r="DT433" s="66">
        <f>+IF($W433="","",ROUND(IF($B433&gt;Parámetros!$D$107,'Tablas Servicio'!DR433+('Tablas Servicio'!DT432-'Tablas Servicio'!DR432),DR433/(1-IF(B433&lt;=10,Parámetros!$D$100,0))),2))</f>
        <v>0</v>
      </c>
      <c r="DU433" s="66">
        <f t="shared" si="633"/>
        <v>0</v>
      </c>
      <c r="DV433" s="66">
        <f t="shared" si="633"/>
        <v>0</v>
      </c>
      <c r="DW433" s="66">
        <f>+IF($W433="","",ROUND((DT433*Parámetros!$G$85),2))</f>
        <v>0</v>
      </c>
      <c r="DX433" s="66">
        <f>+IF($W433="","",ROUND((DT433*(Parámetros!$G$86)),2))</f>
        <v>0</v>
      </c>
      <c r="DY433" s="66">
        <f t="shared" si="634"/>
        <v>0</v>
      </c>
      <c r="DZ433" t="str">
        <f t="shared" si="635"/>
        <v>00066</v>
      </c>
      <c r="EA433" s="118" t="str">
        <f t="shared" si="635"/>
        <v>Enfermedad terminal</v>
      </c>
      <c r="EB433" s="118">
        <f>+IF($W433="","",ROUND(IF(Parámetros!$D$25='TABLAS MORT'!$V$33,EB432,Z433/2),0))</f>
        <v>50000</v>
      </c>
      <c r="EC433" s="118" t="str">
        <f t="shared" si="635"/>
        <v>A</v>
      </c>
      <c r="ED433" s="122">
        <f>+IF(OR($W433="",EB433=0),"",ROUND((VLOOKUP(ROUNDDOWN($D433-1/frec,0),cob_adi,DO$40,FALSE)*(1+i/frec)^-0.5*(1+Parámetros!$D$103)*(1+rec_fracc)/frec),6))</f>
        <v>6.4999999999999994E-5</v>
      </c>
      <c r="EE433" s="66">
        <f t="shared" si="636"/>
        <v>3.25</v>
      </c>
      <c r="EF433" s="68">
        <f t="shared" si="637"/>
        <v>6.4999999999999994E-5</v>
      </c>
      <c r="EG433" s="66">
        <f>+IF($W433="","",ROUND(IF($B433&gt;Parámetros!$D$107,'Tablas Servicio'!EE433+('Tablas Servicio'!EG432-'Tablas Servicio'!EE432),EE433/(1-IF(B433&lt;=10,Parámetros!$D$100,0))),2))</f>
        <v>3.25</v>
      </c>
      <c r="EH433" s="66">
        <f t="shared" si="638"/>
        <v>0</v>
      </c>
      <c r="EI433" s="66">
        <f t="shared" si="638"/>
        <v>0</v>
      </c>
      <c r="EJ433" s="66">
        <f>+IF($W433="","",ROUND((EG433*Parámetros!$G$85),2))</f>
        <v>0.11</v>
      </c>
      <c r="EK433" s="66">
        <f>+IF($W433="","",ROUND((EG433*(Parámetros!$G$86)),2))</f>
        <v>0.02</v>
      </c>
      <c r="EL433" s="66">
        <f t="shared" si="639"/>
        <v>3.38</v>
      </c>
    </row>
    <row r="434" spans="1:142" x14ac:dyDescent="0.25">
      <c r="A434">
        <f>+IF($C434="","",ROUND(VLOOKUP('Tablas Servicio'!B434,Parámetros!$H$100:$J$159,IF(Parámetros!$E$16="F",2,3),FALSE),2))</f>
        <v>150</v>
      </c>
      <c r="B434">
        <f t="shared" si="590"/>
        <v>33</v>
      </c>
      <c r="C434" s="57">
        <f>+IF(D434="","",'Tablas Servicio'!C433+1)</f>
        <v>393</v>
      </c>
      <c r="D434" s="56">
        <f>+IF(D433&lt;edadmaxtabla,D433+1/Parámetros!$E$25,"")</f>
        <v>72.770000000000181</v>
      </c>
      <c r="E434" s="57">
        <f t="shared" si="600"/>
        <v>72</v>
      </c>
      <c r="F434" s="59">
        <f t="shared" si="601"/>
        <v>100000</v>
      </c>
      <c r="G434" s="66">
        <f t="shared" si="591"/>
        <v>153.85</v>
      </c>
      <c r="H434" s="66">
        <f t="shared" si="592"/>
        <v>160</v>
      </c>
      <c r="I434" s="66">
        <f t="shared" si="552"/>
        <v>-66</v>
      </c>
      <c r="J434" s="66">
        <f t="shared" si="593"/>
        <v>5.38</v>
      </c>
      <c r="K434" s="66">
        <f t="shared" si="594"/>
        <v>0.77</v>
      </c>
      <c r="L434" s="66">
        <f t="shared" si="595"/>
        <v>0</v>
      </c>
      <c r="M434" s="66">
        <f t="shared" si="596"/>
        <v>0</v>
      </c>
      <c r="N434" s="66">
        <f>+IF(C434="","",ROUND(Parámetros!$D$23,2))</f>
        <v>94</v>
      </c>
      <c r="O434" s="66">
        <f t="shared" si="597"/>
        <v>141.35</v>
      </c>
      <c r="P434" s="66">
        <f>+IF($C434="","",ROUND(IF(B434&gt;Parámetros!$D$117,0,N434*Parámetros!$D$116-G434*Parámetros!$D$100),2))</f>
        <v>0</v>
      </c>
      <c r="Q434" s="75">
        <f t="shared" si="553"/>
        <v>3.4969125771855701E-2</v>
      </c>
      <c r="R434" s="75">
        <f t="shared" si="554"/>
        <v>5.0048748781280471E-3</v>
      </c>
      <c r="S434" s="117">
        <f>+IF($C434="","",ROUND((S433+I434)*(1+Parámetros!$D$91),2))</f>
        <v>26818.94</v>
      </c>
      <c r="T434" s="117">
        <f>+IF($C434="","",ROUND(S434*VLOOKUP(B434,Parámetros!$C$30:$D$39,2,TRUE),2))</f>
        <v>26818.94</v>
      </c>
      <c r="U434" s="117">
        <f>+IF($C434="","",ROUND((U433+I434)*(1+Parámetros!$D$92),2))</f>
        <v>30377.87</v>
      </c>
      <c r="V434" s="117">
        <f>+IF($C434="","",ROUND(U434*VLOOKUP(B434,Parámetros!$C$30:$D$39,2,TRUE),2))</f>
        <v>30377.87</v>
      </c>
      <c r="W434" s="57">
        <f t="shared" si="555"/>
        <v>393</v>
      </c>
      <c r="X434" t="str">
        <f t="shared" si="556"/>
        <v>00058</v>
      </c>
      <c r="Y434" t="str">
        <f t="shared" si="557"/>
        <v>MUERTE POR CUALQUIER CAUSA</v>
      </c>
      <c r="Z434" s="118">
        <f>+IF($W434="","",ROUND(IF(Parámetros!$D$25='TABLAS MORT'!$V$33,Z433,Parámetros!$D$21-'Tablas Servicio'!T433),0))</f>
        <v>100000</v>
      </c>
      <c r="AA434" s="118" t="str">
        <f t="shared" si="558"/>
        <v>P</v>
      </c>
      <c r="AB434" s="119">
        <f>+IF(W434="","",ROUND((VLOOKUP(ROUNDDOWN($D434-1/frec,0),qx_tabla,2,FALSE)*(1+i/frec)^-0.5*(1+Parámetros!$D$103)*(1+rec_fracc)/frec),6))</f>
        <v>1.3810000000000001E-3</v>
      </c>
      <c r="AC434" s="66">
        <f t="shared" si="602"/>
        <v>138.1</v>
      </c>
      <c r="AD434" s="119">
        <f t="shared" si="598"/>
        <v>1.506E-3</v>
      </c>
      <c r="AE434" s="66">
        <f>+IF($W434="","",ROUND(IF($B434&gt;Parámetros!$D$107,'Tablas Servicio'!AC434+('Tablas Servicio'!AG433-'Tablas Servicio'!AC433),AC434/(1-IF(B434&lt;=10,Parámetros!$D$104,Parámetros!$D$105))),2))</f>
        <v>230.17</v>
      </c>
      <c r="AF434" s="66">
        <f>+IF($W434="","",ROUND(IF($B434&gt;Parámetros!$D$107,'Tablas Servicio'!AC434+('Tablas Servicio'!AG433-'Tablas Servicio'!AC433),(AC434+$A433/frec)/(1-IF(B434&lt;=Parámetros!$D$117,Parámetros!$D$100,0))),2))</f>
        <v>150.6</v>
      </c>
      <c r="AG434" s="66">
        <f t="shared" si="603"/>
        <v>150.6</v>
      </c>
      <c r="AH434" s="66">
        <f t="shared" si="604"/>
        <v>0</v>
      </c>
      <c r="AI434" s="66">
        <f t="shared" si="605"/>
        <v>0</v>
      </c>
      <c r="AJ434" s="66">
        <f>+IF($W434="","",ROUND((AG434*Parámetros!$G$85),2))</f>
        <v>5.27</v>
      </c>
      <c r="AK434" s="66">
        <f>+IF($W434="","",ROUND((AG434*(Parámetros!$G$86)),2))</f>
        <v>0.75</v>
      </c>
      <c r="AL434" s="66">
        <f t="shared" si="599"/>
        <v>156.62</v>
      </c>
      <c r="AM434" t="str">
        <f t="shared" si="559"/>
        <v>00059</v>
      </c>
      <c r="AN434" t="str">
        <f t="shared" si="560"/>
        <v>Incapacidad Total y Permanente</v>
      </c>
      <c r="AO434" s="118">
        <f t="shared" si="561"/>
        <v>0</v>
      </c>
      <c r="AP434" s="118" t="str">
        <f t="shared" si="562"/>
        <v>A</v>
      </c>
      <c r="AQ434" s="119" t="str">
        <f>+IF(OR($W434="",AO434=0),"",ROUND((VLOOKUP(ROUNDDOWN($D434-1/frec,0),cob_adi,Z$40,FALSE)*(1+i/frec)^-0.5*(1+Parámetros!$D$103)*(1+rec_fracc)/frec),6))</f>
        <v/>
      </c>
      <c r="AR434" s="66">
        <f t="shared" si="606"/>
        <v>0</v>
      </c>
      <c r="AS434" s="119" t="str">
        <f t="shared" si="607"/>
        <v/>
      </c>
      <c r="AT434" s="66">
        <f>+IF($W434="","",ROUND(IF($B434&gt;Parámetros!$D$107,'Tablas Servicio'!AR434+('Tablas Servicio'!AT433-'Tablas Servicio'!AR433),AR434/(1-IF(B434&lt;=10,Parámetros!$D$100,0))),2))</f>
        <v>0</v>
      </c>
      <c r="AU434" s="66">
        <f t="shared" si="608"/>
        <v>0</v>
      </c>
      <c r="AV434" s="66">
        <f t="shared" si="608"/>
        <v>0</v>
      </c>
      <c r="AW434" s="66">
        <f>+IF($W434="","",ROUND((AT434*Parámetros!$G$85),2))</f>
        <v>0</v>
      </c>
      <c r="AX434" s="66">
        <f>+IF($W434="","",ROUND((AT434*(Parámetros!$G$86)),2))</f>
        <v>0</v>
      </c>
      <c r="AY434" s="66">
        <f t="shared" si="609"/>
        <v>0</v>
      </c>
      <c r="AZ434" t="str">
        <f t="shared" si="563"/>
        <v>00060</v>
      </c>
      <c r="BA434" t="str">
        <f t="shared" si="564"/>
        <v>Muerte Accidental</v>
      </c>
      <c r="BB434" s="118">
        <f t="shared" si="565"/>
        <v>0</v>
      </c>
      <c r="BC434" s="118" t="str">
        <f t="shared" si="566"/>
        <v>A</v>
      </c>
      <c r="BD434" s="119" t="str">
        <f>+IF(OR($W434="",BB434=0),"",ROUND((VLOOKUP(ROUNDDOWN($D434-1/frec,0),cob_adi,AO$40,FALSE)*(1+i/frec)^-0.5*(1+Parámetros!$D$103)*(1+rec_fracc)/frec),6))</f>
        <v/>
      </c>
      <c r="BE434" s="66">
        <f t="shared" si="610"/>
        <v>0</v>
      </c>
      <c r="BF434" s="119" t="str">
        <f t="shared" si="611"/>
        <v/>
      </c>
      <c r="BG434" s="66">
        <f>+IF($W434="","",ROUND(IF($B434&gt;Parámetros!$D$107,'Tablas Servicio'!BE434+('Tablas Servicio'!BG433-'Tablas Servicio'!BE433),BE434/(1-IF(B434&lt;=10,Parámetros!$D$100,0))),2))</f>
        <v>0</v>
      </c>
      <c r="BH434" s="66">
        <f t="shared" si="612"/>
        <v>0</v>
      </c>
      <c r="BI434" s="66">
        <f t="shared" si="613"/>
        <v>0</v>
      </c>
      <c r="BJ434" s="66">
        <f>+IF($W434="","",ROUND((BG434*Parámetros!$G$85),2))</f>
        <v>0</v>
      </c>
      <c r="BK434" s="66">
        <f>+IF($W434="","",ROUND((BG434*(Parámetros!$G$86)),2))</f>
        <v>0</v>
      </c>
      <c r="BL434" s="66">
        <f t="shared" si="614"/>
        <v>0</v>
      </c>
      <c r="BM434" t="str">
        <f t="shared" si="567"/>
        <v>00061</v>
      </c>
      <c r="BN434" t="str">
        <f t="shared" si="568"/>
        <v>Gastos de Entierro</v>
      </c>
      <c r="BO434" s="118">
        <f t="shared" si="569"/>
        <v>0</v>
      </c>
      <c r="BP434" s="118" t="str">
        <f t="shared" si="570"/>
        <v>A</v>
      </c>
      <c r="BQ434" s="119" t="str">
        <f>+IF(OR($W434="",BO434=0),"",ROUND((VLOOKUP(ROUNDDOWN($D434-1/frec,0),cob_adi,BB$40,FALSE)*(1+i/frec)^-0.5*(1+Parámetros!$D$103)*(1+rec_fracc)/frec),6))</f>
        <v/>
      </c>
      <c r="BR434" s="66">
        <f t="shared" si="615"/>
        <v>0</v>
      </c>
      <c r="BS434" s="119" t="str">
        <f t="shared" si="616"/>
        <v/>
      </c>
      <c r="BT434" s="66">
        <f>+IF($W434="","",ROUND(IF($B434&gt;Parámetros!$D$107,'Tablas Servicio'!BR434+('Tablas Servicio'!BT433-'Tablas Servicio'!BR433),BR434/(1-IF(B434&lt;=10,Parámetros!$D$100,0))),2))</f>
        <v>0</v>
      </c>
      <c r="BU434" s="66">
        <f t="shared" si="617"/>
        <v>0</v>
      </c>
      <c r="BV434" s="66">
        <f t="shared" si="617"/>
        <v>0</v>
      </c>
      <c r="BW434" s="66">
        <f>+IF($W434="","",ROUND((BT434*Parámetros!$G$85),2))</f>
        <v>0</v>
      </c>
      <c r="BX434" s="66">
        <f>+IF($W434="","",ROUND((BT434*(Parámetros!$G$86)),2))</f>
        <v>0</v>
      </c>
      <c r="BY434" s="66">
        <f t="shared" si="618"/>
        <v>0</v>
      </c>
      <c r="BZ434" t="str">
        <f t="shared" si="571"/>
        <v>00062</v>
      </c>
      <c r="CA434" t="str">
        <f t="shared" si="572"/>
        <v>Gastos médicos por accidente</v>
      </c>
      <c r="CB434" s="118">
        <f t="shared" si="573"/>
        <v>0</v>
      </c>
      <c r="CC434" s="118" t="str">
        <f t="shared" si="574"/>
        <v>A</v>
      </c>
      <c r="CD434" s="119" t="str">
        <f t="shared" si="619"/>
        <v/>
      </c>
      <c r="CE434" s="66">
        <f>+IF($W434="","",ROUND((VLOOKUP(ROUNDDOWN($D434-1/frec,0),cob_adi,BO$40,FALSE)*(1+i/frec)^-0.5*(1+Parámetros!$D$103)*(1+rec_fracc)/frec*'TABLAS ADI'!$BC$17),2))</f>
        <v>0</v>
      </c>
      <c r="CF434" s="119" t="str">
        <f t="shared" si="620"/>
        <v/>
      </c>
      <c r="CG434" s="66">
        <f>+IF($W434="","",ROUND(IF($B434&gt;Parámetros!$D$107,'Tablas Servicio'!CE434+('Tablas Servicio'!CG433-'Tablas Servicio'!CE433),CE434/(1-IF(B434&lt;=10,Parámetros!$D$100,0))),2))</f>
        <v>0</v>
      </c>
      <c r="CH434" s="66">
        <f t="shared" si="621"/>
        <v>0</v>
      </c>
      <c r="CI434" s="66">
        <f t="shared" si="621"/>
        <v>0</v>
      </c>
      <c r="CJ434" s="66">
        <f>+IF($W434="","",ROUND((CG434*Parámetros!$G$85),2))</f>
        <v>0</v>
      </c>
      <c r="CK434" s="66">
        <f>+IF($W434="","",ROUND((CG434*(Parámetros!$G$86)),2))</f>
        <v>0</v>
      </c>
      <c r="CL434" s="66">
        <f t="shared" si="622"/>
        <v>0</v>
      </c>
      <c r="CM434" t="str">
        <f t="shared" si="575"/>
        <v>00063</v>
      </c>
      <c r="CN434" s="118" t="str">
        <f t="shared" si="576"/>
        <v>Renta Diaria por Hospitalización</v>
      </c>
      <c r="CO434" s="118">
        <f t="shared" si="577"/>
        <v>0</v>
      </c>
      <c r="CP434" s="118" t="str">
        <f t="shared" si="578"/>
        <v>A</v>
      </c>
      <c r="CQ434" s="119" t="str">
        <f t="shared" si="623"/>
        <v/>
      </c>
      <c r="CR434" s="66">
        <f>+IF($W434="","",ROUND((VLOOKUP(Parámetros!$F$51,'COBERTURAS ADICIONALES'!$S$4:$T$32,2,FALSE)*(1+i/frec)^-0.5*(1+Parámetros!$D$103)*(1+rec_fracc)/frec*$CO$42),2))</f>
        <v>0</v>
      </c>
      <c r="CS434" s="119" t="str">
        <f t="shared" si="624"/>
        <v/>
      </c>
      <c r="CT434" s="66">
        <f>+IF($W434="","",ROUND(IF($B434&gt;Parámetros!$D$107,'Tablas Servicio'!CR434+('Tablas Servicio'!CT433-'Tablas Servicio'!CR433),CR434/(1-IF(B434&lt;=10,Parámetros!$D$100,0))),2))</f>
        <v>0</v>
      </c>
      <c r="CU434" s="66">
        <f t="shared" si="625"/>
        <v>0</v>
      </c>
      <c r="CV434" s="66">
        <f t="shared" si="625"/>
        <v>0</v>
      </c>
      <c r="CW434" s="66">
        <f>+IF($W434="","",ROUND((CT434*Parámetros!$G$85),2))</f>
        <v>0</v>
      </c>
      <c r="CX434" s="66">
        <f>+IF($W434="","",ROUND((CT434*(Parámetros!$G$86)),2))</f>
        <v>0</v>
      </c>
      <c r="CY434" s="66">
        <f t="shared" si="626"/>
        <v>0</v>
      </c>
      <c r="CZ434" t="str">
        <f t="shared" si="579"/>
        <v>00064</v>
      </c>
      <c r="DA434" s="118" t="str">
        <f t="shared" si="580"/>
        <v>Enfermedades Graves</v>
      </c>
      <c r="DB434" s="118">
        <f t="shared" si="581"/>
        <v>0</v>
      </c>
      <c r="DC434" s="118" t="str">
        <f t="shared" si="582"/>
        <v>A</v>
      </c>
      <c r="DD434" s="121" t="str">
        <f>+IF(OR($W434="",DB434=0),"",ROUND((VLOOKUP(ROUNDDOWN($D434-1/frec,0),cob_adi,CO$40,FALSE)*(1+i/frec)^-0.5*(1+Parámetros!$D$103)*(1+rec_fracc)/frec),6))</f>
        <v/>
      </c>
      <c r="DE434" s="66">
        <f t="shared" si="627"/>
        <v>0</v>
      </c>
      <c r="DF434" s="119" t="str">
        <f t="shared" si="628"/>
        <v/>
      </c>
      <c r="DG434" s="66">
        <f>+IF($W434="","",ROUND(IF($B434&gt;Parámetros!$D$107,'Tablas Servicio'!DE434+('Tablas Servicio'!DG433-'Tablas Servicio'!DE433),DE434/(1-IF(B434&lt;=10,Parámetros!$D$100,0))),2))</f>
        <v>0</v>
      </c>
      <c r="DH434" s="66">
        <f t="shared" si="629"/>
        <v>0</v>
      </c>
      <c r="DI434" s="66">
        <f t="shared" si="629"/>
        <v>0</v>
      </c>
      <c r="DJ434" s="66">
        <f>+IF($W434="","",ROUND((DG434*Parámetros!$G$85),2))</f>
        <v>0</v>
      </c>
      <c r="DK434" s="66">
        <f>+IF($W434="","",ROUND((DG434*(Parámetros!$G$86)),2))</f>
        <v>0</v>
      </c>
      <c r="DL434" s="66">
        <f t="shared" si="630"/>
        <v>0</v>
      </c>
      <c r="DM434" t="str">
        <f t="shared" si="583"/>
        <v>00065</v>
      </c>
      <c r="DN434" s="118" t="str">
        <f t="shared" si="584"/>
        <v>Exención pago de primas</v>
      </c>
      <c r="DO434" s="118">
        <f t="shared" si="585"/>
        <v>0</v>
      </c>
      <c r="DP434" s="118" t="str">
        <f t="shared" si="586"/>
        <v>A</v>
      </c>
      <c r="DQ434" s="122" t="str">
        <f>+IF(OR($W434="",DO434=0),"",ROUND((VLOOKUP(ROUNDDOWN($D434-1/frec,0),cob_adi,DB$40,FALSE)*(1+i/frec)^-0.5*(1+Parámetros!$D$103)*(1+rec_fracc)/frec),6))</f>
        <v/>
      </c>
      <c r="DR434" s="66">
        <f t="shared" si="631"/>
        <v>0</v>
      </c>
      <c r="DS434" s="68" t="str">
        <f t="shared" si="632"/>
        <v/>
      </c>
      <c r="DT434" s="66">
        <f>+IF($W434="","",ROUND(IF($B434&gt;Parámetros!$D$107,'Tablas Servicio'!DR434+('Tablas Servicio'!DT433-'Tablas Servicio'!DR433),DR434/(1-IF(B434&lt;=10,Parámetros!$D$100,0))),2))</f>
        <v>0</v>
      </c>
      <c r="DU434" s="66">
        <f t="shared" si="633"/>
        <v>0</v>
      </c>
      <c r="DV434" s="66">
        <f t="shared" si="633"/>
        <v>0</v>
      </c>
      <c r="DW434" s="66">
        <f>+IF($W434="","",ROUND((DT434*Parámetros!$G$85),2))</f>
        <v>0</v>
      </c>
      <c r="DX434" s="66">
        <f>+IF($W434="","",ROUND((DT434*(Parámetros!$G$86)),2))</f>
        <v>0</v>
      </c>
      <c r="DY434" s="66">
        <f t="shared" si="634"/>
        <v>0</v>
      </c>
      <c r="DZ434" t="str">
        <f t="shared" si="635"/>
        <v>00066</v>
      </c>
      <c r="EA434" s="118" t="str">
        <f t="shared" si="635"/>
        <v>Enfermedad terminal</v>
      </c>
      <c r="EB434" s="118">
        <f>+IF($W434="","",ROUND(IF(Parámetros!$D$25='TABLAS MORT'!$V$33,EB433,Z434/2),0))</f>
        <v>50000</v>
      </c>
      <c r="EC434" s="118" t="str">
        <f t="shared" si="635"/>
        <v>A</v>
      </c>
      <c r="ED434" s="122">
        <f>+IF(OR($W434="",EB434=0),"",ROUND((VLOOKUP(ROUNDDOWN($D434-1/frec,0),cob_adi,DO$40,FALSE)*(1+i/frec)^-0.5*(1+Parámetros!$D$103)*(1+rec_fracc)/frec),6))</f>
        <v>6.4999999999999994E-5</v>
      </c>
      <c r="EE434" s="66">
        <f t="shared" si="636"/>
        <v>3.25</v>
      </c>
      <c r="EF434" s="68">
        <f t="shared" si="637"/>
        <v>6.4999999999999994E-5</v>
      </c>
      <c r="EG434" s="66">
        <f>+IF($W434="","",ROUND(IF($B434&gt;Parámetros!$D$107,'Tablas Servicio'!EE434+('Tablas Servicio'!EG433-'Tablas Servicio'!EE433),EE434/(1-IF(B434&lt;=10,Parámetros!$D$100,0))),2))</f>
        <v>3.25</v>
      </c>
      <c r="EH434" s="66">
        <f t="shared" si="638"/>
        <v>0</v>
      </c>
      <c r="EI434" s="66">
        <f t="shared" si="638"/>
        <v>0</v>
      </c>
      <c r="EJ434" s="66">
        <f>+IF($W434="","",ROUND((EG434*Parámetros!$G$85),2))</f>
        <v>0.11</v>
      </c>
      <c r="EK434" s="66">
        <f>+IF($W434="","",ROUND((EG434*(Parámetros!$G$86)),2))</f>
        <v>0.02</v>
      </c>
      <c r="EL434" s="66">
        <f t="shared" si="639"/>
        <v>3.38</v>
      </c>
    </row>
    <row r="435" spans="1:142" x14ac:dyDescent="0.25">
      <c r="A435">
        <f>+IF($C435="","",ROUND(VLOOKUP('Tablas Servicio'!B435,Parámetros!$H$100:$J$159,IF(Parámetros!$E$16="F",2,3),FALSE),2))</f>
        <v>150</v>
      </c>
      <c r="B435">
        <f t="shared" si="590"/>
        <v>33</v>
      </c>
      <c r="C435" s="57">
        <f>+IF(D435="","",'Tablas Servicio'!C434+1)</f>
        <v>394</v>
      </c>
      <c r="D435" s="56">
        <f>+IF(D434&lt;edadmaxtabla,D434+1/Parámetros!$E$25,"")</f>
        <v>72.853333333333509</v>
      </c>
      <c r="E435" s="57">
        <f t="shared" si="600"/>
        <v>72</v>
      </c>
      <c r="F435" s="59">
        <f t="shared" si="601"/>
        <v>100000</v>
      </c>
      <c r="G435" s="66">
        <f t="shared" si="591"/>
        <v>153.85</v>
      </c>
      <c r="H435" s="66">
        <f t="shared" si="592"/>
        <v>160</v>
      </c>
      <c r="I435" s="66">
        <f t="shared" si="552"/>
        <v>-66</v>
      </c>
      <c r="J435" s="66">
        <f t="shared" si="593"/>
        <v>5.38</v>
      </c>
      <c r="K435" s="66">
        <f t="shared" si="594"/>
        <v>0.77</v>
      </c>
      <c r="L435" s="66">
        <f t="shared" si="595"/>
        <v>0</v>
      </c>
      <c r="M435" s="66">
        <f t="shared" si="596"/>
        <v>0</v>
      </c>
      <c r="N435" s="66">
        <f>+IF(C435="","",ROUND(Parámetros!$D$23,2))</f>
        <v>94</v>
      </c>
      <c r="O435" s="66">
        <f t="shared" si="597"/>
        <v>141.35</v>
      </c>
      <c r="P435" s="66">
        <f>+IF($C435="","",ROUND(IF(B435&gt;Parámetros!$D$117,0,N435*Parámetros!$D$116-G435*Parámetros!$D$100),2))</f>
        <v>0</v>
      </c>
      <c r="Q435" s="75">
        <f t="shared" si="553"/>
        <v>3.4969125771855701E-2</v>
      </c>
      <c r="R435" s="75">
        <f t="shared" si="554"/>
        <v>5.0048748781280471E-3</v>
      </c>
      <c r="S435" s="117">
        <f>+IF($C435="","",ROUND((S434+I435)*(1+Parámetros!$D$91),2))</f>
        <v>26828.82</v>
      </c>
      <c r="T435" s="117">
        <f>+IF($C435="","",ROUND(S435*VLOOKUP(B435,Parámetros!$C$30:$D$39,2,TRUE),2))</f>
        <v>26828.82</v>
      </c>
      <c r="U435" s="117">
        <f>+IF($C435="","",ROUND((U434+I435)*(1+Parámetros!$D$92),2))</f>
        <v>30410.13</v>
      </c>
      <c r="V435" s="117">
        <f>+IF($C435="","",ROUND(U435*VLOOKUP(B435,Parámetros!$C$30:$D$39,2,TRUE),2))</f>
        <v>30410.13</v>
      </c>
      <c r="W435" s="57">
        <f t="shared" si="555"/>
        <v>394</v>
      </c>
      <c r="X435" t="str">
        <f t="shared" si="556"/>
        <v>00058</v>
      </c>
      <c r="Y435" t="str">
        <f t="shared" si="557"/>
        <v>MUERTE POR CUALQUIER CAUSA</v>
      </c>
      <c r="Z435" s="118">
        <f>+IF($W435="","",ROUND(IF(Parámetros!$D$25='TABLAS MORT'!$V$33,Z434,Parámetros!$D$21-'Tablas Servicio'!T434),0))</f>
        <v>100000</v>
      </c>
      <c r="AA435" s="118" t="str">
        <f t="shared" si="558"/>
        <v>P</v>
      </c>
      <c r="AB435" s="119">
        <f>+IF(W435="","",ROUND((VLOOKUP(ROUNDDOWN($D435-1/frec,0),qx_tabla,2,FALSE)*(1+i/frec)^-0.5*(1+Parámetros!$D$103)*(1+rec_fracc)/frec),6))</f>
        <v>1.3810000000000001E-3</v>
      </c>
      <c r="AC435" s="66">
        <f t="shared" si="602"/>
        <v>138.1</v>
      </c>
      <c r="AD435" s="119">
        <f t="shared" si="598"/>
        <v>1.506E-3</v>
      </c>
      <c r="AE435" s="66">
        <f>+IF($W435="","",ROUND(IF($B435&gt;Parámetros!$D$107,'Tablas Servicio'!AC435+('Tablas Servicio'!AG434-'Tablas Servicio'!AC434),AC435/(1-IF(B435&lt;=10,Parámetros!$D$104,Parámetros!$D$105))),2))</f>
        <v>230.17</v>
      </c>
      <c r="AF435" s="66">
        <f>+IF($W435="","",ROUND(IF($B435&gt;Parámetros!$D$107,'Tablas Servicio'!AC435+('Tablas Servicio'!AG434-'Tablas Servicio'!AC434),(AC435+$A434/frec)/(1-IF(B435&lt;=Parámetros!$D$117,Parámetros!$D$100,0))),2))</f>
        <v>150.6</v>
      </c>
      <c r="AG435" s="66">
        <f t="shared" si="603"/>
        <v>150.6</v>
      </c>
      <c r="AH435" s="66">
        <f t="shared" si="604"/>
        <v>0</v>
      </c>
      <c r="AI435" s="66">
        <f t="shared" si="605"/>
        <v>0</v>
      </c>
      <c r="AJ435" s="66">
        <f>+IF($W435="","",ROUND((AG435*Parámetros!$G$85),2))</f>
        <v>5.27</v>
      </c>
      <c r="AK435" s="66">
        <f>+IF($W435="","",ROUND((AG435*(Parámetros!$G$86)),2))</f>
        <v>0.75</v>
      </c>
      <c r="AL435" s="66">
        <f t="shared" si="599"/>
        <v>156.62</v>
      </c>
      <c r="AM435" t="str">
        <f t="shared" si="559"/>
        <v>00059</v>
      </c>
      <c r="AN435" t="str">
        <f t="shared" si="560"/>
        <v>Incapacidad Total y Permanente</v>
      </c>
      <c r="AO435" s="118">
        <f t="shared" si="561"/>
        <v>0</v>
      </c>
      <c r="AP435" s="118" t="str">
        <f t="shared" si="562"/>
        <v>A</v>
      </c>
      <c r="AQ435" s="119" t="str">
        <f>+IF(OR($W435="",AO435=0),"",ROUND((VLOOKUP(ROUNDDOWN($D435-1/frec,0),cob_adi,Z$40,FALSE)*(1+i/frec)^-0.5*(1+Parámetros!$D$103)*(1+rec_fracc)/frec),6))</f>
        <v/>
      </c>
      <c r="AR435" s="66">
        <f t="shared" si="606"/>
        <v>0</v>
      </c>
      <c r="AS435" s="119" t="str">
        <f t="shared" si="607"/>
        <v/>
      </c>
      <c r="AT435" s="66">
        <f>+IF($W435="","",ROUND(IF($B435&gt;Parámetros!$D$107,'Tablas Servicio'!AR435+('Tablas Servicio'!AT434-'Tablas Servicio'!AR434),AR435/(1-IF(B435&lt;=10,Parámetros!$D$100,0))),2))</f>
        <v>0</v>
      </c>
      <c r="AU435" s="66">
        <f t="shared" si="608"/>
        <v>0</v>
      </c>
      <c r="AV435" s="66">
        <f t="shared" si="608"/>
        <v>0</v>
      </c>
      <c r="AW435" s="66">
        <f>+IF($W435="","",ROUND((AT435*Parámetros!$G$85),2))</f>
        <v>0</v>
      </c>
      <c r="AX435" s="66">
        <f>+IF($W435="","",ROUND((AT435*(Parámetros!$G$86)),2))</f>
        <v>0</v>
      </c>
      <c r="AY435" s="66">
        <f t="shared" si="609"/>
        <v>0</v>
      </c>
      <c r="AZ435" t="str">
        <f t="shared" si="563"/>
        <v>00060</v>
      </c>
      <c r="BA435" t="str">
        <f t="shared" si="564"/>
        <v>Muerte Accidental</v>
      </c>
      <c r="BB435" s="118">
        <f t="shared" si="565"/>
        <v>0</v>
      </c>
      <c r="BC435" s="118" t="str">
        <f t="shared" si="566"/>
        <v>A</v>
      </c>
      <c r="BD435" s="119" t="str">
        <f>+IF(OR($W435="",BB435=0),"",ROUND((VLOOKUP(ROUNDDOWN($D435-1/frec,0),cob_adi,AO$40,FALSE)*(1+i/frec)^-0.5*(1+Parámetros!$D$103)*(1+rec_fracc)/frec),6))</f>
        <v/>
      </c>
      <c r="BE435" s="66">
        <f t="shared" si="610"/>
        <v>0</v>
      </c>
      <c r="BF435" s="119" t="str">
        <f t="shared" si="611"/>
        <v/>
      </c>
      <c r="BG435" s="66">
        <f>+IF($W435="","",ROUND(IF($B435&gt;Parámetros!$D$107,'Tablas Servicio'!BE435+('Tablas Servicio'!BG434-'Tablas Servicio'!BE434),BE435/(1-IF(B435&lt;=10,Parámetros!$D$100,0))),2))</f>
        <v>0</v>
      </c>
      <c r="BH435" s="66">
        <f t="shared" si="612"/>
        <v>0</v>
      </c>
      <c r="BI435" s="66">
        <f t="shared" si="613"/>
        <v>0</v>
      </c>
      <c r="BJ435" s="66">
        <f>+IF($W435="","",ROUND((BG435*Parámetros!$G$85),2))</f>
        <v>0</v>
      </c>
      <c r="BK435" s="66">
        <f>+IF($W435="","",ROUND((BG435*(Parámetros!$G$86)),2))</f>
        <v>0</v>
      </c>
      <c r="BL435" s="66">
        <f t="shared" si="614"/>
        <v>0</v>
      </c>
      <c r="BM435" t="str">
        <f t="shared" si="567"/>
        <v>00061</v>
      </c>
      <c r="BN435" t="str">
        <f t="shared" si="568"/>
        <v>Gastos de Entierro</v>
      </c>
      <c r="BO435" s="118">
        <f t="shared" si="569"/>
        <v>0</v>
      </c>
      <c r="BP435" s="118" t="str">
        <f t="shared" si="570"/>
        <v>A</v>
      </c>
      <c r="BQ435" s="119" t="str">
        <f>+IF(OR($W435="",BO435=0),"",ROUND((VLOOKUP(ROUNDDOWN($D435-1/frec,0),cob_adi,BB$40,FALSE)*(1+i/frec)^-0.5*(1+Parámetros!$D$103)*(1+rec_fracc)/frec),6))</f>
        <v/>
      </c>
      <c r="BR435" s="66">
        <f t="shared" si="615"/>
        <v>0</v>
      </c>
      <c r="BS435" s="119" t="str">
        <f t="shared" si="616"/>
        <v/>
      </c>
      <c r="BT435" s="66">
        <f>+IF($W435="","",ROUND(IF($B435&gt;Parámetros!$D$107,'Tablas Servicio'!BR435+('Tablas Servicio'!BT434-'Tablas Servicio'!BR434),BR435/(1-IF(B435&lt;=10,Parámetros!$D$100,0))),2))</f>
        <v>0</v>
      </c>
      <c r="BU435" s="66">
        <f t="shared" si="617"/>
        <v>0</v>
      </c>
      <c r="BV435" s="66">
        <f t="shared" si="617"/>
        <v>0</v>
      </c>
      <c r="BW435" s="66">
        <f>+IF($W435="","",ROUND((BT435*Parámetros!$G$85),2))</f>
        <v>0</v>
      </c>
      <c r="BX435" s="66">
        <f>+IF($W435="","",ROUND((BT435*(Parámetros!$G$86)),2))</f>
        <v>0</v>
      </c>
      <c r="BY435" s="66">
        <f t="shared" si="618"/>
        <v>0</v>
      </c>
      <c r="BZ435" t="str">
        <f t="shared" si="571"/>
        <v>00062</v>
      </c>
      <c r="CA435" t="str">
        <f t="shared" si="572"/>
        <v>Gastos médicos por accidente</v>
      </c>
      <c r="CB435" s="118">
        <f t="shared" si="573"/>
        <v>0</v>
      </c>
      <c r="CC435" s="118" t="str">
        <f t="shared" si="574"/>
        <v>A</v>
      </c>
      <c r="CD435" s="119" t="str">
        <f t="shared" si="619"/>
        <v/>
      </c>
      <c r="CE435" s="66">
        <f>+IF($W435="","",ROUND((VLOOKUP(ROUNDDOWN($D435-1/frec,0),cob_adi,BO$40,FALSE)*(1+i/frec)^-0.5*(1+Parámetros!$D$103)*(1+rec_fracc)/frec*'TABLAS ADI'!$BC$17),2))</f>
        <v>0</v>
      </c>
      <c r="CF435" s="119" t="str">
        <f t="shared" si="620"/>
        <v/>
      </c>
      <c r="CG435" s="66">
        <f>+IF($W435="","",ROUND(IF($B435&gt;Parámetros!$D$107,'Tablas Servicio'!CE435+('Tablas Servicio'!CG434-'Tablas Servicio'!CE434),CE435/(1-IF(B435&lt;=10,Parámetros!$D$100,0))),2))</f>
        <v>0</v>
      </c>
      <c r="CH435" s="66">
        <f t="shared" si="621"/>
        <v>0</v>
      </c>
      <c r="CI435" s="66">
        <f t="shared" si="621"/>
        <v>0</v>
      </c>
      <c r="CJ435" s="66">
        <f>+IF($W435="","",ROUND((CG435*Parámetros!$G$85),2))</f>
        <v>0</v>
      </c>
      <c r="CK435" s="66">
        <f>+IF($W435="","",ROUND((CG435*(Parámetros!$G$86)),2))</f>
        <v>0</v>
      </c>
      <c r="CL435" s="66">
        <f t="shared" si="622"/>
        <v>0</v>
      </c>
      <c r="CM435" t="str">
        <f t="shared" si="575"/>
        <v>00063</v>
      </c>
      <c r="CN435" s="118" t="str">
        <f t="shared" si="576"/>
        <v>Renta Diaria por Hospitalización</v>
      </c>
      <c r="CO435" s="118">
        <f t="shared" si="577"/>
        <v>0</v>
      </c>
      <c r="CP435" s="118" t="str">
        <f t="shared" si="578"/>
        <v>A</v>
      </c>
      <c r="CQ435" s="119" t="str">
        <f t="shared" si="623"/>
        <v/>
      </c>
      <c r="CR435" s="66">
        <f>+IF($W435="","",ROUND((VLOOKUP(Parámetros!$F$51,'COBERTURAS ADICIONALES'!$S$4:$T$32,2,FALSE)*(1+i/frec)^-0.5*(1+Parámetros!$D$103)*(1+rec_fracc)/frec*$CO$42),2))</f>
        <v>0</v>
      </c>
      <c r="CS435" s="119" t="str">
        <f t="shared" si="624"/>
        <v/>
      </c>
      <c r="CT435" s="66">
        <f>+IF($W435="","",ROUND(IF($B435&gt;Parámetros!$D$107,'Tablas Servicio'!CR435+('Tablas Servicio'!CT434-'Tablas Servicio'!CR434),CR435/(1-IF(B435&lt;=10,Parámetros!$D$100,0))),2))</f>
        <v>0</v>
      </c>
      <c r="CU435" s="66">
        <f t="shared" si="625"/>
        <v>0</v>
      </c>
      <c r="CV435" s="66">
        <f t="shared" si="625"/>
        <v>0</v>
      </c>
      <c r="CW435" s="66">
        <f>+IF($W435="","",ROUND((CT435*Parámetros!$G$85),2))</f>
        <v>0</v>
      </c>
      <c r="CX435" s="66">
        <f>+IF($W435="","",ROUND((CT435*(Parámetros!$G$86)),2))</f>
        <v>0</v>
      </c>
      <c r="CY435" s="66">
        <f t="shared" si="626"/>
        <v>0</v>
      </c>
      <c r="CZ435" t="str">
        <f t="shared" si="579"/>
        <v>00064</v>
      </c>
      <c r="DA435" s="118" t="str">
        <f t="shared" si="580"/>
        <v>Enfermedades Graves</v>
      </c>
      <c r="DB435" s="118">
        <f t="shared" si="581"/>
        <v>0</v>
      </c>
      <c r="DC435" s="118" t="str">
        <f t="shared" si="582"/>
        <v>A</v>
      </c>
      <c r="DD435" s="121" t="str">
        <f>+IF(OR($W435="",DB435=0),"",ROUND((VLOOKUP(ROUNDDOWN($D435-1/frec,0),cob_adi,CO$40,FALSE)*(1+i/frec)^-0.5*(1+Parámetros!$D$103)*(1+rec_fracc)/frec),6))</f>
        <v/>
      </c>
      <c r="DE435" s="66">
        <f t="shared" si="627"/>
        <v>0</v>
      </c>
      <c r="DF435" s="119" t="str">
        <f t="shared" si="628"/>
        <v/>
      </c>
      <c r="DG435" s="66">
        <f>+IF($W435="","",ROUND(IF($B435&gt;Parámetros!$D$107,'Tablas Servicio'!DE435+('Tablas Servicio'!DG434-'Tablas Servicio'!DE434),DE435/(1-IF(B435&lt;=10,Parámetros!$D$100,0))),2))</f>
        <v>0</v>
      </c>
      <c r="DH435" s="66">
        <f t="shared" si="629"/>
        <v>0</v>
      </c>
      <c r="DI435" s="66">
        <f t="shared" si="629"/>
        <v>0</v>
      </c>
      <c r="DJ435" s="66">
        <f>+IF($W435="","",ROUND((DG435*Parámetros!$G$85),2))</f>
        <v>0</v>
      </c>
      <c r="DK435" s="66">
        <f>+IF($W435="","",ROUND((DG435*(Parámetros!$G$86)),2))</f>
        <v>0</v>
      </c>
      <c r="DL435" s="66">
        <f t="shared" si="630"/>
        <v>0</v>
      </c>
      <c r="DM435" t="str">
        <f t="shared" si="583"/>
        <v>00065</v>
      </c>
      <c r="DN435" s="118" t="str">
        <f t="shared" si="584"/>
        <v>Exención pago de primas</v>
      </c>
      <c r="DO435" s="118">
        <f t="shared" si="585"/>
        <v>0</v>
      </c>
      <c r="DP435" s="118" t="str">
        <f t="shared" si="586"/>
        <v>A</v>
      </c>
      <c r="DQ435" s="122" t="str">
        <f>+IF(OR($W435="",DO435=0),"",ROUND((VLOOKUP(ROUNDDOWN($D435-1/frec,0),cob_adi,DB$40,FALSE)*(1+i/frec)^-0.5*(1+Parámetros!$D$103)*(1+rec_fracc)/frec),6))</f>
        <v/>
      </c>
      <c r="DR435" s="66">
        <f t="shared" si="631"/>
        <v>0</v>
      </c>
      <c r="DS435" s="68" t="str">
        <f t="shared" si="632"/>
        <v/>
      </c>
      <c r="DT435" s="66">
        <f>+IF($W435="","",ROUND(IF($B435&gt;Parámetros!$D$107,'Tablas Servicio'!DR435+('Tablas Servicio'!DT434-'Tablas Servicio'!DR434),DR435/(1-IF(B435&lt;=10,Parámetros!$D$100,0))),2))</f>
        <v>0</v>
      </c>
      <c r="DU435" s="66">
        <f t="shared" si="633"/>
        <v>0</v>
      </c>
      <c r="DV435" s="66">
        <f t="shared" si="633"/>
        <v>0</v>
      </c>
      <c r="DW435" s="66">
        <f>+IF($W435="","",ROUND((DT435*Parámetros!$G$85),2))</f>
        <v>0</v>
      </c>
      <c r="DX435" s="66">
        <f>+IF($W435="","",ROUND((DT435*(Parámetros!$G$86)),2))</f>
        <v>0</v>
      </c>
      <c r="DY435" s="66">
        <f t="shared" si="634"/>
        <v>0</v>
      </c>
      <c r="DZ435" t="str">
        <f t="shared" si="635"/>
        <v>00066</v>
      </c>
      <c r="EA435" s="118" t="str">
        <f t="shared" si="635"/>
        <v>Enfermedad terminal</v>
      </c>
      <c r="EB435" s="118">
        <f>+IF($W435="","",ROUND(IF(Parámetros!$D$25='TABLAS MORT'!$V$33,EB434,Z435/2),0))</f>
        <v>50000</v>
      </c>
      <c r="EC435" s="118" t="str">
        <f t="shared" si="635"/>
        <v>A</v>
      </c>
      <c r="ED435" s="122">
        <f>+IF(OR($W435="",EB435=0),"",ROUND((VLOOKUP(ROUNDDOWN($D435-1/frec,0),cob_adi,DO$40,FALSE)*(1+i/frec)^-0.5*(1+Parámetros!$D$103)*(1+rec_fracc)/frec),6))</f>
        <v>6.4999999999999994E-5</v>
      </c>
      <c r="EE435" s="66">
        <f t="shared" si="636"/>
        <v>3.25</v>
      </c>
      <c r="EF435" s="68">
        <f t="shared" si="637"/>
        <v>6.4999999999999994E-5</v>
      </c>
      <c r="EG435" s="66">
        <f>+IF($W435="","",ROUND(IF($B435&gt;Parámetros!$D$107,'Tablas Servicio'!EE435+('Tablas Servicio'!EG434-'Tablas Servicio'!EE434),EE435/(1-IF(B435&lt;=10,Parámetros!$D$100,0))),2))</f>
        <v>3.25</v>
      </c>
      <c r="EH435" s="66">
        <f t="shared" si="638"/>
        <v>0</v>
      </c>
      <c r="EI435" s="66">
        <f t="shared" si="638"/>
        <v>0</v>
      </c>
      <c r="EJ435" s="66">
        <f>+IF($W435="","",ROUND((EG435*Parámetros!$G$85),2))</f>
        <v>0.11</v>
      </c>
      <c r="EK435" s="66">
        <f>+IF($W435="","",ROUND((EG435*(Parámetros!$G$86)),2))</f>
        <v>0.02</v>
      </c>
      <c r="EL435" s="66">
        <f t="shared" si="639"/>
        <v>3.38</v>
      </c>
    </row>
    <row r="436" spans="1:142" x14ac:dyDescent="0.25">
      <c r="A436">
        <f>+IF($C436="","",ROUND(VLOOKUP('Tablas Servicio'!B436,Parámetros!$H$100:$J$159,IF(Parámetros!$E$16="F",2,3),FALSE),2))</f>
        <v>150</v>
      </c>
      <c r="B436">
        <f t="shared" si="590"/>
        <v>33</v>
      </c>
      <c r="C436" s="57">
        <f>+IF(D436="","",'Tablas Servicio'!C435+1)</f>
        <v>395</v>
      </c>
      <c r="D436" s="56">
        <f>+IF(D435&lt;edadmaxtabla,D435+1/Parámetros!$E$25,"")</f>
        <v>72.936666666666838</v>
      </c>
      <c r="E436" s="57">
        <f t="shared" si="600"/>
        <v>72</v>
      </c>
      <c r="F436" s="59">
        <f t="shared" si="601"/>
        <v>100000</v>
      </c>
      <c r="G436" s="66">
        <f t="shared" si="591"/>
        <v>153.85</v>
      </c>
      <c r="H436" s="66">
        <f t="shared" si="592"/>
        <v>160</v>
      </c>
      <c r="I436" s="66">
        <f t="shared" si="552"/>
        <v>-66</v>
      </c>
      <c r="J436" s="66">
        <f t="shared" si="593"/>
        <v>5.38</v>
      </c>
      <c r="K436" s="66">
        <f t="shared" si="594"/>
        <v>0.77</v>
      </c>
      <c r="L436" s="66">
        <f t="shared" si="595"/>
        <v>0</v>
      </c>
      <c r="M436" s="66">
        <f t="shared" si="596"/>
        <v>0</v>
      </c>
      <c r="N436" s="66">
        <f>+IF(C436="","",ROUND(Parámetros!$D$23,2))</f>
        <v>94</v>
      </c>
      <c r="O436" s="66">
        <f t="shared" si="597"/>
        <v>141.35</v>
      </c>
      <c r="P436" s="66">
        <f>+IF($C436="","",ROUND(IF(B436&gt;Parámetros!$D$117,0,N436*Parámetros!$D$116-G436*Parámetros!$D$100),2))</f>
        <v>0</v>
      </c>
      <c r="Q436" s="75">
        <f t="shared" si="553"/>
        <v>3.4969125771855701E-2</v>
      </c>
      <c r="R436" s="75">
        <f t="shared" si="554"/>
        <v>5.0048748781280471E-3</v>
      </c>
      <c r="S436" s="117">
        <f>+IF($C436="","",ROUND((S435+I436)*(1+Parámetros!$D$91),2))</f>
        <v>26838.73</v>
      </c>
      <c r="T436" s="117">
        <f>+IF($C436="","",ROUND(S436*VLOOKUP(B436,Parámetros!$C$30:$D$39,2,TRUE),2))</f>
        <v>26838.73</v>
      </c>
      <c r="U436" s="117">
        <f>+IF($C436="","",ROUND((U435+I436)*(1+Parámetros!$D$92),2))</f>
        <v>30442.5</v>
      </c>
      <c r="V436" s="117">
        <f>+IF($C436="","",ROUND(U436*VLOOKUP(B436,Parámetros!$C$30:$D$39,2,TRUE),2))</f>
        <v>30442.5</v>
      </c>
      <c r="W436" s="57">
        <f t="shared" si="555"/>
        <v>395</v>
      </c>
      <c r="X436" t="str">
        <f t="shared" si="556"/>
        <v>00058</v>
      </c>
      <c r="Y436" t="str">
        <f t="shared" si="557"/>
        <v>MUERTE POR CUALQUIER CAUSA</v>
      </c>
      <c r="Z436" s="118">
        <f>+IF($W436="","",ROUND(IF(Parámetros!$D$25='TABLAS MORT'!$V$33,Z435,Parámetros!$D$21-'Tablas Servicio'!T435),0))</f>
        <v>100000</v>
      </c>
      <c r="AA436" s="118" t="str">
        <f t="shared" si="558"/>
        <v>P</v>
      </c>
      <c r="AB436" s="119">
        <f>+IF(W436="","",ROUND((VLOOKUP(ROUNDDOWN($D436-1/frec,0),qx_tabla,2,FALSE)*(1+i/frec)^-0.5*(1+Parámetros!$D$103)*(1+rec_fracc)/frec),6))</f>
        <v>1.3810000000000001E-3</v>
      </c>
      <c r="AC436" s="66">
        <f t="shared" si="602"/>
        <v>138.1</v>
      </c>
      <c r="AD436" s="119">
        <f t="shared" si="598"/>
        <v>1.506E-3</v>
      </c>
      <c r="AE436" s="66">
        <f>+IF($W436="","",ROUND(IF($B436&gt;Parámetros!$D$107,'Tablas Servicio'!AC436+('Tablas Servicio'!AG435-'Tablas Servicio'!AC435),AC436/(1-IF(B436&lt;=10,Parámetros!$D$104,Parámetros!$D$105))),2))</f>
        <v>230.17</v>
      </c>
      <c r="AF436" s="66">
        <f>+IF($W436="","",ROUND(IF($B436&gt;Parámetros!$D$107,'Tablas Servicio'!AC436+('Tablas Servicio'!AG435-'Tablas Servicio'!AC435),(AC436+$A435/frec)/(1-IF(B436&lt;=Parámetros!$D$117,Parámetros!$D$100,0))),2))</f>
        <v>150.6</v>
      </c>
      <c r="AG436" s="66">
        <f t="shared" si="603"/>
        <v>150.6</v>
      </c>
      <c r="AH436" s="66">
        <f t="shared" si="604"/>
        <v>0</v>
      </c>
      <c r="AI436" s="66">
        <f t="shared" si="605"/>
        <v>0</v>
      </c>
      <c r="AJ436" s="66">
        <f>+IF($W436="","",ROUND((AG436*Parámetros!$G$85),2))</f>
        <v>5.27</v>
      </c>
      <c r="AK436" s="66">
        <f>+IF($W436="","",ROUND((AG436*(Parámetros!$G$86)),2))</f>
        <v>0.75</v>
      </c>
      <c r="AL436" s="66">
        <f t="shared" si="599"/>
        <v>156.62</v>
      </c>
      <c r="AM436" t="str">
        <f t="shared" si="559"/>
        <v>00059</v>
      </c>
      <c r="AN436" t="str">
        <f t="shared" si="560"/>
        <v>Incapacidad Total y Permanente</v>
      </c>
      <c r="AO436" s="118">
        <f t="shared" si="561"/>
        <v>0</v>
      </c>
      <c r="AP436" s="118" t="str">
        <f t="shared" si="562"/>
        <v>A</v>
      </c>
      <c r="AQ436" s="119" t="str">
        <f>+IF(OR($W436="",AO436=0),"",ROUND((VLOOKUP(ROUNDDOWN($D436-1/frec,0),cob_adi,Z$40,FALSE)*(1+i/frec)^-0.5*(1+Parámetros!$D$103)*(1+rec_fracc)/frec),6))</f>
        <v/>
      </c>
      <c r="AR436" s="66">
        <f t="shared" si="606"/>
        <v>0</v>
      </c>
      <c r="AS436" s="119" t="str">
        <f t="shared" si="607"/>
        <v/>
      </c>
      <c r="AT436" s="66">
        <f>+IF($W436="","",ROUND(IF($B436&gt;Parámetros!$D$107,'Tablas Servicio'!AR436+('Tablas Servicio'!AT435-'Tablas Servicio'!AR435),AR436/(1-IF(B436&lt;=10,Parámetros!$D$100,0))),2))</f>
        <v>0</v>
      </c>
      <c r="AU436" s="66">
        <f t="shared" si="608"/>
        <v>0</v>
      </c>
      <c r="AV436" s="66">
        <f t="shared" si="608"/>
        <v>0</v>
      </c>
      <c r="AW436" s="66">
        <f>+IF($W436="","",ROUND((AT436*Parámetros!$G$85),2))</f>
        <v>0</v>
      </c>
      <c r="AX436" s="66">
        <f>+IF($W436="","",ROUND((AT436*(Parámetros!$G$86)),2))</f>
        <v>0</v>
      </c>
      <c r="AY436" s="66">
        <f t="shared" si="609"/>
        <v>0</v>
      </c>
      <c r="AZ436" t="str">
        <f t="shared" si="563"/>
        <v>00060</v>
      </c>
      <c r="BA436" t="str">
        <f t="shared" si="564"/>
        <v>Muerte Accidental</v>
      </c>
      <c r="BB436" s="118">
        <f t="shared" si="565"/>
        <v>0</v>
      </c>
      <c r="BC436" s="118" t="str">
        <f t="shared" si="566"/>
        <v>A</v>
      </c>
      <c r="BD436" s="119" t="str">
        <f>+IF(OR($W436="",BB436=0),"",ROUND((VLOOKUP(ROUNDDOWN($D436-1/frec,0),cob_adi,AO$40,FALSE)*(1+i/frec)^-0.5*(1+Parámetros!$D$103)*(1+rec_fracc)/frec),6))</f>
        <v/>
      </c>
      <c r="BE436" s="66">
        <f t="shared" si="610"/>
        <v>0</v>
      </c>
      <c r="BF436" s="119" t="str">
        <f t="shared" si="611"/>
        <v/>
      </c>
      <c r="BG436" s="66">
        <f>+IF($W436="","",ROUND(IF($B436&gt;Parámetros!$D$107,'Tablas Servicio'!BE436+('Tablas Servicio'!BG435-'Tablas Servicio'!BE435),BE436/(1-IF(B436&lt;=10,Parámetros!$D$100,0))),2))</f>
        <v>0</v>
      </c>
      <c r="BH436" s="66">
        <f t="shared" si="612"/>
        <v>0</v>
      </c>
      <c r="BI436" s="66">
        <f t="shared" si="613"/>
        <v>0</v>
      </c>
      <c r="BJ436" s="66">
        <f>+IF($W436="","",ROUND((BG436*Parámetros!$G$85),2))</f>
        <v>0</v>
      </c>
      <c r="BK436" s="66">
        <f>+IF($W436="","",ROUND((BG436*(Parámetros!$G$86)),2))</f>
        <v>0</v>
      </c>
      <c r="BL436" s="66">
        <f t="shared" si="614"/>
        <v>0</v>
      </c>
      <c r="BM436" t="str">
        <f t="shared" si="567"/>
        <v>00061</v>
      </c>
      <c r="BN436" t="str">
        <f t="shared" si="568"/>
        <v>Gastos de Entierro</v>
      </c>
      <c r="BO436" s="118">
        <f t="shared" si="569"/>
        <v>0</v>
      </c>
      <c r="BP436" s="118" t="str">
        <f t="shared" si="570"/>
        <v>A</v>
      </c>
      <c r="BQ436" s="119" t="str">
        <f>+IF(OR($W436="",BO436=0),"",ROUND((VLOOKUP(ROUNDDOWN($D436-1/frec,0),cob_adi,BB$40,FALSE)*(1+i/frec)^-0.5*(1+Parámetros!$D$103)*(1+rec_fracc)/frec),6))</f>
        <v/>
      </c>
      <c r="BR436" s="66">
        <f t="shared" si="615"/>
        <v>0</v>
      </c>
      <c r="BS436" s="119" t="str">
        <f t="shared" si="616"/>
        <v/>
      </c>
      <c r="BT436" s="66">
        <f>+IF($W436="","",ROUND(IF($B436&gt;Parámetros!$D$107,'Tablas Servicio'!BR436+('Tablas Servicio'!BT435-'Tablas Servicio'!BR435),BR436/(1-IF(B436&lt;=10,Parámetros!$D$100,0))),2))</f>
        <v>0</v>
      </c>
      <c r="BU436" s="66">
        <f t="shared" si="617"/>
        <v>0</v>
      </c>
      <c r="BV436" s="66">
        <f t="shared" si="617"/>
        <v>0</v>
      </c>
      <c r="BW436" s="66">
        <f>+IF($W436="","",ROUND((BT436*Parámetros!$G$85),2))</f>
        <v>0</v>
      </c>
      <c r="BX436" s="66">
        <f>+IF($W436="","",ROUND((BT436*(Parámetros!$G$86)),2))</f>
        <v>0</v>
      </c>
      <c r="BY436" s="66">
        <f t="shared" si="618"/>
        <v>0</v>
      </c>
      <c r="BZ436" t="str">
        <f t="shared" si="571"/>
        <v>00062</v>
      </c>
      <c r="CA436" t="str">
        <f t="shared" si="572"/>
        <v>Gastos médicos por accidente</v>
      </c>
      <c r="CB436" s="118">
        <f t="shared" si="573"/>
        <v>0</v>
      </c>
      <c r="CC436" s="118" t="str">
        <f t="shared" si="574"/>
        <v>A</v>
      </c>
      <c r="CD436" s="119" t="str">
        <f t="shared" si="619"/>
        <v/>
      </c>
      <c r="CE436" s="66">
        <f>+IF($W436="","",ROUND((VLOOKUP(ROUNDDOWN($D436-1/frec,0),cob_adi,BO$40,FALSE)*(1+i/frec)^-0.5*(1+Parámetros!$D$103)*(1+rec_fracc)/frec*'TABLAS ADI'!$BC$17),2))</f>
        <v>0</v>
      </c>
      <c r="CF436" s="119" t="str">
        <f t="shared" si="620"/>
        <v/>
      </c>
      <c r="CG436" s="66">
        <f>+IF($W436="","",ROUND(IF($B436&gt;Parámetros!$D$107,'Tablas Servicio'!CE436+('Tablas Servicio'!CG435-'Tablas Servicio'!CE435),CE436/(1-IF(B436&lt;=10,Parámetros!$D$100,0))),2))</f>
        <v>0</v>
      </c>
      <c r="CH436" s="66">
        <f t="shared" si="621"/>
        <v>0</v>
      </c>
      <c r="CI436" s="66">
        <f t="shared" si="621"/>
        <v>0</v>
      </c>
      <c r="CJ436" s="66">
        <f>+IF($W436="","",ROUND((CG436*Parámetros!$G$85),2))</f>
        <v>0</v>
      </c>
      <c r="CK436" s="66">
        <f>+IF($W436="","",ROUND((CG436*(Parámetros!$G$86)),2))</f>
        <v>0</v>
      </c>
      <c r="CL436" s="66">
        <f t="shared" si="622"/>
        <v>0</v>
      </c>
      <c r="CM436" t="str">
        <f t="shared" si="575"/>
        <v>00063</v>
      </c>
      <c r="CN436" s="118" t="str">
        <f t="shared" si="576"/>
        <v>Renta Diaria por Hospitalización</v>
      </c>
      <c r="CO436" s="118">
        <f t="shared" si="577"/>
        <v>0</v>
      </c>
      <c r="CP436" s="118" t="str">
        <f t="shared" si="578"/>
        <v>A</v>
      </c>
      <c r="CQ436" s="119" t="str">
        <f t="shared" si="623"/>
        <v/>
      </c>
      <c r="CR436" s="66">
        <f>+IF($W436="","",ROUND((VLOOKUP(Parámetros!$F$51,'COBERTURAS ADICIONALES'!$S$4:$T$32,2,FALSE)*(1+i/frec)^-0.5*(1+Parámetros!$D$103)*(1+rec_fracc)/frec*$CO$42),2))</f>
        <v>0</v>
      </c>
      <c r="CS436" s="119" t="str">
        <f t="shared" si="624"/>
        <v/>
      </c>
      <c r="CT436" s="66">
        <f>+IF($W436="","",ROUND(IF($B436&gt;Parámetros!$D$107,'Tablas Servicio'!CR436+('Tablas Servicio'!CT435-'Tablas Servicio'!CR435),CR436/(1-IF(B436&lt;=10,Parámetros!$D$100,0))),2))</f>
        <v>0</v>
      </c>
      <c r="CU436" s="66">
        <f t="shared" si="625"/>
        <v>0</v>
      </c>
      <c r="CV436" s="66">
        <f t="shared" si="625"/>
        <v>0</v>
      </c>
      <c r="CW436" s="66">
        <f>+IF($W436="","",ROUND((CT436*Parámetros!$G$85),2))</f>
        <v>0</v>
      </c>
      <c r="CX436" s="66">
        <f>+IF($W436="","",ROUND((CT436*(Parámetros!$G$86)),2))</f>
        <v>0</v>
      </c>
      <c r="CY436" s="66">
        <f t="shared" si="626"/>
        <v>0</v>
      </c>
      <c r="CZ436" t="str">
        <f t="shared" si="579"/>
        <v>00064</v>
      </c>
      <c r="DA436" s="118" t="str">
        <f t="shared" si="580"/>
        <v>Enfermedades Graves</v>
      </c>
      <c r="DB436" s="118">
        <f t="shared" si="581"/>
        <v>0</v>
      </c>
      <c r="DC436" s="118" t="str">
        <f t="shared" si="582"/>
        <v>A</v>
      </c>
      <c r="DD436" s="121" t="str">
        <f>+IF(OR($W436="",DB436=0),"",ROUND((VLOOKUP(ROUNDDOWN($D436-1/frec,0),cob_adi,CO$40,FALSE)*(1+i/frec)^-0.5*(1+Parámetros!$D$103)*(1+rec_fracc)/frec),6))</f>
        <v/>
      </c>
      <c r="DE436" s="66">
        <f t="shared" si="627"/>
        <v>0</v>
      </c>
      <c r="DF436" s="119" t="str">
        <f t="shared" si="628"/>
        <v/>
      </c>
      <c r="DG436" s="66">
        <f>+IF($W436="","",ROUND(IF($B436&gt;Parámetros!$D$107,'Tablas Servicio'!DE436+('Tablas Servicio'!DG435-'Tablas Servicio'!DE435),DE436/(1-IF(B436&lt;=10,Parámetros!$D$100,0))),2))</f>
        <v>0</v>
      </c>
      <c r="DH436" s="66">
        <f t="shared" si="629"/>
        <v>0</v>
      </c>
      <c r="DI436" s="66">
        <f t="shared" si="629"/>
        <v>0</v>
      </c>
      <c r="DJ436" s="66">
        <f>+IF($W436="","",ROUND((DG436*Parámetros!$G$85),2))</f>
        <v>0</v>
      </c>
      <c r="DK436" s="66">
        <f>+IF($W436="","",ROUND((DG436*(Parámetros!$G$86)),2))</f>
        <v>0</v>
      </c>
      <c r="DL436" s="66">
        <f t="shared" si="630"/>
        <v>0</v>
      </c>
      <c r="DM436" t="str">
        <f t="shared" si="583"/>
        <v>00065</v>
      </c>
      <c r="DN436" s="118" t="str">
        <f t="shared" si="584"/>
        <v>Exención pago de primas</v>
      </c>
      <c r="DO436" s="118">
        <f t="shared" si="585"/>
        <v>0</v>
      </c>
      <c r="DP436" s="118" t="str">
        <f t="shared" si="586"/>
        <v>A</v>
      </c>
      <c r="DQ436" s="122" t="str">
        <f>+IF(OR($W436="",DO436=0),"",ROUND((VLOOKUP(ROUNDDOWN($D436-1/frec,0),cob_adi,DB$40,FALSE)*(1+i/frec)^-0.5*(1+Parámetros!$D$103)*(1+rec_fracc)/frec),6))</f>
        <v/>
      </c>
      <c r="DR436" s="66">
        <f t="shared" si="631"/>
        <v>0</v>
      </c>
      <c r="DS436" s="68" t="str">
        <f t="shared" si="632"/>
        <v/>
      </c>
      <c r="DT436" s="66">
        <f>+IF($W436="","",ROUND(IF($B436&gt;Parámetros!$D$107,'Tablas Servicio'!DR436+('Tablas Servicio'!DT435-'Tablas Servicio'!DR435),DR436/(1-IF(B436&lt;=10,Parámetros!$D$100,0))),2))</f>
        <v>0</v>
      </c>
      <c r="DU436" s="66">
        <f t="shared" si="633"/>
        <v>0</v>
      </c>
      <c r="DV436" s="66">
        <f t="shared" si="633"/>
        <v>0</v>
      </c>
      <c r="DW436" s="66">
        <f>+IF($W436="","",ROUND((DT436*Parámetros!$G$85),2))</f>
        <v>0</v>
      </c>
      <c r="DX436" s="66">
        <f>+IF($W436="","",ROUND((DT436*(Parámetros!$G$86)),2))</f>
        <v>0</v>
      </c>
      <c r="DY436" s="66">
        <f t="shared" si="634"/>
        <v>0</v>
      </c>
      <c r="DZ436" t="str">
        <f t="shared" si="635"/>
        <v>00066</v>
      </c>
      <c r="EA436" s="118" t="str">
        <f t="shared" si="635"/>
        <v>Enfermedad terminal</v>
      </c>
      <c r="EB436" s="118">
        <f>+IF($W436="","",ROUND(IF(Parámetros!$D$25='TABLAS MORT'!$V$33,EB435,Z436/2),0))</f>
        <v>50000</v>
      </c>
      <c r="EC436" s="118" t="str">
        <f t="shared" si="635"/>
        <v>A</v>
      </c>
      <c r="ED436" s="122">
        <f>+IF(OR($W436="",EB436=0),"",ROUND((VLOOKUP(ROUNDDOWN($D436-1/frec,0),cob_adi,DO$40,FALSE)*(1+i/frec)^-0.5*(1+Parámetros!$D$103)*(1+rec_fracc)/frec),6))</f>
        <v>6.4999999999999994E-5</v>
      </c>
      <c r="EE436" s="66">
        <f t="shared" si="636"/>
        <v>3.25</v>
      </c>
      <c r="EF436" s="68">
        <f t="shared" si="637"/>
        <v>6.4999999999999994E-5</v>
      </c>
      <c r="EG436" s="66">
        <f>+IF($W436="","",ROUND(IF($B436&gt;Parámetros!$D$107,'Tablas Servicio'!EE436+('Tablas Servicio'!EG435-'Tablas Servicio'!EE435),EE436/(1-IF(B436&lt;=10,Parámetros!$D$100,0))),2))</f>
        <v>3.25</v>
      </c>
      <c r="EH436" s="66">
        <f t="shared" si="638"/>
        <v>0</v>
      </c>
      <c r="EI436" s="66">
        <f t="shared" si="638"/>
        <v>0</v>
      </c>
      <c r="EJ436" s="66">
        <f>+IF($W436="","",ROUND((EG436*Parámetros!$G$85),2))</f>
        <v>0.11</v>
      </c>
      <c r="EK436" s="66">
        <f>+IF($W436="","",ROUND((EG436*(Parámetros!$G$86)),2))</f>
        <v>0.02</v>
      </c>
      <c r="EL436" s="66">
        <f t="shared" si="639"/>
        <v>3.38</v>
      </c>
    </row>
    <row r="437" spans="1:142" x14ac:dyDescent="0.25">
      <c r="A437">
        <f>+IF($C437="","",ROUND(VLOOKUP('Tablas Servicio'!B437,Parámetros!$H$100:$J$159,IF(Parámetros!$E$16="F",2,3),FALSE),2))</f>
        <v>150</v>
      </c>
      <c r="B437">
        <f t="shared" si="590"/>
        <v>33</v>
      </c>
      <c r="C437" s="57">
        <f>+IF(D437="","",'Tablas Servicio'!C436+1)</f>
        <v>396</v>
      </c>
      <c r="D437" s="56">
        <f>+IF(D436&lt;edadmaxtabla,D436+1/Parámetros!$E$25,"")</f>
        <v>73.020000000000167</v>
      </c>
      <c r="E437" s="57">
        <f t="shared" si="600"/>
        <v>73</v>
      </c>
      <c r="F437" s="59">
        <f t="shared" si="601"/>
        <v>100000</v>
      </c>
      <c r="G437" s="66">
        <f t="shared" si="591"/>
        <v>153.85</v>
      </c>
      <c r="H437" s="66">
        <f t="shared" si="592"/>
        <v>160</v>
      </c>
      <c r="I437" s="66">
        <f t="shared" si="552"/>
        <v>-66</v>
      </c>
      <c r="J437" s="66">
        <f t="shared" si="593"/>
        <v>5.38</v>
      </c>
      <c r="K437" s="66">
        <f t="shared" si="594"/>
        <v>0.77</v>
      </c>
      <c r="L437" s="66">
        <f t="shared" si="595"/>
        <v>0</v>
      </c>
      <c r="M437" s="66">
        <f t="shared" si="596"/>
        <v>0</v>
      </c>
      <c r="N437" s="66">
        <f>+IF(C437="","",ROUND(Parámetros!$D$23,2))</f>
        <v>94</v>
      </c>
      <c r="O437" s="66">
        <f t="shared" si="597"/>
        <v>141.35</v>
      </c>
      <c r="P437" s="66">
        <f>+IF($C437="","",ROUND(IF(B437&gt;Parámetros!$D$117,0,N437*Parámetros!$D$116-G437*Parámetros!$D$100),2))</f>
        <v>0</v>
      </c>
      <c r="Q437" s="75">
        <f t="shared" si="553"/>
        <v>3.4969125771855701E-2</v>
      </c>
      <c r="R437" s="75">
        <f t="shared" si="554"/>
        <v>5.0048748781280471E-3</v>
      </c>
      <c r="S437" s="117">
        <f>+IF($C437="","",ROUND((S436+I437)*(1+Parámetros!$D$91),2))</f>
        <v>26848.67</v>
      </c>
      <c r="T437" s="117">
        <f>+IF($C437="","",ROUND(S437*VLOOKUP(B437,Parámetros!$C$30:$D$39,2,TRUE),2))</f>
        <v>26848.67</v>
      </c>
      <c r="U437" s="117">
        <f>+IF($C437="","",ROUND((U436+I437)*(1+Parámetros!$D$92),2))</f>
        <v>30474.97</v>
      </c>
      <c r="V437" s="117">
        <f>+IF($C437="","",ROUND(U437*VLOOKUP(B437,Parámetros!$C$30:$D$39,2,TRUE),2))</f>
        <v>30474.97</v>
      </c>
      <c r="W437" s="57">
        <f t="shared" si="555"/>
        <v>396</v>
      </c>
      <c r="X437" t="str">
        <f t="shared" si="556"/>
        <v>00058</v>
      </c>
      <c r="Y437" t="str">
        <f t="shared" si="557"/>
        <v>MUERTE POR CUALQUIER CAUSA</v>
      </c>
      <c r="Z437" s="118">
        <f>+IF($W437="","",ROUND(IF(Parámetros!$D$25='TABLAS MORT'!$V$33,Z436,Parámetros!$D$21-'Tablas Servicio'!T436),0))</f>
        <v>100000</v>
      </c>
      <c r="AA437" s="118" t="str">
        <f t="shared" si="558"/>
        <v>P</v>
      </c>
      <c r="AB437" s="119">
        <f>+IF(W437="","",ROUND((VLOOKUP(ROUNDDOWN($D437-1/frec,0),qx_tabla,2,FALSE)*(1+i/frec)^-0.5*(1+Parámetros!$D$103)*(1+rec_fracc)/frec),6))</f>
        <v>1.3810000000000001E-3</v>
      </c>
      <c r="AC437" s="66">
        <f t="shared" si="602"/>
        <v>138.1</v>
      </c>
      <c r="AD437" s="119">
        <f t="shared" si="598"/>
        <v>1.506E-3</v>
      </c>
      <c r="AE437" s="66">
        <f>+IF($W437="","",ROUND(IF($B437&gt;Parámetros!$D$107,'Tablas Servicio'!AC437+('Tablas Servicio'!AG436-'Tablas Servicio'!AC436),AC437/(1-IF(B437&lt;=10,Parámetros!$D$104,Parámetros!$D$105))),2))</f>
        <v>230.17</v>
      </c>
      <c r="AF437" s="66">
        <f>+IF($W437="","",ROUND(IF($B437&gt;Parámetros!$D$107,'Tablas Servicio'!AC437+('Tablas Servicio'!AG436-'Tablas Servicio'!AC436),(AC437+$A436/frec)/(1-IF(B437&lt;=Parámetros!$D$117,Parámetros!$D$100,0))),2))</f>
        <v>150.6</v>
      </c>
      <c r="AG437" s="66">
        <f t="shared" si="603"/>
        <v>150.6</v>
      </c>
      <c r="AH437" s="66">
        <f t="shared" si="604"/>
        <v>0</v>
      </c>
      <c r="AI437" s="66">
        <f t="shared" si="605"/>
        <v>0</v>
      </c>
      <c r="AJ437" s="66">
        <f>+IF($W437="","",ROUND((AG437*Parámetros!$G$85),2))</f>
        <v>5.27</v>
      </c>
      <c r="AK437" s="66">
        <f>+IF($W437="","",ROUND((AG437*(Parámetros!$G$86)),2))</f>
        <v>0.75</v>
      </c>
      <c r="AL437" s="66">
        <f t="shared" si="599"/>
        <v>156.62</v>
      </c>
      <c r="AM437" t="str">
        <f t="shared" si="559"/>
        <v>00059</v>
      </c>
      <c r="AN437" t="str">
        <f t="shared" si="560"/>
        <v>Incapacidad Total y Permanente</v>
      </c>
      <c r="AO437" s="118">
        <f t="shared" si="561"/>
        <v>0</v>
      </c>
      <c r="AP437" s="118" t="str">
        <f t="shared" si="562"/>
        <v>A</v>
      </c>
      <c r="AQ437" s="119" t="str">
        <f>+IF(OR($W437="",AO437=0),"",ROUND((VLOOKUP(ROUNDDOWN($D437-1/frec,0),cob_adi,Z$40,FALSE)*(1+i/frec)^-0.5*(1+Parámetros!$D$103)*(1+rec_fracc)/frec),6))</f>
        <v/>
      </c>
      <c r="AR437" s="66">
        <f t="shared" si="606"/>
        <v>0</v>
      </c>
      <c r="AS437" s="119" t="str">
        <f t="shared" si="607"/>
        <v/>
      </c>
      <c r="AT437" s="66">
        <f>+IF($W437="","",ROUND(IF($B437&gt;Parámetros!$D$107,'Tablas Servicio'!AR437+('Tablas Servicio'!AT436-'Tablas Servicio'!AR436),AR437/(1-IF(B437&lt;=10,Parámetros!$D$100,0))),2))</f>
        <v>0</v>
      </c>
      <c r="AU437" s="66">
        <f t="shared" si="608"/>
        <v>0</v>
      </c>
      <c r="AV437" s="66">
        <f t="shared" si="608"/>
        <v>0</v>
      </c>
      <c r="AW437" s="66">
        <f>+IF($W437="","",ROUND((AT437*Parámetros!$G$85),2))</f>
        <v>0</v>
      </c>
      <c r="AX437" s="66">
        <f>+IF($W437="","",ROUND((AT437*(Parámetros!$G$86)),2))</f>
        <v>0</v>
      </c>
      <c r="AY437" s="66">
        <f t="shared" si="609"/>
        <v>0</v>
      </c>
      <c r="AZ437" t="str">
        <f t="shared" si="563"/>
        <v>00060</v>
      </c>
      <c r="BA437" t="str">
        <f t="shared" si="564"/>
        <v>Muerte Accidental</v>
      </c>
      <c r="BB437" s="118">
        <f t="shared" si="565"/>
        <v>0</v>
      </c>
      <c r="BC437" s="118" t="str">
        <f t="shared" si="566"/>
        <v>A</v>
      </c>
      <c r="BD437" s="119" t="str">
        <f>+IF(OR($W437="",BB437=0),"",ROUND((VLOOKUP(ROUNDDOWN($D437-1/frec,0),cob_adi,AO$40,FALSE)*(1+i/frec)^-0.5*(1+Parámetros!$D$103)*(1+rec_fracc)/frec),6))</f>
        <v/>
      </c>
      <c r="BE437" s="66">
        <f t="shared" si="610"/>
        <v>0</v>
      </c>
      <c r="BF437" s="119" t="str">
        <f t="shared" si="611"/>
        <v/>
      </c>
      <c r="BG437" s="66">
        <f>+IF($W437="","",ROUND(IF($B437&gt;Parámetros!$D$107,'Tablas Servicio'!BE437+('Tablas Servicio'!BG436-'Tablas Servicio'!BE436),BE437/(1-IF(B437&lt;=10,Parámetros!$D$100,0))),2))</f>
        <v>0</v>
      </c>
      <c r="BH437" s="66">
        <f t="shared" si="612"/>
        <v>0</v>
      </c>
      <c r="BI437" s="66">
        <f t="shared" si="613"/>
        <v>0</v>
      </c>
      <c r="BJ437" s="66">
        <f>+IF($W437="","",ROUND((BG437*Parámetros!$G$85),2))</f>
        <v>0</v>
      </c>
      <c r="BK437" s="66">
        <f>+IF($W437="","",ROUND((BG437*(Parámetros!$G$86)),2))</f>
        <v>0</v>
      </c>
      <c r="BL437" s="66">
        <f t="shared" si="614"/>
        <v>0</v>
      </c>
      <c r="BM437" t="str">
        <f t="shared" si="567"/>
        <v>00061</v>
      </c>
      <c r="BN437" t="str">
        <f t="shared" si="568"/>
        <v>Gastos de Entierro</v>
      </c>
      <c r="BO437" s="118">
        <f t="shared" si="569"/>
        <v>0</v>
      </c>
      <c r="BP437" s="118" t="str">
        <f t="shared" si="570"/>
        <v>A</v>
      </c>
      <c r="BQ437" s="119" t="str">
        <f>+IF(OR($W437="",BO437=0),"",ROUND((VLOOKUP(ROUNDDOWN($D437-1/frec,0),cob_adi,BB$40,FALSE)*(1+i/frec)^-0.5*(1+Parámetros!$D$103)*(1+rec_fracc)/frec),6))</f>
        <v/>
      </c>
      <c r="BR437" s="66">
        <f t="shared" si="615"/>
        <v>0</v>
      </c>
      <c r="BS437" s="119" t="str">
        <f t="shared" si="616"/>
        <v/>
      </c>
      <c r="BT437" s="66">
        <f>+IF($W437="","",ROUND(IF($B437&gt;Parámetros!$D$107,'Tablas Servicio'!BR437+('Tablas Servicio'!BT436-'Tablas Servicio'!BR436),BR437/(1-IF(B437&lt;=10,Parámetros!$D$100,0))),2))</f>
        <v>0</v>
      </c>
      <c r="BU437" s="66">
        <f t="shared" si="617"/>
        <v>0</v>
      </c>
      <c r="BV437" s="66">
        <f t="shared" si="617"/>
        <v>0</v>
      </c>
      <c r="BW437" s="66">
        <f>+IF($W437="","",ROUND((BT437*Parámetros!$G$85),2))</f>
        <v>0</v>
      </c>
      <c r="BX437" s="66">
        <f>+IF($W437="","",ROUND((BT437*(Parámetros!$G$86)),2))</f>
        <v>0</v>
      </c>
      <c r="BY437" s="66">
        <f t="shared" si="618"/>
        <v>0</v>
      </c>
      <c r="BZ437" t="str">
        <f t="shared" si="571"/>
        <v>00062</v>
      </c>
      <c r="CA437" t="str">
        <f t="shared" si="572"/>
        <v>Gastos médicos por accidente</v>
      </c>
      <c r="CB437" s="118">
        <f t="shared" si="573"/>
        <v>0</v>
      </c>
      <c r="CC437" s="118" t="str">
        <f t="shared" si="574"/>
        <v>A</v>
      </c>
      <c r="CD437" s="119" t="str">
        <f t="shared" si="619"/>
        <v/>
      </c>
      <c r="CE437" s="66">
        <f>+IF($W437="","",ROUND((VLOOKUP(ROUNDDOWN($D437-1/frec,0),cob_adi,BO$40,FALSE)*(1+i/frec)^-0.5*(1+Parámetros!$D$103)*(1+rec_fracc)/frec*'TABLAS ADI'!$BC$17),2))</f>
        <v>0</v>
      </c>
      <c r="CF437" s="119" t="str">
        <f t="shared" si="620"/>
        <v/>
      </c>
      <c r="CG437" s="66">
        <f>+IF($W437="","",ROUND(IF($B437&gt;Parámetros!$D$107,'Tablas Servicio'!CE437+('Tablas Servicio'!CG436-'Tablas Servicio'!CE436),CE437/(1-IF(B437&lt;=10,Parámetros!$D$100,0))),2))</f>
        <v>0</v>
      </c>
      <c r="CH437" s="66">
        <f t="shared" si="621"/>
        <v>0</v>
      </c>
      <c r="CI437" s="66">
        <f t="shared" si="621"/>
        <v>0</v>
      </c>
      <c r="CJ437" s="66">
        <f>+IF($W437="","",ROUND((CG437*Parámetros!$G$85),2))</f>
        <v>0</v>
      </c>
      <c r="CK437" s="66">
        <f>+IF($W437="","",ROUND((CG437*(Parámetros!$G$86)),2))</f>
        <v>0</v>
      </c>
      <c r="CL437" s="66">
        <f t="shared" si="622"/>
        <v>0</v>
      </c>
      <c r="CM437" t="str">
        <f t="shared" si="575"/>
        <v>00063</v>
      </c>
      <c r="CN437" s="118" t="str">
        <f t="shared" si="576"/>
        <v>Renta Diaria por Hospitalización</v>
      </c>
      <c r="CO437" s="118">
        <f t="shared" si="577"/>
        <v>0</v>
      </c>
      <c r="CP437" s="118" t="str">
        <f t="shared" si="578"/>
        <v>A</v>
      </c>
      <c r="CQ437" s="119" t="str">
        <f t="shared" si="623"/>
        <v/>
      </c>
      <c r="CR437" s="66">
        <f>+IF($W437="","",ROUND((VLOOKUP(Parámetros!$F$51,'COBERTURAS ADICIONALES'!$S$4:$T$32,2,FALSE)*(1+i/frec)^-0.5*(1+Parámetros!$D$103)*(1+rec_fracc)/frec*$CO$42),2))</f>
        <v>0</v>
      </c>
      <c r="CS437" s="119" t="str">
        <f t="shared" si="624"/>
        <v/>
      </c>
      <c r="CT437" s="66">
        <f>+IF($W437="","",ROUND(IF($B437&gt;Parámetros!$D$107,'Tablas Servicio'!CR437+('Tablas Servicio'!CT436-'Tablas Servicio'!CR436),CR437/(1-IF(B437&lt;=10,Parámetros!$D$100,0))),2))</f>
        <v>0</v>
      </c>
      <c r="CU437" s="66">
        <f t="shared" si="625"/>
        <v>0</v>
      </c>
      <c r="CV437" s="66">
        <f t="shared" si="625"/>
        <v>0</v>
      </c>
      <c r="CW437" s="66">
        <f>+IF($W437="","",ROUND((CT437*Parámetros!$G$85),2))</f>
        <v>0</v>
      </c>
      <c r="CX437" s="66">
        <f>+IF($W437="","",ROUND((CT437*(Parámetros!$G$86)),2))</f>
        <v>0</v>
      </c>
      <c r="CY437" s="66">
        <f t="shared" si="626"/>
        <v>0</v>
      </c>
      <c r="CZ437" t="str">
        <f t="shared" si="579"/>
        <v>00064</v>
      </c>
      <c r="DA437" s="118" t="str">
        <f t="shared" si="580"/>
        <v>Enfermedades Graves</v>
      </c>
      <c r="DB437" s="118">
        <f t="shared" si="581"/>
        <v>0</v>
      </c>
      <c r="DC437" s="118" t="str">
        <f t="shared" si="582"/>
        <v>A</v>
      </c>
      <c r="DD437" s="121" t="str">
        <f>+IF(OR($W437="",DB437=0),"",ROUND((VLOOKUP(ROUNDDOWN($D437-1/frec,0),cob_adi,CO$40,FALSE)*(1+i/frec)^-0.5*(1+Parámetros!$D$103)*(1+rec_fracc)/frec),6))</f>
        <v/>
      </c>
      <c r="DE437" s="66">
        <f t="shared" si="627"/>
        <v>0</v>
      </c>
      <c r="DF437" s="119" t="str">
        <f t="shared" si="628"/>
        <v/>
      </c>
      <c r="DG437" s="66">
        <f>+IF($W437="","",ROUND(IF($B437&gt;Parámetros!$D$107,'Tablas Servicio'!DE437+('Tablas Servicio'!DG436-'Tablas Servicio'!DE436),DE437/(1-IF(B437&lt;=10,Parámetros!$D$100,0))),2))</f>
        <v>0</v>
      </c>
      <c r="DH437" s="66">
        <f t="shared" si="629"/>
        <v>0</v>
      </c>
      <c r="DI437" s="66">
        <f t="shared" si="629"/>
        <v>0</v>
      </c>
      <c r="DJ437" s="66">
        <f>+IF($W437="","",ROUND((DG437*Parámetros!$G$85),2))</f>
        <v>0</v>
      </c>
      <c r="DK437" s="66">
        <f>+IF($W437="","",ROUND((DG437*(Parámetros!$G$86)),2))</f>
        <v>0</v>
      </c>
      <c r="DL437" s="66">
        <f t="shared" si="630"/>
        <v>0</v>
      </c>
      <c r="DM437" t="str">
        <f t="shared" si="583"/>
        <v>00065</v>
      </c>
      <c r="DN437" s="118" t="str">
        <f t="shared" si="584"/>
        <v>Exención pago de primas</v>
      </c>
      <c r="DO437" s="118">
        <f t="shared" si="585"/>
        <v>0</v>
      </c>
      <c r="DP437" s="118" t="str">
        <f t="shared" si="586"/>
        <v>A</v>
      </c>
      <c r="DQ437" s="122" t="str">
        <f>+IF(OR($W437="",DO437=0),"",ROUND((VLOOKUP(ROUNDDOWN($D437-1/frec,0),cob_adi,DB$40,FALSE)*(1+i/frec)^-0.5*(1+Parámetros!$D$103)*(1+rec_fracc)/frec),6))</f>
        <v/>
      </c>
      <c r="DR437" s="66">
        <f t="shared" si="631"/>
        <v>0</v>
      </c>
      <c r="DS437" s="68" t="str">
        <f t="shared" si="632"/>
        <v/>
      </c>
      <c r="DT437" s="66">
        <f>+IF($W437="","",ROUND(IF($B437&gt;Parámetros!$D$107,'Tablas Servicio'!DR437+('Tablas Servicio'!DT436-'Tablas Servicio'!DR436),DR437/(1-IF(B437&lt;=10,Parámetros!$D$100,0))),2))</f>
        <v>0</v>
      </c>
      <c r="DU437" s="66">
        <f t="shared" si="633"/>
        <v>0</v>
      </c>
      <c r="DV437" s="66">
        <f t="shared" si="633"/>
        <v>0</v>
      </c>
      <c r="DW437" s="66">
        <f>+IF($W437="","",ROUND((DT437*Parámetros!$G$85),2))</f>
        <v>0</v>
      </c>
      <c r="DX437" s="66">
        <f>+IF($W437="","",ROUND((DT437*(Parámetros!$G$86)),2))</f>
        <v>0</v>
      </c>
      <c r="DY437" s="66">
        <f t="shared" si="634"/>
        <v>0</v>
      </c>
      <c r="DZ437" t="str">
        <f t="shared" si="635"/>
        <v>00066</v>
      </c>
      <c r="EA437" s="118" t="str">
        <f t="shared" si="635"/>
        <v>Enfermedad terminal</v>
      </c>
      <c r="EB437" s="118">
        <f>+IF($W437="","",ROUND(IF(Parámetros!$D$25='TABLAS MORT'!$V$33,EB436,Z437/2),0))</f>
        <v>50000</v>
      </c>
      <c r="EC437" s="118" t="str">
        <f t="shared" si="635"/>
        <v>A</v>
      </c>
      <c r="ED437" s="122">
        <f>+IF(OR($W437="",EB437=0),"",ROUND((VLOOKUP(ROUNDDOWN($D437-1/frec,0),cob_adi,DO$40,FALSE)*(1+i/frec)^-0.5*(1+Parámetros!$D$103)*(1+rec_fracc)/frec),6))</f>
        <v>6.4999999999999994E-5</v>
      </c>
      <c r="EE437" s="66">
        <f t="shared" si="636"/>
        <v>3.25</v>
      </c>
      <c r="EF437" s="68">
        <f t="shared" si="637"/>
        <v>6.4999999999999994E-5</v>
      </c>
      <c r="EG437" s="66">
        <f>+IF($W437="","",ROUND(IF($B437&gt;Parámetros!$D$107,'Tablas Servicio'!EE437+('Tablas Servicio'!EG436-'Tablas Servicio'!EE436),EE437/(1-IF(B437&lt;=10,Parámetros!$D$100,0))),2))</f>
        <v>3.25</v>
      </c>
      <c r="EH437" s="66">
        <f t="shared" si="638"/>
        <v>0</v>
      </c>
      <c r="EI437" s="66">
        <f t="shared" si="638"/>
        <v>0</v>
      </c>
      <c r="EJ437" s="66">
        <f>+IF($W437="","",ROUND((EG437*Parámetros!$G$85),2))</f>
        <v>0.11</v>
      </c>
      <c r="EK437" s="66">
        <f>+IF($W437="","",ROUND((EG437*(Parámetros!$G$86)),2))</f>
        <v>0.02</v>
      </c>
      <c r="EL437" s="66">
        <f t="shared" si="639"/>
        <v>3.38</v>
      </c>
    </row>
    <row r="438" spans="1:142" x14ac:dyDescent="0.25">
      <c r="A438">
        <f>+IF($C438="","",ROUND(VLOOKUP('Tablas Servicio'!B438,Parámetros!$H$100:$J$159,IF(Parámetros!$E$16="F",2,3),FALSE),2))</f>
        <v>150</v>
      </c>
      <c r="B438">
        <f t="shared" si="590"/>
        <v>34</v>
      </c>
      <c r="C438" s="57">
        <f>+IF(D438="","",'Tablas Servicio'!C437+1)</f>
        <v>397</v>
      </c>
      <c r="D438" s="56">
        <f>+IF(D437&lt;edadmaxtabla,D437+1/Parámetros!$E$25,"")</f>
        <v>73.103333333333495</v>
      </c>
      <c r="E438" s="57">
        <f t="shared" si="600"/>
        <v>73</v>
      </c>
      <c r="F438" s="59">
        <f t="shared" si="601"/>
        <v>100000</v>
      </c>
      <c r="G438" s="66">
        <f t="shared" si="591"/>
        <v>171.15</v>
      </c>
      <c r="H438" s="66">
        <f t="shared" si="592"/>
        <v>178</v>
      </c>
      <c r="I438" s="66">
        <f t="shared" ref="I438:I501" si="640">+IF($C438="","",N438-H438-P438)</f>
        <v>-84</v>
      </c>
      <c r="J438" s="66">
        <f t="shared" si="593"/>
        <v>5.99</v>
      </c>
      <c r="K438" s="66">
        <f t="shared" si="594"/>
        <v>0.86</v>
      </c>
      <c r="L438" s="66">
        <f t="shared" si="595"/>
        <v>0</v>
      </c>
      <c r="M438" s="66">
        <f t="shared" si="596"/>
        <v>0</v>
      </c>
      <c r="N438" s="66">
        <f>+IF(C438="","",ROUND(Parámetros!$D$23,2))</f>
        <v>94</v>
      </c>
      <c r="O438" s="66">
        <f t="shared" si="597"/>
        <v>158.65</v>
      </c>
      <c r="P438" s="66">
        <f>+IF($C438="","",ROUND(IF(B438&gt;Parámetros!$D$117,0,N438*Parámetros!$D$116-G438*Parámetros!$D$100),2))</f>
        <v>0</v>
      </c>
      <c r="Q438" s="75">
        <f t="shared" ref="Q438:Q501" si="641">+IF($C438="","",J438/$G438)</f>
        <v>3.499853929301782E-2</v>
      </c>
      <c r="R438" s="75">
        <f t="shared" ref="R438:R501" si="642">+IF($C438="","",K438/$G438)</f>
        <v>5.024832018697049E-3</v>
      </c>
      <c r="S438" s="117">
        <f>+IF($C438="","",ROUND((S437+I438)*(1+Parámetros!$D$91),2))</f>
        <v>26840.59</v>
      </c>
      <c r="T438" s="117">
        <f>+IF($C438="","",ROUND(S438*VLOOKUP(B438,Parámetros!$C$30:$D$39,2,TRUE),2))</f>
        <v>26840.59</v>
      </c>
      <c r="U438" s="117">
        <f>+IF($C438="","",ROUND((U437+I438)*(1+Parámetros!$D$92),2))</f>
        <v>30489.49</v>
      </c>
      <c r="V438" s="117">
        <f>+IF($C438="","",ROUND(U438*VLOOKUP(B438,Parámetros!$C$30:$D$39,2,TRUE),2))</f>
        <v>30489.49</v>
      </c>
      <c r="W438" s="57">
        <f t="shared" ref="W438:W501" si="643">+C438</f>
        <v>397</v>
      </c>
      <c r="X438" t="str">
        <f t="shared" ref="X438:X501" si="644">+IF($W438="","",X437)</f>
        <v>00058</v>
      </c>
      <c r="Y438" t="str">
        <f t="shared" ref="Y438:Y501" si="645">+IF($W438="","",Y437)</f>
        <v>MUERTE POR CUALQUIER CAUSA</v>
      </c>
      <c r="Z438" s="118">
        <f>+IF($W438="","",ROUND(IF(Parámetros!$D$25='TABLAS MORT'!$V$33,Z437,Parámetros!$D$21-'Tablas Servicio'!T437),0))</f>
        <v>100000</v>
      </c>
      <c r="AA438" s="118" t="str">
        <f t="shared" ref="AA438:AA501" si="646">+IF($W438="","",AA437)</f>
        <v>P</v>
      </c>
      <c r="AB438" s="119">
        <f>+IF(W438="","",ROUND((VLOOKUP(ROUNDDOWN($D438-1/frec,0),qx_tabla,2,FALSE)*(1+i/frec)^-0.5*(1+Parámetros!$D$103)*(1+rec_fracc)/frec),6))</f>
        <v>1.554E-3</v>
      </c>
      <c r="AC438" s="66">
        <f t="shared" si="602"/>
        <v>155.4</v>
      </c>
      <c r="AD438" s="119">
        <f t="shared" si="598"/>
        <v>1.6789999999999999E-3</v>
      </c>
      <c r="AE438" s="66">
        <f>+IF($W438="","",ROUND(IF($B438&gt;Parámetros!$D$107,'Tablas Servicio'!AC438+('Tablas Servicio'!AG437-'Tablas Servicio'!AC437),AC438/(1-IF(B438&lt;=10,Parámetros!$D$104,Parámetros!$D$105))),2))</f>
        <v>259</v>
      </c>
      <c r="AF438" s="66">
        <f>+IF($W438="","",ROUND(IF($B438&gt;Parámetros!$D$107,'Tablas Servicio'!AC438+('Tablas Servicio'!AG437-'Tablas Servicio'!AC437),(AC438+$A437/frec)/(1-IF(B438&lt;=Parámetros!$D$117,Parámetros!$D$100,0))),2))</f>
        <v>167.9</v>
      </c>
      <c r="AG438" s="66">
        <f t="shared" si="603"/>
        <v>167.9</v>
      </c>
      <c r="AH438" s="66">
        <f t="shared" si="604"/>
        <v>0</v>
      </c>
      <c r="AI438" s="66">
        <f t="shared" si="605"/>
        <v>0</v>
      </c>
      <c r="AJ438" s="66">
        <f>+IF($W438="","",ROUND((AG438*Parámetros!$G$85),2))</f>
        <v>5.88</v>
      </c>
      <c r="AK438" s="66">
        <f>+IF($W438="","",ROUND((AG438*(Parámetros!$G$86)),2))</f>
        <v>0.84</v>
      </c>
      <c r="AL438" s="66">
        <f t="shared" si="599"/>
        <v>174.62</v>
      </c>
      <c r="AM438" t="str">
        <f t="shared" ref="AM438:AM501" si="647">+IF($W438="","",AM437)</f>
        <v>00059</v>
      </c>
      <c r="AN438" t="str">
        <f t="shared" ref="AN438:AN501" si="648">+IF($W438="","",AN437)</f>
        <v>Incapacidad Total y Permanente</v>
      </c>
      <c r="AO438" s="118">
        <f t="shared" ref="AO438:AO501" si="649">+IF($W438="","",AO437)</f>
        <v>0</v>
      </c>
      <c r="AP438" s="118" t="str">
        <f t="shared" ref="AP438:AP501" si="650">+IF($W438="","",AP437)</f>
        <v>A</v>
      </c>
      <c r="AQ438" s="119" t="str">
        <f>+IF(OR($W438="",AO438=0),"",ROUND((VLOOKUP(ROUNDDOWN($D438-1/frec,0),cob_adi,Z$40,FALSE)*(1+i/frec)^-0.5*(1+Parámetros!$D$103)*(1+rec_fracc)/frec),6))</f>
        <v/>
      </c>
      <c r="AR438" s="66">
        <f t="shared" si="606"/>
        <v>0</v>
      </c>
      <c r="AS438" s="119" t="str">
        <f t="shared" si="607"/>
        <v/>
      </c>
      <c r="AT438" s="66">
        <f>+IF($W438="","",ROUND(IF($B438&gt;Parámetros!$D$107,'Tablas Servicio'!AR438+('Tablas Servicio'!AT437-'Tablas Servicio'!AR437),AR438/(1-IF(B438&lt;=10,Parámetros!$D$100,0))),2))</f>
        <v>0</v>
      </c>
      <c r="AU438" s="66">
        <f t="shared" si="608"/>
        <v>0</v>
      </c>
      <c r="AV438" s="66">
        <f t="shared" si="608"/>
        <v>0</v>
      </c>
      <c r="AW438" s="66">
        <f>+IF($W438="","",ROUND((AT438*Parámetros!$G$85),2))</f>
        <v>0</v>
      </c>
      <c r="AX438" s="66">
        <f>+IF($W438="","",ROUND((AT438*(Parámetros!$G$86)),2))</f>
        <v>0</v>
      </c>
      <c r="AY438" s="66">
        <f t="shared" si="609"/>
        <v>0</v>
      </c>
      <c r="AZ438" t="str">
        <f t="shared" ref="AZ438:AZ501" si="651">+IF($W438="","",AZ437)</f>
        <v>00060</v>
      </c>
      <c r="BA438" t="str">
        <f t="shared" ref="BA438:BA501" si="652">+IF($W438="","",BA437)</f>
        <v>Muerte Accidental</v>
      </c>
      <c r="BB438" s="118">
        <f t="shared" ref="BB438:BB501" si="653">+IF($W438="","",BB437)</f>
        <v>0</v>
      </c>
      <c r="BC438" s="118" t="str">
        <f t="shared" ref="BC438:BC501" si="654">+IF($W438="","",BC437)</f>
        <v>A</v>
      </c>
      <c r="BD438" s="119" t="str">
        <f>+IF(OR($W438="",BB438=0),"",ROUND((VLOOKUP(ROUNDDOWN($D438-1/frec,0),cob_adi,AO$40,FALSE)*(1+i/frec)^-0.5*(1+Parámetros!$D$103)*(1+rec_fracc)/frec),6))</f>
        <v/>
      </c>
      <c r="BE438" s="66">
        <f t="shared" si="610"/>
        <v>0</v>
      </c>
      <c r="BF438" s="119" t="str">
        <f t="shared" si="611"/>
        <v/>
      </c>
      <c r="BG438" s="66">
        <f>+IF($W438="","",ROUND(IF($B438&gt;Parámetros!$D$107,'Tablas Servicio'!BE438+('Tablas Servicio'!BG437-'Tablas Servicio'!BE437),BE438/(1-IF(B438&lt;=10,Parámetros!$D$100,0))),2))</f>
        <v>0</v>
      </c>
      <c r="BH438" s="66">
        <f t="shared" si="612"/>
        <v>0</v>
      </c>
      <c r="BI438" s="66">
        <f t="shared" si="613"/>
        <v>0</v>
      </c>
      <c r="BJ438" s="66">
        <f>+IF($W438="","",ROUND((BG438*Parámetros!$G$85),2))</f>
        <v>0</v>
      </c>
      <c r="BK438" s="66">
        <f>+IF($W438="","",ROUND((BG438*(Parámetros!$G$86)),2))</f>
        <v>0</v>
      </c>
      <c r="BL438" s="66">
        <f t="shared" si="614"/>
        <v>0</v>
      </c>
      <c r="BM438" t="str">
        <f t="shared" ref="BM438:BM501" si="655">+IF($W438="","",BM437)</f>
        <v>00061</v>
      </c>
      <c r="BN438" t="str">
        <f t="shared" ref="BN438:BN501" si="656">+IF($W438="","",BN437)</f>
        <v>Gastos de Entierro</v>
      </c>
      <c r="BO438" s="118">
        <f t="shared" ref="BO438:BO501" si="657">+IF($W438="","",BO437)</f>
        <v>0</v>
      </c>
      <c r="BP438" s="118" t="str">
        <f t="shared" ref="BP438:BP501" si="658">+IF($W438="","",BP437)</f>
        <v>A</v>
      </c>
      <c r="BQ438" s="119" t="str">
        <f>+IF(OR($W438="",BO438=0),"",ROUND((VLOOKUP(ROUNDDOWN($D438-1/frec,0),cob_adi,BB$40,FALSE)*(1+i/frec)^-0.5*(1+Parámetros!$D$103)*(1+rec_fracc)/frec),6))</f>
        <v/>
      </c>
      <c r="BR438" s="66">
        <f t="shared" si="615"/>
        <v>0</v>
      </c>
      <c r="BS438" s="119" t="str">
        <f t="shared" si="616"/>
        <v/>
      </c>
      <c r="BT438" s="66">
        <f>+IF($W438="","",ROUND(IF($B438&gt;Parámetros!$D$107,'Tablas Servicio'!BR438+('Tablas Servicio'!BT437-'Tablas Servicio'!BR437),BR438/(1-IF(B438&lt;=10,Parámetros!$D$100,0))),2))</f>
        <v>0</v>
      </c>
      <c r="BU438" s="66">
        <f t="shared" si="617"/>
        <v>0</v>
      </c>
      <c r="BV438" s="66">
        <f t="shared" si="617"/>
        <v>0</v>
      </c>
      <c r="BW438" s="66">
        <f>+IF($W438="","",ROUND((BT438*Parámetros!$G$85),2))</f>
        <v>0</v>
      </c>
      <c r="BX438" s="66">
        <f>+IF($W438="","",ROUND((BT438*(Parámetros!$G$86)),2))</f>
        <v>0</v>
      </c>
      <c r="BY438" s="66">
        <f t="shared" si="618"/>
        <v>0</v>
      </c>
      <c r="BZ438" t="str">
        <f t="shared" ref="BZ438:BZ501" si="659">+IF($W438="","",BZ437)</f>
        <v>00062</v>
      </c>
      <c r="CA438" t="str">
        <f t="shared" ref="CA438:CA501" si="660">+IF($W438="","",CA437)</f>
        <v>Gastos médicos por accidente</v>
      </c>
      <c r="CB438" s="118">
        <f t="shared" ref="CB438:CB501" si="661">+IF($W438="","",CB437)</f>
        <v>0</v>
      </c>
      <c r="CC438" s="118" t="str">
        <f t="shared" ref="CC438:CC501" si="662">+IF($W438="","",CC437)</f>
        <v>A</v>
      </c>
      <c r="CD438" s="119" t="str">
        <f t="shared" si="619"/>
        <v/>
      </c>
      <c r="CE438" s="66">
        <f>+IF($W438="","",ROUND((VLOOKUP(ROUNDDOWN($D438-1/frec,0),cob_adi,BO$40,FALSE)*(1+i/frec)^-0.5*(1+Parámetros!$D$103)*(1+rec_fracc)/frec*'TABLAS ADI'!$BC$17),2))</f>
        <v>0</v>
      </c>
      <c r="CF438" s="119" t="str">
        <f t="shared" si="620"/>
        <v/>
      </c>
      <c r="CG438" s="66">
        <f>+IF($W438="","",ROUND(IF($B438&gt;Parámetros!$D$107,'Tablas Servicio'!CE438+('Tablas Servicio'!CG437-'Tablas Servicio'!CE437),CE438/(1-IF(B438&lt;=10,Parámetros!$D$100,0))),2))</f>
        <v>0</v>
      </c>
      <c r="CH438" s="66">
        <f t="shared" si="621"/>
        <v>0</v>
      </c>
      <c r="CI438" s="66">
        <f t="shared" si="621"/>
        <v>0</v>
      </c>
      <c r="CJ438" s="66">
        <f>+IF($W438="","",ROUND((CG438*Parámetros!$G$85),2))</f>
        <v>0</v>
      </c>
      <c r="CK438" s="66">
        <f>+IF($W438="","",ROUND((CG438*(Parámetros!$G$86)),2))</f>
        <v>0</v>
      </c>
      <c r="CL438" s="66">
        <f t="shared" si="622"/>
        <v>0</v>
      </c>
      <c r="CM438" t="str">
        <f t="shared" ref="CM438:CM501" si="663">+IF($W438="","",CM437)</f>
        <v>00063</v>
      </c>
      <c r="CN438" s="118" t="str">
        <f t="shared" ref="CN438:CN501" si="664">+IF($W438="","",CN437)</f>
        <v>Renta Diaria por Hospitalización</v>
      </c>
      <c r="CO438" s="118">
        <f t="shared" ref="CO438:CO501" si="665">+IF($W438="","",CO437)</f>
        <v>0</v>
      </c>
      <c r="CP438" s="118" t="str">
        <f t="shared" ref="CP438:CP501" si="666">+IF($W438="","",CP437)</f>
        <v>A</v>
      </c>
      <c r="CQ438" s="119" t="str">
        <f t="shared" si="623"/>
        <v/>
      </c>
      <c r="CR438" s="66">
        <f>+IF($W438="","",ROUND((VLOOKUP(Parámetros!$F$51,'COBERTURAS ADICIONALES'!$S$4:$T$32,2,FALSE)*(1+i/frec)^-0.5*(1+Parámetros!$D$103)*(1+rec_fracc)/frec*$CO$42),2))</f>
        <v>0</v>
      </c>
      <c r="CS438" s="119" t="str">
        <f t="shared" si="624"/>
        <v/>
      </c>
      <c r="CT438" s="66">
        <f>+IF($W438="","",ROUND(IF($B438&gt;Parámetros!$D$107,'Tablas Servicio'!CR438+('Tablas Servicio'!CT437-'Tablas Servicio'!CR437),CR438/(1-IF(B438&lt;=10,Parámetros!$D$100,0))),2))</f>
        <v>0</v>
      </c>
      <c r="CU438" s="66">
        <f t="shared" si="625"/>
        <v>0</v>
      </c>
      <c r="CV438" s="66">
        <f t="shared" si="625"/>
        <v>0</v>
      </c>
      <c r="CW438" s="66">
        <f>+IF($W438="","",ROUND((CT438*Parámetros!$G$85),2))</f>
        <v>0</v>
      </c>
      <c r="CX438" s="66">
        <f>+IF($W438="","",ROUND((CT438*(Parámetros!$G$86)),2))</f>
        <v>0</v>
      </c>
      <c r="CY438" s="66">
        <f t="shared" si="626"/>
        <v>0</v>
      </c>
      <c r="CZ438" t="str">
        <f t="shared" ref="CZ438:CZ501" si="667">+IF($W438="","",CZ437)</f>
        <v>00064</v>
      </c>
      <c r="DA438" s="118" t="str">
        <f t="shared" ref="DA438:DA501" si="668">+IF($W438="","",DA437)</f>
        <v>Enfermedades Graves</v>
      </c>
      <c r="DB438" s="118">
        <f t="shared" ref="DB438:DB501" si="669">+IF($W438="","",DB437)</f>
        <v>0</v>
      </c>
      <c r="DC438" s="118" t="str">
        <f t="shared" ref="DC438:DC501" si="670">+IF($W438="","",DC437)</f>
        <v>A</v>
      </c>
      <c r="DD438" s="121" t="str">
        <f>+IF(OR($W438="",DB438=0),"",ROUND((VLOOKUP(ROUNDDOWN($D438-1/frec,0),cob_adi,CO$40,FALSE)*(1+i/frec)^-0.5*(1+Parámetros!$D$103)*(1+rec_fracc)/frec),6))</f>
        <v/>
      </c>
      <c r="DE438" s="66">
        <f t="shared" si="627"/>
        <v>0</v>
      </c>
      <c r="DF438" s="119" t="str">
        <f t="shared" si="628"/>
        <v/>
      </c>
      <c r="DG438" s="66">
        <f>+IF($W438="","",ROUND(IF($B438&gt;Parámetros!$D$107,'Tablas Servicio'!DE438+('Tablas Servicio'!DG437-'Tablas Servicio'!DE437),DE438/(1-IF(B438&lt;=10,Parámetros!$D$100,0))),2))</f>
        <v>0</v>
      </c>
      <c r="DH438" s="66">
        <f t="shared" si="629"/>
        <v>0</v>
      </c>
      <c r="DI438" s="66">
        <f t="shared" si="629"/>
        <v>0</v>
      </c>
      <c r="DJ438" s="66">
        <f>+IF($W438="","",ROUND((DG438*Parámetros!$G$85),2))</f>
        <v>0</v>
      </c>
      <c r="DK438" s="66">
        <f>+IF($W438="","",ROUND((DG438*(Parámetros!$G$86)),2))</f>
        <v>0</v>
      </c>
      <c r="DL438" s="66">
        <f t="shared" si="630"/>
        <v>0</v>
      </c>
      <c r="DM438" t="str">
        <f t="shared" ref="DM438:DM501" si="671">+IF($W438="","",DM437)</f>
        <v>00065</v>
      </c>
      <c r="DN438" s="118" t="str">
        <f t="shared" ref="DN438:DN501" si="672">+IF($W438="","",DN437)</f>
        <v>Exención pago de primas</v>
      </c>
      <c r="DO438" s="118">
        <f t="shared" ref="DO438:DO501" si="673">+IF($W438="","",DO437)</f>
        <v>0</v>
      </c>
      <c r="DP438" s="118" t="str">
        <f t="shared" ref="DP438:DP501" si="674">+IF($W438="","",DP437)</f>
        <v>A</v>
      </c>
      <c r="DQ438" s="122" t="str">
        <f>+IF(OR($W438="",DO438=0),"",ROUND((VLOOKUP(ROUNDDOWN($D438-1/frec,0),cob_adi,DB$40,FALSE)*(1+i/frec)^-0.5*(1+Parámetros!$D$103)*(1+rec_fracc)/frec),6))</f>
        <v/>
      </c>
      <c r="DR438" s="66">
        <f t="shared" si="631"/>
        <v>0</v>
      </c>
      <c r="DS438" s="68" t="str">
        <f t="shared" si="632"/>
        <v/>
      </c>
      <c r="DT438" s="66">
        <f>+IF($W438="","",ROUND(IF($B438&gt;Parámetros!$D$107,'Tablas Servicio'!DR438+('Tablas Servicio'!DT437-'Tablas Servicio'!DR437),DR438/(1-IF(B438&lt;=10,Parámetros!$D$100,0))),2))</f>
        <v>0</v>
      </c>
      <c r="DU438" s="66">
        <f t="shared" si="633"/>
        <v>0</v>
      </c>
      <c r="DV438" s="66">
        <f t="shared" si="633"/>
        <v>0</v>
      </c>
      <c r="DW438" s="66">
        <f>+IF($W438="","",ROUND((DT438*Parámetros!$G$85),2))</f>
        <v>0</v>
      </c>
      <c r="DX438" s="66">
        <f>+IF($W438="","",ROUND((DT438*(Parámetros!$G$86)),2))</f>
        <v>0</v>
      </c>
      <c r="DY438" s="66">
        <f t="shared" si="634"/>
        <v>0</v>
      </c>
      <c r="DZ438" t="str">
        <f t="shared" si="635"/>
        <v>00066</v>
      </c>
      <c r="EA438" s="118" t="str">
        <f t="shared" si="635"/>
        <v>Enfermedad terminal</v>
      </c>
      <c r="EB438" s="118">
        <f>+IF($W438="","",ROUND(IF(Parámetros!$D$25='TABLAS MORT'!$V$33,EB437,Z438/2),0))</f>
        <v>50000</v>
      </c>
      <c r="EC438" s="118" t="str">
        <f t="shared" si="635"/>
        <v>A</v>
      </c>
      <c r="ED438" s="122">
        <f>+IF(OR($W438="",EB438=0),"",ROUND((VLOOKUP(ROUNDDOWN($D438-1/frec,0),cob_adi,DO$40,FALSE)*(1+i/frec)^-0.5*(1+Parámetros!$D$103)*(1+rec_fracc)/frec),6))</f>
        <v>6.4999999999999994E-5</v>
      </c>
      <c r="EE438" s="66">
        <f t="shared" si="636"/>
        <v>3.25</v>
      </c>
      <c r="EF438" s="68">
        <f t="shared" si="637"/>
        <v>6.4999999999999994E-5</v>
      </c>
      <c r="EG438" s="66">
        <f>+IF($W438="","",ROUND(IF($B438&gt;Parámetros!$D$107,'Tablas Servicio'!EE438+('Tablas Servicio'!EG437-'Tablas Servicio'!EE437),EE438/(1-IF(B438&lt;=10,Parámetros!$D$100,0))),2))</f>
        <v>3.25</v>
      </c>
      <c r="EH438" s="66">
        <f t="shared" si="638"/>
        <v>0</v>
      </c>
      <c r="EI438" s="66">
        <f t="shared" si="638"/>
        <v>0</v>
      </c>
      <c r="EJ438" s="66">
        <f>+IF($W438="","",ROUND((EG438*Parámetros!$G$85),2))</f>
        <v>0.11</v>
      </c>
      <c r="EK438" s="66">
        <f>+IF($W438="","",ROUND((EG438*(Parámetros!$G$86)),2))</f>
        <v>0.02</v>
      </c>
      <c r="EL438" s="66">
        <f t="shared" si="639"/>
        <v>3.38</v>
      </c>
    </row>
    <row r="439" spans="1:142" x14ac:dyDescent="0.25">
      <c r="A439">
        <f>+IF($C439="","",ROUND(VLOOKUP('Tablas Servicio'!B439,Parámetros!$H$100:$J$159,IF(Parámetros!$E$16="F",2,3),FALSE),2))</f>
        <v>150</v>
      </c>
      <c r="B439">
        <f t="shared" si="590"/>
        <v>34</v>
      </c>
      <c r="C439" s="57">
        <f>+IF(D439="","",'Tablas Servicio'!C438+1)</f>
        <v>398</v>
      </c>
      <c r="D439" s="56">
        <f>+IF(D438&lt;edadmaxtabla,D438+1/Parámetros!$E$25,"")</f>
        <v>73.186666666666824</v>
      </c>
      <c r="E439" s="57">
        <f t="shared" si="600"/>
        <v>73</v>
      </c>
      <c r="F439" s="59">
        <f t="shared" si="601"/>
        <v>100000</v>
      </c>
      <c r="G439" s="66">
        <f t="shared" si="591"/>
        <v>171.15</v>
      </c>
      <c r="H439" s="66">
        <f t="shared" si="592"/>
        <v>178</v>
      </c>
      <c r="I439" s="66">
        <f t="shared" si="640"/>
        <v>-84</v>
      </c>
      <c r="J439" s="66">
        <f t="shared" si="593"/>
        <v>5.99</v>
      </c>
      <c r="K439" s="66">
        <f t="shared" si="594"/>
        <v>0.86</v>
      </c>
      <c r="L439" s="66">
        <f t="shared" si="595"/>
        <v>0</v>
      </c>
      <c r="M439" s="66">
        <f t="shared" si="596"/>
        <v>0</v>
      </c>
      <c r="N439" s="66">
        <f>+IF(C439="","",ROUND(Parámetros!$D$23,2))</f>
        <v>94</v>
      </c>
      <c r="O439" s="66">
        <f t="shared" si="597"/>
        <v>158.65</v>
      </c>
      <c r="P439" s="66">
        <f>+IF($C439="","",ROUND(IF(B439&gt;Parámetros!$D$117,0,N439*Parámetros!$D$116-G439*Parámetros!$D$100),2))</f>
        <v>0</v>
      </c>
      <c r="Q439" s="75">
        <f t="shared" si="641"/>
        <v>3.499853929301782E-2</v>
      </c>
      <c r="R439" s="75">
        <f t="shared" si="642"/>
        <v>5.024832018697049E-3</v>
      </c>
      <c r="S439" s="117">
        <f>+IF($C439="","",ROUND((S438+I439)*(1+Parámetros!$D$91),2))</f>
        <v>26832.48</v>
      </c>
      <c r="T439" s="117">
        <f>+IF($C439="","",ROUND(S439*VLOOKUP(B439,Parámetros!$C$30:$D$39,2,TRUE),2))</f>
        <v>26832.48</v>
      </c>
      <c r="U439" s="117">
        <f>+IF($C439="","",ROUND((U438+I439)*(1+Parámetros!$D$92),2))</f>
        <v>30504.05</v>
      </c>
      <c r="V439" s="117">
        <f>+IF($C439="","",ROUND(U439*VLOOKUP(B439,Parámetros!$C$30:$D$39,2,TRUE),2))</f>
        <v>30504.05</v>
      </c>
      <c r="W439" s="57">
        <f t="shared" si="643"/>
        <v>398</v>
      </c>
      <c r="X439" t="str">
        <f t="shared" si="644"/>
        <v>00058</v>
      </c>
      <c r="Y439" t="str">
        <f t="shared" si="645"/>
        <v>MUERTE POR CUALQUIER CAUSA</v>
      </c>
      <c r="Z439" s="118">
        <f>+IF($W439="","",ROUND(IF(Parámetros!$D$25='TABLAS MORT'!$V$33,Z438,Parámetros!$D$21-'Tablas Servicio'!T438),0))</f>
        <v>100000</v>
      </c>
      <c r="AA439" s="118" t="str">
        <f t="shared" si="646"/>
        <v>P</v>
      </c>
      <c r="AB439" s="119">
        <f>+IF(W439="","",ROUND((VLOOKUP(ROUNDDOWN($D439-1/frec,0),qx_tabla,2,FALSE)*(1+i/frec)^-0.5*(1+Parámetros!$D$103)*(1+rec_fracc)/frec),6))</f>
        <v>1.554E-3</v>
      </c>
      <c r="AC439" s="66">
        <f t="shared" si="602"/>
        <v>155.4</v>
      </c>
      <c r="AD439" s="119">
        <f t="shared" si="598"/>
        <v>1.6789999999999999E-3</v>
      </c>
      <c r="AE439" s="66">
        <f>+IF($W439="","",ROUND(IF($B439&gt;Parámetros!$D$107,'Tablas Servicio'!AC439+('Tablas Servicio'!AG438-'Tablas Servicio'!AC438),AC439/(1-IF(B439&lt;=10,Parámetros!$D$104,Parámetros!$D$105))),2))</f>
        <v>259</v>
      </c>
      <c r="AF439" s="66">
        <f>+IF($W439="","",ROUND(IF($B439&gt;Parámetros!$D$107,'Tablas Servicio'!AC439+('Tablas Servicio'!AG438-'Tablas Servicio'!AC438),(AC439+$A438/frec)/(1-IF(B439&lt;=Parámetros!$D$117,Parámetros!$D$100,0))),2))</f>
        <v>167.9</v>
      </c>
      <c r="AG439" s="66">
        <f t="shared" si="603"/>
        <v>167.9</v>
      </c>
      <c r="AH439" s="66">
        <f t="shared" si="604"/>
        <v>0</v>
      </c>
      <c r="AI439" s="66">
        <f t="shared" si="605"/>
        <v>0</v>
      </c>
      <c r="AJ439" s="66">
        <f>+IF($W439="","",ROUND((AG439*Parámetros!$G$85),2))</f>
        <v>5.88</v>
      </c>
      <c r="AK439" s="66">
        <f>+IF($W439="","",ROUND((AG439*(Parámetros!$G$86)),2))</f>
        <v>0.84</v>
      </c>
      <c r="AL439" s="66">
        <f t="shared" si="599"/>
        <v>174.62</v>
      </c>
      <c r="AM439" t="str">
        <f t="shared" si="647"/>
        <v>00059</v>
      </c>
      <c r="AN439" t="str">
        <f t="shared" si="648"/>
        <v>Incapacidad Total y Permanente</v>
      </c>
      <c r="AO439" s="118">
        <f t="shared" si="649"/>
        <v>0</v>
      </c>
      <c r="AP439" s="118" t="str">
        <f t="shared" si="650"/>
        <v>A</v>
      </c>
      <c r="AQ439" s="119" t="str">
        <f>+IF(OR($W439="",AO439=0),"",ROUND((VLOOKUP(ROUNDDOWN($D439-1/frec,0),cob_adi,Z$40,FALSE)*(1+i/frec)^-0.5*(1+Parámetros!$D$103)*(1+rec_fracc)/frec),6))</f>
        <v/>
      </c>
      <c r="AR439" s="66">
        <f t="shared" si="606"/>
        <v>0</v>
      </c>
      <c r="AS439" s="119" t="str">
        <f t="shared" si="607"/>
        <v/>
      </c>
      <c r="AT439" s="66">
        <f>+IF($W439="","",ROUND(IF($B439&gt;Parámetros!$D$107,'Tablas Servicio'!AR439+('Tablas Servicio'!AT438-'Tablas Servicio'!AR438),AR439/(1-IF(B439&lt;=10,Parámetros!$D$100,0))),2))</f>
        <v>0</v>
      </c>
      <c r="AU439" s="66">
        <f t="shared" si="608"/>
        <v>0</v>
      </c>
      <c r="AV439" s="66">
        <f t="shared" si="608"/>
        <v>0</v>
      </c>
      <c r="AW439" s="66">
        <f>+IF($W439="","",ROUND((AT439*Parámetros!$G$85),2))</f>
        <v>0</v>
      </c>
      <c r="AX439" s="66">
        <f>+IF($W439="","",ROUND((AT439*(Parámetros!$G$86)),2))</f>
        <v>0</v>
      </c>
      <c r="AY439" s="66">
        <f t="shared" si="609"/>
        <v>0</v>
      </c>
      <c r="AZ439" t="str">
        <f t="shared" si="651"/>
        <v>00060</v>
      </c>
      <c r="BA439" t="str">
        <f t="shared" si="652"/>
        <v>Muerte Accidental</v>
      </c>
      <c r="BB439" s="118">
        <f t="shared" si="653"/>
        <v>0</v>
      </c>
      <c r="BC439" s="118" t="str">
        <f t="shared" si="654"/>
        <v>A</v>
      </c>
      <c r="BD439" s="119" t="str">
        <f>+IF(OR($W439="",BB439=0),"",ROUND((VLOOKUP(ROUNDDOWN($D439-1/frec,0),cob_adi,AO$40,FALSE)*(1+i/frec)^-0.5*(1+Parámetros!$D$103)*(1+rec_fracc)/frec),6))</f>
        <v/>
      </c>
      <c r="BE439" s="66">
        <f t="shared" si="610"/>
        <v>0</v>
      </c>
      <c r="BF439" s="119" t="str">
        <f t="shared" si="611"/>
        <v/>
      </c>
      <c r="BG439" s="66">
        <f>+IF($W439="","",ROUND(IF($B439&gt;Parámetros!$D$107,'Tablas Servicio'!BE439+('Tablas Servicio'!BG438-'Tablas Servicio'!BE438),BE439/(1-IF(B439&lt;=10,Parámetros!$D$100,0))),2))</f>
        <v>0</v>
      </c>
      <c r="BH439" s="66">
        <f t="shared" si="612"/>
        <v>0</v>
      </c>
      <c r="BI439" s="66">
        <f t="shared" si="613"/>
        <v>0</v>
      </c>
      <c r="BJ439" s="66">
        <f>+IF($W439="","",ROUND((BG439*Parámetros!$G$85),2))</f>
        <v>0</v>
      </c>
      <c r="BK439" s="66">
        <f>+IF($W439="","",ROUND((BG439*(Parámetros!$G$86)),2))</f>
        <v>0</v>
      </c>
      <c r="BL439" s="66">
        <f t="shared" si="614"/>
        <v>0</v>
      </c>
      <c r="BM439" t="str">
        <f t="shared" si="655"/>
        <v>00061</v>
      </c>
      <c r="BN439" t="str">
        <f t="shared" si="656"/>
        <v>Gastos de Entierro</v>
      </c>
      <c r="BO439" s="118">
        <f t="shared" si="657"/>
        <v>0</v>
      </c>
      <c r="BP439" s="118" t="str">
        <f t="shared" si="658"/>
        <v>A</v>
      </c>
      <c r="BQ439" s="119" t="str">
        <f>+IF(OR($W439="",BO439=0),"",ROUND((VLOOKUP(ROUNDDOWN($D439-1/frec,0),cob_adi,BB$40,FALSE)*(1+i/frec)^-0.5*(1+Parámetros!$D$103)*(1+rec_fracc)/frec),6))</f>
        <v/>
      </c>
      <c r="BR439" s="66">
        <f t="shared" si="615"/>
        <v>0</v>
      </c>
      <c r="BS439" s="119" t="str">
        <f t="shared" si="616"/>
        <v/>
      </c>
      <c r="BT439" s="66">
        <f>+IF($W439="","",ROUND(IF($B439&gt;Parámetros!$D$107,'Tablas Servicio'!BR439+('Tablas Servicio'!BT438-'Tablas Servicio'!BR438),BR439/(1-IF(B439&lt;=10,Parámetros!$D$100,0))),2))</f>
        <v>0</v>
      </c>
      <c r="BU439" s="66">
        <f t="shared" si="617"/>
        <v>0</v>
      </c>
      <c r="BV439" s="66">
        <f t="shared" si="617"/>
        <v>0</v>
      </c>
      <c r="BW439" s="66">
        <f>+IF($W439="","",ROUND((BT439*Parámetros!$G$85),2))</f>
        <v>0</v>
      </c>
      <c r="BX439" s="66">
        <f>+IF($W439="","",ROUND((BT439*(Parámetros!$G$86)),2))</f>
        <v>0</v>
      </c>
      <c r="BY439" s="66">
        <f t="shared" si="618"/>
        <v>0</v>
      </c>
      <c r="BZ439" t="str">
        <f t="shared" si="659"/>
        <v>00062</v>
      </c>
      <c r="CA439" t="str">
        <f t="shared" si="660"/>
        <v>Gastos médicos por accidente</v>
      </c>
      <c r="CB439" s="118">
        <f t="shared" si="661"/>
        <v>0</v>
      </c>
      <c r="CC439" s="118" t="str">
        <f t="shared" si="662"/>
        <v>A</v>
      </c>
      <c r="CD439" s="119" t="str">
        <f t="shared" si="619"/>
        <v/>
      </c>
      <c r="CE439" s="66">
        <f>+IF($W439="","",ROUND((VLOOKUP(ROUNDDOWN($D439-1/frec,0),cob_adi,BO$40,FALSE)*(1+i/frec)^-0.5*(1+Parámetros!$D$103)*(1+rec_fracc)/frec*'TABLAS ADI'!$BC$17),2))</f>
        <v>0</v>
      </c>
      <c r="CF439" s="119" t="str">
        <f t="shared" si="620"/>
        <v/>
      </c>
      <c r="CG439" s="66">
        <f>+IF($W439="","",ROUND(IF($B439&gt;Parámetros!$D$107,'Tablas Servicio'!CE439+('Tablas Servicio'!CG438-'Tablas Servicio'!CE438),CE439/(1-IF(B439&lt;=10,Parámetros!$D$100,0))),2))</f>
        <v>0</v>
      </c>
      <c r="CH439" s="66">
        <f t="shared" si="621"/>
        <v>0</v>
      </c>
      <c r="CI439" s="66">
        <f t="shared" si="621"/>
        <v>0</v>
      </c>
      <c r="CJ439" s="66">
        <f>+IF($W439="","",ROUND((CG439*Parámetros!$G$85),2))</f>
        <v>0</v>
      </c>
      <c r="CK439" s="66">
        <f>+IF($W439="","",ROUND((CG439*(Parámetros!$G$86)),2))</f>
        <v>0</v>
      </c>
      <c r="CL439" s="66">
        <f t="shared" si="622"/>
        <v>0</v>
      </c>
      <c r="CM439" t="str">
        <f t="shared" si="663"/>
        <v>00063</v>
      </c>
      <c r="CN439" s="118" t="str">
        <f t="shared" si="664"/>
        <v>Renta Diaria por Hospitalización</v>
      </c>
      <c r="CO439" s="118">
        <f t="shared" si="665"/>
        <v>0</v>
      </c>
      <c r="CP439" s="118" t="str">
        <f t="shared" si="666"/>
        <v>A</v>
      </c>
      <c r="CQ439" s="119" t="str">
        <f t="shared" si="623"/>
        <v/>
      </c>
      <c r="CR439" s="66">
        <f>+IF($W439="","",ROUND((VLOOKUP(Parámetros!$F$51,'COBERTURAS ADICIONALES'!$S$4:$T$32,2,FALSE)*(1+i/frec)^-0.5*(1+Parámetros!$D$103)*(1+rec_fracc)/frec*$CO$42),2))</f>
        <v>0</v>
      </c>
      <c r="CS439" s="119" t="str">
        <f t="shared" si="624"/>
        <v/>
      </c>
      <c r="CT439" s="66">
        <f>+IF($W439="","",ROUND(IF($B439&gt;Parámetros!$D$107,'Tablas Servicio'!CR439+('Tablas Servicio'!CT438-'Tablas Servicio'!CR438),CR439/(1-IF(B439&lt;=10,Parámetros!$D$100,0))),2))</f>
        <v>0</v>
      </c>
      <c r="CU439" s="66">
        <f t="shared" si="625"/>
        <v>0</v>
      </c>
      <c r="CV439" s="66">
        <f t="shared" si="625"/>
        <v>0</v>
      </c>
      <c r="CW439" s="66">
        <f>+IF($W439="","",ROUND((CT439*Parámetros!$G$85),2))</f>
        <v>0</v>
      </c>
      <c r="CX439" s="66">
        <f>+IF($W439="","",ROUND((CT439*(Parámetros!$G$86)),2))</f>
        <v>0</v>
      </c>
      <c r="CY439" s="66">
        <f t="shared" si="626"/>
        <v>0</v>
      </c>
      <c r="CZ439" t="str">
        <f t="shared" si="667"/>
        <v>00064</v>
      </c>
      <c r="DA439" s="118" t="str">
        <f t="shared" si="668"/>
        <v>Enfermedades Graves</v>
      </c>
      <c r="DB439" s="118">
        <f t="shared" si="669"/>
        <v>0</v>
      </c>
      <c r="DC439" s="118" t="str">
        <f t="shared" si="670"/>
        <v>A</v>
      </c>
      <c r="DD439" s="121" t="str">
        <f>+IF(OR($W439="",DB439=0),"",ROUND((VLOOKUP(ROUNDDOWN($D439-1/frec,0),cob_adi,CO$40,FALSE)*(1+i/frec)^-0.5*(1+Parámetros!$D$103)*(1+rec_fracc)/frec),6))</f>
        <v/>
      </c>
      <c r="DE439" s="66">
        <f t="shared" si="627"/>
        <v>0</v>
      </c>
      <c r="DF439" s="119" t="str">
        <f t="shared" si="628"/>
        <v/>
      </c>
      <c r="DG439" s="66">
        <f>+IF($W439="","",ROUND(IF($B439&gt;Parámetros!$D$107,'Tablas Servicio'!DE439+('Tablas Servicio'!DG438-'Tablas Servicio'!DE438),DE439/(1-IF(B439&lt;=10,Parámetros!$D$100,0))),2))</f>
        <v>0</v>
      </c>
      <c r="DH439" s="66">
        <f t="shared" si="629"/>
        <v>0</v>
      </c>
      <c r="DI439" s="66">
        <f t="shared" si="629"/>
        <v>0</v>
      </c>
      <c r="DJ439" s="66">
        <f>+IF($W439="","",ROUND((DG439*Parámetros!$G$85),2))</f>
        <v>0</v>
      </c>
      <c r="DK439" s="66">
        <f>+IF($W439="","",ROUND((DG439*(Parámetros!$G$86)),2))</f>
        <v>0</v>
      </c>
      <c r="DL439" s="66">
        <f t="shared" si="630"/>
        <v>0</v>
      </c>
      <c r="DM439" t="str">
        <f t="shared" si="671"/>
        <v>00065</v>
      </c>
      <c r="DN439" s="118" t="str">
        <f t="shared" si="672"/>
        <v>Exención pago de primas</v>
      </c>
      <c r="DO439" s="118">
        <f t="shared" si="673"/>
        <v>0</v>
      </c>
      <c r="DP439" s="118" t="str">
        <f t="shared" si="674"/>
        <v>A</v>
      </c>
      <c r="DQ439" s="122" t="str">
        <f>+IF(OR($W439="",DO439=0),"",ROUND((VLOOKUP(ROUNDDOWN($D439-1/frec,0),cob_adi,DB$40,FALSE)*(1+i/frec)^-0.5*(1+Parámetros!$D$103)*(1+rec_fracc)/frec),6))</f>
        <v/>
      </c>
      <c r="DR439" s="66">
        <f t="shared" si="631"/>
        <v>0</v>
      </c>
      <c r="DS439" s="68" t="str">
        <f t="shared" si="632"/>
        <v/>
      </c>
      <c r="DT439" s="66">
        <f>+IF($W439="","",ROUND(IF($B439&gt;Parámetros!$D$107,'Tablas Servicio'!DR439+('Tablas Servicio'!DT438-'Tablas Servicio'!DR438),DR439/(1-IF(B439&lt;=10,Parámetros!$D$100,0))),2))</f>
        <v>0</v>
      </c>
      <c r="DU439" s="66">
        <f t="shared" si="633"/>
        <v>0</v>
      </c>
      <c r="DV439" s="66">
        <f t="shared" si="633"/>
        <v>0</v>
      </c>
      <c r="DW439" s="66">
        <f>+IF($W439="","",ROUND((DT439*Parámetros!$G$85),2))</f>
        <v>0</v>
      </c>
      <c r="DX439" s="66">
        <f>+IF($W439="","",ROUND((DT439*(Parámetros!$G$86)),2))</f>
        <v>0</v>
      </c>
      <c r="DY439" s="66">
        <f t="shared" si="634"/>
        <v>0</v>
      </c>
      <c r="DZ439" t="str">
        <f t="shared" si="635"/>
        <v>00066</v>
      </c>
      <c r="EA439" s="118" t="str">
        <f t="shared" si="635"/>
        <v>Enfermedad terminal</v>
      </c>
      <c r="EB439" s="118">
        <f>+IF($W439="","",ROUND(IF(Parámetros!$D$25='TABLAS MORT'!$V$33,EB438,Z439/2),0))</f>
        <v>50000</v>
      </c>
      <c r="EC439" s="118" t="str">
        <f t="shared" si="635"/>
        <v>A</v>
      </c>
      <c r="ED439" s="122">
        <f>+IF(OR($W439="",EB439=0),"",ROUND((VLOOKUP(ROUNDDOWN($D439-1/frec,0),cob_adi,DO$40,FALSE)*(1+i/frec)^-0.5*(1+Parámetros!$D$103)*(1+rec_fracc)/frec),6))</f>
        <v>6.4999999999999994E-5</v>
      </c>
      <c r="EE439" s="66">
        <f t="shared" si="636"/>
        <v>3.25</v>
      </c>
      <c r="EF439" s="68">
        <f t="shared" si="637"/>
        <v>6.4999999999999994E-5</v>
      </c>
      <c r="EG439" s="66">
        <f>+IF($W439="","",ROUND(IF($B439&gt;Parámetros!$D$107,'Tablas Servicio'!EE439+('Tablas Servicio'!EG438-'Tablas Servicio'!EE438),EE439/(1-IF(B439&lt;=10,Parámetros!$D$100,0))),2))</f>
        <v>3.25</v>
      </c>
      <c r="EH439" s="66">
        <f t="shared" si="638"/>
        <v>0</v>
      </c>
      <c r="EI439" s="66">
        <f t="shared" si="638"/>
        <v>0</v>
      </c>
      <c r="EJ439" s="66">
        <f>+IF($W439="","",ROUND((EG439*Parámetros!$G$85),2))</f>
        <v>0.11</v>
      </c>
      <c r="EK439" s="66">
        <f>+IF($W439="","",ROUND((EG439*(Parámetros!$G$86)),2))</f>
        <v>0.02</v>
      </c>
      <c r="EL439" s="66">
        <f t="shared" si="639"/>
        <v>3.38</v>
      </c>
    </row>
    <row r="440" spans="1:142" x14ac:dyDescent="0.25">
      <c r="A440">
        <f>+IF($C440="","",ROUND(VLOOKUP('Tablas Servicio'!B440,Parámetros!$H$100:$J$159,IF(Parámetros!$E$16="F",2,3),FALSE),2))</f>
        <v>150</v>
      </c>
      <c r="B440">
        <f t="shared" si="590"/>
        <v>34</v>
      </c>
      <c r="C440" s="57">
        <f>+IF(D440="","",'Tablas Servicio'!C439+1)</f>
        <v>399</v>
      </c>
      <c r="D440" s="56">
        <f>+IF(D439&lt;edadmaxtabla,D439+1/Parámetros!$E$25,"")</f>
        <v>73.270000000000152</v>
      </c>
      <c r="E440" s="57">
        <f t="shared" si="600"/>
        <v>73</v>
      </c>
      <c r="F440" s="59">
        <f t="shared" si="601"/>
        <v>100000</v>
      </c>
      <c r="G440" s="66">
        <f t="shared" si="591"/>
        <v>171.15</v>
      </c>
      <c r="H440" s="66">
        <f t="shared" si="592"/>
        <v>178</v>
      </c>
      <c r="I440" s="66">
        <f t="shared" si="640"/>
        <v>-84</v>
      </c>
      <c r="J440" s="66">
        <f t="shared" si="593"/>
        <v>5.99</v>
      </c>
      <c r="K440" s="66">
        <f t="shared" si="594"/>
        <v>0.86</v>
      </c>
      <c r="L440" s="66">
        <f t="shared" si="595"/>
        <v>0</v>
      </c>
      <c r="M440" s="66">
        <f t="shared" si="596"/>
        <v>0</v>
      </c>
      <c r="N440" s="66">
        <f>+IF(C440="","",ROUND(Parámetros!$D$23,2))</f>
        <v>94</v>
      </c>
      <c r="O440" s="66">
        <f t="shared" si="597"/>
        <v>158.65</v>
      </c>
      <c r="P440" s="66">
        <f>+IF($C440="","",ROUND(IF(B440&gt;Parámetros!$D$117,0,N440*Parámetros!$D$116-G440*Parámetros!$D$100),2))</f>
        <v>0</v>
      </c>
      <c r="Q440" s="75">
        <f t="shared" si="641"/>
        <v>3.499853929301782E-2</v>
      </c>
      <c r="R440" s="75">
        <f t="shared" si="642"/>
        <v>5.024832018697049E-3</v>
      </c>
      <c r="S440" s="117">
        <f>+IF($C440="","",ROUND((S439+I440)*(1+Parámetros!$D$91),2))</f>
        <v>26824.35</v>
      </c>
      <c r="T440" s="117">
        <f>+IF($C440="","",ROUND(S440*VLOOKUP(B440,Parámetros!$C$30:$D$39,2,TRUE),2))</f>
        <v>26824.35</v>
      </c>
      <c r="U440" s="117">
        <f>+IF($C440="","",ROUND((U439+I440)*(1+Parámetros!$D$92),2))</f>
        <v>30518.66</v>
      </c>
      <c r="V440" s="117">
        <f>+IF($C440="","",ROUND(U440*VLOOKUP(B440,Parámetros!$C$30:$D$39,2,TRUE),2))</f>
        <v>30518.66</v>
      </c>
      <c r="W440" s="57">
        <f t="shared" si="643"/>
        <v>399</v>
      </c>
      <c r="X440" t="str">
        <f t="shared" si="644"/>
        <v>00058</v>
      </c>
      <c r="Y440" t="str">
        <f t="shared" si="645"/>
        <v>MUERTE POR CUALQUIER CAUSA</v>
      </c>
      <c r="Z440" s="118">
        <f>+IF($W440="","",ROUND(IF(Parámetros!$D$25='TABLAS MORT'!$V$33,Z439,Parámetros!$D$21-'Tablas Servicio'!T439),0))</f>
        <v>100000</v>
      </c>
      <c r="AA440" s="118" t="str">
        <f t="shared" si="646"/>
        <v>P</v>
      </c>
      <c r="AB440" s="119">
        <f>+IF(W440="","",ROUND((VLOOKUP(ROUNDDOWN($D440-1/frec,0),qx_tabla,2,FALSE)*(1+i/frec)^-0.5*(1+Parámetros!$D$103)*(1+rec_fracc)/frec),6))</f>
        <v>1.554E-3</v>
      </c>
      <c r="AC440" s="66">
        <f t="shared" si="602"/>
        <v>155.4</v>
      </c>
      <c r="AD440" s="119">
        <f t="shared" si="598"/>
        <v>1.6789999999999999E-3</v>
      </c>
      <c r="AE440" s="66">
        <f>+IF($W440="","",ROUND(IF($B440&gt;Parámetros!$D$107,'Tablas Servicio'!AC440+('Tablas Servicio'!AG439-'Tablas Servicio'!AC439),AC440/(1-IF(B440&lt;=10,Parámetros!$D$104,Parámetros!$D$105))),2))</f>
        <v>259</v>
      </c>
      <c r="AF440" s="66">
        <f>+IF($W440="","",ROUND(IF($B440&gt;Parámetros!$D$107,'Tablas Servicio'!AC440+('Tablas Servicio'!AG439-'Tablas Servicio'!AC439),(AC440+$A439/frec)/(1-IF(B440&lt;=Parámetros!$D$117,Parámetros!$D$100,0))),2))</f>
        <v>167.9</v>
      </c>
      <c r="AG440" s="66">
        <f t="shared" si="603"/>
        <v>167.9</v>
      </c>
      <c r="AH440" s="66">
        <f t="shared" si="604"/>
        <v>0</v>
      </c>
      <c r="AI440" s="66">
        <f t="shared" si="605"/>
        <v>0</v>
      </c>
      <c r="AJ440" s="66">
        <f>+IF($W440="","",ROUND((AG440*Parámetros!$G$85),2))</f>
        <v>5.88</v>
      </c>
      <c r="AK440" s="66">
        <f>+IF($W440="","",ROUND((AG440*(Parámetros!$G$86)),2))</f>
        <v>0.84</v>
      </c>
      <c r="AL440" s="66">
        <f t="shared" si="599"/>
        <v>174.62</v>
      </c>
      <c r="AM440" t="str">
        <f t="shared" si="647"/>
        <v>00059</v>
      </c>
      <c r="AN440" t="str">
        <f t="shared" si="648"/>
        <v>Incapacidad Total y Permanente</v>
      </c>
      <c r="AO440" s="118">
        <f t="shared" si="649"/>
        <v>0</v>
      </c>
      <c r="AP440" s="118" t="str">
        <f t="shared" si="650"/>
        <v>A</v>
      </c>
      <c r="AQ440" s="119" t="str">
        <f>+IF(OR($W440="",AO440=0),"",ROUND((VLOOKUP(ROUNDDOWN($D440-1/frec,0),cob_adi,Z$40,FALSE)*(1+i/frec)^-0.5*(1+Parámetros!$D$103)*(1+rec_fracc)/frec),6))</f>
        <v/>
      </c>
      <c r="AR440" s="66">
        <f t="shared" si="606"/>
        <v>0</v>
      </c>
      <c r="AS440" s="119" t="str">
        <f t="shared" si="607"/>
        <v/>
      </c>
      <c r="AT440" s="66">
        <f>+IF($W440="","",ROUND(IF($B440&gt;Parámetros!$D$107,'Tablas Servicio'!AR440+('Tablas Servicio'!AT439-'Tablas Servicio'!AR439),AR440/(1-IF(B440&lt;=10,Parámetros!$D$100,0))),2))</f>
        <v>0</v>
      </c>
      <c r="AU440" s="66">
        <f t="shared" si="608"/>
        <v>0</v>
      </c>
      <c r="AV440" s="66">
        <f t="shared" si="608"/>
        <v>0</v>
      </c>
      <c r="AW440" s="66">
        <f>+IF($W440="","",ROUND((AT440*Parámetros!$G$85),2))</f>
        <v>0</v>
      </c>
      <c r="AX440" s="66">
        <f>+IF($W440="","",ROUND((AT440*(Parámetros!$G$86)),2))</f>
        <v>0</v>
      </c>
      <c r="AY440" s="66">
        <f t="shared" si="609"/>
        <v>0</v>
      </c>
      <c r="AZ440" t="str">
        <f t="shared" si="651"/>
        <v>00060</v>
      </c>
      <c r="BA440" t="str">
        <f t="shared" si="652"/>
        <v>Muerte Accidental</v>
      </c>
      <c r="BB440" s="118">
        <f t="shared" si="653"/>
        <v>0</v>
      </c>
      <c r="BC440" s="118" t="str">
        <f t="shared" si="654"/>
        <v>A</v>
      </c>
      <c r="BD440" s="119" t="str">
        <f>+IF(OR($W440="",BB440=0),"",ROUND((VLOOKUP(ROUNDDOWN($D440-1/frec,0),cob_adi,AO$40,FALSE)*(1+i/frec)^-0.5*(1+Parámetros!$D$103)*(1+rec_fracc)/frec),6))</f>
        <v/>
      </c>
      <c r="BE440" s="66">
        <f t="shared" si="610"/>
        <v>0</v>
      </c>
      <c r="BF440" s="119" t="str">
        <f t="shared" si="611"/>
        <v/>
      </c>
      <c r="BG440" s="66">
        <f>+IF($W440="","",ROUND(IF($B440&gt;Parámetros!$D$107,'Tablas Servicio'!BE440+('Tablas Servicio'!BG439-'Tablas Servicio'!BE439),BE440/(1-IF(B440&lt;=10,Parámetros!$D$100,0))),2))</f>
        <v>0</v>
      </c>
      <c r="BH440" s="66">
        <f t="shared" si="612"/>
        <v>0</v>
      </c>
      <c r="BI440" s="66">
        <f t="shared" si="613"/>
        <v>0</v>
      </c>
      <c r="BJ440" s="66">
        <f>+IF($W440="","",ROUND((BG440*Parámetros!$G$85),2))</f>
        <v>0</v>
      </c>
      <c r="BK440" s="66">
        <f>+IF($W440="","",ROUND((BG440*(Parámetros!$G$86)),2))</f>
        <v>0</v>
      </c>
      <c r="BL440" s="66">
        <f t="shared" si="614"/>
        <v>0</v>
      </c>
      <c r="BM440" t="str">
        <f t="shared" si="655"/>
        <v>00061</v>
      </c>
      <c r="BN440" t="str">
        <f t="shared" si="656"/>
        <v>Gastos de Entierro</v>
      </c>
      <c r="BO440" s="118">
        <f t="shared" si="657"/>
        <v>0</v>
      </c>
      <c r="BP440" s="118" t="str">
        <f t="shared" si="658"/>
        <v>A</v>
      </c>
      <c r="BQ440" s="119" t="str">
        <f>+IF(OR($W440="",BO440=0),"",ROUND((VLOOKUP(ROUNDDOWN($D440-1/frec,0),cob_adi,BB$40,FALSE)*(1+i/frec)^-0.5*(1+Parámetros!$D$103)*(1+rec_fracc)/frec),6))</f>
        <v/>
      </c>
      <c r="BR440" s="66">
        <f t="shared" si="615"/>
        <v>0</v>
      </c>
      <c r="BS440" s="119" t="str">
        <f t="shared" si="616"/>
        <v/>
      </c>
      <c r="BT440" s="66">
        <f>+IF($W440="","",ROUND(IF($B440&gt;Parámetros!$D$107,'Tablas Servicio'!BR440+('Tablas Servicio'!BT439-'Tablas Servicio'!BR439),BR440/(1-IF(B440&lt;=10,Parámetros!$D$100,0))),2))</f>
        <v>0</v>
      </c>
      <c r="BU440" s="66">
        <f t="shared" si="617"/>
        <v>0</v>
      </c>
      <c r="BV440" s="66">
        <f t="shared" si="617"/>
        <v>0</v>
      </c>
      <c r="BW440" s="66">
        <f>+IF($W440="","",ROUND((BT440*Parámetros!$G$85),2))</f>
        <v>0</v>
      </c>
      <c r="BX440" s="66">
        <f>+IF($W440="","",ROUND((BT440*(Parámetros!$G$86)),2))</f>
        <v>0</v>
      </c>
      <c r="BY440" s="66">
        <f t="shared" si="618"/>
        <v>0</v>
      </c>
      <c r="BZ440" t="str">
        <f t="shared" si="659"/>
        <v>00062</v>
      </c>
      <c r="CA440" t="str">
        <f t="shared" si="660"/>
        <v>Gastos médicos por accidente</v>
      </c>
      <c r="CB440" s="118">
        <f t="shared" si="661"/>
        <v>0</v>
      </c>
      <c r="CC440" s="118" t="str">
        <f t="shared" si="662"/>
        <v>A</v>
      </c>
      <c r="CD440" s="119" t="str">
        <f t="shared" si="619"/>
        <v/>
      </c>
      <c r="CE440" s="66">
        <f>+IF($W440="","",ROUND((VLOOKUP(ROUNDDOWN($D440-1/frec,0),cob_adi,BO$40,FALSE)*(1+i/frec)^-0.5*(1+Parámetros!$D$103)*(1+rec_fracc)/frec*'TABLAS ADI'!$BC$17),2))</f>
        <v>0</v>
      </c>
      <c r="CF440" s="119" t="str">
        <f t="shared" si="620"/>
        <v/>
      </c>
      <c r="CG440" s="66">
        <f>+IF($W440="","",ROUND(IF($B440&gt;Parámetros!$D$107,'Tablas Servicio'!CE440+('Tablas Servicio'!CG439-'Tablas Servicio'!CE439),CE440/(1-IF(B440&lt;=10,Parámetros!$D$100,0))),2))</f>
        <v>0</v>
      </c>
      <c r="CH440" s="66">
        <f t="shared" si="621"/>
        <v>0</v>
      </c>
      <c r="CI440" s="66">
        <f t="shared" si="621"/>
        <v>0</v>
      </c>
      <c r="CJ440" s="66">
        <f>+IF($W440="","",ROUND((CG440*Parámetros!$G$85),2))</f>
        <v>0</v>
      </c>
      <c r="CK440" s="66">
        <f>+IF($W440="","",ROUND((CG440*(Parámetros!$G$86)),2))</f>
        <v>0</v>
      </c>
      <c r="CL440" s="66">
        <f t="shared" si="622"/>
        <v>0</v>
      </c>
      <c r="CM440" t="str">
        <f t="shared" si="663"/>
        <v>00063</v>
      </c>
      <c r="CN440" s="118" t="str">
        <f t="shared" si="664"/>
        <v>Renta Diaria por Hospitalización</v>
      </c>
      <c r="CO440" s="118">
        <f t="shared" si="665"/>
        <v>0</v>
      </c>
      <c r="CP440" s="118" t="str">
        <f t="shared" si="666"/>
        <v>A</v>
      </c>
      <c r="CQ440" s="119" t="str">
        <f t="shared" si="623"/>
        <v/>
      </c>
      <c r="CR440" s="66">
        <f>+IF($W440="","",ROUND((VLOOKUP(Parámetros!$F$51,'COBERTURAS ADICIONALES'!$S$4:$T$32,2,FALSE)*(1+i/frec)^-0.5*(1+Parámetros!$D$103)*(1+rec_fracc)/frec*$CO$42),2))</f>
        <v>0</v>
      </c>
      <c r="CS440" s="119" t="str">
        <f t="shared" si="624"/>
        <v/>
      </c>
      <c r="CT440" s="66">
        <f>+IF($W440="","",ROUND(IF($B440&gt;Parámetros!$D$107,'Tablas Servicio'!CR440+('Tablas Servicio'!CT439-'Tablas Servicio'!CR439),CR440/(1-IF(B440&lt;=10,Parámetros!$D$100,0))),2))</f>
        <v>0</v>
      </c>
      <c r="CU440" s="66">
        <f t="shared" si="625"/>
        <v>0</v>
      </c>
      <c r="CV440" s="66">
        <f t="shared" si="625"/>
        <v>0</v>
      </c>
      <c r="CW440" s="66">
        <f>+IF($W440="","",ROUND((CT440*Parámetros!$G$85),2))</f>
        <v>0</v>
      </c>
      <c r="CX440" s="66">
        <f>+IF($W440="","",ROUND((CT440*(Parámetros!$G$86)),2))</f>
        <v>0</v>
      </c>
      <c r="CY440" s="66">
        <f t="shared" si="626"/>
        <v>0</v>
      </c>
      <c r="CZ440" t="str">
        <f t="shared" si="667"/>
        <v>00064</v>
      </c>
      <c r="DA440" s="118" t="str">
        <f t="shared" si="668"/>
        <v>Enfermedades Graves</v>
      </c>
      <c r="DB440" s="118">
        <f t="shared" si="669"/>
        <v>0</v>
      </c>
      <c r="DC440" s="118" t="str">
        <f t="shared" si="670"/>
        <v>A</v>
      </c>
      <c r="DD440" s="121" t="str">
        <f>+IF(OR($W440="",DB440=0),"",ROUND((VLOOKUP(ROUNDDOWN($D440-1/frec,0),cob_adi,CO$40,FALSE)*(1+i/frec)^-0.5*(1+Parámetros!$D$103)*(1+rec_fracc)/frec),6))</f>
        <v/>
      </c>
      <c r="DE440" s="66">
        <f t="shared" si="627"/>
        <v>0</v>
      </c>
      <c r="DF440" s="119" t="str">
        <f t="shared" si="628"/>
        <v/>
      </c>
      <c r="DG440" s="66">
        <f>+IF($W440="","",ROUND(IF($B440&gt;Parámetros!$D$107,'Tablas Servicio'!DE440+('Tablas Servicio'!DG439-'Tablas Servicio'!DE439),DE440/(1-IF(B440&lt;=10,Parámetros!$D$100,0))),2))</f>
        <v>0</v>
      </c>
      <c r="DH440" s="66">
        <f t="shared" si="629"/>
        <v>0</v>
      </c>
      <c r="DI440" s="66">
        <f t="shared" si="629"/>
        <v>0</v>
      </c>
      <c r="DJ440" s="66">
        <f>+IF($W440="","",ROUND((DG440*Parámetros!$G$85),2))</f>
        <v>0</v>
      </c>
      <c r="DK440" s="66">
        <f>+IF($W440="","",ROUND((DG440*(Parámetros!$G$86)),2))</f>
        <v>0</v>
      </c>
      <c r="DL440" s="66">
        <f t="shared" si="630"/>
        <v>0</v>
      </c>
      <c r="DM440" t="str">
        <f t="shared" si="671"/>
        <v>00065</v>
      </c>
      <c r="DN440" s="118" t="str">
        <f t="shared" si="672"/>
        <v>Exención pago de primas</v>
      </c>
      <c r="DO440" s="118">
        <f t="shared" si="673"/>
        <v>0</v>
      </c>
      <c r="DP440" s="118" t="str">
        <f t="shared" si="674"/>
        <v>A</v>
      </c>
      <c r="DQ440" s="122" t="str">
        <f>+IF(OR($W440="",DO440=0),"",ROUND((VLOOKUP(ROUNDDOWN($D440-1/frec,0),cob_adi,DB$40,FALSE)*(1+i/frec)^-0.5*(1+Parámetros!$D$103)*(1+rec_fracc)/frec),6))</f>
        <v/>
      </c>
      <c r="DR440" s="66">
        <f t="shared" si="631"/>
        <v>0</v>
      </c>
      <c r="DS440" s="68" t="str">
        <f t="shared" si="632"/>
        <v/>
      </c>
      <c r="DT440" s="66">
        <f>+IF($W440="","",ROUND(IF($B440&gt;Parámetros!$D$107,'Tablas Servicio'!DR440+('Tablas Servicio'!DT439-'Tablas Servicio'!DR439),DR440/(1-IF(B440&lt;=10,Parámetros!$D$100,0))),2))</f>
        <v>0</v>
      </c>
      <c r="DU440" s="66">
        <f t="shared" si="633"/>
        <v>0</v>
      </c>
      <c r="DV440" s="66">
        <f t="shared" si="633"/>
        <v>0</v>
      </c>
      <c r="DW440" s="66">
        <f>+IF($W440="","",ROUND((DT440*Parámetros!$G$85),2))</f>
        <v>0</v>
      </c>
      <c r="DX440" s="66">
        <f>+IF($W440="","",ROUND((DT440*(Parámetros!$G$86)),2))</f>
        <v>0</v>
      </c>
      <c r="DY440" s="66">
        <f t="shared" si="634"/>
        <v>0</v>
      </c>
      <c r="DZ440" t="str">
        <f t="shared" si="635"/>
        <v>00066</v>
      </c>
      <c r="EA440" s="118" t="str">
        <f t="shared" si="635"/>
        <v>Enfermedad terminal</v>
      </c>
      <c r="EB440" s="118">
        <f>+IF($W440="","",ROUND(IF(Parámetros!$D$25='TABLAS MORT'!$V$33,EB439,Z440/2),0))</f>
        <v>50000</v>
      </c>
      <c r="EC440" s="118" t="str">
        <f t="shared" si="635"/>
        <v>A</v>
      </c>
      <c r="ED440" s="122">
        <f>+IF(OR($W440="",EB440=0),"",ROUND((VLOOKUP(ROUNDDOWN($D440-1/frec,0),cob_adi,DO$40,FALSE)*(1+i/frec)^-0.5*(1+Parámetros!$D$103)*(1+rec_fracc)/frec),6))</f>
        <v>6.4999999999999994E-5</v>
      </c>
      <c r="EE440" s="66">
        <f t="shared" si="636"/>
        <v>3.25</v>
      </c>
      <c r="EF440" s="68">
        <f t="shared" si="637"/>
        <v>6.4999999999999994E-5</v>
      </c>
      <c r="EG440" s="66">
        <f>+IF($W440="","",ROUND(IF($B440&gt;Parámetros!$D$107,'Tablas Servicio'!EE440+('Tablas Servicio'!EG439-'Tablas Servicio'!EE439),EE440/(1-IF(B440&lt;=10,Parámetros!$D$100,0))),2))</f>
        <v>3.25</v>
      </c>
      <c r="EH440" s="66">
        <f t="shared" si="638"/>
        <v>0</v>
      </c>
      <c r="EI440" s="66">
        <f t="shared" si="638"/>
        <v>0</v>
      </c>
      <c r="EJ440" s="66">
        <f>+IF($W440="","",ROUND((EG440*Parámetros!$G$85),2))</f>
        <v>0.11</v>
      </c>
      <c r="EK440" s="66">
        <f>+IF($W440="","",ROUND((EG440*(Parámetros!$G$86)),2))</f>
        <v>0.02</v>
      </c>
      <c r="EL440" s="66">
        <f t="shared" si="639"/>
        <v>3.38</v>
      </c>
    </row>
    <row r="441" spans="1:142" x14ac:dyDescent="0.25">
      <c r="A441">
        <f>+IF($C441="","",ROUND(VLOOKUP('Tablas Servicio'!B441,Parámetros!$H$100:$J$159,IF(Parámetros!$E$16="F",2,3),FALSE),2))</f>
        <v>150</v>
      </c>
      <c r="B441">
        <f t="shared" si="590"/>
        <v>34</v>
      </c>
      <c r="C441" s="57">
        <f>+IF(D441="","",'Tablas Servicio'!C440+1)</f>
        <v>400</v>
      </c>
      <c r="D441" s="56">
        <f>+IF(D440&lt;edadmaxtabla,D440+1/Parámetros!$E$25,"")</f>
        <v>73.353333333333481</v>
      </c>
      <c r="E441" s="57">
        <f t="shared" si="600"/>
        <v>73</v>
      </c>
      <c r="F441" s="59">
        <f t="shared" si="601"/>
        <v>100000</v>
      </c>
      <c r="G441" s="66">
        <f t="shared" si="591"/>
        <v>171.15</v>
      </c>
      <c r="H441" s="66">
        <f t="shared" si="592"/>
        <v>178</v>
      </c>
      <c r="I441" s="66">
        <f t="shared" si="640"/>
        <v>-84</v>
      </c>
      <c r="J441" s="66">
        <f t="shared" si="593"/>
        <v>5.99</v>
      </c>
      <c r="K441" s="66">
        <f t="shared" si="594"/>
        <v>0.86</v>
      </c>
      <c r="L441" s="66">
        <f t="shared" si="595"/>
        <v>0</v>
      </c>
      <c r="M441" s="66">
        <f t="shared" si="596"/>
        <v>0</v>
      </c>
      <c r="N441" s="66">
        <f>+IF(C441="","",ROUND(Parámetros!$D$23,2))</f>
        <v>94</v>
      </c>
      <c r="O441" s="66">
        <f t="shared" si="597"/>
        <v>158.65</v>
      </c>
      <c r="P441" s="66">
        <f>+IF($C441="","",ROUND(IF(B441&gt;Parámetros!$D$117,0,N441*Parámetros!$D$116-G441*Parámetros!$D$100),2))</f>
        <v>0</v>
      </c>
      <c r="Q441" s="75">
        <f t="shared" si="641"/>
        <v>3.499853929301782E-2</v>
      </c>
      <c r="R441" s="75">
        <f t="shared" si="642"/>
        <v>5.024832018697049E-3</v>
      </c>
      <c r="S441" s="117">
        <f>+IF($C441="","",ROUND((S440+I441)*(1+Parámetros!$D$91),2))</f>
        <v>26816.2</v>
      </c>
      <c r="T441" s="117">
        <f>+IF($C441="","",ROUND(S441*VLOOKUP(B441,Parámetros!$C$30:$D$39,2,TRUE),2))</f>
        <v>26816.2</v>
      </c>
      <c r="U441" s="117">
        <f>+IF($C441="","",ROUND((U440+I441)*(1+Parámetros!$D$92),2))</f>
        <v>30533.32</v>
      </c>
      <c r="V441" s="117">
        <f>+IF($C441="","",ROUND(U441*VLOOKUP(B441,Parámetros!$C$30:$D$39,2,TRUE),2))</f>
        <v>30533.32</v>
      </c>
      <c r="W441" s="57">
        <f t="shared" si="643"/>
        <v>400</v>
      </c>
      <c r="X441" t="str">
        <f t="shared" si="644"/>
        <v>00058</v>
      </c>
      <c r="Y441" t="str">
        <f t="shared" si="645"/>
        <v>MUERTE POR CUALQUIER CAUSA</v>
      </c>
      <c r="Z441" s="118">
        <f>+IF($W441="","",ROUND(IF(Parámetros!$D$25='TABLAS MORT'!$V$33,Z440,Parámetros!$D$21-'Tablas Servicio'!T440),0))</f>
        <v>100000</v>
      </c>
      <c r="AA441" s="118" t="str">
        <f t="shared" si="646"/>
        <v>P</v>
      </c>
      <c r="AB441" s="119">
        <f>+IF(W441="","",ROUND((VLOOKUP(ROUNDDOWN($D441-1/frec,0),qx_tabla,2,FALSE)*(1+i/frec)^-0.5*(1+Parámetros!$D$103)*(1+rec_fracc)/frec),6))</f>
        <v>1.554E-3</v>
      </c>
      <c r="AC441" s="66">
        <f t="shared" si="602"/>
        <v>155.4</v>
      </c>
      <c r="AD441" s="119">
        <f t="shared" si="598"/>
        <v>1.6789999999999999E-3</v>
      </c>
      <c r="AE441" s="66">
        <f>+IF($W441="","",ROUND(IF($B441&gt;Parámetros!$D$107,'Tablas Servicio'!AC441+('Tablas Servicio'!AG440-'Tablas Servicio'!AC440),AC441/(1-IF(B441&lt;=10,Parámetros!$D$104,Parámetros!$D$105))),2))</f>
        <v>259</v>
      </c>
      <c r="AF441" s="66">
        <f>+IF($W441="","",ROUND(IF($B441&gt;Parámetros!$D$107,'Tablas Servicio'!AC441+('Tablas Servicio'!AG440-'Tablas Servicio'!AC440),(AC441+$A440/frec)/(1-IF(B441&lt;=Parámetros!$D$117,Parámetros!$D$100,0))),2))</f>
        <v>167.9</v>
      </c>
      <c r="AG441" s="66">
        <f t="shared" si="603"/>
        <v>167.9</v>
      </c>
      <c r="AH441" s="66">
        <f t="shared" si="604"/>
        <v>0</v>
      </c>
      <c r="AI441" s="66">
        <f t="shared" si="605"/>
        <v>0</v>
      </c>
      <c r="AJ441" s="66">
        <f>+IF($W441="","",ROUND((AG441*Parámetros!$G$85),2))</f>
        <v>5.88</v>
      </c>
      <c r="AK441" s="66">
        <f>+IF($W441="","",ROUND((AG441*(Parámetros!$G$86)),2))</f>
        <v>0.84</v>
      </c>
      <c r="AL441" s="66">
        <f t="shared" si="599"/>
        <v>174.62</v>
      </c>
      <c r="AM441" t="str">
        <f t="shared" si="647"/>
        <v>00059</v>
      </c>
      <c r="AN441" t="str">
        <f t="shared" si="648"/>
        <v>Incapacidad Total y Permanente</v>
      </c>
      <c r="AO441" s="118">
        <f t="shared" si="649"/>
        <v>0</v>
      </c>
      <c r="AP441" s="118" t="str">
        <f t="shared" si="650"/>
        <v>A</v>
      </c>
      <c r="AQ441" s="119" t="str">
        <f>+IF(OR($W441="",AO441=0),"",ROUND((VLOOKUP(ROUNDDOWN($D441-1/frec,0),cob_adi,Z$40,FALSE)*(1+i/frec)^-0.5*(1+Parámetros!$D$103)*(1+rec_fracc)/frec),6))</f>
        <v/>
      </c>
      <c r="AR441" s="66">
        <f t="shared" si="606"/>
        <v>0</v>
      </c>
      <c r="AS441" s="119" t="str">
        <f t="shared" si="607"/>
        <v/>
      </c>
      <c r="AT441" s="66">
        <f>+IF($W441="","",ROUND(IF($B441&gt;Parámetros!$D$107,'Tablas Servicio'!AR441+('Tablas Servicio'!AT440-'Tablas Servicio'!AR440),AR441/(1-IF(B441&lt;=10,Parámetros!$D$100,0))),2))</f>
        <v>0</v>
      </c>
      <c r="AU441" s="66">
        <f t="shared" si="608"/>
        <v>0</v>
      </c>
      <c r="AV441" s="66">
        <f t="shared" si="608"/>
        <v>0</v>
      </c>
      <c r="AW441" s="66">
        <f>+IF($W441="","",ROUND((AT441*Parámetros!$G$85),2))</f>
        <v>0</v>
      </c>
      <c r="AX441" s="66">
        <f>+IF($W441="","",ROUND((AT441*(Parámetros!$G$86)),2))</f>
        <v>0</v>
      </c>
      <c r="AY441" s="66">
        <f t="shared" si="609"/>
        <v>0</v>
      </c>
      <c r="AZ441" t="str">
        <f t="shared" si="651"/>
        <v>00060</v>
      </c>
      <c r="BA441" t="str">
        <f t="shared" si="652"/>
        <v>Muerte Accidental</v>
      </c>
      <c r="BB441" s="118">
        <f t="shared" si="653"/>
        <v>0</v>
      </c>
      <c r="BC441" s="118" t="str">
        <f t="shared" si="654"/>
        <v>A</v>
      </c>
      <c r="BD441" s="119" t="str">
        <f>+IF(OR($W441="",BB441=0),"",ROUND((VLOOKUP(ROUNDDOWN($D441-1/frec,0),cob_adi,AO$40,FALSE)*(1+i/frec)^-0.5*(1+Parámetros!$D$103)*(1+rec_fracc)/frec),6))</f>
        <v/>
      </c>
      <c r="BE441" s="66">
        <f t="shared" si="610"/>
        <v>0</v>
      </c>
      <c r="BF441" s="119" t="str">
        <f t="shared" si="611"/>
        <v/>
      </c>
      <c r="BG441" s="66">
        <f>+IF($W441="","",ROUND(IF($B441&gt;Parámetros!$D$107,'Tablas Servicio'!BE441+('Tablas Servicio'!BG440-'Tablas Servicio'!BE440),BE441/(1-IF(B441&lt;=10,Parámetros!$D$100,0))),2))</f>
        <v>0</v>
      </c>
      <c r="BH441" s="66">
        <f t="shared" si="612"/>
        <v>0</v>
      </c>
      <c r="BI441" s="66">
        <f t="shared" si="613"/>
        <v>0</v>
      </c>
      <c r="BJ441" s="66">
        <f>+IF($W441="","",ROUND((BG441*Parámetros!$G$85),2))</f>
        <v>0</v>
      </c>
      <c r="BK441" s="66">
        <f>+IF($W441="","",ROUND((BG441*(Parámetros!$G$86)),2))</f>
        <v>0</v>
      </c>
      <c r="BL441" s="66">
        <f t="shared" si="614"/>
        <v>0</v>
      </c>
      <c r="BM441" t="str">
        <f t="shared" si="655"/>
        <v>00061</v>
      </c>
      <c r="BN441" t="str">
        <f t="shared" si="656"/>
        <v>Gastos de Entierro</v>
      </c>
      <c r="BO441" s="118">
        <f t="shared" si="657"/>
        <v>0</v>
      </c>
      <c r="BP441" s="118" t="str">
        <f t="shared" si="658"/>
        <v>A</v>
      </c>
      <c r="BQ441" s="119" t="str">
        <f>+IF(OR($W441="",BO441=0),"",ROUND((VLOOKUP(ROUNDDOWN($D441-1/frec,0),cob_adi,BB$40,FALSE)*(1+i/frec)^-0.5*(1+Parámetros!$D$103)*(1+rec_fracc)/frec),6))</f>
        <v/>
      </c>
      <c r="BR441" s="66">
        <f t="shared" si="615"/>
        <v>0</v>
      </c>
      <c r="BS441" s="119" t="str">
        <f t="shared" si="616"/>
        <v/>
      </c>
      <c r="BT441" s="66">
        <f>+IF($W441="","",ROUND(IF($B441&gt;Parámetros!$D$107,'Tablas Servicio'!BR441+('Tablas Servicio'!BT440-'Tablas Servicio'!BR440),BR441/(1-IF(B441&lt;=10,Parámetros!$D$100,0))),2))</f>
        <v>0</v>
      </c>
      <c r="BU441" s="66">
        <f t="shared" si="617"/>
        <v>0</v>
      </c>
      <c r="BV441" s="66">
        <f t="shared" si="617"/>
        <v>0</v>
      </c>
      <c r="BW441" s="66">
        <f>+IF($W441="","",ROUND((BT441*Parámetros!$G$85),2))</f>
        <v>0</v>
      </c>
      <c r="BX441" s="66">
        <f>+IF($W441="","",ROUND((BT441*(Parámetros!$G$86)),2))</f>
        <v>0</v>
      </c>
      <c r="BY441" s="66">
        <f t="shared" si="618"/>
        <v>0</v>
      </c>
      <c r="BZ441" t="str">
        <f t="shared" si="659"/>
        <v>00062</v>
      </c>
      <c r="CA441" t="str">
        <f t="shared" si="660"/>
        <v>Gastos médicos por accidente</v>
      </c>
      <c r="CB441" s="118">
        <f t="shared" si="661"/>
        <v>0</v>
      </c>
      <c r="CC441" s="118" t="str">
        <f t="shared" si="662"/>
        <v>A</v>
      </c>
      <c r="CD441" s="119" t="str">
        <f t="shared" si="619"/>
        <v/>
      </c>
      <c r="CE441" s="66">
        <f>+IF($W441="","",ROUND((VLOOKUP(ROUNDDOWN($D441-1/frec,0),cob_adi,BO$40,FALSE)*(1+i/frec)^-0.5*(1+Parámetros!$D$103)*(1+rec_fracc)/frec*'TABLAS ADI'!$BC$17),2))</f>
        <v>0</v>
      </c>
      <c r="CF441" s="119" t="str">
        <f t="shared" si="620"/>
        <v/>
      </c>
      <c r="CG441" s="66">
        <f>+IF($W441="","",ROUND(IF($B441&gt;Parámetros!$D$107,'Tablas Servicio'!CE441+('Tablas Servicio'!CG440-'Tablas Servicio'!CE440),CE441/(1-IF(B441&lt;=10,Parámetros!$D$100,0))),2))</f>
        <v>0</v>
      </c>
      <c r="CH441" s="66">
        <f t="shared" si="621"/>
        <v>0</v>
      </c>
      <c r="CI441" s="66">
        <f t="shared" si="621"/>
        <v>0</v>
      </c>
      <c r="CJ441" s="66">
        <f>+IF($W441="","",ROUND((CG441*Parámetros!$G$85),2))</f>
        <v>0</v>
      </c>
      <c r="CK441" s="66">
        <f>+IF($W441="","",ROUND((CG441*(Parámetros!$G$86)),2))</f>
        <v>0</v>
      </c>
      <c r="CL441" s="66">
        <f t="shared" si="622"/>
        <v>0</v>
      </c>
      <c r="CM441" t="str">
        <f t="shared" si="663"/>
        <v>00063</v>
      </c>
      <c r="CN441" s="118" t="str">
        <f t="shared" si="664"/>
        <v>Renta Diaria por Hospitalización</v>
      </c>
      <c r="CO441" s="118">
        <f t="shared" si="665"/>
        <v>0</v>
      </c>
      <c r="CP441" s="118" t="str">
        <f t="shared" si="666"/>
        <v>A</v>
      </c>
      <c r="CQ441" s="119" t="str">
        <f t="shared" si="623"/>
        <v/>
      </c>
      <c r="CR441" s="66">
        <f>+IF($W441="","",ROUND((VLOOKUP(Parámetros!$F$51,'COBERTURAS ADICIONALES'!$S$4:$T$32,2,FALSE)*(1+i/frec)^-0.5*(1+Parámetros!$D$103)*(1+rec_fracc)/frec*$CO$42),2))</f>
        <v>0</v>
      </c>
      <c r="CS441" s="119" t="str">
        <f t="shared" si="624"/>
        <v/>
      </c>
      <c r="CT441" s="66">
        <f>+IF($W441="","",ROUND(IF($B441&gt;Parámetros!$D$107,'Tablas Servicio'!CR441+('Tablas Servicio'!CT440-'Tablas Servicio'!CR440),CR441/(1-IF(B441&lt;=10,Parámetros!$D$100,0))),2))</f>
        <v>0</v>
      </c>
      <c r="CU441" s="66">
        <f t="shared" si="625"/>
        <v>0</v>
      </c>
      <c r="CV441" s="66">
        <f t="shared" si="625"/>
        <v>0</v>
      </c>
      <c r="CW441" s="66">
        <f>+IF($W441="","",ROUND((CT441*Parámetros!$G$85),2))</f>
        <v>0</v>
      </c>
      <c r="CX441" s="66">
        <f>+IF($W441="","",ROUND((CT441*(Parámetros!$G$86)),2))</f>
        <v>0</v>
      </c>
      <c r="CY441" s="66">
        <f t="shared" si="626"/>
        <v>0</v>
      </c>
      <c r="CZ441" t="str">
        <f t="shared" si="667"/>
        <v>00064</v>
      </c>
      <c r="DA441" s="118" t="str">
        <f t="shared" si="668"/>
        <v>Enfermedades Graves</v>
      </c>
      <c r="DB441" s="118">
        <f t="shared" si="669"/>
        <v>0</v>
      </c>
      <c r="DC441" s="118" t="str">
        <f t="shared" si="670"/>
        <v>A</v>
      </c>
      <c r="DD441" s="121" t="str">
        <f>+IF(OR($W441="",DB441=0),"",ROUND((VLOOKUP(ROUNDDOWN($D441-1/frec,0),cob_adi,CO$40,FALSE)*(1+i/frec)^-0.5*(1+Parámetros!$D$103)*(1+rec_fracc)/frec),6))</f>
        <v/>
      </c>
      <c r="DE441" s="66">
        <f t="shared" si="627"/>
        <v>0</v>
      </c>
      <c r="DF441" s="119" t="str">
        <f t="shared" si="628"/>
        <v/>
      </c>
      <c r="DG441" s="66">
        <f>+IF($W441="","",ROUND(IF($B441&gt;Parámetros!$D$107,'Tablas Servicio'!DE441+('Tablas Servicio'!DG440-'Tablas Servicio'!DE440),DE441/(1-IF(B441&lt;=10,Parámetros!$D$100,0))),2))</f>
        <v>0</v>
      </c>
      <c r="DH441" s="66">
        <f t="shared" si="629"/>
        <v>0</v>
      </c>
      <c r="DI441" s="66">
        <f t="shared" si="629"/>
        <v>0</v>
      </c>
      <c r="DJ441" s="66">
        <f>+IF($W441="","",ROUND((DG441*Parámetros!$G$85),2))</f>
        <v>0</v>
      </c>
      <c r="DK441" s="66">
        <f>+IF($W441="","",ROUND((DG441*(Parámetros!$G$86)),2))</f>
        <v>0</v>
      </c>
      <c r="DL441" s="66">
        <f t="shared" si="630"/>
        <v>0</v>
      </c>
      <c r="DM441" t="str">
        <f t="shared" si="671"/>
        <v>00065</v>
      </c>
      <c r="DN441" s="118" t="str">
        <f t="shared" si="672"/>
        <v>Exención pago de primas</v>
      </c>
      <c r="DO441" s="118">
        <f t="shared" si="673"/>
        <v>0</v>
      </c>
      <c r="DP441" s="118" t="str">
        <f t="shared" si="674"/>
        <v>A</v>
      </c>
      <c r="DQ441" s="122" t="str">
        <f>+IF(OR($W441="",DO441=0),"",ROUND((VLOOKUP(ROUNDDOWN($D441-1/frec,0),cob_adi,DB$40,FALSE)*(1+i/frec)^-0.5*(1+Parámetros!$D$103)*(1+rec_fracc)/frec),6))</f>
        <v/>
      </c>
      <c r="DR441" s="66">
        <f t="shared" si="631"/>
        <v>0</v>
      </c>
      <c r="DS441" s="68" t="str">
        <f t="shared" si="632"/>
        <v/>
      </c>
      <c r="DT441" s="66">
        <f>+IF($W441="","",ROUND(IF($B441&gt;Parámetros!$D$107,'Tablas Servicio'!DR441+('Tablas Servicio'!DT440-'Tablas Servicio'!DR440),DR441/(1-IF(B441&lt;=10,Parámetros!$D$100,0))),2))</f>
        <v>0</v>
      </c>
      <c r="DU441" s="66">
        <f t="shared" si="633"/>
        <v>0</v>
      </c>
      <c r="DV441" s="66">
        <f t="shared" si="633"/>
        <v>0</v>
      </c>
      <c r="DW441" s="66">
        <f>+IF($W441="","",ROUND((DT441*Parámetros!$G$85),2))</f>
        <v>0</v>
      </c>
      <c r="DX441" s="66">
        <f>+IF($W441="","",ROUND((DT441*(Parámetros!$G$86)),2))</f>
        <v>0</v>
      </c>
      <c r="DY441" s="66">
        <f t="shared" si="634"/>
        <v>0</v>
      </c>
      <c r="DZ441" t="str">
        <f t="shared" si="635"/>
        <v>00066</v>
      </c>
      <c r="EA441" s="118" t="str">
        <f t="shared" si="635"/>
        <v>Enfermedad terminal</v>
      </c>
      <c r="EB441" s="118">
        <f>+IF($W441="","",ROUND(IF(Parámetros!$D$25='TABLAS MORT'!$V$33,EB440,Z441/2),0))</f>
        <v>50000</v>
      </c>
      <c r="EC441" s="118" t="str">
        <f t="shared" si="635"/>
        <v>A</v>
      </c>
      <c r="ED441" s="122">
        <f>+IF(OR($W441="",EB441=0),"",ROUND((VLOOKUP(ROUNDDOWN($D441-1/frec,0),cob_adi,DO$40,FALSE)*(1+i/frec)^-0.5*(1+Parámetros!$D$103)*(1+rec_fracc)/frec),6))</f>
        <v>6.4999999999999994E-5</v>
      </c>
      <c r="EE441" s="66">
        <f t="shared" si="636"/>
        <v>3.25</v>
      </c>
      <c r="EF441" s="68">
        <f t="shared" si="637"/>
        <v>6.4999999999999994E-5</v>
      </c>
      <c r="EG441" s="66">
        <f>+IF($W441="","",ROUND(IF($B441&gt;Parámetros!$D$107,'Tablas Servicio'!EE441+('Tablas Servicio'!EG440-'Tablas Servicio'!EE440),EE441/(1-IF(B441&lt;=10,Parámetros!$D$100,0))),2))</f>
        <v>3.25</v>
      </c>
      <c r="EH441" s="66">
        <f t="shared" si="638"/>
        <v>0</v>
      </c>
      <c r="EI441" s="66">
        <f t="shared" si="638"/>
        <v>0</v>
      </c>
      <c r="EJ441" s="66">
        <f>+IF($W441="","",ROUND((EG441*Parámetros!$G$85),2))</f>
        <v>0.11</v>
      </c>
      <c r="EK441" s="66">
        <f>+IF($W441="","",ROUND((EG441*(Parámetros!$G$86)),2))</f>
        <v>0.02</v>
      </c>
      <c r="EL441" s="66">
        <f t="shared" si="639"/>
        <v>3.38</v>
      </c>
    </row>
    <row r="442" spans="1:142" x14ac:dyDescent="0.25">
      <c r="A442">
        <f>+IF($C442="","",ROUND(VLOOKUP('Tablas Servicio'!B442,Parámetros!$H$100:$J$159,IF(Parámetros!$E$16="F",2,3),FALSE),2))</f>
        <v>150</v>
      </c>
      <c r="B442">
        <f t="shared" si="590"/>
        <v>34</v>
      </c>
      <c r="C442" s="57">
        <f>+IF(D442="","",'Tablas Servicio'!C441+1)</f>
        <v>401</v>
      </c>
      <c r="D442" s="56">
        <f>+IF(D441&lt;edadmaxtabla,D441+1/Parámetros!$E$25,"")</f>
        <v>73.43666666666681</v>
      </c>
      <c r="E442" s="57">
        <f t="shared" si="600"/>
        <v>73</v>
      </c>
      <c r="F442" s="59">
        <f t="shared" si="601"/>
        <v>100000</v>
      </c>
      <c r="G442" s="66">
        <f t="shared" si="591"/>
        <v>171.15</v>
      </c>
      <c r="H442" s="66">
        <f t="shared" si="592"/>
        <v>178</v>
      </c>
      <c r="I442" s="66">
        <f t="shared" si="640"/>
        <v>-84</v>
      </c>
      <c r="J442" s="66">
        <f t="shared" si="593"/>
        <v>5.99</v>
      </c>
      <c r="K442" s="66">
        <f t="shared" si="594"/>
        <v>0.86</v>
      </c>
      <c r="L442" s="66">
        <f t="shared" si="595"/>
        <v>0</v>
      </c>
      <c r="M442" s="66">
        <f t="shared" si="596"/>
        <v>0</v>
      </c>
      <c r="N442" s="66">
        <f>+IF(C442="","",ROUND(Parámetros!$D$23,2))</f>
        <v>94</v>
      </c>
      <c r="O442" s="66">
        <f t="shared" si="597"/>
        <v>158.65</v>
      </c>
      <c r="P442" s="66">
        <f>+IF($C442="","",ROUND(IF(B442&gt;Parámetros!$D$117,0,N442*Parámetros!$D$116-G442*Parámetros!$D$100),2))</f>
        <v>0</v>
      </c>
      <c r="Q442" s="75">
        <f t="shared" si="641"/>
        <v>3.499853929301782E-2</v>
      </c>
      <c r="R442" s="75">
        <f t="shared" si="642"/>
        <v>5.024832018697049E-3</v>
      </c>
      <c r="S442" s="117">
        <f>+IF($C442="","",ROUND((S441+I442)*(1+Parámetros!$D$91),2))</f>
        <v>26808.02</v>
      </c>
      <c r="T442" s="117">
        <f>+IF($C442="","",ROUND(S442*VLOOKUP(B442,Parámetros!$C$30:$D$39,2,TRUE),2))</f>
        <v>26808.02</v>
      </c>
      <c r="U442" s="117">
        <f>+IF($C442="","",ROUND((U441+I442)*(1+Parámetros!$D$92),2))</f>
        <v>30548.03</v>
      </c>
      <c r="V442" s="117">
        <f>+IF($C442="","",ROUND(U442*VLOOKUP(B442,Parámetros!$C$30:$D$39,2,TRUE),2))</f>
        <v>30548.03</v>
      </c>
      <c r="W442" s="57">
        <f t="shared" si="643"/>
        <v>401</v>
      </c>
      <c r="X442" t="str">
        <f t="shared" si="644"/>
        <v>00058</v>
      </c>
      <c r="Y442" t="str">
        <f t="shared" si="645"/>
        <v>MUERTE POR CUALQUIER CAUSA</v>
      </c>
      <c r="Z442" s="118">
        <f>+IF($W442="","",ROUND(IF(Parámetros!$D$25='TABLAS MORT'!$V$33,Z441,Parámetros!$D$21-'Tablas Servicio'!T441),0))</f>
        <v>100000</v>
      </c>
      <c r="AA442" s="118" t="str">
        <f t="shared" si="646"/>
        <v>P</v>
      </c>
      <c r="AB442" s="119">
        <f>+IF(W442="","",ROUND((VLOOKUP(ROUNDDOWN($D442-1/frec,0),qx_tabla,2,FALSE)*(1+i/frec)^-0.5*(1+Parámetros!$D$103)*(1+rec_fracc)/frec),6))</f>
        <v>1.554E-3</v>
      </c>
      <c r="AC442" s="66">
        <f t="shared" si="602"/>
        <v>155.4</v>
      </c>
      <c r="AD442" s="119">
        <f t="shared" si="598"/>
        <v>1.6789999999999999E-3</v>
      </c>
      <c r="AE442" s="66">
        <f>+IF($W442="","",ROUND(IF($B442&gt;Parámetros!$D$107,'Tablas Servicio'!AC442+('Tablas Servicio'!AG441-'Tablas Servicio'!AC441),AC442/(1-IF(B442&lt;=10,Parámetros!$D$104,Parámetros!$D$105))),2))</f>
        <v>259</v>
      </c>
      <c r="AF442" s="66">
        <f>+IF($W442="","",ROUND(IF($B442&gt;Parámetros!$D$107,'Tablas Servicio'!AC442+('Tablas Servicio'!AG441-'Tablas Servicio'!AC441),(AC442+$A441/frec)/(1-IF(B442&lt;=Parámetros!$D$117,Parámetros!$D$100,0))),2))</f>
        <v>167.9</v>
      </c>
      <c r="AG442" s="66">
        <f t="shared" si="603"/>
        <v>167.9</v>
      </c>
      <c r="AH442" s="66">
        <f t="shared" si="604"/>
        <v>0</v>
      </c>
      <c r="AI442" s="66">
        <f t="shared" si="605"/>
        <v>0</v>
      </c>
      <c r="AJ442" s="66">
        <f>+IF($W442="","",ROUND((AG442*Parámetros!$G$85),2))</f>
        <v>5.88</v>
      </c>
      <c r="AK442" s="66">
        <f>+IF($W442="","",ROUND((AG442*(Parámetros!$G$86)),2))</f>
        <v>0.84</v>
      </c>
      <c r="AL442" s="66">
        <f t="shared" si="599"/>
        <v>174.62</v>
      </c>
      <c r="AM442" t="str">
        <f t="shared" si="647"/>
        <v>00059</v>
      </c>
      <c r="AN442" t="str">
        <f t="shared" si="648"/>
        <v>Incapacidad Total y Permanente</v>
      </c>
      <c r="AO442" s="118">
        <f t="shared" si="649"/>
        <v>0</v>
      </c>
      <c r="AP442" s="118" t="str">
        <f t="shared" si="650"/>
        <v>A</v>
      </c>
      <c r="AQ442" s="119" t="str">
        <f>+IF(OR($W442="",AO442=0),"",ROUND((VLOOKUP(ROUNDDOWN($D442-1/frec,0),cob_adi,Z$40,FALSE)*(1+i/frec)^-0.5*(1+Parámetros!$D$103)*(1+rec_fracc)/frec),6))</f>
        <v/>
      </c>
      <c r="AR442" s="66">
        <f t="shared" si="606"/>
        <v>0</v>
      </c>
      <c r="AS442" s="119" t="str">
        <f t="shared" si="607"/>
        <v/>
      </c>
      <c r="AT442" s="66">
        <f>+IF($W442="","",ROUND(IF($B442&gt;Parámetros!$D$107,'Tablas Servicio'!AR442+('Tablas Servicio'!AT441-'Tablas Servicio'!AR441),AR442/(1-IF(B442&lt;=10,Parámetros!$D$100,0))),2))</f>
        <v>0</v>
      </c>
      <c r="AU442" s="66">
        <f t="shared" si="608"/>
        <v>0</v>
      </c>
      <c r="AV442" s="66">
        <f t="shared" si="608"/>
        <v>0</v>
      </c>
      <c r="AW442" s="66">
        <f>+IF($W442="","",ROUND((AT442*Parámetros!$G$85),2))</f>
        <v>0</v>
      </c>
      <c r="AX442" s="66">
        <f>+IF($W442="","",ROUND((AT442*(Parámetros!$G$86)),2))</f>
        <v>0</v>
      </c>
      <c r="AY442" s="66">
        <f t="shared" si="609"/>
        <v>0</v>
      </c>
      <c r="AZ442" t="str">
        <f t="shared" si="651"/>
        <v>00060</v>
      </c>
      <c r="BA442" t="str">
        <f t="shared" si="652"/>
        <v>Muerte Accidental</v>
      </c>
      <c r="BB442" s="118">
        <f t="shared" si="653"/>
        <v>0</v>
      </c>
      <c r="BC442" s="118" t="str">
        <f t="shared" si="654"/>
        <v>A</v>
      </c>
      <c r="BD442" s="119" t="str">
        <f>+IF(OR($W442="",BB442=0),"",ROUND((VLOOKUP(ROUNDDOWN($D442-1/frec,0),cob_adi,AO$40,FALSE)*(1+i/frec)^-0.5*(1+Parámetros!$D$103)*(1+rec_fracc)/frec),6))</f>
        <v/>
      </c>
      <c r="BE442" s="66">
        <f t="shared" si="610"/>
        <v>0</v>
      </c>
      <c r="BF442" s="119" t="str">
        <f t="shared" si="611"/>
        <v/>
      </c>
      <c r="BG442" s="66">
        <f>+IF($W442="","",ROUND(IF($B442&gt;Parámetros!$D$107,'Tablas Servicio'!BE442+('Tablas Servicio'!BG441-'Tablas Servicio'!BE441),BE442/(1-IF(B442&lt;=10,Parámetros!$D$100,0))),2))</f>
        <v>0</v>
      </c>
      <c r="BH442" s="66">
        <f t="shared" si="612"/>
        <v>0</v>
      </c>
      <c r="BI442" s="66">
        <f t="shared" si="613"/>
        <v>0</v>
      </c>
      <c r="BJ442" s="66">
        <f>+IF($W442="","",ROUND((BG442*Parámetros!$G$85),2))</f>
        <v>0</v>
      </c>
      <c r="BK442" s="66">
        <f>+IF($W442="","",ROUND((BG442*(Parámetros!$G$86)),2))</f>
        <v>0</v>
      </c>
      <c r="BL442" s="66">
        <f t="shared" si="614"/>
        <v>0</v>
      </c>
      <c r="BM442" t="str">
        <f t="shared" si="655"/>
        <v>00061</v>
      </c>
      <c r="BN442" t="str">
        <f t="shared" si="656"/>
        <v>Gastos de Entierro</v>
      </c>
      <c r="BO442" s="118">
        <f t="shared" si="657"/>
        <v>0</v>
      </c>
      <c r="BP442" s="118" t="str">
        <f t="shared" si="658"/>
        <v>A</v>
      </c>
      <c r="BQ442" s="119" t="str">
        <f>+IF(OR($W442="",BO442=0),"",ROUND((VLOOKUP(ROUNDDOWN($D442-1/frec,0),cob_adi,BB$40,FALSE)*(1+i/frec)^-0.5*(1+Parámetros!$D$103)*(1+rec_fracc)/frec),6))</f>
        <v/>
      </c>
      <c r="BR442" s="66">
        <f t="shared" si="615"/>
        <v>0</v>
      </c>
      <c r="BS442" s="119" t="str">
        <f t="shared" si="616"/>
        <v/>
      </c>
      <c r="BT442" s="66">
        <f>+IF($W442="","",ROUND(IF($B442&gt;Parámetros!$D$107,'Tablas Servicio'!BR442+('Tablas Servicio'!BT441-'Tablas Servicio'!BR441),BR442/(1-IF(B442&lt;=10,Parámetros!$D$100,0))),2))</f>
        <v>0</v>
      </c>
      <c r="BU442" s="66">
        <f t="shared" si="617"/>
        <v>0</v>
      </c>
      <c r="BV442" s="66">
        <f t="shared" si="617"/>
        <v>0</v>
      </c>
      <c r="BW442" s="66">
        <f>+IF($W442="","",ROUND((BT442*Parámetros!$G$85),2))</f>
        <v>0</v>
      </c>
      <c r="BX442" s="66">
        <f>+IF($W442="","",ROUND((BT442*(Parámetros!$G$86)),2))</f>
        <v>0</v>
      </c>
      <c r="BY442" s="66">
        <f t="shared" si="618"/>
        <v>0</v>
      </c>
      <c r="BZ442" t="str">
        <f t="shared" si="659"/>
        <v>00062</v>
      </c>
      <c r="CA442" t="str">
        <f t="shared" si="660"/>
        <v>Gastos médicos por accidente</v>
      </c>
      <c r="CB442" s="118">
        <f t="shared" si="661"/>
        <v>0</v>
      </c>
      <c r="CC442" s="118" t="str">
        <f t="shared" si="662"/>
        <v>A</v>
      </c>
      <c r="CD442" s="119" t="str">
        <f t="shared" si="619"/>
        <v/>
      </c>
      <c r="CE442" s="66">
        <f>+IF($W442="","",ROUND((VLOOKUP(ROUNDDOWN($D442-1/frec,0),cob_adi,BO$40,FALSE)*(1+i/frec)^-0.5*(1+Parámetros!$D$103)*(1+rec_fracc)/frec*'TABLAS ADI'!$BC$17),2))</f>
        <v>0</v>
      </c>
      <c r="CF442" s="119" t="str">
        <f t="shared" si="620"/>
        <v/>
      </c>
      <c r="CG442" s="66">
        <f>+IF($W442="","",ROUND(IF($B442&gt;Parámetros!$D$107,'Tablas Servicio'!CE442+('Tablas Servicio'!CG441-'Tablas Servicio'!CE441),CE442/(1-IF(B442&lt;=10,Parámetros!$D$100,0))),2))</f>
        <v>0</v>
      </c>
      <c r="CH442" s="66">
        <f t="shared" si="621"/>
        <v>0</v>
      </c>
      <c r="CI442" s="66">
        <f t="shared" si="621"/>
        <v>0</v>
      </c>
      <c r="CJ442" s="66">
        <f>+IF($W442="","",ROUND((CG442*Parámetros!$G$85),2))</f>
        <v>0</v>
      </c>
      <c r="CK442" s="66">
        <f>+IF($W442="","",ROUND((CG442*(Parámetros!$G$86)),2))</f>
        <v>0</v>
      </c>
      <c r="CL442" s="66">
        <f t="shared" si="622"/>
        <v>0</v>
      </c>
      <c r="CM442" t="str">
        <f t="shared" si="663"/>
        <v>00063</v>
      </c>
      <c r="CN442" s="118" t="str">
        <f t="shared" si="664"/>
        <v>Renta Diaria por Hospitalización</v>
      </c>
      <c r="CO442" s="118">
        <f t="shared" si="665"/>
        <v>0</v>
      </c>
      <c r="CP442" s="118" t="str">
        <f t="shared" si="666"/>
        <v>A</v>
      </c>
      <c r="CQ442" s="119" t="str">
        <f t="shared" si="623"/>
        <v/>
      </c>
      <c r="CR442" s="66">
        <f>+IF($W442="","",ROUND((VLOOKUP(Parámetros!$F$51,'COBERTURAS ADICIONALES'!$S$4:$T$32,2,FALSE)*(1+i/frec)^-0.5*(1+Parámetros!$D$103)*(1+rec_fracc)/frec*$CO$42),2))</f>
        <v>0</v>
      </c>
      <c r="CS442" s="119" t="str">
        <f t="shared" si="624"/>
        <v/>
      </c>
      <c r="CT442" s="66">
        <f>+IF($W442="","",ROUND(IF($B442&gt;Parámetros!$D$107,'Tablas Servicio'!CR442+('Tablas Servicio'!CT441-'Tablas Servicio'!CR441),CR442/(1-IF(B442&lt;=10,Parámetros!$D$100,0))),2))</f>
        <v>0</v>
      </c>
      <c r="CU442" s="66">
        <f t="shared" si="625"/>
        <v>0</v>
      </c>
      <c r="CV442" s="66">
        <f t="shared" si="625"/>
        <v>0</v>
      </c>
      <c r="CW442" s="66">
        <f>+IF($W442="","",ROUND((CT442*Parámetros!$G$85),2))</f>
        <v>0</v>
      </c>
      <c r="CX442" s="66">
        <f>+IF($W442="","",ROUND((CT442*(Parámetros!$G$86)),2))</f>
        <v>0</v>
      </c>
      <c r="CY442" s="66">
        <f t="shared" si="626"/>
        <v>0</v>
      </c>
      <c r="CZ442" t="str">
        <f t="shared" si="667"/>
        <v>00064</v>
      </c>
      <c r="DA442" s="118" t="str">
        <f t="shared" si="668"/>
        <v>Enfermedades Graves</v>
      </c>
      <c r="DB442" s="118">
        <f t="shared" si="669"/>
        <v>0</v>
      </c>
      <c r="DC442" s="118" t="str">
        <f t="shared" si="670"/>
        <v>A</v>
      </c>
      <c r="DD442" s="121" t="str">
        <f>+IF(OR($W442="",DB442=0),"",ROUND((VLOOKUP(ROUNDDOWN($D442-1/frec,0),cob_adi,CO$40,FALSE)*(1+i/frec)^-0.5*(1+Parámetros!$D$103)*(1+rec_fracc)/frec),6))</f>
        <v/>
      </c>
      <c r="DE442" s="66">
        <f t="shared" si="627"/>
        <v>0</v>
      </c>
      <c r="DF442" s="119" t="str">
        <f t="shared" si="628"/>
        <v/>
      </c>
      <c r="DG442" s="66">
        <f>+IF($W442="","",ROUND(IF($B442&gt;Parámetros!$D$107,'Tablas Servicio'!DE442+('Tablas Servicio'!DG441-'Tablas Servicio'!DE441),DE442/(1-IF(B442&lt;=10,Parámetros!$D$100,0))),2))</f>
        <v>0</v>
      </c>
      <c r="DH442" s="66">
        <f t="shared" si="629"/>
        <v>0</v>
      </c>
      <c r="DI442" s="66">
        <f t="shared" si="629"/>
        <v>0</v>
      </c>
      <c r="DJ442" s="66">
        <f>+IF($W442="","",ROUND((DG442*Parámetros!$G$85),2))</f>
        <v>0</v>
      </c>
      <c r="DK442" s="66">
        <f>+IF($W442="","",ROUND((DG442*(Parámetros!$G$86)),2))</f>
        <v>0</v>
      </c>
      <c r="DL442" s="66">
        <f t="shared" si="630"/>
        <v>0</v>
      </c>
      <c r="DM442" t="str">
        <f t="shared" si="671"/>
        <v>00065</v>
      </c>
      <c r="DN442" s="118" t="str">
        <f t="shared" si="672"/>
        <v>Exención pago de primas</v>
      </c>
      <c r="DO442" s="118">
        <f t="shared" si="673"/>
        <v>0</v>
      </c>
      <c r="DP442" s="118" t="str">
        <f t="shared" si="674"/>
        <v>A</v>
      </c>
      <c r="DQ442" s="122" t="str">
        <f>+IF(OR($W442="",DO442=0),"",ROUND((VLOOKUP(ROUNDDOWN($D442-1/frec,0),cob_adi,DB$40,FALSE)*(1+i/frec)^-0.5*(1+Parámetros!$D$103)*(1+rec_fracc)/frec),6))</f>
        <v/>
      </c>
      <c r="DR442" s="66">
        <f t="shared" si="631"/>
        <v>0</v>
      </c>
      <c r="DS442" s="68" t="str">
        <f t="shared" si="632"/>
        <v/>
      </c>
      <c r="DT442" s="66">
        <f>+IF($W442="","",ROUND(IF($B442&gt;Parámetros!$D$107,'Tablas Servicio'!DR442+('Tablas Servicio'!DT441-'Tablas Servicio'!DR441),DR442/(1-IF(B442&lt;=10,Parámetros!$D$100,0))),2))</f>
        <v>0</v>
      </c>
      <c r="DU442" s="66">
        <f t="shared" si="633"/>
        <v>0</v>
      </c>
      <c r="DV442" s="66">
        <f t="shared" si="633"/>
        <v>0</v>
      </c>
      <c r="DW442" s="66">
        <f>+IF($W442="","",ROUND((DT442*Parámetros!$G$85),2))</f>
        <v>0</v>
      </c>
      <c r="DX442" s="66">
        <f>+IF($W442="","",ROUND((DT442*(Parámetros!$G$86)),2))</f>
        <v>0</v>
      </c>
      <c r="DY442" s="66">
        <f t="shared" si="634"/>
        <v>0</v>
      </c>
      <c r="DZ442" t="str">
        <f t="shared" si="635"/>
        <v>00066</v>
      </c>
      <c r="EA442" s="118" t="str">
        <f t="shared" si="635"/>
        <v>Enfermedad terminal</v>
      </c>
      <c r="EB442" s="118">
        <f>+IF($W442="","",ROUND(IF(Parámetros!$D$25='TABLAS MORT'!$V$33,EB441,Z442/2),0))</f>
        <v>50000</v>
      </c>
      <c r="EC442" s="118" t="str">
        <f t="shared" si="635"/>
        <v>A</v>
      </c>
      <c r="ED442" s="122">
        <f>+IF(OR($W442="",EB442=0),"",ROUND((VLOOKUP(ROUNDDOWN($D442-1/frec,0),cob_adi,DO$40,FALSE)*(1+i/frec)^-0.5*(1+Parámetros!$D$103)*(1+rec_fracc)/frec),6))</f>
        <v>6.4999999999999994E-5</v>
      </c>
      <c r="EE442" s="66">
        <f t="shared" si="636"/>
        <v>3.25</v>
      </c>
      <c r="EF442" s="68">
        <f t="shared" si="637"/>
        <v>6.4999999999999994E-5</v>
      </c>
      <c r="EG442" s="66">
        <f>+IF($W442="","",ROUND(IF($B442&gt;Parámetros!$D$107,'Tablas Servicio'!EE442+('Tablas Servicio'!EG441-'Tablas Servicio'!EE441),EE442/(1-IF(B442&lt;=10,Parámetros!$D$100,0))),2))</f>
        <v>3.25</v>
      </c>
      <c r="EH442" s="66">
        <f t="shared" si="638"/>
        <v>0</v>
      </c>
      <c r="EI442" s="66">
        <f t="shared" si="638"/>
        <v>0</v>
      </c>
      <c r="EJ442" s="66">
        <f>+IF($W442="","",ROUND((EG442*Parámetros!$G$85),2))</f>
        <v>0.11</v>
      </c>
      <c r="EK442" s="66">
        <f>+IF($W442="","",ROUND((EG442*(Parámetros!$G$86)),2))</f>
        <v>0.02</v>
      </c>
      <c r="EL442" s="66">
        <f t="shared" si="639"/>
        <v>3.38</v>
      </c>
    </row>
    <row r="443" spans="1:142" x14ac:dyDescent="0.25">
      <c r="A443">
        <f>+IF($C443="","",ROUND(VLOOKUP('Tablas Servicio'!B443,Parámetros!$H$100:$J$159,IF(Parámetros!$E$16="F",2,3),FALSE),2))</f>
        <v>150</v>
      </c>
      <c r="B443">
        <f t="shared" si="590"/>
        <v>34</v>
      </c>
      <c r="C443" s="57">
        <f>+IF(D443="","",'Tablas Servicio'!C442+1)</f>
        <v>402</v>
      </c>
      <c r="D443" s="56">
        <f>+IF(D442&lt;edadmaxtabla,D442+1/Parámetros!$E$25,"")</f>
        <v>73.520000000000138</v>
      </c>
      <c r="E443" s="57">
        <f t="shared" si="600"/>
        <v>73</v>
      </c>
      <c r="F443" s="59">
        <f t="shared" si="601"/>
        <v>100000</v>
      </c>
      <c r="G443" s="66">
        <f t="shared" si="591"/>
        <v>171.15</v>
      </c>
      <c r="H443" s="66">
        <f t="shared" si="592"/>
        <v>178</v>
      </c>
      <c r="I443" s="66">
        <f t="shared" si="640"/>
        <v>-84</v>
      </c>
      <c r="J443" s="66">
        <f t="shared" si="593"/>
        <v>5.99</v>
      </c>
      <c r="K443" s="66">
        <f t="shared" si="594"/>
        <v>0.86</v>
      </c>
      <c r="L443" s="66">
        <f t="shared" si="595"/>
        <v>0</v>
      </c>
      <c r="M443" s="66">
        <f t="shared" si="596"/>
        <v>0</v>
      </c>
      <c r="N443" s="66">
        <f>+IF(C443="","",ROUND(Parámetros!$D$23,2))</f>
        <v>94</v>
      </c>
      <c r="O443" s="66">
        <f t="shared" si="597"/>
        <v>158.65</v>
      </c>
      <c r="P443" s="66">
        <f>+IF($C443="","",ROUND(IF(B443&gt;Parámetros!$D$117,0,N443*Parámetros!$D$116-G443*Parámetros!$D$100),2))</f>
        <v>0</v>
      </c>
      <c r="Q443" s="75">
        <f t="shared" si="641"/>
        <v>3.499853929301782E-2</v>
      </c>
      <c r="R443" s="75">
        <f t="shared" si="642"/>
        <v>5.024832018697049E-3</v>
      </c>
      <c r="S443" s="117">
        <f>+IF($C443="","",ROUND((S442+I443)*(1+Parámetros!$D$91),2))</f>
        <v>26799.82</v>
      </c>
      <c r="T443" s="117">
        <f>+IF($C443="","",ROUND(S443*VLOOKUP(B443,Parámetros!$C$30:$D$39,2,TRUE),2))</f>
        <v>26799.82</v>
      </c>
      <c r="U443" s="117">
        <f>+IF($C443="","",ROUND((U442+I443)*(1+Parámetros!$D$92),2))</f>
        <v>30562.78</v>
      </c>
      <c r="V443" s="117">
        <f>+IF($C443="","",ROUND(U443*VLOOKUP(B443,Parámetros!$C$30:$D$39,2,TRUE),2))</f>
        <v>30562.78</v>
      </c>
      <c r="W443" s="57">
        <f t="shared" si="643"/>
        <v>402</v>
      </c>
      <c r="X443" t="str">
        <f t="shared" si="644"/>
        <v>00058</v>
      </c>
      <c r="Y443" t="str">
        <f t="shared" si="645"/>
        <v>MUERTE POR CUALQUIER CAUSA</v>
      </c>
      <c r="Z443" s="118">
        <f>+IF($W443="","",ROUND(IF(Parámetros!$D$25='TABLAS MORT'!$V$33,Z442,Parámetros!$D$21-'Tablas Servicio'!T442),0))</f>
        <v>100000</v>
      </c>
      <c r="AA443" s="118" t="str">
        <f t="shared" si="646"/>
        <v>P</v>
      </c>
      <c r="AB443" s="119">
        <f>+IF(W443="","",ROUND((VLOOKUP(ROUNDDOWN($D443-1/frec,0),qx_tabla,2,FALSE)*(1+i/frec)^-0.5*(1+Parámetros!$D$103)*(1+rec_fracc)/frec),6))</f>
        <v>1.554E-3</v>
      </c>
      <c r="AC443" s="66">
        <f t="shared" si="602"/>
        <v>155.4</v>
      </c>
      <c r="AD443" s="119">
        <f t="shared" si="598"/>
        <v>1.6789999999999999E-3</v>
      </c>
      <c r="AE443" s="66">
        <f>+IF($W443="","",ROUND(IF($B443&gt;Parámetros!$D$107,'Tablas Servicio'!AC443+('Tablas Servicio'!AG442-'Tablas Servicio'!AC442),AC443/(1-IF(B443&lt;=10,Parámetros!$D$104,Parámetros!$D$105))),2))</f>
        <v>259</v>
      </c>
      <c r="AF443" s="66">
        <f>+IF($W443="","",ROUND(IF($B443&gt;Parámetros!$D$107,'Tablas Servicio'!AC443+('Tablas Servicio'!AG442-'Tablas Servicio'!AC442),(AC443+$A442/frec)/(1-IF(B443&lt;=Parámetros!$D$117,Parámetros!$D$100,0))),2))</f>
        <v>167.9</v>
      </c>
      <c r="AG443" s="66">
        <f t="shared" si="603"/>
        <v>167.9</v>
      </c>
      <c r="AH443" s="66">
        <f t="shared" si="604"/>
        <v>0</v>
      </c>
      <c r="AI443" s="66">
        <f t="shared" si="605"/>
        <v>0</v>
      </c>
      <c r="AJ443" s="66">
        <f>+IF($W443="","",ROUND((AG443*Parámetros!$G$85),2))</f>
        <v>5.88</v>
      </c>
      <c r="AK443" s="66">
        <f>+IF($W443="","",ROUND((AG443*(Parámetros!$G$86)),2))</f>
        <v>0.84</v>
      </c>
      <c r="AL443" s="66">
        <f t="shared" si="599"/>
        <v>174.62</v>
      </c>
      <c r="AM443" t="str">
        <f t="shared" si="647"/>
        <v>00059</v>
      </c>
      <c r="AN443" t="str">
        <f t="shared" si="648"/>
        <v>Incapacidad Total y Permanente</v>
      </c>
      <c r="AO443" s="118">
        <f t="shared" si="649"/>
        <v>0</v>
      </c>
      <c r="AP443" s="118" t="str">
        <f t="shared" si="650"/>
        <v>A</v>
      </c>
      <c r="AQ443" s="119" t="str">
        <f>+IF(OR($W443="",AO443=0),"",ROUND((VLOOKUP(ROUNDDOWN($D443-1/frec,0),cob_adi,Z$40,FALSE)*(1+i/frec)^-0.5*(1+Parámetros!$D$103)*(1+rec_fracc)/frec),6))</f>
        <v/>
      </c>
      <c r="AR443" s="66">
        <f t="shared" si="606"/>
        <v>0</v>
      </c>
      <c r="AS443" s="119" t="str">
        <f t="shared" si="607"/>
        <v/>
      </c>
      <c r="AT443" s="66">
        <f>+IF($W443="","",ROUND(IF($B443&gt;Parámetros!$D$107,'Tablas Servicio'!AR443+('Tablas Servicio'!AT442-'Tablas Servicio'!AR442),AR443/(1-IF(B443&lt;=10,Parámetros!$D$100,0))),2))</f>
        <v>0</v>
      </c>
      <c r="AU443" s="66">
        <f t="shared" si="608"/>
        <v>0</v>
      </c>
      <c r="AV443" s="66">
        <f t="shared" si="608"/>
        <v>0</v>
      </c>
      <c r="AW443" s="66">
        <f>+IF($W443="","",ROUND((AT443*Parámetros!$G$85),2))</f>
        <v>0</v>
      </c>
      <c r="AX443" s="66">
        <f>+IF($W443="","",ROUND((AT443*(Parámetros!$G$86)),2))</f>
        <v>0</v>
      </c>
      <c r="AY443" s="66">
        <f t="shared" si="609"/>
        <v>0</v>
      </c>
      <c r="AZ443" t="str">
        <f t="shared" si="651"/>
        <v>00060</v>
      </c>
      <c r="BA443" t="str">
        <f t="shared" si="652"/>
        <v>Muerte Accidental</v>
      </c>
      <c r="BB443" s="118">
        <f t="shared" si="653"/>
        <v>0</v>
      </c>
      <c r="BC443" s="118" t="str">
        <f t="shared" si="654"/>
        <v>A</v>
      </c>
      <c r="BD443" s="119" t="str">
        <f>+IF(OR($W443="",BB443=0),"",ROUND((VLOOKUP(ROUNDDOWN($D443-1/frec,0),cob_adi,AO$40,FALSE)*(1+i/frec)^-0.5*(1+Parámetros!$D$103)*(1+rec_fracc)/frec),6))</f>
        <v/>
      </c>
      <c r="BE443" s="66">
        <f t="shared" si="610"/>
        <v>0</v>
      </c>
      <c r="BF443" s="119" t="str">
        <f t="shared" si="611"/>
        <v/>
      </c>
      <c r="BG443" s="66">
        <f>+IF($W443="","",ROUND(IF($B443&gt;Parámetros!$D$107,'Tablas Servicio'!BE443+('Tablas Servicio'!BG442-'Tablas Servicio'!BE442),BE443/(1-IF(B443&lt;=10,Parámetros!$D$100,0))),2))</f>
        <v>0</v>
      </c>
      <c r="BH443" s="66">
        <f t="shared" si="612"/>
        <v>0</v>
      </c>
      <c r="BI443" s="66">
        <f t="shared" si="613"/>
        <v>0</v>
      </c>
      <c r="BJ443" s="66">
        <f>+IF($W443="","",ROUND((BG443*Parámetros!$G$85),2))</f>
        <v>0</v>
      </c>
      <c r="BK443" s="66">
        <f>+IF($W443="","",ROUND((BG443*(Parámetros!$G$86)),2))</f>
        <v>0</v>
      </c>
      <c r="BL443" s="66">
        <f t="shared" si="614"/>
        <v>0</v>
      </c>
      <c r="BM443" t="str">
        <f t="shared" si="655"/>
        <v>00061</v>
      </c>
      <c r="BN443" t="str">
        <f t="shared" si="656"/>
        <v>Gastos de Entierro</v>
      </c>
      <c r="BO443" s="118">
        <f t="shared" si="657"/>
        <v>0</v>
      </c>
      <c r="BP443" s="118" t="str">
        <f t="shared" si="658"/>
        <v>A</v>
      </c>
      <c r="BQ443" s="119" t="str">
        <f>+IF(OR($W443="",BO443=0),"",ROUND((VLOOKUP(ROUNDDOWN($D443-1/frec,0),cob_adi,BB$40,FALSE)*(1+i/frec)^-0.5*(1+Parámetros!$D$103)*(1+rec_fracc)/frec),6))</f>
        <v/>
      </c>
      <c r="BR443" s="66">
        <f t="shared" si="615"/>
        <v>0</v>
      </c>
      <c r="BS443" s="119" t="str">
        <f t="shared" si="616"/>
        <v/>
      </c>
      <c r="BT443" s="66">
        <f>+IF($W443="","",ROUND(IF($B443&gt;Parámetros!$D$107,'Tablas Servicio'!BR443+('Tablas Servicio'!BT442-'Tablas Servicio'!BR442),BR443/(1-IF(B443&lt;=10,Parámetros!$D$100,0))),2))</f>
        <v>0</v>
      </c>
      <c r="BU443" s="66">
        <f t="shared" si="617"/>
        <v>0</v>
      </c>
      <c r="BV443" s="66">
        <f t="shared" si="617"/>
        <v>0</v>
      </c>
      <c r="BW443" s="66">
        <f>+IF($W443="","",ROUND((BT443*Parámetros!$G$85),2))</f>
        <v>0</v>
      </c>
      <c r="BX443" s="66">
        <f>+IF($W443="","",ROUND((BT443*(Parámetros!$G$86)),2))</f>
        <v>0</v>
      </c>
      <c r="BY443" s="66">
        <f t="shared" si="618"/>
        <v>0</v>
      </c>
      <c r="BZ443" t="str">
        <f t="shared" si="659"/>
        <v>00062</v>
      </c>
      <c r="CA443" t="str">
        <f t="shared" si="660"/>
        <v>Gastos médicos por accidente</v>
      </c>
      <c r="CB443" s="118">
        <f t="shared" si="661"/>
        <v>0</v>
      </c>
      <c r="CC443" s="118" t="str">
        <f t="shared" si="662"/>
        <v>A</v>
      </c>
      <c r="CD443" s="119" t="str">
        <f t="shared" si="619"/>
        <v/>
      </c>
      <c r="CE443" s="66">
        <f>+IF($W443="","",ROUND((VLOOKUP(ROUNDDOWN($D443-1/frec,0),cob_adi,BO$40,FALSE)*(1+i/frec)^-0.5*(1+Parámetros!$D$103)*(1+rec_fracc)/frec*'TABLAS ADI'!$BC$17),2))</f>
        <v>0</v>
      </c>
      <c r="CF443" s="119" t="str">
        <f t="shared" si="620"/>
        <v/>
      </c>
      <c r="CG443" s="66">
        <f>+IF($W443="","",ROUND(IF($B443&gt;Parámetros!$D$107,'Tablas Servicio'!CE443+('Tablas Servicio'!CG442-'Tablas Servicio'!CE442),CE443/(1-IF(B443&lt;=10,Parámetros!$D$100,0))),2))</f>
        <v>0</v>
      </c>
      <c r="CH443" s="66">
        <f t="shared" si="621"/>
        <v>0</v>
      </c>
      <c r="CI443" s="66">
        <f t="shared" si="621"/>
        <v>0</v>
      </c>
      <c r="CJ443" s="66">
        <f>+IF($W443="","",ROUND((CG443*Parámetros!$G$85),2))</f>
        <v>0</v>
      </c>
      <c r="CK443" s="66">
        <f>+IF($W443="","",ROUND((CG443*(Parámetros!$G$86)),2))</f>
        <v>0</v>
      </c>
      <c r="CL443" s="66">
        <f t="shared" si="622"/>
        <v>0</v>
      </c>
      <c r="CM443" t="str">
        <f t="shared" si="663"/>
        <v>00063</v>
      </c>
      <c r="CN443" s="118" t="str">
        <f t="shared" si="664"/>
        <v>Renta Diaria por Hospitalización</v>
      </c>
      <c r="CO443" s="118">
        <f t="shared" si="665"/>
        <v>0</v>
      </c>
      <c r="CP443" s="118" t="str">
        <f t="shared" si="666"/>
        <v>A</v>
      </c>
      <c r="CQ443" s="119" t="str">
        <f t="shared" si="623"/>
        <v/>
      </c>
      <c r="CR443" s="66">
        <f>+IF($W443="","",ROUND((VLOOKUP(Parámetros!$F$51,'COBERTURAS ADICIONALES'!$S$4:$T$32,2,FALSE)*(1+i/frec)^-0.5*(1+Parámetros!$D$103)*(1+rec_fracc)/frec*$CO$42),2))</f>
        <v>0</v>
      </c>
      <c r="CS443" s="119" t="str">
        <f t="shared" si="624"/>
        <v/>
      </c>
      <c r="CT443" s="66">
        <f>+IF($W443="","",ROUND(IF($B443&gt;Parámetros!$D$107,'Tablas Servicio'!CR443+('Tablas Servicio'!CT442-'Tablas Servicio'!CR442),CR443/(1-IF(B443&lt;=10,Parámetros!$D$100,0))),2))</f>
        <v>0</v>
      </c>
      <c r="CU443" s="66">
        <f t="shared" si="625"/>
        <v>0</v>
      </c>
      <c r="CV443" s="66">
        <f t="shared" si="625"/>
        <v>0</v>
      </c>
      <c r="CW443" s="66">
        <f>+IF($W443="","",ROUND((CT443*Parámetros!$G$85),2))</f>
        <v>0</v>
      </c>
      <c r="CX443" s="66">
        <f>+IF($W443="","",ROUND((CT443*(Parámetros!$G$86)),2))</f>
        <v>0</v>
      </c>
      <c r="CY443" s="66">
        <f t="shared" si="626"/>
        <v>0</v>
      </c>
      <c r="CZ443" t="str">
        <f t="shared" si="667"/>
        <v>00064</v>
      </c>
      <c r="DA443" s="118" t="str">
        <f t="shared" si="668"/>
        <v>Enfermedades Graves</v>
      </c>
      <c r="DB443" s="118">
        <f t="shared" si="669"/>
        <v>0</v>
      </c>
      <c r="DC443" s="118" t="str">
        <f t="shared" si="670"/>
        <v>A</v>
      </c>
      <c r="DD443" s="121" t="str">
        <f>+IF(OR($W443="",DB443=0),"",ROUND((VLOOKUP(ROUNDDOWN($D443-1/frec,0),cob_adi,CO$40,FALSE)*(1+i/frec)^-0.5*(1+Parámetros!$D$103)*(1+rec_fracc)/frec),6))</f>
        <v/>
      </c>
      <c r="DE443" s="66">
        <f t="shared" si="627"/>
        <v>0</v>
      </c>
      <c r="DF443" s="119" t="str">
        <f t="shared" si="628"/>
        <v/>
      </c>
      <c r="DG443" s="66">
        <f>+IF($W443="","",ROUND(IF($B443&gt;Parámetros!$D$107,'Tablas Servicio'!DE443+('Tablas Servicio'!DG442-'Tablas Servicio'!DE442),DE443/(1-IF(B443&lt;=10,Parámetros!$D$100,0))),2))</f>
        <v>0</v>
      </c>
      <c r="DH443" s="66">
        <f t="shared" si="629"/>
        <v>0</v>
      </c>
      <c r="DI443" s="66">
        <f t="shared" si="629"/>
        <v>0</v>
      </c>
      <c r="DJ443" s="66">
        <f>+IF($W443="","",ROUND((DG443*Parámetros!$G$85),2))</f>
        <v>0</v>
      </c>
      <c r="DK443" s="66">
        <f>+IF($W443="","",ROUND((DG443*(Parámetros!$G$86)),2))</f>
        <v>0</v>
      </c>
      <c r="DL443" s="66">
        <f t="shared" si="630"/>
        <v>0</v>
      </c>
      <c r="DM443" t="str">
        <f t="shared" si="671"/>
        <v>00065</v>
      </c>
      <c r="DN443" s="118" t="str">
        <f t="shared" si="672"/>
        <v>Exención pago de primas</v>
      </c>
      <c r="DO443" s="118">
        <f t="shared" si="673"/>
        <v>0</v>
      </c>
      <c r="DP443" s="118" t="str">
        <f t="shared" si="674"/>
        <v>A</v>
      </c>
      <c r="DQ443" s="122" t="str">
        <f>+IF(OR($W443="",DO443=0),"",ROUND((VLOOKUP(ROUNDDOWN($D443-1/frec,0),cob_adi,DB$40,FALSE)*(1+i/frec)^-0.5*(1+Parámetros!$D$103)*(1+rec_fracc)/frec),6))</f>
        <v/>
      </c>
      <c r="DR443" s="66">
        <f t="shared" si="631"/>
        <v>0</v>
      </c>
      <c r="DS443" s="68" t="str">
        <f t="shared" si="632"/>
        <v/>
      </c>
      <c r="DT443" s="66">
        <f>+IF($W443="","",ROUND(IF($B443&gt;Parámetros!$D$107,'Tablas Servicio'!DR443+('Tablas Servicio'!DT442-'Tablas Servicio'!DR442),DR443/(1-IF(B443&lt;=10,Parámetros!$D$100,0))),2))</f>
        <v>0</v>
      </c>
      <c r="DU443" s="66">
        <f t="shared" si="633"/>
        <v>0</v>
      </c>
      <c r="DV443" s="66">
        <f t="shared" si="633"/>
        <v>0</v>
      </c>
      <c r="DW443" s="66">
        <f>+IF($W443="","",ROUND((DT443*Parámetros!$G$85),2))</f>
        <v>0</v>
      </c>
      <c r="DX443" s="66">
        <f>+IF($W443="","",ROUND((DT443*(Parámetros!$G$86)),2))</f>
        <v>0</v>
      </c>
      <c r="DY443" s="66">
        <f t="shared" si="634"/>
        <v>0</v>
      </c>
      <c r="DZ443" t="str">
        <f t="shared" ref="DZ443:EC458" si="675">+IF($W443="","",DZ442)</f>
        <v>00066</v>
      </c>
      <c r="EA443" s="118" t="str">
        <f t="shared" si="675"/>
        <v>Enfermedad terminal</v>
      </c>
      <c r="EB443" s="118">
        <f>+IF($W443="","",ROUND(IF(Parámetros!$D$25='TABLAS MORT'!$V$33,EB442,Z443/2),0))</f>
        <v>50000</v>
      </c>
      <c r="EC443" s="118" t="str">
        <f t="shared" si="675"/>
        <v>A</v>
      </c>
      <c r="ED443" s="122">
        <f>+IF(OR($W443="",EB443=0),"",ROUND((VLOOKUP(ROUNDDOWN($D443-1/frec,0),cob_adi,DO$40,FALSE)*(1+i/frec)^-0.5*(1+Parámetros!$D$103)*(1+rec_fracc)/frec),6))</f>
        <v>6.4999999999999994E-5</v>
      </c>
      <c r="EE443" s="66">
        <f t="shared" si="636"/>
        <v>3.25</v>
      </c>
      <c r="EF443" s="68">
        <f t="shared" si="637"/>
        <v>6.4999999999999994E-5</v>
      </c>
      <c r="EG443" s="66">
        <f>+IF($W443="","",ROUND(IF($B443&gt;Parámetros!$D$107,'Tablas Servicio'!EE443+('Tablas Servicio'!EG442-'Tablas Servicio'!EE442),EE443/(1-IF(B443&lt;=10,Parámetros!$D$100,0))),2))</f>
        <v>3.25</v>
      </c>
      <c r="EH443" s="66">
        <f t="shared" si="638"/>
        <v>0</v>
      </c>
      <c r="EI443" s="66">
        <f t="shared" si="638"/>
        <v>0</v>
      </c>
      <c r="EJ443" s="66">
        <f>+IF($W443="","",ROUND((EG443*Parámetros!$G$85),2))</f>
        <v>0.11</v>
      </c>
      <c r="EK443" s="66">
        <f>+IF($W443="","",ROUND((EG443*(Parámetros!$G$86)),2))</f>
        <v>0.02</v>
      </c>
      <c r="EL443" s="66">
        <f t="shared" si="639"/>
        <v>3.38</v>
      </c>
    </row>
    <row r="444" spans="1:142" x14ac:dyDescent="0.25">
      <c r="A444">
        <f>+IF($C444="","",ROUND(VLOOKUP('Tablas Servicio'!B444,Parámetros!$H$100:$J$159,IF(Parámetros!$E$16="F",2,3),FALSE),2))</f>
        <v>150</v>
      </c>
      <c r="B444">
        <f t="shared" si="590"/>
        <v>34</v>
      </c>
      <c r="C444" s="57">
        <f>+IF(D444="","",'Tablas Servicio'!C443+1)</f>
        <v>403</v>
      </c>
      <c r="D444" s="56">
        <f>+IF(D443&lt;edadmaxtabla,D443+1/Parámetros!$E$25,"")</f>
        <v>73.603333333333467</v>
      </c>
      <c r="E444" s="57">
        <f t="shared" si="600"/>
        <v>73</v>
      </c>
      <c r="F444" s="59">
        <f t="shared" si="601"/>
        <v>100000</v>
      </c>
      <c r="G444" s="66">
        <f t="shared" si="591"/>
        <v>171.15</v>
      </c>
      <c r="H444" s="66">
        <f t="shared" si="592"/>
        <v>178</v>
      </c>
      <c r="I444" s="66">
        <f t="shared" si="640"/>
        <v>-84</v>
      </c>
      <c r="J444" s="66">
        <f t="shared" si="593"/>
        <v>5.99</v>
      </c>
      <c r="K444" s="66">
        <f t="shared" si="594"/>
        <v>0.86</v>
      </c>
      <c r="L444" s="66">
        <f t="shared" si="595"/>
        <v>0</v>
      </c>
      <c r="M444" s="66">
        <f t="shared" si="596"/>
        <v>0</v>
      </c>
      <c r="N444" s="66">
        <f>+IF(C444="","",ROUND(Parámetros!$D$23,2))</f>
        <v>94</v>
      </c>
      <c r="O444" s="66">
        <f t="shared" si="597"/>
        <v>158.65</v>
      </c>
      <c r="P444" s="66">
        <f>+IF($C444="","",ROUND(IF(B444&gt;Parámetros!$D$117,0,N444*Parámetros!$D$116-G444*Parámetros!$D$100),2))</f>
        <v>0</v>
      </c>
      <c r="Q444" s="75">
        <f t="shared" si="641"/>
        <v>3.499853929301782E-2</v>
      </c>
      <c r="R444" s="75">
        <f t="shared" si="642"/>
        <v>5.024832018697049E-3</v>
      </c>
      <c r="S444" s="117">
        <f>+IF($C444="","",ROUND((S443+I444)*(1+Parámetros!$D$91),2))</f>
        <v>26791.599999999999</v>
      </c>
      <c r="T444" s="117">
        <f>+IF($C444="","",ROUND(S444*VLOOKUP(B444,Parámetros!$C$30:$D$39,2,TRUE),2))</f>
        <v>26791.599999999999</v>
      </c>
      <c r="U444" s="117">
        <f>+IF($C444="","",ROUND((U443+I444)*(1+Parámetros!$D$92),2))</f>
        <v>30577.58</v>
      </c>
      <c r="V444" s="117">
        <f>+IF($C444="","",ROUND(U444*VLOOKUP(B444,Parámetros!$C$30:$D$39,2,TRUE),2))</f>
        <v>30577.58</v>
      </c>
      <c r="W444" s="57">
        <f t="shared" si="643"/>
        <v>403</v>
      </c>
      <c r="X444" t="str">
        <f t="shared" si="644"/>
        <v>00058</v>
      </c>
      <c r="Y444" t="str">
        <f t="shared" si="645"/>
        <v>MUERTE POR CUALQUIER CAUSA</v>
      </c>
      <c r="Z444" s="118">
        <f>+IF($W444="","",ROUND(IF(Parámetros!$D$25='TABLAS MORT'!$V$33,Z443,Parámetros!$D$21-'Tablas Servicio'!T443),0))</f>
        <v>100000</v>
      </c>
      <c r="AA444" s="118" t="str">
        <f t="shared" si="646"/>
        <v>P</v>
      </c>
      <c r="AB444" s="119">
        <f>+IF(W444="","",ROUND((VLOOKUP(ROUNDDOWN($D444-1/frec,0),qx_tabla,2,FALSE)*(1+i/frec)^-0.5*(1+Parámetros!$D$103)*(1+rec_fracc)/frec),6))</f>
        <v>1.554E-3</v>
      </c>
      <c r="AC444" s="66">
        <f t="shared" si="602"/>
        <v>155.4</v>
      </c>
      <c r="AD444" s="119">
        <f t="shared" si="598"/>
        <v>1.6789999999999999E-3</v>
      </c>
      <c r="AE444" s="66">
        <f>+IF($W444="","",ROUND(IF($B444&gt;Parámetros!$D$107,'Tablas Servicio'!AC444+('Tablas Servicio'!AG443-'Tablas Servicio'!AC443),AC444/(1-IF(B444&lt;=10,Parámetros!$D$104,Parámetros!$D$105))),2))</f>
        <v>259</v>
      </c>
      <c r="AF444" s="66">
        <f>+IF($W444="","",ROUND(IF($B444&gt;Parámetros!$D$107,'Tablas Servicio'!AC444+('Tablas Servicio'!AG443-'Tablas Servicio'!AC443),(AC444+$A443/frec)/(1-IF(B444&lt;=Parámetros!$D$117,Parámetros!$D$100,0))),2))</f>
        <v>167.9</v>
      </c>
      <c r="AG444" s="66">
        <f t="shared" si="603"/>
        <v>167.9</v>
      </c>
      <c r="AH444" s="66">
        <f t="shared" si="604"/>
        <v>0</v>
      </c>
      <c r="AI444" s="66">
        <f t="shared" si="605"/>
        <v>0</v>
      </c>
      <c r="AJ444" s="66">
        <f>+IF($W444="","",ROUND((AG444*Parámetros!$G$85),2))</f>
        <v>5.88</v>
      </c>
      <c r="AK444" s="66">
        <f>+IF($W444="","",ROUND((AG444*(Parámetros!$G$86)),2))</f>
        <v>0.84</v>
      </c>
      <c r="AL444" s="66">
        <f t="shared" si="599"/>
        <v>174.62</v>
      </c>
      <c r="AM444" t="str">
        <f t="shared" si="647"/>
        <v>00059</v>
      </c>
      <c r="AN444" t="str">
        <f t="shared" si="648"/>
        <v>Incapacidad Total y Permanente</v>
      </c>
      <c r="AO444" s="118">
        <f t="shared" si="649"/>
        <v>0</v>
      </c>
      <c r="AP444" s="118" t="str">
        <f t="shared" si="650"/>
        <v>A</v>
      </c>
      <c r="AQ444" s="119" t="str">
        <f>+IF(OR($W444="",AO444=0),"",ROUND((VLOOKUP(ROUNDDOWN($D444-1/frec,0),cob_adi,Z$40,FALSE)*(1+i/frec)^-0.5*(1+Parámetros!$D$103)*(1+rec_fracc)/frec),6))</f>
        <v/>
      </c>
      <c r="AR444" s="66">
        <f t="shared" si="606"/>
        <v>0</v>
      </c>
      <c r="AS444" s="119" t="str">
        <f t="shared" si="607"/>
        <v/>
      </c>
      <c r="AT444" s="66">
        <f>+IF($W444="","",ROUND(IF($B444&gt;Parámetros!$D$107,'Tablas Servicio'!AR444+('Tablas Servicio'!AT443-'Tablas Servicio'!AR443),AR444/(1-IF(B444&lt;=10,Parámetros!$D$100,0))),2))</f>
        <v>0</v>
      </c>
      <c r="AU444" s="66">
        <f t="shared" si="608"/>
        <v>0</v>
      </c>
      <c r="AV444" s="66">
        <f t="shared" si="608"/>
        <v>0</v>
      </c>
      <c r="AW444" s="66">
        <f>+IF($W444="","",ROUND((AT444*Parámetros!$G$85),2))</f>
        <v>0</v>
      </c>
      <c r="AX444" s="66">
        <f>+IF($W444="","",ROUND((AT444*(Parámetros!$G$86)),2))</f>
        <v>0</v>
      </c>
      <c r="AY444" s="66">
        <f t="shared" si="609"/>
        <v>0</v>
      </c>
      <c r="AZ444" t="str">
        <f t="shared" si="651"/>
        <v>00060</v>
      </c>
      <c r="BA444" t="str">
        <f t="shared" si="652"/>
        <v>Muerte Accidental</v>
      </c>
      <c r="BB444" s="118">
        <f t="shared" si="653"/>
        <v>0</v>
      </c>
      <c r="BC444" s="118" t="str">
        <f t="shared" si="654"/>
        <v>A</v>
      </c>
      <c r="BD444" s="119" t="str">
        <f>+IF(OR($W444="",BB444=0),"",ROUND((VLOOKUP(ROUNDDOWN($D444-1/frec,0),cob_adi,AO$40,FALSE)*(1+i/frec)^-0.5*(1+Parámetros!$D$103)*(1+rec_fracc)/frec),6))</f>
        <v/>
      </c>
      <c r="BE444" s="66">
        <f t="shared" si="610"/>
        <v>0</v>
      </c>
      <c r="BF444" s="119" t="str">
        <f t="shared" si="611"/>
        <v/>
      </c>
      <c r="BG444" s="66">
        <f>+IF($W444="","",ROUND(IF($B444&gt;Parámetros!$D$107,'Tablas Servicio'!BE444+('Tablas Servicio'!BG443-'Tablas Servicio'!BE443),BE444/(1-IF(B444&lt;=10,Parámetros!$D$100,0))),2))</f>
        <v>0</v>
      </c>
      <c r="BH444" s="66">
        <f t="shared" si="612"/>
        <v>0</v>
      </c>
      <c r="BI444" s="66">
        <f t="shared" si="613"/>
        <v>0</v>
      </c>
      <c r="BJ444" s="66">
        <f>+IF($W444="","",ROUND((BG444*Parámetros!$G$85),2))</f>
        <v>0</v>
      </c>
      <c r="BK444" s="66">
        <f>+IF($W444="","",ROUND((BG444*(Parámetros!$G$86)),2))</f>
        <v>0</v>
      </c>
      <c r="BL444" s="66">
        <f t="shared" si="614"/>
        <v>0</v>
      </c>
      <c r="BM444" t="str">
        <f t="shared" si="655"/>
        <v>00061</v>
      </c>
      <c r="BN444" t="str">
        <f t="shared" si="656"/>
        <v>Gastos de Entierro</v>
      </c>
      <c r="BO444" s="118">
        <f t="shared" si="657"/>
        <v>0</v>
      </c>
      <c r="BP444" s="118" t="str">
        <f t="shared" si="658"/>
        <v>A</v>
      </c>
      <c r="BQ444" s="119" t="str">
        <f>+IF(OR($W444="",BO444=0),"",ROUND((VLOOKUP(ROUNDDOWN($D444-1/frec,0),cob_adi,BB$40,FALSE)*(1+i/frec)^-0.5*(1+Parámetros!$D$103)*(1+rec_fracc)/frec),6))</f>
        <v/>
      </c>
      <c r="BR444" s="66">
        <f t="shared" si="615"/>
        <v>0</v>
      </c>
      <c r="BS444" s="119" t="str">
        <f t="shared" si="616"/>
        <v/>
      </c>
      <c r="BT444" s="66">
        <f>+IF($W444="","",ROUND(IF($B444&gt;Parámetros!$D$107,'Tablas Servicio'!BR444+('Tablas Servicio'!BT443-'Tablas Servicio'!BR443),BR444/(1-IF(B444&lt;=10,Parámetros!$D$100,0))),2))</f>
        <v>0</v>
      </c>
      <c r="BU444" s="66">
        <f t="shared" si="617"/>
        <v>0</v>
      </c>
      <c r="BV444" s="66">
        <f t="shared" si="617"/>
        <v>0</v>
      </c>
      <c r="BW444" s="66">
        <f>+IF($W444="","",ROUND((BT444*Parámetros!$G$85),2))</f>
        <v>0</v>
      </c>
      <c r="BX444" s="66">
        <f>+IF($W444="","",ROUND((BT444*(Parámetros!$G$86)),2))</f>
        <v>0</v>
      </c>
      <c r="BY444" s="66">
        <f t="shared" si="618"/>
        <v>0</v>
      </c>
      <c r="BZ444" t="str">
        <f t="shared" si="659"/>
        <v>00062</v>
      </c>
      <c r="CA444" t="str">
        <f t="shared" si="660"/>
        <v>Gastos médicos por accidente</v>
      </c>
      <c r="CB444" s="118">
        <f t="shared" si="661"/>
        <v>0</v>
      </c>
      <c r="CC444" s="118" t="str">
        <f t="shared" si="662"/>
        <v>A</v>
      </c>
      <c r="CD444" s="119" t="str">
        <f t="shared" si="619"/>
        <v/>
      </c>
      <c r="CE444" s="66">
        <f>+IF($W444="","",ROUND((VLOOKUP(ROUNDDOWN($D444-1/frec,0),cob_adi,BO$40,FALSE)*(1+i/frec)^-0.5*(1+Parámetros!$D$103)*(1+rec_fracc)/frec*'TABLAS ADI'!$BC$17),2))</f>
        <v>0</v>
      </c>
      <c r="CF444" s="119" t="str">
        <f t="shared" si="620"/>
        <v/>
      </c>
      <c r="CG444" s="66">
        <f>+IF($W444="","",ROUND(IF($B444&gt;Parámetros!$D$107,'Tablas Servicio'!CE444+('Tablas Servicio'!CG443-'Tablas Servicio'!CE443),CE444/(1-IF(B444&lt;=10,Parámetros!$D$100,0))),2))</f>
        <v>0</v>
      </c>
      <c r="CH444" s="66">
        <f t="shared" si="621"/>
        <v>0</v>
      </c>
      <c r="CI444" s="66">
        <f t="shared" si="621"/>
        <v>0</v>
      </c>
      <c r="CJ444" s="66">
        <f>+IF($W444="","",ROUND((CG444*Parámetros!$G$85),2))</f>
        <v>0</v>
      </c>
      <c r="CK444" s="66">
        <f>+IF($W444="","",ROUND((CG444*(Parámetros!$G$86)),2))</f>
        <v>0</v>
      </c>
      <c r="CL444" s="66">
        <f t="shared" si="622"/>
        <v>0</v>
      </c>
      <c r="CM444" t="str">
        <f t="shared" si="663"/>
        <v>00063</v>
      </c>
      <c r="CN444" s="118" t="str">
        <f t="shared" si="664"/>
        <v>Renta Diaria por Hospitalización</v>
      </c>
      <c r="CO444" s="118">
        <f t="shared" si="665"/>
        <v>0</v>
      </c>
      <c r="CP444" s="118" t="str">
        <f t="shared" si="666"/>
        <v>A</v>
      </c>
      <c r="CQ444" s="119" t="str">
        <f t="shared" si="623"/>
        <v/>
      </c>
      <c r="CR444" s="66">
        <f>+IF($W444="","",ROUND((VLOOKUP(Parámetros!$F$51,'COBERTURAS ADICIONALES'!$S$4:$T$32,2,FALSE)*(1+i/frec)^-0.5*(1+Parámetros!$D$103)*(1+rec_fracc)/frec*$CO$42),2))</f>
        <v>0</v>
      </c>
      <c r="CS444" s="119" t="str">
        <f t="shared" si="624"/>
        <v/>
      </c>
      <c r="CT444" s="66">
        <f>+IF($W444="","",ROUND(IF($B444&gt;Parámetros!$D$107,'Tablas Servicio'!CR444+('Tablas Servicio'!CT443-'Tablas Servicio'!CR443),CR444/(1-IF(B444&lt;=10,Parámetros!$D$100,0))),2))</f>
        <v>0</v>
      </c>
      <c r="CU444" s="66">
        <f t="shared" si="625"/>
        <v>0</v>
      </c>
      <c r="CV444" s="66">
        <f t="shared" si="625"/>
        <v>0</v>
      </c>
      <c r="CW444" s="66">
        <f>+IF($W444="","",ROUND((CT444*Parámetros!$G$85),2))</f>
        <v>0</v>
      </c>
      <c r="CX444" s="66">
        <f>+IF($W444="","",ROUND((CT444*(Parámetros!$G$86)),2))</f>
        <v>0</v>
      </c>
      <c r="CY444" s="66">
        <f t="shared" si="626"/>
        <v>0</v>
      </c>
      <c r="CZ444" t="str">
        <f t="shared" si="667"/>
        <v>00064</v>
      </c>
      <c r="DA444" s="118" t="str">
        <f t="shared" si="668"/>
        <v>Enfermedades Graves</v>
      </c>
      <c r="DB444" s="118">
        <f t="shared" si="669"/>
        <v>0</v>
      </c>
      <c r="DC444" s="118" t="str">
        <f t="shared" si="670"/>
        <v>A</v>
      </c>
      <c r="DD444" s="121" t="str">
        <f>+IF(OR($W444="",DB444=0),"",ROUND((VLOOKUP(ROUNDDOWN($D444-1/frec,0),cob_adi,CO$40,FALSE)*(1+i/frec)^-0.5*(1+Parámetros!$D$103)*(1+rec_fracc)/frec),6))</f>
        <v/>
      </c>
      <c r="DE444" s="66">
        <f t="shared" si="627"/>
        <v>0</v>
      </c>
      <c r="DF444" s="119" t="str">
        <f t="shared" si="628"/>
        <v/>
      </c>
      <c r="DG444" s="66">
        <f>+IF($W444="","",ROUND(IF($B444&gt;Parámetros!$D$107,'Tablas Servicio'!DE444+('Tablas Servicio'!DG443-'Tablas Servicio'!DE443),DE444/(1-IF(B444&lt;=10,Parámetros!$D$100,0))),2))</f>
        <v>0</v>
      </c>
      <c r="DH444" s="66">
        <f t="shared" si="629"/>
        <v>0</v>
      </c>
      <c r="DI444" s="66">
        <f t="shared" si="629"/>
        <v>0</v>
      </c>
      <c r="DJ444" s="66">
        <f>+IF($W444="","",ROUND((DG444*Parámetros!$G$85),2))</f>
        <v>0</v>
      </c>
      <c r="DK444" s="66">
        <f>+IF($W444="","",ROUND((DG444*(Parámetros!$G$86)),2))</f>
        <v>0</v>
      </c>
      <c r="DL444" s="66">
        <f t="shared" si="630"/>
        <v>0</v>
      </c>
      <c r="DM444" t="str">
        <f t="shared" si="671"/>
        <v>00065</v>
      </c>
      <c r="DN444" s="118" t="str">
        <f t="shared" si="672"/>
        <v>Exención pago de primas</v>
      </c>
      <c r="DO444" s="118">
        <f t="shared" si="673"/>
        <v>0</v>
      </c>
      <c r="DP444" s="118" t="str">
        <f t="shared" si="674"/>
        <v>A</v>
      </c>
      <c r="DQ444" s="122" t="str">
        <f>+IF(OR($W444="",DO444=0),"",ROUND((VLOOKUP(ROUNDDOWN($D444-1/frec,0),cob_adi,DB$40,FALSE)*(1+i/frec)^-0.5*(1+Parámetros!$D$103)*(1+rec_fracc)/frec),6))</f>
        <v/>
      </c>
      <c r="DR444" s="66">
        <f t="shared" si="631"/>
        <v>0</v>
      </c>
      <c r="DS444" s="68" t="str">
        <f t="shared" si="632"/>
        <v/>
      </c>
      <c r="DT444" s="66">
        <f>+IF($W444="","",ROUND(IF($B444&gt;Parámetros!$D$107,'Tablas Servicio'!DR444+('Tablas Servicio'!DT443-'Tablas Servicio'!DR443),DR444/(1-IF(B444&lt;=10,Parámetros!$D$100,0))),2))</f>
        <v>0</v>
      </c>
      <c r="DU444" s="66">
        <f t="shared" si="633"/>
        <v>0</v>
      </c>
      <c r="DV444" s="66">
        <f t="shared" si="633"/>
        <v>0</v>
      </c>
      <c r="DW444" s="66">
        <f>+IF($W444="","",ROUND((DT444*Parámetros!$G$85),2))</f>
        <v>0</v>
      </c>
      <c r="DX444" s="66">
        <f>+IF($W444="","",ROUND((DT444*(Parámetros!$G$86)),2))</f>
        <v>0</v>
      </c>
      <c r="DY444" s="66">
        <f t="shared" si="634"/>
        <v>0</v>
      </c>
      <c r="DZ444" t="str">
        <f t="shared" si="675"/>
        <v>00066</v>
      </c>
      <c r="EA444" s="118" t="str">
        <f t="shared" si="675"/>
        <v>Enfermedad terminal</v>
      </c>
      <c r="EB444" s="118">
        <f>+IF($W444="","",ROUND(IF(Parámetros!$D$25='TABLAS MORT'!$V$33,EB443,Z444/2),0))</f>
        <v>50000</v>
      </c>
      <c r="EC444" s="118" t="str">
        <f t="shared" si="675"/>
        <v>A</v>
      </c>
      <c r="ED444" s="122">
        <f>+IF(OR($W444="",EB444=0),"",ROUND((VLOOKUP(ROUNDDOWN($D444-1/frec,0),cob_adi,DO$40,FALSE)*(1+i/frec)^-0.5*(1+Parámetros!$D$103)*(1+rec_fracc)/frec),6))</f>
        <v>6.4999999999999994E-5</v>
      </c>
      <c r="EE444" s="66">
        <f t="shared" si="636"/>
        <v>3.25</v>
      </c>
      <c r="EF444" s="68">
        <f t="shared" si="637"/>
        <v>6.4999999999999994E-5</v>
      </c>
      <c r="EG444" s="66">
        <f>+IF($W444="","",ROUND(IF($B444&gt;Parámetros!$D$107,'Tablas Servicio'!EE444+('Tablas Servicio'!EG443-'Tablas Servicio'!EE443),EE444/(1-IF(B444&lt;=10,Parámetros!$D$100,0))),2))</f>
        <v>3.25</v>
      </c>
      <c r="EH444" s="66">
        <f t="shared" si="638"/>
        <v>0</v>
      </c>
      <c r="EI444" s="66">
        <f t="shared" si="638"/>
        <v>0</v>
      </c>
      <c r="EJ444" s="66">
        <f>+IF($W444="","",ROUND((EG444*Parámetros!$G$85),2))</f>
        <v>0.11</v>
      </c>
      <c r="EK444" s="66">
        <f>+IF($W444="","",ROUND((EG444*(Parámetros!$G$86)),2))</f>
        <v>0.02</v>
      </c>
      <c r="EL444" s="66">
        <f t="shared" si="639"/>
        <v>3.38</v>
      </c>
    </row>
    <row r="445" spans="1:142" x14ac:dyDescent="0.25">
      <c r="A445">
        <f>+IF($C445="","",ROUND(VLOOKUP('Tablas Servicio'!B445,Parámetros!$H$100:$J$159,IF(Parámetros!$E$16="F",2,3),FALSE),2))</f>
        <v>150</v>
      </c>
      <c r="B445">
        <f t="shared" si="590"/>
        <v>34</v>
      </c>
      <c r="C445" s="57">
        <f>+IF(D445="","",'Tablas Servicio'!C444+1)</f>
        <v>404</v>
      </c>
      <c r="D445" s="56">
        <f>+IF(D444&lt;edadmaxtabla,D444+1/Parámetros!$E$25,"")</f>
        <v>73.686666666666795</v>
      </c>
      <c r="E445" s="57">
        <f t="shared" si="600"/>
        <v>73</v>
      </c>
      <c r="F445" s="59">
        <f t="shared" si="601"/>
        <v>100000</v>
      </c>
      <c r="G445" s="66">
        <f t="shared" si="591"/>
        <v>171.15</v>
      </c>
      <c r="H445" s="66">
        <f t="shared" si="592"/>
        <v>178</v>
      </c>
      <c r="I445" s="66">
        <f t="shared" si="640"/>
        <v>-84</v>
      </c>
      <c r="J445" s="66">
        <f t="shared" si="593"/>
        <v>5.99</v>
      </c>
      <c r="K445" s="66">
        <f t="shared" si="594"/>
        <v>0.86</v>
      </c>
      <c r="L445" s="66">
        <f t="shared" si="595"/>
        <v>0</v>
      </c>
      <c r="M445" s="66">
        <f t="shared" si="596"/>
        <v>0</v>
      </c>
      <c r="N445" s="66">
        <f>+IF(C445="","",ROUND(Parámetros!$D$23,2))</f>
        <v>94</v>
      </c>
      <c r="O445" s="66">
        <f t="shared" si="597"/>
        <v>158.65</v>
      </c>
      <c r="P445" s="66">
        <f>+IF($C445="","",ROUND(IF(B445&gt;Parámetros!$D$117,0,N445*Parámetros!$D$116-G445*Parámetros!$D$100),2))</f>
        <v>0</v>
      </c>
      <c r="Q445" s="75">
        <f t="shared" si="641"/>
        <v>3.499853929301782E-2</v>
      </c>
      <c r="R445" s="75">
        <f t="shared" si="642"/>
        <v>5.024832018697049E-3</v>
      </c>
      <c r="S445" s="117">
        <f>+IF($C445="","",ROUND((S444+I445)*(1+Parámetros!$D$91),2))</f>
        <v>26783.35</v>
      </c>
      <c r="T445" s="117">
        <f>+IF($C445="","",ROUND(S445*VLOOKUP(B445,Parámetros!$C$30:$D$39,2,TRUE),2))</f>
        <v>26783.35</v>
      </c>
      <c r="U445" s="117">
        <f>+IF($C445="","",ROUND((U444+I445)*(1+Parámetros!$D$92),2))</f>
        <v>30592.43</v>
      </c>
      <c r="V445" s="117">
        <f>+IF($C445="","",ROUND(U445*VLOOKUP(B445,Parámetros!$C$30:$D$39,2,TRUE),2))</f>
        <v>30592.43</v>
      </c>
      <c r="W445" s="57">
        <f t="shared" si="643"/>
        <v>404</v>
      </c>
      <c r="X445" t="str">
        <f t="shared" si="644"/>
        <v>00058</v>
      </c>
      <c r="Y445" t="str">
        <f t="shared" si="645"/>
        <v>MUERTE POR CUALQUIER CAUSA</v>
      </c>
      <c r="Z445" s="118">
        <f>+IF($W445="","",ROUND(IF(Parámetros!$D$25='TABLAS MORT'!$V$33,Z444,Parámetros!$D$21-'Tablas Servicio'!T444),0))</f>
        <v>100000</v>
      </c>
      <c r="AA445" s="118" t="str">
        <f t="shared" si="646"/>
        <v>P</v>
      </c>
      <c r="AB445" s="119">
        <f>+IF(W445="","",ROUND((VLOOKUP(ROUNDDOWN($D445-1/frec,0),qx_tabla,2,FALSE)*(1+i/frec)^-0.5*(1+Parámetros!$D$103)*(1+rec_fracc)/frec),6))</f>
        <v>1.554E-3</v>
      </c>
      <c r="AC445" s="66">
        <f t="shared" si="602"/>
        <v>155.4</v>
      </c>
      <c r="AD445" s="119">
        <f t="shared" si="598"/>
        <v>1.6789999999999999E-3</v>
      </c>
      <c r="AE445" s="66">
        <f>+IF($W445="","",ROUND(IF($B445&gt;Parámetros!$D$107,'Tablas Servicio'!AC445+('Tablas Servicio'!AG444-'Tablas Servicio'!AC444),AC445/(1-IF(B445&lt;=10,Parámetros!$D$104,Parámetros!$D$105))),2))</f>
        <v>259</v>
      </c>
      <c r="AF445" s="66">
        <f>+IF($W445="","",ROUND(IF($B445&gt;Parámetros!$D$107,'Tablas Servicio'!AC445+('Tablas Servicio'!AG444-'Tablas Servicio'!AC444),(AC445+$A444/frec)/(1-IF(B445&lt;=Parámetros!$D$117,Parámetros!$D$100,0))),2))</f>
        <v>167.9</v>
      </c>
      <c r="AG445" s="66">
        <f t="shared" si="603"/>
        <v>167.9</v>
      </c>
      <c r="AH445" s="66">
        <f t="shared" si="604"/>
        <v>0</v>
      </c>
      <c r="AI445" s="66">
        <f t="shared" si="605"/>
        <v>0</v>
      </c>
      <c r="AJ445" s="66">
        <f>+IF($W445="","",ROUND((AG445*Parámetros!$G$85),2))</f>
        <v>5.88</v>
      </c>
      <c r="AK445" s="66">
        <f>+IF($W445="","",ROUND((AG445*(Parámetros!$G$86)),2))</f>
        <v>0.84</v>
      </c>
      <c r="AL445" s="66">
        <f t="shared" si="599"/>
        <v>174.62</v>
      </c>
      <c r="AM445" t="str">
        <f t="shared" si="647"/>
        <v>00059</v>
      </c>
      <c r="AN445" t="str">
        <f t="shared" si="648"/>
        <v>Incapacidad Total y Permanente</v>
      </c>
      <c r="AO445" s="118">
        <f t="shared" si="649"/>
        <v>0</v>
      </c>
      <c r="AP445" s="118" t="str">
        <f t="shared" si="650"/>
        <v>A</v>
      </c>
      <c r="AQ445" s="119" t="str">
        <f>+IF(OR($W445="",AO445=0),"",ROUND((VLOOKUP(ROUNDDOWN($D445-1/frec,0),cob_adi,Z$40,FALSE)*(1+i/frec)^-0.5*(1+Parámetros!$D$103)*(1+rec_fracc)/frec),6))</f>
        <v/>
      </c>
      <c r="AR445" s="66">
        <f t="shared" si="606"/>
        <v>0</v>
      </c>
      <c r="AS445" s="119" t="str">
        <f t="shared" si="607"/>
        <v/>
      </c>
      <c r="AT445" s="66">
        <f>+IF($W445="","",ROUND(IF($B445&gt;Parámetros!$D$107,'Tablas Servicio'!AR445+('Tablas Servicio'!AT444-'Tablas Servicio'!AR444),AR445/(1-IF(B445&lt;=10,Parámetros!$D$100,0))),2))</f>
        <v>0</v>
      </c>
      <c r="AU445" s="66">
        <f t="shared" si="608"/>
        <v>0</v>
      </c>
      <c r="AV445" s="66">
        <f t="shared" si="608"/>
        <v>0</v>
      </c>
      <c r="AW445" s="66">
        <f>+IF($W445="","",ROUND((AT445*Parámetros!$G$85),2))</f>
        <v>0</v>
      </c>
      <c r="AX445" s="66">
        <f>+IF($W445="","",ROUND((AT445*(Parámetros!$G$86)),2))</f>
        <v>0</v>
      </c>
      <c r="AY445" s="66">
        <f t="shared" si="609"/>
        <v>0</v>
      </c>
      <c r="AZ445" t="str">
        <f t="shared" si="651"/>
        <v>00060</v>
      </c>
      <c r="BA445" t="str">
        <f t="shared" si="652"/>
        <v>Muerte Accidental</v>
      </c>
      <c r="BB445" s="118">
        <f t="shared" si="653"/>
        <v>0</v>
      </c>
      <c r="BC445" s="118" t="str">
        <f t="shared" si="654"/>
        <v>A</v>
      </c>
      <c r="BD445" s="119" t="str">
        <f>+IF(OR($W445="",BB445=0),"",ROUND((VLOOKUP(ROUNDDOWN($D445-1/frec,0),cob_adi,AO$40,FALSE)*(1+i/frec)^-0.5*(1+Parámetros!$D$103)*(1+rec_fracc)/frec),6))</f>
        <v/>
      </c>
      <c r="BE445" s="66">
        <f t="shared" si="610"/>
        <v>0</v>
      </c>
      <c r="BF445" s="119" t="str">
        <f t="shared" si="611"/>
        <v/>
      </c>
      <c r="BG445" s="66">
        <f>+IF($W445="","",ROUND(IF($B445&gt;Parámetros!$D$107,'Tablas Servicio'!BE445+('Tablas Servicio'!BG444-'Tablas Servicio'!BE444),BE445/(1-IF(B445&lt;=10,Parámetros!$D$100,0))),2))</f>
        <v>0</v>
      </c>
      <c r="BH445" s="66">
        <f t="shared" si="612"/>
        <v>0</v>
      </c>
      <c r="BI445" s="66">
        <f t="shared" si="613"/>
        <v>0</v>
      </c>
      <c r="BJ445" s="66">
        <f>+IF($W445="","",ROUND((BG445*Parámetros!$G$85),2))</f>
        <v>0</v>
      </c>
      <c r="BK445" s="66">
        <f>+IF($W445="","",ROUND((BG445*(Parámetros!$G$86)),2))</f>
        <v>0</v>
      </c>
      <c r="BL445" s="66">
        <f t="shared" si="614"/>
        <v>0</v>
      </c>
      <c r="BM445" t="str">
        <f t="shared" si="655"/>
        <v>00061</v>
      </c>
      <c r="BN445" t="str">
        <f t="shared" si="656"/>
        <v>Gastos de Entierro</v>
      </c>
      <c r="BO445" s="118">
        <f t="shared" si="657"/>
        <v>0</v>
      </c>
      <c r="BP445" s="118" t="str">
        <f t="shared" si="658"/>
        <v>A</v>
      </c>
      <c r="BQ445" s="119" t="str">
        <f>+IF(OR($W445="",BO445=0),"",ROUND((VLOOKUP(ROUNDDOWN($D445-1/frec,0),cob_adi,BB$40,FALSE)*(1+i/frec)^-0.5*(1+Parámetros!$D$103)*(1+rec_fracc)/frec),6))</f>
        <v/>
      </c>
      <c r="BR445" s="66">
        <f t="shared" si="615"/>
        <v>0</v>
      </c>
      <c r="BS445" s="119" t="str">
        <f t="shared" si="616"/>
        <v/>
      </c>
      <c r="BT445" s="66">
        <f>+IF($W445="","",ROUND(IF($B445&gt;Parámetros!$D$107,'Tablas Servicio'!BR445+('Tablas Servicio'!BT444-'Tablas Servicio'!BR444),BR445/(1-IF(B445&lt;=10,Parámetros!$D$100,0))),2))</f>
        <v>0</v>
      </c>
      <c r="BU445" s="66">
        <f t="shared" si="617"/>
        <v>0</v>
      </c>
      <c r="BV445" s="66">
        <f t="shared" si="617"/>
        <v>0</v>
      </c>
      <c r="BW445" s="66">
        <f>+IF($W445="","",ROUND((BT445*Parámetros!$G$85),2))</f>
        <v>0</v>
      </c>
      <c r="BX445" s="66">
        <f>+IF($W445="","",ROUND((BT445*(Parámetros!$G$86)),2))</f>
        <v>0</v>
      </c>
      <c r="BY445" s="66">
        <f t="shared" si="618"/>
        <v>0</v>
      </c>
      <c r="BZ445" t="str">
        <f t="shared" si="659"/>
        <v>00062</v>
      </c>
      <c r="CA445" t="str">
        <f t="shared" si="660"/>
        <v>Gastos médicos por accidente</v>
      </c>
      <c r="CB445" s="118">
        <f t="shared" si="661"/>
        <v>0</v>
      </c>
      <c r="CC445" s="118" t="str">
        <f t="shared" si="662"/>
        <v>A</v>
      </c>
      <c r="CD445" s="119" t="str">
        <f t="shared" si="619"/>
        <v/>
      </c>
      <c r="CE445" s="66">
        <f>+IF($W445="","",ROUND((VLOOKUP(ROUNDDOWN($D445-1/frec,0),cob_adi,BO$40,FALSE)*(1+i/frec)^-0.5*(1+Parámetros!$D$103)*(1+rec_fracc)/frec*'TABLAS ADI'!$BC$17),2))</f>
        <v>0</v>
      </c>
      <c r="CF445" s="119" t="str">
        <f t="shared" si="620"/>
        <v/>
      </c>
      <c r="CG445" s="66">
        <f>+IF($W445="","",ROUND(IF($B445&gt;Parámetros!$D$107,'Tablas Servicio'!CE445+('Tablas Servicio'!CG444-'Tablas Servicio'!CE444),CE445/(1-IF(B445&lt;=10,Parámetros!$D$100,0))),2))</f>
        <v>0</v>
      </c>
      <c r="CH445" s="66">
        <f t="shared" si="621"/>
        <v>0</v>
      </c>
      <c r="CI445" s="66">
        <f t="shared" si="621"/>
        <v>0</v>
      </c>
      <c r="CJ445" s="66">
        <f>+IF($W445="","",ROUND((CG445*Parámetros!$G$85),2))</f>
        <v>0</v>
      </c>
      <c r="CK445" s="66">
        <f>+IF($W445="","",ROUND((CG445*(Parámetros!$G$86)),2))</f>
        <v>0</v>
      </c>
      <c r="CL445" s="66">
        <f t="shared" si="622"/>
        <v>0</v>
      </c>
      <c r="CM445" t="str">
        <f t="shared" si="663"/>
        <v>00063</v>
      </c>
      <c r="CN445" s="118" t="str">
        <f t="shared" si="664"/>
        <v>Renta Diaria por Hospitalización</v>
      </c>
      <c r="CO445" s="118">
        <f t="shared" si="665"/>
        <v>0</v>
      </c>
      <c r="CP445" s="118" t="str">
        <f t="shared" si="666"/>
        <v>A</v>
      </c>
      <c r="CQ445" s="119" t="str">
        <f t="shared" si="623"/>
        <v/>
      </c>
      <c r="CR445" s="66">
        <f>+IF($W445="","",ROUND((VLOOKUP(Parámetros!$F$51,'COBERTURAS ADICIONALES'!$S$4:$T$32,2,FALSE)*(1+i/frec)^-0.5*(1+Parámetros!$D$103)*(1+rec_fracc)/frec*$CO$42),2))</f>
        <v>0</v>
      </c>
      <c r="CS445" s="119" t="str">
        <f t="shared" si="624"/>
        <v/>
      </c>
      <c r="CT445" s="66">
        <f>+IF($W445="","",ROUND(IF($B445&gt;Parámetros!$D$107,'Tablas Servicio'!CR445+('Tablas Servicio'!CT444-'Tablas Servicio'!CR444),CR445/(1-IF(B445&lt;=10,Parámetros!$D$100,0))),2))</f>
        <v>0</v>
      </c>
      <c r="CU445" s="66">
        <f t="shared" si="625"/>
        <v>0</v>
      </c>
      <c r="CV445" s="66">
        <f t="shared" si="625"/>
        <v>0</v>
      </c>
      <c r="CW445" s="66">
        <f>+IF($W445="","",ROUND((CT445*Parámetros!$G$85),2))</f>
        <v>0</v>
      </c>
      <c r="CX445" s="66">
        <f>+IF($W445="","",ROUND((CT445*(Parámetros!$G$86)),2))</f>
        <v>0</v>
      </c>
      <c r="CY445" s="66">
        <f t="shared" si="626"/>
        <v>0</v>
      </c>
      <c r="CZ445" t="str">
        <f t="shared" si="667"/>
        <v>00064</v>
      </c>
      <c r="DA445" s="118" t="str">
        <f t="shared" si="668"/>
        <v>Enfermedades Graves</v>
      </c>
      <c r="DB445" s="118">
        <f t="shared" si="669"/>
        <v>0</v>
      </c>
      <c r="DC445" s="118" t="str">
        <f t="shared" si="670"/>
        <v>A</v>
      </c>
      <c r="DD445" s="121" t="str">
        <f>+IF(OR($W445="",DB445=0),"",ROUND((VLOOKUP(ROUNDDOWN($D445-1/frec,0),cob_adi,CO$40,FALSE)*(1+i/frec)^-0.5*(1+Parámetros!$D$103)*(1+rec_fracc)/frec),6))</f>
        <v/>
      </c>
      <c r="DE445" s="66">
        <f t="shared" si="627"/>
        <v>0</v>
      </c>
      <c r="DF445" s="119" t="str">
        <f t="shared" si="628"/>
        <v/>
      </c>
      <c r="DG445" s="66">
        <f>+IF($W445="","",ROUND(IF($B445&gt;Parámetros!$D$107,'Tablas Servicio'!DE445+('Tablas Servicio'!DG444-'Tablas Servicio'!DE444),DE445/(1-IF(B445&lt;=10,Parámetros!$D$100,0))),2))</f>
        <v>0</v>
      </c>
      <c r="DH445" s="66">
        <f t="shared" si="629"/>
        <v>0</v>
      </c>
      <c r="DI445" s="66">
        <f t="shared" si="629"/>
        <v>0</v>
      </c>
      <c r="DJ445" s="66">
        <f>+IF($W445="","",ROUND((DG445*Parámetros!$G$85),2))</f>
        <v>0</v>
      </c>
      <c r="DK445" s="66">
        <f>+IF($W445="","",ROUND((DG445*(Parámetros!$G$86)),2))</f>
        <v>0</v>
      </c>
      <c r="DL445" s="66">
        <f t="shared" si="630"/>
        <v>0</v>
      </c>
      <c r="DM445" t="str">
        <f t="shared" si="671"/>
        <v>00065</v>
      </c>
      <c r="DN445" s="118" t="str">
        <f t="shared" si="672"/>
        <v>Exención pago de primas</v>
      </c>
      <c r="DO445" s="118">
        <f t="shared" si="673"/>
        <v>0</v>
      </c>
      <c r="DP445" s="118" t="str">
        <f t="shared" si="674"/>
        <v>A</v>
      </c>
      <c r="DQ445" s="122" t="str">
        <f>+IF(OR($W445="",DO445=0),"",ROUND((VLOOKUP(ROUNDDOWN($D445-1/frec,0),cob_adi,DB$40,FALSE)*(1+i/frec)^-0.5*(1+Parámetros!$D$103)*(1+rec_fracc)/frec),6))</f>
        <v/>
      </c>
      <c r="DR445" s="66">
        <f t="shared" si="631"/>
        <v>0</v>
      </c>
      <c r="DS445" s="68" t="str">
        <f t="shared" si="632"/>
        <v/>
      </c>
      <c r="DT445" s="66">
        <f>+IF($W445="","",ROUND(IF($B445&gt;Parámetros!$D$107,'Tablas Servicio'!DR445+('Tablas Servicio'!DT444-'Tablas Servicio'!DR444),DR445/(1-IF(B445&lt;=10,Parámetros!$D$100,0))),2))</f>
        <v>0</v>
      </c>
      <c r="DU445" s="66">
        <f t="shared" si="633"/>
        <v>0</v>
      </c>
      <c r="DV445" s="66">
        <f t="shared" si="633"/>
        <v>0</v>
      </c>
      <c r="DW445" s="66">
        <f>+IF($W445="","",ROUND((DT445*Parámetros!$G$85),2))</f>
        <v>0</v>
      </c>
      <c r="DX445" s="66">
        <f>+IF($W445="","",ROUND((DT445*(Parámetros!$G$86)),2))</f>
        <v>0</v>
      </c>
      <c r="DY445" s="66">
        <f t="shared" si="634"/>
        <v>0</v>
      </c>
      <c r="DZ445" t="str">
        <f t="shared" si="675"/>
        <v>00066</v>
      </c>
      <c r="EA445" s="118" t="str">
        <f t="shared" si="675"/>
        <v>Enfermedad terminal</v>
      </c>
      <c r="EB445" s="118">
        <f>+IF($W445="","",ROUND(IF(Parámetros!$D$25='TABLAS MORT'!$V$33,EB444,Z445/2),0))</f>
        <v>50000</v>
      </c>
      <c r="EC445" s="118" t="str">
        <f t="shared" si="675"/>
        <v>A</v>
      </c>
      <c r="ED445" s="122">
        <f>+IF(OR($W445="",EB445=0),"",ROUND((VLOOKUP(ROUNDDOWN($D445-1/frec,0),cob_adi,DO$40,FALSE)*(1+i/frec)^-0.5*(1+Parámetros!$D$103)*(1+rec_fracc)/frec),6))</f>
        <v>6.4999999999999994E-5</v>
      </c>
      <c r="EE445" s="66">
        <f t="shared" si="636"/>
        <v>3.25</v>
      </c>
      <c r="EF445" s="68">
        <f t="shared" si="637"/>
        <v>6.4999999999999994E-5</v>
      </c>
      <c r="EG445" s="66">
        <f>+IF($W445="","",ROUND(IF($B445&gt;Parámetros!$D$107,'Tablas Servicio'!EE445+('Tablas Servicio'!EG444-'Tablas Servicio'!EE444),EE445/(1-IF(B445&lt;=10,Parámetros!$D$100,0))),2))</f>
        <v>3.25</v>
      </c>
      <c r="EH445" s="66">
        <f t="shared" si="638"/>
        <v>0</v>
      </c>
      <c r="EI445" s="66">
        <f t="shared" si="638"/>
        <v>0</v>
      </c>
      <c r="EJ445" s="66">
        <f>+IF($W445="","",ROUND((EG445*Parámetros!$G$85),2))</f>
        <v>0.11</v>
      </c>
      <c r="EK445" s="66">
        <f>+IF($W445="","",ROUND((EG445*(Parámetros!$G$86)),2))</f>
        <v>0.02</v>
      </c>
      <c r="EL445" s="66">
        <f t="shared" si="639"/>
        <v>3.38</v>
      </c>
    </row>
    <row r="446" spans="1:142" x14ac:dyDescent="0.25">
      <c r="A446">
        <f>+IF($C446="","",ROUND(VLOOKUP('Tablas Servicio'!B446,Parámetros!$H$100:$J$159,IF(Parámetros!$E$16="F",2,3),FALSE),2))</f>
        <v>150</v>
      </c>
      <c r="B446">
        <f t="shared" si="590"/>
        <v>34</v>
      </c>
      <c r="C446" s="57">
        <f>+IF(D446="","",'Tablas Servicio'!C445+1)</f>
        <v>405</v>
      </c>
      <c r="D446" s="56">
        <f>+IF(D445&lt;edadmaxtabla,D445+1/Parámetros!$E$25,"")</f>
        <v>73.770000000000124</v>
      </c>
      <c r="E446" s="57">
        <f t="shared" si="600"/>
        <v>73</v>
      </c>
      <c r="F446" s="59">
        <f t="shared" si="601"/>
        <v>100000</v>
      </c>
      <c r="G446" s="66">
        <f t="shared" si="591"/>
        <v>171.15</v>
      </c>
      <c r="H446" s="66">
        <f t="shared" si="592"/>
        <v>178</v>
      </c>
      <c r="I446" s="66">
        <f t="shared" si="640"/>
        <v>-84</v>
      </c>
      <c r="J446" s="66">
        <f t="shared" si="593"/>
        <v>5.99</v>
      </c>
      <c r="K446" s="66">
        <f t="shared" si="594"/>
        <v>0.86</v>
      </c>
      <c r="L446" s="66">
        <f t="shared" si="595"/>
        <v>0</v>
      </c>
      <c r="M446" s="66">
        <f t="shared" si="596"/>
        <v>0</v>
      </c>
      <c r="N446" s="66">
        <f>+IF(C446="","",ROUND(Parámetros!$D$23,2))</f>
        <v>94</v>
      </c>
      <c r="O446" s="66">
        <f t="shared" si="597"/>
        <v>158.65</v>
      </c>
      <c r="P446" s="66">
        <f>+IF($C446="","",ROUND(IF(B446&gt;Parámetros!$D$117,0,N446*Parámetros!$D$116-G446*Parámetros!$D$100),2))</f>
        <v>0</v>
      </c>
      <c r="Q446" s="75">
        <f t="shared" si="641"/>
        <v>3.499853929301782E-2</v>
      </c>
      <c r="R446" s="75">
        <f t="shared" si="642"/>
        <v>5.024832018697049E-3</v>
      </c>
      <c r="S446" s="117">
        <f>+IF($C446="","",ROUND((S445+I446)*(1+Parámetros!$D$91),2))</f>
        <v>26775.08</v>
      </c>
      <c r="T446" s="117">
        <f>+IF($C446="","",ROUND(S446*VLOOKUP(B446,Parámetros!$C$30:$D$39,2,TRUE),2))</f>
        <v>26775.08</v>
      </c>
      <c r="U446" s="117">
        <f>+IF($C446="","",ROUND((U445+I446)*(1+Parámetros!$D$92),2))</f>
        <v>30607.33</v>
      </c>
      <c r="V446" s="117">
        <f>+IF($C446="","",ROUND(U446*VLOOKUP(B446,Parámetros!$C$30:$D$39,2,TRUE),2))</f>
        <v>30607.33</v>
      </c>
      <c r="W446" s="57">
        <f t="shared" si="643"/>
        <v>405</v>
      </c>
      <c r="X446" t="str">
        <f t="shared" si="644"/>
        <v>00058</v>
      </c>
      <c r="Y446" t="str">
        <f t="shared" si="645"/>
        <v>MUERTE POR CUALQUIER CAUSA</v>
      </c>
      <c r="Z446" s="118">
        <f>+IF($W446="","",ROUND(IF(Parámetros!$D$25='TABLAS MORT'!$V$33,Z445,Parámetros!$D$21-'Tablas Servicio'!T445),0))</f>
        <v>100000</v>
      </c>
      <c r="AA446" s="118" t="str">
        <f t="shared" si="646"/>
        <v>P</v>
      </c>
      <c r="AB446" s="119">
        <f>+IF(W446="","",ROUND((VLOOKUP(ROUNDDOWN($D446-1/frec,0),qx_tabla,2,FALSE)*(1+i/frec)^-0.5*(1+Parámetros!$D$103)*(1+rec_fracc)/frec),6))</f>
        <v>1.554E-3</v>
      </c>
      <c r="AC446" s="66">
        <f t="shared" si="602"/>
        <v>155.4</v>
      </c>
      <c r="AD446" s="119">
        <f t="shared" si="598"/>
        <v>1.6789999999999999E-3</v>
      </c>
      <c r="AE446" s="66">
        <f>+IF($W446="","",ROUND(IF($B446&gt;Parámetros!$D$107,'Tablas Servicio'!AC446+('Tablas Servicio'!AG445-'Tablas Servicio'!AC445),AC446/(1-IF(B446&lt;=10,Parámetros!$D$104,Parámetros!$D$105))),2))</f>
        <v>259</v>
      </c>
      <c r="AF446" s="66">
        <f>+IF($W446="","",ROUND(IF($B446&gt;Parámetros!$D$107,'Tablas Servicio'!AC446+('Tablas Servicio'!AG445-'Tablas Servicio'!AC445),(AC446+$A445/frec)/(1-IF(B446&lt;=Parámetros!$D$117,Parámetros!$D$100,0))),2))</f>
        <v>167.9</v>
      </c>
      <c r="AG446" s="66">
        <f t="shared" si="603"/>
        <v>167.9</v>
      </c>
      <c r="AH446" s="66">
        <f t="shared" si="604"/>
        <v>0</v>
      </c>
      <c r="AI446" s="66">
        <f t="shared" si="605"/>
        <v>0</v>
      </c>
      <c r="AJ446" s="66">
        <f>+IF($W446="","",ROUND((AG446*Parámetros!$G$85),2))</f>
        <v>5.88</v>
      </c>
      <c r="AK446" s="66">
        <f>+IF($W446="","",ROUND((AG446*(Parámetros!$G$86)),2))</f>
        <v>0.84</v>
      </c>
      <c r="AL446" s="66">
        <f t="shared" si="599"/>
        <v>174.62</v>
      </c>
      <c r="AM446" t="str">
        <f t="shared" si="647"/>
        <v>00059</v>
      </c>
      <c r="AN446" t="str">
        <f t="shared" si="648"/>
        <v>Incapacidad Total y Permanente</v>
      </c>
      <c r="AO446" s="118">
        <f t="shared" si="649"/>
        <v>0</v>
      </c>
      <c r="AP446" s="118" t="str">
        <f t="shared" si="650"/>
        <v>A</v>
      </c>
      <c r="AQ446" s="119" t="str">
        <f>+IF(OR($W446="",AO446=0),"",ROUND((VLOOKUP(ROUNDDOWN($D446-1/frec,0),cob_adi,Z$40,FALSE)*(1+i/frec)^-0.5*(1+Parámetros!$D$103)*(1+rec_fracc)/frec),6))</f>
        <v/>
      </c>
      <c r="AR446" s="66">
        <f t="shared" si="606"/>
        <v>0</v>
      </c>
      <c r="AS446" s="119" t="str">
        <f t="shared" si="607"/>
        <v/>
      </c>
      <c r="AT446" s="66">
        <f>+IF($W446="","",ROUND(IF($B446&gt;Parámetros!$D$107,'Tablas Servicio'!AR446+('Tablas Servicio'!AT445-'Tablas Servicio'!AR445),AR446/(1-IF(B446&lt;=10,Parámetros!$D$100,0))),2))</f>
        <v>0</v>
      </c>
      <c r="AU446" s="66">
        <f t="shared" si="608"/>
        <v>0</v>
      </c>
      <c r="AV446" s="66">
        <f t="shared" si="608"/>
        <v>0</v>
      </c>
      <c r="AW446" s="66">
        <f>+IF($W446="","",ROUND((AT446*Parámetros!$G$85),2))</f>
        <v>0</v>
      </c>
      <c r="AX446" s="66">
        <f>+IF($W446="","",ROUND((AT446*(Parámetros!$G$86)),2))</f>
        <v>0</v>
      </c>
      <c r="AY446" s="66">
        <f t="shared" si="609"/>
        <v>0</v>
      </c>
      <c r="AZ446" t="str">
        <f t="shared" si="651"/>
        <v>00060</v>
      </c>
      <c r="BA446" t="str">
        <f t="shared" si="652"/>
        <v>Muerte Accidental</v>
      </c>
      <c r="BB446" s="118">
        <f t="shared" si="653"/>
        <v>0</v>
      </c>
      <c r="BC446" s="118" t="str">
        <f t="shared" si="654"/>
        <v>A</v>
      </c>
      <c r="BD446" s="119" t="str">
        <f>+IF(OR($W446="",BB446=0),"",ROUND((VLOOKUP(ROUNDDOWN($D446-1/frec,0),cob_adi,AO$40,FALSE)*(1+i/frec)^-0.5*(1+Parámetros!$D$103)*(1+rec_fracc)/frec),6))</f>
        <v/>
      </c>
      <c r="BE446" s="66">
        <f t="shared" si="610"/>
        <v>0</v>
      </c>
      <c r="BF446" s="119" t="str">
        <f t="shared" si="611"/>
        <v/>
      </c>
      <c r="BG446" s="66">
        <f>+IF($W446="","",ROUND(IF($B446&gt;Parámetros!$D$107,'Tablas Servicio'!BE446+('Tablas Servicio'!BG445-'Tablas Servicio'!BE445),BE446/(1-IF(B446&lt;=10,Parámetros!$D$100,0))),2))</f>
        <v>0</v>
      </c>
      <c r="BH446" s="66">
        <f t="shared" si="612"/>
        <v>0</v>
      </c>
      <c r="BI446" s="66">
        <f t="shared" si="613"/>
        <v>0</v>
      </c>
      <c r="BJ446" s="66">
        <f>+IF($W446="","",ROUND((BG446*Parámetros!$G$85),2))</f>
        <v>0</v>
      </c>
      <c r="BK446" s="66">
        <f>+IF($W446="","",ROUND((BG446*(Parámetros!$G$86)),2))</f>
        <v>0</v>
      </c>
      <c r="BL446" s="66">
        <f t="shared" si="614"/>
        <v>0</v>
      </c>
      <c r="BM446" t="str">
        <f t="shared" si="655"/>
        <v>00061</v>
      </c>
      <c r="BN446" t="str">
        <f t="shared" si="656"/>
        <v>Gastos de Entierro</v>
      </c>
      <c r="BO446" s="118">
        <f t="shared" si="657"/>
        <v>0</v>
      </c>
      <c r="BP446" s="118" t="str">
        <f t="shared" si="658"/>
        <v>A</v>
      </c>
      <c r="BQ446" s="119" t="str">
        <f>+IF(OR($W446="",BO446=0),"",ROUND((VLOOKUP(ROUNDDOWN($D446-1/frec,0),cob_adi,BB$40,FALSE)*(1+i/frec)^-0.5*(1+Parámetros!$D$103)*(1+rec_fracc)/frec),6))</f>
        <v/>
      </c>
      <c r="BR446" s="66">
        <f t="shared" si="615"/>
        <v>0</v>
      </c>
      <c r="BS446" s="119" t="str">
        <f t="shared" si="616"/>
        <v/>
      </c>
      <c r="BT446" s="66">
        <f>+IF($W446="","",ROUND(IF($B446&gt;Parámetros!$D$107,'Tablas Servicio'!BR446+('Tablas Servicio'!BT445-'Tablas Servicio'!BR445),BR446/(1-IF(B446&lt;=10,Parámetros!$D$100,0))),2))</f>
        <v>0</v>
      </c>
      <c r="BU446" s="66">
        <f t="shared" si="617"/>
        <v>0</v>
      </c>
      <c r="BV446" s="66">
        <f t="shared" si="617"/>
        <v>0</v>
      </c>
      <c r="BW446" s="66">
        <f>+IF($W446="","",ROUND((BT446*Parámetros!$G$85),2))</f>
        <v>0</v>
      </c>
      <c r="BX446" s="66">
        <f>+IF($W446="","",ROUND((BT446*(Parámetros!$G$86)),2))</f>
        <v>0</v>
      </c>
      <c r="BY446" s="66">
        <f t="shared" si="618"/>
        <v>0</v>
      </c>
      <c r="BZ446" t="str">
        <f t="shared" si="659"/>
        <v>00062</v>
      </c>
      <c r="CA446" t="str">
        <f t="shared" si="660"/>
        <v>Gastos médicos por accidente</v>
      </c>
      <c r="CB446" s="118">
        <f t="shared" si="661"/>
        <v>0</v>
      </c>
      <c r="CC446" s="118" t="str">
        <f t="shared" si="662"/>
        <v>A</v>
      </c>
      <c r="CD446" s="119" t="str">
        <f t="shared" si="619"/>
        <v/>
      </c>
      <c r="CE446" s="66">
        <f>+IF($W446="","",ROUND((VLOOKUP(ROUNDDOWN($D446-1/frec,0),cob_adi,BO$40,FALSE)*(1+i/frec)^-0.5*(1+Parámetros!$D$103)*(1+rec_fracc)/frec*'TABLAS ADI'!$BC$17),2))</f>
        <v>0</v>
      </c>
      <c r="CF446" s="119" t="str">
        <f t="shared" si="620"/>
        <v/>
      </c>
      <c r="CG446" s="66">
        <f>+IF($W446="","",ROUND(IF($B446&gt;Parámetros!$D$107,'Tablas Servicio'!CE446+('Tablas Servicio'!CG445-'Tablas Servicio'!CE445),CE446/(1-IF(B446&lt;=10,Parámetros!$D$100,0))),2))</f>
        <v>0</v>
      </c>
      <c r="CH446" s="66">
        <f t="shared" si="621"/>
        <v>0</v>
      </c>
      <c r="CI446" s="66">
        <f t="shared" si="621"/>
        <v>0</v>
      </c>
      <c r="CJ446" s="66">
        <f>+IF($W446="","",ROUND((CG446*Parámetros!$G$85),2))</f>
        <v>0</v>
      </c>
      <c r="CK446" s="66">
        <f>+IF($W446="","",ROUND((CG446*(Parámetros!$G$86)),2))</f>
        <v>0</v>
      </c>
      <c r="CL446" s="66">
        <f t="shared" si="622"/>
        <v>0</v>
      </c>
      <c r="CM446" t="str">
        <f t="shared" si="663"/>
        <v>00063</v>
      </c>
      <c r="CN446" s="118" t="str">
        <f t="shared" si="664"/>
        <v>Renta Diaria por Hospitalización</v>
      </c>
      <c r="CO446" s="118">
        <f t="shared" si="665"/>
        <v>0</v>
      </c>
      <c r="CP446" s="118" t="str">
        <f t="shared" si="666"/>
        <v>A</v>
      </c>
      <c r="CQ446" s="119" t="str">
        <f t="shared" si="623"/>
        <v/>
      </c>
      <c r="CR446" s="66">
        <f>+IF($W446="","",ROUND((VLOOKUP(Parámetros!$F$51,'COBERTURAS ADICIONALES'!$S$4:$T$32,2,FALSE)*(1+i/frec)^-0.5*(1+Parámetros!$D$103)*(1+rec_fracc)/frec*$CO$42),2))</f>
        <v>0</v>
      </c>
      <c r="CS446" s="119" t="str">
        <f t="shared" si="624"/>
        <v/>
      </c>
      <c r="CT446" s="66">
        <f>+IF($W446="","",ROUND(IF($B446&gt;Parámetros!$D$107,'Tablas Servicio'!CR446+('Tablas Servicio'!CT445-'Tablas Servicio'!CR445),CR446/(1-IF(B446&lt;=10,Parámetros!$D$100,0))),2))</f>
        <v>0</v>
      </c>
      <c r="CU446" s="66">
        <f t="shared" si="625"/>
        <v>0</v>
      </c>
      <c r="CV446" s="66">
        <f t="shared" si="625"/>
        <v>0</v>
      </c>
      <c r="CW446" s="66">
        <f>+IF($W446="","",ROUND((CT446*Parámetros!$G$85),2))</f>
        <v>0</v>
      </c>
      <c r="CX446" s="66">
        <f>+IF($W446="","",ROUND((CT446*(Parámetros!$G$86)),2))</f>
        <v>0</v>
      </c>
      <c r="CY446" s="66">
        <f t="shared" si="626"/>
        <v>0</v>
      </c>
      <c r="CZ446" t="str">
        <f t="shared" si="667"/>
        <v>00064</v>
      </c>
      <c r="DA446" s="118" t="str">
        <f t="shared" si="668"/>
        <v>Enfermedades Graves</v>
      </c>
      <c r="DB446" s="118">
        <f t="shared" si="669"/>
        <v>0</v>
      </c>
      <c r="DC446" s="118" t="str">
        <f t="shared" si="670"/>
        <v>A</v>
      </c>
      <c r="DD446" s="121" t="str">
        <f>+IF(OR($W446="",DB446=0),"",ROUND((VLOOKUP(ROUNDDOWN($D446-1/frec,0),cob_adi,CO$40,FALSE)*(1+i/frec)^-0.5*(1+Parámetros!$D$103)*(1+rec_fracc)/frec),6))</f>
        <v/>
      </c>
      <c r="DE446" s="66">
        <f t="shared" si="627"/>
        <v>0</v>
      </c>
      <c r="DF446" s="119" t="str">
        <f t="shared" si="628"/>
        <v/>
      </c>
      <c r="DG446" s="66">
        <f>+IF($W446="","",ROUND(IF($B446&gt;Parámetros!$D$107,'Tablas Servicio'!DE446+('Tablas Servicio'!DG445-'Tablas Servicio'!DE445),DE446/(1-IF(B446&lt;=10,Parámetros!$D$100,0))),2))</f>
        <v>0</v>
      </c>
      <c r="DH446" s="66">
        <f t="shared" si="629"/>
        <v>0</v>
      </c>
      <c r="DI446" s="66">
        <f t="shared" si="629"/>
        <v>0</v>
      </c>
      <c r="DJ446" s="66">
        <f>+IF($W446="","",ROUND((DG446*Parámetros!$G$85),2))</f>
        <v>0</v>
      </c>
      <c r="DK446" s="66">
        <f>+IF($W446="","",ROUND((DG446*(Parámetros!$G$86)),2))</f>
        <v>0</v>
      </c>
      <c r="DL446" s="66">
        <f t="shared" si="630"/>
        <v>0</v>
      </c>
      <c r="DM446" t="str">
        <f t="shared" si="671"/>
        <v>00065</v>
      </c>
      <c r="DN446" s="118" t="str">
        <f t="shared" si="672"/>
        <v>Exención pago de primas</v>
      </c>
      <c r="DO446" s="118">
        <f t="shared" si="673"/>
        <v>0</v>
      </c>
      <c r="DP446" s="118" t="str">
        <f t="shared" si="674"/>
        <v>A</v>
      </c>
      <c r="DQ446" s="122" t="str">
        <f>+IF(OR($W446="",DO446=0),"",ROUND((VLOOKUP(ROUNDDOWN($D446-1/frec,0),cob_adi,DB$40,FALSE)*(1+i/frec)^-0.5*(1+Parámetros!$D$103)*(1+rec_fracc)/frec),6))</f>
        <v/>
      </c>
      <c r="DR446" s="66">
        <f t="shared" si="631"/>
        <v>0</v>
      </c>
      <c r="DS446" s="68" t="str">
        <f t="shared" si="632"/>
        <v/>
      </c>
      <c r="DT446" s="66">
        <f>+IF($W446="","",ROUND(IF($B446&gt;Parámetros!$D$107,'Tablas Servicio'!DR446+('Tablas Servicio'!DT445-'Tablas Servicio'!DR445),DR446/(1-IF(B446&lt;=10,Parámetros!$D$100,0))),2))</f>
        <v>0</v>
      </c>
      <c r="DU446" s="66">
        <f t="shared" si="633"/>
        <v>0</v>
      </c>
      <c r="DV446" s="66">
        <f t="shared" si="633"/>
        <v>0</v>
      </c>
      <c r="DW446" s="66">
        <f>+IF($W446="","",ROUND((DT446*Parámetros!$G$85),2))</f>
        <v>0</v>
      </c>
      <c r="DX446" s="66">
        <f>+IF($W446="","",ROUND((DT446*(Parámetros!$G$86)),2))</f>
        <v>0</v>
      </c>
      <c r="DY446" s="66">
        <f t="shared" si="634"/>
        <v>0</v>
      </c>
      <c r="DZ446" t="str">
        <f t="shared" si="675"/>
        <v>00066</v>
      </c>
      <c r="EA446" s="118" t="str">
        <f t="shared" si="675"/>
        <v>Enfermedad terminal</v>
      </c>
      <c r="EB446" s="118">
        <f>+IF($W446="","",ROUND(IF(Parámetros!$D$25='TABLAS MORT'!$V$33,EB445,Z446/2),0))</f>
        <v>50000</v>
      </c>
      <c r="EC446" s="118" t="str">
        <f t="shared" si="675"/>
        <v>A</v>
      </c>
      <c r="ED446" s="122">
        <f>+IF(OR($W446="",EB446=0),"",ROUND((VLOOKUP(ROUNDDOWN($D446-1/frec,0),cob_adi,DO$40,FALSE)*(1+i/frec)^-0.5*(1+Parámetros!$D$103)*(1+rec_fracc)/frec),6))</f>
        <v>6.4999999999999994E-5</v>
      </c>
      <c r="EE446" s="66">
        <f t="shared" si="636"/>
        <v>3.25</v>
      </c>
      <c r="EF446" s="68">
        <f t="shared" si="637"/>
        <v>6.4999999999999994E-5</v>
      </c>
      <c r="EG446" s="66">
        <f>+IF($W446="","",ROUND(IF($B446&gt;Parámetros!$D$107,'Tablas Servicio'!EE446+('Tablas Servicio'!EG445-'Tablas Servicio'!EE445),EE446/(1-IF(B446&lt;=10,Parámetros!$D$100,0))),2))</f>
        <v>3.25</v>
      </c>
      <c r="EH446" s="66">
        <f t="shared" si="638"/>
        <v>0</v>
      </c>
      <c r="EI446" s="66">
        <f t="shared" si="638"/>
        <v>0</v>
      </c>
      <c r="EJ446" s="66">
        <f>+IF($W446="","",ROUND((EG446*Parámetros!$G$85),2))</f>
        <v>0.11</v>
      </c>
      <c r="EK446" s="66">
        <f>+IF($W446="","",ROUND((EG446*(Parámetros!$G$86)),2))</f>
        <v>0.02</v>
      </c>
      <c r="EL446" s="66">
        <f t="shared" si="639"/>
        <v>3.38</v>
      </c>
    </row>
    <row r="447" spans="1:142" x14ac:dyDescent="0.25">
      <c r="A447">
        <f>+IF($C447="","",ROUND(VLOOKUP('Tablas Servicio'!B447,Parámetros!$H$100:$J$159,IF(Parámetros!$E$16="F",2,3),FALSE),2))</f>
        <v>150</v>
      </c>
      <c r="B447">
        <f t="shared" si="590"/>
        <v>34</v>
      </c>
      <c r="C447" s="57">
        <f>+IF(D447="","",'Tablas Servicio'!C446+1)</f>
        <v>406</v>
      </c>
      <c r="D447" s="56">
        <f>+IF(D446&lt;edadmaxtabla,D446+1/Parámetros!$E$25,"")</f>
        <v>73.853333333333453</v>
      </c>
      <c r="E447" s="57">
        <f t="shared" si="600"/>
        <v>73</v>
      </c>
      <c r="F447" s="59">
        <f t="shared" si="601"/>
        <v>100000</v>
      </c>
      <c r="G447" s="66">
        <f t="shared" si="591"/>
        <v>171.15</v>
      </c>
      <c r="H447" s="66">
        <f t="shared" si="592"/>
        <v>178</v>
      </c>
      <c r="I447" s="66">
        <f t="shared" si="640"/>
        <v>-84</v>
      </c>
      <c r="J447" s="66">
        <f t="shared" si="593"/>
        <v>5.99</v>
      </c>
      <c r="K447" s="66">
        <f t="shared" si="594"/>
        <v>0.86</v>
      </c>
      <c r="L447" s="66">
        <f t="shared" si="595"/>
        <v>0</v>
      </c>
      <c r="M447" s="66">
        <f t="shared" si="596"/>
        <v>0</v>
      </c>
      <c r="N447" s="66">
        <f>+IF(C447="","",ROUND(Parámetros!$D$23,2))</f>
        <v>94</v>
      </c>
      <c r="O447" s="66">
        <f t="shared" si="597"/>
        <v>158.65</v>
      </c>
      <c r="P447" s="66">
        <f>+IF($C447="","",ROUND(IF(B447&gt;Parámetros!$D$117,0,N447*Parámetros!$D$116-G447*Parámetros!$D$100),2))</f>
        <v>0</v>
      </c>
      <c r="Q447" s="75">
        <f t="shared" si="641"/>
        <v>3.499853929301782E-2</v>
      </c>
      <c r="R447" s="75">
        <f t="shared" si="642"/>
        <v>5.024832018697049E-3</v>
      </c>
      <c r="S447" s="117">
        <f>+IF($C447="","",ROUND((S446+I447)*(1+Parámetros!$D$91),2))</f>
        <v>26766.79</v>
      </c>
      <c r="T447" s="117">
        <f>+IF($C447="","",ROUND(S447*VLOOKUP(B447,Parámetros!$C$30:$D$39,2,TRUE),2))</f>
        <v>26766.79</v>
      </c>
      <c r="U447" s="117">
        <f>+IF($C447="","",ROUND((U446+I447)*(1+Parámetros!$D$92),2))</f>
        <v>30622.28</v>
      </c>
      <c r="V447" s="117">
        <f>+IF($C447="","",ROUND(U447*VLOOKUP(B447,Parámetros!$C$30:$D$39,2,TRUE),2))</f>
        <v>30622.28</v>
      </c>
      <c r="W447" s="57">
        <f t="shared" si="643"/>
        <v>406</v>
      </c>
      <c r="X447" t="str">
        <f t="shared" si="644"/>
        <v>00058</v>
      </c>
      <c r="Y447" t="str">
        <f t="shared" si="645"/>
        <v>MUERTE POR CUALQUIER CAUSA</v>
      </c>
      <c r="Z447" s="118">
        <f>+IF($W447="","",ROUND(IF(Parámetros!$D$25='TABLAS MORT'!$V$33,Z446,Parámetros!$D$21-'Tablas Servicio'!T446),0))</f>
        <v>100000</v>
      </c>
      <c r="AA447" s="118" t="str">
        <f t="shared" si="646"/>
        <v>P</v>
      </c>
      <c r="AB447" s="119">
        <f>+IF(W447="","",ROUND((VLOOKUP(ROUNDDOWN($D447-1/frec,0),qx_tabla,2,FALSE)*(1+i/frec)^-0.5*(1+Parámetros!$D$103)*(1+rec_fracc)/frec),6))</f>
        <v>1.554E-3</v>
      </c>
      <c r="AC447" s="66">
        <f t="shared" si="602"/>
        <v>155.4</v>
      </c>
      <c r="AD447" s="119">
        <f t="shared" si="598"/>
        <v>1.6789999999999999E-3</v>
      </c>
      <c r="AE447" s="66">
        <f>+IF($W447="","",ROUND(IF($B447&gt;Parámetros!$D$107,'Tablas Servicio'!AC447+('Tablas Servicio'!AG446-'Tablas Servicio'!AC446),AC447/(1-IF(B447&lt;=10,Parámetros!$D$104,Parámetros!$D$105))),2))</f>
        <v>259</v>
      </c>
      <c r="AF447" s="66">
        <f>+IF($W447="","",ROUND(IF($B447&gt;Parámetros!$D$107,'Tablas Servicio'!AC447+('Tablas Servicio'!AG446-'Tablas Servicio'!AC446),(AC447+$A446/frec)/(1-IF(B447&lt;=Parámetros!$D$117,Parámetros!$D$100,0))),2))</f>
        <v>167.9</v>
      </c>
      <c r="AG447" s="66">
        <f t="shared" si="603"/>
        <v>167.9</v>
      </c>
      <c r="AH447" s="66">
        <f t="shared" si="604"/>
        <v>0</v>
      </c>
      <c r="AI447" s="66">
        <f t="shared" si="605"/>
        <v>0</v>
      </c>
      <c r="AJ447" s="66">
        <f>+IF($W447="","",ROUND((AG447*Parámetros!$G$85),2))</f>
        <v>5.88</v>
      </c>
      <c r="AK447" s="66">
        <f>+IF($W447="","",ROUND((AG447*(Parámetros!$G$86)),2))</f>
        <v>0.84</v>
      </c>
      <c r="AL447" s="66">
        <f t="shared" si="599"/>
        <v>174.62</v>
      </c>
      <c r="AM447" t="str">
        <f t="shared" si="647"/>
        <v>00059</v>
      </c>
      <c r="AN447" t="str">
        <f t="shared" si="648"/>
        <v>Incapacidad Total y Permanente</v>
      </c>
      <c r="AO447" s="118">
        <f t="shared" si="649"/>
        <v>0</v>
      </c>
      <c r="AP447" s="118" t="str">
        <f t="shared" si="650"/>
        <v>A</v>
      </c>
      <c r="AQ447" s="119" t="str">
        <f>+IF(OR($W447="",AO447=0),"",ROUND((VLOOKUP(ROUNDDOWN($D447-1/frec,0),cob_adi,Z$40,FALSE)*(1+i/frec)^-0.5*(1+Parámetros!$D$103)*(1+rec_fracc)/frec),6))</f>
        <v/>
      </c>
      <c r="AR447" s="66">
        <f t="shared" si="606"/>
        <v>0</v>
      </c>
      <c r="AS447" s="119" t="str">
        <f t="shared" si="607"/>
        <v/>
      </c>
      <c r="AT447" s="66">
        <f>+IF($W447="","",ROUND(IF($B447&gt;Parámetros!$D$107,'Tablas Servicio'!AR447+('Tablas Servicio'!AT446-'Tablas Servicio'!AR446),AR447/(1-IF(B447&lt;=10,Parámetros!$D$100,0))),2))</f>
        <v>0</v>
      </c>
      <c r="AU447" s="66">
        <f t="shared" si="608"/>
        <v>0</v>
      </c>
      <c r="AV447" s="66">
        <f t="shared" si="608"/>
        <v>0</v>
      </c>
      <c r="AW447" s="66">
        <f>+IF($W447="","",ROUND((AT447*Parámetros!$G$85),2))</f>
        <v>0</v>
      </c>
      <c r="AX447" s="66">
        <f>+IF($W447="","",ROUND((AT447*(Parámetros!$G$86)),2))</f>
        <v>0</v>
      </c>
      <c r="AY447" s="66">
        <f t="shared" si="609"/>
        <v>0</v>
      </c>
      <c r="AZ447" t="str">
        <f t="shared" si="651"/>
        <v>00060</v>
      </c>
      <c r="BA447" t="str">
        <f t="shared" si="652"/>
        <v>Muerte Accidental</v>
      </c>
      <c r="BB447" s="118">
        <f t="shared" si="653"/>
        <v>0</v>
      </c>
      <c r="BC447" s="118" t="str">
        <f t="shared" si="654"/>
        <v>A</v>
      </c>
      <c r="BD447" s="119" t="str">
        <f>+IF(OR($W447="",BB447=0),"",ROUND((VLOOKUP(ROUNDDOWN($D447-1/frec,0),cob_adi,AO$40,FALSE)*(1+i/frec)^-0.5*(1+Parámetros!$D$103)*(1+rec_fracc)/frec),6))</f>
        <v/>
      </c>
      <c r="BE447" s="66">
        <f t="shared" si="610"/>
        <v>0</v>
      </c>
      <c r="BF447" s="119" t="str">
        <f t="shared" si="611"/>
        <v/>
      </c>
      <c r="BG447" s="66">
        <f>+IF($W447="","",ROUND(IF($B447&gt;Parámetros!$D$107,'Tablas Servicio'!BE447+('Tablas Servicio'!BG446-'Tablas Servicio'!BE446),BE447/(1-IF(B447&lt;=10,Parámetros!$D$100,0))),2))</f>
        <v>0</v>
      </c>
      <c r="BH447" s="66">
        <f t="shared" si="612"/>
        <v>0</v>
      </c>
      <c r="BI447" s="66">
        <f t="shared" si="613"/>
        <v>0</v>
      </c>
      <c r="BJ447" s="66">
        <f>+IF($W447="","",ROUND((BG447*Parámetros!$G$85),2))</f>
        <v>0</v>
      </c>
      <c r="BK447" s="66">
        <f>+IF($W447="","",ROUND((BG447*(Parámetros!$G$86)),2))</f>
        <v>0</v>
      </c>
      <c r="BL447" s="66">
        <f t="shared" si="614"/>
        <v>0</v>
      </c>
      <c r="BM447" t="str">
        <f t="shared" si="655"/>
        <v>00061</v>
      </c>
      <c r="BN447" t="str">
        <f t="shared" si="656"/>
        <v>Gastos de Entierro</v>
      </c>
      <c r="BO447" s="118">
        <f t="shared" si="657"/>
        <v>0</v>
      </c>
      <c r="BP447" s="118" t="str">
        <f t="shared" si="658"/>
        <v>A</v>
      </c>
      <c r="BQ447" s="119" t="str">
        <f>+IF(OR($W447="",BO447=0),"",ROUND((VLOOKUP(ROUNDDOWN($D447-1/frec,0),cob_adi,BB$40,FALSE)*(1+i/frec)^-0.5*(1+Parámetros!$D$103)*(1+rec_fracc)/frec),6))</f>
        <v/>
      </c>
      <c r="BR447" s="66">
        <f t="shared" si="615"/>
        <v>0</v>
      </c>
      <c r="BS447" s="119" t="str">
        <f t="shared" si="616"/>
        <v/>
      </c>
      <c r="BT447" s="66">
        <f>+IF($W447="","",ROUND(IF($B447&gt;Parámetros!$D$107,'Tablas Servicio'!BR447+('Tablas Servicio'!BT446-'Tablas Servicio'!BR446),BR447/(1-IF(B447&lt;=10,Parámetros!$D$100,0))),2))</f>
        <v>0</v>
      </c>
      <c r="BU447" s="66">
        <f t="shared" si="617"/>
        <v>0</v>
      </c>
      <c r="BV447" s="66">
        <f t="shared" si="617"/>
        <v>0</v>
      </c>
      <c r="BW447" s="66">
        <f>+IF($W447="","",ROUND((BT447*Parámetros!$G$85),2))</f>
        <v>0</v>
      </c>
      <c r="BX447" s="66">
        <f>+IF($W447="","",ROUND((BT447*(Parámetros!$G$86)),2))</f>
        <v>0</v>
      </c>
      <c r="BY447" s="66">
        <f t="shared" si="618"/>
        <v>0</v>
      </c>
      <c r="BZ447" t="str">
        <f t="shared" si="659"/>
        <v>00062</v>
      </c>
      <c r="CA447" t="str">
        <f t="shared" si="660"/>
        <v>Gastos médicos por accidente</v>
      </c>
      <c r="CB447" s="118">
        <f t="shared" si="661"/>
        <v>0</v>
      </c>
      <c r="CC447" s="118" t="str">
        <f t="shared" si="662"/>
        <v>A</v>
      </c>
      <c r="CD447" s="119" t="str">
        <f t="shared" si="619"/>
        <v/>
      </c>
      <c r="CE447" s="66">
        <f>+IF($W447="","",ROUND((VLOOKUP(ROUNDDOWN($D447-1/frec,0),cob_adi,BO$40,FALSE)*(1+i/frec)^-0.5*(1+Parámetros!$D$103)*(1+rec_fracc)/frec*'TABLAS ADI'!$BC$17),2))</f>
        <v>0</v>
      </c>
      <c r="CF447" s="119" t="str">
        <f t="shared" si="620"/>
        <v/>
      </c>
      <c r="CG447" s="66">
        <f>+IF($W447="","",ROUND(IF($B447&gt;Parámetros!$D$107,'Tablas Servicio'!CE447+('Tablas Servicio'!CG446-'Tablas Servicio'!CE446),CE447/(1-IF(B447&lt;=10,Parámetros!$D$100,0))),2))</f>
        <v>0</v>
      </c>
      <c r="CH447" s="66">
        <f t="shared" si="621"/>
        <v>0</v>
      </c>
      <c r="CI447" s="66">
        <f t="shared" si="621"/>
        <v>0</v>
      </c>
      <c r="CJ447" s="66">
        <f>+IF($W447="","",ROUND((CG447*Parámetros!$G$85),2))</f>
        <v>0</v>
      </c>
      <c r="CK447" s="66">
        <f>+IF($W447="","",ROUND((CG447*(Parámetros!$G$86)),2))</f>
        <v>0</v>
      </c>
      <c r="CL447" s="66">
        <f t="shared" si="622"/>
        <v>0</v>
      </c>
      <c r="CM447" t="str">
        <f t="shared" si="663"/>
        <v>00063</v>
      </c>
      <c r="CN447" s="118" t="str">
        <f t="shared" si="664"/>
        <v>Renta Diaria por Hospitalización</v>
      </c>
      <c r="CO447" s="118">
        <f t="shared" si="665"/>
        <v>0</v>
      </c>
      <c r="CP447" s="118" t="str">
        <f t="shared" si="666"/>
        <v>A</v>
      </c>
      <c r="CQ447" s="119" t="str">
        <f t="shared" si="623"/>
        <v/>
      </c>
      <c r="CR447" s="66">
        <f>+IF($W447="","",ROUND((VLOOKUP(Parámetros!$F$51,'COBERTURAS ADICIONALES'!$S$4:$T$32,2,FALSE)*(1+i/frec)^-0.5*(1+Parámetros!$D$103)*(1+rec_fracc)/frec*$CO$42),2))</f>
        <v>0</v>
      </c>
      <c r="CS447" s="119" t="str">
        <f t="shared" si="624"/>
        <v/>
      </c>
      <c r="CT447" s="66">
        <f>+IF($W447="","",ROUND(IF($B447&gt;Parámetros!$D$107,'Tablas Servicio'!CR447+('Tablas Servicio'!CT446-'Tablas Servicio'!CR446),CR447/(1-IF(B447&lt;=10,Parámetros!$D$100,0))),2))</f>
        <v>0</v>
      </c>
      <c r="CU447" s="66">
        <f t="shared" si="625"/>
        <v>0</v>
      </c>
      <c r="CV447" s="66">
        <f t="shared" si="625"/>
        <v>0</v>
      </c>
      <c r="CW447" s="66">
        <f>+IF($W447="","",ROUND((CT447*Parámetros!$G$85),2))</f>
        <v>0</v>
      </c>
      <c r="CX447" s="66">
        <f>+IF($W447="","",ROUND((CT447*(Parámetros!$G$86)),2))</f>
        <v>0</v>
      </c>
      <c r="CY447" s="66">
        <f t="shared" si="626"/>
        <v>0</v>
      </c>
      <c r="CZ447" t="str">
        <f t="shared" si="667"/>
        <v>00064</v>
      </c>
      <c r="DA447" s="118" t="str">
        <f t="shared" si="668"/>
        <v>Enfermedades Graves</v>
      </c>
      <c r="DB447" s="118">
        <f t="shared" si="669"/>
        <v>0</v>
      </c>
      <c r="DC447" s="118" t="str">
        <f t="shared" si="670"/>
        <v>A</v>
      </c>
      <c r="DD447" s="121" t="str">
        <f>+IF(OR($W447="",DB447=0),"",ROUND((VLOOKUP(ROUNDDOWN($D447-1/frec,0),cob_adi,CO$40,FALSE)*(1+i/frec)^-0.5*(1+Parámetros!$D$103)*(1+rec_fracc)/frec),6))</f>
        <v/>
      </c>
      <c r="DE447" s="66">
        <f t="shared" si="627"/>
        <v>0</v>
      </c>
      <c r="DF447" s="119" t="str">
        <f t="shared" si="628"/>
        <v/>
      </c>
      <c r="DG447" s="66">
        <f>+IF($W447="","",ROUND(IF($B447&gt;Parámetros!$D$107,'Tablas Servicio'!DE447+('Tablas Servicio'!DG446-'Tablas Servicio'!DE446),DE447/(1-IF(B447&lt;=10,Parámetros!$D$100,0))),2))</f>
        <v>0</v>
      </c>
      <c r="DH447" s="66">
        <f t="shared" si="629"/>
        <v>0</v>
      </c>
      <c r="DI447" s="66">
        <f t="shared" si="629"/>
        <v>0</v>
      </c>
      <c r="DJ447" s="66">
        <f>+IF($W447="","",ROUND((DG447*Parámetros!$G$85),2))</f>
        <v>0</v>
      </c>
      <c r="DK447" s="66">
        <f>+IF($W447="","",ROUND((DG447*(Parámetros!$G$86)),2))</f>
        <v>0</v>
      </c>
      <c r="DL447" s="66">
        <f t="shared" si="630"/>
        <v>0</v>
      </c>
      <c r="DM447" t="str">
        <f t="shared" si="671"/>
        <v>00065</v>
      </c>
      <c r="DN447" s="118" t="str">
        <f t="shared" si="672"/>
        <v>Exención pago de primas</v>
      </c>
      <c r="DO447" s="118">
        <f t="shared" si="673"/>
        <v>0</v>
      </c>
      <c r="DP447" s="118" t="str">
        <f t="shared" si="674"/>
        <v>A</v>
      </c>
      <c r="DQ447" s="122" t="str">
        <f>+IF(OR($W447="",DO447=0),"",ROUND((VLOOKUP(ROUNDDOWN($D447-1/frec,0),cob_adi,DB$40,FALSE)*(1+i/frec)^-0.5*(1+Parámetros!$D$103)*(1+rec_fracc)/frec),6))</f>
        <v/>
      </c>
      <c r="DR447" s="66">
        <f t="shared" si="631"/>
        <v>0</v>
      </c>
      <c r="DS447" s="68" t="str">
        <f t="shared" si="632"/>
        <v/>
      </c>
      <c r="DT447" s="66">
        <f>+IF($W447="","",ROUND(IF($B447&gt;Parámetros!$D$107,'Tablas Servicio'!DR447+('Tablas Servicio'!DT446-'Tablas Servicio'!DR446),DR447/(1-IF(B447&lt;=10,Parámetros!$D$100,0))),2))</f>
        <v>0</v>
      </c>
      <c r="DU447" s="66">
        <f t="shared" si="633"/>
        <v>0</v>
      </c>
      <c r="DV447" s="66">
        <f t="shared" si="633"/>
        <v>0</v>
      </c>
      <c r="DW447" s="66">
        <f>+IF($W447="","",ROUND((DT447*Parámetros!$G$85),2))</f>
        <v>0</v>
      </c>
      <c r="DX447" s="66">
        <f>+IF($W447="","",ROUND((DT447*(Parámetros!$G$86)),2))</f>
        <v>0</v>
      </c>
      <c r="DY447" s="66">
        <f t="shared" si="634"/>
        <v>0</v>
      </c>
      <c r="DZ447" t="str">
        <f t="shared" si="675"/>
        <v>00066</v>
      </c>
      <c r="EA447" s="118" t="str">
        <f t="shared" si="675"/>
        <v>Enfermedad terminal</v>
      </c>
      <c r="EB447" s="118">
        <f>+IF($W447="","",ROUND(IF(Parámetros!$D$25='TABLAS MORT'!$V$33,EB446,Z447/2),0))</f>
        <v>50000</v>
      </c>
      <c r="EC447" s="118" t="str">
        <f t="shared" si="675"/>
        <v>A</v>
      </c>
      <c r="ED447" s="122">
        <f>+IF(OR($W447="",EB447=0),"",ROUND((VLOOKUP(ROUNDDOWN($D447-1/frec,0),cob_adi,DO$40,FALSE)*(1+i/frec)^-0.5*(1+Parámetros!$D$103)*(1+rec_fracc)/frec),6))</f>
        <v>6.4999999999999994E-5</v>
      </c>
      <c r="EE447" s="66">
        <f t="shared" si="636"/>
        <v>3.25</v>
      </c>
      <c r="EF447" s="68">
        <f t="shared" si="637"/>
        <v>6.4999999999999994E-5</v>
      </c>
      <c r="EG447" s="66">
        <f>+IF($W447="","",ROUND(IF($B447&gt;Parámetros!$D$107,'Tablas Servicio'!EE447+('Tablas Servicio'!EG446-'Tablas Servicio'!EE446),EE447/(1-IF(B447&lt;=10,Parámetros!$D$100,0))),2))</f>
        <v>3.25</v>
      </c>
      <c r="EH447" s="66">
        <f t="shared" si="638"/>
        <v>0</v>
      </c>
      <c r="EI447" s="66">
        <f t="shared" si="638"/>
        <v>0</v>
      </c>
      <c r="EJ447" s="66">
        <f>+IF($W447="","",ROUND((EG447*Parámetros!$G$85),2))</f>
        <v>0.11</v>
      </c>
      <c r="EK447" s="66">
        <f>+IF($W447="","",ROUND((EG447*(Parámetros!$G$86)),2))</f>
        <v>0.02</v>
      </c>
      <c r="EL447" s="66">
        <f t="shared" si="639"/>
        <v>3.38</v>
      </c>
    </row>
    <row r="448" spans="1:142" x14ac:dyDescent="0.25">
      <c r="A448">
        <f>+IF($C448="","",ROUND(VLOOKUP('Tablas Servicio'!B448,Parámetros!$H$100:$J$159,IF(Parámetros!$E$16="F",2,3),FALSE),2))</f>
        <v>150</v>
      </c>
      <c r="B448">
        <f t="shared" si="590"/>
        <v>34</v>
      </c>
      <c r="C448" s="57">
        <f>+IF(D448="","",'Tablas Servicio'!C447+1)</f>
        <v>407</v>
      </c>
      <c r="D448" s="56">
        <f>+IF(D447&lt;edadmaxtabla,D447+1/Parámetros!$E$25,"")</f>
        <v>73.936666666666781</v>
      </c>
      <c r="E448" s="57">
        <f t="shared" si="600"/>
        <v>73</v>
      </c>
      <c r="F448" s="59">
        <f t="shared" si="601"/>
        <v>100000</v>
      </c>
      <c r="G448" s="66">
        <f t="shared" si="591"/>
        <v>171.15</v>
      </c>
      <c r="H448" s="66">
        <f t="shared" si="592"/>
        <v>178</v>
      </c>
      <c r="I448" s="66">
        <f t="shared" si="640"/>
        <v>-84</v>
      </c>
      <c r="J448" s="66">
        <f t="shared" si="593"/>
        <v>5.99</v>
      </c>
      <c r="K448" s="66">
        <f t="shared" si="594"/>
        <v>0.86</v>
      </c>
      <c r="L448" s="66">
        <f t="shared" si="595"/>
        <v>0</v>
      </c>
      <c r="M448" s="66">
        <f t="shared" si="596"/>
        <v>0</v>
      </c>
      <c r="N448" s="66">
        <f>+IF(C448="","",ROUND(Parámetros!$D$23,2))</f>
        <v>94</v>
      </c>
      <c r="O448" s="66">
        <f t="shared" si="597"/>
        <v>158.65</v>
      </c>
      <c r="P448" s="66">
        <f>+IF($C448="","",ROUND(IF(B448&gt;Parámetros!$D$117,0,N448*Parámetros!$D$116-G448*Parámetros!$D$100),2))</f>
        <v>0</v>
      </c>
      <c r="Q448" s="75">
        <f t="shared" si="641"/>
        <v>3.499853929301782E-2</v>
      </c>
      <c r="R448" s="75">
        <f t="shared" si="642"/>
        <v>5.024832018697049E-3</v>
      </c>
      <c r="S448" s="117">
        <f>+IF($C448="","",ROUND((S447+I448)*(1+Parámetros!$D$91),2))</f>
        <v>26758.47</v>
      </c>
      <c r="T448" s="117">
        <f>+IF($C448="","",ROUND(S448*VLOOKUP(B448,Parámetros!$C$30:$D$39,2,TRUE),2))</f>
        <v>26758.47</v>
      </c>
      <c r="U448" s="117">
        <f>+IF($C448="","",ROUND((U447+I448)*(1+Parámetros!$D$92),2))</f>
        <v>30637.27</v>
      </c>
      <c r="V448" s="117">
        <f>+IF($C448="","",ROUND(U448*VLOOKUP(B448,Parámetros!$C$30:$D$39,2,TRUE),2))</f>
        <v>30637.27</v>
      </c>
      <c r="W448" s="57">
        <f t="shared" si="643"/>
        <v>407</v>
      </c>
      <c r="X448" t="str">
        <f t="shared" si="644"/>
        <v>00058</v>
      </c>
      <c r="Y448" t="str">
        <f t="shared" si="645"/>
        <v>MUERTE POR CUALQUIER CAUSA</v>
      </c>
      <c r="Z448" s="118">
        <f>+IF($W448="","",ROUND(IF(Parámetros!$D$25='TABLAS MORT'!$V$33,Z447,Parámetros!$D$21-'Tablas Servicio'!T447),0))</f>
        <v>100000</v>
      </c>
      <c r="AA448" s="118" t="str">
        <f t="shared" si="646"/>
        <v>P</v>
      </c>
      <c r="AB448" s="119">
        <f>+IF(W448="","",ROUND((VLOOKUP(ROUNDDOWN($D448-1/frec,0),qx_tabla,2,FALSE)*(1+i/frec)^-0.5*(1+Parámetros!$D$103)*(1+rec_fracc)/frec),6))</f>
        <v>1.554E-3</v>
      </c>
      <c r="AC448" s="66">
        <f t="shared" si="602"/>
        <v>155.4</v>
      </c>
      <c r="AD448" s="119">
        <f t="shared" si="598"/>
        <v>1.6789999999999999E-3</v>
      </c>
      <c r="AE448" s="66">
        <f>+IF($W448="","",ROUND(IF($B448&gt;Parámetros!$D$107,'Tablas Servicio'!AC448+('Tablas Servicio'!AG447-'Tablas Servicio'!AC447),AC448/(1-IF(B448&lt;=10,Parámetros!$D$104,Parámetros!$D$105))),2))</f>
        <v>259</v>
      </c>
      <c r="AF448" s="66">
        <f>+IF($W448="","",ROUND(IF($B448&gt;Parámetros!$D$107,'Tablas Servicio'!AC448+('Tablas Servicio'!AG447-'Tablas Servicio'!AC447),(AC448+$A447/frec)/(1-IF(B448&lt;=Parámetros!$D$117,Parámetros!$D$100,0))),2))</f>
        <v>167.9</v>
      </c>
      <c r="AG448" s="66">
        <f t="shared" si="603"/>
        <v>167.9</v>
      </c>
      <c r="AH448" s="66">
        <f t="shared" si="604"/>
        <v>0</v>
      </c>
      <c r="AI448" s="66">
        <f t="shared" si="605"/>
        <v>0</v>
      </c>
      <c r="AJ448" s="66">
        <f>+IF($W448="","",ROUND((AG448*Parámetros!$G$85),2))</f>
        <v>5.88</v>
      </c>
      <c r="AK448" s="66">
        <f>+IF($W448="","",ROUND((AG448*(Parámetros!$G$86)),2))</f>
        <v>0.84</v>
      </c>
      <c r="AL448" s="66">
        <f t="shared" si="599"/>
        <v>174.62</v>
      </c>
      <c r="AM448" t="str">
        <f t="shared" si="647"/>
        <v>00059</v>
      </c>
      <c r="AN448" t="str">
        <f t="shared" si="648"/>
        <v>Incapacidad Total y Permanente</v>
      </c>
      <c r="AO448" s="118">
        <f t="shared" si="649"/>
        <v>0</v>
      </c>
      <c r="AP448" s="118" t="str">
        <f t="shared" si="650"/>
        <v>A</v>
      </c>
      <c r="AQ448" s="119" t="str">
        <f>+IF(OR($W448="",AO448=0),"",ROUND((VLOOKUP(ROUNDDOWN($D448-1/frec,0),cob_adi,Z$40,FALSE)*(1+i/frec)^-0.5*(1+Parámetros!$D$103)*(1+rec_fracc)/frec),6))</f>
        <v/>
      </c>
      <c r="AR448" s="66">
        <f t="shared" si="606"/>
        <v>0</v>
      </c>
      <c r="AS448" s="119" t="str">
        <f t="shared" si="607"/>
        <v/>
      </c>
      <c r="AT448" s="66">
        <f>+IF($W448="","",ROUND(IF($B448&gt;Parámetros!$D$107,'Tablas Servicio'!AR448+('Tablas Servicio'!AT447-'Tablas Servicio'!AR447),AR448/(1-IF(B448&lt;=10,Parámetros!$D$100,0))),2))</f>
        <v>0</v>
      </c>
      <c r="AU448" s="66">
        <f t="shared" si="608"/>
        <v>0</v>
      </c>
      <c r="AV448" s="66">
        <f t="shared" si="608"/>
        <v>0</v>
      </c>
      <c r="AW448" s="66">
        <f>+IF($W448="","",ROUND((AT448*Parámetros!$G$85),2))</f>
        <v>0</v>
      </c>
      <c r="AX448" s="66">
        <f>+IF($W448="","",ROUND((AT448*(Parámetros!$G$86)),2))</f>
        <v>0</v>
      </c>
      <c r="AY448" s="66">
        <f t="shared" si="609"/>
        <v>0</v>
      </c>
      <c r="AZ448" t="str">
        <f t="shared" si="651"/>
        <v>00060</v>
      </c>
      <c r="BA448" t="str">
        <f t="shared" si="652"/>
        <v>Muerte Accidental</v>
      </c>
      <c r="BB448" s="118">
        <f t="shared" si="653"/>
        <v>0</v>
      </c>
      <c r="BC448" s="118" t="str">
        <f t="shared" si="654"/>
        <v>A</v>
      </c>
      <c r="BD448" s="119" t="str">
        <f>+IF(OR($W448="",BB448=0),"",ROUND((VLOOKUP(ROUNDDOWN($D448-1/frec,0),cob_adi,AO$40,FALSE)*(1+i/frec)^-0.5*(1+Parámetros!$D$103)*(1+rec_fracc)/frec),6))</f>
        <v/>
      </c>
      <c r="BE448" s="66">
        <f t="shared" si="610"/>
        <v>0</v>
      </c>
      <c r="BF448" s="119" t="str">
        <f t="shared" si="611"/>
        <v/>
      </c>
      <c r="BG448" s="66">
        <f>+IF($W448="","",ROUND(IF($B448&gt;Parámetros!$D$107,'Tablas Servicio'!BE448+('Tablas Servicio'!BG447-'Tablas Servicio'!BE447),BE448/(1-IF(B448&lt;=10,Parámetros!$D$100,0))),2))</f>
        <v>0</v>
      </c>
      <c r="BH448" s="66">
        <f t="shared" si="612"/>
        <v>0</v>
      </c>
      <c r="BI448" s="66">
        <f t="shared" si="613"/>
        <v>0</v>
      </c>
      <c r="BJ448" s="66">
        <f>+IF($W448="","",ROUND((BG448*Parámetros!$G$85),2))</f>
        <v>0</v>
      </c>
      <c r="BK448" s="66">
        <f>+IF($W448="","",ROUND((BG448*(Parámetros!$G$86)),2))</f>
        <v>0</v>
      </c>
      <c r="BL448" s="66">
        <f t="shared" si="614"/>
        <v>0</v>
      </c>
      <c r="BM448" t="str">
        <f t="shared" si="655"/>
        <v>00061</v>
      </c>
      <c r="BN448" t="str">
        <f t="shared" si="656"/>
        <v>Gastos de Entierro</v>
      </c>
      <c r="BO448" s="118">
        <f t="shared" si="657"/>
        <v>0</v>
      </c>
      <c r="BP448" s="118" t="str">
        <f t="shared" si="658"/>
        <v>A</v>
      </c>
      <c r="BQ448" s="119" t="str">
        <f>+IF(OR($W448="",BO448=0),"",ROUND((VLOOKUP(ROUNDDOWN($D448-1/frec,0),cob_adi,BB$40,FALSE)*(1+i/frec)^-0.5*(1+Parámetros!$D$103)*(1+rec_fracc)/frec),6))</f>
        <v/>
      </c>
      <c r="BR448" s="66">
        <f t="shared" si="615"/>
        <v>0</v>
      </c>
      <c r="BS448" s="119" t="str">
        <f t="shared" si="616"/>
        <v/>
      </c>
      <c r="BT448" s="66">
        <f>+IF($W448="","",ROUND(IF($B448&gt;Parámetros!$D$107,'Tablas Servicio'!BR448+('Tablas Servicio'!BT447-'Tablas Servicio'!BR447),BR448/(1-IF(B448&lt;=10,Parámetros!$D$100,0))),2))</f>
        <v>0</v>
      </c>
      <c r="BU448" s="66">
        <f t="shared" si="617"/>
        <v>0</v>
      </c>
      <c r="BV448" s="66">
        <f t="shared" si="617"/>
        <v>0</v>
      </c>
      <c r="BW448" s="66">
        <f>+IF($W448="","",ROUND((BT448*Parámetros!$G$85),2))</f>
        <v>0</v>
      </c>
      <c r="BX448" s="66">
        <f>+IF($W448="","",ROUND((BT448*(Parámetros!$G$86)),2))</f>
        <v>0</v>
      </c>
      <c r="BY448" s="66">
        <f t="shared" si="618"/>
        <v>0</v>
      </c>
      <c r="BZ448" t="str">
        <f t="shared" si="659"/>
        <v>00062</v>
      </c>
      <c r="CA448" t="str">
        <f t="shared" si="660"/>
        <v>Gastos médicos por accidente</v>
      </c>
      <c r="CB448" s="118">
        <f t="shared" si="661"/>
        <v>0</v>
      </c>
      <c r="CC448" s="118" t="str">
        <f t="shared" si="662"/>
        <v>A</v>
      </c>
      <c r="CD448" s="119" t="str">
        <f t="shared" si="619"/>
        <v/>
      </c>
      <c r="CE448" s="66">
        <f>+IF($W448="","",ROUND((VLOOKUP(ROUNDDOWN($D448-1/frec,0),cob_adi,BO$40,FALSE)*(1+i/frec)^-0.5*(1+Parámetros!$D$103)*(1+rec_fracc)/frec*'TABLAS ADI'!$BC$17),2))</f>
        <v>0</v>
      </c>
      <c r="CF448" s="119" t="str">
        <f t="shared" si="620"/>
        <v/>
      </c>
      <c r="CG448" s="66">
        <f>+IF($W448="","",ROUND(IF($B448&gt;Parámetros!$D$107,'Tablas Servicio'!CE448+('Tablas Servicio'!CG447-'Tablas Servicio'!CE447),CE448/(1-IF(B448&lt;=10,Parámetros!$D$100,0))),2))</f>
        <v>0</v>
      </c>
      <c r="CH448" s="66">
        <f t="shared" si="621"/>
        <v>0</v>
      </c>
      <c r="CI448" s="66">
        <f t="shared" si="621"/>
        <v>0</v>
      </c>
      <c r="CJ448" s="66">
        <f>+IF($W448="","",ROUND((CG448*Parámetros!$G$85),2))</f>
        <v>0</v>
      </c>
      <c r="CK448" s="66">
        <f>+IF($W448="","",ROUND((CG448*(Parámetros!$G$86)),2))</f>
        <v>0</v>
      </c>
      <c r="CL448" s="66">
        <f t="shared" si="622"/>
        <v>0</v>
      </c>
      <c r="CM448" t="str">
        <f t="shared" si="663"/>
        <v>00063</v>
      </c>
      <c r="CN448" s="118" t="str">
        <f t="shared" si="664"/>
        <v>Renta Diaria por Hospitalización</v>
      </c>
      <c r="CO448" s="118">
        <f t="shared" si="665"/>
        <v>0</v>
      </c>
      <c r="CP448" s="118" t="str">
        <f t="shared" si="666"/>
        <v>A</v>
      </c>
      <c r="CQ448" s="119" t="str">
        <f t="shared" si="623"/>
        <v/>
      </c>
      <c r="CR448" s="66">
        <f>+IF($W448="","",ROUND((VLOOKUP(Parámetros!$F$51,'COBERTURAS ADICIONALES'!$S$4:$T$32,2,FALSE)*(1+i/frec)^-0.5*(1+Parámetros!$D$103)*(1+rec_fracc)/frec*$CO$42),2))</f>
        <v>0</v>
      </c>
      <c r="CS448" s="119" t="str">
        <f t="shared" si="624"/>
        <v/>
      </c>
      <c r="CT448" s="66">
        <f>+IF($W448="","",ROUND(IF($B448&gt;Parámetros!$D$107,'Tablas Servicio'!CR448+('Tablas Servicio'!CT447-'Tablas Servicio'!CR447),CR448/(1-IF(B448&lt;=10,Parámetros!$D$100,0))),2))</f>
        <v>0</v>
      </c>
      <c r="CU448" s="66">
        <f t="shared" si="625"/>
        <v>0</v>
      </c>
      <c r="CV448" s="66">
        <f t="shared" si="625"/>
        <v>0</v>
      </c>
      <c r="CW448" s="66">
        <f>+IF($W448="","",ROUND((CT448*Parámetros!$G$85),2))</f>
        <v>0</v>
      </c>
      <c r="CX448" s="66">
        <f>+IF($W448="","",ROUND((CT448*(Parámetros!$G$86)),2))</f>
        <v>0</v>
      </c>
      <c r="CY448" s="66">
        <f t="shared" si="626"/>
        <v>0</v>
      </c>
      <c r="CZ448" t="str">
        <f t="shared" si="667"/>
        <v>00064</v>
      </c>
      <c r="DA448" s="118" t="str">
        <f t="shared" si="668"/>
        <v>Enfermedades Graves</v>
      </c>
      <c r="DB448" s="118">
        <f t="shared" si="669"/>
        <v>0</v>
      </c>
      <c r="DC448" s="118" t="str">
        <f t="shared" si="670"/>
        <v>A</v>
      </c>
      <c r="DD448" s="121" t="str">
        <f>+IF(OR($W448="",DB448=0),"",ROUND((VLOOKUP(ROUNDDOWN($D448-1/frec,0),cob_adi,CO$40,FALSE)*(1+i/frec)^-0.5*(1+Parámetros!$D$103)*(1+rec_fracc)/frec),6))</f>
        <v/>
      </c>
      <c r="DE448" s="66">
        <f t="shared" si="627"/>
        <v>0</v>
      </c>
      <c r="DF448" s="119" t="str">
        <f t="shared" si="628"/>
        <v/>
      </c>
      <c r="DG448" s="66">
        <f>+IF($W448="","",ROUND(IF($B448&gt;Parámetros!$D$107,'Tablas Servicio'!DE448+('Tablas Servicio'!DG447-'Tablas Servicio'!DE447),DE448/(1-IF(B448&lt;=10,Parámetros!$D$100,0))),2))</f>
        <v>0</v>
      </c>
      <c r="DH448" s="66">
        <f t="shared" si="629"/>
        <v>0</v>
      </c>
      <c r="DI448" s="66">
        <f t="shared" si="629"/>
        <v>0</v>
      </c>
      <c r="DJ448" s="66">
        <f>+IF($W448="","",ROUND((DG448*Parámetros!$G$85),2))</f>
        <v>0</v>
      </c>
      <c r="DK448" s="66">
        <f>+IF($W448="","",ROUND((DG448*(Parámetros!$G$86)),2))</f>
        <v>0</v>
      </c>
      <c r="DL448" s="66">
        <f t="shared" si="630"/>
        <v>0</v>
      </c>
      <c r="DM448" t="str">
        <f t="shared" si="671"/>
        <v>00065</v>
      </c>
      <c r="DN448" s="118" t="str">
        <f t="shared" si="672"/>
        <v>Exención pago de primas</v>
      </c>
      <c r="DO448" s="118">
        <f t="shared" si="673"/>
        <v>0</v>
      </c>
      <c r="DP448" s="118" t="str">
        <f t="shared" si="674"/>
        <v>A</v>
      </c>
      <c r="DQ448" s="122" t="str">
        <f>+IF(OR($W448="",DO448=0),"",ROUND((VLOOKUP(ROUNDDOWN($D448-1/frec,0),cob_adi,DB$40,FALSE)*(1+i/frec)^-0.5*(1+Parámetros!$D$103)*(1+rec_fracc)/frec),6))</f>
        <v/>
      </c>
      <c r="DR448" s="66">
        <f t="shared" si="631"/>
        <v>0</v>
      </c>
      <c r="DS448" s="68" t="str">
        <f t="shared" si="632"/>
        <v/>
      </c>
      <c r="DT448" s="66">
        <f>+IF($W448="","",ROUND(IF($B448&gt;Parámetros!$D$107,'Tablas Servicio'!DR448+('Tablas Servicio'!DT447-'Tablas Servicio'!DR447),DR448/(1-IF(B448&lt;=10,Parámetros!$D$100,0))),2))</f>
        <v>0</v>
      </c>
      <c r="DU448" s="66">
        <f t="shared" si="633"/>
        <v>0</v>
      </c>
      <c r="DV448" s="66">
        <f t="shared" si="633"/>
        <v>0</v>
      </c>
      <c r="DW448" s="66">
        <f>+IF($W448="","",ROUND((DT448*Parámetros!$G$85),2))</f>
        <v>0</v>
      </c>
      <c r="DX448" s="66">
        <f>+IF($W448="","",ROUND((DT448*(Parámetros!$G$86)),2))</f>
        <v>0</v>
      </c>
      <c r="DY448" s="66">
        <f t="shared" si="634"/>
        <v>0</v>
      </c>
      <c r="DZ448" t="str">
        <f t="shared" si="675"/>
        <v>00066</v>
      </c>
      <c r="EA448" s="118" t="str">
        <f t="shared" si="675"/>
        <v>Enfermedad terminal</v>
      </c>
      <c r="EB448" s="118">
        <f>+IF($W448="","",ROUND(IF(Parámetros!$D$25='TABLAS MORT'!$V$33,EB447,Z448/2),0))</f>
        <v>50000</v>
      </c>
      <c r="EC448" s="118" t="str">
        <f t="shared" si="675"/>
        <v>A</v>
      </c>
      <c r="ED448" s="122">
        <f>+IF(OR($W448="",EB448=0),"",ROUND((VLOOKUP(ROUNDDOWN($D448-1/frec,0),cob_adi,DO$40,FALSE)*(1+i/frec)^-0.5*(1+Parámetros!$D$103)*(1+rec_fracc)/frec),6))</f>
        <v>6.4999999999999994E-5</v>
      </c>
      <c r="EE448" s="66">
        <f t="shared" si="636"/>
        <v>3.25</v>
      </c>
      <c r="EF448" s="68">
        <f t="shared" si="637"/>
        <v>6.4999999999999994E-5</v>
      </c>
      <c r="EG448" s="66">
        <f>+IF($W448="","",ROUND(IF($B448&gt;Parámetros!$D$107,'Tablas Servicio'!EE448+('Tablas Servicio'!EG447-'Tablas Servicio'!EE447),EE448/(1-IF(B448&lt;=10,Parámetros!$D$100,0))),2))</f>
        <v>3.25</v>
      </c>
      <c r="EH448" s="66">
        <f t="shared" si="638"/>
        <v>0</v>
      </c>
      <c r="EI448" s="66">
        <f t="shared" si="638"/>
        <v>0</v>
      </c>
      <c r="EJ448" s="66">
        <f>+IF($W448="","",ROUND((EG448*Parámetros!$G$85),2))</f>
        <v>0.11</v>
      </c>
      <c r="EK448" s="66">
        <f>+IF($W448="","",ROUND((EG448*(Parámetros!$G$86)),2))</f>
        <v>0.02</v>
      </c>
      <c r="EL448" s="66">
        <f t="shared" si="639"/>
        <v>3.38</v>
      </c>
    </row>
    <row r="449" spans="1:142" x14ac:dyDescent="0.25">
      <c r="A449">
        <f>+IF($C449="","",ROUND(VLOOKUP('Tablas Servicio'!B449,Parámetros!$H$100:$J$159,IF(Parámetros!$E$16="F",2,3),FALSE),2))</f>
        <v>150</v>
      </c>
      <c r="B449">
        <f t="shared" si="590"/>
        <v>34</v>
      </c>
      <c r="C449" s="57">
        <f>+IF(D449="","",'Tablas Servicio'!C448+1)</f>
        <v>408</v>
      </c>
      <c r="D449" s="56">
        <f>+IF(D448&lt;edadmaxtabla,D448+1/Parámetros!$E$25,"")</f>
        <v>74.02000000000011</v>
      </c>
      <c r="E449" s="57">
        <f t="shared" si="600"/>
        <v>74</v>
      </c>
      <c r="F449" s="59">
        <f t="shared" si="601"/>
        <v>100000</v>
      </c>
      <c r="G449" s="66">
        <f t="shared" si="591"/>
        <v>171.15</v>
      </c>
      <c r="H449" s="66">
        <f t="shared" si="592"/>
        <v>178</v>
      </c>
      <c r="I449" s="66">
        <f t="shared" si="640"/>
        <v>-84</v>
      </c>
      <c r="J449" s="66">
        <f t="shared" si="593"/>
        <v>5.99</v>
      </c>
      <c r="K449" s="66">
        <f t="shared" si="594"/>
        <v>0.86</v>
      </c>
      <c r="L449" s="66">
        <f t="shared" si="595"/>
        <v>0</v>
      </c>
      <c r="M449" s="66">
        <f t="shared" si="596"/>
        <v>0</v>
      </c>
      <c r="N449" s="66">
        <f>+IF(C449="","",ROUND(Parámetros!$D$23,2))</f>
        <v>94</v>
      </c>
      <c r="O449" s="66">
        <f t="shared" si="597"/>
        <v>158.65</v>
      </c>
      <c r="P449" s="66">
        <f>+IF($C449="","",ROUND(IF(B449&gt;Parámetros!$D$117,0,N449*Parámetros!$D$116-G449*Parámetros!$D$100),2))</f>
        <v>0</v>
      </c>
      <c r="Q449" s="75">
        <f t="shared" si="641"/>
        <v>3.499853929301782E-2</v>
      </c>
      <c r="R449" s="75">
        <f t="shared" si="642"/>
        <v>5.024832018697049E-3</v>
      </c>
      <c r="S449" s="117">
        <f>+IF($C449="","",ROUND((S448+I449)*(1+Parámetros!$D$91),2))</f>
        <v>26750.13</v>
      </c>
      <c r="T449" s="117">
        <f>+IF($C449="","",ROUND(S449*VLOOKUP(B449,Parámetros!$C$30:$D$39,2,TRUE),2))</f>
        <v>26750.13</v>
      </c>
      <c r="U449" s="117">
        <f>+IF($C449="","",ROUND((U448+I449)*(1+Parámetros!$D$92),2))</f>
        <v>30652.31</v>
      </c>
      <c r="V449" s="117">
        <f>+IF($C449="","",ROUND(U449*VLOOKUP(B449,Parámetros!$C$30:$D$39,2,TRUE),2))</f>
        <v>30652.31</v>
      </c>
      <c r="W449" s="57">
        <f t="shared" si="643"/>
        <v>408</v>
      </c>
      <c r="X449" t="str">
        <f t="shared" si="644"/>
        <v>00058</v>
      </c>
      <c r="Y449" t="str">
        <f t="shared" si="645"/>
        <v>MUERTE POR CUALQUIER CAUSA</v>
      </c>
      <c r="Z449" s="118">
        <f>+IF($W449="","",ROUND(IF(Parámetros!$D$25='TABLAS MORT'!$V$33,Z448,Parámetros!$D$21-'Tablas Servicio'!T448),0))</f>
        <v>100000</v>
      </c>
      <c r="AA449" s="118" t="str">
        <f t="shared" si="646"/>
        <v>P</v>
      </c>
      <c r="AB449" s="119">
        <f>+IF(W449="","",ROUND((VLOOKUP(ROUNDDOWN($D449-1/frec,0),qx_tabla,2,FALSE)*(1+i/frec)^-0.5*(1+Parámetros!$D$103)*(1+rec_fracc)/frec),6))</f>
        <v>1.554E-3</v>
      </c>
      <c r="AC449" s="66">
        <f t="shared" si="602"/>
        <v>155.4</v>
      </c>
      <c r="AD449" s="119">
        <f t="shared" si="598"/>
        <v>1.6789999999999999E-3</v>
      </c>
      <c r="AE449" s="66">
        <f>+IF($W449="","",ROUND(IF($B449&gt;Parámetros!$D$107,'Tablas Servicio'!AC449+('Tablas Servicio'!AG448-'Tablas Servicio'!AC448),AC449/(1-IF(B449&lt;=10,Parámetros!$D$104,Parámetros!$D$105))),2))</f>
        <v>259</v>
      </c>
      <c r="AF449" s="66">
        <f>+IF($W449="","",ROUND(IF($B449&gt;Parámetros!$D$107,'Tablas Servicio'!AC449+('Tablas Servicio'!AG448-'Tablas Servicio'!AC448),(AC449+$A448/frec)/(1-IF(B449&lt;=Parámetros!$D$117,Parámetros!$D$100,0))),2))</f>
        <v>167.9</v>
      </c>
      <c r="AG449" s="66">
        <f t="shared" si="603"/>
        <v>167.9</v>
      </c>
      <c r="AH449" s="66">
        <f t="shared" si="604"/>
        <v>0</v>
      </c>
      <c r="AI449" s="66">
        <f t="shared" si="605"/>
        <v>0</v>
      </c>
      <c r="AJ449" s="66">
        <f>+IF($W449="","",ROUND((AG449*Parámetros!$G$85),2))</f>
        <v>5.88</v>
      </c>
      <c r="AK449" s="66">
        <f>+IF($W449="","",ROUND((AG449*(Parámetros!$G$86)),2))</f>
        <v>0.84</v>
      </c>
      <c r="AL449" s="66">
        <f t="shared" si="599"/>
        <v>174.62</v>
      </c>
      <c r="AM449" t="str">
        <f t="shared" si="647"/>
        <v>00059</v>
      </c>
      <c r="AN449" t="str">
        <f t="shared" si="648"/>
        <v>Incapacidad Total y Permanente</v>
      </c>
      <c r="AO449" s="118">
        <f t="shared" si="649"/>
        <v>0</v>
      </c>
      <c r="AP449" s="118" t="str">
        <f t="shared" si="650"/>
        <v>A</v>
      </c>
      <c r="AQ449" s="119" t="str">
        <f>+IF(OR($W449="",AO449=0),"",ROUND((VLOOKUP(ROUNDDOWN($D449-1/frec,0),cob_adi,Z$40,FALSE)*(1+i/frec)^-0.5*(1+Parámetros!$D$103)*(1+rec_fracc)/frec),6))</f>
        <v/>
      </c>
      <c r="AR449" s="66">
        <f t="shared" si="606"/>
        <v>0</v>
      </c>
      <c r="AS449" s="119" t="str">
        <f t="shared" si="607"/>
        <v/>
      </c>
      <c r="AT449" s="66">
        <f>+IF($W449="","",ROUND(IF($B449&gt;Parámetros!$D$107,'Tablas Servicio'!AR449+('Tablas Servicio'!AT448-'Tablas Servicio'!AR448),AR449/(1-IF(B449&lt;=10,Parámetros!$D$100,0))),2))</f>
        <v>0</v>
      </c>
      <c r="AU449" s="66">
        <f t="shared" si="608"/>
        <v>0</v>
      </c>
      <c r="AV449" s="66">
        <f t="shared" si="608"/>
        <v>0</v>
      </c>
      <c r="AW449" s="66">
        <f>+IF($W449="","",ROUND((AT449*Parámetros!$G$85),2))</f>
        <v>0</v>
      </c>
      <c r="AX449" s="66">
        <f>+IF($W449="","",ROUND((AT449*(Parámetros!$G$86)),2))</f>
        <v>0</v>
      </c>
      <c r="AY449" s="66">
        <f t="shared" si="609"/>
        <v>0</v>
      </c>
      <c r="AZ449" t="str">
        <f t="shared" si="651"/>
        <v>00060</v>
      </c>
      <c r="BA449" t="str">
        <f t="shared" si="652"/>
        <v>Muerte Accidental</v>
      </c>
      <c r="BB449" s="118">
        <f t="shared" si="653"/>
        <v>0</v>
      </c>
      <c r="BC449" s="118" t="str">
        <f t="shared" si="654"/>
        <v>A</v>
      </c>
      <c r="BD449" s="119" t="str">
        <f>+IF(OR($W449="",BB449=0),"",ROUND((VLOOKUP(ROUNDDOWN($D449-1/frec,0),cob_adi,AO$40,FALSE)*(1+i/frec)^-0.5*(1+Parámetros!$D$103)*(1+rec_fracc)/frec),6))</f>
        <v/>
      </c>
      <c r="BE449" s="66">
        <f t="shared" si="610"/>
        <v>0</v>
      </c>
      <c r="BF449" s="119" t="str">
        <f t="shared" si="611"/>
        <v/>
      </c>
      <c r="BG449" s="66">
        <f>+IF($W449="","",ROUND(IF($B449&gt;Parámetros!$D$107,'Tablas Servicio'!BE449+('Tablas Servicio'!BG448-'Tablas Servicio'!BE448),BE449/(1-IF(B449&lt;=10,Parámetros!$D$100,0))),2))</f>
        <v>0</v>
      </c>
      <c r="BH449" s="66">
        <f t="shared" si="612"/>
        <v>0</v>
      </c>
      <c r="BI449" s="66">
        <f t="shared" si="613"/>
        <v>0</v>
      </c>
      <c r="BJ449" s="66">
        <f>+IF($W449="","",ROUND((BG449*Parámetros!$G$85),2))</f>
        <v>0</v>
      </c>
      <c r="BK449" s="66">
        <f>+IF($W449="","",ROUND((BG449*(Parámetros!$G$86)),2))</f>
        <v>0</v>
      </c>
      <c r="BL449" s="66">
        <f t="shared" si="614"/>
        <v>0</v>
      </c>
      <c r="BM449" t="str">
        <f t="shared" si="655"/>
        <v>00061</v>
      </c>
      <c r="BN449" t="str">
        <f t="shared" si="656"/>
        <v>Gastos de Entierro</v>
      </c>
      <c r="BO449" s="118">
        <f t="shared" si="657"/>
        <v>0</v>
      </c>
      <c r="BP449" s="118" t="str">
        <f t="shared" si="658"/>
        <v>A</v>
      </c>
      <c r="BQ449" s="119" t="str">
        <f>+IF(OR($W449="",BO449=0),"",ROUND((VLOOKUP(ROUNDDOWN($D449-1/frec,0),cob_adi,BB$40,FALSE)*(1+i/frec)^-0.5*(1+Parámetros!$D$103)*(1+rec_fracc)/frec),6))</f>
        <v/>
      </c>
      <c r="BR449" s="66">
        <f t="shared" si="615"/>
        <v>0</v>
      </c>
      <c r="BS449" s="119" t="str">
        <f t="shared" si="616"/>
        <v/>
      </c>
      <c r="BT449" s="66">
        <f>+IF($W449="","",ROUND(IF($B449&gt;Parámetros!$D$107,'Tablas Servicio'!BR449+('Tablas Servicio'!BT448-'Tablas Servicio'!BR448),BR449/(1-IF(B449&lt;=10,Parámetros!$D$100,0))),2))</f>
        <v>0</v>
      </c>
      <c r="BU449" s="66">
        <f t="shared" si="617"/>
        <v>0</v>
      </c>
      <c r="BV449" s="66">
        <f t="shared" si="617"/>
        <v>0</v>
      </c>
      <c r="BW449" s="66">
        <f>+IF($W449="","",ROUND((BT449*Parámetros!$G$85),2))</f>
        <v>0</v>
      </c>
      <c r="BX449" s="66">
        <f>+IF($W449="","",ROUND((BT449*(Parámetros!$G$86)),2))</f>
        <v>0</v>
      </c>
      <c r="BY449" s="66">
        <f t="shared" si="618"/>
        <v>0</v>
      </c>
      <c r="BZ449" t="str">
        <f t="shared" si="659"/>
        <v>00062</v>
      </c>
      <c r="CA449" t="str">
        <f t="shared" si="660"/>
        <v>Gastos médicos por accidente</v>
      </c>
      <c r="CB449" s="118">
        <f t="shared" si="661"/>
        <v>0</v>
      </c>
      <c r="CC449" s="118" t="str">
        <f t="shared" si="662"/>
        <v>A</v>
      </c>
      <c r="CD449" s="119" t="str">
        <f t="shared" si="619"/>
        <v/>
      </c>
      <c r="CE449" s="66">
        <f>+IF($W449="","",ROUND((VLOOKUP(ROUNDDOWN($D449-1/frec,0),cob_adi,BO$40,FALSE)*(1+i/frec)^-0.5*(1+Parámetros!$D$103)*(1+rec_fracc)/frec*'TABLAS ADI'!$BC$17),2))</f>
        <v>0</v>
      </c>
      <c r="CF449" s="119" t="str">
        <f t="shared" si="620"/>
        <v/>
      </c>
      <c r="CG449" s="66">
        <f>+IF($W449="","",ROUND(IF($B449&gt;Parámetros!$D$107,'Tablas Servicio'!CE449+('Tablas Servicio'!CG448-'Tablas Servicio'!CE448),CE449/(1-IF(B449&lt;=10,Parámetros!$D$100,0))),2))</f>
        <v>0</v>
      </c>
      <c r="CH449" s="66">
        <f t="shared" si="621"/>
        <v>0</v>
      </c>
      <c r="CI449" s="66">
        <f t="shared" si="621"/>
        <v>0</v>
      </c>
      <c r="CJ449" s="66">
        <f>+IF($W449="","",ROUND((CG449*Parámetros!$G$85),2))</f>
        <v>0</v>
      </c>
      <c r="CK449" s="66">
        <f>+IF($W449="","",ROUND((CG449*(Parámetros!$G$86)),2))</f>
        <v>0</v>
      </c>
      <c r="CL449" s="66">
        <f t="shared" si="622"/>
        <v>0</v>
      </c>
      <c r="CM449" t="str">
        <f t="shared" si="663"/>
        <v>00063</v>
      </c>
      <c r="CN449" s="118" t="str">
        <f t="shared" si="664"/>
        <v>Renta Diaria por Hospitalización</v>
      </c>
      <c r="CO449" s="118">
        <f t="shared" si="665"/>
        <v>0</v>
      </c>
      <c r="CP449" s="118" t="str">
        <f t="shared" si="666"/>
        <v>A</v>
      </c>
      <c r="CQ449" s="119" t="str">
        <f t="shared" si="623"/>
        <v/>
      </c>
      <c r="CR449" s="66">
        <f>+IF($W449="","",ROUND((VLOOKUP(Parámetros!$F$51,'COBERTURAS ADICIONALES'!$S$4:$T$32,2,FALSE)*(1+i/frec)^-0.5*(1+Parámetros!$D$103)*(1+rec_fracc)/frec*$CO$42),2))</f>
        <v>0</v>
      </c>
      <c r="CS449" s="119" t="str">
        <f t="shared" si="624"/>
        <v/>
      </c>
      <c r="CT449" s="66">
        <f>+IF($W449="","",ROUND(IF($B449&gt;Parámetros!$D$107,'Tablas Servicio'!CR449+('Tablas Servicio'!CT448-'Tablas Servicio'!CR448),CR449/(1-IF(B449&lt;=10,Parámetros!$D$100,0))),2))</f>
        <v>0</v>
      </c>
      <c r="CU449" s="66">
        <f t="shared" si="625"/>
        <v>0</v>
      </c>
      <c r="CV449" s="66">
        <f t="shared" si="625"/>
        <v>0</v>
      </c>
      <c r="CW449" s="66">
        <f>+IF($W449="","",ROUND((CT449*Parámetros!$G$85),2))</f>
        <v>0</v>
      </c>
      <c r="CX449" s="66">
        <f>+IF($W449="","",ROUND((CT449*(Parámetros!$G$86)),2))</f>
        <v>0</v>
      </c>
      <c r="CY449" s="66">
        <f t="shared" si="626"/>
        <v>0</v>
      </c>
      <c r="CZ449" t="str">
        <f t="shared" si="667"/>
        <v>00064</v>
      </c>
      <c r="DA449" s="118" t="str">
        <f t="shared" si="668"/>
        <v>Enfermedades Graves</v>
      </c>
      <c r="DB449" s="118">
        <f t="shared" si="669"/>
        <v>0</v>
      </c>
      <c r="DC449" s="118" t="str">
        <f t="shared" si="670"/>
        <v>A</v>
      </c>
      <c r="DD449" s="121" t="str">
        <f>+IF(OR($W449="",DB449=0),"",ROUND((VLOOKUP(ROUNDDOWN($D449-1/frec,0),cob_adi,CO$40,FALSE)*(1+i/frec)^-0.5*(1+Parámetros!$D$103)*(1+rec_fracc)/frec),6))</f>
        <v/>
      </c>
      <c r="DE449" s="66">
        <f t="shared" si="627"/>
        <v>0</v>
      </c>
      <c r="DF449" s="119" t="str">
        <f t="shared" si="628"/>
        <v/>
      </c>
      <c r="DG449" s="66">
        <f>+IF($W449="","",ROUND(IF($B449&gt;Parámetros!$D$107,'Tablas Servicio'!DE449+('Tablas Servicio'!DG448-'Tablas Servicio'!DE448),DE449/(1-IF(B449&lt;=10,Parámetros!$D$100,0))),2))</f>
        <v>0</v>
      </c>
      <c r="DH449" s="66">
        <f t="shared" si="629"/>
        <v>0</v>
      </c>
      <c r="DI449" s="66">
        <f t="shared" si="629"/>
        <v>0</v>
      </c>
      <c r="DJ449" s="66">
        <f>+IF($W449="","",ROUND((DG449*Parámetros!$G$85),2))</f>
        <v>0</v>
      </c>
      <c r="DK449" s="66">
        <f>+IF($W449="","",ROUND((DG449*(Parámetros!$G$86)),2))</f>
        <v>0</v>
      </c>
      <c r="DL449" s="66">
        <f t="shared" si="630"/>
        <v>0</v>
      </c>
      <c r="DM449" t="str">
        <f t="shared" si="671"/>
        <v>00065</v>
      </c>
      <c r="DN449" s="118" t="str">
        <f t="shared" si="672"/>
        <v>Exención pago de primas</v>
      </c>
      <c r="DO449" s="118">
        <f t="shared" si="673"/>
        <v>0</v>
      </c>
      <c r="DP449" s="118" t="str">
        <f t="shared" si="674"/>
        <v>A</v>
      </c>
      <c r="DQ449" s="122" t="str">
        <f>+IF(OR($W449="",DO449=0),"",ROUND((VLOOKUP(ROUNDDOWN($D449-1/frec,0),cob_adi,DB$40,FALSE)*(1+i/frec)^-0.5*(1+Parámetros!$D$103)*(1+rec_fracc)/frec),6))</f>
        <v/>
      </c>
      <c r="DR449" s="66">
        <f t="shared" si="631"/>
        <v>0</v>
      </c>
      <c r="DS449" s="68" t="str">
        <f t="shared" si="632"/>
        <v/>
      </c>
      <c r="DT449" s="66">
        <f>+IF($W449="","",ROUND(IF($B449&gt;Parámetros!$D$107,'Tablas Servicio'!DR449+('Tablas Servicio'!DT448-'Tablas Servicio'!DR448),DR449/(1-IF(B449&lt;=10,Parámetros!$D$100,0))),2))</f>
        <v>0</v>
      </c>
      <c r="DU449" s="66">
        <f t="shared" si="633"/>
        <v>0</v>
      </c>
      <c r="DV449" s="66">
        <f t="shared" si="633"/>
        <v>0</v>
      </c>
      <c r="DW449" s="66">
        <f>+IF($W449="","",ROUND((DT449*Parámetros!$G$85),2))</f>
        <v>0</v>
      </c>
      <c r="DX449" s="66">
        <f>+IF($W449="","",ROUND((DT449*(Parámetros!$G$86)),2))</f>
        <v>0</v>
      </c>
      <c r="DY449" s="66">
        <f t="shared" si="634"/>
        <v>0</v>
      </c>
      <c r="DZ449" t="str">
        <f t="shared" si="675"/>
        <v>00066</v>
      </c>
      <c r="EA449" s="118" t="str">
        <f t="shared" si="675"/>
        <v>Enfermedad terminal</v>
      </c>
      <c r="EB449" s="118">
        <f>+IF($W449="","",ROUND(IF(Parámetros!$D$25='TABLAS MORT'!$V$33,EB448,Z449/2),0))</f>
        <v>50000</v>
      </c>
      <c r="EC449" s="118" t="str">
        <f t="shared" si="675"/>
        <v>A</v>
      </c>
      <c r="ED449" s="122">
        <f>+IF(OR($W449="",EB449=0),"",ROUND((VLOOKUP(ROUNDDOWN($D449-1/frec,0),cob_adi,DO$40,FALSE)*(1+i/frec)^-0.5*(1+Parámetros!$D$103)*(1+rec_fracc)/frec),6))</f>
        <v>6.4999999999999994E-5</v>
      </c>
      <c r="EE449" s="66">
        <f t="shared" si="636"/>
        <v>3.25</v>
      </c>
      <c r="EF449" s="68">
        <f t="shared" si="637"/>
        <v>6.4999999999999994E-5</v>
      </c>
      <c r="EG449" s="66">
        <f>+IF($W449="","",ROUND(IF($B449&gt;Parámetros!$D$107,'Tablas Servicio'!EE449+('Tablas Servicio'!EG448-'Tablas Servicio'!EE448),EE449/(1-IF(B449&lt;=10,Parámetros!$D$100,0))),2))</f>
        <v>3.25</v>
      </c>
      <c r="EH449" s="66">
        <f t="shared" si="638"/>
        <v>0</v>
      </c>
      <c r="EI449" s="66">
        <f t="shared" si="638"/>
        <v>0</v>
      </c>
      <c r="EJ449" s="66">
        <f>+IF($W449="","",ROUND((EG449*Parámetros!$G$85),2))</f>
        <v>0.11</v>
      </c>
      <c r="EK449" s="66">
        <f>+IF($W449="","",ROUND((EG449*(Parámetros!$G$86)),2))</f>
        <v>0.02</v>
      </c>
      <c r="EL449" s="66">
        <f t="shared" si="639"/>
        <v>3.38</v>
      </c>
    </row>
    <row r="450" spans="1:142" x14ac:dyDescent="0.25">
      <c r="A450">
        <f>+IF($C450="","",ROUND(VLOOKUP('Tablas Servicio'!B450,Parámetros!$H$100:$J$159,IF(Parámetros!$E$16="F",2,3),FALSE),2))</f>
        <v>150</v>
      </c>
      <c r="B450">
        <f t="shared" si="590"/>
        <v>35</v>
      </c>
      <c r="C450" s="57">
        <f>+IF(D450="","",'Tablas Servicio'!C449+1)</f>
        <v>409</v>
      </c>
      <c r="D450" s="56">
        <f>+IF(D449&lt;edadmaxtabla,D449+1/Parámetros!$E$25,"")</f>
        <v>74.103333333333438</v>
      </c>
      <c r="E450" s="57">
        <f t="shared" si="600"/>
        <v>74</v>
      </c>
      <c r="F450" s="59">
        <f t="shared" si="601"/>
        <v>100000</v>
      </c>
      <c r="G450" s="66">
        <f t="shared" si="591"/>
        <v>191.45</v>
      </c>
      <c r="H450" s="66">
        <f t="shared" si="592"/>
        <v>199.10999999999999</v>
      </c>
      <c r="I450" s="66">
        <f t="shared" si="640"/>
        <v>-105.10999999999999</v>
      </c>
      <c r="J450" s="66">
        <f t="shared" si="593"/>
        <v>6.7</v>
      </c>
      <c r="K450" s="66">
        <f t="shared" si="594"/>
        <v>0.96</v>
      </c>
      <c r="L450" s="66">
        <f t="shared" si="595"/>
        <v>0</v>
      </c>
      <c r="M450" s="66">
        <f t="shared" si="596"/>
        <v>0</v>
      </c>
      <c r="N450" s="66">
        <f>+IF(C450="","",ROUND(Parámetros!$D$23,2))</f>
        <v>94</v>
      </c>
      <c r="O450" s="66">
        <f t="shared" si="597"/>
        <v>178.95</v>
      </c>
      <c r="P450" s="66">
        <f>+IF($C450="","",ROUND(IF(B450&gt;Parámetros!$D$117,0,N450*Parámetros!$D$116-G450*Parámetros!$D$100),2))</f>
        <v>0</v>
      </c>
      <c r="Q450" s="75">
        <f t="shared" si="641"/>
        <v>3.499608252807522E-2</v>
      </c>
      <c r="R450" s="75">
        <f t="shared" si="642"/>
        <v>5.0143640637242103E-3</v>
      </c>
      <c r="S450" s="117">
        <f>+IF($C450="","",ROUND((S449+I450)*(1+Parámetros!$D$91),2))</f>
        <v>26720.6</v>
      </c>
      <c r="T450" s="117">
        <f>+IF($C450="","",ROUND(S450*VLOOKUP(B450,Parámetros!$C$30:$D$39,2,TRUE),2))</f>
        <v>26720.6</v>
      </c>
      <c r="U450" s="117">
        <f>+IF($C450="","",ROUND((U449+I450)*(1+Parámetros!$D$92),2))</f>
        <v>30646.22</v>
      </c>
      <c r="V450" s="117">
        <f>+IF($C450="","",ROUND(U450*VLOOKUP(B450,Parámetros!$C$30:$D$39,2,TRUE),2))</f>
        <v>30646.22</v>
      </c>
      <c r="W450" s="57">
        <f t="shared" si="643"/>
        <v>409</v>
      </c>
      <c r="X450" t="str">
        <f t="shared" si="644"/>
        <v>00058</v>
      </c>
      <c r="Y450" t="str">
        <f t="shared" si="645"/>
        <v>MUERTE POR CUALQUIER CAUSA</v>
      </c>
      <c r="Z450" s="118">
        <f>+IF($W450="","",ROUND(IF(Parámetros!$D$25='TABLAS MORT'!$V$33,Z449,Parámetros!$D$21-'Tablas Servicio'!T449),0))</f>
        <v>100000</v>
      </c>
      <c r="AA450" s="118" t="str">
        <f t="shared" si="646"/>
        <v>P</v>
      </c>
      <c r="AB450" s="119">
        <f>+IF(W450="","",ROUND((VLOOKUP(ROUNDDOWN($D450-1/frec,0),qx_tabla,2,FALSE)*(1+i/frec)^-0.5*(1+Parámetros!$D$103)*(1+rec_fracc)/frec),6))</f>
        <v>1.7570000000000001E-3</v>
      </c>
      <c r="AC450" s="66">
        <f t="shared" si="602"/>
        <v>175.7</v>
      </c>
      <c r="AD450" s="119">
        <f t="shared" si="598"/>
        <v>1.882E-3</v>
      </c>
      <c r="AE450" s="66">
        <f>+IF($W450="","",ROUND(IF($B450&gt;Parámetros!$D$107,'Tablas Servicio'!AC450+('Tablas Servicio'!AG449-'Tablas Servicio'!AC449),AC450/(1-IF(B450&lt;=10,Parámetros!$D$104,Parámetros!$D$105))),2))</f>
        <v>292.83</v>
      </c>
      <c r="AF450" s="66">
        <f>+IF($W450="","",ROUND(IF($B450&gt;Parámetros!$D$107,'Tablas Servicio'!AC450+('Tablas Servicio'!AG449-'Tablas Servicio'!AC449),(AC450+$A449/frec)/(1-IF(B450&lt;=Parámetros!$D$117,Parámetros!$D$100,0))),2))</f>
        <v>188.2</v>
      </c>
      <c r="AG450" s="66">
        <f t="shared" si="603"/>
        <v>188.2</v>
      </c>
      <c r="AH450" s="66">
        <f t="shared" si="604"/>
        <v>0</v>
      </c>
      <c r="AI450" s="66">
        <f t="shared" si="605"/>
        <v>0</v>
      </c>
      <c r="AJ450" s="66">
        <f>+IF($W450="","",ROUND((AG450*Parámetros!$G$85),2))</f>
        <v>6.59</v>
      </c>
      <c r="AK450" s="66">
        <f>+IF($W450="","",ROUND((AG450*(Parámetros!$G$86)),2))</f>
        <v>0.94</v>
      </c>
      <c r="AL450" s="66">
        <f t="shared" si="599"/>
        <v>195.73</v>
      </c>
      <c r="AM450" t="str">
        <f t="shared" si="647"/>
        <v>00059</v>
      </c>
      <c r="AN450" t="str">
        <f t="shared" si="648"/>
        <v>Incapacidad Total y Permanente</v>
      </c>
      <c r="AO450" s="118">
        <f t="shared" si="649"/>
        <v>0</v>
      </c>
      <c r="AP450" s="118" t="str">
        <f t="shared" si="650"/>
        <v>A</v>
      </c>
      <c r="AQ450" s="119" t="str">
        <f>+IF(OR($W450="",AO450=0),"",ROUND((VLOOKUP(ROUNDDOWN($D450-1/frec,0),cob_adi,Z$40,FALSE)*(1+i/frec)^-0.5*(1+Parámetros!$D$103)*(1+rec_fracc)/frec),6))</f>
        <v/>
      </c>
      <c r="AR450" s="66">
        <f t="shared" si="606"/>
        <v>0</v>
      </c>
      <c r="AS450" s="119" t="str">
        <f t="shared" si="607"/>
        <v/>
      </c>
      <c r="AT450" s="66">
        <f>+IF($W450="","",ROUND(IF($B450&gt;Parámetros!$D$107,'Tablas Servicio'!AR450+('Tablas Servicio'!AT449-'Tablas Servicio'!AR449),AR450/(1-IF(B450&lt;=10,Parámetros!$D$100,0))),2))</f>
        <v>0</v>
      </c>
      <c r="AU450" s="66">
        <f t="shared" si="608"/>
        <v>0</v>
      </c>
      <c r="AV450" s="66">
        <f t="shared" si="608"/>
        <v>0</v>
      </c>
      <c r="AW450" s="66">
        <f>+IF($W450="","",ROUND((AT450*Parámetros!$G$85),2))</f>
        <v>0</v>
      </c>
      <c r="AX450" s="66">
        <f>+IF($W450="","",ROUND((AT450*(Parámetros!$G$86)),2))</f>
        <v>0</v>
      </c>
      <c r="AY450" s="66">
        <f t="shared" si="609"/>
        <v>0</v>
      </c>
      <c r="AZ450" t="str">
        <f t="shared" si="651"/>
        <v>00060</v>
      </c>
      <c r="BA450" t="str">
        <f t="shared" si="652"/>
        <v>Muerte Accidental</v>
      </c>
      <c r="BB450" s="118">
        <f t="shared" si="653"/>
        <v>0</v>
      </c>
      <c r="BC450" s="118" t="str">
        <f t="shared" si="654"/>
        <v>A</v>
      </c>
      <c r="BD450" s="119" t="str">
        <f>+IF(OR($W450="",BB450=0),"",ROUND((VLOOKUP(ROUNDDOWN($D450-1/frec,0),cob_adi,AO$40,FALSE)*(1+i/frec)^-0.5*(1+Parámetros!$D$103)*(1+rec_fracc)/frec),6))</f>
        <v/>
      </c>
      <c r="BE450" s="66">
        <f t="shared" si="610"/>
        <v>0</v>
      </c>
      <c r="BF450" s="119" t="str">
        <f t="shared" si="611"/>
        <v/>
      </c>
      <c r="BG450" s="66">
        <f>+IF($W450="","",ROUND(IF($B450&gt;Parámetros!$D$107,'Tablas Servicio'!BE450+('Tablas Servicio'!BG449-'Tablas Servicio'!BE449),BE450/(1-IF(B450&lt;=10,Parámetros!$D$100,0))),2))</f>
        <v>0</v>
      </c>
      <c r="BH450" s="66">
        <f t="shared" si="612"/>
        <v>0</v>
      </c>
      <c r="BI450" s="66">
        <f t="shared" si="613"/>
        <v>0</v>
      </c>
      <c r="BJ450" s="66">
        <f>+IF($W450="","",ROUND((BG450*Parámetros!$G$85),2))</f>
        <v>0</v>
      </c>
      <c r="BK450" s="66">
        <f>+IF($W450="","",ROUND((BG450*(Parámetros!$G$86)),2))</f>
        <v>0</v>
      </c>
      <c r="BL450" s="66">
        <f t="shared" si="614"/>
        <v>0</v>
      </c>
      <c r="BM450" t="str">
        <f t="shared" si="655"/>
        <v>00061</v>
      </c>
      <c r="BN450" t="str">
        <f t="shared" si="656"/>
        <v>Gastos de Entierro</v>
      </c>
      <c r="BO450" s="118">
        <f t="shared" si="657"/>
        <v>0</v>
      </c>
      <c r="BP450" s="118" t="str">
        <f t="shared" si="658"/>
        <v>A</v>
      </c>
      <c r="BQ450" s="119" t="str">
        <f>+IF(OR($W450="",BO450=0),"",ROUND((VLOOKUP(ROUNDDOWN($D450-1/frec,0),cob_adi,BB$40,FALSE)*(1+i/frec)^-0.5*(1+Parámetros!$D$103)*(1+rec_fracc)/frec),6))</f>
        <v/>
      </c>
      <c r="BR450" s="66">
        <f t="shared" si="615"/>
        <v>0</v>
      </c>
      <c r="BS450" s="119" t="str">
        <f t="shared" si="616"/>
        <v/>
      </c>
      <c r="BT450" s="66">
        <f>+IF($W450="","",ROUND(IF($B450&gt;Parámetros!$D$107,'Tablas Servicio'!BR450+('Tablas Servicio'!BT449-'Tablas Servicio'!BR449),BR450/(1-IF(B450&lt;=10,Parámetros!$D$100,0))),2))</f>
        <v>0</v>
      </c>
      <c r="BU450" s="66">
        <f t="shared" si="617"/>
        <v>0</v>
      </c>
      <c r="BV450" s="66">
        <f t="shared" si="617"/>
        <v>0</v>
      </c>
      <c r="BW450" s="66">
        <f>+IF($W450="","",ROUND((BT450*Parámetros!$G$85),2))</f>
        <v>0</v>
      </c>
      <c r="BX450" s="66">
        <f>+IF($W450="","",ROUND((BT450*(Parámetros!$G$86)),2))</f>
        <v>0</v>
      </c>
      <c r="BY450" s="66">
        <f t="shared" si="618"/>
        <v>0</v>
      </c>
      <c r="BZ450" t="str">
        <f t="shared" si="659"/>
        <v>00062</v>
      </c>
      <c r="CA450" t="str">
        <f t="shared" si="660"/>
        <v>Gastos médicos por accidente</v>
      </c>
      <c r="CB450" s="118">
        <f t="shared" si="661"/>
        <v>0</v>
      </c>
      <c r="CC450" s="118" t="str">
        <f t="shared" si="662"/>
        <v>A</v>
      </c>
      <c r="CD450" s="119" t="str">
        <f t="shared" si="619"/>
        <v/>
      </c>
      <c r="CE450" s="66">
        <f>+IF($W450="","",ROUND((VLOOKUP(ROUNDDOWN($D450-1/frec,0),cob_adi,BO$40,FALSE)*(1+i/frec)^-0.5*(1+Parámetros!$D$103)*(1+rec_fracc)/frec*'TABLAS ADI'!$BC$17),2))</f>
        <v>0</v>
      </c>
      <c r="CF450" s="119" t="str">
        <f t="shared" si="620"/>
        <v/>
      </c>
      <c r="CG450" s="66">
        <f>+IF($W450="","",ROUND(IF($B450&gt;Parámetros!$D$107,'Tablas Servicio'!CE450+('Tablas Servicio'!CG449-'Tablas Servicio'!CE449),CE450/(1-IF(B450&lt;=10,Parámetros!$D$100,0))),2))</f>
        <v>0</v>
      </c>
      <c r="CH450" s="66">
        <f t="shared" si="621"/>
        <v>0</v>
      </c>
      <c r="CI450" s="66">
        <f t="shared" si="621"/>
        <v>0</v>
      </c>
      <c r="CJ450" s="66">
        <f>+IF($W450="","",ROUND((CG450*Parámetros!$G$85),2))</f>
        <v>0</v>
      </c>
      <c r="CK450" s="66">
        <f>+IF($W450="","",ROUND((CG450*(Parámetros!$G$86)),2))</f>
        <v>0</v>
      </c>
      <c r="CL450" s="66">
        <f t="shared" si="622"/>
        <v>0</v>
      </c>
      <c r="CM450" t="str">
        <f t="shared" si="663"/>
        <v>00063</v>
      </c>
      <c r="CN450" s="118" t="str">
        <f t="shared" si="664"/>
        <v>Renta Diaria por Hospitalización</v>
      </c>
      <c r="CO450" s="118">
        <f t="shared" si="665"/>
        <v>0</v>
      </c>
      <c r="CP450" s="118" t="str">
        <f t="shared" si="666"/>
        <v>A</v>
      </c>
      <c r="CQ450" s="119" t="str">
        <f t="shared" si="623"/>
        <v/>
      </c>
      <c r="CR450" s="66">
        <f>+IF($W450="","",ROUND((VLOOKUP(Parámetros!$F$51,'COBERTURAS ADICIONALES'!$S$4:$T$32,2,FALSE)*(1+i/frec)^-0.5*(1+Parámetros!$D$103)*(1+rec_fracc)/frec*$CO$42),2))</f>
        <v>0</v>
      </c>
      <c r="CS450" s="119" t="str">
        <f t="shared" si="624"/>
        <v/>
      </c>
      <c r="CT450" s="66">
        <f>+IF($W450="","",ROUND(IF($B450&gt;Parámetros!$D$107,'Tablas Servicio'!CR450+('Tablas Servicio'!CT449-'Tablas Servicio'!CR449),CR450/(1-IF(B450&lt;=10,Parámetros!$D$100,0))),2))</f>
        <v>0</v>
      </c>
      <c r="CU450" s="66">
        <f t="shared" si="625"/>
        <v>0</v>
      </c>
      <c r="CV450" s="66">
        <f t="shared" si="625"/>
        <v>0</v>
      </c>
      <c r="CW450" s="66">
        <f>+IF($W450="","",ROUND((CT450*Parámetros!$G$85),2))</f>
        <v>0</v>
      </c>
      <c r="CX450" s="66">
        <f>+IF($W450="","",ROUND((CT450*(Parámetros!$G$86)),2))</f>
        <v>0</v>
      </c>
      <c r="CY450" s="66">
        <f t="shared" si="626"/>
        <v>0</v>
      </c>
      <c r="CZ450" t="str">
        <f t="shared" si="667"/>
        <v>00064</v>
      </c>
      <c r="DA450" s="118" t="str">
        <f t="shared" si="668"/>
        <v>Enfermedades Graves</v>
      </c>
      <c r="DB450" s="118">
        <f t="shared" si="669"/>
        <v>0</v>
      </c>
      <c r="DC450" s="118" t="str">
        <f t="shared" si="670"/>
        <v>A</v>
      </c>
      <c r="DD450" s="121" t="str">
        <f>+IF(OR($W450="",DB450=0),"",ROUND((VLOOKUP(ROUNDDOWN($D450-1/frec,0),cob_adi,CO$40,FALSE)*(1+i/frec)^-0.5*(1+Parámetros!$D$103)*(1+rec_fracc)/frec),6))</f>
        <v/>
      </c>
      <c r="DE450" s="66">
        <f t="shared" si="627"/>
        <v>0</v>
      </c>
      <c r="DF450" s="119" t="str">
        <f t="shared" si="628"/>
        <v/>
      </c>
      <c r="DG450" s="66">
        <f>+IF($W450="","",ROUND(IF($B450&gt;Parámetros!$D$107,'Tablas Servicio'!DE450+('Tablas Servicio'!DG449-'Tablas Servicio'!DE449),DE450/(1-IF(B450&lt;=10,Parámetros!$D$100,0))),2))</f>
        <v>0</v>
      </c>
      <c r="DH450" s="66">
        <f t="shared" si="629"/>
        <v>0</v>
      </c>
      <c r="DI450" s="66">
        <f t="shared" si="629"/>
        <v>0</v>
      </c>
      <c r="DJ450" s="66">
        <f>+IF($W450="","",ROUND((DG450*Parámetros!$G$85),2))</f>
        <v>0</v>
      </c>
      <c r="DK450" s="66">
        <f>+IF($W450="","",ROUND((DG450*(Parámetros!$G$86)),2))</f>
        <v>0</v>
      </c>
      <c r="DL450" s="66">
        <f t="shared" si="630"/>
        <v>0</v>
      </c>
      <c r="DM450" t="str">
        <f t="shared" si="671"/>
        <v>00065</v>
      </c>
      <c r="DN450" s="118" t="str">
        <f t="shared" si="672"/>
        <v>Exención pago de primas</v>
      </c>
      <c r="DO450" s="118">
        <f t="shared" si="673"/>
        <v>0</v>
      </c>
      <c r="DP450" s="118" t="str">
        <f t="shared" si="674"/>
        <v>A</v>
      </c>
      <c r="DQ450" s="122" t="str">
        <f>+IF(OR($W450="",DO450=0),"",ROUND((VLOOKUP(ROUNDDOWN($D450-1/frec,0),cob_adi,DB$40,FALSE)*(1+i/frec)^-0.5*(1+Parámetros!$D$103)*(1+rec_fracc)/frec),6))</f>
        <v/>
      </c>
      <c r="DR450" s="66">
        <f t="shared" si="631"/>
        <v>0</v>
      </c>
      <c r="DS450" s="68" t="str">
        <f t="shared" si="632"/>
        <v/>
      </c>
      <c r="DT450" s="66">
        <f>+IF($W450="","",ROUND(IF($B450&gt;Parámetros!$D$107,'Tablas Servicio'!DR450+('Tablas Servicio'!DT449-'Tablas Servicio'!DR449),DR450/(1-IF(B450&lt;=10,Parámetros!$D$100,0))),2))</f>
        <v>0</v>
      </c>
      <c r="DU450" s="66">
        <f t="shared" si="633"/>
        <v>0</v>
      </c>
      <c r="DV450" s="66">
        <f t="shared" si="633"/>
        <v>0</v>
      </c>
      <c r="DW450" s="66">
        <f>+IF($W450="","",ROUND((DT450*Parámetros!$G$85),2))</f>
        <v>0</v>
      </c>
      <c r="DX450" s="66">
        <f>+IF($W450="","",ROUND((DT450*(Parámetros!$G$86)),2))</f>
        <v>0</v>
      </c>
      <c r="DY450" s="66">
        <f t="shared" si="634"/>
        <v>0</v>
      </c>
      <c r="DZ450" t="str">
        <f t="shared" si="675"/>
        <v>00066</v>
      </c>
      <c r="EA450" s="118" t="str">
        <f t="shared" si="675"/>
        <v>Enfermedad terminal</v>
      </c>
      <c r="EB450" s="118">
        <f>+IF($W450="","",ROUND(IF(Parámetros!$D$25='TABLAS MORT'!$V$33,EB449,Z450/2),0))</f>
        <v>50000</v>
      </c>
      <c r="EC450" s="118" t="str">
        <f t="shared" si="675"/>
        <v>A</v>
      </c>
      <c r="ED450" s="122">
        <f>+IF(OR($W450="",EB450=0),"",ROUND((VLOOKUP(ROUNDDOWN($D450-1/frec,0),cob_adi,DO$40,FALSE)*(1+i/frec)^-0.5*(1+Parámetros!$D$103)*(1+rec_fracc)/frec),6))</f>
        <v>6.4999999999999994E-5</v>
      </c>
      <c r="EE450" s="66">
        <f t="shared" si="636"/>
        <v>3.25</v>
      </c>
      <c r="EF450" s="68">
        <f t="shared" si="637"/>
        <v>6.4999999999999994E-5</v>
      </c>
      <c r="EG450" s="66">
        <f>+IF($W450="","",ROUND(IF($B450&gt;Parámetros!$D$107,'Tablas Servicio'!EE450+('Tablas Servicio'!EG449-'Tablas Servicio'!EE449),EE450/(1-IF(B450&lt;=10,Parámetros!$D$100,0))),2))</f>
        <v>3.25</v>
      </c>
      <c r="EH450" s="66">
        <f t="shared" si="638"/>
        <v>0</v>
      </c>
      <c r="EI450" s="66">
        <f t="shared" si="638"/>
        <v>0</v>
      </c>
      <c r="EJ450" s="66">
        <f>+IF($W450="","",ROUND((EG450*Parámetros!$G$85),2))</f>
        <v>0.11</v>
      </c>
      <c r="EK450" s="66">
        <f>+IF($W450="","",ROUND((EG450*(Parámetros!$G$86)),2))</f>
        <v>0.02</v>
      </c>
      <c r="EL450" s="66">
        <f t="shared" si="639"/>
        <v>3.38</v>
      </c>
    </row>
    <row r="451" spans="1:142" x14ac:dyDescent="0.25">
      <c r="A451">
        <f>+IF($C451="","",ROUND(VLOOKUP('Tablas Servicio'!B451,Parámetros!$H$100:$J$159,IF(Parámetros!$E$16="F",2,3),FALSE),2))</f>
        <v>150</v>
      </c>
      <c r="B451">
        <f t="shared" si="590"/>
        <v>35</v>
      </c>
      <c r="C451" s="57">
        <f>+IF(D451="","",'Tablas Servicio'!C450+1)</f>
        <v>410</v>
      </c>
      <c r="D451" s="56">
        <f>+IF(D450&lt;edadmaxtabla,D450+1/Parámetros!$E$25,"")</f>
        <v>74.186666666666767</v>
      </c>
      <c r="E451" s="57">
        <f t="shared" si="600"/>
        <v>74</v>
      </c>
      <c r="F451" s="59">
        <f t="shared" si="601"/>
        <v>100000</v>
      </c>
      <c r="G451" s="66">
        <f t="shared" si="591"/>
        <v>191.45</v>
      </c>
      <c r="H451" s="66">
        <f t="shared" si="592"/>
        <v>199.10999999999999</v>
      </c>
      <c r="I451" s="66">
        <f t="shared" si="640"/>
        <v>-105.10999999999999</v>
      </c>
      <c r="J451" s="66">
        <f t="shared" si="593"/>
        <v>6.7</v>
      </c>
      <c r="K451" s="66">
        <f t="shared" si="594"/>
        <v>0.96</v>
      </c>
      <c r="L451" s="66">
        <f t="shared" si="595"/>
        <v>0</v>
      </c>
      <c r="M451" s="66">
        <f t="shared" si="596"/>
        <v>0</v>
      </c>
      <c r="N451" s="66">
        <f>+IF(C451="","",ROUND(Parámetros!$D$23,2))</f>
        <v>94</v>
      </c>
      <c r="O451" s="66">
        <f t="shared" si="597"/>
        <v>178.95</v>
      </c>
      <c r="P451" s="66">
        <f>+IF($C451="","",ROUND(IF(B451&gt;Parámetros!$D$117,0,N451*Parámetros!$D$116-G451*Parámetros!$D$100),2))</f>
        <v>0</v>
      </c>
      <c r="Q451" s="75">
        <f t="shared" si="641"/>
        <v>3.499608252807522E-2</v>
      </c>
      <c r="R451" s="75">
        <f t="shared" si="642"/>
        <v>5.0143640637242103E-3</v>
      </c>
      <c r="S451" s="117">
        <f>+IF($C451="","",ROUND((S450+I451)*(1+Parámetros!$D$91),2))</f>
        <v>26690.98</v>
      </c>
      <c r="T451" s="117">
        <f>+IF($C451="","",ROUND(S451*VLOOKUP(B451,Parámetros!$C$30:$D$39,2,TRUE),2))</f>
        <v>26690.98</v>
      </c>
      <c r="U451" s="117">
        <f>+IF($C451="","",ROUND((U450+I451)*(1+Parámetros!$D$92),2))</f>
        <v>30640.11</v>
      </c>
      <c r="V451" s="117">
        <f>+IF($C451="","",ROUND(U451*VLOOKUP(B451,Parámetros!$C$30:$D$39,2,TRUE),2))</f>
        <v>30640.11</v>
      </c>
      <c r="W451" s="57">
        <f t="shared" si="643"/>
        <v>410</v>
      </c>
      <c r="X451" t="str">
        <f t="shared" si="644"/>
        <v>00058</v>
      </c>
      <c r="Y451" t="str">
        <f t="shared" si="645"/>
        <v>MUERTE POR CUALQUIER CAUSA</v>
      </c>
      <c r="Z451" s="118">
        <f>+IF($W451="","",ROUND(IF(Parámetros!$D$25='TABLAS MORT'!$V$33,Z450,Parámetros!$D$21-'Tablas Servicio'!T450),0))</f>
        <v>100000</v>
      </c>
      <c r="AA451" s="118" t="str">
        <f t="shared" si="646"/>
        <v>P</v>
      </c>
      <c r="AB451" s="119">
        <f>+IF(W451="","",ROUND((VLOOKUP(ROUNDDOWN($D451-1/frec,0),qx_tabla,2,FALSE)*(1+i/frec)^-0.5*(1+Parámetros!$D$103)*(1+rec_fracc)/frec),6))</f>
        <v>1.7570000000000001E-3</v>
      </c>
      <c r="AC451" s="66">
        <f t="shared" si="602"/>
        <v>175.7</v>
      </c>
      <c r="AD451" s="119">
        <f t="shared" si="598"/>
        <v>1.882E-3</v>
      </c>
      <c r="AE451" s="66">
        <f>+IF($W451="","",ROUND(IF($B451&gt;Parámetros!$D$107,'Tablas Servicio'!AC451+('Tablas Servicio'!AG450-'Tablas Servicio'!AC450),AC451/(1-IF(B451&lt;=10,Parámetros!$D$104,Parámetros!$D$105))),2))</f>
        <v>292.83</v>
      </c>
      <c r="AF451" s="66">
        <f>+IF($W451="","",ROUND(IF($B451&gt;Parámetros!$D$107,'Tablas Servicio'!AC451+('Tablas Servicio'!AG450-'Tablas Servicio'!AC450),(AC451+$A450/frec)/(1-IF(B451&lt;=Parámetros!$D$117,Parámetros!$D$100,0))),2))</f>
        <v>188.2</v>
      </c>
      <c r="AG451" s="66">
        <f t="shared" si="603"/>
        <v>188.2</v>
      </c>
      <c r="AH451" s="66">
        <f t="shared" si="604"/>
        <v>0</v>
      </c>
      <c r="AI451" s="66">
        <f t="shared" si="605"/>
        <v>0</v>
      </c>
      <c r="AJ451" s="66">
        <f>+IF($W451="","",ROUND((AG451*Parámetros!$G$85),2))</f>
        <v>6.59</v>
      </c>
      <c r="AK451" s="66">
        <f>+IF($W451="","",ROUND((AG451*(Parámetros!$G$86)),2))</f>
        <v>0.94</v>
      </c>
      <c r="AL451" s="66">
        <f t="shared" si="599"/>
        <v>195.73</v>
      </c>
      <c r="AM451" t="str">
        <f t="shared" si="647"/>
        <v>00059</v>
      </c>
      <c r="AN451" t="str">
        <f t="shared" si="648"/>
        <v>Incapacidad Total y Permanente</v>
      </c>
      <c r="AO451" s="118">
        <f t="shared" si="649"/>
        <v>0</v>
      </c>
      <c r="AP451" s="118" t="str">
        <f t="shared" si="650"/>
        <v>A</v>
      </c>
      <c r="AQ451" s="119" t="str">
        <f>+IF(OR($W451="",AO451=0),"",ROUND((VLOOKUP(ROUNDDOWN($D451-1/frec,0),cob_adi,Z$40,FALSE)*(1+i/frec)^-0.5*(1+Parámetros!$D$103)*(1+rec_fracc)/frec),6))</f>
        <v/>
      </c>
      <c r="AR451" s="66">
        <f t="shared" si="606"/>
        <v>0</v>
      </c>
      <c r="AS451" s="119" t="str">
        <f t="shared" si="607"/>
        <v/>
      </c>
      <c r="AT451" s="66">
        <f>+IF($W451="","",ROUND(IF($B451&gt;Parámetros!$D$107,'Tablas Servicio'!AR451+('Tablas Servicio'!AT450-'Tablas Servicio'!AR450),AR451/(1-IF(B451&lt;=10,Parámetros!$D$100,0))),2))</f>
        <v>0</v>
      </c>
      <c r="AU451" s="66">
        <f t="shared" si="608"/>
        <v>0</v>
      </c>
      <c r="AV451" s="66">
        <f t="shared" si="608"/>
        <v>0</v>
      </c>
      <c r="AW451" s="66">
        <f>+IF($W451="","",ROUND((AT451*Parámetros!$G$85),2))</f>
        <v>0</v>
      </c>
      <c r="AX451" s="66">
        <f>+IF($W451="","",ROUND((AT451*(Parámetros!$G$86)),2))</f>
        <v>0</v>
      </c>
      <c r="AY451" s="66">
        <f t="shared" si="609"/>
        <v>0</v>
      </c>
      <c r="AZ451" t="str">
        <f t="shared" si="651"/>
        <v>00060</v>
      </c>
      <c r="BA451" t="str">
        <f t="shared" si="652"/>
        <v>Muerte Accidental</v>
      </c>
      <c r="BB451" s="118">
        <f t="shared" si="653"/>
        <v>0</v>
      </c>
      <c r="BC451" s="118" t="str">
        <f t="shared" si="654"/>
        <v>A</v>
      </c>
      <c r="BD451" s="119" t="str">
        <f>+IF(OR($W451="",BB451=0),"",ROUND((VLOOKUP(ROUNDDOWN($D451-1/frec,0),cob_adi,AO$40,FALSE)*(1+i/frec)^-0.5*(1+Parámetros!$D$103)*(1+rec_fracc)/frec),6))</f>
        <v/>
      </c>
      <c r="BE451" s="66">
        <f t="shared" si="610"/>
        <v>0</v>
      </c>
      <c r="BF451" s="119" t="str">
        <f t="shared" si="611"/>
        <v/>
      </c>
      <c r="BG451" s="66">
        <f>+IF($W451="","",ROUND(IF($B451&gt;Parámetros!$D$107,'Tablas Servicio'!BE451+('Tablas Servicio'!BG450-'Tablas Servicio'!BE450),BE451/(1-IF(B451&lt;=10,Parámetros!$D$100,0))),2))</f>
        <v>0</v>
      </c>
      <c r="BH451" s="66">
        <f t="shared" si="612"/>
        <v>0</v>
      </c>
      <c r="BI451" s="66">
        <f t="shared" si="613"/>
        <v>0</v>
      </c>
      <c r="BJ451" s="66">
        <f>+IF($W451="","",ROUND((BG451*Parámetros!$G$85),2))</f>
        <v>0</v>
      </c>
      <c r="BK451" s="66">
        <f>+IF($W451="","",ROUND((BG451*(Parámetros!$G$86)),2))</f>
        <v>0</v>
      </c>
      <c r="BL451" s="66">
        <f t="shared" si="614"/>
        <v>0</v>
      </c>
      <c r="BM451" t="str">
        <f t="shared" si="655"/>
        <v>00061</v>
      </c>
      <c r="BN451" t="str">
        <f t="shared" si="656"/>
        <v>Gastos de Entierro</v>
      </c>
      <c r="BO451" s="118">
        <f t="shared" si="657"/>
        <v>0</v>
      </c>
      <c r="BP451" s="118" t="str">
        <f t="shared" si="658"/>
        <v>A</v>
      </c>
      <c r="BQ451" s="119" t="str">
        <f>+IF(OR($W451="",BO451=0),"",ROUND((VLOOKUP(ROUNDDOWN($D451-1/frec,0),cob_adi,BB$40,FALSE)*(1+i/frec)^-0.5*(1+Parámetros!$D$103)*(1+rec_fracc)/frec),6))</f>
        <v/>
      </c>
      <c r="BR451" s="66">
        <f t="shared" si="615"/>
        <v>0</v>
      </c>
      <c r="BS451" s="119" t="str">
        <f t="shared" si="616"/>
        <v/>
      </c>
      <c r="BT451" s="66">
        <f>+IF($W451="","",ROUND(IF($B451&gt;Parámetros!$D$107,'Tablas Servicio'!BR451+('Tablas Servicio'!BT450-'Tablas Servicio'!BR450),BR451/(1-IF(B451&lt;=10,Parámetros!$D$100,0))),2))</f>
        <v>0</v>
      </c>
      <c r="BU451" s="66">
        <f t="shared" si="617"/>
        <v>0</v>
      </c>
      <c r="BV451" s="66">
        <f t="shared" si="617"/>
        <v>0</v>
      </c>
      <c r="BW451" s="66">
        <f>+IF($W451="","",ROUND((BT451*Parámetros!$G$85),2))</f>
        <v>0</v>
      </c>
      <c r="BX451" s="66">
        <f>+IF($W451="","",ROUND((BT451*(Parámetros!$G$86)),2))</f>
        <v>0</v>
      </c>
      <c r="BY451" s="66">
        <f t="shared" si="618"/>
        <v>0</v>
      </c>
      <c r="BZ451" t="str">
        <f t="shared" si="659"/>
        <v>00062</v>
      </c>
      <c r="CA451" t="str">
        <f t="shared" si="660"/>
        <v>Gastos médicos por accidente</v>
      </c>
      <c r="CB451" s="118">
        <f t="shared" si="661"/>
        <v>0</v>
      </c>
      <c r="CC451" s="118" t="str">
        <f t="shared" si="662"/>
        <v>A</v>
      </c>
      <c r="CD451" s="119" t="str">
        <f t="shared" si="619"/>
        <v/>
      </c>
      <c r="CE451" s="66">
        <f>+IF($W451="","",ROUND((VLOOKUP(ROUNDDOWN($D451-1/frec,0),cob_adi,BO$40,FALSE)*(1+i/frec)^-0.5*(1+Parámetros!$D$103)*(1+rec_fracc)/frec*'TABLAS ADI'!$BC$17),2))</f>
        <v>0</v>
      </c>
      <c r="CF451" s="119" t="str">
        <f t="shared" si="620"/>
        <v/>
      </c>
      <c r="CG451" s="66">
        <f>+IF($W451="","",ROUND(IF($B451&gt;Parámetros!$D$107,'Tablas Servicio'!CE451+('Tablas Servicio'!CG450-'Tablas Servicio'!CE450),CE451/(1-IF(B451&lt;=10,Parámetros!$D$100,0))),2))</f>
        <v>0</v>
      </c>
      <c r="CH451" s="66">
        <f t="shared" si="621"/>
        <v>0</v>
      </c>
      <c r="CI451" s="66">
        <f t="shared" si="621"/>
        <v>0</v>
      </c>
      <c r="CJ451" s="66">
        <f>+IF($W451="","",ROUND((CG451*Parámetros!$G$85),2))</f>
        <v>0</v>
      </c>
      <c r="CK451" s="66">
        <f>+IF($W451="","",ROUND((CG451*(Parámetros!$G$86)),2))</f>
        <v>0</v>
      </c>
      <c r="CL451" s="66">
        <f t="shared" si="622"/>
        <v>0</v>
      </c>
      <c r="CM451" t="str">
        <f t="shared" si="663"/>
        <v>00063</v>
      </c>
      <c r="CN451" s="118" t="str">
        <f t="shared" si="664"/>
        <v>Renta Diaria por Hospitalización</v>
      </c>
      <c r="CO451" s="118">
        <f t="shared" si="665"/>
        <v>0</v>
      </c>
      <c r="CP451" s="118" t="str">
        <f t="shared" si="666"/>
        <v>A</v>
      </c>
      <c r="CQ451" s="119" t="str">
        <f t="shared" si="623"/>
        <v/>
      </c>
      <c r="CR451" s="66">
        <f>+IF($W451="","",ROUND((VLOOKUP(Parámetros!$F$51,'COBERTURAS ADICIONALES'!$S$4:$T$32,2,FALSE)*(1+i/frec)^-0.5*(1+Parámetros!$D$103)*(1+rec_fracc)/frec*$CO$42),2))</f>
        <v>0</v>
      </c>
      <c r="CS451" s="119" t="str">
        <f t="shared" si="624"/>
        <v/>
      </c>
      <c r="CT451" s="66">
        <f>+IF($W451="","",ROUND(IF($B451&gt;Parámetros!$D$107,'Tablas Servicio'!CR451+('Tablas Servicio'!CT450-'Tablas Servicio'!CR450),CR451/(1-IF(B451&lt;=10,Parámetros!$D$100,0))),2))</f>
        <v>0</v>
      </c>
      <c r="CU451" s="66">
        <f t="shared" si="625"/>
        <v>0</v>
      </c>
      <c r="CV451" s="66">
        <f t="shared" si="625"/>
        <v>0</v>
      </c>
      <c r="CW451" s="66">
        <f>+IF($W451="","",ROUND((CT451*Parámetros!$G$85),2))</f>
        <v>0</v>
      </c>
      <c r="CX451" s="66">
        <f>+IF($W451="","",ROUND((CT451*(Parámetros!$G$86)),2))</f>
        <v>0</v>
      </c>
      <c r="CY451" s="66">
        <f t="shared" si="626"/>
        <v>0</v>
      </c>
      <c r="CZ451" t="str">
        <f t="shared" si="667"/>
        <v>00064</v>
      </c>
      <c r="DA451" s="118" t="str">
        <f t="shared" si="668"/>
        <v>Enfermedades Graves</v>
      </c>
      <c r="DB451" s="118">
        <f t="shared" si="669"/>
        <v>0</v>
      </c>
      <c r="DC451" s="118" t="str">
        <f t="shared" si="670"/>
        <v>A</v>
      </c>
      <c r="DD451" s="121" t="str">
        <f>+IF(OR($W451="",DB451=0),"",ROUND((VLOOKUP(ROUNDDOWN($D451-1/frec,0),cob_adi,CO$40,FALSE)*(1+i/frec)^-0.5*(1+Parámetros!$D$103)*(1+rec_fracc)/frec),6))</f>
        <v/>
      </c>
      <c r="DE451" s="66">
        <f t="shared" si="627"/>
        <v>0</v>
      </c>
      <c r="DF451" s="119" t="str">
        <f t="shared" si="628"/>
        <v/>
      </c>
      <c r="DG451" s="66">
        <f>+IF($W451="","",ROUND(IF($B451&gt;Parámetros!$D$107,'Tablas Servicio'!DE451+('Tablas Servicio'!DG450-'Tablas Servicio'!DE450),DE451/(1-IF(B451&lt;=10,Parámetros!$D$100,0))),2))</f>
        <v>0</v>
      </c>
      <c r="DH451" s="66">
        <f t="shared" si="629"/>
        <v>0</v>
      </c>
      <c r="DI451" s="66">
        <f t="shared" si="629"/>
        <v>0</v>
      </c>
      <c r="DJ451" s="66">
        <f>+IF($W451="","",ROUND((DG451*Parámetros!$G$85),2))</f>
        <v>0</v>
      </c>
      <c r="DK451" s="66">
        <f>+IF($W451="","",ROUND((DG451*(Parámetros!$G$86)),2))</f>
        <v>0</v>
      </c>
      <c r="DL451" s="66">
        <f t="shared" si="630"/>
        <v>0</v>
      </c>
      <c r="DM451" t="str">
        <f t="shared" si="671"/>
        <v>00065</v>
      </c>
      <c r="DN451" s="118" t="str">
        <f t="shared" si="672"/>
        <v>Exención pago de primas</v>
      </c>
      <c r="DO451" s="118">
        <f t="shared" si="673"/>
        <v>0</v>
      </c>
      <c r="DP451" s="118" t="str">
        <f t="shared" si="674"/>
        <v>A</v>
      </c>
      <c r="DQ451" s="122" t="str">
        <f>+IF(OR($W451="",DO451=0),"",ROUND((VLOOKUP(ROUNDDOWN($D451-1/frec,0),cob_adi,DB$40,FALSE)*(1+i/frec)^-0.5*(1+Parámetros!$D$103)*(1+rec_fracc)/frec),6))</f>
        <v/>
      </c>
      <c r="DR451" s="66">
        <f t="shared" si="631"/>
        <v>0</v>
      </c>
      <c r="DS451" s="68" t="str">
        <f t="shared" si="632"/>
        <v/>
      </c>
      <c r="DT451" s="66">
        <f>+IF($W451="","",ROUND(IF($B451&gt;Parámetros!$D$107,'Tablas Servicio'!DR451+('Tablas Servicio'!DT450-'Tablas Servicio'!DR450),DR451/(1-IF(B451&lt;=10,Parámetros!$D$100,0))),2))</f>
        <v>0</v>
      </c>
      <c r="DU451" s="66">
        <f t="shared" si="633"/>
        <v>0</v>
      </c>
      <c r="DV451" s="66">
        <f t="shared" si="633"/>
        <v>0</v>
      </c>
      <c r="DW451" s="66">
        <f>+IF($W451="","",ROUND((DT451*Parámetros!$G$85),2))</f>
        <v>0</v>
      </c>
      <c r="DX451" s="66">
        <f>+IF($W451="","",ROUND((DT451*(Parámetros!$G$86)),2))</f>
        <v>0</v>
      </c>
      <c r="DY451" s="66">
        <f t="shared" si="634"/>
        <v>0</v>
      </c>
      <c r="DZ451" t="str">
        <f t="shared" si="675"/>
        <v>00066</v>
      </c>
      <c r="EA451" s="118" t="str">
        <f t="shared" si="675"/>
        <v>Enfermedad terminal</v>
      </c>
      <c r="EB451" s="118">
        <f>+IF($W451="","",ROUND(IF(Parámetros!$D$25='TABLAS MORT'!$V$33,EB450,Z451/2),0))</f>
        <v>50000</v>
      </c>
      <c r="EC451" s="118" t="str">
        <f t="shared" si="675"/>
        <v>A</v>
      </c>
      <c r="ED451" s="122">
        <f>+IF(OR($W451="",EB451=0),"",ROUND((VLOOKUP(ROUNDDOWN($D451-1/frec,0),cob_adi,DO$40,FALSE)*(1+i/frec)^-0.5*(1+Parámetros!$D$103)*(1+rec_fracc)/frec),6))</f>
        <v>6.4999999999999994E-5</v>
      </c>
      <c r="EE451" s="66">
        <f t="shared" si="636"/>
        <v>3.25</v>
      </c>
      <c r="EF451" s="68">
        <f t="shared" si="637"/>
        <v>6.4999999999999994E-5</v>
      </c>
      <c r="EG451" s="66">
        <f>+IF($W451="","",ROUND(IF($B451&gt;Parámetros!$D$107,'Tablas Servicio'!EE451+('Tablas Servicio'!EG450-'Tablas Servicio'!EE450),EE451/(1-IF(B451&lt;=10,Parámetros!$D$100,0))),2))</f>
        <v>3.25</v>
      </c>
      <c r="EH451" s="66">
        <f t="shared" si="638"/>
        <v>0</v>
      </c>
      <c r="EI451" s="66">
        <f t="shared" si="638"/>
        <v>0</v>
      </c>
      <c r="EJ451" s="66">
        <f>+IF($W451="","",ROUND((EG451*Parámetros!$G$85),2))</f>
        <v>0.11</v>
      </c>
      <c r="EK451" s="66">
        <f>+IF($W451="","",ROUND((EG451*(Parámetros!$G$86)),2))</f>
        <v>0.02</v>
      </c>
      <c r="EL451" s="66">
        <f t="shared" si="639"/>
        <v>3.38</v>
      </c>
    </row>
    <row r="452" spans="1:142" x14ac:dyDescent="0.25">
      <c r="A452">
        <f>+IF($C452="","",ROUND(VLOOKUP('Tablas Servicio'!B452,Parámetros!$H$100:$J$159,IF(Parámetros!$E$16="F",2,3),FALSE),2))</f>
        <v>150</v>
      </c>
      <c r="B452">
        <f t="shared" si="590"/>
        <v>35</v>
      </c>
      <c r="C452" s="57">
        <f>+IF(D452="","",'Tablas Servicio'!C451+1)</f>
        <v>411</v>
      </c>
      <c r="D452" s="56">
        <f>+IF(D451&lt;edadmaxtabla,D451+1/Parámetros!$E$25,"")</f>
        <v>74.270000000000095</v>
      </c>
      <c r="E452" s="57">
        <f t="shared" si="600"/>
        <v>74</v>
      </c>
      <c r="F452" s="59">
        <f t="shared" si="601"/>
        <v>100000</v>
      </c>
      <c r="G452" s="66">
        <f t="shared" si="591"/>
        <v>191.45</v>
      </c>
      <c r="H452" s="66">
        <f t="shared" si="592"/>
        <v>199.10999999999999</v>
      </c>
      <c r="I452" s="66">
        <f t="shared" si="640"/>
        <v>-105.10999999999999</v>
      </c>
      <c r="J452" s="66">
        <f t="shared" si="593"/>
        <v>6.7</v>
      </c>
      <c r="K452" s="66">
        <f t="shared" si="594"/>
        <v>0.96</v>
      </c>
      <c r="L452" s="66">
        <f t="shared" si="595"/>
        <v>0</v>
      </c>
      <c r="M452" s="66">
        <f t="shared" si="596"/>
        <v>0</v>
      </c>
      <c r="N452" s="66">
        <f>+IF(C452="","",ROUND(Parámetros!$D$23,2))</f>
        <v>94</v>
      </c>
      <c r="O452" s="66">
        <f t="shared" si="597"/>
        <v>178.95</v>
      </c>
      <c r="P452" s="66">
        <f>+IF($C452="","",ROUND(IF(B452&gt;Parámetros!$D$117,0,N452*Parámetros!$D$116-G452*Parámetros!$D$100),2))</f>
        <v>0</v>
      </c>
      <c r="Q452" s="75">
        <f t="shared" si="641"/>
        <v>3.499608252807522E-2</v>
      </c>
      <c r="R452" s="75">
        <f t="shared" si="642"/>
        <v>5.0143640637242103E-3</v>
      </c>
      <c r="S452" s="117">
        <f>+IF($C452="","",ROUND((S451+I452)*(1+Parámetros!$D$91),2))</f>
        <v>26661.279999999999</v>
      </c>
      <c r="T452" s="117">
        <f>+IF($C452="","",ROUND(S452*VLOOKUP(B452,Parámetros!$C$30:$D$39,2,TRUE),2))</f>
        <v>26661.279999999999</v>
      </c>
      <c r="U452" s="117">
        <f>+IF($C452="","",ROUND((U451+I452)*(1+Parámetros!$D$92),2))</f>
        <v>30633.98</v>
      </c>
      <c r="V452" s="117">
        <f>+IF($C452="","",ROUND(U452*VLOOKUP(B452,Parámetros!$C$30:$D$39,2,TRUE),2))</f>
        <v>30633.98</v>
      </c>
      <c r="W452" s="57">
        <f t="shared" si="643"/>
        <v>411</v>
      </c>
      <c r="X452" t="str">
        <f t="shared" si="644"/>
        <v>00058</v>
      </c>
      <c r="Y452" t="str">
        <f t="shared" si="645"/>
        <v>MUERTE POR CUALQUIER CAUSA</v>
      </c>
      <c r="Z452" s="118">
        <f>+IF($W452="","",ROUND(IF(Parámetros!$D$25='TABLAS MORT'!$V$33,Z451,Parámetros!$D$21-'Tablas Servicio'!T451),0))</f>
        <v>100000</v>
      </c>
      <c r="AA452" s="118" t="str">
        <f t="shared" si="646"/>
        <v>P</v>
      </c>
      <c r="AB452" s="119">
        <f>+IF(W452="","",ROUND((VLOOKUP(ROUNDDOWN($D452-1/frec,0),qx_tabla,2,FALSE)*(1+i/frec)^-0.5*(1+Parámetros!$D$103)*(1+rec_fracc)/frec),6))</f>
        <v>1.7570000000000001E-3</v>
      </c>
      <c r="AC452" s="66">
        <f t="shared" si="602"/>
        <v>175.7</v>
      </c>
      <c r="AD452" s="119">
        <f t="shared" si="598"/>
        <v>1.882E-3</v>
      </c>
      <c r="AE452" s="66">
        <f>+IF($W452="","",ROUND(IF($B452&gt;Parámetros!$D$107,'Tablas Servicio'!AC452+('Tablas Servicio'!AG451-'Tablas Servicio'!AC451),AC452/(1-IF(B452&lt;=10,Parámetros!$D$104,Parámetros!$D$105))),2))</f>
        <v>292.83</v>
      </c>
      <c r="AF452" s="66">
        <f>+IF($W452="","",ROUND(IF($B452&gt;Parámetros!$D$107,'Tablas Servicio'!AC452+('Tablas Servicio'!AG451-'Tablas Servicio'!AC451),(AC452+$A451/frec)/(1-IF(B452&lt;=Parámetros!$D$117,Parámetros!$D$100,0))),2))</f>
        <v>188.2</v>
      </c>
      <c r="AG452" s="66">
        <f t="shared" si="603"/>
        <v>188.2</v>
      </c>
      <c r="AH452" s="66">
        <f t="shared" si="604"/>
        <v>0</v>
      </c>
      <c r="AI452" s="66">
        <f t="shared" si="605"/>
        <v>0</v>
      </c>
      <c r="AJ452" s="66">
        <f>+IF($W452="","",ROUND((AG452*Parámetros!$G$85),2))</f>
        <v>6.59</v>
      </c>
      <c r="AK452" s="66">
        <f>+IF($W452="","",ROUND((AG452*(Parámetros!$G$86)),2))</f>
        <v>0.94</v>
      </c>
      <c r="AL452" s="66">
        <f t="shared" si="599"/>
        <v>195.73</v>
      </c>
      <c r="AM452" t="str">
        <f t="shared" si="647"/>
        <v>00059</v>
      </c>
      <c r="AN452" t="str">
        <f t="shared" si="648"/>
        <v>Incapacidad Total y Permanente</v>
      </c>
      <c r="AO452" s="118">
        <f t="shared" si="649"/>
        <v>0</v>
      </c>
      <c r="AP452" s="118" t="str">
        <f t="shared" si="650"/>
        <v>A</v>
      </c>
      <c r="AQ452" s="119" t="str">
        <f>+IF(OR($W452="",AO452=0),"",ROUND((VLOOKUP(ROUNDDOWN($D452-1/frec,0),cob_adi,Z$40,FALSE)*(1+i/frec)^-0.5*(1+Parámetros!$D$103)*(1+rec_fracc)/frec),6))</f>
        <v/>
      </c>
      <c r="AR452" s="66">
        <f t="shared" si="606"/>
        <v>0</v>
      </c>
      <c r="AS452" s="119" t="str">
        <f t="shared" si="607"/>
        <v/>
      </c>
      <c r="AT452" s="66">
        <f>+IF($W452="","",ROUND(IF($B452&gt;Parámetros!$D$107,'Tablas Servicio'!AR452+('Tablas Servicio'!AT451-'Tablas Servicio'!AR451),AR452/(1-IF(B452&lt;=10,Parámetros!$D$100,0))),2))</f>
        <v>0</v>
      </c>
      <c r="AU452" s="66">
        <f t="shared" si="608"/>
        <v>0</v>
      </c>
      <c r="AV452" s="66">
        <f t="shared" si="608"/>
        <v>0</v>
      </c>
      <c r="AW452" s="66">
        <f>+IF($W452="","",ROUND((AT452*Parámetros!$G$85),2))</f>
        <v>0</v>
      </c>
      <c r="AX452" s="66">
        <f>+IF($W452="","",ROUND((AT452*(Parámetros!$G$86)),2))</f>
        <v>0</v>
      </c>
      <c r="AY452" s="66">
        <f t="shared" si="609"/>
        <v>0</v>
      </c>
      <c r="AZ452" t="str">
        <f t="shared" si="651"/>
        <v>00060</v>
      </c>
      <c r="BA452" t="str">
        <f t="shared" si="652"/>
        <v>Muerte Accidental</v>
      </c>
      <c r="BB452" s="118">
        <f t="shared" si="653"/>
        <v>0</v>
      </c>
      <c r="BC452" s="118" t="str">
        <f t="shared" si="654"/>
        <v>A</v>
      </c>
      <c r="BD452" s="119" t="str">
        <f>+IF(OR($W452="",BB452=0),"",ROUND((VLOOKUP(ROUNDDOWN($D452-1/frec,0),cob_adi,AO$40,FALSE)*(1+i/frec)^-0.5*(1+Parámetros!$D$103)*(1+rec_fracc)/frec),6))</f>
        <v/>
      </c>
      <c r="BE452" s="66">
        <f t="shared" si="610"/>
        <v>0</v>
      </c>
      <c r="BF452" s="119" t="str">
        <f t="shared" si="611"/>
        <v/>
      </c>
      <c r="BG452" s="66">
        <f>+IF($W452="","",ROUND(IF($B452&gt;Parámetros!$D$107,'Tablas Servicio'!BE452+('Tablas Servicio'!BG451-'Tablas Servicio'!BE451),BE452/(1-IF(B452&lt;=10,Parámetros!$D$100,0))),2))</f>
        <v>0</v>
      </c>
      <c r="BH452" s="66">
        <f t="shared" si="612"/>
        <v>0</v>
      </c>
      <c r="BI452" s="66">
        <f t="shared" si="613"/>
        <v>0</v>
      </c>
      <c r="BJ452" s="66">
        <f>+IF($W452="","",ROUND((BG452*Parámetros!$G$85),2))</f>
        <v>0</v>
      </c>
      <c r="BK452" s="66">
        <f>+IF($W452="","",ROUND((BG452*(Parámetros!$G$86)),2))</f>
        <v>0</v>
      </c>
      <c r="BL452" s="66">
        <f t="shared" si="614"/>
        <v>0</v>
      </c>
      <c r="BM452" t="str">
        <f t="shared" si="655"/>
        <v>00061</v>
      </c>
      <c r="BN452" t="str">
        <f t="shared" si="656"/>
        <v>Gastos de Entierro</v>
      </c>
      <c r="BO452" s="118">
        <f t="shared" si="657"/>
        <v>0</v>
      </c>
      <c r="BP452" s="118" t="str">
        <f t="shared" si="658"/>
        <v>A</v>
      </c>
      <c r="BQ452" s="119" t="str">
        <f>+IF(OR($W452="",BO452=0),"",ROUND((VLOOKUP(ROUNDDOWN($D452-1/frec,0),cob_adi,BB$40,FALSE)*(1+i/frec)^-0.5*(1+Parámetros!$D$103)*(1+rec_fracc)/frec),6))</f>
        <v/>
      </c>
      <c r="BR452" s="66">
        <f t="shared" si="615"/>
        <v>0</v>
      </c>
      <c r="BS452" s="119" t="str">
        <f t="shared" si="616"/>
        <v/>
      </c>
      <c r="BT452" s="66">
        <f>+IF($W452="","",ROUND(IF($B452&gt;Parámetros!$D$107,'Tablas Servicio'!BR452+('Tablas Servicio'!BT451-'Tablas Servicio'!BR451),BR452/(1-IF(B452&lt;=10,Parámetros!$D$100,0))),2))</f>
        <v>0</v>
      </c>
      <c r="BU452" s="66">
        <f t="shared" si="617"/>
        <v>0</v>
      </c>
      <c r="BV452" s="66">
        <f t="shared" si="617"/>
        <v>0</v>
      </c>
      <c r="BW452" s="66">
        <f>+IF($W452="","",ROUND((BT452*Parámetros!$G$85),2))</f>
        <v>0</v>
      </c>
      <c r="BX452" s="66">
        <f>+IF($W452="","",ROUND((BT452*(Parámetros!$G$86)),2))</f>
        <v>0</v>
      </c>
      <c r="BY452" s="66">
        <f t="shared" si="618"/>
        <v>0</v>
      </c>
      <c r="BZ452" t="str">
        <f t="shared" si="659"/>
        <v>00062</v>
      </c>
      <c r="CA452" t="str">
        <f t="shared" si="660"/>
        <v>Gastos médicos por accidente</v>
      </c>
      <c r="CB452" s="118">
        <f t="shared" si="661"/>
        <v>0</v>
      </c>
      <c r="CC452" s="118" t="str">
        <f t="shared" si="662"/>
        <v>A</v>
      </c>
      <c r="CD452" s="119" t="str">
        <f t="shared" si="619"/>
        <v/>
      </c>
      <c r="CE452" s="66">
        <f>+IF($W452="","",ROUND((VLOOKUP(ROUNDDOWN($D452-1/frec,0),cob_adi,BO$40,FALSE)*(1+i/frec)^-0.5*(1+Parámetros!$D$103)*(1+rec_fracc)/frec*'TABLAS ADI'!$BC$17),2))</f>
        <v>0</v>
      </c>
      <c r="CF452" s="119" t="str">
        <f t="shared" si="620"/>
        <v/>
      </c>
      <c r="CG452" s="66">
        <f>+IF($W452="","",ROUND(IF($B452&gt;Parámetros!$D$107,'Tablas Servicio'!CE452+('Tablas Servicio'!CG451-'Tablas Servicio'!CE451),CE452/(1-IF(B452&lt;=10,Parámetros!$D$100,0))),2))</f>
        <v>0</v>
      </c>
      <c r="CH452" s="66">
        <f t="shared" si="621"/>
        <v>0</v>
      </c>
      <c r="CI452" s="66">
        <f t="shared" si="621"/>
        <v>0</v>
      </c>
      <c r="CJ452" s="66">
        <f>+IF($W452="","",ROUND((CG452*Parámetros!$G$85),2))</f>
        <v>0</v>
      </c>
      <c r="CK452" s="66">
        <f>+IF($W452="","",ROUND((CG452*(Parámetros!$G$86)),2))</f>
        <v>0</v>
      </c>
      <c r="CL452" s="66">
        <f t="shared" si="622"/>
        <v>0</v>
      </c>
      <c r="CM452" t="str">
        <f t="shared" si="663"/>
        <v>00063</v>
      </c>
      <c r="CN452" s="118" t="str">
        <f t="shared" si="664"/>
        <v>Renta Diaria por Hospitalización</v>
      </c>
      <c r="CO452" s="118">
        <f t="shared" si="665"/>
        <v>0</v>
      </c>
      <c r="CP452" s="118" t="str">
        <f t="shared" si="666"/>
        <v>A</v>
      </c>
      <c r="CQ452" s="119" t="str">
        <f t="shared" si="623"/>
        <v/>
      </c>
      <c r="CR452" s="66">
        <f>+IF($W452="","",ROUND((VLOOKUP(Parámetros!$F$51,'COBERTURAS ADICIONALES'!$S$4:$T$32,2,FALSE)*(1+i/frec)^-0.5*(1+Parámetros!$D$103)*(1+rec_fracc)/frec*$CO$42),2))</f>
        <v>0</v>
      </c>
      <c r="CS452" s="119" t="str">
        <f t="shared" si="624"/>
        <v/>
      </c>
      <c r="CT452" s="66">
        <f>+IF($W452="","",ROUND(IF($B452&gt;Parámetros!$D$107,'Tablas Servicio'!CR452+('Tablas Servicio'!CT451-'Tablas Servicio'!CR451),CR452/(1-IF(B452&lt;=10,Parámetros!$D$100,0))),2))</f>
        <v>0</v>
      </c>
      <c r="CU452" s="66">
        <f t="shared" si="625"/>
        <v>0</v>
      </c>
      <c r="CV452" s="66">
        <f t="shared" si="625"/>
        <v>0</v>
      </c>
      <c r="CW452" s="66">
        <f>+IF($W452="","",ROUND((CT452*Parámetros!$G$85),2))</f>
        <v>0</v>
      </c>
      <c r="CX452" s="66">
        <f>+IF($W452="","",ROUND((CT452*(Parámetros!$G$86)),2))</f>
        <v>0</v>
      </c>
      <c r="CY452" s="66">
        <f t="shared" si="626"/>
        <v>0</v>
      </c>
      <c r="CZ452" t="str">
        <f t="shared" si="667"/>
        <v>00064</v>
      </c>
      <c r="DA452" s="118" t="str">
        <f t="shared" si="668"/>
        <v>Enfermedades Graves</v>
      </c>
      <c r="DB452" s="118">
        <f t="shared" si="669"/>
        <v>0</v>
      </c>
      <c r="DC452" s="118" t="str">
        <f t="shared" si="670"/>
        <v>A</v>
      </c>
      <c r="DD452" s="121" t="str">
        <f>+IF(OR($W452="",DB452=0),"",ROUND((VLOOKUP(ROUNDDOWN($D452-1/frec,0),cob_adi,CO$40,FALSE)*(1+i/frec)^-0.5*(1+Parámetros!$D$103)*(1+rec_fracc)/frec),6))</f>
        <v/>
      </c>
      <c r="DE452" s="66">
        <f t="shared" si="627"/>
        <v>0</v>
      </c>
      <c r="DF452" s="119" t="str">
        <f t="shared" si="628"/>
        <v/>
      </c>
      <c r="DG452" s="66">
        <f>+IF($W452="","",ROUND(IF($B452&gt;Parámetros!$D$107,'Tablas Servicio'!DE452+('Tablas Servicio'!DG451-'Tablas Servicio'!DE451),DE452/(1-IF(B452&lt;=10,Parámetros!$D$100,0))),2))</f>
        <v>0</v>
      </c>
      <c r="DH452" s="66">
        <f t="shared" si="629"/>
        <v>0</v>
      </c>
      <c r="DI452" s="66">
        <f t="shared" si="629"/>
        <v>0</v>
      </c>
      <c r="DJ452" s="66">
        <f>+IF($W452="","",ROUND((DG452*Parámetros!$G$85),2))</f>
        <v>0</v>
      </c>
      <c r="DK452" s="66">
        <f>+IF($W452="","",ROUND((DG452*(Parámetros!$G$86)),2))</f>
        <v>0</v>
      </c>
      <c r="DL452" s="66">
        <f t="shared" si="630"/>
        <v>0</v>
      </c>
      <c r="DM452" t="str">
        <f t="shared" si="671"/>
        <v>00065</v>
      </c>
      <c r="DN452" s="118" t="str">
        <f t="shared" si="672"/>
        <v>Exención pago de primas</v>
      </c>
      <c r="DO452" s="118">
        <f t="shared" si="673"/>
        <v>0</v>
      </c>
      <c r="DP452" s="118" t="str">
        <f t="shared" si="674"/>
        <v>A</v>
      </c>
      <c r="DQ452" s="122" t="str">
        <f>+IF(OR($W452="",DO452=0),"",ROUND((VLOOKUP(ROUNDDOWN($D452-1/frec,0),cob_adi,DB$40,FALSE)*(1+i/frec)^-0.5*(1+Parámetros!$D$103)*(1+rec_fracc)/frec),6))</f>
        <v/>
      </c>
      <c r="DR452" s="66">
        <f t="shared" si="631"/>
        <v>0</v>
      </c>
      <c r="DS452" s="68" t="str">
        <f t="shared" si="632"/>
        <v/>
      </c>
      <c r="DT452" s="66">
        <f>+IF($W452="","",ROUND(IF($B452&gt;Parámetros!$D$107,'Tablas Servicio'!DR452+('Tablas Servicio'!DT451-'Tablas Servicio'!DR451),DR452/(1-IF(B452&lt;=10,Parámetros!$D$100,0))),2))</f>
        <v>0</v>
      </c>
      <c r="DU452" s="66">
        <f t="shared" si="633"/>
        <v>0</v>
      </c>
      <c r="DV452" s="66">
        <f t="shared" si="633"/>
        <v>0</v>
      </c>
      <c r="DW452" s="66">
        <f>+IF($W452="","",ROUND((DT452*Parámetros!$G$85),2))</f>
        <v>0</v>
      </c>
      <c r="DX452" s="66">
        <f>+IF($W452="","",ROUND((DT452*(Parámetros!$G$86)),2))</f>
        <v>0</v>
      </c>
      <c r="DY452" s="66">
        <f t="shared" si="634"/>
        <v>0</v>
      </c>
      <c r="DZ452" t="str">
        <f t="shared" si="675"/>
        <v>00066</v>
      </c>
      <c r="EA452" s="118" t="str">
        <f t="shared" si="675"/>
        <v>Enfermedad terminal</v>
      </c>
      <c r="EB452" s="118">
        <f>+IF($W452="","",ROUND(IF(Parámetros!$D$25='TABLAS MORT'!$V$33,EB451,Z452/2),0))</f>
        <v>50000</v>
      </c>
      <c r="EC452" s="118" t="str">
        <f t="shared" si="675"/>
        <v>A</v>
      </c>
      <c r="ED452" s="122">
        <f>+IF(OR($W452="",EB452=0),"",ROUND((VLOOKUP(ROUNDDOWN($D452-1/frec,0),cob_adi,DO$40,FALSE)*(1+i/frec)^-0.5*(1+Parámetros!$D$103)*(1+rec_fracc)/frec),6))</f>
        <v>6.4999999999999994E-5</v>
      </c>
      <c r="EE452" s="66">
        <f t="shared" si="636"/>
        <v>3.25</v>
      </c>
      <c r="EF452" s="68">
        <f t="shared" si="637"/>
        <v>6.4999999999999994E-5</v>
      </c>
      <c r="EG452" s="66">
        <f>+IF($W452="","",ROUND(IF($B452&gt;Parámetros!$D$107,'Tablas Servicio'!EE452+('Tablas Servicio'!EG451-'Tablas Servicio'!EE451),EE452/(1-IF(B452&lt;=10,Parámetros!$D$100,0))),2))</f>
        <v>3.25</v>
      </c>
      <c r="EH452" s="66">
        <f t="shared" si="638"/>
        <v>0</v>
      </c>
      <c r="EI452" s="66">
        <f t="shared" si="638"/>
        <v>0</v>
      </c>
      <c r="EJ452" s="66">
        <f>+IF($W452="","",ROUND((EG452*Parámetros!$G$85),2))</f>
        <v>0.11</v>
      </c>
      <c r="EK452" s="66">
        <f>+IF($W452="","",ROUND((EG452*(Parámetros!$G$86)),2))</f>
        <v>0.02</v>
      </c>
      <c r="EL452" s="66">
        <f t="shared" si="639"/>
        <v>3.38</v>
      </c>
    </row>
    <row r="453" spans="1:142" x14ac:dyDescent="0.25">
      <c r="A453">
        <f>+IF($C453="","",ROUND(VLOOKUP('Tablas Servicio'!B453,Parámetros!$H$100:$J$159,IF(Parámetros!$E$16="F",2,3),FALSE),2))</f>
        <v>150</v>
      </c>
      <c r="B453">
        <f t="shared" si="590"/>
        <v>35</v>
      </c>
      <c r="C453" s="57">
        <f>+IF(D453="","",'Tablas Servicio'!C452+1)</f>
        <v>412</v>
      </c>
      <c r="D453" s="56">
        <f>+IF(D452&lt;edadmaxtabla,D452+1/Parámetros!$E$25,"")</f>
        <v>74.353333333333424</v>
      </c>
      <c r="E453" s="57">
        <f t="shared" si="600"/>
        <v>74</v>
      </c>
      <c r="F453" s="59">
        <f t="shared" si="601"/>
        <v>100000</v>
      </c>
      <c r="G453" s="66">
        <f t="shared" si="591"/>
        <v>191.45</v>
      </c>
      <c r="H453" s="66">
        <f t="shared" si="592"/>
        <v>199.10999999999999</v>
      </c>
      <c r="I453" s="66">
        <f t="shared" si="640"/>
        <v>-105.10999999999999</v>
      </c>
      <c r="J453" s="66">
        <f t="shared" si="593"/>
        <v>6.7</v>
      </c>
      <c r="K453" s="66">
        <f t="shared" si="594"/>
        <v>0.96</v>
      </c>
      <c r="L453" s="66">
        <f t="shared" si="595"/>
        <v>0</v>
      </c>
      <c r="M453" s="66">
        <f t="shared" si="596"/>
        <v>0</v>
      </c>
      <c r="N453" s="66">
        <f>+IF(C453="","",ROUND(Parámetros!$D$23,2))</f>
        <v>94</v>
      </c>
      <c r="O453" s="66">
        <f t="shared" si="597"/>
        <v>178.95</v>
      </c>
      <c r="P453" s="66">
        <f>+IF($C453="","",ROUND(IF(B453&gt;Parámetros!$D$117,0,N453*Parámetros!$D$116-G453*Parámetros!$D$100),2))</f>
        <v>0</v>
      </c>
      <c r="Q453" s="75">
        <f t="shared" si="641"/>
        <v>3.499608252807522E-2</v>
      </c>
      <c r="R453" s="75">
        <f t="shared" si="642"/>
        <v>5.0143640637242103E-3</v>
      </c>
      <c r="S453" s="117">
        <f>+IF($C453="","",ROUND((S452+I453)*(1+Parámetros!$D$91),2))</f>
        <v>26631.5</v>
      </c>
      <c r="T453" s="117">
        <f>+IF($C453="","",ROUND(S453*VLOOKUP(B453,Parámetros!$C$30:$D$39,2,TRUE),2))</f>
        <v>26631.5</v>
      </c>
      <c r="U453" s="117">
        <f>+IF($C453="","",ROUND((U452+I453)*(1+Parámetros!$D$92),2))</f>
        <v>30627.83</v>
      </c>
      <c r="V453" s="117">
        <f>+IF($C453="","",ROUND(U453*VLOOKUP(B453,Parámetros!$C$30:$D$39,2,TRUE),2))</f>
        <v>30627.83</v>
      </c>
      <c r="W453" s="57">
        <f t="shared" si="643"/>
        <v>412</v>
      </c>
      <c r="X453" t="str">
        <f t="shared" si="644"/>
        <v>00058</v>
      </c>
      <c r="Y453" t="str">
        <f t="shared" si="645"/>
        <v>MUERTE POR CUALQUIER CAUSA</v>
      </c>
      <c r="Z453" s="118">
        <f>+IF($W453="","",ROUND(IF(Parámetros!$D$25='TABLAS MORT'!$V$33,Z452,Parámetros!$D$21-'Tablas Servicio'!T452),0))</f>
        <v>100000</v>
      </c>
      <c r="AA453" s="118" t="str">
        <f t="shared" si="646"/>
        <v>P</v>
      </c>
      <c r="AB453" s="119">
        <f>+IF(W453="","",ROUND((VLOOKUP(ROUNDDOWN($D453-1/frec,0),qx_tabla,2,FALSE)*(1+i/frec)^-0.5*(1+Parámetros!$D$103)*(1+rec_fracc)/frec),6))</f>
        <v>1.7570000000000001E-3</v>
      </c>
      <c r="AC453" s="66">
        <f t="shared" si="602"/>
        <v>175.7</v>
      </c>
      <c r="AD453" s="119">
        <f t="shared" si="598"/>
        <v>1.882E-3</v>
      </c>
      <c r="AE453" s="66">
        <f>+IF($W453="","",ROUND(IF($B453&gt;Parámetros!$D$107,'Tablas Servicio'!AC453+('Tablas Servicio'!AG452-'Tablas Servicio'!AC452),AC453/(1-IF(B453&lt;=10,Parámetros!$D$104,Parámetros!$D$105))),2))</f>
        <v>292.83</v>
      </c>
      <c r="AF453" s="66">
        <f>+IF($W453="","",ROUND(IF($B453&gt;Parámetros!$D$107,'Tablas Servicio'!AC453+('Tablas Servicio'!AG452-'Tablas Servicio'!AC452),(AC453+$A452/frec)/(1-IF(B453&lt;=Parámetros!$D$117,Parámetros!$D$100,0))),2))</f>
        <v>188.2</v>
      </c>
      <c r="AG453" s="66">
        <f t="shared" si="603"/>
        <v>188.2</v>
      </c>
      <c r="AH453" s="66">
        <f t="shared" si="604"/>
        <v>0</v>
      </c>
      <c r="AI453" s="66">
        <f t="shared" si="605"/>
        <v>0</v>
      </c>
      <c r="AJ453" s="66">
        <f>+IF($W453="","",ROUND((AG453*Parámetros!$G$85),2))</f>
        <v>6.59</v>
      </c>
      <c r="AK453" s="66">
        <f>+IF($W453="","",ROUND((AG453*(Parámetros!$G$86)),2))</f>
        <v>0.94</v>
      </c>
      <c r="AL453" s="66">
        <f t="shared" si="599"/>
        <v>195.73</v>
      </c>
      <c r="AM453" t="str">
        <f t="shared" si="647"/>
        <v>00059</v>
      </c>
      <c r="AN453" t="str">
        <f t="shared" si="648"/>
        <v>Incapacidad Total y Permanente</v>
      </c>
      <c r="AO453" s="118">
        <f t="shared" si="649"/>
        <v>0</v>
      </c>
      <c r="AP453" s="118" t="str">
        <f t="shared" si="650"/>
        <v>A</v>
      </c>
      <c r="AQ453" s="119" t="str">
        <f>+IF(OR($W453="",AO453=0),"",ROUND((VLOOKUP(ROUNDDOWN($D453-1/frec,0),cob_adi,Z$40,FALSE)*(1+i/frec)^-0.5*(1+Parámetros!$D$103)*(1+rec_fracc)/frec),6))</f>
        <v/>
      </c>
      <c r="AR453" s="66">
        <f t="shared" si="606"/>
        <v>0</v>
      </c>
      <c r="AS453" s="119" t="str">
        <f t="shared" si="607"/>
        <v/>
      </c>
      <c r="AT453" s="66">
        <f>+IF($W453="","",ROUND(IF($B453&gt;Parámetros!$D$107,'Tablas Servicio'!AR453+('Tablas Servicio'!AT452-'Tablas Servicio'!AR452),AR453/(1-IF(B453&lt;=10,Parámetros!$D$100,0))),2))</f>
        <v>0</v>
      </c>
      <c r="AU453" s="66">
        <f t="shared" si="608"/>
        <v>0</v>
      </c>
      <c r="AV453" s="66">
        <f t="shared" si="608"/>
        <v>0</v>
      </c>
      <c r="AW453" s="66">
        <f>+IF($W453="","",ROUND((AT453*Parámetros!$G$85),2))</f>
        <v>0</v>
      </c>
      <c r="AX453" s="66">
        <f>+IF($W453="","",ROUND((AT453*(Parámetros!$G$86)),2))</f>
        <v>0</v>
      </c>
      <c r="AY453" s="66">
        <f t="shared" si="609"/>
        <v>0</v>
      </c>
      <c r="AZ453" t="str">
        <f t="shared" si="651"/>
        <v>00060</v>
      </c>
      <c r="BA453" t="str">
        <f t="shared" si="652"/>
        <v>Muerte Accidental</v>
      </c>
      <c r="BB453" s="118">
        <f t="shared" si="653"/>
        <v>0</v>
      </c>
      <c r="BC453" s="118" t="str">
        <f t="shared" si="654"/>
        <v>A</v>
      </c>
      <c r="BD453" s="119" t="str">
        <f>+IF(OR($W453="",BB453=0),"",ROUND((VLOOKUP(ROUNDDOWN($D453-1/frec,0),cob_adi,AO$40,FALSE)*(1+i/frec)^-0.5*(1+Parámetros!$D$103)*(1+rec_fracc)/frec),6))</f>
        <v/>
      </c>
      <c r="BE453" s="66">
        <f t="shared" si="610"/>
        <v>0</v>
      </c>
      <c r="BF453" s="119" t="str">
        <f t="shared" si="611"/>
        <v/>
      </c>
      <c r="BG453" s="66">
        <f>+IF($W453="","",ROUND(IF($B453&gt;Parámetros!$D$107,'Tablas Servicio'!BE453+('Tablas Servicio'!BG452-'Tablas Servicio'!BE452),BE453/(1-IF(B453&lt;=10,Parámetros!$D$100,0))),2))</f>
        <v>0</v>
      </c>
      <c r="BH453" s="66">
        <f t="shared" si="612"/>
        <v>0</v>
      </c>
      <c r="BI453" s="66">
        <f t="shared" si="613"/>
        <v>0</v>
      </c>
      <c r="BJ453" s="66">
        <f>+IF($W453="","",ROUND((BG453*Parámetros!$G$85),2))</f>
        <v>0</v>
      </c>
      <c r="BK453" s="66">
        <f>+IF($W453="","",ROUND((BG453*(Parámetros!$G$86)),2))</f>
        <v>0</v>
      </c>
      <c r="BL453" s="66">
        <f t="shared" si="614"/>
        <v>0</v>
      </c>
      <c r="BM453" t="str">
        <f t="shared" si="655"/>
        <v>00061</v>
      </c>
      <c r="BN453" t="str">
        <f t="shared" si="656"/>
        <v>Gastos de Entierro</v>
      </c>
      <c r="BO453" s="118">
        <f t="shared" si="657"/>
        <v>0</v>
      </c>
      <c r="BP453" s="118" t="str">
        <f t="shared" si="658"/>
        <v>A</v>
      </c>
      <c r="BQ453" s="119" t="str">
        <f>+IF(OR($W453="",BO453=0),"",ROUND((VLOOKUP(ROUNDDOWN($D453-1/frec,0),cob_adi,BB$40,FALSE)*(1+i/frec)^-0.5*(1+Parámetros!$D$103)*(1+rec_fracc)/frec),6))</f>
        <v/>
      </c>
      <c r="BR453" s="66">
        <f t="shared" si="615"/>
        <v>0</v>
      </c>
      <c r="BS453" s="119" t="str">
        <f t="shared" si="616"/>
        <v/>
      </c>
      <c r="BT453" s="66">
        <f>+IF($W453="","",ROUND(IF($B453&gt;Parámetros!$D$107,'Tablas Servicio'!BR453+('Tablas Servicio'!BT452-'Tablas Servicio'!BR452),BR453/(1-IF(B453&lt;=10,Parámetros!$D$100,0))),2))</f>
        <v>0</v>
      </c>
      <c r="BU453" s="66">
        <f t="shared" si="617"/>
        <v>0</v>
      </c>
      <c r="BV453" s="66">
        <f t="shared" si="617"/>
        <v>0</v>
      </c>
      <c r="BW453" s="66">
        <f>+IF($W453="","",ROUND((BT453*Parámetros!$G$85),2))</f>
        <v>0</v>
      </c>
      <c r="BX453" s="66">
        <f>+IF($W453="","",ROUND((BT453*(Parámetros!$G$86)),2))</f>
        <v>0</v>
      </c>
      <c r="BY453" s="66">
        <f t="shared" si="618"/>
        <v>0</v>
      </c>
      <c r="BZ453" t="str">
        <f t="shared" si="659"/>
        <v>00062</v>
      </c>
      <c r="CA453" t="str">
        <f t="shared" si="660"/>
        <v>Gastos médicos por accidente</v>
      </c>
      <c r="CB453" s="118">
        <f t="shared" si="661"/>
        <v>0</v>
      </c>
      <c r="CC453" s="118" t="str">
        <f t="shared" si="662"/>
        <v>A</v>
      </c>
      <c r="CD453" s="119" t="str">
        <f t="shared" si="619"/>
        <v/>
      </c>
      <c r="CE453" s="66">
        <f>+IF($W453="","",ROUND((VLOOKUP(ROUNDDOWN($D453-1/frec,0),cob_adi,BO$40,FALSE)*(1+i/frec)^-0.5*(1+Parámetros!$D$103)*(1+rec_fracc)/frec*'TABLAS ADI'!$BC$17),2))</f>
        <v>0</v>
      </c>
      <c r="CF453" s="119" t="str">
        <f t="shared" si="620"/>
        <v/>
      </c>
      <c r="CG453" s="66">
        <f>+IF($W453="","",ROUND(IF($B453&gt;Parámetros!$D$107,'Tablas Servicio'!CE453+('Tablas Servicio'!CG452-'Tablas Servicio'!CE452),CE453/(1-IF(B453&lt;=10,Parámetros!$D$100,0))),2))</f>
        <v>0</v>
      </c>
      <c r="CH453" s="66">
        <f t="shared" si="621"/>
        <v>0</v>
      </c>
      <c r="CI453" s="66">
        <f t="shared" si="621"/>
        <v>0</v>
      </c>
      <c r="CJ453" s="66">
        <f>+IF($W453="","",ROUND((CG453*Parámetros!$G$85),2))</f>
        <v>0</v>
      </c>
      <c r="CK453" s="66">
        <f>+IF($W453="","",ROUND((CG453*(Parámetros!$G$86)),2))</f>
        <v>0</v>
      </c>
      <c r="CL453" s="66">
        <f t="shared" si="622"/>
        <v>0</v>
      </c>
      <c r="CM453" t="str">
        <f t="shared" si="663"/>
        <v>00063</v>
      </c>
      <c r="CN453" s="118" t="str">
        <f t="shared" si="664"/>
        <v>Renta Diaria por Hospitalización</v>
      </c>
      <c r="CO453" s="118">
        <f t="shared" si="665"/>
        <v>0</v>
      </c>
      <c r="CP453" s="118" t="str">
        <f t="shared" si="666"/>
        <v>A</v>
      </c>
      <c r="CQ453" s="119" t="str">
        <f t="shared" si="623"/>
        <v/>
      </c>
      <c r="CR453" s="66">
        <f>+IF($W453="","",ROUND((VLOOKUP(Parámetros!$F$51,'COBERTURAS ADICIONALES'!$S$4:$T$32,2,FALSE)*(1+i/frec)^-0.5*(1+Parámetros!$D$103)*(1+rec_fracc)/frec*$CO$42),2))</f>
        <v>0</v>
      </c>
      <c r="CS453" s="119" t="str">
        <f t="shared" si="624"/>
        <v/>
      </c>
      <c r="CT453" s="66">
        <f>+IF($W453="","",ROUND(IF($B453&gt;Parámetros!$D$107,'Tablas Servicio'!CR453+('Tablas Servicio'!CT452-'Tablas Servicio'!CR452),CR453/(1-IF(B453&lt;=10,Parámetros!$D$100,0))),2))</f>
        <v>0</v>
      </c>
      <c r="CU453" s="66">
        <f t="shared" si="625"/>
        <v>0</v>
      </c>
      <c r="CV453" s="66">
        <f t="shared" si="625"/>
        <v>0</v>
      </c>
      <c r="CW453" s="66">
        <f>+IF($W453="","",ROUND((CT453*Parámetros!$G$85),2))</f>
        <v>0</v>
      </c>
      <c r="CX453" s="66">
        <f>+IF($W453="","",ROUND((CT453*(Parámetros!$G$86)),2))</f>
        <v>0</v>
      </c>
      <c r="CY453" s="66">
        <f t="shared" si="626"/>
        <v>0</v>
      </c>
      <c r="CZ453" t="str">
        <f t="shared" si="667"/>
        <v>00064</v>
      </c>
      <c r="DA453" s="118" t="str">
        <f t="shared" si="668"/>
        <v>Enfermedades Graves</v>
      </c>
      <c r="DB453" s="118">
        <f t="shared" si="669"/>
        <v>0</v>
      </c>
      <c r="DC453" s="118" t="str">
        <f t="shared" si="670"/>
        <v>A</v>
      </c>
      <c r="DD453" s="121" t="str">
        <f>+IF(OR($W453="",DB453=0),"",ROUND((VLOOKUP(ROUNDDOWN($D453-1/frec,0),cob_adi,CO$40,FALSE)*(1+i/frec)^-0.5*(1+Parámetros!$D$103)*(1+rec_fracc)/frec),6))</f>
        <v/>
      </c>
      <c r="DE453" s="66">
        <f t="shared" si="627"/>
        <v>0</v>
      </c>
      <c r="DF453" s="119" t="str">
        <f t="shared" si="628"/>
        <v/>
      </c>
      <c r="DG453" s="66">
        <f>+IF($W453="","",ROUND(IF($B453&gt;Parámetros!$D$107,'Tablas Servicio'!DE453+('Tablas Servicio'!DG452-'Tablas Servicio'!DE452),DE453/(1-IF(B453&lt;=10,Parámetros!$D$100,0))),2))</f>
        <v>0</v>
      </c>
      <c r="DH453" s="66">
        <f t="shared" si="629"/>
        <v>0</v>
      </c>
      <c r="DI453" s="66">
        <f t="shared" si="629"/>
        <v>0</v>
      </c>
      <c r="DJ453" s="66">
        <f>+IF($W453="","",ROUND((DG453*Parámetros!$G$85),2))</f>
        <v>0</v>
      </c>
      <c r="DK453" s="66">
        <f>+IF($W453="","",ROUND((DG453*(Parámetros!$G$86)),2))</f>
        <v>0</v>
      </c>
      <c r="DL453" s="66">
        <f t="shared" si="630"/>
        <v>0</v>
      </c>
      <c r="DM453" t="str">
        <f t="shared" si="671"/>
        <v>00065</v>
      </c>
      <c r="DN453" s="118" t="str">
        <f t="shared" si="672"/>
        <v>Exención pago de primas</v>
      </c>
      <c r="DO453" s="118">
        <f t="shared" si="673"/>
        <v>0</v>
      </c>
      <c r="DP453" s="118" t="str">
        <f t="shared" si="674"/>
        <v>A</v>
      </c>
      <c r="DQ453" s="122" t="str">
        <f>+IF(OR($W453="",DO453=0),"",ROUND((VLOOKUP(ROUNDDOWN($D453-1/frec,0),cob_adi,DB$40,FALSE)*(1+i/frec)^-0.5*(1+Parámetros!$D$103)*(1+rec_fracc)/frec),6))</f>
        <v/>
      </c>
      <c r="DR453" s="66">
        <f t="shared" si="631"/>
        <v>0</v>
      </c>
      <c r="DS453" s="68" t="str">
        <f t="shared" si="632"/>
        <v/>
      </c>
      <c r="DT453" s="66">
        <f>+IF($W453="","",ROUND(IF($B453&gt;Parámetros!$D$107,'Tablas Servicio'!DR453+('Tablas Servicio'!DT452-'Tablas Servicio'!DR452),DR453/(1-IF(B453&lt;=10,Parámetros!$D$100,0))),2))</f>
        <v>0</v>
      </c>
      <c r="DU453" s="66">
        <f t="shared" si="633"/>
        <v>0</v>
      </c>
      <c r="DV453" s="66">
        <f t="shared" si="633"/>
        <v>0</v>
      </c>
      <c r="DW453" s="66">
        <f>+IF($W453="","",ROUND((DT453*Parámetros!$G$85),2))</f>
        <v>0</v>
      </c>
      <c r="DX453" s="66">
        <f>+IF($W453="","",ROUND((DT453*(Parámetros!$G$86)),2))</f>
        <v>0</v>
      </c>
      <c r="DY453" s="66">
        <f t="shared" si="634"/>
        <v>0</v>
      </c>
      <c r="DZ453" t="str">
        <f t="shared" si="675"/>
        <v>00066</v>
      </c>
      <c r="EA453" s="118" t="str">
        <f t="shared" si="675"/>
        <v>Enfermedad terminal</v>
      </c>
      <c r="EB453" s="118">
        <f>+IF($W453="","",ROUND(IF(Parámetros!$D$25='TABLAS MORT'!$V$33,EB452,Z453/2),0))</f>
        <v>50000</v>
      </c>
      <c r="EC453" s="118" t="str">
        <f t="shared" si="675"/>
        <v>A</v>
      </c>
      <c r="ED453" s="122">
        <f>+IF(OR($W453="",EB453=0),"",ROUND((VLOOKUP(ROUNDDOWN($D453-1/frec,0),cob_adi,DO$40,FALSE)*(1+i/frec)^-0.5*(1+Parámetros!$D$103)*(1+rec_fracc)/frec),6))</f>
        <v>6.4999999999999994E-5</v>
      </c>
      <c r="EE453" s="66">
        <f t="shared" si="636"/>
        <v>3.25</v>
      </c>
      <c r="EF453" s="68">
        <f t="shared" si="637"/>
        <v>6.4999999999999994E-5</v>
      </c>
      <c r="EG453" s="66">
        <f>+IF($W453="","",ROUND(IF($B453&gt;Parámetros!$D$107,'Tablas Servicio'!EE453+('Tablas Servicio'!EG452-'Tablas Servicio'!EE452),EE453/(1-IF(B453&lt;=10,Parámetros!$D$100,0))),2))</f>
        <v>3.25</v>
      </c>
      <c r="EH453" s="66">
        <f t="shared" si="638"/>
        <v>0</v>
      </c>
      <c r="EI453" s="66">
        <f t="shared" si="638"/>
        <v>0</v>
      </c>
      <c r="EJ453" s="66">
        <f>+IF($W453="","",ROUND((EG453*Parámetros!$G$85),2))</f>
        <v>0.11</v>
      </c>
      <c r="EK453" s="66">
        <f>+IF($W453="","",ROUND((EG453*(Parámetros!$G$86)),2))</f>
        <v>0.02</v>
      </c>
      <c r="EL453" s="66">
        <f t="shared" si="639"/>
        <v>3.38</v>
      </c>
    </row>
    <row r="454" spans="1:142" x14ac:dyDescent="0.25">
      <c r="A454">
        <f>+IF($C454="","",ROUND(VLOOKUP('Tablas Servicio'!B454,Parámetros!$H$100:$J$159,IF(Parámetros!$E$16="F",2,3),FALSE),2))</f>
        <v>150</v>
      </c>
      <c r="B454">
        <f t="shared" si="590"/>
        <v>35</v>
      </c>
      <c r="C454" s="57">
        <f>+IF(D454="","",'Tablas Servicio'!C453+1)</f>
        <v>413</v>
      </c>
      <c r="D454" s="56">
        <f>+IF(D453&lt;edadmaxtabla,D453+1/Parámetros!$E$25,"")</f>
        <v>74.436666666666753</v>
      </c>
      <c r="E454" s="57">
        <f t="shared" si="600"/>
        <v>74</v>
      </c>
      <c r="F454" s="59">
        <f t="shared" si="601"/>
        <v>100000</v>
      </c>
      <c r="G454" s="66">
        <f t="shared" si="591"/>
        <v>191.45</v>
      </c>
      <c r="H454" s="66">
        <f t="shared" si="592"/>
        <v>199.10999999999999</v>
      </c>
      <c r="I454" s="66">
        <f t="shared" si="640"/>
        <v>-105.10999999999999</v>
      </c>
      <c r="J454" s="66">
        <f t="shared" si="593"/>
        <v>6.7</v>
      </c>
      <c r="K454" s="66">
        <f t="shared" si="594"/>
        <v>0.96</v>
      </c>
      <c r="L454" s="66">
        <f t="shared" si="595"/>
        <v>0</v>
      </c>
      <c r="M454" s="66">
        <f t="shared" si="596"/>
        <v>0</v>
      </c>
      <c r="N454" s="66">
        <f>+IF(C454="","",ROUND(Parámetros!$D$23,2))</f>
        <v>94</v>
      </c>
      <c r="O454" s="66">
        <f t="shared" si="597"/>
        <v>178.95</v>
      </c>
      <c r="P454" s="66">
        <f>+IF($C454="","",ROUND(IF(B454&gt;Parámetros!$D$117,0,N454*Parámetros!$D$116-G454*Parámetros!$D$100),2))</f>
        <v>0</v>
      </c>
      <c r="Q454" s="75">
        <f t="shared" si="641"/>
        <v>3.499608252807522E-2</v>
      </c>
      <c r="R454" s="75">
        <f t="shared" si="642"/>
        <v>5.0143640637242103E-3</v>
      </c>
      <c r="S454" s="117">
        <f>+IF($C454="","",ROUND((S453+I454)*(1+Parámetros!$D$91),2))</f>
        <v>26601.63</v>
      </c>
      <c r="T454" s="117">
        <f>+IF($C454="","",ROUND(S454*VLOOKUP(B454,Parámetros!$C$30:$D$39,2,TRUE),2))</f>
        <v>26601.63</v>
      </c>
      <c r="U454" s="117">
        <f>+IF($C454="","",ROUND((U453+I454)*(1+Parámetros!$D$92),2))</f>
        <v>30621.66</v>
      </c>
      <c r="V454" s="117">
        <f>+IF($C454="","",ROUND(U454*VLOOKUP(B454,Parámetros!$C$30:$D$39,2,TRUE),2))</f>
        <v>30621.66</v>
      </c>
      <c r="W454" s="57">
        <f t="shared" si="643"/>
        <v>413</v>
      </c>
      <c r="X454" t="str">
        <f t="shared" si="644"/>
        <v>00058</v>
      </c>
      <c r="Y454" t="str">
        <f t="shared" si="645"/>
        <v>MUERTE POR CUALQUIER CAUSA</v>
      </c>
      <c r="Z454" s="118">
        <f>+IF($W454="","",ROUND(IF(Parámetros!$D$25='TABLAS MORT'!$V$33,Z453,Parámetros!$D$21-'Tablas Servicio'!T453),0))</f>
        <v>100000</v>
      </c>
      <c r="AA454" s="118" t="str">
        <f t="shared" si="646"/>
        <v>P</v>
      </c>
      <c r="AB454" s="119">
        <f>+IF(W454="","",ROUND((VLOOKUP(ROUNDDOWN($D454-1/frec,0),qx_tabla,2,FALSE)*(1+i/frec)^-0.5*(1+Parámetros!$D$103)*(1+rec_fracc)/frec),6))</f>
        <v>1.7570000000000001E-3</v>
      </c>
      <c r="AC454" s="66">
        <f t="shared" si="602"/>
        <v>175.7</v>
      </c>
      <c r="AD454" s="119">
        <f t="shared" si="598"/>
        <v>1.882E-3</v>
      </c>
      <c r="AE454" s="66">
        <f>+IF($W454="","",ROUND(IF($B454&gt;Parámetros!$D$107,'Tablas Servicio'!AC454+('Tablas Servicio'!AG453-'Tablas Servicio'!AC453),AC454/(1-IF(B454&lt;=10,Parámetros!$D$104,Parámetros!$D$105))),2))</f>
        <v>292.83</v>
      </c>
      <c r="AF454" s="66">
        <f>+IF($W454="","",ROUND(IF($B454&gt;Parámetros!$D$107,'Tablas Servicio'!AC454+('Tablas Servicio'!AG453-'Tablas Servicio'!AC453),(AC454+$A453/frec)/(1-IF(B454&lt;=Parámetros!$D$117,Parámetros!$D$100,0))),2))</f>
        <v>188.2</v>
      </c>
      <c r="AG454" s="66">
        <f t="shared" si="603"/>
        <v>188.2</v>
      </c>
      <c r="AH454" s="66">
        <f t="shared" si="604"/>
        <v>0</v>
      </c>
      <c r="AI454" s="66">
        <f t="shared" si="605"/>
        <v>0</v>
      </c>
      <c r="AJ454" s="66">
        <f>+IF($W454="","",ROUND((AG454*Parámetros!$G$85),2))</f>
        <v>6.59</v>
      </c>
      <c r="AK454" s="66">
        <f>+IF($W454="","",ROUND((AG454*(Parámetros!$G$86)),2))</f>
        <v>0.94</v>
      </c>
      <c r="AL454" s="66">
        <f t="shared" si="599"/>
        <v>195.73</v>
      </c>
      <c r="AM454" t="str">
        <f t="shared" si="647"/>
        <v>00059</v>
      </c>
      <c r="AN454" t="str">
        <f t="shared" si="648"/>
        <v>Incapacidad Total y Permanente</v>
      </c>
      <c r="AO454" s="118">
        <f t="shared" si="649"/>
        <v>0</v>
      </c>
      <c r="AP454" s="118" t="str">
        <f t="shared" si="650"/>
        <v>A</v>
      </c>
      <c r="AQ454" s="119" t="str">
        <f>+IF(OR($W454="",AO454=0),"",ROUND((VLOOKUP(ROUNDDOWN($D454-1/frec,0),cob_adi,Z$40,FALSE)*(1+i/frec)^-0.5*(1+Parámetros!$D$103)*(1+rec_fracc)/frec),6))</f>
        <v/>
      </c>
      <c r="AR454" s="66">
        <f t="shared" si="606"/>
        <v>0</v>
      </c>
      <c r="AS454" s="119" t="str">
        <f t="shared" si="607"/>
        <v/>
      </c>
      <c r="AT454" s="66">
        <f>+IF($W454="","",ROUND(IF($B454&gt;Parámetros!$D$107,'Tablas Servicio'!AR454+('Tablas Servicio'!AT453-'Tablas Servicio'!AR453),AR454/(1-IF(B454&lt;=10,Parámetros!$D$100,0))),2))</f>
        <v>0</v>
      </c>
      <c r="AU454" s="66">
        <f t="shared" si="608"/>
        <v>0</v>
      </c>
      <c r="AV454" s="66">
        <f t="shared" si="608"/>
        <v>0</v>
      </c>
      <c r="AW454" s="66">
        <f>+IF($W454="","",ROUND((AT454*Parámetros!$G$85),2))</f>
        <v>0</v>
      </c>
      <c r="AX454" s="66">
        <f>+IF($W454="","",ROUND((AT454*(Parámetros!$G$86)),2))</f>
        <v>0</v>
      </c>
      <c r="AY454" s="66">
        <f t="shared" si="609"/>
        <v>0</v>
      </c>
      <c r="AZ454" t="str">
        <f t="shared" si="651"/>
        <v>00060</v>
      </c>
      <c r="BA454" t="str">
        <f t="shared" si="652"/>
        <v>Muerte Accidental</v>
      </c>
      <c r="BB454" s="118">
        <f t="shared" si="653"/>
        <v>0</v>
      </c>
      <c r="BC454" s="118" t="str">
        <f t="shared" si="654"/>
        <v>A</v>
      </c>
      <c r="BD454" s="119" t="str">
        <f>+IF(OR($W454="",BB454=0),"",ROUND((VLOOKUP(ROUNDDOWN($D454-1/frec,0),cob_adi,AO$40,FALSE)*(1+i/frec)^-0.5*(1+Parámetros!$D$103)*(1+rec_fracc)/frec),6))</f>
        <v/>
      </c>
      <c r="BE454" s="66">
        <f t="shared" si="610"/>
        <v>0</v>
      </c>
      <c r="BF454" s="119" t="str">
        <f t="shared" si="611"/>
        <v/>
      </c>
      <c r="BG454" s="66">
        <f>+IF($W454="","",ROUND(IF($B454&gt;Parámetros!$D$107,'Tablas Servicio'!BE454+('Tablas Servicio'!BG453-'Tablas Servicio'!BE453),BE454/(1-IF(B454&lt;=10,Parámetros!$D$100,0))),2))</f>
        <v>0</v>
      </c>
      <c r="BH454" s="66">
        <f t="shared" si="612"/>
        <v>0</v>
      </c>
      <c r="BI454" s="66">
        <f t="shared" si="613"/>
        <v>0</v>
      </c>
      <c r="BJ454" s="66">
        <f>+IF($W454="","",ROUND((BG454*Parámetros!$G$85),2))</f>
        <v>0</v>
      </c>
      <c r="BK454" s="66">
        <f>+IF($W454="","",ROUND((BG454*(Parámetros!$G$86)),2))</f>
        <v>0</v>
      </c>
      <c r="BL454" s="66">
        <f t="shared" si="614"/>
        <v>0</v>
      </c>
      <c r="BM454" t="str">
        <f t="shared" si="655"/>
        <v>00061</v>
      </c>
      <c r="BN454" t="str">
        <f t="shared" si="656"/>
        <v>Gastos de Entierro</v>
      </c>
      <c r="BO454" s="118">
        <f t="shared" si="657"/>
        <v>0</v>
      </c>
      <c r="BP454" s="118" t="str">
        <f t="shared" si="658"/>
        <v>A</v>
      </c>
      <c r="BQ454" s="119" t="str">
        <f>+IF(OR($W454="",BO454=0),"",ROUND((VLOOKUP(ROUNDDOWN($D454-1/frec,0),cob_adi,BB$40,FALSE)*(1+i/frec)^-0.5*(1+Parámetros!$D$103)*(1+rec_fracc)/frec),6))</f>
        <v/>
      </c>
      <c r="BR454" s="66">
        <f t="shared" si="615"/>
        <v>0</v>
      </c>
      <c r="BS454" s="119" t="str">
        <f t="shared" si="616"/>
        <v/>
      </c>
      <c r="BT454" s="66">
        <f>+IF($W454="","",ROUND(IF($B454&gt;Parámetros!$D$107,'Tablas Servicio'!BR454+('Tablas Servicio'!BT453-'Tablas Servicio'!BR453),BR454/(1-IF(B454&lt;=10,Parámetros!$D$100,0))),2))</f>
        <v>0</v>
      </c>
      <c r="BU454" s="66">
        <f t="shared" si="617"/>
        <v>0</v>
      </c>
      <c r="BV454" s="66">
        <f t="shared" si="617"/>
        <v>0</v>
      </c>
      <c r="BW454" s="66">
        <f>+IF($W454="","",ROUND((BT454*Parámetros!$G$85),2))</f>
        <v>0</v>
      </c>
      <c r="BX454" s="66">
        <f>+IF($W454="","",ROUND((BT454*(Parámetros!$G$86)),2))</f>
        <v>0</v>
      </c>
      <c r="BY454" s="66">
        <f t="shared" si="618"/>
        <v>0</v>
      </c>
      <c r="BZ454" t="str">
        <f t="shared" si="659"/>
        <v>00062</v>
      </c>
      <c r="CA454" t="str">
        <f t="shared" si="660"/>
        <v>Gastos médicos por accidente</v>
      </c>
      <c r="CB454" s="118">
        <f t="shared" si="661"/>
        <v>0</v>
      </c>
      <c r="CC454" s="118" t="str">
        <f t="shared" si="662"/>
        <v>A</v>
      </c>
      <c r="CD454" s="119" t="str">
        <f t="shared" si="619"/>
        <v/>
      </c>
      <c r="CE454" s="66">
        <f>+IF($W454="","",ROUND((VLOOKUP(ROUNDDOWN($D454-1/frec,0),cob_adi,BO$40,FALSE)*(1+i/frec)^-0.5*(1+Parámetros!$D$103)*(1+rec_fracc)/frec*'TABLAS ADI'!$BC$17),2))</f>
        <v>0</v>
      </c>
      <c r="CF454" s="119" t="str">
        <f t="shared" si="620"/>
        <v/>
      </c>
      <c r="CG454" s="66">
        <f>+IF($W454="","",ROUND(IF($B454&gt;Parámetros!$D$107,'Tablas Servicio'!CE454+('Tablas Servicio'!CG453-'Tablas Servicio'!CE453),CE454/(1-IF(B454&lt;=10,Parámetros!$D$100,0))),2))</f>
        <v>0</v>
      </c>
      <c r="CH454" s="66">
        <f t="shared" si="621"/>
        <v>0</v>
      </c>
      <c r="CI454" s="66">
        <f t="shared" si="621"/>
        <v>0</v>
      </c>
      <c r="CJ454" s="66">
        <f>+IF($W454="","",ROUND((CG454*Parámetros!$G$85),2))</f>
        <v>0</v>
      </c>
      <c r="CK454" s="66">
        <f>+IF($W454="","",ROUND((CG454*(Parámetros!$G$86)),2))</f>
        <v>0</v>
      </c>
      <c r="CL454" s="66">
        <f t="shared" si="622"/>
        <v>0</v>
      </c>
      <c r="CM454" t="str">
        <f t="shared" si="663"/>
        <v>00063</v>
      </c>
      <c r="CN454" s="118" t="str">
        <f t="shared" si="664"/>
        <v>Renta Diaria por Hospitalización</v>
      </c>
      <c r="CO454" s="118">
        <f t="shared" si="665"/>
        <v>0</v>
      </c>
      <c r="CP454" s="118" t="str">
        <f t="shared" si="666"/>
        <v>A</v>
      </c>
      <c r="CQ454" s="119" t="str">
        <f t="shared" si="623"/>
        <v/>
      </c>
      <c r="CR454" s="66">
        <f>+IF($W454="","",ROUND((VLOOKUP(Parámetros!$F$51,'COBERTURAS ADICIONALES'!$S$4:$T$32,2,FALSE)*(1+i/frec)^-0.5*(1+Parámetros!$D$103)*(1+rec_fracc)/frec*$CO$42),2))</f>
        <v>0</v>
      </c>
      <c r="CS454" s="119" t="str">
        <f t="shared" si="624"/>
        <v/>
      </c>
      <c r="CT454" s="66">
        <f>+IF($W454="","",ROUND(IF($B454&gt;Parámetros!$D$107,'Tablas Servicio'!CR454+('Tablas Servicio'!CT453-'Tablas Servicio'!CR453),CR454/(1-IF(B454&lt;=10,Parámetros!$D$100,0))),2))</f>
        <v>0</v>
      </c>
      <c r="CU454" s="66">
        <f t="shared" si="625"/>
        <v>0</v>
      </c>
      <c r="CV454" s="66">
        <f t="shared" si="625"/>
        <v>0</v>
      </c>
      <c r="CW454" s="66">
        <f>+IF($W454="","",ROUND((CT454*Parámetros!$G$85),2))</f>
        <v>0</v>
      </c>
      <c r="CX454" s="66">
        <f>+IF($W454="","",ROUND((CT454*(Parámetros!$G$86)),2))</f>
        <v>0</v>
      </c>
      <c r="CY454" s="66">
        <f t="shared" si="626"/>
        <v>0</v>
      </c>
      <c r="CZ454" t="str">
        <f t="shared" si="667"/>
        <v>00064</v>
      </c>
      <c r="DA454" s="118" t="str">
        <f t="shared" si="668"/>
        <v>Enfermedades Graves</v>
      </c>
      <c r="DB454" s="118">
        <f t="shared" si="669"/>
        <v>0</v>
      </c>
      <c r="DC454" s="118" t="str">
        <f t="shared" si="670"/>
        <v>A</v>
      </c>
      <c r="DD454" s="121" t="str">
        <f>+IF(OR($W454="",DB454=0),"",ROUND((VLOOKUP(ROUNDDOWN($D454-1/frec,0),cob_adi,CO$40,FALSE)*(1+i/frec)^-0.5*(1+Parámetros!$D$103)*(1+rec_fracc)/frec),6))</f>
        <v/>
      </c>
      <c r="DE454" s="66">
        <f t="shared" si="627"/>
        <v>0</v>
      </c>
      <c r="DF454" s="119" t="str">
        <f t="shared" si="628"/>
        <v/>
      </c>
      <c r="DG454" s="66">
        <f>+IF($W454="","",ROUND(IF($B454&gt;Parámetros!$D$107,'Tablas Servicio'!DE454+('Tablas Servicio'!DG453-'Tablas Servicio'!DE453),DE454/(1-IF(B454&lt;=10,Parámetros!$D$100,0))),2))</f>
        <v>0</v>
      </c>
      <c r="DH454" s="66">
        <f t="shared" si="629"/>
        <v>0</v>
      </c>
      <c r="DI454" s="66">
        <f t="shared" si="629"/>
        <v>0</v>
      </c>
      <c r="DJ454" s="66">
        <f>+IF($W454="","",ROUND((DG454*Parámetros!$G$85),2))</f>
        <v>0</v>
      </c>
      <c r="DK454" s="66">
        <f>+IF($W454="","",ROUND((DG454*(Parámetros!$G$86)),2))</f>
        <v>0</v>
      </c>
      <c r="DL454" s="66">
        <f t="shared" si="630"/>
        <v>0</v>
      </c>
      <c r="DM454" t="str">
        <f t="shared" si="671"/>
        <v>00065</v>
      </c>
      <c r="DN454" s="118" t="str">
        <f t="shared" si="672"/>
        <v>Exención pago de primas</v>
      </c>
      <c r="DO454" s="118">
        <f t="shared" si="673"/>
        <v>0</v>
      </c>
      <c r="DP454" s="118" t="str">
        <f t="shared" si="674"/>
        <v>A</v>
      </c>
      <c r="DQ454" s="122" t="str">
        <f>+IF(OR($W454="",DO454=0),"",ROUND((VLOOKUP(ROUNDDOWN($D454-1/frec,0),cob_adi,DB$40,FALSE)*(1+i/frec)^-0.5*(1+Parámetros!$D$103)*(1+rec_fracc)/frec),6))</f>
        <v/>
      </c>
      <c r="DR454" s="66">
        <f t="shared" si="631"/>
        <v>0</v>
      </c>
      <c r="DS454" s="68" t="str">
        <f t="shared" si="632"/>
        <v/>
      </c>
      <c r="DT454" s="66">
        <f>+IF($W454="","",ROUND(IF($B454&gt;Parámetros!$D$107,'Tablas Servicio'!DR454+('Tablas Servicio'!DT453-'Tablas Servicio'!DR453),DR454/(1-IF(B454&lt;=10,Parámetros!$D$100,0))),2))</f>
        <v>0</v>
      </c>
      <c r="DU454" s="66">
        <f t="shared" si="633"/>
        <v>0</v>
      </c>
      <c r="DV454" s="66">
        <f t="shared" si="633"/>
        <v>0</v>
      </c>
      <c r="DW454" s="66">
        <f>+IF($W454="","",ROUND((DT454*Parámetros!$G$85),2))</f>
        <v>0</v>
      </c>
      <c r="DX454" s="66">
        <f>+IF($W454="","",ROUND((DT454*(Parámetros!$G$86)),2))</f>
        <v>0</v>
      </c>
      <c r="DY454" s="66">
        <f t="shared" si="634"/>
        <v>0</v>
      </c>
      <c r="DZ454" t="str">
        <f t="shared" si="675"/>
        <v>00066</v>
      </c>
      <c r="EA454" s="118" t="str">
        <f t="shared" si="675"/>
        <v>Enfermedad terminal</v>
      </c>
      <c r="EB454" s="118">
        <f>+IF($W454="","",ROUND(IF(Parámetros!$D$25='TABLAS MORT'!$V$33,EB453,Z454/2),0))</f>
        <v>50000</v>
      </c>
      <c r="EC454" s="118" t="str">
        <f t="shared" si="675"/>
        <v>A</v>
      </c>
      <c r="ED454" s="122">
        <f>+IF(OR($W454="",EB454=0),"",ROUND((VLOOKUP(ROUNDDOWN($D454-1/frec,0),cob_adi,DO$40,FALSE)*(1+i/frec)^-0.5*(1+Parámetros!$D$103)*(1+rec_fracc)/frec),6))</f>
        <v>6.4999999999999994E-5</v>
      </c>
      <c r="EE454" s="66">
        <f t="shared" si="636"/>
        <v>3.25</v>
      </c>
      <c r="EF454" s="68">
        <f t="shared" si="637"/>
        <v>6.4999999999999994E-5</v>
      </c>
      <c r="EG454" s="66">
        <f>+IF($W454="","",ROUND(IF($B454&gt;Parámetros!$D$107,'Tablas Servicio'!EE454+('Tablas Servicio'!EG453-'Tablas Servicio'!EE453),EE454/(1-IF(B454&lt;=10,Parámetros!$D$100,0))),2))</f>
        <v>3.25</v>
      </c>
      <c r="EH454" s="66">
        <f t="shared" si="638"/>
        <v>0</v>
      </c>
      <c r="EI454" s="66">
        <f t="shared" si="638"/>
        <v>0</v>
      </c>
      <c r="EJ454" s="66">
        <f>+IF($W454="","",ROUND((EG454*Parámetros!$G$85),2))</f>
        <v>0.11</v>
      </c>
      <c r="EK454" s="66">
        <f>+IF($W454="","",ROUND((EG454*(Parámetros!$G$86)),2))</f>
        <v>0.02</v>
      </c>
      <c r="EL454" s="66">
        <f t="shared" si="639"/>
        <v>3.38</v>
      </c>
    </row>
    <row r="455" spans="1:142" x14ac:dyDescent="0.25">
      <c r="A455">
        <f>+IF($C455="","",ROUND(VLOOKUP('Tablas Servicio'!B455,Parámetros!$H$100:$J$159,IF(Parámetros!$E$16="F",2,3),FALSE),2))</f>
        <v>150</v>
      </c>
      <c r="B455">
        <f t="shared" si="590"/>
        <v>35</v>
      </c>
      <c r="C455" s="57">
        <f>+IF(D455="","",'Tablas Servicio'!C454+1)</f>
        <v>414</v>
      </c>
      <c r="D455" s="56">
        <f>+IF(D454&lt;edadmaxtabla,D454+1/Parámetros!$E$25,"")</f>
        <v>74.520000000000081</v>
      </c>
      <c r="E455" s="57">
        <f t="shared" si="600"/>
        <v>74</v>
      </c>
      <c r="F455" s="59">
        <f t="shared" si="601"/>
        <v>100000</v>
      </c>
      <c r="G455" s="66">
        <f t="shared" si="591"/>
        <v>191.45</v>
      </c>
      <c r="H455" s="66">
        <f t="shared" si="592"/>
        <v>199.10999999999999</v>
      </c>
      <c r="I455" s="66">
        <f t="shared" si="640"/>
        <v>-105.10999999999999</v>
      </c>
      <c r="J455" s="66">
        <f t="shared" si="593"/>
        <v>6.7</v>
      </c>
      <c r="K455" s="66">
        <f t="shared" si="594"/>
        <v>0.96</v>
      </c>
      <c r="L455" s="66">
        <f t="shared" si="595"/>
        <v>0</v>
      </c>
      <c r="M455" s="66">
        <f t="shared" si="596"/>
        <v>0</v>
      </c>
      <c r="N455" s="66">
        <f>+IF(C455="","",ROUND(Parámetros!$D$23,2))</f>
        <v>94</v>
      </c>
      <c r="O455" s="66">
        <f t="shared" si="597"/>
        <v>178.95</v>
      </c>
      <c r="P455" s="66">
        <f>+IF($C455="","",ROUND(IF(B455&gt;Parámetros!$D$117,0,N455*Parámetros!$D$116-G455*Parámetros!$D$100),2))</f>
        <v>0</v>
      </c>
      <c r="Q455" s="75">
        <f t="shared" si="641"/>
        <v>3.499608252807522E-2</v>
      </c>
      <c r="R455" s="75">
        <f t="shared" si="642"/>
        <v>5.0143640637242103E-3</v>
      </c>
      <c r="S455" s="117">
        <f>+IF($C455="","",ROUND((S454+I455)*(1+Parámetros!$D$91),2))</f>
        <v>26571.68</v>
      </c>
      <c r="T455" s="117">
        <f>+IF($C455="","",ROUND(S455*VLOOKUP(B455,Parámetros!$C$30:$D$39,2,TRUE),2))</f>
        <v>26571.68</v>
      </c>
      <c r="U455" s="117">
        <f>+IF($C455="","",ROUND((U454+I455)*(1+Parámetros!$D$92),2))</f>
        <v>30615.47</v>
      </c>
      <c r="V455" s="117">
        <f>+IF($C455="","",ROUND(U455*VLOOKUP(B455,Parámetros!$C$30:$D$39,2,TRUE),2))</f>
        <v>30615.47</v>
      </c>
      <c r="W455" s="57">
        <f t="shared" si="643"/>
        <v>414</v>
      </c>
      <c r="X455" t="str">
        <f t="shared" si="644"/>
        <v>00058</v>
      </c>
      <c r="Y455" t="str">
        <f t="shared" si="645"/>
        <v>MUERTE POR CUALQUIER CAUSA</v>
      </c>
      <c r="Z455" s="118">
        <f>+IF($W455="","",ROUND(IF(Parámetros!$D$25='TABLAS MORT'!$V$33,Z454,Parámetros!$D$21-'Tablas Servicio'!T454),0))</f>
        <v>100000</v>
      </c>
      <c r="AA455" s="118" t="str">
        <f t="shared" si="646"/>
        <v>P</v>
      </c>
      <c r="AB455" s="119">
        <f>+IF(W455="","",ROUND((VLOOKUP(ROUNDDOWN($D455-1/frec,0),qx_tabla,2,FALSE)*(1+i/frec)^-0.5*(1+Parámetros!$D$103)*(1+rec_fracc)/frec),6))</f>
        <v>1.7570000000000001E-3</v>
      </c>
      <c r="AC455" s="66">
        <f t="shared" si="602"/>
        <v>175.7</v>
      </c>
      <c r="AD455" s="119">
        <f t="shared" si="598"/>
        <v>1.882E-3</v>
      </c>
      <c r="AE455" s="66">
        <f>+IF($W455="","",ROUND(IF($B455&gt;Parámetros!$D$107,'Tablas Servicio'!AC455+('Tablas Servicio'!AG454-'Tablas Servicio'!AC454),AC455/(1-IF(B455&lt;=10,Parámetros!$D$104,Parámetros!$D$105))),2))</f>
        <v>292.83</v>
      </c>
      <c r="AF455" s="66">
        <f>+IF($W455="","",ROUND(IF($B455&gt;Parámetros!$D$107,'Tablas Servicio'!AC455+('Tablas Servicio'!AG454-'Tablas Servicio'!AC454),(AC455+$A454/frec)/(1-IF(B455&lt;=Parámetros!$D$117,Parámetros!$D$100,0))),2))</f>
        <v>188.2</v>
      </c>
      <c r="AG455" s="66">
        <f t="shared" si="603"/>
        <v>188.2</v>
      </c>
      <c r="AH455" s="66">
        <f t="shared" si="604"/>
        <v>0</v>
      </c>
      <c r="AI455" s="66">
        <f t="shared" si="605"/>
        <v>0</v>
      </c>
      <c r="AJ455" s="66">
        <f>+IF($W455="","",ROUND((AG455*Parámetros!$G$85),2))</f>
        <v>6.59</v>
      </c>
      <c r="AK455" s="66">
        <f>+IF($W455="","",ROUND((AG455*(Parámetros!$G$86)),2))</f>
        <v>0.94</v>
      </c>
      <c r="AL455" s="66">
        <f t="shared" si="599"/>
        <v>195.73</v>
      </c>
      <c r="AM455" t="str">
        <f t="shared" si="647"/>
        <v>00059</v>
      </c>
      <c r="AN455" t="str">
        <f t="shared" si="648"/>
        <v>Incapacidad Total y Permanente</v>
      </c>
      <c r="AO455" s="118">
        <f t="shared" si="649"/>
        <v>0</v>
      </c>
      <c r="AP455" s="118" t="str">
        <f t="shared" si="650"/>
        <v>A</v>
      </c>
      <c r="AQ455" s="119" t="str">
        <f>+IF(OR($W455="",AO455=0),"",ROUND((VLOOKUP(ROUNDDOWN($D455-1/frec,0),cob_adi,Z$40,FALSE)*(1+i/frec)^-0.5*(1+Parámetros!$D$103)*(1+rec_fracc)/frec),6))</f>
        <v/>
      </c>
      <c r="AR455" s="66">
        <f t="shared" si="606"/>
        <v>0</v>
      </c>
      <c r="AS455" s="119" t="str">
        <f t="shared" si="607"/>
        <v/>
      </c>
      <c r="AT455" s="66">
        <f>+IF($W455="","",ROUND(IF($B455&gt;Parámetros!$D$107,'Tablas Servicio'!AR455+('Tablas Servicio'!AT454-'Tablas Servicio'!AR454),AR455/(1-IF(B455&lt;=10,Parámetros!$D$100,0))),2))</f>
        <v>0</v>
      </c>
      <c r="AU455" s="66">
        <f t="shared" si="608"/>
        <v>0</v>
      </c>
      <c r="AV455" s="66">
        <f t="shared" si="608"/>
        <v>0</v>
      </c>
      <c r="AW455" s="66">
        <f>+IF($W455="","",ROUND((AT455*Parámetros!$G$85),2))</f>
        <v>0</v>
      </c>
      <c r="AX455" s="66">
        <f>+IF($W455="","",ROUND((AT455*(Parámetros!$G$86)),2))</f>
        <v>0</v>
      </c>
      <c r="AY455" s="66">
        <f t="shared" si="609"/>
        <v>0</v>
      </c>
      <c r="AZ455" t="str">
        <f t="shared" si="651"/>
        <v>00060</v>
      </c>
      <c r="BA455" t="str">
        <f t="shared" si="652"/>
        <v>Muerte Accidental</v>
      </c>
      <c r="BB455" s="118">
        <f t="shared" si="653"/>
        <v>0</v>
      </c>
      <c r="BC455" s="118" t="str">
        <f t="shared" si="654"/>
        <v>A</v>
      </c>
      <c r="BD455" s="119" t="str">
        <f>+IF(OR($W455="",BB455=0),"",ROUND((VLOOKUP(ROUNDDOWN($D455-1/frec,0),cob_adi,AO$40,FALSE)*(1+i/frec)^-0.5*(1+Parámetros!$D$103)*(1+rec_fracc)/frec),6))</f>
        <v/>
      </c>
      <c r="BE455" s="66">
        <f t="shared" si="610"/>
        <v>0</v>
      </c>
      <c r="BF455" s="119" t="str">
        <f t="shared" si="611"/>
        <v/>
      </c>
      <c r="BG455" s="66">
        <f>+IF($W455="","",ROUND(IF($B455&gt;Parámetros!$D$107,'Tablas Servicio'!BE455+('Tablas Servicio'!BG454-'Tablas Servicio'!BE454),BE455/(1-IF(B455&lt;=10,Parámetros!$D$100,0))),2))</f>
        <v>0</v>
      </c>
      <c r="BH455" s="66">
        <f t="shared" si="612"/>
        <v>0</v>
      </c>
      <c r="BI455" s="66">
        <f t="shared" si="613"/>
        <v>0</v>
      </c>
      <c r="BJ455" s="66">
        <f>+IF($W455="","",ROUND((BG455*Parámetros!$G$85),2))</f>
        <v>0</v>
      </c>
      <c r="BK455" s="66">
        <f>+IF($W455="","",ROUND((BG455*(Parámetros!$G$86)),2))</f>
        <v>0</v>
      </c>
      <c r="BL455" s="66">
        <f t="shared" si="614"/>
        <v>0</v>
      </c>
      <c r="BM455" t="str">
        <f t="shared" si="655"/>
        <v>00061</v>
      </c>
      <c r="BN455" t="str">
        <f t="shared" si="656"/>
        <v>Gastos de Entierro</v>
      </c>
      <c r="BO455" s="118">
        <f t="shared" si="657"/>
        <v>0</v>
      </c>
      <c r="BP455" s="118" t="str">
        <f t="shared" si="658"/>
        <v>A</v>
      </c>
      <c r="BQ455" s="119" t="str">
        <f>+IF(OR($W455="",BO455=0),"",ROUND((VLOOKUP(ROUNDDOWN($D455-1/frec,0),cob_adi,BB$40,FALSE)*(1+i/frec)^-0.5*(1+Parámetros!$D$103)*(1+rec_fracc)/frec),6))</f>
        <v/>
      </c>
      <c r="BR455" s="66">
        <f t="shared" si="615"/>
        <v>0</v>
      </c>
      <c r="BS455" s="119" t="str">
        <f t="shared" si="616"/>
        <v/>
      </c>
      <c r="BT455" s="66">
        <f>+IF($W455="","",ROUND(IF($B455&gt;Parámetros!$D$107,'Tablas Servicio'!BR455+('Tablas Servicio'!BT454-'Tablas Servicio'!BR454),BR455/(1-IF(B455&lt;=10,Parámetros!$D$100,0))),2))</f>
        <v>0</v>
      </c>
      <c r="BU455" s="66">
        <f t="shared" si="617"/>
        <v>0</v>
      </c>
      <c r="BV455" s="66">
        <f t="shared" si="617"/>
        <v>0</v>
      </c>
      <c r="BW455" s="66">
        <f>+IF($W455="","",ROUND((BT455*Parámetros!$G$85),2))</f>
        <v>0</v>
      </c>
      <c r="BX455" s="66">
        <f>+IF($W455="","",ROUND((BT455*(Parámetros!$G$86)),2))</f>
        <v>0</v>
      </c>
      <c r="BY455" s="66">
        <f t="shared" si="618"/>
        <v>0</v>
      </c>
      <c r="BZ455" t="str">
        <f t="shared" si="659"/>
        <v>00062</v>
      </c>
      <c r="CA455" t="str">
        <f t="shared" si="660"/>
        <v>Gastos médicos por accidente</v>
      </c>
      <c r="CB455" s="118">
        <f t="shared" si="661"/>
        <v>0</v>
      </c>
      <c r="CC455" s="118" t="str">
        <f t="shared" si="662"/>
        <v>A</v>
      </c>
      <c r="CD455" s="119" t="str">
        <f t="shared" si="619"/>
        <v/>
      </c>
      <c r="CE455" s="66">
        <f>+IF($W455="","",ROUND((VLOOKUP(ROUNDDOWN($D455-1/frec,0),cob_adi,BO$40,FALSE)*(1+i/frec)^-0.5*(1+Parámetros!$D$103)*(1+rec_fracc)/frec*'TABLAS ADI'!$BC$17),2))</f>
        <v>0</v>
      </c>
      <c r="CF455" s="119" t="str">
        <f t="shared" si="620"/>
        <v/>
      </c>
      <c r="CG455" s="66">
        <f>+IF($W455="","",ROUND(IF($B455&gt;Parámetros!$D$107,'Tablas Servicio'!CE455+('Tablas Servicio'!CG454-'Tablas Servicio'!CE454),CE455/(1-IF(B455&lt;=10,Parámetros!$D$100,0))),2))</f>
        <v>0</v>
      </c>
      <c r="CH455" s="66">
        <f t="shared" si="621"/>
        <v>0</v>
      </c>
      <c r="CI455" s="66">
        <f t="shared" si="621"/>
        <v>0</v>
      </c>
      <c r="CJ455" s="66">
        <f>+IF($W455="","",ROUND((CG455*Parámetros!$G$85),2))</f>
        <v>0</v>
      </c>
      <c r="CK455" s="66">
        <f>+IF($W455="","",ROUND((CG455*(Parámetros!$G$86)),2))</f>
        <v>0</v>
      </c>
      <c r="CL455" s="66">
        <f t="shared" si="622"/>
        <v>0</v>
      </c>
      <c r="CM455" t="str">
        <f t="shared" si="663"/>
        <v>00063</v>
      </c>
      <c r="CN455" s="118" t="str">
        <f t="shared" si="664"/>
        <v>Renta Diaria por Hospitalización</v>
      </c>
      <c r="CO455" s="118">
        <f t="shared" si="665"/>
        <v>0</v>
      </c>
      <c r="CP455" s="118" t="str">
        <f t="shared" si="666"/>
        <v>A</v>
      </c>
      <c r="CQ455" s="119" t="str">
        <f t="shared" si="623"/>
        <v/>
      </c>
      <c r="CR455" s="66">
        <f>+IF($W455="","",ROUND((VLOOKUP(Parámetros!$F$51,'COBERTURAS ADICIONALES'!$S$4:$T$32,2,FALSE)*(1+i/frec)^-0.5*(1+Parámetros!$D$103)*(1+rec_fracc)/frec*$CO$42),2))</f>
        <v>0</v>
      </c>
      <c r="CS455" s="119" t="str">
        <f t="shared" si="624"/>
        <v/>
      </c>
      <c r="CT455" s="66">
        <f>+IF($W455="","",ROUND(IF($B455&gt;Parámetros!$D$107,'Tablas Servicio'!CR455+('Tablas Servicio'!CT454-'Tablas Servicio'!CR454),CR455/(1-IF(B455&lt;=10,Parámetros!$D$100,0))),2))</f>
        <v>0</v>
      </c>
      <c r="CU455" s="66">
        <f t="shared" si="625"/>
        <v>0</v>
      </c>
      <c r="CV455" s="66">
        <f t="shared" si="625"/>
        <v>0</v>
      </c>
      <c r="CW455" s="66">
        <f>+IF($W455="","",ROUND((CT455*Parámetros!$G$85),2))</f>
        <v>0</v>
      </c>
      <c r="CX455" s="66">
        <f>+IF($W455="","",ROUND((CT455*(Parámetros!$G$86)),2))</f>
        <v>0</v>
      </c>
      <c r="CY455" s="66">
        <f t="shared" si="626"/>
        <v>0</v>
      </c>
      <c r="CZ455" t="str">
        <f t="shared" si="667"/>
        <v>00064</v>
      </c>
      <c r="DA455" s="118" t="str">
        <f t="shared" si="668"/>
        <v>Enfermedades Graves</v>
      </c>
      <c r="DB455" s="118">
        <f t="shared" si="669"/>
        <v>0</v>
      </c>
      <c r="DC455" s="118" t="str">
        <f t="shared" si="670"/>
        <v>A</v>
      </c>
      <c r="DD455" s="121" t="str">
        <f>+IF(OR($W455="",DB455=0),"",ROUND((VLOOKUP(ROUNDDOWN($D455-1/frec,0),cob_adi,CO$40,FALSE)*(1+i/frec)^-0.5*(1+Parámetros!$D$103)*(1+rec_fracc)/frec),6))</f>
        <v/>
      </c>
      <c r="DE455" s="66">
        <f t="shared" si="627"/>
        <v>0</v>
      </c>
      <c r="DF455" s="119" t="str">
        <f t="shared" si="628"/>
        <v/>
      </c>
      <c r="DG455" s="66">
        <f>+IF($W455="","",ROUND(IF($B455&gt;Parámetros!$D$107,'Tablas Servicio'!DE455+('Tablas Servicio'!DG454-'Tablas Servicio'!DE454),DE455/(1-IF(B455&lt;=10,Parámetros!$D$100,0))),2))</f>
        <v>0</v>
      </c>
      <c r="DH455" s="66">
        <f t="shared" si="629"/>
        <v>0</v>
      </c>
      <c r="DI455" s="66">
        <f t="shared" si="629"/>
        <v>0</v>
      </c>
      <c r="DJ455" s="66">
        <f>+IF($W455="","",ROUND((DG455*Parámetros!$G$85),2))</f>
        <v>0</v>
      </c>
      <c r="DK455" s="66">
        <f>+IF($W455="","",ROUND((DG455*(Parámetros!$G$86)),2))</f>
        <v>0</v>
      </c>
      <c r="DL455" s="66">
        <f t="shared" si="630"/>
        <v>0</v>
      </c>
      <c r="DM455" t="str">
        <f t="shared" si="671"/>
        <v>00065</v>
      </c>
      <c r="DN455" s="118" t="str">
        <f t="shared" si="672"/>
        <v>Exención pago de primas</v>
      </c>
      <c r="DO455" s="118">
        <f t="shared" si="673"/>
        <v>0</v>
      </c>
      <c r="DP455" s="118" t="str">
        <f t="shared" si="674"/>
        <v>A</v>
      </c>
      <c r="DQ455" s="122" t="str">
        <f>+IF(OR($W455="",DO455=0),"",ROUND((VLOOKUP(ROUNDDOWN($D455-1/frec,0),cob_adi,DB$40,FALSE)*(1+i/frec)^-0.5*(1+Parámetros!$D$103)*(1+rec_fracc)/frec),6))</f>
        <v/>
      </c>
      <c r="DR455" s="66">
        <f t="shared" si="631"/>
        <v>0</v>
      </c>
      <c r="DS455" s="68" t="str">
        <f t="shared" si="632"/>
        <v/>
      </c>
      <c r="DT455" s="66">
        <f>+IF($W455="","",ROUND(IF($B455&gt;Parámetros!$D$107,'Tablas Servicio'!DR455+('Tablas Servicio'!DT454-'Tablas Servicio'!DR454),DR455/(1-IF(B455&lt;=10,Parámetros!$D$100,0))),2))</f>
        <v>0</v>
      </c>
      <c r="DU455" s="66">
        <f t="shared" si="633"/>
        <v>0</v>
      </c>
      <c r="DV455" s="66">
        <f t="shared" si="633"/>
        <v>0</v>
      </c>
      <c r="DW455" s="66">
        <f>+IF($W455="","",ROUND((DT455*Parámetros!$G$85),2))</f>
        <v>0</v>
      </c>
      <c r="DX455" s="66">
        <f>+IF($W455="","",ROUND((DT455*(Parámetros!$G$86)),2))</f>
        <v>0</v>
      </c>
      <c r="DY455" s="66">
        <f t="shared" si="634"/>
        <v>0</v>
      </c>
      <c r="DZ455" t="str">
        <f t="shared" si="675"/>
        <v>00066</v>
      </c>
      <c r="EA455" s="118" t="str">
        <f t="shared" si="675"/>
        <v>Enfermedad terminal</v>
      </c>
      <c r="EB455" s="118">
        <f>+IF($W455="","",ROUND(IF(Parámetros!$D$25='TABLAS MORT'!$V$33,EB454,Z455/2),0))</f>
        <v>50000</v>
      </c>
      <c r="EC455" s="118" t="str">
        <f t="shared" si="675"/>
        <v>A</v>
      </c>
      <c r="ED455" s="122">
        <f>+IF(OR($W455="",EB455=0),"",ROUND((VLOOKUP(ROUNDDOWN($D455-1/frec,0),cob_adi,DO$40,FALSE)*(1+i/frec)^-0.5*(1+Parámetros!$D$103)*(1+rec_fracc)/frec),6))</f>
        <v>6.4999999999999994E-5</v>
      </c>
      <c r="EE455" s="66">
        <f t="shared" si="636"/>
        <v>3.25</v>
      </c>
      <c r="EF455" s="68">
        <f t="shared" si="637"/>
        <v>6.4999999999999994E-5</v>
      </c>
      <c r="EG455" s="66">
        <f>+IF($W455="","",ROUND(IF($B455&gt;Parámetros!$D$107,'Tablas Servicio'!EE455+('Tablas Servicio'!EG454-'Tablas Servicio'!EE454),EE455/(1-IF(B455&lt;=10,Parámetros!$D$100,0))),2))</f>
        <v>3.25</v>
      </c>
      <c r="EH455" s="66">
        <f t="shared" si="638"/>
        <v>0</v>
      </c>
      <c r="EI455" s="66">
        <f t="shared" si="638"/>
        <v>0</v>
      </c>
      <c r="EJ455" s="66">
        <f>+IF($W455="","",ROUND((EG455*Parámetros!$G$85),2))</f>
        <v>0.11</v>
      </c>
      <c r="EK455" s="66">
        <f>+IF($W455="","",ROUND((EG455*(Parámetros!$G$86)),2))</f>
        <v>0.02</v>
      </c>
      <c r="EL455" s="66">
        <f t="shared" si="639"/>
        <v>3.38</v>
      </c>
    </row>
    <row r="456" spans="1:142" x14ac:dyDescent="0.25">
      <c r="A456">
        <f>+IF($C456="","",ROUND(VLOOKUP('Tablas Servicio'!B456,Parámetros!$H$100:$J$159,IF(Parámetros!$E$16="F",2,3),FALSE),2))</f>
        <v>150</v>
      </c>
      <c r="B456">
        <f t="shared" si="590"/>
        <v>35</v>
      </c>
      <c r="C456" s="57">
        <f>+IF(D456="","",'Tablas Servicio'!C455+1)</f>
        <v>415</v>
      </c>
      <c r="D456" s="56">
        <f>+IF(D455&lt;edadmaxtabla,D455+1/Parámetros!$E$25,"")</f>
        <v>74.60333333333341</v>
      </c>
      <c r="E456" s="57">
        <f t="shared" si="600"/>
        <v>74</v>
      </c>
      <c r="F456" s="59">
        <f t="shared" si="601"/>
        <v>100000</v>
      </c>
      <c r="G456" s="66">
        <f t="shared" si="591"/>
        <v>191.45</v>
      </c>
      <c r="H456" s="66">
        <f t="shared" si="592"/>
        <v>199.10999999999999</v>
      </c>
      <c r="I456" s="66">
        <f t="shared" si="640"/>
        <v>-105.10999999999999</v>
      </c>
      <c r="J456" s="66">
        <f t="shared" si="593"/>
        <v>6.7</v>
      </c>
      <c r="K456" s="66">
        <f t="shared" si="594"/>
        <v>0.96</v>
      </c>
      <c r="L456" s="66">
        <f t="shared" si="595"/>
        <v>0</v>
      </c>
      <c r="M456" s="66">
        <f t="shared" si="596"/>
        <v>0</v>
      </c>
      <c r="N456" s="66">
        <f>+IF(C456="","",ROUND(Parámetros!$D$23,2))</f>
        <v>94</v>
      </c>
      <c r="O456" s="66">
        <f t="shared" si="597"/>
        <v>178.95</v>
      </c>
      <c r="P456" s="66">
        <f>+IF($C456="","",ROUND(IF(B456&gt;Parámetros!$D$117,0,N456*Parámetros!$D$116-G456*Parámetros!$D$100),2))</f>
        <v>0</v>
      </c>
      <c r="Q456" s="75">
        <f t="shared" si="641"/>
        <v>3.499608252807522E-2</v>
      </c>
      <c r="R456" s="75">
        <f t="shared" si="642"/>
        <v>5.0143640637242103E-3</v>
      </c>
      <c r="S456" s="117">
        <f>+IF($C456="","",ROUND((S455+I456)*(1+Parámetros!$D$91),2))</f>
        <v>26541.64</v>
      </c>
      <c r="T456" s="117">
        <f>+IF($C456="","",ROUND(S456*VLOOKUP(B456,Parámetros!$C$30:$D$39,2,TRUE),2))</f>
        <v>26541.64</v>
      </c>
      <c r="U456" s="117">
        <f>+IF($C456="","",ROUND((U455+I456)*(1+Parámetros!$D$92),2))</f>
        <v>30609.26</v>
      </c>
      <c r="V456" s="117">
        <f>+IF($C456="","",ROUND(U456*VLOOKUP(B456,Parámetros!$C$30:$D$39,2,TRUE),2))</f>
        <v>30609.26</v>
      </c>
      <c r="W456" s="57">
        <f t="shared" si="643"/>
        <v>415</v>
      </c>
      <c r="X456" t="str">
        <f t="shared" si="644"/>
        <v>00058</v>
      </c>
      <c r="Y456" t="str">
        <f t="shared" si="645"/>
        <v>MUERTE POR CUALQUIER CAUSA</v>
      </c>
      <c r="Z456" s="118">
        <f>+IF($W456="","",ROUND(IF(Parámetros!$D$25='TABLAS MORT'!$V$33,Z455,Parámetros!$D$21-'Tablas Servicio'!T455),0))</f>
        <v>100000</v>
      </c>
      <c r="AA456" s="118" t="str">
        <f t="shared" si="646"/>
        <v>P</v>
      </c>
      <c r="AB456" s="119">
        <f>+IF(W456="","",ROUND((VLOOKUP(ROUNDDOWN($D456-1/frec,0),qx_tabla,2,FALSE)*(1+i/frec)^-0.5*(1+Parámetros!$D$103)*(1+rec_fracc)/frec),6))</f>
        <v>1.7570000000000001E-3</v>
      </c>
      <c r="AC456" s="66">
        <f t="shared" si="602"/>
        <v>175.7</v>
      </c>
      <c r="AD456" s="119">
        <f t="shared" si="598"/>
        <v>1.882E-3</v>
      </c>
      <c r="AE456" s="66">
        <f>+IF($W456="","",ROUND(IF($B456&gt;Parámetros!$D$107,'Tablas Servicio'!AC456+('Tablas Servicio'!AG455-'Tablas Servicio'!AC455),AC456/(1-IF(B456&lt;=10,Parámetros!$D$104,Parámetros!$D$105))),2))</f>
        <v>292.83</v>
      </c>
      <c r="AF456" s="66">
        <f>+IF($W456="","",ROUND(IF($B456&gt;Parámetros!$D$107,'Tablas Servicio'!AC456+('Tablas Servicio'!AG455-'Tablas Servicio'!AC455),(AC456+$A455/frec)/(1-IF(B456&lt;=Parámetros!$D$117,Parámetros!$D$100,0))),2))</f>
        <v>188.2</v>
      </c>
      <c r="AG456" s="66">
        <f t="shared" si="603"/>
        <v>188.2</v>
      </c>
      <c r="AH456" s="66">
        <f t="shared" si="604"/>
        <v>0</v>
      </c>
      <c r="AI456" s="66">
        <f t="shared" si="605"/>
        <v>0</v>
      </c>
      <c r="AJ456" s="66">
        <f>+IF($W456="","",ROUND((AG456*Parámetros!$G$85),2))</f>
        <v>6.59</v>
      </c>
      <c r="AK456" s="66">
        <f>+IF($W456="","",ROUND((AG456*(Parámetros!$G$86)),2))</f>
        <v>0.94</v>
      </c>
      <c r="AL456" s="66">
        <f t="shared" si="599"/>
        <v>195.73</v>
      </c>
      <c r="AM456" t="str">
        <f t="shared" si="647"/>
        <v>00059</v>
      </c>
      <c r="AN456" t="str">
        <f t="shared" si="648"/>
        <v>Incapacidad Total y Permanente</v>
      </c>
      <c r="AO456" s="118">
        <f t="shared" si="649"/>
        <v>0</v>
      </c>
      <c r="AP456" s="118" t="str">
        <f t="shared" si="650"/>
        <v>A</v>
      </c>
      <c r="AQ456" s="119" t="str">
        <f>+IF(OR($W456="",AO456=0),"",ROUND((VLOOKUP(ROUNDDOWN($D456-1/frec,0),cob_adi,Z$40,FALSE)*(1+i/frec)^-0.5*(1+Parámetros!$D$103)*(1+rec_fracc)/frec),6))</f>
        <v/>
      </c>
      <c r="AR456" s="66">
        <f t="shared" si="606"/>
        <v>0</v>
      </c>
      <c r="AS456" s="119" t="str">
        <f t="shared" si="607"/>
        <v/>
      </c>
      <c r="AT456" s="66">
        <f>+IF($W456="","",ROUND(IF($B456&gt;Parámetros!$D$107,'Tablas Servicio'!AR456+('Tablas Servicio'!AT455-'Tablas Servicio'!AR455),AR456/(1-IF(B456&lt;=10,Parámetros!$D$100,0))),2))</f>
        <v>0</v>
      </c>
      <c r="AU456" s="66">
        <f t="shared" si="608"/>
        <v>0</v>
      </c>
      <c r="AV456" s="66">
        <f t="shared" si="608"/>
        <v>0</v>
      </c>
      <c r="AW456" s="66">
        <f>+IF($W456="","",ROUND((AT456*Parámetros!$G$85),2))</f>
        <v>0</v>
      </c>
      <c r="AX456" s="66">
        <f>+IF($W456="","",ROUND((AT456*(Parámetros!$G$86)),2))</f>
        <v>0</v>
      </c>
      <c r="AY456" s="66">
        <f t="shared" si="609"/>
        <v>0</v>
      </c>
      <c r="AZ456" t="str">
        <f t="shared" si="651"/>
        <v>00060</v>
      </c>
      <c r="BA456" t="str">
        <f t="shared" si="652"/>
        <v>Muerte Accidental</v>
      </c>
      <c r="BB456" s="118">
        <f t="shared" si="653"/>
        <v>0</v>
      </c>
      <c r="BC456" s="118" t="str">
        <f t="shared" si="654"/>
        <v>A</v>
      </c>
      <c r="BD456" s="119" t="str">
        <f>+IF(OR($W456="",BB456=0),"",ROUND((VLOOKUP(ROUNDDOWN($D456-1/frec,0),cob_adi,AO$40,FALSE)*(1+i/frec)^-0.5*(1+Parámetros!$D$103)*(1+rec_fracc)/frec),6))</f>
        <v/>
      </c>
      <c r="BE456" s="66">
        <f t="shared" si="610"/>
        <v>0</v>
      </c>
      <c r="BF456" s="119" t="str">
        <f t="shared" si="611"/>
        <v/>
      </c>
      <c r="BG456" s="66">
        <f>+IF($W456="","",ROUND(IF($B456&gt;Parámetros!$D$107,'Tablas Servicio'!BE456+('Tablas Servicio'!BG455-'Tablas Servicio'!BE455),BE456/(1-IF(B456&lt;=10,Parámetros!$D$100,0))),2))</f>
        <v>0</v>
      </c>
      <c r="BH456" s="66">
        <f t="shared" si="612"/>
        <v>0</v>
      </c>
      <c r="BI456" s="66">
        <f t="shared" si="613"/>
        <v>0</v>
      </c>
      <c r="BJ456" s="66">
        <f>+IF($W456="","",ROUND((BG456*Parámetros!$G$85),2))</f>
        <v>0</v>
      </c>
      <c r="BK456" s="66">
        <f>+IF($W456="","",ROUND((BG456*(Parámetros!$G$86)),2))</f>
        <v>0</v>
      </c>
      <c r="BL456" s="66">
        <f t="shared" si="614"/>
        <v>0</v>
      </c>
      <c r="BM456" t="str">
        <f t="shared" si="655"/>
        <v>00061</v>
      </c>
      <c r="BN456" t="str">
        <f t="shared" si="656"/>
        <v>Gastos de Entierro</v>
      </c>
      <c r="BO456" s="118">
        <f t="shared" si="657"/>
        <v>0</v>
      </c>
      <c r="BP456" s="118" t="str">
        <f t="shared" si="658"/>
        <v>A</v>
      </c>
      <c r="BQ456" s="119" t="str">
        <f>+IF(OR($W456="",BO456=0),"",ROUND((VLOOKUP(ROUNDDOWN($D456-1/frec,0),cob_adi,BB$40,FALSE)*(1+i/frec)^-0.5*(1+Parámetros!$D$103)*(1+rec_fracc)/frec),6))</f>
        <v/>
      </c>
      <c r="BR456" s="66">
        <f t="shared" si="615"/>
        <v>0</v>
      </c>
      <c r="BS456" s="119" t="str">
        <f t="shared" si="616"/>
        <v/>
      </c>
      <c r="BT456" s="66">
        <f>+IF($W456="","",ROUND(IF($B456&gt;Parámetros!$D$107,'Tablas Servicio'!BR456+('Tablas Servicio'!BT455-'Tablas Servicio'!BR455),BR456/(1-IF(B456&lt;=10,Parámetros!$D$100,0))),2))</f>
        <v>0</v>
      </c>
      <c r="BU456" s="66">
        <f t="shared" si="617"/>
        <v>0</v>
      </c>
      <c r="BV456" s="66">
        <f t="shared" si="617"/>
        <v>0</v>
      </c>
      <c r="BW456" s="66">
        <f>+IF($W456="","",ROUND((BT456*Parámetros!$G$85),2))</f>
        <v>0</v>
      </c>
      <c r="BX456" s="66">
        <f>+IF($W456="","",ROUND((BT456*(Parámetros!$G$86)),2))</f>
        <v>0</v>
      </c>
      <c r="BY456" s="66">
        <f t="shared" si="618"/>
        <v>0</v>
      </c>
      <c r="BZ456" t="str">
        <f t="shared" si="659"/>
        <v>00062</v>
      </c>
      <c r="CA456" t="str">
        <f t="shared" si="660"/>
        <v>Gastos médicos por accidente</v>
      </c>
      <c r="CB456" s="118">
        <f t="shared" si="661"/>
        <v>0</v>
      </c>
      <c r="CC456" s="118" t="str">
        <f t="shared" si="662"/>
        <v>A</v>
      </c>
      <c r="CD456" s="119" t="str">
        <f t="shared" si="619"/>
        <v/>
      </c>
      <c r="CE456" s="66">
        <f>+IF($W456="","",ROUND((VLOOKUP(ROUNDDOWN($D456-1/frec,0),cob_adi,BO$40,FALSE)*(1+i/frec)^-0.5*(1+Parámetros!$D$103)*(1+rec_fracc)/frec*'TABLAS ADI'!$BC$17),2))</f>
        <v>0</v>
      </c>
      <c r="CF456" s="119" t="str">
        <f t="shared" si="620"/>
        <v/>
      </c>
      <c r="CG456" s="66">
        <f>+IF($W456="","",ROUND(IF($B456&gt;Parámetros!$D$107,'Tablas Servicio'!CE456+('Tablas Servicio'!CG455-'Tablas Servicio'!CE455),CE456/(1-IF(B456&lt;=10,Parámetros!$D$100,0))),2))</f>
        <v>0</v>
      </c>
      <c r="CH456" s="66">
        <f t="shared" si="621"/>
        <v>0</v>
      </c>
      <c r="CI456" s="66">
        <f t="shared" si="621"/>
        <v>0</v>
      </c>
      <c r="CJ456" s="66">
        <f>+IF($W456="","",ROUND((CG456*Parámetros!$G$85),2))</f>
        <v>0</v>
      </c>
      <c r="CK456" s="66">
        <f>+IF($W456="","",ROUND((CG456*(Parámetros!$G$86)),2))</f>
        <v>0</v>
      </c>
      <c r="CL456" s="66">
        <f t="shared" si="622"/>
        <v>0</v>
      </c>
      <c r="CM456" t="str">
        <f t="shared" si="663"/>
        <v>00063</v>
      </c>
      <c r="CN456" s="118" t="str">
        <f t="shared" si="664"/>
        <v>Renta Diaria por Hospitalización</v>
      </c>
      <c r="CO456" s="118">
        <f t="shared" si="665"/>
        <v>0</v>
      </c>
      <c r="CP456" s="118" t="str">
        <f t="shared" si="666"/>
        <v>A</v>
      </c>
      <c r="CQ456" s="119" t="str">
        <f t="shared" si="623"/>
        <v/>
      </c>
      <c r="CR456" s="66">
        <f>+IF($W456="","",ROUND((VLOOKUP(Parámetros!$F$51,'COBERTURAS ADICIONALES'!$S$4:$T$32,2,FALSE)*(1+i/frec)^-0.5*(1+Parámetros!$D$103)*(1+rec_fracc)/frec*$CO$42),2))</f>
        <v>0</v>
      </c>
      <c r="CS456" s="119" t="str">
        <f t="shared" si="624"/>
        <v/>
      </c>
      <c r="CT456" s="66">
        <f>+IF($W456="","",ROUND(IF($B456&gt;Parámetros!$D$107,'Tablas Servicio'!CR456+('Tablas Servicio'!CT455-'Tablas Servicio'!CR455),CR456/(1-IF(B456&lt;=10,Parámetros!$D$100,0))),2))</f>
        <v>0</v>
      </c>
      <c r="CU456" s="66">
        <f t="shared" si="625"/>
        <v>0</v>
      </c>
      <c r="CV456" s="66">
        <f t="shared" si="625"/>
        <v>0</v>
      </c>
      <c r="CW456" s="66">
        <f>+IF($W456="","",ROUND((CT456*Parámetros!$G$85),2))</f>
        <v>0</v>
      </c>
      <c r="CX456" s="66">
        <f>+IF($W456="","",ROUND((CT456*(Parámetros!$G$86)),2))</f>
        <v>0</v>
      </c>
      <c r="CY456" s="66">
        <f t="shared" si="626"/>
        <v>0</v>
      </c>
      <c r="CZ456" t="str">
        <f t="shared" si="667"/>
        <v>00064</v>
      </c>
      <c r="DA456" s="118" t="str">
        <f t="shared" si="668"/>
        <v>Enfermedades Graves</v>
      </c>
      <c r="DB456" s="118">
        <f t="shared" si="669"/>
        <v>0</v>
      </c>
      <c r="DC456" s="118" t="str">
        <f t="shared" si="670"/>
        <v>A</v>
      </c>
      <c r="DD456" s="121" t="str">
        <f>+IF(OR($W456="",DB456=0),"",ROUND((VLOOKUP(ROUNDDOWN($D456-1/frec,0),cob_adi,CO$40,FALSE)*(1+i/frec)^-0.5*(1+Parámetros!$D$103)*(1+rec_fracc)/frec),6))</f>
        <v/>
      </c>
      <c r="DE456" s="66">
        <f t="shared" si="627"/>
        <v>0</v>
      </c>
      <c r="DF456" s="119" t="str">
        <f t="shared" si="628"/>
        <v/>
      </c>
      <c r="DG456" s="66">
        <f>+IF($W456="","",ROUND(IF($B456&gt;Parámetros!$D$107,'Tablas Servicio'!DE456+('Tablas Servicio'!DG455-'Tablas Servicio'!DE455),DE456/(1-IF(B456&lt;=10,Parámetros!$D$100,0))),2))</f>
        <v>0</v>
      </c>
      <c r="DH456" s="66">
        <f t="shared" si="629"/>
        <v>0</v>
      </c>
      <c r="DI456" s="66">
        <f t="shared" si="629"/>
        <v>0</v>
      </c>
      <c r="DJ456" s="66">
        <f>+IF($W456="","",ROUND((DG456*Parámetros!$G$85),2))</f>
        <v>0</v>
      </c>
      <c r="DK456" s="66">
        <f>+IF($W456="","",ROUND((DG456*(Parámetros!$G$86)),2))</f>
        <v>0</v>
      </c>
      <c r="DL456" s="66">
        <f t="shared" si="630"/>
        <v>0</v>
      </c>
      <c r="DM456" t="str">
        <f t="shared" si="671"/>
        <v>00065</v>
      </c>
      <c r="DN456" s="118" t="str">
        <f t="shared" si="672"/>
        <v>Exención pago de primas</v>
      </c>
      <c r="DO456" s="118">
        <f t="shared" si="673"/>
        <v>0</v>
      </c>
      <c r="DP456" s="118" t="str">
        <f t="shared" si="674"/>
        <v>A</v>
      </c>
      <c r="DQ456" s="122" t="str">
        <f>+IF(OR($W456="",DO456=0),"",ROUND((VLOOKUP(ROUNDDOWN($D456-1/frec,0),cob_adi,DB$40,FALSE)*(1+i/frec)^-0.5*(1+Parámetros!$D$103)*(1+rec_fracc)/frec),6))</f>
        <v/>
      </c>
      <c r="DR456" s="66">
        <f t="shared" si="631"/>
        <v>0</v>
      </c>
      <c r="DS456" s="68" t="str">
        <f t="shared" si="632"/>
        <v/>
      </c>
      <c r="DT456" s="66">
        <f>+IF($W456="","",ROUND(IF($B456&gt;Parámetros!$D$107,'Tablas Servicio'!DR456+('Tablas Servicio'!DT455-'Tablas Servicio'!DR455),DR456/(1-IF(B456&lt;=10,Parámetros!$D$100,0))),2))</f>
        <v>0</v>
      </c>
      <c r="DU456" s="66">
        <f t="shared" si="633"/>
        <v>0</v>
      </c>
      <c r="DV456" s="66">
        <f t="shared" si="633"/>
        <v>0</v>
      </c>
      <c r="DW456" s="66">
        <f>+IF($W456="","",ROUND((DT456*Parámetros!$G$85),2))</f>
        <v>0</v>
      </c>
      <c r="DX456" s="66">
        <f>+IF($W456="","",ROUND((DT456*(Parámetros!$G$86)),2))</f>
        <v>0</v>
      </c>
      <c r="DY456" s="66">
        <f t="shared" si="634"/>
        <v>0</v>
      </c>
      <c r="DZ456" t="str">
        <f t="shared" si="675"/>
        <v>00066</v>
      </c>
      <c r="EA456" s="118" t="str">
        <f t="shared" si="675"/>
        <v>Enfermedad terminal</v>
      </c>
      <c r="EB456" s="118">
        <f>+IF($W456="","",ROUND(IF(Parámetros!$D$25='TABLAS MORT'!$V$33,EB455,Z456/2),0))</f>
        <v>50000</v>
      </c>
      <c r="EC456" s="118" t="str">
        <f t="shared" si="675"/>
        <v>A</v>
      </c>
      <c r="ED456" s="122">
        <f>+IF(OR($W456="",EB456=0),"",ROUND((VLOOKUP(ROUNDDOWN($D456-1/frec,0),cob_adi,DO$40,FALSE)*(1+i/frec)^-0.5*(1+Parámetros!$D$103)*(1+rec_fracc)/frec),6))</f>
        <v>6.4999999999999994E-5</v>
      </c>
      <c r="EE456" s="66">
        <f t="shared" si="636"/>
        <v>3.25</v>
      </c>
      <c r="EF456" s="68">
        <f t="shared" si="637"/>
        <v>6.4999999999999994E-5</v>
      </c>
      <c r="EG456" s="66">
        <f>+IF($W456="","",ROUND(IF($B456&gt;Parámetros!$D$107,'Tablas Servicio'!EE456+('Tablas Servicio'!EG455-'Tablas Servicio'!EE455),EE456/(1-IF(B456&lt;=10,Parámetros!$D$100,0))),2))</f>
        <v>3.25</v>
      </c>
      <c r="EH456" s="66">
        <f t="shared" si="638"/>
        <v>0</v>
      </c>
      <c r="EI456" s="66">
        <f t="shared" si="638"/>
        <v>0</v>
      </c>
      <c r="EJ456" s="66">
        <f>+IF($W456="","",ROUND((EG456*Parámetros!$G$85),2))</f>
        <v>0.11</v>
      </c>
      <c r="EK456" s="66">
        <f>+IF($W456="","",ROUND((EG456*(Parámetros!$G$86)),2))</f>
        <v>0.02</v>
      </c>
      <c r="EL456" s="66">
        <f t="shared" si="639"/>
        <v>3.38</v>
      </c>
    </row>
    <row r="457" spans="1:142" x14ac:dyDescent="0.25">
      <c r="A457">
        <f>+IF($C457="","",ROUND(VLOOKUP('Tablas Servicio'!B457,Parámetros!$H$100:$J$159,IF(Parámetros!$E$16="F",2,3),FALSE),2))</f>
        <v>150</v>
      </c>
      <c r="B457">
        <f t="shared" si="590"/>
        <v>35</v>
      </c>
      <c r="C457" s="57">
        <f>+IF(D457="","",'Tablas Servicio'!C456+1)</f>
        <v>416</v>
      </c>
      <c r="D457" s="56">
        <f>+IF(D456&lt;edadmaxtabla,D456+1/Parámetros!$E$25,"")</f>
        <v>74.686666666666738</v>
      </c>
      <c r="E457" s="57">
        <f t="shared" si="600"/>
        <v>74</v>
      </c>
      <c r="F457" s="59">
        <f t="shared" si="601"/>
        <v>100000</v>
      </c>
      <c r="G457" s="66">
        <f t="shared" si="591"/>
        <v>191.45</v>
      </c>
      <c r="H457" s="66">
        <f t="shared" si="592"/>
        <v>199.10999999999999</v>
      </c>
      <c r="I457" s="66">
        <f t="shared" si="640"/>
        <v>-105.10999999999999</v>
      </c>
      <c r="J457" s="66">
        <f t="shared" si="593"/>
        <v>6.7</v>
      </c>
      <c r="K457" s="66">
        <f t="shared" si="594"/>
        <v>0.96</v>
      </c>
      <c r="L457" s="66">
        <f t="shared" si="595"/>
        <v>0</v>
      </c>
      <c r="M457" s="66">
        <f t="shared" si="596"/>
        <v>0</v>
      </c>
      <c r="N457" s="66">
        <f>+IF(C457="","",ROUND(Parámetros!$D$23,2))</f>
        <v>94</v>
      </c>
      <c r="O457" s="66">
        <f t="shared" si="597"/>
        <v>178.95</v>
      </c>
      <c r="P457" s="66">
        <f>+IF($C457="","",ROUND(IF(B457&gt;Parámetros!$D$117,0,N457*Parámetros!$D$116-G457*Parámetros!$D$100),2))</f>
        <v>0</v>
      </c>
      <c r="Q457" s="75">
        <f t="shared" si="641"/>
        <v>3.499608252807522E-2</v>
      </c>
      <c r="R457" s="75">
        <f t="shared" si="642"/>
        <v>5.0143640637242103E-3</v>
      </c>
      <c r="S457" s="117">
        <f>+IF($C457="","",ROUND((S456+I457)*(1+Parámetros!$D$91),2))</f>
        <v>26511.52</v>
      </c>
      <c r="T457" s="117">
        <f>+IF($C457="","",ROUND(S457*VLOOKUP(B457,Parámetros!$C$30:$D$39,2,TRUE),2))</f>
        <v>26511.52</v>
      </c>
      <c r="U457" s="117">
        <f>+IF($C457="","",ROUND((U456+I457)*(1+Parámetros!$D$92),2))</f>
        <v>30603.03</v>
      </c>
      <c r="V457" s="117">
        <f>+IF($C457="","",ROUND(U457*VLOOKUP(B457,Parámetros!$C$30:$D$39,2,TRUE),2))</f>
        <v>30603.03</v>
      </c>
      <c r="W457" s="57">
        <f t="shared" si="643"/>
        <v>416</v>
      </c>
      <c r="X457" t="str">
        <f t="shared" si="644"/>
        <v>00058</v>
      </c>
      <c r="Y457" t="str">
        <f t="shared" si="645"/>
        <v>MUERTE POR CUALQUIER CAUSA</v>
      </c>
      <c r="Z457" s="118">
        <f>+IF($W457="","",ROUND(IF(Parámetros!$D$25='TABLAS MORT'!$V$33,Z456,Parámetros!$D$21-'Tablas Servicio'!T456),0))</f>
        <v>100000</v>
      </c>
      <c r="AA457" s="118" t="str">
        <f t="shared" si="646"/>
        <v>P</v>
      </c>
      <c r="AB457" s="119">
        <f>+IF(W457="","",ROUND((VLOOKUP(ROUNDDOWN($D457-1/frec,0),qx_tabla,2,FALSE)*(1+i/frec)^-0.5*(1+Parámetros!$D$103)*(1+rec_fracc)/frec),6))</f>
        <v>1.7570000000000001E-3</v>
      </c>
      <c r="AC457" s="66">
        <f t="shared" si="602"/>
        <v>175.7</v>
      </c>
      <c r="AD457" s="119">
        <f t="shared" si="598"/>
        <v>1.882E-3</v>
      </c>
      <c r="AE457" s="66">
        <f>+IF($W457="","",ROUND(IF($B457&gt;Parámetros!$D$107,'Tablas Servicio'!AC457+('Tablas Servicio'!AG456-'Tablas Servicio'!AC456),AC457/(1-IF(B457&lt;=10,Parámetros!$D$104,Parámetros!$D$105))),2))</f>
        <v>292.83</v>
      </c>
      <c r="AF457" s="66">
        <f>+IF($W457="","",ROUND(IF($B457&gt;Parámetros!$D$107,'Tablas Servicio'!AC457+('Tablas Servicio'!AG456-'Tablas Servicio'!AC456),(AC457+$A456/frec)/(1-IF(B457&lt;=Parámetros!$D$117,Parámetros!$D$100,0))),2))</f>
        <v>188.2</v>
      </c>
      <c r="AG457" s="66">
        <f t="shared" si="603"/>
        <v>188.2</v>
      </c>
      <c r="AH457" s="66">
        <f t="shared" si="604"/>
        <v>0</v>
      </c>
      <c r="AI457" s="66">
        <f t="shared" si="605"/>
        <v>0</v>
      </c>
      <c r="AJ457" s="66">
        <f>+IF($W457="","",ROUND((AG457*Parámetros!$G$85),2))</f>
        <v>6.59</v>
      </c>
      <c r="AK457" s="66">
        <f>+IF($W457="","",ROUND((AG457*(Parámetros!$G$86)),2))</f>
        <v>0.94</v>
      </c>
      <c r="AL457" s="66">
        <f t="shared" si="599"/>
        <v>195.73</v>
      </c>
      <c r="AM457" t="str">
        <f t="shared" si="647"/>
        <v>00059</v>
      </c>
      <c r="AN457" t="str">
        <f t="shared" si="648"/>
        <v>Incapacidad Total y Permanente</v>
      </c>
      <c r="AO457" s="118">
        <f t="shared" si="649"/>
        <v>0</v>
      </c>
      <c r="AP457" s="118" t="str">
        <f t="shared" si="650"/>
        <v>A</v>
      </c>
      <c r="AQ457" s="119" t="str">
        <f>+IF(OR($W457="",AO457=0),"",ROUND((VLOOKUP(ROUNDDOWN($D457-1/frec,0),cob_adi,Z$40,FALSE)*(1+i/frec)^-0.5*(1+Parámetros!$D$103)*(1+rec_fracc)/frec),6))</f>
        <v/>
      </c>
      <c r="AR457" s="66">
        <f t="shared" si="606"/>
        <v>0</v>
      </c>
      <c r="AS457" s="119" t="str">
        <f t="shared" si="607"/>
        <v/>
      </c>
      <c r="AT457" s="66">
        <f>+IF($W457="","",ROUND(IF($B457&gt;Parámetros!$D$107,'Tablas Servicio'!AR457+('Tablas Servicio'!AT456-'Tablas Servicio'!AR456),AR457/(1-IF(B457&lt;=10,Parámetros!$D$100,0))),2))</f>
        <v>0</v>
      </c>
      <c r="AU457" s="66">
        <f t="shared" si="608"/>
        <v>0</v>
      </c>
      <c r="AV457" s="66">
        <f t="shared" si="608"/>
        <v>0</v>
      </c>
      <c r="AW457" s="66">
        <f>+IF($W457="","",ROUND((AT457*Parámetros!$G$85),2))</f>
        <v>0</v>
      </c>
      <c r="AX457" s="66">
        <f>+IF($W457="","",ROUND((AT457*(Parámetros!$G$86)),2))</f>
        <v>0</v>
      </c>
      <c r="AY457" s="66">
        <f t="shared" si="609"/>
        <v>0</v>
      </c>
      <c r="AZ457" t="str">
        <f t="shared" si="651"/>
        <v>00060</v>
      </c>
      <c r="BA457" t="str">
        <f t="shared" si="652"/>
        <v>Muerte Accidental</v>
      </c>
      <c r="BB457" s="118">
        <f t="shared" si="653"/>
        <v>0</v>
      </c>
      <c r="BC457" s="118" t="str">
        <f t="shared" si="654"/>
        <v>A</v>
      </c>
      <c r="BD457" s="119" t="str">
        <f>+IF(OR($W457="",BB457=0),"",ROUND((VLOOKUP(ROUNDDOWN($D457-1/frec,0),cob_adi,AO$40,FALSE)*(1+i/frec)^-0.5*(1+Parámetros!$D$103)*(1+rec_fracc)/frec),6))</f>
        <v/>
      </c>
      <c r="BE457" s="66">
        <f t="shared" si="610"/>
        <v>0</v>
      </c>
      <c r="BF457" s="119" t="str">
        <f t="shared" si="611"/>
        <v/>
      </c>
      <c r="BG457" s="66">
        <f>+IF($W457="","",ROUND(IF($B457&gt;Parámetros!$D$107,'Tablas Servicio'!BE457+('Tablas Servicio'!BG456-'Tablas Servicio'!BE456),BE457/(1-IF(B457&lt;=10,Parámetros!$D$100,0))),2))</f>
        <v>0</v>
      </c>
      <c r="BH457" s="66">
        <f t="shared" si="612"/>
        <v>0</v>
      </c>
      <c r="BI457" s="66">
        <f t="shared" si="613"/>
        <v>0</v>
      </c>
      <c r="BJ457" s="66">
        <f>+IF($W457="","",ROUND((BG457*Parámetros!$G$85),2))</f>
        <v>0</v>
      </c>
      <c r="BK457" s="66">
        <f>+IF($W457="","",ROUND((BG457*(Parámetros!$G$86)),2))</f>
        <v>0</v>
      </c>
      <c r="BL457" s="66">
        <f t="shared" si="614"/>
        <v>0</v>
      </c>
      <c r="BM457" t="str">
        <f t="shared" si="655"/>
        <v>00061</v>
      </c>
      <c r="BN457" t="str">
        <f t="shared" si="656"/>
        <v>Gastos de Entierro</v>
      </c>
      <c r="BO457" s="118">
        <f t="shared" si="657"/>
        <v>0</v>
      </c>
      <c r="BP457" s="118" t="str">
        <f t="shared" si="658"/>
        <v>A</v>
      </c>
      <c r="BQ457" s="119" t="str">
        <f>+IF(OR($W457="",BO457=0),"",ROUND((VLOOKUP(ROUNDDOWN($D457-1/frec,0),cob_adi,BB$40,FALSE)*(1+i/frec)^-0.5*(1+Parámetros!$D$103)*(1+rec_fracc)/frec),6))</f>
        <v/>
      </c>
      <c r="BR457" s="66">
        <f t="shared" si="615"/>
        <v>0</v>
      </c>
      <c r="BS457" s="119" t="str">
        <f t="shared" si="616"/>
        <v/>
      </c>
      <c r="BT457" s="66">
        <f>+IF($W457="","",ROUND(IF($B457&gt;Parámetros!$D$107,'Tablas Servicio'!BR457+('Tablas Servicio'!BT456-'Tablas Servicio'!BR456),BR457/(1-IF(B457&lt;=10,Parámetros!$D$100,0))),2))</f>
        <v>0</v>
      </c>
      <c r="BU457" s="66">
        <f t="shared" si="617"/>
        <v>0</v>
      </c>
      <c r="BV457" s="66">
        <f t="shared" si="617"/>
        <v>0</v>
      </c>
      <c r="BW457" s="66">
        <f>+IF($W457="","",ROUND((BT457*Parámetros!$G$85),2))</f>
        <v>0</v>
      </c>
      <c r="BX457" s="66">
        <f>+IF($W457="","",ROUND((BT457*(Parámetros!$G$86)),2))</f>
        <v>0</v>
      </c>
      <c r="BY457" s="66">
        <f t="shared" si="618"/>
        <v>0</v>
      </c>
      <c r="BZ457" t="str">
        <f t="shared" si="659"/>
        <v>00062</v>
      </c>
      <c r="CA457" t="str">
        <f t="shared" si="660"/>
        <v>Gastos médicos por accidente</v>
      </c>
      <c r="CB457" s="118">
        <f t="shared" si="661"/>
        <v>0</v>
      </c>
      <c r="CC457" s="118" t="str">
        <f t="shared" si="662"/>
        <v>A</v>
      </c>
      <c r="CD457" s="119" t="str">
        <f t="shared" si="619"/>
        <v/>
      </c>
      <c r="CE457" s="66">
        <f>+IF($W457="","",ROUND((VLOOKUP(ROUNDDOWN($D457-1/frec,0),cob_adi,BO$40,FALSE)*(1+i/frec)^-0.5*(1+Parámetros!$D$103)*(1+rec_fracc)/frec*'TABLAS ADI'!$BC$17),2))</f>
        <v>0</v>
      </c>
      <c r="CF457" s="119" t="str">
        <f t="shared" si="620"/>
        <v/>
      </c>
      <c r="CG457" s="66">
        <f>+IF($W457="","",ROUND(IF($B457&gt;Parámetros!$D$107,'Tablas Servicio'!CE457+('Tablas Servicio'!CG456-'Tablas Servicio'!CE456),CE457/(1-IF(B457&lt;=10,Parámetros!$D$100,0))),2))</f>
        <v>0</v>
      </c>
      <c r="CH457" s="66">
        <f t="shared" si="621"/>
        <v>0</v>
      </c>
      <c r="CI457" s="66">
        <f t="shared" si="621"/>
        <v>0</v>
      </c>
      <c r="CJ457" s="66">
        <f>+IF($W457="","",ROUND((CG457*Parámetros!$G$85),2))</f>
        <v>0</v>
      </c>
      <c r="CK457" s="66">
        <f>+IF($W457="","",ROUND((CG457*(Parámetros!$G$86)),2))</f>
        <v>0</v>
      </c>
      <c r="CL457" s="66">
        <f t="shared" si="622"/>
        <v>0</v>
      </c>
      <c r="CM457" t="str">
        <f t="shared" si="663"/>
        <v>00063</v>
      </c>
      <c r="CN457" s="118" t="str">
        <f t="shared" si="664"/>
        <v>Renta Diaria por Hospitalización</v>
      </c>
      <c r="CO457" s="118">
        <f t="shared" si="665"/>
        <v>0</v>
      </c>
      <c r="CP457" s="118" t="str">
        <f t="shared" si="666"/>
        <v>A</v>
      </c>
      <c r="CQ457" s="119" t="str">
        <f t="shared" si="623"/>
        <v/>
      </c>
      <c r="CR457" s="66">
        <f>+IF($W457="","",ROUND((VLOOKUP(Parámetros!$F$51,'COBERTURAS ADICIONALES'!$S$4:$T$32,2,FALSE)*(1+i/frec)^-0.5*(1+Parámetros!$D$103)*(1+rec_fracc)/frec*$CO$42),2))</f>
        <v>0</v>
      </c>
      <c r="CS457" s="119" t="str">
        <f t="shared" si="624"/>
        <v/>
      </c>
      <c r="CT457" s="66">
        <f>+IF($W457="","",ROUND(IF($B457&gt;Parámetros!$D$107,'Tablas Servicio'!CR457+('Tablas Servicio'!CT456-'Tablas Servicio'!CR456),CR457/(1-IF(B457&lt;=10,Parámetros!$D$100,0))),2))</f>
        <v>0</v>
      </c>
      <c r="CU457" s="66">
        <f t="shared" si="625"/>
        <v>0</v>
      </c>
      <c r="CV457" s="66">
        <f t="shared" si="625"/>
        <v>0</v>
      </c>
      <c r="CW457" s="66">
        <f>+IF($W457="","",ROUND((CT457*Parámetros!$G$85),2))</f>
        <v>0</v>
      </c>
      <c r="CX457" s="66">
        <f>+IF($W457="","",ROUND((CT457*(Parámetros!$G$86)),2))</f>
        <v>0</v>
      </c>
      <c r="CY457" s="66">
        <f t="shared" si="626"/>
        <v>0</v>
      </c>
      <c r="CZ457" t="str">
        <f t="shared" si="667"/>
        <v>00064</v>
      </c>
      <c r="DA457" s="118" t="str">
        <f t="shared" si="668"/>
        <v>Enfermedades Graves</v>
      </c>
      <c r="DB457" s="118">
        <f t="shared" si="669"/>
        <v>0</v>
      </c>
      <c r="DC457" s="118" t="str">
        <f t="shared" si="670"/>
        <v>A</v>
      </c>
      <c r="DD457" s="121" t="str">
        <f>+IF(OR($W457="",DB457=0),"",ROUND((VLOOKUP(ROUNDDOWN($D457-1/frec,0),cob_adi,CO$40,FALSE)*(1+i/frec)^-0.5*(1+Parámetros!$D$103)*(1+rec_fracc)/frec),6))</f>
        <v/>
      </c>
      <c r="DE457" s="66">
        <f t="shared" si="627"/>
        <v>0</v>
      </c>
      <c r="DF457" s="119" t="str">
        <f t="shared" si="628"/>
        <v/>
      </c>
      <c r="DG457" s="66">
        <f>+IF($W457="","",ROUND(IF($B457&gt;Parámetros!$D$107,'Tablas Servicio'!DE457+('Tablas Servicio'!DG456-'Tablas Servicio'!DE456),DE457/(1-IF(B457&lt;=10,Parámetros!$D$100,0))),2))</f>
        <v>0</v>
      </c>
      <c r="DH457" s="66">
        <f t="shared" si="629"/>
        <v>0</v>
      </c>
      <c r="DI457" s="66">
        <f t="shared" si="629"/>
        <v>0</v>
      </c>
      <c r="DJ457" s="66">
        <f>+IF($W457="","",ROUND((DG457*Parámetros!$G$85),2))</f>
        <v>0</v>
      </c>
      <c r="DK457" s="66">
        <f>+IF($W457="","",ROUND((DG457*(Parámetros!$G$86)),2))</f>
        <v>0</v>
      </c>
      <c r="DL457" s="66">
        <f t="shared" si="630"/>
        <v>0</v>
      </c>
      <c r="DM457" t="str">
        <f t="shared" si="671"/>
        <v>00065</v>
      </c>
      <c r="DN457" s="118" t="str">
        <f t="shared" si="672"/>
        <v>Exención pago de primas</v>
      </c>
      <c r="DO457" s="118">
        <f t="shared" si="673"/>
        <v>0</v>
      </c>
      <c r="DP457" s="118" t="str">
        <f t="shared" si="674"/>
        <v>A</v>
      </c>
      <c r="DQ457" s="122" t="str">
        <f>+IF(OR($W457="",DO457=0),"",ROUND((VLOOKUP(ROUNDDOWN($D457-1/frec,0),cob_adi,DB$40,FALSE)*(1+i/frec)^-0.5*(1+Parámetros!$D$103)*(1+rec_fracc)/frec),6))</f>
        <v/>
      </c>
      <c r="DR457" s="66">
        <f t="shared" si="631"/>
        <v>0</v>
      </c>
      <c r="DS457" s="68" t="str">
        <f t="shared" si="632"/>
        <v/>
      </c>
      <c r="DT457" s="66">
        <f>+IF($W457="","",ROUND(IF($B457&gt;Parámetros!$D$107,'Tablas Servicio'!DR457+('Tablas Servicio'!DT456-'Tablas Servicio'!DR456),DR457/(1-IF(B457&lt;=10,Parámetros!$D$100,0))),2))</f>
        <v>0</v>
      </c>
      <c r="DU457" s="66">
        <f t="shared" si="633"/>
        <v>0</v>
      </c>
      <c r="DV457" s="66">
        <f t="shared" si="633"/>
        <v>0</v>
      </c>
      <c r="DW457" s="66">
        <f>+IF($W457="","",ROUND((DT457*Parámetros!$G$85),2))</f>
        <v>0</v>
      </c>
      <c r="DX457" s="66">
        <f>+IF($W457="","",ROUND((DT457*(Parámetros!$G$86)),2))</f>
        <v>0</v>
      </c>
      <c r="DY457" s="66">
        <f t="shared" si="634"/>
        <v>0</v>
      </c>
      <c r="DZ457" t="str">
        <f t="shared" si="675"/>
        <v>00066</v>
      </c>
      <c r="EA457" s="118" t="str">
        <f t="shared" si="675"/>
        <v>Enfermedad terminal</v>
      </c>
      <c r="EB457" s="118">
        <f>+IF($W457="","",ROUND(IF(Parámetros!$D$25='TABLAS MORT'!$V$33,EB456,Z457/2),0))</f>
        <v>50000</v>
      </c>
      <c r="EC457" s="118" t="str">
        <f t="shared" si="675"/>
        <v>A</v>
      </c>
      <c r="ED457" s="122">
        <f>+IF(OR($W457="",EB457=0),"",ROUND((VLOOKUP(ROUNDDOWN($D457-1/frec,0),cob_adi,DO$40,FALSE)*(1+i/frec)^-0.5*(1+Parámetros!$D$103)*(1+rec_fracc)/frec),6))</f>
        <v>6.4999999999999994E-5</v>
      </c>
      <c r="EE457" s="66">
        <f t="shared" si="636"/>
        <v>3.25</v>
      </c>
      <c r="EF457" s="68">
        <f t="shared" si="637"/>
        <v>6.4999999999999994E-5</v>
      </c>
      <c r="EG457" s="66">
        <f>+IF($W457="","",ROUND(IF($B457&gt;Parámetros!$D$107,'Tablas Servicio'!EE457+('Tablas Servicio'!EG456-'Tablas Servicio'!EE456),EE457/(1-IF(B457&lt;=10,Parámetros!$D$100,0))),2))</f>
        <v>3.25</v>
      </c>
      <c r="EH457" s="66">
        <f t="shared" si="638"/>
        <v>0</v>
      </c>
      <c r="EI457" s="66">
        <f t="shared" si="638"/>
        <v>0</v>
      </c>
      <c r="EJ457" s="66">
        <f>+IF($W457="","",ROUND((EG457*Parámetros!$G$85),2))</f>
        <v>0.11</v>
      </c>
      <c r="EK457" s="66">
        <f>+IF($W457="","",ROUND((EG457*(Parámetros!$G$86)),2))</f>
        <v>0.02</v>
      </c>
      <c r="EL457" s="66">
        <f t="shared" si="639"/>
        <v>3.38</v>
      </c>
    </row>
    <row r="458" spans="1:142" x14ac:dyDescent="0.25">
      <c r="A458">
        <f>+IF($C458="","",ROUND(VLOOKUP('Tablas Servicio'!B458,Parámetros!$H$100:$J$159,IF(Parámetros!$E$16="F",2,3),FALSE),2))</f>
        <v>150</v>
      </c>
      <c r="B458">
        <f t="shared" si="590"/>
        <v>35</v>
      </c>
      <c r="C458" s="57">
        <f>+IF(D458="","",'Tablas Servicio'!C457+1)</f>
        <v>417</v>
      </c>
      <c r="D458" s="56">
        <f>+IF(D457&lt;edadmaxtabla,D457+1/Parámetros!$E$25,"")</f>
        <v>74.770000000000067</v>
      </c>
      <c r="E458" s="57">
        <f t="shared" si="600"/>
        <v>74</v>
      </c>
      <c r="F458" s="59">
        <f t="shared" si="601"/>
        <v>100000</v>
      </c>
      <c r="G458" s="66">
        <f t="shared" si="591"/>
        <v>191.45</v>
      </c>
      <c r="H458" s="66">
        <f t="shared" si="592"/>
        <v>199.10999999999999</v>
      </c>
      <c r="I458" s="66">
        <f t="shared" si="640"/>
        <v>-105.10999999999999</v>
      </c>
      <c r="J458" s="66">
        <f t="shared" si="593"/>
        <v>6.7</v>
      </c>
      <c r="K458" s="66">
        <f t="shared" si="594"/>
        <v>0.96</v>
      </c>
      <c r="L458" s="66">
        <f t="shared" si="595"/>
        <v>0</v>
      </c>
      <c r="M458" s="66">
        <f t="shared" si="596"/>
        <v>0</v>
      </c>
      <c r="N458" s="66">
        <f>+IF(C458="","",ROUND(Parámetros!$D$23,2))</f>
        <v>94</v>
      </c>
      <c r="O458" s="66">
        <f t="shared" si="597"/>
        <v>178.95</v>
      </c>
      <c r="P458" s="66">
        <f>+IF($C458="","",ROUND(IF(B458&gt;Parámetros!$D$117,0,N458*Parámetros!$D$116-G458*Parámetros!$D$100),2))</f>
        <v>0</v>
      </c>
      <c r="Q458" s="75">
        <f t="shared" si="641"/>
        <v>3.499608252807522E-2</v>
      </c>
      <c r="R458" s="75">
        <f t="shared" si="642"/>
        <v>5.0143640637242103E-3</v>
      </c>
      <c r="S458" s="117">
        <f>+IF($C458="","",ROUND((S457+I458)*(1+Parámetros!$D$91),2))</f>
        <v>26481.31</v>
      </c>
      <c r="T458" s="117">
        <f>+IF($C458="","",ROUND(S458*VLOOKUP(B458,Parámetros!$C$30:$D$39,2,TRUE),2))</f>
        <v>26481.31</v>
      </c>
      <c r="U458" s="117">
        <f>+IF($C458="","",ROUND((U457+I458)*(1+Parámetros!$D$92),2))</f>
        <v>30596.78</v>
      </c>
      <c r="V458" s="117">
        <f>+IF($C458="","",ROUND(U458*VLOOKUP(B458,Parámetros!$C$30:$D$39,2,TRUE),2))</f>
        <v>30596.78</v>
      </c>
      <c r="W458" s="57">
        <f t="shared" si="643"/>
        <v>417</v>
      </c>
      <c r="X458" t="str">
        <f t="shared" si="644"/>
        <v>00058</v>
      </c>
      <c r="Y458" t="str">
        <f t="shared" si="645"/>
        <v>MUERTE POR CUALQUIER CAUSA</v>
      </c>
      <c r="Z458" s="118">
        <f>+IF($W458="","",ROUND(IF(Parámetros!$D$25='TABLAS MORT'!$V$33,Z457,Parámetros!$D$21-'Tablas Servicio'!T457),0))</f>
        <v>100000</v>
      </c>
      <c r="AA458" s="118" t="str">
        <f t="shared" si="646"/>
        <v>P</v>
      </c>
      <c r="AB458" s="119">
        <f>+IF(W458="","",ROUND((VLOOKUP(ROUNDDOWN($D458-1/frec,0),qx_tabla,2,FALSE)*(1+i/frec)^-0.5*(1+Parámetros!$D$103)*(1+rec_fracc)/frec),6))</f>
        <v>1.7570000000000001E-3</v>
      </c>
      <c r="AC458" s="66">
        <f t="shared" si="602"/>
        <v>175.7</v>
      </c>
      <c r="AD458" s="119">
        <f t="shared" si="598"/>
        <v>1.882E-3</v>
      </c>
      <c r="AE458" s="66">
        <f>+IF($W458="","",ROUND(IF($B458&gt;Parámetros!$D$107,'Tablas Servicio'!AC458+('Tablas Servicio'!AG457-'Tablas Servicio'!AC457),AC458/(1-IF(B458&lt;=10,Parámetros!$D$104,Parámetros!$D$105))),2))</f>
        <v>292.83</v>
      </c>
      <c r="AF458" s="66">
        <f>+IF($W458="","",ROUND(IF($B458&gt;Parámetros!$D$107,'Tablas Servicio'!AC458+('Tablas Servicio'!AG457-'Tablas Servicio'!AC457),(AC458+$A457/frec)/(1-IF(B458&lt;=Parámetros!$D$117,Parámetros!$D$100,0))),2))</f>
        <v>188.2</v>
      </c>
      <c r="AG458" s="66">
        <f t="shared" si="603"/>
        <v>188.2</v>
      </c>
      <c r="AH458" s="66">
        <f t="shared" si="604"/>
        <v>0</v>
      </c>
      <c r="AI458" s="66">
        <f t="shared" si="605"/>
        <v>0</v>
      </c>
      <c r="AJ458" s="66">
        <f>+IF($W458="","",ROUND((AG458*Parámetros!$G$85),2))</f>
        <v>6.59</v>
      </c>
      <c r="AK458" s="66">
        <f>+IF($W458="","",ROUND((AG458*(Parámetros!$G$86)),2))</f>
        <v>0.94</v>
      </c>
      <c r="AL458" s="66">
        <f t="shared" si="599"/>
        <v>195.73</v>
      </c>
      <c r="AM458" t="str">
        <f t="shared" si="647"/>
        <v>00059</v>
      </c>
      <c r="AN458" t="str">
        <f t="shared" si="648"/>
        <v>Incapacidad Total y Permanente</v>
      </c>
      <c r="AO458" s="118">
        <f t="shared" si="649"/>
        <v>0</v>
      </c>
      <c r="AP458" s="118" t="str">
        <f t="shared" si="650"/>
        <v>A</v>
      </c>
      <c r="AQ458" s="119" t="str">
        <f>+IF(OR($W458="",AO458=0),"",ROUND((VLOOKUP(ROUNDDOWN($D458-1/frec,0),cob_adi,Z$40,FALSE)*(1+i/frec)^-0.5*(1+Parámetros!$D$103)*(1+rec_fracc)/frec),6))</f>
        <v/>
      </c>
      <c r="AR458" s="66">
        <f t="shared" si="606"/>
        <v>0</v>
      </c>
      <c r="AS458" s="119" t="str">
        <f t="shared" si="607"/>
        <v/>
      </c>
      <c r="AT458" s="66">
        <f>+IF($W458="","",ROUND(IF($B458&gt;Parámetros!$D$107,'Tablas Servicio'!AR458+('Tablas Servicio'!AT457-'Tablas Servicio'!AR457),AR458/(1-IF(B458&lt;=10,Parámetros!$D$100,0))),2))</f>
        <v>0</v>
      </c>
      <c r="AU458" s="66">
        <f t="shared" si="608"/>
        <v>0</v>
      </c>
      <c r="AV458" s="66">
        <f t="shared" si="608"/>
        <v>0</v>
      </c>
      <c r="AW458" s="66">
        <f>+IF($W458="","",ROUND((AT458*Parámetros!$G$85),2))</f>
        <v>0</v>
      </c>
      <c r="AX458" s="66">
        <f>+IF($W458="","",ROUND((AT458*(Parámetros!$G$86)),2))</f>
        <v>0</v>
      </c>
      <c r="AY458" s="66">
        <f t="shared" si="609"/>
        <v>0</v>
      </c>
      <c r="AZ458" t="str">
        <f t="shared" si="651"/>
        <v>00060</v>
      </c>
      <c r="BA458" t="str">
        <f t="shared" si="652"/>
        <v>Muerte Accidental</v>
      </c>
      <c r="BB458" s="118">
        <f t="shared" si="653"/>
        <v>0</v>
      </c>
      <c r="BC458" s="118" t="str">
        <f t="shared" si="654"/>
        <v>A</v>
      </c>
      <c r="BD458" s="119" t="str">
        <f>+IF(OR($W458="",BB458=0),"",ROUND((VLOOKUP(ROUNDDOWN($D458-1/frec,0),cob_adi,AO$40,FALSE)*(1+i/frec)^-0.5*(1+Parámetros!$D$103)*(1+rec_fracc)/frec),6))</f>
        <v/>
      </c>
      <c r="BE458" s="66">
        <f t="shared" si="610"/>
        <v>0</v>
      </c>
      <c r="BF458" s="119" t="str">
        <f t="shared" si="611"/>
        <v/>
      </c>
      <c r="BG458" s="66">
        <f>+IF($W458="","",ROUND(IF($B458&gt;Parámetros!$D$107,'Tablas Servicio'!BE458+('Tablas Servicio'!BG457-'Tablas Servicio'!BE457),BE458/(1-IF(B458&lt;=10,Parámetros!$D$100,0))),2))</f>
        <v>0</v>
      </c>
      <c r="BH458" s="66">
        <f t="shared" si="612"/>
        <v>0</v>
      </c>
      <c r="BI458" s="66">
        <f t="shared" si="613"/>
        <v>0</v>
      </c>
      <c r="BJ458" s="66">
        <f>+IF($W458="","",ROUND((BG458*Parámetros!$G$85),2))</f>
        <v>0</v>
      </c>
      <c r="BK458" s="66">
        <f>+IF($W458="","",ROUND((BG458*(Parámetros!$G$86)),2))</f>
        <v>0</v>
      </c>
      <c r="BL458" s="66">
        <f t="shared" si="614"/>
        <v>0</v>
      </c>
      <c r="BM458" t="str">
        <f t="shared" si="655"/>
        <v>00061</v>
      </c>
      <c r="BN458" t="str">
        <f t="shared" si="656"/>
        <v>Gastos de Entierro</v>
      </c>
      <c r="BO458" s="118">
        <f t="shared" si="657"/>
        <v>0</v>
      </c>
      <c r="BP458" s="118" t="str">
        <f t="shared" si="658"/>
        <v>A</v>
      </c>
      <c r="BQ458" s="119" t="str">
        <f>+IF(OR($W458="",BO458=0),"",ROUND((VLOOKUP(ROUNDDOWN($D458-1/frec,0),cob_adi,BB$40,FALSE)*(1+i/frec)^-0.5*(1+Parámetros!$D$103)*(1+rec_fracc)/frec),6))</f>
        <v/>
      </c>
      <c r="BR458" s="66">
        <f t="shared" si="615"/>
        <v>0</v>
      </c>
      <c r="BS458" s="119" t="str">
        <f t="shared" si="616"/>
        <v/>
      </c>
      <c r="BT458" s="66">
        <f>+IF($W458="","",ROUND(IF($B458&gt;Parámetros!$D$107,'Tablas Servicio'!BR458+('Tablas Servicio'!BT457-'Tablas Servicio'!BR457),BR458/(1-IF(B458&lt;=10,Parámetros!$D$100,0))),2))</f>
        <v>0</v>
      </c>
      <c r="BU458" s="66">
        <f t="shared" si="617"/>
        <v>0</v>
      </c>
      <c r="BV458" s="66">
        <f t="shared" si="617"/>
        <v>0</v>
      </c>
      <c r="BW458" s="66">
        <f>+IF($W458="","",ROUND((BT458*Parámetros!$G$85),2))</f>
        <v>0</v>
      </c>
      <c r="BX458" s="66">
        <f>+IF($W458="","",ROUND((BT458*(Parámetros!$G$86)),2))</f>
        <v>0</v>
      </c>
      <c r="BY458" s="66">
        <f t="shared" si="618"/>
        <v>0</v>
      </c>
      <c r="BZ458" t="str">
        <f t="shared" si="659"/>
        <v>00062</v>
      </c>
      <c r="CA458" t="str">
        <f t="shared" si="660"/>
        <v>Gastos médicos por accidente</v>
      </c>
      <c r="CB458" s="118">
        <f t="shared" si="661"/>
        <v>0</v>
      </c>
      <c r="CC458" s="118" t="str">
        <f t="shared" si="662"/>
        <v>A</v>
      </c>
      <c r="CD458" s="119" t="str">
        <f t="shared" si="619"/>
        <v/>
      </c>
      <c r="CE458" s="66">
        <f>+IF($W458="","",ROUND((VLOOKUP(ROUNDDOWN($D458-1/frec,0),cob_adi,BO$40,FALSE)*(1+i/frec)^-0.5*(1+Parámetros!$D$103)*(1+rec_fracc)/frec*'TABLAS ADI'!$BC$17),2))</f>
        <v>0</v>
      </c>
      <c r="CF458" s="119" t="str">
        <f t="shared" si="620"/>
        <v/>
      </c>
      <c r="CG458" s="66">
        <f>+IF($W458="","",ROUND(IF($B458&gt;Parámetros!$D$107,'Tablas Servicio'!CE458+('Tablas Servicio'!CG457-'Tablas Servicio'!CE457),CE458/(1-IF(B458&lt;=10,Parámetros!$D$100,0))),2))</f>
        <v>0</v>
      </c>
      <c r="CH458" s="66">
        <f t="shared" si="621"/>
        <v>0</v>
      </c>
      <c r="CI458" s="66">
        <f t="shared" si="621"/>
        <v>0</v>
      </c>
      <c r="CJ458" s="66">
        <f>+IF($W458="","",ROUND((CG458*Parámetros!$G$85),2))</f>
        <v>0</v>
      </c>
      <c r="CK458" s="66">
        <f>+IF($W458="","",ROUND((CG458*(Parámetros!$G$86)),2))</f>
        <v>0</v>
      </c>
      <c r="CL458" s="66">
        <f t="shared" si="622"/>
        <v>0</v>
      </c>
      <c r="CM458" t="str">
        <f t="shared" si="663"/>
        <v>00063</v>
      </c>
      <c r="CN458" s="118" t="str">
        <f t="shared" si="664"/>
        <v>Renta Diaria por Hospitalización</v>
      </c>
      <c r="CO458" s="118">
        <f t="shared" si="665"/>
        <v>0</v>
      </c>
      <c r="CP458" s="118" t="str">
        <f t="shared" si="666"/>
        <v>A</v>
      </c>
      <c r="CQ458" s="119" t="str">
        <f t="shared" si="623"/>
        <v/>
      </c>
      <c r="CR458" s="66">
        <f>+IF($W458="","",ROUND((VLOOKUP(Parámetros!$F$51,'COBERTURAS ADICIONALES'!$S$4:$T$32,2,FALSE)*(1+i/frec)^-0.5*(1+Parámetros!$D$103)*(1+rec_fracc)/frec*$CO$42),2))</f>
        <v>0</v>
      </c>
      <c r="CS458" s="119" t="str">
        <f t="shared" si="624"/>
        <v/>
      </c>
      <c r="CT458" s="66">
        <f>+IF($W458="","",ROUND(IF($B458&gt;Parámetros!$D$107,'Tablas Servicio'!CR458+('Tablas Servicio'!CT457-'Tablas Servicio'!CR457),CR458/(1-IF(B458&lt;=10,Parámetros!$D$100,0))),2))</f>
        <v>0</v>
      </c>
      <c r="CU458" s="66">
        <f t="shared" si="625"/>
        <v>0</v>
      </c>
      <c r="CV458" s="66">
        <f t="shared" si="625"/>
        <v>0</v>
      </c>
      <c r="CW458" s="66">
        <f>+IF($W458="","",ROUND((CT458*Parámetros!$G$85),2))</f>
        <v>0</v>
      </c>
      <c r="CX458" s="66">
        <f>+IF($W458="","",ROUND((CT458*(Parámetros!$G$86)),2))</f>
        <v>0</v>
      </c>
      <c r="CY458" s="66">
        <f t="shared" si="626"/>
        <v>0</v>
      </c>
      <c r="CZ458" t="str">
        <f t="shared" si="667"/>
        <v>00064</v>
      </c>
      <c r="DA458" s="118" t="str">
        <f t="shared" si="668"/>
        <v>Enfermedades Graves</v>
      </c>
      <c r="DB458" s="118">
        <f t="shared" si="669"/>
        <v>0</v>
      </c>
      <c r="DC458" s="118" t="str">
        <f t="shared" si="670"/>
        <v>A</v>
      </c>
      <c r="DD458" s="121" t="str">
        <f>+IF(OR($W458="",DB458=0),"",ROUND((VLOOKUP(ROUNDDOWN($D458-1/frec,0),cob_adi,CO$40,FALSE)*(1+i/frec)^-0.5*(1+Parámetros!$D$103)*(1+rec_fracc)/frec),6))</f>
        <v/>
      </c>
      <c r="DE458" s="66">
        <f t="shared" si="627"/>
        <v>0</v>
      </c>
      <c r="DF458" s="119" t="str">
        <f t="shared" si="628"/>
        <v/>
      </c>
      <c r="DG458" s="66">
        <f>+IF($W458="","",ROUND(IF($B458&gt;Parámetros!$D$107,'Tablas Servicio'!DE458+('Tablas Servicio'!DG457-'Tablas Servicio'!DE457),DE458/(1-IF(B458&lt;=10,Parámetros!$D$100,0))),2))</f>
        <v>0</v>
      </c>
      <c r="DH458" s="66">
        <f t="shared" si="629"/>
        <v>0</v>
      </c>
      <c r="DI458" s="66">
        <f t="shared" si="629"/>
        <v>0</v>
      </c>
      <c r="DJ458" s="66">
        <f>+IF($W458="","",ROUND((DG458*Parámetros!$G$85),2))</f>
        <v>0</v>
      </c>
      <c r="DK458" s="66">
        <f>+IF($W458="","",ROUND((DG458*(Parámetros!$G$86)),2))</f>
        <v>0</v>
      </c>
      <c r="DL458" s="66">
        <f t="shared" si="630"/>
        <v>0</v>
      </c>
      <c r="DM458" t="str">
        <f t="shared" si="671"/>
        <v>00065</v>
      </c>
      <c r="DN458" s="118" t="str">
        <f t="shared" si="672"/>
        <v>Exención pago de primas</v>
      </c>
      <c r="DO458" s="118">
        <f t="shared" si="673"/>
        <v>0</v>
      </c>
      <c r="DP458" s="118" t="str">
        <f t="shared" si="674"/>
        <v>A</v>
      </c>
      <c r="DQ458" s="122" t="str">
        <f>+IF(OR($W458="",DO458=0),"",ROUND((VLOOKUP(ROUNDDOWN($D458-1/frec,0),cob_adi,DB$40,FALSE)*(1+i/frec)^-0.5*(1+Parámetros!$D$103)*(1+rec_fracc)/frec),6))</f>
        <v/>
      </c>
      <c r="DR458" s="66">
        <f t="shared" si="631"/>
        <v>0</v>
      </c>
      <c r="DS458" s="68" t="str">
        <f t="shared" si="632"/>
        <v/>
      </c>
      <c r="DT458" s="66">
        <f>+IF($W458="","",ROUND(IF($B458&gt;Parámetros!$D$107,'Tablas Servicio'!DR458+('Tablas Servicio'!DT457-'Tablas Servicio'!DR457),DR458/(1-IF(B458&lt;=10,Parámetros!$D$100,0))),2))</f>
        <v>0</v>
      </c>
      <c r="DU458" s="66">
        <f t="shared" si="633"/>
        <v>0</v>
      </c>
      <c r="DV458" s="66">
        <f t="shared" si="633"/>
        <v>0</v>
      </c>
      <c r="DW458" s="66">
        <f>+IF($W458="","",ROUND((DT458*Parámetros!$G$85),2))</f>
        <v>0</v>
      </c>
      <c r="DX458" s="66">
        <f>+IF($W458="","",ROUND((DT458*(Parámetros!$G$86)),2))</f>
        <v>0</v>
      </c>
      <c r="DY458" s="66">
        <f t="shared" si="634"/>
        <v>0</v>
      </c>
      <c r="DZ458" t="str">
        <f t="shared" si="675"/>
        <v>00066</v>
      </c>
      <c r="EA458" s="118" t="str">
        <f t="shared" si="675"/>
        <v>Enfermedad terminal</v>
      </c>
      <c r="EB458" s="118">
        <f>+IF($W458="","",ROUND(IF(Parámetros!$D$25='TABLAS MORT'!$V$33,EB457,Z458/2),0))</f>
        <v>50000</v>
      </c>
      <c r="EC458" s="118" t="str">
        <f t="shared" si="675"/>
        <v>A</v>
      </c>
      <c r="ED458" s="122">
        <f>+IF(OR($W458="",EB458=0),"",ROUND((VLOOKUP(ROUNDDOWN($D458-1/frec,0),cob_adi,DO$40,FALSE)*(1+i/frec)^-0.5*(1+Parámetros!$D$103)*(1+rec_fracc)/frec),6))</f>
        <v>6.4999999999999994E-5</v>
      </c>
      <c r="EE458" s="66">
        <f t="shared" si="636"/>
        <v>3.25</v>
      </c>
      <c r="EF458" s="68">
        <f t="shared" si="637"/>
        <v>6.4999999999999994E-5</v>
      </c>
      <c r="EG458" s="66">
        <f>+IF($W458="","",ROUND(IF($B458&gt;Parámetros!$D$107,'Tablas Servicio'!EE458+('Tablas Servicio'!EG457-'Tablas Servicio'!EE457),EE458/(1-IF(B458&lt;=10,Parámetros!$D$100,0))),2))</f>
        <v>3.25</v>
      </c>
      <c r="EH458" s="66">
        <f t="shared" si="638"/>
        <v>0</v>
      </c>
      <c r="EI458" s="66">
        <f t="shared" si="638"/>
        <v>0</v>
      </c>
      <c r="EJ458" s="66">
        <f>+IF($W458="","",ROUND((EG458*Parámetros!$G$85),2))</f>
        <v>0.11</v>
      </c>
      <c r="EK458" s="66">
        <f>+IF($W458="","",ROUND((EG458*(Parámetros!$G$86)),2))</f>
        <v>0.02</v>
      </c>
      <c r="EL458" s="66">
        <f t="shared" si="639"/>
        <v>3.38</v>
      </c>
    </row>
    <row r="459" spans="1:142" x14ac:dyDescent="0.25">
      <c r="A459">
        <f>+IF($C459="","",ROUND(VLOOKUP('Tablas Servicio'!B459,Parámetros!$H$100:$J$159,IF(Parámetros!$E$16="F",2,3),FALSE),2))</f>
        <v>150</v>
      </c>
      <c r="B459">
        <f t="shared" si="590"/>
        <v>35</v>
      </c>
      <c r="C459" s="57">
        <f>+IF(D459="","",'Tablas Servicio'!C458+1)</f>
        <v>418</v>
      </c>
      <c r="D459" s="56">
        <f>+IF(D458&lt;edadmaxtabla,D458+1/Parámetros!$E$25,"")</f>
        <v>74.853333333333396</v>
      </c>
      <c r="E459" s="57">
        <f t="shared" si="600"/>
        <v>74</v>
      </c>
      <c r="F459" s="59">
        <f t="shared" si="601"/>
        <v>100000</v>
      </c>
      <c r="G459" s="66">
        <f t="shared" si="591"/>
        <v>191.45</v>
      </c>
      <c r="H459" s="66">
        <f t="shared" si="592"/>
        <v>199.10999999999999</v>
      </c>
      <c r="I459" s="66">
        <f t="shared" si="640"/>
        <v>-105.10999999999999</v>
      </c>
      <c r="J459" s="66">
        <f t="shared" si="593"/>
        <v>6.7</v>
      </c>
      <c r="K459" s="66">
        <f t="shared" si="594"/>
        <v>0.96</v>
      </c>
      <c r="L459" s="66">
        <f t="shared" si="595"/>
        <v>0</v>
      </c>
      <c r="M459" s="66">
        <f t="shared" si="596"/>
        <v>0</v>
      </c>
      <c r="N459" s="66">
        <f>+IF(C459="","",ROUND(Parámetros!$D$23,2))</f>
        <v>94</v>
      </c>
      <c r="O459" s="66">
        <f t="shared" si="597"/>
        <v>178.95</v>
      </c>
      <c r="P459" s="66">
        <f>+IF($C459="","",ROUND(IF(B459&gt;Parámetros!$D$117,0,N459*Parámetros!$D$116-G459*Parámetros!$D$100),2))</f>
        <v>0</v>
      </c>
      <c r="Q459" s="75">
        <f t="shared" si="641"/>
        <v>3.499608252807522E-2</v>
      </c>
      <c r="R459" s="75">
        <f t="shared" si="642"/>
        <v>5.0143640637242103E-3</v>
      </c>
      <c r="S459" s="117">
        <f>+IF($C459="","",ROUND((S458+I459)*(1+Parámetros!$D$91),2))</f>
        <v>26451.01</v>
      </c>
      <c r="T459" s="117">
        <f>+IF($C459="","",ROUND(S459*VLOOKUP(B459,Parámetros!$C$30:$D$39,2,TRUE),2))</f>
        <v>26451.01</v>
      </c>
      <c r="U459" s="117">
        <f>+IF($C459="","",ROUND((U458+I459)*(1+Parámetros!$D$92),2))</f>
        <v>30590.51</v>
      </c>
      <c r="V459" s="117">
        <f>+IF($C459="","",ROUND(U459*VLOOKUP(B459,Parámetros!$C$30:$D$39,2,TRUE),2))</f>
        <v>30590.51</v>
      </c>
      <c r="W459" s="57">
        <f t="shared" si="643"/>
        <v>418</v>
      </c>
      <c r="X459" t="str">
        <f t="shared" si="644"/>
        <v>00058</v>
      </c>
      <c r="Y459" t="str">
        <f t="shared" si="645"/>
        <v>MUERTE POR CUALQUIER CAUSA</v>
      </c>
      <c r="Z459" s="118">
        <f>+IF($W459="","",ROUND(IF(Parámetros!$D$25='TABLAS MORT'!$V$33,Z458,Parámetros!$D$21-'Tablas Servicio'!T458),0))</f>
        <v>100000</v>
      </c>
      <c r="AA459" s="118" t="str">
        <f t="shared" si="646"/>
        <v>P</v>
      </c>
      <c r="AB459" s="119">
        <f>+IF(W459="","",ROUND((VLOOKUP(ROUNDDOWN($D459-1/frec,0),qx_tabla,2,FALSE)*(1+i/frec)^-0.5*(1+Parámetros!$D$103)*(1+rec_fracc)/frec),6))</f>
        <v>1.7570000000000001E-3</v>
      </c>
      <c r="AC459" s="66">
        <f t="shared" si="602"/>
        <v>175.7</v>
      </c>
      <c r="AD459" s="119">
        <f t="shared" si="598"/>
        <v>1.882E-3</v>
      </c>
      <c r="AE459" s="66">
        <f>+IF($W459="","",ROUND(IF($B459&gt;Parámetros!$D$107,'Tablas Servicio'!AC459+('Tablas Servicio'!AG458-'Tablas Servicio'!AC458),AC459/(1-IF(B459&lt;=10,Parámetros!$D$104,Parámetros!$D$105))),2))</f>
        <v>292.83</v>
      </c>
      <c r="AF459" s="66">
        <f>+IF($W459="","",ROUND(IF($B459&gt;Parámetros!$D$107,'Tablas Servicio'!AC459+('Tablas Servicio'!AG458-'Tablas Servicio'!AC458),(AC459+$A458/frec)/(1-IF(B459&lt;=Parámetros!$D$117,Parámetros!$D$100,0))),2))</f>
        <v>188.2</v>
      </c>
      <c r="AG459" s="66">
        <f t="shared" si="603"/>
        <v>188.2</v>
      </c>
      <c r="AH459" s="66">
        <f t="shared" si="604"/>
        <v>0</v>
      </c>
      <c r="AI459" s="66">
        <f t="shared" si="605"/>
        <v>0</v>
      </c>
      <c r="AJ459" s="66">
        <f>+IF($W459="","",ROUND((AG459*Parámetros!$G$85),2))</f>
        <v>6.59</v>
      </c>
      <c r="AK459" s="66">
        <f>+IF($W459="","",ROUND((AG459*(Parámetros!$G$86)),2))</f>
        <v>0.94</v>
      </c>
      <c r="AL459" s="66">
        <f t="shared" si="599"/>
        <v>195.73</v>
      </c>
      <c r="AM459" t="str">
        <f t="shared" si="647"/>
        <v>00059</v>
      </c>
      <c r="AN459" t="str">
        <f t="shared" si="648"/>
        <v>Incapacidad Total y Permanente</v>
      </c>
      <c r="AO459" s="118">
        <f t="shared" si="649"/>
        <v>0</v>
      </c>
      <c r="AP459" s="118" t="str">
        <f t="shared" si="650"/>
        <v>A</v>
      </c>
      <c r="AQ459" s="119" t="str">
        <f>+IF(OR($W459="",AO459=0),"",ROUND((VLOOKUP(ROUNDDOWN($D459-1/frec,0),cob_adi,Z$40,FALSE)*(1+i/frec)^-0.5*(1+Parámetros!$D$103)*(1+rec_fracc)/frec),6))</f>
        <v/>
      </c>
      <c r="AR459" s="66">
        <f t="shared" si="606"/>
        <v>0</v>
      </c>
      <c r="AS459" s="119" t="str">
        <f t="shared" si="607"/>
        <v/>
      </c>
      <c r="AT459" s="66">
        <f>+IF($W459="","",ROUND(IF($B459&gt;Parámetros!$D$107,'Tablas Servicio'!AR459+('Tablas Servicio'!AT458-'Tablas Servicio'!AR458),AR459/(1-IF(B459&lt;=10,Parámetros!$D$100,0))),2))</f>
        <v>0</v>
      </c>
      <c r="AU459" s="66">
        <f t="shared" si="608"/>
        <v>0</v>
      </c>
      <c r="AV459" s="66">
        <f t="shared" si="608"/>
        <v>0</v>
      </c>
      <c r="AW459" s="66">
        <f>+IF($W459="","",ROUND((AT459*Parámetros!$G$85),2))</f>
        <v>0</v>
      </c>
      <c r="AX459" s="66">
        <f>+IF($W459="","",ROUND((AT459*(Parámetros!$G$86)),2))</f>
        <v>0</v>
      </c>
      <c r="AY459" s="66">
        <f t="shared" si="609"/>
        <v>0</v>
      </c>
      <c r="AZ459" t="str">
        <f t="shared" si="651"/>
        <v>00060</v>
      </c>
      <c r="BA459" t="str">
        <f t="shared" si="652"/>
        <v>Muerte Accidental</v>
      </c>
      <c r="BB459" s="118">
        <f t="shared" si="653"/>
        <v>0</v>
      </c>
      <c r="BC459" s="118" t="str">
        <f t="shared" si="654"/>
        <v>A</v>
      </c>
      <c r="BD459" s="119" t="str">
        <f>+IF(OR($W459="",BB459=0),"",ROUND((VLOOKUP(ROUNDDOWN($D459-1/frec,0),cob_adi,AO$40,FALSE)*(1+i/frec)^-0.5*(1+Parámetros!$D$103)*(1+rec_fracc)/frec),6))</f>
        <v/>
      </c>
      <c r="BE459" s="66">
        <f t="shared" si="610"/>
        <v>0</v>
      </c>
      <c r="BF459" s="119" t="str">
        <f t="shared" si="611"/>
        <v/>
      </c>
      <c r="BG459" s="66">
        <f>+IF($W459="","",ROUND(IF($B459&gt;Parámetros!$D$107,'Tablas Servicio'!BE459+('Tablas Servicio'!BG458-'Tablas Servicio'!BE458),BE459/(1-IF(B459&lt;=10,Parámetros!$D$100,0))),2))</f>
        <v>0</v>
      </c>
      <c r="BH459" s="66">
        <f t="shared" si="612"/>
        <v>0</v>
      </c>
      <c r="BI459" s="66">
        <f t="shared" si="613"/>
        <v>0</v>
      </c>
      <c r="BJ459" s="66">
        <f>+IF($W459="","",ROUND((BG459*Parámetros!$G$85),2))</f>
        <v>0</v>
      </c>
      <c r="BK459" s="66">
        <f>+IF($W459="","",ROUND((BG459*(Parámetros!$G$86)),2))</f>
        <v>0</v>
      </c>
      <c r="BL459" s="66">
        <f t="shared" si="614"/>
        <v>0</v>
      </c>
      <c r="BM459" t="str">
        <f t="shared" si="655"/>
        <v>00061</v>
      </c>
      <c r="BN459" t="str">
        <f t="shared" si="656"/>
        <v>Gastos de Entierro</v>
      </c>
      <c r="BO459" s="118">
        <f t="shared" si="657"/>
        <v>0</v>
      </c>
      <c r="BP459" s="118" t="str">
        <f t="shared" si="658"/>
        <v>A</v>
      </c>
      <c r="BQ459" s="119" t="str">
        <f>+IF(OR($W459="",BO459=0),"",ROUND((VLOOKUP(ROUNDDOWN($D459-1/frec,0),cob_adi,BB$40,FALSE)*(1+i/frec)^-0.5*(1+Parámetros!$D$103)*(1+rec_fracc)/frec),6))</f>
        <v/>
      </c>
      <c r="BR459" s="66">
        <f t="shared" si="615"/>
        <v>0</v>
      </c>
      <c r="BS459" s="119" t="str">
        <f t="shared" si="616"/>
        <v/>
      </c>
      <c r="BT459" s="66">
        <f>+IF($W459="","",ROUND(IF($B459&gt;Parámetros!$D$107,'Tablas Servicio'!BR459+('Tablas Servicio'!BT458-'Tablas Servicio'!BR458),BR459/(1-IF(B459&lt;=10,Parámetros!$D$100,0))),2))</f>
        <v>0</v>
      </c>
      <c r="BU459" s="66">
        <f t="shared" si="617"/>
        <v>0</v>
      </c>
      <c r="BV459" s="66">
        <f t="shared" si="617"/>
        <v>0</v>
      </c>
      <c r="BW459" s="66">
        <f>+IF($W459="","",ROUND((BT459*Parámetros!$G$85),2))</f>
        <v>0</v>
      </c>
      <c r="BX459" s="66">
        <f>+IF($W459="","",ROUND((BT459*(Parámetros!$G$86)),2))</f>
        <v>0</v>
      </c>
      <c r="BY459" s="66">
        <f t="shared" si="618"/>
        <v>0</v>
      </c>
      <c r="BZ459" t="str">
        <f t="shared" si="659"/>
        <v>00062</v>
      </c>
      <c r="CA459" t="str">
        <f t="shared" si="660"/>
        <v>Gastos médicos por accidente</v>
      </c>
      <c r="CB459" s="118">
        <f t="shared" si="661"/>
        <v>0</v>
      </c>
      <c r="CC459" s="118" t="str">
        <f t="shared" si="662"/>
        <v>A</v>
      </c>
      <c r="CD459" s="119" t="str">
        <f t="shared" si="619"/>
        <v/>
      </c>
      <c r="CE459" s="66">
        <f>+IF($W459="","",ROUND((VLOOKUP(ROUNDDOWN($D459-1/frec,0),cob_adi,BO$40,FALSE)*(1+i/frec)^-0.5*(1+Parámetros!$D$103)*(1+rec_fracc)/frec*'TABLAS ADI'!$BC$17),2))</f>
        <v>0</v>
      </c>
      <c r="CF459" s="119" t="str">
        <f t="shared" si="620"/>
        <v/>
      </c>
      <c r="CG459" s="66">
        <f>+IF($W459="","",ROUND(IF($B459&gt;Parámetros!$D$107,'Tablas Servicio'!CE459+('Tablas Servicio'!CG458-'Tablas Servicio'!CE458),CE459/(1-IF(B459&lt;=10,Parámetros!$D$100,0))),2))</f>
        <v>0</v>
      </c>
      <c r="CH459" s="66">
        <f t="shared" si="621"/>
        <v>0</v>
      </c>
      <c r="CI459" s="66">
        <f t="shared" si="621"/>
        <v>0</v>
      </c>
      <c r="CJ459" s="66">
        <f>+IF($W459="","",ROUND((CG459*Parámetros!$G$85),2))</f>
        <v>0</v>
      </c>
      <c r="CK459" s="66">
        <f>+IF($W459="","",ROUND((CG459*(Parámetros!$G$86)),2))</f>
        <v>0</v>
      </c>
      <c r="CL459" s="66">
        <f t="shared" si="622"/>
        <v>0</v>
      </c>
      <c r="CM459" t="str">
        <f t="shared" si="663"/>
        <v>00063</v>
      </c>
      <c r="CN459" s="118" t="str">
        <f t="shared" si="664"/>
        <v>Renta Diaria por Hospitalización</v>
      </c>
      <c r="CO459" s="118">
        <f t="shared" si="665"/>
        <v>0</v>
      </c>
      <c r="CP459" s="118" t="str">
        <f t="shared" si="666"/>
        <v>A</v>
      </c>
      <c r="CQ459" s="119" t="str">
        <f t="shared" si="623"/>
        <v/>
      </c>
      <c r="CR459" s="66">
        <f>+IF($W459="","",ROUND((VLOOKUP(Parámetros!$F$51,'COBERTURAS ADICIONALES'!$S$4:$T$32,2,FALSE)*(1+i/frec)^-0.5*(1+Parámetros!$D$103)*(1+rec_fracc)/frec*$CO$42),2))</f>
        <v>0</v>
      </c>
      <c r="CS459" s="119" t="str">
        <f t="shared" si="624"/>
        <v/>
      </c>
      <c r="CT459" s="66">
        <f>+IF($W459="","",ROUND(IF($B459&gt;Parámetros!$D$107,'Tablas Servicio'!CR459+('Tablas Servicio'!CT458-'Tablas Servicio'!CR458),CR459/(1-IF(B459&lt;=10,Parámetros!$D$100,0))),2))</f>
        <v>0</v>
      </c>
      <c r="CU459" s="66">
        <f t="shared" si="625"/>
        <v>0</v>
      </c>
      <c r="CV459" s="66">
        <f t="shared" si="625"/>
        <v>0</v>
      </c>
      <c r="CW459" s="66">
        <f>+IF($W459="","",ROUND((CT459*Parámetros!$G$85),2))</f>
        <v>0</v>
      </c>
      <c r="CX459" s="66">
        <f>+IF($W459="","",ROUND((CT459*(Parámetros!$G$86)),2))</f>
        <v>0</v>
      </c>
      <c r="CY459" s="66">
        <f t="shared" si="626"/>
        <v>0</v>
      </c>
      <c r="CZ459" t="str">
        <f t="shared" si="667"/>
        <v>00064</v>
      </c>
      <c r="DA459" s="118" t="str">
        <f t="shared" si="668"/>
        <v>Enfermedades Graves</v>
      </c>
      <c r="DB459" s="118">
        <f t="shared" si="669"/>
        <v>0</v>
      </c>
      <c r="DC459" s="118" t="str">
        <f t="shared" si="670"/>
        <v>A</v>
      </c>
      <c r="DD459" s="121" t="str">
        <f>+IF(OR($W459="",DB459=0),"",ROUND((VLOOKUP(ROUNDDOWN($D459-1/frec,0),cob_adi,CO$40,FALSE)*(1+i/frec)^-0.5*(1+Parámetros!$D$103)*(1+rec_fracc)/frec),6))</f>
        <v/>
      </c>
      <c r="DE459" s="66">
        <f t="shared" si="627"/>
        <v>0</v>
      </c>
      <c r="DF459" s="119" t="str">
        <f t="shared" si="628"/>
        <v/>
      </c>
      <c r="DG459" s="66">
        <f>+IF($W459="","",ROUND(IF($B459&gt;Parámetros!$D$107,'Tablas Servicio'!DE459+('Tablas Servicio'!DG458-'Tablas Servicio'!DE458),DE459/(1-IF(B459&lt;=10,Parámetros!$D$100,0))),2))</f>
        <v>0</v>
      </c>
      <c r="DH459" s="66">
        <f t="shared" si="629"/>
        <v>0</v>
      </c>
      <c r="DI459" s="66">
        <f t="shared" si="629"/>
        <v>0</v>
      </c>
      <c r="DJ459" s="66">
        <f>+IF($W459="","",ROUND((DG459*Parámetros!$G$85),2))</f>
        <v>0</v>
      </c>
      <c r="DK459" s="66">
        <f>+IF($W459="","",ROUND((DG459*(Parámetros!$G$86)),2))</f>
        <v>0</v>
      </c>
      <c r="DL459" s="66">
        <f t="shared" si="630"/>
        <v>0</v>
      </c>
      <c r="DM459" t="str">
        <f t="shared" si="671"/>
        <v>00065</v>
      </c>
      <c r="DN459" s="118" t="str">
        <f t="shared" si="672"/>
        <v>Exención pago de primas</v>
      </c>
      <c r="DO459" s="118">
        <f t="shared" si="673"/>
        <v>0</v>
      </c>
      <c r="DP459" s="118" t="str">
        <f t="shared" si="674"/>
        <v>A</v>
      </c>
      <c r="DQ459" s="122" t="str">
        <f>+IF(OR($W459="",DO459=0),"",ROUND((VLOOKUP(ROUNDDOWN($D459-1/frec,0),cob_adi,DB$40,FALSE)*(1+i/frec)^-0.5*(1+Parámetros!$D$103)*(1+rec_fracc)/frec),6))</f>
        <v/>
      </c>
      <c r="DR459" s="66">
        <f t="shared" si="631"/>
        <v>0</v>
      </c>
      <c r="DS459" s="68" t="str">
        <f t="shared" si="632"/>
        <v/>
      </c>
      <c r="DT459" s="66">
        <f>+IF($W459="","",ROUND(IF($B459&gt;Parámetros!$D$107,'Tablas Servicio'!DR459+('Tablas Servicio'!DT458-'Tablas Servicio'!DR458),DR459/(1-IF(B459&lt;=10,Parámetros!$D$100,0))),2))</f>
        <v>0</v>
      </c>
      <c r="DU459" s="66">
        <f t="shared" si="633"/>
        <v>0</v>
      </c>
      <c r="DV459" s="66">
        <f t="shared" si="633"/>
        <v>0</v>
      </c>
      <c r="DW459" s="66">
        <f>+IF($W459="","",ROUND((DT459*Parámetros!$G$85),2))</f>
        <v>0</v>
      </c>
      <c r="DX459" s="66">
        <f>+IF($W459="","",ROUND((DT459*(Parámetros!$G$86)),2))</f>
        <v>0</v>
      </c>
      <c r="DY459" s="66">
        <f t="shared" si="634"/>
        <v>0</v>
      </c>
      <c r="DZ459" t="str">
        <f t="shared" ref="DZ459:EC474" si="676">+IF($W459="","",DZ458)</f>
        <v>00066</v>
      </c>
      <c r="EA459" s="118" t="str">
        <f t="shared" si="676"/>
        <v>Enfermedad terminal</v>
      </c>
      <c r="EB459" s="118">
        <f>+IF($W459="","",ROUND(IF(Parámetros!$D$25='TABLAS MORT'!$V$33,EB458,Z459/2),0))</f>
        <v>50000</v>
      </c>
      <c r="EC459" s="118" t="str">
        <f t="shared" si="676"/>
        <v>A</v>
      </c>
      <c r="ED459" s="122">
        <f>+IF(OR($W459="",EB459=0),"",ROUND((VLOOKUP(ROUNDDOWN($D459-1/frec,0),cob_adi,DO$40,FALSE)*(1+i/frec)^-0.5*(1+Parámetros!$D$103)*(1+rec_fracc)/frec),6))</f>
        <v>6.4999999999999994E-5</v>
      </c>
      <c r="EE459" s="66">
        <f t="shared" si="636"/>
        <v>3.25</v>
      </c>
      <c r="EF459" s="68">
        <f t="shared" si="637"/>
        <v>6.4999999999999994E-5</v>
      </c>
      <c r="EG459" s="66">
        <f>+IF($W459="","",ROUND(IF($B459&gt;Parámetros!$D$107,'Tablas Servicio'!EE459+('Tablas Servicio'!EG458-'Tablas Servicio'!EE458),EE459/(1-IF(B459&lt;=10,Parámetros!$D$100,0))),2))</f>
        <v>3.25</v>
      </c>
      <c r="EH459" s="66">
        <f t="shared" si="638"/>
        <v>0</v>
      </c>
      <c r="EI459" s="66">
        <f t="shared" si="638"/>
        <v>0</v>
      </c>
      <c r="EJ459" s="66">
        <f>+IF($W459="","",ROUND((EG459*Parámetros!$G$85),2))</f>
        <v>0.11</v>
      </c>
      <c r="EK459" s="66">
        <f>+IF($W459="","",ROUND((EG459*(Parámetros!$G$86)),2))</f>
        <v>0.02</v>
      </c>
      <c r="EL459" s="66">
        <f t="shared" si="639"/>
        <v>3.38</v>
      </c>
    </row>
    <row r="460" spans="1:142" x14ac:dyDescent="0.25">
      <c r="A460">
        <f>+IF($C460="","",ROUND(VLOOKUP('Tablas Servicio'!B460,Parámetros!$H$100:$J$159,IF(Parámetros!$E$16="F",2,3),FALSE),2))</f>
        <v>150</v>
      </c>
      <c r="B460">
        <f t="shared" si="590"/>
        <v>35</v>
      </c>
      <c r="C460" s="57">
        <f>+IF(D460="","",'Tablas Servicio'!C459+1)</f>
        <v>419</v>
      </c>
      <c r="D460" s="56">
        <f>+IF(D459&lt;edadmaxtabla,D459+1/Parámetros!$E$25,"")</f>
        <v>74.936666666666724</v>
      </c>
      <c r="E460" s="57">
        <f t="shared" si="600"/>
        <v>74</v>
      </c>
      <c r="F460" s="59">
        <f t="shared" si="601"/>
        <v>100000</v>
      </c>
      <c r="G460" s="66">
        <f t="shared" si="591"/>
        <v>191.45</v>
      </c>
      <c r="H460" s="66">
        <f t="shared" si="592"/>
        <v>199.10999999999999</v>
      </c>
      <c r="I460" s="66">
        <f t="shared" si="640"/>
        <v>-105.10999999999999</v>
      </c>
      <c r="J460" s="66">
        <f t="shared" si="593"/>
        <v>6.7</v>
      </c>
      <c r="K460" s="66">
        <f t="shared" si="594"/>
        <v>0.96</v>
      </c>
      <c r="L460" s="66">
        <f t="shared" si="595"/>
        <v>0</v>
      </c>
      <c r="M460" s="66">
        <f t="shared" si="596"/>
        <v>0</v>
      </c>
      <c r="N460" s="66">
        <f>+IF(C460="","",ROUND(Parámetros!$D$23,2))</f>
        <v>94</v>
      </c>
      <c r="O460" s="66">
        <f t="shared" si="597"/>
        <v>178.95</v>
      </c>
      <c r="P460" s="66">
        <f>+IF($C460="","",ROUND(IF(B460&gt;Parámetros!$D$117,0,N460*Parámetros!$D$116-G460*Parámetros!$D$100),2))</f>
        <v>0</v>
      </c>
      <c r="Q460" s="75">
        <f t="shared" si="641"/>
        <v>3.499608252807522E-2</v>
      </c>
      <c r="R460" s="75">
        <f t="shared" si="642"/>
        <v>5.0143640637242103E-3</v>
      </c>
      <c r="S460" s="117">
        <f>+IF($C460="","",ROUND((S459+I460)*(1+Parámetros!$D$91),2))</f>
        <v>26420.63</v>
      </c>
      <c r="T460" s="117">
        <f>+IF($C460="","",ROUND(S460*VLOOKUP(B460,Parámetros!$C$30:$D$39,2,TRUE),2))</f>
        <v>26420.63</v>
      </c>
      <c r="U460" s="117">
        <f>+IF($C460="","",ROUND((U459+I460)*(1+Parámetros!$D$92),2))</f>
        <v>30584.22</v>
      </c>
      <c r="V460" s="117">
        <f>+IF($C460="","",ROUND(U460*VLOOKUP(B460,Parámetros!$C$30:$D$39,2,TRUE),2))</f>
        <v>30584.22</v>
      </c>
      <c r="W460" s="57">
        <f t="shared" si="643"/>
        <v>419</v>
      </c>
      <c r="X460" t="str">
        <f t="shared" si="644"/>
        <v>00058</v>
      </c>
      <c r="Y460" t="str">
        <f t="shared" si="645"/>
        <v>MUERTE POR CUALQUIER CAUSA</v>
      </c>
      <c r="Z460" s="118">
        <f>+IF($W460="","",ROUND(IF(Parámetros!$D$25='TABLAS MORT'!$V$33,Z459,Parámetros!$D$21-'Tablas Servicio'!T459),0))</f>
        <v>100000</v>
      </c>
      <c r="AA460" s="118" t="str">
        <f t="shared" si="646"/>
        <v>P</v>
      </c>
      <c r="AB460" s="119">
        <f>+IF(W460="","",ROUND((VLOOKUP(ROUNDDOWN($D460-1/frec,0),qx_tabla,2,FALSE)*(1+i/frec)^-0.5*(1+Parámetros!$D$103)*(1+rec_fracc)/frec),6))</f>
        <v>1.7570000000000001E-3</v>
      </c>
      <c r="AC460" s="66">
        <f t="shared" si="602"/>
        <v>175.7</v>
      </c>
      <c r="AD460" s="119">
        <f t="shared" si="598"/>
        <v>1.882E-3</v>
      </c>
      <c r="AE460" s="66">
        <f>+IF($W460="","",ROUND(IF($B460&gt;Parámetros!$D$107,'Tablas Servicio'!AC460+('Tablas Servicio'!AG459-'Tablas Servicio'!AC459),AC460/(1-IF(B460&lt;=10,Parámetros!$D$104,Parámetros!$D$105))),2))</f>
        <v>292.83</v>
      </c>
      <c r="AF460" s="66">
        <f>+IF($W460="","",ROUND(IF($B460&gt;Parámetros!$D$107,'Tablas Servicio'!AC460+('Tablas Servicio'!AG459-'Tablas Servicio'!AC459),(AC460+$A459/frec)/(1-IF(B460&lt;=Parámetros!$D$117,Parámetros!$D$100,0))),2))</f>
        <v>188.2</v>
      </c>
      <c r="AG460" s="66">
        <f t="shared" si="603"/>
        <v>188.2</v>
      </c>
      <c r="AH460" s="66">
        <f t="shared" si="604"/>
        <v>0</v>
      </c>
      <c r="AI460" s="66">
        <f t="shared" si="605"/>
        <v>0</v>
      </c>
      <c r="AJ460" s="66">
        <f>+IF($W460="","",ROUND((AG460*Parámetros!$G$85),2))</f>
        <v>6.59</v>
      </c>
      <c r="AK460" s="66">
        <f>+IF($W460="","",ROUND((AG460*(Parámetros!$G$86)),2))</f>
        <v>0.94</v>
      </c>
      <c r="AL460" s="66">
        <f t="shared" si="599"/>
        <v>195.73</v>
      </c>
      <c r="AM460" t="str">
        <f t="shared" si="647"/>
        <v>00059</v>
      </c>
      <c r="AN460" t="str">
        <f t="shared" si="648"/>
        <v>Incapacidad Total y Permanente</v>
      </c>
      <c r="AO460" s="118">
        <f t="shared" si="649"/>
        <v>0</v>
      </c>
      <c r="AP460" s="118" t="str">
        <f t="shared" si="650"/>
        <v>A</v>
      </c>
      <c r="AQ460" s="119" t="str">
        <f>+IF(OR($W460="",AO460=0),"",ROUND((VLOOKUP(ROUNDDOWN($D460-1/frec,0),cob_adi,Z$40,FALSE)*(1+i/frec)^-0.5*(1+Parámetros!$D$103)*(1+rec_fracc)/frec),6))</f>
        <v/>
      </c>
      <c r="AR460" s="66">
        <f t="shared" si="606"/>
        <v>0</v>
      </c>
      <c r="AS460" s="119" t="str">
        <f t="shared" si="607"/>
        <v/>
      </c>
      <c r="AT460" s="66">
        <f>+IF($W460="","",ROUND(IF($B460&gt;Parámetros!$D$107,'Tablas Servicio'!AR460+('Tablas Servicio'!AT459-'Tablas Servicio'!AR459),AR460/(1-IF(B460&lt;=10,Parámetros!$D$100,0))),2))</f>
        <v>0</v>
      </c>
      <c r="AU460" s="66">
        <f t="shared" si="608"/>
        <v>0</v>
      </c>
      <c r="AV460" s="66">
        <f t="shared" si="608"/>
        <v>0</v>
      </c>
      <c r="AW460" s="66">
        <f>+IF($W460="","",ROUND((AT460*Parámetros!$G$85),2))</f>
        <v>0</v>
      </c>
      <c r="AX460" s="66">
        <f>+IF($W460="","",ROUND((AT460*(Parámetros!$G$86)),2))</f>
        <v>0</v>
      </c>
      <c r="AY460" s="66">
        <f t="shared" si="609"/>
        <v>0</v>
      </c>
      <c r="AZ460" t="str">
        <f t="shared" si="651"/>
        <v>00060</v>
      </c>
      <c r="BA460" t="str">
        <f t="shared" si="652"/>
        <v>Muerte Accidental</v>
      </c>
      <c r="BB460" s="118">
        <f t="shared" si="653"/>
        <v>0</v>
      </c>
      <c r="BC460" s="118" t="str">
        <f t="shared" si="654"/>
        <v>A</v>
      </c>
      <c r="BD460" s="119" t="str">
        <f>+IF(OR($W460="",BB460=0),"",ROUND((VLOOKUP(ROUNDDOWN($D460-1/frec,0),cob_adi,AO$40,FALSE)*(1+i/frec)^-0.5*(1+Parámetros!$D$103)*(1+rec_fracc)/frec),6))</f>
        <v/>
      </c>
      <c r="BE460" s="66">
        <f t="shared" si="610"/>
        <v>0</v>
      </c>
      <c r="BF460" s="119" t="str">
        <f t="shared" si="611"/>
        <v/>
      </c>
      <c r="BG460" s="66">
        <f>+IF($W460="","",ROUND(IF($B460&gt;Parámetros!$D$107,'Tablas Servicio'!BE460+('Tablas Servicio'!BG459-'Tablas Servicio'!BE459),BE460/(1-IF(B460&lt;=10,Parámetros!$D$100,0))),2))</f>
        <v>0</v>
      </c>
      <c r="BH460" s="66">
        <f t="shared" si="612"/>
        <v>0</v>
      </c>
      <c r="BI460" s="66">
        <f t="shared" si="613"/>
        <v>0</v>
      </c>
      <c r="BJ460" s="66">
        <f>+IF($W460="","",ROUND((BG460*Parámetros!$G$85),2))</f>
        <v>0</v>
      </c>
      <c r="BK460" s="66">
        <f>+IF($W460="","",ROUND((BG460*(Parámetros!$G$86)),2))</f>
        <v>0</v>
      </c>
      <c r="BL460" s="66">
        <f t="shared" si="614"/>
        <v>0</v>
      </c>
      <c r="BM460" t="str">
        <f t="shared" si="655"/>
        <v>00061</v>
      </c>
      <c r="BN460" t="str">
        <f t="shared" si="656"/>
        <v>Gastos de Entierro</v>
      </c>
      <c r="BO460" s="118">
        <f t="shared" si="657"/>
        <v>0</v>
      </c>
      <c r="BP460" s="118" t="str">
        <f t="shared" si="658"/>
        <v>A</v>
      </c>
      <c r="BQ460" s="119" t="str">
        <f>+IF(OR($W460="",BO460=0),"",ROUND((VLOOKUP(ROUNDDOWN($D460-1/frec,0),cob_adi,BB$40,FALSE)*(1+i/frec)^-0.5*(1+Parámetros!$D$103)*(1+rec_fracc)/frec),6))</f>
        <v/>
      </c>
      <c r="BR460" s="66">
        <f t="shared" si="615"/>
        <v>0</v>
      </c>
      <c r="BS460" s="119" t="str">
        <f t="shared" si="616"/>
        <v/>
      </c>
      <c r="BT460" s="66">
        <f>+IF($W460="","",ROUND(IF($B460&gt;Parámetros!$D$107,'Tablas Servicio'!BR460+('Tablas Servicio'!BT459-'Tablas Servicio'!BR459),BR460/(1-IF(B460&lt;=10,Parámetros!$D$100,0))),2))</f>
        <v>0</v>
      </c>
      <c r="BU460" s="66">
        <f t="shared" si="617"/>
        <v>0</v>
      </c>
      <c r="BV460" s="66">
        <f t="shared" si="617"/>
        <v>0</v>
      </c>
      <c r="BW460" s="66">
        <f>+IF($W460="","",ROUND((BT460*Parámetros!$G$85),2))</f>
        <v>0</v>
      </c>
      <c r="BX460" s="66">
        <f>+IF($W460="","",ROUND((BT460*(Parámetros!$G$86)),2))</f>
        <v>0</v>
      </c>
      <c r="BY460" s="66">
        <f t="shared" si="618"/>
        <v>0</v>
      </c>
      <c r="BZ460" t="str">
        <f t="shared" si="659"/>
        <v>00062</v>
      </c>
      <c r="CA460" t="str">
        <f t="shared" si="660"/>
        <v>Gastos médicos por accidente</v>
      </c>
      <c r="CB460" s="118">
        <f t="shared" si="661"/>
        <v>0</v>
      </c>
      <c r="CC460" s="118" t="str">
        <f t="shared" si="662"/>
        <v>A</v>
      </c>
      <c r="CD460" s="119" t="str">
        <f t="shared" si="619"/>
        <v/>
      </c>
      <c r="CE460" s="66">
        <f>+IF($W460="","",ROUND((VLOOKUP(ROUNDDOWN($D460-1/frec,0),cob_adi,BO$40,FALSE)*(1+i/frec)^-0.5*(1+Parámetros!$D$103)*(1+rec_fracc)/frec*'TABLAS ADI'!$BC$17),2))</f>
        <v>0</v>
      </c>
      <c r="CF460" s="119" t="str">
        <f t="shared" si="620"/>
        <v/>
      </c>
      <c r="CG460" s="66">
        <f>+IF($W460="","",ROUND(IF($B460&gt;Parámetros!$D$107,'Tablas Servicio'!CE460+('Tablas Servicio'!CG459-'Tablas Servicio'!CE459),CE460/(1-IF(B460&lt;=10,Parámetros!$D$100,0))),2))</f>
        <v>0</v>
      </c>
      <c r="CH460" s="66">
        <f t="shared" si="621"/>
        <v>0</v>
      </c>
      <c r="CI460" s="66">
        <f t="shared" si="621"/>
        <v>0</v>
      </c>
      <c r="CJ460" s="66">
        <f>+IF($W460="","",ROUND((CG460*Parámetros!$G$85),2))</f>
        <v>0</v>
      </c>
      <c r="CK460" s="66">
        <f>+IF($W460="","",ROUND((CG460*(Parámetros!$G$86)),2))</f>
        <v>0</v>
      </c>
      <c r="CL460" s="66">
        <f t="shared" si="622"/>
        <v>0</v>
      </c>
      <c r="CM460" t="str">
        <f t="shared" si="663"/>
        <v>00063</v>
      </c>
      <c r="CN460" s="118" t="str">
        <f t="shared" si="664"/>
        <v>Renta Diaria por Hospitalización</v>
      </c>
      <c r="CO460" s="118">
        <f t="shared" si="665"/>
        <v>0</v>
      </c>
      <c r="CP460" s="118" t="str">
        <f t="shared" si="666"/>
        <v>A</v>
      </c>
      <c r="CQ460" s="119" t="str">
        <f t="shared" si="623"/>
        <v/>
      </c>
      <c r="CR460" s="66">
        <f>+IF($W460="","",ROUND((VLOOKUP(Parámetros!$F$51,'COBERTURAS ADICIONALES'!$S$4:$T$32,2,FALSE)*(1+i/frec)^-0.5*(1+Parámetros!$D$103)*(1+rec_fracc)/frec*$CO$42),2))</f>
        <v>0</v>
      </c>
      <c r="CS460" s="119" t="str">
        <f t="shared" si="624"/>
        <v/>
      </c>
      <c r="CT460" s="66">
        <f>+IF($W460="","",ROUND(IF($B460&gt;Parámetros!$D$107,'Tablas Servicio'!CR460+('Tablas Servicio'!CT459-'Tablas Servicio'!CR459),CR460/(1-IF(B460&lt;=10,Parámetros!$D$100,0))),2))</f>
        <v>0</v>
      </c>
      <c r="CU460" s="66">
        <f t="shared" si="625"/>
        <v>0</v>
      </c>
      <c r="CV460" s="66">
        <f t="shared" si="625"/>
        <v>0</v>
      </c>
      <c r="CW460" s="66">
        <f>+IF($W460="","",ROUND((CT460*Parámetros!$G$85),2))</f>
        <v>0</v>
      </c>
      <c r="CX460" s="66">
        <f>+IF($W460="","",ROUND((CT460*(Parámetros!$G$86)),2))</f>
        <v>0</v>
      </c>
      <c r="CY460" s="66">
        <f t="shared" si="626"/>
        <v>0</v>
      </c>
      <c r="CZ460" t="str">
        <f t="shared" si="667"/>
        <v>00064</v>
      </c>
      <c r="DA460" s="118" t="str">
        <f t="shared" si="668"/>
        <v>Enfermedades Graves</v>
      </c>
      <c r="DB460" s="118">
        <f t="shared" si="669"/>
        <v>0</v>
      </c>
      <c r="DC460" s="118" t="str">
        <f t="shared" si="670"/>
        <v>A</v>
      </c>
      <c r="DD460" s="121" t="str">
        <f>+IF(OR($W460="",DB460=0),"",ROUND((VLOOKUP(ROUNDDOWN($D460-1/frec,0),cob_adi,CO$40,FALSE)*(1+i/frec)^-0.5*(1+Parámetros!$D$103)*(1+rec_fracc)/frec),6))</f>
        <v/>
      </c>
      <c r="DE460" s="66">
        <f t="shared" si="627"/>
        <v>0</v>
      </c>
      <c r="DF460" s="119" t="str">
        <f t="shared" si="628"/>
        <v/>
      </c>
      <c r="DG460" s="66">
        <f>+IF($W460="","",ROUND(IF($B460&gt;Parámetros!$D$107,'Tablas Servicio'!DE460+('Tablas Servicio'!DG459-'Tablas Servicio'!DE459),DE460/(1-IF(B460&lt;=10,Parámetros!$D$100,0))),2))</f>
        <v>0</v>
      </c>
      <c r="DH460" s="66">
        <f t="shared" si="629"/>
        <v>0</v>
      </c>
      <c r="DI460" s="66">
        <f t="shared" si="629"/>
        <v>0</v>
      </c>
      <c r="DJ460" s="66">
        <f>+IF($W460="","",ROUND((DG460*Parámetros!$G$85),2))</f>
        <v>0</v>
      </c>
      <c r="DK460" s="66">
        <f>+IF($W460="","",ROUND((DG460*(Parámetros!$G$86)),2))</f>
        <v>0</v>
      </c>
      <c r="DL460" s="66">
        <f t="shared" si="630"/>
        <v>0</v>
      </c>
      <c r="DM460" t="str">
        <f t="shared" si="671"/>
        <v>00065</v>
      </c>
      <c r="DN460" s="118" t="str">
        <f t="shared" si="672"/>
        <v>Exención pago de primas</v>
      </c>
      <c r="DO460" s="118">
        <f t="shared" si="673"/>
        <v>0</v>
      </c>
      <c r="DP460" s="118" t="str">
        <f t="shared" si="674"/>
        <v>A</v>
      </c>
      <c r="DQ460" s="122" t="str">
        <f>+IF(OR($W460="",DO460=0),"",ROUND((VLOOKUP(ROUNDDOWN($D460-1/frec,0),cob_adi,DB$40,FALSE)*(1+i/frec)^-0.5*(1+Parámetros!$D$103)*(1+rec_fracc)/frec),6))</f>
        <v/>
      </c>
      <c r="DR460" s="66">
        <f t="shared" si="631"/>
        <v>0</v>
      </c>
      <c r="DS460" s="68" t="str">
        <f t="shared" si="632"/>
        <v/>
      </c>
      <c r="DT460" s="66">
        <f>+IF($W460="","",ROUND(IF($B460&gt;Parámetros!$D$107,'Tablas Servicio'!DR460+('Tablas Servicio'!DT459-'Tablas Servicio'!DR459),DR460/(1-IF(B460&lt;=10,Parámetros!$D$100,0))),2))</f>
        <v>0</v>
      </c>
      <c r="DU460" s="66">
        <f t="shared" si="633"/>
        <v>0</v>
      </c>
      <c r="DV460" s="66">
        <f t="shared" si="633"/>
        <v>0</v>
      </c>
      <c r="DW460" s="66">
        <f>+IF($W460="","",ROUND((DT460*Parámetros!$G$85),2))</f>
        <v>0</v>
      </c>
      <c r="DX460" s="66">
        <f>+IF($W460="","",ROUND((DT460*(Parámetros!$G$86)),2))</f>
        <v>0</v>
      </c>
      <c r="DY460" s="66">
        <f t="shared" si="634"/>
        <v>0</v>
      </c>
      <c r="DZ460" t="str">
        <f t="shared" si="676"/>
        <v>00066</v>
      </c>
      <c r="EA460" s="118" t="str">
        <f t="shared" si="676"/>
        <v>Enfermedad terminal</v>
      </c>
      <c r="EB460" s="118">
        <f>+IF($W460="","",ROUND(IF(Parámetros!$D$25='TABLAS MORT'!$V$33,EB459,Z460/2),0))</f>
        <v>50000</v>
      </c>
      <c r="EC460" s="118" t="str">
        <f t="shared" si="676"/>
        <v>A</v>
      </c>
      <c r="ED460" s="122">
        <f>+IF(OR($W460="",EB460=0),"",ROUND((VLOOKUP(ROUNDDOWN($D460-1/frec,0),cob_adi,DO$40,FALSE)*(1+i/frec)^-0.5*(1+Parámetros!$D$103)*(1+rec_fracc)/frec),6))</f>
        <v>6.4999999999999994E-5</v>
      </c>
      <c r="EE460" s="66">
        <f t="shared" si="636"/>
        <v>3.25</v>
      </c>
      <c r="EF460" s="68">
        <f t="shared" si="637"/>
        <v>6.4999999999999994E-5</v>
      </c>
      <c r="EG460" s="66">
        <f>+IF($W460="","",ROUND(IF($B460&gt;Parámetros!$D$107,'Tablas Servicio'!EE460+('Tablas Servicio'!EG459-'Tablas Servicio'!EE459),EE460/(1-IF(B460&lt;=10,Parámetros!$D$100,0))),2))</f>
        <v>3.25</v>
      </c>
      <c r="EH460" s="66">
        <f t="shared" si="638"/>
        <v>0</v>
      </c>
      <c r="EI460" s="66">
        <f t="shared" si="638"/>
        <v>0</v>
      </c>
      <c r="EJ460" s="66">
        <f>+IF($W460="","",ROUND((EG460*Parámetros!$G$85),2))</f>
        <v>0.11</v>
      </c>
      <c r="EK460" s="66">
        <f>+IF($W460="","",ROUND((EG460*(Parámetros!$G$86)),2))</f>
        <v>0.02</v>
      </c>
      <c r="EL460" s="66">
        <f t="shared" si="639"/>
        <v>3.38</v>
      </c>
    </row>
    <row r="461" spans="1:142" x14ac:dyDescent="0.25">
      <c r="A461">
        <f>+IF($C461="","",ROUND(VLOOKUP('Tablas Servicio'!B461,Parámetros!$H$100:$J$159,IF(Parámetros!$E$16="F",2,3),FALSE),2))</f>
        <v>150</v>
      </c>
      <c r="B461">
        <f t="shared" si="590"/>
        <v>35</v>
      </c>
      <c r="C461" s="57">
        <f>+IF(D461="","",'Tablas Servicio'!C460+1)</f>
        <v>420</v>
      </c>
      <c r="D461" s="56">
        <f>+IF(D460&lt;edadmaxtabla,D460+1/Parámetros!$E$25,"")</f>
        <v>75.020000000000053</v>
      </c>
      <c r="E461" s="57">
        <f t="shared" si="600"/>
        <v>75</v>
      </c>
      <c r="F461" s="59">
        <f t="shared" si="601"/>
        <v>100000</v>
      </c>
      <c r="G461" s="66">
        <f t="shared" si="591"/>
        <v>191.45</v>
      </c>
      <c r="H461" s="66">
        <f t="shared" si="592"/>
        <v>199.10999999999999</v>
      </c>
      <c r="I461" s="66">
        <f t="shared" si="640"/>
        <v>-105.10999999999999</v>
      </c>
      <c r="J461" s="66">
        <f t="shared" si="593"/>
        <v>6.7</v>
      </c>
      <c r="K461" s="66">
        <f t="shared" si="594"/>
        <v>0.96</v>
      </c>
      <c r="L461" s="66">
        <f t="shared" si="595"/>
        <v>0</v>
      </c>
      <c r="M461" s="66">
        <f t="shared" si="596"/>
        <v>0</v>
      </c>
      <c r="N461" s="66">
        <f>+IF(C461="","",ROUND(Parámetros!$D$23,2))</f>
        <v>94</v>
      </c>
      <c r="O461" s="66">
        <f t="shared" si="597"/>
        <v>178.95</v>
      </c>
      <c r="P461" s="66">
        <f>+IF($C461="","",ROUND(IF(B461&gt;Parámetros!$D$117,0,N461*Parámetros!$D$116-G461*Parámetros!$D$100),2))</f>
        <v>0</v>
      </c>
      <c r="Q461" s="75">
        <f t="shared" si="641"/>
        <v>3.499608252807522E-2</v>
      </c>
      <c r="R461" s="75">
        <f t="shared" si="642"/>
        <v>5.0143640637242103E-3</v>
      </c>
      <c r="S461" s="117">
        <f>+IF($C461="","",ROUND((S460+I461)*(1+Parámetros!$D$91),2))</f>
        <v>26390.16</v>
      </c>
      <c r="T461" s="117">
        <f>+IF($C461="","",ROUND(S461*VLOOKUP(B461,Parámetros!$C$30:$D$39,2,TRUE),2))</f>
        <v>26390.16</v>
      </c>
      <c r="U461" s="117">
        <f>+IF($C461="","",ROUND((U460+I461)*(1+Parámetros!$D$92),2))</f>
        <v>30577.91</v>
      </c>
      <c r="V461" s="117">
        <f>+IF($C461="","",ROUND(U461*VLOOKUP(B461,Parámetros!$C$30:$D$39,2,TRUE),2))</f>
        <v>30577.91</v>
      </c>
      <c r="W461" s="57">
        <f t="shared" si="643"/>
        <v>420</v>
      </c>
      <c r="X461" t="str">
        <f t="shared" si="644"/>
        <v>00058</v>
      </c>
      <c r="Y461" t="str">
        <f t="shared" si="645"/>
        <v>MUERTE POR CUALQUIER CAUSA</v>
      </c>
      <c r="Z461" s="118">
        <f>+IF($W461="","",ROUND(IF(Parámetros!$D$25='TABLAS MORT'!$V$33,Z460,Parámetros!$D$21-'Tablas Servicio'!T460),0))</f>
        <v>100000</v>
      </c>
      <c r="AA461" s="118" t="str">
        <f t="shared" si="646"/>
        <v>P</v>
      </c>
      <c r="AB461" s="119">
        <f>+IF(W461="","",ROUND((VLOOKUP(ROUNDDOWN($D461-1/frec,0),qx_tabla,2,FALSE)*(1+i/frec)^-0.5*(1+Parámetros!$D$103)*(1+rec_fracc)/frec),6))</f>
        <v>1.7570000000000001E-3</v>
      </c>
      <c r="AC461" s="66">
        <f t="shared" si="602"/>
        <v>175.7</v>
      </c>
      <c r="AD461" s="119">
        <f t="shared" si="598"/>
        <v>1.882E-3</v>
      </c>
      <c r="AE461" s="66">
        <f>+IF($W461="","",ROUND(IF($B461&gt;Parámetros!$D$107,'Tablas Servicio'!AC461+('Tablas Servicio'!AG460-'Tablas Servicio'!AC460),AC461/(1-IF(B461&lt;=10,Parámetros!$D$104,Parámetros!$D$105))),2))</f>
        <v>292.83</v>
      </c>
      <c r="AF461" s="66">
        <f>+IF($W461="","",ROUND(IF($B461&gt;Parámetros!$D$107,'Tablas Servicio'!AC461+('Tablas Servicio'!AG460-'Tablas Servicio'!AC460),(AC461+$A460/frec)/(1-IF(B461&lt;=Parámetros!$D$117,Parámetros!$D$100,0))),2))</f>
        <v>188.2</v>
      </c>
      <c r="AG461" s="66">
        <f t="shared" si="603"/>
        <v>188.2</v>
      </c>
      <c r="AH461" s="66">
        <f t="shared" si="604"/>
        <v>0</v>
      </c>
      <c r="AI461" s="66">
        <f t="shared" si="605"/>
        <v>0</v>
      </c>
      <c r="AJ461" s="66">
        <f>+IF($W461="","",ROUND((AG461*Parámetros!$G$85),2))</f>
        <v>6.59</v>
      </c>
      <c r="AK461" s="66">
        <f>+IF($W461="","",ROUND((AG461*(Parámetros!$G$86)),2))</f>
        <v>0.94</v>
      </c>
      <c r="AL461" s="66">
        <f t="shared" si="599"/>
        <v>195.73</v>
      </c>
      <c r="AM461" t="str">
        <f t="shared" si="647"/>
        <v>00059</v>
      </c>
      <c r="AN461" t="str">
        <f t="shared" si="648"/>
        <v>Incapacidad Total y Permanente</v>
      </c>
      <c r="AO461" s="118">
        <f t="shared" si="649"/>
        <v>0</v>
      </c>
      <c r="AP461" s="118" t="str">
        <f t="shared" si="650"/>
        <v>A</v>
      </c>
      <c r="AQ461" s="119" t="str">
        <f>+IF(OR($W461="",AO461=0),"",ROUND((VLOOKUP(ROUNDDOWN($D461-1/frec,0),cob_adi,Z$40,FALSE)*(1+i/frec)^-0.5*(1+Parámetros!$D$103)*(1+rec_fracc)/frec),6))</f>
        <v/>
      </c>
      <c r="AR461" s="66">
        <f t="shared" si="606"/>
        <v>0</v>
      </c>
      <c r="AS461" s="119" t="str">
        <f t="shared" si="607"/>
        <v/>
      </c>
      <c r="AT461" s="66">
        <f>+IF($W461="","",ROUND(IF($B461&gt;Parámetros!$D$107,'Tablas Servicio'!AR461+('Tablas Servicio'!AT460-'Tablas Servicio'!AR460),AR461/(1-IF(B461&lt;=10,Parámetros!$D$100,0))),2))</f>
        <v>0</v>
      </c>
      <c r="AU461" s="66">
        <f t="shared" si="608"/>
        <v>0</v>
      </c>
      <c r="AV461" s="66">
        <f t="shared" si="608"/>
        <v>0</v>
      </c>
      <c r="AW461" s="66">
        <f>+IF($W461="","",ROUND((AT461*Parámetros!$G$85),2))</f>
        <v>0</v>
      </c>
      <c r="AX461" s="66">
        <f>+IF($W461="","",ROUND((AT461*(Parámetros!$G$86)),2))</f>
        <v>0</v>
      </c>
      <c r="AY461" s="66">
        <f t="shared" si="609"/>
        <v>0</v>
      </c>
      <c r="AZ461" t="str">
        <f t="shared" si="651"/>
        <v>00060</v>
      </c>
      <c r="BA461" t="str">
        <f t="shared" si="652"/>
        <v>Muerte Accidental</v>
      </c>
      <c r="BB461" s="118">
        <f t="shared" si="653"/>
        <v>0</v>
      </c>
      <c r="BC461" s="118" t="str">
        <f t="shared" si="654"/>
        <v>A</v>
      </c>
      <c r="BD461" s="119" t="str">
        <f>+IF(OR($W461="",BB461=0),"",ROUND((VLOOKUP(ROUNDDOWN($D461-1/frec,0),cob_adi,AO$40,FALSE)*(1+i/frec)^-0.5*(1+Parámetros!$D$103)*(1+rec_fracc)/frec),6))</f>
        <v/>
      </c>
      <c r="BE461" s="66">
        <f t="shared" si="610"/>
        <v>0</v>
      </c>
      <c r="BF461" s="119" t="str">
        <f t="shared" si="611"/>
        <v/>
      </c>
      <c r="BG461" s="66">
        <f>+IF($W461="","",ROUND(IF($B461&gt;Parámetros!$D$107,'Tablas Servicio'!BE461+('Tablas Servicio'!BG460-'Tablas Servicio'!BE460),BE461/(1-IF(B461&lt;=10,Parámetros!$D$100,0))),2))</f>
        <v>0</v>
      </c>
      <c r="BH461" s="66">
        <f t="shared" si="612"/>
        <v>0</v>
      </c>
      <c r="BI461" s="66">
        <f t="shared" si="613"/>
        <v>0</v>
      </c>
      <c r="BJ461" s="66">
        <f>+IF($W461="","",ROUND((BG461*Parámetros!$G$85),2))</f>
        <v>0</v>
      </c>
      <c r="BK461" s="66">
        <f>+IF($W461="","",ROUND((BG461*(Parámetros!$G$86)),2))</f>
        <v>0</v>
      </c>
      <c r="BL461" s="66">
        <f t="shared" si="614"/>
        <v>0</v>
      </c>
      <c r="BM461" t="str">
        <f t="shared" si="655"/>
        <v>00061</v>
      </c>
      <c r="BN461" t="str">
        <f t="shared" si="656"/>
        <v>Gastos de Entierro</v>
      </c>
      <c r="BO461" s="118">
        <f t="shared" si="657"/>
        <v>0</v>
      </c>
      <c r="BP461" s="118" t="str">
        <f t="shared" si="658"/>
        <v>A</v>
      </c>
      <c r="BQ461" s="119" t="str">
        <f>+IF(OR($W461="",BO461=0),"",ROUND((VLOOKUP(ROUNDDOWN($D461-1/frec,0),cob_adi,BB$40,FALSE)*(1+i/frec)^-0.5*(1+Parámetros!$D$103)*(1+rec_fracc)/frec),6))</f>
        <v/>
      </c>
      <c r="BR461" s="66">
        <f t="shared" si="615"/>
        <v>0</v>
      </c>
      <c r="BS461" s="119" t="str">
        <f t="shared" si="616"/>
        <v/>
      </c>
      <c r="BT461" s="66">
        <f>+IF($W461="","",ROUND(IF($B461&gt;Parámetros!$D$107,'Tablas Servicio'!BR461+('Tablas Servicio'!BT460-'Tablas Servicio'!BR460),BR461/(1-IF(B461&lt;=10,Parámetros!$D$100,0))),2))</f>
        <v>0</v>
      </c>
      <c r="BU461" s="66">
        <f t="shared" si="617"/>
        <v>0</v>
      </c>
      <c r="BV461" s="66">
        <f t="shared" si="617"/>
        <v>0</v>
      </c>
      <c r="BW461" s="66">
        <f>+IF($W461="","",ROUND((BT461*Parámetros!$G$85),2))</f>
        <v>0</v>
      </c>
      <c r="BX461" s="66">
        <f>+IF($W461="","",ROUND((BT461*(Parámetros!$G$86)),2))</f>
        <v>0</v>
      </c>
      <c r="BY461" s="66">
        <f t="shared" si="618"/>
        <v>0</v>
      </c>
      <c r="BZ461" t="str">
        <f t="shared" si="659"/>
        <v>00062</v>
      </c>
      <c r="CA461" t="str">
        <f t="shared" si="660"/>
        <v>Gastos médicos por accidente</v>
      </c>
      <c r="CB461" s="118">
        <f t="shared" si="661"/>
        <v>0</v>
      </c>
      <c r="CC461" s="118" t="str">
        <f t="shared" si="662"/>
        <v>A</v>
      </c>
      <c r="CD461" s="119" t="str">
        <f t="shared" si="619"/>
        <v/>
      </c>
      <c r="CE461" s="66">
        <f>+IF($W461="","",ROUND((VLOOKUP(ROUNDDOWN($D461-1/frec,0),cob_adi,BO$40,FALSE)*(1+i/frec)^-0.5*(1+Parámetros!$D$103)*(1+rec_fracc)/frec*'TABLAS ADI'!$BC$17),2))</f>
        <v>0</v>
      </c>
      <c r="CF461" s="119" t="str">
        <f t="shared" si="620"/>
        <v/>
      </c>
      <c r="CG461" s="66">
        <f>+IF($W461="","",ROUND(IF($B461&gt;Parámetros!$D$107,'Tablas Servicio'!CE461+('Tablas Servicio'!CG460-'Tablas Servicio'!CE460),CE461/(1-IF(B461&lt;=10,Parámetros!$D$100,0))),2))</f>
        <v>0</v>
      </c>
      <c r="CH461" s="66">
        <f t="shared" si="621"/>
        <v>0</v>
      </c>
      <c r="CI461" s="66">
        <f t="shared" si="621"/>
        <v>0</v>
      </c>
      <c r="CJ461" s="66">
        <f>+IF($W461="","",ROUND((CG461*Parámetros!$G$85),2))</f>
        <v>0</v>
      </c>
      <c r="CK461" s="66">
        <f>+IF($W461="","",ROUND((CG461*(Parámetros!$G$86)),2))</f>
        <v>0</v>
      </c>
      <c r="CL461" s="66">
        <f t="shared" si="622"/>
        <v>0</v>
      </c>
      <c r="CM461" t="str">
        <f t="shared" si="663"/>
        <v>00063</v>
      </c>
      <c r="CN461" s="118" t="str">
        <f t="shared" si="664"/>
        <v>Renta Diaria por Hospitalización</v>
      </c>
      <c r="CO461" s="118">
        <f t="shared" si="665"/>
        <v>0</v>
      </c>
      <c r="CP461" s="118" t="str">
        <f t="shared" si="666"/>
        <v>A</v>
      </c>
      <c r="CQ461" s="119" t="str">
        <f t="shared" si="623"/>
        <v/>
      </c>
      <c r="CR461" s="66">
        <f>+IF($W461="","",ROUND((VLOOKUP(Parámetros!$F$51,'COBERTURAS ADICIONALES'!$S$4:$T$32,2,FALSE)*(1+i/frec)^-0.5*(1+Parámetros!$D$103)*(1+rec_fracc)/frec*$CO$42),2))</f>
        <v>0</v>
      </c>
      <c r="CS461" s="119" t="str">
        <f t="shared" si="624"/>
        <v/>
      </c>
      <c r="CT461" s="66">
        <f>+IF($W461="","",ROUND(IF($B461&gt;Parámetros!$D$107,'Tablas Servicio'!CR461+('Tablas Servicio'!CT460-'Tablas Servicio'!CR460),CR461/(1-IF(B461&lt;=10,Parámetros!$D$100,0))),2))</f>
        <v>0</v>
      </c>
      <c r="CU461" s="66">
        <f t="shared" si="625"/>
        <v>0</v>
      </c>
      <c r="CV461" s="66">
        <f t="shared" si="625"/>
        <v>0</v>
      </c>
      <c r="CW461" s="66">
        <f>+IF($W461="","",ROUND((CT461*Parámetros!$G$85),2))</f>
        <v>0</v>
      </c>
      <c r="CX461" s="66">
        <f>+IF($W461="","",ROUND((CT461*(Parámetros!$G$86)),2))</f>
        <v>0</v>
      </c>
      <c r="CY461" s="66">
        <f t="shared" si="626"/>
        <v>0</v>
      </c>
      <c r="CZ461" t="str">
        <f t="shared" si="667"/>
        <v>00064</v>
      </c>
      <c r="DA461" s="118" t="str">
        <f t="shared" si="668"/>
        <v>Enfermedades Graves</v>
      </c>
      <c r="DB461" s="118">
        <f t="shared" si="669"/>
        <v>0</v>
      </c>
      <c r="DC461" s="118" t="str">
        <f t="shared" si="670"/>
        <v>A</v>
      </c>
      <c r="DD461" s="121" t="str">
        <f>+IF(OR($W461="",DB461=0),"",ROUND((VLOOKUP(ROUNDDOWN($D461-1/frec,0),cob_adi,CO$40,FALSE)*(1+i/frec)^-0.5*(1+Parámetros!$D$103)*(1+rec_fracc)/frec),6))</f>
        <v/>
      </c>
      <c r="DE461" s="66">
        <f t="shared" si="627"/>
        <v>0</v>
      </c>
      <c r="DF461" s="119" t="str">
        <f t="shared" si="628"/>
        <v/>
      </c>
      <c r="DG461" s="66">
        <f>+IF($W461="","",ROUND(IF($B461&gt;Parámetros!$D$107,'Tablas Servicio'!DE461+('Tablas Servicio'!DG460-'Tablas Servicio'!DE460),DE461/(1-IF(B461&lt;=10,Parámetros!$D$100,0))),2))</f>
        <v>0</v>
      </c>
      <c r="DH461" s="66">
        <f t="shared" si="629"/>
        <v>0</v>
      </c>
      <c r="DI461" s="66">
        <f t="shared" si="629"/>
        <v>0</v>
      </c>
      <c r="DJ461" s="66">
        <f>+IF($W461="","",ROUND((DG461*Parámetros!$G$85),2))</f>
        <v>0</v>
      </c>
      <c r="DK461" s="66">
        <f>+IF($W461="","",ROUND((DG461*(Parámetros!$G$86)),2))</f>
        <v>0</v>
      </c>
      <c r="DL461" s="66">
        <f t="shared" si="630"/>
        <v>0</v>
      </c>
      <c r="DM461" t="str">
        <f t="shared" si="671"/>
        <v>00065</v>
      </c>
      <c r="DN461" s="118" t="str">
        <f t="shared" si="672"/>
        <v>Exención pago de primas</v>
      </c>
      <c r="DO461" s="118">
        <f t="shared" si="673"/>
        <v>0</v>
      </c>
      <c r="DP461" s="118" t="str">
        <f t="shared" si="674"/>
        <v>A</v>
      </c>
      <c r="DQ461" s="122" t="str">
        <f>+IF(OR($W461="",DO461=0),"",ROUND((VLOOKUP(ROUNDDOWN($D461-1/frec,0),cob_adi,DB$40,FALSE)*(1+i/frec)^-0.5*(1+Parámetros!$D$103)*(1+rec_fracc)/frec),6))</f>
        <v/>
      </c>
      <c r="DR461" s="66">
        <f t="shared" si="631"/>
        <v>0</v>
      </c>
      <c r="DS461" s="68" t="str">
        <f t="shared" si="632"/>
        <v/>
      </c>
      <c r="DT461" s="66">
        <f>+IF($W461="","",ROUND(IF($B461&gt;Parámetros!$D$107,'Tablas Servicio'!DR461+('Tablas Servicio'!DT460-'Tablas Servicio'!DR460),DR461/(1-IF(B461&lt;=10,Parámetros!$D$100,0))),2))</f>
        <v>0</v>
      </c>
      <c r="DU461" s="66">
        <f t="shared" si="633"/>
        <v>0</v>
      </c>
      <c r="DV461" s="66">
        <f t="shared" si="633"/>
        <v>0</v>
      </c>
      <c r="DW461" s="66">
        <f>+IF($W461="","",ROUND((DT461*Parámetros!$G$85),2))</f>
        <v>0</v>
      </c>
      <c r="DX461" s="66">
        <f>+IF($W461="","",ROUND((DT461*(Parámetros!$G$86)),2))</f>
        <v>0</v>
      </c>
      <c r="DY461" s="66">
        <f t="shared" si="634"/>
        <v>0</v>
      </c>
      <c r="DZ461" t="str">
        <f t="shared" si="676"/>
        <v>00066</v>
      </c>
      <c r="EA461" s="118" t="str">
        <f t="shared" si="676"/>
        <v>Enfermedad terminal</v>
      </c>
      <c r="EB461" s="118">
        <f>+IF($W461="","",ROUND(IF(Parámetros!$D$25='TABLAS MORT'!$V$33,EB460,Z461/2),0))</f>
        <v>50000</v>
      </c>
      <c r="EC461" s="118" t="str">
        <f t="shared" si="676"/>
        <v>A</v>
      </c>
      <c r="ED461" s="122">
        <f>+IF(OR($W461="",EB461=0),"",ROUND((VLOOKUP(ROUNDDOWN($D461-1/frec,0),cob_adi,DO$40,FALSE)*(1+i/frec)^-0.5*(1+Parámetros!$D$103)*(1+rec_fracc)/frec),6))</f>
        <v>6.4999999999999994E-5</v>
      </c>
      <c r="EE461" s="66">
        <f t="shared" si="636"/>
        <v>3.25</v>
      </c>
      <c r="EF461" s="68">
        <f t="shared" si="637"/>
        <v>6.4999999999999994E-5</v>
      </c>
      <c r="EG461" s="66">
        <f>+IF($W461="","",ROUND(IF($B461&gt;Parámetros!$D$107,'Tablas Servicio'!EE461+('Tablas Servicio'!EG460-'Tablas Servicio'!EE460),EE461/(1-IF(B461&lt;=10,Parámetros!$D$100,0))),2))</f>
        <v>3.25</v>
      </c>
      <c r="EH461" s="66">
        <f t="shared" si="638"/>
        <v>0</v>
      </c>
      <c r="EI461" s="66">
        <f t="shared" si="638"/>
        <v>0</v>
      </c>
      <c r="EJ461" s="66">
        <f>+IF($W461="","",ROUND((EG461*Parámetros!$G$85),2))</f>
        <v>0.11</v>
      </c>
      <c r="EK461" s="66">
        <f>+IF($W461="","",ROUND((EG461*(Parámetros!$G$86)),2))</f>
        <v>0.02</v>
      </c>
      <c r="EL461" s="66">
        <f t="shared" si="639"/>
        <v>3.38</v>
      </c>
    </row>
    <row r="462" spans="1:142" x14ac:dyDescent="0.25">
      <c r="A462" t="str">
        <f>+IF($C462="","",ROUND(VLOOKUP('Tablas Servicio'!B462,Parámetros!$H$100:$J$159,IF(Parámetros!$E$16="F",2,3),FALSE),2))</f>
        <v/>
      </c>
      <c r="B462" t="str">
        <f t="shared" si="590"/>
        <v/>
      </c>
      <c r="C462" s="57" t="str">
        <f>+IF(D462="","",'Tablas Servicio'!C461+1)</f>
        <v/>
      </c>
      <c r="D462" s="56" t="str">
        <f>+IF(D461&lt;edadmaxtabla,D461+1/Parámetros!$E$25,"")</f>
        <v/>
      </c>
      <c r="E462" s="57" t="str">
        <f t="shared" si="600"/>
        <v/>
      </c>
      <c r="F462" s="59" t="str">
        <f t="shared" si="601"/>
        <v/>
      </c>
      <c r="G462" s="66" t="str">
        <f t="shared" si="591"/>
        <v/>
      </c>
      <c r="H462" s="66" t="str">
        <f t="shared" si="592"/>
        <v/>
      </c>
      <c r="I462" s="66" t="str">
        <f t="shared" si="640"/>
        <v/>
      </c>
      <c r="J462" s="66" t="str">
        <f t="shared" si="593"/>
        <v/>
      </c>
      <c r="K462" s="66" t="str">
        <f t="shared" si="594"/>
        <v/>
      </c>
      <c r="L462" s="66" t="str">
        <f t="shared" si="595"/>
        <v/>
      </c>
      <c r="M462" s="66" t="str">
        <f t="shared" si="596"/>
        <v/>
      </c>
      <c r="N462" s="66" t="str">
        <f>+IF(C462="","",ROUND(Parámetros!$D$23,2))</f>
        <v/>
      </c>
      <c r="O462" s="66" t="str">
        <f t="shared" si="597"/>
        <v/>
      </c>
      <c r="P462" s="66" t="str">
        <f>+IF($C462="","",ROUND(IF(B462&gt;Parámetros!$D$117,0,N462*Parámetros!$D$116-G462*Parámetros!$D$100),2))</f>
        <v/>
      </c>
      <c r="Q462" s="75" t="str">
        <f t="shared" si="641"/>
        <v/>
      </c>
      <c r="R462" s="75" t="str">
        <f t="shared" si="642"/>
        <v/>
      </c>
      <c r="S462" s="117" t="str">
        <f>+IF($C462="","",ROUND((S461+I462)*(1+Parámetros!$D$91),2))</f>
        <v/>
      </c>
      <c r="T462" s="117" t="str">
        <f>+IF($C462="","",ROUND(S462*VLOOKUP(B462,Parámetros!$C$30:$D$39,2,TRUE),2))</f>
        <v/>
      </c>
      <c r="U462" s="117" t="str">
        <f>+IF($C462="","",ROUND((U461+I462)*(1+Parámetros!$D$92),2))</f>
        <v/>
      </c>
      <c r="V462" s="117" t="str">
        <f>+IF($C462="","",ROUND(U462*VLOOKUP(B462,Parámetros!$C$30:$D$39,2,TRUE),2))</f>
        <v/>
      </c>
      <c r="W462" s="57" t="str">
        <f t="shared" si="643"/>
        <v/>
      </c>
      <c r="X462" t="str">
        <f t="shared" si="644"/>
        <v/>
      </c>
      <c r="Y462" t="str">
        <f t="shared" si="645"/>
        <v/>
      </c>
      <c r="Z462" s="118" t="str">
        <f>+IF($W462="","",ROUND(IF(Parámetros!$D$25='TABLAS MORT'!$V$33,Z461,Parámetros!$D$21-'Tablas Servicio'!T461),0))</f>
        <v/>
      </c>
      <c r="AA462" s="118" t="str">
        <f t="shared" si="646"/>
        <v/>
      </c>
      <c r="AB462" s="119" t="str">
        <f>+IF(W462="","",ROUND((VLOOKUP(ROUNDDOWN($D462-1/frec,0),qx_tabla,2,FALSE)*(1+i/frec)^-0.5*(1+Parámetros!$D$103)*(1+rec_fracc)/frec),6))</f>
        <v/>
      </c>
      <c r="AC462" s="66" t="str">
        <f t="shared" si="602"/>
        <v/>
      </c>
      <c r="AD462" s="119" t="str">
        <f t="shared" si="598"/>
        <v/>
      </c>
      <c r="AE462" s="66" t="str">
        <f>+IF($W462="","",ROUND(IF($B462&gt;Parámetros!$D$107,'Tablas Servicio'!AC462+('Tablas Servicio'!AG461-'Tablas Servicio'!AC461),AC462/(1-IF(B462&lt;=10,Parámetros!$D$104,Parámetros!$D$105))),2))</f>
        <v/>
      </c>
      <c r="AF462" s="66" t="str">
        <f>+IF($W462="","",ROUND(IF($B462&gt;Parámetros!$D$107,'Tablas Servicio'!AC462+('Tablas Servicio'!AG461-'Tablas Servicio'!AC461),(AC462+$A461/frec)/(1-IF(B462&lt;=Parámetros!$D$117,Parámetros!$D$100,0))),2))</f>
        <v/>
      </c>
      <c r="AG462" s="66" t="str">
        <f t="shared" si="603"/>
        <v/>
      </c>
      <c r="AH462" s="66" t="str">
        <f t="shared" si="604"/>
        <v/>
      </c>
      <c r="AI462" s="66" t="str">
        <f t="shared" si="605"/>
        <v/>
      </c>
      <c r="AJ462" s="66" t="str">
        <f>+IF($W462="","",ROUND((AG462*Parámetros!$G$85),2))</f>
        <v/>
      </c>
      <c r="AK462" s="66" t="str">
        <f>+IF($W462="","",ROUND((AG462*(Parámetros!$G$86)),2))</f>
        <v/>
      </c>
      <c r="AL462" s="66" t="str">
        <f t="shared" si="599"/>
        <v/>
      </c>
      <c r="AM462" t="str">
        <f t="shared" si="647"/>
        <v/>
      </c>
      <c r="AN462" t="str">
        <f t="shared" si="648"/>
        <v/>
      </c>
      <c r="AO462" s="118" t="str">
        <f t="shared" si="649"/>
        <v/>
      </c>
      <c r="AP462" s="118" t="str">
        <f t="shared" si="650"/>
        <v/>
      </c>
      <c r="AQ462" s="119" t="str">
        <f>+IF(OR($W462="",AO462=0),"",ROUND((VLOOKUP(ROUNDDOWN($D462-1/frec,0),cob_adi,Z$40,FALSE)*(1+i/frec)^-0.5*(1+Parámetros!$D$103)*(1+rec_fracc)/frec),6))</f>
        <v/>
      </c>
      <c r="AR462" s="66" t="str">
        <f t="shared" si="606"/>
        <v/>
      </c>
      <c r="AS462" s="119" t="str">
        <f t="shared" si="607"/>
        <v/>
      </c>
      <c r="AT462" s="66" t="str">
        <f>+IF($W462="","",ROUND(IF($B462&gt;Parámetros!$D$107,'Tablas Servicio'!AR462+('Tablas Servicio'!AT461-'Tablas Servicio'!AR461),AR462/(1-IF(B462&lt;=10,Parámetros!$D$100,0))),2))</f>
        <v/>
      </c>
      <c r="AU462" s="66" t="str">
        <f t="shared" si="608"/>
        <v/>
      </c>
      <c r="AV462" s="66" t="str">
        <f t="shared" si="608"/>
        <v/>
      </c>
      <c r="AW462" s="66" t="str">
        <f>+IF($W462="","",ROUND((AT462*Parámetros!$G$85),2))</f>
        <v/>
      </c>
      <c r="AX462" s="66" t="str">
        <f>+IF($W462="","",ROUND((AT462*(Parámetros!$G$86)),2))</f>
        <v/>
      </c>
      <c r="AY462" s="66" t="str">
        <f t="shared" si="609"/>
        <v/>
      </c>
      <c r="AZ462" t="str">
        <f t="shared" si="651"/>
        <v/>
      </c>
      <c r="BA462" t="str">
        <f t="shared" si="652"/>
        <v/>
      </c>
      <c r="BB462" s="118" t="str">
        <f t="shared" si="653"/>
        <v/>
      </c>
      <c r="BC462" s="118" t="str">
        <f t="shared" si="654"/>
        <v/>
      </c>
      <c r="BD462" s="119" t="str">
        <f>+IF(OR($W462="",BB462=0),"",ROUND((VLOOKUP(ROUNDDOWN($D462-1/frec,0),cob_adi,AO$40,FALSE)*(1+i/frec)^-0.5*(1+Parámetros!$D$103)*(1+rec_fracc)/frec),6))</f>
        <v/>
      </c>
      <c r="BE462" s="66" t="str">
        <f t="shared" si="610"/>
        <v/>
      </c>
      <c r="BF462" s="119" t="str">
        <f t="shared" si="611"/>
        <v/>
      </c>
      <c r="BG462" s="66" t="str">
        <f>+IF($W462="","",ROUND(IF($B462&gt;Parámetros!$D$107,'Tablas Servicio'!BE462+('Tablas Servicio'!BG461-'Tablas Servicio'!BE461),BE462/(1-IF(B462&lt;=10,Parámetros!$D$100,0))),2))</f>
        <v/>
      </c>
      <c r="BH462" s="66" t="str">
        <f t="shared" si="612"/>
        <v/>
      </c>
      <c r="BI462" s="66" t="str">
        <f t="shared" si="613"/>
        <v/>
      </c>
      <c r="BJ462" s="66" t="str">
        <f>+IF($W462="","",ROUND((BG462*Parámetros!$G$85),2))</f>
        <v/>
      </c>
      <c r="BK462" s="66" t="str">
        <f>+IF($W462="","",ROUND((BG462*(Parámetros!$G$86)),2))</f>
        <v/>
      </c>
      <c r="BL462" s="66" t="str">
        <f t="shared" si="614"/>
        <v/>
      </c>
      <c r="BM462" t="str">
        <f t="shared" si="655"/>
        <v/>
      </c>
      <c r="BN462" t="str">
        <f t="shared" si="656"/>
        <v/>
      </c>
      <c r="BO462" s="118" t="str">
        <f t="shared" si="657"/>
        <v/>
      </c>
      <c r="BP462" s="118" t="str">
        <f t="shared" si="658"/>
        <v/>
      </c>
      <c r="BQ462" s="119" t="str">
        <f>+IF(OR($W462="",BO462=0),"",ROUND((VLOOKUP(ROUNDDOWN($D462-1/frec,0),cob_adi,BB$40,FALSE)*(1+i/frec)^-0.5*(1+Parámetros!$D$103)*(1+rec_fracc)/frec),6))</f>
        <v/>
      </c>
      <c r="BR462" s="66" t="str">
        <f t="shared" si="615"/>
        <v/>
      </c>
      <c r="BS462" s="119" t="str">
        <f t="shared" si="616"/>
        <v/>
      </c>
      <c r="BT462" s="66" t="str">
        <f>+IF($W462="","",ROUND(IF($B462&gt;Parámetros!$D$107,'Tablas Servicio'!BR462+('Tablas Servicio'!BT461-'Tablas Servicio'!BR461),BR462/(1-IF(B462&lt;=10,Parámetros!$D$100,0))),2))</f>
        <v/>
      </c>
      <c r="BU462" s="66" t="str">
        <f t="shared" si="617"/>
        <v/>
      </c>
      <c r="BV462" s="66" t="str">
        <f t="shared" si="617"/>
        <v/>
      </c>
      <c r="BW462" s="66" t="str">
        <f>+IF($W462="","",ROUND((BT462*Parámetros!$G$85),2))</f>
        <v/>
      </c>
      <c r="BX462" s="66" t="str">
        <f>+IF($W462="","",ROUND((BT462*(Parámetros!$G$86)),2))</f>
        <v/>
      </c>
      <c r="BY462" s="66" t="str">
        <f t="shared" si="618"/>
        <v/>
      </c>
      <c r="BZ462" t="str">
        <f t="shared" si="659"/>
        <v/>
      </c>
      <c r="CA462" t="str">
        <f t="shared" si="660"/>
        <v/>
      </c>
      <c r="CB462" s="118" t="str">
        <f t="shared" si="661"/>
        <v/>
      </c>
      <c r="CC462" s="118" t="str">
        <f t="shared" si="662"/>
        <v/>
      </c>
      <c r="CD462" s="119" t="str">
        <f t="shared" si="619"/>
        <v/>
      </c>
      <c r="CE462" s="66" t="str">
        <f>+IF($W462="","",ROUND((VLOOKUP(ROUNDDOWN($D462-1/frec,0),cob_adi,BO$40,FALSE)*(1+i/frec)^-0.5*(1+Parámetros!$D$103)*(1+rec_fracc)/frec*'TABLAS ADI'!$BC$17),2))</f>
        <v/>
      </c>
      <c r="CF462" s="119" t="str">
        <f t="shared" si="620"/>
        <v/>
      </c>
      <c r="CG462" s="66" t="str">
        <f>+IF($W462="","",ROUND(IF($B462&gt;Parámetros!$D$107,'Tablas Servicio'!CE462+('Tablas Servicio'!CG461-'Tablas Servicio'!CE461),CE462/(1-IF(B462&lt;=10,Parámetros!$D$100,0))),2))</f>
        <v/>
      </c>
      <c r="CH462" s="66" t="str">
        <f t="shared" si="621"/>
        <v/>
      </c>
      <c r="CI462" s="66" t="str">
        <f t="shared" si="621"/>
        <v/>
      </c>
      <c r="CJ462" s="66" t="str">
        <f>+IF($W462="","",ROUND((CG462*Parámetros!$G$85),2))</f>
        <v/>
      </c>
      <c r="CK462" s="66" t="str">
        <f>+IF($W462="","",ROUND((CG462*(Parámetros!$G$86)),2))</f>
        <v/>
      </c>
      <c r="CL462" s="66" t="str">
        <f t="shared" si="622"/>
        <v/>
      </c>
      <c r="CM462" t="str">
        <f t="shared" si="663"/>
        <v/>
      </c>
      <c r="CN462" s="118" t="str">
        <f t="shared" si="664"/>
        <v/>
      </c>
      <c r="CO462" s="118" t="str">
        <f t="shared" si="665"/>
        <v/>
      </c>
      <c r="CP462" s="118" t="str">
        <f t="shared" si="666"/>
        <v/>
      </c>
      <c r="CQ462" s="119" t="str">
        <f t="shared" si="623"/>
        <v/>
      </c>
      <c r="CR462" s="66" t="str">
        <f>+IF($W462="","",ROUND((VLOOKUP(Parámetros!$F$51,'COBERTURAS ADICIONALES'!$S$4:$T$32,2,FALSE)*(1+i/frec)^-0.5*(1+Parámetros!$D$103)*(1+rec_fracc)/frec*$CO$42),2))</f>
        <v/>
      </c>
      <c r="CS462" s="119" t="str">
        <f t="shared" si="624"/>
        <v/>
      </c>
      <c r="CT462" s="66" t="str">
        <f>+IF($W462="","",ROUND(IF($B462&gt;Parámetros!$D$107,'Tablas Servicio'!CR462+('Tablas Servicio'!CT461-'Tablas Servicio'!CR461),CR462/(1-IF(B462&lt;=10,Parámetros!$D$100,0))),2))</f>
        <v/>
      </c>
      <c r="CU462" s="66" t="str">
        <f t="shared" si="625"/>
        <v/>
      </c>
      <c r="CV462" s="66" t="str">
        <f t="shared" si="625"/>
        <v/>
      </c>
      <c r="CW462" s="66" t="str">
        <f>+IF($W462="","",ROUND((CT462*Parámetros!$G$85),2))</f>
        <v/>
      </c>
      <c r="CX462" s="66" t="str">
        <f>+IF($W462="","",ROUND((CT462*(Parámetros!$G$86)),2))</f>
        <v/>
      </c>
      <c r="CY462" s="66" t="str">
        <f t="shared" si="626"/>
        <v/>
      </c>
      <c r="CZ462" t="str">
        <f t="shared" si="667"/>
        <v/>
      </c>
      <c r="DA462" s="118" t="str">
        <f t="shared" si="668"/>
        <v/>
      </c>
      <c r="DB462" s="118" t="str">
        <f t="shared" si="669"/>
        <v/>
      </c>
      <c r="DC462" s="118" t="str">
        <f t="shared" si="670"/>
        <v/>
      </c>
      <c r="DD462" s="121" t="str">
        <f>+IF(OR($W462="",DB462=0),"",ROUND((VLOOKUP(ROUNDDOWN($D462-1/frec,0),cob_adi,CO$40,FALSE)*(1+i/frec)^-0.5*(1+Parámetros!$D$103)*(1+rec_fracc)/frec),6))</f>
        <v/>
      </c>
      <c r="DE462" s="66" t="str">
        <f t="shared" si="627"/>
        <v/>
      </c>
      <c r="DF462" s="119" t="str">
        <f t="shared" si="628"/>
        <v/>
      </c>
      <c r="DG462" s="66" t="str">
        <f>+IF($W462="","",ROUND(IF($B462&gt;Parámetros!$D$107,'Tablas Servicio'!DE462+('Tablas Servicio'!DG461-'Tablas Servicio'!DE461),DE462/(1-IF(B462&lt;=10,Parámetros!$D$100,0))),2))</f>
        <v/>
      </c>
      <c r="DH462" s="66" t="str">
        <f t="shared" si="629"/>
        <v/>
      </c>
      <c r="DI462" s="66" t="str">
        <f t="shared" si="629"/>
        <v/>
      </c>
      <c r="DJ462" s="66" t="str">
        <f>+IF($W462="","",ROUND((DG462*Parámetros!$G$85),2))</f>
        <v/>
      </c>
      <c r="DK462" s="66" t="str">
        <f>+IF($W462="","",ROUND((DG462*(Parámetros!$G$86)),2))</f>
        <v/>
      </c>
      <c r="DL462" s="66" t="str">
        <f t="shared" si="630"/>
        <v/>
      </c>
      <c r="DM462" t="str">
        <f t="shared" si="671"/>
        <v/>
      </c>
      <c r="DN462" s="118" t="str">
        <f t="shared" si="672"/>
        <v/>
      </c>
      <c r="DO462" s="118" t="str">
        <f t="shared" si="673"/>
        <v/>
      </c>
      <c r="DP462" s="118" t="str">
        <f t="shared" si="674"/>
        <v/>
      </c>
      <c r="DQ462" s="122" t="str">
        <f>+IF(OR($W462="",DO462=0),"",ROUND((VLOOKUP(ROUNDDOWN($D462-1/frec,0),cob_adi,DB$40,FALSE)*(1+i/frec)^-0.5*(1+Parámetros!$D$103)*(1+rec_fracc)/frec),6))</f>
        <v/>
      </c>
      <c r="DR462" s="66" t="str">
        <f t="shared" si="631"/>
        <v/>
      </c>
      <c r="DS462" s="68" t="str">
        <f t="shared" si="632"/>
        <v/>
      </c>
      <c r="DT462" s="66" t="str">
        <f>+IF($W462="","",ROUND(IF($B462&gt;Parámetros!$D$107,'Tablas Servicio'!DR462+('Tablas Servicio'!DT461-'Tablas Servicio'!DR461),DR462/(1-IF(B462&lt;=10,Parámetros!$D$100,0))),2))</f>
        <v/>
      </c>
      <c r="DU462" s="66" t="str">
        <f t="shared" si="633"/>
        <v/>
      </c>
      <c r="DV462" s="66" t="str">
        <f t="shared" si="633"/>
        <v/>
      </c>
      <c r="DW462" s="66" t="str">
        <f>+IF($W462="","",ROUND((DT462*Parámetros!$G$85),2))</f>
        <v/>
      </c>
      <c r="DX462" s="66" t="str">
        <f>+IF($W462="","",ROUND((DT462*(Parámetros!$G$86)),2))</f>
        <v/>
      </c>
      <c r="DY462" s="66" t="str">
        <f t="shared" si="634"/>
        <v/>
      </c>
      <c r="DZ462" t="str">
        <f t="shared" si="676"/>
        <v/>
      </c>
      <c r="EA462" s="118" t="str">
        <f t="shared" si="676"/>
        <v/>
      </c>
      <c r="EB462" s="118" t="str">
        <f>+IF($W462="","",ROUND(IF(Parámetros!$D$25='TABLAS MORT'!$V$33,EB461,Z462/2),0))</f>
        <v/>
      </c>
      <c r="EC462" s="118" t="str">
        <f t="shared" si="676"/>
        <v/>
      </c>
      <c r="ED462" s="122" t="str">
        <f>+IF(OR($W462="",EB462=0),"",ROUND((VLOOKUP(ROUNDDOWN($D462-1/frec,0),cob_adi,DO$40,FALSE)*(1+i/frec)^-0.5*(1+Parámetros!$D$103)*(1+rec_fracc)/frec),6))</f>
        <v/>
      </c>
      <c r="EE462" s="66" t="str">
        <f t="shared" si="636"/>
        <v/>
      </c>
      <c r="EF462" s="68" t="str">
        <f t="shared" si="637"/>
        <v/>
      </c>
      <c r="EG462" s="66" t="str">
        <f>+IF($W462="","",ROUND(IF($B462&gt;Parámetros!$D$107,'Tablas Servicio'!EE462+('Tablas Servicio'!EG461-'Tablas Servicio'!EE461),EE462/(1-IF(B462&lt;=10,Parámetros!$D$100,0))),2))</f>
        <v/>
      </c>
      <c r="EH462" s="66" t="str">
        <f t="shared" si="638"/>
        <v/>
      </c>
      <c r="EI462" s="66" t="str">
        <f t="shared" si="638"/>
        <v/>
      </c>
      <c r="EJ462" s="66" t="str">
        <f>+IF($W462="","",ROUND((EG462*Parámetros!$G$85),2))</f>
        <v/>
      </c>
      <c r="EK462" s="66" t="str">
        <f>+IF($W462="","",ROUND((EG462*(Parámetros!$G$86)),2))</f>
        <v/>
      </c>
      <c r="EL462" s="66" t="str">
        <f t="shared" si="639"/>
        <v/>
      </c>
    </row>
    <row r="463" spans="1:142" x14ac:dyDescent="0.25">
      <c r="A463" t="str">
        <f>+IF($C463="","",ROUND(VLOOKUP('Tablas Servicio'!B463,Parámetros!$H$100:$J$159,IF(Parámetros!$E$16="F",2,3),FALSE),2))</f>
        <v/>
      </c>
      <c r="B463" t="str">
        <f t="shared" si="590"/>
        <v/>
      </c>
      <c r="C463" s="57" t="str">
        <f>+IF(D463="","",'Tablas Servicio'!C462+1)</f>
        <v/>
      </c>
      <c r="D463" s="56" t="str">
        <f>+IF(D462&lt;edadmaxtabla,D462+1/Parámetros!$E$25,"")</f>
        <v/>
      </c>
      <c r="E463" s="57" t="str">
        <f t="shared" si="600"/>
        <v/>
      </c>
      <c r="F463" s="59" t="str">
        <f t="shared" si="601"/>
        <v/>
      </c>
      <c r="G463" s="66" t="str">
        <f t="shared" si="591"/>
        <v/>
      </c>
      <c r="H463" s="66" t="str">
        <f t="shared" si="592"/>
        <v/>
      </c>
      <c r="I463" s="66" t="str">
        <f t="shared" si="640"/>
        <v/>
      </c>
      <c r="J463" s="66" t="str">
        <f t="shared" si="593"/>
        <v/>
      </c>
      <c r="K463" s="66" t="str">
        <f t="shared" si="594"/>
        <v/>
      </c>
      <c r="L463" s="66" t="str">
        <f t="shared" si="595"/>
        <v/>
      </c>
      <c r="M463" s="66" t="str">
        <f t="shared" si="596"/>
        <v/>
      </c>
      <c r="N463" s="66" t="str">
        <f>+IF(C463="","",ROUND(Parámetros!$D$23,2))</f>
        <v/>
      </c>
      <c r="O463" s="66" t="str">
        <f t="shared" si="597"/>
        <v/>
      </c>
      <c r="P463" s="66" t="str">
        <f>+IF($C463="","",ROUND(IF(B463&gt;Parámetros!$D$117,0,N463*Parámetros!$D$116-G463*Parámetros!$D$100),2))</f>
        <v/>
      </c>
      <c r="Q463" s="75" t="str">
        <f t="shared" si="641"/>
        <v/>
      </c>
      <c r="R463" s="75" t="str">
        <f t="shared" si="642"/>
        <v/>
      </c>
      <c r="S463" s="117" t="str">
        <f>+IF($C463="","",ROUND((S462+I463)*(1+Parámetros!$D$91),2))</f>
        <v/>
      </c>
      <c r="T463" s="117" t="str">
        <f>+IF($C463="","",ROUND(S463*VLOOKUP(B463,Parámetros!$C$30:$D$39,2,TRUE),2))</f>
        <v/>
      </c>
      <c r="U463" s="117" t="str">
        <f>+IF($C463="","",ROUND((U462+I463)*(1+Parámetros!$D$92),2))</f>
        <v/>
      </c>
      <c r="V463" s="117" t="str">
        <f>+IF($C463="","",ROUND(U463*VLOOKUP(B463,Parámetros!$C$30:$D$39,2,TRUE),2))</f>
        <v/>
      </c>
      <c r="W463" s="57" t="str">
        <f t="shared" si="643"/>
        <v/>
      </c>
      <c r="X463" t="str">
        <f t="shared" si="644"/>
        <v/>
      </c>
      <c r="Y463" t="str">
        <f t="shared" si="645"/>
        <v/>
      </c>
      <c r="Z463" s="118" t="str">
        <f>+IF($W463="","",ROUND(IF(Parámetros!$D$25='TABLAS MORT'!$V$33,Z462,Parámetros!$D$21-'Tablas Servicio'!T462),0))</f>
        <v/>
      </c>
      <c r="AA463" s="118" t="str">
        <f t="shared" si="646"/>
        <v/>
      </c>
      <c r="AB463" s="119" t="str">
        <f>+IF(W463="","",ROUND((VLOOKUP(ROUNDDOWN($D463-1/frec,0),qx_tabla,2,FALSE)*(1+i/frec)^-0.5*(1+Parámetros!$D$103)*(1+rec_fracc)/frec),6))</f>
        <v/>
      </c>
      <c r="AC463" s="66" t="str">
        <f t="shared" si="602"/>
        <v/>
      </c>
      <c r="AD463" s="119" t="str">
        <f t="shared" si="598"/>
        <v/>
      </c>
      <c r="AE463" s="66" t="str">
        <f>+IF($W463="","",ROUND(IF($B463&gt;Parámetros!$D$107,'Tablas Servicio'!AC463+('Tablas Servicio'!AG462-'Tablas Servicio'!AC462),AC463/(1-IF(B463&lt;=10,Parámetros!$D$104,Parámetros!$D$105))),2))</f>
        <v/>
      </c>
      <c r="AF463" s="66" t="str">
        <f>+IF($W463="","",ROUND(IF($B463&gt;Parámetros!$D$107,'Tablas Servicio'!AC463+('Tablas Servicio'!AG462-'Tablas Servicio'!AC462),(AC463+$A462/frec)/(1-IF(B463&lt;=Parámetros!$D$117,Parámetros!$D$100,0))),2))</f>
        <v/>
      </c>
      <c r="AG463" s="66" t="str">
        <f t="shared" si="603"/>
        <v/>
      </c>
      <c r="AH463" s="66" t="str">
        <f t="shared" si="604"/>
        <v/>
      </c>
      <c r="AI463" s="66" t="str">
        <f t="shared" si="605"/>
        <v/>
      </c>
      <c r="AJ463" s="66" t="str">
        <f>+IF($W463="","",ROUND((AG463*Parámetros!$G$85),2))</f>
        <v/>
      </c>
      <c r="AK463" s="66" t="str">
        <f>+IF($W463="","",ROUND((AG463*(Parámetros!$G$86)),2))</f>
        <v/>
      </c>
      <c r="AL463" s="66" t="str">
        <f t="shared" si="599"/>
        <v/>
      </c>
      <c r="AM463" t="str">
        <f t="shared" si="647"/>
        <v/>
      </c>
      <c r="AN463" t="str">
        <f t="shared" si="648"/>
        <v/>
      </c>
      <c r="AO463" s="118" t="str">
        <f t="shared" si="649"/>
        <v/>
      </c>
      <c r="AP463" s="118" t="str">
        <f t="shared" si="650"/>
        <v/>
      </c>
      <c r="AQ463" s="119" t="str">
        <f>+IF(OR($W463="",AO463=0),"",ROUND((VLOOKUP(ROUNDDOWN($D463-1/frec,0),cob_adi,Z$40,FALSE)*(1+i/frec)^-0.5*(1+Parámetros!$D$103)*(1+rec_fracc)/frec),6))</f>
        <v/>
      </c>
      <c r="AR463" s="66" t="str">
        <f t="shared" si="606"/>
        <v/>
      </c>
      <c r="AS463" s="119" t="str">
        <f t="shared" si="607"/>
        <v/>
      </c>
      <c r="AT463" s="66" t="str">
        <f>+IF($W463="","",ROUND(IF($B463&gt;Parámetros!$D$107,'Tablas Servicio'!AR463+('Tablas Servicio'!AT462-'Tablas Servicio'!AR462),AR463/(1-IF(B463&lt;=10,Parámetros!$D$100,0))),2))</f>
        <v/>
      </c>
      <c r="AU463" s="66" t="str">
        <f t="shared" si="608"/>
        <v/>
      </c>
      <c r="AV463" s="66" t="str">
        <f t="shared" si="608"/>
        <v/>
      </c>
      <c r="AW463" s="66" t="str">
        <f>+IF($W463="","",ROUND((AT463*Parámetros!$G$85),2))</f>
        <v/>
      </c>
      <c r="AX463" s="66" t="str">
        <f>+IF($W463="","",ROUND((AT463*(Parámetros!$G$86)),2))</f>
        <v/>
      </c>
      <c r="AY463" s="66" t="str">
        <f t="shared" si="609"/>
        <v/>
      </c>
      <c r="AZ463" t="str">
        <f t="shared" si="651"/>
        <v/>
      </c>
      <c r="BA463" t="str">
        <f t="shared" si="652"/>
        <v/>
      </c>
      <c r="BB463" s="118" t="str">
        <f t="shared" si="653"/>
        <v/>
      </c>
      <c r="BC463" s="118" t="str">
        <f t="shared" si="654"/>
        <v/>
      </c>
      <c r="BD463" s="119" t="str">
        <f>+IF(OR($W463="",BB463=0),"",ROUND((VLOOKUP(ROUNDDOWN($D463-1/frec,0),cob_adi,AO$40,FALSE)*(1+i/frec)^-0.5*(1+Parámetros!$D$103)*(1+rec_fracc)/frec),6))</f>
        <v/>
      </c>
      <c r="BE463" s="66" t="str">
        <f t="shared" si="610"/>
        <v/>
      </c>
      <c r="BF463" s="119" t="str">
        <f t="shared" si="611"/>
        <v/>
      </c>
      <c r="BG463" s="66" t="str">
        <f>+IF($W463="","",ROUND(IF($B463&gt;Parámetros!$D$107,'Tablas Servicio'!BE463+('Tablas Servicio'!BG462-'Tablas Servicio'!BE462),BE463/(1-IF(B463&lt;=10,Parámetros!$D$100,0))),2))</f>
        <v/>
      </c>
      <c r="BH463" s="66" t="str">
        <f t="shared" si="612"/>
        <v/>
      </c>
      <c r="BI463" s="66" t="str">
        <f t="shared" si="613"/>
        <v/>
      </c>
      <c r="BJ463" s="66" t="str">
        <f>+IF($W463="","",ROUND((BG463*Parámetros!$G$85),2))</f>
        <v/>
      </c>
      <c r="BK463" s="66" t="str">
        <f>+IF($W463="","",ROUND((BG463*(Parámetros!$G$86)),2))</f>
        <v/>
      </c>
      <c r="BL463" s="66" t="str">
        <f t="shared" si="614"/>
        <v/>
      </c>
      <c r="BM463" t="str">
        <f t="shared" si="655"/>
        <v/>
      </c>
      <c r="BN463" t="str">
        <f t="shared" si="656"/>
        <v/>
      </c>
      <c r="BO463" s="118" t="str">
        <f t="shared" si="657"/>
        <v/>
      </c>
      <c r="BP463" s="118" t="str">
        <f t="shared" si="658"/>
        <v/>
      </c>
      <c r="BQ463" s="119" t="str">
        <f>+IF(OR($W463="",BO463=0),"",ROUND((VLOOKUP(ROUNDDOWN($D463-1/frec,0),cob_adi,BB$40,FALSE)*(1+i/frec)^-0.5*(1+Parámetros!$D$103)*(1+rec_fracc)/frec),6))</f>
        <v/>
      </c>
      <c r="BR463" s="66" t="str">
        <f t="shared" si="615"/>
        <v/>
      </c>
      <c r="BS463" s="119" t="str">
        <f t="shared" si="616"/>
        <v/>
      </c>
      <c r="BT463" s="66" t="str">
        <f>+IF($W463="","",ROUND(IF($B463&gt;Parámetros!$D$107,'Tablas Servicio'!BR463+('Tablas Servicio'!BT462-'Tablas Servicio'!BR462),BR463/(1-IF(B463&lt;=10,Parámetros!$D$100,0))),2))</f>
        <v/>
      </c>
      <c r="BU463" s="66" t="str">
        <f t="shared" si="617"/>
        <v/>
      </c>
      <c r="BV463" s="66" t="str">
        <f t="shared" si="617"/>
        <v/>
      </c>
      <c r="BW463" s="66" t="str">
        <f>+IF($W463="","",ROUND((BT463*Parámetros!$G$85),2))</f>
        <v/>
      </c>
      <c r="BX463" s="66" t="str">
        <f>+IF($W463="","",ROUND((BT463*(Parámetros!$G$86)),2))</f>
        <v/>
      </c>
      <c r="BY463" s="66" t="str">
        <f t="shared" si="618"/>
        <v/>
      </c>
      <c r="BZ463" t="str">
        <f t="shared" si="659"/>
        <v/>
      </c>
      <c r="CA463" t="str">
        <f t="shared" si="660"/>
        <v/>
      </c>
      <c r="CB463" s="118" t="str">
        <f t="shared" si="661"/>
        <v/>
      </c>
      <c r="CC463" s="118" t="str">
        <f t="shared" si="662"/>
        <v/>
      </c>
      <c r="CD463" s="119" t="str">
        <f t="shared" si="619"/>
        <v/>
      </c>
      <c r="CE463" s="66" t="str">
        <f>+IF($W463="","",ROUND((VLOOKUP(ROUNDDOWN($D463-1/frec,0),cob_adi,BO$40,FALSE)*(1+i/frec)^-0.5*(1+Parámetros!$D$103)*(1+rec_fracc)/frec*'TABLAS ADI'!$BC$17),2))</f>
        <v/>
      </c>
      <c r="CF463" s="119" t="str">
        <f t="shared" si="620"/>
        <v/>
      </c>
      <c r="CG463" s="66" t="str">
        <f>+IF($W463="","",ROUND(IF($B463&gt;Parámetros!$D$107,'Tablas Servicio'!CE463+('Tablas Servicio'!CG462-'Tablas Servicio'!CE462),CE463/(1-IF(B463&lt;=10,Parámetros!$D$100,0))),2))</f>
        <v/>
      </c>
      <c r="CH463" s="66" t="str">
        <f t="shared" si="621"/>
        <v/>
      </c>
      <c r="CI463" s="66" t="str">
        <f t="shared" si="621"/>
        <v/>
      </c>
      <c r="CJ463" s="66" t="str">
        <f>+IF($W463="","",ROUND((CG463*Parámetros!$G$85),2))</f>
        <v/>
      </c>
      <c r="CK463" s="66" t="str">
        <f>+IF($W463="","",ROUND((CG463*(Parámetros!$G$86)),2))</f>
        <v/>
      </c>
      <c r="CL463" s="66" t="str">
        <f t="shared" si="622"/>
        <v/>
      </c>
      <c r="CM463" t="str">
        <f t="shared" si="663"/>
        <v/>
      </c>
      <c r="CN463" s="118" t="str">
        <f t="shared" si="664"/>
        <v/>
      </c>
      <c r="CO463" s="118" t="str">
        <f t="shared" si="665"/>
        <v/>
      </c>
      <c r="CP463" s="118" t="str">
        <f t="shared" si="666"/>
        <v/>
      </c>
      <c r="CQ463" s="119" t="str">
        <f t="shared" si="623"/>
        <v/>
      </c>
      <c r="CR463" s="66" t="str">
        <f>+IF($W463="","",ROUND((VLOOKUP(Parámetros!$F$51,'COBERTURAS ADICIONALES'!$S$4:$T$32,2,FALSE)*(1+i/frec)^-0.5*(1+Parámetros!$D$103)*(1+rec_fracc)/frec*$CO$42),2))</f>
        <v/>
      </c>
      <c r="CS463" s="119" t="str">
        <f t="shared" si="624"/>
        <v/>
      </c>
      <c r="CT463" s="66" t="str">
        <f>+IF($W463="","",ROUND(IF($B463&gt;Parámetros!$D$107,'Tablas Servicio'!CR463+('Tablas Servicio'!CT462-'Tablas Servicio'!CR462),CR463/(1-IF(B463&lt;=10,Parámetros!$D$100,0))),2))</f>
        <v/>
      </c>
      <c r="CU463" s="66" t="str">
        <f t="shared" si="625"/>
        <v/>
      </c>
      <c r="CV463" s="66" t="str">
        <f t="shared" si="625"/>
        <v/>
      </c>
      <c r="CW463" s="66" t="str">
        <f>+IF($W463="","",ROUND((CT463*Parámetros!$G$85),2))</f>
        <v/>
      </c>
      <c r="CX463" s="66" t="str">
        <f>+IF($W463="","",ROUND((CT463*(Parámetros!$G$86)),2))</f>
        <v/>
      </c>
      <c r="CY463" s="66" t="str">
        <f t="shared" si="626"/>
        <v/>
      </c>
      <c r="CZ463" t="str">
        <f t="shared" si="667"/>
        <v/>
      </c>
      <c r="DA463" s="118" t="str">
        <f t="shared" si="668"/>
        <v/>
      </c>
      <c r="DB463" s="118" t="str">
        <f t="shared" si="669"/>
        <v/>
      </c>
      <c r="DC463" s="118" t="str">
        <f t="shared" si="670"/>
        <v/>
      </c>
      <c r="DD463" s="121" t="str">
        <f>+IF(OR($W463="",DB463=0),"",ROUND((VLOOKUP(ROUNDDOWN($D463-1/frec,0),cob_adi,CO$40,FALSE)*(1+i/frec)^-0.5*(1+Parámetros!$D$103)*(1+rec_fracc)/frec),6))</f>
        <v/>
      </c>
      <c r="DE463" s="66" t="str">
        <f t="shared" si="627"/>
        <v/>
      </c>
      <c r="DF463" s="119" t="str">
        <f t="shared" si="628"/>
        <v/>
      </c>
      <c r="DG463" s="66" t="str">
        <f>+IF($W463="","",ROUND(IF($B463&gt;Parámetros!$D$107,'Tablas Servicio'!DE463+('Tablas Servicio'!DG462-'Tablas Servicio'!DE462),DE463/(1-IF(B463&lt;=10,Parámetros!$D$100,0))),2))</f>
        <v/>
      </c>
      <c r="DH463" s="66" t="str">
        <f t="shared" si="629"/>
        <v/>
      </c>
      <c r="DI463" s="66" t="str">
        <f t="shared" si="629"/>
        <v/>
      </c>
      <c r="DJ463" s="66" t="str">
        <f>+IF($W463="","",ROUND((DG463*Parámetros!$G$85),2))</f>
        <v/>
      </c>
      <c r="DK463" s="66" t="str">
        <f>+IF($W463="","",ROUND((DG463*(Parámetros!$G$86)),2))</f>
        <v/>
      </c>
      <c r="DL463" s="66" t="str">
        <f t="shared" si="630"/>
        <v/>
      </c>
      <c r="DM463" t="str">
        <f t="shared" si="671"/>
        <v/>
      </c>
      <c r="DN463" s="118" t="str">
        <f t="shared" si="672"/>
        <v/>
      </c>
      <c r="DO463" s="118" t="str">
        <f t="shared" si="673"/>
        <v/>
      </c>
      <c r="DP463" s="118" t="str">
        <f t="shared" si="674"/>
        <v/>
      </c>
      <c r="DQ463" s="122" t="str">
        <f>+IF(OR($W463="",DO463=0),"",ROUND((VLOOKUP(ROUNDDOWN($D463-1/frec,0),cob_adi,DB$40,FALSE)*(1+i/frec)^-0.5*(1+Parámetros!$D$103)*(1+rec_fracc)/frec),6))</f>
        <v/>
      </c>
      <c r="DR463" s="66" t="str">
        <f t="shared" si="631"/>
        <v/>
      </c>
      <c r="DS463" s="68" t="str">
        <f t="shared" si="632"/>
        <v/>
      </c>
      <c r="DT463" s="66" t="str">
        <f>+IF($W463="","",ROUND(IF($B463&gt;Parámetros!$D$107,'Tablas Servicio'!DR463+('Tablas Servicio'!DT462-'Tablas Servicio'!DR462),DR463/(1-IF(B463&lt;=10,Parámetros!$D$100,0))),2))</f>
        <v/>
      </c>
      <c r="DU463" s="66" t="str">
        <f t="shared" si="633"/>
        <v/>
      </c>
      <c r="DV463" s="66" t="str">
        <f t="shared" si="633"/>
        <v/>
      </c>
      <c r="DW463" s="66" t="str">
        <f>+IF($W463="","",ROUND((DT463*Parámetros!$G$85),2))</f>
        <v/>
      </c>
      <c r="DX463" s="66" t="str">
        <f>+IF($W463="","",ROUND((DT463*(Parámetros!$G$86)),2))</f>
        <v/>
      </c>
      <c r="DY463" s="66" t="str">
        <f t="shared" si="634"/>
        <v/>
      </c>
      <c r="DZ463" t="str">
        <f t="shared" si="676"/>
        <v/>
      </c>
      <c r="EA463" s="118" t="str">
        <f t="shared" si="676"/>
        <v/>
      </c>
      <c r="EB463" s="118" t="str">
        <f>+IF($W463="","",ROUND(IF(Parámetros!$D$25='TABLAS MORT'!$V$33,EB462,Z463/2),0))</f>
        <v/>
      </c>
      <c r="EC463" s="118" t="str">
        <f t="shared" si="676"/>
        <v/>
      </c>
      <c r="ED463" s="122" t="str">
        <f>+IF(OR($W463="",EB463=0),"",ROUND((VLOOKUP(ROUNDDOWN($D463-1/frec,0),cob_adi,DO$40,FALSE)*(1+i/frec)^-0.5*(1+Parámetros!$D$103)*(1+rec_fracc)/frec),6))</f>
        <v/>
      </c>
      <c r="EE463" s="66" t="str">
        <f t="shared" si="636"/>
        <v/>
      </c>
      <c r="EF463" s="68" t="str">
        <f t="shared" si="637"/>
        <v/>
      </c>
      <c r="EG463" s="66" t="str">
        <f>+IF($W463="","",ROUND(IF($B463&gt;Parámetros!$D$107,'Tablas Servicio'!EE463+('Tablas Servicio'!EG462-'Tablas Servicio'!EE462),EE463/(1-IF(B463&lt;=10,Parámetros!$D$100,0))),2))</f>
        <v/>
      </c>
      <c r="EH463" s="66" t="str">
        <f t="shared" si="638"/>
        <v/>
      </c>
      <c r="EI463" s="66" t="str">
        <f t="shared" si="638"/>
        <v/>
      </c>
      <c r="EJ463" s="66" t="str">
        <f>+IF($W463="","",ROUND((EG463*Parámetros!$G$85),2))</f>
        <v/>
      </c>
      <c r="EK463" s="66" t="str">
        <f>+IF($W463="","",ROUND((EG463*(Parámetros!$G$86)),2))</f>
        <v/>
      </c>
      <c r="EL463" s="66" t="str">
        <f t="shared" si="639"/>
        <v/>
      </c>
    </row>
    <row r="464" spans="1:142" x14ac:dyDescent="0.25">
      <c r="A464" t="str">
        <f>+IF($C464="","",ROUND(VLOOKUP('Tablas Servicio'!B464,Parámetros!$H$100:$J$159,IF(Parámetros!$E$16="F",2,3),FALSE),2))</f>
        <v/>
      </c>
      <c r="B464" t="str">
        <f t="shared" si="590"/>
        <v/>
      </c>
      <c r="C464" s="57" t="str">
        <f>+IF(D464="","",'Tablas Servicio'!C463+1)</f>
        <v/>
      </c>
      <c r="D464" s="56" t="str">
        <f>+IF(D463&lt;edadmaxtabla,D463+1/Parámetros!$E$25,"")</f>
        <v/>
      </c>
      <c r="E464" s="57" t="str">
        <f t="shared" si="600"/>
        <v/>
      </c>
      <c r="F464" s="59" t="str">
        <f t="shared" si="601"/>
        <v/>
      </c>
      <c r="G464" s="66" t="str">
        <f t="shared" si="591"/>
        <v/>
      </c>
      <c r="H464" s="66" t="str">
        <f t="shared" si="592"/>
        <v/>
      </c>
      <c r="I464" s="66" t="str">
        <f t="shared" si="640"/>
        <v/>
      </c>
      <c r="J464" s="66" t="str">
        <f t="shared" si="593"/>
        <v/>
      </c>
      <c r="K464" s="66" t="str">
        <f t="shared" si="594"/>
        <v/>
      </c>
      <c r="L464" s="66" t="str">
        <f t="shared" si="595"/>
        <v/>
      </c>
      <c r="M464" s="66" t="str">
        <f t="shared" si="596"/>
        <v/>
      </c>
      <c r="N464" s="66" t="str">
        <f>+IF(C464="","",ROUND(Parámetros!$D$23,2))</f>
        <v/>
      </c>
      <c r="O464" s="66" t="str">
        <f t="shared" si="597"/>
        <v/>
      </c>
      <c r="P464" s="66" t="str">
        <f>+IF($C464="","",ROUND(IF(B464&gt;Parámetros!$D$117,0,N464*Parámetros!$D$116-G464*Parámetros!$D$100),2))</f>
        <v/>
      </c>
      <c r="Q464" s="75" t="str">
        <f t="shared" si="641"/>
        <v/>
      </c>
      <c r="R464" s="75" t="str">
        <f t="shared" si="642"/>
        <v/>
      </c>
      <c r="S464" s="117" t="str">
        <f>+IF($C464="","",ROUND((S463+I464)*(1+Parámetros!$D$91),2))</f>
        <v/>
      </c>
      <c r="T464" s="117" t="str">
        <f>+IF($C464="","",ROUND(S464*VLOOKUP(B464,Parámetros!$C$30:$D$39,2,TRUE),2))</f>
        <v/>
      </c>
      <c r="U464" s="117" t="str">
        <f>+IF($C464="","",ROUND((U463+I464)*(1+Parámetros!$D$92),2))</f>
        <v/>
      </c>
      <c r="V464" s="117" t="str">
        <f>+IF($C464="","",ROUND(U464*VLOOKUP(B464,Parámetros!$C$30:$D$39,2,TRUE),2))</f>
        <v/>
      </c>
      <c r="W464" s="57" t="str">
        <f t="shared" si="643"/>
        <v/>
      </c>
      <c r="X464" t="str">
        <f t="shared" si="644"/>
        <v/>
      </c>
      <c r="Y464" t="str">
        <f t="shared" si="645"/>
        <v/>
      </c>
      <c r="Z464" s="118" t="str">
        <f>+IF($W464="","",ROUND(IF(Parámetros!$D$25='TABLAS MORT'!$V$33,Z463,Parámetros!$D$21-'Tablas Servicio'!T463),0))</f>
        <v/>
      </c>
      <c r="AA464" s="118" t="str">
        <f t="shared" si="646"/>
        <v/>
      </c>
      <c r="AB464" s="119" t="str">
        <f>+IF(W464="","",ROUND((VLOOKUP(ROUNDDOWN($D464-1/frec,0),qx_tabla,2,FALSE)*(1+i/frec)^-0.5*(1+Parámetros!$D$103)*(1+rec_fracc)/frec),6))</f>
        <v/>
      </c>
      <c r="AC464" s="66" t="str">
        <f t="shared" si="602"/>
        <v/>
      </c>
      <c r="AD464" s="119" t="str">
        <f t="shared" si="598"/>
        <v/>
      </c>
      <c r="AE464" s="66" t="str">
        <f>+IF($W464="","",ROUND(IF($B464&gt;Parámetros!$D$107,'Tablas Servicio'!AC464+('Tablas Servicio'!AG463-'Tablas Servicio'!AC463),AC464/(1-IF(B464&lt;=10,Parámetros!$D$104,Parámetros!$D$105))),2))</f>
        <v/>
      </c>
      <c r="AF464" s="66" t="str">
        <f>+IF($W464="","",ROUND(IF($B464&gt;Parámetros!$D$107,'Tablas Servicio'!AC464+('Tablas Servicio'!AG463-'Tablas Servicio'!AC463),(AC464+$A463/frec)/(1-IF(B464&lt;=Parámetros!$D$117,Parámetros!$D$100,0))),2))</f>
        <v/>
      </c>
      <c r="AG464" s="66" t="str">
        <f t="shared" si="603"/>
        <v/>
      </c>
      <c r="AH464" s="66" t="str">
        <f t="shared" si="604"/>
        <v/>
      </c>
      <c r="AI464" s="66" t="str">
        <f t="shared" si="605"/>
        <v/>
      </c>
      <c r="AJ464" s="66" t="str">
        <f>+IF($W464="","",ROUND((AG464*Parámetros!$G$85),2))</f>
        <v/>
      </c>
      <c r="AK464" s="66" t="str">
        <f>+IF($W464="","",ROUND((AG464*(Parámetros!$G$86)),2))</f>
        <v/>
      </c>
      <c r="AL464" s="66" t="str">
        <f t="shared" si="599"/>
        <v/>
      </c>
      <c r="AM464" t="str">
        <f t="shared" si="647"/>
        <v/>
      </c>
      <c r="AN464" t="str">
        <f t="shared" si="648"/>
        <v/>
      </c>
      <c r="AO464" s="118" t="str">
        <f t="shared" si="649"/>
        <v/>
      </c>
      <c r="AP464" s="118" t="str">
        <f t="shared" si="650"/>
        <v/>
      </c>
      <c r="AQ464" s="119" t="str">
        <f>+IF(OR($W464="",AO464=0),"",ROUND((VLOOKUP(ROUNDDOWN($D464-1/frec,0),cob_adi,Z$40,FALSE)*(1+i/frec)^-0.5*(1+Parámetros!$D$103)*(1+rec_fracc)/frec),6))</f>
        <v/>
      </c>
      <c r="AR464" s="66" t="str">
        <f t="shared" si="606"/>
        <v/>
      </c>
      <c r="AS464" s="119" t="str">
        <f t="shared" si="607"/>
        <v/>
      </c>
      <c r="AT464" s="66" t="str">
        <f>+IF($W464="","",ROUND(IF($B464&gt;Parámetros!$D$107,'Tablas Servicio'!AR464+('Tablas Servicio'!AT463-'Tablas Servicio'!AR463),AR464/(1-IF(B464&lt;=10,Parámetros!$D$100,0))),2))</f>
        <v/>
      </c>
      <c r="AU464" s="66" t="str">
        <f t="shared" si="608"/>
        <v/>
      </c>
      <c r="AV464" s="66" t="str">
        <f t="shared" si="608"/>
        <v/>
      </c>
      <c r="AW464" s="66" t="str">
        <f>+IF($W464="","",ROUND((AT464*Parámetros!$G$85),2))</f>
        <v/>
      </c>
      <c r="AX464" s="66" t="str">
        <f>+IF($W464="","",ROUND((AT464*(Parámetros!$G$86)),2))</f>
        <v/>
      </c>
      <c r="AY464" s="66" t="str">
        <f t="shared" si="609"/>
        <v/>
      </c>
      <c r="AZ464" t="str">
        <f t="shared" si="651"/>
        <v/>
      </c>
      <c r="BA464" t="str">
        <f t="shared" si="652"/>
        <v/>
      </c>
      <c r="BB464" s="118" t="str">
        <f t="shared" si="653"/>
        <v/>
      </c>
      <c r="BC464" s="118" t="str">
        <f t="shared" si="654"/>
        <v/>
      </c>
      <c r="BD464" s="119" t="str">
        <f>+IF(OR($W464="",BB464=0),"",ROUND((VLOOKUP(ROUNDDOWN($D464-1/frec,0),cob_adi,AO$40,FALSE)*(1+i/frec)^-0.5*(1+Parámetros!$D$103)*(1+rec_fracc)/frec),6))</f>
        <v/>
      </c>
      <c r="BE464" s="66" t="str">
        <f t="shared" si="610"/>
        <v/>
      </c>
      <c r="BF464" s="119" t="str">
        <f t="shared" si="611"/>
        <v/>
      </c>
      <c r="BG464" s="66" t="str">
        <f>+IF($W464="","",ROUND(IF($B464&gt;Parámetros!$D$107,'Tablas Servicio'!BE464+('Tablas Servicio'!BG463-'Tablas Servicio'!BE463),BE464/(1-IF(B464&lt;=10,Parámetros!$D$100,0))),2))</f>
        <v/>
      </c>
      <c r="BH464" s="66" t="str">
        <f t="shared" si="612"/>
        <v/>
      </c>
      <c r="BI464" s="66" t="str">
        <f t="shared" si="613"/>
        <v/>
      </c>
      <c r="BJ464" s="66" t="str">
        <f>+IF($W464="","",ROUND((BG464*Parámetros!$G$85),2))</f>
        <v/>
      </c>
      <c r="BK464" s="66" t="str">
        <f>+IF($W464="","",ROUND((BG464*(Parámetros!$G$86)),2))</f>
        <v/>
      </c>
      <c r="BL464" s="66" t="str">
        <f t="shared" si="614"/>
        <v/>
      </c>
      <c r="BM464" t="str">
        <f t="shared" si="655"/>
        <v/>
      </c>
      <c r="BN464" t="str">
        <f t="shared" si="656"/>
        <v/>
      </c>
      <c r="BO464" s="118" t="str">
        <f t="shared" si="657"/>
        <v/>
      </c>
      <c r="BP464" s="118" t="str">
        <f t="shared" si="658"/>
        <v/>
      </c>
      <c r="BQ464" s="119" t="str">
        <f>+IF(OR($W464="",BO464=0),"",ROUND((VLOOKUP(ROUNDDOWN($D464-1/frec,0),cob_adi,BB$40,FALSE)*(1+i/frec)^-0.5*(1+Parámetros!$D$103)*(1+rec_fracc)/frec),6))</f>
        <v/>
      </c>
      <c r="BR464" s="66" t="str">
        <f t="shared" si="615"/>
        <v/>
      </c>
      <c r="BS464" s="119" t="str">
        <f t="shared" si="616"/>
        <v/>
      </c>
      <c r="BT464" s="66" t="str">
        <f>+IF($W464="","",ROUND(IF($B464&gt;Parámetros!$D$107,'Tablas Servicio'!BR464+('Tablas Servicio'!BT463-'Tablas Servicio'!BR463),BR464/(1-IF(B464&lt;=10,Parámetros!$D$100,0))),2))</f>
        <v/>
      </c>
      <c r="BU464" s="66" t="str">
        <f t="shared" si="617"/>
        <v/>
      </c>
      <c r="BV464" s="66" t="str">
        <f t="shared" si="617"/>
        <v/>
      </c>
      <c r="BW464" s="66" t="str">
        <f>+IF($W464="","",ROUND((BT464*Parámetros!$G$85),2))</f>
        <v/>
      </c>
      <c r="BX464" s="66" t="str">
        <f>+IF($W464="","",ROUND((BT464*(Parámetros!$G$86)),2))</f>
        <v/>
      </c>
      <c r="BY464" s="66" t="str">
        <f t="shared" si="618"/>
        <v/>
      </c>
      <c r="BZ464" t="str">
        <f t="shared" si="659"/>
        <v/>
      </c>
      <c r="CA464" t="str">
        <f t="shared" si="660"/>
        <v/>
      </c>
      <c r="CB464" s="118" t="str">
        <f t="shared" si="661"/>
        <v/>
      </c>
      <c r="CC464" s="118" t="str">
        <f t="shared" si="662"/>
        <v/>
      </c>
      <c r="CD464" s="119" t="str">
        <f t="shared" si="619"/>
        <v/>
      </c>
      <c r="CE464" s="66" t="str">
        <f>+IF($W464="","",ROUND((VLOOKUP(ROUNDDOWN($D464-1/frec,0),cob_adi,BO$40,FALSE)*(1+i/frec)^-0.5*(1+Parámetros!$D$103)*(1+rec_fracc)/frec*'TABLAS ADI'!$BC$17),2))</f>
        <v/>
      </c>
      <c r="CF464" s="119" t="str">
        <f t="shared" si="620"/>
        <v/>
      </c>
      <c r="CG464" s="66" t="str">
        <f>+IF($W464="","",ROUND(IF($B464&gt;Parámetros!$D$107,'Tablas Servicio'!CE464+('Tablas Servicio'!CG463-'Tablas Servicio'!CE463),CE464/(1-IF(B464&lt;=10,Parámetros!$D$100,0))),2))</f>
        <v/>
      </c>
      <c r="CH464" s="66" t="str">
        <f t="shared" si="621"/>
        <v/>
      </c>
      <c r="CI464" s="66" t="str">
        <f t="shared" si="621"/>
        <v/>
      </c>
      <c r="CJ464" s="66" t="str">
        <f>+IF($W464="","",ROUND((CG464*Parámetros!$G$85),2))</f>
        <v/>
      </c>
      <c r="CK464" s="66" t="str">
        <f>+IF($W464="","",ROUND((CG464*(Parámetros!$G$86)),2))</f>
        <v/>
      </c>
      <c r="CL464" s="66" t="str">
        <f t="shared" si="622"/>
        <v/>
      </c>
      <c r="CM464" t="str">
        <f t="shared" si="663"/>
        <v/>
      </c>
      <c r="CN464" s="118" t="str">
        <f t="shared" si="664"/>
        <v/>
      </c>
      <c r="CO464" s="118" t="str">
        <f t="shared" si="665"/>
        <v/>
      </c>
      <c r="CP464" s="118" t="str">
        <f t="shared" si="666"/>
        <v/>
      </c>
      <c r="CQ464" s="119" t="str">
        <f t="shared" si="623"/>
        <v/>
      </c>
      <c r="CR464" s="66" t="str">
        <f>+IF($W464="","",ROUND((VLOOKUP(Parámetros!$F$51,'COBERTURAS ADICIONALES'!$S$4:$T$32,2,FALSE)*(1+i/frec)^-0.5*(1+Parámetros!$D$103)*(1+rec_fracc)/frec*$CO$42),2))</f>
        <v/>
      </c>
      <c r="CS464" s="119" t="str">
        <f t="shared" si="624"/>
        <v/>
      </c>
      <c r="CT464" s="66" t="str">
        <f>+IF($W464="","",ROUND(IF($B464&gt;Parámetros!$D$107,'Tablas Servicio'!CR464+('Tablas Servicio'!CT463-'Tablas Servicio'!CR463),CR464/(1-IF(B464&lt;=10,Parámetros!$D$100,0))),2))</f>
        <v/>
      </c>
      <c r="CU464" s="66" t="str">
        <f t="shared" si="625"/>
        <v/>
      </c>
      <c r="CV464" s="66" t="str">
        <f t="shared" si="625"/>
        <v/>
      </c>
      <c r="CW464" s="66" t="str">
        <f>+IF($W464="","",ROUND((CT464*Parámetros!$G$85),2))</f>
        <v/>
      </c>
      <c r="CX464" s="66" t="str">
        <f>+IF($W464="","",ROUND((CT464*(Parámetros!$G$86)),2))</f>
        <v/>
      </c>
      <c r="CY464" s="66" t="str">
        <f t="shared" si="626"/>
        <v/>
      </c>
      <c r="CZ464" t="str">
        <f t="shared" si="667"/>
        <v/>
      </c>
      <c r="DA464" s="118" t="str">
        <f t="shared" si="668"/>
        <v/>
      </c>
      <c r="DB464" s="118" t="str">
        <f t="shared" si="669"/>
        <v/>
      </c>
      <c r="DC464" s="118" t="str">
        <f t="shared" si="670"/>
        <v/>
      </c>
      <c r="DD464" s="121" t="str">
        <f>+IF(OR($W464="",DB464=0),"",ROUND((VLOOKUP(ROUNDDOWN($D464-1/frec,0),cob_adi,CO$40,FALSE)*(1+i/frec)^-0.5*(1+Parámetros!$D$103)*(1+rec_fracc)/frec),6))</f>
        <v/>
      </c>
      <c r="DE464" s="66" t="str">
        <f t="shared" si="627"/>
        <v/>
      </c>
      <c r="DF464" s="119" t="str">
        <f t="shared" si="628"/>
        <v/>
      </c>
      <c r="DG464" s="66" t="str">
        <f>+IF($W464="","",ROUND(IF($B464&gt;Parámetros!$D$107,'Tablas Servicio'!DE464+('Tablas Servicio'!DG463-'Tablas Servicio'!DE463),DE464/(1-IF(B464&lt;=10,Parámetros!$D$100,0))),2))</f>
        <v/>
      </c>
      <c r="DH464" s="66" t="str">
        <f t="shared" si="629"/>
        <v/>
      </c>
      <c r="DI464" s="66" t="str">
        <f t="shared" si="629"/>
        <v/>
      </c>
      <c r="DJ464" s="66" t="str">
        <f>+IF($W464="","",ROUND((DG464*Parámetros!$G$85),2))</f>
        <v/>
      </c>
      <c r="DK464" s="66" t="str">
        <f>+IF($W464="","",ROUND((DG464*(Parámetros!$G$86)),2))</f>
        <v/>
      </c>
      <c r="DL464" s="66" t="str">
        <f t="shared" si="630"/>
        <v/>
      </c>
      <c r="DM464" t="str">
        <f t="shared" si="671"/>
        <v/>
      </c>
      <c r="DN464" s="118" t="str">
        <f t="shared" si="672"/>
        <v/>
      </c>
      <c r="DO464" s="118" t="str">
        <f t="shared" si="673"/>
        <v/>
      </c>
      <c r="DP464" s="118" t="str">
        <f t="shared" si="674"/>
        <v/>
      </c>
      <c r="DQ464" s="122" t="str">
        <f>+IF(OR($W464="",DO464=0),"",ROUND((VLOOKUP(ROUNDDOWN($D464-1/frec,0),cob_adi,DB$40,FALSE)*(1+i/frec)^-0.5*(1+Parámetros!$D$103)*(1+rec_fracc)/frec),6))</f>
        <v/>
      </c>
      <c r="DR464" s="66" t="str">
        <f t="shared" si="631"/>
        <v/>
      </c>
      <c r="DS464" s="68" t="str">
        <f t="shared" si="632"/>
        <v/>
      </c>
      <c r="DT464" s="66" t="str">
        <f>+IF($W464="","",ROUND(IF($B464&gt;Parámetros!$D$107,'Tablas Servicio'!DR464+('Tablas Servicio'!DT463-'Tablas Servicio'!DR463),DR464/(1-IF(B464&lt;=10,Parámetros!$D$100,0))),2))</f>
        <v/>
      </c>
      <c r="DU464" s="66" t="str">
        <f t="shared" si="633"/>
        <v/>
      </c>
      <c r="DV464" s="66" t="str">
        <f t="shared" si="633"/>
        <v/>
      </c>
      <c r="DW464" s="66" t="str">
        <f>+IF($W464="","",ROUND((DT464*Parámetros!$G$85),2))</f>
        <v/>
      </c>
      <c r="DX464" s="66" t="str">
        <f>+IF($W464="","",ROUND((DT464*(Parámetros!$G$86)),2))</f>
        <v/>
      </c>
      <c r="DY464" s="66" t="str">
        <f t="shared" si="634"/>
        <v/>
      </c>
      <c r="DZ464" t="str">
        <f t="shared" si="676"/>
        <v/>
      </c>
      <c r="EA464" s="118" t="str">
        <f t="shared" si="676"/>
        <v/>
      </c>
      <c r="EB464" s="118" t="str">
        <f>+IF($W464="","",ROUND(IF(Parámetros!$D$25='TABLAS MORT'!$V$33,EB463,Z464/2),0))</f>
        <v/>
      </c>
      <c r="EC464" s="118" t="str">
        <f t="shared" si="676"/>
        <v/>
      </c>
      <c r="ED464" s="122" t="str">
        <f>+IF(OR($W464="",EB464=0),"",ROUND((VLOOKUP(ROUNDDOWN($D464-1/frec,0),cob_adi,DO$40,FALSE)*(1+i/frec)^-0.5*(1+Parámetros!$D$103)*(1+rec_fracc)/frec),6))</f>
        <v/>
      </c>
      <c r="EE464" s="66" t="str">
        <f t="shared" si="636"/>
        <v/>
      </c>
      <c r="EF464" s="68" t="str">
        <f t="shared" si="637"/>
        <v/>
      </c>
      <c r="EG464" s="66" t="str">
        <f>+IF($W464="","",ROUND(IF($B464&gt;Parámetros!$D$107,'Tablas Servicio'!EE464+('Tablas Servicio'!EG463-'Tablas Servicio'!EE463),EE464/(1-IF(B464&lt;=10,Parámetros!$D$100,0))),2))</f>
        <v/>
      </c>
      <c r="EH464" s="66" t="str">
        <f t="shared" si="638"/>
        <v/>
      </c>
      <c r="EI464" s="66" t="str">
        <f t="shared" si="638"/>
        <v/>
      </c>
      <c r="EJ464" s="66" t="str">
        <f>+IF($W464="","",ROUND((EG464*Parámetros!$G$85),2))</f>
        <v/>
      </c>
      <c r="EK464" s="66" t="str">
        <f>+IF($W464="","",ROUND((EG464*(Parámetros!$G$86)),2))</f>
        <v/>
      </c>
      <c r="EL464" s="66" t="str">
        <f t="shared" si="639"/>
        <v/>
      </c>
    </row>
    <row r="465" spans="1:142" x14ac:dyDescent="0.25">
      <c r="A465" t="str">
        <f>+IF($C465="","",ROUND(VLOOKUP('Tablas Servicio'!B465,Parámetros!$H$100:$J$159,IF(Parámetros!$E$16="F",2,3),FALSE),2))</f>
        <v/>
      </c>
      <c r="B465" t="str">
        <f t="shared" si="590"/>
        <v/>
      </c>
      <c r="C465" s="57" t="str">
        <f>+IF(D465="","",'Tablas Servicio'!C464+1)</f>
        <v/>
      </c>
      <c r="D465" s="56" t="str">
        <f>+IF(D464&lt;edadmaxtabla,D464+1/Parámetros!$E$25,"")</f>
        <v/>
      </c>
      <c r="E465" s="57" t="str">
        <f t="shared" si="600"/>
        <v/>
      </c>
      <c r="F465" s="59" t="str">
        <f t="shared" si="601"/>
        <v/>
      </c>
      <c r="G465" s="66" t="str">
        <f t="shared" si="591"/>
        <v/>
      </c>
      <c r="H465" s="66" t="str">
        <f t="shared" si="592"/>
        <v/>
      </c>
      <c r="I465" s="66" t="str">
        <f t="shared" si="640"/>
        <v/>
      </c>
      <c r="J465" s="66" t="str">
        <f t="shared" si="593"/>
        <v/>
      </c>
      <c r="K465" s="66" t="str">
        <f t="shared" si="594"/>
        <v/>
      </c>
      <c r="L465" s="66" t="str">
        <f t="shared" si="595"/>
        <v/>
      </c>
      <c r="M465" s="66" t="str">
        <f t="shared" si="596"/>
        <v/>
      </c>
      <c r="N465" s="66" t="str">
        <f>+IF(C465="","",ROUND(Parámetros!$D$23,2))</f>
        <v/>
      </c>
      <c r="O465" s="66" t="str">
        <f t="shared" si="597"/>
        <v/>
      </c>
      <c r="P465" s="66" t="str">
        <f>+IF($C465="","",ROUND(IF(B465&gt;Parámetros!$D$117,0,N465*Parámetros!$D$116-G465*Parámetros!$D$100),2))</f>
        <v/>
      </c>
      <c r="Q465" s="75" t="str">
        <f t="shared" si="641"/>
        <v/>
      </c>
      <c r="R465" s="75" t="str">
        <f t="shared" si="642"/>
        <v/>
      </c>
      <c r="S465" s="117" t="str">
        <f>+IF($C465="","",ROUND((S464+I465)*(1+Parámetros!$D$91),2))</f>
        <v/>
      </c>
      <c r="T465" s="117" t="str">
        <f>+IF($C465="","",ROUND(S465*VLOOKUP(B465,Parámetros!$C$30:$D$39,2,TRUE),2))</f>
        <v/>
      </c>
      <c r="U465" s="117" t="str">
        <f>+IF($C465="","",ROUND((U464+I465)*(1+Parámetros!$D$92),2))</f>
        <v/>
      </c>
      <c r="V465" s="117" t="str">
        <f>+IF($C465="","",ROUND(U465*VLOOKUP(B465,Parámetros!$C$30:$D$39,2,TRUE),2))</f>
        <v/>
      </c>
      <c r="W465" s="57" t="str">
        <f t="shared" si="643"/>
        <v/>
      </c>
      <c r="X465" t="str">
        <f t="shared" si="644"/>
        <v/>
      </c>
      <c r="Y465" t="str">
        <f t="shared" si="645"/>
        <v/>
      </c>
      <c r="Z465" s="118" t="str">
        <f>+IF($W465="","",ROUND(IF(Parámetros!$D$25='TABLAS MORT'!$V$33,Z464,Parámetros!$D$21-'Tablas Servicio'!T464),0))</f>
        <v/>
      </c>
      <c r="AA465" s="118" t="str">
        <f t="shared" si="646"/>
        <v/>
      </c>
      <c r="AB465" s="119" t="str">
        <f>+IF(W465="","",ROUND((VLOOKUP(ROUNDDOWN($D465-1/frec,0),qx_tabla,2,FALSE)*(1+i/frec)^-0.5*(1+Parámetros!$D$103)*(1+rec_fracc)/frec),6))</f>
        <v/>
      </c>
      <c r="AC465" s="66" t="str">
        <f t="shared" si="602"/>
        <v/>
      </c>
      <c r="AD465" s="119" t="str">
        <f t="shared" si="598"/>
        <v/>
      </c>
      <c r="AE465" s="66" t="str">
        <f>+IF($W465="","",ROUND(IF($B465&gt;Parámetros!$D$107,'Tablas Servicio'!AC465+('Tablas Servicio'!AG464-'Tablas Servicio'!AC464),AC465/(1-IF(B465&lt;=10,Parámetros!$D$104,Parámetros!$D$105))),2))</f>
        <v/>
      </c>
      <c r="AF465" s="66" t="str">
        <f>+IF($W465="","",ROUND(IF($B465&gt;Parámetros!$D$107,'Tablas Servicio'!AC465+('Tablas Servicio'!AG464-'Tablas Servicio'!AC464),(AC465+$A464/frec)/(1-IF(B465&lt;=Parámetros!$D$117,Parámetros!$D$100,0))),2))</f>
        <v/>
      </c>
      <c r="AG465" s="66" t="str">
        <f t="shared" si="603"/>
        <v/>
      </c>
      <c r="AH465" s="66" t="str">
        <f t="shared" si="604"/>
        <v/>
      </c>
      <c r="AI465" s="66" t="str">
        <f t="shared" si="605"/>
        <v/>
      </c>
      <c r="AJ465" s="66" t="str">
        <f>+IF($W465="","",ROUND((AG465*Parámetros!$G$85),2))</f>
        <v/>
      </c>
      <c r="AK465" s="66" t="str">
        <f>+IF($W465="","",ROUND((AG465*(Parámetros!$G$86)),2))</f>
        <v/>
      </c>
      <c r="AL465" s="66" t="str">
        <f t="shared" si="599"/>
        <v/>
      </c>
      <c r="AM465" t="str">
        <f t="shared" si="647"/>
        <v/>
      </c>
      <c r="AN465" t="str">
        <f t="shared" si="648"/>
        <v/>
      </c>
      <c r="AO465" s="118" t="str">
        <f t="shared" si="649"/>
        <v/>
      </c>
      <c r="AP465" s="118" t="str">
        <f t="shared" si="650"/>
        <v/>
      </c>
      <c r="AQ465" s="119" t="str">
        <f>+IF(OR($W465="",AO465=0),"",ROUND((VLOOKUP(ROUNDDOWN($D465-1/frec,0),cob_adi,Z$40,FALSE)*(1+i/frec)^-0.5*(1+Parámetros!$D$103)*(1+rec_fracc)/frec),6))</f>
        <v/>
      </c>
      <c r="AR465" s="66" t="str">
        <f t="shared" si="606"/>
        <v/>
      </c>
      <c r="AS465" s="119" t="str">
        <f t="shared" si="607"/>
        <v/>
      </c>
      <c r="AT465" s="66" t="str">
        <f>+IF($W465="","",ROUND(IF($B465&gt;Parámetros!$D$107,'Tablas Servicio'!AR465+('Tablas Servicio'!AT464-'Tablas Servicio'!AR464),AR465/(1-IF(B465&lt;=10,Parámetros!$D$100,0))),2))</f>
        <v/>
      </c>
      <c r="AU465" s="66" t="str">
        <f t="shared" si="608"/>
        <v/>
      </c>
      <c r="AV465" s="66" t="str">
        <f t="shared" si="608"/>
        <v/>
      </c>
      <c r="AW465" s="66" t="str">
        <f>+IF($W465="","",ROUND((AT465*Parámetros!$G$85),2))</f>
        <v/>
      </c>
      <c r="AX465" s="66" t="str">
        <f>+IF($W465="","",ROUND((AT465*(Parámetros!$G$86)),2))</f>
        <v/>
      </c>
      <c r="AY465" s="66" t="str">
        <f t="shared" si="609"/>
        <v/>
      </c>
      <c r="AZ465" t="str">
        <f t="shared" si="651"/>
        <v/>
      </c>
      <c r="BA465" t="str">
        <f t="shared" si="652"/>
        <v/>
      </c>
      <c r="BB465" s="118" t="str">
        <f t="shared" si="653"/>
        <v/>
      </c>
      <c r="BC465" s="118" t="str">
        <f t="shared" si="654"/>
        <v/>
      </c>
      <c r="BD465" s="119" t="str">
        <f>+IF(OR($W465="",BB465=0),"",ROUND((VLOOKUP(ROUNDDOWN($D465-1/frec,0),cob_adi,AO$40,FALSE)*(1+i/frec)^-0.5*(1+Parámetros!$D$103)*(1+rec_fracc)/frec),6))</f>
        <v/>
      </c>
      <c r="BE465" s="66" t="str">
        <f t="shared" si="610"/>
        <v/>
      </c>
      <c r="BF465" s="119" t="str">
        <f t="shared" si="611"/>
        <v/>
      </c>
      <c r="BG465" s="66" t="str">
        <f>+IF($W465="","",ROUND(IF($B465&gt;Parámetros!$D$107,'Tablas Servicio'!BE465+('Tablas Servicio'!BG464-'Tablas Servicio'!BE464),BE465/(1-IF(B465&lt;=10,Parámetros!$D$100,0))),2))</f>
        <v/>
      </c>
      <c r="BH465" s="66" t="str">
        <f t="shared" si="612"/>
        <v/>
      </c>
      <c r="BI465" s="66" t="str">
        <f t="shared" si="613"/>
        <v/>
      </c>
      <c r="BJ465" s="66" t="str">
        <f>+IF($W465="","",ROUND((BG465*Parámetros!$G$85),2))</f>
        <v/>
      </c>
      <c r="BK465" s="66" t="str">
        <f>+IF($W465="","",ROUND((BG465*(Parámetros!$G$86)),2))</f>
        <v/>
      </c>
      <c r="BL465" s="66" t="str">
        <f t="shared" si="614"/>
        <v/>
      </c>
      <c r="BM465" t="str">
        <f t="shared" si="655"/>
        <v/>
      </c>
      <c r="BN465" t="str">
        <f t="shared" si="656"/>
        <v/>
      </c>
      <c r="BO465" s="118" t="str">
        <f t="shared" si="657"/>
        <v/>
      </c>
      <c r="BP465" s="118" t="str">
        <f t="shared" si="658"/>
        <v/>
      </c>
      <c r="BQ465" s="119" t="str">
        <f>+IF(OR($W465="",BO465=0),"",ROUND((VLOOKUP(ROUNDDOWN($D465-1/frec,0),cob_adi,BB$40,FALSE)*(1+i/frec)^-0.5*(1+Parámetros!$D$103)*(1+rec_fracc)/frec),6))</f>
        <v/>
      </c>
      <c r="BR465" s="66" t="str">
        <f t="shared" si="615"/>
        <v/>
      </c>
      <c r="BS465" s="119" t="str">
        <f t="shared" si="616"/>
        <v/>
      </c>
      <c r="BT465" s="66" t="str">
        <f>+IF($W465="","",ROUND(IF($B465&gt;Parámetros!$D$107,'Tablas Servicio'!BR465+('Tablas Servicio'!BT464-'Tablas Servicio'!BR464),BR465/(1-IF(B465&lt;=10,Parámetros!$D$100,0))),2))</f>
        <v/>
      </c>
      <c r="BU465" s="66" t="str">
        <f t="shared" si="617"/>
        <v/>
      </c>
      <c r="BV465" s="66" t="str">
        <f t="shared" si="617"/>
        <v/>
      </c>
      <c r="BW465" s="66" t="str">
        <f>+IF($W465="","",ROUND((BT465*Parámetros!$G$85),2))</f>
        <v/>
      </c>
      <c r="BX465" s="66" t="str">
        <f>+IF($W465="","",ROUND((BT465*(Parámetros!$G$86)),2))</f>
        <v/>
      </c>
      <c r="BY465" s="66" t="str">
        <f t="shared" si="618"/>
        <v/>
      </c>
      <c r="BZ465" t="str">
        <f t="shared" si="659"/>
        <v/>
      </c>
      <c r="CA465" t="str">
        <f t="shared" si="660"/>
        <v/>
      </c>
      <c r="CB465" s="118" t="str">
        <f t="shared" si="661"/>
        <v/>
      </c>
      <c r="CC465" s="118" t="str">
        <f t="shared" si="662"/>
        <v/>
      </c>
      <c r="CD465" s="119" t="str">
        <f t="shared" si="619"/>
        <v/>
      </c>
      <c r="CE465" s="66" t="str">
        <f>+IF($W465="","",ROUND((VLOOKUP(ROUNDDOWN($D465-1/frec,0),cob_adi,BO$40,FALSE)*(1+i/frec)^-0.5*(1+Parámetros!$D$103)*(1+rec_fracc)/frec*'TABLAS ADI'!$BC$17),2))</f>
        <v/>
      </c>
      <c r="CF465" s="119" t="str">
        <f t="shared" si="620"/>
        <v/>
      </c>
      <c r="CG465" s="66" t="str">
        <f>+IF($W465="","",ROUND(IF($B465&gt;Parámetros!$D$107,'Tablas Servicio'!CE465+('Tablas Servicio'!CG464-'Tablas Servicio'!CE464),CE465/(1-IF(B465&lt;=10,Parámetros!$D$100,0))),2))</f>
        <v/>
      </c>
      <c r="CH465" s="66" t="str">
        <f t="shared" si="621"/>
        <v/>
      </c>
      <c r="CI465" s="66" t="str">
        <f t="shared" si="621"/>
        <v/>
      </c>
      <c r="CJ465" s="66" t="str">
        <f>+IF($W465="","",ROUND((CG465*Parámetros!$G$85),2))</f>
        <v/>
      </c>
      <c r="CK465" s="66" t="str">
        <f>+IF($W465="","",ROUND((CG465*(Parámetros!$G$86)),2))</f>
        <v/>
      </c>
      <c r="CL465" s="66" t="str">
        <f t="shared" si="622"/>
        <v/>
      </c>
      <c r="CM465" t="str">
        <f t="shared" si="663"/>
        <v/>
      </c>
      <c r="CN465" s="118" t="str">
        <f t="shared" si="664"/>
        <v/>
      </c>
      <c r="CO465" s="118" t="str">
        <f t="shared" si="665"/>
        <v/>
      </c>
      <c r="CP465" s="118" t="str">
        <f t="shared" si="666"/>
        <v/>
      </c>
      <c r="CQ465" s="119" t="str">
        <f t="shared" si="623"/>
        <v/>
      </c>
      <c r="CR465" s="66" t="str">
        <f>+IF($W465="","",ROUND((VLOOKUP(Parámetros!$F$51,'COBERTURAS ADICIONALES'!$S$4:$T$32,2,FALSE)*(1+i/frec)^-0.5*(1+Parámetros!$D$103)*(1+rec_fracc)/frec*$CO$42),2))</f>
        <v/>
      </c>
      <c r="CS465" s="119" t="str">
        <f t="shared" si="624"/>
        <v/>
      </c>
      <c r="CT465" s="66" t="str">
        <f>+IF($W465="","",ROUND(IF($B465&gt;Parámetros!$D$107,'Tablas Servicio'!CR465+('Tablas Servicio'!CT464-'Tablas Servicio'!CR464),CR465/(1-IF(B465&lt;=10,Parámetros!$D$100,0))),2))</f>
        <v/>
      </c>
      <c r="CU465" s="66" t="str">
        <f t="shared" si="625"/>
        <v/>
      </c>
      <c r="CV465" s="66" t="str">
        <f t="shared" si="625"/>
        <v/>
      </c>
      <c r="CW465" s="66" t="str">
        <f>+IF($W465="","",ROUND((CT465*Parámetros!$G$85),2))</f>
        <v/>
      </c>
      <c r="CX465" s="66" t="str">
        <f>+IF($W465="","",ROUND((CT465*(Parámetros!$G$86)),2))</f>
        <v/>
      </c>
      <c r="CY465" s="66" t="str">
        <f t="shared" si="626"/>
        <v/>
      </c>
      <c r="CZ465" t="str">
        <f t="shared" si="667"/>
        <v/>
      </c>
      <c r="DA465" s="118" t="str">
        <f t="shared" si="668"/>
        <v/>
      </c>
      <c r="DB465" s="118" t="str">
        <f t="shared" si="669"/>
        <v/>
      </c>
      <c r="DC465" s="118" t="str">
        <f t="shared" si="670"/>
        <v/>
      </c>
      <c r="DD465" s="121" t="str">
        <f>+IF(OR($W465="",DB465=0),"",ROUND((VLOOKUP(ROUNDDOWN($D465-1/frec,0),cob_adi,CO$40,FALSE)*(1+i/frec)^-0.5*(1+Parámetros!$D$103)*(1+rec_fracc)/frec),6))</f>
        <v/>
      </c>
      <c r="DE465" s="66" t="str">
        <f t="shared" si="627"/>
        <v/>
      </c>
      <c r="DF465" s="119" t="str">
        <f t="shared" si="628"/>
        <v/>
      </c>
      <c r="DG465" s="66" t="str">
        <f>+IF($W465="","",ROUND(IF($B465&gt;Parámetros!$D$107,'Tablas Servicio'!DE465+('Tablas Servicio'!DG464-'Tablas Servicio'!DE464),DE465/(1-IF(B465&lt;=10,Parámetros!$D$100,0))),2))</f>
        <v/>
      </c>
      <c r="DH465" s="66" t="str">
        <f t="shared" si="629"/>
        <v/>
      </c>
      <c r="DI465" s="66" t="str">
        <f t="shared" si="629"/>
        <v/>
      </c>
      <c r="DJ465" s="66" t="str">
        <f>+IF($W465="","",ROUND((DG465*Parámetros!$G$85),2))</f>
        <v/>
      </c>
      <c r="DK465" s="66" t="str">
        <f>+IF($W465="","",ROUND((DG465*(Parámetros!$G$86)),2))</f>
        <v/>
      </c>
      <c r="DL465" s="66" t="str">
        <f t="shared" si="630"/>
        <v/>
      </c>
      <c r="DM465" t="str">
        <f t="shared" si="671"/>
        <v/>
      </c>
      <c r="DN465" s="118" t="str">
        <f t="shared" si="672"/>
        <v/>
      </c>
      <c r="DO465" s="118" t="str">
        <f t="shared" si="673"/>
        <v/>
      </c>
      <c r="DP465" s="118" t="str">
        <f t="shared" si="674"/>
        <v/>
      </c>
      <c r="DQ465" s="122" t="str">
        <f>+IF(OR($W465="",DO465=0),"",ROUND((VLOOKUP(ROUNDDOWN($D465-1/frec,0),cob_adi,DB$40,FALSE)*(1+i/frec)^-0.5*(1+Parámetros!$D$103)*(1+rec_fracc)/frec),6))</f>
        <v/>
      </c>
      <c r="DR465" s="66" t="str">
        <f t="shared" si="631"/>
        <v/>
      </c>
      <c r="DS465" s="68" t="str">
        <f t="shared" si="632"/>
        <v/>
      </c>
      <c r="DT465" s="66" t="str">
        <f>+IF($W465="","",ROUND(IF($B465&gt;Parámetros!$D$107,'Tablas Servicio'!DR465+('Tablas Servicio'!DT464-'Tablas Servicio'!DR464),DR465/(1-IF(B465&lt;=10,Parámetros!$D$100,0))),2))</f>
        <v/>
      </c>
      <c r="DU465" s="66" t="str">
        <f t="shared" si="633"/>
        <v/>
      </c>
      <c r="DV465" s="66" t="str">
        <f t="shared" si="633"/>
        <v/>
      </c>
      <c r="DW465" s="66" t="str">
        <f>+IF($W465="","",ROUND((DT465*Parámetros!$G$85),2))</f>
        <v/>
      </c>
      <c r="DX465" s="66" t="str">
        <f>+IF($W465="","",ROUND((DT465*(Parámetros!$G$86)),2))</f>
        <v/>
      </c>
      <c r="DY465" s="66" t="str">
        <f t="shared" si="634"/>
        <v/>
      </c>
      <c r="DZ465" t="str">
        <f t="shared" si="676"/>
        <v/>
      </c>
      <c r="EA465" s="118" t="str">
        <f t="shared" si="676"/>
        <v/>
      </c>
      <c r="EB465" s="118" t="str">
        <f>+IF($W465="","",ROUND(IF(Parámetros!$D$25='TABLAS MORT'!$V$33,EB464,Z465/2),0))</f>
        <v/>
      </c>
      <c r="EC465" s="118" t="str">
        <f t="shared" si="676"/>
        <v/>
      </c>
      <c r="ED465" s="122" t="str">
        <f>+IF(OR($W465="",EB465=0),"",ROUND((VLOOKUP(ROUNDDOWN($D465-1/frec,0),cob_adi,DO$40,FALSE)*(1+i/frec)^-0.5*(1+Parámetros!$D$103)*(1+rec_fracc)/frec),6))</f>
        <v/>
      </c>
      <c r="EE465" s="66" t="str">
        <f t="shared" si="636"/>
        <v/>
      </c>
      <c r="EF465" s="68" t="str">
        <f t="shared" si="637"/>
        <v/>
      </c>
      <c r="EG465" s="66" t="str">
        <f>+IF($W465="","",ROUND(IF($B465&gt;Parámetros!$D$107,'Tablas Servicio'!EE465+('Tablas Servicio'!EG464-'Tablas Servicio'!EE464),EE465/(1-IF(B465&lt;=10,Parámetros!$D$100,0))),2))</f>
        <v/>
      </c>
      <c r="EH465" s="66" t="str">
        <f t="shared" si="638"/>
        <v/>
      </c>
      <c r="EI465" s="66" t="str">
        <f t="shared" si="638"/>
        <v/>
      </c>
      <c r="EJ465" s="66" t="str">
        <f>+IF($W465="","",ROUND((EG465*Parámetros!$G$85),2))</f>
        <v/>
      </c>
      <c r="EK465" s="66" t="str">
        <f>+IF($W465="","",ROUND((EG465*(Parámetros!$G$86)),2))</f>
        <v/>
      </c>
      <c r="EL465" s="66" t="str">
        <f t="shared" si="639"/>
        <v/>
      </c>
    </row>
    <row r="466" spans="1:142" x14ac:dyDescent="0.25">
      <c r="A466" t="str">
        <f>+IF($C466="","",ROUND(VLOOKUP('Tablas Servicio'!B466,Parámetros!$H$100:$J$159,IF(Parámetros!$E$16="F",2,3),FALSE),2))</f>
        <v/>
      </c>
      <c r="B466" t="str">
        <f t="shared" si="590"/>
        <v/>
      </c>
      <c r="C466" s="57" t="str">
        <f>+IF(D466="","",'Tablas Servicio'!C465+1)</f>
        <v/>
      </c>
      <c r="D466" s="56" t="str">
        <f>+IF(D465&lt;edadmaxtabla,D465+1/Parámetros!$E$25,"")</f>
        <v/>
      </c>
      <c r="E466" s="57" t="str">
        <f t="shared" si="600"/>
        <v/>
      </c>
      <c r="F466" s="59" t="str">
        <f t="shared" si="601"/>
        <v/>
      </c>
      <c r="G466" s="66" t="str">
        <f t="shared" si="591"/>
        <v/>
      </c>
      <c r="H466" s="66" t="str">
        <f t="shared" si="592"/>
        <v/>
      </c>
      <c r="I466" s="66" t="str">
        <f t="shared" si="640"/>
        <v/>
      </c>
      <c r="J466" s="66" t="str">
        <f t="shared" si="593"/>
        <v/>
      </c>
      <c r="K466" s="66" t="str">
        <f t="shared" si="594"/>
        <v/>
      </c>
      <c r="L466" s="66" t="str">
        <f t="shared" si="595"/>
        <v/>
      </c>
      <c r="M466" s="66" t="str">
        <f t="shared" si="596"/>
        <v/>
      </c>
      <c r="N466" s="66" t="str">
        <f>+IF(C466="","",ROUND(Parámetros!$D$23,2))</f>
        <v/>
      </c>
      <c r="O466" s="66" t="str">
        <f t="shared" si="597"/>
        <v/>
      </c>
      <c r="P466" s="66" t="str">
        <f>+IF($C466="","",ROUND(IF(B466&gt;Parámetros!$D$117,0,N466*Parámetros!$D$116-G466*Parámetros!$D$100),2))</f>
        <v/>
      </c>
      <c r="Q466" s="75" t="str">
        <f t="shared" si="641"/>
        <v/>
      </c>
      <c r="R466" s="75" t="str">
        <f t="shared" si="642"/>
        <v/>
      </c>
      <c r="S466" s="117" t="str">
        <f>+IF($C466="","",ROUND((S465+I466)*(1+Parámetros!$D$91),2))</f>
        <v/>
      </c>
      <c r="T466" s="117" t="str">
        <f>+IF($C466="","",ROUND(S466*VLOOKUP(B466,Parámetros!$C$30:$D$39,2,TRUE),2))</f>
        <v/>
      </c>
      <c r="U466" s="117" t="str">
        <f>+IF($C466="","",ROUND((U465+I466)*(1+Parámetros!$D$92),2))</f>
        <v/>
      </c>
      <c r="V466" s="117" t="str">
        <f>+IF($C466="","",ROUND(U466*VLOOKUP(B466,Parámetros!$C$30:$D$39,2,TRUE),2))</f>
        <v/>
      </c>
      <c r="W466" s="57" t="str">
        <f t="shared" si="643"/>
        <v/>
      </c>
      <c r="X466" t="str">
        <f t="shared" si="644"/>
        <v/>
      </c>
      <c r="Y466" t="str">
        <f t="shared" si="645"/>
        <v/>
      </c>
      <c r="Z466" s="118" t="str">
        <f>+IF($W466="","",ROUND(IF(Parámetros!$D$25='TABLAS MORT'!$V$33,Z465,Parámetros!$D$21-'Tablas Servicio'!T465),0))</f>
        <v/>
      </c>
      <c r="AA466" s="118" t="str">
        <f t="shared" si="646"/>
        <v/>
      </c>
      <c r="AB466" s="119" t="str">
        <f>+IF(W466="","",ROUND((VLOOKUP(ROUNDDOWN($D466-1/frec,0),qx_tabla,2,FALSE)*(1+i/frec)^-0.5*(1+Parámetros!$D$103)*(1+rec_fracc)/frec),6))</f>
        <v/>
      </c>
      <c r="AC466" s="66" t="str">
        <f t="shared" si="602"/>
        <v/>
      </c>
      <c r="AD466" s="119" t="str">
        <f t="shared" si="598"/>
        <v/>
      </c>
      <c r="AE466" s="66" t="str">
        <f>+IF($W466="","",ROUND(IF($B466&gt;Parámetros!$D$107,'Tablas Servicio'!AC466+('Tablas Servicio'!AG465-'Tablas Servicio'!AC465),AC466/(1-IF(B466&lt;=10,Parámetros!$D$104,Parámetros!$D$105))),2))</f>
        <v/>
      </c>
      <c r="AF466" s="66" t="str">
        <f>+IF($W466="","",ROUND(IF($B466&gt;Parámetros!$D$107,'Tablas Servicio'!AC466+('Tablas Servicio'!AG465-'Tablas Servicio'!AC465),(AC466+$A465/frec)/(1-IF(B466&lt;=Parámetros!$D$117,Parámetros!$D$100,0))),2))</f>
        <v/>
      </c>
      <c r="AG466" s="66" t="str">
        <f t="shared" si="603"/>
        <v/>
      </c>
      <c r="AH466" s="66" t="str">
        <f t="shared" si="604"/>
        <v/>
      </c>
      <c r="AI466" s="66" t="str">
        <f t="shared" si="605"/>
        <v/>
      </c>
      <c r="AJ466" s="66" t="str">
        <f>+IF($W466="","",ROUND((AG466*Parámetros!$G$85),2))</f>
        <v/>
      </c>
      <c r="AK466" s="66" t="str">
        <f>+IF($W466="","",ROUND((AG466*(Parámetros!$G$86)),2))</f>
        <v/>
      </c>
      <c r="AL466" s="66" t="str">
        <f t="shared" si="599"/>
        <v/>
      </c>
      <c r="AM466" t="str">
        <f t="shared" si="647"/>
        <v/>
      </c>
      <c r="AN466" t="str">
        <f t="shared" si="648"/>
        <v/>
      </c>
      <c r="AO466" s="118" t="str">
        <f t="shared" si="649"/>
        <v/>
      </c>
      <c r="AP466" s="118" t="str">
        <f t="shared" si="650"/>
        <v/>
      </c>
      <c r="AQ466" s="119" t="str">
        <f>+IF(OR($W466="",AO466=0),"",ROUND((VLOOKUP(ROUNDDOWN($D466-1/frec,0),cob_adi,Z$40,FALSE)*(1+i/frec)^-0.5*(1+Parámetros!$D$103)*(1+rec_fracc)/frec),6))</f>
        <v/>
      </c>
      <c r="AR466" s="66" t="str">
        <f t="shared" si="606"/>
        <v/>
      </c>
      <c r="AS466" s="119" t="str">
        <f t="shared" si="607"/>
        <v/>
      </c>
      <c r="AT466" s="66" t="str">
        <f>+IF($W466="","",ROUND(IF($B466&gt;Parámetros!$D$107,'Tablas Servicio'!AR466+('Tablas Servicio'!AT465-'Tablas Servicio'!AR465),AR466/(1-IF(B466&lt;=10,Parámetros!$D$100,0))),2))</f>
        <v/>
      </c>
      <c r="AU466" s="66" t="str">
        <f t="shared" si="608"/>
        <v/>
      </c>
      <c r="AV466" s="66" t="str">
        <f t="shared" si="608"/>
        <v/>
      </c>
      <c r="AW466" s="66" t="str">
        <f>+IF($W466="","",ROUND((AT466*Parámetros!$G$85),2))</f>
        <v/>
      </c>
      <c r="AX466" s="66" t="str">
        <f>+IF($W466="","",ROUND((AT466*(Parámetros!$G$86)),2))</f>
        <v/>
      </c>
      <c r="AY466" s="66" t="str">
        <f t="shared" si="609"/>
        <v/>
      </c>
      <c r="AZ466" t="str">
        <f t="shared" si="651"/>
        <v/>
      </c>
      <c r="BA466" t="str">
        <f t="shared" si="652"/>
        <v/>
      </c>
      <c r="BB466" s="118" t="str">
        <f t="shared" si="653"/>
        <v/>
      </c>
      <c r="BC466" s="118" t="str">
        <f t="shared" si="654"/>
        <v/>
      </c>
      <c r="BD466" s="119" t="str">
        <f>+IF(OR($W466="",BB466=0),"",ROUND((VLOOKUP(ROUNDDOWN($D466-1/frec,0),cob_adi,AO$40,FALSE)*(1+i/frec)^-0.5*(1+Parámetros!$D$103)*(1+rec_fracc)/frec),6))</f>
        <v/>
      </c>
      <c r="BE466" s="66" t="str">
        <f t="shared" si="610"/>
        <v/>
      </c>
      <c r="BF466" s="119" t="str">
        <f t="shared" si="611"/>
        <v/>
      </c>
      <c r="BG466" s="66" t="str">
        <f>+IF($W466="","",ROUND(IF($B466&gt;Parámetros!$D$107,'Tablas Servicio'!BE466+('Tablas Servicio'!BG465-'Tablas Servicio'!BE465),BE466/(1-IF(B466&lt;=10,Parámetros!$D$100,0))),2))</f>
        <v/>
      </c>
      <c r="BH466" s="66" t="str">
        <f t="shared" si="612"/>
        <v/>
      </c>
      <c r="BI466" s="66" t="str">
        <f t="shared" si="613"/>
        <v/>
      </c>
      <c r="BJ466" s="66" t="str">
        <f>+IF($W466="","",ROUND((BG466*Parámetros!$G$85),2))</f>
        <v/>
      </c>
      <c r="BK466" s="66" t="str">
        <f>+IF($W466="","",ROUND((BG466*(Parámetros!$G$86)),2))</f>
        <v/>
      </c>
      <c r="BL466" s="66" t="str">
        <f t="shared" si="614"/>
        <v/>
      </c>
      <c r="BM466" t="str">
        <f t="shared" si="655"/>
        <v/>
      </c>
      <c r="BN466" t="str">
        <f t="shared" si="656"/>
        <v/>
      </c>
      <c r="BO466" s="118" t="str">
        <f t="shared" si="657"/>
        <v/>
      </c>
      <c r="BP466" s="118" t="str">
        <f t="shared" si="658"/>
        <v/>
      </c>
      <c r="BQ466" s="119" t="str">
        <f>+IF(OR($W466="",BO466=0),"",ROUND((VLOOKUP(ROUNDDOWN($D466-1/frec,0),cob_adi,BB$40,FALSE)*(1+i/frec)^-0.5*(1+Parámetros!$D$103)*(1+rec_fracc)/frec),6))</f>
        <v/>
      </c>
      <c r="BR466" s="66" t="str">
        <f t="shared" si="615"/>
        <v/>
      </c>
      <c r="BS466" s="119" t="str">
        <f t="shared" si="616"/>
        <v/>
      </c>
      <c r="BT466" s="66" t="str">
        <f>+IF($W466="","",ROUND(IF($B466&gt;Parámetros!$D$107,'Tablas Servicio'!BR466+('Tablas Servicio'!BT465-'Tablas Servicio'!BR465),BR466/(1-IF(B466&lt;=10,Parámetros!$D$100,0))),2))</f>
        <v/>
      </c>
      <c r="BU466" s="66" t="str">
        <f t="shared" si="617"/>
        <v/>
      </c>
      <c r="BV466" s="66" t="str">
        <f t="shared" si="617"/>
        <v/>
      </c>
      <c r="BW466" s="66" t="str">
        <f>+IF($W466="","",ROUND((BT466*Parámetros!$G$85),2))</f>
        <v/>
      </c>
      <c r="BX466" s="66" t="str">
        <f>+IF($W466="","",ROUND((BT466*(Parámetros!$G$86)),2))</f>
        <v/>
      </c>
      <c r="BY466" s="66" t="str">
        <f t="shared" si="618"/>
        <v/>
      </c>
      <c r="BZ466" t="str">
        <f t="shared" si="659"/>
        <v/>
      </c>
      <c r="CA466" t="str">
        <f t="shared" si="660"/>
        <v/>
      </c>
      <c r="CB466" s="118" t="str">
        <f t="shared" si="661"/>
        <v/>
      </c>
      <c r="CC466" s="118" t="str">
        <f t="shared" si="662"/>
        <v/>
      </c>
      <c r="CD466" s="119" t="str">
        <f t="shared" si="619"/>
        <v/>
      </c>
      <c r="CE466" s="66" t="str">
        <f>+IF($W466="","",ROUND((VLOOKUP(ROUNDDOWN($D466-1/frec,0),cob_adi,BO$40,FALSE)*(1+i/frec)^-0.5*(1+Parámetros!$D$103)*(1+rec_fracc)/frec*'TABLAS ADI'!$BC$17),2))</f>
        <v/>
      </c>
      <c r="CF466" s="119" t="str">
        <f t="shared" si="620"/>
        <v/>
      </c>
      <c r="CG466" s="66" t="str">
        <f>+IF($W466="","",ROUND(IF($B466&gt;Parámetros!$D$107,'Tablas Servicio'!CE466+('Tablas Servicio'!CG465-'Tablas Servicio'!CE465),CE466/(1-IF(B466&lt;=10,Parámetros!$D$100,0))),2))</f>
        <v/>
      </c>
      <c r="CH466" s="66" t="str">
        <f t="shared" si="621"/>
        <v/>
      </c>
      <c r="CI466" s="66" t="str">
        <f t="shared" si="621"/>
        <v/>
      </c>
      <c r="CJ466" s="66" t="str">
        <f>+IF($W466="","",ROUND((CG466*Parámetros!$G$85),2))</f>
        <v/>
      </c>
      <c r="CK466" s="66" t="str">
        <f>+IF($W466="","",ROUND((CG466*(Parámetros!$G$86)),2))</f>
        <v/>
      </c>
      <c r="CL466" s="66" t="str">
        <f t="shared" si="622"/>
        <v/>
      </c>
      <c r="CM466" t="str">
        <f t="shared" si="663"/>
        <v/>
      </c>
      <c r="CN466" s="118" t="str">
        <f t="shared" si="664"/>
        <v/>
      </c>
      <c r="CO466" s="118" t="str">
        <f t="shared" si="665"/>
        <v/>
      </c>
      <c r="CP466" s="118" t="str">
        <f t="shared" si="666"/>
        <v/>
      </c>
      <c r="CQ466" s="119" t="str">
        <f t="shared" si="623"/>
        <v/>
      </c>
      <c r="CR466" s="66" t="str">
        <f>+IF($W466="","",ROUND((VLOOKUP(Parámetros!$F$51,'COBERTURAS ADICIONALES'!$S$4:$T$32,2,FALSE)*(1+i/frec)^-0.5*(1+Parámetros!$D$103)*(1+rec_fracc)/frec*$CO$42),2))</f>
        <v/>
      </c>
      <c r="CS466" s="119" t="str">
        <f t="shared" si="624"/>
        <v/>
      </c>
      <c r="CT466" s="66" t="str">
        <f>+IF($W466="","",ROUND(IF($B466&gt;Parámetros!$D$107,'Tablas Servicio'!CR466+('Tablas Servicio'!CT465-'Tablas Servicio'!CR465),CR466/(1-IF(B466&lt;=10,Parámetros!$D$100,0))),2))</f>
        <v/>
      </c>
      <c r="CU466" s="66" t="str">
        <f t="shared" si="625"/>
        <v/>
      </c>
      <c r="CV466" s="66" t="str">
        <f t="shared" si="625"/>
        <v/>
      </c>
      <c r="CW466" s="66" t="str">
        <f>+IF($W466="","",ROUND((CT466*Parámetros!$G$85),2))</f>
        <v/>
      </c>
      <c r="CX466" s="66" t="str">
        <f>+IF($W466="","",ROUND((CT466*(Parámetros!$G$86)),2))</f>
        <v/>
      </c>
      <c r="CY466" s="66" t="str">
        <f t="shared" si="626"/>
        <v/>
      </c>
      <c r="CZ466" t="str">
        <f t="shared" si="667"/>
        <v/>
      </c>
      <c r="DA466" s="118" t="str">
        <f t="shared" si="668"/>
        <v/>
      </c>
      <c r="DB466" s="118" t="str">
        <f t="shared" si="669"/>
        <v/>
      </c>
      <c r="DC466" s="118" t="str">
        <f t="shared" si="670"/>
        <v/>
      </c>
      <c r="DD466" s="121" t="str">
        <f>+IF(OR($W466="",DB466=0),"",ROUND((VLOOKUP(ROUNDDOWN($D466-1/frec,0),cob_adi,CO$40,FALSE)*(1+i/frec)^-0.5*(1+Parámetros!$D$103)*(1+rec_fracc)/frec),6))</f>
        <v/>
      </c>
      <c r="DE466" s="66" t="str">
        <f t="shared" si="627"/>
        <v/>
      </c>
      <c r="DF466" s="119" t="str">
        <f t="shared" si="628"/>
        <v/>
      </c>
      <c r="DG466" s="66" t="str">
        <f>+IF($W466="","",ROUND(IF($B466&gt;Parámetros!$D$107,'Tablas Servicio'!DE466+('Tablas Servicio'!DG465-'Tablas Servicio'!DE465),DE466/(1-IF(B466&lt;=10,Parámetros!$D$100,0))),2))</f>
        <v/>
      </c>
      <c r="DH466" s="66" t="str">
        <f t="shared" si="629"/>
        <v/>
      </c>
      <c r="DI466" s="66" t="str">
        <f t="shared" si="629"/>
        <v/>
      </c>
      <c r="DJ466" s="66" t="str">
        <f>+IF($W466="","",ROUND((DG466*Parámetros!$G$85),2))</f>
        <v/>
      </c>
      <c r="DK466" s="66" t="str">
        <f>+IF($W466="","",ROUND((DG466*(Parámetros!$G$86)),2))</f>
        <v/>
      </c>
      <c r="DL466" s="66" t="str">
        <f t="shared" si="630"/>
        <v/>
      </c>
      <c r="DM466" t="str">
        <f t="shared" si="671"/>
        <v/>
      </c>
      <c r="DN466" s="118" t="str">
        <f t="shared" si="672"/>
        <v/>
      </c>
      <c r="DO466" s="118" t="str">
        <f t="shared" si="673"/>
        <v/>
      </c>
      <c r="DP466" s="118" t="str">
        <f t="shared" si="674"/>
        <v/>
      </c>
      <c r="DQ466" s="122" t="str">
        <f>+IF(OR($W466="",DO466=0),"",ROUND((VLOOKUP(ROUNDDOWN($D466-1/frec,0),cob_adi,DB$40,FALSE)*(1+i/frec)^-0.5*(1+Parámetros!$D$103)*(1+rec_fracc)/frec),6))</f>
        <v/>
      </c>
      <c r="DR466" s="66" t="str">
        <f t="shared" si="631"/>
        <v/>
      </c>
      <c r="DS466" s="68" t="str">
        <f t="shared" si="632"/>
        <v/>
      </c>
      <c r="DT466" s="66" t="str">
        <f>+IF($W466="","",ROUND(IF($B466&gt;Parámetros!$D$107,'Tablas Servicio'!DR466+('Tablas Servicio'!DT465-'Tablas Servicio'!DR465),DR466/(1-IF(B466&lt;=10,Parámetros!$D$100,0))),2))</f>
        <v/>
      </c>
      <c r="DU466" s="66" t="str">
        <f t="shared" si="633"/>
        <v/>
      </c>
      <c r="DV466" s="66" t="str">
        <f t="shared" si="633"/>
        <v/>
      </c>
      <c r="DW466" s="66" t="str">
        <f>+IF($W466="","",ROUND((DT466*Parámetros!$G$85),2))</f>
        <v/>
      </c>
      <c r="DX466" s="66" t="str">
        <f>+IF($W466="","",ROUND((DT466*(Parámetros!$G$86)),2))</f>
        <v/>
      </c>
      <c r="DY466" s="66" t="str">
        <f t="shared" si="634"/>
        <v/>
      </c>
      <c r="DZ466" t="str">
        <f t="shared" si="676"/>
        <v/>
      </c>
      <c r="EA466" s="118" t="str">
        <f t="shared" si="676"/>
        <v/>
      </c>
      <c r="EB466" s="118" t="str">
        <f>+IF($W466="","",ROUND(IF(Parámetros!$D$25='TABLAS MORT'!$V$33,EB465,Z466/2),0))</f>
        <v/>
      </c>
      <c r="EC466" s="118" t="str">
        <f t="shared" si="676"/>
        <v/>
      </c>
      <c r="ED466" s="122" t="str">
        <f>+IF(OR($W466="",EB466=0),"",ROUND((VLOOKUP(ROUNDDOWN($D466-1/frec,0),cob_adi,DO$40,FALSE)*(1+i/frec)^-0.5*(1+Parámetros!$D$103)*(1+rec_fracc)/frec),6))</f>
        <v/>
      </c>
      <c r="EE466" s="66" t="str">
        <f t="shared" si="636"/>
        <v/>
      </c>
      <c r="EF466" s="68" t="str">
        <f t="shared" si="637"/>
        <v/>
      </c>
      <c r="EG466" s="66" t="str">
        <f>+IF($W466="","",ROUND(IF($B466&gt;Parámetros!$D$107,'Tablas Servicio'!EE466+('Tablas Servicio'!EG465-'Tablas Servicio'!EE465),EE466/(1-IF(B466&lt;=10,Parámetros!$D$100,0))),2))</f>
        <v/>
      </c>
      <c r="EH466" s="66" t="str">
        <f t="shared" si="638"/>
        <v/>
      </c>
      <c r="EI466" s="66" t="str">
        <f t="shared" si="638"/>
        <v/>
      </c>
      <c r="EJ466" s="66" t="str">
        <f>+IF($W466="","",ROUND((EG466*Parámetros!$G$85),2))</f>
        <v/>
      </c>
      <c r="EK466" s="66" t="str">
        <f>+IF($W466="","",ROUND((EG466*(Parámetros!$G$86)),2))</f>
        <v/>
      </c>
      <c r="EL466" s="66" t="str">
        <f t="shared" si="639"/>
        <v/>
      </c>
    </row>
    <row r="467" spans="1:142" x14ac:dyDescent="0.25">
      <c r="A467" t="str">
        <f>+IF($C467="","",ROUND(VLOOKUP('Tablas Servicio'!B467,Parámetros!$H$100:$J$159,IF(Parámetros!$E$16="F",2,3),FALSE),2))</f>
        <v/>
      </c>
      <c r="B467" t="str">
        <f t="shared" si="590"/>
        <v/>
      </c>
      <c r="C467" s="57" t="str">
        <f>+IF(D467="","",'Tablas Servicio'!C466+1)</f>
        <v/>
      </c>
      <c r="D467" s="56" t="str">
        <f>+IF(D466&lt;edadmaxtabla,D466+1/Parámetros!$E$25,"")</f>
        <v/>
      </c>
      <c r="E467" s="57" t="str">
        <f t="shared" si="600"/>
        <v/>
      </c>
      <c r="F467" s="59" t="str">
        <f t="shared" si="601"/>
        <v/>
      </c>
      <c r="G467" s="66" t="str">
        <f t="shared" si="591"/>
        <v/>
      </c>
      <c r="H467" s="66" t="str">
        <f t="shared" si="592"/>
        <v/>
      </c>
      <c r="I467" s="66" t="str">
        <f t="shared" si="640"/>
        <v/>
      </c>
      <c r="J467" s="66" t="str">
        <f t="shared" si="593"/>
        <v/>
      </c>
      <c r="K467" s="66" t="str">
        <f t="shared" si="594"/>
        <v/>
      </c>
      <c r="L467" s="66" t="str">
        <f t="shared" si="595"/>
        <v/>
      </c>
      <c r="M467" s="66" t="str">
        <f t="shared" si="596"/>
        <v/>
      </c>
      <c r="N467" s="66" t="str">
        <f>+IF(C467="","",ROUND(Parámetros!$D$23,2))</f>
        <v/>
      </c>
      <c r="O467" s="66" t="str">
        <f t="shared" si="597"/>
        <v/>
      </c>
      <c r="P467" s="66" t="str">
        <f>+IF($C467="","",ROUND(IF(B467&gt;Parámetros!$D$117,0,N467*Parámetros!$D$116-G467*Parámetros!$D$100),2))</f>
        <v/>
      </c>
      <c r="Q467" s="75" t="str">
        <f t="shared" si="641"/>
        <v/>
      </c>
      <c r="R467" s="75" t="str">
        <f t="shared" si="642"/>
        <v/>
      </c>
      <c r="S467" s="117" t="str">
        <f>+IF($C467="","",ROUND((S466+I467)*(1+Parámetros!$D$91),2))</f>
        <v/>
      </c>
      <c r="T467" s="117" t="str">
        <f>+IF($C467="","",ROUND(S467*VLOOKUP(B467,Parámetros!$C$30:$D$39,2,TRUE),2))</f>
        <v/>
      </c>
      <c r="U467" s="117" t="str">
        <f>+IF($C467="","",ROUND((U466+I467)*(1+Parámetros!$D$92),2))</f>
        <v/>
      </c>
      <c r="V467" s="117" t="str">
        <f>+IF($C467="","",ROUND(U467*VLOOKUP(B467,Parámetros!$C$30:$D$39,2,TRUE),2))</f>
        <v/>
      </c>
      <c r="W467" s="57" t="str">
        <f t="shared" si="643"/>
        <v/>
      </c>
      <c r="X467" t="str">
        <f t="shared" si="644"/>
        <v/>
      </c>
      <c r="Y467" t="str">
        <f t="shared" si="645"/>
        <v/>
      </c>
      <c r="Z467" s="118" t="str">
        <f>+IF($W467="","",ROUND(IF(Parámetros!$D$25='TABLAS MORT'!$V$33,Z466,Parámetros!$D$21-'Tablas Servicio'!T466),0))</f>
        <v/>
      </c>
      <c r="AA467" s="118" t="str">
        <f t="shared" si="646"/>
        <v/>
      </c>
      <c r="AB467" s="119" t="str">
        <f>+IF(W467="","",ROUND((VLOOKUP(ROUNDDOWN($D467-1/frec,0),qx_tabla,2,FALSE)*(1+i/frec)^-0.5*(1+Parámetros!$D$103)*(1+rec_fracc)/frec),6))</f>
        <v/>
      </c>
      <c r="AC467" s="66" t="str">
        <f t="shared" si="602"/>
        <v/>
      </c>
      <c r="AD467" s="119" t="str">
        <f t="shared" si="598"/>
        <v/>
      </c>
      <c r="AE467" s="66" t="str">
        <f>+IF($W467="","",ROUND(IF($B467&gt;Parámetros!$D$107,'Tablas Servicio'!AC467+('Tablas Servicio'!AG466-'Tablas Servicio'!AC466),AC467/(1-IF(B467&lt;=10,Parámetros!$D$104,Parámetros!$D$105))),2))</f>
        <v/>
      </c>
      <c r="AF467" s="66" t="str">
        <f>+IF($W467="","",ROUND(IF($B467&gt;Parámetros!$D$107,'Tablas Servicio'!AC467+('Tablas Servicio'!AG466-'Tablas Servicio'!AC466),(AC467+$A466/frec)/(1-IF(B467&lt;=Parámetros!$D$117,Parámetros!$D$100,0))),2))</f>
        <v/>
      </c>
      <c r="AG467" s="66" t="str">
        <f t="shared" si="603"/>
        <v/>
      </c>
      <c r="AH467" s="66" t="str">
        <f t="shared" si="604"/>
        <v/>
      </c>
      <c r="AI467" s="66" t="str">
        <f t="shared" si="605"/>
        <v/>
      </c>
      <c r="AJ467" s="66" t="str">
        <f>+IF($W467="","",ROUND((AG467*Parámetros!$G$85),2))</f>
        <v/>
      </c>
      <c r="AK467" s="66" t="str">
        <f>+IF($W467="","",ROUND((AG467*(Parámetros!$G$86)),2))</f>
        <v/>
      </c>
      <c r="AL467" s="66" t="str">
        <f t="shared" si="599"/>
        <v/>
      </c>
      <c r="AM467" t="str">
        <f t="shared" si="647"/>
        <v/>
      </c>
      <c r="AN467" t="str">
        <f t="shared" si="648"/>
        <v/>
      </c>
      <c r="AO467" s="118" t="str">
        <f t="shared" si="649"/>
        <v/>
      </c>
      <c r="AP467" s="118" t="str">
        <f t="shared" si="650"/>
        <v/>
      </c>
      <c r="AQ467" s="119" t="str">
        <f>+IF(OR($W467="",AO467=0),"",ROUND((VLOOKUP(ROUNDDOWN($D467-1/frec,0),cob_adi,Z$40,FALSE)*(1+i/frec)^-0.5*(1+Parámetros!$D$103)*(1+rec_fracc)/frec),6))</f>
        <v/>
      </c>
      <c r="AR467" s="66" t="str">
        <f t="shared" si="606"/>
        <v/>
      </c>
      <c r="AS467" s="119" t="str">
        <f t="shared" si="607"/>
        <v/>
      </c>
      <c r="AT467" s="66" t="str">
        <f>+IF($W467="","",ROUND(IF($B467&gt;Parámetros!$D$107,'Tablas Servicio'!AR467+('Tablas Servicio'!AT466-'Tablas Servicio'!AR466),AR467/(1-IF(B467&lt;=10,Parámetros!$D$100,0))),2))</f>
        <v/>
      </c>
      <c r="AU467" s="66" t="str">
        <f t="shared" si="608"/>
        <v/>
      </c>
      <c r="AV467" s="66" t="str">
        <f t="shared" si="608"/>
        <v/>
      </c>
      <c r="AW467" s="66" t="str">
        <f>+IF($W467="","",ROUND((AT467*Parámetros!$G$85),2))</f>
        <v/>
      </c>
      <c r="AX467" s="66" t="str">
        <f>+IF($W467="","",ROUND((AT467*(Parámetros!$G$86)),2))</f>
        <v/>
      </c>
      <c r="AY467" s="66" t="str">
        <f t="shared" si="609"/>
        <v/>
      </c>
      <c r="AZ467" t="str">
        <f t="shared" si="651"/>
        <v/>
      </c>
      <c r="BA467" t="str">
        <f t="shared" si="652"/>
        <v/>
      </c>
      <c r="BB467" s="118" t="str">
        <f t="shared" si="653"/>
        <v/>
      </c>
      <c r="BC467" s="118" t="str">
        <f t="shared" si="654"/>
        <v/>
      </c>
      <c r="BD467" s="119" t="str">
        <f>+IF(OR($W467="",BB467=0),"",ROUND((VLOOKUP(ROUNDDOWN($D467-1/frec,0),cob_adi,AO$40,FALSE)*(1+i/frec)^-0.5*(1+Parámetros!$D$103)*(1+rec_fracc)/frec),6))</f>
        <v/>
      </c>
      <c r="BE467" s="66" t="str">
        <f t="shared" si="610"/>
        <v/>
      </c>
      <c r="BF467" s="119" t="str">
        <f t="shared" si="611"/>
        <v/>
      </c>
      <c r="BG467" s="66" t="str">
        <f>+IF($W467="","",ROUND(IF($B467&gt;Parámetros!$D$107,'Tablas Servicio'!BE467+('Tablas Servicio'!BG466-'Tablas Servicio'!BE466),BE467/(1-IF(B467&lt;=10,Parámetros!$D$100,0))),2))</f>
        <v/>
      </c>
      <c r="BH467" s="66" t="str">
        <f t="shared" si="612"/>
        <v/>
      </c>
      <c r="BI467" s="66" t="str">
        <f t="shared" si="613"/>
        <v/>
      </c>
      <c r="BJ467" s="66" t="str">
        <f>+IF($W467="","",ROUND((BG467*Parámetros!$G$85),2))</f>
        <v/>
      </c>
      <c r="BK467" s="66" t="str">
        <f>+IF($W467="","",ROUND((BG467*(Parámetros!$G$86)),2))</f>
        <v/>
      </c>
      <c r="BL467" s="66" t="str">
        <f t="shared" si="614"/>
        <v/>
      </c>
      <c r="BM467" t="str">
        <f t="shared" si="655"/>
        <v/>
      </c>
      <c r="BN467" t="str">
        <f t="shared" si="656"/>
        <v/>
      </c>
      <c r="BO467" s="118" t="str">
        <f t="shared" si="657"/>
        <v/>
      </c>
      <c r="BP467" s="118" t="str">
        <f t="shared" si="658"/>
        <v/>
      </c>
      <c r="BQ467" s="119" t="str">
        <f>+IF(OR($W467="",BO467=0),"",ROUND((VLOOKUP(ROUNDDOWN($D467-1/frec,0),cob_adi,BB$40,FALSE)*(1+i/frec)^-0.5*(1+Parámetros!$D$103)*(1+rec_fracc)/frec),6))</f>
        <v/>
      </c>
      <c r="BR467" s="66" t="str">
        <f t="shared" si="615"/>
        <v/>
      </c>
      <c r="BS467" s="119" t="str">
        <f t="shared" si="616"/>
        <v/>
      </c>
      <c r="BT467" s="66" t="str">
        <f>+IF($W467="","",ROUND(IF($B467&gt;Parámetros!$D$107,'Tablas Servicio'!BR467+('Tablas Servicio'!BT466-'Tablas Servicio'!BR466),BR467/(1-IF(B467&lt;=10,Parámetros!$D$100,0))),2))</f>
        <v/>
      </c>
      <c r="BU467" s="66" t="str">
        <f t="shared" si="617"/>
        <v/>
      </c>
      <c r="BV467" s="66" t="str">
        <f t="shared" si="617"/>
        <v/>
      </c>
      <c r="BW467" s="66" t="str">
        <f>+IF($W467="","",ROUND((BT467*Parámetros!$G$85),2))</f>
        <v/>
      </c>
      <c r="BX467" s="66" t="str">
        <f>+IF($W467="","",ROUND((BT467*(Parámetros!$G$86)),2))</f>
        <v/>
      </c>
      <c r="BY467" s="66" t="str">
        <f t="shared" si="618"/>
        <v/>
      </c>
      <c r="BZ467" t="str">
        <f t="shared" si="659"/>
        <v/>
      </c>
      <c r="CA467" t="str">
        <f t="shared" si="660"/>
        <v/>
      </c>
      <c r="CB467" s="118" t="str">
        <f t="shared" si="661"/>
        <v/>
      </c>
      <c r="CC467" s="118" t="str">
        <f t="shared" si="662"/>
        <v/>
      </c>
      <c r="CD467" s="119" t="str">
        <f t="shared" si="619"/>
        <v/>
      </c>
      <c r="CE467" s="66" t="str">
        <f>+IF($W467="","",ROUND((VLOOKUP(ROUNDDOWN($D467-1/frec,0),cob_adi,BO$40,FALSE)*(1+i/frec)^-0.5*(1+Parámetros!$D$103)*(1+rec_fracc)/frec*'TABLAS ADI'!$BC$17),2))</f>
        <v/>
      </c>
      <c r="CF467" s="119" t="str">
        <f t="shared" si="620"/>
        <v/>
      </c>
      <c r="CG467" s="66" t="str">
        <f>+IF($W467="","",ROUND(IF($B467&gt;Parámetros!$D$107,'Tablas Servicio'!CE467+('Tablas Servicio'!CG466-'Tablas Servicio'!CE466),CE467/(1-IF(B467&lt;=10,Parámetros!$D$100,0))),2))</f>
        <v/>
      </c>
      <c r="CH467" s="66" t="str">
        <f t="shared" si="621"/>
        <v/>
      </c>
      <c r="CI467" s="66" t="str">
        <f t="shared" si="621"/>
        <v/>
      </c>
      <c r="CJ467" s="66" t="str">
        <f>+IF($W467="","",ROUND((CG467*Parámetros!$G$85),2))</f>
        <v/>
      </c>
      <c r="CK467" s="66" t="str">
        <f>+IF($W467="","",ROUND((CG467*(Parámetros!$G$86)),2))</f>
        <v/>
      </c>
      <c r="CL467" s="66" t="str">
        <f t="shared" si="622"/>
        <v/>
      </c>
      <c r="CM467" t="str">
        <f t="shared" si="663"/>
        <v/>
      </c>
      <c r="CN467" s="118" t="str">
        <f t="shared" si="664"/>
        <v/>
      </c>
      <c r="CO467" s="118" t="str">
        <f t="shared" si="665"/>
        <v/>
      </c>
      <c r="CP467" s="118" t="str">
        <f t="shared" si="666"/>
        <v/>
      </c>
      <c r="CQ467" s="119" t="str">
        <f t="shared" si="623"/>
        <v/>
      </c>
      <c r="CR467" s="66" t="str">
        <f>+IF($W467="","",ROUND((VLOOKUP(Parámetros!$F$51,'COBERTURAS ADICIONALES'!$S$4:$T$32,2,FALSE)*(1+i/frec)^-0.5*(1+Parámetros!$D$103)*(1+rec_fracc)/frec*$CO$42),2))</f>
        <v/>
      </c>
      <c r="CS467" s="119" t="str">
        <f t="shared" si="624"/>
        <v/>
      </c>
      <c r="CT467" s="66" t="str">
        <f>+IF($W467="","",ROUND(IF($B467&gt;Parámetros!$D$107,'Tablas Servicio'!CR467+('Tablas Servicio'!CT466-'Tablas Servicio'!CR466),CR467/(1-IF(B467&lt;=10,Parámetros!$D$100,0))),2))</f>
        <v/>
      </c>
      <c r="CU467" s="66" t="str">
        <f t="shared" si="625"/>
        <v/>
      </c>
      <c r="CV467" s="66" t="str">
        <f t="shared" si="625"/>
        <v/>
      </c>
      <c r="CW467" s="66" t="str">
        <f>+IF($W467="","",ROUND((CT467*Parámetros!$G$85),2))</f>
        <v/>
      </c>
      <c r="CX467" s="66" t="str">
        <f>+IF($W467="","",ROUND((CT467*(Parámetros!$G$86)),2))</f>
        <v/>
      </c>
      <c r="CY467" s="66" t="str">
        <f t="shared" si="626"/>
        <v/>
      </c>
      <c r="CZ467" t="str">
        <f t="shared" si="667"/>
        <v/>
      </c>
      <c r="DA467" s="118" t="str">
        <f t="shared" si="668"/>
        <v/>
      </c>
      <c r="DB467" s="118" t="str">
        <f t="shared" si="669"/>
        <v/>
      </c>
      <c r="DC467" s="118" t="str">
        <f t="shared" si="670"/>
        <v/>
      </c>
      <c r="DD467" s="121" t="str">
        <f>+IF(OR($W467="",DB467=0),"",ROUND((VLOOKUP(ROUNDDOWN($D467-1/frec,0),cob_adi,CO$40,FALSE)*(1+i/frec)^-0.5*(1+Parámetros!$D$103)*(1+rec_fracc)/frec),6))</f>
        <v/>
      </c>
      <c r="DE467" s="66" t="str">
        <f t="shared" si="627"/>
        <v/>
      </c>
      <c r="DF467" s="119" t="str">
        <f t="shared" si="628"/>
        <v/>
      </c>
      <c r="DG467" s="66" t="str">
        <f>+IF($W467="","",ROUND(IF($B467&gt;Parámetros!$D$107,'Tablas Servicio'!DE467+('Tablas Servicio'!DG466-'Tablas Servicio'!DE466),DE467/(1-IF(B467&lt;=10,Parámetros!$D$100,0))),2))</f>
        <v/>
      </c>
      <c r="DH467" s="66" t="str">
        <f t="shared" si="629"/>
        <v/>
      </c>
      <c r="DI467" s="66" t="str">
        <f t="shared" si="629"/>
        <v/>
      </c>
      <c r="DJ467" s="66" t="str">
        <f>+IF($W467="","",ROUND((DG467*Parámetros!$G$85),2))</f>
        <v/>
      </c>
      <c r="DK467" s="66" t="str">
        <f>+IF($W467="","",ROUND((DG467*(Parámetros!$G$86)),2))</f>
        <v/>
      </c>
      <c r="DL467" s="66" t="str">
        <f t="shared" si="630"/>
        <v/>
      </c>
      <c r="DM467" t="str">
        <f t="shared" si="671"/>
        <v/>
      </c>
      <c r="DN467" s="118" t="str">
        <f t="shared" si="672"/>
        <v/>
      </c>
      <c r="DO467" s="118" t="str">
        <f t="shared" si="673"/>
        <v/>
      </c>
      <c r="DP467" s="118" t="str">
        <f t="shared" si="674"/>
        <v/>
      </c>
      <c r="DQ467" s="122" t="str">
        <f>+IF(OR($W467="",DO467=0),"",ROUND((VLOOKUP(ROUNDDOWN($D467-1/frec,0),cob_adi,DB$40,FALSE)*(1+i/frec)^-0.5*(1+Parámetros!$D$103)*(1+rec_fracc)/frec),6))</f>
        <v/>
      </c>
      <c r="DR467" s="66" t="str">
        <f t="shared" si="631"/>
        <v/>
      </c>
      <c r="DS467" s="68" t="str">
        <f t="shared" si="632"/>
        <v/>
      </c>
      <c r="DT467" s="66" t="str">
        <f>+IF($W467="","",ROUND(IF($B467&gt;Parámetros!$D$107,'Tablas Servicio'!DR467+('Tablas Servicio'!DT466-'Tablas Servicio'!DR466),DR467/(1-IF(B467&lt;=10,Parámetros!$D$100,0))),2))</f>
        <v/>
      </c>
      <c r="DU467" s="66" t="str">
        <f t="shared" si="633"/>
        <v/>
      </c>
      <c r="DV467" s="66" t="str">
        <f t="shared" si="633"/>
        <v/>
      </c>
      <c r="DW467" s="66" t="str">
        <f>+IF($W467="","",ROUND((DT467*Parámetros!$G$85),2))</f>
        <v/>
      </c>
      <c r="DX467" s="66" t="str">
        <f>+IF($W467="","",ROUND((DT467*(Parámetros!$G$86)),2))</f>
        <v/>
      </c>
      <c r="DY467" s="66" t="str">
        <f t="shared" si="634"/>
        <v/>
      </c>
      <c r="DZ467" t="str">
        <f t="shared" si="676"/>
        <v/>
      </c>
      <c r="EA467" s="118" t="str">
        <f t="shared" si="676"/>
        <v/>
      </c>
      <c r="EB467" s="118" t="str">
        <f>+IF($W467="","",ROUND(IF(Parámetros!$D$25='TABLAS MORT'!$V$33,EB466,Z467/2),0))</f>
        <v/>
      </c>
      <c r="EC467" s="118" t="str">
        <f t="shared" si="676"/>
        <v/>
      </c>
      <c r="ED467" s="122" t="str">
        <f>+IF(OR($W467="",EB467=0),"",ROUND((VLOOKUP(ROUNDDOWN($D467-1/frec,0),cob_adi,DO$40,FALSE)*(1+i/frec)^-0.5*(1+Parámetros!$D$103)*(1+rec_fracc)/frec),6))</f>
        <v/>
      </c>
      <c r="EE467" s="66" t="str">
        <f t="shared" si="636"/>
        <v/>
      </c>
      <c r="EF467" s="68" t="str">
        <f t="shared" si="637"/>
        <v/>
      </c>
      <c r="EG467" s="66" t="str">
        <f>+IF($W467="","",ROUND(IF($B467&gt;Parámetros!$D$107,'Tablas Servicio'!EE467+('Tablas Servicio'!EG466-'Tablas Servicio'!EE466),EE467/(1-IF(B467&lt;=10,Parámetros!$D$100,0))),2))</f>
        <v/>
      </c>
      <c r="EH467" s="66" t="str">
        <f t="shared" si="638"/>
        <v/>
      </c>
      <c r="EI467" s="66" t="str">
        <f t="shared" si="638"/>
        <v/>
      </c>
      <c r="EJ467" s="66" t="str">
        <f>+IF($W467="","",ROUND((EG467*Parámetros!$G$85),2))</f>
        <v/>
      </c>
      <c r="EK467" s="66" t="str">
        <f>+IF($W467="","",ROUND((EG467*(Parámetros!$G$86)),2))</f>
        <v/>
      </c>
      <c r="EL467" s="66" t="str">
        <f t="shared" si="639"/>
        <v/>
      </c>
    </row>
    <row r="468" spans="1:142" x14ac:dyDescent="0.25">
      <c r="A468" t="str">
        <f>+IF($C468="","",ROUND(VLOOKUP('Tablas Servicio'!B468,Parámetros!$H$100:$J$159,IF(Parámetros!$E$16="F",2,3),FALSE),2))</f>
        <v/>
      </c>
      <c r="B468" t="str">
        <f t="shared" si="590"/>
        <v/>
      </c>
      <c r="C468" s="57" t="str">
        <f>+IF(D468="","",'Tablas Servicio'!C467+1)</f>
        <v/>
      </c>
      <c r="D468" s="56" t="str">
        <f>+IF(D467&lt;edadmaxtabla,D467+1/Parámetros!$E$25,"")</f>
        <v/>
      </c>
      <c r="E468" s="57" t="str">
        <f t="shared" si="600"/>
        <v/>
      </c>
      <c r="F468" s="59" t="str">
        <f t="shared" si="601"/>
        <v/>
      </c>
      <c r="G468" s="66" t="str">
        <f t="shared" si="591"/>
        <v/>
      </c>
      <c r="H468" s="66" t="str">
        <f t="shared" si="592"/>
        <v/>
      </c>
      <c r="I468" s="66" t="str">
        <f t="shared" si="640"/>
        <v/>
      </c>
      <c r="J468" s="66" t="str">
        <f t="shared" si="593"/>
        <v/>
      </c>
      <c r="K468" s="66" t="str">
        <f t="shared" si="594"/>
        <v/>
      </c>
      <c r="L468" s="66" t="str">
        <f t="shared" si="595"/>
        <v/>
      </c>
      <c r="M468" s="66" t="str">
        <f t="shared" si="596"/>
        <v/>
      </c>
      <c r="N468" s="66" t="str">
        <f>+IF(C468="","",ROUND(Parámetros!$D$23,2))</f>
        <v/>
      </c>
      <c r="O468" s="66" t="str">
        <f t="shared" si="597"/>
        <v/>
      </c>
      <c r="P468" s="66" t="str">
        <f>+IF($C468="","",ROUND(IF(B468&gt;Parámetros!$D$117,0,N468*Parámetros!$D$116-G468*Parámetros!$D$100),2))</f>
        <v/>
      </c>
      <c r="Q468" s="75" t="str">
        <f t="shared" si="641"/>
        <v/>
      </c>
      <c r="R468" s="75" t="str">
        <f t="shared" si="642"/>
        <v/>
      </c>
      <c r="S468" s="117" t="str">
        <f>+IF($C468="","",ROUND((S467+I468)*(1+Parámetros!$D$91),2))</f>
        <v/>
      </c>
      <c r="T468" s="117" t="str">
        <f>+IF($C468="","",ROUND(S468*VLOOKUP(B468,Parámetros!$C$30:$D$39,2,TRUE),2))</f>
        <v/>
      </c>
      <c r="U468" s="117" t="str">
        <f>+IF($C468="","",ROUND((U467+I468)*(1+Parámetros!$D$92),2))</f>
        <v/>
      </c>
      <c r="V468" s="117" t="str">
        <f>+IF($C468="","",ROUND(U468*VLOOKUP(B468,Parámetros!$C$30:$D$39,2,TRUE),2))</f>
        <v/>
      </c>
      <c r="W468" s="57" t="str">
        <f t="shared" si="643"/>
        <v/>
      </c>
      <c r="X468" t="str">
        <f t="shared" si="644"/>
        <v/>
      </c>
      <c r="Y468" t="str">
        <f t="shared" si="645"/>
        <v/>
      </c>
      <c r="Z468" s="118" t="str">
        <f>+IF($W468="","",ROUND(IF(Parámetros!$D$25='TABLAS MORT'!$V$33,Z467,Parámetros!$D$21-'Tablas Servicio'!T467),0))</f>
        <v/>
      </c>
      <c r="AA468" s="118" t="str">
        <f t="shared" si="646"/>
        <v/>
      </c>
      <c r="AB468" s="119" t="str">
        <f>+IF(W468="","",ROUND((VLOOKUP(ROUNDDOWN($D468-1/frec,0),qx_tabla,2,FALSE)*(1+i/frec)^-0.5*(1+Parámetros!$D$103)*(1+rec_fracc)/frec),6))</f>
        <v/>
      </c>
      <c r="AC468" s="66" t="str">
        <f t="shared" si="602"/>
        <v/>
      </c>
      <c r="AD468" s="119" t="str">
        <f t="shared" si="598"/>
        <v/>
      </c>
      <c r="AE468" s="66" t="str">
        <f>+IF($W468="","",ROUND(IF($B468&gt;Parámetros!$D$107,'Tablas Servicio'!AC468+('Tablas Servicio'!AG467-'Tablas Servicio'!AC467),AC468/(1-IF(B468&lt;=10,Parámetros!$D$104,Parámetros!$D$105))),2))</f>
        <v/>
      </c>
      <c r="AF468" s="66" t="str">
        <f>+IF($W468="","",ROUND(IF($B468&gt;Parámetros!$D$107,'Tablas Servicio'!AC468+('Tablas Servicio'!AG467-'Tablas Servicio'!AC467),(AC468+$A467/frec)/(1-IF(B468&lt;=Parámetros!$D$117,Parámetros!$D$100,0))),2))</f>
        <v/>
      </c>
      <c r="AG468" s="66" t="str">
        <f t="shared" si="603"/>
        <v/>
      </c>
      <c r="AH468" s="66" t="str">
        <f t="shared" si="604"/>
        <v/>
      </c>
      <c r="AI468" s="66" t="str">
        <f t="shared" si="605"/>
        <v/>
      </c>
      <c r="AJ468" s="66" t="str">
        <f>+IF($W468="","",ROUND((AG468*Parámetros!$G$85),2))</f>
        <v/>
      </c>
      <c r="AK468" s="66" t="str">
        <f>+IF($W468="","",ROUND((AG468*(Parámetros!$G$86)),2))</f>
        <v/>
      </c>
      <c r="AL468" s="66" t="str">
        <f t="shared" si="599"/>
        <v/>
      </c>
      <c r="AM468" t="str">
        <f t="shared" si="647"/>
        <v/>
      </c>
      <c r="AN468" t="str">
        <f t="shared" si="648"/>
        <v/>
      </c>
      <c r="AO468" s="118" t="str">
        <f t="shared" si="649"/>
        <v/>
      </c>
      <c r="AP468" s="118" t="str">
        <f t="shared" si="650"/>
        <v/>
      </c>
      <c r="AQ468" s="119" t="str">
        <f>+IF(OR($W468="",AO468=0),"",ROUND((VLOOKUP(ROUNDDOWN($D468-1/frec,0),cob_adi,Z$40,FALSE)*(1+i/frec)^-0.5*(1+Parámetros!$D$103)*(1+rec_fracc)/frec),6))</f>
        <v/>
      </c>
      <c r="AR468" s="66" t="str">
        <f t="shared" si="606"/>
        <v/>
      </c>
      <c r="AS468" s="119" t="str">
        <f t="shared" si="607"/>
        <v/>
      </c>
      <c r="AT468" s="66" t="str">
        <f>+IF($W468="","",ROUND(IF($B468&gt;Parámetros!$D$107,'Tablas Servicio'!AR468+('Tablas Servicio'!AT467-'Tablas Servicio'!AR467),AR468/(1-IF(B468&lt;=10,Parámetros!$D$100,0))),2))</f>
        <v/>
      </c>
      <c r="AU468" s="66" t="str">
        <f t="shared" si="608"/>
        <v/>
      </c>
      <c r="AV468" s="66" t="str">
        <f t="shared" si="608"/>
        <v/>
      </c>
      <c r="AW468" s="66" t="str">
        <f>+IF($W468="","",ROUND((AT468*Parámetros!$G$85),2))</f>
        <v/>
      </c>
      <c r="AX468" s="66" t="str">
        <f>+IF($W468="","",ROUND((AT468*(Parámetros!$G$86)),2))</f>
        <v/>
      </c>
      <c r="AY468" s="66" t="str">
        <f t="shared" si="609"/>
        <v/>
      </c>
      <c r="AZ468" t="str">
        <f t="shared" si="651"/>
        <v/>
      </c>
      <c r="BA468" t="str">
        <f t="shared" si="652"/>
        <v/>
      </c>
      <c r="BB468" s="118" t="str">
        <f t="shared" si="653"/>
        <v/>
      </c>
      <c r="BC468" s="118" t="str">
        <f t="shared" si="654"/>
        <v/>
      </c>
      <c r="BD468" s="119" t="str">
        <f>+IF(OR($W468="",BB468=0),"",ROUND((VLOOKUP(ROUNDDOWN($D468-1/frec,0),cob_adi,AO$40,FALSE)*(1+i/frec)^-0.5*(1+Parámetros!$D$103)*(1+rec_fracc)/frec),6))</f>
        <v/>
      </c>
      <c r="BE468" s="66" t="str">
        <f t="shared" si="610"/>
        <v/>
      </c>
      <c r="BF468" s="119" t="str">
        <f t="shared" si="611"/>
        <v/>
      </c>
      <c r="BG468" s="66" t="str">
        <f>+IF($W468="","",ROUND(IF($B468&gt;Parámetros!$D$107,'Tablas Servicio'!BE468+('Tablas Servicio'!BG467-'Tablas Servicio'!BE467),BE468/(1-IF(B468&lt;=10,Parámetros!$D$100,0))),2))</f>
        <v/>
      </c>
      <c r="BH468" s="66" t="str">
        <f t="shared" si="612"/>
        <v/>
      </c>
      <c r="BI468" s="66" t="str">
        <f t="shared" si="613"/>
        <v/>
      </c>
      <c r="BJ468" s="66" t="str">
        <f>+IF($W468="","",ROUND((BG468*Parámetros!$G$85),2))</f>
        <v/>
      </c>
      <c r="BK468" s="66" t="str">
        <f>+IF($W468="","",ROUND((BG468*(Parámetros!$G$86)),2))</f>
        <v/>
      </c>
      <c r="BL468" s="66" t="str">
        <f t="shared" si="614"/>
        <v/>
      </c>
      <c r="BM468" t="str">
        <f t="shared" si="655"/>
        <v/>
      </c>
      <c r="BN468" t="str">
        <f t="shared" si="656"/>
        <v/>
      </c>
      <c r="BO468" s="118" t="str">
        <f t="shared" si="657"/>
        <v/>
      </c>
      <c r="BP468" s="118" t="str">
        <f t="shared" si="658"/>
        <v/>
      </c>
      <c r="BQ468" s="119" t="str">
        <f>+IF(OR($W468="",BO468=0),"",ROUND((VLOOKUP(ROUNDDOWN($D468-1/frec,0),cob_adi,BB$40,FALSE)*(1+i/frec)^-0.5*(1+Parámetros!$D$103)*(1+rec_fracc)/frec),6))</f>
        <v/>
      </c>
      <c r="BR468" s="66" t="str">
        <f t="shared" si="615"/>
        <v/>
      </c>
      <c r="BS468" s="119" t="str">
        <f t="shared" si="616"/>
        <v/>
      </c>
      <c r="BT468" s="66" t="str">
        <f>+IF($W468="","",ROUND(IF($B468&gt;Parámetros!$D$107,'Tablas Servicio'!BR468+('Tablas Servicio'!BT467-'Tablas Servicio'!BR467),BR468/(1-IF(B468&lt;=10,Parámetros!$D$100,0))),2))</f>
        <v/>
      </c>
      <c r="BU468" s="66" t="str">
        <f t="shared" si="617"/>
        <v/>
      </c>
      <c r="BV468" s="66" t="str">
        <f t="shared" si="617"/>
        <v/>
      </c>
      <c r="BW468" s="66" t="str">
        <f>+IF($W468="","",ROUND((BT468*Parámetros!$G$85),2))</f>
        <v/>
      </c>
      <c r="BX468" s="66" t="str">
        <f>+IF($W468="","",ROUND((BT468*(Parámetros!$G$86)),2))</f>
        <v/>
      </c>
      <c r="BY468" s="66" t="str">
        <f t="shared" si="618"/>
        <v/>
      </c>
      <c r="BZ468" t="str">
        <f t="shared" si="659"/>
        <v/>
      </c>
      <c r="CA468" t="str">
        <f t="shared" si="660"/>
        <v/>
      </c>
      <c r="CB468" s="118" t="str">
        <f t="shared" si="661"/>
        <v/>
      </c>
      <c r="CC468" s="118" t="str">
        <f t="shared" si="662"/>
        <v/>
      </c>
      <c r="CD468" s="119" t="str">
        <f t="shared" si="619"/>
        <v/>
      </c>
      <c r="CE468" s="66" t="str">
        <f>+IF($W468="","",ROUND((VLOOKUP(ROUNDDOWN($D468-1/frec,0),cob_adi,BO$40,FALSE)*(1+i/frec)^-0.5*(1+Parámetros!$D$103)*(1+rec_fracc)/frec*'TABLAS ADI'!$BC$17),2))</f>
        <v/>
      </c>
      <c r="CF468" s="119" t="str">
        <f t="shared" si="620"/>
        <v/>
      </c>
      <c r="CG468" s="66" t="str">
        <f>+IF($W468="","",ROUND(IF($B468&gt;Parámetros!$D$107,'Tablas Servicio'!CE468+('Tablas Servicio'!CG467-'Tablas Servicio'!CE467),CE468/(1-IF(B468&lt;=10,Parámetros!$D$100,0))),2))</f>
        <v/>
      </c>
      <c r="CH468" s="66" t="str">
        <f t="shared" si="621"/>
        <v/>
      </c>
      <c r="CI468" s="66" t="str">
        <f t="shared" si="621"/>
        <v/>
      </c>
      <c r="CJ468" s="66" t="str">
        <f>+IF($W468="","",ROUND((CG468*Parámetros!$G$85),2))</f>
        <v/>
      </c>
      <c r="CK468" s="66" t="str">
        <f>+IF($W468="","",ROUND((CG468*(Parámetros!$G$86)),2))</f>
        <v/>
      </c>
      <c r="CL468" s="66" t="str">
        <f t="shared" si="622"/>
        <v/>
      </c>
      <c r="CM468" t="str">
        <f t="shared" si="663"/>
        <v/>
      </c>
      <c r="CN468" s="118" t="str">
        <f t="shared" si="664"/>
        <v/>
      </c>
      <c r="CO468" s="118" t="str">
        <f t="shared" si="665"/>
        <v/>
      </c>
      <c r="CP468" s="118" t="str">
        <f t="shared" si="666"/>
        <v/>
      </c>
      <c r="CQ468" s="119" t="str">
        <f t="shared" si="623"/>
        <v/>
      </c>
      <c r="CR468" s="66" t="str">
        <f>+IF($W468="","",ROUND((VLOOKUP(Parámetros!$F$51,'COBERTURAS ADICIONALES'!$S$4:$T$32,2,FALSE)*(1+i/frec)^-0.5*(1+Parámetros!$D$103)*(1+rec_fracc)/frec*$CO$42),2))</f>
        <v/>
      </c>
      <c r="CS468" s="119" t="str">
        <f t="shared" si="624"/>
        <v/>
      </c>
      <c r="CT468" s="66" t="str">
        <f>+IF($W468="","",ROUND(IF($B468&gt;Parámetros!$D$107,'Tablas Servicio'!CR468+('Tablas Servicio'!CT467-'Tablas Servicio'!CR467),CR468/(1-IF(B468&lt;=10,Parámetros!$D$100,0))),2))</f>
        <v/>
      </c>
      <c r="CU468" s="66" t="str">
        <f t="shared" si="625"/>
        <v/>
      </c>
      <c r="CV468" s="66" t="str">
        <f t="shared" si="625"/>
        <v/>
      </c>
      <c r="CW468" s="66" t="str">
        <f>+IF($W468="","",ROUND((CT468*Parámetros!$G$85),2))</f>
        <v/>
      </c>
      <c r="CX468" s="66" t="str">
        <f>+IF($W468="","",ROUND((CT468*(Parámetros!$G$86)),2))</f>
        <v/>
      </c>
      <c r="CY468" s="66" t="str">
        <f t="shared" si="626"/>
        <v/>
      </c>
      <c r="CZ468" t="str">
        <f t="shared" si="667"/>
        <v/>
      </c>
      <c r="DA468" s="118" t="str">
        <f t="shared" si="668"/>
        <v/>
      </c>
      <c r="DB468" s="118" t="str">
        <f t="shared" si="669"/>
        <v/>
      </c>
      <c r="DC468" s="118" t="str">
        <f t="shared" si="670"/>
        <v/>
      </c>
      <c r="DD468" s="121" t="str">
        <f>+IF(OR($W468="",DB468=0),"",ROUND((VLOOKUP(ROUNDDOWN($D468-1/frec,0),cob_adi,CO$40,FALSE)*(1+i/frec)^-0.5*(1+Parámetros!$D$103)*(1+rec_fracc)/frec),6))</f>
        <v/>
      </c>
      <c r="DE468" s="66" t="str">
        <f t="shared" si="627"/>
        <v/>
      </c>
      <c r="DF468" s="119" t="str">
        <f t="shared" si="628"/>
        <v/>
      </c>
      <c r="DG468" s="66" t="str">
        <f>+IF($W468="","",ROUND(IF($B468&gt;Parámetros!$D$107,'Tablas Servicio'!DE468+('Tablas Servicio'!DG467-'Tablas Servicio'!DE467),DE468/(1-IF(B468&lt;=10,Parámetros!$D$100,0))),2))</f>
        <v/>
      </c>
      <c r="DH468" s="66" t="str">
        <f t="shared" si="629"/>
        <v/>
      </c>
      <c r="DI468" s="66" t="str">
        <f t="shared" si="629"/>
        <v/>
      </c>
      <c r="DJ468" s="66" t="str">
        <f>+IF($W468="","",ROUND((DG468*Parámetros!$G$85),2))</f>
        <v/>
      </c>
      <c r="DK468" s="66" t="str">
        <f>+IF($W468="","",ROUND((DG468*(Parámetros!$G$86)),2))</f>
        <v/>
      </c>
      <c r="DL468" s="66" t="str">
        <f t="shared" si="630"/>
        <v/>
      </c>
      <c r="DM468" t="str">
        <f t="shared" si="671"/>
        <v/>
      </c>
      <c r="DN468" s="118" t="str">
        <f t="shared" si="672"/>
        <v/>
      </c>
      <c r="DO468" s="118" t="str">
        <f t="shared" si="673"/>
        <v/>
      </c>
      <c r="DP468" s="118" t="str">
        <f t="shared" si="674"/>
        <v/>
      </c>
      <c r="DQ468" s="122" t="str">
        <f>+IF(OR($W468="",DO468=0),"",ROUND((VLOOKUP(ROUNDDOWN($D468-1/frec,0),cob_adi,DB$40,FALSE)*(1+i/frec)^-0.5*(1+Parámetros!$D$103)*(1+rec_fracc)/frec),6))</f>
        <v/>
      </c>
      <c r="DR468" s="66" t="str">
        <f t="shared" si="631"/>
        <v/>
      </c>
      <c r="DS468" s="68" t="str">
        <f t="shared" si="632"/>
        <v/>
      </c>
      <c r="DT468" s="66" t="str">
        <f>+IF($W468="","",ROUND(IF($B468&gt;Parámetros!$D$107,'Tablas Servicio'!DR468+('Tablas Servicio'!DT467-'Tablas Servicio'!DR467),DR468/(1-IF(B468&lt;=10,Parámetros!$D$100,0))),2))</f>
        <v/>
      </c>
      <c r="DU468" s="66" t="str">
        <f t="shared" si="633"/>
        <v/>
      </c>
      <c r="DV468" s="66" t="str">
        <f t="shared" si="633"/>
        <v/>
      </c>
      <c r="DW468" s="66" t="str">
        <f>+IF($W468="","",ROUND((DT468*Parámetros!$G$85),2))</f>
        <v/>
      </c>
      <c r="DX468" s="66" t="str">
        <f>+IF($W468="","",ROUND((DT468*(Parámetros!$G$86)),2))</f>
        <v/>
      </c>
      <c r="DY468" s="66" t="str">
        <f t="shared" si="634"/>
        <v/>
      </c>
      <c r="DZ468" t="str">
        <f t="shared" si="676"/>
        <v/>
      </c>
      <c r="EA468" s="118" t="str">
        <f t="shared" si="676"/>
        <v/>
      </c>
      <c r="EB468" s="118" t="str">
        <f>+IF($W468="","",ROUND(IF(Parámetros!$D$25='TABLAS MORT'!$V$33,EB467,Z468/2),0))</f>
        <v/>
      </c>
      <c r="EC468" s="118" t="str">
        <f t="shared" si="676"/>
        <v/>
      </c>
      <c r="ED468" s="122" t="str">
        <f>+IF(OR($W468="",EB468=0),"",ROUND((VLOOKUP(ROUNDDOWN($D468-1/frec,0),cob_adi,DO$40,FALSE)*(1+i/frec)^-0.5*(1+Parámetros!$D$103)*(1+rec_fracc)/frec),6))</f>
        <v/>
      </c>
      <c r="EE468" s="66" t="str">
        <f t="shared" si="636"/>
        <v/>
      </c>
      <c r="EF468" s="68" t="str">
        <f t="shared" si="637"/>
        <v/>
      </c>
      <c r="EG468" s="66" t="str">
        <f>+IF($W468="","",ROUND(IF($B468&gt;Parámetros!$D$107,'Tablas Servicio'!EE468+('Tablas Servicio'!EG467-'Tablas Servicio'!EE467),EE468/(1-IF(B468&lt;=10,Parámetros!$D$100,0))),2))</f>
        <v/>
      </c>
      <c r="EH468" s="66" t="str">
        <f t="shared" si="638"/>
        <v/>
      </c>
      <c r="EI468" s="66" t="str">
        <f t="shared" si="638"/>
        <v/>
      </c>
      <c r="EJ468" s="66" t="str">
        <f>+IF($W468="","",ROUND((EG468*Parámetros!$G$85),2))</f>
        <v/>
      </c>
      <c r="EK468" s="66" t="str">
        <f>+IF($W468="","",ROUND((EG468*(Parámetros!$G$86)),2))</f>
        <v/>
      </c>
      <c r="EL468" s="66" t="str">
        <f t="shared" si="639"/>
        <v/>
      </c>
    </row>
    <row r="469" spans="1:142" x14ac:dyDescent="0.25">
      <c r="A469" t="str">
        <f>+IF($C469="","",ROUND(VLOOKUP('Tablas Servicio'!B469,Parámetros!$H$100:$J$159,IF(Parámetros!$E$16="F",2,3),FALSE),2))</f>
        <v/>
      </c>
      <c r="B469" t="str">
        <f t="shared" si="590"/>
        <v/>
      </c>
      <c r="C469" s="57" t="str">
        <f>+IF(D469="","",'Tablas Servicio'!C468+1)</f>
        <v/>
      </c>
      <c r="D469" s="56" t="str">
        <f>+IF(D468&lt;edadmaxtabla,D468+1/Parámetros!$E$25,"")</f>
        <v/>
      </c>
      <c r="E469" s="57" t="str">
        <f t="shared" si="600"/>
        <v/>
      </c>
      <c r="F469" s="59" t="str">
        <f t="shared" si="601"/>
        <v/>
      </c>
      <c r="G469" s="66" t="str">
        <f t="shared" si="591"/>
        <v/>
      </c>
      <c r="H469" s="66" t="str">
        <f t="shared" si="592"/>
        <v/>
      </c>
      <c r="I469" s="66" t="str">
        <f t="shared" si="640"/>
        <v/>
      </c>
      <c r="J469" s="66" t="str">
        <f t="shared" si="593"/>
        <v/>
      </c>
      <c r="K469" s="66" t="str">
        <f t="shared" si="594"/>
        <v/>
      </c>
      <c r="L469" s="66" t="str">
        <f t="shared" si="595"/>
        <v/>
      </c>
      <c r="M469" s="66" t="str">
        <f t="shared" si="596"/>
        <v/>
      </c>
      <c r="N469" s="66" t="str">
        <f>+IF(C469="","",ROUND(Parámetros!$D$23,2))</f>
        <v/>
      </c>
      <c r="O469" s="66" t="str">
        <f t="shared" si="597"/>
        <v/>
      </c>
      <c r="P469" s="66" t="str">
        <f>+IF($C469="","",ROUND(IF(B469&gt;Parámetros!$D$117,0,N469*Parámetros!$D$116-G469*Parámetros!$D$100),2))</f>
        <v/>
      </c>
      <c r="Q469" s="75" t="str">
        <f t="shared" si="641"/>
        <v/>
      </c>
      <c r="R469" s="75" t="str">
        <f t="shared" si="642"/>
        <v/>
      </c>
      <c r="S469" s="117" t="str">
        <f>+IF($C469="","",ROUND((S468+I469)*(1+Parámetros!$D$91),2))</f>
        <v/>
      </c>
      <c r="T469" s="117" t="str">
        <f>+IF($C469="","",ROUND(S469*VLOOKUP(B469,Parámetros!$C$30:$D$39,2,TRUE),2))</f>
        <v/>
      </c>
      <c r="U469" s="117" t="str">
        <f>+IF($C469="","",ROUND((U468+I469)*(1+Parámetros!$D$92),2))</f>
        <v/>
      </c>
      <c r="V469" s="117" t="str">
        <f>+IF($C469="","",ROUND(U469*VLOOKUP(B469,Parámetros!$C$30:$D$39,2,TRUE),2))</f>
        <v/>
      </c>
      <c r="W469" s="57" t="str">
        <f t="shared" si="643"/>
        <v/>
      </c>
      <c r="X469" t="str">
        <f t="shared" si="644"/>
        <v/>
      </c>
      <c r="Y469" t="str">
        <f t="shared" si="645"/>
        <v/>
      </c>
      <c r="Z469" s="118" t="str">
        <f>+IF($W469="","",ROUND(IF(Parámetros!$D$25='TABLAS MORT'!$V$33,Z468,Parámetros!$D$21-'Tablas Servicio'!T468),0))</f>
        <v/>
      </c>
      <c r="AA469" s="118" t="str">
        <f t="shared" si="646"/>
        <v/>
      </c>
      <c r="AB469" s="119" t="str">
        <f>+IF(W469="","",ROUND((VLOOKUP(ROUNDDOWN($D469-1/frec,0),qx_tabla,2,FALSE)*(1+i/frec)^-0.5*(1+Parámetros!$D$103)*(1+rec_fracc)/frec),6))</f>
        <v/>
      </c>
      <c r="AC469" s="66" t="str">
        <f t="shared" si="602"/>
        <v/>
      </c>
      <c r="AD469" s="119" t="str">
        <f t="shared" si="598"/>
        <v/>
      </c>
      <c r="AE469" s="66" t="str">
        <f>+IF($W469="","",ROUND(IF($B469&gt;Parámetros!$D$107,'Tablas Servicio'!AC469+('Tablas Servicio'!AG468-'Tablas Servicio'!AC468),AC469/(1-IF(B469&lt;=10,Parámetros!$D$104,Parámetros!$D$105))),2))</f>
        <v/>
      </c>
      <c r="AF469" s="66" t="str">
        <f>+IF($W469="","",ROUND(IF($B469&gt;Parámetros!$D$107,'Tablas Servicio'!AC469+('Tablas Servicio'!AG468-'Tablas Servicio'!AC468),(AC469+$A468/frec)/(1-IF(B469&lt;=Parámetros!$D$117,Parámetros!$D$100,0))),2))</f>
        <v/>
      </c>
      <c r="AG469" s="66" t="str">
        <f t="shared" si="603"/>
        <v/>
      </c>
      <c r="AH469" s="66" t="str">
        <f t="shared" si="604"/>
        <v/>
      </c>
      <c r="AI469" s="66" t="str">
        <f t="shared" si="605"/>
        <v/>
      </c>
      <c r="AJ469" s="66" t="str">
        <f>+IF($W469="","",ROUND((AG469*Parámetros!$G$85),2))</f>
        <v/>
      </c>
      <c r="AK469" s="66" t="str">
        <f>+IF($W469="","",ROUND((AG469*(Parámetros!$G$86)),2))</f>
        <v/>
      </c>
      <c r="AL469" s="66" t="str">
        <f t="shared" si="599"/>
        <v/>
      </c>
      <c r="AM469" t="str">
        <f t="shared" si="647"/>
        <v/>
      </c>
      <c r="AN469" t="str">
        <f t="shared" si="648"/>
        <v/>
      </c>
      <c r="AO469" s="118" t="str">
        <f t="shared" si="649"/>
        <v/>
      </c>
      <c r="AP469" s="118" t="str">
        <f t="shared" si="650"/>
        <v/>
      </c>
      <c r="AQ469" s="119" t="str">
        <f>+IF(OR($W469="",AO469=0),"",ROUND((VLOOKUP(ROUNDDOWN($D469-1/frec,0),cob_adi,Z$40,FALSE)*(1+i/frec)^-0.5*(1+Parámetros!$D$103)*(1+rec_fracc)/frec),6))</f>
        <v/>
      </c>
      <c r="AR469" s="66" t="str">
        <f t="shared" si="606"/>
        <v/>
      </c>
      <c r="AS469" s="119" t="str">
        <f t="shared" si="607"/>
        <v/>
      </c>
      <c r="AT469" s="66" t="str">
        <f>+IF($W469="","",ROUND(IF($B469&gt;Parámetros!$D$107,'Tablas Servicio'!AR469+('Tablas Servicio'!AT468-'Tablas Servicio'!AR468),AR469/(1-IF(B469&lt;=10,Parámetros!$D$100,0))),2))</f>
        <v/>
      </c>
      <c r="AU469" s="66" t="str">
        <f t="shared" si="608"/>
        <v/>
      </c>
      <c r="AV469" s="66" t="str">
        <f t="shared" si="608"/>
        <v/>
      </c>
      <c r="AW469" s="66" t="str">
        <f>+IF($W469="","",ROUND((AT469*Parámetros!$G$85),2))</f>
        <v/>
      </c>
      <c r="AX469" s="66" t="str">
        <f>+IF($W469="","",ROUND((AT469*(Parámetros!$G$86)),2))</f>
        <v/>
      </c>
      <c r="AY469" s="66" t="str">
        <f t="shared" si="609"/>
        <v/>
      </c>
      <c r="AZ469" t="str">
        <f t="shared" si="651"/>
        <v/>
      </c>
      <c r="BA469" t="str">
        <f t="shared" si="652"/>
        <v/>
      </c>
      <c r="BB469" s="118" t="str">
        <f t="shared" si="653"/>
        <v/>
      </c>
      <c r="BC469" s="118" t="str">
        <f t="shared" si="654"/>
        <v/>
      </c>
      <c r="BD469" s="119" t="str">
        <f>+IF(OR($W469="",BB469=0),"",ROUND((VLOOKUP(ROUNDDOWN($D469-1/frec,0),cob_adi,AO$40,FALSE)*(1+i/frec)^-0.5*(1+Parámetros!$D$103)*(1+rec_fracc)/frec),6))</f>
        <v/>
      </c>
      <c r="BE469" s="66" t="str">
        <f t="shared" si="610"/>
        <v/>
      </c>
      <c r="BF469" s="119" t="str">
        <f t="shared" si="611"/>
        <v/>
      </c>
      <c r="BG469" s="66" t="str">
        <f>+IF($W469="","",ROUND(IF($B469&gt;Parámetros!$D$107,'Tablas Servicio'!BE469+('Tablas Servicio'!BG468-'Tablas Servicio'!BE468),BE469/(1-IF(B469&lt;=10,Parámetros!$D$100,0))),2))</f>
        <v/>
      </c>
      <c r="BH469" s="66" t="str">
        <f t="shared" si="612"/>
        <v/>
      </c>
      <c r="BI469" s="66" t="str">
        <f t="shared" si="613"/>
        <v/>
      </c>
      <c r="BJ469" s="66" t="str">
        <f>+IF($W469="","",ROUND((BG469*Parámetros!$G$85),2))</f>
        <v/>
      </c>
      <c r="BK469" s="66" t="str">
        <f>+IF($W469="","",ROUND((BG469*(Parámetros!$G$86)),2))</f>
        <v/>
      </c>
      <c r="BL469" s="66" t="str">
        <f t="shared" si="614"/>
        <v/>
      </c>
      <c r="BM469" t="str">
        <f t="shared" si="655"/>
        <v/>
      </c>
      <c r="BN469" t="str">
        <f t="shared" si="656"/>
        <v/>
      </c>
      <c r="BO469" s="118" t="str">
        <f t="shared" si="657"/>
        <v/>
      </c>
      <c r="BP469" s="118" t="str">
        <f t="shared" si="658"/>
        <v/>
      </c>
      <c r="BQ469" s="119" t="str">
        <f>+IF(OR($W469="",BO469=0),"",ROUND((VLOOKUP(ROUNDDOWN($D469-1/frec,0),cob_adi,BB$40,FALSE)*(1+i/frec)^-0.5*(1+Parámetros!$D$103)*(1+rec_fracc)/frec),6))</f>
        <v/>
      </c>
      <c r="BR469" s="66" t="str">
        <f t="shared" si="615"/>
        <v/>
      </c>
      <c r="BS469" s="119" t="str">
        <f t="shared" si="616"/>
        <v/>
      </c>
      <c r="BT469" s="66" t="str">
        <f>+IF($W469="","",ROUND(IF($B469&gt;Parámetros!$D$107,'Tablas Servicio'!BR469+('Tablas Servicio'!BT468-'Tablas Servicio'!BR468),BR469/(1-IF(B469&lt;=10,Parámetros!$D$100,0))),2))</f>
        <v/>
      </c>
      <c r="BU469" s="66" t="str">
        <f t="shared" si="617"/>
        <v/>
      </c>
      <c r="BV469" s="66" t="str">
        <f t="shared" si="617"/>
        <v/>
      </c>
      <c r="BW469" s="66" t="str">
        <f>+IF($W469="","",ROUND((BT469*Parámetros!$G$85),2))</f>
        <v/>
      </c>
      <c r="BX469" s="66" t="str">
        <f>+IF($W469="","",ROUND((BT469*(Parámetros!$G$86)),2))</f>
        <v/>
      </c>
      <c r="BY469" s="66" t="str">
        <f t="shared" si="618"/>
        <v/>
      </c>
      <c r="BZ469" t="str">
        <f t="shared" si="659"/>
        <v/>
      </c>
      <c r="CA469" t="str">
        <f t="shared" si="660"/>
        <v/>
      </c>
      <c r="CB469" s="118" t="str">
        <f t="shared" si="661"/>
        <v/>
      </c>
      <c r="CC469" s="118" t="str">
        <f t="shared" si="662"/>
        <v/>
      </c>
      <c r="CD469" s="119" t="str">
        <f t="shared" si="619"/>
        <v/>
      </c>
      <c r="CE469" s="66" t="str">
        <f>+IF($W469="","",ROUND((VLOOKUP(ROUNDDOWN($D469-1/frec,0),cob_adi,BO$40,FALSE)*(1+i/frec)^-0.5*(1+Parámetros!$D$103)*(1+rec_fracc)/frec*'TABLAS ADI'!$BC$17),2))</f>
        <v/>
      </c>
      <c r="CF469" s="119" t="str">
        <f t="shared" si="620"/>
        <v/>
      </c>
      <c r="CG469" s="66" t="str">
        <f>+IF($W469="","",ROUND(IF($B469&gt;Parámetros!$D$107,'Tablas Servicio'!CE469+('Tablas Servicio'!CG468-'Tablas Servicio'!CE468),CE469/(1-IF(B469&lt;=10,Parámetros!$D$100,0))),2))</f>
        <v/>
      </c>
      <c r="CH469" s="66" t="str">
        <f t="shared" si="621"/>
        <v/>
      </c>
      <c r="CI469" s="66" t="str">
        <f t="shared" si="621"/>
        <v/>
      </c>
      <c r="CJ469" s="66" t="str">
        <f>+IF($W469="","",ROUND((CG469*Parámetros!$G$85),2))</f>
        <v/>
      </c>
      <c r="CK469" s="66" t="str">
        <f>+IF($W469="","",ROUND((CG469*(Parámetros!$G$86)),2))</f>
        <v/>
      </c>
      <c r="CL469" s="66" t="str">
        <f t="shared" si="622"/>
        <v/>
      </c>
      <c r="CM469" t="str">
        <f t="shared" si="663"/>
        <v/>
      </c>
      <c r="CN469" s="118" t="str">
        <f t="shared" si="664"/>
        <v/>
      </c>
      <c r="CO469" s="118" t="str">
        <f t="shared" si="665"/>
        <v/>
      </c>
      <c r="CP469" s="118" t="str">
        <f t="shared" si="666"/>
        <v/>
      </c>
      <c r="CQ469" s="119" t="str">
        <f t="shared" si="623"/>
        <v/>
      </c>
      <c r="CR469" s="66" t="str">
        <f>+IF($W469="","",ROUND((VLOOKUP(Parámetros!$F$51,'COBERTURAS ADICIONALES'!$S$4:$T$32,2,FALSE)*(1+i/frec)^-0.5*(1+Parámetros!$D$103)*(1+rec_fracc)/frec*$CO$42),2))</f>
        <v/>
      </c>
      <c r="CS469" s="119" t="str">
        <f t="shared" si="624"/>
        <v/>
      </c>
      <c r="CT469" s="66" t="str">
        <f>+IF($W469="","",ROUND(IF($B469&gt;Parámetros!$D$107,'Tablas Servicio'!CR469+('Tablas Servicio'!CT468-'Tablas Servicio'!CR468),CR469/(1-IF(B469&lt;=10,Parámetros!$D$100,0))),2))</f>
        <v/>
      </c>
      <c r="CU469" s="66" t="str">
        <f t="shared" si="625"/>
        <v/>
      </c>
      <c r="CV469" s="66" t="str">
        <f t="shared" si="625"/>
        <v/>
      </c>
      <c r="CW469" s="66" t="str">
        <f>+IF($W469="","",ROUND((CT469*Parámetros!$G$85),2))</f>
        <v/>
      </c>
      <c r="CX469" s="66" t="str">
        <f>+IF($W469="","",ROUND((CT469*(Parámetros!$G$86)),2))</f>
        <v/>
      </c>
      <c r="CY469" s="66" t="str">
        <f t="shared" si="626"/>
        <v/>
      </c>
      <c r="CZ469" t="str">
        <f t="shared" si="667"/>
        <v/>
      </c>
      <c r="DA469" s="118" t="str">
        <f t="shared" si="668"/>
        <v/>
      </c>
      <c r="DB469" s="118" t="str">
        <f t="shared" si="669"/>
        <v/>
      </c>
      <c r="DC469" s="118" t="str">
        <f t="shared" si="670"/>
        <v/>
      </c>
      <c r="DD469" s="121" t="str">
        <f>+IF(OR($W469="",DB469=0),"",ROUND((VLOOKUP(ROUNDDOWN($D469-1/frec,0),cob_adi,CO$40,FALSE)*(1+i/frec)^-0.5*(1+Parámetros!$D$103)*(1+rec_fracc)/frec),6))</f>
        <v/>
      </c>
      <c r="DE469" s="66" t="str">
        <f t="shared" si="627"/>
        <v/>
      </c>
      <c r="DF469" s="119" t="str">
        <f t="shared" si="628"/>
        <v/>
      </c>
      <c r="DG469" s="66" t="str">
        <f>+IF($W469="","",ROUND(IF($B469&gt;Parámetros!$D$107,'Tablas Servicio'!DE469+('Tablas Servicio'!DG468-'Tablas Servicio'!DE468),DE469/(1-IF(B469&lt;=10,Parámetros!$D$100,0))),2))</f>
        <v/>
      </c>
      <c r="DH469" s="66" t="str">
        <f t="shared" si="629"/>
        <v/>
      </c>
      <c r="DI469" s="66" t="str">
        <f t="shared" si="629"/>
        <v/>
      </c>
      <c r="DJ469" s="66" t="str">
        <f>+IF($W469="","",ROUND((DG469*Parámetros!$G$85),2))</f>
        <v/>
      </c>
      <c r="DK469" s="66" t="str">
        <f>+IF($W469="","",ROUND((DG469*(Parámetros!$G$86)),2))</f>
        <v/>
      </c>
      <c r="DL469" s="66" t="str">
        <f t="shared" si="630"/>
        <v/>
      </c>
      <c r="DM469" t="str">
        <f t="shared" si="671"/>
        <v/>
      </c>
      <c r="DN469" s="118" t="str">
        <f t="shared" si="672"/>
        <v/>
      </c>
      <c r="DO469" s="118" t="str">
        <f t="shared" si="673"/>
        <v/>
      </c>
      <c r="DP469" s="118" t="str">
        <f t="shared" si="674"/>
        <v/>
      </c>
      <c r="DQ469" s="122" t="str">
        <f>+IF(OR($W469="",DO469=0),"",ROUND((VLOOKUP(ROUNDDOWN($D469-1/frec,0),cob_adi,DB$40,FALSE)*(1+i/frec)^-0.5*(1+Parámetros!$D$103)*(1+rec_fracc)/frec),6))</f>
        <v/>
      </c>
      <c r="DR469" s="66" t="str">
        <f t="shared" si="631"/>
        <v/>
      </c>
      <c r="DS469" s="68" t="str">
        <f t="shared" si="632"/>
        <v/>
      </c>
      <c r="DT469" s="66" t="str">
        <f>+IF($W469="","",ROUND(IF($B469&gt;Parámetros!$D$107,'Tablas Servicio'!DR469+('Tablas Servicio'!DT468-'Tablas Servicio'!DR468),DR469/(1-IF(B469&lt;=10,Parámetros!$D$100,0))),2))</f>
        <v/>
      </c>
      <c r="DU469" s="66" t="str">
        <f t="shared" si="633"/>
        <v/>
      </c>
      <c r="DV469" s="66" t="str">
        <f t="shared" si="633"/>
        <v/>
      </c>
      <c r="DW469" s="66" t="str">
        <f>+IF($W469="","",ROUND((DT469*Parámetros!$G$85),2))</f>
        <v/>
      </c>
      <c r="DX469" s="66" t="str">
        <f>+IF($W469="","",ROUND((DT469*(Parámetros!$G$86)),2))</f>
        <v/>
      </c>
      <c r="DY469" s="66" t="str">
        <f t="shared" si="634"/>
        <v/>
      </c>
      <c r="DZ469" t="str">
        <f t="shared" si="676"/>
        <v/>
      </c>
      <c r="EA469" s="118" t="str">
        <f t="shared" si="676"/>
        <v/>
      </c>
      <c r="EB469" s="118" t="str">
        <f>+IF($W469="","",ROUND(IF(Parámetros!$D$25='TABLAS MORT'!$V$33,EB468,Z469/2),0))</f>
        <v/>
      </c>
      <c r="EC469" s="118" t="str">
        <f t="shared" si="676"/>
        <v/>
      </c>
      <c r="ED469" s="122" t="str">
        <f>+IF(OR($W469="",EB469=0),"",ROUND((VLOOKUP(ROUNDDOWN($D469-1/frec,0),cob_adi,DO$40,FALSE)*(1+i/frec)^-0.5*(1+Parámetros!$D$103)*(1+rec_fracc)/frec),6))</f>
        <v/>
      </c>
      <c r="EE469" s="66" t="str">
        <f t="shared" si="636"/>
        <v/>
      </c>
      <c r="EF469" s="68" t="str">
        <f t="shared" si="637"/>
        <v/>
      </c>
      <c r="EG469" s="66" t="str">
        <f>+IF($W469="","",ROUND(IF($B469&gt;Parámetros!$D$107,'Tablas Servicio'!EE469+('Tablas Servicio'!EG468-'Tablas Servicio'!EE468),EE469/(1-IF(B469&lt;=10,Parámetros!$D$100,0))),2))</f>
        <v/>
      </c>
      <c r="EH469" s="66" t="str">
        <f t="shared" si="638"/>
        <v/>
      </c>
      <c r="EI469" s="66" t="str">
        <f t="shared" si="638"/>
        <v/>
      </c>
      <c r="EJ469" s="66" t="str">
        <f>+IF($W469="","",ROUND((EG469*Parámetros!$G$85),2))</f>
        <v/>
      </c>
      <c r="EK469" s="66" t="str">
        <f>+IF($W469="","",ROUND((EG469*(Parámetros!$G$86)),2))</f>
        <v/>
      </c>
      <c r="EL469" s="66" t="str">
        <f t="shared" si="639"/>
        <v/>
      </c>
    </row>
    <row r="470" spans="1:142" x14ac:dyDescent="0.25">
      <c r="A470" t="str">
        <f>+IF($C470="","",ROUND(VLOOKUP('Tablas Servicio'!B470,Parámetros!$H$100:$J$159,IF(Parámetros!$E$16="F",2,3),FALSE),2))</f>
        <v/>
      </c>
      <c r="B470" t="str">
        <f t="shared" si="590"/>
        <v/>
      </c>
      <c r="C470" s="57" t="str">
        <f>+IF(D470="","",'Tablas Servicio'!C469+1)</f>
        <v/>
      </c>
      <c r="D470" s="56" t="str">
        <f>+IF(D469&lt;edadmaxtabla,D469+1/Parámetros!$E$25,"")</f>
        <v/>
      </c>
      <c r="E470" s="57" t="str">
        <f t="shared" si="600"/>
        <v/>
      </c>
      <c r="F470" s="59" t="str">
        <f t="shared" si="601"/>
        <v/>
      </c>
      <c r="G470" s="66" t="str">
        <f t="shared" si="591"/>
        <v/>
      </c>
      <c r="H470" s="66" t="str">
        <f t="shared" si="592"/>
        <v/>
      </c>
      <c r="I470" s="66" t="str">
        <f t="shared" si="640"/>
        <v/>
      </c>
      <c r="J470" s="66" t="str">
        <f t="shared" si="593"/>
        <v/>
      </c>
      <c r="K470" s="66" t="str">
        <f t="shared" si="594"/>
        <v/>
      </c>
      <c r="L470" s="66" t="str">
        <f t="shared" si="595"/>
        <v/>
      </c>
      <c r="M470" s="66" t="str">
        <f t="shared" si="596"/>
        <v/>
      </c>
      <c r="N470" s="66" t="str">
        <f>+IF(C470="","",ROUND(Parámetros!$D$23,2))</f>
        <v/>
      </c>
      <c r="O470" s="66" t="str">
        <f t="shared" si="597"/>
        <v/>
      </c>
      <c r="P470" s="66" t="str">
        <f>+IF($C470="","",ROUND(IF(B470&gt;Parámetros!$D$117,0,N470*Parámetros!$D$116-G470*Parámetros!$D$100),2))</f>
        <v/>
      </c>
      <c r="Q470" s="75" t="str">
        <f t="shared" si="641"/>
        <v/>
      </c>
      <c r="R470" s="75" t="str">
        <f t="shared" si="642"/>
        <v/>
      </c>
      <c r="S470" s="117" t="str">
        <f>+IF($C470="","",ROUND((S469+I470)*(1+Parámetros!$D$91),2))</f>
        <v/>
      </c>
      <c r="T470" s="117" t="str">
        <f>+IF($C470="","",ROUND(S470*VLOOKUP(B470,Parámetros!$C$30:$D$39,2,TRUE),2))</f>
        <v/>
      </c>
      <c r="U470" s="117" t="str">
        <f>+IF($C470="","",ROUND((U469+I470)*(1+Parámetros!$D$92),2))</f>
        <v/>
      </c>
      <c r="V470" s="117" t="str">
        <f>+IF($C470="","",ROUND(U470*VLOOKUP(B470,Parámetros!$C$30:$D$39,2,TRUE),2))</f>
        <v/>
      </c>
      <c r="W470" s="57" t="str">
        <f t="shared" si="643"/>
        <v/>
      </c>
      <c r="X470" t="str">
        <f t="shared" si="644"/>
        <v/>
      </c>
      <c r="Y470" t="str">
        <f t="shared" si="645"/>
        <v/>
      </c>
      <c r="Z470" s="118" t="str">
        <f>+IF($W470="","",ROUND(IF(Parámetros!$D$25='TABLAS MORT'!$V$33,Z469,Parámetros!$D$21-'Tablas Servicio'!T469),0))</f>
        <v/>
      </c>
      <c r="AA470" s="118" t="str">
        <f t="shared" si="646"/>
        <v/>
      </c>
      <c r="AB470" s="119" t="str">
        <f>+IF(W470="","",ROUND((VLOOKUP(ROUNDDOWN($D470-1/frec,0),qx_tabla,2,FALSE)*(1+i/frec)^-0.5*(1+Parámetros!$D$103)*(1+rec_fracc)/frec),6))</f>
        <v/>
      </c>
      <c r="AC470" s="66" t="str">
        <f t="shared" si="602"/>
        <v/>
      </c>
      <c r="AD470" s="119" t="str">
        <f t="shared" si="598"/>
        <v/>
      </c>
      <c r="AE470" s="66" t="str">
        <f>+IF($W470="","",ROUND(IF($B470&gt;Parámetros!$D$107,'Tablas Servicio'!AC470+('Tablas Servicio'!AG469-'Tablas Servicio'!AC469),AC470/(1-IF(B470&lt;=10,Parámetros!$D$104,Parámetros!$D$105))),2))</f>
        <v/>
      </c>
      <c r="AF470" s="66" t="str">
        <f>+IF($W470="","",ROUND(IF($B470&gt;Parámetros!$D$107,'Tablas Servicio'!AC470+('Tablas Servicio'!AG469-'Tablas Servicio'!AC469),(AC470+$A469/frec)/(1-IF(B470&lt;=Parámetros!$D$117,Parámetros!$D$100,0))),2))</f>
        <v/>
      </c>
      <c r="AG470" s="66" t="str">
        <f t="shared" si="603"/>
        <v/>
      </c>
      <c r="AH470" s="66" t="str">
        <f t="shared" si="604"/>
        <v/>
      </c>
      <c r="AI470" s="66" t="str">
        <f t="shared" si="605"/>
        <v/>
      </c>
      <c r="AJ470" s="66" t="str">
        <f>+IF($W470="","",ROUND((AG470*Parámetros!$G$85),2))</f>
        <v/>
      </c>
      <c r="AK470" s="66" t="str">
        <f>+IF($W470="","",ROUND((AG470*(Parámetros!$G$86)),2))</f>
        <v/>
      </c>
      <c r="AL470" s="66" t="str">
        <f t="shared" si="599"/>
        <v/>
      </c>
      <c r="AM470" t="str">
        <f t="shared" si="647"/>
        <v/>
      </c>
      <c r="AN470" t="str">
        <f t="shared" si="648"/>
        <v/>
      </c>
      <c r="AO470" s="118" t="str">
        <f t="shared" si="649"/>
        <v/>
      </c>
      <c r="AP470" s="118" t="str">
        <f t="shared" si="650"/>
        <v/>
      </c>
      <c r="AQ470" s="119" t="str">
        <f>+IF(OR($W470="",AO470=0),"",ROUND((VLOOKUP(ROUNDDOWN($D470-1/frec,0),cob_adi,Z$40,FALSE)*(1+i/frec)^-0.5*(1+Parámetros!$D$103)*(1+rec_fracc)/frec),6))</f>
        <v/>
      </c>
      <c r="AR470" s="66" t="str">
        <f t="shared" si="606"/>
        <v/>
      </c>
      <c r="AS470" s="119" t="str">
        <f t="shared" si="607"/>
        <v/>
      </c>
      <c r="AT470" s="66" t="str">
        <f>+IF($W470="","",ROUND(IF($B470&gt;Parámetros!$D$107,'Tablas Servicio'!AR470+('Tablas Servicio'!AT469-'Tablas Servicio'!AR469),AR470/(1-IF(B470&lt;=10,Parámetros!$D$100,0))),2))</f>
        <v/>
      </c>
      <c r="AU470" s="66" t="str">
        <f t="shared" si="608"/>
        <v/>
      </c>
      <c r="AV470" s="66" t="str">
        <f t="shared" si="608"/>
        <v/>
      </c>
      <c r="AW470" s="66" t="str">
        <f>+IF($W470="","",ROUND((AT470*Parámetros!$G$85),2))</f>
        <v/>
      </c>
      <c r="AX470" s="66" t="str">
        <f>+IF($W470="","",ROUND((AT470*(Parámetros!$G$86)),2))</f>
        <v/>
      </c>
      <c r="AY470" s="66" t="str">
        <f t="shared" si="609"/>
        <v/>
      </c>
      <c r="AZ470" t="str">
        <f t="shared" si="651"/>
        <v/>
      </c>
      <c r="BA470" t="str">
        <f t="shared" si="652"/>
        <v/>
      </c>
      <c r="BB470" s="118" t="str">
        <f t="shared" si="653"/>
        <v/>
      </c>
      <c r="BC470" s="118" t="str">
        <f t="shared" si="654"/>
        <v/>
      </c>
      <c r="BD470" s="119" t="str">
        <f>+IF(OR($W470="",BB470=0),"",ROUND((VLOOKUP(ROUNDDOWN($D470-1/frec,0),cob_adi,AO$40,FALSE)*(1+i/frec)^-0.5*(1+Parámetros!$D$103)*(1+rec_fracc)/frec),6))</f>
        <v/>
      </c>
      <c r="BE470" s="66" t="str">
        <f t="shared" si="610"/>
        <v/>
      </c>
      <c r="BF470" s="119" t="str">
        <f t="shared" si="611"/>
        <v/>
      </c>
      <c r="BG470" s="66" t="str">
        <f>+IF($W470="","",ROUND(IF($B470&gt;Parámetros!$D$107,'Tablas Servicio'!BE470+('Tablas Servicio'!BG469-'Tablas Servicio'!BE469),BE470/(1-IF(B470&lt;=10,Parámetros!$D$100,0))),2))</f>
        <v/>
      </c>
      <c r="BH470" s="66" t="str">
        <f t="shared" si="612"/>
        <v/>
      </c>
      <c r="BI470" s="66" t="str">
        <f t="shared" si="613"/>
        <v/>
      </c>
      <c r="BJ470" s="66" t="str">
        <f>+IF($W470="","",ROUND((BG470*Parámetros!$G$85),2))</f>
        <v/>
      </c>
      <c r="BK470" s="66" t="str">
        <f>+IF($W470="","",ROUND((BG470*(Parámetros!$G$86)),2))</f>
        <v/>
      </c>
      <c r="BL470" s="66" t="str">
        <f t="shared" si="614"/>
        <v/>
      </c>
      <c r="BM470" t="str">
        <f t="shared" si="655"/>
        <v/>
      </c>
      <c r="BN470" t="str">
        <f t="shared" si="656"/>
        <v/>
      </c>
      <c r="BO470" s="118" t="str">
        <f t="shared" si="657"/>
        <v/>
      </c>
      <c r="BP470" s="118" t="str">
        <f t="shared" si="658"/>
        <v/>
      </c>
      <c r="BQ470" s="119" t="str">
        <f>+IF(OR($W470="",BO470=0),"",ROUND((VLOOKUP(ROUNDDOWN($D470-1/frec,0),cob_adi,BB$40,FALSE)*(1+i/frec)^-0.5*(1+Parámetros!$D$103)*(1+rec_fracc)/frec),6))</f>
        <v/>
      </c>
      <c r="BR470" s="66" t="str">
        <f t="shared" si="615"/>
        <v/>
      </c>
      <c r="BS470" s="119" t="str">
        <f t="shared" si="616"/>
        <v/>
      </c>
      <c r="BT470" s="66" t="str">
        <f>+IF($W470="","",ROUND(IF($B470&gt;Parámetros!$D$107,'Tablas Servicio'!BR470+('Tablas Servicio'!BT469-'Tablas Servicio'!BR469),BR470/(1-IF(B470&lt;=10,Parámetros!$D$100,0))),2))</f>
        <v/>
      </c>
      <c r="BU470" s="66" t="str">
        <f t="shared" si="617"/>
        <v/>
      </c>
      <c r="BV470" s="66" t="str">
        <f t="shared" si="617"/>
        <v/>
      </c>
      <c r="BW470" s="66" t="str">
        <f>+IF($W470="","",ROUND((BT470*Parámetros!$G$85),2))</f>
        <v/>
      </c>
      <c r="BX470" s="66" t="str">
        <f>+IF($W470="","",ROUND((BT470*(Parámetros!$G$86)),2))</f>
        <v/>
      </c>
      <c r="BY470" s="66" t="str">
        <f t="shared" si="618"/>
        <v/>
      </c>
      <c r="BZ470" t="str">
        <f t="shared" si="659"/>
        <v/>
      </c>
      <c r="CA470" t="str">
        <f t="shared" si="660"/>
        <v/>
      </c>
      <c r="CB470" s="118" t="str">
        <f t="shared" si="661"/>
        <v/>
      </c>
      <c r="CC470" s="118" t="str">
        <f t="shared" si="662"/>
        <v/>
      </c>
      <c r="CD470" s="119" t="str">
        <f t="shared" si="619"/>
        <v/>
      </c>
      <c r="CE470" s="66" t="str">
        <f>+IF($W470="","",ROUND((VLOOKUP(ROUNDDOWN($D470-1/frec,0),cob_adi,BO$40,FALSE)*(1+i/frec)^-0.5*(1+Parámetros!$D$103)*(1+rec_fracc)/frec*'TABLAS ADI'!$BC$17),2))</f>
        <v/>
      </c>
      <c r="CF470" s="119" t="str">
        <f t="shared" si="620"/>
        <v/>
      </c>
      <c r="CG470" s="66" t="str">
        <f>+IF($W470="","",ROUND(IF($B470&gt;Parámetros!$D$107,'Tablas Servicio'!CE470+('Tablas Servicio'!CG469-'Tablas Servicio'!CE469),CE470/(1-IF(B470&lt;=10,Parámetros!$D$100,0))),2))</f>
        <v/>
      </c>
      <c r="CH470" s="66" t="str">
        <f t="shared" si="621"/>
        <v/>
      </c>
      <c r="CI470" s="66" t="str">
        <f t="shared" si="621"/>
        <v/>
      </c>
      <c r="CJ470" s="66" t="str">
        <f>+IF($W470="","",ROUND((CG470*Parámetros!$G$85),2))</f>
        <v/>
      </c>
      <c r="CK470" s="66" t="str">
        <f>+IF($W470="","",ROUND((CG470*(Parámetros!$G$86)),2))</f>
        <v/>
      </c>
      <c r="CL470" s="66" t="str">
        <f t="shared" si="622"/>
        <v/>
      </c>
      <c r="CM470" t="str">
        <f t="shared" si="663"/>
        <v/>
      </c>
      <c r="CN470" s="118" t="str">
        <f t="shared" si="664"/>
        <v/>
      </c>
      <c r="CO470" s="118" t="str">
        <f t="shared" si="665"/>
        <v/>
      </c>
      <c r="CP470" s="118" t="str">
        <f t="shared" si="666"/>
        <v/>
      </c>
      <c r="CQ470" s="119" t="str">
        <f t="shared" si="623"/>
        <v/>
      </c>
      <c r="CR470" s="66" t="str">
        <f>+IF($W470="","",ROUND((VLOOKUP(Parámetros!$F$51,'COBERTURAS ADICIONALES'!$S$4:$T$32,2,FALSE)*(1+i/frec)^-0.5*(1+Parámetros!$D$103)*(1+rec_fracc)/frec*$CO$42),2))</f>
        <v/>
      </c>
      <c r="CS470" s="119" t="str">
        <f t="shared" si="624"/>
        <v/>
      </c>
      <c r="CT470" s="66" t="str">
        <f>+IF($W470="","",ROUND(IF($B470&gt;Parámetros!$D$107,'Tablas Servicio'!CR470+('Tablas Servicio'!CT469-'Tablas Servicio'!CR469),CR470/(1-IF(B470&lt;=10,Parámetros!$D$100,0))),2))</f>
        <v/>
      </c>
      <c r="CU470" s="66" t="str">
        <f t="shared" si="625"/>
        <v/>
      </c>
      <c r="CV470" s="66" t="str">
        <f t="shared" si="625"/>
        <v/>
      </c>
      <c r="CW470" s="66" t="str">
        <f>+IF($W470="","",ROUND((CT470*Parámetros!$G$85),2))</f>
        <v/>
      </c>
      <c r="CX470" s="66" t="str">
        <f>+IF($W470="","",ROUND((CT470*(Parámetros!$G$86)),2))</f>
        <v/>
      </c>
      <c r="CY470" s="66" t="str">
        <f t="shared" si="626"/>
        <v/>
      </c>
      <c r="CZ470" t="str">
        <f t="shared" si="667"/>
        <v/>
      </c>
      <c r="DA470" s="118" t="str">
        <f t="shared" si="668"/>
        <v/>
      </c>
      <c r="DB470" s="118" t="str">
        <f t="shared" si="669"/>
        <v/>
      </c>
      <c r="DC470" s="118" t="str">
        <f t="shared" si="670"/>
        <v/>
      </c>
      <c r="DD470" s="121" t="str">
        <f>+IF(OR($W470="",DB470=0),"",ROUND((VLOOKUP(ROUNDDOWN($D470-1/frec,0),cob_adi,CO$40,FALSE)*(1+i/frec)^-0.5*(1+Parámetros!$D$103)*(1+rec_fracc)/frec),6))</f>
        <v/>
      </c>
      <c r="DE470" s="66" t="str">
        <f t="shared" si="627"/>
        <v/>
      </c>
      <c r="DF470" s="119" t="str">
        <f t="shared" si="628"/>
        <v/>
      </c>
      <c r="DG470" s="66" t="str">
        <f>+IF($W470="","",ROUND(IF($B470&gt;Parámetros!$D$107,'Tablas Servicio'!DE470+('Tablas Servicio'!DG469-'Tablas Servicio'!DE469),DE470/(1-IF(B470&lt;=10,Parámetros!$D$100,0))),2))</f>
        <v/>
      </c>
      <c r="DH470" s="66" t="str">
        <f t="shared" si="629"/>
        <v/>
      </c>
      <c r="DI470" s="66" t="str">
        <f t="shared" si="629"/>
        <v/>
      </c>
      <c r="DJ470" s="66" t="str">
        <f>+IF($W470="","",ROUND((DG470*Parámetros!$G$85),2))</f>
        <v/>
      </c>
      <c r="DK470" s="66" t="str">
        <f>+IF($W470="","",ROUND((DG470*(Parámetros!$G$86)),2))</f>
        <v/>
      </c>
      <c r="DL470" s="66" t="str">
        <f t="shared" si="630"/>
        <v/>
      </c>
      <c r="DM470" t="str">
        <f t="shared" si="671"/>
        <v/>
      </c>
      <c r="DN470" s="118" t="str">
        <f t="shared" si="672"/>
        <v/>
      </c>
      <c r="DO470" s="118" t="str">
        <f t="shared" si="673"/>
        <v/>
      </c>
      <c r="DP470" s="118" t="str">
        <f t="shared" si="674"/>
        <v/>
      </c>
      <c r="DQ470" s="122" t="str">
        <f>+IF(OR($W470="",DO470=0),"",ROUND((VLOOKUP(ROUNDDOWN($D470-1/frec,0),cob_adi,DB$40,FALSE)*(1+i/frec)^-0.5*(1+Parámetros!$D$103)*(1+rec_fracc)/frec),6))</f>
        <v/>
      </c>
      <c r="DR470" s="66" t="str">
        <f t="shared" si="631"/>
        <v/>
      </c>
      <c r="DS470" s="68" t="str">
        <f t="shared" si="632"/>
        <v/>
      </c>
      <c r="DT470" s="66" t="str">
        <f>+IF($W470="","",ROUND(IF($B470&gt;Parámetros!$D$107,'Tablas Servicio'!DR470+('Tablas Servicio'!DT469-'Tablas Servicio'!DR469),DR470/(1-IF(B470&lt;=10,Parámetros!$D$100,0))),2))</f>
        <v/>
      </c>
      <c r="DU470" s="66" t="str">
        <f t="shared" si="633"/>
        <v/>
      </c>
      <c r="DV470" s="66" t="str">
        <f t="shared" si="633"/>
        <v/>
      </c>
      <c r="DW470" s="66" t="str">
        <f>+IF($W470="","",ROUND((DT470*Parámetros!$G$85),2))</f>
        <v/>
      </c>
      <c r="DX470" s="66" t="str">
        <f>+IF($W470="","",ROUND((DT470*(Parámetros!$G$86)),2))</f>
        <v/>
      </c>
      <c r="DY470" s="66" t="str">
        <f t="shared" si="634"/>
        <v/>
      </c>
      <c r="DZ470" t="str">
        <f t="shared" si="676"/>
        <v/>
      </c>
      <c r="EA470" s="118" t="str">
        <f t="shared" si="676"/>
        <v/>
      </c>
      <c r="EB470" s="118" t="str">
        <f>+IF($W470="","",ROUND(IF(Parámetros!$D$25='TABLAS MORT'!$V$33,EB469,Z470/2),0))</f>
        <v/>
      </c>
      <c r="EC470" s="118" t="str">
        <f t="shared" si="676"/>
        <v/>
      </c>
      <c r="ED470" s="122" t="str">
        <f>+IF(OR($W470="",EB470=0),"",ROUND((VLOOKUP(ROUNDDOWN($D470-1/frec,0),cob_adi,DO$40,FALSE)*(1+i/frec)^-0.5*(1+Parámetros!$D$103)*(1+rec_fracc)/frec),6))</f>
        <v/>
      </c>
      <c r="EE470" s="66" t="str">
        <f t="shared" si="636"/>
        <v/>
      </c>
      <c r="EF470" s="68" t="str">
        <f t="shared" si="637"/>
        <v/>
      </c>
      <c r="EG470" s="66" t="str">
        <f>+IF($W470="","",ROUND(IF($B470&gt;Parámetros!$D$107,'Tablas Servicio'!EE470+('Tablas Servicio'!EG469-'Tablas Servicio'!EE469),EE470/(1-IF(B470&lt;=10,Parámetros!$D$100,0))),2))</f>
        <v/>
      </c>
      <c r="EH470" s="66" t="str">
        <f t="shared" si="638"/>
        <v/>
      </c>
      <c r="EI470" s="66" t="str">
        <f t="shared" si="638"/>
        <v/>
      </c>
      <c r="EJ470" s="66" t="str">
        <f>+IF($W470="","",ROUND((EG470*Parámetros!$G$85),2))</f>
        <v/>
      </c>
      <c r="EK470" s="66" t="str">
        <f>+IF($W470="","",ROUND((EG470*(Parámetros!$G$86)),2))</f>
        <v/>
      </c>
      <c r="EL470" s="66" t="str">
        <f t="shared" si="639"/>
        <v/>
      </c>
    </row>
    <row r="471" spans="1:142" x14ac:dyDescent="0.25">
      <c r="A471" t="str">
        <f>+IF($C471="","",ROUND(VLOOKUP('Tablas Servicio'!B471,Parámetros!$H$100:$J$159,IF(Parámetros!$E$16="F",2,3),FALSE),2))</f>
        <v/>
      </c>
      <c r="B471" t="str">
        <f t="shared" si="590"/>
        <v/>
      </c>
      <c r="C471" s="57" t="str">
        <f>+IF(D471="","",'Tablas Servicio'!C470+1)</f>
        <v/>
      </c>
      <c r="D471" s="56" t="str">
        <f>+IF(D470&lt;edadmaxtabla,D470+1/Parámetros!$E$25,"")</f>
        <v/>
      </c>
      <c r="E471" s="57" t="str">
        <f t="shared" si="600"/>
        <v/>
      </c>
      <c r="F471" s="59" t="str">
        <f t="shared" si="601"/>
        <v/>
      </c>
      <c r="G471" s="66" t="str">
        <f t="shared" si="591"/>
        <v/>
      </c>
      <c r="H471" s="66" t="str">
        <f t="shared" si="592"/>
        <v/>
      </c>
      <c r="I471" s="66" t="str">
        <f t="shared" si="640"/>
        <v/>
      </c>
      <c r="J471" s="66" t="str">
        <f t="shared" si="593"/>
        <v/>
      </c>
      <c r="K471" s="66" t="str">
        <f t="shared" si="594"/>
        <v/>
      </c>
      <c r="L471" s="66" t="str">
        <f t="shared" si="595"/>
        <v/>
      </c>
      <c r="M471" s="66" t="str">
        <f t="shared" si="596"/>
        <v/>
      </c>
      <c r="N471" s="66" t="str">
        <f>+IF(C471="","",ROUND(Parámetros!$D$23,2))</f>
        <v/>
      </c>
      <c r="O471" s="66" t="str">
        <f t="shared" si="597"/>
        <v/>
      </c>
      <c r="P471" s="66" t="str">
        <f>+IF($C471="","",ROUND(IF(B471&gt;Parámetros!$D$117,0,N471*Parámetros!$D$116-G471*Parámetros!$D$100),2))</f>
        <v/>
      </c>
      <c r="Q471" s="75" t="str">
        <f t="shared" si="641"/>
        <v/>
      </c>
      <c r="R471" s="75" t="str">
        <f t="shared" si="642"/>
        <v/>
      </c>
      <c r="S471" s="117" t="str">
        <f>+IF($C471="","",ROUND((S470+I471)*(1+Parámetros!$D$91),2))</f>
        <v/>
      </c>
      <c r="T471" s="117" t="str">
        <f>+IF($C471="","",ROUND(S471*VLOOKUP(B471,Parámetros!$C$30:$D$39,2,TRUE),2))</f>
        <v/>
      </c>
      <c r="U471" s="117" t="str">
        <f>+IF($C471="","",ROUND((U470+I471)*(1+Parámetros!$D$92),2))</f>
        <v/>
      </c>
      <c r="V471" s="117" t="str">
        <f>+IF($C471="","",ROUND(U471*VLOOKUP(B471,Parámetros!$C$30:$D$39,2,TRUE),2))</f>
        <v/>
      </c>
      <c r="W471" s="57" t="str">
        <f t="shared" si="643"/>
        <v/>
      </c>
      <c r="X471" t="str">
        <f t="shared" si="644"/>
        <v/>
      </c>
      <c r="Y471" t="str">
        <f t="shared" si="645"/>
        <v/>
      </c>
      <c r="Z471" s="118" t="str">
        <f>+IF($W471="","",ROUND(IF(Parámetros!$D$25='TABLAS MORT'!$V$33,Z470,Parámetros!$D$21-'Tablas Servicio'!T470),0))</f>
        <v/>
      </c>
      <c r="AA471" s="118" t="str">
        <f t="shared" si="646"/>
        <v/>
      </c>
      <c r="AB471" s="119" t="str">
        <f>+IF(W471="","",ROUND((VLOOKUP(ROUNDDOWN($D471-1/frec,0),qx_tabla,2,FALSE)*(1+i/frec)^-0.5*(1+Parámetros!$D$103)*(1+rec_fracc)/frec),6))</f>
        <v/>
      </c>
      <c r="AC471" s="66" t="str">
        <f t="shared" si="602"/>
        <v/>
      </c>
      <c r="AD471" s="119" t="str">
        <f t="shared" si="598"/>
        <v/>
      </c>
      <c r="AE471" s="66" t="str">
        <f>+IF($W471="","",ROUND(IF($B471&gt;Parámetros!$D$107,'Tablas Servicio'!AC471+('Tablas Servicio'!AG470-'Tablas Servicio'!AC470),AC471/(1-IF(B471&lt;=10,Parámetros!$D$104,Parámetros!$D$105))),2))</f>
        <v/>
      </c>
      <c r="AF471" s="66" t="str">
        <f>+IF($W471="","",ROUND(IF($B471&gt;Parámetros!$D$107,'Tablas Servicio'!AC471+('Tablas Servicio'!AG470-'Tablas Servicio'!AC470),(AC471+$A470/frec)/(1-IF(B471&lt;=Parámetros!$D$117,Parámetros!$D$100,0))),2))</f>
        <v/>
      </c>
      <c r="AG471" s="66" t="str">
        <f t="shared" si="603"/>
        <v/>
      </c>
      <c r="AH471" s="66" t="str">
        <f t="shared" si="604"/>
        <v/>
      </c>
      <c r="AI471" s="66" t="str">
        <f t="shared" si="605"/>
        <v/>
      </c>
      <c r="AJ471" s="66" t="str">
        <f>+IF($W471="","",ROUND((AG471*Parámetros!$G$85),2))</f>
        <v/>
      </c>
      <c r="AK471" s="66" t="str">
        <f>+IF($W471="","",ROUND((AG471*(Parámetros!$G$86)),2))</f>
        <v/>
      </c>
      <c r="AL471" s="66" t="str">
        <f t="shared" si="599"/>
        <v/>
      </c>
      <c r="AM471" t="str">
        <f t="shared" si="647"/>
        <v/>
      </c>
      <c r="AN471" t="str">
        <f t="shared" si="648"/>
        <v/>
      </c>
      <c r="AO471" s="118" t="str">
        <f t="shared" si="649"/>
        <v/>
      </c>
      <c r="AP471" s="118" t="str">
        <f t="shared" si="650"/>
        <v/>
      </c>
      <c r="AQ471" s="119" t="str">
        <f>+IF(OR($W471="",AO471=0),"",ROUND((VLOOKUP(ROUNDDOWN($D471-1/frec,0),cob_adi,Z$40,FALSE)*(1+i/frec)^-0.5*(1+Parámetros!$D$103)*(1+rec_fracc)/frec),6))</f>
        <v/>
      </c>
      <c r="AR471" s="66" t="str">
        <f t="shared" si="606"/>
        <v/>
      </c>
      <c r="AS471" s="119" t="str">
        <f t="shared" si="607"/>
        <v/>
      </c>
      <c r="AT471" s="66" t="str">
        <f>+IF($W471="","",ROUND(IF($B471&gt;Parámetros!$D$107,'Tablas Servicio'!AR471+('Tablas Servicio'!AT470-'Tablas Servicio'!AR470),AR471/(1-IF(B471&lt;=10,Parámetros!$D$100,0))),2))</f>
        <v/>
      </c>
      <c r="AU471" s="66" t="str">
        <f t="shared" si="608"/>
        <v/>
      </c>
      <c r="AV471" s="66" t="str">
        <f t="shared" si="608"/>
        <v/>
      </c>
      <c r="AW471" s="66" t="str">
        <f>+IF($W471="","",ROUND((AT471*Parámetros!$G$85),2))</f>
        <v/>
      </c>
      <c r="AX471" s="66" t="str">
        <f>+IF($W471="","",ROUND((AT471*(Parámetros!$G$86)),2))</f>
        <v/>
      </c>
      <c r="AY471" s="66" t="str">
        <f t="shared" si="609"/>
        <v/>
      </c>
      <c r="AZ471" t="str">
        <f t="shared" si="651"/>
        <v/>
      </c>
      <c r="BA471" t="str">
        <f t="shared" si="652"/>
        <v/>
      </c>
      <c r="BB471" s="118" t="str">
        <f t="shared" si="653"/>
        <v/>
      </c>
      <c r="BC471" s="118" t="str">
        <f t="shared" si="654"/>
        <v/>
      </c>
      <c r="BD471" s="119" t="str">
        <f>+IF(OR($W471="",BB471=0),"",ROUND((VLOOKUP(ROUNDDOWN($D471-1/frec,0),cob_adi,AO$40,FALSE)*(1+i/frec)^-0.5*(1+Parámetros!$D$103)*(1+rec_fracc)/frec),6))</f>
        <v/>
      </c>
      <c r="BE471" s="66" t="str">
        <f t="shared" si="610"/>
        <v/>
      </c>
      <c r="BF471" s="119" t="str">
        <f t="shared" si="611"/>
        <v/>
      </c>
      <c r="BG471" s="66" t="str">
        <f>+IF($W471="","",ROUND(IF($B471&gt;Parámetros!$D$107,'Tablas Servicio'!BE471+('Tablas Servicio'!BG470-'Tablas Servicio'!BE470),BE471/(1-IF(B471&lt;=10,Parámetros!$D$100,0))),2))</f>
        <v/>
      </c>
      <c r="BH471" s="66" t="str">
        <f t="shared" si="612"/>
        <v/>
      </c>
      <c r="BI471" s="66" t="str">
        <f t="shared" si="613"/>
        <v/>
      </c>
      <c r="BJ471" s="66" t="str">
        <f>+IF($W471="","",ROUND((BG471*Parámetros!$G$85),2))</f>
        <v/>
      </c>
      <c r="BK471" s="66" t="str">
        <f>+IF($W471="","",ROUND((BG471*(Parámetros!$G$86)),2))</f>
        <v/>
      </c>
      <c r="BL471" s="66" t="str">
        <f t="shared" si="614"/>
        <v/>
      </c>
      <c r="BM471" t="str">
        <f t="shared" si="655"/>
        <v/>
      </c>
      <c r="BN471" t="str">
        <f t="shared" si="656"/>
        <v/>
      </c>
      <c r="BO471" s="118" t="str">
        <f t="shared" si="657"/>
        <v/>
      </c>
      <c r="BP471" s="118" t="str">
        <f t="shared" si="658"/>
        <v/>
      </c>
      <c r="BQ471" s="119" t="str">
        <f>+IF(OR($W471="",BO471=0),"",ROUND((VLOOKUP(ROUNDDOWN($D471-1/frec,0),cob_adi,BB$40,FALSE)*(1+i/frec)^-0.5*(1+Parámetros!$D$103)*(1+rec_fracc)/frec),6))</f>
        <v/>
      </c>
      <c r="BR471" s="66" t="str">
        <f t="shared" si="615"/>
        <v/>
      </c>
      <c r="BS471" s="119" t="str">
        <f t="shared" si="616"/>
        <v/>
      </c>
      <c r="BT471" s="66" t="str">
        <f>+IF($W471="","",ROUND(IF($B471&gt;Parámetros!$D$107,'Tablas Servicio'!BR471+('Tablas Servicio'!BT470-'Tablas Servicio'!BR470),BR471/(1-IF(B471&lt;=10,Parámetros!$D$100,0))),2))</f>
        <v/>
      </c>
      <c r="BU471" s="66" t="str">
        <f t="shared" si="617"/>
        <v/>
      </c>
      <c r="BV471" s="66" t="str">
        <f t="shared" si="617"/>
        <v/>
      </c>
      <c r="BW471" s="66" t="str">
        <f>+IF($W471="","",ROUND((BT471*Parámetros!$G$85),2))</f>
        <v/>
      </c>
      <c r="BX471" s="66" t="str">
        <f>+IF($W471="","",ROUND((BT471*(Parámetros!$G$86)),2))</f>
        <v/>
      </c>
      <c r="BY471" s="66" t="str">
        <f t="shared" si="618"/>
        <v/>
      </c>
      <c r="BZ471" t="str">
        <f t="shared" si="659"/>
        <v/>
      </c>
      <c r="CA471" t="str">
        <f t="shared" si="660"/>
        <v/>
      </c>
      <c r="CB471" s="118" t="str">
        <f t="shared" si="661"/>
        <v/>
      </c>
      <c r="CC471" s="118" t="str">
        <f t="shared" si="662"/>
        <v/>
      </c>
      <c r="CD471" s="119" t="str">
        <f t="shared" si="619"/>
        <v/>
      </c>
      <c r="CE471" s="66" t="str">
        <f>+IF($W471="","",ROUND((VLOOKUP(ROUNDDOWN($D471-1/frec,0),cob_adi,BO$40,FALSE)*(1+i/frec)^-0.5*(1+Parámetros!$D$103)*(1+rec_fracc)/frec*'TABLAS ADI'!$BC$17),2))</f>
        <v/>
      </c>
      <c r="CF471" s="119" t="str">
        <f t="shared" si="620"/>
        <v/>
      </c>
      <c r="CG471" s="66" t="str">
        <f>+IF($W471="","",ROUND(IF($B471&gt;Parámetros!$D$107,'Tablas Servicio'!CE471+('Tablas Servicio'!CG470-'Tablas Servicio'!CE470),CE471/(1-IF(B471&lt;=10,Parámetros!$D$100,0))),2))</f>
        <v/>
      </c>
      <c r="CH471" s="66" t="str">
        <f t="shared" si="621"/>
        <v/>
      </c>
      <c r="CI471" s="66" t="str">
        <f t="shared" si="621"/>
        <v/>
      </c>
      <c r="CJ471" s="66" t="str">
        <f>+IF($W471="","",ROUND((CG471*Parámetros!$G$85),2))</f>
        <v/>
      </c>
      <c r="CK471" s="66" t="str">
        <f>+IF($W471="","",ROUND((CG471*(Parámetros!$G$86)),2))</f>
        <v/>
      </c>
      <c r="CL471" s="66" t="str">
        <f t="shared" si="622"/>
        <v/>
      </c>
      <c r="CM471" t="str">
        <f t="shared" si="663"/>
        <v/>
      </c>
      <c r="CN471" s="118" t="str">
        <f t="shared" si="664"/>
        <v/>
      </c>
      <c r="CO471" s="118" t="str">
        <f t="shared" si="665"/>
        <v/>
      </c>
      <c r="CP471" s="118" t="str">
        <f t="shared" si="666"/>
        <v/>
      </c>
      <c r="CQ471" s="119" t="str">
        <f t="shared" si="623"/>
        <v/>
      </c>
      <c r="CR471" s="66" t="str">
        <f>+IF($W471="","",ROUND((VLOOKUP(Parámetros!$F$51,'COBERTURAS ADICIONALES'!$S$4:$T$32,2,FALSE)*(1+i/frec)^-0.5*(1+Parámetros!$D$103)*(1+rec_fracc)/frec*$CO$42),2))</f>
        <v/>
      </c>
      <c r="CS471" s="119" t="str">
        <f t="shared" si="624"/>
        <v/>
      </c>
      <c r="CT471" s="66" t="str">
        <f>+IF($W471="","",ROUND(IF($B471&gt;Parámetros!$D$107,'Tablas Servicio'!CR471+('Tablas Servicio'!CT470-'Tablas Servicio'!CR470),CR471/(1-IF(B471&lt;=10,Parámetros!$D$100,0))),2))</f>
        <v/>
      </c>
      <c r="CU471" s="66" t="str">
        <f t="shared" si="625"/>
        <v/>
      </c>
      <c r="CV471" s="66" t="str">
        <f t="shared" si="625"/>
        <v/>
      </c>
      <c r="CW471" s="66" t="str">
        <f>+IF($W471="","",ROUND((CT471*Parámetros!$G$85),2))</f>
        <v/>
      </c>
      <c r="CX471" s="66" t="str">
        <f>+IF($W471="","",ROUND((CT471*(Parámetros!$G$86)),2))</f>
        <v/>
      </c>
      <c r="CY471" s="66" t="str">
        <f t="shared" si="626"/>
        <v/>
      </c>
      <c r="CZ471" t="str">
        <f t="shared" si="667"/>
        <v/>
      </c>
      <c r="DA471" s="118" t="str">
        <f t="shared" si="668"/>
        <v/>
      </c>
      <c r="DB471" s="118" t="str">
        <f t="shared" si="669"/>
        <v/>
      </c>
      <c r="DC471" s="118" t="str">
        <f t="shared" si="670"/>
        <v/>
      </c>
      <c r="DD471" s="121" t="str">
        <f>+IF(OR($W471="",DB471=0),"",ROUND((VLOOKUP(ROUNDDOWN($D471-1/frec,0),cob_adi,CO$40,FALSE)*(1+i/frec)^-0.5*(1+Parámetros!$D$103)*(1+rec_fracc)/frec),6))</f>
        <v/>
      </c>
      <c r="DE471" s="66" t="str">
        <f t="shared" si="627"/>
        <v/>
      </c>
      <c r="DF471" s="119" t="str">
        <f t="shared" si="628"/>
        <v/>
      </c>
      <c r="DG471" s="66" t="str">
        <f>+IF($W471="","",ROUND(IF($B471&gt;Parámetros!$D$107,'Tablas Servicio'!DE471+('Tablas Servicio'!DG470-'Tablas Servicio'!DE470),DE471/(1-IF(B471&lt;=10,Parámetros!$D$100,0))),2))</f>
        <v/>
      </c>
      <c r="DH471" s="66" t="str">
        <f t="shared" si="629"/>
        <v/>
      </c>
      <c r="DI471" s="66" t="str">
        <f t="shared" si="629"/>
        <v/>
      </c>
      <c r="DJ471" s="66" t="str">
        <f>+IF($W471="","",ROUND((DG471*Parámetros!$G$85),2))</f>
        <v/>
      </c>
      <c r="DK471" s="66" t="str">
        <f>+IF($W471="","",ROUND((DG471*(Parámetros!$G$86)),2))</f>
        <v/>
      </c>
      <c r="DL471" s="66" t="str">
        <f t="shared" si="630"/>
        <v/>
      </c>
      <c r="DM471" t="str">
        <f t="shared" si="671"/>
        <v/>
      </c>
      <c r="DN471" s="118" t="str">
        <f t="shared" si="672"/>
        <v/>
      </c>
      <c r="DO471" s="118" t="str">
        <f t="shared" si="673"/>
        <v/>
      </c>
      <c r="DP471" s="118" t="str">
        <f t="shared" si="674"/>
        <v/>
      </c>
      <c r="DQ471" s="122" t="str">
        <f>+IF(OR($W471="",DO471=0),"",ROUND((VLOOKUP(ROUNDDOWN($D471-1/frec,0),cob_adi,DB$40,FALSE)*(1+i/frec)^-0.5*(1+Parámetros!$D$103)*(1+rec_fracc)/frec),6))</f>
        <v/>
      </c>
      <c r="DR471" s="66" t="str">
        <f t="shared" si="631"/>
        <v/>
      </c>
      <c r="DS471" s="68" t="str">
        <f t="shared" si="632"/>
        <v/>
      </c>
      <c r="DT471" s="66" t="str">
        <f>+IF($W471="","",ROUND(IF($B471&gt;Parámetros!$D$107,'Tablas Servicio'!DR471+('Tablas Servicio'!DT470-'Tablas Servicio'!DR470),DR471/(1-IF(B471&lt;=10,Parámetros!$D$100,0))),2))</f>
        <v/>
      </c>
      <c r="DU471" s="66" t="str">
        <f t="shared" si="633"/>
        <v/>
      </c>
      <c r="DV471" s="66" t="str">
        <f t="shared" si="633"/>
        <v/>
      </c>
      <c r="DW471" s="66" t="str">
        <f>+IF($W471="","",ROUND((DT471*Parámetros!$G$85),2))</f>
        <v/>
      </c>
      <c r="DX471" s="66" t="str">
        <f>+IF($W471="","",ROUND((DT471*(Parámetros!$G$86)),2))</f>
        <v/>
      </c>
      <c r="DY471" s="66" t="str">
        <f t="shared" si="634"/>
        <v/>
      </c>
      <c r="DZ471" t="str">
        <f t="shared" si="676"/>
        <v/>
      </c>
      <c r="EA471" s="118" t="str">
        <f t="shared" si="676"/>
        <v/>
      </c>
      <c r="EB471" s="118" t="str">
        <f>+IF($W471="","",ROUND(IF(Parámetros!$D$25='TABLAS MORT'!$V$33,EB470,Z471/2),0))</f>
        <v/>
      </c>
      <c r="EC471" s="118" t="str">
        <f t="shared" si="676"/>
        <v/>
      </c>
      <c r="ED471" s="122" t="str">
        <f>+IF(OR($W471="",EB471=0),"",ROUND((VLOOKUP(ROUNDDOWN($D471-1/frec,0),cob_adi,DO$40,FALSE)*(1+i/frec)^-0.5*(1+Parámetros!$D$103)*(1+rec_fracc)/frec),6))</f>
        <v/>
      </c>
      <c r="EE471" s="66" t="str">
        <f t="shared" si="636"/>
        <v/>
      </c>
      <c r="EF471" s="68" t="str">
        <f t="shared" si="637"/>
        <v/>
      </c>
      <c r="EG471" s="66" t="str">
        <f>+IF($W471="","",ROUND(IF($B471&gt;Parámetros!$D$107,'Tablas Servicio'!EE471+('Tablas Servicio'!EG470-'Tablas Servicio'!EE470),EE471/(1-IF(B471&lt;=10,Parámetros!$D$100,0))),2))</f>
        <v/>
      </c>
      <c r="EH471" s="66" t="str">
        <f t="shared" si="638"/>
        <v/>
      </c>
      <c r="EI471" s="66" t="str">
        <f t="shared" si="638"/>
        <v/>
      </c>
      <c r="EJ471" s="66" t="str">
        <f>+IF($W471="","",ROUND((EG471*Parámetros!$G$85),2))</f>
        <v/>
      </c>
      <c r="EK471" s="66" t="str">
        <f>+IF($W471="","",ROUND((EG471*(Parámetros!$G$86)),2))</f>
        <v/>
      </c>
      <c r="EL471" s="66" t="str">
        <f t="shared" si="639"/>
        <v/>
      </c>
    </row>
    <row r="472" spans="1:142" x14ac:dyDescent="0.25">
      <c r="A472" t="str">
        <f>+IF($C472="","",ROUND(VLOOKUP('Tablas Servicio'!B472,Parámetros!$H$100:$J$159,IF(Parámetros!$E$16="F",2,3),FALSE),2))</f>
        <v/>
      </c>
      <c r="B472" t="str">
        <f t="shared" si="590"/>
        <v/>
      </c>
      <c r="C472" s="57" t="str">
        <f>+IF(D472="","",'Tablas Servicio'!C471+1)</f>
        <v/>
      </c>
      <c r="D472" s="56" t="str">
        <f>+IF(D471&lt;edadmaxtabla,D471+1/Parámetros!$E$25,"")</f>
        <v/>
      </c>
      <c r="E472" s="57" t="str">
        <f t="shared" si="600"/>
        <v/>
      </c>
      <c r="F472" s="59" t="str">
        <f t="shared" si="601"/>
        <v/>
      </c>
      <c r="G472" s="66" t="str">
        <f t="shared" si="591"/>
        <v/>
      </c>
      <c r="H472" s="66" t="str">
        <f t="shared" si="592"/>
        <v/>
      </c>
      <c r="I472" s="66" t="str">
        <f t="shared" si="640"/>
        <v/>
      </c>
      <c r="J472" s="66" t="str">
        <f t="shared" si="593"/>
        <v/>
      </c>
      <c r="K472" s="66" t="str">
        <f t="shared" si="594"/>
        <v/>
      </c>
      <c r="L472" s="66" t="str">
        <f t="shared" si="595"/>
        <v/>
      </c>
      <c r="M472" s="66" t="str">
        <f t="shared" si="596"/>
        <v/>
      </c>
      <c r="N472" s="66" t="str">
        <f>+IF(C472="","",ROUND(Parámetros!$D$23,2))</f>
        <v/>
      </c>
      <c r="O472" s="66" t="str">
        <f t="shared" si="597"/>
        <v/>
      </c>
      <c r="P472" s="66" t="str">
        <f>+IF($C472="","",ROUND(IF(B472&gt;Parámetros!$D$117,0,N472*Parámetros!$D$116-G472*Parámetros!$D$100),2))</f>
        <v/>
      </c>
      <c r="Q472" s="75" t="str">
        <f t="shared" si="641"/>
        <v/>
      </c>
      <c r="R472" s="75" t="str">
        <f t="shared" si="642"/>
        <v/>
      </c>
      <c r="S472" s="117" t="str">
        <f>+IF($C472="","",ROUND((S471+I472)*(1+Parámetros!$D$91),2))</f>
        <v/>
      </c>
      <c r="T472" s="117" t="str">
        <f>+IF($C472="","",ROUND(S472*VLOOKUP(B472,Parámetros!$C$30:$D$39,2,TRUE),2))</f>
        <v/>
      </c>
      <c r="U472" s="117" t="str">
        <f>+IF($C472="","",ROUND((U471+I472)*(1+Parámetros!$D$92),2))</f>
        <v/>
      </c>
      <c r="V472" s="117" t="str">
        <f>+IF($C472="","",ROUND(U472*VLOOKUP(B472,Parámetros!$C$30:$D$39,2,TRUE),2))</f>
        <v/>
      </c>
      <c r="W472" s="57" t="str">
        <f t="shared" si="643"/>
        <v/>
      </c>
      <c r="X472" t="str">
        <f t="shared" si="644"/>
        <v/>
      </c>
      <c r="Y472" t="str">
        <f t="shared" si="645"/>
        <v/>
      </c>
      <c r="Z472" s="118" t="str">
        <f>+IF($W472="","",ROUND(IF(Parámetros!$D$25='TABLAS MORT'!$V$33,Z471,Parámetros!$D$21-'Tablas Servicio'!T471),0))</f>
        <v/>
      </c>
      <c r="AA472" s="118" t="str">
        <f t="shared" si="646"/>
        <v/>
      </c>
      <c r="AB472" s="119" t="str">
        <f>+IF(W472="","",ROUND((VLOOKUP(ROUNDDOWN($D472-1/frec,0),qx_tabla,2,FALSE)*(1+i/frec)^-0.5*(1+Parámetros!$D$103)*(1+rec_fracc)/frec),6))</f>
        <v/>
      </c>
      <c r="AC472" s="66" t="str">
        <f t="shared" si="602"/>
        <v/>
      </c>
      <c r="AD472" s="119" t="str">
        <f t="shared" si="598"/>
        <v/>
      </c>
      <c r="AE472" s="66" t="str">
        <f>+IF($W472="","",ROUND(IF($B472&gt;Parámetros!$D$107,'Tablas Servicio'!AC472+('Tablas Servicio'!AG471-'Tablas Servicio'!AC471),AC472/(1-IF(B472&lt;=10,Parámetros!$D$104,Parámetros!$D$105))),2))</f>
        <v/>
      </c>
      <c r="AF472" s="66" t="str">
        <f>+IF($W472="","",ROUND(IF($B472&gt;Parámetros!$D$107,'Tablas Servicio'!AC472+('Tablas Servicio'!AG471-'Tablas Servicio'!AC471),(AC472+$A471/frec)/(1-IF(B472&lt;=Parámetros!$D$117,Parámetros!$D$100,0))),2))</f>
        <v/>
      </c>
      <c r="AG472" s="66" t="str">
        <f t="shared" si="603"/>
        <v/>
      </c>
      <c r="AH472" s="66" t="str">
        <f t="shared" si="604"/>
        <v/>
      </c>
      <c r="AI472" s="66" t="str">
        <f t="shared" si="605"/>
        <v/>
      </c>
      <c r="AJ472" s="66" t="str">
        <f>+IF($W472="","",ROUND((AG472*Parámetros!$G$85),2))</f>
        <v/>
      </c>
      <c r="AK472" s="66" t="str">
        <f>+IF($W472="","",ROUND((AG472*(Parámetros!$G$86)),2))</f>
        <v/>
      </c>
      <c r="AL472" s="66" t="str">
        <f t="shared" si="599"/>
        <v/>
      </c>
      <c r="AM472" t="str">
        <f t="shared" si="647"/>
        <v/>
      </c>
      <c r="AN472" t="str">
        <f t="shared" si="648"/>
        <v/>
      </c>
      <c r="AO472" s="118" t="str">
        <f t="shared" si="649"/>
        <v/>
      </c>
      <c r="AP472" s="118" t="str">
        <f t="shared" si="650"/>
        <v/>
      </c>
      <c r="AQ472" s="119" t="str">
        <f>+IF(OR($W472="",AO472=0),"",ROUND((VLOOKUP(ROUNDDOWN($D472-1/frec,0),cob_adi,Z$40,FALSE)*(1+i/frec)^-0.5*(1+Parámetros!$D$103)*(1+rec_fracc)/frec),6))</f>
        <v/>
      </c>
      <c r="AR472" s="66" t="str">
        <f t="shared" si="606"/>
        <v/>
      </c>
      <c r="AS472" s="119" t="str">
        <f t="shared" si="607"/>
        <v/>
      </c>
      <c r="AT472" s="66" t="str">
        <f>+IF($W472="","",ROUND(IF($B472&gt;Parámetros!$D$107,'Tablas Servicio'!AR472+('Tablas Servicio'!AT471-'Tablas Servicio'!AR471),AR472/(1-IF(B472&lt;=10,Parámetros!$D$100,0))),2))</f>
        <v/>
      </c>
      <c r="AU472" s="66" t="str">
        <f t="shared" si="608"/>
        <v/>
      </c>
      <c r="AV472" s="66" t="str">
        <f t="shared" si="608"/>
        <v/>
      </c>
      <c r="AW472" s="66" t="str">
        <f>+IF($W472="","",ROUND((AT472*Parámetros!$G$85),2))</f>
        <v/>
      </c>
      <c r="AX472" s="66" t="str">
        <f>+IF($W472="","",ROUND((AT472*(Parámetros!$G$86)),2))</f>
        <v/>
      </c>
      <c r="AY472" s="66" t="str">
        <f t="shared" si="609"/>
        <v/>
      </c>
      <c r="AZ472" t="str">
        <f t="shared" si="651"/>
        <v/>
      </c>
      <c r="BA472" t="str">
        <f t="shared" si="652"/>
        <v/>
      </c>
      <c r="BB472" s="118" t="str">
        <f t="shared" si="653"/>
        <v/>
      </c>
      <c r="BC472" s="118" t="str">
        <f t="shared" si="654"/>
        <v/>
      </c>
      <c r="BD472" s="119" t="str">
        <f>+IF(OR($W472="",BB472=0),"",ROUND((VLOOKUP(ROUNDDOWN($D472-1/frec,0),cob_adi,AO$40,FALSE)*(1+i/frec)^-0.5*(1+Parámetros!$D$103)*(1+rec_fracc)/frec),6))</f>
        <v/>
      </c>
      <c r="BE472" s="66" t="str">
        <f t="shared" si="610"/>
        <v/>
      </c>
      <c r="BF472" s="119" t="str">
        <f t="shared" si="611"/>
        <v/>
      </c>
      <c r="BG472" s="66" t="str">
        <f>+IF($W472="","",ROUND(IF($B472&gt;Parámetros!$D$107,'Tablas Servicio'!BE472+('Tablas Servicio'!BG471-'Tablas Servicio'!BE471),BE472/(1-IF(B472&lt;=10,Parámetros!$D$100,0))),2))</f>
        <v/>
      </c>
      <c r="BH472" s="66" t="str">
        <f t="shared" si="612"/>
        <v/>
      </c>
      <c r="BI472" s="66" t="str">
        <f t="shared" si="613"/>
        <v/>
      </c>
      <c r="BJ472" s="66" t="str">
        <f>+IF($W472="","",ROUND((BG472*Parámetros!$G$85),2))</f>
        <v/>
      </c>
      <c r="BK472" s="66" t="str">
        <f>+IF($W472="","",ROUND((BG472*(Parámetros!$G$86)),2))</f>
        <v/>
      </c>
      <c r="BL472" s="66" t="str">
        <f t="shared" si="614"/>
        <v/>
      </c>
      <c r="BM472" t="str">
        <f t="shared" si="655"/>
        <v/>
      </c>
      <c r="BN472" t="str">
        <f t="shared" si="656"/>
        <v/>
      </c>
      <c r="BO472" s="118" t="str">
        <f t="shared" si="657"/>
        <v/>
      </c>
      <c r="BP472" s="118" t="str">
        <f t="shared" si="658"/>
        <v/>
      </c>
      <c r="BQ472" s="119" t="str">
        <f>+IF(OR($W472="",BO472=0),"",ROUND((VLOOKUP(ROUNDDOWN($D472-1/frec,0),cob_adi,BB$40,FALSE)*(1+i/frec)^-0.5*(1+Parámetros!$D$103)*(1+rec_fracc)/frec),6))</f>
        <v/>
      </c>
      <c r="BR472" s="66" t="str">
        <f t="shared" si="615"/>
        <v/>
      </c>
      <c r="BS472" s="119" t="str">
        <f t="shared" si="616"/>
        <v/>
      </c>
      <c r="BT472" s="66" t="str">
        <f>+IF($W472="","",ROUND(IF($B472&gt;Parámetros!$D$107,'Tablas Servicio'!BR472+('Tablas Servicio'!BT471-'Tablas Servicio'!BR471),BR472/(1-IF(B472&lt;=10,Parámetros!$D$100,0))),2))</f>
        <v/>
      </c>
      <c r="BU472" s="66" t="str">
        <f t="shared" si="617"/>
        <v/>
      </c>
      <c r="BV472" s="66" t="str">
        <f t="shared" si="617"/>
        <v/>
      </c>
      <c r="BW472" s="66" t="str">
        <f>+IF($W472="","",ROUND((BT472*Parámetros!$G$85),2))</f>
        <v/>
      </c>
      <c r="BX472" s="66" t="str">
        <f>+IF($W472="","",ROUND((BT472*(Parámetros!$G$86)),2))</f>
        <v/>
      </c>
      <c r="BY472" s="66" t="str">
        <f t="shared" si="618"/>
        <v/>
      </c>
      <c r="BZ472" t="str">
        <f t="shared" si="659"/>
        <v/>
      </c>
      <c r="CA472" t="str">
        <f t="shared" si="660"/>
        <v/>
      </c>
      <c r="CB472" s="118" t="str">
        <f t="shared" si="661"/>
        <v/>
      </c>
      <c r="CC472" s="118" t="str">
        <f t="shared" si="662"/>
        <v/>
      </c>
      <c r="CD472" s="119" t="str">
        <f t="shared" si="619"/>
        <v/>
      </c>
      <c r="CE472" s="66" t="str">
        <f>+IF($W472="","",ROUND((VLOOKUP(ROUNDDOWN($D472-1/frec,0),cob_adi,BO$40,FALSE)*(1+i/frec)^-0.5*(1+Parámetros!$D$103)*(1+rec_fracc)/frec*'TABLAS ADI'!$BC$17),2))</f>
        <v/>
      </c>
      <c r="CF472" s="119" t="str">
        <f t="shared" si="620"/>
        <v/>
      </c>
      <c r="CG472" s="66" t="str">
        <f>+IF($W472="","",ROUND(IF($B472&gt;Parámetros!$D$107,'Tablas Servicio'!CE472+('Tablas Servicio'!CG471-'Tablas Servicio'!CE471),CE472/(1-IF(B472&lt;=10,Parámetros!$D$100,0))),2))</f>
        <v/>
      </c>
      <c r="CH472" s="66" t="str">
        <f t="shared" si="621"/>
        <v/>
      </c>
      <c r="CI472" s="66" t="str">
        <f t="shared" si="621"/>
        <v/>
      </c>
      <c r="CJ472" s="66" t="str">
        <f>+IF($W472="","",ROUND((CG472*Parámetros!$G$85),2))</f>
        <v/>
      </c>
      <c r="CK472" s="66" t="str">
        <f>+IF($W472="","",ROUND((CG472*(Parámetros!$G$86)),2))</f>
        <v/>
      </c>
      <c r="CL472" s="66" t="str">
        <f t="shared" si="622"/>
        <v/>
      </c>
      <c r="CM472" t="str">
        <f t="shared" si="663"/>
        <v/>
      </c>
      <c r="CN472" s="118" t="str">
        <f t="shared" si="664"/>
        <v/>
      </c>
      <c r="CO472" s="118" t="str">
        <f t="shared" si="665"/>
        <v/>
      </c>
      <c r="CP472" s="118" t="str">
        <f t="shared" si="666"/>
        <v/>
      </c>
      <c r="CQ472" s="119" t="str">
        <f t="shared" si="623"/>
        <v/>
      </c>
      <c r="CR472" s="66" t="str">
        <f>+IF($W472="","",ROUND((VLOOKUP(Parámetros!$F$51,'COBERTURAS ADICIONALES'!$S$4:$T$32,2,FALSE)*(1+i/frec)^-0.5*(1+Parámetros!$D$103)*(1+rec_fracc)/frec*$CO$42),2))</f>
        <v/>
      </c>
      <c r="CS472" s="119" t="str">
        <f t="shared" si="624"/>
        <v/>
      </c>
      <c r="CT472" s="66" t="str">
        <f>+IF($W472="","",ROUND(IF($B472&gt;Parámetros!$D$107,'Tablas Servicio'!CR472+('Tablas Servicio'!CT471-'Tablas Servicio'!CR471),CR472/(1-IF(B472&lt;=10,Parámetros!$D$100,0))),2))</f>
        <v/>
      </c>
      <c r="CU472" s="66" t="str">
        <f t="shared" si="625"/>
        <v/>
      </c>
      <c r="CV472" s="66" t="str">
        <f t="shared" si="625"/>
        <v/>
      </c>
      <c r="CW472" s="66" t="str">
        <f>+IF($W472="","",ROUND((CT472*Parámetros!$G$85),2))</f>
        <v/>
      </c>
      <c r="CX472" s="66" t="str">
        <f>+IF($W472="","",ROUND((CT472*(Parámetros!$G$86)),2))</f>
        <v/>
      </c>
      <c r="CY472" s="66" t="str">
        <f t="shared" si="626"/>
        <v/>
      </c>
      <c r="CZ472" t="str">
        <f t="shared" si="667"/>
        <v/>
      </c>
      <c r="DA472" s="118" t="str">
        <f t="shared" si="668"/>
        <v/>
      </c>
      <c r="DB472" s="118" t="str">
        <f t="shared" si="669"/>
        <v/>
      </c>
      <c r="DC472" s="118" t="str">
        <f t="shared" si="670"/>
        <v/>
      </c>
      <c r="DD472" s="121" t="str">
        <f>+IF(OR($W472="",DB472=0),"",ROUND((VLOOKUP(ROUNDDOWN($D472-1/frec,0),cob_adi,CO$40,FALSE)*(1+i/frec)^-0.5*(1+Parámetros!$D$103)*(1+rec_fracc)/frec),6))</f>
        <v/>
      </c>
      <c r="DE472" s="66" t="str">
        <f t="shared" si="627"/>
        <v/>
      </c>
      <c r="DF472" s="119" t="str">
        <f t="shared" si="628"/>
        <v/>
      </c>
      <c r="DG472" s="66" t="str">
        <f>+IF($W472="","",ROUND(IF($B472&gt;Parámetros!$D$107,'Tablas Servicio'!DE472+('Tablas Servicio'!DG471-'Tablas Servicio'!DE471),DE472/(1-IF(B472&lt;=10,Parámetros!$D$100,0))),2))</f>
        <v/>
      </c>
      <c r="DH472" s="66" t="str">
        <f t="shared" si="629"/>
        <v/>
      </c>
      <c r="DI472" s="66" t="str">
        <f t="shared" si="629"/>
        <v/>
      </c>
      <c r="DJ472" s="66" t="str">
        <f>+IF($W472="","",ROUND((DG472*Parámetros!$G$85),2))</f>
        <v/>
      </c>
      <c r="DK472" s="66" t="str">
        <f>+IF($W472="","",ROUND((DG472*(Parámetros!$G$86)),2))</f>
        <v/>
      </c>
      <c r="DL472" s="66" t="str">
        <f t="shared" si="630"/>
        <v/>
      </c>
      <c r="DM472" t="str">
        <f t="shared" si="671"/>
        <v/>
      </c>
      <c r="DN472" s="118" t="str">
        <f t="shared" si="672"/>
        <v/>
      </c>
      <c r="DO472" s="118" t="str">
        <f t="shared" si="673"/>
        <v/>
      </c>
      <c r="DP472" s="118" t="str">
        <f t="shared" si="674"/>
        <v/>
      </c>
      <c r="DQ472" s="122" t="str">
        <f>+IF(OR($W472="",DO472=0),"",ROUND((VLOOKUP(ROUNDDOWN($D472-1/frec,0),cob_adi,DB$40,FALSE)*(1+i/frec)^-0.5*(1+Parámetros!$D$103)*(1+rec_fracc)/frec),6))</f>
        <v/>
      </c>
      <c r="DR472" s="66" t="str">
        <f t="shared" si="631"/>
        <v/>
      </c>
      <c r="DS472" s="68" t="str">
        <f t="shared" si="632"/>
        <v/>
      </c>
      <c r="DT472" s="66" t="str">
        <f>+IF($W472="","",ROUND(IF($B472&gt;Parámetros!$D$107,'Tablas Servicio'!DR472+('Tablas Servicio'!DT471-'Tablas Servicio'!DR471),DR472/(1-IF(B472&lt;=10,Parámetros!$D$100,0))),2))</f>
        <v/>
      </c>
      <c r="DU472" s="66" t="str">
        <f t="shared" si="633"/>
        <v/>
      </c>
      <c r="DV472" s="66" t="str">
        <f t="shared" si="633"/>
        <v/>
      </c>
      <c r="DW472" s="66" t="str">
        <f>+IF($W472="","",ROUND((DT472*Parámetros!$G$85),2))</f>
        <v/>
      </c>
      <c r="DX472" s="66" t="str">
        <f>+IF($W472="","",ROUND((DT472*(Parámetros!$G$86)),2))</f>
        <v/>
      </c>
      <c r="DY472" s="66" t="str">
        <f t="shared" si="634"/>
        <v/>
      </c>
      <c r="DZ472" t="str">
        <f t="shared" si="676"/>
        <v/>
      </c>
      <c r="EA472" s="118" t="str">
        <f t="shared" si="676"/>
        <v/>
      </c>
      <c r="EB472" s="118" t="str">
        <f>+IF($W472="","",ROUND(IF(Parámetros!$D$25='TABLAS MORT'!$V$33,EB471,Z472/2),0))</f>
        <v/>
      </c>
      <c r="EC472" s="118" t="str">
        <f t="shared" si="676"/>
        <v/>
      </c>
      <c r="ED472" s="122" t="str">
        <f>+IF(OR($W472="",EB472=0),"",ROUND((VLOOKUP(ROUNDDOWN($D472-1/frec,0),cob_adi,DO$40,FALSE)*(1+i/frec)^-0.5*(1+Parámetros!$D$103)*(1+rec_fracc)/frec),6))</f>
        <v/>
      </c>
      <c r="EE472" s="66" t="str">
        <f t="shared" si="636"/>
        <v/>
      </c>
      <c r="EF472" s="68" t="str">
        <f t="shared" si="637"/>
        <v/>
      </c>
      <c r="EG472" s="66" t="str">
        <f>+IF($W472="","",ROUND(IF($B472&gt;Parámetros!$D$107,'Tablas Servicio'!EE472+('Tablas Servicio'!EG471-'Tablas Servicio'!EE471),EE472/(1-IF(B472&lt;=10,Parámetros!$D$100,0))),2))</f>
        <v/>
      </c>
      <c r="EH472" s="66" t="str">
        <f t="shared" si="638"/>
        <v/>
      </c>
      <c r="EI472" s="66" t="str">
        <f t="shared" si="638"/>
        <v/>
      </c>
      <c r="EJ472" s="66" t="str">
        <f>+IF($W472="","",ROUND((EG472*Parámetros!$G$85),2))</f>
        <v/>
      </c>
      <c r="EK472" s="66" t="str">
        <f>+IF($W472="","",ROUND((EG472*(Parámetros!$G$86)),2))</f>
        <v/>
      </c>
      <c r="EL472" s="66" t="str">
        <f t="shared" si="639"/>
        <v/>
      </c>
    </row>
    <row r="473" spans="1:142" x14ac:dyDescent="0.25">
      <c r="A473" t="str">
        <f>+IF($C473="","",ROUND(VLOOKUP('Tablas Servicio'!B473,Parámetros!$H$100:$J$159,IF(Parámetros!$E$16="F",2,3),FALSE),2))</f>
        <v/>
      </c>
      <c r="B473" t="str">
        <f t="shared" si="590"/>
        <v/>
      </c>
      <c r="C473" s="57" t="str">
        <f>+IF(D473="","",'Tablas Servicio'!C472+1)</f>
        <v/>
      </c>
      <c r="D473" s="56" t="str">
        <f>+IF(D472&lt;edadmaxtabla,D472+1/Parámetros!$E$25,"")</f>
        <v/>
      </c>
      <c r="E473" s="57" t="str">
        <f t="shared" si="600"/>
        <v/>
      </c>
      <c r="F473" s="59" t="str">
        <f t="shared" si="601"/>
        <v/>
      </c>
      <c r="G473" s="66" t="str">
        <f t="shared" si="591"/>
        <v/>
      </c>
      <c r="H473" s="66" t="str">
        <f t="shared" si="592"/>
        <v/>
      </c>
      <c r="I473" s="66" t="str">
        <f t="shared" si="640"/>
        <v/>
      </c>
      <c r="J473" s="66" t="str">
        <f t="shared" si="593"/>
        <v/>
      </c>
      <c r="K473" s="66" t="str">
        <f t="shared" si="594"/>
        <v/>
      </c>
      <c r="L473" s="66" t="str">
        <f t="shared" si="595"/>
        <v/>
      </c>
      <c r="M473" s="66" t="str">
        <f t="shared" si="596"/>
        <v/>
      </c>
      <c r="N473" s="66" t="str">
        <f>+IF(C473="","",ROUND(Parámetros!$D$23,2))</f>
        <v/>
      </c>
      <c r="O473" s="66" t="str">
        <f t="shared" si="597"/>
        <v/>
      </c>
      <c r="P473" s="66" t="str">
        <f>+IF($C473="","",ROUND(IF(B473&gt;Parámetros!$D$117,0,N473*Parámetros!$D$116-G473*Parámetros!$D$100),2))</f>
        <v/>
      </c>
      <c r="Q473" s="75" t="str">
        <f t="shared" si="641"/>
        <v/>
      </c>
      <c r="R473" s="75" t="str">
        <f t="shared" si="642"/>
        <v/>
      </c>
      <c r="S473" s="117" t="str">
        <f>+IF($C473="","",ROUND((S472+I473)*(1+Parámetros!$D$91),2))</f>
        <v/>
      </c>
      <c r="T473" s="117" t="str">
        <f>+IF($C473="","",ROUND(S473*VLOOKUP(B473,Parámetros!$C$30:$D$39,2,TRUE),2))</f>
        <v/>
      </c>
      <c r="U473" s="117" t="str">
        <f>+IF($C473="","",ROUND((U472+I473)*(1+Parámetros!$D$92),2))</f>
        <v/>
      </c>
      <c r="V473" s="117" t="str">
        <f>+IF($C473="","",ROUND(U473*VLOOKUP(B473,Parámetros!$C$30:$D$39,2,TRUE),2))</f>
        <v/>
      </c>
      <c r="W473" s="57" t="str">
        <f t="shared" si="643"/>
        <v/>
      </c>
      <c r="X473" t="str">
        <f t="shared" si="644"/>
        <v/>
      </c>
      <c r="Y473" t="str">
        <f t="shared" si="645"/>
        <v/>
      </c>
      <c r="Z473" s="118" t="str">
        <f>+IF($W473="","",ROUND(IF(Parámetros!$D$25='TABLAS MORT'!$V$33,Z472,Parámetros!$D$21-'Tablas Servicio'!T472),0))</f>
        <v/>
      </c>
      <c r="AA473" s="118" t="str">
        <f t="shared" si="646"/>
        <v/>
      </c>
      <c r="AB473" s="119" t="str">
        <f>+IF(W473="","",ROUND((VLOOKUP(ROUNDDOWN($D473-1/frec,0),qx_tabla,2,FALSE)*(1+i/frec)^-0.5*(1+Parámetros!$D$103)*(1+rec_fracc)/frec),6))</f>
        <v/>
      </c>
      <c r="AC473" s="66" t="str">
        <f t="shared" si="602"/>
        <v/>
      </c>
      <c r="AD473" s="119" t="str">
        <f t="shared" si="598"/>
        <v/>
      </c>
      <c r="AE473" s="66" t="str">
        <f>+IF($W473="","",ROUND(IF($B473&gt;Parámetros!$D$107,'Tablas Servicio'!AC473+('Tablas Servicio'!AG472-'Tablas Servicio'!AC472),AC473/(1-IF(B473&lt;=10,Parámetros!$D$104,Parámetros!$D$105))),2))</f>
        <v/>
      </c>
      <c r="AF473" s="66" t="str">
        <f>+IF($W473="","",ROUND(IF($B473&gt;Parámetros!$D$107,'Tablas Servicio'!AC473+('Tablas Servicio'!AG472-'Tablas Servicio'!AC472),(AC473+$A472/frec)/(1-IF(B473&lt;=Parámetros!$D$117,Parámetros!$D$100,0))),2))</f>
        <v/>
      </c>
      <c r="AG473" s="66" t="str">
        <f t="shared" si="603"/>
        <v/>
      </c>
      <c r="AH473" s="66" t="str">
        <f t="shared" si="604"/>
        <v/>
      </c>
      <c r="AI473" s="66" t="str">
        <f t="shared" si="605"/>
        <v/>
      </c>
      <c r="AJ473" s="66" t="str">
        <f>+IF($W473="","",ROUND((AG473*Parámetros!$G$85),2))</f>
        <v/>
      </c>
      <c r="AK473" s="66" t="str">
        <f>+IF($W473="","",ROUND((AG473*(Parámetros!$G$86)),2))</f>
        <v/>
      </c>
      <c r="AL473" s="66" t="str">
        <f t="shared" si="599"/>
        <v/>
      </c>
      <c r="AM473" t="str">
        <f t="shared" si="647"/>
        <v/>
      </c>
      <c r="AN473" t="str">
        <f t="shared" si="648"/>
        <v/>
      </c>
      <c r="AO473" s="118" t="str">
        <f t="shared" si="649"/>
        <v/>
      </c>
      <c r="AP473" s="118" t="str">
        <f t="shared" si="650"/>
        <v/>
      </c>
      <c r="AQ473" s="119" t="str">
        <f>+IF(OR($W473="",AO473=0),"",ROUND((VLOOKUP(ROUNDDOWN($D473-1/frec,0),cob_adi,Z$40,FALSE)*(1+i/frec)^-0.5*(1+Parámetros!$D$103)*(1+rec_fracc)/frec),6))</f>
        <v/>
      </c>
      <c r="AR473" s="66" t="str">
        <f t="shared" si="606"/>
        <v/>
      </c>
      <c r="AS473" s="119" t="str">
        <f t="shared" si="607"/>
        <v/>
      </c>
      <c r="AT473" s="66" t="str">
        <f>+IF($W473="","",ROUND(IF($B473&gt;Parámetros!$D$107,'Tablas Servicio'!AR473+('Tablas Servicio'!AT472-'Tablas Servicio'!AR472),AR473/(1-IF(B473&lt;=10,Parámetros!$D$100,0))),2))</f>
        <v/>
      </c>
      <c r="AU473" s="66" t="str">
        <f t="shared" si="608"/>
        <v/>
      </c>
      <c r="AV473" s="66" t="str">
        <f t="shared" si="608"/>
        <v/>
      </c>
      <c r="AW473" s="66" t="str">
        <f>+IF($W473="","",ROUND((AT473*Parámetros!$G$85),2))</f>
        <v/>
      </c>
      <c r="AX473" s="66" t="str">
        <f>+IF($W473="","",ROUND((AT473*(Parámetros!$G$86)),2))</f>
        <v/>
      </c>
      <c r="AY473" s="66" t="str">
        <f t="shared" si="609"/>
        <v/>
      </c>
      <c r="AZ473" t="str">
        <f t="shared" si="651"/>
        <v/>
      </c>
      <c r="BA473" t="str">
        <f t="shared" si="652"/>
        <v/>
      </c>
      <c r="BB473" s="118" t="str">
        <f t="shared" si="653"/>
        <v/>
      </c>
      <c r="BC473" s="118" t="str">
        <f t="shared" si="654"/>
        <v/>
      </c>
      <c r="BD473" s="119" t="str">
        <f>+IF(OR($W473="",BB473=0),"",ROUND((VLOOKUP(ROUNDDOWN($D473-1/frec,0),cob_adi,AO$40,FALSE)*(1+i/frec)^-0.5*(1+Parámetros!$D$103)*(1+rec_fracc)/frec),6))</f>
        <v/>
      </c>
      <c r="BE473" s="66" t="str">
        <f t="shared" si="610"/>
        <v/>
      </c>
      <c r="BF473" s="119" t="str">
        <f t="shared" si="611"/>
        <v/>
      </c>
      <c r="BG473" s="66" t="str">
        <f>+IF($W473="","",ROUND(IF($B473&gt;Parámetros!$D$107,'Tablas Servicio'!BE473+('Tablas Servicio'!BG472-'Tablas Servicio'!BE472),BE473/(1-IF(B473&lt;=10,Parámetros!$D$100,0))),2))</f>
        <v/>
      </c>
      <c r="BH473" s="66" t="str">
        <f t="shared" si="612"/>
        <v/>
      </c>
      <c r="BI473" s="66" t="str">
        <f t="shared" si="613"/>
        <v/>
      </c>
      <c r="BJ473" s="66" t="str">
        <f>+IF($W473="","",ROUND((BG473*Parámetros!$G$85),2))</f>
        <v/>
      </c>
      <c r="BK473" s="66" t="str">
        <f>+IF($W473="","",ROUND((BG473*(Parámetros!$G$86)),2))</f>
        <v/>
      </c>
      <c r="BL473" s="66" t="str">
        <f t="shared" si="614"/>
        <v/>
      </c>
      <c r="BM473" t="str">
        <f t="shared" si="655"/>
        <v/>
      </c>
      <c r="BN473" t="str">
        <f t="shared" si="656"/>
        <v/>
      </c>
      <c r="BO473" s="118" t="str">
        <f t="shared" si="657"/>
        <v/>
      </c>
      <c r="BP473" s="118" t="str">
        <f t="shared" si="658"/>
        <v/>
      </c>
      <c r="BQ473" s="119" t="str">
        <f>+IF(OR($W473="",BO473=0),"",ROUND((VLOOKUP(ROUNDDOWN($D473-1/frec,0),cob_adi,BB$40,FALSE)*(1+i/frec)^-0.5*(1+Parámetros!$D$103)*(1+rec_fracc)/frec),6))</f>
        <v/>
      </c>
      <c r="BR473" s="66" t="str">
        <f t="shared" si="615"/>
        <v/>
      </c>
      <c r="BS473" s="119" t="str">
        <f t="shared" si="616"/>
        <v/>
      </c>
      <c r="BT473" s="66" t="str">
        <f>+IF($W473="","",ROUND(IF($B473&gt;Parámetros!$D$107,'Tablas Servicio'!BR473+('Tablas Servicio'!BT472-'Tablas Servicio'!BR472),BR473/(1-IF(B473&lt;=10,Parámetros!$D$100,0))),2))</f>
        <v/>
      </c>
      <c r="BU473" s="66" t="str">
        <f t="shared" si="617"/>
        <v/>
      </c>
      <c r="BV473" s="66" t="str">
        <f t="shared" si="617"/>
        <v/>
      </c>
      <c r="BW473" s="66" t="str">
        <f>+IF($W473="","",ROUND((BT473*Parámetros!$G$85),2))</f>
        <v/>
      </c>
      <c r="BX473" s="66" t="str">
        <f>+IF($W473="","",ROUND((BT473*(Parámetros!$G$86)),2))</f>
        <v/>
      </c>
      <c r="BY473" s="66" t="str">
        <f t="shared" si="618"/>
        <v/>
      </c>
      <c r="BZ473" t="str">
        <f t="shared" si="659"/>
        <v/>
      </c>
      <c r="CA473" t="str">
        <f t="shared" si="660"/>
        <v/>
      </c>
      <c r="CB473" s="118" t="str">
        <f t="shared" si="661"/>
        <v/>
      </c>
      <c r="CC473" s="118" t="str">
        <f t="shared" si="662"/>
        <v/>
      </c>
      <c r="CD473" s="119" t="str">
        <f t="shared" si="619"/>
        <v/>
      </c>
      <c r="CE473" s="66" t="str">
        <f>+IF($W473="","",ROUND((VLOOKUP(ROUNDDOWN($D473-1/frec,0),cob_adi,BO$40,FALSE)*(1+i/frec)^-0.5*(1+Parámetros!$D$103)*(1+rec_fracc)/frec*'TABLAS ADI'!$BC$17),2))</f>
        <v/>
      </c>
      <c r="CF473" s="119" t="str">
        <f t="shared" si="620"/>
        <v/>
      </c>
      <c r="CG473" s="66" t="str">
        <f>+IF($W473="","",ROUND(IF($B473&gt;Parámetros!$D$107,'Tablas Servicio'!CE473+('Tablas Servicio'!CG472-'Tablas Servicio'!CE472),CE473/(1-IF(B473&lt;=10,Parámetros!$D$100,0))),2))</f>
        <v/>
      </c>
      <c r="CH473" s="66" t="str">
        <f t="shared" si="621"/>
        <v/>
      </c>
      <c r="CI473" s="66" t="str">
        <f t="shared" si="621"/>
        <v/>
      </c>
      <c r="CJ473" s="66" t="str">
        <f>+IF($W473="","",ROUND((CG473*Parámetros!$G$85),2))</f>
        <v/>
      </c>
      <c r="CK473" s="66" t="str">
        <f>+IF($W473="","",ROUND((CG473*(Parámetros!$G$86)),2))</f>
        <v/>
      </c>
      <c r="CL473" s="66" t="str">
        <f t="shared" si="622"/>
        <v/>
      </c>
      <c r="CM473" t="str">
        <f t="shared" si="663"/>
        <v/>
      </c>
      <c r="CN473" s="118" t="str">
        <f t="shared" si="664"/>
        <v/>
      </c>
      <c r="CO473" s="118" t="str">
        <f t="shared" si="665"/>
        <v/>
      </c>
      <c r="CP473" s="118" t="str">
        <f t="shared" si="666"/>
        <v/>
      </c>
      <c r="CQ473" s="119" t="str">
        <f t="shared" si="623"/>
        <v/>
      </c>
      <c r="CR473" s="66" t="str">
        <f>+IF($W473="","",ROUND((VLOOKUP(Parámetros!$F$51,'COBERTURAS ADICIONALES'!$S$4:$T$32,2,FALSE)*(1+i/frec)^-0.5*(1+Parámetros!$D$103)*(1+rec_fracc)/frec*$CO$42),2))</f>
        <v/>
      </c>
      <c r="CS473" s="119" t="str">
        <f t="shared" si="624"/>
        <v/>
      </c>
      <c r="CT473" s="66" t="str">
        <f>+IF($W473="","",ROUND(IF($B473&gt;Parámetros!$D$107,'Tablas Servicio'!CR473+('Tablas Servicio'!CT472-'Tablas Servicio'!CR472),CR473/(1-IF(B473&lt;=10,Parámetros!$D$100,0))),2))</f>
        <v/>
      </c>
      <c r="CU473" s="66" t="str">
        <f t="shared" si="625"/>
        <v/>
      </c>
      <c r="CV473" s="66" t="str">
        <f t="shared" si="625"/>
        <v/>
      </c>
      <c r="CW473" s="66" t="str">
        <f>+IF($W473="","",ROUND((CT473*Parámetros!$G$85),2))</f>
        <v/>
      </c>
      <c r="CX473" s="66" t="str">
        <f>+IF($W473="","",ROUND((CT473*(Parámetros!$G$86)),2))</f>
        <v/>
      </c>
      <c r="CY473" s="66" t="str">
        <f t="shared" si="626"/>
        <v/>
      </c>
      <c r="CZ473" t="str">
        <f t="shared" si="667"/>
        <v/>
      </c>
      <c r="DA473" s="118" t="str">
        <f t="shared" si="668"/>
        <v/>
      </c>
      <c r="DB473" s="118" t="str">
        <f t="shared" si="669"/>
        <v/>
      </c>
      <c r="DC473" s="118" t="str">
        <f t="shared" si="670"/>
        <v/>
      </c>
      <c r="DD473" s="121" t="str">
        <f>+IF(OR($W473="",DB473=0),"",ROUND((VLOOKUP(ROUNDDOWN($D473-1/frec,0),cob_adi,CO$40,FALSE)*(1+i/frec)^-0.5*(1+Parámetros!$D$103)*(1+rec_fracc)/frec),6))</f>
        <v/>
      </c>
      <c r="DE473" s="66" t="str">
        <f t="shared" si="627"/>
        <v/>
      </c>
      <c r="DF473" s="119" t="str">
        <f t="shared" si="628"/>
        <v/>
      </c>
      <c r="DG473" s="66" t="str">
        <f>+IF($W473="","",ROUND(IF($B473&gt;Parámetros!$D$107,'Tablas Servicio'!DE473+('Tablas Servicio'!DG472-'Tablas Servicio'!DE472),DE473/(1-IF(B473&lt;=10,Parámetros!$D$100,0))),2))</f>
        <v/>
      </c>
      <c r="DH473" s="66" t="str">
        <f t="shared" si="629"/>
        <v/>
      </c>
      <c r="DI473" s="66" t="str">
        <f t="shared" si="629"/>
        <v/>
      </c>
      <c r="DJ473" s="66" t="str">
        <f>+IF($W473="","",ROUND((DG473*Parámetros!$G$85),2))</f>
        <v/>
      </c>
      <c r="DK473" s="66" t="str">
        <f>+IF($W473="","",ROUND((DG473*(Parámetros!$G$86)),2))</f>
        <v/>
      </c>
      <c r="DL473" s="66" t="str">
        <f t="shared" si="630"/>
        <v/>
      </c>
      <c r="DM473" t="str">
        <f t="shared" si="671"/>
        <v/>
      </c>
      <c r="DN473" s="118" t="str">
        <f t="shared" si="672"/>
        <v/>
      </c>
      <c r="DO473" s="118" t="str">
        <f t="shared" si="673"/>
        <v/>
      </c>
      <c r="DP473" s="118" t="str">
        <f t="shared" si="674"/>
        <v/>
      </c>
      <c r="DQ473" s="122" t="str">
        <f>+IF(OR($W473="",DO473=0),"",ROUND((VLOOKUP(ROUNDDOWN($D473-1/frec,0),cob_adi,DB$40,FALSE)*(1+i/frec)^-0.5*(1+Parámetros!$D$103)*(1+rec_fracc)/frec),6))</f>
        <v/>
      </c>
      <c r="DR473" s="66" t="str">
        <f t="shared" si="631"/>
        <v/>
      </c>
      <c r="DS473" s="68" t="str">
        <f t="shared" si="632"/>
        <v/>
      </c>
      <c r="DT473" s="66" t="str">
        <f>+IF($W473="","",ROUND(IF($B473&gt;Parámetros!$D$107,'Tablas Servicio'!DR473+('Tablas Servicio'!DT472-'Tablas Servicio'!DR472),DR473/(1-IF(B473&lt;=10,Parámetros!$D$100,0))),2))</f>
        <v/>
      </c>
      <c r="DU473" s="66" t="str">
        <f t="shared" si="633"/>
        <v/>
      </c>
      <c r="DV473" s="66" t="str">
        <f t="shared" si="633"/>
        <v/>
      </c>
      <c r="DW473" s="66" t="str">
        <f>+IF($W473="","",ROUND((DT473*Parámetros!$G$85),2))</f>
        <v/>
      </c>
      <c r="DX473" s="66" t="str">
        <f>+IF($W473="","",ROUND((DT473*(Parámetros!$G$86)),2))</f>
        <v/>
      </c>
      <c r="DY473" s="66" t="str">
        <f t="shared" si="634"/>
        <v/>
      </c>
      <c r="DZ473" t="str">
        <f t="shared" si="676"/>
        <v/>
      </c>
      <c r="EA473" s="118" t="str">
        <f t="shared" si="676"/>
        <v/>
      </c>
      <c r="EB473" s="118" t="str">
        <f>+IF($W473="","",ROUND(IF(Parámetros!$D$25='TABLAS MORT'!$V$33,EB472,Z473/2),0))</f>
        <v/>
      </c>
      <c r="EC473" s="118" t="str">
        <f t="shared" si="676"/>
        <v/>
      </c>
      <c r="ED473" s="122" t="str">
        <f>+IF(OR($W473="",EB473=0),"",ROUND((VLOOKUP(ROUNDDOWN($D473-1/frec,0),cob_adi,DO$40,FALSE)*(1+i/frec)^-0.5*(1+Parámetros!$D$103)*(1+rec_fracc)/frec),6))</f>
        <v/>
      </c>
      <c r="EE473" s="66" t="str">
        <f t="shared" si="636"/>
        <v/>
      </c>
      <c r="EF473" s="68" t="str">
        <f t="shared" si="637"/>
        <v/>
      </c>
      <c r="EG473" s="66" t="str">
        <f>+IF($W473="","",ROUND(IF($B473&gt;Parámetros!$D$107,'Tablas Servicio'!EE473+('Tablas Servicio'!EG472-'Tablas Servicio'!EE472),EE473/(1-IF(B473&lt;=10,Parámetros!$D$100,0))),2))</f>
        <v/>
      </c>
      <c r="EH473" s="66" t="str">
        <f t="shared" si="638"/>
        <v/>
      </c>
      <c r="EI473" s="66" t="str">
        <f t="shared" si="638"/>
        <v/>
      </c>
      <c r="EJ473" s="66" t="str">
        <f>+IF($W473="","",ROUND((EG473*Parámetros!$G$85),2))</f>
        <v/>
      </c>
      <c r="EK473" s="66" t="str">
        <f>+IF($W473="","",ROUND((EG473*(Parámetros!$G$86)),2))</f>
        <v/>
      </c>
      <c r="EL473" s="66" t="str">
        <f t="shared" si="639"/>
        <v/>
      </c>
    </row>
    <row r="474" spans="1:142" x14ac:dyDescent="0.25">
      <c r="A474" t="str">
        <f>+IF($C474="","",ROUND(VLOOKUP('Tablas Servicio'!B474,Parámetros!$H$100:$J$159,IF(Parámetros!$E$16="F",2,3),FALSE),2))</f>
        <v/>
      </c>
      <c r="B474" t="str">
        <f t="shared" si="590"/>
        <v/>
      </c>
      <c r="C474" s="57" t="str">
        <f>+IF(D474="","",'Tablas Servicio'!C473+1)</f>
        <v/>
      </c>
      <c r="D474" s="56" t="str">
        <f>+IF(D473&lt;edadmaxtabla,D473+1/Parámetros!$E$25,"")</f>
        <v/>
      </c>
      <c r="E474" s="57" t="str">
        <f t="shared" si="600"/>
        <v/>
      </c>
      <c r="F474" s="59" t="str">
        <f t="shared" si="601"/>
        <v/>
      </c>
      <c r="G474" s="66" t="str">
        <f t="shared" si="591"/>
        <v/>
      </c>
      <c r="H474" s="66" t="str">
        <f t="shared" si="592"/>
        <v/>
      </c>
      <c r="I474" s="66" t="str">
        <f t="shared" si="640"/>
        <v/>
      </c>
      <c r="J474" s="66" t="str">
        <f t="shared" si="593"/>
        <v/>
      </c>
      <c r="K474" s="66" t="str">
        <f t="shared" si="594"/>
        <v/>
      </c>
      <c r="L474" s="66" t="str">
        <f t="shared" si="595"/>
        <v/>
      </c>
      <c r="M474" s="66" t="str">
        <f t="shared" si="596"/>
        <v/>
      </c>
      <c r="N474" s="66" t="str">
        <f>+IF(C474="","",ROUND(Parámetros!$D$23,2))</f>
        <v/>
      </c>
      <c r="O474" s="66" t="str">
        <f t="shared" si="597"/>
        <v/>
      </c>
      <c r="P474" s="66" t="str">
        <f>+IF($C474="","",ROUND(IF(B474&gt;Parámetros!$D$117,0,N474*Parámetros!$D$116-G474*Parámetros!$D$100),2))</f>
        <v/>
      </c>
      <c r="Q474" s="75" t="str">
        <f t="shared" si="641"/>
        <v/>
      </c>
      <c r="R474" s="75" t="str">
        <f t="shared" si="642"/>
        <v/>
      </c>
      <c r="S474" s="117" t="str">
        <f>+IF($C474="","",ROUND((S473+I474)*(1+Parámetros!$D$91),2))</f>
        <v/>
      </c>
      <c r="T474" s="117" t="str">
        <f>+IF($C474="","",ROUND(S474*VLOOKUP(B474,Parámetros!$C$30:$D$39,2,TRUE),2))</f>
        <v/>
      </c>
      <c r="U474" s="117" t="str">
        <f>+IF($C474="","",ROUND((U473+I474)*(1+Parámetros!$D$92),2))</f>
        <v/>
      </c>
      <c r="V474" s="117" t="str">
        <f>+IF($C474="","",ROUND(U474*VLOOKUP(B474,Parámetros!$C$30:$D$39,2,TRUE),2))</f>
        <v/>
      </c>
      <c r="W474" s="57" t="str">
        <f t="shared" si="643"/>
        <v/>
      </c>
      <c r="X474" t="str">
        <f t="shared" si="644"/>
        <v/>
      </c>
      <c r="Y474" t="str">
        <f t="shared" si="645"/>
        <v/>
      </c>
      <c r="Z474" s="118" t="str">
        <f>+IF($W474="","",ROUND(IF(Parámetros!$D$25='TABLAS MORT'!$V$33,Z473,Parámetros!$D$21-'Tablas Servicio'!T473),0))</f>
        <v/>
      </c>
      <c r="AA474" s="118" t="str">
        <f t="shared" si="646"/>
        <v/>
      </c>
      <c r="AB474" s="119" t="str">
        <f>+IF(W474="","",ROUND((VLOOKUP(ROUNDDOWN($D474-1/frec,0),qx_tabla,2,FALSE)*(1+i/frec)^-0.5*(1+Parámetros!$D$103)*(1+rec_fracc)/frec),6))</f>
        <v/>
      </c>
      <c r="AC474" s="66" t="str">
        <f t="shared" si="602"/>
        <v/>
      </c>
      <c r="AD474" s="119" t="str">
        <f t="shared" si="598"/>
        <v/>
      </c>
      <c r="AE474" s="66" t="str">
        <f>+IF($W474="","",ROUND(IF($B474&gt;Parámetros!$D$107,'Tablas Servicio'!AC474+('Tablas Servicio'!AG473-'Tablas Servicio'!AC473),AC474/(1-IF(B474&lt;=10,Parámetros!$D$104,Parámetros!$D$105))),2))</f>
        <v/>
      </c>
      <c r="AF474" s="66" t="str">
        <f>+IF($W474="","",ROUND(IF($B474&gt;Parámetros!$D$107,'Tablas Servicio'!AC474+('Tablas Servicio'!AG473-'Tablas Servicio'!AC473),(AC474+$A473/frec)/(1-IF(B474&lt;=Parámetros!$D$117,Parámetros!$D$100,0))),2))</f>
        <v/>
      </c>
      <c r="AG474" s="66" t="str">
        <f t="shared" si="603"/>
        <v/>
      </c>
      <c r="AH474" s="66" t="str">
        <f t="shared" si="604"/>
        <v/>
      </c>
      <c r="AI474" s="66" t="str">
        <f t="shared" si="605"/>
        <v/>
      </c>
      <c r="AJ474" s="66" t="str">
        <f>+IF($W474="","",ROUND((AG474*Parámetros!$G$85),2))</f>
        <v/>
      </c>
      <c r="AK474" s="66" t="str">
        <f>+IF($W474="","",ROUND((AG474*(Parámetros!$G$86)),2))</f>
        <v/>
      </c>
      <c r="AL474" s="66" t="str">
        <f t="shared" si="599"/>
        <v/>
      </c>
      <c r="AM474" t="str">
        <f t="shared" si="647"/>
        <v/>
      </c>
      <c r="AN474" t="str">
        <f t="shared" si="648"/>
        <v/>
      </c>
      <c r="AO474" s="118" t="str">
        <f t="shared" si="649"/>
        <v/>
      </c>
      <c r="AP474" s="118" t="str">
        <f t="shared" si="650"/>
        <v/>
      </c>
      <c r="AQ474" s="119" t="str">
        <f>+IF(OR($W474="",AO474=0),"",ROUND((VLOOKUP(ROUNDDOWN($D474-1/frec,0),cob_adi,Z$40,FALSE)*(1+i/frec)^-0.5*(1+Parámetros!$D$103)*(1+rec_fracc)/frec),6))</f>
        <v/>
      </c>
      <c r="AR474" s="66" t="str">
        <f t="shared" si="606"/>
        <v/>
      </c>
      <c r="AS474" s="119" t="str">
        <f t="shared" si="607"/>
        <v/>
      </c>
      <c r="AT474" s="66" t="str">
        <f>+IF($W474="","",ROUND(IF($B474&gt;Parámetros!$D$107,'Tablas Servicio'!AR474+('Tablas Servicio'!AT473-'Tablas Servicio'!AR473),AR474/(1-IF(B474&lt;=10,Parámetros!$D$100,0))),2))</f>
        <v/>
      </c>
      <c r="AU474" s="66" t="str">
        <f t="shared" si="608"/>
        <v/>
      </c>
      <c r="AV474" s="66" t="str">
        <f t="shared" si="608"/>
        <v/>
      </c>
      <c r="AW474" s="66" t="str">
        <f>+IF($W474="","",ROUND((AT474*Parámetros!$G$85),2))</f>
        <v/>
      </c>
      <c r="AX474" s="66" t="str">
        <f>+IF($W474="","",ROUND((AT474*(Parámetros!$G$86)),2))</f>
        <v/>
      </c>
      <c r="AY474" s="66" t="str">
        <f t="shared" si="609"/>
        <v/>
      </c>
      <c r="AZ474" t="str">
        <f t="shared" si="651"/>
        <v/>
      </c>
      <c r="BA474" t="str">
        <f t="shared" si="652"/>
        <v/>
      </c>
      <c r="BB474" s="118" t="str">
        <f t="shared" si="653"/>
        <v/>
      </c>
      <c r="BC474" s="118" t="str">
        <f t="shared" si="654"/>
        <v/>
      </c>
      <c r="BD474" s="119" t="str">
        <f>+IF(OR($W474="",BB474=0),"",ROUND((VLOOKUP(ROUNDDOWN($D474-1/frec,0),cob_adi,AO$40,FALSE)*(1+i/frec)^-0.5*(1+Parámetros!$D$103)*(1+rec_fracc)/frec),6))</f>
        <v/>
      </c>
      <c r="BE474" s="66" t="str">
        <f t="shared" si="610"/>
        <v/>
      </c>
      <c r="BF474" s="119" t="str">
        <f t="shared" si="611"/>
        <v/>
      </c>
      <c r="BG474" s="66" t="str">
        <f>+IF($W474="","",ROUND(IF($B474&gt;Parámetros!$D$107,'Tablas Servicio'!BE474+('Tablas Servicio'!BG473-'Tablas Servicio'!BE473),BE474/(1-IF(B474&lt;=10,Parámetros!$D$100,0))),2))</f>
        <v/>
      </c>
      <c r="BH474" s="66" t="str">
        <f t="shared" si="612"/>
        <v/>
      </c>
      <c r="BI474" s="66" t="str">
        <f t="shared" si="613"/>
        <v/>
      </c>
      <c r="BJ474" s="66" t="str">
        <f>+IF($W474="","",ROUND((BG474*Parámetros!$G$85),2))</f>
        <v/>
      </c>
      <c r="BK474" s="66" t="str">
        <f>+IF($W474="","",ROUND((BG474*(Parámetros!$G$86)),2))</f>
        <v/>
      </c>
      <c r="BL474" s="66" t="str">
        <f t="shared" si="614"/>
        <v/>
      </c>
      <c r="BM474" t="str">
        <f t="shared" si="655"/>
        <v/>
      </c>
      <c r="BN474" t="str">
        <f t="shared" si="656"/>
        <v/>
      </c>
      <c r="BO474" s="118" t="str">
        <f t="shared" si="657"/>
        <v/>
      </c>
      <c r="BP474" s="118" t="str">
        <f t="shared" si="658"/>
        <v/>
      </c>
      <c r="BQ474" s="119" t="str">
        <f>+IF(OR($W474="",BO474=0),"",ROUND((VLOOKUP(ROUNDDOWN($D474-1/frec,0),cob_adi,BB$40,FALSE)*(1+i/frec)^-0.5*(1+Parámetros!$D$103)*(1+rec_fracc)/frec),6))</f>
        <v/>
      </c>
      <c r="BR474" s="66" t="str">
        <f t="shared" si="615"/>
        <v/>
      </c>
      <c r="BS474" s="119" t="str">
        <f t="shared" si="616"/>
        <v/>
      </c>
      <c r="BT474" s="66" t="str">
        <f>+IF($W474="","",ROUND(IF($B474&gt;Parámetros!$D$107,'Tablas Servicio'!BR474+('Tablas Servicio'!BT473-'Tablas Servicio'!BR473),BR474/(1-IF(B474&lt;=10,Parámetros!$D$100,0))),2))</f>
        <v/>
      </c>
      <c r="BU474" s="66" t="str">
        <f t="shared" si="617"/>
        <v/>
      </c>
      <c r="BV474" s="66" t="str">
        <f t="shared" si="617"/>
        <v/>
      </c>
      <c r="BW474" s="66" t="str">
        <f>+IF($W474="","",ROUND((BT474*Parámetros!$G$85),2))</f>
        <v/>
      </c>
      <c r="BX474" s="66" t="str">
        <f>+IF($W474="","",ROUND((BT474*(Parámetros!$G$86)),2))</f>
        <v/>
      </c>
      <c r="BY474" s="66" t="str">
        <f t="shared" si="618"/>
        <v/>
      </c>
      <c r="BZ474" t="str">
        <f t="shared" si="659"/>
        <v/>
      </c>
      <c r="CA474" t="str">
        <f t="shared" si="660"/>
        <v/>
      </c>
      <c r="CB474" s="118" t="str">
        <f t="shared" si="661"/>
        <v/>
      </c>
      <c r="CC474" s="118" t="str">
        <f t="shared" si="662"/>
        <v/>
      </c>
      <c r="CD474" s="119" t="str">
        <f t="shared" si="619"/>
        <v/>
      </c>
      <c r="CE474" s="66" t="str">
        <f>+IF($W474="","",ROUND((VLOOKUP(ROUNDDOWN($D474-1/frec,0),cob_adi,BO$40,FALSE)*(1+i/frec)^-0.5*(1+Parámetros!$D$103)*(1+rec_fracc)/frec*'TABLAS ADI'!$BC$17),2))</f>
        <v/>
      </c>
      <c r="CF474" s="119" t="str">
        <f t="shared" si="620"/>
        <v/>
      </c>
      <c r="CG474" s="66" t="str">
        <f>+IF($W474="","",ROUND(IF($B474&gt;Parámetros!$D$107,'Tablas Servicio'!CE474+('Tablas Servicio'!CG473-'Tablas Servicio'!CE473),CE474/(1-IF(B474&lt;=10,Parámetros!$D$100,0))),2))</f>
        <v/>
      </c>
      <c r="CH474" s="66" t="str">
        <f t="shared" si="621"/>
        <v/>
      </c>
      <c r="CI474" s="66" t="str">
        <f t="shared" si="621"/>
        <v/>
      </c>
      <c r="CJ474" s="66" t="str">
        <f>+IF($W474="","",ROUND((CG474*Parámetros!$G$85),2))</f>
        <v/>
      </c>
      <c r="CK474" s="66" t="str">
        <f>+IF($W474="","",ROUND((CG474*(Parámetros!$G$86)),2))</f>
        <v/>
      </c>
      <c r="CL474" s="66" t="str">
        <f t="shared" si="622"/>
        <v/>
      </c>
      <c r="CM474" t="str">
        <f t="shared" si="663"/>
        <v/>
      </c>
      <c r="CN474" s="118" t="str">
        <f t="shared" si="664"/>
        <v/>
      </c>
      <c r="CO474" s="118" t="str">
        <f t="shared" si="665"/>
        <v/>
      </c>
      <c r="CP474" s="118" t="str">
        <f t="shared" si="666"/>
        <v/>
      </c>
      <c r="CQ474" s="119" t="str">
        <f t="shared" si="623"/>
        <v/>
      </c>
      <c r="CR474" s="66" t="str">
        <f>+IF($W474="","",ROUND((VLOOKUP(Parámetros!$F$51,'COBERTURAS ADICIONALES'!$S$4:$T$32,2,FALSE)*(1+i/frec)^-0.5*(1+Parámetros!$D$103)*(1+rec_fracc)/frec*$CO$42),2))</f>
        <v/>
      </c>
      <c r="CS474" s="119" t="str">
        <f t="shared" si="624"/>
        <v/>
      </c>
      <c r="CT474" s="66" t="str">
        <f>+IF($W474="","",ROUND(IF($B474&gt;Parámetros!$D$107,'Tablas Servicio'!CR474+('Tablas Servicio'!CT473-'Tablas Servicio'!CR473),CR474/(1-IF(B474&lt;=10,Parámetros!$D$100,0))),2))</f>
        <v/>
      </c>
      <c r="CU474" s="66" t="str">
        <f t="shared" si="625"/>
        <v/>
      </c>
      <c r="CV474" s="66" t="str">
        <f t="shared" si="625"/>
        <v/>
      </c>
      <c r="CW474" s="66" t="str">
        <f>+IF($W474="","",ROUND((CT474*Parámetros!$G$85),2))</f>
        <v/>
      </c>
      <c r="CX474" s="66" t="str">
        <f>+IF($W474="","",ROUND((CT474*(Parámetros!$G$86)),2))</f>
        <v/>
      </c>
      <c r="CY474" s="66" t="str">
        <f t="shared" si="626"/>
        <v/>
      </c>
      <c r="CZ474" t="str">
        <f t="shared" si="667"/>
        <v/>
      </c>
      <c r="DA474" s="118" t="str">
        <f t="shared" si="668"/>
        <v/>
      </c>
      <c r="DB474" s="118" t="str">
        <f t="shared" si="669"/>
        <v/>
      </c>
      <c r="DC474" s="118" t="str">
        <f t="shared" si="670"/>
        <v/>
      </c>
      <c r="DD474" s="121" t="str">
        <f>+IF(OR($W474="",DB474=0),"",ROUND((VLOOKUP(ROUNDDOWN($D474-1/frec,0),cob_adi,CO$40,FALSE)*(1+i/frec)^-0.5*(1+Parámetros!$D$103)*(1+rec_fracc)/frec),6))</f>
        <v/>
      </c>
      <c r="DE474" s="66" t="str">
        <f t="shared" si="627"/>
        <v/>
      </c>
      <c r="DF474" s="119" t="str">
        <f t="shared" si="628"/>
        <v/>
      </c>
      <c r="DG474" s="66" t="str">
        <f>+IF($W474="","",ROUND(IF($B474&gt;Parámetros!$D$107,'Tablas Servicio'!DE474+('Tablas Servicio'!DG473-'Tablas Servicio'!DE473),DE474/(1-IF(B474&lt;=10,Parámetros!$D$100,0))),2))</f>
        <v/>
      </c>
      <c r="DH474" s="66" t="str">
        <f t="shared" si="629"/>
        <v/>
      </c>
      <c r="DI474" s="66" t="str">
        <f t="shared" si="629"/>
        <v/>
      </c>
      <c r="DJ474" s="66" t="str">
        <f>+IF($W474="","",ROUND((DG474*Parámetros!$G$85),2))</f>
        <v/>
      </c>
      <c r="DK474" s="66" t="str">
        <f>+IF($W474="","",ROUND((DG474*(Parámetros!$G$86)),2))</f>
        <v/>
      </c>
      <c r="DL474" s="66" t="str">
        <f t="shared" si="630"/>
        <v/>
      </c>
      <c r="DM474" t="str">
        <f t="shared" si="671"/>
        <v/>
      </c>
      <c r="DN474" s="118" t="str">
        <f t="shared" si="672"/>
        <v/>
      </c>
      <c r="DO474" s="118" t="str">
        <f t="shared" si="673"/>
        <v/>
      </c>
      <c r="DP474" s="118" t="str">
        <f t="shared" si="674"/>
        <v/>
      </c>
      <c r="DQ474" s="122" t="str">
        <f>+IF(OR($W474="",DO474=0),"",ROUND((VLOOKUP(ROUNDDOWN($D474-1/frec,0),cob_adi,DB$40,FALSE)*(1+i/frec)^-0.5*(1+Parámetros!$D$103)*(1+rec_fracc)/frec),6))</f>
        <v/>
      </c>
      <c r="DR474" s="66" t="str">
        <f t="shared" si="631"/>
        <v/>
      </c>
      <c r="DS474" s="68" t="str">
        <f t="shared" si="632"/>
        <v/>
      </c>
      <c r="DT474" s="66" t="str">
        <f>+IF($W474="","",ROUND(IF($B474&gt;Parámetros!$D$107,'Tablas Servicio'!DR474+('Tablas Servicio'!DT473-'Tablas Servicio'!DR473),DR474/(1-IF(B474&lt;=10,Parámetros!$D$100,0))),2))</f>
        <v/>
      </c>
      <c r="DU474" s="66" t="str">
        <f t="shared" si="633"/>
        <v/>
      </c>
      <c r="DV474" s="66" t="str">
        <f t="shared" si="633"/>
        <v/>
      </c>
      <c r="DW474" s="66" t="str">
        <f>+IF($W474="","",ROUND((DT474*Parámetros!$G$85),2))</f>
        <v/>
      </c>
      <c r="DX474" s="66" t="str">
        <f>+IF($W474="","",ROUND((DT474*(Parámetros!$G$86)),2))</f>
        <v/>
      </c>
      <c r="DY474" s="66" t="str">
        <f t="shared" si="634"/>
        <v/>
      </c>
      <c r="DZ474" t="str">
        <f t="shared" si="676"/>
        <v/>
      </c>
      <c r="EA474" s="118" t="str">
        <f t="shared" si="676"/>
        <v/>
      </c>
      <c r="EB474" s="118" t="str">
        <f>+IF($W474="","",ROUND(IF(Parámetros!$D$25='TABLAS MORT'!$V$33,EB473,Z474/2),0))</f>
        <v/>
      </c>
      <c r="EC474" s="118" t="str">
        <f t="shared" si="676"/>
        <v/>
      </c>
      <c r="ED474" s="122" t="str">
        <f>+IF(OR($W474="",EB474=0),"",ROUND((VLOOKUP(ROUNDDOWN($D474-1/frec,0),cob_adi,DO$40,FALSE)*(1+i/frec)^-0.5*(1+Parámetros!$D$103)*(1+rec_fracc)/frec),6))</f>
        <v/>
      </c>
      <c r="EE474" s="66" t="str">
        <f t="shared" si="636"/>
        <v/>
      </c>
      <c r="EF474" s="68" t="str">
        <f t="shared" si="637"/>
        <v/>
      </c>
      <c r="EG474" s="66" t="str">
        <f>+IF($W474="","",ROUND(IF($B474&gt;Parámetros!$D$107,'Tablas Servicio'!EE474+('Tablas Servicio'!EG473-'Tablas Servicio'!EE473),EE474/(1-IF(B474&lt;=10,Parámetros!$D$100,0))),2))</f>
        <v/>
      </c>
      <c r="EH474" s="66" t="str">
        <f t="shared" si="638"/>
        <v/>
      </c>
      <c r="EI474" s="66" t="str">
        <f t="shared" si="638"/>
        <v/>
      </c>
      <c r="EJ474" s="66" t="str">
        <f>+IF($W474="","",ROUND((EG474*Parámetros!$G$85),2))</f>
        <v/>
      </c>
      <c r="EK474" s="66" t="str">
        <f>+IF($W474="","",ROUND((EG474*(Parámetros!$G$86)),2))</f>
        <v/>
      </c>
      <c r="EL474" s="66" t="str">
        <f t="shared" si="639"/>
        <v/>
      </c>
    </row>
    <row r="475" spans="1:142" x14ac:dyDescent="0.25">
      <c r="A475" t="str">
        <f>+IF($C475="","",ROUND(VLOOKUP('Tablas Servicio'!B475,Parámetros!$H$100:$J$159,IF(Parámetros!$E$16="F",2,3),FALSE),2))</f>
        <v/>
      </c>
      <c r="B475" t="str">
        <f t="shared" si="590"/>
        <v/>
      </c>
      <c r="C475" s="57" t="str">
        <f>+IF(D475="","",'Tablas Servicio'!C474+1)</f>
        <v/>
      </c>
      <c r="D475" s="56" t="str">
        <f>+IF(D474&lt;edadmaxtabla,D474+1/Parámetros!$E$25,"")</f>
        <v/>
      </c>
      <c r="E475" s="57" t="str">
        <f t="shared" si="600"/>
        <v/>
      </c>
      <c r="F475" s="59" t="str">
        <f t="shared" si="601"/>
        <v/>
      </c>
      <c r="G475" s="66" t="str">
        <f t="shared" si="591"/>
        <v/>
      </c>
      <c r="H475" s="66" t="str">
        <f t="shared" si="592"/>
        <v/>
      </c>
      <c r="I475" s="66" t="str">
        <f t="shared" si="640"/>
        <v/>
      </c>
      <c r="J475" s="66" t="str">
        <f t="shared" si="593"/>
        <v/>
      </c>
      <c r="K475" s="66" t="str">
        <f t="shared" si="594"/>
        <v/>
      </c>
      <c r="L475" s="66" t="str">
        <f t="shared" si="595"/>
        <v/>
      </c>
      <c r="M475" s="66" t="str">
        <f t="shared" si="596"/>
        <v/>
      </c>
      <c r="N475" s="66" t="str">
        <f>+IF(C475="","",ROUND(Parámetros!$D$23,2))</f>
        <v/>
      </c>
      <c r="O475" s="66" t="str">
        <f t="shared" si="597"/>
        <v/>
      </c>
      <c r="P475" s="66" t="str">
        <f>+IF($C475="","",ROUND(IF(B475&gt;Parámetros!$D$117,0,N475*Parámetros!$D$116-G475*Parámetros!$D$100),2))</f>
        <v/>
      </c>
      <c r="Q475" s="75" t="str">
        <f t="shared" si="641"/>
        <v/>
      </c>
      <c r="R475" s="75" t="str">
        <f t="shared" si="642"/>
        <v/>
      </c>
      <c r="S475" s="117" t="str">
        <f>+IF($C475="","",ROUND((S474+I475)*(1+Parámetros!$D$91),2))</f>
        <v/>
      </c>
      <c r="T475" s="117" t="str">
        <f>+IF($C475="","",ROUND(S475*VLOOKUP(B475,Parámetros!$C$30:$D$39,2,TRUE),2))</f>
        <v/>
      </c>
      <c r="U475" s="117" t="str">
        <f>+IF($C475="","",ROUND((U474+I475)*(1+Parámetros!$D$92),2))</f>
        <v/>
      </c>
      <c r="V475" s="117" t="str">
        <f>+IF($C475="","",ROUND(U475*VLOOKUP(B475,Parámetros!$C$30:$D$39,2,TRUE),2))</f>
        <v/>
      </c>
      <c r="W475" s="57" t="str">
        <f t="shared" si="643"/>
        <v/>
      </c>
      <c r="X475" t="str">
        <f t="shared" si="644"/>
        <v/>
      </c>
      <c r="Y475" t="str">
        <f t="shared" si="645"/>
        <v/>
      </c>
      <c r="Z475" s="118" t="str">
        <f>+IF($W475="","",ROUND(IF(Parámetros!$D$25='TABLAS MORT'!$V$33,Z474,Parámetros!$D$21-'Tablas Servicio'!T474),0))</f>
        <v/>
      </c>
      <c r="AA475" s="118" t="str">
        <f t="shared" si="646"/>
        <v/>
      </c>
      <c r="AB475" s="119" t="str">
        <f>+IF(W475="","",ROUND((VLOOKUP(ROUNDDOWN($D475-1/frec,0),qx_tabla,2,FALSE)*(1+i/frec)^-0.5*(1+Parámetros!$D$103)*(1+rec_fracc)/frec),6))</f>
        <v/>
      </c>
      <c r="AC475" s="66" t="str">
        <f t="shared" si="602"/>
        <v/>
      </c>
      <c r="AD475" s="119" t="str">
        <f t="shared" si="598"/>
        <v/>
      </c>
      <c r="AE475" s="66" t="str">
        <f>+IF($W475="","",ROUND(IF($B475&gt;Parámetros!$D$107,'Tablas Servicio'!AC475+('Tablas Servicio'!AG474-'Tablas Servicio'!AC474),AC475/(1-IF(B475&lt;=10,Parámetros!$D$104,Parámetros!$D$105))),2))</f>
        <v/>
      </c>
      <c r="AF475" s="66" t="str">
        <f>+IF($W475="","",ROUND(IF($B475&gt;Parámetros!$D$107,'Tablas Servicio'!AC475+('Tablas Servicio'!AG474-'Tablas Servicio'!AC474),(AC475+$A474/frec)/(1-IF(B475&lt;=Parámetros!$D$117,Parámetros!$D$100,0))),2))</f>
        <v/>
      </c>
      <c r="AG475" s="66" t="str">
        <f t="shared" si="603"/>
        <v/>
      </c>
      <c r="AH475" s="66" t="str">
        <f t="shared" si="604"/>
        <v/>
      </c>
      <c r="AI475" s="66" t="str">
        <f t="shared" si="605"/>
        <v/>
      </c>
      <c r="AJ475" s="66" t="str">
        <f>+IF($W475="","",ROUND((AG475*Parámetros!$G$85),2))</f>
        <v/>
      </c>
      <c r="AK475" s="66" t="str">
        <f>+IF($W475="","",ROUND((AG475*(Parámetros!$G$86)),2))</f>
        <v/>
      </c>
      <c r="AL475" s="66" t="str">
        <f t="shared" si="599"/>
        <v/>
      </c>
      <c r="AM475" t="str">
        <f t="shared" si="647"/>
        <v/>
      </c>
      <c r="AN475" t="str">
        <f t="shared" si="648"/>
        <v/>
      </c>
      <c r="AO475" s="118" t="str">
        <f t="shared" si="649"/>
        <v/>
      </c>
      <c r="AP475" s="118" t="str">
        <f t="shared" si="650"/>
        <v/>
      </c>
      <c r="AQ475" s="119" t="str">
        <f>+IF(OR($W475="",AO475=0),"",ROUND((VLOOKUP(ROUNDDOWN($D475-1/frec,0),cob_adi,Z$40,FALSE)*(1+i/frec)^-0.5*(1+Parámetros!$D$103)*(1+rec_fracc)/frec),6))</f>
        <v/>
      </c>
      <c r="AR475" s="66" t="str">
        <f t="shared" si="606"/>
        <v/>
      </c>
      <c r="AS475" s="119" t="str">
        <f t="shared" si="607"/>
        <v/>
      </c>
      <c r="AT475" s="66" t="str">
        <f>+IF($W475="","",ROUND(IF($B475&gt;Parámetros!$D$107,'Tablas Servicio'!AR475+('Tablas Servicio'!AT474-'Tablas Servicio'!AR474),AR475/(1-IF(B475&lt;=10,Parámetros!$D$100,0))),2))</f>
        <v/>
      </c>
      <c r="AU475" s="66" t="str">
        <f t="shared" si="608"/>
        <v/>
      </c>
      <c r="AV475" s="66" t="str">
        <f t="shared" si="608"/>
        <v/>
      </c>
      <c r="AW475" s="66" t="str">
        <f>+IF($W475="","",ROUND((AT475*Parámetros!$G$85),2))</f>
        <v/>
      </c>
      <c r="AX475" s="66" t="str">
        <f>+IF($W475="","",ROUND((AT475*(Parámetros!$G$86)),2))</f>
        <v/>
      </c>
      <c r="AY475" s="66" t="str">
        <f t="shared" si="609"/>
        <v/>
      </c>
      <c r="AZ475" t="str">
        <f t="shared" si="651"/>
        <v/>
      </c>
      <c r="BA475" t="str">
        <f t="shared" si="652"/>
        <v/>
      </c>
      <c r="BB475" s="118" t="str">
        <f t="shared" si="653"/>
        <v/>
      </c>
      <c r="BC475" s="118" t="str">
        <f t="shared" si="654"/>
        <v/>
      </c>
      <c r="BD475" s="119" t="str">
        <f>+IF(OR($W475="",BB475=0),"",ROUND((VLOOKUP(ROUNDDOWN($D475-1/frec,0),cob_adi,AO$40,FALSE)*(1+i/frec)^-0.5*(1+Parámetros!$D$103)*(1+rec_fracc)/frec),6))</f>
        <v/>
      </c>
      <c r="BE475" s="66" t="str">
        <f t="shared" si="610"/>
        <v/>
      </c>
      <c r="BF475" s="119" t="str">
        <f t="shared" si="611"/>
        <v/>
      </c>
      <c r="BG475" s="66" t="str">
        <f>+IF($W475="","",ROUND(IF($B475&gt;Parámetros!$D$107,'Tablas Servicio'!BE475+('Tablas Servicio'!BG474-'Tablas Servicio'!BE474),BE475/(1-IF(B475&lt;=10,Parámetros!$D$100,0))),2))</f>
        <v/>
      </c>
      <c r="BH475" s="66" t="str">
        <f t="shared" si="612"/>
        <v/>
      </c>
      <c r="BI475" s="66" t="str">
        <f t="shared" si="613"/>
        <v/>
      </c>
      <c r="BJ475" s="66" t="str">
        <f>+IF($W475="","",ROUND((BG475*Parámetros!$G$85),2))</f>
        <v/>
      </c>
      <c r="BK475" s="66" t="str">
        <f>+IF($W475="","",ROUND((BG475*(Parámetros!$G$86)),2))</f>
        <v/>
      </c>
      <c r="BL475" s="66" t="str">
        <f t="shared" si="614"/>
        <v/>
      </c>
      <c r="BM475" t="str">
        <f t="shared" si="655"/>
        <v/>
      </c>
      <c r="BN475" t="str">
        <f t="shared" si="656"/>
        <v/>
      </c>
      <c r="BO475" s="118" t="str">
        <f t="shared" si="657"/>
        <v/>
      </c>
      <c r="BP475" s="118" t="str">
        <f t="shared" si="658"/>
        <v/>
      </c>
      <c r="BQ475" s="119" t="str">
        <f>+IF(OR($W475="",BO475=0),"",ROUND((VLOOKUP(ROUNDDOWN($D475-1/frec,0),cob_adi,BB$40,FALSE)*(1+i/frec)^-0.5*(1+Parámetros!$D$103)*(1+rec_fracc)/frec),6))</f>
        <v/>
      </c>
      <c r="BR475" s="66" t="str">
        <f t="shared" si="615"/>
        <v/>
      </c>
      <c r="BS475" s="119" t="str">
        <f t="shared" si="616"/>
        <v/>
      </c>
      <c r="BT475" s="66" t="str">
        <f>+IF($W475="","",ROUND(IF($B475&gt;Parámetros!$D$107,'Tablas Servicio'!BR475+('Tablas Servicio'!BT474-'Tablas Servicio'!BR474),BR475/(1-IF(B475&lt;=10,Parámetros!$D$100,0))),2))</f>
        <v/>
      </c>
      <c r="BU475" s="66" t="str">
        <f t="shared" si="617"/>
        <v/>
      </c>
      <c r="BV475" s="66" t="str">
        <f t="shared" si="617"/>
        <v/>
      </c>
      <c r="BW475" s="66" t="str">
        <f>+IF($W475="","",ROUND((BT475*Parámetros!$G$85),2))</f>
        <v/>
      </c>
      <c r="BX475" s="66" t="str">
        <f>+IF($W475="","",ROUND((BT475*(Parámetros!$G$86)),2))</f>
        <v/>
      </c>
      <c r="BY475" s="66" t="str">
        <f t="shared" si="618"/>
        <v/>
      </c>
      <c r="BZ475" t="str">
        <f t="shared" si="659"/>
        <v/>
      </c>
      <c r="CA475" t="str">
        <f t="shared" si="660"/>
        <v/>
      </c>
      <c r="CB475" s="118" t="str">
        <f t="shared" si="661"/>
        <v/>
      </c>
      <c r="CC475" s="118" t="str">
        <f t="shared" si="662"/>
        <v/>
      </c>
      <c r="CD475" s="119" t="str">
        <f t="shared" si="619"/>
        <v/>
      </c>
      <c r="CE475" s="66" t="str">
        <f>+IF($W475="","",ROUND((VLOOKUP(ROUNDDOWN($D475-1/frec,0),cob_adi,BO$40,FALSE)*(1+i/frec)^-0.5*(1+Parámetros!$D$103)*(1+rec_fracc)/frec*'TABLAS ADI'!$BC$17),2))</f>
        <v/>
      </c>
      <c r="CF475" s="119" t="str">
        <f t="shared" si="620"/>
        <v/>
      </c>
      <c r="CG475" s="66" t="str">
        <f>+IF($W475="","",ROUND(IF($B475&gt;Parámetros!$D$107,'Tablas Servicio'!CE475+('Tablas Servicio'!CG474-'Tablas Servicio'!CE474),CE475/(1-IF(B475&lt;=10,Parámetros!$D$100,0))),2))</f>
        <v/>
      </c>
      <c r="CH475" s="66" t="str">
        <f t="shared" si="621"/>
        <v/>
      </c>
      <c r="CI475" s="66" t="str">
        <f t="shared" si="621"/>
        <v/>
      </c>
      <c r="CJ475" s="66" t="str">
        <f>+IF($W475="","",ROUND((CG475*Parámetros!$G$85),2))</f>
        <v/>
      </c>
      <c r="CK475" s="66" t="str">
        <f>+IF($W475="","",ROUND((CG475*(Parámetros!$G$86)),2))</f>
        <v/>
      </c>
      <c r="CL475" s="66" t="str">
        <f t="shared" si="622"/>
        <v/>
      </c>
      <c r="CM475" t="str">
        <f t="shared" si="663"/>
        <v/>
      </c>
      <c r="CN475" s="118" t="str">
        <f t="shared" si="664"/>
        <v/>
      </c>
      <c r="CO475" s="118" t="str">
        <f t="shared" si="665"/>
        <v/>
      </c>
      <c r="CP475" s="118" t="str">
        <f t="shared" si="666"/>
        <v/>
      </c>
      <c r="CQ475" s="119" t="str">
        <f t="shared" si="623"/>
        <v/>
      </c>
      <c r="CR475" s="66" t="str">
        <f>+IF($W475="","",ROUND((VLOOKUP(Parámetros!$F$51,'COBERTURAS ADICIONALES'!$S$4:$T$32,2,FALSE)*(1+i/frec)^-0.5*(1+Parámetros!$D$103)*(1+rec_fracc)/frec*$CO$42),2))</f>
        <v/>
      </c>
      <c r="CS475" s="119" t="str">
        <f t="shared" si="624"/>
        <v/>
      </c>
      <c r="CT475" s="66" t="str">
        <f>+IF($W475="","",ROUND(IF($B475&gt;Parámetros!$D$107,'Tablas Servicio'!CR475+('Tablas Servicio'!CT474-'Tablas Servicio'!CR474),CR475/(1-IF(B475&lt;=10,Parámetros!$D$100,0))),2))</f>
        <v/>
      </c>
      <c r="CU475" s="66" t="str">
        <f t="shared" si="625"/>
        <v/>
      </c>
      <c r="CV475" s="66" t="str">
        <f t="shared" si="625"/>
        <v/>
      </c>
      <c r="CW475" s="66" t="str">
        <f>+IF($W475="","",ROUND((CT475*Parámetros!$G$85),2))</f>
        <v/>
      </c>
      <c r="CX475" s="66" t="str">
        <f>+IF($W475="","",ROUND((CT475*(Parámetros!$G$86)),2))</f>
        <v/>
      </c>
      <c r="CY475" s="66" t="str">
        <f t="shared" si="626"/>
        <v/>
      </c>
      <c r="CZ475" t="str">
        <f t="shared" si="667"/>
        <v/>
      </c>
      <c r="DA475" s="118" t="str">
        <f t="shared" si="668"/>
        <v/>
      </c>
      <c r="DB475" s="118" t="str">
        <f t="shared" si="669"/>
        <v/>
      </c>
      <c r="DC475" s="118" t="str">
        <f t="shared" si="670"/>
        <v/>
      </c>
      <c r="DD475" s="121" t="str">
        <f>+IF(OR($W475="",DB475=0),"",ROUND((VLOOKUP(ROUNDDOWN($D475-1/frec,0),cob_adi,CO$40,FALSE)*(1+i/frec)^-0.5*(1+Parámetros!$D$103)*(1+rec_fracc)/frec),6))</f>
        <v/>
      </c>
      <c r="DE475" s="66" t="str">
        <f t="shared" si="627"/>
        <v/>
      </c>
      <c r="DF475" s="119" t="str">
        <f t="shared" si="628"/>
        <v/>
      </c>
      <c r="DG475" s="66" t="str">
        <f>+IF($W475="","",ROUND(IF($B475&gt;Parámetros!$D$107,'Tablas Servicio'!DE475+('Tablas Servicio'!DG474-'Tablas Servicio'!DE474),DE475/(1-IF(B475&lt;=10,Parámetros!$D$100,0))),2))</f>
        <v/>
      </c>
      <c r="DH475" s="66" t="str">
        <f t="shared" si="629"/>
        <v/>
      </c>
      <c r="DI475" s="66" t="str">
        <f t="shared" si="629"/>
        <v/>
      </c>
      <c r="DJ475" s="66" t="str">
        <f>+IF($W475="","",ROUND((DG475*Parámetros!$G$85),2))</f>
        <v/>
      </c>
      <c r="DK475" s="66" t="str">
        <f>+IF($W475="","",ROUND((DG475*(Parámetros!$G$86)),2))</f>
        <v/>
      </c>
      <c r="DL475" s="66" t="str">
        <f t="shared" si="630"/>
        <v/>
      </c>
      <c r="DM475" t="str">
        <f t="shared" si="671"/>
        <v/>
      </c>
      <c r="DN475" s="118" t="str">
        <f t="shared" si="672"/>
        <v/>
      </c>
      <c r="DO475" s="118" t="str">
        <f t="shared" si="673"/>
        <v/>
      </c>
      <c r="DP475" s="118" t="str">
        <f t="shared" si="674"/>
        <v/>
      </c>
      <c r="DQ475" s="122" t="str">
        <f>+IF(OR($W475="",DO475=0),"",ROUND((VLOOKUP(ROUNDDOWN($D475-1/frec,0),cob_adi,DB$40,FALSE)*(1+i/frec)^-0.5*(1+Parámetros!$D$103)*(1+rec_fracc)/frec),6))</f>
        <v/>
      </c>
      <c r="DR475" s="66" t="str">
        <f t="shared" si="631"/>
        <v/>
      </c>
      <c r="DS475" s="68" t="str">
        <f t="shared" si="632"/>
        <v/>
      </c>
      <c r="DT475" s="66" t="str">
        <f>+IF($W475="","",ROUND(IF($B475&gt;Parámetros!$D$107,'Tablas Servicio'!DR475+('Tablas Servicio'!DT474-'Tablas Servicio'!DR474),DR475/(1-IF(B475&lt;=10,Parámetros!$D$100,0))),2))</f>
        <v/>
      </c>
      <c r="DU475" s="66" t="str">
        <f t="shared" si="633"/>
        <v/>
      </c>
      <c r="DV475" s="66" t="str">
        <f t="shared" si="633"/>
        <v/>
      </c>
      <c r="DW475" s="66" t="str">
        <f>+IF($W475="","",ROUND((DT475*Parámetros!$G$85),2))</f>
        <v/>
      </c>
      <c r="DX475" s="66" t="str">
        <f>+IF($W475="","",ROUND((DT475*(Parámetros!$G$86)),2))</f>
        <v/>
      </c>
      <c r="DY475" s="66" t="str">
        <f t="shared" si="634"/>
        <v/>
      </c>
      <c r="DZ475" t="str">
        <f t="shared" ref="DZ475:EC490" si="677">+IF($W475="","",DZ474)</f>
        <v/>
      </c>
      <c r="EA475" s="118" t="str">
        <f t="shared" si="677"/>
        <v/>
      </c>
      <c r="EB475" s="118" t="str">
        <f>+IF($W475="","",ROUND(IF(Parámetros!$D$25='TABLAS MORT'!$V$33,EB474,Z475/2),0))</f>
        <v/>
      </c>
      <c r="EC475" s="118" t="str">
        <f t="shared" si="677"/>
        <v/>
      </c>
      <c r="ED475" s="122" t="str">
        <f>+IF(OR($W475="",EB475=0),"",ROUND((VLOOKUP(ROUNDDOWN($D475-1/frec,0),cob_adi,DO$40,FALSE)*(1+i/frec)^-0.5*(1+Parámetros!$D$103)*(1+rec_fracc)/frec),6))</f>
        <v/>
      </c>
      <c r="EE475" s="66" t="str">
        <f t="shared" si="636"/>
        <v/>
      </c>
      <c r="EF475" s="68" t="str">
        <f t="shared" si="637"/>
        <v/>
      </c>
      <c r="EG475" s="66" t="str">
        <f>+IF($W475="","",ROUND(IF($B475&gt;Parámetros!$D$107,'Tablas Servicio'!EE475+('Tablas Servicio'!EG474-'Tablas Servicio'!EE474),EE475/(1-IF(B475&lt;=10,Parámetros!$D$100,0))),2))</f>
        <v/>
      </c>
      <c r="EH475" s="66" t="str">
        <f t="shared" si="638"/>
        <v/>
      </c>
      <c r="EI475" s="66" t="str">
        <f t="shared" si="638"/>
        <v/>
      </c>
      <c r="EJ475" s="66" t="str">
        <f>+IF($W475="","",ROUND((EG475*Parámetros!$G$85),2))</f>
        <v/>
      </c>
      <c r="EK475" s="66" t="str">
        <f>+IF($W475="","",ROUND((EG475*(Parámetros!$G$86)),2))</f>
        <v/>
      </c>
      <c r="EL475" s="66" t="str">
        <f t="shared" si="639"/>
        <v/>
      </c>
    </row>
    <row r="476" spans="1:142" x14ac:dyDescent="0.25">
      <c r="A476" t="str">
        <f>+IF($C476="","",ROUND(VLOOKUP('Tablas Servicio'!B476,Parámetros!$H$100:$J$159,IF(Parámetros!$E$16="F",2,3),FALSE),2))</f>
        <v/>
      </c>
      <c r="B476" t="str">
        <f t="shared" si="590"/>
        <v/>
      </c>
      <c r="C476" s="57" t="str">
        <f>+IF(D476="","",'Tablas Servicio'!C475+1)</f>
        <v/>
      </c>
      <c r="D476" s="56" t="str">
        <f>+IF(D475&lt;edadmaxtabla,D475+1/Parámetros!$E$25,"")</f>
        <v/>
      </c>
      <c r="E476" s="57" t="str">
        <f t="shared" si="600"/>
        <v/>
      </c>
      <c r="F476" s="59" t="str">
        <f t="shared" si="601"/>
        <v/>
      </c>
      <c r="G476" s="66" t="str">
        <f t="shared" si="591"/>
        <v/>
      </c>
      <c r="H476" s="66" t="str">
        <f t="shared" si="592"/>
        <v/>
      </c>
      <c r="I476" s="66" t="str">
        <f t="shared" si="640"/>
        <v/>
      </c>
      <c r="J476" s="66" t="str">
        <f t="shared" si="593"/>
        <v/>
      </c>
      <c r="K476" s="66" t="str">
        <f t="shared" si="594"/>
        <v/>
      </c>
      <c r="L476" s="66" t="str">
        <f t="shared" si="595"/>
        <v/>
      </c>
      <c r="M476" s="66" t="str">
        <f t="shared" si="596"/>
        <v/>
      </c>
      <c r="N476" s="66" t="str">
        <f>+IF(C476="","",ROUND(Parámetros!$D$23,2))</f>
        <v/>
      </c>
      <c r="O476" s="66" t="str">
        <f t="shared" si="597"/>
        <v/>
      </c>
      <c r="P476" s="66" t="str">
        <f>+IF($C476="","",ROUND(IF(B476&gt;Parámetros!$D$117,0,N476*Parámetros!$D$116-G476*Parámetros!$D$100),2))</f>
        <v/>
      </c>
      <c r="Q476" s="75" t="str">
        <f t="shared" si="641"/>
        <v/>
      </c>
      <c r="R476" s="75" t="str">
        <f t="shared" si="642"/>
        <v/>
      </c>
      <c r="S476" s="117" t="str">
        <f>+IF($C476="","",ROUND((S475+I476)*(1+Parámetros!$D$91),2))</f>
        <v/>
      </c>
      <c r="T476" s="117" t="str">
        <f>+IF($C476="","",ROUND(S476*VLOOKUP(B476,Parámetros!$C$30:$D$39,2,TRUE),2))</f>
        <v/>
      </c>
      <c r="U476" s="117" t="str">
        <f>+IF($C476="","",ROUND((U475+I476)*(1+Parámetros!$D$92),2))</f>
        <v/>
      </c>
      <c r="V476" s="117" t="str">
        <f>+IF($C476="","",ROUND(U476*VLOOKUP(B476,Parámetros!$C$30:$D$39,2,TRUE),2))</f>
        <v/>
      </c>
      <c r="W476" s="57" t="str">
        <f t="shared" si="643"/>
        <v/>
      </c>
      <c r="X476" t="str">
        <f t="shared" si="644"/>
        <v/>
      </c>
      <c r="Y476" t="str">
        <f t="shared" si="645"/>
        <v/>
      </c>
      <c r="Z476" s="118" t="str">
        <f>+IF($W476="","",ROUND(IF(Parámetros!$D$25='TABLAS MORT'!$V$33,Z475,Parámetros!$D$21-'Tablas Servicio'!T475),0))</f>
        <v/>
      </c>
      <c r="AA476" s="118" t="str">
        <f t="shared" si="646"/>
        <v/>
      </c>
      <c r="AB476" s="119" t="str">
        <f>+IF(W476="","",ROUND((VLOOKUP(ROUNDDOWN($D476-1/frec,0),qx_tabla,2,FALSE)*(1+i/frec)^-0.5*(1+Parámetros!$D$103)*(1+rec_fracc)/frec),6))</f>
        <v/>
      </c>
      <c r="AC476" s="66" t="str">
        <f t="shared" si="602"/>
        <v/>
      </c>
      <c r="AD476" s="119" t="str">
        <f t="shared" si="598"/>
        <v/>
      </c>
      <c r="AE476" s="66" t="str">
        <f>+IF($W476="","",ROUND(IF($B476&gt;Parámetros!$D$107,'Tablas Servicio'!AC476+('Tablas Servicio'!AG475-'Tablas Servicio'!AC475),AC476/(1-IF(B476&lt;=10,Parámetros!$D$104,Parámetros!$D$105))),2))</f>
        <v/>
      </c>
      <c r="AF476" s="66" t="str">
        <f>+IF($W476="","",ROUND(IF($B476&gt;Parámetros!$D$107,'Tablas Servicio'!AC476+('Tablas Servicio'!AG475-'Tablas Servicio'!AC475),(AC476+$A475/frec)/(1-IF(B476&lt;=Parámetros!$D$117,Parámetros!$D$100,0))),2))</f>
        <v/>
      </c>
      <c r="AG476" s="66" t="str">
        <f t="shared" si="603"/>
        <v/>
      </c>
      <c r="AH476" s="66" t="str">
        <f t="shared" si="604"/>
        <v/>
      </c>
      <c r="AI476" s="66" t="str">
        <f t="shared" si="605"/>
        <v/>
      </c>
      <c r="AJ476" s="66" t="str">
        <f>+IF($W476="","",ROUND((AG476*Parámetros!$G$85),2))</f>
        <v/>
      </c>
      <c r="AK476" s="66" t="str">
        <f>+IF($W476="","",ROUND((AG476*(Parámetros!$G$86)),2))</f>
        <v/>
      </c>
      <c r="AL476" s="66" t="str">
        <f t="shared" si="599"/>
        <v/>
      </c>
      <c r="AM476" t="str">
        <f t="shared" si="647"/>
        <v/>
      </c>
      <c r="AN476" t="str">
        <f t="shared" si="648"/>
        <v/>
      </c>
      <c r="AO476" s="118" t="str">
        <f t="shared" si="649"/>
        <v/>
      </c>
      <c r="AP476" s="118" t="str">
        <f t="shared" si="650"/>
        <v/>
      </c>
      <c r="AQ476" s="119" t="str">
        <f>+IF(OR($W476="",AO476=0),"",ROUND((VLOOKUP(ROUNDDOWN($D476-1/frec,0),cob_adi,Z$40,FALSE)*(1+i/frec)^-0.5*(1+Parámetros!$D$103)*(1+rec_fracc)/frec),6))</f>
        <v/>
      </c>
      <c r="AR476" s="66" t="str">
        <f t="shared" si="606"/>
        <v/>
      </c>
      <c r="AS476" s="119" t="str">
        <f t="shared" si="607"/>
        <v/>
      </c>
      <c r="AT476" s="66" t="str">
        <f>+IF($W476="","",ROUND(IF($B476&gt;Parámetros!$D$107,'Tablas Servicio'!AR476+('Tablas Servicio'!AT475-'Tablas Servicio'!AR475),AR476/(1-IF(B476&lt;=10,Parámetros!$D$100,0))),2))</f>
        <v/>
      </c>
      <c r="AU476" s="66" t="str">
        <f t="shared" si="608"/>
        <v/>
      </c>
      <c r="AV476" s="66" t="str">
        <f t="shared" si="608"/>
        <v/>
      </c>
      <c r="AW476" s="66" t="str">
        <f>+IF($W476="","",ROUND((AT476*Parámetros!$G$85),2))</f>
        <v/>
      </c>
      <c r="AX476" s="66" t="str">
        <f>+IF($W476="","",ROUND((AT476*(Parámetros!$G$86)),2))</f>
        <v/>
      </c>
      <c r="AY476" s="66" t="str">
        <f t="shared" si="609"/>
        <v/>
      </c>
      <c r="AZ476" t="str">
        <f t="shared" si="651"/>
        <v/>
      </c>
      <c r="BA476" t="str">
        <f t="shared" si="652"/>
        <v/>
      </c>
      <c r="BB476" s="118" t="str">
        <f t="shared" si="653"/>
        <v/>
      </c>
      <c r="BC476" s="118" t="str">
        <f t="shared" si="654"/>
        <v/>
      </c>
      <c r="BD476" s="119" t="str">
        <f>+IF(OR($W476="",BB476=0),"",ROUND((VLOOKUP(ROUNDDOWN($D476-1/frec,0),cob_adi,AO$40,FALSE)*(1+i/frec)^-0.5*(1+Parámetros!$D$103)*(1+rec_fracc)/frec),6))</f>
        <v/>
      </c>
      <c r="BE476" s="66" t="str">
        <f t="shared" si="610"/>
        <v/>
      </c>
      <c r="BF476" s="119" t="str">
        <f t="shared" si="611"/>
        <v/>
      </c>
      <c r="BG476" s="66" t="str">
        <f>+IF($W476="","",ROUND(IF($B476&gt;Parámetros!$D$107,'Tablas Servicio'!BE476+('Tablas Servicio'!BG475-'Tablas Servicio'!BE475),BE476/(1-IF(B476&lt;=10,Parámetros!$D$100,0))),2))</f>
        <v/>
      </c>
      <c r="BH476" s="66" t="str">
        <f t="shared" si="612"/>
        <v/>
      </c>
      <c r="BI476" s="66" t="str">
        <f t="shared" si="613"/>
        <v/>
      </c>
      <c r="BJ476" s="66" t="str">
        <f>+IF($W476="","",ROUND((BG476*Parámetros!$G$85),2))</f>
        <v/>
      </c>
      <c r="BK476" s="66" t="str">
        <f>+IF($W476="","",ROUND((BG476*(Parámetros!$G$86)),2))</f>
        <v/>
      </c>
      <c r="BL476" s="66" t="str">
        <f t="shared" si="614"/>
        <v/>
      </c>
      <c r="BM476" t="str">
        <f t="shared" si="655"/>
        <v/>
      </c>
      <c r="BN476" t="str">
        <f t="shared" si="656"/>
        <v/>
      </c>
      <c r="BO476" s="118" t="str">
        <f t="shared" si="657"/>
        <v/>
      </c>
      <c r="BP476" s="118" t="str">
        <f t="shared" si="658"/>
        <v/>
      </c>
      <c r="BQ476" s="119" t="str">
        <f>+IF(OR($W476="",BO476=0),"",ROUND((VLOOKUP(ROUNDDOWN($D476-1/frec,0),cob_adi,BB$40,FALSE)*(1+i/frec)^-0.5*(1+Parámetros!$D$103)*(1+rec_fracc)/frec),6))</f>
        <v/>
      </c>
      <c r="BR476" s="66" t="str">
        <f t="shared" si="615"/>
        <v/>
      </c>
      <c r="BS476" s="119" t="str">
        <f t="shared" si="616"/>
        <v/>
      </c>
      <c r="BT476" s="66" t="str">
        <f>+IF($W476="","",ROUND(IF($B476&gt;Parámetros!$D$107,'Tablas Servicio'!BR476+('Tablas Servicio'!BT475-'Tablas Servicio'!BR475),BR476/(1-IF(B476&lt;=10,Parámetros!$D$100,0))),2))</f>
        <v/>
      </c>
      <c r="BU476" s="66" t="str">
        <f t="shared" si="617"/>
        <v/>
      </c>
      <c r="BV476" s="66" t="str">
        <f t="shared" si="617"/>
        <v/>
      </c>
      <c r="BW476" s="66" t="str">
        <f>+IF($W476="","",ROUND((BT476*Parámetros!$G$85),2))</f>
        <v/>
      </c>
      <c r="BX476" s="66" t="str">
        <f>+IF($W476="","",ROUND((BT476*(Parámetros!$G$86)),2))</f>
        <v/>
      </c>
      <c r="BY476" s="66" t="str">
        <f t="shared" si="618"/>
        <v/>
      </c>
      <c r="BZ476" t="str">
        <f t="shared" si="659"/>
        <v/>
      </c>
      <c r="CA476" t="str">
        <f t="shared" si="660"/>
        <v/>
      </c>
      <c r="CB476" s="118" t="str">
        <f t="shared" si="661"/>
        <v/>
      </c>
      <c r="CC476" s="118" t="str">
        <f t="shared" si="662"/>
        <v/>
      </c>
      <c r="CD476" s="119" t="str">
        <f t="shared" si="619"/>
        <v/>
      </c>
      <c r="CE476" s="66" t="str">
        <f>+IF($W476="","",ROUND((VLOOKUP(ROUNDDOWN($D476-1/frec,0),cob_adi,BO$40,FALSE)*(1+i/frec)^-0.5*(1+Parámetros!$D$103)*(1+rec_fracc)/frec*'TABLAS ADI'!$BC$17),2))</f>
        <v/>
      </c>
      <c r="CF476" s="119" t="str">
        <f t="shared" si="620"/>
        <v/>
      </c>
      <c r="CG476" s="66" t="str">
        <f>+IF($W476="","",ROUND(IF($B476&gt;Parámetros!$D$107,'Tablas Servicio'!CE476+('Tablas Servicio'!CG475-'Tablas Servicio'!CE475),CE476/(1-IF(B476&lt;=10,Parámetros!$D$100,0))),2))</f>
        <v/>
      </c>
      <c r="CH476" s="66" t="str">
        <f t="shared" si="621"/>
        <v/>
      </c>
      <c r="CI476" s="66" t="str">
        <f t="shared" si="621"/>
        <v/>
      </c>
      <c r="CJ476" s="66" t="str">
        <f>+IF($W476="","",ROUND((CG476*Parámetros!$G$85),2))</f>
        <v/>
      </c>
      <c r="CK476" s="66" t="str">
        <f>+IF($W476="","",ROUND((CG476*(Parámetros!$G$86)),2))</f>
        <v/>
      </c>
      <c r="CL476" s="66" t="str">
        <f t="shared" si="622"/>
        <v/>
      </c>
      <c r="CM476" t="str">
        <f t="shared" si="663"/>
        <v/>
      </c>
      <c r="CN476" s="118" t="str">
        <f t="shared" si="664"/>
        <v/>
      </c>
      <c r="CO476" s="118" t="str">
        <f t="shared" si="665"/>
        <v/>
      </c>
      <c r="CP476" s="118" t="str">
        <f t="shared" si="666"/>
        <v/>
      </c>
      <c r="CQ476" s="119" t="str">
        <f t="shared" si="623"/>
        <v/>
      </c>
      <c r="CR476" s="66" t="str">
        <f>+IF($W476="","",ROUND((VLOOKUP(Parámetros!$F$51,'COBERTURAS ADICIONALES'!$S$4:$T$32,2,FALSE)*(1+i/frec)^-0.5*(1+Parámetros!$D$103)*(1+rec_fracc)/frec*$CO$42),2))</f>
        <v/>
      </c>
      <c r="CS476" s="119" t="str">
        <f t="shared" si="624"/>
        <v/>
      </c>
      <c r="CT476" s="66" t="str">
        <f>+IF($W476="","",ROUND(IF($B476&gt;Parámetros!$D$107,'Tablas Servicio'!CR476+('Tablas Servicio'!CT475-'Tablas Servicio'!CR475),CR476/(1-IF(B476&lt;=10,Parámetros!$D$100,0))),2))</f>
        <v/>
      </c>
      <c r="CU476" s="66" t="str">
        <f t="shared" si="625"/>
        <v/>
      </c>
      <c r="CV476" s="66" t="str">
        <f t="shared" si="625"/>
        <v/>
      </c>
      <c r="CW476" s="66" t="str">
        <f>+IF($W476="","",ROUND((CT476*Parámetros!$G$85),2))</f>
        <v/>
      </c>
      <c r="CX476" s="66" t="str">
        <f>+IF($W476="","",ROUND((CT476*(Parámetros!$G$86)),2))</f>
        <v/>
      </c>
      <c r="CY476" s="66" t="str">
        <f t="shared" si="626"/>
        <v/>
      </c>
      <c r="CZ476" t="str">
        <f t="shared" si="667"/>
        <v/>
      </c>
      <c r="DA476" s="118" t="str">
        <f t="shared" si="668"/>
        <v/>
      </c>
      <c r="DB476" s="118" t="str">
        <f t="shared" si="669"/>
        <v/>
      </c>
      <c r="DC476" s="118" t="str">
        <f t="shared" si="670"/>
        <v/>
      </c>
      <c r="DD476" s="121" t="str">
        <f>+IF(OR($W476="",DB476=0),"",ROUND((VLOOKUP(ROUNDDOWN($D476-1/frec,0),cob_adi,CO$40,FALSE)*(1+i/frec)^-0.5*(1+Parámetros!$D$103)*(1+rec_fracc)/frec),6))</f>
        <v/>
      </c>
      <c r="DE476" s="66" t="str">
        <f t="shared" si="627"/>
        <v/>
      </c>
      <c r="DF476" s="119" t="str">
        <f t="shared" si="628"/>
        <v/>
      </c>
      <c r="DG476" s="66" t="str">
        <f>+IF($W476="","",ROUND(IF($B476&gt;Parámetros!$D$107,'Tablas Servicio'!DE476+('Tablas Servicio'!DG475-'Tablas Servicio'!DE475),DE476/(1-IF(B476&lt;=10,Parámetros!$D$100,0))),2))</f>
        <v/>
      </c>
      <c r="DH476" s="66" t="str">
        <f t="shared" si="629"/>
        <v/>
      </c>
      <c r="DI476" s="66" t="str">
        <f t="shared" si="629"/>
        <v/>
      </c>
      <c r="DJ476" s="66" t="str">
        <f>+IF($W476="","",ROUND((DG476*Parámetros!$G$85),2))</f>
        <v/>
      </c>
      <c r="DK476" s="66" t="str">
        <f>+IF($W476="","",ROUND((DG476*(Parámetros!$G$86)),2))</f>
        <v/>
      </c>
      <c r="DL476" s="66" t="str">
        <f t="shared" si="630"/>
        <v/>
      </c>
      <c r="DM476" t="str">
        <f t="shared" si="671"/>
        <v/>
      </c>
      <c r="DN476" s="118" t="str">
        <f t="shared" si="672"/>
        <v/>
      </c>
      <c r="DO476" s="118" t="str">
        <f t="shared" si="673"/>
        <v/>
      </c>
      <c r="DP476" s="118" t="str">
        <f t="shared" si="674"/>
        <v/>
      </c>
      <c r="DQ476" s="122" t="str">
        <f>+IF(OR($W476="",DO476=0),"",ROUND((VLOOKUP(ROUNDDOWN($D476-1/frec,0),cob_adi,DB$40,FALSE)*(1+i/frec)^-0.5*(1+Parámetros!$D$103)*(1+rec_fracc)/frec),6))</f>
        <v/>
      </c>
      <c r="DR476" s="66" t="str">
        <f t="shared" si="631"/>
        <v/>
      </c>
      <c r="DS476" s="68" t="str">
        <f t="shared" si="632"/>
        <v/>
      </c>
      <c r="DT476" s="66" t="str">
        <f>+IF($W476="","",ROUND(IF($B476&gt;Parámetros!$D$107,'Tablas Servicio'!DR476+('Tablas Servicio'!DT475-'Tablas Servicio'!DR475),DR476/(1-IF(B476&lt;=10,Parámetros!$D$100,0))),2))</f>
        <v/>
      </c>
      <c r="DU476" s="66" t="str">
        <f t="shared" si="633"/>
        <v/>
      </c>
      <c r="DV476" s="66" t="str">
        <f t="shared" si="633"/>
        <v/>
      </c>
      <c r="DW476" s="66" t="str">
        <f>+IF($W476="","",ROUND((DT476*Parámetros!$G$85),2))</f>
        <v/>
      </c>
      <c r="DX476" s="66" t="str">
        <f>+IF($W476="","",ROUND((DT476*(Parámetros!$G$86)),2))</f>
        <v/>
      </c>
      <c r="DY476" s="66" t="str">
        <f t="shared" si="634"/>
        <v/>
      </c>
      <c r="DZ476" t="str">
        <f t="shared" si="677"/>
        <v/>
      </c>
      <c r="EA476" s="118" t="str">
        <f t="shared" si="677"/>
        <v/>
      </c>
      <c r="EB476" s="118" t="str">
        <f>+IF($W476="","",ROUND(IF(Parámetros!$D$25='TABLAS MORT'!$V$33,EB475,Z476/2),0))</f>
        <v/>
      </c>
      <c r="EC476" s="118" t="str">
        <f t="shared" si="677"/>
        <v/>
      </c>
      <c r="ED476" s="122" t="str">
        <f>+IF(OR($W476="",EB476=0),"",ROUND((VLOOKUP(ROUNDDOWN($D476-1/frec,0),cob_adi,DO$40,FALSE)*(1+i/frec)^-0.5*(1+Parámetros!$D$103)*(1+rec_fracc)/frec),6))</f>
        <v/>
      </c>
      <c r="EE476" s="66" t="str">
        <f t="shared" si="636"/>
        <v/>
      </c>
      <c r="EF476" s="68" t="str">
        <f t="shared" si="637"/>
        <v/>
      </c>
      <c r="EG476" s="66" t="str">
        <f>+IF($W476="","",ROUND(IF($B476&gt;Parámetros!$D$107,'Tablas Servicio'!EE476+('Tablas Servicio'!EG475-'Tablas Servicio'!EE475),EE476/(1-IF(B476&lt;=10,Parámetros!$D$100,0))),2))</f>
        <v/>
      </c>
      <c r="EH476" s="66" t="str">
        <f t="shared" si="638"/>
        <v/>
      </c>
      <c r="EI476" s="66" t="str">
        <f t="shared" si="638"/>
        <v/>
      </c>
      <c r="EJ476" s="66" t="str">
        <f>+IF($W476="","",ROUND((EG476*Parámetros!$G$85),2))</f>
        <v/>
      </c>
      <c r="EK476" s="66" t="str">
        <f>+IF($W476="","",ROUND((EG476*(Parámetros!$G$86)),2))</f>
        <v/>
      </c>
      <c r="EL476" s="66" t="str">
        <f t="shared" si="639"/>
        <v/>
      </c>
    </row>
    <row r="477" spans="1:142" x14ac:dyDescent="0.25">
      <c r="A477" t="str">
        <f>+IF($C477="","",ROUND(VLOOKUP('Tablas Servicio'!B477,Parámetros!$H$100:$J$159,IF(Parámetros!$E$16="F",2,3),FALSE),2))</f>
        <v/>
      </c>
      <c r="B477" t="str">
        <f t="shared" si="590"/>
        <v/>
      </c>
      <c r="C477" s="57" t="str">
        <f>+IF(D477="","",'Tablas Servicio'!C476+1)</f>
        <v/>
      </c>
      <c r="D477" s="56" t="str">
        <f>+IF(D476&lt;edadmaxtabla,D476+1/Parámetros!$E$25,"")</f>
        <v/>
      </c>
      <c r="E477" s="57" t="str">
        <f t="shared" si="600"/>
        <v/>
      </c>
      <c r="F477" s="59" t="str">
        <f t="shared" si="601"/>
        <v/>
      </c>
      <c r="G477" s="66" t="str">
        <f t="shared" si="591"/>
        <v/>
      </c>
      <c r="H477" s="66" t="str">
        <f t="shared" si="592"/>
        <v/>
      </c>
      <c r="I477" s="66" t="str">
        <f t="shared" si="640"/>
        <v/>
      </c>
      <c r="J477" s="66" t="str">
        <f t="shared" si="593"/>
        <v/>
      </c>
      <c r="K477" s="66" t="str">
        <f t="shared" si="594"/>
        <v/>
      </c>
      <c r="L477" s="66" t="str">
        <f t="shared" si="595"/>
        <v/>
      </c>
      <c r="M477" s="66" t="str">
        <f t="shared" si="596"/>
        <v/>
      </c>
      <c r="N477" s="66" t="str">
        <f>+IF(C477="","",ROUND(Parámetros!$D$23,2))</f>
        <v/>
      </c>
      <c r="O477" s="66" t="str">
        <f t="shared" si="597"/>
        <v/>
      </c>
      <c r="P477" s="66" t="str">
        <f>+IF($C477="","",ROUND(IF(B477&gt;Parámetros!$D$117,0,N477*Parámetros!$D$116-G477*Parámetros!$D$100),2))</f>
        <v/>
      </c>
      <c r="Q477" s="75" t="str">
        <f t="shared" si="641"/>
        <v/>
      </c>
      <c r="R477" s="75" t="str">
        <f t="shared" si="642"/>
        <v/>
      </c>
      <c r="S477" s="117" t="str">
        <f>+IF($C477="","",ROUND((S476+I477)*(1+Parámetros!$D$91),2))</f>
        <v/>
      </c>
      <c r="T477" s="117" t="str">
        <f>+IF($C477="","",ROUND(S477*VLOOKUP(B477,Parámetros!$C$30:$D$39,2,TRUE),2))</f>
        <v/>
      </c>
      <c r="U477" s="117" t="str">
        <f>+IF($C477="","",ROUND((U476+I477)*(1+Parámetros!$D$92),2))</f>
        <v/>
      </c>
      <c r="V477" s="117" t="str">
        <f>+IF($C477="","",ROUND(U477*VLOOKUP(B477,Parámetros!$C$30:$D$39,2,TRUE),2))</f>
        <v/>
      </c>
      <c r="W477" s="57" t="str">
        <f t="shared" si="643"/>
        <v/>
      </c>
      <c r="X477" t="str">
        <f t="shared" si="644"/>
        <v/>
      </c>
      <c r="Y477" t="str">
        <f t="shared" si="645"/>
        <v/>
      </c>
      <c r="Z477" s="118" t="str">
        <f>+IF($W477="","",ROUND(IF(Parámetros!$D$25='TABLAS MORT'!$V$33,Z476,Parámetros!$D$21-'Tablas Servicio'!T476),0))</f>
        <v/>
      </c>
      <c r="AA477" s="118" t="str">
        <f t="shared" si="646"/>
        <v/>
      </c>
      <c r="AB477" s="119" t="str">
        <f>+IF(W477="","",ROUND((VLOOKUP(ROUNDDOWN($D477-1/frec,0),qx_tabla,2,FALSE)*(1+i/frec)^-0.5*(1+Parámetros!$D$103)*(1+rec_fracc)/frec),6))</f>
        <v/>
      </c>
      <c r="AC477" s="66" t="str">
        <f t="shared" si="602"/>
        <v/>
      </c>
      <c r="AD477" s="119" t="str">
        <f t="shared" si="598"/>
        <v/>
      </c>
      <c r="AE477" s="66" t="str">
        <f>+IF($W477="","",ROUND(IF($B477&gt;Parámetros!$D$107,'Tablas Servicio'!AC477+('Tablas Servicio'!AG476-'Tablas Servicio'!AC476),AC477/(1-IF(B477&lt;=10,Parámetros!$D$104,Parámetros!$D$105))),2))</f>
        <v/>
      </c>
      <c r="AF477" s="66" t="str">
        <f>+IF($W477="","",ROUND(IF($B477&gt;Parámetros!$D$107,'Tablas Servicio'!AC477+('Tablas Servicio'!AG476-'Tablas Servicio'!AC476),(AC477+$A476/frec)/(1-IF(B477&lt;=Parámetros!$D$117,Parámetros!$D$100,0))),2))</f>
        <v/>
      </c>
      <c r="AG477" s="66" t="str">
        <f t="shared" si="603"/>
        <v/>
      </c>
      <c r="AH477" s="66" t="str">
        <f t="shared" si="604"/>
        <v/>
      </c>
      <c r="AI477" s="66" t="str">
        <f t="shared" si="605"/>
        <v/>
      </c>
      <c r="AJ477" s="66" t="str">
        <f>+IF($W477="","",ROUND((AG477*Parámetros!$G$85),2))</f>
        <v/>
      </c>
      <c r="AK477" s="66" t="str">
        <f>+IF($W477="","",ROUND((AG477*(Parámetros!$G$86)),2))</f>
        <v/>
      </c>
      <c r="AL477" s="66" t="str">
        <f t="shared" si="599"/>
        <v/>
      </c>
      <c r="AM477" t="str">
        <f t="shared" si="647"/>
        <v/>
      </c>
      <c r="AN477" t="str">
        <f t="shared" si="648"/>
        <v/>
      </c>
      <c r="AO477" s="118" t="str">
        <f t="shared" si="649"/>
        <v/>
      </c>
      <c r="AP477" s="118" t="str">
        <f t="shared" si="650"/>
        <v/>
      </c>
      <c r="AQ477" s="119" t="str">
        <f>+IF(OR($W477="",AO477=0),"",ROUND((VLOOKUP(ROUNDDOWN($D477-1/frec,0),cob_adi,Z$40,FALSE)*(1+i/frec)^-0.5*(1+Parámetros!$D$103)*(1+rec_fracc)/frec),6))</f>
        <v/>
      </c>
      <c r="AR477" s="66" t="str">
        <f t="shared" si="606"/>
        <v/>
      </c>
      <c r="AS477" s="119" t="str">
        <f t="shared" si="607"/>
        <v/>
      </c>
      <c r="AT477" s="66" t="str">
        <f>+IF($W477="","",ROUND(IF($B477&gt;Parámetros!$D$107,'Tablas Servicio'!AR477+('Tablas Servicio'!AT476-'Tablas Servicio'!AR476),AR477/(1-IF(B477&lt;=10,Parámetros!$D$100,0))),2))</f>
        <v/>
      </c>
      <c r="AU477" s="66" t="str">
        <f t="shared" si="608"/>
        <v/>
      </c>
      <c r="AV477" s="66" t="str">
        <f t="shared" si="608"/>
        <v/>
      </c>
      <c r="AW477" s="66" t="str">
        <f>+IF($W477="","",ROUND((AT477*Parámetros!$G$85),2))</f>
        <v/>
      </c>
      <c r="AX477" s="66" t="str">
        <f>+IF($W477="","",ROUND((AT477*(Parámetros!$G$86)),2))</f>
        <v/>
      </c>
      <c r="AY477" s="66" t="str">
        <f t="shared" si="609"/>
        <v/>
      </c>
      <c r="AZ477" t="str">
        <f t="shared" si="651"/>
        <v/>
      </c>
      <c r="BA477" t="str">
        <f t="shared" si="652"/>
        <v/>
      </c>
      <c r="BB477" s="118" t="str">
        <f t="shared" si="653"/>
        <v/>
      </c>
      <c r="BC477" s="118" t="str">
        <f t="shared" si="654"/>
        <v/>
      </c>
      <c r="BD477" s="119" t="str">
        <f>+IF(OR($W477="",BB477=0),"",ROUND((VLOOKUP(ROUNDDOWN($D477-1/frec,0),cob_adi,AO$40,FALSE)*(1+i/frec)^-0.5*(1+Parámetros!$D$103)*(1+rec_fracc)/frec),6))</f>
        <v/>
      </c>
      <c r="BE477" s="66" t="str">
        <f t="shared" si="610"/>
        <v/>
      </c>
      <c r="BF477" s="119" t="str">
        <f t="shared" si="611"/>
        <v/>
      </c>
      <c r="BG477" s="66" t="str">
        <f>+IF($W477="","",ROUND(IF($B477&gt;Parámetros!$D$107,'Tablas Servicio'!BE477+('Tablas Servicio'!BG476-'Tablas Servicio'!BE476),BE477/(1-IF(B477&lt;=10,Parámetros!$D$100,0))),2))</f>
        <v/>
      </c>
      <c r="BH477" s="66" t="str">
        <f t="shared" si="612"/>
        <v/>
      </c>
      <c r="BI477" s="66" t="str">
        <f t="shared" si="613"/>
        <v/>
      </c>
      <c r="BJ477" s="66" t="str">
        <f>+IF($W477="","",ROUND((BG477*Parámetros!$G$85),2))</f>
        <v/>
      </c>
      <c r="BK477" s="66" t="str">
        <f>+IF($W477="","",ROUND((BG477*(Parámetros!$G$86)),2))</f>
        <v/>
      </c>
      <c r="BL477" s="66" t="str">
        <f t="shared" si="614"/>
        <v/>
      </c>
      <c r="BM477" t="str">
        <f t="shared" si="655"/>
        <v/>
      </c>
      <c r="BN477" t="str">
        <f t="shared" si="656"/>
        <v/>
      </c>
      <c r="BO477" s="118" t="str">
        <f t="shared" si="657"/>
        <v/>
      </c>
      <c r="BP477" s="118" t="str">
        <f t="shared" si="658"/>
        <v/>
      </c>
      <c r="BQ477" s="119" t="str">
        <f>+IF(OR($W477="",BO477=0),"",ROUND((VLOOKUP(ROUNDDOWN($D477-1/frec,0),cob_adi,BB$40,FALSE)*(1+i/frec)^-0.5*(1+Parámetros!$D$103)*(1+rec_fracc)/frec),6))</f>
        <v/>
      </c>
      <c r="BR477" s="66" t="str">
        <f t="shared" si="615"/>
        <v/>
      </c>
      <c r="BS477" s="119" t="str">
        <f t="shared" si="616"/>
        <v/>
      </c>
      <c r="BT477" s="66" t="str">
        <f>+IF($W477="","",ROUND(IF($B477&gt;Parámetros!$D$107,'Tablas Servicio'!BR477+('Tablas Servicio'!BT476-'Tablas Servicio'!BR476),BR477/(1-IF(B477&lt;=10,Parámetros!$D$100,0))),2))</f>
        <v/>
      </c>
      <c r="BU477" s="66" t="str">
        <f t="shared" si="617"/>
        <v/>
      </c>
      <c r="BV477" s="66" t="str">
        <f t="shared" si="617"/>
        <v/>
      </c>
      <c r="BW477" s="66" t="str">
        <f>+IF($W477="","",ROUND((BT477*Parámetros!$G$85),2))</f>
        <v/>
      </c>
      <c r="BX477" s="66" t="str">
        <f>+IF($W477="","",ROUND((BT477*(Parámetros!$G$86)),2))</f>
        <v/>
      </c>
      <c r="BY477" s="66" t="str">
        <f t="shared" si="618"/>
        <v/>
      </c>
      <c r="BZ477" t="str">
        <f t="shared" si="659"/>
        <v/>
      </c>
      <c r="CA477" t="str">
        <f t="shared" si="660"/>
        <v/>
      </c>
      <c r="CB477" s="118" t="str">
        <f t="shared" si="661"/>
        <v/>
      </c>
      <c r="CC477" s="118" t="str">
        <f t="shared" si="662"/>
        <v/>
      </c>
      <c r="CD477" s="119" t="str">
        <f t="shared" si="619"/>
        <v/>
      </c>
      <c r="CE477" s="66" t="str">
        <f>+IF($W477="","",ROUND((VLOOKUP(ROUNDDOWN($D477-1/frec,0),cob_adi,BO$40,FALSE)*(1+i/frec)^-0.5*(1+Parámetros!$D$103)*(1+rec_fracc)/frec*'TABLAS ADI'!$BC$17),2))</f>
        <v/>
      </c>
      <c r="CF477" s="119" t="str">
        <f t="shared" si="620"/>
        <v/>
      </c>
      <c r="CG477" s="66" t="str">
        <f>+IF($W477="","",ROUND(IF($B477&gt;Parámetros!$D$107,'Tablas Servicio'!CE477+('Tablas Servicio'!CG476-'Tablas Servicio'!CE476),CE477/(1-IF(B477&lt;=10,Parámetros!$D$100,0))),2))</f>
        <v/>
      </c>
      <c r="CH477" s="66" t="str">
        <f t="shared" si="621"/>
        <v/>
      </c>
      <c r="CI477" s="66" t="str">
        <f t="shared" si="621"/>
        <v/>
      </c>
      <c r="CJ477" s="66" t="str">
        <f>+IF($W477="","",ROUND((CG477*Parámetros!$G$85),2))</f>
        <v/>
      </c>
      <c r="CK477" s="66" t="str">
        <f>+IF($W477="","",ROUND((CG477*(Parámetros!$G$86)),2))</f>
        <v/>
      </c>
      <c r="CL477" s="66" t="str">
        <f t="shared" si="622"/>
        <v/>
      </c>
      <c r="CM477" t="str">
        <f t="shared" si="663"/>
        <v/>
      </c>
      <c r="CN477" s="118" t="str">
        <f t="shared" si="664"/>
        <v/>
      </c>
      <c r="CO477" s="118" t="str">
        <f t="shared" si="665"/>
        <v/>
      </c>
      <c r="CP477" s="118" t="str">
        <f t="shared" si="666"/>
        <v/>
      </c>
      <c r="CQ477" s="119" t="str">
        <f t="shared" si="623"/>
        <v/>
      </c>
      <c r="CR477" s="66" t="str">
        <f>+IF($W477="","",ROUND((VLOOKUP(Parámetros!$F$51,'COBERTURAS ADICIONALES'!$S$4:$T$32,2,FALSE)*(1+i/frec)^-0.5*(1+Parámetros!$D$103)*(1+rec_fracc)/frec*$CO$42),2))</f>
        <v/>
      </c>
      <c r="CS477" s="119" t="str">
        <f t="shared" si="624"/>
        <v/>
      </c>
      <c r="CT477" s="66" t="str">
        <f>+IF($W477="","",ROUND(IF($B477&gt;Parámetros!$D$107,'Tablas Servicio'!CR477+('Tablas Servicio'!CT476-'Tablas Servicio'!CR476),CR477/(1-IF(B477&lt;=10,Parámetros!$D$100,0))),2))</f>
        <v/>
      </c>
      <c r="CU477" s="66" t="str">
        <f t="shared" si="625"/>
        <v/>
      </c>
      <c r="CV477" s="66" t="str">
        <f t="shared" si="625"/>
        <v/>
      </c>
      <c r="CW477" s="66" t="str">
        <f>+IF($W477="","",ROUND((CT477*Parámetros!$G$85),2))</f>
        <v/>
      </c>
      <c r="CX477" s="66" t="str">
        <f>+IF($W477="","",ROUND((CT477*(Parámetros!$G$86)),2))</f>
        <v/>
      </c>
      <c r="CY477" s="66" t="str">
        <f t="shared" si="626"/>
        <v/>
      </c>
      <c r="CZ477" t="str">
        <f t="shared" si="667"/>
        <v/>
      </c>
      <c r="DA477" s="118" t="str">
        <f t="shared" si="668"/>
        <v/>
      </c>
      <c r="DB477" s="118" t="str">
        <f t="shared" si="669"/>
        <v/>
      </c>
      <c r="DC477" s="118" t="str">
        <f t="shared" si="670"/>
        <v/>
      </c>
      <c r="DD477" s="121" t="str">
        <f>+IF(OR($W477="",DB477=0),"",ROUND((VLOOKUP(ROUNDDOWN($D477-1/frec,0),cob_adi,CO$40,FALSE)*(1+i/frec)^-0.5*(1+Parámetros!$D$103)*(1+rec_fracc)/frec),6))</f>
        <v/>
      </c>
      <c r="DE477" s="66" t="str">
        <f t="shared" si="627"/>
        <v/>
      </c>
      <c r="DF477" s="119" t="str">
        <f t="shared" si="628"/>
        <v/>
      </c>
      <c r="DG477" s="66" t="str">
        <f>+IF($W477="","",ROUND(IF($B477&gt;Parámetros!$D$107,'Tablas Servicio'!DE477+('Tablas Servicio'!DG476-'Tablas Servicio'!DE476),DE477/(1-IF(B477&lt;=10,Parámetros!$D$100,0))),2))</f>
        <v/>
      </c>
      <c r="DH477" s="66" t="str">
        <f t="shared" si="629"/>
        <v/>
      </c>
      <c r="DI477" s="66" t="str">
        <f t="shared" si="629"/>
        <v/>
      </c>
      <c r="DJ477" s="66" t="str">
        <f>+IF($W477="","",ROUND((DG477*Parámetros!$G$85),2))</f>
        <v/>
      </c>
      <c r="DK477" s="66" t="str">
        <f>+IF($W477="","",ROUND((DG477*(Parámetros!$G$86)),2))</f>
        <v/>
      </c>
      <c r="DL477" s="66" t="str">
        <f t="shared" si="630"/>
        <v/>
      </c>
      <c r="DM477" t="str">
        <f t="shared" si="671"/>
        <v/>
      </c>
      <c r="DN477" s="118" t="str">
        <f t="shared" si="672"/>
        <v/>
      </c>
      <c r="DO477" s="118" t="str">
        <f t="shared" si="673"/>
        <v/>
      </c>
      <c r="DP477" s="118" t="str">
        <f t="shared" si="674"/>
        <v/>
      </c>
      <c r="DQ477" s="122" t="str">
        <f>+IF(OR($W477="",DO477=0),"",ROUND((VLOOKUP(ROUNDDOWN($D477-1/frec,0),cob_adi,DB$40,FALSE)*(1+i/frec)^-0.5*(1+Parámetros!$D$103)*(1+rec_fracc)/frec),6))</f>
        <v/>
      </c>
      <c r="DR477" s="66" t="str">
        <f t="shared" si="631"/>
        <v/>
      </c>
      <c r="DS477" s="68" t="str">
        <f t="shared" si="632"/>
        <v/>
      </c>
      <c r="DT477" s="66" t="str">
        <f>+IF($W477="","",ROUND(IF($B477&gt;Parámetros!$D$107,'Tablas Servicio'!DR477+('Tablas Servicio'!DT476-'Tablas Servicio'!DR476),DR477/(1-IF(B477&lt;=10,Parámetros!$D$100,0))),2))</f>
        <v/>
      </c>
      <c r="DU477" s="66" t="str">
        <f t="shared" si="633"/>
        <v/>
      </c>
      <c r="DV477" s="66" t="str">
        <f t="shared" si="633"/>
        <v/>
      </c>
      <c r="DW477" s="66" t="str">
        <f>+IF($W477="","",ROUND((DT477*Parámetros!$G$85),2))</f>
        <v/>
      </c>
      <c r="DX477" s="66" t="str">
        <f>+IF($W477="","",ROUND((DT477*(Parámetros!$G$86)),2))</f>
        <v/>
      </c>
      <c r="DY477" s="66" t="str">
        <f t="shared" si="634"/>
        <v/>
      </c>
      <c r="DZ477" t="str">
        <f t="shared" si="677"/>
        <v/>
      </c>
      <c r="EA477" s="118" t="str">
        <f t="shared" si="677"/>
        <v/>
      </c>
      <c r="EB477" s="118" t="str">
        <f>+IF($W477="","",ROUND(IF(Parámetros!$D$25='TABLAS MORT'!$V$33,EB476,Z477/2),0))</f>
        <v/>
      </c>
      <c r="EC477" s="118" t="str">
        <f t="shared" si="677"/>
        <v/>
      </c>
      <c r="ED477" s="122" t="str">
        <f>+IF(OR($W477="",EB477=0),"",ROUND((VLOOKUP(ROUNDDOWN($D477-1/frec,0),cob_adi,DO$40,FALSE)*(1+i/frec)^-0.5*(1+Parámetros!$D$103)*(1+rec_fracc)/frec),6))</f>
        <v/>
      </c>
      <c r="EE477" s="66" t="str">
        <f t="shared" si="636"/>
        <v/>
      </c>
      <c r="EF477" s="68" t="str">
        <f t="shared" si="637"/>
        <v/>
      </c>
      <c r="EG477" s="66" t="str">
        <f>+IF($W477="","",ROUND(IF($B477&gt;Parámetros!$D$107,'Tablas Servicio'!EE477+('Tablas Servicio'!EG476-'Tablas Servicio'!EE476),EE477/(1-IF(B477&lt;=10,Parámetros!$D$100,0))),2))</f>
        <v/>
      </c>
      <c r="EH477" s="66" t="str">
        <f t="shared" si="638"/>
        <v/>
      </c>
      <c r="EI477" s="66" t="str">
        <f t="shared" si="638"/>
        <v/>
      </c>
      <c r="EJ477" s="66" t="str">
        <f>+IF($W477="","",ROUND((EG477*Parámetros!$G$85),2))</f>
        <v/>
      </c>
      <c r="EK477" s="66" t="str">
        <f>+IF($W477="","",ROUND((EG477*(Parámetros!$G$86)),2))</f>
        <v/>
      </c>
      <c r="EL477" s="66" t="str">
        <f t="shared" si="639"/>
        <v/>
      </c>
    </row>
    <row r="478" spans="1:142" x14ac:dyDescent="0.25">
      <c r="A478" t="str">
        <f>+IF($C478="","",ROUND(VLOOKUP('Tablas Servicio'!B478,Parámetros!$H$100:$J$159,IF(Parámetros!$E$16="F",2,3),FALSE),2))</f>
        <v/>
      </c>
      <c r="B478" t="str">
        <f t="shared" si="590"/>
        <v/>
      </c>
      <c r="C478" s="57" t="str">
        <f>+IF(D478="","",'Tablas Servicio'!C477+1)</f>
        <v/>
      </c>
      <c r="D478" s="56" t="str">
        <f>+IF(D477&lt;edadmaxtabla,D477+1/Parámetros!$E$25,"")</f>
        <v/>
      </c>
      <c r="E478" s="57" t="str">
        <f t="shared" si="600"/>
        <v/>
      </c>
      <c r="F478" s="59" t="str">
        <f t="shared" si="601"/>
        <v/>
      </c>
      <c r="G478" s="66" t="str">
        <f t="shared" si="591"/>
        <v/>
      </c>
      <c r="H478" s="66" t="str">
        <f t="shared" si="592"/>
        <v/>
      </c>
      <c r="I478" s="66" t="str">
        <f t="shared" si="640"/>
        <v/>
      </c>
      <c r="J478" s="66" t="str">
        <f t="shared" si="593"/>
        <v/>
      </c>
      <c r="K478" s="66" t="str">
        <f t="shared" si="594"/>
        <v/>
      </c>
      <c r="L478" s="66" t="str">
        <f t="shared" si="595"/>
        <v/>
      </c>
      <c r="M478" s="66" t="str">
        <f t="shared" si="596"/>
        <v/>
      </c>
      <c r="N478" s="66" t="str">
        <f>+IF(C478="","",ROUND(Parámetros!$D$23,2))</f>
        <v/>
      </c>
      <c r="O478" s="66" t="str">
        <f t="shared" si="597"/>
        <v/>
      </c>
      <c r="P478" s="66" t="str">
        <f>+IF($C478="","",ROUND(IF(B478&gt;Parámetros!$D$117,0,N478*Parámetros!$D$116-G478*Parámetros!$D$100),2))</f>
        <v/>
      </c>
      <c r="Q478" s="75" t="str">
        <f t="shared" si="641"/>
        <v/>
      </c>
      <c r="R478" s="75" t="str">
        <f t="shared" si="642"/>
        <v/>
      </c>
      <c r="S478" s="117" t="str">
        <f>+IF($C478="","",ROUND((S477+I478)*(1+Parámetros!$D$91),2))</f>
        <v/>
      </c>
      <c r="T478" s="117" t="str">
        <f>+IF($C478="","",ROUND(S478*VLOOKUP(B478,Parámetros!$C$30:$D$39,2,TRUE),2))</f>
        <v/>
      </c>
      <c r="U478" s="117" t="str">
        <f>+IF($C478="","",ROUND((U477+I478)*(1+Parámetros!$D$92),2))</f>
        <v/>
      </c>
      <c r="V478" s="117" t="str">
        <f>+IF($C478="","",ROUND(U478*VLOOKUP(B478,Parámetros!$C$30:$D$39,2,TRUE),2))</f>
        <v/>
      </c>
      <c r="W478" s="57" t="str">
        <f t="shared" si="643"/>
        <v/>
      </c>
      <c r="X478" t="str">
        <f t="shared" si="644"/>
        <v/>
      </c>
      <c r="Y478" t="str">
        <f t="shared" si="645"/>
        <v/>
      </c>
      <c r="Z478" s="118" t="str">
        <f>+IF($W478="","",ROUND(IF(Parámetros!$D$25='TABLAS MORT'!$V$33,Z477,Parámetros!$D$21-'Tablas Servicio'!T477),0))</f>
        <v/>
      </c>
      <c r="AA478" s="118" t="str">
        <f t="shared" si="646"/>
        <v/>
      </c>
      <c r="AB478" s="119" t="str">
        <f>+IF(W478="","",ROUND((VLOOKUP(ROUNDDOWN($D478-1/frec,0),qx_tabla,2,FALSE)*(1+i/frec)^-0.5*(1+Parámetros!$D$103)*(1+rec_fracc)/frec),6))</f>
        <v/>
      </c>
      <c r="AC478" s="66" t="str">
        <f t="shared" si="602"/>
        <v/>
      </c>
      <c r="AD478" s="119" t="str">
        <f t="shared" si="598"/>
        <v/>
      </c>
      <c r="AE478" s="66" t="str">
        <f>+IF($W478="","",ROUND(IF($B478&gt;Parámetros!$D$107,'Tablas Servicio'!AC478+('Tablas Servicio'!AG477-'Tablas Servicio'!AC477),AC478/(1-IF(B478&lt;=10,Parámetros!$D$104,Parámetros!$D$105))),2))</f>
        <v/>
      </c>
      <c r="AF478" s="66" t="str">
        <f>+IF($W478="","",ROUND(IF($B478&gt;Parámetros!$D$107,'Tablas Servicio'!AC478+('Tablas Servicio'!AG477-'Tablas Servicio'!AC477),(AC478+$A477/frec)/(1-IF(B478&lt;=Parámetros!$D$117,Parámetros!$D$100,0))),2))</f>
        <v/>
      </c>
      <c r="AG478" s="66" t="str">
        <f t="shared" si="603"/>
        <v/>
      </c>
      <c r="AH478" s="66" t="str">
        <f t="shared" si="604"/>
        <v/>
      </c>
      <c r="AI478" s="66" t="str">
        <f t="shared" si="605"/>
        <v/>
      </c>
      <c r="AJ478" s="66" t="str">
        <f>+IF($W478="","",ROUND((AG478*Parámetros!$G$85),2))</f>
        <v/>
      </c>
      <c r="AK478" s="66" t="str">
        <f>+IF($W478="","",ROUND((AG478*(Parámetros!$G$86)),2))</f>
        <v/>
      </c>
      <c r="AL478" s="66" t="str">
        <f t="shared" si="599"/>
        <v/>
      </c>
      <c r="AM478" t="str">
        <f t="shared" si="647"/>
        <v/>
      </c>
      <c r="AN478" t="str">
        <f t="shared" si="648"/>
        <v/>
      </c>
      <c r="AO478" s="118" t="str">
        <f t="shared" si="649"/>
        <v/>
      </c>
      <c r="AP478" s="118" t="str">
        <f t="shared" si="650"/>
        <v/>
      </c>
      <c r="AQ478" s="119" t="str">
        <f>+IF(OR($W478="",AO478=0),"",ROUND((VLOOKUP(ROUNDDOWN($D478-1/frec,0),cob_adi,Z$40,FALSE)*(1+i/frec)^-0.5*(1+Parámetros!$D$103)*(1+rec_fracc)/frec),6))</f>
        <v/>
      </c>
      <c r="AR478" s="66" t="str">
        <f t="shared" si="606"/>
        <v/>
      </c>
      <c r="AS478" s="119" t="str">
        <f t="shared" si="607"/>
        <v/>
      </c>
      <c r="AT478" s="66" t="str">
        <f>+IF($W478="","",ROUND(IF($B478&gt;Parámetros!$D$107,'Tablas Servicio'!AR478+('Tablas Servicio'!AT477-'Tablas Servicio'!AR477),AR478/(1-IF(B478&lt;=10,Parámetros!$D$100,0))),2))</f>
        <v/>
      </c>
      <c r="AU478" s="66" t="str">
        <f t="shared" si="608"/>
        <v/>
      </c>
      <c r="AV478" s="66" t="str">
        <f t="shared" si="608"/>
        <v/>
      </c>
      <c r="AW478" s="66" t="str">
        <f>+IF($W478="","",ROUND((AT478*Parámetros!$G$85),2))</f>
        <v/>
      </c>
      <c r="AX478" s="66" t="str">
        <f>+IF($W478="","",ROUND((AT478*(Parámetros!$G$86)),2))</f>
        <v/>
      </c>
      <c r="AY478" s="66" t="str">
        <f t="shared" si="609"/>
        <v/>
      </c>
      <c r="AZ478" t="str">
        <f t="shared" si="651"/>
        <v/>
      </c>
      <c r="BA478" t="str">
        <f t="shared" si="652"/>
        <v/>
      </c>
      <c r="BB478" s="118" t="str">
        <f t="shared" si="653"/>
        <v/>
      </c>
      <c r="BC478" s="118" t="str">
        <f t="shared" si="654"/>
        <v/>
      </c>
      <c r="BD478" s="119" t="str">
        <f>+IF(OR($W478="",BB478=0),"",ROUND((VLOOKUP(ROUNDDOWN($D478-1/frec,0),cob_adi,AO$40,FALSE)*(1+i/frec)^-0.5*(1+Parámetros!$D$103)*(1+rec_fracc)/frec),6))</f>
        <v/>
      </c>
      <c r="BE478" s="66" t="str">
        <f t="shared" si="610"/>
        <v/>
      </c>
      <c r="BF478" s="119" t="str">
        <f t="shared" si="611"/>
        <v/>
      </c>
      <c r="BG478" s="66" t="str">
        <f>+IF($W478="","",ROUND(IF($B478&gt;Parámetros!$D$107,'Tablas Servicio'!BE478+('Tablas Servicio'!BG477-'Tablas Servicio'!BE477),BE478/(1-IF(B478&lt;=10,Parámetros!$D$100,0))),2))</f>
        <v/>
      </c>
      <c r="BH478" s="66" t="str">
        <f t="shared" si="612"/>
        <v/>
      </c>
      <c r="BI478" s="66" t="str">
        <f t="shared" si="613"/>
        <v/>
      </c>
      <c r="BJ478" s="66" t="str">
        <f>+IF($W478="","",ROUND((BG478*Parámetros!$G$85),2))</f>
        <v/>
      </c>
      <c r="BK478" s="66" t="str">
        <f>+IF($W478="","",ROUND((BG478*(Parámetros!$G$86)),2))</f>
        <v/>
      </c>
      <c r="BL478" s="66" t="str">
        <f t="shared" si="614"/>
        <v/>
      </c>
      <c r="BM478" t="str">
        <f t="shared" si="655"/>
        <v/>
      </c>
      <c r="BN478" t="str">
        <f t="shared" si="656"/>
        <v/>
      </c>
      <c r="BO478" s="118" t="str">
        <f t="shared" si="657"/>
        <v/>
      </c>
      <c r="BP478" s="118" t="str">
        <f t="shared" si="658"/>
        <v/>
      </c>
      <c r="BQ478" s="119" t="str">
        <f>+IF(OR($W478="",BO478=0),"",ROUND((VLOOKUP(ROUNDDOWN($D478-1/frec,0),cob_adi,BB$40,FALSE)*(1+i/frec)^-0.5*(1+Parámetros!$D$103)*(1+rec_fracc)/frec),6))</f>
        <v/>
      </c>
      <c r="BR478" s="66" t="str">
        <f t="shared" si="615"/>
        <v/>
      </c>
      <c r="BS478" s="119" t="str">
        <f t="shared" si="616"/>
        <v/>
      </c>
      <c r="BT478" s="66" t="str">
        <f>+IF($W478="","",ROUND(IF($B478&gt;Parámetros!$D$107,'Tablas Servicio'!BR478+('Tablas Servicio'!BT477-'Tablas Servicio'!BR477),BR478/(1-IF(B478&lt;=10,Parámetros!$D$100,0))),2))</f>
        <v/>
      </c>
      <c r="BU478" s="66" t="str">
        <f t="shared" si="617"/>
        <v/>
      </c>
      <c r="BV478" s="66" t="str">
        <f t="shared" si="617"/>
        <v/>
      </c>
      <c r="BW478" s="66" t="str">
        <f>+IF($W478="","",ROUND((BT478*Parámetros!$G$85),2))</f>
        <v/>
      </c>
      <c r="BX478" s="66" t="str">
        <f>+IF($W478="","",ROUND((BT478*(Parámetros!$G$86)),2))</f>
        <v/>
      </c>
      <c r="BY478" s="66" t="str">
        <f t="shared" si="618"/>
        <v/>
      </c>
      <c r="BZ478" t="str">
        <f t="shared" si="659"/>
        <v/>
      </c>
      <c r="CA478" t="str">
        <f t="shared" si="660"/>
        <v/>
      </c>
      <c r="CB478" s="118" t="str">
        <f t="shared" si="661"/>
        <v/>
      </c>
      <c r="CC478" s="118" t="str">
        <f t="shared" si="662"/>
        <v/>
      </c>
      <c r="CD478" s="119" t="str">
        <f t="shared" si="619"/>
        <v/>
      </c>
      <c r="CE478" s="66" t="str">
        <f>+IF($W478="","",ROUND((VLOOKUP(ROUNDDOWN($D478-1/frec,0),cob_adi,BO$40,FALSE)*(1+i/frec)^-0.5*(1+Parámetros!$D$103)*(1+rec_fracc)/frec*'TABLAS ADI'!$BC$17),2))</f>
        <v/>
      </c>
      <c r="CF478" s="119" t="str">
        <f t="shared" si="620"/>
        <v/>
      </c>
      <c r="CG478" s="66" t="str">
        <f>+IF($W478="","",ROUND(IF($B478&gt;Parámetros!$D$107,'Tablas Servicio'!CE478+('Tablas Servicio'!CG477-'Tablas Servicio'!CE477),CE478/(1-IF(B478&lt;=10,Parámetros!$D$100,0))),2))</f>
        <v/>
      </c>
      <c r="CH478" s="66" t="str">
        <f t="shared" si="621"/>
        <v/>
      </c>
      <c r="CI478" s="66" t="str">
        <f t="shared" si="621"/>
        <v/>
      </c>
      <c r="CJ478" s="66" t="str">
        <f>+IF($W478="","",ROUND((CG478*Parámetros!$G$85),2))</f>
        <v/>
      </c>
      <c r="CK478" s="66" t="str">
        <f>+IF($W478="","",ROUND((CG478*(Parámetros!$G$86)),2))</f>
        <v/>
      </c>
      <c r="CL478" s="66" t="str">
        <f t="shared" si="622"/>
        <v/>
      </c>
      <c r="CM478" t="str">
        <f t="shared" si="663"/>
        <v/>
      </c>
      <c r="CN478" s="118" t="str">
        <f t="shared" si="664"/>
        <v/>
      </c>
      <c r="CO478" s="118" t="str">
        <f t="shared" si="665"/>
        <v/>
      </c>
      <c r="CP478" s="118" t="str">
        <f t="shared" si="666"/>
        <v/>
      </c>
      <c r="CQ478" s="119" t="str">
        <f t="shared" si="623"/>
        <v/>
      </c>
      <c r="CR478" s="66" t="str">
        <f>+IF($W478="","",ROUND((VLOOKUP(Parámetros!$F$51,'COBERTURAS ADICIONALES'!$S$4:$T$32,2,FALSE)*(1+i/frec)^-0.5*(1+Parámetros!$D$103)*(1+rec_fracc)/frec*$CO$42),2))</f>
        <v/>
      </c>
      <c r="CS478" s="119" t="str">
        <f t="shared" si="624"/>
        <v/>
      </c>
      <c r="CT478" s="66" t="str">
        <f>+IF($W478="","",ROUND(IF($B478&gt;Parámetros!$D$107,'Tablas Servicio'!CR478+('Tablas Servicio'!CT477-'Tablas Servicio'!CR477),CR478/(1-IF(B478&lt;=10,Parámetros!$D$100,0))),2))</f>
        <v/>
      </c>
      <c r="CU478" s="66" t="str">
        <f t="shared" si="625"/>
        <v/>
      </c>
      <c r="CV478" s="66" t="str">
        <f t="shared" si="625"/>
        <v/>
      </c>
      <c r="CW478" s="66" t="str">
        <f>+IF($W478="","",ROUND((CT478*Parámetros!$G$85),2))</f>
        <v/>
      </c>
      <c r="CX478" s="66" t="str">
        <f>+IF($W478="","",ROUND((CT478*(Parámetros!$G$86)),2))</f>
        <v/>
      </c>
      <c r="CY478" s="66" t="str">
        <f t="shared" si="626"/>
        <v/>
      </c>
      <c r="CZ478" t="str">
        <f t="shared" si="667"/>
        <v/>
      </c>
      <c r="DA478" s="118" t="str">
        <f t="shared" si="668"/>
        <v/>
      </c>
      <c r="DB478" s="118" t="str">
        <f t="shared" si="669"/>
        <v/>
      </c>
      <c r="DC478" s="118" t="str">
        <f t="shared" si="670"/>
        <v/>
      </c>
      <c r="DD478" s="121" t="str">
        <f>+IF(OR($W478="",DB478=0),"",ROUND((VLOOKUP(ROUNDDOWN($D478-1/frec,0),cob_adi,CO$40,FALSE)*(1+i/frec)^-0.5*(1+Parámetros!$D$103)*(1+rec_fracc)/frec),6))</f>
        <v/>
      </c>
      <c r="DE478" s="66" t="str">
        <f t="shared" si="627"/>
        <v/>
      </c>
      <c r="DF478" s="119" t="str">
        <f t="shared" si="628"/>
        <v/>
      </c>
      <c r="DG478" s="66" t="str">
        <f>+IF($W478="","",ROUND(IF($B478&gt;Parámetros!$D$107,'Tablas Servicio'!DE478+('Tablas Servicio'!DG477-'Tablas Servicio'!DE477),DE478/(1-IF(B478&lt;=10,Parámetros!$D$100,0))),2))</f>
        <v/>
      </c>
      <c r="DH478" s="66" t="str">
        <f t="shared" si="629"/>
        <v/>
      </c>
      <c r="DI478" s="66" t="str">
        <f t="shared" si="629"/>
        <v/>
      </c>
      <c r="DJ478" s="66" t="str">
        <f>+IF($W478="","",ROUND((DG478*Parámetros!$G$85),2))</f>
        <v/>
      </c>
      <c r="DK478" s="66" t="str">
        <f>+IF($W478="","",ROUND((DG478*(Parámetros!$G$86)),2))</f>
        <v/>
      </c>
      <c r="DL478" s="66" t="str">
        <f t="shared" si="630"/>
        <v/>
      </c>
      <c r="DM478" t="str">
        <f t="shared" si="671"/>
        <v/>
      </c>
      <c r="DN478" s="118" t="str">
        <f t="shared" si="672"/>
        <v/>
      </c>
      <c r="DO478" s="118" t="str">
        <f t="shared" si="673"/>
        <v/>
      </c>
      <c r="DP478" s="118" t="str">
        <f t="shared" si="674"/>
        <v/>
      </c>
      <c r="DQ478" s="122" t="str">
        <f>+IF(OR($W478="",DO478=0),"",ROUND((VLOOKUP(ROUNDDOWN($D478-1/frec,0),cob_adi,DB$40,FALSE)*(1+i/frec)^-0.5*(1+Parámetros!$D$103)*(1+rec_fracc)/frec),6))</f>
        <v/>
      </c>
      <c r="DR478" s="66" t="str">
        <f t="shared" si="631"/>
        <v/>
      </c>
      <c r="DS478" s="68" t="str">
        <f t="shared" si="632"/>
        <v/>
      </c>
      <c r="DT478" s="66" t="str">
        <f>+IF($W478="","",ROUND(IF($B478&gt;Parámetros!$D$107,'Tablas Servicio'!DR478+('Tablas Servicio'!DT477-'Tablas Servicio'!DR477),DR478/(1-IF(B478&lt;=10,Parámetros!$D$100,0))),2))</f>
        <v/>
      </c>
      <c r="DU478" s="66" t="str">
        <f t="shared" si="633"/>
        <v/>
      </c>
      <c r="DV478" s="66" t="str">
        <f t="shared" si="633"/>
        <v/>
      </c>
      <c r="DW478" s="66" t="str">
        <f>+IF($W478="","",ROUND((DT478*Parámetros!$G$85),2))</f>
        <v/>
      </c>
      <c r="DX478" s="66" t="str">
        <f>+IF($W478="","",ROUND((DT478*(Parámetros!$G$86)),2))</f>
        <v/>
      </c>
      <c r="DY478" s="66" t="str">
        <f t="shared" si="634"/>
        <v/>
      </c>
      <c r="DZ478" t="str">
        <f t="shared" si="677"/>
        <v/>
      </c>
      <c r="EA478" s="118" t="str">
        <f t="shared" si="677"/>
        <v/>
      </c>
      <c r="EB478" s="118" t="str">
        <f>+IF($W478="","",ROUND(IF(Parámetros!$D$25='TABLAS MORT'!$V$33,EB477,Z478/2),0))</f>
        <v/>
      </c>
      <c r="EC478" s="118" t="str">
        <f t="shared" si="677"/>
        <v/>
      </c>
      <c r="ED478" s="122" t="str">
        <f>+IF(OR($W478="",EB478=0),"",ROUND((VLOOKUP(ROUNDDOWN($D478-1/frec,0),cob_adi,DO$40,FALSE)*(1+i/frec)^-0.5*(1+Parámetros!$D$103)*(1+rec_fracc)/frec),6))</f>
        <v/>
      </c>
      <c r="EE478" s="66" t="str">
        <f t="shared" si="636"/>
        <v/>
      </c>
      <c r="EF478" s="68" t="str">
        <f t="shared" si="637"/>
        <v/>
      </c>
      <c r="EG478" s="66" t="str">
        <f>+IF($W478="","",ROUND(IF($B478&gt;Parámetros!$D$107,'Tablas Servicio'!EE478+('Tablas Servicio'!EG477-'Tablas Servicio'!EE477),EE478/(1-IF(B478&lt;=10,Parámetros!$D$100,0))),2))</f>
        <v/>
      </c>
      <c r="EH478" s="66" t="str">
        <f t="shared" si="638"/>
        <v/>
      </c>
      <c r="EI478" s="66" t="str">
        <f t="shared" si="638"/>
        <v/>
      </c>
      <c r="EJ478" s="66" t="str">
        <f>+IF($W478="","",ROUND((EG478*Parámetros!$G$85),2))</f>
        <v/>
      </c>
      <c r="EK478" s="66" t="str">
        <f>+IF($W478="","",ROUND((EG478*(Parámetros!$G$86)),2))</f>
        <v/>
      </c>
      <c r="EL478" s="66" t="str">
        <f t="shared" si="639"/>
        <v/>
      </c>
    </row>
    <row r="479" spans="1:142" x14ac:dyDescent="0.25">
      <c r="A479" t="str">
        <f>+IF($C479="","",ROUND(VLOOKUP('Tablas Servicio'!B479,Parámetros!$H$100:$J$159,IF(Parámetros!$E$16="F",2,3),FALSE),2))</f>
        <v/>
      </c>
      <c r="B479" t="str">
        <f t="shared" si="590"/>
        <v/>
      </c>
      <c r="C479" s="57" t="str">
        <f>+IF(D479="","",'Tablas Servicio'!C478+1)</f>
        <v/>
      </c>
      <c r="D479" s="56" t="str">
        <f>+IF(D478&lt;edadmaxtabla,D478+1/Parámetros!$E$25,"")</f>
        <v/>
      </c>
      <c r="E479" s="57" t="str">
        <f t="shared" si="600"/>
        <v/>
      </c>
      <c r="F479" s="59" t="str">
        <f t="shared" si="601"/>
        <v/>
      </c>
      <c r="G479" s="66" t="str">
        <f t="shared" si="591"/>
        <v/>
      </c>
      <c r="H479" s="66" t="str">
        <f t="shared" si="592"/>
        <v/>
      </c>
      <c r="I479" s="66" t="str">
        <f t="shared" si="640"/>
        <v/>
      </c>
      <c r="J479" s="66" t="str">
        <f t="shared" si="593"/>
        <v/>
      </c>
      <c r="K479" s="66" t="str">
        <f t="shared" si="594"/>
        <v/>
      </c>
      <c r="L479" s="66" t="str">
        <f t="shared" si="595"/>
        <v/>
      </c>
      <c r="M479" s="66" t="str">
        <f t="shared" si="596"/>
        <v/>
      </c>
      <c r="N479" s="66" t="str">
        <f>+IF(C479="","",ROUND(Parámetros!$D$23,2))</f>
        <v/>
      </c>
      <c r="O479" s="66" t="str">
        <f t="shared" si="597"/>
        <v/>
      </c>
      <c r="P479" s="66" t="str">
        <f>+IF($C479="","",ROUND(IF(B479&gt;Parámetros!$D$117,0,N479*Parámetros!$D$116-G479*Parámetros!$D$100),2))</f>
        <v/>
      </c>
      <c r="Q479" s="75" t="str">
        <f t="shared" si="641"/>
        <v/>
      </c>
      <c r="R479" s="75" t="str">
        <f t="shared" si="642"/>
        <v/>
      </c>
      <c r="S479" s="117" t="str">
        <f>+IF($C479="","",ROUND((S478+I479)*(1+Parámetros!$D$91),2))</f>
        <v/>
      </c>
      <c r="T479" s="117" t="str">
        <f>+IF($C479="","",ROUND(S479*VLOOKUP(B479,Parámetros!$C$30:$D$39,2,TRUE),2))</f>
        <v/>
      </c>
      <c r="U479" s="117" t="str">
        <f>+IF($C479="","",ROUND((U478+I479)*(1+Parámetros!$D$92),2))</f>
        <v/>
      </c>
      <c r="V479" s="117" t="str">
        <f>+IF($C479="","",ROUND(U479*VLOOKUP(B479,Parámetros!$C$30:$D$39,2,TRUE),2))</f>
        <v/>
      </c>
      <c r="W479" s="57" t="str">
        <f t="shared" si="643"/>
        <v/>
      </c>
      <c r="X479" t="str">
        <f t="shared" si="644"/>
        <v/>
      </c>
      <c r="Y479" t="str">
        <f t="shared" si="645"/>
        <v/>
      </c>
      <c r="Z479" s="118" t="str">
        <f>+IF($W479="","",ROUND(IF(Parámetros!$D$25='TABLAS MORT'!$V$33,Z478,Parámetros!$D$21-'Tablas Servicio'!T478),0))</f>
        <v/>
      </c>
      <c r="AA479" s="118" t="str">
        <f t="shared" si="646"/>
        <v/>
      </c>
      <c r="AB479" s="119" t="str">
        <f>+IF(W479="","",ROUND((VLOOKUP(ROUNDDOWN($D479-1/frec,0),qx_tabla,2,FALSE)*(1+i/frec)^-0.5*(1+Parámetros!$D$103)*(1+rec_fracc)/frec),6))</f>
        <v/>
      </c>
      <c r="AC479" s="66" t="str">
        <f t="shared" si="602"/>
        <v/>
      </c>
      <c r="AD479" s="119" t="str">
        <f t="shared" si="598"/>
        <v/>
      </c>
      <c r="AE479" s="66" t="str">
        <f>+IF($W479="","",ROUND(IF($B479&gt;Parámetros!$D$107,'Tablas Servicio'!AC479+('Tablas Servicio'!AG478-'Tablas Servicio'!AC478),AC479/(1-IF(B479&lt;=10,Parámetros!$D$104,Parámetros!$D$105))),2))</f>
        <v/>
      </c>
      <c r="AF479" s="66" t="str">
        <f>+IF($W479="","",ROUND(IF($B479&gt;Parámetros!$D$107,'Tablas Servicio'!AC479+('Tablas Servicio'!AG478-'Tablas Servicio'!AC478),(AC479+$A478/frec)/(1-IF(B479&lt;=Parámetros!$D$117,Parámetros!$D$100,0))),2))</f>
        <v/>
      </c>
      <c r="AG479" s="66" t="str">
        <f t="shared" si="603"/>
        <v/>
      </c>
      <c r="AH479" s="66" t="str">
        <f t="shared" si="604"/>
        <v/>
      </c>
      <c r="AI479" s="66" t="str">
        <f t="shared" si="605"/>
        <v/>
      </c>
      <c r="AJ479" s="66" t="str">
        <f>+IF($W479="","",ROUND((AG479*Parámetros!$G$85),2))</f>
        <v/>
      </c>
      <c r="AK479" s="66" t="str">
        <f>+IF($W479="","",ROUND((AG479*(Parámetros!$G$86)),2))</f>
        <v/>
      </c>
      <c r="AL479" s="66" t="str">
        <f t="shared" si="599"/>
        <v/>
      </c>
      <c r="AM479" t="str">
        <f t="shared" si="647"/>
        <v/>
      </c>
      <c r="AN479" t="str">
        <f t="shared" si="648"/>
        <v/>
      </c>
      <c r="AO479" s="118" t="str">
        <f t="shared" si="649"/>
        <v/>
      </c>
      <c r="AP479" s="118" t="str">
        <f t="shared" si="650"/>
        <v/>
      </c>
      <c r="AQ479" s="119" t="str">
        <f>+IF(OR($W479="",AO479=0),"",ROUND((VLOOKUP(ROUNDDOWN($D479-1/frec,0),cob_adi,Z$40,FALSE)*(1+i/frec)^-0.5*(1+Parámetros!$D$103)*(1+rec_fracc)/frec),6))</f>
        <v/>
      </c>
      <c r="AR479" s="66" t="str">
        <f t="shared" si="606"/>
        <v/>
      </c>
      <c r="AS479" s="119" t="str">
        <f t="shared" si="607"/>
        <v/>
      </c>
      <c r="AT479" s="66" t="str">
        <f>+IF($W479="","",ROUND(IF($B479&gt;Parámetros!$D$107,'Tablas Servicio'!AR479+('Tablas Servicio'!AT478-'Tablas Servicio'!AR478),AR479/(1-IF(B479&lt;=10,Parámetros!$D$100,0))),2))</f>
        <v/>
      </c>
      <c r="AU479" s="66" t="str">
        <f t="shared" si="608"/>
        <v/>
      </c>
      <c r="AV479" s="66" t="str">
        <f t="shared" si="608"/>
        <v/>
      </c>
      <c r="AW479" s="66" t="str">
        <f>+IF($W479="","",ROUND((AT479*Parámetros!$G$85),2))</f>
        <v/>
      </c>
      <c r="AX479" s="66" t="str">
        <f>+IF($W479="","",ROUND((AT479*(Parámetros!$G$86)),2))</f>
        <v/>
      </c>
      <c r="AY479" s="66" t="str">
        <f t="shared" si="609"/>
        <v/>
      </c>
      <c r="AZ479" t="str">
        <f t="shared" si="651"/>
        <v/>
      </c>
      <c r="BA479" t="str">
        <f t="shared" si="652"/>
        <v/>
      </c>
      <c r="BB479" s="118" t="str">
        <f t="shared" si="653"/>
        <v/>
      </c>
      <c r="BC479" s="118" t="str">
        <f t="shared" si="654"/>
        <v/>
      </c>
      <c r="BD479" s="119" t="str">
        <f>+IF(OR($W479="",BB479=0),"",ROUND((VLOOKUP(ROUNDDOWN($D479-1/frec,0),cob_adi,AO$40,FALSE)*(1+i/frec)^-0.5*(1+Parámetros!$D$103)*(1+rec_fracc)/frec),6))</f>
        <v/>
      </c>
      <c r="BE479" s="66" t="str">
        <f t="shared" si="610"/>
        <v/>
      </c>
      <c r="BF479" s="119" t="str">
        <f t="shared" si="611"/>
        <v/>
      </c>
      <c r="BG479" s="66" t="str">
        <f>+IF($W479="","",ROUND(IF($B479&gt;Parámetros!$D$107,'Tablas Servicio'!BE479+('Tablas Servicio'!BG478-'Tablas Servicio'!BE478),BE479/(1-IF(B479&lt;=10,Parámetros!$D$100,0))),2))</f>
        <v/>
      </c>
      <c r="BH479" s="66" t="str">
        <f t="shared" si="612"/>
        <v/>
      </c>
      <c r="BI479" s="66" t="str">
        <f t="shared" si="613"/>
        <v/>
      </c>
      <c r="BJ479" s="66" t="str">
        <f>+IF($W479="","",ROUND((BG479*Parámetros!$G$85),2))</f>
        <v/>
      </c>
      <c r="BK479" s="66" t="str">
        <f>+IF($W479="","",ROUND((BG479*(Parámetros!$G$86)),2))</f>
        <v/>
      </c>
      <c r="BL479" s="66" t="str">
        <f t="shared" si="614"/>
        <v/>
      </c>
      <c r="BM479" t="str">
        <f t="shared" si="655"/>
        <v/>
      </c>
      <c r="BN479" t="str">
        <f t="shared" si="656"/>
        <v/>
      </c>
      <c r="BO479" s="118" t="str">
        <f t="shared" si="657"/>
        <v/>
      </c>
      <c r="BP479" s="118" t="str">
        <f t="shared" si="658"/>
        <v/>
      </c>
      <c r="BQ479" s="119" t="str">
        <f>+IF(OR($W479="",BO479=0),"",ROUND((VLOOKUP(ROUNDDOWN($D479-1/frec,0),cob_adi,BB$40,FALSE)*(1+i/frec)^-0.5*(1+Parámetros!$D$103)*(1+rec_fracc)/frec),6))</f>
        <v/>
      </c>
      <c r="BR479" s="66" t="str">
        <f t="shared" si="615"/>
        <v/>
      </c>
      <c r="BS479" s="119" t="str">
        <f t="shared" si="616"/>
        <v/>
      </c>
      <c r="BT479" s="66" t="str">
        <f>+IF($W479="","",ROUND(IF($B479&gt;Parámetros!$D$107,'Tablas Servicio'!BR479+('Tablas Servicio'!BT478-'Tablas Servicio'!BR478),BR479/(1-IF(B479&lt;=10,Parámetros!$D$100,0))),2))</f>
        <v/>
      </c>
      <c r="BU479" s="66" t="str">
        <f t="shared" si="617"/>
        <v/>
      </c>
      <c r="BV479" s="66" t="str">
        <f t="shared" si="617"/>
        <v/>
      </c>
      <c r="BW479" s="66" t="str">
        <f>+IF($W479="","",ROUND((BT479*Parámetros!$G$85),2))</f>
        <v/>
      </c>
      <c r="BX479" s="66" t="str">
        <f>+IF($W479="","",ROUND((BT479*(Parámetros!$G$86)),2))</f>
        <v/>
      </c>
      <c r="BY479" s="66" t="str">
        <f t="shared" si="618"/>
        <v/>
      </c>
      <c r="BZ479" t="str">
        <f t="shared" si="659"/>
        <v/>
      </c>
      <c r="CA479" t="str">
        <f t="shared" si="660"/>
        <v/>
      </c>
      <c r="CB479" s="118" t="str">
        <f t="shared" si="661"/>
        <v/>
      </c>
      <c r="CC479" s="118" t="str">
        <f t="shared" si="662"/>
        <v/>
      </c>
      <c r="CD479" s="119" t="str">
        <f t="shared" si="619"/>
        <v/>
      </c>
      <c r="CE479" s="66" t="str">
        <f>+IF($W479="","",ROUND((VLOOKUP(ROUNDDOWN($D479-1/frec,0),cob_adi,BO$40,FALSE)*(1+i/frec)^-0.5*(1+Parámetros!$D$103)*(1+rec_fracc)/frec*'TABLAS ADI'!$BC$17),2))</f>
        <v/>
      </c>
      <c r="CF479" s="119" t="str">
        <f t="shared" si="620"/>
        <v/>
      </c>
      <c r="CG479" s="66" t="str">
        <f>+IF($W479="","",ROUND(IF($B479&gt;Parámetros!$D$107,'Tablas Servicio'!CE479+('Tablas Servicio'!CG478-'Tablas Servicio'!CE478),CE479/(1-IF(B479&lt;=10,Parámetros!$D$100,0))),2))</f>
        <v/>
      </c>
      <c r="CH479" s="66" t="str">
        <f t="shared" si="621"/>
        <v/>
      </c>
      <c r="CI479" s="66" t="str">
        <f t="shared" si="621"/>
        <v/>
      </c>
      <c r="CJ479" s="66" t="str">
        <f>+IF($W479="","",ROUND((CG479*Parámetros!$G$85),2))</f>
        <v/>
      </c>
      <c r="CK479" s="66" t="str">
        <f>+IF($W479="","",ROUND((CG479*(Parámetros!$G$86)),2))</f>
        <v/>
      </c>
      <c r="CL479" s="66" t="str">
        <f t="shared" si="622"/>
        <v/>
      </c>
      <c r="CM479" t="str">
        <f t="shared" si="663"/>
        <v/>
      </c>
      <c r="CN479" s="118" t="str">
        <f t="shared" si="664"/>
        <v/>
      </c>
      <c r="CO479" s="118" t="str">
        <f t="shared" si="665"/>
        <v/>
      </c>
      <c r="CP479" s="118" t="str">
        <f t="shared" si="666"/>
        <v/>
      </c>
      <c r="CQ479" s="119" t="str">
        <f t="shared" si="623"/>
        <v/>
      </c>
      <c r="CR479" s="66" t="str">
        <f>+IF($W479="","",ROUND((VLOOKUP(Parámetros!$F$51,'COBERTURAS ADICIONALES'!$S$4:$T$32,2,FALSE)*(1+i/frec)^-0.5*(1+Parámetros!$D$103)*(1+rec_fracc)/frec*$CO$42),2))</f>
        <v/>
      </c>
      <c r="CS479" s="119" t="str">
        <f t="shared" si="624"/>
        <v/>
      </c>
      <c r="CT479" s="66" t="str">
        <f>+IF($W479="","",ROUND(IF($B479&gt;Parámetros!$D$107,'Tablas Servicio'!CR479+('Tablas Servicio'!CT478-'Tablas Servicio'!CR478),CR479/(1-IF(B479&lt;=10,Parámetros!$D$100,0))),2))</f>
        <v/>
      </c>
      <c r="CU479" s="66" t="str">
        <f t="shared" si="625"/>
        <v/>
      </c>
      <c r="CV479" s="66" t="str">
        <f t="shared" si="625"/>
        <v/>
      </c>
      <c r="CW479" s="66" t="str">
        <f>+IF($W479="","",ROUND((CT479*Parámetros!$G$85),2))</f>
        <v/>
      </c>
      <c r="CX479" s="66" t="str">
        <f>+IF($W479="","",ROUND((CT479*(Parámetros!$G$86)),2))</f>
        <v/>
      </c>
      <c r="CY479" s="66" t="str">
        <f t="shared" si="626"/>
        <v/>
      </c>
      <c r="CZ479" t="str">
        <f t="shared" si="667"/>
        <v/>
      </c>
      <c r="DA479" s="118" t="str">
        <f t="shared" si="668"/>
        <v/>
      </c>
      <c r="DB479" s="118" t="str">
        <f t="shared" si="669"/>
        <v/>
      </c>
      <c r="DC479" s="118" t="str">
        <f t="shared" si="670"/>
        <v/>
      </c>
      <c r="DD479" s="121" t="str">
        <f>+IF(OR($W479="",DB479=0),"",ROUND((VLOOKUP(ROUNDDOWN($D479-1/frec,0),cob_adi,CO$40,FALSE)*(1+i/frec)^-0.5*(1+Parámetros!$D$103)*(1+rec_fracc)/frec),6))</f>
        <v/>
      </c>
      <c r="DE479" s="66" t="str">
        <f t="shared" si="627"/>
        <v/>
      </c>
      <c r="DF479" s="119" t="str">
        <f t="shared" si="628"/>
        <v/>
      </c>
      <c r="DG479" s="66" t="str">
        <f>+IF($W479="","",ROUND(IF($B479&gt;Parámetros!$D$107,'Tablas Servicio'!DE479+('Tablas Servicio'!DG478-'Tablas Servicio'!DE478),DE479/(1-IF(B479&lt;=10,Parámetros!$D$100,0))),2))</f>
        <v/>
      </c>
      <c r="DH479" s="66" t="str">
        <f t="shared" si="629"/>
        <v/>
      </c>
      <c r="DI479" s="66" t="str">
        <f t="shared" si="629"/>
        <v/>
      </c>
      <c r="DJ479" s="66" t="str">
        <f>+IF($W479="","",ROUND((DG479*Parámetros!$G$85),2))</f>
        <v/>
      </c>
      <c r="DK479" s="66" t="str">
        <f>+IF($W479="","",ROUND((DG479*(Parámetros!$G$86)),2))</f>
        <v/>
      </c>
      <c r="DL479" s="66" t="str">
        <f t="shared" si="630"/>
        <v/>
      </c>
      <c r="DM479" t="str">
        <f t="shared" si="671"/>
        <v/>
      </c>
      <c r="DN479" s="118" t="str">
        <f t="shared" si="672"/>
        <v/>
      </c>
      <c r="DO479" s="118" t="str">
        <f t="shared" si="673"/>
        <v/>
      </c>
      <c r="DP479" s="118" t="str">
        <f t="shared" si="674"/>
        <v/>
      </c>
      <c r="DQ479" s="122" t="str">
        <f>+IF(OR($W479="",DO479=0),"",ROUND((VLOOKUP(ROUNDDOWN($D479-1/frec,0),cob_adi,DB$40,FALSE)*(1+i/frec)^-0.5*(1+Parámetros!$D$103)*(1+rec_fracc)/frec),6))</f>
        <v/>
      </c>
      <c r="DR479" s="66" t="str">
        <f t="shared" si="631"/>
        <v/>
      </c>
      <c r="DS479" s="68" t="str">
        <f t="shared" si="632"/>
        <v/>
      </c>
      <c r="DT479" s="66" t="str">
        <f>+IF($W479="","",ROUND(IF($B479&gt;Parámetros!$D$107,'Tablas Servicio'!DR479+('Tablas Servicio'!DT478-'Tablas Servicio'!DR478),DR479/(1-IF(B479&lt;=10,Parámetros!$D$100,0))),2))</f>
        <v/>
      </c>
      <c r="DU479" s="66" t="str">
        <f t="shared" si="633"/>
        <v/>
      </c>
      <c r="DV479" s="66" t="str">
        <f t="shared" si="633"/>
        <v/>
      </c>
      <c r="DW479" s="66" t="str">
        <f>+IF($W479="","",ROUND((DT479*Parámetros!$G$85),2))</f>
        <v/>
      </c>
      <c r="DX479" s="66" t="str">
        <f>+IF($W479="","",ROUND((DT479*(Parámetros!$G$86)),2))</f>
        <v/>
      </c>
      <c r="DY479" s="66" t="str">
        <f t="shared" si="634"/>
        <v/>
      </c>
      <c r="DZ479" t="str">
        <f t="shared" si="677"/>
        <v/>
      </c>
      <c r="EA479" s="118" t="str">
        <f t="shared" si="677"/>
        <v/>
      </c>
      <c r="EB479" s="118" t="str">
        <f>+IF($W479="","",ROUND(IF(Parámetros!$D$25='TABLAS MORT'!$V$33,EB478,Z479/2),0))</f>
        <v/>
      </c>
      <c r="EC479" s="118" t="str">
        <f t="shared" si="677"/>
        <v/>
      </c>
      <c r="ED479" s="122" t="str">
        <f>+IF(OR($W479="",EB479=0),"",ROUND((VLOOKUP(ROUNDDOWN($D479-1/frec,0),cob_adi,DO$40,FALSE)*(1+i/frec)^-0.5*(1+Parámetros!$D$103)*(1+rec_fracc)/frec),6))</f>
        <v/>
      </c>
      <c r="EE479" s="66" t="str">
        <f t="shared" si="636"/>
        <v/>
      </c>
      <c r="EF479" s="68" t="str">
        <f t="shared" si="637"/>
        <v/>
      </c>
      <c r="EG479" s="66" t="str">
        <f>+IF($W479="","",ROUND(IF($B479&gt;Parámetros!$D$107,'Tablas Servicio'!EE479+('Tablas Servicio'!EG478-'Tablas Servicio'!EE478),EE479/(1-IF(B479&lt;=10,Parámetros!$D$100,0))),2))</f>
        <v/>
      </c>
      <c r="EH479" s="66" t="str">
        <f t="shared" si="638"/>
        <v/>
      </c>
      <c r="EI479" s="66" t="str">
        <f t="shared" si="638"/>
        <v/>
      </c>
      <c r="EJ479" s="66" t="str">
        <f>+IF($W479="","",ROUND((EG479*Parámetros!$G$85),2))</f>
        <v/>
      </c>
      <c r="EK479" s="66" t="str">
        <f>+IF($W479="","",ROUND((EG479*(Parámetros!$G$86)),2))</f>
        <v/>
      </c>
      <c r="EL479" s="66" t="str">
        <f t="shared" si="639"/>
        <v/>
      </c>
    </row>
    <row r="480" spans="1:142" x14ac:dyDescent="0.25">
      <c r="A480" t="str">
        <f>+IF($C480="","",ROUND(VLOOKUP('Tablas Servicio'!B480,Parámetros!$H$100:$J$159,IF(Parámetros!$E$16="F",2,3),FALSE),2))</f>
        <v/>
      </c>
      <c r="B480" t="str">
        <f t="shared" si="590"/>
        <v/>
      </c>
      <c r="C480" s="57" t="str">
        <f>+IF(D480="","",'Tablas Servicio'!C479+1)</f>
        <v/>
      </c>
      <c r="D480" s="56" t="str">
        <f>+IF(D479&lt;edadmaxtabla,D479+1/Parámetros!$E$25,"")</f>
        <v/>
      </c>
      <c r="E480" s="57" t="str">
        <f t="shared" si="600"/>
        <v/>
      </c>
      <c r="F480" s="59" t="str">
        <f t="shared" si="601"/>
        <v/>
      </c>
      <c r="G480" s="66" t="str">
        <f t="shared" si="591"/>
        <v/>
      </c>
      <c r="H480" s="66" t="str">
        <f t="shared" si="592"/>
        <v/>
      </c>
      <c r="I480" s="66" t="str">
        <f t="shared" si="640"/>
        <v/>
      </c>
      <c r="J480" s="66" t="str">
        <f t="shared" si="593"/>
        <v/>
      </c>
      <c r="K480" s="66" t="str">
        <f t="shared" si="594"/>
        <v/>
      </c>
      <c r="L480" s="66" t="str">
        <f t="shared" si="595"/>
        <v/>
      </c>
      <c r="M480" s="66" t="str">
        <f t="shared" si="596"/>
        <v/>
      </c>
      <c r="N480" s="66" t="str">
        <f>+IF(C480="","",ROUND(Parámetros!$D$23,2))</f>
        <v/>
      </c>
      <c r="O480" s="66" t="str">
        <f t="shared" si="597"/>
        <v/>
      </c>
      <c r="P480" s="66" t="str">
        <f>+IF($C480="","",ROUND(IF(B480&gt;Parámetros!$D$117,0,N480*Parámetros!$D$116-G480*Parámetros!$D$100),2))</f>
        <v/>
      </c>
      <c r="Q480" s="75" t="str">
        <f t="shared" si="641"/>
        <v/>
      </c>
      <c r="R480" s="75" t="str">
        <f t="shared" si="642"/>
        <v/>
      </c>
      <c r="S480" s="117" t="str">
        <f>+IF($C480="","",ROUND((S479+I480)*(1+Parámetros!$D$91),2))</f>
        <v/>
      </c>
      <c r="T480" s="117" t="str">
        <f>+IF($C480="","",ROUND(S480*VLOOKUP(B480,Parámetros!$C$30:$D$39,2,TRUE),2))</f>
        <v/>
      </c>
      <c r="U480" s="117" t="str">
        <f>+IF($C480="","",ROUND((U479+I480)*(1+Parámetros!$D$92),2))</f>
        <v/>
      </c>
      <c r="V480" s="117" t="str">
        <f>+IF($C480="","",ROUND(U480*VLOOKUP(B480,Parámetros!$C$30:$D$39,2,TRUE),2))</f>
        <v/>
      </c>
      <c r="W480" s="57" t="str">
        <f t="shared" si="643"/>
        <v/>
      </c>
      <c r="X480" t="str">
        <f t="shared" si="644"/>
        <v/>
      </c>
      <c r="Y480" t="str">
        <f t="shared" si="645"/>
        <v/>
      </c>
      <c r="Z480" s="118" t="str">
        <f>+IF($W480="","",ROUND(IF(Parámetros!$D$25='TABLAS MORT'!$V$33,Z479,Parámetros!$D$21-'Tablas Servicio'!T479),0))</f>
        <v/>
      </c>
      <c r="AA480" s="118" t="str">
        <f t="shared" si="646"/>
        <v/>
      </c>
      <c r="AB480" s="119" t="str">
        <f>+IF(W480="","",ROUND((VLOOKUP(ROUNDDOWN($D480-1/frec,0),qx_tabla,2,FALSE)*(1+i/frec)^-0.5*(1+Parámetros!$D$103)*(1+rec_fracc)/frec),6))</f>
        <v/>
      </c>
      <c r="AC480" s="66" t="str">
        <f t="shared" si="602"/>
        <v/>
      </c>
      <c r="AD480" s="119" t="str">
        <f t="shared" si="598"/>
        <v/>
      </c>
      <c r="AE480" s="66" t="str">
        <f>+IF($W480="","",ROUND(IF($B480&gt;Parámetros!$D$107,'Tablas Servicio'!AC480+('Tablas Servicio'!AG479-'Tablas Servicio'!AC479),AC480/(1-IF(B480&lt;=10,Parámetros!$D$104,Parámetros!$D$105))),2))</f>
        <v/>
      </c>
      <c r="AF480" s="66" t="str">
        <f>+IF($W480="","",ROUND(IF($B480&gt;Parámetros!$D$107,'Tablas Servicio'!AC480+('Tablas Servicio'!AG479-'Tablas Servicio'!AC479),(AC480+$A479/frec)/(1-IF(B480&lt;=Parámetros!$D$117,Parámetros!$D$100,0))),2))</f>
        <v/>
      </c>
      <c r="AG480" s="66" t="str">
        <f t="shared" si="603"/>
        <v/>
      </c>
      <c r="AH480" s="66" t="str">
        <f t="shared" si="604"/>
        <v/>
      </c>
      <c r="AI480" s="66" t="str">
        <f t="shared" si="605"/>
        <v/>
      </c>
      <c r="AJ480" s="66" t="str">
        <f>+IF($W480="","",ROUND((AG480*Parámetros!$G$85),2))</f>
        <v/>
      </c>
      <c r="AK480" s="66" t="str">
        <f>+IF($W480="","",ROUND((AG480*(Parámetros!$G$86)),2))</f>
        <v/>
      </c>
      <c r="AL480" s="66" t="str">
        <f t="shared" si="599"/>
        <v/>
      </c>
      <c r="AM480" t="str">
        <f t="shared" si="647"/>
        <v/>
      </c>
      <c r="AN480" t="str">
        <f t="shared" si="648"/>
        <v/>
      </c>
      <c r="AO480" s="118" t="str">
        <f t="shared" si="649"/>
        <v/>
      </c>
      <c r="AP480" s="118" t="str">
        <f t="shared" si="650"/>
        <v/>
      </c>
      <c r="AQ480" s="119" t="str">
        <f>+IF(OR($W480="",AO480=0),"",ROUND((VLOOKUP(ROUNDDOWN($D480-1/frec,0),cob_adi,Z$40,FALSE)*(1+i/frec)^-0.5*(1+Parámetros!$D$103)*(1+rec_fracc)/frec),6))</f>
        <v/>
      </c>
      <c r="AR480" s="66" t="str">
        <f t="shared" si="606"/>
        <v/>
      </c>
      <c r="AS480" s="119" t="str">
        <f t="shared" si="607"/>
        <v/>
      </c>
      <c r="AT480" s="66" t="str">
        <f>+IF($W480="","",ROUND(IF($B480&gt;Parámetros!$D$107,'Tablas Servicio'!AR480+('Tablas Servicio'!AT479-'Tablas Servicio'!AR479),AR480/(1-IF(B480&lt;=10,Parámetros!$D$100,0))),2))</f>
        <v/>
      </c>
      <c r="AU480" s="66" t="str">
        <f t="shared" si="608"/>
        <v/>
      </c>
      <c r="AV480" s="66" t="str">
        <f t="shared" si="608"/>
        <v/>
      </c>
      <c r="AW480" s="66" t="str">
        <f>+IF($W480="","",ROUND((AT480*Parámetros!$G$85),2))</f>
        <v/>
      </c>
      <c r="AX480" s="66" t="str">
        <f>+IF($W480="","",ROUND((AT480*(Parámetros!$G$86)),2))</f>
        <v/>
      </c>
      <c r="AY480" s="66" t="str">
        <f t="shared" si="609"/>
        <v/>
      </c>
      <c r="AZ480" t="str">
        <f t="shared" si="651"/>
        <v/>
      </c>
      <c r="BA480" t="str">
        <f t="shared" si="652"/>
        <v/>
      </c>
      <c r="BB480" s="118" t="str">
        <f t="shared" si="653"/>
        <v/>
      </c>
      <c r="BC480" s="118" t="str">
        <f t="shared" si="654"/>
        <v/>
      </c>
      <c r="BD480" s="119" t="str">
        <f>+IF(OR($W480="",BB480=0),"",ROUND((VLOOKUP(ROUNDDOWN($D480-1/frec,0),cob_adi,AO$40,FALSE)*(1+i/frec)^-0.5*(1+Parámetros!$D$103)*(1+rec_fracc)/frec),6))</f>
        <v/>
      </c>
      <c r="BE480" s="66" t="str">
        <f t="shared" si="610"/>
        <v/>
      </c>
      <c r="BF480" s="119" t="str">
        <f t="shared" si="611"/>
        <v/>
      </c>
      <c r="BG480" s="66" t="str">
        <f>+IF($W480="","",ROUND(IF($B480&gt;Parámetros!$D$107,'Tablas Servicio'!BE480+('Tablas Servicio'!BG479-'Tablas Servicio'!BE479),BE480/(1-IF(B480&lt;=10,Parámetros!$D$100,0))),2))</f>
        <v/>
      </c>
      <c r="BH480" s="66" t="str">
        <f t="shared" si="612"/>
        <v/>
      </c>
      <c r="BI480" s="66" t="str">
        <f t="shared" si="613"/>
        <v/>
      </c>
      <c r="BJ480" s="66" t="str">
        <f>+IF($W480="","",ROUND((BG480*Parámetros!$G$85),2))</f>
        <v/>
      </c>
      <c r="BK480" s="66" t="str">
        <f>+IF($W480="","",ROUND((BG480*(Parámetros!$G$86)),2))</f>
        <v/>
      </c>
      <c r="BL480" s="66" t="str">
        <f t="shared" si="614"/>
        <v/>
      </c>
      <c r="BM480" t="str">
        <f t="shared" si="655"/>
        <v/>
      </c>
      <c r="BN480" t="str">
        <f t="shared" si="656"/>
        <v/>
      </c>
      <c r="BO480" s="118" t="str">
        <f t="shared" si="657"/>
        <v/>
      </c>
      <c r="BP480" s="118" t="str">
        <f t="shared" si="658"/>
        <v/>
      </c>
      <c r="BQ480" s="119" t="str">
        <f>+IF(OR($W480="",BO480=0),"",ROUND((VLOOKUP(ROUNDDOWN($D480-1/frec,0),cob_adi,BB$40,FALSE)*(1+i/frec)^-0.5*(1+Parámetros!$D$103)*(1+rec_fracc)/frec),6))</f>
        <v/>
      </c>
      <c r="BR480" s="66" t="str">
        <f t="shared" si="615"/>
        <v/>
      </c>
      <c r="BS480" s="119" t="str">
        <f t="shared" si="616"/>
        <v/>
      </c>
      <c r="BT480" s="66" t="str">
        <f>+IF($W480="","",ROUND(IF($B480&gt;Parámetros!$D$107,'Tablas Servicio'!BR480+('Tablas Servicio'!BT479-'Tablas Servicio'!BR479),BR480/(1-IF(B480&lt;=10,Parámetros!$D$100,0))),2))</f>
        <v/>
      </c>
      <c r="BU480" s="66" t="str">
        <f t="shared" si="617"/>
        <v/>
      </c>
      <c r="BV480" s="66" t="str">
        <f t="shared" si="617"/>
        <v/>
      </c>
      <c r="BW480" s="66" t="str">
        <f>+IF($W480="","",ROUND((BT480*Parámetros!$G$85),2))</f>
        <v/>
      </c>
      <c r="BX480" s="66" t="str">
        <f>+IF($W480="","",ROUND((BT480*(Parámetros!$G$86)),2))</f>
        <v/>
      </c>
      <c r="BY480" s="66" t="str">
        <f t="shared" si="618"/>
        <v/>
      </c>
      <c r="BZ480" t="str">
        <f t="shared" si="659"/>
        <v/>
      </c>
      <c r="CA480" t="str">
        <f t="shared" si="660"/>
        <v/>
      </c>
      <c r="CB480" s="118" t="str">
        <f t="shared" si="661"/>
        <v/>
      </c>
      <c r="CC480" s="118" t="str">
        <f t="shared" si="662"/>
        <v/>
      </c>
      <c r="CD480" s="119" t="str">
        <f t="shared" si="619"/>
        <v/>
      </c>
      <c r="CE480" s="66" t="str">
        <f>+IF($W480="","",ROUND((VLOOKUP(ROUNDDOWN($D480-1/frec,0),cob_adi,BO$40,FALSE)*(1+i/frec)^-0.5*(1+Parámetros!$D$103)*(1+rec_fracc)/frec*'TABLAS ADI'!$BC$17),2))</f>
        <v/>
      </c>
      <c r="CF480" s="119" t="str">
        <f t="shared" si="620"/>
        <v/>
      </c>
      <c r="CG480" s="66" t="str">
        <f>+IF($W480="","",ROUND(IF($B480&gt;Parámetros!$D$107,'Tablas Servicio'!CE480+('Tablas Servicio'!CG479-'Tablas Servicio'!CE479),CE480/(1-IF(B480&lt;=10,Parámetros!$D$100,0))),2))</f>
        <v/>
      </c>
      <c r="CH480" s="66" t="str">
        <f t="shared" si="621"/>
        <v/>
      </c>
      <c r="CI480" s="66" t="str">
        <f t="shared" si="621"/>
        <v/>
      </c>
      <c r="CJ480" s="66" t="str">
        <f>+IF($W480="","",ROUND((CG480*Parámetros!$G$85),2))</f>
        <v/>
      </c>
      <c r="CK480" s="66" t="str">
        <f>+IF($W480="","",ROUND((CG480*(Parámetros!$G$86)),2))</f>
        <v/>
      </c>
      <c r="CL480" s="66" t="str">
        <f t="shared" si="622"/>
        <v/>
      </c>
      <c r="CM480" t="str">
        <f t="shared" si="663"/>
        <v/>
      </c>
      <c r="CN480" s="118" t="str">
        <f t="shared" si="664"/>
        <v/>
      </c>
      <c r="CO480" s="118" t="str">
        <f t="shared" si="665"/>
        <v/>
      </c>
      <c r="CP480" s="118" t="str">
        <f t="shared" si="666"/>
        <v/>
      </c>
      <c r="CQ480" s="119" t="str">
        <f t="shared" si="623"/>
        <v/>
      </c>
      <c r="CR480" s="66" t="str">
        <f>+IF($W480="","",ROUND((VLOOKUP(Parámetros!$F$51,'COBERTURAS ADICIONALES'!$S$4:$T$32,2,FALSE)*(1+i/frec)^-0.5*(1+Parámetros!$D$103)*(1+rec_fracc)/frec*$CO$42),2))</f>
        <v/>
      </c>
      <c r="CS480" s="119" t="str">
        <f t="shared" si="624"/>
        <v/>
      </c>
      <c r="CT480" s="66" t="str">
        <f>+IF($W480="","",ROUND(IF($B480&gt;Parámetros!$D$107,'Tablas Servicio'!CR480+('Tablas Servicio'!CT479-'Tablas Servicio'!CR479),CR480/(1-IF(B480&lt;=10,Parámetros!$D$100,0))),2))</f>
        <v/>
      </c>
      <c r="CU480" s="66" t="str">
        <f t="shared" si="625"/>
        <v/>
      </c>
      <c r="CV480" s="66" t="str">
        <f t="shared" si="625"/>
        <v/>
      </c>
      <c r="CW480" s="66" t="str">
        <f>+IF($W480="","",ROUND((CT480*Parámetros!$G$85),2))</f>
        <v/>
      </c>
      <c r="CX480" s="66" t="str">
        <f>+IF($W480="","",ROUND((CT480*(Parámetros!$G$86)),2))</f>
        <v/>
      </c>
      <c r="CY480" s="66" t="str">
        <f t="shared" si="626"/>
        <v/>
      </c>
      <c r="CZ480" t="str">
        <f t="shared" si="667"/>
        <v/>
      </c>
      <c r="DA480" s="118" t="str">
        <f t="shared" si="668"/>
        <v/>
      </c>
      <c r="DB480" s="118" t="str">
        <f t="shared" si="669"/>
        <v/>
      </c>
      <c r="DC480" s="118" t="str">
        <f t="shared" si="670"/>
        <v/>
      </c>
      <c r="DD480" s="121" t="str">
        <f>+IF(OR($W480="",DB480=0),"",ROUND((VLOOKUP(ROUNDDOWN($D480-1/frec,0),cob_adi,CO$40,FALSE)*(1+i/frec)^-0.5*(1+Parámetros!$D$103)*(1+rec_fracc)/frec),6))</f>
        <v/>
      </c>
      <c r="DE480" s="66" t="str">
        <f t="shared" si="627"/>
        <v/>
      </c>
      <c r="DF480" s="119" t="str">
        <f t="shared" si="628"/>
        <v/>
      </c>
      <c r="DG480" s="66" t="str">
        <f>+IF($W480="","",ROUND(IF($B480&gt;Parámetros!$D$107,'Tablas Servicio'!DE480+('Tablas Servicio'!DG479-'Tablas Servicio'!DE479),DE480/(1-IF(B480&lt;=10,Parámetros!$D$100,0))),2))</f>
        <v/>
      </c>
      <c r="DH480" s="66" t="str">
        <f t="shared" si="629"/>
        <v/>
      </c>
      <c r="DI480" s="66" t="str">
        <f t="shared" si="629"/>
        <v/>
      </c>
      <c r="DJ480" s="66" t="str">
        <f>+IF($W480="","",ROUND((DG480*Parámetros!$G$85),2))</f>
        <v/>
      </c>
      <c r="DK480" s="66" t="str">
        <f>+IF($W480="","",ROUND((DG480*(Parámetros!$G$86)),2))</f>
        <v/>
      </c>
      <c r="DL480" s="66" t="str">
        <f t="shared" si="630"/>
        <v/>
      </c>
      <c r="DM480" t="str">
        <f t="shared" si="671"/>
        <v/>
      </c>
      <c r="DN480" s="118" t="str">
        <f t="shared" si="672"/>
        <v/>
      </c>
      <c r="DO480" s="118" t="str">
        <f t="shared" si="673"/>
        <v/>
      </c>
      <c r="DP480" s="118" t="str">
        <f t="shared" si="674"/>
        <v/>
      </c>
      <c r="DQ480" s="122" t="str">
        <f>+IF(OR($W480="",DO480=0),"",ROUND((VLOOKUP(ROUNDDOWN($D480-1/frec,0),cob_adi,DB$40,FALSE)*(1+i/frec)^-0.5*(1+Parámetros!$D$103)*(1+rec_fracc)/frec),6))</f>
        <v/>
      </c>
      <c r="DR480" s="66" t="str">
        <f t="shared" si="631"/>
        <v/>
      </c>
      <c r="DS480" s="68" t="str">
        <f t="shared" si="632"/>
        <v/>
      </c>
      <c r="DT480" s="66" t="str">
        <f>+IF($W480="","",ROUND(IF($B480&gt;Parámetros!$D$107,'Tablas Servicio'!DR480+('Tablas Servicio'!DT479-'Tablas Servicio'!DR479),DR480/(1-IF(B480&lt;=10,Parámetros!$D$100,0))),2))</f>
        <v/>
      </c>
      <c r="DU480" s="66" t="str">
        <f t="shared" si="633"/>
        <v/>
      </c>
      <c r="DV480" s="66" t="str">
        <f t="shared" si="633"/>
        <v/>
      </c>
      <c r="DW480" s="66" t="str">
        <f>+IF($W480="","",ROUND((DT480*Parámetros!$G$85),2))</f>
        <v/>
      </c>
      <c r="DX480" s="66" t="str">
        <f>+IF($W480="","",ROUND((DT480*(Parámetros!$G$86)),2))</f>
        <v/>
      </c>
      <c r="DY480" s="66" t="str">
        <f t="shared" si="634"/>
        <v/>
      </c>
      <c r="DZ480" t="str">
        <f t="shared" si="677"/>
        <v/>
      </c>
      <c r="EA480" s="118" t="str">
        <f t="shared" si="677"/>
        <v/>
      </c>
      <c r="EB480" s="118" t="str">
        <f>+IF($W480="","",ROUND(IF(Parámetros!$D$25='TABLAS MORT'!$V$33,EB479,Z480/2),0))</f>
        <v/>
      </c>
      <c r="EC480" s="118" t="str">
        <f t="shared" si="677"/>
        <v/>
      </c>
      <c r="ED480" s="122" t="str">
        <f>+IF(OR($W480="",EB480=0),"",ROUND((VLOOKUP(ROUNDDOWN($D480-1/frec,0),cob_adi,DO$40,FALSE)*(1+i/frec)^-0.5*(1+Parámetros!$D$103)*(1+rec_fracc)/frec),6))</f>
        <v/>
      </c>
      <c r="EE480" s="66" t="str">
        <f t="shared" si="636"/>
        <v/>
      </c>
      <c r="EF480" s="68" t="str">
        <f t="shared" si="637"/>
        <v/>
      </c>
      <c r="EG480" s="66" t="str">
        <f>+IF($W480="","",ROUND(IF($B480&gt;Parámetros!$D$107,'Tablas Servicio'!EE480+('Tablas Servicio'!EG479-'Tablas Servicio'!EE479),EE480/(1-IF(B480&lt;=10,Parámetros!$D$100,0))),2))</f>
        <v/>
      </c>
      <c r="EH480" s="66" t="str">
        <f t="shared" si="638"/>
        <v/>
      </c>
      <c r="EI480" s="66" t="str">
        <f t="shared" si="638"/>
        <v/>
      </c>
      <c r="EJ480" s="66" t="str">
        <f>+IF($W480="","",ROUND((EG480*Parámetros!$G$85),2))</f>
        <v/>
      </c>
      <c r="EK480" s="66" t="str">
        <f>+IF($W480="","",ROUND((EG480*(Parámetros!$G$86)),2))</f>
        <v/>
      </c>
      <c r="EL480" s="66" t="str">
        <f t="shared" si="639"/>
        <v/>
      </c>
    </row>
    <row r="481" spans="1:142" x14ac:dyDescent="0.25">
      <c r="A481" t="str">
        <f>+IF($C481="","",ROUND(VLOOKUP('Tablas Servicio'!B481,Parámetros!$H$100:$J$159,IF(Parámetros!$E$16="F",2,3),FALSE),2))</f>
        <v/>
      </c>
      <c r="B481" t="str">
        <f t="shared" si="590"/>
        <v/>
      </c>
      <c r="C481" s="57" t="str">
        <f>+IF(D481="","",'Tablas Servicio'!C480+1)</f>
        <v/>
      </c>
      <c r="D481" s="56" t="str">
        <f>+IF(D480&lt;edadmaxtabla,D480+1/Parámetros!$E$25,"")</f>
        <v/>
      </c>
      <c r="E481" s="57" t="str">
        <f t="shared" si="600"/>
        <v/>
      </c>
      <c r="F481" s="59" t="str">
        <f t="shared" si="601"/>
        <v/>
      </c>
      <c r="G481" s="66" t="str">
        <f t="shared" si="591"/>
        <v/>
      </c>
      <c r="H481" s="66" t="str">
        <f t="shared" si="592"/>
        <v/>
      </c>
      <c r="I481" s="66" t="str">
        <f t="shared" si="640"/>
        <v/>
      </c>
      <c r="J481" s="66" t="str">
        <f t="shared" si="593"/>
        <v/>
      </c>
      <c r="K481" s="66" t="str">
        <f t="shared" si="594"/>
        <v/>
      </c>
      <c r="L481" s="66" t="str">
        <f t="shared" si="595"/>
        <v/>
      </c>
      <c r="M481" s="66" t="str">
        <f t="shared" si="596"/>
        <v/>
      </c>
      <c r="N481" s="66" t="str">
        <f>+IF(C481="","",ROUND(Parámetros!$D$23,2))</f>
        <v/>
      </c>
      <c r="O481" s="66" t="str">
        <f t="shared" si="597"/>
        <v/>
      </c>
      <c r="P481" s="66" t="str">
        <f>+IF($C481="","",ROUND(IF(B481&gt;Parámetros!$D$117,0,N481*Parámetros!$D$116-G481*Parámetros!$D$100),2))</f>
        <v/>
      </c>
      <c r="Q481" s="75" t="str">
        <f t="shared" si="641"/>
        <v/>
      </c>
      <c r="R481" s="75" t="str">
        <f t="shared" si="642"/>
        <v/>
      </c>
      <c r="S481" s="117" t="str">
        <f>+IF($C481="","",ROUND((S480+I481)*(1+Parámetros!$D$91),2))</f>
        <v/>
      </c>
      <c r="T481" s="117" t="str">
        <f>+IF($C481="","",ROUND(S481*VLOOKUP(B481,Parámetros!$C$30:$D$39,2,TRUE),2))</f>
        <v/>
      </c>
      <c r="U481" s="117" t="str">
        <f>+IF($C481="","",ROUND((U480+I481)*(1+Parámetros!$D$92),2))</f>
        <v/>
      </c>
      <c r="V481" s="117" t="str">
        <f>+IF($C481="","",ROUND(U481*VLOOKUP(B481,Parámetros!$C$30:$D$39,2,TRUE),2))</f>
        <v/>
      </c>
      <c r="W481" s="57" t="str">
        <f t="shared" si="643"/>
        <v/>
      </c>
      <c r="X481" t="str">
        <f t="shared" si="644"/>
        <v/>
      </c>
      <c r="Y481" t="str">
        <f t="shared" si="645"/>
        <v/>
      </c>
      <c r="Z481" s="118" t="str">
        <f>+IF($W481="","",ROUND(IF(Parámetros!$D$25='TABLAS MORT'!$V$33,Z480,Parámetros!$D$21-'Tablas Servicio'!T480),0))</f>
        <v/>
      </c>
      <c r="AA481" s="118" t="str">
        <f t="shared" si="646"/>
        <v/>
      </c>
      <c r="AB481" s="119" t="str">
        <f>+IF(W481="","",ROUND((VLOOKUP(ROUNDDOWN($D481-1/frec,0),qx_tabla,2,FALSE)*(1+i/frec)^-0.5*(1+Parámetros!$D$103)*(1+rec_fracc)/frec),6))</f>
        <v/>
      </c>
      <c r="AC481" s="66" t="str">
        <f t="shared" si="602"/>
        <v/>
      </c>
      <c r="AD481" s="119" t="str">
        <f t="shared" si="598"/>
        <v/>
      </c>
      <c r="AE481" s="66" t="str">
        <f>+IF($W481="","",ROUND(IF($B481&gt;Parámetros!$D$107,'Tablas Servicio'!AC481+('Tablas Servicio'!AG480-'Tablas Servicio'!AC480),AC481/(1-IF(B481&lt;=10,Parámetros!$D$104,Parámetros!$D$105))),2))</f>
        <v/>
      </c>
      <c r="AF481" s="66" t="str">
        <f>+IF($W481="","",ROUND(IF($B481&gt;Parámetros!$D$107,'Tablas Servicio'!AC481+('Tablas Servicio'!AG480-'Tablas Servicio'!AC480),(AC481+$A480/frec)/(1-IF(B481&lt;=Parámetros!$D$117,Parámetros!$D$100,0))),2))</f>
        <v/>
      </c>
      <c r="AG481" s="66" t="str">
        <f t="shared" si="603"/>
        <v/>
      </c>
      <c r="AH481" s="66" t="str">
        <f t="shared" si="604"/>
        <v/>
      </c>
      <c r="AI481" s="66" t="str">
        <f t="shared" si="605"/>
        <v/>
      </c>
      <c r="AJ481" s="66" t="str">
        <f>+IF($W481="","",ROUND((AG481*Parámetros!$G$85),2))</f>
        <v/>
      </c>
      <c r="AK481" s="66" t="str">
        <f>+IF($W481="","",ROUND((AG481*(Parámetros!$G$86)),2))</f>
        <v/>
      </c>
      <c r="AL481" s="66" t="str">
        <f t="shared" si="599"/>
        <v/>
      </c>
      <c r="AM481" t="str">
        <f t="shared" si="647"/>
        <v/>
      </c>
      <c r="AN481" t="str">
        <f t="shared" si="648"/>
        <v/>
      </c>
      <c r="AO481" s="118" t="str">
        <f t="shared" si="649"/>
        <v/>
      </c>
      <c r="AP481" s="118" t="str">
        <f t="shared" si="650"/>
        <v/>
      </c>
      <c r="AQ481" s="119" t="str">
        <f>+IF(OR($W481="",AO481=0),"",ROUND((VLOOKUP(ROUNDDOWN($D481-1/frec,0),cob_adi,Z$40,FALSE)*(1+i/frec)^-0.5*(1+Parámetros!$D$103)*(1+rec_fracc)/frec),6))</f>
        <v/>
      </c>
      <c r="AR481" s="66" t="str">
        <f t="shared" si="606"/>
        <v/>
      </c>
      <c r="AS481" s="119" t="str">
        <f t="shared" si="607"/>
        <v/>
      </c>
      <c r="AT481" s="66" t="str">
        <f>+IF($W481="","",ROUND(IF($B481&gt;Parámetros!$D$107,'Tablas Servicio'!AR481+('Tablas Servicio'!AT480-'Tablas Servicio'!AR480),AR481/(1-IF(B481&lt;=10,Parámetros!$D$100,0))),2))</f>
        <v/>
      </c>
      <c r="AU481" s="66" t="str">
        <f t="shared" si="608"/>
        <v/>
      </c>
      <c r="AV481" s="66" t="str">
        <f t="shared" si="608"/>
        <v/>
      </c>
      <c r="AW481" s="66" t="str">
        <f>+IF($W481="","",ROUND((AT481*Parámetros!$G$85),2))</f>
        <v/>
      </c>
      <c r="AX481" s="66" t="str">
        <f>+IF($W481="","",ROUND((AT481*(Parámetros!$G$86)),2))</f>
        <v/>
      </c>
      <c r="AY481" s="66" t="str">
        <f t="shared" si="609"/>
        <v/>
      </c>
      <c r="AZ481" t="str">
        <f t="shared" si="651"/>
        <v/>
      </c>
      <c r="BA481" t="str">
        <f t="shared" si="652"/>
        <v/>
      </c>
      <c r="BB481" s="118" t="str">
        <f t="shared" si="653"/>
        <v/>
      </c>
      <c r="BC481" s="118" t="str">
        <f t="shared" si="654"/>
        <v/>
      </c>
      <c r="BD481" s="119" t="str">
        <f>+IF(OR($W481="",BB481=0),"",ROUND((VLOOKUP(ROUNDDOWN($D481-1/frec,0),cob_adi,AO$40,FALSE)*(1+i/frec)^-0.5*(1+Parámetros!$D$103)*(1+rec_fracc)/frec),6))</f>
        <v/>
      </c>
      <c r="BE481" s="66" t="str">
        <f t="shared" si="610"/>
        <v/>
      </c>
      <c r="BF481" s="119" t="str">
        <f t="shared" si="611"/>
        <v/>
      </c>
      <c r="BG481" s="66" t="str">
        <f>+IF($W481="","",ROUND(IF($B481&gt;Parámetros!$D$107,'Tablas Servicio'!BE481+('Tablas Servicio'!BG480-'Tablas Servicio'!BE480),BE481/(1-IF(B481&lt;=10,Parámetros!$D$100,0))),2))</f>
        <v/>
      </c>
      <c r="BH481" s="66" t="str">
        <f t="shared" si="612"/>
        <v/>
      </c>
      <c r="BI481" s="66" t="str">
        <f t="shared" si="613"/>
        <v/>
      </c>
      <c r="BJ481" s="66" t="str">
        <f>+IF($W481="","",ROUND((BG481*Parámetros!$G$85),2))</f>
        <v/>
      </c>
      <c r="BK481" s="66" t="str">
        <f>+IF($W481="","",ROUND((BG481*(Parámetros!$G$86)),2))</f>
        <v/>
      </c>
      <c r="BL481" s="66" t="str">
        <f t="shared" si="614"/>
        <v/>
      </c>
      <c r="BM481" t="str">
        <f t="shared" si="655"/>
        <v/>
      </c>
      <c r="BN481" t="str">
        <f t="shared" si="656"/>
        <v/>
      </c>
      <c r="BO481" s="118" t="str">
        <f t="shared" si="657"/>
        <v/>
      </c>
      <c r="BP481" s="118" t="str">
        <f t="shared" si="658"/>
        <v/>
      </c>
      <c r="BQ481" s="119" t="str">
        <f>+IF(OR($W481="",BO481=0),"",ROUND((VLOOKUP(ROUNDDOWN($D481-1/frec,0),cob_adi,BB$40,FALSE)*(1+i/frec)^-0.5*(1+Parámetros!$D$103)*(1+rec_fracc)/frec),6))</f>
        <v/>
      </c>
      <c r="BR481" s="66" t="str">
        <f t="shared" si="615"/>
        <v/>
      </c>
      <c r="BS481" s="119" t="str">
        <f t="shared" si="616"/>
        <v/>
      </c>
      <c r="BT481" s="66" t="str">
        <f>+IF($W481="","",ROUND(IF($B481&gt;Parámetros!$D$107,'Tablas Servicio'!BR481+('Tablas Servicio'!BT480-'Tablas Servicio'!BR480),BR481/(1-IF(B481&lt;=10,Parámetros!$D$100,0))),2))</f>
        <v/>
      </c>
      <c r="BU481" s="66" t="str">
        <f t="shared" si="617"/>
        <v/>
      </c>
      <c r="BV481" s="66" t="str">
        <f t="shared" si="617"/>
        <v/>
      </c>
      <c r="BW481" s="66" t="str">
        <f>+IF($W481="","",ROUND((BT481*Parámetros!$G$85),2))</f>
        <v/>
      </c>
      <c r="BX481" s="66" t="str">
        <f>+IF($W481="","",ROUND((BT481*(Parámetros!$G$86)),2))</f>
        <v/>
      </c>
      <c r="BY481" s="66" t="str">
        <f t="shared" si="618"/>
        <v/>
      </c>
      <c r="BZ481" t="str">
        <f t="shared" si="659"/>
        <v/>
      </c>
      <c r="CA481" t="str">
        <f t="shared" si="660"/>
        <v/>
      </c>
      <c r="CB481" s="118" t="str">
        <f t="shared" si="661"/>
        <v/>
      </c>
      <c r="CC481" s="118" t="str">
        <f t="shared" si="662"/>
        <v/>
      </c>
      <c r="CD481" s="119" t="str">
        <f t="shared" si="619"/>
        <v/>
      </c>
      <c r="CE481" s="66" t="str">
        <f>+IF($W481="","",ROUND((VLOOKUP(ROUNDDOWN($D481-1/frec,0),cob_adi,BO$40,FALSE)*(1+i/frec)^-0.5*(1+Parámetros!$D$103)*(1+rec_fracc)/frec*'TABLAS ADI'!$BC$17),2))</f>
        <v/>
      </c>
      <c r="CF481" s="119" t="str">
        <f t="shared" si="620"/>
        <v/>
      </c>
      <c r="CG481" s="66" t="str">
        <f>+IF($W481="","",ROUND(IF($B481&gt;Parámetros!$D$107,'Tablas Servicio'!CE481+('Tablas Servicio'!CG480-'Tablas Servicio'!CE480),CE481/(1-IF(B481&lt;=10,Parámetros!$D$100,0))),2))</f>
        <v/>
      </c>
      <c r="CH481" s="66" t="str">
        <f t="shared" si="621"/>
        <v/>
      </c>
      <c r="CI481" s="66" t="str">
        <f t="shared" si="621"/>
        <v/>
      </c>
      <c r="CJ481" s="66" t="str">
        <f>+IF($W481="","",ROUND((CG481*Parámetros!$G$85),2))</f>
        <v/>
      </c>
      <c r="CK481" s="66" t="str">
        <f>+IF($W481="","",ROUND((CG481*(Parámetros!$G$86)),2))</f>
        <v/>
      </c>
      <c r="CL481" s="66" t="str">
        <f t="shared" si="622"/>
        <v/>
      </c>
      <c r="CM481" t="str">
        <f t="shared" si="663"/>
        <v/>
      </c>
      <c r="CN481" s="118" t="str">
        <f t="shared" si="664"/>
        <v/>
      </c>
      <c r="CO481" s="118" t="str">
        <f t="shared" si="665"/>
        <v/>
      </c>
      <c r="CP481" s="118" t="str">
        <f t="shared" si="666"/>
        <v/>
      </c>
      <c r="CQ481" s="119" t="str">
        <f t="shared" si="623"/>
        <v/>
      </c>
      <c r="CR481" s="66" t="str">
        <f>+IF($W481="","",ROUND((VLOOKUP(Parámetros!$F$51,'COBERTURAS ADICIONALES'!$S$4:$T$32,2,FALSE)*(1+i/frec)^-0.5*(1+Parámetros!$D$103)*(1+rec_fracc)/frec*$CO$42),2))</f>
        <v/>
      </c>
      <c r="CS481" s="119" t="str">
        <f t="shared" si="624"/>
        <v/>
      </c>
      <c r="CT481" s="66" t="str">
        <f>+IF($W481="","",ROUND(IF($B481&gt;Parámetros!$D$107,'Tablas Servicio'!CR481+('Tablas Servicio'!CT480-'Tablas Servicio'!CR480),CR481/(1-IF(B481&lt;=10,Parámetros!$D$100,0))),2))</f>
        <v/>
      </c>
      <c r="CU481" s="66" t="str">
        <f t="shared" si="625"/>
        <v/>
      </c>
      <c r="CV481" s="66" t="str">
        <f t="shared" si="625"/>
        <v/>
      </c>
      <c r="CW481" s="66" t="str">
        <f>+IF($W481="","",ROUND((CT481*Parámetros!$G$85),2))</f>
        <v/>
      </c>
      <c r="CX481" s="66" t="str">
        <f>+IF($W481="","",ROUND((CT481*(Parámetros!$G$86)),2))</f>
        <v/>
      </c>
      <c r="CY481" s="66" t="str">
        <f t="shared" si="626"/>
        <v/>
      </c>
      <c r="CZ481" t="str">
        <f t="shared" si="667"/>
        <v/>
      </c>
      <c r="DA481" s="118" t="str">
        <f t="shared" si="668"/>
        <v/>
      </c>
      <c r="DB481" s="118" t="str">
        <f t="shared" si="669"/>
        <v/>
      </c>
      <c r="DC481" s="118" t="str">
        <f t="shared" si="670"/>
        <v/>
      </c>
      <c r="DD481" s="121" t="str">
        <f>+IF(OR($W481="",DB481=0),"",ROUND((VLOOKUP(ROUNDDOWN($D481-1/frec,0),cob_adi,CO$40,FALSE)*(1+i/frec)^-0.5*(1+Parámetros!$D$103)*(1+rec_fracc)/frec),6))</f>
        <v/>
      </c>
      <c r="DE481" s="66" t="str">
        <f t="shared" si="627"/>
        <v/>
      </c>
      <c r="DF481" s="119" t="str">
        <f t="shared" si="628"/>
        <v/>
      </c>
      <c r="DG481" s="66" t="str">
        <f>+IF($W481="","",ROUND(IF($B481&gt;Parámetros!$D$107,'Tablas Servicio'!DE481+('Tablas Servicio'!DG480-'Tablas Servicio'!DE480),DE481/(1-IF(B481&lt;=10,Parámetros!$D$100,0))),2))</f>
        <v/>
      </c>
      <c r="DH481" s="66" t="str">
        <f t="shared" si="629"/>
        <v/>
      </c>
      <c r="DI481" s="66" t="str">
        <f t="shared" si="629"/>
        <v/>
      </c>
      <c r="DJ481" s="66" t="str">
        <f>+IF($W481="","",ROUND((DG481*Parámetros!$G$85),2))</f>
        <v/>
      </c>
      <c r="DK481" s="66" t="str">
        <f>+IF($W481="","",ROUND((DG481*(Parámetros!$G$86)),2))</f>
        <v/>
      </c>
      <c r="DL481" s="66" t="str">
        <f t="shared" si="630"/>
        <v/>
      </c>
      <c r="DM481" t="str">
        <f t="shared" si="671"/>
        <v/>
      </c>
      <c r="DN481" s="118" t="str">
        <f t="shared" si="672"/>
        <v/>
      </c>
      <c r="DO481" s="118" t="str">
        <f t="shared" si="673"/>
        <v/>
      </c>
      <c r="DP481" s="118" t="str">
        <f t="shared" si="674"/>
        <v/>
      </c>
      <c r="DQ481" s="122" t="str">
        <f>+IF(OR($W481="",DO481=0),"",ROUND((VLOOKUP(ROUNDDOWN($D481-1/frec,0),cob_adi,DB$40,FALSE)*(1+i/frec)^-0.5*(1+Parámetros!$D$103)*(1+rec_fracc)/frec),6))</f>
        <v/>
      </c>
      <c r="DR481" s="66" t="str">
        <f t="shared" si="631"/>
        <v/>
      </c>
      <c r="DS481" s="68" t="str">
        <f t="shared" si="632"/>
        <v/>
      </c>
      <c r="DT481" s="66" t="str">
        <f>+IF($W481="","",ROUND(IF($B481&gt;Parámetros!$D$107,'Tablas Servicio'!DR481+('Tablas Servicio'!DT480-'Tablas Servicio'!DR480),DR481/(1-IF(B481&lt;=10,Parámetros!$D$100,0))),2))</f>
        <v/>
      </c>
      <c r="DU481" s="66" t="str">
        <f t="shared" si="633"/>
        <v/>
      </c>
      <c r="DV481" s="66" t="str">
        <f t="shared" si="633"/>
        <v/>
      </c>
      <c r="DW481" s="66" t="str">
        <f>+IF($W481="","",ROUND((DT481*Parámetros!$G$85),2))</f>
        <v/>
      </c>
      <c r="DX481" s="66" t="str">
        <f>+IF($W481="","",ROUND((DT481*(Parámetros!$G$86)),2))</f>
        <v/>
      </c>
      <c r="DY481" s="66" t="str">
        <f t="shared" si="634"/>
        <v/>
      </c>
      <c r="DZ481" t="str">
        <f t="shared" si="677"/>
        <v/>
      </c>
      <c r="EA481" s="118" t="str">
        <f t="shared" si="677"/>
        <v/>
      </c>
      <c r="EB481" s="118" t="str">
        <f>+IF($W481="","",ROUND(IF(Parámetros!$D$25='TABLAS MORT'!$V$33,EB480,Z481/2),0))</f>
        <v/>
      </c>
      <c r="EC481" s="118" t="str">
        <f t="shared" si="677"/>
        <v/>
      </c>
      <c r="ED481" s="122" t="str">
        <f>+IF(OR($W481="",EB481=0),"",ROUND((VLOOKUP(ROUNDDOWN($D481-1/frec,0),cob_adi,DO$40,FALSE)*(1+i/frec)^-0.5*(1+Parámetros!$D$103)*(1+rec_fracc)/frec),6))</f>
        <v/>
      </c>
      <c r="EE481" s="66" t="str">
        <f t="shared" si="636"/>
        <v/>
      </c>
      <c r="EF481" s="68" t="str">
        <f t="shared" si="637"/>
        <v/>
      </c>
      <c r="EG481" s="66" t="str">
        <f>+IF($W481="","",ROUND(IF($B481&gt;Parámetros!$D$107,'Tablas Servicio'!EE481+('Tablas Servicio'!EG480-'Tablas Servicio'!EE480),EE481/(1-IF(B481&lt;=10,Parámetros!$D$100,0))),2))</f>
        <v/>
      </c>
      <c r="EH481" s="66" t="str">
        <f t="shared" si="638"/>
        <v/>
      </c>
      <c r="EI481" s="66" t="str">
        <f t="shared" si="638"/>
        <v/>
      </c>
      <c r="EJ481" s="66" t="str">
        <f>+IF($W481="","",ROUND((EG481*Parámetros!$G$85),2))</f>
        <v/>
      </c>
      <c r="EK481" s="66" t="str">
        <f>+IF($W481="","",ROUND((EG481*(Parámetros!$G$86)),2))</f>
        <v/>
      </c>
      <c r="EL481" s="66" t="str">
        <f t="shared" si="639"/>
        <v/>
      </c>
    </row>
    <row r="482" spans="1:142" x14ac:dyDescent="0.25">
      <c r="A482" t="str">
        <f>+IF($C482="","",ROUND(VLOOKUP('Tablas Servicio'!B482,Parámetros!$H$100:$J$159,IF(Parámetros!$E$16="F",2,3),FALSE),2))</f>
        <v/>
      </c>
      <c r="B482" t="str">
        <f t="shared" si="590"/>
        <v/>
      </c>
      <c r="C482" s="57" t="str">
        <f>+IF(D482="","",'Tablas Servicio'!C481+1)</f>
        <v/>
      </c>
      <c r="D482" s="56" t="str">
        <f>+IF(D481&lt;edadmaxtabla,D481+1/Parámetros!$E$25,"")</f>
        <v/>
      </c>
      <c r="E482" s="57" t="str">
        <f t="shared" si="600"/>
        <v/>
      </c>
      <c r="F482" s="59" t="str">
        <f t="shared" si="601"/>
        <v/>
      </c>
      <c r="G482" s="66" t="str">
        <f t="shared" si="591"/>
        <v/>
      </c>
      <c r="H482" s="66" t="str">
        <f t="shared" si="592"/>
        <v/>
      </c>
      <c r="I482" s="66" t="str">
        <f t="shared" si="640"/>
        <v/>
      </c>
      <c r="J482" s="66" t="str">
        <f t="shared" si="593"/>
        <v/>
      </c>
      <c r="K482" s="66" t="str">
        <f t="shared" si="594"/>
        <v/>
      </c>
      <c r="L482" s="66" t="str">
        <f t="shared" si="595"/>
        <v/>
      </c>
      <c r="M482" s="66" t="str">
        <f t="shared" si="596"/>
        <v/>
      </c>
      <c r="N482" s="66" t="str">
        <f>+IF(C482="","",ROUND(Parámetros!$D$23,2))</f>
        <v/>
      </c>
      <c r="O482" s="66" t="str">
        <f t="shared" si="597"/>
        <v/>
      </c>
      <c r="P482" s="66" t="str">
        <f>+IF($C482="","",ROUND(IF(B482&gt;Parámetros!$D$117,0,N482*Parámetros!$D$116-G482*Parámetros!$D$100),2))</f>
        <v/>
      </c>
      <c r="Q482" s="75" t="str">
        <f t="shared" si="641"/>
        <v/>
      </c>
      <c r="R482" s="75" t="str">
        <f t="shared" si="642"/>
        <v/>
      </c>
      <c r="S482" s="117" t="str">
        <f>+IF($C482="","",ROUND((S481+I482)*(1+Parámetros!$D$91),2))</f>
        <v/>
      </c>
      <c r="T482" s="117" t="str">
        <f>+IF($C482="","",ROUND(S482*VLOOKUP(B482,Parámetros!$C$30:$D$39,2,TRUE),2))</f>
        <v/>
      </c>
      <c r="U482" s="117" t="str">
        <f>+IF($C482="","",ROUND((U481+I482)*(1+Parámetros!$D$92),2))</f>
        <v/>
      </c>
      <c r="V482" s="117" t="str">
        <f>+IF($C482="","",ROUND(U482*VLOOKUP(B482,Parámetros!$C$30:$D$39,2,TRUE),2))</f>
        <v/>
      </c>
      <c r="W482" s="57" t="str">
        <f t="shared" si="643"/>
        <v/>
      </c>
      <c r="X482" t="str">
        <f t="shared" si="644"/>
        <v/>
      </c>
      <c r="Y482" t="str">
        <f t="shared" si="645"/>
        <v/>
      </c>
      <c r="Z482" s="118" t="str">
        <f>+IF($W482="","",ROUND(IF(Parámetros!$D$25='TABLAS MORT'!$V$33,Z481,Parámetros!$D$21-'Tablas Servicio'!T481),0))</f>
        <v/>
      </c>
      <c r="AA482" s="118" t="str">
        <f t="shared" si="646"/>
        <v/>
      </c>
      <c r="AB482" s="119" t="str">
        <f>+IF(W482="","",ROUND((VLOOKUP(ROUNDDOWN($D482-1/frec,0),qx_tabla,2,FALSE)*(1+i/frec)^-0.5*(1+Parámetros!$D$103)*(1+rec_fracc)/frec),6))</f>
        <v/>
      </c>
      <c r="AC482" s="66" t="str">
        <f t="shared" si="602"/>
        <v/>
      </c>
      <c r="AD482" s="119" t="str">
        <f t="shared" si="598"/>
        <v/>
      </c>
      <c r="AE482" s="66" t="str">
        <f>+IF($W482="","",ROUND(IF($B482&gt;Parámetros!$D$107,'Tablas Servicio'!AC482+('Tablas Servicio'!AG481-'Tablas Servicio'!AC481),AC482/(1-IF(B482&lt;=10,Parámetros!$D$104,Parámetros!$D$105))),2))</f>
        <v/>
      </c>
      <c r="AF482" s="66" t="str">
        <f>+IF($W482="","",ROUND(IF($B482&gt;Parámetros!$D$107,'Tablas Servicio'!AC482+('Tablas Servicio'!AG481-'Tablas Servicio'!AC481),(AC482+$A481/frec)/(1-IF(B482&lt;=Parámetros!$D$117,Parámetros!$D$100,0))),2))</f>
        <v/>
      </c>
      <c r="AG482" s="66" t="str">
        <f t="shared" si="603"/>
        <v/>
      </c>
      <c r="AH482" s="66" t="str">
        <f t="shared" si="604"/>
        <v/>
      </c>
      <c r="AI482" s="66" t="str">
        <f t="shared" si="605"/>
        <v/>
      </c>
      <c r="AJ482" s="66" t="str">
        <f>+IF($W482="","",ROUND((AG482*Parámetros!$G$85),2))</f>
        <v/>
      </c>
      <c r="AK482" s="66" t="str">
        <f>+IF($W482="","",ROUND((AG482*(Parámetros!$G$86)),2))</f>
        <v/>
      </c>
      <c r="AL482" s="66" t="str">
        <f t="shared" si="599"/>
        <v/>
      </c>
      <c r="AM482" t="str">
        <f t="shared" si="647"/>
        <v/>
      </c>
      <c r="AN482" t="str">
        <f t="shared" si="648"/>
        <v/>
      </c>
      <c r="AO482" s="118" t="str">
        <f t="shared" si="649"/>
        <v/>
      </c>
      <c r="AP482" s="118" t="str">
        <f t="shared" si="650"/>
        <v/>
      </c>
      <c r="AQ482" s="119" t="str">
        <f>+IF(OR($W482="",AO482=0),"",ROUND((VLOOKUP(ROUNDDOWN($D482-1/frec,0),cob_adi,Z$40,FALSE)*(1+i/frec)^-0.5*(1+Parámetros!$D$103)*(1+rec_fracc)/frec),6))</f>
        <v/>
      </c>
      <c r="AR482" s="66" t="str">
        <f t="shared" si="606"/>
        <v/>
      </c>
      <c r="AS482" s="119" t="str">
        <f t="shared" si="607"/>
        <v/>
      </c>
      <c r="AT482" s="66" t="str">
        <f>+IF($W482="","",ROUND(IF($B482&gt;Parámetros!$D$107,'Tablas Servicio'!AR482+('Tablas Servicio'!AT481-'Tablas Servicio'!AR481),AR482/(1-IF(B482&lt;=10,Parámetros!$D$100,0))),2))</f>
        <v/>
      </c>
      <c r="AU482" s="66" t="str">
        <f t="shared" si="608"/>
        <v/>
      </c>
      <c r="AV482" s="66" t="str">
        <f t="shared" si="608"/>
        <v/>
      </c>
      <c r="AW482" s="66" t="str">
        <f>+IF($W482="","",ROUND((AT482*Parámetros!$G$85),2))</f>
        <v/>
      </c>
      <c r="AX482" s="66" t="str">
        <f>+IF($W482="","",ROUND((AT482*(Parámetros!$G$86)),2))</f>
        <v/>
      </c>
      <c r="AY482" s="66" t="str">
        <f t="shared" si="609"/>
        <v/>
      </c>
      <c r="AZ482" t="str">
        <f t="shared" si="651"/>
        <v/>
      </c>
      <c r="BA482" t="str">
        <f t="shared" si="652"/>
        <v/>
      </c>
      <c r="BB482" s="118" t="str">
        <f t="shared" si="653"/>
        <v/>
      </c>
      <c r="BC482" s="118" t="str">
        <f t="shared" si="654"/>
        <v/>
      </c>
      <c r="BD482" s="119" t="str">
        <f>+IF(OR($W482="",BB482=0),"",ROUND((VLOOKUP(ROUNDDOWN($D482-1/frec,0),cob_adi,AO$40,FALSE)*(1+i/frec)^-0.5*(1+Parámetros!$D$103)*(1+rec_fracc)/frec),6))</f>
        <v/>
      </c>
      <c r="BE482" s="66" t="str">
        <f t="shared" si="610"/>
        <v/>
      </c>
      <c r="BF482" s="119" t="str">
        <f t="shared" si="611"/>
        <v/>
      </c>
      <c r="BG482" s="66" t="str">
        <f>+IF($W482="","",ROUND(IF($B482&gt;Parámetros!$D$107,'Tablas Servicio'!BE482+('Tablas Servicio'!BG481-'Tablas Servicio'!BE481),BE482/(1-IF(B482&lt;=10,Parámetros!$D$100,0))),2))</f>
        <v/>
      </c>
      <c r="BH482" s="66" t="str">
        <f t="shared" si="612"/>
        <v/>
      </c>
      <c r="BI482" s="66" t="str">
        <f t="shared" si="613"/>
        <v/>
      </c>
      <c r="BJ482" s="66" t="str">
        <f>+IF($W482="","",ROUND((BG482*Parámetros!$G$85),2))</f>
        <v/>
      </c>
      <c r="BK482" s="66" t="str">
        <f>+IF($W482="","",ROUND((BG482*(Parámetros!$G$86)),2))</f>
        <v/>
      </c>
      <c r="BL482" s="66" t="str">
        <f t="shared" si="614"/>
        <v/>
      </c>
      <c r="BM482" t="str">
        <f t="shared" si="655"/>
        <v/>
      </c>
      <c r="BN482" t="str">
        <f t="shared" si="656"/>
        <v/>
      </c>
      <c r="BO482" s="118" t="str">
        <f t="shared" si="657"/>
        <v/>
      </c>
      <c r="BP482" s="118" t="str">
        <f t="shared" si="658"/>
        <v/>
      </c>
      <c r="BQ482" s="119" t="str">
        <f>+IF(OR($W482="",BO482=0),"",ROUND((VLOOKUP(ROUNDDOWN($D482-1/frec,0),cob_adi,BB$40,FALSE)*(1+i/frec)^-0.5*(1+Parámetros!$D$103)*(1+rec_fracc)/frec),6))</f>
        <v/>
      </c>
      <c r="BR482" s="66" t="str">
        <f t="shared" si="615"/>
        <v/>
      </c>
      <c r="BS482" s="119" t="str">
        <f t="shared" si="616"/>
        <v/>
      </c>
      <c r="BT482" s="66" t="str">
        <f>+IF($W482="","",ROUND(IF($B482&gt;Parámetros!$D$107,'Tablas Servicio'!BR482+('Tablas Servicio'!BT481-'Tablas Servicio'!BR481),BR482/(1-IF(B482&lt;=10,Parámetros!$D$100,0))),2))</f>
        <v/>
      </c>
      <c r="BU482" s="66" t="str">
        <f t="shared" si="617"/>
        <v/>
      </c>
      <c r="BV482" s="66" t="str">
        <f t="shared" si="617"/>
        <v/>
      </c>
      <c r="BW482" s="66" t="str">
        <f>+IF($W482="","",ROUND((BT482*Parámetros!$G$85),2))</f>
        <v/>
      </c>
      <c r="BX482" s="66" t="str">
        <f>+IF($W482="","",ROUND((BT482*(Parámetros!$G$86)),2))</f>
        <v/>
      </c>
      <c r="BY482" s="66" t="str">
        <f t="shared" si="618"/>
        <v/>
      </c>
      <c r="BZ482" t="str">
        <f t="shared" si="659"/>
        <v/>
      </c>
      <c r="CA482" t="str">
        <f t="shared" si="660"/>
        <v/>
      </c>
      <c r="CB482" s="118" t="str">
        <f t="shared" si="661"/>
        <v/>
      </c>
      <c r="CC482" s="118" t="str">
        <f t="shared" si="662"/>
        <v/>
      </c>
      <c r="CD482" s="119" t="str">
        <f t="shared" si="619"/>
        <v/>
      </c>
      <c r="CE482" s="66" t="str">
        <f>+IF($W482="","",ROUND((VLOOKUP(ROUNDDOWN($D482-1/frec,0),cob_adi,BO$40,FALSE)*(1+i/frec)^-0.5*(1+Parámetros!$D$103)*(1+rec_fracc)/frec*'TABLAS ADI'!$BC$17),2))</f>
        <v/>
      </c>
      <c r="CF482" s="119" t="str">
        <f t="shared" si="620"/>
        <v/>
      </c>
      <c r="CG482" s="66" t="str">
        <f>+IF($W482="","",ROUND(IF($B482&gt;Parámetros!$D$107,'Tablas Servicio'!CE482+('Tablas Servicio'!CG481-'Tablas Servicio'!CE481),CE482/(1-IF(B482&lt;=10,Parámetros!$D$100,0))),2))</f>
        <v/>
      </c>
      <c r="CH482" s="66" t="str">
        <f t="shared" si="621"/>
        <v/>
      </c>
      <c r="CI482" s="66" t="str">
        <f t="shared" si="621"/>
        <v/>
      </c>
      <c r="CJ482" s="66" t="str">
        <f>+IF($W482="","",ROUND((CG482*Parámetros!$G$85),2))</f>
        <v/>
      </c>
      <c r="CK482" s="66" t="str">
        <f>+IF($W482="","",ROUND((CG482*(Parámetros!$G$86)),2))</f>
        <v/>
      </c>
      <c r="CL482" s="66" t="str">
        <f t="shared" si="622"/>
        <v/>
      </c>
      <c r="CM482" t="str">
        <f t="shared" si="663"/>
        <v/>
      </c>
      <c r="CN482" s="118" t="str">
        <f t="shared" si="664"/>
        <v/>
      </c>
      <c r="CO482" s="118" t="str">
        <f t="shared" si="665"/>
        <v/>
      </c>
      <c r="CP482" s="118" t="str">
        <f t="shared" si="666"/>
        <v/>
      </c>
      <c r="CQ482" s="119" t="str">
        <f t="shared" si="623"/>
        <v/>
      </c>
      <c r="CR482" s="66" t="str">
        <f>+IF($W482="","",ROUND((VLOOKUP(Parámetros!$F$51,'COBERTURAS ADICIONALES'!$S$4:$T$32,2,FALSE)*(1+i/frec)^-0.5*(1+Parámetros!$D$103)*(1+rec_fracc)/frec*$CO$42),2))</f>
        <v/>
      </c>
      <c r="CS482" s="119" t="str">
        <f t="shared" si="624"/>
        <v/>
      </c>
      <c r="CT482" s="66" t="str">
        <f>+IF($W482="","",ROUND(IF($B482&gt;Parámetros!$D$107,'Tablas Servicio'!CR482+('Tablas Servicio'!CT481-'Tablas Servicio'!CR481),CR482/(1-IF(B482&lt;=10,Parámetros!$D$100,0))),2))</f>
        <v/>
      </c>
      <c r="CU482" s="66" t="str">
        <f t="shared" si="625"/>
        <v/>
      </c>
      <c r="CV482" s="66" t="str">
        <f t="shared" si="625"/>
        <v/>
      </c>
      <c r="CW482" s="66" t="str">
        <f>+IF($W482="","",ROUND((CT482*Parámetros!$G$85),2))</f>
        <v/>
      </c>
      <c r="CX482" s="66" t="str">
        <f>+IF($W482="","",ROUND((CT482*(Parámetros!$G$86)),2))</f>
        <v/>
      </c>
      <c r="CY482" s="66" t="str">
        <f t="shared" si="626"/>
        <v/>
      </c>
      <c r="CZ482" t="str">
        <f t="shared" si="667"/>
        <v/>
      </c>
      <c r="DA482" s="118" t="str">
        <f t="shared" si="668"/>
        <v/>
      </c>
      <c r="DB482" s="118" t="str">
        <f t="shared" si="669"/>
        <v/>
      </c>
      <c r="DC482" s="118" t="str">
        <f t="shared" si="670"/>
        <v/>
      </c>
      <c r="DD482" s="121" t="str">
        <f>+IF(OR($W482="",DB482=0),"",ROUND((VLOOKUP(ROUNDDOWN($D482-1/frec,0),cob_adi,CO$40,FALSE)*(1+i/frec)^-0.5*(1+Parámetros!$D$103)*(1+rec_fracc)/frec),6))</f>
        <v/>
      </c>
      <c r="DE482" s="66" t="str">
        <f t="shared" si="627"/>
        <v/>
      </c>
      <c r="DF482" s="119" t="str">
        <f t="shared" si="628"/>
        <v/>
      </c>
      <c r="DG482" s="66" t="str">
        <f>+IF($W482="","",ROUND(IF($B482&gt;Parámetros!$D$107,'Tablas Servicio'!DE482+('Tablas Servicio'!DG481-'Tablas Servicio'!DE481),DE482/(1-IF(B482&lt;=10,Parámetros!$D$100,0))),2))</f>
        <v/>
      </c>
      <c r="DH482" s="66" t="str">
        <f t="shared" si="629"/>
        <v/>
      </c>
      <c r="DI482" s="66" t="str">
        <f t="shared" si="629"/>
        <v/>
      </c>
      <c r="DJ482" s="66" t="str">
        <f>+IF($W482="","",ROUND((DG482*Parámetros!$G$85),2))</f>
        <v/>
      </c>
      <c r="DK482" s="66" t="str">
        <f>+IF($W482="","",ROUND((DG482*(Parámetros!$G$86)),2))</f>
        <v/>
      </c>
      <c r="DL482" s="66" t="str">
        <f t="shared" si="630"/>
        <v/>
      </c>
      <c r="DM482" t="str">
        <f t="shared" si="671"/>
        <v/>
      </c>
      <c r="DN482" s="118" t="str">
        <f t="shared" si="672"/>
        <v/>
      </c>
      <c r="DO482" s="118" t="str">
        <f t="shared" si="673"/>
        <v/>
      </c>
      <c r="DP482" s="118" t="str">
        <f t="shared" si="674"/>
        <v/>
      </c>
      <c r="DQ482" s="122" t="str">
        <f>+IF(OR($W482="",DO482=0),"",ROUND((VLOOKUP(ROUNDDOWN($D482-1/frec,0),cob_adi,DB$40,FALSE)*(1+i/frec)^-0.5*(1+Parámetros!$D$103)*(1+rec_fracc)/frec),6))</f>
        <v/>
      </c>
      <c r="DR482" s="66" t="str">
        <f t="shared" si="631"/>
        <v/>
      </c>
      <c r="DS482" s="68" t="str">
        <f t="shared" si="632"/>
        <v/>
      </c>
      <c r="DT482" s="66" t="str">
        <f>+IF($W482="","",ROUND(IF($B482&gt;Parámetros!$D$107,'Tablas Servicio'!DR482+('Tablas Servicio'!DT481-'Tablas Servicio'!DR481),DR482/(1-IF(B482&lt;=10,Parámetros!$D$100,0))),2))</f>
        <v/>
      </c>
      <c r="DU482" s="66" t="str">
        <f t="shared" si="633"/>
        <v/>
      </c>
      <c r="DV482" s="66" t="str">
        <f t="shared" si="633"/>
        <v/>
      </c>
      <c r="DW482" s="66" t="str">
        <f>+IF($W482="","",ROUND((DT482*Parámetros!$G$85),2))</f>
        <v/>
      </c>
      <c r="DX482" s="66" t="str">
        <f>+IF($W482="","",ROUND((DT482*(Parámetros!$G$86)),2))</f>
        <v/>
      </c>
      <c r="DY482" s="66" t="str">
        <f t="shared" si="634"/>
        <v/>
      </c>
      <c r="DZ482" t="str">
        <f t="shared" si="677"/>
        <v/>
      </c>
      <c r="EA482" s="118" t="str">
        <f t="shared" si="677"/>
        <v/>
      </c>
      <c r="EB482" s="118" t="str">
        <f>+IF($W482="","",ROUND(IF(Parámetros!$D$25='TABLAS MORT'!$V$33,EB481,Z482/2),0))</f>
        <v/>
      </c>
      <c r="EC482" s="118" t="str">
        <f t="shared" si="677"/>
        <v/>
      </c>
      <c r="ED482" s="122" t="str">
        <f>+IF(OR($W482="",EB482=0),"",ROUND((VLOOKUP(ROUNDDOWN($D482-1/frec,0),cob_adi,DO$40,FALSE)*(1+i/frec)^-0.5*(1+Parámetros!$D$103)*(1+rec_fracc)/frec),6))</f>
        <v/>
      </c>
      <c r="EE482" s="66" t="str">
        <f t="shared" si="636"/>
        <v/>
      </c>
      <c r="EF482" s="68" t="str">
        <f t="shared" si="637"/>
        <v/>
      </c>
      <c r="EG482" s="66" t="str">
        <f>+IF($W482="","",ROUND(IF($B482&gt;Parámetros!$D$107,'Tablas Servicio'!EE482+('Tablas Servicio'!EG481-'Tablas Servicio'!EE481),EE482/(1-IF(B482&lt;=10,Parámetros!$D$100,0))),2))</f>
        <v/>
      </c>
      <c r="EH482" s="66" t="str">
        <f t="shared" si="638"/>
        <v/>
      </c>
      <c r="EI482" s="66" t="str">
        <f t="shared" si="638"/>
        <v/>
      </c>
      <c r="EJ482" s="66" t="str">
        <f>+IF($W482="","",ROUND((EG482*Parámetros!$G$85),2))</f>
        <v/>
      </c>
      <c r="EK482" s="66" t="str">
        <f>+IF($W482="","",ROUND((EG482*(Parámetros!$G$86)),2))</f>
        <v/>
      </c>
      <c r="EL482" s="66" t="str">
        <f t="shared" si="639"/>
        <v/>
      </c>
    </row>
    <row r="483" spans="1:142" x14ac:dyDescent="0.25">
      <c r="A483" t="str">
        <f>+IF($C483="","",ROUND(VLOOKUP('Tablas Servicio'!B483,Parámetros!$H$100:$J$159,IF(Parámetros!$E$16="F",2,3),FALSE),2))</f>
        <v/>
      </c>
      <c r="B483" t="str">
        <f t="shared" si="590"/>
        <v/>
      </c>
      <c r="C483" s="57" t="str">
        <f>+IF(D483="","",'Tablas Servicio'!C482+1)</f>
        <v/>
      </c>
      <c r="D483" s="56" t="str">
        <f>+IF(D482&lt;edadmaxtabla,D482+1/Parámetros!$E$25,"")</f>
        <v/>
      </c>
      <c r="E483" s="57" t="str">
        <f t="shared" si="600"/>
        <v/>
      </c>
      <c r="F483" s="59" t="str">
        <f t="shared" si="601"/>
        <v/>
      </c>
      <c r="G483" s="66" t="str">
        <f t="shared" si="591"/>
        <v/>
      </c>
      <c r="H483" s="66" t="str">
        <f t="shared" si="592"/>
        <v/>
      </c>
      <c r="I483" s="66" t="str">
        <f t="shared" si="640"/>
        <v/>
      </c>
      <c r="J483" s="66" t="str">
        <f t="shared" si="593"/>
        <v/>
      </c>
      <c r="K483" s="66" t="str">
        <f t="shared" si="594"/>
        <v/>
      </c>
      <c r="L483" s="66" t="str">
        <f t="shared" si="595"/>
        <v/>
      </c>
      <c r="M483" s="66" t="str">
        <f t="shared" si="596"/>
        <v/>
      </c>
      <c r="N483" s="66" t="str">
        <f>+IF(C483="","",ROUND(Parámetros!$D$23,2))</f>
        <v/>
      </c>
      <c r="O483" s="66" t="str">
        <f t="shared" si="597"/>
        <v/>
      </c>
      <c r="P483" s="66" t="str">
        <f>+IF($C483="","",ROUND(IF(B483&gt;Parámetros!$D$117,0,N483*Parámetros!$D$116-G483*Parámetros!$D$100),2))</f>
        <v/>
      </c>
      <c r="Q483" s="75" t="str">
        <f t="shared" si="641"/>
        <v/>
      </c>
      <c r="R483" s="75" t="str">
        <f t="shared" si="642"/>
        <v/>
      </c>
      <c r="S483" s="117" t="str">
        <f>+IF($C483="","",ROUND((S482+I483)*(1+Parámetros!$D$91),2))</f>
        <v/>
      </c>
      <c r="T483" s="117" t="str">
        <f>+IF($C483="","",ROUND(S483*VLOOKUP(B483,Parámetros!$C$30:$D$39,2,TRUE),2))</f>
        <v/>
      </c>
      <c r="U483" s="117" t="str">
        <f>+IF($C483="","",ROUND((U482+I483)*(1+Parámetros!$D$92),2))</f>
        <v/>
      </c>
      <c r="V483" s="117" t="str">
        <f>+IF($C483="","",ROUND(U483*VLOOKUP(B483,Parámetros!$C$30:$D$39,2,TRUE),2))</f>
        <v/>
      </c>
      <c r="W483" s="57" t="str">
        <f t="shared" si="643"/>
        <v/>
      </c>
      <c r="X483" t="str">
        <f t="shared" si="644"/>
        <v/>
      </c>
      <c r="Y483" t="str">
        <f t="shared" si="645"/>
        <v/>
      </c>
      <c r="Z483" s="118" t="str">
        <f>+IF($W483="","",ROUND(IF(Parámetros!$D$25='TABLAS MORT'!$V$33,Z482,Parámetros!$D$21-'Tablas Servicio'!T482),0))</f>
        <v/>
      </c>
      <c r="AA483" s="118" t="str">
        <f t="shared" si="646"/>
        <v/>
      </c>
      <c r="AB483" s="119" t="str">
        <f>+IF(W483="","",ROUND((VLOOKUP(ROUNDDOWN($D483-1/frec,0),qx_tabla,2,FALSE)*(1+i/frec)^-0.5*(1+Parámetros!$D$103)*(1+rec_fracc)/frec),6))</f>
        <v/>
      </c>
      <c r="AC483" s="66" t="str">
        <f t="shared" si="602"/>
        <v/>
      </c>
      <c r="AD483" s="119" t="str">
        <f t="shared" si="598"/>
        <v/>
      </c>
      <c r="AE483" s="66" t="str">
        <f>+IF($W483="","",ROUND(IF($B483&gt;Parámetros!$D$107,'Tablas Servicio'!AC483+('Tablas Servicio'!AG482-'Tablas Servicio'!AC482),AC483/(1-IF(B483&lt;=10,Parámetros!$D$104,Parámetros!$D$105))),2))</f>
        <v/>
      </c>
      <c r="AF483" s="66" t="str">
        <f>+IF($W483="","",ROUND(IF($B483&gt;Parámetros!$D$107,'Tablas Servicio'!AC483+('Tablas Servicio'!AG482-'Tablas Servicio'!AC482),(AC483+$A482/frec)/(1-IF(B483&lt;=Parámetros!$D$117,Parámetros!$D$100,0))),2))</f>
        <v/>
      </c>
      <c r="AG483" s="66" t="str">
        <f t="shared" si="603"/>
        <v/>
      </c>
      <c r="AH483" s="66" t="str">
        <f t="shared" si="604"/>
        <v/>
      </c>
      <c r="AI483" s="66" t="str">
        <f t="shared" si="605"/>
        <v/>
      </c>
      <c r="AJ483" s="66" t="str">
        <f>+IF($W483="","",ROUND((AG483*Parámetros!$G$85),2))</f>
        <v/>
      </c>
      <c r="AK483" s="66" t="str">
        <f>+IF($W483="","",ROUND((AG483*(Parámetros!$G$86)),2))</f>
        <v/>
      </c>
      <c r="AL483" s="66" t="str">
        <f t="shared" si="599"/>
        <v/>
      </c>
      <c r="AM483" t="str">
        <f t="shared" si="647"/>
        <v/>
      </c>
      <c r="AN483" t="str">
        <f t="shared" si="648"/>
        <v/>
      </c>
      <c r="AO483" s="118" t="str">
        <f t="shared" si="649"/>
        <v/>
      </c>
      <c r="AP483" s="118" t="str">
        <f t="shared" si="650"/>
        <v/>
      </c>
      <c r="AQ483" s="119" t="str">
        <f>+IF(OR($W483="",AO483=0),"",ROUND((VLOOKUP(ROUNDDOWN($D483-1/frec,0),cob_adi,Z$40,FALSE)*(1+i/frec)^-0.5*(1+Parámetros!$D$103)*(1+rec_fracc)/frec),6))</f>
        <v/>
      </c>
      <c r="AR483" s="66" t="str">
        <f t="shared" si="606"/>
        <v/>
      </c>
      <c r="AS483" s="119" t="str">
        <f t="shared" si="607"/>
        <v/>
      </c>
      <c r="AT483" s="66" t="str">
        <f>+IF($W483="","",ROUND(IF($B483&gt;Parámetros!$D$107,'Tablas Servicio'!AR483+('Tablas Servicio'!AT482-'Tablas Servicio'!AR482),AR483/(1-IF(B483&lt;=10,Parámetros!$D$100,0))),2))</f>
        <v/>
      </c>
      <c r="AU483" s="66" t="str">
        <f t="shared" si="608"/>
        <v/>
      </c>
      <c r="AV483" s="66" t="str">
        <f t="shared" si="608"/>
        <v/>
      </c>
      <c r="AW483" s="66" t="str">
        <f>+IF($W483="","",ROUND((AT483*Parámetros!$G$85),2))</f>
        <v/>
      </c>
      <c r="AX483" s="66" t="str">
        <f>+IF($W483="","",ROUND((AT483*(Parámetros!$G$86)),2))</f>
        <v/>
      </c>
      <c r="AY483" s="66" t="str">
        <f t="shared" si="609"/>
        <v/>
      </c>
      <c r="AZ483" t="str">
        <f t="shared" si="651"/>
        <v/>
      </c>
      <c r="BA483" t="str">
        <f t="shared" si="652"/>
        <v/>
      </c>
      <c r="BB483" s="118" t="str">
        <f t="shared" si="653"/>
        <v/>
      </c>
      <c r="BC483" s="118" t="str">
        <f t="shared" si="654"/>
        <v/>
      </c>
      <c r="BD483" s="119" t="str">
        <f>+IF(OR($W483="",BB483=0),"",ROUND((VLOOKUP(ROUNDDOWN($D483-1/frec,0),cob_adi,AO$40,FALSE)*(1+i/frec)^-0.5*(1+Parámetros!$D$103)*(1+rec_fracc)/frec),6))</f>
        <v/>
      </c>
      <c r="BE483" s="66" t="str">
        <f t="shared" si="610"/>
        <v/>
      </c>
      <c r="BF483" s="119" t="str">
        <f t="shared" si="611"/>
        <v/>
      </c>
      <c r="BG483" s="66" t="str">
        <f>+IF($W483="","",ROUND(IF($B483&gt;Parámetros!$D$107,'Tablas Servicio'!BE483+('Tablas Servicio'!BG482-'Tablas Servicio'!BE482),BE483/(1-IF(B483&lt;=10,Parámetros!$D$100,0))),2))</f>
        <v/>
      </c>
      <c r="BH483" s="66" t="str">
        <f t="shared" si="612"/>
        <v/>
      </c>
      <c r="BI483" s="66" t="str">
        <f t="shared" si="613"/>
        <v/>
      </c>
      <c r="BJ483" s="66" t="str">
        <f>+IF($W483="","",ROUND((BG483*Parámetros!$G$85),2))</f>
        <v/>
      </c>
      <c r="BK483" s="66" t="str">
        <f>+IF($W483="","",ROUND((BG483*(Parámetros!$G$86)),2))</f>
        <v/>
      </c>
      <c r="BL483" s="66" t="str">
        <f t="shared" si="614"/>
        <v/>
      </c>
      <c r="BM483" t="str">
        <f t="shared" si="655"/>
        <v/>
      </c>
      <c r="BN483" t="str">
        <f t="shared" si="656"/>
        <v/>
      </c>
      <c r="BO483" s="118" t="str">
        <f t="shared" si="657"/>
        <v/>
      </c>
      <c r="BP483" s="118" t="str">
        <f t="shared" si="658"/>
        <v/>
      </c>
      <c r="BQ483" s="119" t="str">
        <f>+IF(OR($W483="",BO483=0),"",ROUND((VLOOKUP(ROUNDDOWN($D483-1/frec,0),cob_adi,BB$40,FALSE)*(1+i/frec)^-0.5*(1+Parámetros!$D$103)*(1+rec_fracc)/frec),6))</f>
        <v/>
      </c>
      <c r="BR483" s="66" t="str">
        <f t="shared" si="615"/>
        <v/>
      </c>
      <c r="BS483" s="119" t="str">
        <f t="shared" si="616"/>
        <v/>
      </c>
      <c r="BT483" s="66" t="str">
        <f>+IF($W483="","",ROUND(IF($B483&gt;Parámetros!$D$107,'Tablas Servicio'!BR483+('Tablas Servicio'!BT482-'Tablas Servicio'!BR482),BR483/(1-IF(B483&lt;=10,Parámetros!$D$100,0))),2))</f>
        <v/>
      </c>
      <c r="BU483" s="66" t="str">
        <f t="shared" si="617"/>
        <v/>
      </c>
      <c r="BV483" s="66" t="str">
        <f t="shared" si="617"/>
        <v/>
      </c>
      <c r="BW483" s="66" t="str">
        <f>+IF($W483="","",ROUND((BT483*Parámetros!$G$85),2))</f>
        <v/>
      </c>
      <c r="BX483" s="66" t="str">
        <f>+IF($W483="","",ROUND((BT483*(Parámetros!$G$86)),2))</f>
        <v/>
      </c>
      <c r="BY483" s="66" t="str">
        <f t="shared" si="618"/>
        <v/>
      </c>
      <c r="BZ483" t="str">
        <f t="shared" si="659"/>
        <v/>
      </c>
      <c r="CA483" t="str">
        <f t="shared" si="660"/>
        <v/>
      </c>
      <c r="CB483" s="118" t="str">
        <f t="shared" si="661"/>
        <v/>
      </c>
      <c r="CC483" s="118" t="str">
        <f t="shared" si="662"/>
        <v/>
      </c>
      <c r="CD483" s="119" t="str">
        <f t="shared" si="619"/>
        <v/>
      </c>
      <c r="CE483" s="66" t="str">
        <f>+IF($W483="","",ROUND((VLOOKUP(ROUNDDOWN($D483-1/frec,0),cob_adi,BO$40,FALSE)*(1+i/frec)^-0.5*(1+Parámetros!$D$103)*(1+rec_fracc)/frec*'TABLAS ADI'!$BC$17),2))</f>
        <v/>
      </c>
      <c r="CF483" s="119" t="str">
        <f t="shared" si="620"/>
        <v/>
      </c>
      <c r="CG483" s="66" t="str">
        <f>+IF($W483="","",ROUND(IF($B483&gt;Parámetros!$D$107,'Tablas Servicio'!CE483+('Tablas Servicio'!CG482-'Tablas Servicio'!CE482),CE483/(1-IF(B483&lt;=10,Parámetros!$D$100,0))),2))</f>
        <v/>
      </c>
      <c r="CH483" s="66" t="str">
        <f t="shared" si="621"/>
        <v/>
      </c>
      <c r="CI483" s="66" t="str">
        <f t="shared" si="621"/>
        <v/>
      </c>
      <c r="CJ483" s="66" t="str">
        <f>+IF($W483="","",ROUND((CG483*Parámetros!$G$85),2))</f>
        <v/>
      </c>
      <c r="CK483" s="66" t="str">
        <f>+IF($W483="","",ROUND((CG483*(Parámetros!$G$86)),2))</f>
        <v/>
      </c>
      <c r="CL483" s="66" t="str">
        <f t="shared" si="622"/>
        <v/>
      </c>
      <c r="CM483" t="str">
        <f t="shared" si="663"/>
        <v/>
      </c>
      <c r="CN483" s="118" t="str">
        <f t="shared" si="664"/>
        <v/>
      </c>
      <c r="CO483" s="118" t="str">
        <f t="shared" si="665"/>
        <v/>
      </c>
      <c r="CP483" s="118" t="str">
        <f t="shared" si="666"/>
        <v/>
      </c>
      <c r="CQ483" s="119" t="str">
        <f t="shared" si="623"/>
        <v/>
      </c>
      <c r="CR483" s="66" t="str">
        <f>+IF($W483="","",ROUND((VLOOKUP(Parámetros!$F$51,'COBERTURAS ADICIONALES'!$S$4:$T$32,2,FALSE)*(1+i/frec)^-0.5*(1+Parámetros!$D$103)*(1+rec_fracc)/frec*$CO$42),2))</f>
        <v/>
      </c>
      <c r="CS483" s="119" t="str">
        <f t="shared" si="624"/>
        <v/>
      </c>
      <c r="CT483" s="66" t="str">
        <f>+IF($W483="","",ROUND(IF($B483&gt;Parámetros!$D$107,'Tablas Servicio'!CR483+('Tablas Servicio'!CT482-'Tablas Servicio'!CR482),CR483/(1-IF(B483&lt;=10,Parámetros!$D$100,0))),2))</f>
        <v/>
      </c>
      <c r="CU483" s="66" t="str">
        <f t="shared" si="625"/>
        <v/>
      </c>
      <c r="CV483" s="66" t="str">
        <f t="shared" si="625"/>
        <v/>
      </c>
      <c r="CW483" s="66" t="str">
        <f>+IF($W483="","",ROUND((CT483*Parámetros!$G$85),2))</f>
        <v/>
      </c>
      <c r="CX483" s="66" t="str">
        <f>+IF($W483="","",ROUND((CT483*(Parámetros!$G$86)),2))</f>
        <v/>
      </c>
      <c r="CY483" s="66" t="str">
        <f t="shared" si="626"/>
        <v/>
      </c>
      <c r="CZ483" t="str">
        <f t="shared" si="667"/>
        <v/>
      </c>
      <c r="DA483" s="118" t="str">
        <f t="shared" si="668"/>
        <v/>
      </c>
      <c r="DB483" s="118" t="str">
        <f t="shared" si="669"/>
        <v/>
      </c>
      <c r="DC483" s="118" t="str">
        <f t="shared" si="670"/>
        <v/>
      </c>
      <c r="DD483" s="121" t="str">
        <f>+IF(OR($W483="",DB483=0),"",ROUND((VLOOKUP(ROUNDDOWN($D483-1/frec,0),cob_adi,CO$40,FALSE)*(1+i/frec)^-0.5*(1+Parámetros!$D$103)*(1+rec_fracc)/frec),6))</f>
        <v/>
      </c>
      <c r="DE483" s="66" t="str">
        <f t="shared" si="627"/>
        <v/>
      </c>
      <c r="DF483" s="119" t="str">
        <f t="shared" si="628"/>
        <v/>
      </c>
      <c r="DG483" s="66" t="str">
        <f>+IF($W483="","",ROUND(IF($B483&gt;Parámetros!$D$107,'Tablas Servicio'!DE483+('Tablas Servicio'!DG482-'Tablas Servicio'!DE482),DE483/(1-IF(B483&lt;=10,Parámetros!$D$100,0))),2))</f>
        <v/>
      </c>
      <c r="DH483" s="66" t="str">
        <f t="shared" si="629"/>
        <v/>
      </c>
      <c r="DI483" s="66" t="str">
        <f t="shared" si="629"/>
        <v/>
      </c>
      <c r="DJ483" s="66" t="str">
        <f>+IF($W483="","",ROUND((DG483*Parámetros!$G$85),2))</f>
        <v/>
      </c>
      <c r="DK483" s="66" t="str">
        <f>+IF($W483="","",ROUND((DG483*(Parámetros!$G$86)),2))</f>
        <v/>
      </c>
      <c r="DL483" s="66" t="str">
        <f t="shared" si="630"/>
        <v/>
      </c>
      <c r="DM483" t="str">
        <f t="shared" si="671"/>
        <v/>
      </c>
      <c r="DN483" s="118" t="str">
        <f t="shared" si="672"/>
        <v/>
      </c>
      <c r="DO483" s="118" t="str">
        <f t="shared" si="673"/>
        <v/>
      </c>
      <c r="DP483" s="118" t="str">
        <f t="shared" si="674"/>
        <v/>
      </c>
      <c r="DQ483" s="122" t="str">
        <f>+IF(OR($W483="",DO483=0),"",ROUND((VLOOKUP(ROUNDDOWN($D483-1/frec,0),cob_adi,DB$40,FALSE)*(1+i/frec)^-0.5*(1+Parámetros!$D$103)*(1+rec_fracc)/frec),6))</f>
        <v/>
      </c>
      <c r="DR483" s="66" t="str">
        <f t="shared" si="631"/>
        <v/>
      </c>
      <c r="DS483" s="68" t="str">
        <f t="shared" si="632"/>
        <v/>
      </c>
      <c r="DT483" s="66" t="str">
        <f>+IF($W483="","",ROUND(IF($B483&gt;Parámetros!$D$107,'Tablas Servicio'!DR483+('Tablas Servicio'!DT482-'Tablas Servicio'!DR482),DR483/(1-IF(B483&lt;=10,Parámetros!$D$100,0))),2))</f>
        <v/>
      </c>
      <c r="DU483" s="66" t="str">
        <f t="shared" si="633"/>
        <v/>
      </c>
      <c r="DV483" s="66" t="str">
        <f t="shared" si="633"/>
        <v/>
      </c>
      <c r="DW483" s="66" t="str">
        <f>+IF($W483="","",ROUND((DT483*Parámetros!$G$85),2))</f>
        <v/>
      </c>
      <c r="DX483" s="66" t="str">
        <f>+IF($W483="","",ROUND((DT483*(Parámetros!$G$86)),2))</f>
        <v/>
      </c>
      <c r="DY483" s="66" t="str">
        <f t="shared" si="634"/>
        <v/>
      </c>
      <c r="DZ483" t="str">
        <f t="shared" si="677"/>
        <v/>
      </c>
      <c r="EA483" s="118" t="str">
        <f t="shared" si="677"/>
        <v/>
      </c>
      <c r="EB483" s="118" t="str">
        <f>+IF($W483="","",ROUND(IF(Parámetros!$D$25='TABLAS MORT'!$V$33,EB482,Z483/2),0))</f>
        <v/>
      </c>
      <c r="EC483" s="118" t="str">
        <f t="shared" si="677"/>
        <v/>
      </c>
      <c r="ED483" s="122" t="str">
        <f>+IF(OR($W483="",EB483=0),"",ROUND((VLOOKUP(ROUNDDOWN($D483-1/frec,0),cob_adi,DO$40,FALSE)*(1+i/frec)^-0.5*(1+Parámetros!$D$103)*(1+rec_fracc)/frec),6))</f>
        <v/>
      </c>
      <c r="EE483" s="66" t="str">
        <f t="shared" si="636"/>
        <v/>
      </c>
      <c r="EF483" s="68" t="str">
        <f t="shared" si="637"/>
        <v/>
      </c>
      <c r="EG483" s="66" t="str">
        <f>+IF($W483="","",ROUND(IF($B483&gt;Parámetros!$D$107,'Tablas Servicio'!EE483+('Tablas Servicio'!EG482-'Tablas Servicio'!EE482),EE483/(1-IF(B483&lt;=10,Parámetros!$D$100,0))),2))</f>
        <v/>
      </c>
      <c r="EH483" s="66" t="str">
        <f t="shared" si="638"/>
        <v/>
      </c>
      <c r="EI483" s="66" t="str">
        <f t="shared" si="638"/>
        <v/>
      </c>
      <c r="EJ483" s="66" t="str">
        <f>+IF($W483="","",ROUND((EG483*Parámetros!$G$85),2))</f>
        <v/>
      </c>
      <c r="EK483" s="66" t="str">
        <f>+IF($W483="","",ROUND((EG483*(Parámetros!$G$86)),2))</f>
        <v/>
      </c>
      <c r="EL483" s="66" t="str">
        <f t="shared" si="639"/>
        <v/>
      </c>
    </row>
    <row r="484" spans="1:142" x14ac:dyDescent="0.25">
      <c r="A484" t="str">
        <f>+IF($C484="","",ROUND(VLOOKUP('Tablas Servicio'!B484,Parámetros!$H$100:$J$159,IF(Parámetros!$E$16="F",2,3),FALSE),2))</f>
        <v/>
      </c>
      <c r="B484" t="str">
        <f t="shared" si="590"/>
        <v/>
      </c>
      <c r="C484" s="57" t="str">
        <f>+IF(D484="","",'Tablas Servicio'!C483+1)</f>
        <v/>
      </c>
      <c r="D484" s="56" t="str">
        <f>+IF(D483&lt;edadmaxtabla,D483+1/Parámetros!$E$25,"")</f>
        <v/>
      </c>
      <c r="E484" s="57" t="str">
        <f t="shared" si="600"/>
        <v/>
      </c>
      <c r="F484" s="59" t="str">
        <f t="shared" si="601"/>
        <v/>
      </c>
      <c r="G484" s="66" t="str">
        <f t="shared" si="591"/>
        <v/>
      </c>
      <c r="H484" s="66" t="str">
        <f t="shared" si="592"/>
        <v/>
      </c>
      <c r="I484" s="66" t="str">
        <f t="shared" si="640"/>
        <v/>
      </c>
      <c r="J484" s="66" t="str">
        <f t="shared" si="593"/>
        <v/>
      </c>
      <c r="K484" s="66" t="str">
        <f t="shared" si="594"/>
        <v/>
      </c>
      <c r="L484" s="66" t="str">
        <f t="shared" si="595"/>
        <v/>
      </c>
      <c r="M484" s="66" t="str">
        <f t="shared" si="596"/>
        <v/>
      </c>
      <c r="N484" s="66" t="str">
        <f>+IF(C484="","",ROUND(Parámetros!$D$23,2))</f>
        <v/>
      </c>
      <c r="O484" s="66" t="str">
        <f t="shared" si="597"/>
        <v/>
      </c>
      <c r="P484" s="66" t="str">
        <f>+IF($C484="","",ROUND(IF(B484&gt;Parámetros!$D$117,0,N484*Parámetros!$D$116-G484*Parámetros!$D$100),2))</f>
        <v/>
      </c>
      <c r="Q484" s="75" t="str">
        <f t="shared" si="641"/>
        <v/>
      </c>
      <c r="R484" s="75" t="str">
        <f t="shared" si="642"/>
        <v/>
      </c>
      <c r="S484" s="117" t="str">
        <f>+IF($C484="","",ROUND((S483+I484)*(1+Parámetros!$D$91),2))</f>
        <v/>
      </c>
      <c r="T484" s="117" t="str">
        <f>+IF($C484="","",ROUND(S484*VLOOKUP(B484,Parámetros!$C$30:$D$39,2,TRUE),2))</f>
        <v/>
      </c>
      <c r="U484" s="117" t="str">
        <f>+IF($C484="","",ROUND((U483+I484)*(1+Parámetros!$D$92),2))</f>
        <v/>
      </c>
      <c r="V484" s="117" t="str">
        <f>+IF($C484="","",ROUND(U484*VLOOKUP(B484,Parámetros!$C$30:$D$39,2,TRUE),2))</f>
        <v/>
      </c>
      <c r="W484" s="57" t="str">
        <f t="shared" si="643"/>
        <v/>
      </c>
      <c r="X484" t="str">
        <f t="shared" si="644"/>
        <v/>
      </c>
      <c r="Y484" t="str">
        <f t="shared" si="645"/>
        <v/>
      </c>
      <c r="Z484" s="118" t="str">
        <f>+IF($W484="","",ROUND(IF(Parámetros!$D$25='TABLAS MORT'!$V$33,Z483,Parámetros!$D$21-'Tablas Servicio'!T483),0))</f>
        <v/>
      </c>
      <c r="AA484" s="118" t="str">
        <f t="shared" si="646"/>
        <v/>
      </c>
      <c r="AB484" s="119" t="str">
        <f>+IF(W484="","",ROUND((VLOOKUP(ROUNDDOWN($D484-1/frec,0),qx_tabla,2,FALSE)*(1+i/frec)^-0.5*(1+Parámetros!$D$103)*(1+rec_fracc)/frec),6))</f>
        <v/>
      </c>
      <c r="AC484" s="66" t="str">
        <f t="shared" si="602"/>
        <v/>
      </c>
      <c r="AD484" s="119" t="str">
        <f t="shared" si="598"/>
        <v/>
      </c>
      <c r="AE484" s="66" t="str">
        <f>+IF($W484="","",ROUND(IF($B484&gt;Parámetros!$D$107,'Tablas Servicio'!AC484+('Tablas Servicio'!AG483-'Tablas Servicio'!AC483),AC484/(1-IF(B484&lt;=10,Parámetros!$D$104,Parámetros!$D$105))),2))</f>
        <v/>
      </c>
      <c r="AF484" s="66" t="str">
        <f>+IF($W484="","",ROUND(IF($B484&gt;Parámetros!$D$107,'Tablas Servicio'!AC484+('Tablas Servicio'!AG483-'Tablas Servicio'!AC483),(AC484+$A483/frec)/(1-IF(B484&lt;=Parámetros!$D$117,Parámetros!$D$100,0))),2))</f>
        <v/>
      </c>
      <c r="AG484" s="66" t="str">
        <f t="shared" si="603"/>
        <v/>
      </c>
      <c r="AH484" s="66" t="str">
        <f t="shared" si="604"/>
        <v/>
      </c>
      <c r="AI484" s="66" t="str">
        <f t="shared" si="605"/>
        <v/>
      </c>
      <c r="AJ484" s="66" t="str">
        <f>+IF($W484="","",ROUND((AG484*Parámetros!$G$85),2))</f>
        <v/>
      </c>
      <c r="AK484" s="66" t="str">
        <f>+IF($W484="","",ROUND((AG484*(Parámetros!$G$86)),2))</f>
        <v/>
      </c>
      <c r="AL484" s="66" t="str">
        <f t="shared" si="599"/>
        <v/>
      </c>
      <c r="AM484" t="str">
        <f t="shared" si="647"/>
        <v/>
      </c>
      <c r="AN484" t="str">
        <f t="shared" si="648"/>
        <v/>
      </c>
      <c r="AO484" s="118" t="str">
        <f t="shared" si="649"/>
        <v/>
      </c>
      <c r="AP484" s="118" t="str">
        <f t="shared" si="650"/>
        <v/>
      </c>
      <c r="AQ484" s="119" t="str">
        <f>+IF(OR($W484="",AO484=0),"",ROUND((VLOOKUP(ROUNDDOWN($D484-1/frec,0),cob_adi,Z$40,FALSE)*(1+i/frec)^-0.5*(1+Parámetros!$D$103)*(1+rec_fracc)/frec),6))</f>
        <v/>
      </c>
      <c r="AR484" s="66" t="str">
        <f t="shared" si="606"/>
        <v/>
      </c>
      <c r="AS484" s="119" t="str">
        <f t="shared" si="607"/>
        <v/>
      </c>
      <c r="AT484" s="66" t="str">
        <f>+IF($W484="","",ROUND(IF($B484&gt;Parámetros!$D$107,'Tablas Servicio'!AR484+('Tablas Servicio'!AT483-'Tablas Servicio'!AR483),AR484/(1-IF(B484&lt;=10,Parámetros!$D$100,0))),2))</f>
        <v/>
      </c>
      <c r="AU484" s="66" t="str">
        <f t="shared" si="608"/>
        <v/>
      </c>
      <c r="AV484" s="66" t="str">
        <f t="shared" si="608"/>
        <v/>
      </c>
      <c r="AW484" s="66" t="str">
        <f>+IF($W484="","",ROUND((AT484*Parámetros!$G$85),2))</f>
        <v/>
      </c>
      <c r="AX484" s="66" t="str">
        <f>+IF($W484="","",ROUND((AT484*(Parámetros!$G$86)),2))</f>
        <v/>
      </c>
      <c r="AY484" s="66" t="str">
        <f t="shared" si="609"/>
        <v/>
      </c>
      <c r="AZ484" t="str">
        <f t="shared" si="651"/>
        <v/>
      </c>
      <c r="BA484" t="str">
        <f t="shared" si="652"/>
        <v/>
      </c>
      <c r="BB484" s="118" t="str">
        <f t="shared" si="653"/>
        <v/>
      </c>
      <c r="BC484" s="118" t="str">
        <f t="shared" si="654"/>
        <v/>
      </c>
      <c r="BD484" s="119" t="str">
        <f>+IF(OR($W484="",BB484=0),"",ROUND((VLOOKUP(ROUNDDOWN($D484-1/frec,0),cob_adi,AO$40,FALSE)*(1+i/frec)^-0.5*(1+Parámetros!$D$103)*(1+rec_fracc)/frec),6))</f>
        <v/>
      </c>
      <c r="BE484" s="66" t="str">
        <f t="shared" si="610"/>
        <v/>
      </c>
      <c r="BF484" s="119" t="str">
        <f t="shared" si="611"/>
        <v/>
      </c>
      <c r="BG484" s="66" t="str">
        <f>+IF($W484="","",ROUND(IF($B484&gt;Parámetros!$D$107,'Tablas Servicio'!BE484+('Tablas Servicio'!BG483-'Tablas Servicio'!BE483),BE484/(1-IF(B484&lt;=10,Parámetros!$D$100,0))),2))</f>
        <v/>
      </c>
      <c r="BH484" s="66" t="str">
        <f t="shared" si="612"/>
        <v/>
      </c>
      <c r="BI484" s="66" t="str">
        <f t="shared" si="613"/>
        <v/>
      </c>
      <c r="BJ484" s="66" t="str">
        <f>+IF($W484="","",ROUND((BG484*Parámetros!$G$85),2))</f>
        <v/>
      </c>
      <c r="BK484" s="66" t="str">
        <f>+IF($W484="","",ROUND((BG484*(Parámetros!$G$86)),2))</f>
        <v/>
      </c>
      <c r="BL484" s="66" t="str">
        <f t="shared" si="614"/>
        <v/>
      </c>
      <c r="BM484" t="str">
        <f t="shared" si="655"/>
        <v/>
      </c>
      <c r="BN484" t="str">
        <f t="shared" si="656"/>
        <v/>
      </c>
      <c r="BO484" s="118" t="str">
        <f t="shared" si="657"/>
        <v/>
      </c>
      <c r="BP484" s="118" t="str">
        <f t="shared" si="658"/>
        <v/>
      </c>
      <c r="BQ484" s="119" t="str">
        <f>+IF(OR($W484="",BO484=0),"",ROUND((VLOOKUP(ROUNDDOWN($D484-1/frec,0),cob_adi,BB$40,FALSE)*(1+i/frec)^-0.5*(1+Parámetros!$D$103)*(1+rec_fracc)/frec),6))</f>
        <v/>
      </c>
      <c r="BR484" s="66" t="str">
        <f t="shared" si="615"/>
        <v/>
      </c>
      <c r="BS484" s="119" t="str">
        <f t="shared" si="616"/>
        <v/>
      </c>
      <c r="BT484" s="66" t="str">
        <f>+IF($W484="","",ROUND(IF($B484&gt;Parámetros!$D$107,'Tablas Servicio'!BR484+('Tablas Servicio'!BT483-'Tablas Servicio'!BR483),BR484/(1-IF(B484&lt;=10,Parámetros!$D$100,0))),2))</f>
        <v/>
      </c>
      <c r="BU484" s="66" t="str">
        <f t="shared" si="617"/>
        <v/>
      </c>
      <c r="BV484" s="66" t="str">
        <f t="shared" si="617"/>
        <v/>
      </c>
      <c r="BW484" s="66" t="str">
        <f>+IF($W484="","",ROUND((BT484*Parámetros!$G$85),2))</f>
        <v/>
      </c>
      <c r="BX484" s="66" t="str">
        <f>+IF($W484="","",ROUND((BT484*(Parámetros!$G$86)),2))</f>
        <v/>
      </c>
      <c r="BY484" s="66" t="str">
        <f t="shared" si="618"/>
        <v/>
      </c>
      <c r="BZ484" t="str">
        <f t="shared" si="659"/>
        <v/>
      </c>
      <c r="CA484" t="str">
        <f t="shared" si="660"/>
        <v/>
      </c>
      <c r="CB484" s="118" t="str">
        <f t="shared" si="661"/>
        <v/>
      </c>
      <c r="CC484" s="118" t="str">
        <f t="shared" si="662"/>
        <v/>
      </c>
      <c r="CD484" s="119" t="str">
        <f t="shared" si="619"/>
        <v/>
      </c>
      <c r="CE484" s="66" t="str">
        <f>+IF($W484="","",ROUND((VLOOKUP(ROUNDDOWN($D484-1/frec,0),cob_adi,BO$40,FALSE)*(1+i/frec)^-0.5*(1+Parámetros!$D$103)*(1+rec_fracc)/frec*'TABLAS ADI'!$BC$17),2))</f>
        <v/>
      </c>
      <c r="CF484" s="119" t="str">
        <f t="shared" si="620"/>
        <v/>
      </c>
      <c r="CG484" s="66" t="str">
        <f>+IF($W484="","",ROUND(IF($B484&gt;Parámetros!$D$107,'Tablas Servicio'!CE484+('Tablas Servicio'!CG483-'Tablas Servicio'!CE483),CE484/(1-IF(B484&lt;=10,Parámetros!$D$100,0))),2))</f>
        <v/>
      </c>
      <c r="CH484" s="66" t="str">
        <f t="shared" si="621"/>
        <v/>
      </c>
      <c r="CI484" s="66" t="str">
        <f t="shared" si="621"/>
        <v/>
      </c>
      <c r="CJ484" s="66" t="str">
        <f>+IF($W484="","",ROUND((CG484*Parámetros!$G$85),2))</f>
        <v/>
      </c>
      <c r="CK484" s="66" t="str">
        <f>+IF($W484="","",ROUND((CG484*(Parámetros!$G$86)),2))</f>
        <v/>
      </c>
      <c r="CL484" s="66" t="str">
        <f t="shared" si="622"/>
        <v/>
      </c>
      <c r="CM484" t="str">
        <f t="shared" si="663"/>
        <v/>
      </c>
      <c r="CN484" s="118" t="str">
        <f t="shared" si="664"/>
        <v/>
      </c>
      <c r="CO484" s="118" t="str">
        <f t="shared" si="665"/>
        <v/>
      </c>
      <c r="CP484" s="118" t="str">
        <f t="shared" si="666"/>
        <v/>
      </c>
      <c r="CQ484" s="119" t="str">
        <f t="shared" si="623"/>
        <v/>
      </c>
      <c r="CR484" s="66" t="str">
        <f>+IF($W484="","",ROUND((VLOOKUP(Parámetros!$F$51,'COBERTURAS ADICIONALES'!$S$4:$T$32,2,FALSE)*(1+i/frec)^-0.5*(1+Parámetros!$D$103)*(1+rec_fracc)/frec*$CO$42),2))</f>
        <v/>
      </c>
      <c r="CS484" s="119" t="str">
        <f t="shared" si="624"/>
        <v/>
      </c>
      <c r="CT484" s="66" t="str">
        <f>+IF($W484="","",ROUND(IF($B484&gt;Parámetros!$D$107,'Tablas Servicio'!CR484+('Tablas Servicio'!CT483-'Tablas Servicio'!CR483),CR484/(1-IF(B484&lt;=10,Parámetros!$D$100,0))),2))</f>
        <v/>
      </c>
      <c r="CU484" s="66" t="str">
        <f t="shared" si="625"/>
        <v/>
      </c>
      <c r="CV484" s="66" t="str">
        <f t="shared" si="625"/>
        <v/>
      </c>
      <c r="CW484" s="66" t="str">
        <f>+IF($W484="","",ROUND((CT484*Parámetros!$G$85),2))</f>
        <v/>
      </c>
      <c r="CX484" s="66" t="str">
        <f>+IF($W484="","",ROUND((CT484*(Parámetros!$G$86)),2))</f>
        <v/>
      </c>
      <c r="CY484" s="66" t="str">
        <f t="shared" si="626"/>
        <v/>
      </c>
      <c r="CZ484" t="str">
        <f t="shared" si="667"/>
        <v/>
      </c>
      <c r="DA484" s="118" t="str">
        <f t="shared" si="668"/>
        <v/>
      </c>
      <c r="DB484" s="118" t="str">
        <f t="shared" si="669"/>
        <v/>
      </c>
      <c r="DC484" s="118" t="str">
        <f t="shared" si="670"/>
        <v/>
      </c>
      <c r="DD484" s="121" t="str">
        <f>+IF(OR($W484="",DB484=0),"",ROUND((VLOOKUP(ROUNDDOWN($D484-1/frec,0),cob_adi,CO$40,FALSE)*(1+i/frec)^-0.5*(1+Parámetros!$D$103)*(1+rec_fracc)/frec),6))</f>
        <v/>
      </c>
      <c r="DE484" s="66" t="str">
        <f t="shared" si="627"/>
        <v/>
      </c>
      <c r="DF484" s="119" t="str">
        <f t="shared" si="628"/>
        <v/>
      </c>
      <c r="DG484" s="66" t="str">
        <f>+IF($W484="","",ROUND(IF($B484&gt;Parámetros!$D$107,'Tablas Servicio'!DE484+('Tablas Servicio'!DG483-'Tablas Servicio'!DE483),DE484/(1-IF(B484&lt;=10,Parámetros!$D$100,0))),2))</f>
        <v/>
      </c>
      <c r="DH484" s="66" t="str">
        <f t="shared" si="629"/>
        <v/>
      </c>
      <c r="DI484" s="66" t="str">
        <f t="shared" si="629"/>
        <v/>
      </c>
      <c r="DJ484" s="66" t="str">
        <f>+IF($W484="","",ROUND((DG484*Parámetros!$G$85),2))</f>
        <v/>
      </c>
      <c r="DK484" s="66" t="str">
        <f>+IF($W484="","",ROUND((DG484*(Parámetros!$G$86)),2))</f>
        <v/>
      </c>
      <c r="DL484" s="66" t="str">
        <f t="shared" si="630"/>
        <v/>
      </c>
      <c r="DM484" t="str">
        <f t="shared" si="671"/>
        <v/>
      </c>
      <c r="DN484" s="118" t="str">
        <f t="shared" si="672"/>
        <v/>
      </c>
      <c r="DO484" s="118" t="str">
        <f t="shared" si="673"/>
        <v/>
      </c>
      <c r="DP484" s="118" t="str">
        <f t="shared" si="674"/>
        <v/>
      </c>
      <c r="DQ484" s="122" t="str">
        <f>+IF(OR($W484="",DO484=0),"",ROUND((VLOOKUP(ROUNDDOWN($D484-1/frec,0),cob_adi,DB$40,FALSE)*(1+i/frec)^-0.5*(1+Parámetros!$D$103)*(1+rec_fracc)/frec),6))</f>
        <v/>
      </c>
      <c r="DR484" s="66" t="str">
        <f t="shared" si="631"/>
        <v/>
      </c>
      <c r="DS484" s="68" t="str">
        <f t="shared" si="632"/>
        <v/>
      </c>
      <c r="DT484" s="66" t="str">
        <f>+IF($W484="","",ROUND(IF($B484&gt;Parámetros!$D$107,'Tablas Servicio'!DR484+('Tablas Servicio'!DT483-'Tablas Servicio'!DR483),DR484/(1-IF(B484&lt;=10,Parámetros!$D$100,0))),2))</f>
        <v/>
      </c>
      <c r="DU484" s="66" t="str">
        <f t="shared" si="633"/>
        <v/>
      </c>
      <c r="DV484" s="66" t="str">
        <f t="shared" si="633"/>
        <v/>
      </c>
      <c r="DW484" s="66" t="str">
        <f>+IF($W484="","",ROUND((DT484*Parámetros!$G$85),2))</f>
        <v/>
      </c>
      <c r="DX484" s="66" t="str">
        <f>+IF($W484="","",ROUND((DT484*(Parámetros!$G$86)),2))</f>
        <v/>
      </c>
      <c r="DY484" s="66" t="str">
        <f t="shared" si="634"/>
        <v/>
      </c>
      <c r="DZ484" t="str">
        <f t="shared" si="677"/>
        <v/>
      </c>
      <c r="EA484" s="118" t="str">
        <f t="shared" si="677"/>
        <v/>
      </c>
      <c r="EB484" s="118" t="str">
        <f>+IF($W484="","",ROUND(IF(Parámetros!$D$25='TABLAS MORT'!$V$33,EB483,Z484/2),0))</f>
        <v/>
      </c>
      <c r="EC484" s="118" t="str">
        <f t="shared" si="677"/>
        <v/>
      </c>
      <c r="ED484" s="122" t="str">
        <f>+IF(OR($W484="",EB484=0),"",ROUND((VLOOKUP(ROUNDDOWN($D484-1/frec,0),cob_adi,DO$40,FALSE)*(1+i/frec)^-0.5*(1+Parámetros!$D$103)*(1+rec_fracc)/frec),6))</f>
        <v/>
      </c>
      <c r="EE484" s="66" t="str">
        <f t="shared" si="636"/>
        <v/>
      </c>
      <c r="EF484" s="68" t="str">
        <f t="shared" si="637"/>
        <v/>
      </c>
      <c r="EG484" s="66" t="str">
        <f>+IF($W484="","",ROUND(IF($B484&gt;Parámetros!$D$107,'Tablas Servicio'!EE484+('Tablas Servicio'!EG483-'Tablas Servicio'!EE483),EE484/(1-IF(B484&lt;=10,Parámetros!$D$100,0))),2))</f>
        <v/>
      </c>
      <c r="EH484" s="66" t="str">
        <f t="shared" si="638"/>
        <v/>
      </c>
      <c r="EI484" s="66" t="str">
        <f t="shared" si="638"/>
        <v/>
      </c>
      <c r="EJ484" s="66" t="str">
        <f>+IF($W484="","",ROUND((EG484*Parámetros!$G$85),2))</f>
        <v/>
      </c>
      <c r="EK484" s="66" t="str">
        <f>+IF($W484="","",ROUND((EG484*(Parámetros!$G$86)),2))</f>
        <v/>
      </c>
      <c r="EL484" s="66" t="str">
        <f t="shared" si="639"/>
        <v/>
      </c>
    </row>
    <row r="485" spans="1:142" x14ac:dyDescent="0.25">
      <c r="A485" t="str">
        <f>+IF($C485="","",ROUND(VLOOKUP('Tablas Servicio'!B485,Parámetros!$H$100:$J$159,IF(Parámetros!$E$16="F",2,3),FALSE),2))</f>
        <v/>
      </c>
      <c r="B485" t="str">
        <f t="shared" si="590"/>
        <v/>
      </c>
      <c r="C485" s="57" t="str">
        <f>+IF(D485="","",'Tablas Servicio'!C484+1)</f>
        <v/>
      </c>
      <c r="D485" s="56" t="str">
        <f>+IF(D484&lt;edadmaxtabla,D484+1/Parámetros!$E$25,"")</f>
        <v/>
      </c>
      <c r="E485" s="57" t="str">
        <f t="shared" si="600"/>
        <v/>
      </c>
      <c r="F485" s="59" t="str">
        <f t="shared" si="601"/>
        <v/>
      </c>
      <c r="G485" s="66" t="str">
        <f t="shared" si="591"/>
        <v/>
      </c>
      <c r="H485" s="66" t="str">
        <f t="shared" si="592"/>
        <v/>
      </c>
      <c r="I485" s="66" t="str">
        <f t="shared" si="640"/>
        <v/>
      </c>
      <c r="J485" s="66" t="str">
        <f t="shared" si="593"/>
        <v/>
      </c>
      <c r="K485" s="66" t="str">
        <f t="shared" si="594"/>
        <v/>
      </c>
      <c r="L485" s="66" t="str">
        <f t="shared" si="595"/>
        <v/>
      </c>
      <c r="M485" s="66" t="str">
        <f t="shared" si="596"/>
        <v/>
      </c>
      <c r="N485" s="66" t="str">
        <f>+IF(C485="","",ROUND(Parámetros!$D$23,2))</f>
        <v/>
      </c>
      <c r="O485" s="66" t="str">
        <f t="shared" si="597"/>
        <v/>
      </c>
      <c r="P485" s="66" t="str">
        <f>+IF($C485="","",ROUND(IF(B485&gt;Parámetros!$D$117,0,N485*Parámetros!$D$116-G485*Parámetros!$D$100),2))</f>
        <v/>
      </c>
      <c r="Q485" s="75" t="str">
        <f t="shared" si="641"/>
        <v/>
      </c>
      <c r="R485" s="75" t="str">
        <f t="shared" si="642"/>
        <v/>
      </c>
      <c r="S485" s="117" t="str">
        <f>+IF($C485="","",ROUND((S484+I485)*(1+Parámetros!$D$91),2))</f>
        <v/>
      </c>
      <c r="T485" s="117" t="str">
        <f>+IF($C485="","",ROUND(S485*VLOOKUP(B485,Parámetros!$C$30:$D$39,2,TRUE),2))</f>
        <v/>
      </c>
      <c r="U485" s="117" t="str">
        <f>+IF($C485="","",ROUND((U484+I485)*(1+Parámetros!$D$92),2))</f>
        <v/>
      </c>
      <c r="V485" s="117" t="str">
        <f>+IF($C485="","",ROUND(U485*VLOOKUP(B485,Parámetros!$C$30:$D$39,2,TRUE),2))</f>
        <v/>
      </c>
      <c r="W485" s="57" t="str">
        <f t="shared" si="643"/>
        <v/>
      </c>
      <c r="X485" t="str">
        <f t="shared" si="644"/>
        <v/>
      </c>
      <c r="Y485" t="str">
        <f t="shared" si="645"/>
        <v/>
      </c>
      <c r="Z485" s="118" t="str">
        <f>+IF($W485="","",ROUND(IF(Parámetros!$D$25='TABLAS MORT'!$V$33,Z484,Parámetros!$D$21-'Tablas Servicio'!T484),0))</f>
        <v/>
      </c>
      <c r="AA485" s="118" t="str">
        <f t="shared" si="646"/>
        <v/>
      </c>
      <c r="AB485" s="119" t="str">
        <f>+IF(W485="","",ROUND((VLOOKUP(ROUNDDOWN($D485-1/frec,0),qx_tabla,2,FALSE)*(1+i/frec)^-0.5*(1+Parámetros!$D$103)*(1+rec_fracc)/frec),6))</f>
        <v/>
      </c>
      <c r="AC485" s="66" t="str">
        <f t="shared" si="602"/>
        <v/>
      </c>
      <c r="AD485" s="119" t="str">
        <f t="shared" si="598"/>
        <v/>
      </c>
      <c r="AE485" s="66" t="str">
        <f>+IF($W485="","",ROUND(IF($B485&gt;Parámetros!$D$107,'Tablas Servicio'!AC485+('Tablas Servicio'!AG484-'Tablas Servicio'!AC484),AC485/(1-IF(B485&lt;=10,Parámetros!$D$104,Parámetros!$D$105))),2))</f>
        <v/>
      </c>
      <c r="AF485" s="66" t="str">
        <f>+IF($W485="","",ROUND(IF($B485&gt;Parámetros!$D$107,'Tablas Servicio'!AC485+('Tablas Servicio'!AG484-'Tablas Servicio'!AC484),(AC485+$A484/frec)/(1-IF(B485&lt;=Parámetros!$D$117,Parámetros!$D$100,0))),2))</f>
        <v/>
      </c>
      <c r="AG485" s="66" t="str">
        <f t="shared" si="603"/>
        <v/>
      </c>
      <c r="AH485" s="66" t="str">
        <f t="shared" si="604"/>
        <v/>
      </c>
      <c r="AI485" s="66" t="str">
        <f t="shared" si="605"/>
        <v/>
      </c>
      <c r="AJ485" s="66" t="str">
        <f>+IF($W485="","",ROUND((AG485*Parámetros!$G$85),2))</f>
        <v/>
      </c>
      <c r="AK485" s="66" t="str">
        <f>+IF($W485="","",ROUND((AG485*(Parámetros!$G$86)),2))</f>
        <v/>
      </c>
      <c r="AL485" s="66" t="str">
        <f t="shared" si="599"/>
        <v/>
      </c>
      <c r="AM485" t="str">
        <f t="shared" si="647"/>
        <v/>
      </c>
      <c r="AN485" t="str">
        <f t="shared" si="648"/>
        <v/>
      </c>
      <c r="AO485" s="118" t="str">
        <f t="shared" si="649"/>
        <v/>
      </c>
      <c r="AP485" s="118" t="str">
        <f t="shared" si="650"/>
        <v/>
      </c>
      <c r="AQ485" s="119" t="str">
        <f>+IF(OR($W485="",AO485=0),"",ROUND((VLOOKUP(ROUNDDOWN($D485-1/frec,0),cob_adi,Z$40,FALSE)*(1+i/frec)^-0.5*(1+Parámetros!$D$103)*(1+rec_fracc)/frec),6))</f>
        <v/>
      </c>
      <c r="AR485" s="66" t="str">
        <f t="shared" si="606"/>
        <v/>
      </c>
      <c r="AS485" s="119" t="str">
        <f t="shared" si="607"/>
        <v/>
      </c>
      <c r="AT485" s="66" t="str">
        <f>+IF($W485="","",ROUND(IF($B485&gt;Parámetros!$D$107,'Tablas Servicio'!AR485+('Tablas Servicio'!AT484-'Tablas Servicio'!AR484),AR485/(1-IF(B485&lt;=10,Parámetros!$D$100,0))),2))</f>
        <v/>
      </c>
      <c r="AU485" s="66" t="str">
        <f t="shared" si="608"/>
        <v/>
      </c>
      <c r="AV485" s="66" t="str">
        <f t="shared" si="608"/>
        <v/>
      </c>
      <c r="AW485" s="66" t="str">
        <f>+IF($W485="","",ROUND((AT485*Parámetros!$G$85),2))</f>
        <v/>
      </c>
      <c r="AX485" s="66" t="str">
        <f>+IF($W485="","",ROUND((AT485*(Parámetros!$G$86)),2))</f>
        <v/>
      </c>
      <c r="AY485" s="66" t="str">
        <f t="shared" si="609"/>
        <v/>
      </c>
      <c r="AZ485" t="str">
        <f t="shared" si="651"/>
        <v/>
      </c>
      <c r="BA485" t="str">
        <f t="shared" si="652"/>
        <v/>
      </c>
      <c r="BB485" s="118" t="str">
        <f t="shared" si="653"/>
        <v/>
      </c>
      <c r="BC485" s="118" t="str">
        <f t="shared" si="654"/>
        <v/>
      </c>
      <c r="BD485" s="119" t="str">
        <f>+IF(OR($W485="",BB485=0),"",ROUND((VLOOKUP(ROUNDDOWN($D485-1/frec,0),cob_adi,AO$40,FALSE)*(1+i/frec)^-0.5*(1+Parámetros!$D$103)*(1+rec_fracc)/frec),6))</f>
        <v/>
      </c>
      <c r="BE485" s="66" t="str">
        <f t="shared" si="610"/>
        <v/>
      </c>
      <c r="BF485" s="119" t="str">
        <f t="shared" si="611"/>
        <v/>
      </c>
      <c r="BG485" s="66" t="str">
        <f>+IF($W485="","",ROUND(IF($B485&gt;Parámetros!$D$107,'Tablas Servicio'!BE485+('Tablas Servicio'!BG484-'Tablas Servicio'!BE484),BE485/(1-IF(B485&lt;=10,Parámetros!$D$100,0))),2))</f>
        <v/>
      </c>
      <c r="BH485" s="66" t="str">
        <f t="shared" si="612"/>
        <v/>
      </c>
      <c r="BI485" s="66" t="str">
        <f t="shared" si="613"/>
        <v/>
      </c>
      <c r="BJ485" s="66" t="str">
        <f>+IF($W485="","",ROUND((BG485*Parámetros!$G$85),2))</f>
        <v/>
      </c>
      <c r="BK485" s="66" t="str">
        <f>+IF($W485="","",ROUND((BG485*(Parámetros!$G$86)),2))</f>
        <v/>
      </c>
      <c r="BL485" s="66" t="str">
        <f t="shared" si="614"/>
        <v/>
      </c>
      <c r="BM485" t="str">
        <f t="shared" si="655"/>
        <v/>
      </c>
      <c r="BN485" t="str">
        <f t="shared" si="656"/>
        <v/>
      </c>
      <c r="BO485" s="118" t="str">
        <f t="shared" si="657"/>
        <v/>
      </c>
      <c r="BP485" s="118" t="str">
        <f t="shared" si="658"/>
        <v/>
      </c>
      <c r="BQ485" s="119" t="str">
        <f>+IF(OR($W485="",BO485=0),"",ROUND((VLOOKUP(ROUNDDOWN($D485-1/frec,0),cob_adi,BB$40,FALSE)*(1+i/frec)^-0.5*(1+Parámetros!$D$103)*(1+rec_fracc)/frec),6))</f>
        <v/>
      </c>
      <c r="BR485" s="66" t="str">
        <f t="shared" si="615"/>
        <v/>
      </c>
      <c r="BS485" s="119" t="str">
        <f t="shared" si="616"/>
        <v/>
      </c>
      <c r="BT485" s="66" t="str">
        <f>+IF($W485="","",ROUND(IF($B485&gt;Parámetros!$D$107,'Tablas Servicio'!BR485+('Tablas Servicio'!BT484-'Tablas Servicio'!BR484),BR485/(1-IF(B485&lt;=10,Parámetros!$D$100,0))),2))</f>
        <v/>
      </c>
      <c r="BU485" s="66" t="str">
        <f t="shared" si="617"/>
        <v/>
      </c>
      <c r="BV485" s="66" t="str">
        <f t="shared" si="617"/>
        <v/>
      </c>
      <c r="BW485" s="66" t="str">
        <f>+IF($W485="","",ROUND((BT485*Parámetros!$G$85),2))</f>
        <v/>
      </c>
      <c r="BX485" s="66" t="str">
        <f>+IF($W485="","",ROUND((BT485*(Parámetros!$G$86)),2))</f>
        <v/>
      </c>
      <c r="BY485" s="66" t="str">
        <f t="shared" si="618"/>
        <v/>
      </c>
      <c r="BZ485" t="str">
        <f t="shared" si="659"/>
        <v/>
      </c>
      <c r="CA485" t="str">
        <f t="shared" si="660"/>
        <v/>
      </c>
      <c r="CB485" s="118" t="str">
        <f t="shared" si="661"/>
        <v/>
      </c>
      <c r="CC485" s="118" t="str">
        <f t="shared" si="662"/>
        <v/>
      </c>
      <c r="CD485" s="119" t="str">
        <f t="shared" si="619"/>
        <v/>
      </c>
      <c r="CE485" s="66" t="str">
        <f>+IF($W485="","",ROUND((VLOOKUP(ROUNDDOWN($D485-1/frec,0),cob_adi,BO$40,FALSE)*(1+i/frec)^-0.5*(1+Parámetros!$D$103)*(1+rec_fracc)/frec*'TABLAS ADI'!$BC$17),2))</f>
        <v/>
      </c>
      <c r="CF485" s="119" t="str">
        <f t="shared" si="620"/>
        <v/>
      </c>
      <c r="CG485" s="66" t="str">
        <f>+IF($W485="","",ROUND(IF($B485&gt;Parámetros!$D$107,'Tablas Servicio'!CE485+('Tablas Servicio'!CG484-'Tablas Servicio'!CE484),CE485/(1-IF(B485&lt;=10,Parámetros!$D$100,0))),2))</f>
        <v/>
      </c>
      <c r="CH485" s="66" t="str">
        <f t="shared" si="621"/>
        <v/>
      </c>
      <c r="CI485" s="66" t="str">
        <f t="shared" si="621"/>
        <v/>
      </c>
      <c r="CJ485" s="66" t="str">
        <f>+IF($W485="","",ROUND((CG485*Parámetros!$G$85),2))</f>
        <v/>
      </c>
      <c r="CK485" s="66" t="str">
        <f>+IF($W485="","",ROUND((CG485*(Parámetros!$G$86)),2))</f>
        <v/>
      </c>
      <c r="CL485" s="66" t="str">
        <f t="shared" si="622"/>
        <v/>
      </c>
      <c r="CM485" t="str">
        <f t="shared" si="663"/>
        <v/>
      </c>
      <c r="CN485" s="118" t="str">
        <f t="shared" si="664"/>
        <v/>
      </c>
      <c r="CO485" s="118" t="str">
        <f t="shared" si="665"/>
        <v/>
      </c>
      <c r="CP485" s="118" t="str">
        <f t="shared" si="666"/>
        <v/>
      </c>
      <c r="CQ485" s="119" t="str">
        <f t="shared" si="623"/>
        <v/>
      </c>
      <c r="CR485" s="66" t="str">
        <f>+IF($W485="","",ROUND((VLOOKUP(Parámetros!$F$51,'COBERTURAS ADICIONALES'!$S$4:$T$32,2,FALSE)*(1+i/frec)^-0.5*(1+Parámetros!$D$103)*(1+rec_fracc)/frec*$CO$42),2))</f>
        <v/>
      </c>
      <c r="CS485" s="119" t="str">
        <f t="shared" si="624"/>
        <v/>
      </c>
      <c r="CT485" s="66" t="str">
        <f>+IF($W485="","",ROUND(IF($B485&gt;Parámetros!$D$107,'Tablas Servicio'!CR485+('Tablas Servicio'!CT484-'Tablas Servicio'!CR484),CR485/(1-IF(B485&lt;=10,Parámetros!$D$100,0))),2))</f>
        <v/>
      </c>
      <c r="CU485" s="66" t="str">
        <f t="shared" si="625"/>
        <v/>
      </c>
      <c r="CV485" s="66" t="str">
        <f t="shared" si="625"/>
        <v/>
      </c>
      <c r="CW485" s="66" t="str">
        <f>+IF($W485="","",ROUND((CT485*Parámetros!$G$85),2))</f>
        <v/>
      </c>
      <c r="CX485" s="66" t="str">
        <f>+IF($W485="","",ROUND((CT485*(Parámetros!$G$86)),2))</f>
        <v/>
      </c>
      <c r="CY485" s="66" t="str">
        <f t="shared" si="626"/>
        <v/>
      </c>
      <c r="CZ485" t="str">
        <f t="shared" si="667"/>
        <v/>
      </c>
      <c r="DA485" s="118" t="str">
        <f t="shared" si="668"/>
        <v/>
      </c>
      <c r="DB485" s="118" t="str">
        <f t="shared" si="669"/>
        <v/>
      </c>
      <c r="DC485" s="118" t="str">
        <f t="shared" si="670"/>
        <v/>
      </c>
      <c r="DD485" s="121" t="str">
        <f>+IF(OR($W485="",DB485=0),"",ROUND((VLOOKUP(ROUNDDOWN($D485-1/frec,0),cob_adi,CO$40,FALSE)*(1+i/frec)^-0.5*(1+Parámetros!$D$103)*(1+rec_fracc)/frec),6))</f>
        <v/>
      </c>
      <c r="DE485" s="66" t="str">
        <f t="shared" si="627"/>
        <v/>
      </c>
      <c r="DF485" s="119" t="str">
        <f t="shared" si="628"/>
        <v/>
      </c>
      <c r="DG485" s="66" t="str">
        <f>+IF($W485="","",ROUND(IF($B485&gt;Parámetros!$D$107,'Tablas Servicio'!DE485+('Tablas Servicio'!DG484-'Tablas Servicio'!DE484),DE485/(1-IF(B485&lt;=10,Parámetros!$D$100,0))),2))</f>
        <v/>
      </c>
      <c r="DH485" s="66" t="str">
        <f t="shared" si="629"/>
        <v/>
      </c>
      <c r="DI485" s="66" t="str">
        <f t="shared" si="629"/>
        <v/>
      </c>
      <c r="DJ485" s="66" t="str">
        <f>+IF($W485="","",ROUND((DG485*Parámetros!$G$85),2))</f>
        <v/>
      </c>
      <c r="DK485" s="66" t="str">
        <f>+IF($W485="","",ROUND((DG485*(Parámetros!$G$86)),2))</f>
        <v/>
      </c>
      <c r="DL485" s="66" t="str">
        <f t="shared" si="630"/>
        <v/>
      </c>
      <c r="DM485" t="str">
        <f t="shared" si="671"/>
        <v/>
      </c>
      <c r="DN485" s="118" t="str">
        <f t="shared" si="672"/>
        <v/>
      </c>
      <c r="DO485" s="118" t="str">
        <f t="shared" si="673"/>
        <v/>
      </c>
      <c r="DP485" s="118" t="str">
        <f t="shared" si="674"/>
        <v/>
      </c>
      <c r="DQ485" s="122" t="str">
        <f>+IF(OR($W485="",DO485=0),"",ROUND((VLOOKUP(ROUNDDOWN($D485-1/frec,0),cob_adi,DB$40,FALSE)*(1+i/frec)^-0.5*(1+Parámetros!$D$103)*(1+rec_fracc)/frec),6))</f>
        <v/>
      </c>
      <c r="DR485" s="66" t="str">
        <f t="shared" si="631"/>
        <v/>
      </c>
      <c r="DS485" s="68" t="str">
        <f t="shared" si="632"/>
        <v/>
      </c>
      <c r="DT485" s="66" t="str">
        <f>+IF($W485="","",ROUND(IF($B485&gt;Parámetros!$D$107,'Tablas Servicio'!DR485+('Tablas Servicio'!DT484-'Tablas Servicio'!DR484),DR485/(1-IF(B485&lt;=10,Parámetros!$D$100,0))),2))</f>
        <v/>
      </c>
      <c r="DU485" s="66" t="str">
        <f t="shared" si="633"/>
        <v/>
      </c>
      <c r="DV485" s="66" t="str">
        <f t="shared" si="633"/>
        <v/>
      </c>
      <c r="DW485" s="66" t="str">
        <f>+IF($W485="","",ROUND((DT485*Parámetros!$G$85),2))</f>
        <v/>
      </c>
      <c r="DX485" s="66" t="str">
        <f>+IF($W485="","",ROUND((DT485*(Parámetros!$G$86)),2))</f>
        <v/>
      </c>
      <c r="DY485" s="66" t="str">
        <f t="shared" si="634"/>
        <v/>
      </c>
      <c r="DZ485" t="str">
        <f t="shared" si="677"/>
        <v/>
      </c>
      <c r="EA485" s="118" t="str">
        <f t="shared" si="677"/>
        <v/>
      </c>
      <c r="EB485" s="118" t="str">
        <f>+IF($W485="","",ROUND(IF(Parámetros!$D$25='TABLAS MORT'!$V$33,EB484,Z485/2),0))</f>
        <v/>
      </c>
      <c r="EC485" s="118" t="str">
        <f t="shared" si="677"/>
        <v/>
      </c>
      <c r="ED485" s="122" t="str">
        <f>+IF(OR($W485="",EB485=0),"",ROUND((VLOOKUP(ROUNDDOWN($D485-1/frec,0),cob_adi,DO$40,FALSE)*(1+i/frec)^-0.5*(1+Parámetros!$D$103)*(1+rec_fracc)/frec),6))</f>
        <v/>
      </c>
      <c r="EE485" s="66" t="str">
        <f t="shared" si="636"/>
        <v/>
      </c>
      <c r="EF485" s="68" t="str">
        <f t="shared" si="637"/>
        <v/>
      </c>
      <c r="EG485" s="66" t="str">
        <f>+IF($W485="","",ROUND(IF($B485&gt;Parámetros!$D$107,'Tablas Servicio'!EE485+('Tablas Servicio'!EG484-'Tablas Servicio'!EE484),EE485/(1-IF(B485&lt;=10,Parámetros!$D$100,0))),2))</f>
        <v/>
      </c>
      <c r="EH485" s="66" t="str">
        <f t="shared" si="638"/>
        <v/>
      </c>
      <c r="EI485" s="66" t="str">
        <f t="shared" si="638"/>
        <v/>
      </c>
      <c r="EJ485" s="66" t="str">
        <f>+IF($W485="","",ROUND((EG485*Parámetros!$G$85),2))</f>
        <v/>
      </c>
      <c r="EK485" s="66" t="str">
        <f>+IF($W485="","",ROUND((EG485*(Parámetros!$G$86)),2))</f>
        <v/>
      </c>
      <c r="EL485" s="66" t="str">
        <f t="shared" si="639"/>
        <v/>
      </c>
    </row>
    <row r="486" spans="1:142" x14ac:dyDescent="0.25">
      <c r="A486" t="str">
        <f>+IF($C486="","",ROUND(VLOOKUP('Tablas Servicio'!B486,Parámetros!$H$100:$J$159,IF(Parámetros!$E$16="F",2,3),FALSE),2))</f>
        <v/>
      </c>
      <c r="B486" t="str">
        <f t="shared" si="590"/>
        <v/>
      </c>
      <c r="C486" s="57" t="str">
        <f>+IF(D486="","",'Tablas Servicio'!C485+1)</f>
        <v/>
      </c>
      <c r="D486" s="56" t="str">
        <f>+IF(D485&lt;edadmaxtabla,D485+1/Parámetros!$E$25,"")</f>
        <v/>
      </c>
      <c r="E486" s="57" t="str">
        <f t="shared" si="600"/>
        <v/>
      </c>
      <c r="F486" s="59" t="str">
        <f t="shared" si="601"/>
        <v/>
      </c>
      <c r="G486" s="66" t="str">
        <f t="shared" si="591"/>
        <v/>
      </c>
      <c r="H486" s="66" t="str">
        <f t="shared" si="592"/>
        <v/>
      </c>
      <c r="I486" s="66" t="str">
        <f t="shared" si="640"/>
        <v/>
      </c>
      <c r="J486" s="66" t="str">
        <f t="shared" si="593"/>
        <v/>
      </c>
      <c r="K486" s="66" t="str">
        <f t="shared" si="594"/>
        <v/>
      </c>
      <c r="L486" s="66" t="str">
        <f t="shared" si="595"/>
        <v/>
      </c>
      <c r="M486" s="66" t="str">
        <f t="shared" si="596"/>
        <v/>
      </c>
      <c r="N486" s="66" t="str">
        <f>+IF(C486="","",ROUND(Parámetros!$D$23,2))</f>
        <v/>
      </c>
      <c r="O486" s="66" t="str">
        <f t="shared" si="597"/>
        <v/>
      </c>
      <c r="P486" s="66" t="str">
        <f>+IF($C486="","",ROUND(IF(B486&gt;Parámetros!$D$117,0,N486*Parámetros!$D$116-G486*Parámetros!$D$100),2))</f>
        <v/>
      </c>
      <c r="Q486" s="75" t="str">
        <f t="shared" si="641"/>
        <v/>
      </c>
      <c r="R486" s="75" t="str">
        <f t="shared" si="642"/>
        <v/>
      </c>
      <c r="S486" s="117" t="str">
        <f>+IF($C486="","",ROUND((S485+I486)*(1+Parámetros!$D$91),2))</f>
        <v/>
      </c>
      <c r="T486" s="117" t="str">
        <f>+IF($C486="","",ROUND(S486*VLOOKUP(B486,Parámetros!$C$30:$D$39,2,TRUE),2))</f>
        <v/>
      </c>
      <c r="U486" s="117" t="str">
        <f>+IF($C486="","",ROUND((U485+I486)*(1+Parámetros!$D$92),2))</f>
        <v/>
      </c>
      <c r="V486" s="117" t="str">
        <f>+IF($C486="","",ROUND(U486*VLOOKUP(B486,Parámetros!$C$30:$D$39,2,TRUE),2))</f>
        <v/>
      </c>
      <c r="W486" s="57" t="str">
        <f t="shared" si="643"/>
        <v/>
      </c>
      <c r="X486" t="str">
        <f t="shared" si="644"/>
        <v/>
      </c>
      <c r="Y486" t="str">
        <f t="shared" si="645"/>
        <v/>
      </c>
      <c r="Z486" s="118" t="str">
        <f>+IF($W486="","",ROUND(IF(Parámetros!$D$25='TABLAS MORT'!$V$33,Z485,Parámetros!$D$21-'Tablas Servicio'!T485),0))</f>
        <v/>
      </c>
      <c r="AA486" s="118" t="str">
        <f t="shared" si="646"/>
        <v/>
      </c>
      <c r="AB486" s="119" t="str">
        <f>+IF(W486="","",ROUND((VLOOKUP(ROUNDDOWN($D486-1/frec,0),qx_tabla,2,FALSE)*(1+i/frec)^-0.5*(1+Parámetros!$D$103)*(1+rec_fracc)/frec),6))</f>
        <v/>
      </c>
      <c r="AC486" s="66" t="str">
        <f t="shared" si="602"/>
        <v/>
      </c>
      <c r="AD486" s="119" t="str">
        <f t="shared" si="598"/>
        <v/>
      </c>
      <c r="AE486" s="66" t="str">
        <f>+IF($W486="","",ROUND(IF($B486&gt;Parámetros!$D$107,'Tablas Servicio'!AC486+('Tablas Servicio'!AG485-'Tablas Servicio'!AC485),AC486/(1-IF(B486&lt;=10,Parámetros!$D$104,Parámetros!$D$105))),2))</f>
        <v/>
      </c>
      <c r="AF486" s="66" t="str">
        <f>+IF($W486="","",ROUND(IF($B486&gt;Parámetros!$D$107,'Tablas Servicio'!AC486+('Tablas Servicio'!AG485-'Tablas Servicio'!AC485),(AC486+$A485/frec)/(1-IF(B486&lt;=Parámetros!$D$117,Parámetros!$D$100,0))),2))</f>
        <v/>
      </c>
      <c r="AG486" s="66" t="str">
        <f t="shared" si="603"/>
        <v/>
      </c>
      <c r="AH486" s="66" t="str">
        <f t="shared" si="604"/>
        <v/>
      </c>
      <c r="AI486" s="66" t="str">
        <f t="shared" si="605"/>
        <v/>
      </c>
      <c r="AJ486" s="66" t="str">
        <f>+IF($W486="","",ROUND((AG486*Parámetros!$G$85),2))</f>
        <v/>
      </c>
      <c r="AK486" s="66" t="str">
        <f>+IF($W486="","",ROUND((AG486*(Parámetros!$G$86)),2))</f>
        <v/>
      </c>
      <c r="AL486" s="66" t="str">
        <f t="shared" si="599"/>
        <v/>
      </c>
      <c r="AM486" t="str">
        <f t="shared" si="647"/>
        <v/>
      </c>
      <c r="AN486" t="str">
        <f t="shared" si="648"/>
        <v/>
      </c>
      <c r="AO486" s="118" t="str">
        <f t="shared" si="649"/>
        <v/>
      </c>
      <c r="AP486" s="118" t="str">
        <f t="shared" si="650"/>
        <v/>
      </c>
      <c r="AQ486" s="119" t="str">
        <f>+IF(OR($W486="",AO486=0),"",ROUND((VLOOKUP(ROUNDDOWN($D486-1/frec,0),cob_adi,Z$40,FALSE)*(1+i/frec)^-0.5*(1+Parámetros!$D$103)*(1+rec_fracc)/frec),6))</f>
        <v/>
      </c>
      <c r="AR486" s="66" t="str">
        <f t="shared" si="606"/>
        <v/>
      </c>
      <c r="AS486" s="119" t="str">
        <f t="shared" si="607"/>
        <v/>
      </c>
      <c r="AT486" s="66" t="str">
        <f>+IF($W486="","",ROUND(IF($B486&gt;Parámetros!$D$107,'Tablas Servicio'!AR486+('Tablas Servicio'!AT485-'Tablas Servicio'!AR485),AR486/(1-IF(B486&lt;=10,Parámetros!$D$100,0))),2))</f>
        <v/>
      </c>
      <c r="AU486" s="66" t="str">
        <f t="shared" si="608"/>
        <v/>
      </c>
      <c r="AV486" s="66" t="str">
        <f t="shared" si="608"/>
        <v/>
      </c>
      <c r="AW486" s="66" t="str">
        <f>+IF($W486="","",ROUND((AT486*Parámetros!$G$85),2))</f>
        <v/>
      </c>
      <c r="AX486" s="66" t="str">
        <f>+IF($W486="","",ROUND((AT486*(Parámetros!$G$86)),2))</f>
        <v/>
      </c>
      <c r="AY486" s="66" t="str">
        <f t="shared" si="609"/>
        <v/>
      </c>
      <c r="AZ486" t="str">
        <f t="shared" si="651"/>
        <v/>
      </c>
      <c r="BA486" t="str">
        <f t="shared" si="652"/>
        <v/>
      </c>
      <c r="BB486" s="118" t="str">
        <f t="shared" si="653"/>
        <v/>
      </c>
      <c r="BC486" s="118" t="str">
        <f t="shared" si="654"/>
        <v/>
      </c>
      <c r="BD486" s="119" t="str">
        <f>+IF(OR($W486="",BB486=0),"",ROUND((VLOOKUP(ROUNDDOWN($D486-1/frec,0),cob_adi,AO$40,FALSE)*(1+i/frec)^-0.5*(1+Parámetros!$D$103)*(1+rec_fracc)/frec),6))</f>
        <v/>
      </c>
      <c r="BE486" s="66" t="str">
        <f t="shared" si="610"/>
        <v/>
      </c>
      <c r="BF486" s="119" t="str">
        <f t="shared" si="611"/>
        <v/>
      </c>
      <c r="BG486" s="66" t="str">
        <f>+IF($W486="","",ROUND(IF($B486&gt;Parámetros!$D$107,'Tablas Servicio'!BE486+('Tablas Servicio'!BG485-'Tablas Servicio'!BE485),BE486/(1-IF(B486&lt;=10,Parámetros!$D$100,0))),2))</f>
        <v/>
      </c>
      <c r="BH486" s="66" t="str">
        <f t="shared" si="612"/>
        <v/>
      </c>
      <c r="BI486" s="66" t="str">
        <f t="shared" si="613"/>
        <v/>
      </c>
      <c r="BJ486" s="66" t="str">
        <f>+IF($W486="","",ROUND((BG486*Parámetros!$G$85),2))</f>
        <v/>
      </c>
      <c r="BK486" s="66" t="str">
        <f>+IF($W486="","",ROUND((BG486*(Parámetros!$G$86)),2))</f>
        <v/>
      </c>
      <c r="BL486" s="66" t="str">
        <f t="shared" si="614"/>
        <v/>
      </c>
      <c r="BM486" t="str">
        <f t="shared" si="655"/>
        <v/>
      </c>
      <c r="BN486" t="str">
        <f t="shared" si="656"/>
        <v/>
      </c>
      <c r="BO486" s="118" t="str">
        <f t="shared" si="657"/>
        <v/>
      </c>
      <c r="BP486" s="118" t="str">
        <f t="shared" si="658"/>
        <v/>
      </c>
      <c r="BQ486" s="119" t="str">
        <f>+IF(OR($W486="",BO486=0),"",ROUND((VLOOKUP(ROUNDDOWN($D486-1/frec,0),cob_adi,BB$40,FALSE)*(1+i/frec)^-0.5*(1+Parámetros!$D$103)*(1+rec_fracc)/frec),6))</f>
        <v/>
      </c>
      <c r="BR486" s="66" t="str">
        <f t="shared" si="615"/>
        <v/>
      </c>
      <c r="BS486" s="119" t="str">
        <f t="shared" si="616"/>
        <v/>
      </c>
      <c r="BT486" s="66" t="str">
        <f>+IF($W486="","",ROUND(IF($B486&gt;Parámetros!$D$107,'Tablas Servicio'!BR486+('Tablas Servicio'!BT485-'Tablas Servicio'!BR485),BR486/(1-IF(B486&lt;=10,Parámetros!$D$100,0))),2))</f>
        <v/>
      </c>
      <c r="BU486" s="66" t="str">
        <f t="shared" si="617"/>
        <v/>
      </c>
      <c r="BV486" s="66" t="str">
        <f t="shared" si="617"/>
        <v/>
      </c>
      <c r="BW486" s="66" t="str">
        <f>+IF($W486="","",ROUND((BT486*Parámetros!$G$85),2))</f>
        <v/>
      </c>
      <c r="BX486" s="66" t="str">
        <f>+IF($W486="","",ROUND((BT486*(Parámetros!$G$86)),2))</f>
        <v/>
      </c>
      <c r="BY486" s="66" t="str">
        <f t="shared" si="618"/>
        <v/>
      </c>
      <c r="BZ486" t="str">
        <f t="shared" si="659"/>
        <v/>
      </c>
      <c r="CA486" t="str">
        <f t="shared" si="660"/>
        <v/>
      </c>
      <c r="CB486" s="118" t="str">
        <f t="shared" si="661"/>
        <v/>
      </c>
      <c r="CC486" s="118" t="str">
        <f t="shared" si="662"/>
        <v/>
      </c>
      <c r="CD486" s="119" t="str">
        <f t="shared" si="619"/>
        <v/>
      </c>
      <c r="CE486" s="66" t="str">
        <f>+IF($W486="","",ROUND((VLOOKUP(ROUNDDOWN($D486-1/frec,0),cob_adi,BO$40,FALSE)*(1+i/frec)^-0.5*(1+Parámetros!$D$103)*(1+rec_fracc)/frec*'TABLAS ADI'!$BC$17),2))</f>
        <v/>
      </c>
      <c r="CF486" s="119" t="str">
        <f t="shared" si="620"/>
        <v/>
      </c>
      <c r="CG486" s="66" t="str">
        <f>+IF($W486="","",ROUND(IF($B486&gt;Parámetros!$D$107,'Tablas Servicio'!CE486+('Tablas Servicio'!CG485-'Tablas Servicio'!CE485),CE486/(1-IF(B486&lt;=10,Parámetros!$D$100,0))),2))</f>
        <v/>
      </c>
      <c r="CH486" s="66" t="str">
        <f t="shared" si="621"/>
        <v/>
      </c>
      <c r="CI486" s="66" t="str">
        <f t="shared" si="621"/>
        <v/>
      </c>
      <c r="CJ486" s="66" t="str">
        <f>+IF($W486="","",ROUND((CG486*Parámetros!$G$85),2))</f>
        <v/>
      </c>
      <c r="CK486" s="66" t="str">
        <f>+IF($W486="","",ROUND((CG486*(Parámetros!$G$86)),2))</f>
        <v/>
      </c>
      <c r="CL486" s="66" t="str">
        <f t="shared" si="622"/>
        <v/>
      </c>
      <c r="CM486" t="str">
        <f t="shared" si="663"/>
        <v/>
      </c>
      <c r="CN486" s="118" t="str">
        <f t="shared" si="664"/>
        <v/>
      </c>
      <c r="CO486" s="118" t="str">
        <f t="shared" si="665"/>
        <v/>
      </c>
      <c r="CP486" s="118" t="str">
        <f t="shared" si="666"/>
        <v/>
      </c>
      <c r="CQ486" s="119" t="str">
        <f t="shared" si="623"/>
        <v/>
      </c>
      <c r="CR486" s="66" t="str">
        <f>+IF($W486="","",ROUND((VLOOKUP(Parámetros!$F$51,'COBERTURAS ADICIONALES'!$S$4:$T$32,2,FALSE)*(1+i/frec)^-0.5*(1+Parámetros!$D$103)*(1+rec_fracc)/frec*$CO$42),2))</f>
        <v/>
      </c>
      <c r="CS486" s="119" t="str">
        <f t="shared" si="624"/>
        <v/>
      </c>
      <c r="CT486" s="66" t="str">
        <f>+IF($W486="","",ROUND(IF($B486&gt;Parámetros!$D$107,'Tablas Servicio'!CR486+('Tablas Servicio'!CT485-'Tablas Servicio'!CR485),CR486/(1-IF(B486&lt;=10,Parámetros!$D$100,0))),2))</f>
        <v/>
      </c>
      <c r="CU486" s="66" t="str">
        <f t="shared" si="625"/>
        <v/>
      </c>
      <c r="CV486" s="66" t="str">
        <f t="shared" si="625"/>
        <v/>
      </c>
      <c r="CW486" s="66" t="str">
        <f>+IF($W486="","",ROUND((CT486*Parámetros!$G$85),2))</f>
        <v/>
      </c>
      <c r="CX486" s="66" t="str">
        <f>+IF($W486="","",ROUND((CT486*(Parámetros!$G$86)),2))</f>
        <v/>
      </c>
      <c r="CY486" s="66" t="str">
        <f t="shared" si="626"/>
        <v/>
      </c>
      <c r="CZ486" t="str">
        <f t="shared" si="667"/>
        <v/>
      </c>
      <c r="DA486" s="118" t="str">
        <f t="shared" si="668"/>
        <v/>
      </c>
      <c r="DB486" s="118" t="str">
        <f t="shared" si="669"/>
        <v/>
      </c>
      <c r="DC486" s="118" t="str">
        <f t="shared" si="670"/>
        <v/>
      </c>
      <c r="DD486" s="121" t="str">
        <f>+IF(OR($W486="",DB486=0),"",ROUND((VLOOKUP(ROUNDDOWN($D486-1/frec,0),cob_adi,CO$40,FALSE)*(1+i/frec)^-0.5*(1+Parámetros!$D$103)*(1+rec_fracc)/frec),6))</f>
        <v/>
      </c>
      <c r="DE486" s="66" t="str">
        <f t="shared" si="627"/>
        <v/>
      </c>
      <c r="DF486" s="119" t="str">
        <f t="shared" si="628"/>
        <v/>
      </c>
      <c r="DG486" s="66" t="str">
        <f>+IF($W486="","",ROUND(IF($B486&gt;Parámetros!$D$107,'Tablas Servicio'!DE486+('Tablas Servicio'!DG485-'Tablas Servicio'!DE485),DE486/(1-IF(B486&lt;=10,Parámetros!$D$100,0))),2))</f>
        <v/>
      </c>
      <c r="DH486" s="66" t="str">
        <f t="shared" si="629"/>
        <v/>
      </c>
      <c r="DI486" s="66" t="str">
        <f t="shared" si="629"/>
        <v/>
      </c>
      <c r="DJ486" s="66" t="str">
        <f>+IF($W486="","",ROUND((DG486*Parámetros!$G$85),2))</f>
        <v/>
      </c>
      <c r="DK486" s="66" t="str">
        <f>+IF($W486="","",ROUND((DG486*(Parámetros!$G$86)),2))</f>
        <v/>
      </c>
      <c r="DL486" s="66" t="str">
        <f t="shared" si="630"/>
        <v/>
      </c>
      <c r="DM486" t="str">
        <f t="shared" si="671"/>
        <v/>
      </c>
      <c r="DN486" s="118" t="str">
        <f t="shared" si="672"/>
        <v/>
      </c>
      <c r="DO486" s="118" t="str">
        <f t="shared" si="673"/>
        <v/>
      </c>
      <c r="DP486" s="118" t="str">
        <f t="shared" si="674"/>
        <v/>
      </c>
      <c r="DQ486" s="122" t="str">
        <f>+IF(OR($W486="",DO486=0),"",ROUND((VLOOKUP(ROUNDDOWN($D486-1/frec,0),cob_adi,DB$40,FALSE)*(1+i/frec)^-0.5*(1+Parámetros!$D$103)*(1+rec_fracc)/frec),6))</f>
        <v/>
      </c>
      <c r="DR486" s="66" t="str">
        <f t="shared" si="631"/>
        <v/>
      </c>
      <c r="DS486" s="68" t="str">
        <f t="shared" si="632"/>
        <v/>
      </c>
      <c r="DT486" s="66" t="str">
        <f>+IF($W486="","",ROUND(IF($B486&gt;Parámetros!$D$107,'Tablas Servicio'!DR486+('Tablas Servicio'!DT485-'Tablas Servicio'!DR485),DR486/(1-IF(B486&lt;=10,Parámetros!$D$100,0))),2))</f>
        <v/>
      </c>
      <c r="DU486" s="66" t="str">
        <f t="shared" si="633"/>
        <v/>
      </c>
      <c r="DV486" s="66" t="str">
        <f t="shared" si="633"/>
        <v/>
      </c>
      <c r="DW486" s="66" t="str">
        <f>+IF($W486="","",ROUND((DT486*Parámetros!$G$85),2))</f>
        <v/>
      </c>
      <c r="DX486" s="66" t="str">
        <f>+IF($W486="","",ROUND((DT486*(Parámetros!$G$86)),2))</f>
        <v/>
      </c>
      <c r="DY486" s="66" t="str">
        <f t="shared" si="634"/>
        <v/>
      </c>
      <c r="DZ486" t="str">
        <f t="shared" si="677"/>
        <v/>
      </c>
      <c r="EA486" s="118" t="str">
        <f t="shared" si="677"/>
        <v/>
      </c>
      <c r="EB486" s="118" t="str">
        <f>+IF($W486="","",ROUND(IF(Parámetros!$D$25='TABLAS MORT'!$V$33,EB485,Z486/2),0))</f>
        <v/>
      </c>
      <c r="EC486" s="118" t="str">
        <f t="shared" si="677"/>
        <v/>
      </c>
      <c r="ED486" s="122" t="str">
        <f>+IF(OR($W486="",EB486=0),"",ROUND((VLOOKUP(ROUNDDOWN($D486-1/frec,0),cob_adi,DO$40,FALSE)*(1+i/frec)^-0.5*(1+Parámetros!$D$103)*(1+rec_fracc)/frec),6))</f>
        <v/>
      </c>
      <c r="EE486" s="66" t="str">
        <f t="shared" si="636"/>
        <v/>
      </c>
      <c r="EF486" s="68" t="str">
        <f t="shared" si="637"/>
        <v/>
      </c>
      <c r="EG486" s="66" t="str">
        <f>+IF($W486="","",ROUND(IF($B486&gt;Parámetros!$D$107,'Tablas Servicio'!EE486+('Tablas Servicio'!EG485-'Tablas Servicio'!EE485),EE486/(1-IF(B486&lt;=10,Parámetros!$D$100,0))),2))</f>
        <v/>
      </c>
      <c r="EH486" s="66" t="str">
        <f t="shared" si="638"/>
        <v/>
      </c>
      <c r="EI486" s="66" t="str">
        <f t="shared" si="638"/>
        <v/>
      </c>
      <c r="EJ486" s="66" t="str">
        <f>+IF($W486="","",ROUND((EG486*Parámetros!$G$85),2))</f>
        <v/>
      </c>
      <c r="EK486" s="66" t="str">
        <f>+IF($W486="","",ROUND((EG486*(Parámetros!$G$86)),2))</f>
        <v/>
      </c>
      <c r="EL486" s="66" t="str">
        <f t="shared" si="639"/>
        <v/>
      </c>
    </row>
    <row r="487" spans="1:142" x14ac:dyDescent="0.25">
      <c r="A487" t="str">
        <f>+IF($C487="","",ROUND(VLOOKUP('Tablas Servicio'!B487,Parámetros!$H$100:$J$159,IF(Parámetros!$E$16="F",2,3),FALSE),2))</f>
        <v/>
      </c>
      <c r="B487" t="str">
        <f t="shared" si="590"/>
        <v/>
      </c>
      <c r="C487" s="57" t="str">
        <f>+IF(D487="","",'Tablas Servicio'!C486+1)</f>
        <v/>
      </c>
      <c r="D487" s="56" t="str">
        <f>+IF(D486&lt;edadmaxtabla,D486+1/Parámetros!$E$25,"")</f>
        <v/>
      </c>
      <c r="E487" s="57" t="str">
        <f t="shared" si="600"/>
        <v/>
      </c>
      <c r="F487" s="59" t="str">
        <f t="shared" si="601"/>
        <v/>
      </c>
      <c r="G487" s="66" t="str">
        <f t="shared" si="591"/>
        <v/>
      </c>
      <c r="H487" s="66" t="str">
        <f t="shared" si="592"/>
        <v/>
      </c>
      <c r="I487" s="66" t="str">
        <f t="shared" si="640"/>
        <v/>
      </c>
      <c r="J487" s="66" t="str">
        <f t="shared" si="593"/>
        <v/>
      </c>
      <c r="K487" s="66" t="str">
        <f t="shared" si="594"/>
        <v/>
      </c>
      <c r="L487" s="66" t="str">
        <f t="shared" si="595"/>
        <v/>
      </c>
      <c r="M487" s="66" t="str">
        <f t="shared" si="596"/>
        <v/>
      </c>
      <c r="N487" s="66" t="str">
        <f>+IF(C487="","",ROUND(Parámetros!$D$23,2))</f>
        <v/>
      </c>
      <c r="O487" s="66" t="str">
        <f t="shared" si="597"/>
        <v/>
      </c>
      <c r="P487" s="66" t="str">
        <f>+IF($C487="","",ROUND(IF(B487&gt;Parámetros!$D$117,0,N487*Parámetros!$D$116-G487*Parámetros!$D$100),2))</f>
        <v/>
      </c>
      <c r="Q487" s="75" t="str">
        <f t="shared" si="641"/>
        <v/>
      </c>
      <c r="R487" s="75" t="str">
        <f t="shared" si="642"/>
        <v/>
      </c>
      <c r="S487" s="117" t="str">
        <f>+IF($C487="","",ROUND((S486+I487)*(1+Parámetros!$D$91),2))</f>
        <v/>
      </c>
      <c r="T487" s="117" t="str">
        <f>+IF($C487="","",ROUND(S487*VLOOKUP(B487,Parámetros!$C$30:$D$39,2,TRUE),2))</f>
        <v/>
      </c>
      <c r="U487" s="117" t="str">
        <f>+IF($C487="","",ROUND((U486+I487)*(1+Parámetros!$D$92),2))</f>
        <v/>
      </c>
      <c r="V487" s="117" t="str">
        <f>+IF($C487="","",ROUND(U487*VLOOKUP(B487,Parámetros!$C$30:$D$39,2,TRUE),2))</f>
        <v/>
      </c>
      <c r="W487" s="57" t="str">
        <f t="shared" si="643"/>
        <v/>
      </c>
      <c r="X487" t="str">
        <f t="shared" si="644"/>
        <v/>
      </c>
      <c r="Y487" t="str">
        <f t="shared" si="645"/>
        <v/>
      </c>
      <c r="Z487" s="118" t="str">
        <f>+IF($W487="","",ROUND(IF(Parámetros!$D$25='TABLAS MORT'!$V$33,Z486,Parámetros!$D$21-'Tablas Servicio'!T486),0))</f>
        <v/>
      </c>
      <c r="AA487" s="118" t="str">
        <f t="shared" si="646"/>
        <v/>
      </c>
      <c r="AB487" s="119" t="str">
        <f>+IF(W487="","",ROUND((VLOOKUP(ROUNDDOWN($D487-1/frec,0),qx_tabla,2,FALSE)*(1+i/frec)^-0.5*(1+Parámetros!$D$103)*(1+rec_fracc)/frec),6))</f>
        <v/>
      </c>
      <c r="AC487" s="66" t="str">
        <f t="shared" si="602"/>
        <v/>
      </c>
      <c r="AD487" s="119" t="str">
        <f t="shared" si="598"/>
        <v/>
      </c>
      <c r="AE487" s="66" t="str">
        <f>+IF($W487="","",ROUND(IF($B487&gt;Parámetros!$D$107,'Tablas Servicio'!AC487+('Tablas Servicio'!AG486-'Tablas Servicio'!AC486),AC487/(1-IF(B487&lt;=10,Parámetros!$D$104,Parámetros!$D$105))),2))</f>
        <v/>
      </c>
      <c r="AF487" s="66" t="str">
        <f>+IF($W487="","",ROUND(IF($B487&gt;Parámetros!$D$107,'Tablas Servicio'!AC487+('Tablas Servicio'!AG486-'Tablas Servicio'!AC486),(AC487+$A486/frec)/(1-IF(B487&lt;=Parámetros!$D$117,Parámetros!$D$100,0))),2))</f>
        <v/>
      </c>
      <c r="AG487" s="66" t="str">
        <f t="shared" si="603"/>
        <v/>
      </c>
      <c r="AH487" s="66" t="str">
        <f t="shared" si="604"/>
        <v/>
      </c>
      <c r="AI487" s="66" t="str">
        <f t="shared" si="605"/>
        <v/>
      </c>
      <c r="AJ487" s="66" t="str">
        <f>+IF($W487="","",ROUND((AG487*Parámetros!$G$85),2))</f>
        <v/>
      </c>
      <c r="AK487" s="66" t="str">
        <f>+IF($W487="","",ROUND((AG487*(Parámetros!$G$86)),2))</f>
        <v/>
      </c>
      <c r="AL487" s="66" t="str">
        <f t="shared" si="599"/>
        <v/>
      </c>
      <c r="AM487" t="str">
        <f t="shared" si="647"/>
        <v/>
      </c>
      <c r="AN487" t="str">
        <f t="shared" si="648"/>
        <v/>
      </c>
      <c r="AO487" s="118" t="str">
        <f t="shared" si="649"/>
        <v/>
      </c>
      <c r="AP487" s="118" t="str">
        <f t="shared" si="650"/>
        <v/>
      </c>
      <c r="AQ487" s="119" t="str">
        <f>+IF(OR($W487="",AO487=0),"",ROUND((VLOOKUP(ROUNDDOWN($D487-1/frec,0),cob_adi,Z$40,FALSE)*(1+i/frec)^-0.5*(1+Parámetros!$D$103)*(1+rec_fracc)/frec),6))</f>
        <v/>
      </c>
      <c r="AR487" s="66" t="str">
        <f t="shared" si="606"/>
        <v/>
      </c>
      <c r="AS487" s="119" t="str">
        <f t="shared" si="607"/>
        <v/>
      </c>
      <c r="AT487" s="66" t="str">
        <f>+IF($W487="","",ROUND(IF($B487&gt;Parámetros!$D$107,'Tablas Servicio'!AR487+('Tablas Servicio'!AT486-'Tablas Servicio'!AR486),AR487/(1-IF(B487&lt;=10,Parámetros!$D$100,0))),2))</f>
        <v/>
      </c>
      <c r="AU487" s="66" t="str">
        <f t="shared" si="608"/>
        <v/>
      </c>
      <c r="AV487" s="66" t="str">
        <f t="shared" si="608"/>
        <v/>
      </c>
      <c r="AW487" s="66" t="str">
        <f>+IF($W487="","",ROUND((AT487*Parámetros!$G$85),2))</f>
        <v/>
      </c>
      <c r="AX487" s="66" t="str">
        <f>+IF($W487="","",ROUND((AT487*(Parámetros!$G$86)),2))</f>
        <v/>
      </c>
      <c r="AY487" s="66" t="str">
        <f t="shared" si="609"/>
        <v/>
      </c>
      <c r="AZ487" t="str">
        <f t="shared" si="651"/>
        <v/>
      </c>
      <c r="BA487" t="str">
        <f t="shared" si="652"/>
        <v/>
      </c>
      <c r="BB487" s="118" t="str">
        <f t="shared" si="653"/>
        <v/>
      </c>
      <c r="BC487" s="118" t="str">
        <f t="shared" si="654"/>
        <v/>
      </c>
      <c r="BD487" s="119" t="str">
        <f>+IF(OR($W487="",BB487=0),"",ROUND((VLOOKUP(ROUNDDOWN($D487-1/frec,0),cob_adi,AO$40,FALSE)*(1+i/frec)^-0.5*(1+Parámetros!$D$103)*(1+rec_fracc)/frec),6))</f>
        <v/>
      </c>
      <c r="BE487" s="66" t="str">
        <f t="shared" si="610"/>
        <v/>
      </c>
      <c r="BF487" s="119" t="str">
        <f t="shared" si="611"/>
        <v/>
      </c>
      <c r="BG487" s="66" t="str">
        <f>+IF($W487="","",ROUND(IF($B487&gt;Parámetros!$D$107,'Tablas Servicio'!BE487+('Tablas Servicio'!BG486-'Tablas Servicio'!BE486),BE487/(1-IF(B487&lt;=10,Parámetros!$D$100,0))),2))</f>
        <v/>
      </c>
      <c r="BH487" s="66" t="str">
        <f t="shared" si="612"/>
        <v/>
      </c>
      <c r="BI487" s="66" t="str">
        <f t="shared" si="613"/>
        <v/>
      </c>
      <c r="BJ487" s="66" t="str">
        <f>+IF($W487="","",ROUND((BG487*Parámetros!$G$85),2))</f>
        <v/>
      </c>
      <c r="BK487" s="66" t="str">
        <f>+IF($W487="","",ROUND((BG487*(Parámetros!$G$86)),2))</f>
        <v/>
      </c>
      <c r="BL487" s="66" t="str">
        <f t="shared" si="614"/>
        <v/>
      </c>
      <c r="BM487" t="str">
        <f t="shared" si="655"/>
        <v/>
      </c>
      <c r="BN487" t="str">
        <f t="shared" si="656"/>
        <v/>
      </c>
      <c r="BO487" s="118" t="str">
        <f t="shared" si="657"/>
        <v/>
      </c>
      <c r="BP487" s="118" t="str">
        <f t="shared" si="658"/>
        <v/>
      </c>
      <c r="BQ487" s="119" t="str">
        <f>+IF(OR($W487="",BO487=0),"",ROUND((VLOOKUP(ROUNDDOWN($D487-1/frec,0),cob_adi,BB$40,FALSE)*(1+i/frec)^-0.5*(1+Parámetros!$D$103)*(1+rec_fracc)/frec),6))</f>
        <v/>
      </c>
      <c r="BR487" s="66" t="str">
        <f t="shared" si="615"/>
        <v/>
      </c>
      <c r="BS487" s="119" t="str">
        <f t="shared" si="616"/>
        <v/>
      </c>
      <c r="BT487" s="66" t="str">
        <f>+IF($W487="","",ROUND(IF($B487&gt;Parámetros!$D$107,'Tablas Servicio'!BR487+('Tablas Servicio'!BT486-'Tablas Servicio'!BR486),BR487/(1-IF(B487&lt;=10,Parámetros!$D$100,0))),2))</f>
        <v/>
      </c>
      <c r="BU487" s="66" t="str">
        <f t="shared" si="617"/>
        <v/>
      </c>
      <c r="BV487" s="66" t="str">
        <f t="shared" si="617"/>
        <v/>
      </c>
      <c r="BW487" s="66" t="str">
        <f>+IF($W487="","",ROUND((BT487*Parámetros!$G$85),2))</f>
        <v/>
      </c>
      <c r="BX487" s="66" t="str">
        <f>+IF($W487="","",ROUND((BT487*(Parámetros!$G$86)),2))</f>
        <v/>
      </c>
      <c r="BY487" s="66" t="str">
        <f t="shared" si="618"/>
        <v/>
      </c>
      <c r="BZ487" t="str">
        <f t="shared" si="659"/>
        <v/>
      </c>
      <c r="CA487" t="str">
        <f t="shared" si="660"/>
        <v/>
      </c>
      <c r="CB487" s="118" t="str">
        <f t="shared" si="661"/>
        <v/>
      </c>
      <c r="CC487" s="118" t="str">
        <f t="shared" si="662"/>
        <v/>
      </c>
      <c r="CD487" s="119" t="str">
        <f t="shared" si="619"/>
        <v/>
      </c>
      <c r="CE487" s="66" t="str">
        <f>+IF($W487="","",ROUND((VLOOKUP(ROUNDDOWN($D487-1/frec,0),cob_adi,BO$40,FALSE)*(1+i/frec)^-0.5*(1+Parámetros!$D$103)*(1+rec_fracc)/frec*'TABLAS ADI'!$BC$17),2))</f>
        <v/>
      </c>
      <c r="CF487" s="119" t="str">
        <f t="shared" si="620"/>
        <v/>
      </c>
      <c r="CG487" s="66" t="str">
        <f>+IF($W487="","",ROUND(IF($B487&gt;Parámetros!$D$107,'Tablas Servicio'!CE487+('Tablas Servicio'!CG486-'Tablas Servicio'!CE486),CE487/(1-IF(B487&lt;=10,Parámetros!$D$100,0))),2))</f>
        <v/>
      </c>
      <c r="CH487" s="66" t="str">
        <f t="shared" si="621"/>
        <v/>
      </c>
      <c r="CI487" s="66" t="str">
        <f t="shared" si="621"/>
        <v/>
      </c>
      <c r="CJ487" s="66" t="str">
        <f>+IF($W487="","",ROUND((CG487*Parámetros!$G$85),2))</f>
        <v/>
      </c>
      <c r="CK487" s="66" t="str">
        <f>+IF($W487="","",ROUND((CG487*(Parámetros!$G$86)),2))</f>
        <v/>
      </c>
      <c r="CL487" s="66" t="str">
        <f t="shared" si="622"/>
        <v/>
      </c>
      <c r="CM487" t="str">
        <f t="shared" si="663"/>
        <v/>
      </c>
      <c r="CN487" s="118" t="str">
        <f t="shared" si="664"/>
        <v/>
      </c>
      <c r="CO487" s="118" t="str">
        <f t="shared" si="665"/>
        <v/>
      </c>
      <c r="CP487" s="118" t="str">
        <f t="shared" si="666"/>
        <v/>
      </c>
      <c r="CQ487" s="119" t="str">
        <f t="shared" si="623"/>
        <v/>
      </c>
      <c r="CR487" s="66" t="str">
        <f>+IF($W487="","",ROUND((VLOOKUP(Parámetros!$F$51,'COBERTURAS ADICIONALES'!$S$4:$T$32,2,FALSE)*(1+i/frec)^-0.5*(1+Parámetros!$D$103)*(1+rec_fracc)/frec*$CO$42),2))</f>
        <v/>
      </c>
      <c r="CS487" s="119" t="str">
        <f t="shared" si="624"/>
        <v/>
      </c>
      <c r="CT487" s="66" t="str">
        <f>+IF($W487="","",ROUND(IF($B487&gt;Parámetros!$D$107,'Tablas Servicio'!CR487+('Tablas Servicio'!CT486-'Tablas Servicio'!CR486),CR487/(1-IF(B487&lt;=10,Parámetros!$D$100,0))),2))</f>
        <v/>
      </c>
      <c r="CU487" s="66" t="str">
        <f t="shared" si="625"/>
        <v/>
      </c>
      <c r="CV487" s="66" t="str">
        <f t="shared" si="625"/>
        <v/>
      </c>
      <c r="CW487" s="66" t="str">
        <f>+IF($W487="","",ROUND((CT487*Parámetros!$G$85),2))</f>
        <v/>
      </c>
      <c r="CX487" s="66" t="str">
        <f>+IF($W487="","",ROUND((CT487*(Parámetros!$G$86)),2))</f>
        <v/>
      </c>
      <c r="CY487" s="66" t="str">
        <f t="shared" si="626"/>
        <v/>
      </c>
      <c r="CZ487" t="str">
        <f t="shared" si="667"/>
        <v/>
      </c>
      <c r="DA487" s="118" t="str">
        <f t="shared" si="668"/>
        <v/>
      </c>
      <c r="DB487" s="118" t="str">
        <f t="shared" si="669"/>
        <v/>
      </c>
      <c r="DC487" s="118" t="str">
        <f t="shared" si="670"/>
        <v/>
      </c>
      <c r="DD487" s="121" t="str">
        <f>+IF(OR($W487="",DB487=0),"",ROUND((VLOOKUP(ROUNDDOWN($D487-1/frec,0),cob_adi,CO$40,FALSE)*(1+i/frec)^-0.5*(1+Parámetros!$D$103)*(1+rec_fracc)/frec),6))</f>
        <v/>
      </c>
      <c r="DE487" s="66" t="str">
        <f t="shared" si="627"/>
        <v/>
      </c>
      <c r="DF487" s="119" t="str">
        <f t="shared" si="628"/>
        <v/>
      </c>
      <c r="DG487" s="66" t="str">
        <f>+IF($W487="","",ROUND(IF($B487&gt;Parámetros!$D$107,'Tablas Servicio'!DE487+('Tablas Servicio'!DG486-'Tablas Servicio'!DE486),DE487/(1-IF(B487&lt;=10,Parámetros!$D$100,0))),2))</f>
        <v/>
      </c>
      <c r="DH487" s="66" t="str">
        <f t="shared" si="629"/>
        <v/>
      </c>
      <c r="DI487" s="66" t="str">
        <f t="shared" si="629"/>
        <v/>
      </c>
      <c r="DJ487" s="66" t="str">
        <f>+IF($W487="","",ROUND((DG487*Parámetros!$G$85),2))</f>
        <v/>
      </c>
      <c r="DK487" s="66" t="str">
        <f>+IF($W487="","",ROUND((DG487*(Parámetros!$G$86)),2))</f>
        <v/>
      </c>
      <c r="DL487" s="66" t="str">
        <f t="shared" si="630"/>
        <v/>
      </c>
      <c r="DM487" t="str">
        <f t="shared" si="671"/>
        <v/>
      </c>
      <c r="DN487" s="118" t="str">
        <f t="shared" si="672"/>
        <v/>
      </c>
      <c r="DO487" s="118" t="str">
        <f t="shared" si="673"/>
        <v/>
      </c>
      <c r="DP487" s="118" t="str">
        <f t="shared" si="674"/>
        <v/>
      </c>
      <c r="DQ487" s="122" t="str">
        <f>+IF(OR($W487="",DO487=0),"",ROUND((VLOOKUP(ROUNDDOWN($D487-1/frec,0),cob_adi,DB$40,FALSE)*(1+i/frec)^-0.5*(1+Parámetros!$D$103)*(1+rec_fracc)/frec),6))</f>
        <v/>
      </c>
      <c r="DR487" s="66" t="str">
        <f t="shared" si="631"/>
        <v/>
      </c>
      <c r="DS487" s="68" t="str">
        <f t="shared" si="632"/>
        <v/>
      </c>
      <c r="DT487" s="66" t="str">
        <f>+IF($W487="","",ROUND(IF($B487&gt;Parámetros!$D$107,'Tablas Servicio'!DR487+('Tablas Servicio'!DT486-'Tablas Servicio'!DR486),DR487/(1-IF(B487&lt;=10,Parámetros!$D$100,0))),2))</f>
        <v/>
      </c>
      <c r="DU487" s="66" t="str">
        <f t="shared" si="633"/>
        <v/>
      </c>
      <c r="DV487" s="66" t="str">
        <f t="shared" si="633"/>
        <v/>
      </c>
      <c r="DW487" s="66" t="str">
        <f>+IF($W487="","",ROUND((DT487*Parámetros!$G$85),2))</f>
        <v/>
      </c>
      <c r="DX487" s="66" t="str">
        <f>+IF($W487="","",ROUND((DT487*(Parámetros!$G$86)),2))</f>
        <v/>
      </c>
      <c r="DY487" s="66" t="str">
        <f t="shared" si="634"/>
        <v/>
      </c>
      <c r="DZ487" t="str">
        <f t="shared" si="677"/>
        <v/>
      </c>
      <c r="EA487" s="118" t="str">
        <f t="shared" si="677"/>
        <v/>
      </c>
      <c r="EB487" s="118" t="str">
        <f>+IF($W487="","",ROUND(IF(Parámetros!$D$25='TABLAS MORT'!$V$33,EB486,Z487/2),0))</f>
        <v/>
      </c>
      <c r="EC487" s="118" t="str">
        <f t="shared" si="677"/>
        <v/>
      </c>
      <c r="ED487" s="122" t="str">
        <f>+IF(OR($W487="",EB487=0),"",ROUND((VLOOKUP(ROUNDDOWN($D487-1/frec,0),cob_adi,DO$40,FALSE)*(1+i/frec)^-0.5*(1+Parámetros!$D$103)*(1+rec_fracc)/frec),6))</f>
        <v/>
      </c>
      <c r="EE487" s="66" t="str">
        <f t="shared" si="636"/>
        <v/>
      </c>
      <c r="EF487" s="68" t="str">
        <f t="shared" si="637"/>
        <v/>
      </c>
      <c r="EG487" s="66" t="str">
        <f>+IF($W487="","",ROUND(IF($B487&gt;Parámetros!$D$107,'Tablas Servicio'!EE487+('Tablas Servicio'!EG486-'Tablas Servicio'!EE486),EE487/(1-IF(B487&lt;=10,Parámetros!$D$100,0))),2))</f>
        <v/>
      </c>
      <c r="EH487" s="66" t="str">
        <f t="shared" si="638"/>
        <v/>
      </c>
      <c r="EI487" s="66" t="str">
        <f t="shared" si="638"/>
        <v/>
      </c>
      <c r="EJ487" s="66" t="str">
        <f>+IF($W487="","",ROUND((EG487*Parámetros!$G$85),2))</f>
        <v/>
      </c>
      <c r="EK487" s="66" t="str">
        <f>+IF($W487="","",ROUND((EG487*(Parámetros!$G$86)),2))</f>
        <v/>
      </c>
      <c r="EL487" s="66" t="str">
        <f t="shared" si="639"/>
        <v/>
      </c>
    </row>
    <row r="488" spans="1:142" x14ac:dyDescent="0.25">
      <c r="A488" t="str">
        <f>+IF($C488="","",ROUND(VLOOKUP('Tablas Servicio'!B488,Parámetros!$H$100:$J$159,IF(Parámetros!$E$16="F",2,3),FALSE),2))</f>
        <v/>
      </c>
      <c r="B488" t="str">
        <f t="shared" si="590"/>
        <v/>
      </c>
      <c r="C488" s="57" t="str">
        <f>+IF(D488="","",'Tablas Servicio'!C487+1)</f>
        <v/>
      </c>
      <c r="D488" s="56" t="str">
        <f>+IF(D487&lt;edadmaxtabla,D487+1/Parámetros!$E$25,"")</f>
        <v/>
      </c>
      <c r="E488" s="57" t="str">
        <f t="shared" si="600"/>
        <v/>
      </c>
      <c r="F488" s="59" t="str">
        <f t="shared" si="601"/>
        <v/>
      </c>
      <c r="G488" s="66" t="str">
        <f t="shared" si="591"/>
        <v/>
      </c>
      <c r="H488" s="66" t="str">
        <f t="shared" si="592"/>
        <v/>
      </c>
      <c r="I488" s="66" t="str">
        <f t="shared" si="640"/>
        <v/>
      </c>
      <c r="J488" s="66" t="str">
        <f t="shared" si="593"/>
        <v/>
      </c>
      <c r="K488" s="66" t="str">
        <f t="shared" si="594"/>
        <v/>
      </c>
      <c r="L488" s="66" t="str">
        <f t="shared" si="595"/>
        <v/>
      </c>
      <c r="M488" s="66" t="str">
        <f t="shared" si="596"/>
        <v/>
      </c>
      <c r="N488" s="66" t="str">
        <f>+IF(C488="","",ROUND(Parámetros!$D$23,2))</f>
        <v/>
      </c>
      <c r="O488" s="66" t="str">
        <f t="shared" si="597"/>
        <v/>
      </c>
      <c r="P488" s="66" t="str">
        <f>+IF($C488="","",ROUND(IF(B488&gt;Parámetros!$D$117,0,N488*Parámetros!$D$116-G488*Parámetros!$D$100),2))</f>
        <v/>
      </c>
      <c r="Q488" s="75" t="str">
        <f t="shared" si="641"/>
        <v/>
      </c>
      <c r="R488" s="75" t="str">
        <f t="shared" si="642"/>
        <v/>
      </c>
      <c r="S488" s="117" t="str">
        <f>+IF($C488="","",ROUND((S487+I488)*(1+Parámetros!$D$91),2))</f>
        <v/>
      </c>
      <c r="T488" s="117" t="str">
        <f>+IF($C488="","",ROUND(S488*VLOOKUP(B488,Parámetros!$C$30:$D$39,2,TRUE),2))</f>
        <v/>
      </c>
      <c r="U488" s="117" t="str">
        <f>+IF($C488="","",ROUND((U487+I488)*(1+Parámetros!$D$92),2))</f>
        <v/>
      </c>
      <c r="V488" s="117" t="str">
        <f>+IF($C488="","",ROUND(U488*VLOOKUP(B488,Parámetros!$C$30:$D$39,2,TRUE),2))</f>
        <v/>
      </c>
      <c r="W488" s="57" t="str">
        <f t="shared" si="643"/>
        <v/>
      </c>
      <c r="X488" t="str">
        <f t="shared" si="644"/>
        <v/>
      </c>
      <c r="Y488" t="str">
        <f t="shared" si="645"/>
        <v/>
      </c>
      <c r="Z488" s="118" t="str">
        <f>+IF($W488="","",ROUND(IF(Parámetros!$D$25='TABLAS MORT'!$V$33,Z487,Parámetros!$D$21-'Tablas Servicio'!T487),0))</f>
        <v/>
      </c>
      <c r="AA488" s="118" t="str">
        <f t="shared" si="646"/>
        <v/>
      </c>
      <c r="AB488" s="119" t="str">
        <f>+IF(W488="","",ROUND((VLOOKUP(ROUNDDOWN($D488-1/frec,0),qx_tabla,2,FALSE)*(1+i/frec)^-0.5*(1+Parámetros!$D$103)*(1+rec_fracc)/frec),6))</f>
        <v/>
      </c>
      <c r="AC488" s="66" t="str">
        <f t="shared" si="602"/>
        <v/>
      </c>
      <c r="AD488" s="119" t="str">
        <f t="shared" si="598"/>
        <v/>
      </c>
      <c r="AE488" s="66" t="str">
        <f>+IF($W488="","",ROUND(IF($B488&gt;Parámetros!$D$107,'Tablas Servicio'!AC488+('Tablas Servicio'!AG487-'Tablas Servicio'!AC487),AC488/(1-IF(B488&lt;=10,Parámetros!$D$104,Parámetros!$D$105))),2))</f>
        <v/>
      </c>
      <c r="AF488" s="66" t="str">
        <f>+IF($W488="","",ROUND(IF($B488&gt;Parámetros!$D$107,'Tablas Servicio'!AC488+('Tablas Servicio'!AG487-'Tablas Servicio'!AC487),(AC488+$A487/frec)/(1-IF(B488&lt;=Parámetros!$D$117,Parámetros!$D$100,0))),2))</f>
        <v/>
      </c>
      <c r="AG488" s="66" t="str">
        <f t="shared" si="603"/>
        <v/>
      </c>
      <c r="AH488" s="66" t="str">
        <f t="shared" si="604"/>
        <v/>
      </c>
      <c r="AI488" s="66" t="str">
        <f t="shared" si="605"/>
        <v/>
      </c>
      <c r="AJ488" s="66" t="str">
        <f>+IF($W488="","",ROUND((AG488*Parámetros!$G$85),2))</f>
        <v/>
      </c>
      <c r="AK488" s="66" t="str">
        <f>+IF($W488="","",ROUND((AG488*(Parámetros!$G$86)),2))</f>
        <v/>
      </c>
      <c r="AL488" s="66" t="str">
        <f t="shared" si="599"/>
        <v/>
      </c>
      <c r="AM488" t="str">
        <f t="shared" si="647"/>
        <v/>
      </c>
      <c r="AN488" t="str">
        <f t="shared" si="648"/>
        <v/>
      </c>
      <c r="AO488" s="118" t="str">
        <f t="shared" si="649"/>
        <v/>
      </c>
      <c r="AP488" s="118" t="str">
        <f t="shared" si="650"/>
        <v/>
      </c>
      <c r="AQ488" s="119" t="str">
        <f>+IF(OR($W488="",AO488=0),"",ROUND((VLOOKUP(ROUNDDOWN($D488-1/frec,0),cob_adi,Z$40,FALSE)*(1+i/frec)^-0.5*(1+Parámetros!$D$103)*(1+rec_fracc)/frec),6))</f>
        <v/>
      </c>
      <c r="AR488" s="66" t="str">
        <f t="shared" si="606"/>
        <v/>
      </c>
      <c r="AS488" s="119" t="str">
        <f t="shared" si="607"/>
        <v/>
      </c>
      <c r="AT488" s="66" t="str">
        <f>+IF($W488="","",ROUND(IF($B488&gt;Parámetros!$D$107,'Tablas Servicio'!AR488+('Tablas Servicio'!AT487-'Tablas Servicio'!AR487),AR488/(1-IF(B488&lt;=10,Parámetros!$D$100,0))),2))</f>
        <v/>
      </c>
      <c r="AU488" s="66" t="str">
        <f t="shared" si="608"/>
        <v/>
      </c>
      <c r="AV488" s="66" t="str">
        <f t="shared" si="608"/>
        <v/>
      </c>
      <c r="AW488" s="66" t="str">
        <f>+IF($W488="","",ROUND((AT488*Parámetros!$G$85),2))</f>
        <v/>
      </c>
      <c r="AX488" s="66" t="str">
        <f>+IF($W488="","",ROUND((AT488*(Parámetros!$G$86)),2))</f>
        <v/>
      </c>
      <c r="AY488" s="66" t="str">
        <f t="shared" si="609"/>
        <v/>
      </c>
      <c r="AZ488" t="str">
        <f t="shared" si="651"/>
        <v/>
      </c>
      <c r="BA488" t="str">
        <f t="shared" si="652"/>
        <v/>
      </c>
      <c r="BB488" s="118" t="str">
        <f t="shared" si="653"/>
        <v/>
      </c>
      <c r="BC488" s="118" t="str">
        <f t="shared" si="654"/>
        <v/>
      </c>
      <c r="BD488" s="119" t="str">
        <f>+IF(OR($W488="",BB488=0),"",ROUND((VLOOKUP(ROUNDDOWN($D488-1/frec,0),cob_adi,AO$40,FALSE)*(1+i/frec)^-0.5*(1+Parámetros!$D$103)*(1+rec_fracc)/frec),6))</f>
        <v/>
      </c>
      <c r="BE488" s="66" t="str">
        <f t="shared" si="610"/>
        <v/>
      </c>
      <c r="BF488" s="119" t="str">
        <f t="shared" si="611"/>
        <v/>
      </c>
      <c r="BG488" s="66" t="str">
        <f>+IF($W488="","",ROUND(IF($B488&gt;Parámetros!$D$107,'Tablas Servicio'!BE488+('Tablas Servicio'!BG487-'Tablas Servicio'!BE487),BE488/(1-IF(B488&lt;=10,Parámetros!$D$100,0))),2))</f>
        <v/>
      </c>
      <c r="BH488" s="66" t="str">
        <f t="shared" si="612"/>
        <v/>
      </c>
      <c r="BI488" s="66" t="str">
        <f t="shared" si="613"/>
        <v/>
      </c>
      <c r="BJ488" s="66" t="str">
        <f>+IF($W488="","",ROUND((BG488*Parámetros!$G$85),2))</f>
        <v/>
      </c>
      <c r="BK488" s="66" t="str">
        <f>+IF($W488="","",ROUND((BG488*(Parámetros!$G$86)),2))</f>
        <v/>
      </c>
      <c r="BL488" s="66" t="str">
        <f t="shared" si="614"/>
        <v/>
      </c>
      <c r="BM488" t="str">
        <f t="shared" si="655"/>
        <v/>
      </c>
      <c r="BN488" t="str">
        <f t="shared" si="656"/>
        <v/>
      </c>
      <c r="BO488" s="118" t="str">
        <f t="shared" si="657"/>
        <v/>
      </c>
      <c r="BP488" s="118" t="str">
        <f t="shared" si="658"/>
        <v/>
      </c>
      <c r="BQ488" s="119" t="str">
        <f>+IF(OR($W488="",BO488=0),"",ROUND((VLOOKUP(ROUNDDOWN($D488-1/frec,0),cob_adi,BB$40,FALSE)*(1+i/frec)^-0.5*(1+Parámetros!$D$103)*(1+rec_fracc)/frec),6))</f>
        <v/>
      </c>
      <c r="BR488" s="66" t="str">
        <f t="shared" si="615"/>
        <v/>
      </c>
      <c r="BS488" s="119" t="str">
        <f t="shared" si="616"/>
        <v/>
      </c>
      <c r="BT488" s="66" t="str">
        <f>+IF($W488="","",ROUND(IF($B488&gt;Parámetros!$D$107,'Tablas Servicio'!BR488+('Tablas Servicio'!BT487-'Tablas Servicio'!BR487),BR488/(1-IF(B488&lt;=10,Parámetros!$D$100,0))),2))</f>
        <v/>
      </c>
      <c r="BU488" s="66" t="str">
        <f t="shared" si="617"/>
        <v/>
      </c>
      <c r="BV488" s="66" t="str">
        <f t="shared" si="617"/>
        <v/>
      </c>
      <c r="BW488" s="66" t="str">
        <f>+IF($W488="","",ROUND((BT488*Parámetros!$G$85),2))</f>
        <v/>
      </c>
      <c r="BX488" s="66" t="str">
        <f>+IF($W488="","",ROUND((BT488*(Parámetros!$G$86)),2))</f>
        <v/>
      </c>
      <c r="BY488" s="66" t="str">
        <f t="shared" si="618"/>
        <v/>
      </c>
      <c r="BZ488" t="str">
        <f t="shared" si="659"/>
        <v/>
      </c>
      <c r="CA488" t="str">
        <f t="shared" si="660"/>
        <v/>
      </c>
      <c r="CB488" s="118" t="str">
        <f t="shared" si="661"/>
        <v/>
      </c>
      <c r="CC488" s="118" t="str">
        <f t="shared" si="662"/>
        <v/>
      </c>
      <c r="CD488" s="119" t="str">
        <f t="shared" si="619"/>
        <v/>
      </c>
      <c r="CE488" s="66" t="str">
        <f>+IF($W488="","",ROUND((VLOOKUP(ROUNDDOWN($D488-1/frec,0),cob_adi,BO$40,FALSE)*(1+i/frec)^-0.5*(1+Parámetros!$D$103)*(1+rec_fracc)/frec*'TABLAS ADI'!$BC$17),2))</f>
        <v/>
      </c>
      <c r="CF488" s="119" t="str">
        <f t="shared" si="620"/>
        <v/>
      </c>
      <c r="CG488" s="66" t="str">
        <f>+IF($W488="","",ROUND(IF($B488&gt;Parámetros!$D$107,'Tablas Servicio'!CE488+('Tablas Servicio'!CG487-'Tablas Servicio'!CE487),CE488/(1-IF(B488&lt;=10,Parámetros!$D$100,0))),2))</f>
        <v/>
      </c>
      <c r="CH488" s="66" t="str">
        <f t="shared" si="621"/>
        <v/>
      </c>
      <c r="CI488" s="66" t="str">
        <f t="shared" si="621"/>
        <v/>
      </c>
      <c r="CJ488" s="66" t="str">
        <f>+IF($W488="","",ROUND((CG488*Parámetros!$G$85),2))</f>
        <v/>
      </c>
      <c r="CK488" s="66" t="str">
        <f>+IF($W488="","",ROUND((CG488*(Parámetros!$G$86)),2))</f>
        <v/>
      </c>
      <c r="CL488" s="66" t="str">
        <f t="shared" si="622"/>
        <v/>
      </c>
      <c r="CM488" t="str">
        <f t="shared" si="663"/>
        <v/>
      </c>
      <c r="CN488" s="118" t="str">
        <f t="shared" si="664"/>
        <v/>
      </c>
      <c r="CO488" s="118" t="str">
        <f t="shared" si="665"/>
        <v/>
      </c>
      <c r="CP488" s="118" t="str">
        <f t="shared" si="666"/>
        <v/>
      </c>
      <c r="CQ488" s="119" t="str">
        <f t="shared" si="623"/>
        <v/>
      </c>
      <c r="CR488" s="66" t="str">
        <f>+IF($W488="","",ROUND((VLOOKUP(Parámetros!$F$51,'COBERTURAS ADICIONALES'!$S$4:$T$32,2,FALSE)*(1+i/frec)^-0.5*(1+Parámetros!$D$103)*(1+rec_fracc)/frec*$CO$42),2))</f>
        <v/>
      </c>
      <c r="CS488" s="119" t="str">
        <f t="shared" si="624"/>
        <v/>
      </c>
      <c r="CT488" s="66" t="str">
        <f>+IF($W488="","",ROUND(IF($B488&gt;Parámetros!$D$107,'Tablas Servicio'!CR488+('Tablas Servicio'!CT487-'Tablas Servicio'!CR487),CR488/(1-IF(B488&lt;=10,Parámetros!$D$100,0))),2))</f>
        <v/>
      </c>
      <c r="CU488" s="66" t="str">
        <f t="shared" si="625"/>
        <v/>
      </c>
      <c r="CV488" s="66" t="str">
        <f t="shared" si="625"/>
        <v/>
      </c>
      <c r="CW488" s="66" t="str">
        <f>+IF($W488="","",ROUND((CT488*Parámetros!$G$85),2))</f>
        <v/>
      </c>
      <c r="CX488" s="66" t="str">
        <f>+IF($W488="","",ROUND((CT488*(Parámetros!$G$86)),2))</f>
        <v/>
      </c>
      <c r="CY488" s="66" t="str">
        <f t="shared" si="626"/>
        <v/>
      </c>
      <c r="CZ488" t="str">
        <f t="shared" si="667"/>
        <v/>
      </c>
      <c r="DA488" s="118" t="str">
        <f t="shared" si="668"/>
        <v/>
      </c>
      <c r="DB488" s="118" t="str">
        <f t="shared" si="669"/>
        <v/>
      </c>
      <c r="DC488" s="118" t="str">
        <f t="shared" si="670"/>
        <v/>
      </c>
      <c r="DD488" s="121" t="str">
        <f>+IF(OR($W488="",DB488=0),"",ROUND((VLOOKUP(ROUNDDOWN($D488-1/frec,0),cob_adi,CO$40,FALSE)*(1+i/frec)^-0.5*(1+Parámetros!$D$103)*(1+rec_fracc)/frec),6))</f>
        <v/>
      </c>
      <c r="DE488" s="66" t="str">
        <f t="shared" si="627"/>
        <v/>
      </c>
      <c r="DF488" s="119" t="str">
        <f t="shared" si="628"/>
        <v/>
      </c>
      <c r="DG488" s="66" t="str">
        <f>+IF($W488="","",ROUND(IF($B488&gt;Parámetros!$D$107,'Tablas Servicio'!DE488+('Tablas Servicio'!DG487-'Tablas Servicio'!DE487),DE488/(1-IF(B488&lt;=10,Parámetros!$D$100,0))),2))</f>
        <v/>
      </c>
      <c r="DH488" s="66" t="str">
        <f t="shared" si="629"/>
        <v/>
      </c>
      <c r="DI488" s="66" t="str">
        <f t="shared" si="629"/>
        <v/>
      </c>
      <c r="DJ488" s="66" t="str">
        <f>+IF($W488="","",ROUND((DG488*Parámetros!$G$85),2))</f>
        <v/>
      </c>
      <c r="DK488" s="66" t="str">
        <f>+IF($W488="","",ROUND((DG488*(Parámetros!$G$86)),2))</f>
        <v/>
      </c>
      <c r="DL488" s="66" t="str">
        <f t="shared" si="630"/>
        <v/>
      </c>
      <c r="DM488" t="str">
        <f t="shared" si="671"/>
        <v/>
      </c>
      <c r="DN488" s="118" t="str">
        <f t="shared" si="672"/>
        <v/>
      </c>
      <c r="DO488" s="118" t="str">
        <f t="shared" si="673"/>
        <v/>
      </c>
      <c r="DP488" s="118" t="str">
        <f t="shared" si="674"/>
        <v/>
      </c>
      <c r="DQ488" s="122" t="str">
        <f>+IF(OR($W488="",DO488=0),"",ROUND((VLOOKUP(ROUNDDOWN($D488-1/frec,0),cob_adi,DB$40,FALSE)*(1+i/frec)^-0.5*(1+Parámetros!$D$103)*(1+rec_fracc)/frec),6))</f>
        <v/>
      </c>
      <c r="DR488" s="66" t="str">
        <f t="shared" si="631"/>
        <v/>
      </c>
      <c r="DS488" s="68" t="str">
        <f t="shared" si="632"/>
        <v/>
      </c>
      <c r="DT488" s="66" t="str">
        <f>+IF($W488="","",ROUND(IF($B488&gt;Parámetros!$D$107,'Tablas Servicio'!DR488+('Tablas Servicio'!DT487-'Tablas Servicio'!DR487),DR488/(1-IF(B488&lt;=10,Parámetros!$D$100,0))),2))</f>
        <v/>
      </c>
      <c r="DU488" s="66" t="str">
        <f t="shared" si="633"/>
        <v/>
      </c>
      <c r="DV488" s="66" t="str">
        <f t="shared" si="633"/>
        <v/>
      </c>
      <c r="DW488" s="66" t="str">
        <f>+IF($W488="","",ROUND((DT488*Parámetros!$G$85),2))</f>
        <v/>
      </c>
      <c r="DX488" s="66" t="str">
        <f>+IF($W488="","",ROUND((DT488*(Parámetros!$G$86)),2))</f>
        <v/>
      </c>
      <c r="DY488" s="66" t="str">
        <f t="shared" si="634"/>
        <v/>
      </c>
      <c r="DZ488" t="str">
        <f t="shared" si="677"/>
        <v/>
      </c>
      <c r="EA488" s="118" t="str">
        <f t="shared" si="677"/>
        <v/>
      </c>
      <c r="EB488" s="118" t="str">
        <f>+IF($W488="","",ROUND(IF(Parámetros!$D$25='TABLAS MORT'!$V$33,EB487,Z488/2),0))</f>
        <v/>
      </c>
      <c r="EC488" s="118" t="str">
        <f t="shared" si="677"/>
        <v/>
      </c>
      <c r="ED488" s="122" t="str">
        <f>+IF(OR($W488="",EB488=0),"",ROUND((VLOOKUP(ROUNDDOWN($D488-1/frec,0),cob_adi,DO$40,FALSE)*(1+i/frec)^-0.5*(1+Parámetros!$D$103)*(1+rec_fracc)/frec),6))</f>
        <v/>
      </c>
      <c r="EE488" s="66" t="str">
        <f t="shared" si="636"/>
        <v/>
      </c>
      <c r="EF488" s="68" t="str">
        <f t="shared" si="637"/>
        <v/>
      </c>
      <c r="EG488" s="66" t="str">
        <f>+IF($W488="","",ROUND(IF($B488&gt;Parámetros!$D$107,'Tablas Servicio'!EE488+('Tablas Servicio'!EG487-'Tablas Servicio'!EE487),EE488/(1-IF(B488&lt;=10,Parámetros!$D$100,0))),2))</f>
        <v/>
      </c>
      <c r="EH488" s="66" t="str">
        <f t="shared" si="638"/>
        <v/>
      </c>
      <c r="EI488" s="66" t="str">
        <f t="shared" si="638"/>
        <v/>
      </c>
      <c r="EJ488" s="66" t="str">
        <f>+IF($W488="","",ROUND((EG488*Parámetros!$G$85),2))</f>
        <v/>
      </c>
      <c r="EK488" s="66" t="str">
        <f>+IF($W488="","",ROUND((EG488*(Parámetros!$G$86)),2))</f>
        <v/>
      </c>
      <c r="EL488" s="66" t="str">
        <f t="shared" si="639"/>
        <v/>
      </c>
    </row>
    <row r="489" spans="1:142" x14ac:dyDescent="0.25">
      <c r="A489" t="str">
        <f>+IF($C489="","",ROUND(VLOOKUP('Tablas Servicio'!B489,Parámetros!$H$100:$J$159,IF(Parámetros!$E$16="F",2,3),FALSE),2))</f>
        <v/>
      </c>
      <c r="B489" t="str">
        <f t="shared" si="590"/>
        <v/>
      </c>
      <c r="C489" s="57" t="str">
        <f>+IF(D489="","",'Tablas Servicio'!C488+1)</f>
        <v/>
      </c>
      <c r="D489" s="56" t="str">
        <f>+IF(D488&lt;edadmaxtabla,D488+1/Parámetros!$E$25,"")</f>
        <v/>
      </c>
      <c r="E489" s="57" t="str">
        <f t="shared" si="600"/>
        <v/>
      </c>
      <c r="F489" s="59" t="str">
        <f t="shared" si="601"/>
        <v/>
      </c>
      <c r="G489" s="66" t="str">
        <f t="shared" si="591"/>
        <v/>
      </c>
      <c r="H489" s="66" t="str">
        <f t="shared" si="592"/>
        <v/>
      </c>
      <c r="I489" s="66" t="str">
        <f t="shared" si="640"/>
        <v/>
      </c>
      <c r="J489" s="66" t="str">
        <f t="shared" si="593"/>
        <v/>
      </c>
      <c r="K489" s="66" t="str">
        <f t="shared" si="594"/>
        <v/>
      </c>
      <c r="L489" s="66" t="str">
        <f t="shared" si="595"/>
        <v/>
      </c>
      <c r="M489" s="66" t="str">
        <f t="shared" si="596"/>
        <v/>
      </c>
      <c r="N489" s="66" t="str">
        <f>+IF(C489="","",ROUND(Parámetros!$D$23,2))</f>
        <v/>
      </c>
      <c r="O489" s="66" t="str">
        <f t="shared" si="597"/>
        <v/>
      </c>
      <c r="P489" s="66" t="str">
        <f>+IF($C489="","",ROUND(IF(B489&gt;Parámetros!$D$117,0,N489*Parámetros!$D$116-G489*Parámetros!$D$100),2))</f>
        <v/>
      </c>
      <c r="Q489" s="75" t="str">
        <f t="shared" si="641"/>
        <v/>
      </c>
      <c r="R489" s="75" t="str">
        <f t="shared" si="642"/>
        <v/>
      </c>
      <c r="S489" s="117" t="str">
        <f>+IF($C489="","",ROUND((S488+I489)*(1+Parámetros!$D$91),2))</f>
        <v/>
      </c>
      <c r="T489" s="117" t="str">
        <f>+IF($C489="","",ROUND(S489*VLOOKUP(B489,Parámetros!$C$30:$D$39,2,TRUE),2))</f>
        <v/>
      </c>
      <c r="U489" s="117" t="str">
        <f>+IF($C489="","",ROUND((U488+I489)*(1+Parámetros!$D$92),2))</f>
        <v/>
      </c>
      <c r="V489" s="117" t="str">
        <f>+IF($C489="","",ROUND(U489*VLOOKUP(B489,Parámetros!$C$30:$D$39,2,TRUE),2))</f>
        <v/>
      </c>
      <c r="W489" s="57" t="str">
        <f t="shared" si="643"/>
        <v/>
      </c>
      <c r="X489" t="str">
        <f t="shared" si="644"/>
        <v/>
      </c>
      <c r="Y489" t="str">
        <f t="shared" si="645"/>
        <v/>
      </c>
      <c r="Z489" s="118" t="str">
        <f>+IF($W489="","",ROUND(IF(Parámetros!$D$25='TABLAS MORT'!$V$33,Z488,Parámetros!$D$21-'Tablas Servicio'!T488),0))</f>
        <v/>
      </c>
      <c r="AA489" s="118" t="str">
        <f t="shared" si="646"/>
        <v/>
      </c>
      <c r="AB489" s="119" t="str">
        <f>+IF(W489="","",ROUND((VLOOKUP(ROUNDDOWN($D489-1/frec,0),qx_tabla,2,FALSE)*(1+i/frec)^-0.5*(1+Parámetros!$D$103)*(1+rec_fracc)/frec),6))</f>
        <v/>
      </c>
      <c r="AC489" s="66" t="str">
        <f t="shared" si="602"/>
        <v/>
      </c>
      <c r="AD489" s="119" t="str">
        <f t="shared" si="598"/>
        <v/>
      </c>
      <c r="AE489" s="66" t="str">
        <f>+IF($W489="","",ROUND(IF($B489&gt;Parámetros!$D$107,'Tablas Servicio'!AC489+('Tablas Servicio'!AG488-'Tablas Servicio'!AC488),AC489/(1-IF(B489&lt;=10,Parámetros!$D$104,Parámetros!$D$105))),2))</f>
        <v/>
      </c>
      <c r="AF489" s="66" t="str">
        <f>+IF($W489="","",ROUND(IF($B489&gt;Parámetros!$D$107,'Tablas Servicio'!AC489+('Tablas Servicio'!AG488-'Tablas Servicio'!AC488),(AC489+$A488/frec)/(1-IF(B489&lt;=Parámetros!$D$117,Parámetros!$D$100,0))),2))</f>
        <v/>
      </c>
      <c r="AG489" s="66" t="str">
        <f t="shared" si="603"/>
        <v/>
      </c>
      <c r="AH489" s="66" t="str">
        <f t="shared" si="604"/>
        <v/>
      </c>
      <c r="AI489" s="66" t="str">
        <f t="shared" si="605"/>
        <v/>
      </c>
      <c r="AJ489" s="66" t="str">
        <f>+IF($W489="","",ROUND((AG489*Parámetros!$G$85),2))</f>
        <v/>
      </c>
      <c r="AK489" s="66" t="str">
        <f>+IF($W489="","",ROUND((AG489*(Parámetros!$G$86)),2))</f>
        <v/>
      </c>
      <c r="AL489" s="66" t="str">
        <f t="shared" si="599"/>
        <v/>
      </c>
      <c r="AM489" t="str">
        <f t="shared" si="647"/>
        <v/>
      </c>
      <c r="AN489" t="str">
        <f t="shared" si="648"/>
        <v/>
      </c>
      <c r="AO489" s="118" t="str">
        <f t="shared" si="649"/>
        <v/>
      </c>
      <c r="AP489" s="118" t="str">
        <f t="shared" si="650"/>
        <v/>
      </c>
      <c r="AQ489" s="119" t="str">
        <f>+IF(OR($W489="",AO489=0),"",ROUND((VLOOKUP(ROUNDDOWN($D489-1/frec,0),cob_adi,Z$40,FALSE)*(1+i/frec)^-0.5*(1+Parámetros!$D$103)*(1+rec_fracc)/frec),6))</f>
        <v/>
      </c>
      <c r="AR489" s="66" t="str">
        <f t="shared" si="606"/>
        <v/>
      </c>
      <c r="AS489" s="119" t="str">
        <f t="shared" si="607"/>
        <v/>
      </c>
      <c r="AT489" s="66" t="str">
        <f>+IF($W489="","",ROUND(IF($B489&gt;Parámetros!$D$107,'Tablas Servicio'!AR489+('Tablas Servicio'!AT488-'Tablas Servicio'!AR488),AR489/(1-IF(B489&lt;=10,Parámetros!$D$100,0))),2))</f>
        <v/>
      </c>
      <c r="AU489" s="66" t="str">
        <f t="shared" si="608"/>
        <v/>
      </c>
      <c r="AV489" s="66" t="str">
        <f t="shared" si="608"/>
        <v/>
      </c>
      <c r="AW489" s="66" t="str">
        <f>+IF($W489="","",ROUND((AT489*Parámetros!$G$85),2))</f>
        <v/>
      </c>
      <c r="AX489" s="66" t="str">
        <f>+IF($W489="","",ROUND((AT489*(Parámetros!$G$86)),2))</f>
        <v/>
      </c>
      <c r="AY489" s="66" t="str">
        <f t="shared" si="609"/>
        <v/>
      </c>
      <c r="AZ489" t="str">
        <f t="shared" si="651"/>
        <v/>
      </c>
      <c r="BA489" t="str">
        <f t="shared" si="652"/>
        <v/>
      </c>
      <c r="BB489" s="118" t="str">
        <f t="shared" si="653"/>
        <v/>
      </c>
      <c r="BC489" s="118" t="str">
        <f t="shared" si="654"/>
        <v/>
      </c>
      <c r="BD489" s="119" t="str">
        <f>+IF(OR($W489="",BB489=0),"",ROUND((VLOOKUP(ROUNDDOWN($D489-1/frec,0),cob_adi,AO$40,FALSE)*(1+i/frec)^-0.5*(1+Parámetros!$D$103)*(1+rec_fracc)/frec),6))</f>
        <v/>
      </c>
      <c r="BE489" s="66" t="str">
        <f t="shared" si="610"/>
        <v/>
      </c>
      <c r="BF489" s="119" t="str">
        <f t="shared" si="611"/>
        <v/>
      </c>
      <c r="BG489" s="66" t="str">
        <f>+IF($W489="","",ROUND(IF($B489&gt;Parámetros!$D$107,'Tablas Servicio'!BE489+('Tablas Servicio'!BG488-'Tablas Servicio'!BE488),BE489/(1-IF(B489&lt;=10,Parámetros!$D$100,0))),2))</f>
        <v/>
      </c>
      <c r="BH489" s="66" t="str">
        <f t="shared" si="612"/>
        <v/>
      </c>
      <c r="BI489" s="66" t="str">
        <f t="shared" si="613"/>
        <v/>
      </c>
      <c r="BJ489" s="66" t="str">
        <f>+IF($W489="","",ROUND((BG489*Parámetros!$G$85),2))</f>
        <v/>
      </c>
      <c r="BK489" s="66" t="str">
        <f>+IF($W489="","",ROUND((BG489*(Parámetros!$G$86)),2))</f>
        <v/>
      </c>
      <c r="BL489" s="66" t="str">
        <f t="shared" si="614"/>
        <v/>
      </c>
      <c r="BM489" t="str">
        <f t="shared" si="655"/>
        <v/>
      </c>
      <c r="BN489" t="str">
        <f t="shared" si="656"/>
        <v/>
      </c>
      <c r="BO489" s="118" t="str">
        <f t="shared" si="657"/>
        <v/>
      </c>
      <c r="BP489" s="118" t="str">
        <f t="shared" si="658"/>
        <v/>
      </c>
      <c r="BQ489" s="119" t="str">
        <f>+IF(OR($W489="",BO489=0),"",ROUND((VLOOKUP(ROUNDDOWN($D489-1/frec,0),cob_adi,BB$40,FALSE)*(1+i/frec)^-0.5*(1+Parámetros!$D$103)*(1+rec_fracc)/frec),6))</f>
        <v/>
      </c>
      <c r="BR489" s="66" t="str">
        <f t="shared" si="615"/>
        <v/>
      </c>
      <c r="BS489" s="119" t="str">
        <f t="shared" si="616"/>
        <v/>
      </c>
      <c r="BT489" s="66" t="str">
        <f>+IF($W489="","",ROUND(IF($B489&gt;Parámetros!$D$107,'Tablas Servicio'!BR489+('Tablas Servicio'!BT488-'Tablas Servicio'!BR488),BR489/(1-IF(B489&lt;=10,Parámetros!$D$100,0))),2))</f>
        <v/>
      </c>
      <c r="BU489" s="66" t="str">
        <f t="shared" si="617"/>
        <v/>
      </c>
      <c r="BV489" s="66" t="str">
        <f t="shared" si="617"/>
        <v/>
      </c>
      <c r="BW489" s="66" t="str">
        <f>+IF($W489="","",ROUND((BT489*Parámetros!$G$85),2))</f>
        <v/>
      </c>
      <c r="BX489" s="66" t="str">
        <f>+IF($W489="","",ROUND((BT489*(Parámetros!$G$86)),2))</f>
        <v/>
      </c>
      <c r="BY489" s="66" t="str">
        <f t="shared" si="618"/>
        <v/>
      </c>
      <c r="BZ489" t="str">
        <f t="shared" si="659"/>
        <v/>
      </c>
      <c r="CA489" t="str">
        <f t="shared" si="660"/>
        <v/>
      </c>
      <c r="CB489" s="118" t="str">
        <f t="shared" si="661"/>
        <v/>
      </c>
      <c r="CC489" s="118" t="str">
        <f t="shared" si="662"/>
        <v/>
      </c>
      <c r="CD489" s="119" t="str">
        <f t="shared" si="619"/>
        <v/>
      </c>
      <c r="CE489" s="66" t="str">
        <f>+IF($W489="","",ROUND((VLOOKUP(ROUNDDOWN($D489-1/frec,0),cob_adi,BO$40,FALSE)*(1+i/frec)^-0.5*(1+Parámetros!$D$103)*(1+rec_fracc)/frec*'TABLAS ADI'!$BC$17),2))</f>
        <v/>
      </c>
      <c r="CF489" s="119" t="str">
        <f t="shared" si="620"/>
        <v/>
      </c>
      <c r="CG489" s="66" t="str">
        <f>+IF($W489="","",ROUND(IF($B489&gt;Parámetros!$D$107,'Tablas Servicio'!CE489+('Tablas Servicio'!CG488-'Tablas Servicio'!CE488),CE489/(1-IF(B489&lt;=10,Parámetros!$D$100,0))),2))</f>
        <v/>
      </c>
      <c r="CH489" s="66" t="str">
        <f t="shared" si="621"/>
        <v/>
      </c>
      <c r="CI489" s="66" t="str">
        <f t="shared" si="621"/>
        <v/>
      </c>
      <c r="CJ489" s="66" t="str">
        <f>+IF($W489="","",ROUND((CG489*Parámetros!$G$85),2))</f>
        <v/>
      </c>
      <c r="CK489" s="66" t="str">
        <f>+IF($W489="","",ROUND((CG489*(Parámetros!$G$86)),2))</f>
        <v/>
      </c>
      <c r="CL489" s="66" t="str">
        <f t="shared" si="622"/>
        <v/>
      </c>
      <c r="CM489" t="str">
        <f t="shared" si="663"/>
        <v/>
      </c>
      <c r="CN489" s="118" t="str">
        <f t="shared" si="664"/>
        <v/>
      </c>
      <c r="CO489" s="118" t="str">
        <f t="shared" si="665"/>
        <v/>
      </c>
      <c r="CP489" s="118" t="str">
        <f t="shared" si="666"/>
        <v/>
      </c>
      <c r="CQ489" s="119" t="str">
        <f t="shared" si="623"/>
        <v/>
      </c>
      <c r="CR489" s="66" t="str">
        <f>+IF($W489="","",ROUND((VLOOKUP(Parámetros!$F$51,'COBERTURAS ADICIONALES'!$S$4:$T$32,2,FALSE)*(1+i/frec)^-0.5*(1+Parámetros!$D$103)*(1+rec_fracc)/frec*$CO$42),2))</f>
        <v/>
      </c>
      <c r="CS489" s="119" t="str">
        <f t="shared" si="624"/>
        <v/>
      </c>
      <c r="CT489" s="66" t="str">
        <f>+IF($W489="","",ROUND(IF($B489&gt;Parámetros!$D$107,'Tablas Servicio'!CR489+('Tablas Servicio'!CT488-'Tablas Servicio'!CR488),CR489/(1-IF(B489&lt;=10,Parámetros!$D$100,0))),2))</f>
        <v/>
      </c>
      <c r="CU489" s="66" t="str">
        <f t="shared" si="625"/>
        <v/>
      </c>
      <c r="CV489" s="66" t="str">
        <f t="shared" si="625"/>
        <v/>
      </c>
      <c r="CW489" s="66" t="str">
        <f>+IF($W489="","",ROUND((CT489*Parámetros!$G$85),2))</f>
        <v/>
      </c>
      <c r="CX489" s="66" t="str">
        <f>+IF($W489="","",ROUND((CT489*(Parámetros!$G$86)),2))</f>
        <v/>
      </c>
      <c r="CY489" s="66" t="str">
        <f t="shared" si="626"/>
        <v/>
      </c>
      <c r="CZ489" t="str">
        <f t="shared" si="667"/>
        <v/>
      </c>
      <c r="DA489" s="118" t="str">
        <f t="shared" si="668"/>
        <v/>
      </c>
      <c r="DB489" s="118" t="str">
        <f t="shared" si="669"/>
        <v/>
      </c>
      <c r="DC489" s="118" t="str">
        <f t="shared" si="670"/>
        <v/>
      </c>
      <c r="DD489" s="121" t="str">
        <f>+IF(OR($W489="",DB489=0),"",ROUND((VLOOKUP(ROUNDDOWN($D489-1/frec,0),cob_adi,CO$40,FALSE)*(1+i/frec)^-0.5*(1+Parámetros!$D$103)*(1+rec_fracc)/frec),6))</f>
        <v/>
      </c>
      <c r="DE489" s="66" t="str">
        <f t="shared" si="627"/>
        <v/>
      </c>
      <c r="DF489" s="119" t="str">
        <f t="shared" si="628"/>
        <v/>
      </c>
      <c r="DG489" s="66" t="str">
        <f>+IF($W489="","",ROUND(IF($B489&gt;Parámetros!$D$107,'Tablas Servicio'!DE489+('Tablas Servicio'!DG488-'Tablas Servicio'!DE488),DE489/(1-IF(B489&lt;=10,Parámetros!$D$100,0))),2))</f>
        <v/>
      </c>
      <c r="DH489" s="66" t="str">
        <f t="shared" si="629"/>
        <v/>
      </c>
      <c r="DI489" s="66" t="str">
        <f t="shared" si="629"/>
        <v/>
      </c>
      <c r="DJ489" s="66" t="str">
        <f>+IF($W489="","",ROUND((DG489*Parámetros!$G$85),2))</f>
        <v/>
      </c>
      <c r="DK489" s="66" t="str">
        <f>+IF($W489="","",ROUND((DG489*(Parámetros!$G$86)),2))</f>
        <v/>
      </c>
      <c r="DL489" s="66" t="str">
        <f t="shared" si="630"/>
        <v/>
      </c>
      <c r="DM489" t="str">
        <f t="shared" si="671"/>
        <v/>
      </c>
      <c r="DN489" s="118" t="str">
        <f t="shared" si="672"/>
        <v/>
      </c>
      <c r="DO489" s="118" t="str">
        <f t="shared" si="673"/>
        <v/>
      </c>
      <c r="DP489" s="118" t="str">
        <f t="shared" si="674"/>
        <v/>
      </c>
      <c r="DQ489" s="122" t="str">
        <f>+IF(OR($W489="",DO489=0),"",ROUND((VLOOKUP(ROUNDDOWN($D489-1/frec,0),cob_adi,DB$40,FALSE)*(1+i/frec)^-0.5*(1+Parámetros!$D$103)*(1+rec_fracc)/frec),6))</f>
        <v/>
      </c>
      <c r="DR489" s="66" t="str">
        <f t="shared" si="631"/>
        <v/>
      </c>
      <c r="DS489" s="68" t="str">
        <f t="shared" si="632"/>
        <v/>
      </c>
      <c r="DT489" s="66" t="str">
        <f>+IF($W489="","",ROUND(IF($B489&gt;Parámetros!$D$107,'Tablas Servicio'!DR489+('Tablas Servicio'!DT488-'Tablas Servicio'!DR488),DR489/(1-IF(B489&lt;=10,Parámetros!$D$100,0))),2))</f>
        <v/>
      </c>
      <c r="DU489" s="66" t="str">
        <f t="shared" si="633"/>
        <v/>
      </c>
      <c r="DV489" s="66" t="str">
        <f t="shared" si="633"/>
        <v/>
      </c>
      <c r="DW489" s="66" t="str">
        <f>+IF($W489="","",ROUND((DT489*Parámetros!$G$85),2))</f>
        <v/>
      </c>
      <c r="DX489" s="66" t="str">
        <f>+IF($W489="","",ROUND((DT489*(Parámetros!$G$86)),2))</f>
        <v/>
      </c>
      <c r="DY489" s="66" t="str">
        <f t="shared" si="634"/>
        <v/>
      </c>
      <c r="DZ489" t="str">
        <f t="shared" si="677"/>
        <v/>
      </c>
      <c r="EA489" s="118" t="str">
        <f t="shared" si="677"/>
        <v/>
      </c>
      <c r="EB489" s="118" t="str">
        <f>+IF($W489="","",ROUND(IF(Parámetros!$D$25='TABLAS MORT'!$V$33,EB488,Z489/2),0))</f>
        <v/>
      </c>
      <c r="EC489" s="118" t="str">
        <f t="shared" si="677"/>
        <v/>
      </c>
      <c r="ED489" s="122" t="str">
        <f>+IF(OR($W489="",EB489=0),"",ROUND((VLOOKUP(ROUNDDOWN($D489-1/frec,0),cob_adi,DO$40,FALSE)*(1+i/frec)^-0.5*(1+Parámetros!$D$103)*(1+rec_fracc)/frec),6))</f>
        <v/>
      </c>
      <c r="EE489" s="66" t="str">
        <f t="shared" si="636"/>
        <v/>
      </c>
      <c r="EF489" s="68" t="str">
        <f t="shared" si="637"/>
        <v/>
      </c>
      <c r="EG489" s="66" t="str">
        <f>+IF($W489="","",ROUND(IF($B489&gt;Parámetros!$D$107,'Tablas Servicio'!EE489+('Tablas Servicio'!EG488-'Tablas Servicio'!EE488),EE489/(1-IF(B489&lt;=10,Parámetros!$D$100,0))),2))</f>
        <v/>
      </c>
      <c r="EH489" s="66" t="str">
        <f t="shared" si="638"/>
        <v/>
      </c>
      <c r="EI489" s="66" t="str">
        <f t="shared" si="638"/>
        <v/>
      </c>
      <c r="EJ489" s="66" t="str">
        <f>+IF($W489="","",ROUND((EG489*Parámetros!$G$85),2))</f>
        <v/>
      </c>
      <c r="EK489" s="66" t="str">
        <f>+IF($W489="","",ROUND((EG489*(Parámetros!$G$86)),2))</f>
        <v/>
      </c>
      <c r="EL489" s="66" t="str">
        <f t="shared" si="639"/>
        <v/>
      </c>
    </row>
    <row r="490" spans="1:142" x14ac:dyDescent="0.25">
      <c r="A490" t="str">
        <f>+IF($C490="","",ROUND(VLOOKUP('Tablas Servicio'!B490,Parámetros!$H$100:$J$159,IF(Parámetros!$E$16="F",2,3),FALSE),2))</f>
        <v/>
      </c>
      <c r="B490" t="str">
        <f t="shared" ref="B490:B553" si="678">+IF(D490="","",ROUNDUP(C490/frec,0))</f>
        <v/>
      </c>
      <c r="C490" s="57" t="str">
        <f>+IF(D490="","",'Tablas Servicio'!C489+1)</f>
        <v/>
      </c>
      <c r="D490" s="56" t="str">
        <f>+IF(D489&lt;edadmaxtabla,D489+1/Parámetros!$E$25,"")</f>
        <v/>
      </c>
      <c r="E490" s="57" t="str">
        <f t="shared" si="600"/>
        <v/>
      </c>
      <c r="F490" s="59" t="str">
        <f t="shared" si="601"/>
        <v/>
      </c>
      <c r="G490" s="66" t="str">
        <f t="shared" ref="G490:G553" si="679">+IF($C490="","",AG490+AT490+BG490+BT490+CG490+CT490+DG490+DT490+EG490)</f>
        <v/>
      </c>
      <c r="H490" s="66" t="str">
        <f t="shared" ref="H490:H553" si="680">+IF($C490="","",AL490+AY490+BL490+BY490+CL490+CY490+DL490+DY490+EL490)</f>
        <v/>
      </c>
      <c r="I490" s="66" t="str">
        <f t="shared" si="640"/>
        <v/>
      </c>
      <c r="J490" s="66" t="str">
        <f t="shared" ref="J490:J553" si="681">+IF($C490="","",AJ490+AW490+BJ490+BW490+CJ490+CW490+DJ490+DW490+EJ490)</f>
        <v/>
      </c>
      <c r="K490" s="66" t="str">
        <f t="shared" ref="K490:K553" si="682">+IF($C490="","",AK490+AX490+BK490+BX490+CK490+CX490+DK490+DX490+EK490)</f>
        <v/>
      </c>
      <c r="L490" s="66" t="str">
        <f t="shared" ref="L490:L553" si="683">+IF($C490="","",AH490+AU490+BH490+BU490+CH490+CU490+DH490+DU490+EH490)</f>
        <v/>
      </c>
      <c r="M490" s="66" t="str">
        <f t="shared" ref="M490:M553" si="684">+IF($C490="","",AI490+AV490+BI490+BV490+CI490+CV490+DI490+DV490+EI490)</f>
        <v/>
      </c>
      <c r="N490" s="66" t="str">
        <f>+IF(C490="","",ROUND(Parámetros!$D$23,2))</f>
        <v/>
      </c>
      <c r="O490" s="66" t="str">
        <f t="shared" ref="O490:O553" si="685">+IF($C490="","",AC490+AR490+BE490+BR490+CE490+CR490+DE490+DR490+EE490)</f>
        <v/>
      </c>
      <c r="P490" s="66" t="str">
        <f>+IF($C490="","",ROUND(IF(B490&gt;Parámetros!$D$117,0,N490*Parámetros!$D$116-G490*Parámetros!$D$100),2))</f>
        <v/>
      </c>
      <c r="Q490" s="75" t="str">
        <f t="shared" si="641"/>
        <v/>
      </c>
      <c r="R490" s="75" t="str">
        <f t="shared" si="642"/>
        <v/>
      </c>
      <c r="S490" s="117" t="str">
        <f>+IF($C490="","",ROUND((S489+I490)*(1+Parámetros!$D$91),2))</f>
        <v/>
      </c>
      <c r="T490" s="117" t="str">
        <f>+IF($C490="","",ROUND(S490*VLOOKUP(B490,Parámetros!$C$30:$D$39,2,TRUE),2))</f>
        <v/>
      </c>
      <c r="U490" s="117" t="str">
        <f>+IF($C490="","",ROUND((U489+I490)*(1+Parámetros!$D$92),2))</f>
        <v/>
      </c>
      <c r="V490" s="117" t="str">
        <f>+IF($C490="","",ROUND(U490*VLOOKUP(B490,Parámetros!$C$30:$D$39,2,TRUE),2))</f>
        <v/>
      </c>
      <c r="W490" s="57" t="str">
        <f t="shared" si="643"/>
        <v/>
      </c>
      <c r="X490" t="str">
        <f t="shared" si="644"/>
        <v/>
      </c>
      <c r="Y490" t="str">
        <f t="shared" si="645"/>
        <v/>
      </c>
      <c r="Z490" s="118" t="str">
        <f>+IF($W490="","",ROUND(IF(Parámetros!$D$25='TABLAS MORT'!$V$33,Z489,Parámetros!$D$21-'Tablas Servicio'!T489),0))</f>
        <v/>
      </c>
      <c r="AA490" s="118" t="str">
        <f t="shared" si="646"/>
        <v/>
      </c>
      <c r="AB490" s="119" t="str">
        <f>+IF(W490="","",ROUND((VLOOKUP(ROUNDDOWN($D490-1/frec,0),qx_tabla,2,FALSE)*(1+i/frec)^-0.5*(1+Parámetros!$D$103)*(1+rec_fracc)/frec),6))</f>
        <v/>
      </c>
      <c r="AC490" s="66" t="str">
        <f t="shared" si="602"/>
        <v/>
      </c>
      <c r="AD490" s="119" t="str">
        <f t="shared" ref="AD490:AD553" si="686">+IF($W490="","",ROUND((AG490/Z490),6))</f>
        <v/>
      </c>
      <c r="AE490" s="66" t="str">
        <f>+IF($W490="","",ROUND(IF($B490&gt;Parámetros!$D$107,'Tablas Servicio'!AC490+('Tablas Servicio'!AG489-'Tablas Servicio'!AC489),AC490/(1-IF(B490&lt;=10,Parámetros!$D$104,Parámetros!$D$105))),2))</f>
        <v/>
      </c>
      <c r="AF490" s="66" t="str">
        <f>+IF($W490="","",ROUND(IF($B490&gt;Parámetros!$D$107,'Tablas Servicio'!AC490+('Tablas Servicio'!AG489-'Tablas Servicio'!AC489),(AC490+$A489/frec)/(1-IF(B490&lt;=Parámetros!$D$117,Parámetros!$D$100,0))),2))</f>
        <v/>
      </c>
      <c r="AG490" s="66" t="str">
        <f t="shared" si="603"/>
        <v/>
      </c>
      <c r="AH490" s="66" t="str">
        <f t="shared" si="604"/>
        <v/>
      </c>
      <c r="AI490" s="66" t="str">
        <f t="shared" si="605"/>
        <v/>
      </c>
      <c r="AJ490" s="66" t="str">
        <f>+IF($W490="","",ROUND((AG490*Parámetros!$G$85),2))</f>
        <v/>
      </c>
      <c r="AK490" s="66" t="str">
        <f>+IF($W490="","",ROUND((AG490*(Parámetros!$G$86)),2))</f>
        <v/>
      </c>
      <c r="AL490" s="66" t="str">
        <f t="shared" ref="AL490:AL553" si="687">+IF($W490="","",ROUND((AG490+AJ490+AK490),2))</f>
        <v/>
      </c>
      <c r="AM490" t="str">
        <f t="shared" si="647"/>
        <v/>
      </c>
      <c r="AN490" t="str">
        <f t="shared" si="648"/>
        <v/>
      </c>
      <c r="AO490" s="118" t="str">
        <f t="shared" si="649"/>
        <v/>
      </c>
      <c r="AP490" s="118" t="str">
        <f t="shared" si="650"/>
        <v/>
      </c>
      <c r="AQ490" s="119" t="str">
        <f>+IF(OR($W490="",AO490=0),"",ROUND((VLOOKUP(ROUNDDOWN($D490-1/frec,0),cob_adi,Z$40,FALSE)*(1+i/frec)^-0.5*(1+Parámetros!$D$103)*(1+rec_fracc)/frec),6))</f>
        <v/>
      </c>
      <c r="AR490" s="66" t="str">
        <f t="shared" si="606"/>
        <v/>
      </c>
      <c r="AS490" s="119" t="str">
        <f t="shared" si="607"/>
        <v/>
      </c>
      <c r="AT490" s="66" t="str">
        <f>+IF($W490="","",ROUND(IF($B490&gt;Parámetros!$D$107,'Tablas Servicio'!AR490+('Tablas Servicio'!AT489-'Tablas Servicio'!AR489),AR490/(1-IF(B490&lt;=10,Parámetros!$D$100,0))),2))</f>
        <v/>
      </c>
      <c r="AU490" s="66" t="str">
        <f t="shared" si="608"/>
        <v/>
      </c>
      <c r="AV490" s="66" t="str">
        <f t="shared" si="608"/>
        <v/>
      </c>
      <c r="AW490" s="66" t="str">
        <f>+IF($W490="","",ROUND((AT490*Parámetros!$G$85),2))</f>
        <v/>
      </c>
      <c r="AX490" s="66" t="str">
        <f>+IF($W490="","",ROUND((AT490*(Parámetros!$G$86)),2))</f>
        <v/>
      </c>
      <c r="AY490" s="66" t="str">
        <f t="shared" si="609"/>
        <v/>
      </c>
      <c r="AZ490" t="str">
        <f t="shared" si="651"/>
        <v/>
      </c>
      <c r="BA490" t="str">
        <f t="shared" si="652"/>
        <v/>
      </c>
      <c r="BB490" s="118" t="str">
        <f t="shared" si="653"/>
        <v/>
      </c>
      <c r="BC490" s="118" t="str">
        <f t="shared" si="654"/>
        <v/>
      </c>
      <c r="BD490" s="119" t="str">
        <f>+IF(OR($W490="",BB490=0),"",ROUND((VLOOKUP(ROUNDDOWN($D490-1/frec,0),cob_adi,AO$40,FALSE)*(1+i/frec)^-0.5*(1+Parámetros!$D$103)*(1+rec_fracc)/frec),6))</f>
        <v/>
      </c>
      <c r="BE490" s="66" t="str">
        <f t="shared" si="610"/>
        <v/>
      </c>
      <c r="BF490" s="119" t="str">
        <f t="shared" si="611"/>
        <v/>
      </c>
      <c r="BG490" s="66" t="str">
        <f>+IF($W490="","",ROUND(IF($B490&gt;Parámetros!$D$107,'Tablas Servicio'!BE490+('Tablas Servicio'!BG489-'Tablas Servicio'!BE489),BE490/(1-IF(B490&lt;=10,Parámetros!$D$100,0))),2))</f>
        <v/>
      </c>
      <c r="BH490" s="66" t="str">
        <f t="shared" si="612"/>
        <v/>
      </c>
      <c r="BI490" s="66" t="str">
        <f t="shared" si="613"/>
        <v/>
      </c>
      <c r="BJ490" s="66" t="str">
        <f>+IF($W490="","",ROUND((BG490*Parámetros!$G$85),2))</f>
        <v/>
      </c>
      <c r="BK490" s="66" t="str">
        <f>+IF($W490="","",ROUND((BG490*(Parámetros!$G$86)),2))</f>
        <v/>
      </c>
      <c r="BL490" s="66" t="str">
        <f t="shared" si="614"/>
        <v/>
      </c>
      <c r="BM490" t="str">
        <f t="shared" si="655"/>
        <v/>
      </c>
      <c r="BN490" t="str">
        <f t="shared" si="656"/>
        <v/>
      </c>
      <c r="BO490" s="118" t="str">
        <f t="shared" si="657"/>
        <v/>
      </c>
      <c r="BP490" s="118" t="str">
        <f t="shared" si="658"/>
        <v/>
      </c>
      <c r="BQ490" s="119" t="str">
        <f>+IF(OR($W490="",BO490=0),"",ROUND((VLOOKUP(ROUNDDOWN($D490-1/frec,0),cob_adi,BB$40,FALSE)*(1+i/frec)^-0.5*(1+Parámetros!$D$103)*(1+rec_fracc)/frec),6))</f>
        <v/>
      </c>
      <c r="BR490" s="66" t="str">
        <f t="shared" si="615"/>
        <v/>
      </c>
      <c r="BS490" s="119" t="str">
        <f t="shared" si="616"/>
        <v/>
      </c>
      <c r="BT490" s="66" t="str">
        <f>+IF($W490="","",ROUND(IF($B490&gt;Parámetros!$D$107,'Tablas Servicio'!BR490+('Tablas Servicio'!BT489-'Tablas Servicio'!BR489),BR490/(1-IF(B490&lt;=10,Parámetros!$D$100,0))),2))</f>
        <v/>
      </c>
      <c r="BU490" s="66" t="str">
        <f t="shared" si="617"/>
        <v/>
      </c>
      <c r="BV490" s="66" t="str">
        <f t="shared" si="617"/>
        <v/>
      </c>
      <c r="BW490" s="66" t="str">
        <f>+IF($W490="","",ROUND((BT490*Parámetros!$G$85),2))</f>
        <v/>
      </c>
      <c r="BX490" s="66" t="str">
        <f>+IF($W490="","",ROUND((BT490*(Parámetros!$G$86)),2))</f>
        <v/>
      </c>
      <c r="BY490" s="66" t="str">
        <f t="shared" si="618"/>
        <v/>
      </c>
      <c r="BZ490" t="str">
        <f t="shared" si="659"/>
        <v/>
      </c>
      <c r="CA490" t="str">
        <f t="shared" si="660"/>
        <v/>
      </c>
      <c r="CB490" s="118" t="str">
        <f t="shared" si="661"/>
        <v/>
      </c>
      <c r="CC490" s="118" t="str">
        <f t="shared" si="662"/>
        <v/>
      </c>
      <c r="CD490" s="119" t="str">
        <f t="shared" si="619"/>
        <v/>
      </c>
      <c r="CE490" s="66" t="str">
        <f>+IF($W490="","",ROUND((VLOOKUP(ROUNDDOWN($D490-1/frec,0),cob_adi,BO$40,FALSE)*(1+i/frec)^-0.5*(1+Parámetros!$D$103)*(1+rec_fracc)/frec*'TABLAS ADI'!$BC$17),2))</f>
        <v/>
      </c>
      <c r="CF490" s="119" t="str">
        <f t="shared" si="620"/>
        <v/>
      </c>
      <c r="CG490" s="66" t="str">
        <f>+IF($W490="","",ROUND(IF($B490&gt;Parámetros!$D$107,'Tablas Servicio'!CE490+('Tablas Servicio'!CG489-'Tablas Servicio'!CE489),CE490/(1-IF(B490&lt;=10,Parámetros!$D$100,0))),2))</f>
        <v/>
      </c>
      <c r="CH490" s="66" t="str">
        <f t="shared" si="621"/>
        <v/>
      </c>
      <c r="CI490" s="66" t="str">
        <f t="shared" si="621"/>
        <v/>
      </c>
      <c r="CJ490" s="66" t="str">
        <f>+IF($W490="","",ROUND((CG490*Parámetros!$G$85),2))</f>
        <v/>
      </c>
      <c r="CK490" s="66" t="str">
        <f>+IF($W490="","",ROUND((CG490*(Parámetros!$G$86)),2))</f>
        <v/>
      </c>
      <c r="CL490" s="66" t="str">
        <f t="shared" si="622"/>
        <v/>
      </c>
      <c r="CM490" t="str">
        <f t="shared" si="663"/>
        <v/>
      </c>
      <c r="CN490" s="118" t="str">
        <f t="shared" si="664"/>
        <v/>
      </c>
      <c r="CO490" s="118" t="str">
        <f t="shared" si="665"/>
        <v/>
      </c>
      <c r="CP490" s="118" t="str">
        <f t="shared" si="666"/>
        <v/>
      </c>
      <c r="CQ490" s="119" t="str">
        <f t="shared" si="623"/>
        <v/>
      </c>
      <c r="CR490" s="66" t="str">
        <f>+IF($W490="","",ROUND((VLOOKUP(Parámetros!$F$51,'COBERTURAS ADICIONALES'!$S$4:$T$32,2,FALSE)*(1+i/frec)^-0.5*(1+Parámetros!$D$103)*(1+rec_fracc)/frec*$CO$42),2))</f>
        <v/>
      </c>
      <c r="CS490" s="119" t="str">
        <f t="shared" si="624"/>
        <v/>
      </c>
      <c r="CT490" s="66" t="str">
        <f>+IF($W490="","",ROUND(IF($B490&gt;Parámetros!$D$107,'Tablas Servicio'!CR490+('Tablas Servicio'!CT489-'Tablas Servicio'!CR489),CR490/(1-IF(B490&lt;=10,Parámetros!$D$100,0))),2))</f>
        <v/>
      </c>
      <c r="CU490" s="66" t="str">
        <f t="shared" si="625"/>
        <v/>
      </c>
      <c r="CV490" s="66" t="str">
        <f t="shared" si="625"/>
        <v/>
      </c>
      <c r="CW490" s="66" t="str">
        <f>+IF($W490="","",ROUND((CT490*Parámetros!$G$85),2))</f>
        <v/>
      </c>
      <c r="CX490" s="66" t="str">
        <f>+IF($W490="","",ROUND((CT490*(Parámetros!$G$86)),2))</f>
        <v/>
      </c>
      <c r="CY490" s="66" t="str">
        <f t="shared" si="626"/>
        <v/>
      </c>
      <c r="CZ490" t="str">
        <f t="shared" si="667"/>
        <v/>
      </c>
      <c r="DA490" s="118" t="str">
        <f t="shared" si="668"/>
        <v/>
      </c>
      <c r="DB490" s="118" t="str">
        <f t="shared" si="669"/>
        <v/>
      </c>
      <c r="DC490" s="118" t="str">
        <f t="shared" si="670"/>
        <v/>
      </c>
      <c r="DD490" s="121" t="str">
        <f>+IF(OR($W490="",DB490=0),"",ROUND((VLOOKUP(ROUNDDOWN($D490-1/frec,0),cob_adi,CO$40,FALSE)*(1+i/frec)^-0.5*(1+Parámetros!$D$103)*(1+rec_fracc)/frec),6))</f>
        <v/>
      </c>
      <c r="DE490" s="66" t="str">
        <f t="shared" si="627"/>
        <v/>
      </c>
      <c r="DF490" s="119" t="str">
        <f t="shared" si="628"/>
        <v/>
      </c>
      <c r="DG490" s="66" t="str">
        <f>+IF($W490="","",ROUND(IF($B490&gt;Parámetros!$D$107,'Tablas Servicio'!DE490+('Tablas Servicio'!DG489-'Tablas Servicio'!DE489),DE490/(1-IF(B490&lt;=10,Parámetros!$D$100,0))),2))</f>
        <v/>
      </c>
      <c r="DH490" s="66" t="str">
        <f t="shared" si="629"/>
        <v/>
      </c>
      <c r="DI490" s="66" t="str">
        <f t="shared" si="629"/>
        <v/>
      </c>
      <c r="DJ490" s="66" t="str">
        <f>+IF($W490="","",ROUND((DG490*Parámetros!$G$85),2))</f>
        <v/>
      </c>
      <c r="DK490" s="66" t="str">
        <f>+IF($W490="","",ROUND((DG490*(Parámetros!$G$86)),2))</f>
        <v/>
      </c>
      <c r="DL490" s="66" t="str">
        <f t="shared" si="630"/>
        <v/>
      </c>
      <c r="DM490" t="str">
        <f t="shared" si="671"/>
        <v/>
      </c>
      <c r="DN490" s="118" t="str">
        <f t="shared" si="672"/>
        <v/>
      </c>
      <c r="DO490" s="118" t="str">
        <f t="shared" si="673"/>
        <v/>
      </c>
      <c r="DP490" s="118" t="str">
        <f t="shared" si="674"/>
        <v/>
      </c>
      <c r="DQ490" s="122" t="str">
        <f>+IF(OR($W490="",DO490=0),"",ROUND((VLOOKUP(ROUNDDOWN($D490-1/frec,0),cob_adi,DB$40,FALSE)*(1+i/frec)^-0.5*(1+Parámetros!$D$103)*(1+rec_fracc)/frec),6))</f>
        <v/>
      </c>
      <c r="DR490" s="66" t="str">
        <f t="shared" si="631"/>
        <v/>
      </c>
      <c r="DS490" s="68" t="str">
        <f t="shared" si="632"/>
        <v/>
      </c>
      <c r="DT490" s="66" t="str">
        <f>+IF($W490="","",ROUND(IF($B490&gt;Parámetros!$D$107,'Tablas Servicio'!DR490+('Tablas Servicio'!DT489-'Tablas Servicio'!DR489),DR490/(1-IF(B490&lt;=10,Parámetros!$D$100,0))),2))</f>
        <v/>
      </c>
      <c r="DU490" s="66" t="str">
        <f t="shared" si="633"/>
        <v/>
      </c>
      <c r="DV490" s="66" t="str">
        <f t="shared" si="633"/>
        <v/>
      </c>
      <c r="DW490" s="66" t="str">
        <f>+IF($W490="","",ROUND((DT490*Parámetros!$G$85),2))</f>
        <v/>
      </c>
      <c r="DX490" s="66" t="str">
        <f>+IF($W490="","",ROUND((DT490*(Parámetros!$G$86)),2))</f>
        <v/>
      </c>
      <c r="DY490" s="66" t="str">
        <f t="shared" si="634"/>
        <v/>
      </c>
      <c r="DZ490" t="str">
        <f t="shared" si="677"/>
        <v/>
      </c>
      <c r="EA490" s="118" t="str">
        <f t="shared" si="677"/>
        <v/>
      </c>
      <c r="EB490" s="118" t="str">
        <f>+IF($W490="","",ROUND(IF(Parámetros!$D$25='TABLAS MORT'!$V$33,EB489,Z490/2),0))</f>
        <v/>
      </c>
      <c r="EC490" s="118" t="str">
        <f t="shared" si="677"/>
        <v/>
      </c>
      <c r="ED490" s="122" t="str">
        <f>+IF(OR($W490="",EB490=0),"",ROUND((VLOOKUP(ROUNDDOWN($D490-1/frec,0),cob_adi,DO$40,FALSE)*(1+i/frec)^-0.5*(1+Parámetros!$D$103)*(1+rec_fracc)/frec),6))</f>
        <v/>
      </c>
      <c r="EE490" s="66" t="str">
        <f t="shared" si="636"/>
        <v/>
      </c>
      <c r="EF490" s="68" t="str">
        <f t="shared" si="637"/>
        <v/>
      </c>
      <c r="EG490" s="66" t="str">
        <f>+IF($W490="","",ROUND(IF($B490&gt;Parámetros!$D$107,'Tablas Servicio'!EE490+('Tablas Servicio'!EG489-'Tablas Servicio'!EE489),EE490/(1-IF(B490&lt;=10,Parámetros!$D$100,0))),2))</f>
        <v/>
      </c>
      <c r="EH490" s="66" t="str">
        <f t="shared" si="638"/>
        <v/>
      </c>
      <c r="EI490" s="66" t="str">
        <f t="shared" si="638"/>
        <v/>
      </c>
      <c r="EJ490" s="66" t="str">
        <f>+IF($W490="","",ROUND((EG490*Parámetros!$G$85),2))</f>
        <v/>
      </c>
      <c r="EK490" s="66" t="str">
        <f>+IF($W490="","",ROUND((EG490*(Parámetros!$G$86)),2))</f>
        <v/>
      </c>
      <c r="EL490" s="66" t="str">
        <f t="shared" si="639"/>
        <v/>
      </c>
    </row>
    <row r="491" spans="1:142" x14ac:dyDescent="0.25">
      <c r="A491" t="str">
        <f>+IF($C491="","",ROUND(VLOOKUP('Tablas Servicio'!B491,Parámetros!$H$100:$J$159,IF(Parámetros!$E$16="F",2,3),FALSE),2))</f>
        <v/>
      </c>
      <c r="B491" t="str">
        <f t="shared" si="678"/>
        <v/>
      </c>
      <c r="C491" s="57" t="str">
        <f>+IF(D491="","",'Tablas Servicio'!C490+1)</f>
        <v/>
      </c>
      <c r="D491" s="56" t="str">
        <f>+IF(D490&lt;edadmaxtabla,D490+1/Parámetros!$E$25,"")</f>
        <v/>
      </c>
      <c r="E491" s="57" t="str">
        <f t="shared" ref="E491:E554" si="688">+IF(D491="","",ROUNDDOWN(D491,0))</f>
        <v/>
      </c>
      <c r="F491" s="59" t="str">
        <f t="shared" ref="F491:F554" si="689">+Z491</f>
        <v/>
      </c>
      <c r="G491" s="66" t="str">
        <f t="shared" si="679"/>
        <v/>
      </c>
      <c r="H491" s="66" t="str">
        <f t="shared" si="680"/>
        <v/>
      </c>
      <c r="I491" s="66" t="str">
        <f t="shared" si="640"/>
        <v/>
      </c>
      <c r="J491" s="66" t="str">
        <f t="shared" si="681"/>
        <v/>
      </c>
      <c r="K491" s="66" t="str">
        <f t="shared" si="682"/>
        <v/>
      </c>
      <c r="L491" s="66" t="str">
        <f t="shared" si="683"/>
        <v/>
      </c>
      <c r="M491" s="66" t="str">
        <f t="shared" si="684"/>
        <v/>
      </c>
      <c r="N491" s="66" t="str">
        <f>+IF(C491="","",ROUND(Parámetros!$D$23,2))</f>
        <v/>
      </c>
      <c r="O491" s="66" t="str">
        <f t="shared" si="685"/>
        <v/>
      </c>
      <c r="P491" s="66" t="str">
        <f>+IF($C491="","",ROUND(IF(B491&gt;Parámetros!$D$117,0,N491*Parámetros!$D$116-G491*Parámetros!$D$100),2))</f>
        <v/>
      </c>
      <c r="Q491" s="75" t="str">
        <f t="shared" si="641"/>
        <v/>
      </c>
      <c r="R491" s="75" t="str">
        <f t="shared" si="642"/>
        <v/>
      </c>
      <c r="S491" s="117" t="str">
        <f>+IF($C491="","",ROUND((S490+I491)*(1+Parámetros!$D$91),2))</f>
        <v/>
      </c>
      <c r="T491" s="117" t="str">
        <f>+IF($C491="","",ROUND(S491*VLOOKUP(B491,Parámetros!$C$30:$D$39,2,TRUE),2))</f>
        <v/>
      </c>
      <c r="U491" s="117" t="str">
        <f>+IF($C491="","",ROUND((U490+I491)*(1+Parámetros!$D$92),2))</f>
        <v/>
      </c>
      <c r="V491" s="117" t="str">
        <f>+IF($C491="","",ROUND(U491*VLOOKUP(B491,Parámetros!$C$30:$D$39,2,TRUE),2))</f>
        <v/>
      </c>
      <c r="W491" s="57" t="str">
        <f t="shared" si="643"/>
        <v/>
      </c>
      <c r="X491" t="str">
        <f t="shared" si="644"/>
        <v/>
      </c>
      <c r="Y491" t="str">
        <f t="shared" si="645"/>
        <v/>
      </c>
      <c r="Z491" s="118" t="str">
        <f>+IF($W491="","",ROUND(IF(Parámetros!$D$25='TABLAS MORT'!$V$33,Z490,Parámetros!$D$21-'Tablas Servicio'!T490),0))</f>
        <v/>
      </c>
      <c r="AA491" s="118" t="str">
        <f t="shared" si="646"/>
        <v/>
      </c>
      <c r="AB491" s="119" t="str">
        <f>+IF(W491="","",ROUND((VLOOKUP(ROUNDDOWN($D491-1/frec,0),qx_tabla,2,FALSE)*(1+i/frec)^-0.5*(1+Parámetros!$D$103)*(1+rec_fracc)/frec),6))</f>
        <v/>
      </c>
      <c r="AC491" s="66" t="str">
        <f t="shared" ref="AC491:AC554" si="690">+IF($W491="","",ROUND((AB491*Z491),2))</f>
        <v/>
      </c>
      <c r="AD491" s="119" t="str">
        <f t="shared" si="686"/>
        <v/>
      </c>
      <c r="AE491" s="66" t="str">
        <f>+IF($W491="","",ROUND(IF($B491&gt;Parámetros!$D$107,'Tablas Servicio'!AC491+('Tablas Servicio'!AG490-'Tablas Servicio'!AC490),AC491/(1-IF(B491&lt;=10,Parámetros!$D$104,Parámetros!$D$105))),2))</f>
        <v/>
      </c>
      <c r="AF491" s="66" t="str">
        <f>+IF($W491="","",ROUND(IF($B491&gt;Parámetros!$D$107,'Tablas Servicio'!AC491+('Tablas Servicio'!AG490-'Tablas Servicio'!AC490),(AC491+$A490/frec)/(1-IF(B491&lt;=Parámetros!$D$117,Parámetros!$D$100,0))),2))</f>
        <v/>
      </c>
      <c r="AG491" s="66" t="str">
        <f t="shared" ref="AG491:AG554" si="691">+IF($W491="","",MIN(AE491,AF491))</f>
        <v/>
      </c>
      <c r="AH491" s="66" t="str">
        <f t="shared" ref="AH491:AH554" si="692">+IF($W491="","",0)</f>
        <v/>
      </c>
      <c r="AI491" s="66" t="str">
        <f t="shared" ref="AI491:AI554" si="693">IF($W491="","",0)</f>
        <v/>
      </c>
      <c r="AJ491" s="66" t="str">
        <f>+IF($W491="","",ROUND((AG491*Parámetros!$G$85),2))</f>
        <v/>
      </c>
      <c r="AK491" s="66" t="str">
        <f>+IF($W491="","",ROUND((AG491*(Parámetros!$G$86)),2))</f>
        <v/>
      </c>
      <c r="AL491" s="66" t="str">
        <f t="shared" si="687"/>
        <v/>
      </c>
      <c r="AM491" t="str">
        <f t="shared" si="647"/>
        <v/>
      </c>
      <c r="AN491" t="str">
        <f t="shared" si="648"/>
        <v/>
      </c>
      <c r="AO491" s="118" t="str">
        <f t="shared" si="649"/>
        <v/>
      </c>
      <c r="AP491" s="118" t="str">
        <f t="shared" si="650"/>
        <v/>
      </c>
      <c r="AQ491" s="119" t="str">
        <f>+IF(OR($W491="",AO491=0),"",ROUND((VLOOKUP(ROUNDDOWN($D491-1/frec,0),cob_adi,Z$40,FALSE)*(1+i/frec)^-0.5*(1+Parámetros!$D$103)*(1+rec_fracc)/frec),6))</f>
        <v/>
      </c>
      <c r="AR491" s="66" t="str">
        <f t="shared" ref="AR491:AR554" si="694">+IF(AO491=0,0,IF($W491="","",ROUND((AQ491*AO491),2)))</f>
        <v/>
      </c>
      <c r="AS491" s="119" t="str">
        <f t="shared" ref="AS491:AS554" si="695">+IF(OR($W491="",AO491=0),"",ROUND((AT491/AO491),6))</f>
        <v/>
      </c>
      <c r="AT491" s="66" t="str">
        <f>+IF($W491="","",ROUND(IF($B491&gt;Parámetros!$D$107,'Tablas Servicio'!AR491+('Tablas Servicio'!AT490-'Tablas Servicio'!AR490),AR491/(1-IF(B491&lt;=10,Parámetros!$D$100,0))),2))</f>
        <v/>
      </c>
      <c r="AU491" s="66" t="str">
        <f t="shared" ref="AU491:AV554" si="696">+IF($W491="","",0)</f>
        <v/>
      </c>
      <c r="AV491" s="66" t="str">
        <f t="shared" si="696"/>
        <v/>
      </c>
      <c r="AW491" s="66" t="str">
        <f>+IF($W491="","",ROUND((AT491*Parámetros!$G$85),2))</f>
        <v/>
      </c>
      <c r="AX491" s="66" t="str">
        <f>+IF($W491="","",ROUND((AT491*(Parámetros!$G$86)),2))</f>
        <v/>
      </c>
      <c r="AY491" s="66" t="str">
        <f t="shared" ref="AY491:AY554" si="697">+IF($W491="","",ROUND((AT491+AW491+AX491),2))</f>
        <v/>
      </c>
      <c r="AZ491" t="str">
        <f t="shared" si="651"/>
        <v/>
      </c>
      <c r="BA491" t="str">
        <f t="shared" si="652"/>
        <v/>
      </c>
      <c r="BB491" s="118" t="str">
        <f t="shared" si="653"/>
        <v/>
      </c>
      <c r="BC491" s="118" t="str">
        <f t="shared" si="654"/>
        <v/>
      </c>
      <c r="BD491" s="119" t="str">
        <f>+IF(OR($W491="",BB491=0),"",ROUND((VLOOKUP(ROUNDDOWN($D491-1/frec,0),cob_adi,AO$40,FALSE)*(1+i/frec)^-0.5*(1+Parámetros!$D$103)*(1+rec_fracc)/frec),6))</f>
        <v/>
      </c>
      <c r="BE491" s="66" t="str">
        <f t="shared" ref="BE491:BE554" si="698">+IF(BB491=0,0,IF($W491="","",ROUND(((BD491*BB491)),2)))</f>
        <v/>
      </c>
      <c r="BF491" s="119" t="str">
        <f t="shared" ref="BF491:BF554" si="699">+IF(OR($W491="",BB491=0),"",ROUND((BG491/BB491),6))</f>
        <v/>
      </c>
      <c r="BG491" s="66" t="str">
        <f>+IF($W491="","",ROUND(IF($B491&gt;Parámetros!$D$107,'Tablas Servicio'!BE491+('Tablas Servicio'!BG490-'Tablas Servicio'!BE490),BE491/(1-IF(B491&lt;=10,Parámetros!$D$100,0))),2))</f>
        <v/>
      </c>
      <c r="BH491" s="66" t="str">
        <f t="shared" ref="BH491:BH554" si="700">IF($W491="","",0)</f>
        <v/>
      </c>
      <c r="BI491" s="66" t="str">
        <f t="shared" ref="BI491:BI554" si="701">+IF($W491="","",0)</f>
        <v/>
      </c>
      <c r="BJ491" s="66" t="str">
        <f>+IF($W491="","",ROUND((BG491*Parámetros!$G$85),2))</f>
        <v/>
      </c>
      <c r="BK491" s="66" t="str">
        <f>+IF($W491="","",ROUND((BG491*(Parámetros!$G$86)),2))</f>
        <v/>
      </c>
      <c r="BL491" s="66" t="str">
        <f t="shared" ref="BL491:BL554" si="702">+IF($W491="","",ROUND((BG491+BJ491+BK491),2))</f>
        <v/>
      </c>
      <c r="BM491" t="str">
        <f t="shared" si="655"/>
        <v/>
      </c>
      <c r="BN491" t="str">
        <f t="shared" si="656"/>
        <v/>
      </c>
      <c r="BO491" s="118" t="str">
        <f t="shared" si="657"/>
        <v/>
      </c>
      <c r="BP491" s="118" t="str">
        <f t="shared" si="658"/>
        <v/>
      </c>
      <c r="BQ491" s="119" t="str">
        <f>+IF(OR($W491="",BO491=0),"",ROUND((VLOOKUP(ROUNDDOWN($D491-1/frec,0),cob_adi,BB$40,FALSE)*(1+i/frec)^-0.5*(1+Parámetros!$D$103)*(1+rec_fracc)/frec),6))</f>
        <v/>
      </c>
      <c r="BR491" s="66" t="str">
        <f t="shared" ref="BR491:BR554" si="703">+IF(BO491=0,0,IF($W491="","",ROUND(((BQ491*BO491)),2)))</f>
        <v/>
      </c>
      <c r="BS491" s="119" t="str">
        <f t="shared" ref="BS491:BS554" si="704">+IF(OR($W491="",BO491=0),"",ROUND((BT491/BO491),6))</f>
        <v/>
      </c>
      <c r="BT491" s="66" t="str">
        <f>+IF($W491="","",ROUND(IF($B491&gt;Parámetros!$D$107,'Tablas Servicio'!BR491+('Tablas Servicio'!BT490-'Tablas Servicio'!BR490),BR491/(1-IF(B491&lt;=10,Parámetros!$D$100,0))),2))</f>
        <v/>
      </c>
      <c r="BU491" s="66" t="str">
        <f t="shared" ref="BU491:BV554" si="705">+IF($W491="","",0)</f>
        <v/>
      </c>
      <c r="BV491" s="66" t="str">
        <f t="shared" si="705"/>
        <v/>
      </c>
      <c r="BW491" s="66" t="str">
        <f>+IF($W491="","",ROUND((BT491*Parámetros!$G$85),2))</f>
        <v/>
      </c>
      <c r="BX491" s="66" t="str">
        <f>+IF($W491="","",ROUND((BT491*(Parámetros!$G$86)),2))</f>
        <v/>
      </c>
      <c r="BY491" s="66" t="str">
        <f t="shared" ref="BY491:BY554" si="706">+IF($W491="","",ROUND((BT491+BW491+BX491),2))</f>
        <v/>
      </c>
      <c r="BZ491" t="str">
        <f t="shared" si="659"/>
        <v/>
      </c>
      <c r="CA491" t="str">
        <f t="shared" si="660"/>
        <v/>
      </c>
      <c r="CB491" s="118" t="str">
        <f t="shared" si="661"/>
        <v/>
      </c>
      <c r="CC491" s="118" t="str">
        <f t="shared" si="662"/>
        <v/>
      </c>
      <c r="CD491" s="119" t="str">
        <f t="shared" ref="CD491:CD554" si="707">+IF(OR($W491="",CB491=0),"",ROUND((CE491/CB491),6))</f>
        <v/>
      </c>
      <c r="CE491" s="66" t="str">
        <f>+IF($W491="","",ROUND((VLOOKUP(ROUNDDOWN($D491-1/frec,0),cob_adi,BO$40,FALSE)*(1+i/frec)^-0.5*(1+Parámetros!$D$103)*(1+rec_fracc)/frec*'TABLAS ADI'!$BC$17),2))</f>
        <v/>
      </c>
      <c r="CF491" s="119" t="str">
        <f t="shared" ref="CF491:CF554" si="708">+IF(OR($W491="",CB491=0),"",ROUND((CG491/CB491),6))</f>
        <v/>
      </c>
      <c r="CG491" s="66" t="str">
        <f>+IF($W491="","",ROUND(IF($B491&gt;Parámetros!$D$107,'Tablas Servicio'!CE491+('Tablas Servicio'!CG490-'Tablas Servicio'!CE490),CE491/(1-IF(B491&lt;=10,Parámetros!$D$100,0))),2))</f>
        <v/>
      </c>
      <c r="CH491" s="66" t="str">
        <f t="shared" ref="CH491:CI554" si="709">+IF($W491="","",0)</f>
        <v/>
      </c>
      <c r="CI491" s="66" t="str">
        <f t="shared" si="709"/>
        <v/>
      </c>
      <c r="CJ491" s="66" t="str">
        <f>+IF($W491="","",ROUND((CG491*Parámetros!$G$85),2))</f>
        <v/>
      </c>
      <c r="CK491" s="66" t="str">
        <f>+IF($W491="","",ROUND((CG491*(Parámetros!$G$86)),2))</f>
        <v/>
      </c>
      <c r="CL491" s="66" t="str">
        <f t="shared" ref="CL491:CL554" si="710">+IF($W491="","",ROUND((CG491+CJ491+CK491),2))</f>
        <v/>
      </c>
      <c r="CM491" t="str">
        <f t="shared" si="663"/>
        <v/>
      </c>
      <c r="CN491" s="118" t="str">
        <f t="shared" si="664"/>
        <v/>
      </c>
      <c r="CO491" s="118" t="str">
        <f t="shared" si="665"/>
        <v/>
      </c>
      <c r="CP491" s="118" t="str">
        <f t="shared" si="666"/>
        <v/>
      </c>
      <c r="CQ491" s="119" t="str">
        <f t="shared" ref="CQ491:CQ554" si="711">+IF(OR($W491="",CO491=0),"",ROUND((CR491/CO491),6))</f>
        <v/>
      </c>
      <c r="CR491" s="66" t="str">
        <f>+IF($W491="","",ROUND((VLOOKUP(Parámetros!$F$51,'COBERTURAS ADICIONALES'!$S$4:$T$32,2,FALSE)*(1+i/frec)^-0.5*(1+Parámetros!$D$103)*(1+rec_fracc)/frec*$CO$42),2))</f>
        <v/>
      </c>
      <c r="CS491" s="119" t="str">
        <f t="shared" ref="CS491:CS554" si="712">+IF(OR($W491="",CO491=0),"",ROUND((CT491/CO491),6))</f>
        <v/>
      </c>
      <c r="CT491" s="66" t="str">
        <f>+IF($W491="","",ROUND(IF($B491&gt;Parámetros!$D$107,'Tablas Servicio'!CR491+('Tablas Servicio'!CT490-'Tablas Servicio'!CR490),CR491/(1-IF(B491&lt;=10,Parámetros!$D$100,0))),2))</f>
        <v/>
      </c>
      <c r="CU491" s="66" t="str">
        <f t="shared" ref="CU491:CV554" si="713">+IF($W491="","",0)</f>
        <v/>
      </c>
      <c r="CV491" s="66" t="str">
        <f t="shared" si="713"/>
        <v/>
      </c>
      <c r="CW491" s="66" t="str">
        <f>+IF($W491="","",ROUND((CT491*Parámetros!$G$85),2))</f>
        <v/>
      </c>
      <c r="CX491" s="66" t="str">
        <f>+IF($W491="","",ROUND((CT491*(Parámetros!$G$86)),2))</f>
        <v/>
      </c>
      <c r="CY491" s="66" t="str">
        <f t="shared" ref="CY491:CY554" si="714">+IF($W491="","",ROUND((CT491+CW491+CX491),2))</f>
        <v/>
      </c>
      <c r="CZ491" t="str">
        <f t="shared" si="667"/>
        <v/>
      </c>
      <c r="DA491" s="118" t="str">
        <f t="shared" si="668"/>
        <v/>
      </c>
      <c r="DB491" s="118" t="str">
        <f t="shared" si="669"/>
        <v/>
      </c>
      <c r="DC491" s="118" t="str">
        <f t="shared" si="670"/>
        <v/>
      </c>
      <c r="DD491" s="121" t="str">
        <f>+IF(OR($W491="",DB491=0),"",ROUND((VLOOKUP(ROUNDDOWN($D491-1/frec,0),cob_adi,CO$40,FALSE)*(1+i/frec)^-0.5*(1+Parámetros!$D$103)*(1+rec_fracc)/frec),6))</f>
        <v/>
      </c>
      <c r="DE491" s="66" t="str">
        <f t="shared" ref="DE491:DE554" si="715">+IF(DB491=0,0,IF($W491="","",ROUND(((DD491*DB491)),2)))</f>
        <v/>
      </c>
      <c r="DF491" s="119" t="str">
        <f t="shared" ref="DF491:DF554" si="716">+IF(OR($W491="",DB491=0),"",ROUND((DG491/DB491),6))</f>
        <v/>
      </c>
      <c r="DG491" s="66" t="str">
        <f>+IF($W491="","",ROUND(IF($B491&gt;Parámetros!$D$107,'Tablas Servicio'!DE491+('Tablas Servicio'!DG490-'Tablas Servicio'!DE490),DE491/(1-IF(B491&lt;=10,Parámetros!$D$100,0))),2))</f>
        <v/>
      </c>
      <c r="DH491" s="66" t="str">
        <f t="shared" ref="DH491:DI554" si="717">+IF($W491="","",0)</f>
        <v/>
      </c>
      <c r="DI491" s="66" t="str">
        <f t="shared" si="717"/>
        <v/>
      </c>
      <c r="DJ491" s="66" t="str">
        <f>+IF($W491="","",ROUND((DG491*Parámetros!$G$85),2))</f>
        <v/>
      </c>
      <c r="DK491" s="66" t="str">
        <f>+IF($W491="","",ROUND((DG491*(Parámetros!$G$86)),2))</f>
        <v/>
      </c>
      <c r="DL491" s="66" t="str">
        <f t="shared" ref="DL491:DL554" si="718">+IF($W491="","",ROUND((DG491+DJ491+DK491),2))</f>
        <v/>
      </c>
      <c r="DM491" t="str">
        <f t="shared" si="671"/>
        <v/>
      </c>
      <c r="DN491" s="118" t="str">
        <f t="shared" si="672"/>
        <v/>
      </c>
      <c r="DO491" s="118" t="str">
        <f t="shared" si="673"/>
        <v/>
      </c>
      <c r="DP491" s="118" t="str">
        <f t="shared" si="674"/>
        <v/>
      </c>
      <c r="DQ491" s="122" t="str">
        <f>+IF(OR($W491="",DO491=0),"",ROUND((VLOOKUP(ROUNDDOWN($D491-1/frec,0),cob_adi,DB$40,FALSE)*(1+i/frec)^-0.5*(1+Parámetros!$D$103)*(1+rec_fracc)/frec),6))</f>
        <v/>
      </c>
      <c r="DR491" s="66" t="str">
        <f t="shared" ref="DR491:DR554" si="719">+IF(DO491=0,0,IF($W491="","",ROUND(((DQ491*DO491)),2)))</f>
        <v/>
      </c>
      <c r="DS491" s="68" t="str">
        <f t="shared" ref="DS491:DS554" si="720">+IF(OR($W491="",DO491=0),"",ROUND((DT491/DO491),6))</f>
        <v/>
      </c>
      <c r="DT491" s="66" t="str">
        <f>+IF($W491="","",ROUND(IF($B491&gt;Parámetros!$D$107,'Tablas Servicio'!DR491+('Tablas Servicio'!DT490-'Tablas Servicio'!DR490),DR491/(1-IF(B491&lt;=10,Parámetros!$D$100,0))),2))</f>
        <v/>
      </c>
      <c r="DU491" s="66" t="str">
        <f t="shared" ref="DU491:DV554" si="721">+IF($W491="","",0)</f>
        <v/>
      </c>
      <c r="DV491" s="66" t="str">
        <f t="shared" si="721"/>
        <v/>
      </c>
      <c r="DW491" s="66" t="str">
        <f>+IF($W491="","",ROUND((DT491*Parámetros!$G$85),2))</f>
        <v/>
      </c>
      <c r="DX491" s="66" t="str">
        <f>+IF($W491="","",ROUND((DT491*(Parámetros!$G$86)),2))</f>
        <v/>
      </c>
      <c r="DY491" s="66" t="str">
        <f t="shared" ref="DY491:DY554" si="722">+IF($W491="","",ROUND((DT491+DW491+DX491),2))</f>
        <v/>
      </c>
      <c r="DZ491" t="str">
        <f t="shared" ref="DZ491:EC506" si="723">+IF($W491="","",DZ490)</f>
        <v/>
      </c>
      <c r="EA491" s="118" t="str">
        <f t="shared" si="723"/>
        <v/>
      </c>
      <c r="EB491" s="118" t="str">
        <f>+IF($W491="","",ROUND(IF(Parámetros!$D$25='TABLAS MORT'!$V$33,EB490,Z491/2),0))</f>
        <v/>
      </c>
      <c r="EC491" s="118" t="str">
        <f t="shared" si="723"/>
        <v/>
      </c>
      <c r="ED491" s="122" t="str">
        <f>+IF(OR($W491="",EB491=0),"",ROUND((VLOOKUP(ROUNDDOWN($D491-1/frec,0),cob_adi,DO$40,FALSE)*(1+i/frec)^-0.5*(1+Parámetros!$D$103)*(1+rec_fracc)/frec),6))</f>
        <v/>
      </c>
      <c r="EE491" s="66" t="str">
        <f t="shared" ref="EE491:EE554" si="724">+IF(EB491=0,0,IF($W491="","",ROUND(((ED491*EB491)),2)))</f>
        <v/>
      </c>
      <c r="EF491" s="68" t="str">
        <f t="shared" ref="EF491:EF554" si="725">+IF(OR($W491="",EB491=0),"",ROUND((EG491/EB491),6))</f>
        <v/>
      </c>
      <c r="EG491" s="66" t="str">
        <f>+IF($W491="","",ROUND(IF($B491&gt;Parámetros!$D$107,'Tablas Servicio'!EE491+('Tablas Servicio'!EG490-'Tablas Servicio'!EE490),EE491/(1-IF(B491&lt;=10,Parámetros!$D$100,0))),2))</f>
        <v/>
      </c>
      <c r="EH491" s="66" t="str">
        <f t="shared" ref="EH491:EI554" si="726">+IF($W491="","",0)</f>
        <v/>
      </c>
      <c r="EI491" s="66" t="str">
        <f t="shared" si="726"/>
        <v/>
      </c>
      <c r="EJ491" s="66" t="str">
        <f>+IF($W491="","",ROUND((EG491*Parámetros!$G$85),2))</f>
        <v/>
      </c>
      <c r="EK491" s="66" t="str">
        <f>+IF($W491="","",ROUND((EG491*(Parámetros!$G$86)),2))</f>
        <v/>
      </c>
      <c r="EL491" s="66" t="str">
        <f t="shared" ref="EL491:EL554" si="727">+IF($W491="","",ROUND((EG491+EJ491+EK491),2))</f>
        <v/>
      </c>
    </row>
    <row r="492" spans="1:142" x14ac:dyDescent="0.25">
      <c r="A492" t="str">
        <f>+IF($C492="","",ROUND(VLOOKUP('Tablas Servicio'!B492,Parámetros!$H$100:$J$159,IF(Parámetros!$E$16="F",2,3),FALSE),2))</f>
        <v/>
      </c>
      <c r="B492" t="str">
        <f t="shared" si="678"/>
        <v/>
      </c>
      <c r="C492" s="57" t="str">
        <f>+IF(D492="","",'Tablas Servicio'!C491+1)</f>
        <v/>
      </c>
      <c r="D492" s="56" t="str">
        <f>+IF(D491&lt;edadmaxtabla,D491+1/Parámetros!$E$25,"")</f>
        <v/>
      </c>
      <c r="E492" s="57" t="str">
        <f t="shared" si="688"/>
        <v/>
      </c>
      <c r="F492" s="59" t="str">
        <f t="shared" si="689"/>
        <v/>
      </c>
      <c r="G492" s="66" t="str">
        <f t="shared" si="679"/>
        <v/>
      </c>
      <c r="H492" s="66" t="str">
        <f t="shared" si="680"/>
        <v/>
      </c>
      <c r="I492" s="66" t="str">
        <f t="shared" si="640"/>
        <v/>
      </c>
      <c r="J492" s="66" t="str">
        <f t="shared" si="681"/>
        <v/>
      </c>
      <c r="K492" s="66" t="str">
        <f t="shared" si="682"/>
        <v/>
      </c>
      <c r="L492" s="66" t="str">
        <f t="shared" si="683"/>
        <v/>
      </c>
      <c r="M492" s="66" t="str">
        <f t="shared" si="684"/>
        <v/>
      </c>
      <c r="N492" s="66" t="str">
        <f>+IF(C492="","",ROUND(Parámetros!$D$23,2))</f>
        <v/>
      </c>
      <c r="O492" s="66" t="str">
        <f t="shared" si="685"/>
        <v/>
      </c>
      <c r="P492" s="66" t="str">
        <f>+IF($C492="","",ROUND(IF(B492&gt;Parámetros!$D$117,0,N492*Parámetros!$D$116-G492*Parámetros!$D$100),2))</f>
        <v/>
      </c>
      <c r="Q492" s="75" t="str">
        <f t="shared" si="641"/>
        <v/>
      </c>
      <c r="R492" s="75" t="str">
        <f t="shared" si="642"/>
        <v/>
      </c>
      <c r="S492" s="117" t="str">
        <f>+IF($C492="","",ROUND((S491+I492)*(1+Parámetros!$D$91),2))</f>
        <v/>
      </c>
      <c r="T492" s="117" t="str">
        <f>+IF($C492="","",ROUND(S492*VLOOKUP(B492,Parámetros!$C$30:$D$39,2,TRUE),2))</f>
        <v/>
      </c>
      <c r="U492" s="117" t="str">
        <f>+IF($C492="","",ROUND((U491+I492)*(1+Parámetros!$D$92),2))</f>
        <v/>
      </c>
      <c r="V492" s="117" t="str">
        <f>+IF($C492="","",ROUND(U492*VLOOKUP(B492,Parámetros!$C$30:$D$39,2,TRUE),2))</f>
        <v/>
      </c>
      <c r="W492" s="57" t="str">
        <f t="shared" si="643"/>
        <v/>
      </c>
      <c r="X492" t="str">
        <f t="shared" si="644"/>
        <v/>
      </c>
      <c r="Y492" t="str">
        <f t="shared" si="645"/>
        <v/>
      </c>
      <c r="Z492" s="118" t="str">
        <f>+IF($W492="","",ROUND(IF(Parámetros!$D$25='TABLAS MORT'!$V$33,Z491,Parámetros!$D$21-'Tablas Servicio'!T491),0))</f>
        <v/>
      </c>
      <c r="AA492" s="118" t="str">
        <f t="shared" si="646"/>
        <v/>
      </c>
      <c r="AB492" s="119" t="str">
        <f>+IF(W492="","",ROUND((VLOOKUP(ROUNDDOWN($D492-1/frec,0),qx_tabla,2,FALSE)*(1+i/frec)^-0.5*(1+Parámetros!$D$103)*(1+rec_fracc)/frec),6))</f>
        <v/>
      </c>
      <c r="AC492" s="66" t="str">
        <f t="shared" si="690"/>
        <v/>
      </c>
      <c r="AD492" s="119" t="str">
        <f t="shared" si="686"/>
        <v/>
      </c>
      <c r="AE492" s="66" t="str">
        <f>+IF($W492="","",ROUND(IF($B492&gt;Parámetros!$D$107,'Tablas Servicio'!AC492+('Tablas Servicio'!AG491-'Tablas Servicio'!AC491),AC492/(1-IF(B492&lt;=10,Parámetros!$D$104,Parámetros!$D$105))),2))</f>
        <v/>
      </c>
      <c r="AF492" s="66" t="str">
        <f>+IF($W492="","",ROUND(IF($B492&gt;Parámetros!$D$107,'Tablas Servicio'!AC492+('Tablas Servicio'!AG491-'Tablas Servicio'!AC491),(AC492+$A491/frec)/(1-IF(B492&lt;=Parámetros!$D$117,Parámetros!$D$100,0))),2))</f>
        <v/>
      </c>
      <c r="AG492" s="66" t="str">
        <f t="shared" si="691"/>
        <v/>
      </c>
      <c r="AH492" s="66" t="str">
        <f t="shared" si="692"/>
        <v/>
      </c>
      <c r="AI492" s="66" t="str">
        <f t="shared" si="693"/>
        <v/>
      </c>
      <c r="AJ492" s="66" t="str">
        <f>+IF($W492="","",ROUND((AG492*Parámetros!$G$85),2))</f>
        <v/>
      </c>
      <c r="AK492" s="66" t="str">
        <f>+IF($W492="","",ROUND((AG492*(Parámetros!$G$86)),2))</f>
        <v/>
      </c>
      <c r="AL492" s="66" t="str">
        <f t="shared" si="687"/>
        <v/>
      </c>
      <c r="AM492" t="str">
        <f t="shared" si="647"/>
        <v/>
      </c>
      <c r="AN492" t="str">
        <f t="shared" si="648"/>
        <v/>
      </c>
      <c r="AO492" s="118" t="str">
        <f t="shared" si="649"/>
        <v/>
      </c>
      <c r="AP492" s="118" t="str">
        <f t="shared" si="650"/>
        <v/>
      </c>
      <c r="AQ492" s="119" t="str">
        <f>+IF(OR($W492="",AO492=0),"",ROUND((VLOOKUP(ROUNDDOWN($D492-1/frec,0),cob_adi,Z$40,FALSE)*(1+i/frec)^-0.5*(1+Parámetros!$D$103)*(1+rec_fracc)/frec),6))</f>
        <v/>
      </c>
      <c r="AR492" s="66" t="str">
        <f t="shared" si="694"/>
        <v/>
      </c>
      <c r="AS492" s="119" t="str">
        <f t="shared" si="695"/>
        <v/>
      </c>
      <c r="AT492" s="66" t="str">
        <f>+IF($W492="","",ROUND(IF($B492&gt;Parámetros!$D$107,'Tablas Servicio'!AR492+('Tablas Servicio'!AT491-'Tablas Servicio'!AR491),AR492/(1-IF(B492&lt;=10,Parámetros!$D$100,0))),2))</f>
        <v/>
      </c>
      <c r="AU492" s="66" t="str">
        <f t="shared" si="696"/>
        <v/>
      </c>
      <c r="AV492" s="66" t="str">
        <f t="shared" si="696"/>
        <v/>
      </c>
      <c r="AW492" s="66" t="str">
        <f>+IF($W492="","",ROUND((AT492*Parámetros!$G$85),2))</f>
        <v/>
      </c>
      <c r="AX492" s="66" t="str">
        <f>+IF($W492="","",ROUND((AT492*(Parámetros!$G$86)),2))</f>
        <v/>
      </c>
      <c r="AY492" s="66" t="str">
        <f t="shared" si="697"/>
        <v/>
      </c>
      <c r="AZ492" t="str">
        <f t="shared" si="651"/>
        <v/>
      </c>
      <c r="BA492" t="str">
        <f t="shared" si="652"/>
        <v/>
      </c>
      <c r="BB492" s="118" t="str">
        <f t="shared" si="653"/>
        <v/>
      </c>
      <c r="BC492" s="118" t="str">
        <f t="shared" si="654"/>
        <v/>
      </c>
      <c r="BD492" s="119" t="str">
        <f>+IF(OR($W492="",BB492=0),"",ROUND((VLOOKUP(ROUNDDOWN($D492-1/frec,0),cob_adi,AO$40,FALSE)*(1+i/frec)^-0.5*(1+Parámetros!$D$103)*(1+rec_fracc)/frec),6))</f>
        <v/>
      </c>
      <c r="BE492" s="66" t="str">
        <f t="shared" si="698"/>
        <v/>
      </c>
      <c r="BF492" s="119" t="str">
        <f t="shared" si="699"/>
        <v/>
      </c>
      <c r="BG492" s="66" t="str">
        <f>+IF($W492="","",ROUND(IF($B492&gt;Parámetros!$D$107,'Tablas Servicio'!BE492+('Tablas Servicio'!BG491-'Tablas Servicio'!BE491),BE492/(1-IF(B492&lt;=10,Parámetros!$D$100,0))),2))</f>
        <v/>
      </c>
      <c r="BH492" s="66" t="str">
        <f t="shared" si="700"/>
        <v/>
      </c>
      <c r="BI492" s="66" t="str">
        <f t="shared" si="701"/>
        <v/>
      </c>
      <c r="BJ492" s="66" t="str">
        <f>+IF($W492="","",ROUND((BG492*Parámetros!$G$85),2))</f>
        <v/>
      </c>
      <c r="BK492" s="66" t="str">
        <f>+IF($W492="","",ROUND((BG492*(Parámetros!$G$86)),2))</f>
        <v/>
      </c>
      <c r="BL492" s="66" t="str">
        <f t="shared" si="702"/>
        <v/>
      </c>
      <c r="BM492" t="str">
        <f t="shared" si="655"/>
        <v/>
      </c>
      <c r="BN492" t="str">
        <f t="shared" si="656"/>
        <v/>
      </c>
      <c r="BO492" s="118" t="str">
        <f t="shared" si="657"/>
        <v/>
      </c>
      <c r="BP492" s="118" t="str">
        <f t="shared" si="658"/>
        <v/>
      </c>
      <c r="BQ492" s="119" t="str">
        <f>+IF(OR($W492="",BO492=0),"",ROUND((VLOOKUP(ROUNDDOWN($D492-1/frec,0),cob_adi,BB$40,FALSE)*(1+i/frec)^-0.5*(1+Parámetros!$D$103)*(1+rec_fracc)/frec),6))</f>
        <v/>
      </c>
      <c r="BR492" s="66" t="str">
        <f t="shared" si="703"/>
        <v/>
      </c>
      <c r="BS492" s="119" t="str">
        <f t="shared" si="704"/>
        <v/>
      </c>
      <c r="BT492" s="66" t="str">
        <f>+IF($W492="","",ROUND(IF($B492&gt;Parámetros!$D$107,'Tablas Servicio'!BR492+('Tablas Servicio'!BT491-'Tablas Servicio'!BR491),BR492/(1-IF(B492&lt;=10,Parámetros!$D$100,0))),2))</f>
        <v/>
      </c>
      <c r="BU492" s="66" t="str">
        <f t="shared" si="705"/>
        <v/>
      </c>
      <c r="BV492" s="66" t="str">
        <f t="shared" si="705"/>
        <v/>
      </c>
      <c r="BW492" s="66" t="str">
        <f>+IF($W492="","",ROUND((BT492*Parámetros!$G$85),2))</f>
        <v/>
      </c>
      <c r="BX492" s="66" t="str">
        <f>+IF($W492="","",ROUND((BT492*(Parámetros!$G$86)),2))</f>
        <v/>
      </c>
      <c r="BY492" s="66" t="str">
        <f t="shared" si="706"/>
        <v/>
      </c>
      <c r="BZ492" t="str">
        <f t="shared" si="659"/>
        <v/>
      </c>
      <c r="CA492" t="str">
        <f t="shared" si="660"/>
        <v/>
      </c>
      <c r="CB492" s="118" t="str">
        <f t="shared" si="661"/>
        <v/>
      </c>
      <c r="CC492" s="118" t="str">
        <f t="shared" si="662"/>
        <v/>
      </c>
      <c r="CD492" s="119" t="str">
        <f t="shared" si="707"/>
        <v/>
      </c>
      <c r="CE492" s="66" t="str">
        <f>+IF($W492="","",ROUND((VLOOKUP(ROUNDDOWN($D492-1/frec,0),cob_adi,BO$40,FALSE)*(1+i/frec)^-0.5*(1+Parámetros!$D$103)*(1+rec_fracc)/frec*'TABLAS ADI'!$BC$17),2))</f>
        <v/>
      </c>
      <c r="CF492" s="119" t="str">
        <f t="shared" si="708"/>
        <v/>
      </c>
      <c r="CG492" s="66" t="str">
        <f>+IF($W492="","",ROUND(IF($B492&gt;Parámetros!$D$107,'Tablas Servicio'!CE492+('Tablas Servicio'!CG491-'Tablas Servicio'!CE491),CE492/(1-IF(B492&lt;=10,Parámetros!$D$100,0))),2))</f>
        <v/>
      </c>
      <c r="CH492" s="66" t="str">
        <f t="shared" si="709"/>
        <v/>
      </c>
      <c r="CI492" s="66" t="str">
        <f t="shared" si="709"/>
        <v/>
      </c>
      <c r="CJ492" s="66" t="str">
        <f>+IF($W492="","",ROUND((CG492*Parámetros!$G$85),2))</f>
        <v/>
      </c>
      <c r="CK492" s="66" t="str">
        <f>+IF($W492="","",ROUND((CG492*(Parámetros!$G$86)),2))</f>
        <v/>
      </c>
      <c r="CL492" s="66" t="str">
        <f t="shared" si="710"/>
        <v/>
      </c>
      <c r="CM492" t="str">
        <f t="shared" si="663"/>
        <v/>
      </c>
      <c r="CN492" s="118" t="str">
        <f t="shared" si="664"/>
        <v/>
      </c>
      <c r="CO492" s="118" t="str">
        <f t="shared" si="665"/>
        <v/>
      </c>
      <c r="CP492" s="118" t="str">
        <f t="shared" si="666"/>
        <v/>
      </c>
      <c r="CQ492" s="119" t="str">
        <f t="shared" si="711"/>
        <v/>
      </c>
      <c r="CR492" s="66" t="str">
        <f>+IF($W492="","",ROUND((VLOOKUP(Parámetros!$F$51,'COBERTURAS ADICIONALES'!$S$4:$T$32,2,FALSE)*(1+i/frec)^-0.5*(1+Parámetros!$D$103)*(1+rec_fracc)/frec*$CO$42),2))</f>
        <v/>
      </c>
      <c r="CS492" s="119" t="str">
        <f t="shared" si="712"/>
        <v/>
      </c>
      <c r="CT492" s="66" t="str">
        <f>+IF($W492="","",ROUND(IF($B492&gt;Parámetros!$D$107,'Tablas Servicio'!CR492+('Tablas Servicio'!CT491-'Tablas Servicio'!CR491),CR492/(1-IF(B492&lt;=10,Parámetros!$D$100,0))),2))</f>
        <v/>
      </c>
      <c r="CU492" s="66" t="str">
        <f t="shared" si="713"/>
        <v/>
      </c>
      <c r="CV492" s="66" t="str">
        <f t="shared" si="713"/>
        <v/>
      </c>
      <c r="CW492" s="66" t="str">
        <f>+IF($W492="","",ROUND((CT492*Parámetros!$G$85),2))</f>
        <v/>
      </c>
      <c r="CX492" s="66" t="str">
        <f>+IF($W492="","",ROUND((CT492*(Parámetros!$G$86)),2))</f>
        <v/>
      </c>
      <c r="CY492" s="66" t="str">
        <f t="shared" si="714"/>
        <v/>
      </c>
      <c r="CZ492" t="str">
        <f t="shared" si="667"/>
        <v/>
      </c>
      <c r="DA492" s="118" t="str">
        <f t="shared" si="668"/>
        <v/>
      </c>
      <c r="DB492" s="118" t="str">
        <f t="shared" si="669"/>
        <v/>
      </c>
      <c r="DC492" s="118" t="str">
        <f t="shared" si="670"/>
        <v/>
      </c>
      <c r="DD492" s="121" t="str">
        <f>+IF(OR($W492="",DB492=0),"",ROUND((VLOOKUP(ROUNDDOWN($D492-1/frec,0),cob_adi,CO$40,FALSE)*(1+i/frec)^-0.5*(1+Parámetros!$D$103)*(1+rec_fracc)/frec),6))</f>
        <v/>
      </c>
      <c r="DE492" s="66" t="str">
        <f t="shared" si="715"/>
        <v/>
      </c>
      <c r="DF492" s="119" t="str">
        <f t="shared" si="716"/>
        <v/>
      </c>
      <c r="DG492" s="66" t="str">
        <f>+IF($W492="","",ROUND(IF($B492&gt;Parámetros!$D$107,'Tablas Servicio'!DE492+('Tablas Servicio'!DG491-'Tablas Servicio'!DE491),DE492/(1-IF(B492&lt;=10,Parámetros!$D$100,0))),2))</f>
        <v/>
      </c>
      <c r="DH492" s="66" t="str">
        <f t="shared" si="717"/>
        <v/>
      </c>
      <c r="DI492" s="66" t="str">
        <f t="shared" si="717"/>
        <v/>
      </c>
      <c r="DJ492" s="66" t="str">
        <f>+IF($W492="","",ROUND((DG492*Parámetros!$G$85),2))</f>
        <v/>
      </c>
      <c r="DK492" s="66" t="str">
        <f>+IF($W492="","",ROUND((DG492*(Parámetros!$G$86)),2))</f>
        <v/>
      </c>
      <c r="DL492" s="66" t="str">
        <f t="shared" si="718"/>
        <v/>
      </c>
      <c r="DM492" t="str">
        <f t="shared" si="671"/>
        <v/>
      </c>
      <c r="DN492" s="118" t="str">
        <f t="shared" si="672"/>
        <v/>
      </c>
      <c r="DO492" s="118" t="str">
        <f t="shared" si="673"/>
        <v/>
      </c>
      <c r="DP492" s="118" t="str">
        <f t="shared" si="674"/>
        <v/>
      </c>
      <c r="DQ492" s="122" t="str">
        <f>+IF(OR($W492="",DO492=0),"",ROUND((VLOOKUP(ROUNDDOWN($D492-1/frec,0),cob_adi,DB$40,FALSE)*(1+i/frec)^-0.5*(1+Parámetros!$D$103)*(1+rec_fracc)/frec),6))</f>
        <v/>
      </c>
      <c r="DR492" s="66" t="str">
        <f t="shared" si="719"/>
        <v/>
      </c>
      <c r="DS492" s="68" t="str">
        <f t="shared" si="720"/>
        <v/>
      </c>
      <c r="DT492" s="66" t="str">
        <f>+IF($W492="","",ROUND(IF($B492&gt;Parámetros!$D$107,'Tablas Servicio'!DR492+('Tablas Servicio'!DT491-'Tablas Servicio'!DR491),DR492/(1-IF(B492&lt;=10,Parámetros!$D$100,0))),2))</f>
        <v/>
      </c>
      <c r="DU492" s="66" t="str">
        <f t="shared" si="721"/>
        <v/>
      </c>
      <c r="DV492" s="66" t="str">
        <f t="shared" si="721"/>
        <v/>
      </c>
      <c r="DW492" s="66" t="str">
        <f>+IF($W492="","",ROUND((DT492*Parámetros!$G$85),2))</f>
        <v/>
      </c>
      <c r="DX492" s="66" t="str">
        <f>+IF($W492="","",ROUND((DT492*(Parámetros!$G$86)),2))</f>
        <v/>
      </c>
      <c r="DY492" s="66" t="str">
        <f t="shared" si="722"/>
        <v/>
      </c>
      <c r="DZ492" t="str">
        <f t="shared" si="723"/>
        <v/>
      </c>
      <c r="EA492" s="118" t="str">
        <f t="shared" si="723"/>
        <v/>
      </c>
      <c r="EB492" s="118" t="str">
        <f>+IF($W492="","",ROUND(IF(Parámetros!$D$25='TABLAS MORT'!$V$33,EB491,Z492/2),0))</f>
        <v/>
      </c>
      <c r="EC492" s="118" t="str">
        <f t="shared" si="723"/>
        <v/>
      </c>
      <c r="ED492" s="122" t="str">
        <f>+IF(OR($W492="",EB492=0),"",ROUND((VLOOKUP(ROUNDDOWN($D492-1/frec,0),cob_adi,DO$40,FALSE)*(1+i/frec)^-0.5*(1+Parámetros!$D$103)*(1+rec_fracc)/frec),6))</f>
        <v/>
      </c>
      <c r="EE492" s="66" t="str">
        <f t="shared" si="724"/>
        <v/>
      </c>
      <c r="EF492" s="68" t="str">
        <f t="shared" si="725"/>
        <v/>
      </c>
      <c r="EG492" s="66" t="str">
        <f>+IF($W492="","",ROUND(IF($B492&gt;Parámetros!$D$107,'Tablas Servicio'!EE492+('Tablas Servicio'!EG491-'Tablas Servicio'!EE491),EE492/(1-IF(B492&lt;=10,Parámetros!$D$100,0))),2))</f>
        <v/>
      </c>
      <c r="EH492" s="66" t="str">
        <f t="shared" si="726"/>
        <v/>
      </c>
      <c r="EI492" s="66" t="str">
        <f t="shared" si="726"/>
        <v/>
      </c>
      <c r="EJ492" s="66" t="str">
        <f>+IF($W492="","",ROUND((EG492*Parámetros!$G$85),2))</f>
        <v/>
      </c>
      <c r="EK492" s="66" t="str">
        <f>+IF($W492="","",ROUND((EG492*(Parámetros!$G$86)),2))</f>
        <v/>
      </c>
      <c r="EL492" s="66" t="str">
        <f t="shared" si="727"/>
        <v/>
      </c>
    </row>
    <row r="493" spans="1:142" x14ac:dyDescent="0.25">
      <c r="A493" t="str">
        <f>+IF($C493="","",ROUND(VLOOKUP('Tablas Servicio'!B493,Parámetros!$H$100:$J$159,IF(Parámetros!$E$16="F",2,3),FALSE),2))</f>
        <v/>
      </c>
      <c r="B493" t="str">
        <f t="shared" si="678"/>
        <v/>
      </c>
      <c r="C493" s="57" t="str">
        <f>+IF(D493="","",'Tablas Servicio'!C492+1)</f>
        <v/>
      </c>
      <c r="D493" s="56" t="str">
        <f>+IF(D492&lt;edadmaxtabla,D492+1/Parámetros!$E$25,"")</f>
        <v/>
      </c>
      <c r="E493" s="57" t="str">
        <f t="shared" si="688"/>
        <v/>
      </c>
      <c r="F493" s="59" t="str">
        <f t="shared" si="689"/>
        <v/>
      </c>
      <c r="G493" s="66" t="str">
        <f t="shared" si="679"/>
        <v/>
      </c>
      <c r="H493" s="66" t="str">
        <f t="shared" si="680"/>
        <v/>
      </c>
      <c r="I493" s="66" t="str">
        <f t="shared" si="640"/>
        <v/>
      </c>
      <c r="J493" s="66" t="str">
        <f t="shared" si="681"/>
        <v/>
      </c>
      <c r="K493" s="66" t="str">
        <f t="shared" si="682"/>
        <v/>
      </c>
      <c r="L493" s="66" t="str">
        <f t="shared" si="683"/>
        <v/>
      </c>
      <c r="M493" s="66" t="str">
        <f t="shared" si="684"/>
        <v/>
      </c>
      <c r="N493" s="66" t="str">
        <f>+IF(C493="","",ROUND(Parámetros!$D$23,2))</f>
        <v/>
      </c>
      <c r="O493" s="66" t="str">
        <f t="shared" si="685"/>
        <v/>
      </c>
      <c r="P493" s="66" t="str">
        <f>+IF($C493="","",ROUND(IF(B493&gt;Parámetros!$D$117,0,N493*Parámetros!$D$116-G493*Parámetros!$D$100),2))</f>
        <v/>
      </c>
      <c r="Q493" s="75" t="str">
        <f t="shared" si="641"/>
        <v/>
      </c>
      <c r="R493" s="75" t="str">
        <f t="shared" si="642"/>
        <v/>
      </c>
      <c r="S493" s="117" t="str">
        <f>+IF($C493="","",ROUND((S492+I493)*(1+Parámetros!$D$91),2))</f>
        <v/>
      </c>
      <c r="T493" s="117" t="str">
        <f>+IF($C493="","",ROUND(S493*VLOOKUP(B493,Parámetros!$C$30:$D$39,2,TRUE),2))</f>
        <v/>
      </c>
      <c r="U493" s="117" t="str">
        <f>+IF($C493="","",ROUND((U492+I493)*(1+Parámetros!$D$92),2))</f>
        <v/>
      </c>
      <c r="V493" s="117" t="str">
        <f>+IF($C493="","",ROUND(U493*VLOOKUP(B493,Parámetros!$C$30:$D$39,2,TRUE),2))</f>
        <v/>
      </c>
      <c r="W493" s="57" t="str">
        <f t="shared" si="643"/>
        <v/>
      </c>
      <c r="X493" t="str">
        <f t="shared" si="644"/>
        <v/>
      </c>
      <c r="Y493" t="str">
        <f t="shared" si="645"/>
        <v/>
      </c>
      <c r="Z493" s="118" t="str">
        <f>+IF($W493="","",ROUND(IF(Parámetros!$D$25='TABLAS MORT'!$V$33,Z492,Parámetros!$D$21-'Tablas Servicio'!T492),0))</f>
        <v/>
      </c>
      <c r="AA493" s="118" t="str">
        <f t="shared" si="646"/>
        <v/>
      </c>
      <c r="AB493" s="119" t="str">
        <f>+IF(W493="","",ROUND((VLOOKUP(ROUNDDOWN($D493-1/frec,0),qx_tabla,2,FALSE)*(1+i/frec)^-0.5*(1+Parámetros!$D$103)*(1+rec_fracc)/frec),6))</f>
        <v/>
      </c>
      <c r="AC493" s="66" t="str">
        <f t="shared" si="690"/>
        <v/>
      </c>
      <c r="AD493" s="119" t="str">
        <f t="shared" si="686"/>
        <v/>
      </c>
      <c r="AE493" s="66" t="str">
        <f>+IF($W493="","",ROUND(IF($B493&gt;Parámetros!$D$107,'Tablas Servicio'!AC493+('Tablas Servicio'!AG492-'Tablas Servicio'!AC492),AC493/(1-IF(B493&lt;=10,Parámetros!$D$104,Parámetros!$D$105))),2))</f>
        <v/>
      </c>
      <c r="AF493" s="66" t="str">
        <f>+IF($W493="","",ROUND(IF($B493&gt;Parámetros!$D$107,'Tablas Servicio'!AC493+('Tablas Servicio'!AG492-'Tablas Servicio'!AC492),(AC493+$A492/frec)/(1-IF(B493&lt;=Parámetros!$D$117,Parámetros!$D$100,0))),2))</f>
        <v/>
      </c>
      <c r="AG493" s="66" t="str">
        <f t="shared" si="691"/>
        <v/>
      </c>
      <c r="AH493" s="66" t="str">
        <f t="shared" si="692"/>
        <v/>
      </c>
      <c r="AI493" s="66" t="str">
        <f t="shared" si="693"/>
        <v/>
      </c>
      <c r="AJ493" s="66" t="str">
        <f>+IF($W493="","",ROUND((AG493*Parámetros!$G$85),2))</f>
        <v/>
      </c>
      <c r="AK493" s="66" t="str">
        <f>+IF($W493="","",ROUND((AG493*(Parámetros!$G$86)),2))</f>
        <v/>
      </c>
      <c r="AL493" s="66" t="str">
        <f t="shared" si="687"/>
        <v/>
      </c>
      <c r="AM493" t="str">
        <f t="shared" si="647"/>
        <v/>
      </c>
      <c r="AN493" t="str">
        <f t="shared" si="648"/>
        <v/>
      </c>
      <c r="AO493" s="118" t="str">
        <f t="shared" si="649"/>
        <v/>
      </c>
      <c r="AP493" s="118" t="str">
        <f t="shared" si="650"/>
        <v/>
      </c>
      <c r="AQ493" s="119" t="str">
        <f>+IF(OR($W493="",AO493=0),"",ROUND((VLOOKUP(ROUNDDOWN($D493-1/frec,0),cob_adi,Z$40,FALSE)*(1+i/frec)^-0.5*(1+Parámetros!$D$103)*(1+rec_fracc)/frec),6))</f>
        <v/>
      </c>
      <c r="AR493" s="66" t="str">
        <f t="shared" si="694"/>
        <v/>
      </c>
      <c r="AS493" s="119" t="str">
        <f t="shared" si="695"/>
        <v/>
      </c>
      <c r="AT493" s="66" t="str">
        <f>+IF($W493="","",ROUND(IF($B493&gt;Parámetros!$D$107,'Tablas Servicio'!AR493+('Tablas Servicio'!AT492-'Tablas Servicio'!AR492),AR493/(1-IF(B493&lt;=10,Parámetros!$D$100,0))),2))</f>
        <v/>
      </c>
      <c r="AU493" s="66" t="str">
        <f t="shared" si="696"/>
        <v/>
      </c>
      <c r="AV493" s="66" t="str">
        <f t="shared" si="696"/>
        <v/>
      </c>
      <c r="AW493" s="66" t="str">
        <f>+IF($W493="","",ROUND((AT493*Parámetros!$G$85),2))</f>
        <v/>
      </c>
      <c r="AX493" s="66" t="str">
        <f>+IF($W493="","",ROUND((AT493*(Parámetros!$G$86)),2))</f>
        <v/>
      </c>
      <c r="AY493" s="66" t="str">
        <f t="shared" si="697"/>
        <v/>
      </c>
      <c r="AZ493" t="str">
        <f t="shared" si="651"/>
        <v/>
      </c>
      <c r="BA493" t="str">
        <f t="shared" si="652"/>
        <v/>
      </c>
      <c r="BB493" s="118" t="str">
        <f t="shared" si="653"/>
        <v/>
      </c>
      <c r="BC493" s="118" t="str">
        <f t="shared" si="654"/>
        <v/>
      </c>
      <c r="BD493" s="119" t="str">
        <f>+IF(OR($W493="",BB493=0),"",ROUND((VLOOKUP(ROUNDDOWN($D493-1/frec,0),cob_adi,AO$40,FALSE)*(1+i/frec)^-0.5*(1+Parámetros!$D$103)*(1+rec_fracc)/frec),6))</f>
        <v/>
      </c>
      <c r="BE493" s="66" t="str">
        <f t="shared" si="698"/>
        <v/>
      </c>
      <c r="BF493" s="119" t="str">
        <f t="shared" si="699"/>
        <v/>
      </c>
      <c r="BG493" s="66" t="str">
        <f>+IF($W493="","",ROUND(IF($B493&gt;Parámetros!$D$107,'Tablas Servicio'!BE493+('Tablas Servicio'!BG492-'Tablas Servicio'!BE492),BE493/(1-IF(B493&lt;=10,Parámetros!$D$100,0))),2))</f>
        <v/>
      </c>
      <c r="BH493" s="66" t="str">
        <f t="shared" si="700"/>
        <v/>
      </c>
      <c r="BI493" s="66" t="str">
        <f t="shared" si="701"/>
        <v/>
      </c>
      <c r="BJ493" s="66" t="str">
        <f>+IF($W493="","",ROUND((BG493*Parámetros!$G$85),2))</f>
        <v/>
      </c>
      <c r="BK493" s="66" t="str">
        <f>+IF($W493="","",ROUND((BG493*(Parámetros!$G$86)),2))</f>
        <v/>
      </c>
      <c r="BL493" s="66" t="str">
        <f t="shared" si="702"/>
        <v/>
      </c>
      <c r="BM493" t="str">
        <f t="shared" si="655"/>
        <v/>
      </c>
      <c r="BN493" t="str">
        <f t="shared" si="656"/>
        <v/>
      </c>
      <c r="BO493" s="118" t="str">
        <f t="shared" si="657"/>
        <v/>
      </c>
      <c r="BP493" s="118" t="str">
        <f t="shared" si="658"/>
        <v/>
      </c>
      <c r="BQ493" s="119" t="str">
        <f>+IF(OR($W493="",BO493=0),"",ROUND((VLOOKUP(ROUNDDOWN($D493-1/frec,0),cob_adi,BB$40,FALSE)*(1+i/frec)^-0.5*(1+Parámetros!$D$103)*(1+rec_fracc)/frec),6))</f>
        <v/>
      </c>
      <c r="BR493" s="66" t="str">
        <f t="shared" si="703"/>
        <v/>
      </c>
      <c r="BS493" s="119" t="str">
        <f t="shared" si="704"/>
        <v/>
      </c>
      <c r="BT493" s="66" t="str">
        <f>+IF($W493="","",ROUND(IF($B493&gt;Parámetros!$D$107,'Tablas Servicio'!BR493+('Tablas Servicio'!BT492-'Tablas Servicio'!BR492),BR493/(1-IF(B493&lt;=10,Parámetros!$D$100,0))),2))</f>
        <v/>
      </c>
      <c r="BU493" s="66" t="str">
        <f t="shared" si="705"/>
        <v/>
      </c>
      <c r="BV493" s="66" t="str">
        <f t="shared" si="705"/>
        <v/>
      </c>
      <c r="BW493" s="66" t="str">
        <f>+IF($W493="","",ROUND((BT493*Parámetros!$G$85),2))</f>
        <v/>
      </c>
      <c r="BX493" s="66" t="str">
        <f>+IF($W493="","",ROUND((BT493*(Parámetros!$G$86)),2))</f>
        <v/>
      </c>
      <c r="BY493" s="66" t="str">
        <f t="shared" si="706"/>
        <v/>
      </c>
      <c r="BZ493" t="str">
        <f t="shared" si="659"/>
        <v/>
      </c>
      <c r="CA493" t="str">
        <f t="shared" si="660"/>
        <v/>
      </c>
      <c r="CB493" s="118" t="str">
        <f t="shared" si="661"/>
        <v/>
      </c>
      <c r="CC493" s="118" t="str">
        <f t="shared" si="662"/>
        <v/>
      </c>
      <c r="CD493" s="119" t="str">
        <f t="shared" si="707"/>
        <v/>
      </c>
      <c r="CE493" s="66" t="str">
        <f>+IF($W493="","",ROUND((VLOOKUP(ROUNDDOWN($D493-1/frec,0),cob_adi,BO$40,FALSE)*(1+i/frec)^-0.5*(1+Parámetros!$D$103)*(1+rec_fracc)/frec*'TABLAS ADI'!$BC$17),2))</f>
        <v/>
      </c>
      <c r="CF493" s="119" t="str">
        <f t="shared" si="708"/>
        <v/>
      </c>
      <c r="CG493" s="66" t="str">
        <f>+IF($W493="","",ROUND(IF($B493&gt;Parámetros!$D$107,'Tablas Servicio'!CE493+('Tablas Servicio'!CG492-'Tablas Servicio'!CE492),CE493/(1-IF(B493&lt;=10,Parámetros!$D$100,0))),2))</f>
        <v/>
      </c>
      <c r="CH493" s="66" t="str">
        <f t="shared" si="709"/>
        <v/>
      </c>
      <c r="CI493" s="66" t="str">
        <f t="shared" si="709"/>
        <v/>
      </c>
      <c r="CJ493" s="66" t="str">
        <f>+IF($W493="","",ROUND((CG493*Parámetros!$G$85),2))</f>
        <v/>
      </c>
      <c r="CK493" s="66" t="str">
        <f>+IF($W493="","",ROUND((CG493*(Parámetros!$G$86)),2))</f>
        <v/>
      </c>
      <c r="CL493" s="66" t="str">
        <f t="shared" si="710"/>
        <v/>
      </c>
      <c r="CM493" t="str">
        <f t="shared" si="663"/>
        <v/>
      </c>
      <c r="CN493" s="118" t="str">
        <f t="shared" si="664"/>
        <v/>
      </c>
      <c r="CO493" s="118" t="str">
        <f t="shared" si="665"/>
        <v/>
      </c>
      <c r="CP493" s="118" t="str">
        <f t="shared" si="666"/>
        <v/>
      </c>
      <c r="CQ493" s="119" t="str">
        <f t="shared" si="711"/>
        <v/>
      </c>
      <c r="CR493" s="66" t="str">
        <f>+IF($W493="","",ROUND((VLOOKUP(Parámetros!$F$51,'COBERTURAS ADICIONALES'!$S$4:$T$32,2,FALSE)*(1+i/frec)^-0.5*(1+Parámetros!$D$103)*(1+rec_fracc)/frec*$CO$42),2))</f>
        <v/>
      </c>
      <c r="CS493" s="119" t="str">
        <f t="shared" si="712"/>
        <v/>
      </c>
      <c r="CT493" s="66" t="str">
        <f>+IF($W493="","",ROUND(IF($B493&gt;Parámetros!$D$107,'Tablas Servicio'!CR493+('Tablas Servicio'!CT492-'Tablas Servicio'!CR492),CR493/(1-IF(B493&lt;=10,Parámetros!$D$100,0))),2))</f>
        <v/>
      </c>
      <c r="CU493" s="66" t="str">
        <f t="shared" si="713"/>
        <v/>
      </c>
      <c r="CV493" s="66" t="str">
        <f t="shared" si="713"/>
        <v/>
      </c>
      <c r="CW493" s="66" t="str">
        <f>+IF($W493="","",ROUND((CT493*Parámetros!$G$85),2))</f>
        <v/>
      </c>
      <c r="CX493" s="66" t="str">
        <f>+IF($W493="","",ROUND((CT493*(Parámetros!$G$86)),2))</f>
        <v/>
      </c>
      <c r="CY493" s="66" t="str">
        <f t="shared" si="714"/>
        <v/>
      </c>
      <c r="CZ493" t="str">
        <f t="shared" si="667"/>
        <v/>
      </c>
      <c r="DA493" s="118" t="str">
        <f t="shared" si="668"/>
        <v/>
      </c>
      <c r="DB493" s="118" t="str">
        <f t="shared" si="669"/>
        <v/>
      </c>
      <c r="DC493" s="118" t="str">
        <f t="shared" si="670"/>
        <v/>
      </c>
      <c r="DD493" s="121" t="str">
        <f>+IF(OR($W493="",DB493=0),"",ROUND((VLOOKUP(ROUNDDOWN($D493-1/frec,0),cob_adi,CO$40,FALSE)*(1+i/frec)^-0.5*(1+Parámetros!$D$103)*(1+rec_fracc)/frec),6))</f>
        <v/>
      </c>
      <c r="DE493" s="66" t="str">
        <f t="shared" si="715"/>
        <v/>
      </c>
      <c r="DF493" s="119" t="str">
        <f t="shared" si="716"/>
        <v/>
      </c>
      <c r="DG493" s="66" t="str">
        <f>+IF($W493="","",ROUND(IF($B493&gt;Parámetros!$D$107,'Tablas Servicio'!DE493+('Tablas Servicio'!DG492-'Tablas Servicio'!DE492),DE493/(1-IF(B493&lt;=10,Parámetros!$D$100,0))),2))</f>
        <v/>
      </c>
      <c r="DH493" s="66" t="str">
        <f t="shared" si="717"/>
        <v/>
      </c>
      <c r="DI493" s="66" t="str">
        <f t="shared" si="717"/>
        <v/>
      </c>
      <c r="DJ493" s="66" t="str">
        <f>+IF($W493="","",ROUND((DG493*Parámetros!$G$85),2))</f>
        <v/>
      </c>
      <c r="DK493" s="66" t="str">
        <f>+IF($W493="","",ROUND((DG493*(Parámetros!$G$86)),2))</f>
        <v/>
      </c>
      <c r="DL493" s="66" t="str">
        <f t="shared" si="718"/>
        <v/>
      </c>
      <c r="DM493" t="str">
        <f t="shared" si="671"/>
        <v/>
      </c>
      <c r="DN493" s="118" t="str">
        <f t="shared" si="672"/>
        <v/>
      </c>
      <c r="DO493" s="118" t="str">
        <f t="shared" si="673"/>
        <v/>
      </c>
      <c r="DP493" s="118" t="str">
        <f t="shared" si="674"/>
        <v/>
      </c>
      <c r="DQ493" s="122" t="str">
        <f>+IF(OR($W493="",DO493=0),"",ROUND((VLOOKUP(ROUNDDOWN($D493-1/frec,0),cob_adi,DB$40,FALSE)*(1+i/frec)^-0.5*(1+Parámetros!$D$103)*(1+rec_fracc)/frec),6))</f>
        <v/>
      </c>
      <c r="DR493" s="66" t="str">
        <f t="shared" si="719"/>
        <v/>
      </c>
      <c r="DS493" s="68" t="str">
        <f t="shared" si="720"/>
        <v/>
      </c>
      <c r="DT493" s="66" t="str">
        <f>+IF($W493="","",ROUND(IF($B493&gt;Parámetros!$D$107,'Tablas Servicio'!DR493+('Tablas Servicio'!DT492-'Tablas Servicio'!DR492),DR493/(1-IF(B493&lt;=10,Parámetros!$D$100,0))),2))</f>
        <v/>
      </c>
      <c r="DU493" s="66" t="str">
        <f t="shared" si="721"/>
        <v/>
      </c>
      <c r="DV493" s="66" t="str">
        <f t="shared" si="721"/>
        <v/>
      </c>
      <c r="DW493" s="66" t="str">
        <f>+IF($W493="","",ROUND((DT493*Parámetros!$G$85),2))</f>
        <v/>
      </c>
      <c r="DX493" s="66" t="str">
        <f>+IF($W493="","",ROUND((DT493*(Parámetros!$G$86)),2))</f>
        <v/>
      </c>
      <c r="DY493" s="66" t="str">
        <f t="shared" si="722"/>
        <v/>
      </c>
      <c r="DZ493" t="str">
        <f t="shared" si="723"/>
        <v/>
      </c>
      <c r="EA493" s="118" t="str">
        <f t="shared" si="723"/>
        <v/>
      </c>
      <c r="EB493" s="118" t="str">
        <f>+IF($W493="","",ROUND(IF(Parámetros!$D$25='TABLAS MORT'!$V$33,EB492,Z493/2),0))</f>
        <v/>
      </c>
      <c r="EC493" s="118" t="str">
        <f t="shared" si="723"/>
        <v/>
      </c>
      <c r="ED493" s="122" t="str">
        <f>+IF(OR($W493="",EB493=0),"",ROUND((VLOOKUP(ROUNDDOWN($D493-1/frec,0),cob_adi,DO$40,FALSE)*(1+i/frec)^-0.5*(1+Parámetros!$D$103)*(1+rec_fracc)/frec),6))</f>
        <v/>
      </c>
      <c r="EE493" s="66" t="str">
        <f t="shared" si="724"/>
        <v/>
      </c>
      <c r="EF493" s="68" t="str">
        <f t="shared" si="725"/>
        <v/>
      </c>
      <c r="EG493" s="66" t="str">
        <f>+IF($W493="","",ROUND(IF($B493&gt;Parámetros!$D$107,'Tablas Servicio'!EE493+('Tablas Servicio'!EG492-'Tablas Servicio'!EE492),EE493/(1-IF(B493&lt;=10,Parámetros!$D$100,0))),2))</f>
        <v/>
      </c>
      <c r="EH493" s="66" t="str">
        <f t="shared" si="726"/>
        <v/>
      </c>
      <c r="EI493" s="66" t="str">
        <f t="shared" si="726"/>
        <v/>
      </c>
      <c r="EJ493" s="66" t="str">
        <f>+IF($W493="","",ROUND((EG493*Parámetros!$G$85),2))</f>
        <v/>
      </c>
      <c r="EK493" s="66" t="str">
        <f>+IF($W493="","",ROUND((EG493*(Parámetros!$G$86)),2))</f>
        <v/>
      </c>
      <c r="EL493" s="66" t="str">
        <f t="shared" si="727"/>
        <v/>
      </c>
    </row>
    <row r="494" spans="1:142" x14ac:dyDescent="0.25">
      <c r="A494" t="str">
        <f>+IF($C494="","",ROUND(VLOOKUP('Tablas Servicio'!B494,Parámetros!$H$100:$J$159,IF(Parámetros!$E$16="F",2,3),FALSE),2))</f>
        <v/>
      </c>
      <c r="B494" t="str">
        <f t="shared" si="678"/>
        <v/>
      </c>
      <c r="C494" s="57" t="str">
        <f>+IF(D494="","",'Tablas Servicio'!C493+1)</f>
        <v/>
      </c>
      <c r="D494" s="56" t="str">
        <f>+IF(D493&lt;edadmaxtabla,D493+1/Parámetros!$E$25,"")</f>
        <v/>
      </c>
      <c r="E494" s="57" t="str">
        <f t="shared" si="688"/>
        <v/>
      </c>
      <c r="F494" s="59" t="str">
        <f t="shared" si="689"/>
        <v/>
      </c>
      <c r="G494" s="66" t="str">
        <f t="shared" si="679"/>
        <v/>
      </c>
      <c r="H494" s="66" t="str">
        <f t="shared" si="680"/>
        <v/>
      </c>
      <c r="I494" s="66" t="str">
        <f t="shared" si="640"/>
        <v/>
      </c>
      <c r="J494" s="66" t="str">
        <f t="shared" si="681"/>
        <v/>
      </c>
      <c r="K494" s="66" t="str">
        <f t="shared" si="682"/>
        <v/>
      </c>
      <c r="L494" s="66" t="str">
        <f t="shared" si="683"/>
        <v/>
      </c>
      <c r="M494" s="66" t="str">
        <f t="shared" si="684"/>
        <v/>
      </c>
      <c r="N494" s="66" t="str">
        <f>+IF(C494="","",ROUND(Parámetros!$D$23,2))</f>
        <v/>
      </c>
      <c r="O494" s="66" t="str">
        <f t="shared" si="685"/>
        <v/>
      </c>
      <c r="P494" s="66" t="str">
        <f>+IF($C494="","",ROUND(IF(B494&gt;Parámetros!$D$117,0,N494*Parámetros!$D$116-G494*Parámetros!$D$100),2))</f>
        <v/>
      </c>
      <c r="Q494" s="75" t="str">
        <f t="shared" si="641"/>
        <v/>
      </c>
      <c r="R494" s="75" t="str">
        <f t="shared" si="642"/>
        <v/>
      </c>
      <c r="S494" s="117" t="str">
        <f>+IF($C494="","",ROUND((S493+I494)*(1+Parámetros!$D$91),2))</f>
        <v/>
      </c>
      <c r="T494" s="117" t="str">
        <f>+IF($C494="","",ROUND(S494*VLOOKUP(B494,Parámetros!$C$30:$D$39,2,TRUE),2))</f>
        <v/>
      </c>
      <c r="U494" s="117" t="str">
        <f>+IF($C494="","",ROUND((U493+I494)*(1+Parámetros!$D$92),2))</f>
        <v/>
      </c>
      <c r="V494" s="117" t="str">
        <f>+IF($C494="","",ROUND(U494*VLOOKUP(B494,Parámetros!$C$30:$D$39,2,TRUE),2))</f>
        <v/>
      </c>
      <c r="W494" s="57" t="str">
        <f t="shared" si="643"/>
        <v/>
      </c>
      <c r="X494" t="str">
        <f t="shared" si="644"/>
        <v/>
      </c>
      <c r="Y494" t="str">
        <f t="shared" si="645"/>
        <v/>
      </c>
      <c r="Z494" s="118" t="str">
        <f>+IF($W494="","",ROUND(IF(Parámetros!$D$25='TABLAS MORT'!$V$33,Z493,Parámetros!$D$21-'Tablas Servicio'!T493),0))</f>
        <v/>
      </c>
      <c r="AA494" s="118" t="str">
        <f t="shared" si="646"/>
        <v/>
      </c>
      <c r="AB494" s="119" t="str">
        <f>+IF(W494="","",ROUND((VLOOKUP(ROUNDDOWN($D494-1/frec,0),qx_tabla,2,FALSE)*(1+i/frec)^-0.5*(1+Parámetros!$D$103)*(1+rec_fracc)/frec),6))</f>
        <v/>
      </c>
      <c r="AC494" s="66" t="str">
        <f t="shared" si="690"/>
        <v/>
      </c>
      <c r="AD494" s="119" t="str">
        <f t="shared" si="686"/>
        <v/>
      </c>
      <c r="AE494" s="66" t="str">
        <f>+IF($W494="","",ROUND(IF($B494&gt;Parámetros!$D$107,'Tablas Servicio'!AC494+('Tablas Servicio'!AG493-'Tablas Servicio'!AC493),AC494/(1-IF(B494&lt;=10,Parámetros!$D$104,Parámetros!$D$105))),2))</f>
        <v/>
      </c>
      <c r="AF494" s="66" t="str">
        <f>+IF($W494="","",ROUND(IF($B494&gt;Parámetros!$D$107,'Tablas Servicio'!AC494+('Tablas Servicio'!AG493-'Tablas Servicio'!AC493),(AC494+$A493/frec)/(1-IF(B494&lt;=Parámetros!$D$117,Parámetros!$D$100,0))),2))</f>
        <v/>
      </c>
      <c r="AG494" s="66" t="str">
        <f t="shared" si="691"/>
        <v/>
      </c>
      <c r="AH494" s="66" t="str">
        <f t="shared" si="692"/>
        <v/>
      </c>
      <c r="AI494" s="66" t="str">
        <f t="shared" si="693"/>
        <v/>
      </c>
      <c r="AJ494" s="66" t="str">
        <f>+IF($W494="","",ROUND((AG494*Parámetros!$G$85),2))</f>
        <v/>
      </c>
      <c r="AK494" s="66" t="str">
        <f>+IF($W494="","",ROUND((AG494*(Parámetros!$G$86)),2))</f>
        <v/>
      </c>
      <c r="AL494" s="66" t="str">
        <f t="shared" si="687"/>
        <v/>
      </c>
      <c r="AM494" t="str">
        <f t="shared" si="647"/>
        <v/>
      </c>
      <c r="AN494" t="str">
        <f t="shared" si="648"/>
        <v/>
      </c>
      <c r="AO494" s="118" t="str">
        <f t="shared" si="649"/>
        <v/>
      </c>
      <c r="AP494" s="118" t="str">
        <f t="shared" si="650"/>
        <v/>
      </c>
      <c r="AQ494" s="119" t="str">
        <f>+IF(OR($W494="",AO494=0),"",ROUND((VLOOKUP(ROUNDDOWN($D494-1/frec,0),cob_adi,Z$40,FALSE)*(1+i/frec)^-0.5*(1+Parámetros!$D$103)*(1+rec_fracc)/frec),6))</f>
        <v/>
      </c>
      <c r="AR494" s="66" t="str">
        <f t="shared" si="694"/>
        <v/>
      </c>
      <c r="AS494" s="119" t="str">
        <f t="shared" si="695"/>
        <v/>
      </c>
      <c r="AT494" s="66" t="str">
        <f>+IF($W494="","",ROUND(IF($B494&gt;Parámetros!$D$107,'Tablas Servicio'!AR494+('Tablas Servicio'!AT493-'Tablas Servicio'!AR493),AR494/(1-IF(B494&lt;=10,Parámetros!$D$100,0))),2))</f>
        <v/>
      </c>
      <c r="AU494" s="66" t="str">
        <f t="shared" si="696"/>
        <v/>
      </c>
      <c r="AV494" s="66" t="str">
        <f t="shared" si="696"/>
        <v/>
      </c>
      <c r="AW494" s="66" t="str">
        <f>+IF($W494="","",ROUND((AT494*Parámetros!$G$85),2))</f>
        <v/>
      </c>
      <c r="AX494" s="66" t="str">
        <f>+IF($W494="","",ROUND((AT494*(Parámetros!$G$86)),2))</f>
        <v/>
      </c>
      <c r="AY494" s="66" t="str">
        <f t="shared" si="697"/>
        <v/>
      </c>
      <c r="AZ494" t="str">
        <f t="shared" si="651"/>
        <v/>
      </c>
      <c r="BA494" t="str">
        <f t="shared" si="652"/>
        <v/>
      </c>
      <c r="BB494" s="118" t="str">
        <f t="shared" si="653"/>
        <v/>
      </c>
      <c r="BC494" s="118" t="str">
        <f t="shared" si="654"/>
        <v/>
      </c>
      <c r="BD494" s="119" t="str">
        <f>+IF(OR($W494="",BB494=0),"",ROUND((VLOOKUP(ROUNDDOWN($D494-1/frec,0),cob_adi,AO$40,FALSE)*(1+i/frec)^-0.5*(1+Parámetros!$D$103)*(1+rec_fracc)/frec),6))</f>
        <v/>
      </c>
      <c r="BE494" s="66" t="str">
        <f t="shared" si="698"/>
        <v/>
      </c>
      <c r="BF494" s="119" t="str">
        <f t="shared" si="699"/>
        <v/>
      </c>
      <c r="BG494" s="66" t="str">
        <f>+IF($W494="","",ROUND(IF($B494&gt;Parámetros!$D$107,'Tablas Servicio'!BE494+('Tablas Servicio'!BG493-'Tablas Servicio'!BE493),BE494/(1-IF(B494&lt;=10,Parámetros!$D$100,0))),2))</f>
        <v/>
      </c>
      <c r="BH494" s="66" t="str">
        <f t="shared" si="700"/>
        <v/>
      </c>
      <c r="BI494" s="66" t="str">
        <f t="shared" si="701"/>
        <v/>
      </c>
      <c r="BJ494" s="66" t="str">
        <f>+IF($W494="","",ROUND((BG494*Parámetros!$G$85),2))</f>
        <v/>
      </c>
      <c r="BK494" s="66" t="str">
        <f>+IF($W494="","",ROUND((BG494*(Parámetros!$G$86)),2))</f>
        <v/>
      </c>
      <c r="BL494" s="66" t="str">
        <f t="shared" si="702"/>
        <v/>
      </c>
      <c r="BM494" t="str">
        <f t="shared" si="655"/>
        <v/>
      </c>
      <c r="BN494" t="str">
        <f t="shared" si="656"/>
        <v/>
      </c>
      <c r="BO494" s="118" t="str">
        <f t="shared" si="657"/>
        <v/>
      </c>
      <c r="BP494" s="118" t="str">
        <f t="shared" si="658"/>
        <v/>
      </c>
      <c r="BQ494" s="119" t="str">
        <f>+IF(OR($W494="",BO494=0),"",ROUND((VLOOKUP(ROUNDDOWN($D494-1/frec,0),cob_adi,BB$40,FALSE)*(1+i/frec)^-0.5*(1+Parámetros!$D$103)*(1+rec_fracc)/frec),6))</f>
        <v/>
      </c>
      <c r="BR494" s="66" t="str">
        <f t="shared" si="703"/>
        <v/>
      </c>
      <c r="BS494" s="119" t="str">
        <f t="shared" si="704"/>
        <v/>
      </c>
      <c r="BT494" s="66" t="str">
        <f>+IF($W494="","",ROUND(IF($B494&gt;Parámetros!$D$107,'Tablas Servicio'!BR494+('Tablas Servicio'!BT493-'Tablas Servicio'!BR493),BR494/(1-IF(B494&lt;=10,Parámetros!$D$100,0))),2))</f>
        <v/>
      </c>
      <c r="BU494" s="66" t="str">
        <f t="shared" si="705"/>
        <v/>
      </c>
      <c r="BV494" s="66" t="str">
        <f t="shared" si="705"/>
        <v/>
      </c>
      <c r="BW494" s="66" t="str">
        <f>+IF($W494="","",ROUND((BT494*Parámetros!$G$85),2))</f>
        <v/>
      </c>
      <c r="BX494" s="66" t="str">
        <f>+IF($W494="","",ROUND((BT494*(Parámetros!$G$86)),2))</f>
        <v/>
      </c>
      <c r="BY494" s="66" t="str">
        <f t="shared" si="706"/>
        <v/>
      </c>
      <c r="BZ494" t="str">
        <f t="shared" si="659"/>
        <v/>
      </c>
      <c r="CA494" t="str">
        <f t="shared" si="660"/>
        <v/>
      </c>
      <c r="CB494" s="118" t="str">
        <f t="shared" si="661"/>
        <v/>
      </c>
      <c r="CC494" s="118" t="str">
        <f t="shared" si="662"/>
        <v/>
      </c>
      <c r="CD494" s="119" t="str">
        <f t="shared" si="707"/>
        <v/>
      </c>
      <c r="CE494" s="66" t="str">
        <f>+IF($W494="","",ROUND((VLOOKUP(ROUNDDOWN($D494-1/frec,0),cob_adi,BO$40,FALSE)*(1+i/frec)^-0.5*(1+Parámetros!$D$103)*(1+rec_fracc)/frec*'TABLAS ADI'!$BC$17),2))</f>
        <v/>
      </c>
      <c r="CF494" s="119" t="str">
        <f t="shared" si="708"/>
        <v/>
      </c>
      <c r="CG494" s="66" t="str">
        <f>+IF($W494="","",ROUND(IF($B494&gt;Parámetros!$D$107,'Tablas Servicio'!CE494+('Tablas Servicio'!CG493-'Tablas Servicio'!CE493),CE494/(1-IF(B494&lt;=10,Parámetros!$D$100,0))),2))</f>
        <v/>
      </c>
      <c r="CH494" s="66" t="str">
        <f t="shared" si="709"/>
        <v/>
      </c>
      <c r="CI494" s="66" t="str">
        <f t="shared" si="709"/>
        <v/>
      </c>
      <c r="CJ494" s="66" t="str">
        <f>+IF($W494="","",ROUND((CG494*Parámetros!$G$85),2))</f>
        <v/>
      </c>
      <c r="CK494" s="66" t="str">
        <f>+IF($W494="","",ROUND((CG494*(Parámetros!$G$86)),2))</f>
        <v/>
      </c>
      <c r="CL494" s="66" t="str">
        <f t="shared" si="710"/>
        <v/>
      </c>
      <c r="CM494" t="str">
        <f t="shared" si="663"/>
        <v/>
      </c>
      <c r="CN494" s="118" t="str">
        <f t="shared" si="664"/>
        <v/>
      </c>
      <c r="CO494" s="118" t="str">
        <f t="shared" si="665"/>
        <v/>
      </c>
      <c r="CP494" s="118" t="str">
        <f t="shared" si="666"/>
        <v/>
      </c>
      <c r="CQ494" s="119" t="str">
        <f t="shared" si="711"/>
        <v/>
      </c>
      <c r="CR494" s="66" t="str">
        <f>+IF($W494="","",ROUND((VLOOKUP(Parámetros!$F$51,'COBERTURAS ADICIONALES'!$S$4:$T$32,2,FALSE)*(1+i/frec)^-0.5*(1+Parámetros!$D$103)*(1+rec_fracc)/frec*$CO$42),2))</f>
        <v/>
      </c>
      <c r="CS494" s="119" t="str">
        <f t="shared" si="712"/>
        <v/>
      </c>
      <c r="CT494" s="66" t="str">
        <f>+IF($W494="","",ROUND(IF($B494&gt;Parámetros!$D$107,'Tablas Servicio'!CR494+('Tablas Servicio'!CT493-'Tablas Servicio'!CR493),CR494/(1-IF(B494&lt;=10,Parámetros!$D$100,0))),2))</f>
        <v/>
      </c>
      <c r="CU494" s="66" t="str">
        <f t="shared" si="713"/>
        <v/>
      </c>
      <c r="CV494" s="66" t="str">
        <f t="shared" si="713"/>
        <v/>
      </c>
      <c r="CW494" s="66" t="str">
        <f>+IF($W494="","",ROUND((CT494*Parámetros!$G$85),2))</f>
        <v/>
      </c>
      <c r="CX494" s="66" t="str">
        <f>+IF($W494="","",ROUND((CT494*(Parámetros!$G$86)),2))</f>
        <v/>
      </c>
      <c r="CY494" s="66" t="str">
        <f t="shared" si="714"/>
        <v/>
      </c>
      <c r="CZ494" t="str">
        <f t="shared" si="667"/>
        <v/>
      </c>
      <c r="DA494" s="118" t="str">
        <f t="shared" si="668"/>
        <v/>
      </c>
      <c r="DB494" s="118" t="str">
        <f t="shared" si="669"/>
        <v/>
      </c>
      <c r="DC494" s="118" t="str">
        <f t="shared" si="670"/>
        <v/>
      </c>
      <c r="DD494" s="121" t="str">
        <f>+IF(OR($W494="",DB494=0),"",ROUND((VLOOKUP(ROUNDDOWN($D494-1/frec,0),cob_adi,CO$40,FALSE)*(1+i/frec)^-0.5*(1+Parámetros!$D$103)*(1+rec_fracc)/frec),6))</f>
        <v/>
      </c>
      <c r="DE494" s="66" t="str">
        <f t="shared" si="715"/>
        <v/>
      </c>
      <c r="DF494" s="119" t="str">
        <f t="shared" si="716"/>
        <v/>
      </c>
      <c r="DG494" s="66" t="str">
        <f>+IF($W494="","",ROUND(IF($B494&gt;Parámetros!$D$107,'Tablas Servicio'!DE494+('Tablas Servicio'!DG493-'Tablas Servicio'!DE493),DE494/(1-IF(B494&lt;=10,Parámetros!$D$100,0))),2))</f>
        <v/>
      </c>
      <c r="DH494" s="66" t="str">
        <f t="shared" si="717"/>
        <v/>
      </c>
      <c r="DI494" s="66" t="str">
        <f t="shared" si="717"/>
        <v/>
      </c>
      <c r="DJ494" s="66" t="str">
        <f>+IF($W494="","",ROUND((DG494*Parámetros!$G$85),2))</f>
        <v/>
      </c>
      <c r="DK494" s="66" t="str">
        <f>+IF($W494="","",ROUND((DG494*(Parámetros!$G$86)),2))</f>
        <v/>
      </c>
      <c r="DL494" s="66" t="str">
        <f t="shared" si="718"/>
        <v/>
      </c>
      <c r="DM494" t="str">
        <f t="shared" si="671"/>
        <v/>
      </c>
      <c r="DN494" s="118" t="str">
        <f t="shared" si="672"/>
        <v/>
      </c>
      <c r="DO494" s="118" t="str">
        <f t="shared" si="673"/>
        <v/>
      </c>
      <c r="DP494" s="118" t="str">
        <f t="shared" si="674"/>
        <v/>
      </c>
      <c r="DQ494" s="122" t="str">
        <f>+IF(OR($W494="",DO494=0),"",ROUND((VLOOKUP(ROUNDDOWN($D494-1/frec,0),cob_adi,DB$40,FALSE)*(1+i/frec)^-0.5*(1+Parámetros!$D$103)*(1+rec_fracc)/frec),6))</f>
        <v/>
      </c>
      <c r="DR494" s="66" t="str">
        <f t="shared" si="719"/>
        <v/>
      </c>
      <c r="DS494" s="68" t="str">
        <f t="shared" si="720"/>
        <v/>
      </c>
      <c r="DT494" s="66" t="str">
        <f>+IF($W494="","",ROUND(IF($B494&gt;Parámetros!$D$107,'Tablas Servicio'!DR494+('Tablas Servicio'!DT493-'Tablas Servicio'!DR493),DR494/(1-IF(B494&lt;=10,Parámetros!$D$100,0))),2))</f>
        <v/>
      </c>
      <c r="DU494" s="66" t="str">
        <f t="shared" si="721"/>
        <v/>
      </c>
      <c r="DV494" s="66" t="str">
        <f t="shared" si="721"/>
        <v/>
      </c>
      <c r="DW494" s="66" t="str">
        <f>+IF($W494="","",ROUND((DT494*Parámetros!$G$85),2))</f>
        <v/>
      </c>
      <c r="DX494" s="66" t="str">
        <f>+IF($W494="","",ROUND((DT494*(Parámetros!$G$86)),2))</f>
        <v/>
      </c>
      <c r="DY494" s="66" t="str">
        <f t="shared" si="722"/>
        <v/>
      </c>
      <c r="DZ494" t="str">
        <f t="shared" si="723"/>
        <v/>
      </c>
      <c r="EA494" s="118" t="str">
        <f t="shared" si="723"/>
        <v/>
      </c>
      <c r="EB494" s="118" t="str">
        <f>+IF($W494="","",ROUND(IF(Parámetros!$D$25='TABLAS MORT'!$V$33,EB493,Z494/2),0))</f>
        <v/>
      </c>
      <c r="EC494" s="118" t="str">
        <f t="shared" si="723"/>
        <v/>
      </c>
      <c r="ED494" s="122" t="str">
        <f>+IF(OR($W494="",EB494=0),"",ROUND((VLOOKUP(ROUNDDOWN($D494-1/frec,0),cob_adi,DO$40,FALSE)*(1+i/frec)^-0.5*(1+Parámetros!$D$103)*(1+rec_fracc)/frec),6))</f>
        <v/>
      </c>
      <c r="EE494" s="66" t="str">
        <f t="shared" si="724"/>
        <v/>
      </c>
      <c r="EF494" s="68" t="str">
        <f t="shared" si="725"/>
        <v/>
      </c>
      <c r="EG494" s="66" t="str">
        <f>+IF($W494="","",ROUND(IF($B494&gt;Parámetros!$D$107,'Tablas Servicio'!EE494+('Tablas Servicio'!EG493-'Tablas Servicio'!EE493),EE494/(1-IF(B494&lt;=10,Parámetros!$D$100,0))),2))</f>
        <v/>
      </c>
      <c r="EH494" s="66" t="str">
        <f t="shared" si="726"/>
        <v/>
      </c>
      <c r="EI494" s="66" t="str">
        <f t="shared" si="726"/>
        <v/>
      </c>
      <c r="EJ494" s="66" t="str">
        <f>+IF($W494="","",ROUND((EG494*Parámetros!$G$85),2))</f>
        <v/>
      </c>
      <c r="EK494" s="66" t="str">
        <f>+IF($W494="","",ROUND((EG494*(Parámetros!$G$86)),2))</f>
        <v/>
      </c>
      <c r="EL494" s="66" t="str">
        <f t="shared" si="727"/>
        <v/>
      </c>
    </row>
    <row r="495" spans="1:142" x14ac:dyDescent="0.25">
      <c r="A495" t="str">
        <f>+IF($C495="","",ROUND(VLOOKUP('Tablas Servicio'!B495,Parámetros!$H$100:$J$159,IF(Parámetros!$E$16="F",2,3),FALSE),2))</f>
        <v/>
      </c>
      <c r="B495" t="str">
        <f t="shared" si="678"/>
        <v/>
      </c>
      <c r="C495" s="57" t="str">
        <f>+IF(D495="","",'Tablas Servicio'!C494+1)</f>
        <v/>
      </c>
      <c r="D495" s="56" t="str">
        <f>+IF(D494&lt;edadmaxtabla,D494+1/Parámetros!$E$25,"")</f>
        <v/>
      </c>
      <c r="E495" s="57" t="str">
        <f t="shared" si="688"/>
        <v/>
      </c>
      <c r="F495" s="59" t="str">
        <f t="shared" si="689"/>
        <v/>
      </c>
      <c r="G495" s="66" t="str">
        <f t="shared" si="679"/>
        <v/>
      </c>
      <c r="H495" s="66" t="str">
        <f t="shared" si="680"/>
        <v/>
      </c>
      <c r="I495" s="66" t="str">
        <f t="shared" si="640"/>
        <v/>
      </c>
      <c r="J495" s="66" t="str">
        <f t="shared" si="681"/>
        <v/>
      </c>
      <c r="K495" s="66" t="str">
        <f t="shared" si="682"/>
        <v/>
      </c>
      <c r="L495" s="66" t="str">
        <f t="shared" si="683"/>
        <v/>
      </c>
      <c r="M495" s="66" t="str">
        <f t="shared" si="684"/>
        <v/>
      </c>
      <c r="N495" s="66" t="str">
        <f>+IF(C495="","",ROUND(Parámetros!$D$23,2))</f>
        <v/>
      </c>
      <c r="O495" s="66" t="str">
        <f t="shared" si="685"/>
        <v/>
      </c>
      <c r="P495" s="66" t="str">
        <f>+IF($C495="","",ROUND(IF(B495&gt;Parámetros!$D$117,0,N495*Parámetros!$D$116-G495*Parámetros!$D$100),2))</f>
        <v/>
      </c>
      <c r="Q495" s="75" t="str">
        <f t="shared" si="641"/>
        <v/>
      </c>
      <c r="R495" s="75" t="str">
        <f t="shared" si="642"/>
        <v/>
      </c>
      <c r="S495" s="117" t="str">
        <f>+IF($C495="","",ROUND((S494+I495)*(1+Parámetros!$D$91),2))</f>
        <v/>
      </c>
      <c r="T495" s="117" t="str">
        <f>+IF($C495="","",ROUND(S495*VLOOKUP(B495,Parámetros!$C$30:$D$39,2,TRUE),2))</f>
        <v/>
      </c>
      <c r="U495" s="117" t="str">
        <f>+IF($C495="","",ROUND((U494+I495)*(1+Parámetros!$D$92),2))</f>
        <v/>
      </c>
      <c r="V495" s="117" t="str">
        <f>+IF($C495="","",ROUND(U495*VLOOKUP(B495,Parámetros!$C$30:$D$39,2,TRUE),2))</f>
        <v/>
      </c>
      <c r="W495" s="57" t="str">
        <f t="shared" si="643"/>
        <v/>
      </c>
      <c r="X495" t="str">
        <f t="shared" si="644"/>
        <v/>
      </c>
      <c r="Y495" t="str">
        <f t="shared" si="645"/>
        <v/>
      </c>
      <c r="Z495" s="118" t="str">
        <f>+IF($W495="","",ROUND(IF(Parámetros!$D$25='TABLAS MORT'!$V$33,Z494,Parámetros!$D$21-'Tablas Servicio'!T494),0))</f>
        <v/>
      </c>
      <c r="AA495" s="118" t="str">
        <f t="shared" si="646"/>
        <v/>
      </c>
      <c r="AB495" s="119" t="str">
        <f>+IF(W495="","",ROUND((VLOOKUP(ROUNDDOWN($D495-1/frec,0),qx_tabla,2,FALSE)*(1+i/frec)^-0.5*(1+Parámetros!$D$103)*(1+rec_fracc)/frec),6))</f>
        <v/>
      </c>
      <c r="AC495" s="66" t="str">
        <f t="shared" si="690"/>
        <v/>
      </c>
      <c r="AD495" s="119" t="str">
        <f t="shared" si="686"/>
        <v/>
      </c>
      <c r="AE495" s="66" t="str">
        <f>+IF($W495="","",ROUND(IF($B495&gt;Parámetros!$D$107,'Tablas Servicio'!AC495+('Tablas Servicio'!AG494-'Tablas Servicio'!AC494),AC495/(1-IF(B495&lt;=10,Parámetros!$D$104,Parámetros!$D$105))),2))</f>
        <v/>
      </c>
      <c r="AF495" s="66" t="str">
        <f>+IF($W495="","",ROUND(IF($B495&gt;Parámetros!$D$107,'Tablas Servicio'!AC495+('Tablas Servicio'!AG494-'Tablas Servicio'!AC494),(AC495+$A494/frec)/(1-IF(B495&lt;=Parámetros!$D$117,Parámetros!$D$100,0))),2))</f>
        <v/>
      </c>
      <c r="AG495" s="66" t="str">
        <f t="shared" si="691"/>
        <v/>
      </c>
      <c r="AH495" s="66" t="str">
        <f t="shared" si="692"/>
        <v/>
      </c>
      <c r="AI495" s="66" t="str">
        <f t="shared" si="693"/>
        <v/>
      </c>
      <c r="AJ495" s="66" t="str">
        <f>+IF($W495="","",ROUND((AG495*Parámetros!$G$85),2))</f>
        <v/>
      </c>
      <c r="AK495" s="66" t="str">
        <f>+IF($W495="","",ROUND((AG495*(Parámetros!$G$86)),2))</f>
        <v/>
      </c>
      <c r="AL495" s="66" t="str">
        <f t="shared" si="687"/>
        <v/>
      </c>
      <c r="AM495" t="str">
        <f t="shared" si="647"/>
        <v/>
      </c>
      <c r="AN495" t="str">
        <f t="shared" si="648"/>
        <v/>
      </c>
      <c r="AO495" s="118" t="str">
        <f t="shared" si="649"/>
        <v/>
      </c>
      <c r="AP495" s="118" t="str">
        <f t="shared" si="650"/>
        <v/>
      </c>
      <c r="AQ495" s="119" t="str">
        <f>+IF(OR($W495="",AO495=0),"",ROUND((VLOOKUP(ROUNDDOWN($D495-1/frec,0),cob_adi,Z$40,FALSE)*(1+i/frec)^-0.5*(1+Parámetros!$D$103)*(1+rec_fracc)/frec),6))</f>
        <v/>
      </c>
      <c r="AR495" s="66" t="str">
        <f t="shared" si="694"/>
        <v/>
      </c>
      <c r="AS495" s="119" t="str">
        <f t="shared" si="695"/>
        <v/>
      </c>
      <c r="AT495" s="66" t="str">
        <f>+IF($W495="","",ROUND(IF($B495&gt;Parámetros!$D$107,'Tablas Servicio'!AR495+('Tablas Servicio'!AT494-'Tablas Servicio'!AR494),AR495/(1-IF(B495&lt;=10,Parámetros!$D$100,0))),2))</f>
        <v/>
      </c>
      <c r="AU495" s="66" t="str">
        <f t="shared" si="696"/>
        <v/>
      </c>
      <c r="AV495" s="66" t="str">
        <f t="shared" si="696"/>
        <v/>
      </c>
      <c r="AW495" s="66" t="str">
        <f>+IF($W495="","",ROUND((AT495*Parámetros!$G$85),2))</f>
        <v/>
      </c>
      <c r="AX495" s="66" t="str">
        <f>+IF($W495="","",ROUND((AT495*(Parámetros!$G$86)),2))</f>
        <v/>
      </c>
      <c r="AY495" s="66" t="str">
        <f t="shared" si="697"/>
        <v/>
      </c>
      <c r="AZ495" t="str">
        <f t="shared" si="651"/>
        <v/>
      </c>
      <c r="BA495" t="str">
        <f t="shared" si="652"/>
        <v/>
      </c>
      <c r="BB495" s="118" t="str">
        <f t="shared" si="653"/>
        <v/>
      </c>
      <c r="BC495" s="118" t="str">
        <f t="shared" si="654"/>
        <v/>
      </c>
      <c r="BD495" s="119" t="str">
        <f>+IF(OR($W495="",BB495=0),"",ROUND((VLOOKUP(ROUNDDOWN($D495-1/frec,0),cob_adi,AO$40,FALSE)*(1+i/frec)^-0.5*(1+Parámetros!$D$103)*(1+rec_fracc)/frec),6))</f>
        <v/>
      </c>
      <c r="BE495" s="66" t="str">
        <f t="shared" si="698"/>
        <v/>
      </c>
      <c r="BF495" s="119" t="str">
        <f t="shared" si="699"/>
        <v/>
      </c>
      <c r="BG495" s="66" t="str">
        <f>+IF($W495="","",ROUND(IF($B495&gt;Parámetros!$D$107,'Tablas Servicio'!BE495+('Tablas Servicio'!BG494-'Tablas Servicio'!BE494),BE495/(1-IF(B495&lt;=10,Parámetros!$D$100,0))),2))</f>
        <v/>
      </c>
      <c r="BH495" s="66" t="str">
        <f t="shared" si="700"/>
        <v/>
      </c>
      <c r="BI495" s="66" t="str">
        <f t="shared" si="701"/>
        <v/>
      </c>
      <c r="BJ495" s="66" t="str">
        <f>+IF($W495="","",ROUND((BG495*Parámetros!$G$85),2))</f>
        <v/>
      </c>
      <c r="BK495" s="66" t="str">
        <f>+IF($W495="","",ROUND((BG495*(Parámetros!$G$86)),2))</f>
        <v/>
      </c>
      <c r="BL495" s="66" t="str">
        <f t="shared" si="702"/>
        <v/>
      </c>
      <c r="BM495" t="str">
        <f t="shared" si="655"/>
        <v/>
      </c>
      <c r="BN495" t="str">
        <f t="shared" si="656"/>
        <v/>
      </c>
      <c r="BO495" s="118" t="str">
        <f t="shared" si="657"/>
        <v/>
      </c>
      <c r="BP495" s="118" t="str">
        <f t="shared" si="658"/>
        <v/>
      </c>
      <c r="BQ495" s="119" t="str">
        <f>+IF(OR($W495="",BO495=0),"",ROUND((VLOOKUP(ROUNDDOWN($D495-1/frec,0),cob_adi,BB$40,FALSE)*(1+i/frec)^-0.5*(1+Parámetros!$D$103)*(1+rec_fracc)/frec),6))</f>
        <v/>
      </c>
      <c r="BR495" s="66" t="str">
        <f t="shared" si="703"/>
        <v/>
      </c>
      <c r="BS495" s="119" t="str">
        <f t="shared" si="704"/>
        <v/>
      </c>
      <c r="BT495" s="66" t="str">
        <f>+IF($W495="","",ROUND(IF($B495&gt;Parámetros!$D$107,'Tablas Servicio'!BR495+('Tablas Servicio'!BT494-'Tablas Servicio'!BR494),BR495/(1-IF(B495&lt;=10,Parámetros!$D$100,0))),2))</f>
        <v/>
      </c>
      <c r="BU495" s="66" t="str">
        <f t="shared" si="705"/>
        <v/>
      </c>
      <c r="BV495" s="66" t="str">
        <f t="shared" si="705"/>
        <v/>
      </c>
      <c r="BW495" s="66" t="str">
        <f>+IF($W495="","",ROUND((BT495*Parámetros!$G$85),2))</f>
        <v/>
      </c>
      <c r="BX495" s="66" t="str">
        <f>+IF($W495="","",ROUND((BT495*(Parámetros!$G$86)),2))</f>
        <v/>
      </c>
      <c r="BY495" s="66" t="str">
        <f t="shared" si="706"/>
        <v/>
      </c>
      <c r="BZ495" t="str">
        <f t="shared" si="659"/>
        <v/>
      </c>
      <c r="CA495" t="str">
        <f t="shared" si="660"/>
        <v/>
      </c>
      <c r="CB495" s="118" t="str">
        <f t="shared" si="661"/>
        <v/>
      </c>
      <c r="CC495" s="118" t="str">
        <f t="shared" si="662"/>
        <v/>
      </c>
      <c r="CD495" s="119" t="str">
        <f t="shared" si="707"/>
        <v/>
      </c>
      <c r="CE495" s="66" t="str">
        <f>+IF($W495="","",ROUND((VLOOKUP(ROUNDDOWN($D495-1/frec,0),cob_adi,BO$40,FALSE)*(1+i/frec)^-0.5*(1+Parámetros!$D$103)*(1+rec_fracc)/frec*'TABLAS ADI'!$BC$17),2))</f>
        <v/>
      </c>
      <c r="CF495" s="119" t="str">
        <f t="shared" si="708"/>
        <v/>
      </c>
      <c r="CG495" s="66" t="str">
        <f>+IF($W495="","",ROUND(IF($B495&gt;Parámetros!$D$107,'Tablas Servicio'!CE495+('Tablas Servicio'!CG494-'Tablas Servicio'!CE494),CE495/(1-IF(B495&lt;=10,Parámetros!$D$100,0))),2))</f>
        <v/>
      </c>
      <c r="CH495" s="66" t="str">
        <f t="shared" si="709"/>
        <v/>
      </c>
      <c r="CI495" s="66" t="str">
        <f t="shared" si="709"/>
        <v/>
      </c>
      <c r="CJ495" s="66" t="str">
        <f>+IF($W495="","",ROUND((CG495*Parámetros!$G$85),2))</f>
        <v/>
      </c>
      <c r="CK495" s="66" t="str">
        <f>+IF($W495="","",ROUND((CG495*(Parámetros!$G$86)),2))</f>
        <v/>
      </c>
      <c r="CL495" s="66" t="str">
        <f t="shared" si="710"/>
        <v/>
      </c>
      <c r="CM495" t="str">
        <f t="shared" si="663"/>
        <v/>
      </c>
      <c r="CN495" s="118" t="str">
        <f t="shared" si="664"/>
        <v/>
      </c>
      <c r="CO495" s="118" t="str">
        <f t="shared" si="665"/>
        <v/>
      </c>
      <c r="CP495" s="118" t="str">
        <f t="shared" si="666"/>
        <v/>
      </c>
      <c r="CQ495" s="119" t="str">
        <f t="shared" si="711"/>
        <v/>
      </c>
      <c r="CR495" s="66" t="str">
        <f>+IF($W495="","",ROUND((VLOOKUP(Parámetros!$F$51,'COBERTURAS ADICIONALES'!$S$4:$T$32,2,FALSE)*(1+i/frec)^-0.5*(1+Parámetros!$D$103)*(1+rec_fracc)/frec*$CO$42),2))</f>
        <v/>
      </c>
      <c r="CS495" s="119" t="str">
        <f t="shared" si="712"/>
        <v/>
      </c>
      <c r="CT495" s="66" t="str">
        <f>+IF($W495="","",ROUND(IF($B495&gt;Parámetros!$D$107,'Tablas Servicio'!CR495+('Tablas Servicio'!CT494-'Tablas Servicio'!CR494),CR495/(1-IF(B495&lt;=10,Parámetros!$D$100,0))),2))</f>
        <v/>
      </c>
      <c r="CU495" s="66" t="str">
        <f t="shared" si="713"/>
        <v/>
      </c>
      <c r="CV495" s="66" t="str">
        <f t="shared" si="713"/>
        <v/>
      </c>
      <c r="CW495" s="66" t="str">
        <f>+IF($W495="","",ROUND((CT495*Parámetros!$G$85),2))</f>
        <v/>
      </c>
      <c r="CX495" s="66" t="str">
        <f>+IF($W495="","",ROUND((CT495*(Parámetros!$G$86)),2))</f>
        <v/>
      </c>
      <c r="CY495" s="66" t="str">
        <f t="shared" si="714"/>
        <v/>
      </c>
      <c r="CZ495" t="str">
        <f t="shared" si="667"/>
        <v/>
      </c>
      <c r="DA495" s="118" t="str">
        <f t="shared" si="668"/>
        <v/>
      </c>
      <c r="DB495" s="118" t="str">
        <f t="shared" si="669"/>
        <v/>
      </c>
      <c r="DC495" s="118" t="str">
        <f t="shared" si="670"/>
        <v/>
      </c>
      <c r="DD495" s="121" t="str">
        <f>+IF(OR($W495="",DB495=0),"",ROUND((VLOOKUP(ROUNDDOWN($D495-1/frec,0),cob_adi,CO$40,FALSE)*(1+i/frec)^-0.5*(1+Parámetros!$D$103)*(1+rec_fracc)/frec),6))</f>
        <v/>
      </c>
      <c r="DE495" s="66" t="str">
        <f t="shared" si="715"/>
        <v/>
      </c>
      <c r="DF495" s="119" t="str">
        <f t="shared" si="716"/>
        <v/>
      </c>
      <c r="DG495" s="66" t="str">
        <f>+IF($W495="","",ROUND(IF($B495&gt;Parámetros!$D$107,'Tablas Servicio'!DE495+('Tablas Servicio'!DG494-'Tablas Servicio'!DE494),DE495/(1-IF(B495&lt;=10,Parámetros!$D$100,0))),2))</f>
        <v/>
      </c>
      <c r="DH495" s="66" t="str">
        <f t="shared" si="717"/>
        <v/>
      </c>
      <c r="DI495" s="66" t="str">
        <f t="shared" si="717"/>
        <v/>
      </c>
      <c r="DJ495" s="66" t="str">
        <f>+IF($W495="","",ROUND((DG495*Parámetros!$G$85),2))</f>
        <v/>
      </c>
      <c r="DK495" s="66" t="str">
        <f>+IF($W495="","",ROUND((DG495*(Parámetros!$G$86)),2))</f>
        <v/>
      </c>
      <c r="DL495" s="66" t="str">
        <f t="shared" si="718"/>
        <v/>
      </c>
      <c r="DM495" t="str">
        <f t="shared" si="671"/>
        <v/>
      </c>
      <c r="DN495" s="118" t="str">
        <f t="shared" si="672"/>
        <v/>
      </c>
      <c r="DO495" s="118" t="str">
        <f t="shared" si="673"/>
        <v/>
      </c>
      <c r="DP495" s="118" t="str">
        <f t="shared" si="674"/>
        <v/>
      </c>
      <c r="DQ495" s="122" t="str">
        <f>+IF(OR($W495="",DO495=0),"",ROUND((VLOOKUP(ROUNDDOWN($D495-1/frec,0),cob_adi,DB$40,FALSE)*(1+i/frec)^-0.5*(1+Parámetros!$D$103)*(1+rec_fracc)/frec),6))</f>
        <v/>
      </c>
      <c r="DR495" s="66" t="str">
        <f t="shared" si="719"/>
        <v/>
      </c>
      <c r="DS495" s="68" t="str">
        <f t="shared" si="720"/>
        <v/>
      </c>
      <c r="DT495" s="66" t="str">
        <f>+IF($W495="","",ROUND(IF($B495&gt;Parámetros!$D$107,'Tablas Servicio'!DR495+('Tablas Servicio'!DT494-'Tablas Servicio'!DR494),DR495/(1-IF(B495&lt;=10,Parámetros!$D$100,0))),2))</f>
        <v/>
      </c>
      <c r="DU495" s="66" t="str">
        <f t="shared" si="721"/>
        <v/>
      </c>
      <c r="DV495" s="66" t="str">
        <f t="shared" si="721"/>
        <v/>
      </c>
      <c r="DW495" s="66" t="str">
        <f>+IF($W495="","",ROUND((DT495*Parámetros!$G$85),2))</f>
        <v/>
      </c>
      <c r="DX495" s="66" t="str">
        <f>+IF($W495="","",ROUND((DT495*(Parámetros!$G$86)),2))</f>
        <v/>
      </c>
      <c r="DY495" s="66" t="str">
        <f t="shared" si="722"/>
        <v/>
      </c>
      <c r="DZ495" t="str">
        <f t="shared" si="723"/>
        <v/>
      </c>
      <c r="EA495" s="118" t="str">
        <f t="shared" si="723"/>
        <v/>
      </c>
      <c r="EB495" s="118" t="str">
        <f>+IF($W495="","",ROUND(IF(Parámetros!$D$25='TABLAS MORT'!$V$33,EB494,Z495/2),0))</f>
        <v/>
      </c>
      <c r="EC495" s="118" t="str">
        <f t="shared" si="723"/>
        <v/>
      </c>
      <c r="ED495" s="122" t="str">
        <f>+IF(OR($W495="",EB495=0),"",ROUND((VLOOKUP(ROUNDDOWN($D495-1/frec,0),cob_adi,DO$40,FALSE)*(1+i/frec)^-0.5*(1+Parámetros!$D$103)*(1+rec_fracc)/frec),6))</f>
        <v/>
      </c>
      <c r="EE495" s="66" t="str">
        <f t="shared" si="724"/>
        <v/>
      </c>
      <c r="EF495" s="68" t="str">
        <f t="shared" si="725"/>
        <v/>
      </c>
      <c r="EG495" s="66" t="str">
        <f>+IF($W495="","",ROUND(IF($B495&gt;Parámetros!$D$107,'Tablas Servicio'!EE495+('Tablas Servicio'!EG494-'Tablas Servicio'!EE494),EE495/(1-IF(B495&lt;=10,Parámetros!$D$100,0))),2))</f>
        <v/>
      </c>
      <c r="EH495" s="66" t="str">
        <f t="shared" si="726"/>
        <v/>
      </c>
      <c r="EI495" s="66" t="str">
        <f t="shared" si="726"/>
        <v/>
      </c>
      <c r="EJ495" s="66" t="str">
        <f>+IF($W495="","",ROUND((EG495*Parámetros!$G$85),2))</f>
        <v/>
      </c>
      <c r="EK495" s="66" t="str">
        <f>+IF($W495="","",ROUND((EG495*(Parámetros!$G$86)),2))</f>
        <v/>
      </c>
      <c r="EL495" s="66" t="str">
        <f t="shared" si="727"/>
        <v/>
      </c>
    </row>
    <row r="496" spans="1:142" x14ac:dyDescent="0.25">
      <c r="A496" t="str">
        <f>+IF($C496="","",ROUND(VLOOKUP('Tablas Servicio'!B496,Parámetros!$H$100:$J$159,IF(Parámetros!$E$16="F",2,3),FALSE),2))</f>
        <v/>
      </c>
      <c r="B496" t="str">
        <f t="shared" si="678"/>
        <v/>
      </c>
      <c r="C496" s="57" t="str">
        <f>+IF(D496="","",'Tablas Servicio'!C495+1)</f>
        <v/>
      </c>
      <c r="D496" s="56" t="str">
        <f>+IF(D495&lt;edadmaxtabla,D495+1/Parámetros!$E$25,"")</f>
        <v/>
      </c>
      <c r="E496" s="57" t="str">
        <f t="shared" si="688"/>
        <v/>
      </c>
      <c r="F496" s="59" t="str">
        <f t="shared" si="689"/>
        <v/>
      </c>
      <c r="G496" s="66" t="str">
        <f t="shared" si="679"/>
        <v/>
      </c>
      <c r="H496" s="66" t="str">
        <f t="shared" si="680"/>
        <v/>
      </c>
      <c r="I496" s="66" t="str">
        <f t="shared" si="640"/>
        <v/>
      </c>
      <c r="J496" s="66" t="str">
        <f t="shared" si="681"/>
        <v/>
      </c>
      <c r="K496" s="66" t="str">
        <f t="shared" si="682"/>
        <v/>
      </c>
      <c r="L496" s="66" t="str">
        <f t="shared" si="683"/>
        <v/>
      </c>
      <c r="M496" s="66" t="str">
        <f t="shared" si="684"/>
        <v/>
      </c>
      <c r="N496" s="66" t="str">
        <f>+IF(C496="","",ROUND(Parámetros!$D$23,2))</f>
        <v/>
      </c>
      <c r="O496" s="66" t="str">
        <f t="shared" si="685"/>
        <v/>
      </c>
      <c r="P496" s="66" t="str">
        <f>+IF($C496="","",ROUND(IF(B496&gt;Parámetros!$D$117,0,N496*Parámetros!$D$116-G496*Parámetros!$D$100),2))</f>
        <v/>
      </c>
      <c r="Q496" s="75" t="str">
        <f t="shared" si="641"/>
        <v/>
      </c>
      <c r="R496" s="75" t="str">
        <f t="shared" si="642"/>
        <v/>
      </c>
      <c r="S496" s="117" t="str">
        <f>+IF($C496="","",ROUND((S495+I496)*(1+Parámetros!$D$91),2))</f>
        <v/>
      </c>
      <c r="T496" s="117" t="str">
        <f>+IF($C496="","",ROUND(S496*VLOOKUP(B496,Parámetros!$C$30:$D$39,2,TRUE),2))</f>
        <v/>
      </c>
      <c r="U496" s="117" t="str">
        <f>+IF($C496="","",ROUND((U495+I496)*(1+Parámetros!$D$92),2))</f>
        <v/>
      </c>
      <c r="V496" s="117" t="str">
        <f>+IF($C496="","",ROUND(U496*VLOOKUP(B496,Parámetros!$C$30:$D$39,2,TRUE),2))</f>
        <v/>
      </c>
      <c r="W496" s="57" t="str">
        <f t="shared" si="643"/>
        <v/>
      </c>
      <c r="X496" t="str">
        <f t="shared" si="644"/>
        <v/>
      </c>
      <c r="Y496" t="str">
        <f t="shared" si="645"/>
        <v/>
      </c>
      <c r="Z496" s="118" t="str">
        <f>+IF($W496="","",ROUND(IF(Parámetros!$D$25='TABLAS MORT'!$V$33,Z495,Parámetros!$D$21-'Tablas Servicio'!T495),0))</f>
        <v/>
      </c>
      <c r="AA496" s="118" t="str">
        <f t="shared" si="646"/>
        <v/>
      </c>
      <c r="AB496" s="119" t="str">
        <f>+IF(W496="","",ROUND((VLOOKUP(ROUNDDOWN($D496-1/frec,0),qx_tabla,2,FALSE)*(1+i/frec)^-0.5*(1+Parámetros!$D$103)*(1+rec_fracc)/frec),6))</f>
        <v/>
      </c>
      <c r="AC496" s="66" t="str">
        <f t="shared" si="690"/>
        <v/>
      </c>
      <c r="AD496" s="119" t="str">
        <f t="shared" si="686"/>
        <v/>
      </c>
      <c r="AE496" s="66" t="str">
        <f>+IF($W496="","",ROUND(IF($B496&gt;Parámetros!$D$107,'Tablas Servicio'!AC496+('Tablas Servicio'!AG495-'Tablas Servicio'!AC495),AC496/(1-IF(B496&lt;=10,Parámetros!$D$104,Parámetros!$D$105))),2))</f>
        <v/>
      </c>
      <c r="AF496" s="66" t="str">
        <f>+IF($W496="","",ROUND(IF($B496&gt;Parámetros!$D$107,'Tablas Servicio'!AC496+('Tablas Servicio'!AG495-'Tablas Servicio'!AC495),(AC496+$A495/frec)/(1-IF(B496&lt;=Parámetros!$D$117,Parámetros!$D$100,0))),2))</f>
        <v/>
      </c>
      <c r="AG496" s="66" t="str">
        <f t="shared" si="691"/>
        <v/>
      </c>
      <c r="AH496" s="66" t="str">
        <f t="shared" si="692"/>
        <v/>
      </c>
      <c r="AI496" s="66" t="str">
        <f t="shared" si="693"/>
        <v/>
      </c>
      <c r="AJ496" s="66" t="str">
        <f>+IF($W496="","",ROUND((AG496*Parámetros!$G$85),2))</f>
        <v/>
      </c>
      <c r="AK496" s="66" t="str">
        <f>+IF($W496="","",ROUND((AG496*(Parámetros!$G$86)),2))</f>
        <v/>
      </c>
      <c r="AL496" s="66" t="str">
        <f t="shared" si="687"/>
        <v/>
      </c>
      <c r="AM496" t="str">
        <f t="shared" si="647"/>
        <v/>
      </c>
      <c r="AN496" t="str">
        <f t="shared" si="648"/>
        <v/>
      </c>
      <c r="AO496" s="118" t="str">
        <f t="shared" si="649"/>
        <v/>
      </c>
      <c r="AP496" s="118" t="str">
        <f t="shared" si="650"/>
        <v/>
      </c>
      <c r="AQ496" s="119" t="str">
        <f>+IF(OR($W496="",AO496=0),"",ROUND((VLOOKUP(ROUNDDOWN($D496-1/frec,0),cob_adi,Z$40,FALSE)*(1+i/frec)^-0.5*(1+Parámetros!$D$103)*(1+rec_fracc)/frec),6))</f>
        <v/>
      </c>
      <c r="AR496" s="66" t="str">
        <f t="shared" si="694"/>
        <v/>
      </c>
      <c r="AS496" s="119" t="str">
        <f t="shared" si="695"/>
        <v/>
      </c>
      <c r="AT496" s="66" t="str">
        <f>+IF($W496="","",ROUND(IF($B496&gt;Parámetros!$D$107,'Tablas Servicio'!AR496+('Tablas Servicio'!AT495-'Tablas Servicio'!AR495),AR496/(1-IF(B496&lt;=10,Parámetros!$D$100,0))),2))</f>
        <v/>
      </c>
      <c r="AU496" s="66" t="str">
        <f t="shared" si="696"/>
        <v/>
      </c>
      <c r="AV496" s="66" t="str">
        <f t="shared" si="696"/>
        <v/>
      </c>
      <c r="AW496" s="66" t="str">
        <f>+IF($W496="","",ROUND((AT496*Parámetros!$G$85),2))</f>
        <v/>
      </c>
      <c r="AX496" s="66" t="str">
        <f>+IF($W496="","",ROUND((AT496*(Parámetros!$G$86)),2))</f>
        <v/>
      </c>
      <c r="AY496" s="66" t="str">
        <f t="shared" si="697"/>
        <v/>
      </c>
      <c r="AZ496" t="str">
        <f t="shared" si="651"/>
        <v/>
      </c>
      <c r="BA496" t="str">
        <f t="shared" si="652"/>
        <v/>
      </c>
      <c r="BB496" s="118" t="str">
        <f t="shared" si="653"/>
        <v/>
      </c>
      <c r="BC496" s="118" t="str">
        <f t="shared" si="654"/>
        <v/>
      </c>
      <c r="BD496" s="119" t="str">
        <f>+IF(OR($W496="",BB496=0),"",ROUND((VLOOKUP(ROUNDDOWN($D496-1/frec,0),cob_adi,AO$40,FALSE)*(1+i/frec)^-0.5*(1+Parámetros!$D$103)*(1+rec_fracc)/frec),6))</f>
        <v/>
      </c>
      <c r="BE496" s="66" t="str">
        <f t="shared" si="698"/>
        <v/>
      </c>
      <c r="BF496" s="119" t="str">
        <f t="shared" si="699"/>
        <v/>
      </c>
      <c r="BG496" s="66" t="str">
        <f>+IF($W496="","",ROUND(IF($B496&gt;Parámetros!$D$107,'Tablas Servicio'!BE496+('Tablas Servicio'!BG495-'Tablas Servicio'!BE495),BE496/(1-IF(B496&lt;=10,Parámetros!$D$100,0))),2))</f>
        <v/>
      </c>
      <c r="BH496" s="66" t="str">
        <f t="shared" si="700"/>
        <v/>
      </c>
      <c r="BI496" s="66" t="str">
        <f t="shared" si="701"/>
        <v/>
      </c>
      <c r="BJ496" s="66" t="str">
        <f>+IF($W496="","",ROUND((BG496*Parámetros!$G$85),2))</f>
        <v/>
      </c>
      <c r="BK496" s="66" t="str">
        <f>+IF($W496="","",ROUND((BG496*(Parámetros!$G$86)),2))</f>
        <v/>
      </c>
      <c r="BL496" s="66" t="str">
        <f t="shared" si="702"/>
        <v/>
      </c>
      <c r="BM496" t="str">
        <f t="shared" si="655"/>
        <v/>
      </c>
      <c r="BN496" t="str">
        <f t="shared" si="656"/>
        <v/>
      </c>
      <c r="BO496" s="118" t="str">
        <f t="shared" si="657"/>
        <v/>
      </c>
      <c r="BP496" s="118" t="str">
        <f t="shared" si="658"/>
        <v/>
      </c>
      <c r="BQ496" s="119" t="str">
        <f>+IF(OR($W496="",BO496=0),"",ROUND((VLOOKUP(ROUNDDOWN($D496-1/frec,0),cob_adi,BB$40,FALSE)*(1+i/frec)^-0.5*(1+Parámetros!$D$103)*(1+rec_fracc)/frec),6))</f>
        <v/>
      </c>
      <c r="BR496" s="66" t="str">
        <f t="shared" si="703"/>
        <v/>
      </c>
      <c r="BS496" s="119" t="str">
        <f t="shared" si="704"/>
        <v/>
      </c>
      <c r="BT496" s="66" t="str">
        <f>+IF($W496="","",ROUND(IF($B496&gt;Parámetros!$D$107,'Tablas Servicio'!BR496+('Tablas Servicio'!BT495-'Tablas Servicio'!BR495),BR496/(1-IF(B496&lt;=10,Parámetros!$D$100,0))),2))</f>
        <v/>
      </c>
      <c r="BU496" s="66" t="str">
        <f t="shared" si="705"/>
        <v/>
      </c>
      <c r="BV496" s="66" t="str">
        <f t="shared" si="705"/>
        <v/>
      </c>
      <c r="BW496" s="66" t="str">
        <f>+IF($W496="","",ROUND((BT496*Parámetros!$G$85),2))</f>
        <v/>
      </c>
      <c r="BX496" s="66" t="str">
        <f>+IF($W496="","",ROUND((BT496*(Parámetros!$G$86)),2))</f>
        <v/>
      </c>
      <c r="BY496" s="66" t="str">
        <f t="shared" si="706"/>
        <v/>
      </c>
      <c r="BZ496" t="str">
        <f t="shared" si="659"/>
        <v/>
      </c>
      <c r="CA496" t="str">
        <f t="shared" si="660"/>
        <v/>
      </c>
      <c r="CB496" s="118" t="str">
        <f t="shared" si="661"/>
        <v/>
      </c>
      <c r="CC496" s="118" t="str">
        <f t="shared" si="662"/>
        <v/>
      </c>
      <c r="CD496" s="119" t="str">
        <f t="shared" si="707"/>
        <v/>
      </c>
      <c r="CE496" s="66" t="str">
        <f>+IF($W496="","",ROUND((VLOOKUP(ROUNDDOWN($D496-1/frec,0),cob_adi,BO$40,FALSE)*(1+i/frec)^-0.5*(1+Parámetros!$D$103)*(1+rec_fracc)/frec*'TABLAS ADI'!$BC$17),2))</f>
        <v/>
      </c>
      <c r="CF496" s="119" t="str">
        <f t="shared" si="708"/>
        <v/>
      </c>
      <c r="CG496" s="66" t="str">
        <f>+IF($W496="","",ROUND(IF($B496&gt;Parámetros!$D$107,'Tablas Servicio'!CE496+('Tablas Servicio'!CG495-'Tablas Servicio'!CE495),CE496/(1-IF(B496&lt;=10,Parámetros!$D$100,0))),2))</f>
        <v/>
      </c>
      <c r="CH496" s="66" t="str">
        <f t="shared" si="709"/>
        <v/>
      </c>
      <c r="CI496" s="66" t="str">
        <f t="shared" si="709"/>
        <v/>
      </c>
      <c r="CJ496" s="66" t="str">
        <f>+IF($W496="","",ROUND((CG496*Parámetros!$G$85),2))</f>
        <v/>
      </c>
      <c r="CK496" s="66" t="str">
        <f>+IF($W496="","",ROUND((CG496*(Parámetros!$G$86)),2))</f>
        <v/>
      </c>
      <c r="CL496" s="66" t="str">
        <f t="shared" si="710"/>
        <v/>
      </c>
      <c r="CM496" t="str">
        <f t="shared" si="663"/>
        <v/>
      </c>
      <c r="CN496" s="118" t="str">
        <f t="shared" si="664"/>
        <v/>
      </c>
      <c r="CO496" s="118" t="str">
        <f t="shared" si="665"/>
        <v/>
      </c>
      <c r="CP496" s="118" t="str">
        <f t="shared" si="666"/>
        <v/>
      </c>
      <c r="CQ496" s="119" t="str">
        <f t="shared" si="711"/>
        <v/>
      </c>
      <c r="CR496" s="66" t="str">
        <f>+IF($W496="","",ROUND((VLOOKUP(Parámetros!$F$51,'COBERTURAS ADICIONALES'!$S$4:$T$32,2,FALSE)*(1+i/frec)^-0.5*(1+Parámetros!$D$103)*(1+rec_fracc)/frec*$CO$42),2))</f>
        <v/>
      </c>
      <c r="CS496" s="119" t="str">
        <f t="shared" si="712"/>
        <v/>
      </c>
      <c r="CT496" s="66" t="str">
        <f>+IF($W496="","",ROUND(IF($B496&gt;Parámetros!$D$107,'Tablas Servicio'!CR496+('Tablas Servicio'!CT495-'Tablas Servicio'!CR495),CR496/(1-IF(B496&lt;=10,Parámetros!$D$100,0))),2))</f>
        <v/>
      </c>
      <c r="CU496" s="66" t="str">
        <f t="shared" si="713"/>
        <v/>
      </c>
      <c r="CV496" s="66" t="str">
        <f t="shared" si="713"/>
        <v/>
      </c>
      <c r="CW496" s="66" t="str">
        <f>+IF($W496="","",ROUND((CT496*Parámetros!$G$85),2))</f>
        <v/>
      </c>
      <c r="CX496" s="66" t="str">
        <f>+IF($W496="","",ROUND((CT496*(Parámetros!$G$86)),2))</f>
        <v/>
      </c>
      <c r="CY496" s="66" t="str">
        <f t="shared" si="714"/>
        <v/>
      </c>
      <c r="CZ496" t="str">
        <f t="shared" si="667"/>
        <v/>
      </c>
      <c r="DA496" s="118" t="str">
        <f t="shared" si="668"/>
        <v/>
      </c>
      <c r="DB496" s="118" t="str">
        <f t="shared" si="669"/>
        <v/>
      </c>
      <c r="DC496" s="118" t="str">
        <f t="shared" si="670"/>
        <v/>
      </c>
      <c r="DD496" s="121" t="str">
        <f>+IF(OR($W496="",DB496=0),"",ROUND((VLOOKUP(ROUNDDOWN($D496-1/frec,0),cob_adi,CO$40,FALSE)*(1+i/frec)^-0.5*(1+Parámetros!$D$103)*(1+rec_fracc)/frec),6))</f>
        <v/>
      </c>
      <c r="DE496" s="66" t="str">
        <f t="shared" si="715"/>
        <v/>
      </c>
      <c r="DF496" s="119" t="str">
        <f t="shared" si="716"/>
        <v/>
      </c>
      <c r="DG496" s="66" t="str">
        <f>+IF($W496="","",ROUND(IF($B496&gt;Parámetros!$D$107,'Tablas Servicio'!DE496+('Tablas Servicio'!DG495-'Tablas Servicio'!DE495),DE496/(1-IF(B496&lt;=10,Parámetros!$D$100,0))),2))</f>
        <v/>
      </c>
      <c r="DH496" s="66" t="str">
        <f t="shared" si="717"/>
        <v/>
      </c>
      <c r="DI496" s="66" t="str">
        <f t="shared" si="717"/>
        <v/>
      </c>
      <c r="DJ496" s="66" t="str">
        <f>+IF($W496="","",ROUND((DG496*Parámetros!$G$85),2))</f>
        <v/>
      </c>
      <c r="DK496" s="66" t="str">
        <f>+IF($W496="","",ROUND((DG496*(Parámetros!$G$86)),2))</f>
        <v/>
      </c>
      <c r="DL496" s="66" t="str">
        <f t="shared" si="718"/>
        <v/>
      </c>
      <c r="DM496" t="str">
        <f t="shared" si="671"/>
        <v/>
      </c>
      <c r="DN496" s="118" t="str">
        <f t="shared" si="672"/>
        <v/>
      </c>
      <c r="DO496" s="118" t="str">
        <f t="shared" si="673"/>
        <v/>
      </c>
      <c r="DP496" s="118" t="str">
        <f t="shared" si="674"/>
        <v/>
      </c>
      <c r="DQ496" s="122" t="str">
        <f>+IF(OR($W496="",DO496=0),"",ROUND((VLOOKUP(ROUNDDOWN($D496-1/frec,0),cob_adi,DB$40,FALSE)*(1+i/frec)^-0.5*(1+Parámetros!$D$103)*(1+rec_fracc)/frec),6))</f>
        <v/>
      </c>
      <c r="DR496" s="66" t="str">
        <f t="shared" si="719"/>
        <v/>
      </c>
      <c r="DS496" s="68" t="str">
        <f t="shared" si="720"/>
        <v/>
      </c>
      <c r="DT496" s="66" t="str">
        <f>+IF($W496="","",ROUND(IF($B496&gt;Parámetros!$D$107,'Tablas Servicio'!DR496+('Tablas Servicio'!DT495-'Tablas Servicio'!DR495),DR496/(1-IF(B496&lt;=10,Parámetros!$D$100,0))),2))</f>
        <v/>
      </c>
      <c r="DU496" s="66" t="str">
        <f t="shared" si="721"/>
        <v/>
      </c>
      <c r="DV496" s="66" t="str">
        <f t="shared" si="721"/>
        <v/>
      </c>
      <c r="DW496" s="66" t="str">
        <f>+IF($W496="","",ROUND((DT496*Parámetros!$G$85),2))</f>
        <v/>
      </c>
      <c r="DX496" s="66" t="str">
        <f>+IF($W496="","",ROUND((DT496*(Parámetros!$G$86)),2))</f>
        <v/>
      </c>
      <c r="DY496" s="66" t="str">
        <f t="shared" si="722"/>
        <v/>
      </c>
      <c r="DZ496" t="str">
        <f t="shared" si="723"/>
        <v/>
      </c>
      <c r="EA496" s="118" t="str">
        <f t="shared" si="723"/>
        <v/>
      </c>
      <c r="EB496" s="118" t="str">
        <f>+IF($W496="","",ROUND(IF(Parámetros!$D$25='TABLAS MORT'!$V$33,EB495,Z496/2),0))</f>
        <v/>
      </c>
      <c r="EC496" s="118" t="str">
        <f t="shared" si="723"/>
        <v/>
      </c>
      <c r="ED496" s="122" t="str">
        <f>+IF(OR($W496="",EB496=0),"",ROUND((VLOOKUP(ROUNDDOWN($D496-1/frec,0),cob_adi,DO$40,FALSE)*(1+i/frec)^-0.5*(1+Parámetros!$D$103)*(1+rec_fracc)/frec),6))</f>
        <v/>
      </c>
      <c r="EE496" s="66" t="str">
        <f t="shared" si="724"/>
        <v/>
      </c>
      <c r="EF496" s="68" t="str">
        <f t="shared" si="725"/>
        <v/>
      </c>
      <c r="EG496" s="66" t="str">
        <f>+IF($W496="","",ROUND(IF($B496&gt;Parámetros!$D$107,'Tablas Servicio'!EE496+('Tablas Servicio'!EG495-'Tablas Servicio'!EE495),EE496/(1-IF(B496&lt;=10,Parámetros!$D$100,0))),2))</f>
        <v/>
      </c>
      <c r="EH496" s="66" t="str">
        <f t="shared" si="726"/>
        <v/>
      </c>
      <c r="EI496" s="66" t="str">
        <f t="shared" si="726"/>
        <v/>
      </c>
      <c r="EJ496" s="66" t="str">
        <f>+IF($W496="","",ROUND((EG496*Parámetros!$G$85),2))</f>
        <v/>
      </c>
      <c r="EK496" s="66" t="str">
        <f>+IF($W496="","",ROUND((EG496*(Parámetros!$G$86)),2))</f>
        <v/>
      </c>
      <c r="EL496" s="66" t="str">
        <f t="shared" si="727"/>
        <v/>
      </c>
    </row>
    <row r="497" spans="1:142" x14ac:dyDescent="0.25">
      <c r="A497" t="str">
        <f>+IF($C497="","",ROUND(VLOOKUP('Tablas Servicio'!B497,Parámetros!$H$100:$J$159,IF(Parámetros!$E$16="F",2,3),FALSE),2))</f>
        <v/>
      </c>
      <c r="B497" t="str">
        <f t="shared" si="678"/>
        <v/>
      </c>
      <c r="C497" s="57" t="str">
        <f>+IF(D497="","",'Tablas Servicio'!C496+1)</f>
        <v/>
      </c>
      <c r="D497" s="56" t="str">
        <f>+IF(D496&lt;edadmaxtabla,D496+1/Parámetros!$E$25,"")</f>
        <v/>
      </c>
      <c r="E497" s="57" t="str">
        <f t="shared" si="688"/>
        <v/>
      </c>
      <c r="F497" s="59" t="str">
        <f t="shared" si="689"/>
        <v/>
      </c>
      <c r="G497" s="66" t="str">
        <f t="shared" si="679"/>
        <v/>
      </c>
      <c r="H497" s="66" t="str">
        <f t="shared" si="680"/>
        <v/>
      </c>
      <c r="I497" s="66" t="str">
        <f t="shared" si="640"/>
        <v/>
      </c>
      <c r="J497" s="66" t="str">
        <f t="shared" si="681"/>
        <v/>
      </c>
      <c r="K497" s="66" t="str">
        <f t="shared" si="682"/>
        <v/>
      </c>
      <c r="L497" s="66" t="str">
        <f t="shared" si="683"/>
        <v/>
      </c>
      <c r="M497" s="66" t="str">
        <f t="shared" si="684"/>
        <v/>
      </c>
      <c r="N497" s="66" t="str">
        <f>+IF(C497="","",ROUND(Parámetros!$D$23,2))</f>
        <v/>
      </c>
      <c r="O497" s="66" t="str">
        <f t="shared" si="685"/>
        <v/>
      </c>
      <c r="P497" s="66" t="str">
        <f>+IF($C497="","",ROUND(IF(B497&gt;Parámetros!$D$117,0,N497*Parámetros!$D$116-G497*Parámetros!$D$100),2))</f>
        <v/>
      </c>
      <c r="Q497" s="75" t="str">
        <f t="shared" si="641"/>
        <v/>
      </c>
      <c r="R497" s="75" t="str">
        <f t="shared" si="642"/>
        <v/>
      </c>
      <c r="S497" s="117" t="str">
        <f>+IF($C497="","",ROUND((S496+I497)*(1+Parámetros!$D$91),2))</f>
        <v/>
      </c>
      <c r="T497" s="117" t="str">
        <f>+IF($C497="","",ROUND(S497*VLOOKUP(B497,Parámetros!$C$30:$D$39,2,TRUE),2))</f>
        <v/>
      </c>
      <c r="U497" s="117" t="str">
        <f>+IF($C497="","",ROUND((U496+I497)*(1+Parámetros!$D$92),2))</f>
        <v/>
      </c>
      <c r="V497" s="117" t="str">
        <f>+IF($C497="","",ROUND(U497*VLOOKUP(B497,Parámetros!$C$30:$D$39,2,TRUE),2))</f>
        <v/>
      </c>
      <c r="W497" s="57" t="str">
        <f t="shared" si="643"/>
        <v/>
      </c>
      <c r="X497" t="str">
        <f t="shared" si="644"/>
        <v/>
      </c>
      <c r="Y497" t="str">
        <f t="shared" si="645"/>
        <v/>
      </c>
      <c r="Z497" s="118" t="str">
        <f>+IF($W497="","",ROUND(IF(Parámetros!$D$25='TABLAS MORT'!$V$33,Z496,Parámetros!$D$21-'Tablas Servicio'!T496),0))</f>
        <v/>
      </c>
      <c r="AA497" s="118" t="str">
        <f t="shared" si="646"/>
        <v/>
      </c>
      <c r="AB497" s="119" t="str">
        <f>+IF(W497="","",ROUND((VLOOKUP(ROUNDDOWN($D497-1/frec,0),qx_tabla,2,FALSE)*(1+i/frec)^-0.5*(1+Parámetros!$D$103)*(1+rec_fracc)/frec),6))</f>
        <v/>
      </c>
      <c r="AC497" s="66" t="str">
        <f t="shared" si="690"/>
        <v/>
      </c>
      <c r="AD497" s="119" t="str">
        <f t="shared" si="686"/>
        <v/>
      </c>
      <c r="AE497" s="66" t="str">
        <f>+IF($W497="","",ROUND(IF($B497&gt;Parámetros!$D$107,'Tablas Servicio'!AC497+('Tablas Servicio'!AG496-'Tablas Servicio'!AC496),AC497/(1-IF(B497&lt;=10,Parámetros!$D$104,Parámetros!$D$105))),2))</f>
        <v/>
      </c>
      <c r="AF497" s="66" t="str">
        <f>+IF($W497="","",ROUND(IF($B497&gt;Parámetros!$D$107,'Tablas Servicio'!AC497+('Tablas Servicio'!AG496-'Tablas Servicio'!AC496),(AC497+$A496/frec)/(1-IF(B497&lt;=Parámetros!$D$117,Parámetros!$D$100,0))),2))</f>
        <v/>
      </c>
      <c r="AG497" s="66" t="str">
        <f t="shared" si="691"/>
        <v/>
      </c>
      <c r="AH497" s="66" t="str">
        <f t="shared" si="692"/>
        <v/>
      </c>
      <c r="AI497" s="66" t="str">
        <f t="shared" si="693"/>
        <v/>
      </c>
      <c r="AJ497" s="66" t="str">
        <f>+IF($W497="","",ROUND((AG497*Parámetros!$G$85),2))</f>
        <v/>
      </c>
      <c r="AK497" s="66" t="str">
        <f>+IF($W497="","",ROUND((AG497*(Parámetros!$G$86)),2))</f>
        <v/>
      </c>
      <c r="AL497" s="66" t="str">
        <f t="shared" si="687"/>
        <v/>
      </c>
      <c r="AM497" t="str">
        <f t="shared" si="647"/>
        <v/>
      </c>
      <c r="AN497" t="str">
        <f t="shared" si="648"/>
        <v/>
      </c>
      <c r="AO497" s="118" t="str">
        <f t="shared" si="649"/>
        <v/>
      </c>
      <c r="AP497" s="118" t="str">
        <f t="shared" si="650"/>
        <v/>
      </c>
      <c r="AQ497" s="119" t="str">
        <f>+IF(OR($W497="",AO497=0),"",ROUND((VLOOKUP(ROUNDDOWN($D497-1/frec,0),cob_adi,Z$40,FALSE)*(1+i/frec)^-0.5*(1+Parámetros!$D$103)*(1+rec_fracc)/frec),6))</f>
        <v/>
      </c>
      <c r="AR497" s="66" t="str">
        <f t="shared" si="694"/>
        <v/>
      </c>
      <c r="AS497" s="119" t="str">
        <f t="shared" si="695"/>
        <v/>
      </c>
      <c r="AT497" s="66" t="str">
        <f>+IF($W497="","",ROUND(IF($B497&gt;Parámetros!$D$107,'Tablas Servicio'!AR497+('Tablas Servicio'!AT496-'Tablas Servicio'!AR496),AR497/(1-IF(B497&lt;=10,Parámetros!$D$100,0))),2))</f>
        <v/>
      </c>
      <c r="AU497" s="66" t="str">
        <f t="shared" si="696"/>
        <v/>
      </c>
      <c r="AV497" s="66" t="str">
        <f t="shared" si="696"/>
        <v/>
      </c>
      <c r="AW497" s="66" t="str">
        <f>+IF($W497="","",ROUND((AT497*Parámetros!$G$85),2))</f>
        <v/>
      </c>
      <c r="AX497" s="66" t="str">
        <f>+IF($W497="","",ROUND((AT497*(Parámetros!$G$86)),2))</f>
        <v/>
      </c>
      <c r="AY497" s="66" t="str">
        <f t="shared" si="697"/>
        <v/>
      </c>
      <c r="AZ497" t="str">
        <f t="shared" si="651"/>
        <v/>
      </c>
      <c r="BA497" t="str">
        <f t="shared" si="652"/>
        <v/>
      </c>
      <c r="BB497" s="118" t="str">
        <f t="shared" si="653"/>
        <v/>
      </c>
      <c r="BC497" s="118" t="str">
        <f t="shared" si="654"/>
        <v/>
      </c>
      <c r="BD497" s="119" t="str">
        <f>+IF(OR($W497="",BB497=0),"",ROUND((VLOOKUP(ROUNDDOWN($D497-1/frec,0),cob_adi,AO$40,FALSE)*(1+i/frec)^-0.5*(1+Parámetros!$D$103)*(1+rec_fracc)/frec),6))</f>
        <v/>
      </c>
      <c r="BE497" s="66" t="str">
        <f t="shared" si="698"/>
        <v/>
      </c>
      <c r="BF497" s="119" t="str">
        <f t="shared" si="699"/>
        <v/>
      </c>
      <c r="BG497" s="66" t="str">
        <f>+IF($W497="","",ROUND(IF($B497&gt;Parámetros!$D$107,'Tablas Servicio'!BE497+('Tablas Servicio'!BG496-'Tablas Servicio'!BE496),BE497/(1-IF(B497&lt;=10,Parámetros!$D$100,0))),2))</f>
        <v/>
      </c>
      <c r="BH497" s="66" t="str">
        <f t="shared" si="700"/>
        <v/>
      </c>
      <c r="BI497" s="66" t="str">
        <f t="shared" si="701"/>
        <v/>
      </c>
      <c r="BJ497" s="66" t="str">
        <f>+IF($W497="","",ROUND((BG497*Parámetros!$G$85),2))</f>
        <v/>
      </c>
      <c r="BK497" s="66" t="str">
        <f>+IF($W497="","",ROUND((BG497*(Parámetros!$G$86)),2))</f>
        <v/>
      </c>
      <c r="BL497" s="66" t="str">
        <f t="shared" si="702"/>
        <v/>
      </c>
      <c r="BM497" t="str">
        <f t="shared" si="655"/>
        <v/>
      </c>
      <c r="BN497" t="str">
        <f t="shared" si="656"/>
        <v/>
      </c>
      <c r="BO497" s="118" t="str">
        <f t="shared" si="657"/>
        <v/>
      </c>
      <c r="BP497" s="118" t="str">
        <f t="shared" si="658"/>
        <v/>
      </c>
      <c r="BQ497" s="119" t="str">
        <f>+IF(OR($W497="",BO497=0),"",ROUND((VLOOKUP(ROUNDDOWN($D497-1/frec,0),cob_adi,BB$40,FALSE)*(1+i/frec)^-0.5*(1+Parámetros!$D$103)*(1+rec_fracc)/frec),6))</f>
        <v/>
      </c>
      <c r="BR497" s="66" t="str">
        <f t="shared" si="703"/>
        <v/>
      </c>
      <c r="BS497" s="119" t="str">
        <f t="shared" si="704"/>
        <v/>
      </c>
      <c r="BT497" s="66" t="str">
        <f>+IF($W497="","",ROUND(IF($B497&gt;Parámetros!$D$107,'Tablas Servicio'!BR497+('Tablas Servicio'!BT496-'Tablas Servicio'!BR496),BR497/(1-IF(B497&lt;=10,Parámetros!$D$100,0))),2))</f>
        <v/>
      </c>
      <c r="BU497" s="66" t="str">
        <f t="shared" si="705"/>
        <v/>
      </c>
      <c r="BV497" s="66" t="str">
        <f t="shared" si="705"/>
        <v/>
      </c>
      <c r="BW497" s="66" t="str">
        <f>+IF($W497="","",ROUND((BT497*Parámetros!$G$85),2))</f>
        <v/>
      </c>
      <c r="BX497" s="66" t="str">
        <f>+IF($W497="","",ROUND((BT497*(Parámetros!$G$86)),2))</f>
        <v/>
      </c>
      <c r="BY497" s="66" t="str">
        <f t="shared" si="706"/>
        <v/>
      </c>
      <c r="BZ497" t="str">
        <f t="shared" si="659"/>
        <v/>
      </c>
      <c r="CA497" t="str">
        <f t="shared" si="660"/>
        <v/>
      </c>
      <c r="CB497" s="118" t="str">
        <f t="shared" si="661"/>
        <v/>
      </c>
      <c r="CC497" s="118" t="str">
        <f t="shared" si="662"/>
        <v/>
      </c>
      <c r="CD497" s="119" t="str">
        <f t="shared" si="707"/>
        <v/>
      </c>
      <c r="CE497" s="66" t="str">
        <f>+IF($W497="","",ROUND((VLOOKUP(ROUNDDOWN($D497-1/frec,0),cob_adi,BO$40,FALSE)*(1+i/frec)^-0.5*(1+Parámetros!$D$103)*(1+rec_fracc)/frec*'TABLAS ADI'!$BC$17),2))</f>
        <v/>
      </c>
      <c r="CF497" s="119" t="str">
        <f t="shared" si="708"/>
        <v/>
      </c>
      <c r="CG497" s="66" t="str">
        <f>+IF($W497="","",ROUND(IF($B497&gt;Parámetros!$D$107,'Tablas Servicio'!CE497+('Tablas Servicio'!CG496-'Tablas Servicio'!CE496),CE497/(1-IF(B497&lt;=10,Parámetros!$D$100,0))),2))</f>
        <v/>
      </c>
      <c r="CH497" s="66" t="str">
        <f t="shared" si="709"/>
        <v/>
      </c>
      <c r="CI497" s="66" t="str">
        <f t="shared" si="709"/>
        <v/>
      </c>
      <c r="CJ497" s="66" t="str">
        <f>+IF($W497="","",ROUND((CG497*Parámetros!$G$85),2))</f>
        <v/>
      </c>
      <c r="CK497" s="66" t="str">
        <f>+IF($W497="","",ROUND((CG497*(Parámetros!$G$86)),2))</f>
        <v/>
      </c>
      <c r="CL497" s="66" t="str">
        <f t="shared" si="710"/>
        <v/>
      </c>
      <c r="CM497" t="str">
        <f t="shared" si="663"/>
        <v/>
      </c>
      <c r="CN497" s="118" t="str">
        <f t="shared" si="664"/>
        <v/>
      </c>
      <c r="CO497" s="118" t="str">
        <f t="shared" si="665"/>
        <v/>
      </c>
      <c r="CP497" s="118" t="str">
        <f t="shared" si="666"/>
        <v/>
      </c>
      <c r="CQ497" s="119" t="str">
        <f t="shared" si="711"/>
        <v/>
      </c>
      <c r="CR497" s="66" t="str">
        <f>+IF($W497="","",ROUND((VLOOKUP(Parámetros!$F$51,'COBERTURAS ADICIONALES'!$S$4:$T$32,2,FALSE)*(1+i/frec)^-0.5*(1+Parámetros!$D$103)*(1+rec_fracc)/frec*$CO$42),2))</f>
        <v/>
      </c>
      <c r="CS497" s="119" t="str">
        <f t="shared" si="712"/>
        <v/>
      </c>
      <c r="CT497" s="66" t="str">
        <f>+IF($W497="","",ROUND(IF($B497&gt;Parámetros!$D$107,'Tablas Servicio'!CR497+('Tablas Servicio'!CT496-'Tablas Servicio'!CR496),CR497/(1-IF(B497&lt;=10,Parámetros!$D$100,0))),2))</f>
        <v/>
      </c>
      <c r="CU497" s="66" t="str">
        <f t="shared" si="713"/>
        <v/>
      </c>
      <c r="CV497" s="66" t="str">
        <f t="shared" si="713"/>
        <v/>
      </c>
      <c r="CW497" s="66" t="str">
        <f>+IF($W497="","",ROUND((CT497*Parámetros!$G$85),2))</f>
        <v/>
      </c>
      <c r="CX497" s="66" t="str">
        <f>+IF($W497="","",ROUND((CT497*(Parámetros!$G$86)),2))</f>
        <v/>
      </c>
      <c r="CY497" s="66" t="str">
        <f t="shared" si="714"/>
        <v/>
      </c>
      <c r="CZ497" t="str">
        <f t="shared" si="667"/>
        <v/>
      </c>
      <c r="DA497" s="118" t="str">
        <f t="shared" si="668"/>
        <v/>
      </c>
      <c r="DB497" s="118" t="str">
        <f t="shared" si="669"/>
        <v/>
      </c>
      <c r="DC497" s="118" t="str">
        <f t="shared" si="670"/>
        <v/>
      </c>
      <c r="DD497" s="121" t="str">
        <f>+IF(OR($W497="",DB497=0),"",ROUND((VLOOKUP(ROUNDDOWN($D497-1/frec,0),cob_adi,CO$40,FALSE)*(1+i/frec)^-0.5*(1+Parámetros!$D$103)*(1+rec_fracc)/frec),6))</f>
        <v/>
      </c>
      <c r="DE497" s="66" t="str">
        <f t="shared" si="715"/>
        <v/>
      </c>
      <c r="DF497" s="119" t="str">
        <f t="shared" si="716"/>
        <v/>
      </c>
      <c r="DG497" s="66" t="str">
        <f>+IF($W497="","",ROUND(IF($B497&gt;Parámetros!$D$107,'Tablas Servicio'!DE497+('Tablas Servicio'!DG496-'Tablas Servicio'!DE496),DE497/(1-IF(B497&lt;=10,Parámetros!$D$100,0))),2))</f>
        <v/>
      </c>
      <c r="DH497" s="66" t="str">
        <f t="shared" si="717"/>
        <v/>
      </c>
      <c r="DI497" s="66" t="str">
        <f t="shared" si="717"/>
        <v/>
      </c>
      <c r="DJ497" s="66" t="str">
        <f>+IF($W497="","",ROUND((DG497*Parámetros!$G$85),2))</f>
        <v/>
      </c>
      <c r="DK497" s="66" t="str">
        <f>+IF($W497="","",ROUND((DG497*(Parámetros!$G$86)),2))</f>
        <v/>
      </c>
      <c r="DL497" s="66" t="str">
        <f t="shared" si="718"/>
        <v/>
      </c>
      <c r="DM497" t="str">
        <f t="shared" si="671"/>
        <v/>
      </c>
      <c r="DN497" s="118" t="str">
        <f t="shared" si="672"/>
        <v/>
      </c>
      <c r="DO497" s="118" t="str">
        <f t="shared" si="673"/>
        <v/>
      </c>
      <c r="DP497" s="118" t="str">
        <f t="shared" si="674"/>
        <v/>
      </c>
      <c r="DQ497" s="122" t="str">
        <f>+IF(OR($W497="",DO497=0),"",ROUND((VLOOKUP(ROUNDDOWN($D497-1/frec,0),cob_adi,DB$40,FALSE)*(1+i/frec)^-0.5*(1+Parámetros!$D$103)*(1+rec_fracc)/frec),6))</f>
        <v/>
      </c>
      <c r="DR497" s="66" t="str">
        <f t="shared" si="719"/>
        <v/>
      </c>
      <c r="DS497" s="68" t="str">
        <f t="shared" si="720"/>
        <v/>
      </c>
      <c r="DT497" s="66" t="str">
        <f>+IF($W497="","",ROUND(IF($B497&gt;Parámetros!$D$107,'Tablas Servicio'!DR497+('Tablas Servicio'!DT496-'Tablas Servicio'!DR496),DR497/(1-IF(B497&lt;=10,Parámetros!$D$100,0))),2))</f>
        <v/>
      </c>
      <c r="DU497" s="66" t="str">
        <f t="shared" si="721"/>
        <v/>
      </c>
      <c r="DV497" s="66" t="str">
        <f t="shared" si="721"/>
        <v/>
      </c>
      <c r="DW497" s="66" t="str">
        <f>+IF($W497="","",ROUND((DT497*Parámetros!$G$85),2))</f>
        <v/>
      </c>
      <c r="DX497" s="66" t="str">
        <f>+IF($W497="","",ROUND((DT497*(Parámetros!$G$86)),2))</f>
        <v/>
      </c>
      <c r="DY497" s="66" t="str">
        <f t="shared" si="722"/>
        <v/>
      </c>
      <c r="DZ497" t="str">
        <f t="shared" si="723"/>
        <v/>
      </c>
      <c r="EA497" s="118" t="str">
        <f t="shared" si="723"/>
        <v/>
      </c>
      <c r="EB497" s="118" t="str">
        <f>+IF($W497="","",ROUND(IF(Parámetros!$D$25='TABLAS MORT'!$V$33,EB496,Z497/2),0))</f>
        <v/>
      </c>
      <c r="EC497" s="118" t="str">
        <f t="shared" si="723"/>
        <v/>
      </c>
      <c r="ED497" s="122" t="str">
        <f>+IF(OR($W497="",EB497=0),"",ROUND((VLOOKUP(ROUNDDOWN($D497-1/frec,0),cob_adi,DO$40,FALSE)*(1+i/frec)^-0.5*(1+Parámetros!$D$103)*(1+rec_fracc)/frec),6))</f>
        <v/>
      </c>
      <c r="EE497" s="66" t="str">
        <f t="shared" si="724"/>
        <v/>
      </c>
      <c r="EF497" s="68" t="str">
        <f t="shared" si="725"/>
        <v/>
      </c>
      <c r="EG497" s="66" t="str">
        <f>+IF($W497="","",ROUND(IF($B497&gt;Parámetros!$D$107,'Tablas Servicio'!EE497+('Tablas Servicio'!EG496-'Tablas Servicio'!EE496),EE497/(1-IF(B497&lt;=10,Parámetros!$D$100,0))),2))</f>
        <v/>
      </c>
      <c r="EH497" s="66" t="str">
        <f t="shared" si="726"/>
        <v/>
      </c>
      <c r="EI497" s="66" t="str">
        <f t="shared" si="726"/>
        <v/>
      </c>
      <c r="EJ497" s="66" t="str">
        <f>+IF($W497="","",ROUND((EG497*Parámetros!$G$85),2))</f>
        <v/>
      </c>
      <c r="EK497" s="66" t="str">
        <f>+IF($W497="","",ROUND((EG497*(Parámetros!$G$86)),2))</f>
        <v/>
      </c>
      <c r="EL497" s="66" t="str">
        <f t="shared" si="727"/>
        <v/>
      </c>
    </row>
    <row r="498" spans="1:142" x14ac:dyDescent="0.25">
      <c r="A498" t="str">
        <f>+IF($C498="","",ROUND(VLOOKUP('Tablas Servicio'!B498,Parámetros!$H$100:$J$159,IF(Parámetros!$E$16="F",2,3),FALSE),2))</f>
        <v/>
      </c>
      <c r="B498" t="str">
        <f t="shared" si="678"/>
        <v/>
      </c>
      <c r="C498" s="57" t="str">
        <f>+IF(D498="","",'Tablas Servicio'!C497+1)</f>
        <v/>
      </c>
      <c r="D498" s="56" t="str">
        <f>+IF(D497&lt;edadmaxtabla,D497+1/Parámetros!$E$25,"")</f>
        <v/>
      </c>
      <c r="E498" s="57" t="str">
        <f t="shared" si="688"/>
        <v/>
      </c>
      <c r="F498" s="59" t="str">
        <f t="shared" si="689"/>
        <v/>
      </c>
      <c r="G498" s="66" t="str">
        <f t="shared" si="679"/>
        <v/>
      </c>
      <c r="H498" s="66" t="str">
        <f t="shared" si="680"/>
        <v/>
      </c>
      <c r="I498" s="66" t="str">
        <f t="shared" si="640"/>
        <v/>
      </c>
      <c r="J498" s="66" t="str">
        <f t="shared" si="681"/>
        <v/>
      </c>
      <c r="K498" s="66" t="str">
        <f t="shared" si="682"/>
        <v/>
      </c>
      <c r="L498" s="66" t="str">
        <f t="shared" si="683"/>
        <v/>
      </c>
      <c r="M498" s="66" t="str">
        <f t="shared" si="684"/>
        <v/>
      </c>
      <c r="N498" s="66" t="str">
        <f>+IF(C498="","",ROUND(Parámetros!$D$23,2))</f>
        <v/>
      </c>
      <c r="O498" s="66" t="str">
        <f t="shared" si="685"/>
        <v/>
      </c>
      <c r="P498" s="66" t="str">
        <f>+IF($C498="","",ROUND(IF(B498&gt;Parámetros!$D$117,0,N498*Parámetros!$D$116-G498*Parámetros!$D$100),2))</f>
        <v/>
      </c>
      <c r="Q498" s="75" t="str">
        <f t="shared" si="641"/>
        <v/>
      </c>
      <c r="R498" s="75" t="str">
        <f t="shared" si="642"/>
        <v/>
      </c>
      <c r="S498" s="117" t="str">
        <f>+IF($C498="","",ROUND((S497+I498)*(1+Parámetros!$D$91),2))</f>
        <v/>
      </c>
      <c r="T498" s="117" t="str">
        <f>+IF($C498="","",ROUND(S498*VLOOKUP(B498,Parámetros!$C$30:$D$39,2,TRUE),2))</f>
        <v/>
      </c>
      <c r="U498" s="117" t="str">
        <f>+IF($C498="","",ROUND((U497+I498)*(1+Parámetros!$D$92),2))</f>
        <v/>
      </c>
      <c r="V498" s="117" t="str">
        <f>+IF($C498="","",ROUND(U498*VLOOKUP(B498,Parámetros!$C$30:$D$39,2,TRUE),2))</f>
        <v/>
      </c>
      <c r="W498" s="57" t="str">
        <f t="shared" si="643"/>
        <v/>
      </c>
      <c r="X498" t="str">
        <f t="shared" si="644"/>
        <v/>
      </c>
      <c r="Y498" t="str">
        <f t="shared" si="645"/>
        <v/>
      </c>
      <c r="Z498" s="118" t="str">
        <f>+IF($W498="","",ROUND(IF(Parámetros!$D$25='TABLAS MORT'!$V$33,Z497,Parámetros!$D$21-'Tablas Servicio'!T497),0))</f>
        <v/>
      </c>
      <c r="AA498" s="118" t="str">
        <f t="shared" si="646"/>
        <v/>
      </c>
      <c r="AB498" s="119" t="str">
        <f>+IF(W498="","",ROUND((VLOOKUP(ROUNDDOWN($D498-1/frec,0),qx_tabla,2,FALSE)*(1+i/frec)^-0.5*(1+Parámetros!$D$103)*(1+rec_fracc)/frec),6))</f>
        <v/>
      </c>
      <c r="AC498" s="66" t="str">
        <f t="shared" si="690"/>
        <v/>
      </c>
      <c r="AD498" s="119" t="str">
        <f t="shared" si="686"/>
        <v/>
      </c>
      <c r="AE498" s="66" t="str">
        <f>+IF($W498="","",ROUND(IF($B498&gt;Parámetros!$D$107,'Tablas Servicio'!AC498+('Tablas Servicio'!AG497-'Tablas Servicio'!AC497),AC498/(1-IF(B498&lt;=10,Parámetros!$D$104,Parámetros!$D$105))),2))</f>
        <v/>
      </c>
      <c r="AF498" s="66" t="str">
        <f>+IF($W498="","",ROUND(IF($B498&gt;Parámetros!$D$107,'Tablas Servicio'!AC498+('Tablas Servicio'!AG497-'Tablas Servicio'!AC497),(AC498+$A497/frec)/(1-IF(B498&lt;=Parámetros!$D$117,Parámetros!$D$100,0))),2))</f>
        <v/>
      </c>
      <c r="AG498" s="66" t="str">
        <f t="shared" si="691"/>
        <v/>
      </c>
      <c r="AH498" s="66" t="str">
        <f t="shared" si="692"/>
        <v/>
      </c>
      <c r="AI498" s="66" t="str">
        <f t="shared" si="693"/>
        <v/>
      </c>
      <c r="AJ498" s="66" t="str">
        <f>+IF($W498="","",ROUND((AG498*Parámetros!$G$85),2))</f>
        <v/>
      </c>
      <c r="AK498" s="66" t="str">
        <f>+IF($W498="","",ROUND((AG498*(Parámetros!$G$86)),2))</f>
        <v/>
      </c>
      <c r="AL498" s="66" t="str">
        <f t="shared" si="687"/>
        <v/>
      </c>
      <c r="AM498" t="str">
        <f t="shared" si="647"/>
        <v/>
      </c>
      <c r="AN498" t="str">
        <f t="shared" si="648"/>
        <v/>
      </c>
      <c r="AO498" s="118" t="str">
        <f t="shared" si="649"/>
        <v/>
      </c>
      <c r="AP498" s="118" t="str">
        <f t="shared" si="650"/>
        <v/>
      </c>
      <c r="AQ498" s="119" t="str">
        <f>+IF(OR($W498="",AO498=0),"",ROUND((VLOOKUP(ROUNDDOWN($D498-1/frec,0),cob_adi,Z$40,FALSE)*(1+i/frec)^-0.5*(1+Parámetros!$D$103)*(1+rec_fracc)/frec),6))</f>
        <v/>
      </c>
      <c r="AR498" s="66" t="str">
        <f t="shared" si="694"/>
        <v/>
      </c>
      <c r="AS498" s="119" t="str">
        <f t="shared" si="695"/>
        <v/>
      </c>
      <c r="AT498" s="66" t="str">
        <f>+IF($W498="","",ROUND(IF($B498&gt;Parámetros!$D$107,'Tablas Servicio'!AR498+('Tablas Servicio'!AT497-'Tablas Servicio'!AR497),AR498/(1-IF(B498&lt;=10,Parámetros!$D$100,0))),2))</f>
        <v/>
      </c>
      <c r="AU498" s="66" t="str">
        <f t="shared" si="696"/>
        <v/>
      </c>
      <c r="AV498" s="66" t="str">
        <f t="shared" si="696"/>
        <v/>
      </c>
      <c r="AW498" s="66" t="str">
        <f>+IF($W498="","",ROUND((AT498*Parámetros!$G$85),2))</f>
        <v/>
      </c>
      <c r="AX498" s="66" t="str">
        <f>+IF($W498="","",ROUND((AT498*(Parámetros!$G$86)),2))</f>
        <v/>
      </c>
      <c r="AY498" s="66" t="str">
        <f t="shared" si="697"/>
        <v/>
      </c>
      <c r="AZ498" t="str">
        <f t="shared" si="651"/>
        <v/>
      </c>
      <c r="BA498" t="str">
        <f t="shared" si="652"/>
        <v/>
      </c>
      <c r="BB498" s="118" t="str">
        <f t="shared" si="653"/>
        <v/>
      </c>
      <c r="BC498" s="118" t="str">
        <f t="shared" si="654"/>
        <v/>
      </c>
      <c r="BD498" s="119" t="str">
        <f>+IF(OR($W498="",BB498=0),"",ROUND((VLOOKUP(ROUNDDOWN($D498-1/frec,0),cob_adi,AO$40,FALSE)*(1+i/frec)^-0.5*(1+Parámetros!$D$103)*(1+rec_fracc)/frec),6))</f>
        <v/>
      </c>
      <c r="BE498" s="66" t="str">
        <f t="shared" si="698"/>
        <v/>
      </c>
      <c r="BF498" s="119" t="str">
        <f t="shared" si="699"/>
        <v/>
      </c>
      <c r="BG498" s="66" t="str">
        <f>+IF($W498="","",ROUND(IF($B498&gt;Parámetros!$D$107,'Tablas Servicio'!BE498+('Tablas Servicio'!BG497-'Tablas Servicio'!BE497),BE498/(1-IF(B498&lt;=10,Parámetros!$D$100,0))),2))</f>
        <v/>
      </c>
      <c r="BH498" s="66" t="str">
        <f t="shared" si="700"/>
        <v/>
      </c>
      <c r="BI498" s="66" t="str">
        <f t="shared" si="701"/>
        <v/>
      </c>
      <c r="BJ498" s="66" t="str">
        <f>+IF($W498="","",ROUND((BG498*Parámetros!$G$85),2))</f>
        <v/>
      </c>
      <c r="BK498" s="66" t="str">
        <f>+IF($W498="","",ROUND((BG498*(Parámetros!$G$86)),2))</f>
        <v/>
      </c>
      <c r="BL498" s="66" t="str">
        <f t="shared" si="702"/>
        <v/>
      </c>
      <c r="BM498" t="str">
        <f t="shared" si="655"/>
        <v/>
      </c>
      <c r="BN498" t="str">
        <f t="shared" si="656"/>
        <v/>
      </c>
      <c r="BO498" s="118" t="str">
        <f t="shared" si="657"/>
        <v/>
      </c>
      <c r="BP498" s="118" t="str">
        <f t="shared" si="658"/>
        <v/>
      </c>
      <c r="BQ498" s="119" t="str">
        <f>+IF(OR($W498="",BO498=0),"",ROUND((VLOOKUP(ROUNDDOWN($D498-1/frec,0),cob_adi,BB$40,FALSE)*(1+i/frec)^-0.5*(1+Parámetros!$D$103)*(1+rec_fracc)/frec),6))</f>
        <v/>
      </c>
      <c r="BR498" s="66" t="str">
        <f t="shared" si="703"/>
        <v/>
      </c>
      <c r="BS498" s="119" t="str">
        <f t="shared" si="704"/>
        <v/>
      </c>
      <c r="BT498" s="66" t="str">
        <f>+IF($W498="","",ROUND(IF($B498&gt;Parámetros!$D$107,'Tablas Servicio'!BR498+('Tablas Servicio'!BT497-'Tablas Servicio'!BR497),BR498/(1-IF(B498&lt;=10,Parámetros!$D$100,0))),2))</f>
        <v/>
      </c>
      <c r="BU498" s="66" t="str">
        <f t="shared" si="705"/>
        <v/>
      </c>
      <c r="BV498" s="66" t="str">
        <f t="shared" si="705"/>
        <v/>
      </c>
      <c r="BW498" s="66" t="str">
        <f>+IF($W498="","",ROUND((BT498*Parámetros!$G$85),2))</f>
        <v/>
      </c>
      <c r="BX498" s="66" t="str">
        <f>+IF($W498="","",ROUND((BT498*(Parámetros!$G$86)),2))</f>
        <v/>
      </c>
      <c r="BY498" s="66" t="str">
        <f t="shared" si="706"/>
        <v/>
      </c>
      <c r="BZ498" t="str">
        <f t="shared" si="659"/>
        <v/>
      </c>
      <c r="CA498" t="str">
        <f t="shared" si="660"/>
        <v/>
      </c>
      <c r="CB498" s="118" t="str">
        <f t="shared" si="661"/>
        <v/>
      </c>
      <c r="CC498" s="118" t="str">
        <f t="shared" si="662"/>
        <v/>
      </c>
      <c r="CD498" s="119" t="str">
        <f t="shared" si="707"/>
        <v/>
      </c>
      <c r="CE498" s="66" t="str">
        <f>+IF($W498="","",ROUND((VLOOKUP(ROUNDDOWN($D498-1/frec,0),cob_adi,BO$40,FALSE)*(1+i/frec)^-0.5*(1+Parámetros!$D$103)*(1+rec_fracc)/frec*'TABLAS ADI'!$BC$17),2))</f>
        <v/>
      </c>
      <c r="CF498" s="119" t="str">
        <f t="shared" si="708"/>
        <v/>
      </c>
      <c r="CG498" s="66" t="str">
        <f>+IF($W498="","",ROUND(IF($B498&gt;Parámetros!$D$107,'Tablas Servicio'!CE498+('Tablas Servicio'!CG497-'Tablas Servicio'!CE497),CE498/(1-IF(B498&lt;=10,Parámetros!$D$100,0))),2))</f>
        <v/>
      </c>
      <c r="CH498" s="66" t="str">
        <f t="shared" si="709"/>
        <v/>
      </c>
      <c r="CI498" s="66" t="str">
        <f t="shared" si="709"/>
        <v/>
      </c>
      <c r="CJ498" s="66" t="str">
        <f>+IF($W498="","",ROUND((CG498*Parámetros!$G$85),2))</f>
        <v/>
      </c>
      <c r="CK498" s="66" t="str">
        <f>+IF($W498="","",ROUND((CG498*(Parámetros!$G$86)),2))</f>
        <v/>
      </c>
      <c r="CL498" s="66" t="str">
        <f t="shared" si="710"/>
        <v/>
      </c>
      <c r="CM498" t="str">
        <f t="shared" si="663"/>
        <v/>
      </c>
      <c r="CN498" s="118" t="str">
        <f t="shared" si="664"/>
        <v/>
      </c>
      <c r="CO498" s="118" t="str">
        <f t="shared" si="665"/>
        <v/>
      </c>
      <c r="CP498" s="118" t="str">
        <f t="shared" si="666"/>
        <v/>
      </c>
      <c r="CQ498" s="119" t="str">
        <f t="shared" si="711"/>
        <v/>
      </c>
      <c r="CR498" s="66" t="str">
        <f>+IF($W498="","",ROUND((VLOOKUP(Parámetros!$F$51,'COBERTURAS ADICIONALES'!$S$4:$T$32,2,FALSE)*(1+i/frec)^-0.5*(1+Parámetros!$D$103)*(1+rec_fracc)/frec*$CO$42),2))</f>
        <v/>
      </c>
      <c r="CS498" s="119" t="str">
        <f t="shared" si="712"/>
        <v/>
      </c>
      <c r="CT498" s="66" t="str">
        <f>+IF($W498="","",ROUND(IF($B498&gt;Parámetros!$D$107,'Tablas Servicio'!CR498+('Tablas Servicio'!CT497-'Tablas Servicio'!CR497),CR498/(1-IF(B498&lt;=10,Parámetros!$D$100,0))),2))</f>
        <v/>
      </c>
      <c r="CU498" s="66" t="str">
        <f t="shared" si="713"/>
        <v/>
      </c>
      <c r="CV498" s="66" t="str">
        <f t="shared" si="713"/>
        <v/>
      </c>
      <c r="CW498" s="66" t="str">
        <f>+IF($W498="","",ROUND((CT498*Parámetros!$G$85),2))</f>
        <v/>
      </c>
      <c r="CX498" s="66" t="str">
        <f>+IF($W498="","",ROUND((CT498*(Parámetros!$G$86)),2))</f>
        <v/>
      </c>
      <c r="CY498" s="66" t="str">
        <f t="shared" si="714"/>
        <v/>
      </c>
      <c r="CZ498" t="str">
        <f t="shared" si="667"/>
        <v/>
      </c>
      <c r="DA498" s="118" t="str">
        <f t="shared" si="668"/>
        <v/>
      </c>
      <c r="DB498" s="118" t="str">
        <f t="shared" si="669"/>
        <v/>
      </c>
      <c r="DC498" s="118" t="str">
        <f t="shared" si="670"/>
        <v/>
      </c>
      <c r="DD498" s="121" t="str">
        <f>+IF(OR($W498="",DB498=0),"",ROUND((VLOOKUP(ROUNDDOWN($D498-1/frec,0),cob_adi,CO$40,FALSE)*(1+i/frec)^-0.5*(1+Parámetros!$D$103)*(1+rec_fracc)/frec),6))</f>
        <v/>
      </c>
      <c r="DE498" s="66" t="str">
        <f t="shared" si="715"/>
        <v/>
      </c>
      <c r="DF498" s="119" t="str">
        <f t="shared" si="716"/>
        <v/>
      </c>
      <c r="DG498" s="66" t="str">
        <f>+IF($W498="","",ROUND(IF($B498&gt;Parámetros!$D$107,'Tablas Servicio'!DE498+('Tablas Servicio'!DG497-'Tablas Servicio'!DE497),DE498/(1-IF(B498&lt;=10,Parámetros!$D$100,0))),2))</f>
        <v/>
      </c>
      <c r="DH498" s="66" t="str">
        <f t="shared" si="717"/>
        <v/>
      </c>
      <c r="DI498" s="66" t="str">
        <f t="shared" si="717"/>
        <v/>
      </c>
      <c r="DJ498" s="66" t="str">
        <f>+IF($W498="","",ROUND((DG498*Parámetros!$G$85),2))</f>
        <v/>
      </c>
      <c r="DK498" s="66" t="str">
        <f>+IF($W498="","",ROUND((DG498*(Parámetros!$G$86)),2))</f>
        <v/>
      </c>
      <c r="DL498" s="66" t="str">
        <f t="shared" si="718"/>
        <v/>
      </c>
      <c r="DM498" t="str">
        <f t="shared" si="671"/>
        <v/>
      </c>
      <c r="DN498" s="118" t="str">
        <f t="shared" si="672"/>
        <v/>
      </c>
      <c r="DO498" s="118" t="str">
        <f t="shared" si="673"/>
        <v/>
      </c>
      <c r="DP498" s="118" t="str">
        <f t="shared" si="674"/>
        <v/>
      </c>
      <c r="DQ498" s="122" t="str">
        <f>+IF(OR($W498="",DO498=0),"",ROUND((VLOOKUP(ROUNDDOWN($D498-1/frec,0),cob_adi,DB$40,FALSE)*(1+i/frec)^-0.5*(1+Parámetros!$D$103)*(1+rec_fracc)/frec),6))</f>
        <v/>
      </c>
      <c r="DR498" s="66" t="str">
        <f t="shared" si="719"/>
        <v/>
      </c>
      <c r="DS498" s="68" t="str">
        <f t="shared" si="720"/>
        <v/>
      </c>
      <c r="DT498" s="66" t="str">
        <f>+IF($W498="","",ROUND(IF($B498&gt;Parámetros!$D$107,'Tablas Servicio'!DR498+('Tablas Servicio'!DT497-'Tablas Servicio'!DR497),DR498/(1-IF(B498&lt;=10,Parámetros!$D$100,0))),2))</f>
        <v/>
      </c>
      <c r="DU498" s="66" t="str">
        <f t="shared" si="721"/>
        <v/>
      </c>
      <c r="DV498" s="66" t="str">
        <f t="shared" si="721"/>
        <v/>
      </c>
      <c r="DW498" s="66" t="str">
        <f>+IF($W498="","",ROUND((DT498*Parámetros!$G$85),2))</f>
        <v/>
      </c>
      <c r="DX498" s="66" t="str">
        <f>+IF($W498="","",ROUND((DT498*(Parámetros!$G$86)),2))</f>
        <v/>
      </c>
      <c r="DY498" s="66" t="str">
        <f t="shared" si="722"/>
        <v/>
      </c>
      <c r="DZ498" t="str">
        <f t="shared" si="723"/>
        <v/>
      </c>
      <c r="EA498" s="118" t="str">
        <f t="shared" si="723"/>
        <v/>
      </c>
      <c r="EB498" s="118" t="str">
        <f>+IF($W498="","",ROUND(IF(Parámetros!$D$25='TABLAS MORT'!$V$33,EB497,Z498/2),0))</f>
        <v/>
      </c>
      <c r="EC498" s="118" t="str">
        <f t="shared" si="723"/>
        <v/>
      </c>
      <c r="ED498" s="122" t="str">
        <f>+IF(OR($W498="",EB498=0),"",ROUND((VLOOKUP(ROUNDDOWN($D498-1/frec,0),cob_adi,DO$40,FALSE)*(1+i/frec)^-0.5*(1+Parámetros!$D$103)*(1+rec_fracc)/frec),6))</f>
        <v/>
      </c>
      <c r="EE498" s="66" t="str">
        <f t="shared" si="724"/>
        <v/>
      </c>
      <c r="EF498" s="68" t="str">
        <f t="shared" si="725"/>
        <v/>
      </c>
      <c r="EG498" s="66" t="str">
        <f>+IF($W498="","",ROUND(IF($B498&gt;Parámetros!$D$107,'Tablas Servicio'!EE498+('Tablas Servicio'!EG497-'Tablas Servicio'!EE497),EE498/(1-IF(B498&lt;=10,Parámetros!$D$100,0))),2))</f>
        <v/>
      </c>
      <c r="EH498" s="66" t="str">
        <f t="shared" si="726"/>
        <v/>
      </c>
      <c r="EI498" s="66" t="str">
        <f t="shared" si="726"/>
        <v/>
      </c>
      <c r="EJ498" s="66" t="str">
        <f>+IF($W498="","",ROUND((EG498*Parámetros!$G$85),2))</f>
        <v/>
      </c>
      <c r="EK498" s="66" t="str">
        <f>+IF($W498="","",ROUND((EG498*(Parámetros!$G$86)),2))</f>
        <v/>
      </c>
      <c r="EL498" s="66" t="str">
        <f t="shared" si="727"/>
        <v/>
      </c>
    </row>
    <row r="499" spans="1:142" x14ac:dyDescent="0.25">
      <c r="A499" t="str">
        <f>+IF($C499="","",ROUND(VLOOKUP('Tablas Servicio'!B499,Parámetros!$H$100:$J$159,IF(Parámetros!$E$16="F",2,3),FALSE),2))</f>
        <v/>
      </c>
      <c r="B499" t="str">
        <f t="shared" si="678"/>
        <v/>
      </c>
      <c r="C499" s="57" t="str">
        <f>+IF(D499="","",'Tablas Servicio'!C498+1)</f>
        <v/>
      </c>
      <c r="D499" s="56" t="str">
        <f>+IF(D498&lt;edadmaxtabla,D498+1/Parámetros!$E$25,"")</f>
        <v/>
      </c>
      <c r="E499" s="57" t="str">
        <f t="shared" si="688"/>
        <v/>
      </c>
      <c r="F499" s="59" t="str">
        <f t="shared" si="689"/>
        <v/>
      </c>
      <c r="G499" s="66" t="str">
        <f t="shared" si="679"/>
        <v/>
      </c>
      <c r="H499" s="66" t="str">
        <f t="shared" si="680"/>
        <v/>
      </c>
      <c r="I499" s="66" t="str">
        <f t="shared" si="640"/>
        <v/>
      </c>
      <c r="J499" s="66" t="str">
        <f t="shared" si="681"/>
        <v/>
      </c>
      <c r="K499" s="66" t="str">
        <f t="shared" si="682"/>
        <v/>
      </c>
      <c r="L499" s="66" t="str">
        <f t="shared" si="683"/>
        <v/>
      </c>
      <c r="M499" s="66" t="str">
        <f t="shared" si="684"/>
        <v/>
      </c>
      <c r="N499" s="66" t="str">
        <f>+IF(C499="","",ROUND(Parámetros!$D$23,2))</f>
        <v/>
      </c>
      <c r="O499" s="66" t="str">
        <f t="shared" si="685"/>
        <v/>
      </c>
      <c r="P499" s="66" t="str">
        <f>+IF($C499="","",ROUND(IF(B499&gt;Parámetros!$D$117,0,N499*Parámetros!$D$116-G499*Parámetros!$D$100),2))</f>
        <v/>
      </c>
      <c r="Q499" s="75" t="str">
        <f t="shared" si="641"/>
        <v/>
      </c>
      <c r="R499" s="75" t="str">
        <f t="shared" si="642"/>
        <v/>
      </c>
      <c r="S499" s="117" t="str">
        <f>+IF($C499="","",ROUND((S498+I499)*(1+Parámetros!$D$91),2))</f>
        <v/>
      </c>
      <c r="T499" s="117" t="str">
        <f>+IF($C499="","",ROUND(S499*VLOOKUP(B499,Parámetros!$C$30:$D$39,2,TRUE),2))</f>
        <v/>
      </c>
      <c r="U499" s="117" t="str">
        <f>+IF($C499="","",ROUND((U498+I499)*(1+Parámetros!$D$92),2))</f>
        <v/>
      </c>
      <c r="V499" s="117" t="str">
        <f>+IF($C499="","",ROUND(U499*VLOOKUP(B499,Parámetros!$C$30:$D$39,2,TRUE),2))</f>
        <v/>
      </c>
      <c r="W499" s="57" t="str">
        <f t="shared" si="643"/>
        <v/>
      </c>
      <c r="X499" t="str">
        <f t="shared" si="644"/>
        <v/>
      </c>
      <c r="Y499" t="str">
        <f t="shared" si="645"/>
        <v/>
      </c>
      <c r="Z499" s="118" t="str">
        <f>+IF($W499="","",ROUND(IF(Parámetros!$D$25='TABLAS MORT'!$V$33,Z498,Parámetros!$D$21-'Tablas Servicio'!T498),0))</f>
        <v/>
      </c>
      <c r="AA499" s="118" t="str">
        <f t="shared" si="646"/>
        <v/>
      </c>
      <c r="AB499" s="119" t="str">
        <f>+IF(W499="","",ROUND((VLOOKUP(ROUNDDOWN($D499-1/frec,0),qx_tabla,2,FALSE)*(1+i/frec)^-0.5*(1+Parámetros!$D$103)*(1+rec_fracc)/frec),6))</f>
        <v/>
      </c>
      <c r="AC499" s="66" t="str">
        <f t="shared" si="690"/>
        <v/>
      </c>
      <c r="AD499" s="119" t="str">
        <f t="shared" si="686"/>
        <v/>
      </c>
      <c r="AE499" s="66" t="str">
        <f>+IF($W499="","",ROUND(IF($B499&gt;Parámetros!$D$107,'Tablas Servicio'!AC499+('Tablas Servicio'!AG498-'Tablas Servicio'!AC498),AC499/(1-IF(B499&lt;=10,Parámetros!$D$104,Parámetros!$D$105))),2))</f>
        <v/>
      </c>
      <c r="AF499" s="66" t="str">
        <f>+IF($W499="","",ROUND(IF($B499&gt;Parámetros!$D$107,'Tablas Servicio'!AC499+('Tablas Servicio'!AG498-'Tablas Servicio'!AC498),(AC499+$A498/frec)/(1-IF(B499&lt;=Parámetros!$D$117,Parámetros!$D$100,0))),2))</f>
        <v/>
      </c>
      <c r="AG499" s="66" t="str">
        <f t="shared" si="691"/>
        <v/>
      </c>
      <c r="AH499" s="66" t="str">
        <f t="shared" si="692"/>
        <v/>
      </c>
      <c r="AI499" s="66" t="str">
        <f t="shared" si="693"/>
        <v/>
      </c>
      <c r="AJ499" s="66" t="str">
        <f>+IF($W499="","",ROUND((AG499*Parámetros!$G$85),2))</f>
        <v/>
      </c>
      <c r="AK499" s="66" t="str">
        <f>+IF($W499="","",ROUND((AG499*(Parámetros!$G$86)),2))</f>
        <v/>
      </c>
      <c r="AL499" s="66" t="str">
        <f t="shared" si="687"/>
        <v/>
      </c>
      <c r="AM499" t="str">
        <f t="shared" si="647"/>
        <v/>
      </c>
      <c r="AN499" t="str">
        <f t="shared" si="648"/>
        <v/>
      </c>
      <c r="AO499" s="118" t="str">
        <f t="shared" si="649"/>
        <v/>
      </c>
      <c r="AP499" s="118" t="str">
        <f t="shared" si="650"/>
        <v/>
      </c>
      <c r="AQ499" s="119" t="str">
        <f>+IF(OR($W499="",AO499=0),"",ROUND((VLOOKUP(ROUNDDOWN($D499-1/frec,0),cob_adi,Z$40,FALSE)*(1+i/frec)^-0.5*(1+Parámetros!$D$103)*(1+rec_fracc)/frec),6))</f>
        <v/>
      </c>
      <c r="AR499" s="66" t="str">
        <f t="shared" si="694"/>
        <v/>
      </c>
      <c r="AS499" s="119" t="str">
        <f t="shared" si="695"/>
        <v/>
      </c>
      <c r="AT499" s="66" t="str">
        <f>+IF($W499="","",ROUND(IF($B499&gt;Parámetros!$D$107,'Tablas Servicio'!AR499+('Tablas Servicio'!AT498-'Tablas Servicio'!AR498),AR499/(1-IF(B499&lt;=10,Parámetros!$D$100,0))),2))</f>
        <v/>
      </c>
      <c r="AU499" s="66" t="str">
        <f t="shared" si="696"/>
        <v/>
      </c>
      <c r="AV499" s="66" t="str">
        <f t="shared" si="696"/>
        <v/>
      </c>
      <c r="AW499" s="66" t="str">
        <f>+IF($W499="","",ROUND((AT499*Parámetros!$G$85),2))</f>
        <v/>
      </c>
      <c r="AX499" s="66" t="str">
        <f>+IF($W499="","",ROUND((AT499*(Parámetros!$G$86)),2))</f>
        <v/>
      </c>
      <c r="AY499" s="66" t="str">
        <f t="shared" si="697"/>
        <v/>
      </c>
      <c r="AZ499" t="str">
        <f t="shared" si="651"/>
        <v/>
      </c>
      <c r="BA499" t="str">
        <f t="shared" si="652"/>
        <v/>
      </c>
      <c r="BB499" s="118" t="str">
        <f t="shared" si="653"/>
        <v/>
      </c>
      <c r="BC499" s="118" t="str">
        <f t="shared" si="654"/>
        <v/>
      </c>
      <c r="BD499" s="119" t="str">
        <f>+IF(OR($W499="",BB499=0),"",ROUND((VLOOKUP(ROUNDDOWN($D499-1/frec,0),cob_adi,AO$40,FALSE)*(1+i/frec)^-0.5*(1+Parámetros!$D$103)*(1+rec_fracc)/frec),6))</f>
        <v/>
      </c>
      <c r="BE499" s="66" t="str">
        <f t="shared" si="698"/>
        <v/>
      </c>
      <c r="BF499" s="119" t="str">
        <f t="shared" si="699"/>
        <v/>
      </c>
      <c r="BG499" s="66" t="str">
        <f>+IF($W499="","",ROUND(IF($B499&gt;Parámetros!$D$107,'Tablas Servicio'!BE499+('Tablas Servicio'!BG498-'Tablas Servicio'!BE498),BE499/(1-IF(B499&lt;=10,Parámetros!$D$100,0))),2))</f>
        <v/>
      </c>
      <c r="BH499" s="66" t="str">
        <f t="shared" si="700"/>
        <v/>
      </c>
      <c r="BI499" s="66" t="str">
        <f t="shared" si="701"/>
        <v/>
      </c>
      <c r="BJ499" s="66" t="str">
        <f>+IF($W499="","",ROUND((BG499*Parámetros!$G$85),2))</f>
        <v/>
      </c>
      <c r="BK499" s="66" t="str">
        <f>+IF($W499="","",ROUND((BG499*(Parámetros!$G$86)),2))</f>
        <v/>
      </c>
      <c r="BL499" s="66" t="str">
        <f t="shared" si="702"/>
        <v/>
      </c>
      <c r="BM499" t="str">
        <f t="shared" si="655"/>
        <v/>
      </c>
      <c r="BN499" t="str">
        <f t="shared" si="656"/>
        <v/>
      </c>
      <c r="BO499" s="118" t="str">
        <f t="shared" si="657"/>
        <v/>
      </c>
      <c r="BP499" s="118" t="str">
        <f t="shared" si="658"/>
        <v/>
      </c>
      <c r="BQ499" s="119" t="str">
        <f>+IF(OR($W499="",BO499=0),"",ROUND((VLOOKUP(ROUNDDOWN($D499-1/frec,0),cob_adi,BB$40,FALSE)*(1+i/frec)^-0.5*(1+Parámetros!$D$103)*(1+rec_fracc)/frec),6))</f>
        <v/>
      </c>
      <c r="BR499" s="66" t="str">
        <f t="shared" si="703"/>
        <v/>
      </c>
      <c r="BS499" s="119" t="str">
        <f t="shared" si="704"/>
        <v/>
      </c>
      <c r="BT499" s="66" t="str">
        <f>+IF($W499="","",ROUND(IF($B499&gt;Parámetros!$D$107,'Tablas Servicio'!BR499+('Tablas Servicio'!BT498-'Tablas Servicio'!BR498),BR499/(1-IF(B499&lt;=10,Parámetros!$D$100,0))),2))</f>
        <v/>
      </c>
      <c r="BU499" s="66" t="str">
        <f t="shared" si="705"/>
        <v/>
      </c>
      <c r="BV499" s="66" t="str">
        <f t="shared" si="705"/>
        <v/>
      </c>
      <c r="BW499" s="66" t="str">
        <f>+IF($W499="","",ROUND((BT499*Parámetros!$G$85),2))</f>
        <v/>
      </c>
      <c r="BX499" s="66" t="str">
        <f>+IF($W499="","",ROUND((BT499*(Parámetros!$G$86)),2))</f>
        <v/>
      </c>
      <c r="BY499" s="66" t="str">
        <f t="shared" si="706"/>
        <v/>
      </c>
      <c r="BZ499" t="str">
        <f t="shared" si="659"/>
        <v/>
      </c>
      <c r="CA499" t="str">
        <f t="shared" si="660"/>
        <v/>
      </c>
      <c r="CB499" s="118" t="str">
        <f t="shared" si="661"/>
        <v/>
      </c>
      <c r="CC499" s="118" t="str">
        <f t="shared" si="662"/>
        <v/>
      </c>
      <c r="CD499" s="119" t="str">
        <f t="shared" si="707"/>
        <v/>
      </c>
      <c r="CE499" s="66" t="str">
        <f>+IF($W499="","",ROUND((VLOOKUP(ROUNDDOWN($D499-1/frec,0),cob_adi,BO$40,FALSE)*(1+i/frec)^-0.5*(1+Parámetros!$D$103)*(1+rec_fracc)/frec*'TABLAS ADI'!$BC$17),2))</f>
        <v/>
      </c>
      <c r="CF499" s="119" t="str">
        <f t="shared" si="708"/>
        <v/>
      </c>
      <c r="CG499" s="66" t="str">
        <f>+IF($W499="","",ROUND(IF($B499&gt;Parámetros!$D$107,'Tablas Servicio'!CE499+('Tablas Servicio'!CG498-'Tablas Servicio'!CE498),CE499/(1-IF(B499&lt;=10,Parámetros!$D$100,0))),2))</f>
        <v/>
      </c>
      <c r="CH499" s="66" t="str">
        <f t="shared" si="709"/>
        <v/>
      </c>
      <c r="CI499" s="66" t="str">
        <f t="shared" si="709"/>
        <v/>
      </c>
      <c r="CJ499" s="66" t="str">
        <f>+IF($W499="","",ROUND((CG499*Parámetros!$G$85),2))</f>
        <v/>
      </c>
      <c r="CK499" s="66" t="str">
        <f>+IF($W499="","",ROUND((CG499*(Parámetros!$G$86)),2))</f>
        <v/>
      </c>
      <c r="CL499" s="66" t="str">
        <f t="shared" si="710"/>
        <v/>
      </c>
      <c r="CM499" t="str">
        <f t="shared" si="663"/>
        <v/>
      </c>
      <c r="CN499" s="118" t="str">
        <f t="shared" si="664"/>
        <v/>
      </c>
      <c r="CO499" s="118" t="str">
        <f t="shared" si="665"/>
        <v/>
      </c>
      <c r="CP499" s="118" t="str">
        <f t="shared" si="666"/>
        <v/>
      </c>
      <c r="CQ499" s="119" t="str">
        <f t="shared" si="711"/>
        <v/>
      </c>
      <c r="CR499" s="66" t="str">
        <f>+IF($W499="","",ROUND((VLOOKUP(Parámetros!$F$51,'COBERTURAS ADICIONALES'!$S$4:$T$32,2,FALSE)*(1+i/frec)^-0.5*(1+Parámetros!$D$103)*(1+rec_fracc)/frec*$CO$42),2))</f>
        <v/>
      </c>
      <c r="CS499" s="119" t="str">
        <f t="shared" si="712"/>
        <v/>
      </c>
      <c r="CT499" s="66" t="str">
        <f>+IF($W499="","",ROUND(IF($B499&gt;Parámetros!$D$107,'Tablas Servicio'!CR499+('Tablas Servicio'!CT498-'Tablas Servicio'!CR498),CR499/(1-IF(B499&lt;=10,Parámetros!$D$100,0))),2))</f>
        <v/>
      </c>
      <c r="CU499" s="66" t="str">
        <f t="shared" si="713"/>
        <v/>
      </c>
      <c r="CV499" s="66" t="str">
        <f t="shared" si="713"/>
        <v/>
      </c>
      <c r="CW499" s="66" t="str">
        <f>+IF($W499="","",ROUND((CT499*Parámetros!$G$85),2))</f>
        <v/>
      </c>
      <c r="CX499" s="66" t="str">
        <f>+IF($W499="","",ROUND((CT499*(Parámetros!$G$86)),2))</f>
        <v/>
      </c>
      <c r="CY499" s="66" t="str">
        <f t="shared" si="714"/>
        <v/>
      </c>
      <c r="CZ499" t="str">
        <f t="shared" si="667"/>
        <v/>
      </c>
      <c r="DA499" s="118" t="str">
        <f t="shared" si="668"/>
        <v/>
      </c>
      <c r="DB499" s="118" t="str">
        <f t="shared" si="669"/>
        <v/>
      </c>
      <c r="DC499" s="118" t="str">
        <f t="shared" si="670"/>
        <v/>
      </c>
      <c r="DD499" s="121" t="str">
        <f>+IF(OR($W499="",DB499=0),"",ROUND((VLOOKUP(ROUNDDOWN($D499-1/frec,0),cob_adi,CO$40,FALSE)*(1+i/frec)^-0.5*(1+Parámetros!$D$103)*(1+rec_fracc)/frec),6))</f>
        <v/>
      </c>
      <c r="DE499" s="66" t="str">
        <f t="shared" si="715"/>
        <v/>
      </c>
      <c r="DF499" s="119" t="str">
        <f t="shared" si="716"/>
        <v/>
      </c>
      <c r="DG499" s="66" t="str">
        <f>+IF($W499="","",ROUND(IF($B499&gt;Parámetros!$D$107,'Tablas Servicio'!DE499+('Tablas Servicio'!DG498-'Tablas Servicio'!DE498),DE499/(1-IF(B499&lt;=10,Parámetros!$D$100,0))),2))</f>
        <v/>
      </c>
      <c r="DH499" s="66" t="str">
        <f t="shared" si="717"/>
        <v/>
      </c>
      <c r="DI499" s="66" t="str">
        <f t="shared" si="717"/>
        <v/>
      </c>
      <c r="DJ499" s="66" t="str">
        <f>+IF($W499="","",ROUND((DG499*Parámetros!$G$85),2))</f>
        <v/>
      </c>
      <c r="DK499" s="66" t="str">
        <f>+IF($W499="","",ROUND((DG499*(Parámetros!$G$86)),2))</f>
        <v/>
      </c>
      <c r="DL499" s="66" t="str">
        <f t="shared" si="718"/>
        <v/>
      </c>
      <c r="DM499" t="str">
        <f t="shared" si="671"/>
        <v/>
      </c>
      <c r="DN499" s="118" t="str">
        <f t="shared" si="672"/>
        <v/>
      </c>
      <c r="DO499" s="118" t="str">
        <f t="shared" si="673"/>
        <v/>
      </c>
      <c r="DP499" s="118" t="str">
        <f t="shared" si="674"/>
        <v/>
      </c>
      <c r="DQ499" s="122" t="str">
        <f>+IF(OR($W499="",DO499=0),"",ROUND((VLOOKUP(ROUNDDOWN($D499-1/frec,0),cob_adi,DB$40,FALSE)*(1+i/frec)^-0.5*(1+Parámetros!$D$103)*(1+rec_fracc)/frec),6))</f>
        <v/>
      </c>
      <c r="DR499" s="66" t="str">
        <f t="shared" si="719"/>
        <v/>
      </c>
      <c r="DS499" s="68" t="str">
        <f t="shared" si="720"/>
        <v/>
      </c>
      <c r="DT499" s="66" t="str">
        <f>+IF($W499="","",ROUND(IF($B499&gt;Parámetros!$D$107,'Tablas Servicio'!DR499+('Tablas Servicio'!DT498-'Tablas Servicio'!DR498),DR499/(1-IF(B499&lt;=10,Parámetros!$D$100,0))),2))</f>
        <v/>
      </c>
      <c r="DU499" s="66" t="str">
        <f t="shared" si="721"/>
        <v/>
      </c>
      <c r="DV499" s="66" t="str">
        <f t="shared" si="721"/>
        <v/>
      </c>
      <c r="DW499" s="66" t="str">
        <f>+IF($W499="","",ROUND((DT499*Parámetros!$G$85),2))</f>
        <v/>
      </c>
      <c r="DX499" s="66" t="str">
        <f>+IF($W499="","",ROUND((DT499*(Parámetros!$G$86)),2))</f>
        <v/>
      </c>
      <c r="DY499" s="66" t="str">
        <f t="shared" si="722"/>
        <v/>
      </c>
      <c r="DZ499" t="str">
        <f t="shared" si="723"/>
        <v/>
      </c>
      <c r="EA499" s="118" t="str">
        <f t="shared" si="723"/>
        <v/>
      </c>
      <c r="EB499" s="118" t="str">
        <f>+IF($W499="","",ROUND(IF(Parámetros!$D$25='TABLAS MORT'!$V$33,EB498,Z499/2),0))</f>
        <v/>
      </c>
      <c r="EC499" s="118" t="str">
        <f t="shared" si="723"/>
        <v/>
      </c>
      <c r="ED499" s="122" t="str">
        <f>+IF(OR($W499="",EB499=0),"",ROUND((VLOOKUP(ROUNDDOWN($D499-1/frec,0),cob_adi,DO$40,FALSE)*(1+i/frec)^-0.5*(1+Parámetros!$D$103)*(1+rec_fracc)/frec),6))</f>
        <v/>
      </c>
      <c r="EE499" s="66" t="str">
        <f t="shared" si="724"/>
        <v/>
      </c>
      <c r="EF499" s="68" t="str">
        <f t="shared" si="725"/>
        <v/>
      </c>
      <c r="EG499" s="66" t="str">
        <f>+IF($W499="","",ROUND(IF($B499&gt;Parámetros!$D$107,'Tablas Servicio'!EE499+('Tablas Servicio'!EG498-'Tablas Servicio'!EE498),EE499/(1-IF(B499&lt;=10,Parámetros!$D$100,0))),2))</f>
        <v/>
      </c>
      <c r="EH499" s="66" t="str">
        <f t="shared" si="726"/>
        <v/>
      </c>
      <c r="EI499" s="66" t="str">
        <f t="shared" si="726"/>
        <v/>
      </c>
      <c r="EJ499" s="66" t="str">
        <f>+IF($W499="","",ROUND((EG499*Parámetros!$G$85),2))</f>
        <v/>
      </c>
      <c r="EK499" s="66" t="str">
        <f>+IF($W499="","",ROUND((EG499*(Parámetros!$G$86)),2))</f>
        <v/>
      </c>
      <c r="EL499" s="66" t="str">
        <f t="shared" si="727"/>
        <v/>
      </c>
    </row>
    <row r="500" spans="1:142" x14ac:dyDescent="0.25">
      <c r="A500" t="str">
        <f>+IF($C500="","",ROUND(VLOOKUP('Tablas Servicio'!B500,Parámetros!$H$100:$J$159,IF(Parámetros!$E$16="F",2,3),FALSE),2))</f>
        <v/>
      </c>
      <c r="B500" t="str">
        <f t="shared" si="678"/>
        <v/>
      </c>
      <c r="C500" s="57" t="str">
        <f>+IF(D500="","",'Tablas Servicio'!C499+1)</f>
        <v/>
      </c>
      <c r="D500" s="56" t="str">
        <f>+IF(D499&lt;edadmaxtabla,D499+1/Parámetros!$E$25,"")</f>
        <v/>
      </c>
      <c r="E500" s="57" t="str">
        <f t="shared" si="688"/>
        <v/>
      </c>
      <c r="F500" s="59" t="str">
        <f t="shared" si="689"/>
        <v/>
      </c>
      <c r="G500" s="66" t="str">
        <f t="shared" si="679"/>
        <v/>
      </c>
      <c r="H500" s="66" t="str">
        <f t="shared" si="680"/>
        <v/>
      </c>
      <c r="I500" s="66" t="str">
        <f t="shared" si="640"/>
        <v/>
      </c>
      <c r="J500" s="66" t="str">
        <f t="shared" si="681"/>
        <v/>
      </c>
      <c r="K500" s="66" t="str">
        <f t="shared" si="682"/>
        <v/>
      </c>
      <c r="L500" s="66" t="str">
        <f t="shared" si="683"/>
        <v/>
      </c>
      <c r="M500" s="66" t="str">
        <f t="shared" si="684"/>
        <v/>
      </c>
      <c r="N500" s="66" t="str">
        <f>+IF(C500="","",ROUND(Parámetros!$D$23,2))</f>
        <v/>
      </c>
      <c r="O500" s="66" t="str">
        <f t="shared" si="685"/>
        <v/>
      </c>
      <c r="P500" s="66" t="str">
        <f>+IF($C500="","",ROUND(IF(B500&gt;Parámetros!$D$117,0,N500*Parámetros!$D$116-G500*Parámetros!$D$100),2))</f>
        <v/>
      </c>
      <c r="Q500" s="75" t="str">
        <f t="shared" si="641"/>
        <v/>
      </c>
      <c r="R500" s="75" t="str">
        <f t="shared" si="642"/>
        <v/>
      </c>
      <c r="S500" s="117" t="str">
        <f>+IF($C500="","",ROUND((S499+I500)*(1+Parámetros!$D$91),2))</f>
        <v/>
      </c>
      <c r="T500" s="117" t="str">
        <f>+IF($C500="","",ROUND(S500*VLOOKUP(B500,Parámetros!$C$30:$D$39,2,TRUE),2))</f>
        <v/>
      </c>
      <c r="U500" s="117" t="str">
        <f>+IF($C500="","",ROUND((U499+I500)*(1+Parámetros!$D$92),2))</f>
        <v/>
      </c>
      <c r="V500" s="117" t="str">
        <f>+IF($C500="","",ROUND(U500*VLOOKUP(B500,Parámetros!$C$30:$D$39,2,TRUE),2))</f>
        <v/>
      </c>
      <c r="W500" s="57" t="str">
        <f t="shared" si="643"/>
        <v/>
      </c>
      <c r="X500" t="str">
        <f t="shared" si="644"/>
        <v/>
      </c>
      <c r="Y500" t="str">
        <f t="shared" si="645"/>
        <v/>
      </c>
      <c r="Z500" s="118" t="str">
        <f>+IF($W500="","",ROUND(IF(Parámetros!$D$25='TABLAS MORT'!$V$33,Z499,Parámetros!$D$21-'Tablas Servicio'!T499),0))</f>
        <v/>
      </c>
      <c r="AA500" s="118" t="str">
        <f t="shared" si="646"/>
        <v/>
      </c>
      <c r="AB500" s="119" t="str">
        <f>+IF(W500="","",ROUND((VLOOKUP(ROUNDDOWN($D500-1/frec,0),qx_tabla,2,FALSE)*(1+i/frec)^-0.5*(1+Parámetros!$D$103)*(1+rec_fracc)/frec),6))</f>
        <v/>
      </c>
      <c r="AC500" s="66" t="str">
        <f t="shared" si="690"/>
        <v/>
      </c>
      <c r="AD500" s="119" t="str">
        <f t="shared" si="686"/>
        <v/>
      </c>
      <c r="AE500" s="66" t="str">
        <f>+IF($W500="","",ROUND(IF($B500&gt;Parámetros!$D$107,'Tablas Servicio'!AC500+('Tablas Servicio'!AG499-'Tablas Servicio'!AC499),AC500/(1-IF(B500&lt;=10,Parámetros!$D$104,Parámetros!$D$105))),2))</f>
        <v/>
      </c>
      <c r="AF500" s="66" t="str">
        <f>+IF($W500="","",ROUND(IF($B500&gt;Parámetros!$D$107,'Tablas Servicio'!AC500+('Tablas Servicio'!AG499-'Tablas Servicio'!AC499),(AC500+$A499/frec)/(1-IF(B500&lt;=Parámetros!$D$117,Parámetros!$D$100,0))),2))</f>
        <v/>
      </c>
      <c r="AG500" s="66" t="str">
        <f t="shared" si="691"/>
        <v/>
      </c>
      <c r="AH500" s="66" t="str">
        <f t="shared" si="692"/>
        <v/>
      </c>
      <c r="AI500" s="66" t="str">
        <f t="shared" si="693"/>
        <v/>
      </c>
      <c r="AJ500" s="66" t="str">
        <f>+IF($W500="","",ROUND((AG500*Parámetros!$G$85),2))</f>
        <v/>
      </c>
      <c r="AK500" s="66" t="str">
        <f>+IF($W500="","",ROUND((AG500*(Parámetros!$G$86)),2))</f>
        <v/>
      </c>
      <c r="AL500" s="66" t="str">
        <f t="shared" si="687"/>
        <v/>
      </c>
      <c r="AM500" t="str">
        <f t="shared" si="647"/>
        <v/>
      </c>
      <c r="AN500" t="str">
        <f t="shared" si="648"/>
        <v/>
      </c>
      <c r="AO500" s="118" t="str">
        <f t="shared" si="649"/>
        <v/>
      </c>
      <c r="AP500" s="118" t="str">
        <f t="shared" si="650"/>
        <v/>
      </c>
      <c r="AQ500" s="119" t="str">
        <f>+IF(OR($W500="",AO500=0),"",ROUND((VLOOKUP(ROUNDDOWN($D500-1/frec,0),cob_adi,Z$40,FALSE)*(1+i/frec)^-0.5*(1+Parámetros!$D$103)*(1+rec_fracc)/frec),6))</f>
        <v/>
      </c>
      <c r="AR500" s="66" t="str">
        <f t="shared" si="694"/>
        <v/>
      </c>
      <c r="AS500" s="119" t="str">
        <f t="shared" si="695"/>
        <v/>
      </c>
      <c r="AT500" s="66" t="str">
        <f>+IF($W500="","",ROUND(IF($B500&gt;Parámetros!$D$107,'Tablas Servicio'!AR500+('Tablas Servicio'!AT499-'Tablas Servicio'!AR499),AR500/(1-IF(B500&lt;=10,Parámetros!$D$100,0))),2))</f>
        <v/>
      </c>
      <c r="AU500" s="66" t="str">
        <f t="shared" si="696"/>
        <v/>
      </c>
      <c r="AV500" s="66" t="str">
        <f t="shared" si="696"/>
        <v/>
      </c>
      <c r="AW500" s="66" t="str">
        <f>+IF($W500="","",ROUND((AT500*Parámetros!$G$85),2))</f>
        <v/>
      </c>
      <c r="AX500" s="66" t="str">
        <f>+IF($W500="","",ROUND((AT500*(Parámetros!$G$86)),2))</f>
        <v/>
      </c>
      <c r="AY500" s="66" t="str">
        <f t="shared" si="697"/>
        <v/>
      </c>
      <c r="AZ500" t="str">
        <f t="shared" si="651"/>
        <v/>
      </c>
      <c r="BA500" t="str">
        <f t="shared" si="652"/>
        <v/>
      </c>
      <c r="BB500" s="118" t="str">
        <f t="shared" si="653"/>
        <v/>
      </c>
      <c r="BC500" s="118" t="str">
        <f t="shared" si="654"/>
        <v/>
      </c>
      <c r="BD500" s="119" t="str">
        <f>+IF(OR($W500="",BB500=0),"",ROUND((VLOOKUP(ROUNDDOWN($D500-1/frec,0),cob_adi,AO$40,FALSE)*(1+i/frec)^-0.5*(1+Parámetros!$D$103)*(1+rec_fracc)/frec),6))</f>
        <v/>
      </c>
      <c r="BE500" s="66" t="str">
        <f t="shared" si="698"/>
        <v/>
      </c>
      <c r="BF500" s="119" t="str">
        <f t="shared" si="699"/>
        <v/>
      </c>
      <c r="BG500" s="66" t="str">
        <f>+IF($W500="","",ROUND(IF($B500&gt;Parámetros!$D$107,'Tablas Servicio'!BE500+('Tablas Servicio'!BG499-'Tablas Servicio'!BE499),BE500/(1-IF(B500&lt;=10,Parámetros!$D$100,0))),2))</f>
        <v/>
      </c>
      <c r="BH500" s="66" t="str">
        <f t="shared" si="700"/>
        <v/>
      </c>
      <c r="BI500" s="66" t="str">
        <f t="shared" si="701"/>
        <v/>
      </c>
      <c r="BJ500" s="66" t="str">
        <f>+IF($W500="","",ROUND((BG500*Parámetros!$G$85),2))</f>
        <v/>
      </c>
      <c r="BK500" s="66" t="str">
        <f>+IF($W500="","",ROUND((BG500*(Parámetros!$G$86)),2))</f>
        <v/>
      </c>
      <c r="BL500" s="66" t="str">
        <f t="shared" si="702"/>
        <v/>
      </c>
      <c r="BM500" t="str">
        <f t="shared" si="655"/>
        <v/>
      </c>
      <c r="BN500" t="str">
        <f t="shared" si="656"/>
        <v/>
      </c>
      <c r="BO500" s="118" t="str">
        <f t="shared" si="657"/>
        <v/>
      </c>
      <c r="BP500" s="118" t="str">
        <f t="shared" si="658"/>
        <v/>
      </c>
      <c r="BQ500" s="119" t="str">
        <f>+IF(OR($W500="",BO500=0),"",ROUND((VLOOKUP(ROUNDDOWN($D500-1/frec,0),cob_adi,BB$40,FALSE)*(1+i/frec)^-0.5*(1+Parámetros!$D$103)*(1+rec_fracc)/frec),6))</f>
        <v/>
      </c>
      <c r="BR500" s="66" t="str">
        <f t="shared" si="703"/>
        <v/>
      </c>
      <c r="BS500" s="119" t="str">
        <f t="shared" si="704"/>
        <v/>
      </c>
      <c r="BT500" s="66" t="str">
        <f>+IF($W500="","",ROUND(IF($B500&gt;Parámetros!$D$107,'Tablas Servicio'!BR500+('Tablas Servicio'!BT499-'Tablas Servicio'!BR499),BR500/(1-IF(B500&lt;=10,Parámetros!$D$100,0))),2))</f>
        <v/>
      </c>
      <c r="BU500" s="66" t="str">
        <f t="shared" si="705"/>
        <v/>
      </c>
      <c r="BV500" s="66" t="str">
        <f t="shared" si="705"/>
        <v/>
      </c>
      <c r="BW500" s="66" t="str">
        <f>+IF($W500="","",ROUND((BT500*Parámetros!$G$85),2))</f>
        <v/>
      </c>
      <c r="BX500" s="66" t="str">
        <f>+IF($W500="","",ROUND((BT500*(Parámetros!$G$86)),2))</f>
        <v/>
      </c>
      <c r="BY500" s="66" t="str">
        <f t="shared" si="706"/>
        <v/>
      </c>
      <c r="BZ500" t="str">
        <f t="shared" si="659"/>
        <v/>
      </c>
      <c r="CA500" t="str">
        <f t="shared" si="660"/>
        <v/>
      </c>
      <c r="CB500" s="118" t="str">
        <f t="shared" si="661"/>
        <v/>
      </c>
      <c r="CC500" s="118" t="str">
        <f t="shared" si="662"/>
        <v/>
      </c>
      <c r="CD500" s="119" t="str">
        <f t="shared" si="707"/>
        <v/>
      </c>
      <c r="CE500" s="66" t="str">
        <f>+IF($W500="","",ROUND((VLOOKUP(ROUNDDOWN($D500-1/frec,0),cob_adi,BO$40,FALSE)*(1+i/frec)^-0.5*(1+Parámetros!$D$103)*(1+rec_fracc)/frec*'TABLAS ADI'!$BC$17),2))</f>
        <v/>
      </c>
      <c r="CF500" s="119" t="str">
        <f t="shared" si="708"/>
        <v/>
      </c>
      <c r="CG500" s="66" t="str">
        <f>+IF($W500="","",ROUND(IF($B500&gt;Parámetros!$D$107,'Tablas Servicio'!CE500+('Tablas Servicio'!CG499-'Tablas Servicio'!CE499),CE500/(1-IF(B500&lt;=10,Parámetros!$D$100,0))),2))</f>
        <v/>
      </c>
      <c r="CH500" s="66" t="str">
        <f t="shared" si="709"/>
        <v/>
      </c>
      <c r="CI500" s="66" t="str">
        <f t="shared" si="709"/>
        <v/>
      </c>
      <c r="CJ500" s="66" t="str">
        <f>+IF($W500="","",ROUND((CG500*Parámetros!$G$85),2))</f>
        <v/>
      </c>
      <c r="CK500" s="66" t="str">
        <f>+IF($W500="","",ROUND((CG500*(Parámetros!$G$86)),2))</f>
        <v/>
      </c>
      <c r="CL500" s="66" t="str">
        <f t="shared" si="710"/>
        <v/>
      </c>
      <c r="CM500" t="str">
        <f t="shared" si="663"/>
        <v/>
      </c>
      <c r="CN500" s="118" t="str">
        <f t="shared" si="664"/>
        <v/>
      </c>
      <c r="CO500" s="118" t="str">
        <f t="shared" si="665"/>
        <v/>
      </c>
      <c r="CP500" s="118" t="str">
        <f t="shared" si="666"/>
        <v/>
      </c>
      <c r="CQ500" s="119" t="str">
        <f t="shared" si="711"/>
        <v/>
      </c>
      <c r="CR500" s="66" t="str">
        <f>+IF($W500="","",ROUND((VLOOKUP(Parámetros!$F$51,'COBERTURAS ADICIONALES'!$S$4:$T$32,2,FALSE)*(1+i/frec)^-0.5*(1+Parámetros!$D$103)*(1+rec_fracc)/frec*$CO$42),2))</f>
        <v/>
      </c>
      <c r="CS500" s="119" t="str">
        <f t="shared" si="712"/>
        <v/>
      </c>
      <c r="CT500" s="66" t="str">
        <f>+IF($W500="","",ROUND(IF($B500&gt;Parámetros!$D$107,'Tablas Servicio'!CR500+('Tablas Servicio'!CT499-'Tablas Servicio'!CR499),CR500/(1-IF(B500&lt;=10,Parámetros!$D$100,0))),2))</f>
        <v/>
      </c>
      <c r="CU500" s="66" t="str">
        <f t="shared" si="713"/>
        <v/>
      </c>
      <c r="CV500" s="66" t="str">
        <f t="shared" si="713"/>
        <v/>
      </c>
      <c r="CW500" s="66" t="str">
        <f>+IF($W500="","",ROUND((CT500*Parámetros!$G$85),2))</f>
        <v/>
      </c>
      <c r="CX500" s="66" t="str">
        <f>+IF($W500="","",ROUND((CT500*(Parámetros!$G$86)),2))</f>
        <v/>
      </c>
      <c r="CY500" s="66" t="str">
        <f t="shared" si="714"/>
        <v/>
      </c>
      <c r="CZ500" t="str">
        <f t="shared" si="667"/>
        <v/>
      </c>
      <c r="DA500" s="118" t="str">
        <f t="shared" si="668"/>
        <v/>
      </c>
      <c r="DB500" s="118" t="str">
        <f t="shared" si="669"/>
        <v/>
      </c>
      <c r="DC500" s="118" t="str">
        <f t="shared" si="670"/>
        <v/>
      </c>
      <c r="DD500" s="121" t="str">
        <f>+IF(OR($W500="",DB500=0),"",ROUND((VLOOKUP(ROUNDDOWN($D500-1/frec,0),cob_adi,CO$40,FALSE)*(1+i/frec)^-0.5*(1+Parámetros!$D$103)*(1+rec_fracc)/frec),6))</f>
        <v/>
      </c>
      <c r="DE500" s="66" t="str">
        <f t="shared" si="715"/>
        <v/>
      </c>
      <c r="DF500" s="119" t="str">
        <f t="shared" si="716"/>
        <v/>
      </c>
      <c r="DG500" s="66" t="str">
        <f>+IF($W500="","",ROUND(IF($B500&gt;Parámetros!$D$107,'Tablas Servicio'!DE500+('Tablas Servicio'!DG499-'Tablas Servicio'!DE499),DE500/(1-IF(B500&lt;=10,Parámetros!$D$100,0))),2))</f>
        <v/>
      </c>
      <c r="DH500" s="66" t="str">
        <f t="shared" si="717"/>
        <v/>
      </c>
      <c r="DI500" s="66" t="str">
        <f t="shared" si="717"/>
        <v/>
      </c>
      <c r="DJ500" s="66" t="str">
        <f>+IF($W500="","",ROUND((DG500*Parámetros!$G$85),2))</f>
        <v/>
      </c>
      <c r="DK500" s="66" t="str">
        <f>+IF($W500="","",ROUND((DG500*(Parámetros!$G$86)),2))</f>
        <v/>
      </c>
      <c r="DL500" s="66" t="str">
        <f t="shared" si="718"/>
        <v/>
      </c>
      <c r="DM500" t="str">
        <f t="shared" si="671"/>
        <v/>
      </c>
      <c r="DN500" s="118" t="str">
        <f t="shared" si="672"/>
        <v/>
      </c>
      <c r="DO500" s="118" t="str">
        <f t="shared" si="673"/>
        <v/>
      </c>
      <c r="DP500" s="118" t="str">
        <f t="shared" si="674"/>
        <v/>
      </c>
      <c r="DQ500" s="122" t="str">
        <f>+IF(OR($W500="",DO500=0),"",ROUND((VLOOKUP(ROUNDDOWN($D500-1/frec,0),cob_adi,DB$40,FALSE)*(1+i/frec)^-0.5*(1+Parámetros!$D$103)*(1+rec_fracc)/frec),6))</f>
        <v/>
      </c>
      <c r="DR500" s="66" t="str">
        <f t="shared" si="719"/>
        <v/>
      </c>
      <c r="DS500" s="68" t="str">
        <f t="shared" si="720"/>
        <v/>
      </c>
      <c r="DT500" s="66" t="str">
        <f>+IF($W500="","",ROUND(IF($B500&gt;Parámetros!$D$107,'Tablas Servicio'!DR500+('Tablas Servicio'!DT499-'Tablas Servicio'!DR499),DR500/(1-IF(B500&lt;=10,Parámetros!$D$100,0))),2))</f>
        <v/>
      </c>
      <c r="DU500" s="66" t="str">
        <f t="shared" si="721"/>
        <v/>
      </c>
      <c r="DV500" s="66" t="str">
        <f t="shared" si="721"/>
        <v/>
      </c>
      <c r="DW500" s="66" t="str">
        <f>+IF($W500="","",ROUND((DT500*Parámetros!$G$85),2))</f>
        <v/>
      </c>
      <c r="DX500" s="66" t="str">
        <f>+IF($W500="","",ROUND((DT500*(Parámetros!$G$86)),2))</f>
        <v/>
      </c>
      <c r="DY500" s="66" t="str">
        <f t="shared" si="722"/>
        <v/>
      </c>
      <c r="DZ500" t="str">
        <f t="shared" si="723"/>
        <v/>
      </c>
      <c r="EA500" s="118" t="str">
        <f t="shared" si="723"/>
        <v/>
      </c>
      <c r="EB500" s="118" t="str">
        <f>+IF($W500="","",ROUND(IF(Parámetros!$D$25='TABLAS MORT'!$V$33,EB499,Z500/2),0))</f>
        <v/>
      </c>
      <c r="EC500" s="118" t="str">
        <f t="shared" si="723"/>
        <v/>
      </c>
      <c r="ED500" s="122" t="str">
        <f>+IF(OR($W500="",EB500=0),"",ROUND((VLOOKUP(ROUNDDOWN($D500-1/frec,0),cob_adi,DO$40,FALSE)*(1+i/frec)^-0.5*(1+Parámetros!$D$103)*(1+rec_fracc)/frec),6))</f>
        <v/>
      </c>
      <c r="EE500" s="66" t="str">
        <f t="shared" si="724"/>
        <v/>
      </c>
      <c r="EF500" s="68" t="str">
        <f t="shared" si="725"/>
        <v/>
      </c>
      <c r="EG500" s="66" t="str">
        <f>+IF($W500="","",ROUND(IF($B500&gt;Parámetros!$D$107,'Tablas Servicio'!EE500+('Tablas Servicio'!EG499-'Tablas Servicio'!EE499),EE500/(1-IF(B500&lt;=10,Parámetros!$D$100,0))),2))</f>
        <v/>
      </c>
      <c r="EH500" s="66" t="str">
        <f t="shared" si="726"/>
        <v/>
      </c>
      <c r="EI500" s="66" t="str">
        <f t="shared" si="726"/>
        <v/>
      </c>
      <c r="EJ500" s="66" t="str">
        <f>+IF($W500="","",ROUND((EG500*Parámetros!$G$85),2))</f>
        <v/>
      </c>
      <c r="EK500" s="66" t="str">
        <f>+IF($W500="","",ROUND((EG500*(Parámetros!$G$86)),2))</f>
        <v/>
      </c>
      <c r="EL500" s="66" t="str">
        <f t="shared" si="727"/>
        <v/>
      </c>
    </row>
    <row r="501" spans="1:142" x14ac:dyDescent="0.25">
      <c r="A501" t="str">
        <f>+IF($C501="","",ROUND(VLOOKUP('Tablas Servicio'!B501,Parámetros!$H$100:$J$159,IF(Parámetros!$E$16="F",2,3),FALSE),2))</f>
        <v/>
      </c>
      <c r="B501" t="str">
        <f t="shared" si="678"/>
        <v/>
      </c>
      <c r="C501" s="57" t="str">
        <f>+IF(D501="","",'Tablas Servicio'!C500+1)</f>
        <v/>
      </c>
      <c r="D501" s="56" t="str">
        <f>+IF(D500&lt;edadmaxtabla,D500+1/Parámetros!$E$25,"")</f>
        <v/>
      </c>
      <c r="E501" s="57" t="str">
        <f t="shared" si="688"/>
        <v/>
      </c>
      <c r="F501" s="59" t="str">
        <f t="shared" si="689"/>
        <v/>
      </c>
      <c r="G501" s="66" t="str">
        <f t="shared" si="679"/>
        <v/>
      </c>
      <c r="H501" s="66" t="str">
        <f t="shared" si="680"/>
        <v/>
      </c>
      <c r="I501" s="66" t="str">
        <f t="shared" si="640"/>
        <v/>
      </c>
      <c r="J501" s="66" t="str">
        <f t="shared" si="681"/>
        <v/>
      </c>
      <c r="K501" s="66" t="str">
        <f t="shared" si="682"/>
        <v/>
      </c>
      <c r="L501" s="66" t="str">
        <f t="shared" si="683"/>
        <v/>
      </c>
      <c r="M501" s="66" t="str">
        <f t="shared" si="684"/>
        <v/>
      </c>
      <c r="N501" s="66" t="str">
        <f>+IF(C501="","",ROUND(Parámetros!$D$23,2))</f>
        <v/>
      </c>
      <c r="O501" s="66" t="str">
        <f t="shared" si="685"/>
        <v/>
      </c>
      <c r="P501" s="66" t="str">
        <f>+IF($C501="","",ROUND(IF(B501&gt;Parámetros!$D$117,0,N501*Parámetros!$D$116-G501*Parámetros!$D$100),2))</f>
        <v/>
      </c>
      <c r="Q501" s="75" t="str">
        <f t="shared" si="641"/>
        <v/>
      </c>
      <c r="R501" s="75" t="str">
        <f t="shared" si="642"/>
        <v/>
      </c>
      <c r="S501" s="117" t="str">
        <f>+IF($C501="","",ROUND((S500+I501)*(1+Parámetros!$D$91),2))</f>
        <v/>
      </c>
      <c r="T501" s="117" t="str">
        <f>+IF($C501="","",ROUND(S501*VLOOKUP(B501,Parámetros!$C$30:$D$39,2,TRUE),2))</f>
        <v/>
      </c>
      <c r="U501" s="117" t="str">
        <f>+IF($C501="","",ROUND((U500+I501)*(1+Parámetros!$D$92),2))</f>
        <v/>
      </c>
      <c r="V501" s="117" t="str">
        <f>+IF($C501="","",ROUND(U501*VLOOKUP(B501,Parámetros!$C$30:$D$39,2,TRUE),2))</f>
        <v/>
      </c>
      <c r="W501" s="57" t="str">
        <f t="shared" si="643"/>
        <v/>
      </c>
      <c r="X501" t="str">
        <f t="shared" si="644"/>
        <v/>
      </c>
      <c r="Y501" t="str">
        <f t="shared" si="645"/>
        <v/>
      </c>
      <c r="Z501" s="118" t="str">
        <f>+IF($W501="","",ROUND(IF(Parámetros!$D$25='TABLAS MORT'!$V$33,Z500,Parámetros!$D$21-'Tablas Servicio'!T500),0))</f>
        <v/>
      </c>
      <c r="AA501" s="118" t="str">
        <f t="shared" si="646"/>
        <v/>
      </c>
      <c r="AB501" s="119" t="str">
        <f>+IF(W501="","",ROUND((VLOOKUP(ROUNDDOWN($D501-1/frec,0),qx_tabla,2,FALSE)*(1+i/frec)^-0.5*(1+Parámetros!$D$103)*(1+rec_fracc)/frec),6))</f>
        <v/>
      </c>
      <c r="AC501" s="66" t="str">
        <f t="shared" si="690"/>
        <v/>
      </c>
      <c r="AD501" s="119" t="str">
        <f t="shared" si="686"/>
        <v/>
      </c>
      <c r="AE501" s="66" t="str">
        <f>+IF($W501="","",ROUND(IF($B501&gt;Parámetros!$D$107,'Tablas Servicio'!AC501+('Tablas Servicio'!AG500-'Tablas Servicio'!AC500),AC501/(1-IF(B501&lt;=10,Parámetros!$D$104,Parámetros!$D$105))),2))</f>
        <v/>
      </c>
      <c r="AF501" s="66" t="str">
        <f>+IF($W501="","",ROUND(IF($B501&gt;Parámetros!$D$107,'Tablas Servicio'!AC501+('Tablas Servicio'!AG500-'Tablas Servicio'!AC500),(AC501+$A500/frec)/(1-IF(B501&lt;=Parámetros!$D$117,Parámetros!$D$100,0))),2))</f>
        <v/>
      </c>
      <c r="AG501" s="66" t="str">
        <f t="shared" si="691"/>
        <v/>
      </c>
      <c r="AH501" s="66" t="str">
        <f t="shared" si="692"/>
        <v/>
      </c>
      <c r="AI501" s="66" t="str">
        <f t="shared" si="693"/>
        <v/>
      </c>
      <c r="AJ501" s="66" t="str">
        <f>+IF($W501="","",ROUND((AG501*Parámetros!$G$85),2))</f>
        <v/>
      </c>
      <c r="AK501" s="66" t="str">
        <f>+IF($W501="","",ROUND((AG501*(Parámetros!$G$86)),2))</f>
        <v/>
      </c>
      <c r="AL501" s="66" t="str">
        <f t="shared" si="687"/>
        <v/>
      </c>
      <c r="AM501" t="str">
        <f t="shared" si="647"/>
        <v/>
      </c>
      <c r="AN501" t="str">
        <f t="shared" si="648"/>
        <v/>
      </c>
      <c r="AO501" s="118" t="str">
        <f t="shared" si="649"/>
        <v/>
      </c>
      <c r="AP501" s="118" t="str">
        <f t="shared" si="650"/>
        <v/>
      </c>
      <c r="AQ501" s="119" t="str">
        <f>+IF(OR($W501="",AO501=0),"",ROUND((VLOOKUP(ROUNDDOWN($D501-1/frec,0),cob_adi,Z$40,FALSE)*(1+i/frec)^-0.5*(1+Parámetros!$D$103)*(1+rec_fracc)/frec),6))</f>
        <v/>
      </c>
      <c r="AR501" s="66" t="str">
        <f t="shared" si="694"/>
        <v/>
      </c>
      <c r="AS501" s="119" t="str">
        <f t="shared" si="695"/>
        <v/>
      </c>
      <c r="AT501" s="66" t="str">
        <f>+IF($W501="","",ROUND(IF($B501&gt;Parámetros!$D$107,'Tablas Servicio'!AR501+('Tablas Servicio'!AT500-'Tablas Servicio'!AR500),AR501/(1-IF(B501&lt;=10,Parámetros!$D$100,0))),2))</f>
        <v/>
      </c>
      <c r="AU501" s="66" t="str">
        <f t="shared" si="696"/>
        <v/>
      </c>
      <c r="AV501" s="66" t="str">
        <f t="shared" si="696"/>
        <v/>
      </c>
      <c r="AW501" s="66" t="str">
        <f>+IF($W501="","",ROUND((AT501*Parámetros!$G$85),2))</f>
        <v/>
      </c>
      <c r="AX501" s="66" t="str">
        <f>+IF($W501="","",ROUND((AT501*(Parámetros!$G$86)),2))</f>
        <v/>
      </c>
      <c r="AY501" s="66" t="str">
        <f t="shared" si="697"/>
        <v/>
      </c>
      <c r="AZ501" t="str">
        <f t="shared" si="651"/>
        <v/>
      </c>
      <c r="BA501" t="str">
        <f t="shared" si="652"/>
        <v/>
      </c>
      <c r="BB501" s="118" t="str">
        <f t="shared" si="653"/>
        <v/>
      </c>
      <c r="BC501" s="118" t="str">
        <f t="shared" si="654"/>
        <v/>
      </c>
      <c r="BD501" s="119" t="str">
        <f>+IF(OR($W501="",BB501=0),"",ROUND((VLOOKUP(ROUNDDOWN($D501-1/frec,0),cob_adi,AO$40,FALSE)*(1+i/frec)^-0.5*(1+Parámetros!$D$103)*(1+rec_fracc)/frec),6))</f>
        <v/>
      </c>
      <c r="BE501" s="66" t="str">
        <f t="shared" si="698"/>
        <v/>
      </c>
      <c r="BF501" s="119" t="str">
        <f t="shared" si="699"/>
        <v/>
      </c>
      <c r="BG501" s="66" t="str">
        <f>+IF($W501="","",ROUND(IF($B501&gt;Parámetros!$D$107,'Tablas Servicio'!BE501+('Tablas Servicio'!BG500-'Tablas Servicio'!BE500),BE501/(1-IF(B501&lt;=10,Parámetros!$D$100,0))),2))</f>
        <v/>
      </c>
      <c r="BH501" s="66" t="str">
        <f t="shared" si="700"/>
        <v/>
      </c>
      <c r="BI501" s="66" t="str">
        <f t="shared" si="701"/>
        <v/>
      </c>
      <c r="BJ501" s="66" t="str">
        <f>+IF($W501="","",ROUND((BG501*Parámetros!$G$85),2))</f>
        <v/>
      </c>
      <c r="BK501" s="66" t="str">
        <f>+IF($W501="","",ROUND((BG501*(Parámetros!$G$86)),2))</f>
        <v/>
      </c>
      <c r="BL501" s="66" t="str">
        <f t="shared" si="702"/>
        <v/>
      </c>
      <c r="BM501" t="str">
        <f t="shared" si="655"/>
        <v/>
      </c>
      <c r="BN501" t="str">
        <f t="shared" si="656"/>
        <v/>
      </c>
      <c r="BO501" s="118" t="str">
        <f t="shared" si="657"/>
        <v/>
      </c>
      <c r="BP501" s="118" t="str">
        <f t="shared" si="658"/>
        <v/>
      </c>
      <c r="BQ501" s="119" t="str">
        <f>+IF(OR($W501="",BO501=0),"",ROUND((VLOOKUP(ROUNDDOWN($D501-1/frec,0),cob_adi,BB$40,FALSE)*(1+i/frec)^-0.5*(1+Parámetros!$D$103)*(1+rec_fracc)/frec),6))</f>
        <v/>
      </c>
      <c r="BR501" s="66" t="str">
        <f t="shared" si="703"/>
        <v/>
      </c>
      <c r="BS501" s="119" t="str">
        <f t="shared" si="704"/>
        <v/>
      </c>
      <c r="BT501" s="66" t="str">
        <f>+IF($W501="","",ROUND(IF($B501&gt;Parámetros!$D$107,'Tablas Servicio'!BR501+('Tablas Servicio'!BT500-'Tablas Servicio'!BR500),BR501/(1-IF(B501&lt;=10,Parámetros!$D$100,0))),2))</f>
        <v/>
      </c>
      <c r="BU501" s="66" t="str">
        <f t="shared" si="705"/>
        <v/>
      </c>
      <c r="BV501" s="66" t="str">
        <f t="shared" si="705"/>
        <v/>
      </c>
      <c r="BW501" s="66" t="str">
        <f>+IF($W501="","",ROUND((BT501*Parámetros!$G$85),2))</f>
        <v/>
      </c>
      <c r="BX501" s="66" t="str">
        <f>+IF($W501="","",ROUND((BT501*(Parámetros!$G$86)),2))</f>
        <v/>
      </c>
      <c r="BY501" s="66" t="str">
        <f t="shared" si="706"/>
        <v/>
      </c>
      <c r="BZ501" t="str">
        <f t="shared" si="659"/>
        <v/>
      </c>
      <c r="CA501" t="str">
        <f t="shared" si="660"/>
        <v/>
      </c>
      <c r="CB501" s="118" t="str">
        <f t="shared" si="661"/>
        <v/>
      </c>
      <c r="CC501" s="118" t="str">
        <f t="shared" si="662"/>
        <v/>
      </c>
      <c r="CD501" s="119" t="str">
        <f t="shared" si="707"/>
        <v/>
      </c>
      <c r="CE501" s="66" t="str">
        <f>+IF($W501="","",ROUND((VLOOKUP(ROUNDDOWN($D501-1/frec,0),cob_adi,BO$40,FALSE)*(1+i/frec)^-0.5*(1+Parámetros!$D$103)*(1+rec_fracc)/frec*'TABLAS ADI'!$BC$17),2))</f>
        <v/>
      </c>
      <c r="CF501" s="119" t="str">
        <f t="shared" si="708"/>
        <v/>
      </c>
      <c r="CG501" s="66" t="str">
        <f>+IF($W501="","",ROUND(IF($B501&gt;Parámetros!$D$107,'Tablas Servicio'!CE501+('Tablas Servicio'!CG500-'Tablas Servicio'!CE500),CE501/(1-IF(B501&lt;=10,Parámetros!$D$100,0))),2))</f>
        <v/>
      </c>
      <c r="CH501" s="66" t="str">
        <f t="shared" si="709"/>
        <v/>
      </c>
      <c r="CI501" s="66" t="str">
        <f t="shared" si="709"/>
        <v/>
      </c>
      <c r="CJ501" s="66" t="str">
        <f>+IF($W501="","",ROUND((CG501*Parámetros!$G$85),2))</f>
        <v/>
      </c>
      <c r="CK501" s="66" t="str">
        <f>+IF($W501="","",ROUND((CG501*(Parámetros!$G$86)),2))</f>
        <v/>
      </c>
      <c r="CL501" s="66" t="str">
        <f t="shared" si="710"/>
        <v/>
      </c>
      <c r="CM501" t="str">
        <f t="shared" si="663"/>
        <v/>
      </c>
      <c r="CN501" s="118" t="str">
        <f t="shared" si="664"/>
        <v/>
      </c>
      <c r="CO501" s="118" t="str">
        <f t="shared" si="665"/>
        <v/>
      </c>
      <c r="CP501" s="118" t="str">
        <f t="shared" si="666"/>
        <v/>
      </c>
      <c r="CQ501" s="119" t="str">
        <f t="shared" si="711"/>
        <v/>
      </c>
      <c r="CR501" s="66" t="str">
        <f>+IF($W501="","",ROUND((VLOOKUP(Parámetros!$F$51,'COBERTURAS ADICIONALES'!$S$4:$T$32,2,FALSE)*(1+i/frec)^-0.5*(1+Parámetros!$D$103)*(1+rec_fracc)/frec*$CO$42),2))</f>
        <v/>
      </c>
      <c r="CS501" s="119" t="str">
        <f t="shared" si="712"/>
        <v/>
      </c>
      <c r="CT501" s="66" t="str">
        <f>+IF($W501="","",ROUND(IF($B501&gt;Parámetros!$D$107,'Tablas Servicio'!CR501+('Tablas Servicio'!CT500-'Tablas Servicio'!CR500),CR501/(1-IF(B501&lt;=10,Parámetros!$D$100,0))),2))</f>
        <v/>
      </c>
      <c r="CU501" s="66" t="str">
        <f t="shared" si="713"/>
        <v/>
      </c>
      <c r="CV501" s="66" t="str">
        <f t="shared" si="713"/>
        <v/>
      </c>
      <c r="CW501" s="66" t="str">
        <f>+IF($W501="","",ROUND((CT501*Parámetros!$G$85),2))</f>
        <v/>
      </c>
      <c r="CX501" s="66" t="str">
        <f>+IF($W501="","",ROUND((CT501*(Parámetros!$G$86)),2))</f>
        <v/>
      </c>
      <c r="CY501" s="66" t="str">
        <f t="shared" si="714"/>
        <v/>
      </c>
      <c r="CZ501" t="str">
        <f t="shared" si="667"/>
        <v/>
      </c>
      <c r="DA501" s="118" t="str">
        <f t="shared" si="668"/>
        <v/>
      </c>
      <c r="DB501" s="118" t="str">
        <f t="shared" si="669"/>
        <v/>
      </c>
      <c r="DC501" s="118" t="str">
        <f t="shared" si="670"/>
        <v/>
      </c>
      <c r="DD501" s="121" t="str">
        <f>+IF(OR($W501="",DB501=0),"",ROUND((VLOOKUP(ROUNDDOWN($D501-1/frec,0),cob_adi,CO$40,FALSE)*(1+i/frec)^-0.5*(1+Parámetros!$D$103)*(1+rec_fracc)/frec),6))</f>
        <v/>
      </c>
      <c r="DE501" s="66" t="str">
        <f t="shared" si="715"/>
        <v/>
      </c>
      <c r="DF501" s="119" t="str">
        <f t="shared" si="716"/>
        <v/>
      </c>
      <c r="DG501" s="66" t="str">
        <f>+IF($W501="","",ROUND(IF($B501&gt;Parámetros!$D$107,'Tablas Servicio'!DE501+('Tablas Servicio'!DG500-'Tablas Servicio'!DE500),DE501/(1-IF(B501&lt;=10,Parámetros!$D$100,0))),2))</f>
        <v/>
      </c>
      <c r="DH501" s="66" t="str">
        <f t="shared" si="717"/>
        <v/>
      </c>
      <c r="DI501" s="66" t="str">
        <f t="shared" si="717"/>
        <v/>
      </c>
      <c r="DJ501" s="66" t="str">
        <f>+IF($W501="","",ROUND((DG501*Parámetros!$G$85),2))</f>
        <v/>
      </c>
      <c r="DK501" s="66" t="str">
        <f>+IF($W501="","",ROUND((DG501*(Parámetros!$G$86)),2))</f>
        <v/>
      </c>
      <c r="DL501" s="66" t="str">
        <f t="shared" si="718"/>
        <v/>
      </c>
      <c r="DM501" t="str">
        <f t="shared" si="671"/>
        <v/>
      </c>
      <c r="DN501" s="118" t="str">
        <f t="shared" si="672"/>
        <v/>
      </c>
      <c r="DO501" s="118" t="str">
        <f t="shared" si="673"/>
        <v/>
      </c>
      <c r="DP501" s="118" t="str">
        <f t="shared" si="674"/>
        <v/>
      </c>
      <c r="DQ501" s="122" t="str">
        <f>+IF(OR($W501="",DO501=0),"",ROUND((VLOOKUP(ROUNDDOWN($D501-1/frec,0),cob_adi,DB$40,FALSE)*(1+i/frec)^-0.5*(1+Parámetros!$D$103)*(1+rec_fracc)/frec),6))</f>
        <v/>
      </c>
      <c r="DR501" s="66" t="str">
        <f t="shared" si="719"/>
        <v/>
      </c>
      <c r="DS501" s="68" t="str">
        <f t="shared" si="720"/>
        <v/>
      </c>
      <c r="DT501" s="66" t="str">
        <f>+IF($W501="","",ROUND(IF($B501&gt;Parámetros!$D$107,'Tablas Servicio'!DR501+('Tablas Servicio'!DT500-'Tablas Servicio'!DR500),DR501/(1-IF(B501&lt;=10,Parámetros!$D$100,0))),2))</f>
        <v/>
      </c>
      <c r="DU501" s="66" t="str">
        <f t="shared" si="721"/>
        <v/>
      </c>
      <c r="DV501" s="66" t="str">
        <f t="shared" si="721"/>
        <v/>
      </c>
      <c r="DW501" s="66" t="str">
        <f>+IF($W501="","",ROUND((DT501*Parámetros!$G$85),2))</f>
        <v/>
      </c>
      <c r="DX501" s="66" t="str">
        <f>+IF($W501="","",ROUND((DT501*(Parámetros!$G$86)),2))</f>
        <v/>
      </c>
      <c r="DY501" s="66" t="str">
        <f t="shared" si="722"/>
        <v/>
      </c>
      <c r="DZ501" t="str">
        <f t="shared" si="723"/>
        <v/>
      </c>
      <c r="EA501" s="118" t="str">
        <f t="shared" si="723"/>
        <v/>
      </c>
      <c r="EB501" s="118" t="str">
        <f>+IF($W501="","",ROUND(IF(Parámetros!$D$25='TABLAS MORT'!$V$33,EB500,Z501/2),0))</f>
        <v/>
      </c>
      <c r="EC501" s="118" t="str">
        <f t="shared" si="723"/>
        <v/>
      </c>
      <c r="ED501" s="122" t="str">
        <f>+IF(OR($W501="",EB501=0),"",ROUND((VLOOKUP(ROUNDDOWN($D501-1/frec,0),cob_adi,DO$40,FALSE)*(1+i/frec)^-0.5*(1+Parámetros!$D$103)*(1+rec_fracc)/frec),6))</f>
        <v/>
      </c>
      <c r="EE501" s="66" t="str">
        <f t="shared" si="724"/>
        <v/>
      </c>
      <c r="EF501" s="68" t="str">
        <f t="shared" si="725"/>
        <v/>
      </c>
      <c r="EG501" s="66" t="str">
        <f>+IF($W501="","",ROUND(IF($B501&gt;Parámetros!$D$107,'Tablas Servicio'!EE501+('Tablas Servicio'!EG500-'Tablas Servicio'!EE500),EE501/(1-IF(B501&lt;=10,Parámetros!$D$100,0))),2))</f>
        <v/>
      </c>
      <c r="EH501" s="66" t="str">
        <f t="shared" si="726"/>
        <v/>
      </c>
      <c r="EI501" s="66" t="str">
        <f t="shared" si="726"/>
        <v/>
      </c>
      <c r="EJ501" s="66" t="str">
        <f>+IF($W501="","",ROUND((EG501*Parámetros!$G$85),2))</f>
        <v/>
      </c>
      <c r="EK501" s="66" t="str">
        <f>+IF($W501="","",ROUND((EG501*(Parámetros!$G$86)),2))</f>
        <v/>
      </c>
      <c r="EL501" s="66" t="str">
        <f t="shared" si="727"/>
        <v/>
      </c>
    </row>
    <row r="502" spans="1:142" x14ac:dyDescent="0.25">
      <c r="A502" t="str">
        <f>+IF($C502="","",ROUND(VLOOKUP('Tablas Servicio'!B502,Parámetros!$H$100:$J$159,IF(Parámetros!$E$16="F",2,3),FALSE),2))</f>
        <v/>
      </c>
      <c r="B502" t="str">
        <f t="shared" si="678"/>
        <v/>
      </c>
      <c r="C502" s="57" t="str">
        <f>+IF(D502="","",'Tablas Servicio'!C501+1)</f>
        <v/>
      </c>
      <c r="D502" s="56" t="str">
        <f>+IF(D501&lt;edadmaxtabla,D501+1/Parámetros!$E$25,"")</f>
        <v/>
      </c>
      <c r="E502" s="57" t="str">
        <f t="shared" si="688"/>
        <v/>
      </c>
      <c r="F502" s="59" t="str">
        <f t="shared" si="689"/>
        <v/>
      </c>
      <c r="G502" s="66" t="str">
        <f t="shared" si="679"/>
        <v/>
      </c>
      <c r="H502" s="66" t="str">
        <f t="shared" si="680"/>
        <v/>
      </c>
      <c r="I502" s="66" t="str">
        <f t="shared" ref="I502:I565" si="728">+IF($C502="","",N502-H502-P502)</f>
        <v/>
      </c>
      <c r="J502" s="66" t="str">
        <f t="shared" si="681"/>
        <v/>
      </c>
      <c r="K502" s="66" t="str">
        <f t="shared" si="682"/>
        <v/>
      </c>
      <c r="L502" s="66" t="str">
        <f t="shared" si="683"/>
        <v/>
      </c>
      <c r="M502" s="66" t="str">
        <f t="shared" si="684"/>
        <v/>
      </c>
      <c r="N502" s="66" t="str">
        <f>+IF(C502="","",ROUND(Parámetros!$D$23,2))</f>
        <v/>
      </c>
      <c r="O502" s="66" t="str">
        <f t="shared" si="685"/>
        <v/>
      </c>
      <c r="P502" s="66" t="str">
        <f>+IF($C502="","",ROUND(IF(B502&gt;Parámetros!$D$117,0,N502*Parámetros!$D$116-G502*Parámetros!$D$100),2))</f>
        <v/>
      </c>
      <c r="Q502" s="75" t="str">
        <f t="shared" ref="Q502:Q565" si="729">+IF($C502="","",J502/$G502)</f>
        <v/>
      </c>
      <c r="R502" s="75" t="str">
        <f t="shared" ref="R502:R565" si="730">+IF($C502="","",K502/$G502)</f>
        <v/>
      </c>
      <c r="S502" s="117" t="str">
        <f>+IF($C502="","",ROUND((S501+I502)*(1+Parámetros!$D$91),2))</f>
        <v/>
      </c>
      <c r="T502" s="117" t="str">
        <f>+IF($C502="","",ROUND(S502*VLOOKUP(B502,Parámetros!$C$30:$D$39,2,TRUE),2))</f>
        <v/>
      </c>
      <c r="U502" s="117" t="str">
        <f>+IF($C502="","",ROUND((U501+I502)*(1+Parámetros!$D$92),2))</f>
        <v/>
      </c>
      <c r="V502" s="117" t="str">
        <f>+IF($C502="","",ROUND(U502*VLOOKUP(B502,Parámetros!$C$30:$D$39,2,TRUE),2))</f>
        <v/>
      </c>
      <c r="W502" s="57" t="str">
        <f t="shared" ref="W502:W565" si="731">+C502</f>
        <v/>
      </c>
      <c r="X502" t="str">
        <f t="shared" ref="X502:X565" si="732">+IF($W502="","",X501)</f>
        <v/>
      </c>
      <c r="Y502" t="str">
        <f t="shared" ref="Y502:Y565" si="733">+IF($W502="","",Y501)</f>
        <v/>
      </c>
      <c r="Z502" s="118" t="str">
        <f>+IF($W502="","",ROUND(IF(Parámetros!$D$25='TABLAS MORT'!$V$33,Z501,Parámetros!$D$21-'Tablas Servicio'!T501),0))</f>
        <v/>
      </c>
      <c r="AA502" s="118" t="str">
        <f t="shared" ref="AA502:AA565" si="734">+IF($W502="","",AA501)</f>
        <v/>
      </c>
      <c r="AB502" s="119" t="str">
        <f>+IF(W502="","",ROUND((VLOOKUP(ROUNDDOWN($D502-1/frec,0),qx_tabla,2,FALSE)*(1+i/frec)^-0.5*(1+Parámetros!$D$103)*(1+rec_fracc)/frec),6))</f>
        <v/>
      </c>
      <c r="AC502" s="66" t="str">
        <f t="shared" si="690"/>
        <v/>
      </c>
      <c r="AD502" s="119" t="str">
        <f t="shared" si="686"/>
        <v/>
      </c>
      <c r="AE502" s="66" t="str">
        <f>+IF($W502="","",ROUND(IF($B502&gt;Parámetros!$D$107,'Tablas Servicio'!AC502+('Tablas Servicio'!AG501-'Tablas Servicio'!AC501),AC502/(1-IF(B502&lt;=10,Parámetros!$D$104,Parámetros!$D$105))),2))</f>
        <v/>
      </c>
      <c r="AF502" s="66" t="str">
        <f>+IF($W502="","",ROUND(IF($B502&gt;Parámetros!$D$107,'Tablas Servicio'!AC502+('Tablas Servicio'!AG501-'Tablas Servicio'!AC501),(AC502+$A501/frec)/(1-IF(B502&lt;=Parámetros!$D$117,Parámetros!$D$100,0))),2))</f>
        <v/>
      </c>
      <c r="AG502" s="66" t="str">
        <f t="shared" si="691"/>
        <v/>
      </c>
      <c r="AH502" s="66" t="str">
        <f t="shared" si="692"/>
        <v/>
      </c>
      <c r="AI502" s="66" t="str">
        <f t="shared" si="693"/>
        <v/>
      </c>
      <c r="AJ502" s="66" t="str">
        <f>+IF($W502="","",ROUND((AG502*Parámetros!$G$85),2))</f>
        <v/>
      </c>
      <c r="AK502" s="66" t="str">
        <f>+IF($W502="","",ROUND((AG502*(Parámetros!$G$86)),2))</f>
        <v/>
      </c>
      <c r="AL502" s="66" t="str">
        <f t="shared" si="687"/>
        <v/>
      </c>
      <c r="AM502" t="str">
        <f t="shared" ref="AM502:AM565" si="735">+IF($W502="","",AM501)</f>
        <v/>
      </c>
      <c r="AN502" t="str">
        <f t="shared" ref="AN502:AN565" si="736">+IF($W502="","",AN501)</f>
        <v/>
      </c>
      <c r="AO502" s="118" t="str">
        <f t="shared" ref="AO502:AO565" si="737">+IF($W502="","",AO501)</f>
        <v/>
      </c>
      <c r="AP502" s="118" t="str">
        <f t="shared" ref="AP502:AP565" si="738">+IF($W502="","",AP501)</f>
        <v/>
      </c>
      <c r="AQ502" s="119" t="str">
        <f>+IF(OR($W502="",AO502=0),"",ROUND((VLOOKUP(ROUNDDOWN($D502-1/frec,0),cob_adi,Z$40,FALSE)*(1+i/frec)^-0.5*(1+Parámetros!$D$103)*(1+rec_fracc)/frec),6))</f>
        <v/>
      </c>
      <c r="AR502" s="66" t="str">
        <f t="shared" si="694"/>
        <v/>
      </c>
      <c r="AS502" s="119" t="str">
        <f t="shared" si="695"/>
        <v/>
      </c>
      <c r="AT502" s="66" t="str">
        <f>+IF($W502="","",ROUND(IF($B502&gt;Parámetros!$D$107,'Tablas Servicio'!AR502+('Tablas Servicio'!AT501-'Tablas Servicio'!AR501),AR502/(1-IF(B502&lt;=10,Parámetros!$D$100,0))),2))</f>
        <v/>
      </c>
      <c r="AU502" s="66" t="str">
        <f t="shared" si="696"/>
        <v/>
      </c>
      <c r="AV502" s="66" t="str">
        <f t="shared" si="696"/>
        <v/>
      </c>
      <c r="AW502" s="66" t="str">
        <f>+IF($W502="","",ROUND((AT502*Parámetros!$G$85),2))</f>
        <v/>
      </c>
      <c r="AX502" s="66" t="str">
        <f>+IF($W502="","",ROUND((AT502*(Parámetros!$G$86)),2))</f>
        <v/>
      </c>
      <c r="AY502" s="66" t="str">
        <f t="shared" si="697"/>
        <v/>
      </c>
      <c r="AZ502" t="str">
        <f t="shared" ref="AZ502:AZ565" si="739">+IF($W502="","",AZ501)</f>
        <v/>
      </c>
      <c r="BA502" t="str">
        <f t="shared" ref="BA502:BA565" si="740">+IF($W502="","",BA501)</f>
        <v/>
      </c>
      <c r="BB502" s="118" t="str">
        <f t="shared" ref="BB502:BB565" si="741">+IF($W502="","",BB501)</f>
        <v/>
      </c>
      <c r="BC502" s="118" t="str">
        <f t="shared" ref="BC502:BC565" si="742">+IF($W502="","",BC501)</f>
        <v/>
      </c>
      <c r="BD502" s="119" t="str">
        <f>+IF(OR($W502="",BB502=0),"",ROUND((VLOOKUP(ROUNDDOWN($D502-1/frec,0),cob_adi,AO$40,FALSE)*(1+i/frec)^-0.5*(1+Parámetros!$D$103)*(1+rec_fracc)/frec),6))</f>
        <v/>
      </c>
      <c r="BE502" s="66" t="str">
        <f t="shared" si="698"/>
        <v/>
      </c>
      <c r="BF502" s="119" t="str">
        <f t="shared" si="699"/>
        <v/>
      </c>
      <c r="BG502" s="66" t="str">
        <f>+IF($W502="","",ROUND(IF($B502&gt;Parámetros!$D$107,'Tablas Servicio'!BE502+('Tablas Servicio'!BG501-'Tablas Servicio'!BE501),BE502/(1-IF(B502&lt;=10,Parámetros!$D$100,0))),2))</f>
        <v/>
      </c>
      <c r="BH502" s="66" t="str">
        <f t="shared" si="700"/>
        <v/>
      </c>
      <c r="BI502" s="66" t="str">
        <f t="shared" si="701"/>
        <v/>
      </c>
      <c r="BJ502" s="66" t="str">
        <f>+IF($W502="","",ROUND((BG502*Parámetros!$G$85),2))</f>
        <v/>
      </c>
      <c r="BK502" s="66" t="str">
        <f>+IF($W502="","",ROUND((BG502*(Parámetros!$G$86)),2))</f>
        <v/>
      </c>
      <c r="BL502" s="66" t="str">
        <f t="shared" si="702"/>
        <v/>
      </c>
      <c r="BM502" t="str">
        <f t="shared" ref="BM502:BM565" si="743">+IF($W502="","",BM501)</f>
        <v/>
      </c>
      <c r="BN502" t="str">
        <f t="shared" ref="BN502:BN565" si="744">+IF($W502="","",BN501)</f>
        <v/>
      </c>
      <c r="BO502" s="118" t="str">
        <f t="shared" ref="BO502:BO565" si="745">+IF($W502="","",BO501)</f>
        <v/>
      </c>
      <c r="BP502" s="118" t="str">
        <f t="shared" ref="BP502:BP565" si="746">+IF($W502="","",BP501)</f>
        <v/>
      </c>
      <c r="BQ502" s="119" t="str">
        <f>+IF(OR($W502="",BO502=0),"",ROUND((VLOOKUP(ROUNDDOWN($D502-1/frec,0),cob_adi,BB$40,FALSE)*(1+i/frec)^-0.5*(1+Parámetros!$D$103)*(1+rec_fracc)/frec),6))</f>
        <v/>
      </c>
      <c r="BR502" s="66" t="str">
        <f t="shared" si="703"/>
        <v/>
      </c>
      <c r="BS502" s="119" t="str">
        <f t="shared" si="704"/>
        <v/>
      </c>
      <c r="BT502" s="66" t="str">
        <f>+IF($W502="","",ROUND(IF($B502&gt;Parámetros!$D$107,'Tablas Servicio'!BR502+('Tablas Servicio'!BT501-'Tablas Servicio'!BR501),BR502/(1-IF(B502&lt;=10,Parámetros!$D$100,0))),2))</f>
        <v/>
      </c>
      <c r="BU502" s="66" t="str">
        <f t="shared" si="705"/>
        <v/>
      </c>
      <c r="BV502" s="66" t="str">
        <f t="shared" si="705"/>
        <v/>
      </c>
      <c r="BW502" s="66" t="str">
        <f>+IF($W502="","",ROUND((BT502*Parámetros!$G$85),2))</f>
        <v/>
      </c>
      <c r="BX502" s="66" t="str">
        <f>+IF($W502="","",ROUND((BT502*(Parámetros!$G$86)),2))</f>
        <v/>
      </c>
      <c r="BY502" s="66" t="str">
        <f t="shared" si="706"/>
        <v/>
      </c>
      <c r="BZ502" t="str">
        <f t="shared" ref="BZ502:BZ565" si="747">+IF($W502="","",BZ501)</f>
        <v/>
      </c>
      <c r="CA502" t="str">
        <f t="shared" ref="CA502:CA565" si="748">+IF($W502="","",CA501)</f>
        <v/>
      </c>
      <c r="CB502" s="118" t="str">
        <f t="shared" ref="CB502:CB565" si="749">+IF($W502="","",CB501)</f>
        <v/>
      </c>
      <c r="CC502" s="118" t="str">
        <f t="shared" ref="CC502:CC565" si="750">+IF($W502="","",CC501)</f>
        <v/>
      </c>
      <c r="CD502" s="119" t="str">
        <f t="shared" si="707"/>
        <v/>
      </c>
      <c r="CE502" s="66" t="str">
        <f>+IF($W502="","",ROUND((VLOOKUP(ROUNDDOWN($D502-1/frec,0),cob_adi,BO$40,FALSE)*(1+i/frec)^-0.5*(1+Parámetros!$D$103)*(1+rec_fracc)/frec*'TABLAS ADI'!$BC$17),2))</f>
        <v/>
      </c>
      <c r="CF502" s="119" t="str">
        <f t="shared" si="708"/>
        <v/>
      </c>
      <c r="CG502" s="66" t="str">
        <f>+IF($W502="","",ROUND(IF($B502&gt;Parámetros!$D$107,'Tablas Servicio'!CE502+('Tablas Servicio'!CG501-'Tablas Servicio'!CE501),CE502/(1-IF(B502&lt;=10,Parámetros!$D$100,0))),2))</f>
        <v/>
      </c>
      <c r="CH502" s="66" t="str">
        <f t="shared" si="709"/>
        <v/>
      </c>
      <c r="CI502" s="66" t="str">
        <f t="shared" si="709"/>
        <v/>
      </c>
      <c r="CJ502" s="66" t="str">
        <f>+IF($W502="","",ROUND((CG502*Parámetros!$G$85),2))</f>
        <v/>
      </c>
      <c r="CK502" s="66" t="str">
        <f>+IF($W502="","",ROUND((CG502*(Parámetros!$G$86)),2))</f>
        <v/>
      </c>
      <c r="CL502" s="66" t="str">
        <f t="shared" si="710"/>
        <v/>
      </c>
      <c r="CM502" t="str">
        <f t="shared" ref="CM502:CM565" si="751">+IF($W502="","",CM501)</f>
        <v/>
      </c>
      <c r="CN502" s="118" t="str">
        <f t="shared" ref="CN502:CN565" si="752">+IF($W502="","",CN501)</f>
        <v/>
      </c>
      <c r="CO502" s="118" t="str">
        <f t="shared" ref="CO502:CO565" si="753">+IF($W502="","",CO501)</f>
        <v/>
      </c>
      <c r="CP502" s="118" t="str">
        <f t="shared" ref="CP502:CP565" si="754">+IF($W502="","",CP501)</f>
        <v/>
      </c>
      <c r="CQ502" s="119" t="str">
        <f t="shared" si="711"/>
        <v/>
      </c>
      <c r="CR502" s="66" t="str">
        <f>+IF($W502="","",ROUND((VLOOKUP(Parámetros!$F$51,'COBERTURAS ADICIONALES'!$S$4:$T$32,2,FALSE)*(1+i/frec)^-0.5*(1+Parámetros!$D$103)*(1+rec_fracc)/frec*$CO$42),2))</f>
        <v/>
      </c>
      <c r="CS502" s="119" t="str">
        <f t="shared" si="712"/>
        <v/>
      </c>
      <c r="CT502" s="66" t="str">
        <f>+IF($W502="","",ROUND(IF($B502&gt;Parámetros!$D$107,'Tablas Servicio'!CR502+('Tablas Servicio'!CT501-'Tablas Servicio'!CR501),CR502/(1-IF(B502&lt;=10,Parámetros!$D$100,0))),2))</f>
        <v/>
      </c>
      <c r="CU502" s="66" t="str">
        <f t="shared" si="713"/>
        <v/>
      </c>
      <c r="CV502" s="66" t="str">
        <f t="shared" si="713"/>
        <v/>
      </c>
      <c r="CW502" s="66" t="str">
        <f>+IF($W502="","",ROUND((CT502*Parámetros!$G$85),2))</f>
        <v/>
      </c>
      <c r="CX502" s="66" t="str">
        <f>+IF($W502="","",ROUND((CT502*(Parámetros!$G$86)),2))</f>
        <v/>
      </c>
      <c r="CY502" s="66" t="str">
        <f t="shared" si="714"/>
        <v/>
      </c>
      <c r="CZ502" t="str">
        <f t="shared" ref="CZ502:CZ565" si="755">+IF($W502="","",CZ501)</f>
        <v/>
      </c>
      <c r="DA502" s="118" t="str">
        <f t="shared" ref="DA502:DA565" si="756">+IF($W502="","",DA501)</f>
        <v/>
      </c>
      <c r="DB502" s="118" t="str">
        <f t="shared" ref="DB502:DB565" si="757">+IF($W502="","",DB501)</f>
        <v/>
      </c>
      <c r="DC502" s="118" t="str">
        <f t="shared" ref="DC502:DC565" si="758">+IF($W502="","",DC501)</f>
        <v/>
      </c>
      <c r="DD502" s="121" t="str">
        <f>+IF(OR($W502="",DB502=0),"",ROUND((VLOOKUP(ROUNDDOWN($D502-1/frec,0),cob_adi,CO$40,FALSE)*(1+i/frec)^-0.5*(1+Parámetros!$D$103)*(1+rec_fracc)/frec),6))</f>
        <v/>
      </c>
      <c r="DE502" s="66" t="str">
        <f t="shared" si="715"/>
        <v/>
      </c>
      <c r="DF502" s="119" t="str">
        <f t="shared" si="716"/>
        <v/>
      </c>
      <c r="DG502" s="66" t="str">
        <f>+IF($W502="","",ROUND(IF($B502&gt;Parámetros!$D$107,'Tablas Servicio'!DE502+('Tablas Servicio'!DG501-'Tablas Servicio'!DE501),DE502/(1-IF(B502&lt;=10,Parámetros!$D$100,0))),2))</f>
        <v/>
      </c>
      <c r="DH502" s="66" t="str">
        <f t="shared" si="717"/>
        <v/>
      </c>
      <c r="DI502" s="66" t="str">
        <f t="shared" si="717"/>
        <v/>
      </c>
      <c r="DJ502" s="66" t="str">
        <f>+IF($W502="","",ROUND((DG502*Parámetros!$G$85),2))</f>
        <v/>
      </c>
      <c r="DK502" s="66" t="str">
        <f>+IF($W502="","",ROUND((DG502*(Parámetros!$G$86)),2))</f>
        <v/>
      </c>
      <c r="DL502" s="66" t="str">
        <f t="shared" si="718"/>
        <v/>
      </c>
      <c r="DM502" t="str">
        <f t="shared" ref="DM502:DM565" si="759">+IF($W502="","",DM501)</f>
        <v/>
      </c>
      <c r="DN502" s="118" t="str">
        <f t="shared" ref="DN502:DN565" si="760">+IF($W502="","",DN501)</f>
        <v/>
      </c>
      <c r="DO502" s="118" t="str">
        <f t="shared" ref="DO502:DO565" si="761">+IF($W502="","",DO501)</f>
        <v/>
      </c>
      <c r="DP502" s="118" t="str">
        <f t="shared" ref="DP502:DP565" si="762">+IF($W502="","",DP501)</f>
        <v/>
      </c>
      <c r="DQ502" s="122" t="str">
        <f>+IF(OR($W502="",DO502=0),"",ROUND((VLOOKUP(ROUNDDOWN($D502-1/frec,0),cob_adi,DB$40,FALSE)*(1+i/frec)^-0.5*(1+Parámetros!$D$103)*(1+rec_fracc)/frec),6))</f>
        <v/>
      </c>
      <c r="DR502" s="66" t="str">
        <f t="shared" si="719"/>
        <v/>
      </c>
      <c r="DS502" s="68" t="str">
        <f t="shared" si="720"/>
        <v/>
      </c>
      <c r="DT502" s="66" t="str">
        <f>+IF($W502="","",ROUND(IF($B502&gt;Parámetros!$D$107,'Tablas Servicio'!DR502+('Tablas Servicio'!DT501-'Tablas Servicio'!DR501),DR502/(1-IF(B502&lt;=10,Parámetros!$D$100,0))),2))</f>
        <v/>
      </c>
      <c r="DU502" s="66" t="str">
        <f t="shared" si="721"/>
        <v/>
      </c>
      <c r="DV502" s="66" t="str">
        <f t="shared" si="721"/>
        <v/>
      </c>
      <c r="DW502" s="66" t="str">
        <f>+IF($W502="","",ROUND((DT502*Parámetros!$G$85),2))</f>
        <v/>
      </c>
      <c r="DX502" s="66" t="str">
        <f>+IF($W502="","",ROUND((DT502*(Parámetros!$G$86)),2))</f>
        <v/>
      </c>
      <c r="DY502" s="66" t="str">
        <f t="shared" si="722"/>
        <v/>
      </c>
      <c r="DZ502" t="str">
        <f t="shared" si="723"/>
        <v/>
      </c>
      <c r="EA502" s="118" t="str">
        <f t="shared" si="723"/>
        <v/>
      </c>
      <c r="EB502" s="118" t="str">
        <f>+IF($W502="","",ROUND(IF(Parámetros!$D$25='TABLAS MORT'!$V$33,EB501,Z502/2),0))</f>
        <v/>
      </c>
      <c r="EC502" s="118" t="str">
        <f t="shared" si="723"/>
        <v/>
      </c>
      <c r="ED502" s="122" t="str">
        <f>+IF(OR($W502="",EB502=0),"",ROUND((VLOOKUP(ROUNDDOWN($D502-1/frec,0),cob_adi,DO$40,FALSE)*(1+i/frec)^-0.5*(1+Parámetros!$D$103)*(1+rec_fracc)/frec),6))</f>
        <v/>
      </c>
      <c r="EE502" s="66" t="str">
        <f t="shared" si="724"/>
        <v/>
      </c>
      <c r="EF502" s="68" t="str">
        <f t="shared" si="725"/>
        <v/>
      </c>
      <c r="EG502" s="66" t="str">
        <f>+IF($W502="","",ROUND(IF($B502&gt;Parámetros!$D$107,'Tablas Servicio'!EE502+('Tablas Servicio'!EG501-'Tablas Servicio'!EE501),EE502/(1-IF(B502&lt;=10,Parámetros!$D$100,0))),2))</f>
        <v/>
      </c>
      <c r="EH502" s="66" t="str">
        <f t="shared" si="726"/>
        <v/>
      </c>
      <c r="EI502" s="66" t="str">
        <f t="shared" si="726"/>
        <v/>
      </c>
      <c r="EJ502" s="66" t="str">
        <f>+IF($W502="","",ROUND((EG502*Parámetros!$G$85),2))</f>
        <v/>
      </c>
      <c r="EK502" s="66" t="str">
        <f>+IF($W502="","",ROUND((EG502*(Parámetros!$G$86)),2))</f>
        <v/>
      </c>
      <c r="EL502" s="66" t="str">
        <f t="shared" si="727"/>
        <v/>
      </c>
    </row>
    <row r="503" spans="1:142" x14ac:dyDescent="0.25">
      <c r="A503" t="str">
        <f>+IF($C503="","",ROUND(VLOOKUP('Tablas Servicio'!B503,Parámetros!$H$100:$J$159,IF(Parámetros!$E$16="F",2,3),FALSE),2))</f>
        <v/>
      </c>
      <c r="B503" t="str">
        <f t="shared" si="678"/>
        <v/>
      </c>
      <c r="C503" s="57" t="str">
        <f>+IF(D503="","",'Tablas Servicio'!C502+1)</f>
        <v/>
      </c>
      <c r="D503" s="56" t="str">
        <f>+IF(D502&lt;edadmaxtabla,D502+1/Parámetros!$E$25,"")</f>
        <v/>
      </c>
      <c r="E503" s="57" t="str">
        <f t="shared" si="688"/>
        <v/>
      </c>
      <c r="F503" s="59" t="str">
        <f t="shared" si="689"/>
        <v/>
      </c>
      <c r="G503" s="66" t="str">
        <f t="shared" si="679"/>
        <v/>
      </c>
      <c r="H503" s="66" t="str">
        <f t="shared" si="680"/>
        <v/>
      </c>
      <c r="I503" s="66" t="str">
        <f t="shared" si="728"/>
        <v/>
      </c>
      <c r="J503" s="66" t="str">
        <f t="shared" si="681"/>
        <v/>
      </c>
      <c r="K503" s="66" t="str">
        <f t="shared" si="682"/>
        <v/>
      </c>
      <c r="L503" s="66" t="str">
        <f t="shared" si="683"/>
        <v/>
      </c>
      <c r="M503" s="66" t="str">
        <f t="shared" si="684"/>
        <v/>
      </c>
      <c r="N503" s="66" t="str">
        <f>+IF(C503="","",ROUND(Parámetros!$D$23,2))</f>
        <v/>
      </c>
      <c r="O503" s="66" t="str">
        <f t="shared" si="685"/>
        <v/>
      </c>
      <c r="P503" s="66" t="str">
        <f>+IF($C503="","",ROUND(IF(B503&gt;Parámetros!$D$117,0,N503*Parámetros!$D$116-G503*Parámetros!$D$100),2))</f>
        <v/>
      </c>
      <c r="Q503" s="75" t="str">
        <f t="shared" si="729"/>
        <v/>
      </c>
      <c r="R503" s="75" t="str">
        <f t="shared" si="730"/>
        <v/>
      </c>
      <c r="S503" s="117" t="str">
        <f>+IF($C503="","",ROUND((S502+I503)*(1+Parámetros!$D$91),2))</f>
        <v/>
      </c>
      <c r="T503" s="117" t="str">
        <f>+IF($C503="","",ROUND(S503*VLOOKUP(B503,Parámetros!$C$30:$D$39,2,TRUE),2))</f>
        <v/>
      </c>
      <c r="U503" s="117" t="str">
        <f>+IF($C503="","",ROUND((U502+I503)*(1+Parámetros!$D$92),2))</f>
        <v/>
      </c>
      <c r="V503" s="117" t="str">
        <f>+IF($C503="","",ROUND(U503*VLOOKUP(B503,Parámetros!$C$30:$D$39,2,TRUE),2))</f>
        <v/>
      </c>
      <c r="W503" s="57" t="str">
        <f t="shared" si="731"/>
        <v/>
      </c>
      <c r="X503" t="str">
        <f t="shared" si="732"/>
        <v/>
      </c>
      <c r="Y503" t="str">
        <f t="shared" si="733"/>
        <v/>
      </c>
      <c r="Z503" s="118" t="str">
        <f>+IF($W503="","",ROUND(IF(Parámetros!$D$25='TABLAS MORT'!$V$33,Z502,Parámetros!$D$21-'Tablas Servicio'!T502),0))</f>
        <v/>
      </c>
      <c r="AA503" s="118" t="str">
        <f t="shared" si="734"/>
        <v/>
      </c>
      <c r="AB503" s="119" t="str">
        <f>+IF(W503="","",ROUND((VLOOKUP(ROUNDDOWN($D503-1/frec,0),qx_tabla,2,FALSE)*(1+i/frec)^-0.5*(1+Parámetros!$D$103)*(1+rec_fracc)/frec),6))</f>
        <v/>
      </c>
      <c r="AC503" s="66" t="str">
        <f t="shared" si="690"/>
        <v/>
      </c>
      <c r="AD503" s="119" t="str">
        <f t="shared" si="686"/>
        <v/>
      </c>
      <c r="AE503" s="66" t="str">
        <f>+IF($W503="","",ROUND(IF($B503&gt;Parámetros!$D$107,'Tablas Servicio'!AC503+('Tablas Servicio'!AG502-'Tablas Servicio'!AC502),AC503/(1-IF(B503&lt;=10,Parámetros!$D$104,Parámetros!$D$105))),2))</f>
        <v/>
      </c>
      <c r="AF503" s="66" t="str">
        <f>+IF($W503="","",ROUND(IF($B503&gt;Parámetros!$D$107,'Tablas Servicio'!AC503+('Tablas Servicio'!AG502-'Tablas Servicio'!AC502),(AC503+$A502/frec)/(1-IF(B503&lt;=Parámetros!$D$117,Parámetros!$D$100,0))),2))</f>
        <v/>
      </c>
      <c r="AG503" s="66" t="str">
        <f t="shared" si="691"/>
        <v/>
      </c>
      <c r="AH503" s="66" t="str">
        <f t="shared" si="692"/>
        <v/>
      </c>
      <c r="AI503" s="66" t="str">
        <f t="shared" si="693"/>
        <v/>
      </c>
      <c r="AJ503" s="66" t="str">
        <f>+IF($W503="","",ROUND((AG503*Parámetros!$G$85),2))</f>
        <v/>
      </c>
      <c r="AK503" s="66" t="str">
        <f>+IF($W503="","",ROUND((AG503*(Parámetros!$G$86)),2))</f>
        <v/>
      </c>
      <c r="AL503" s="66" t="str">
        <f t="shared" si="687"/>
        <v/>
      </c>
      <c r="AM503" t="str">
        <f t="shared" si="735"/>
        <v/>
      </c>
      <c r="AN503" t="str">
        <f t="shared" si="736"/>
        <v/>
      </c>
      <c r="AO503" s="118" t="str">
        <f t="shared" si="737"/>
        <v/>
      </c>
      <c r="AP503" s="118" t="str">
        <f t="shared" si="738"/>
        <v/>
      </c>
      <c r="AQ503" s="119" t="str">
        <f>+IF(OR($W503="",AO503=0),"",ROUND((VLOOKUP(ROUNDDOWN($D503-1/frec,0),cob_adi,Z$40,FALSE)*(1+i/frec)^-0.5*(1+Parámetros!$D$103)*(1+rec_fracc)/frec),6))</f>
        <v/>
      </c>
      <c r="AR503" s="66" t="str">
        <f t="shared" si="694"/>
        <v/>
      </c>
      <c r="AS503" s="119" t="str">
        <f t="shared" si="695"/>
        <v/>
      </c>
      <c r="AT503" s="66" t="str">
        <f>+IF($W503="","",ROUND(IF($B503&gt;Parámetros!$D$107,'Tablas Servicio'!AR503+('Tablas Servicio'!AT502-'Tablas Servicio'!AR502),AR503/(1-IF(B503&lt;=10,Parámetros!$D$100,0))),2))</f>
        <v/>
      </c>
      <c r="AU503" s="66" t="str">
        <f t="shared" si="696"/>
        <v/>
      </c>
      <c r="AV503" s="66" t="str">
        <f t="shared" si="696"/>
        <v/>
      </c>
      <c r="AW503" s="66" t="str">
        <f>+IF($W503="","",ROUND((AT503*Parámetros!$G$85),2))</f>
        <v/>
      </c>
      <c r="AX503" s="66" t="str">
        <f>+IF($W503="","",ROUND((AT503*(Parámetros!$G$86)),2))</f>
        <v/>
      </c>
      <c r="AY503" s="66" t="str">
        <f t="shared" si="697"/>
        <v/>
      </c>
      <c r="AZ503" t="str">
        <f t="shared" si="739"/>
        <v/>
      </c>
      <c r="BA503" t="str">
        <f t="shared" si="740"/>
        <v/>
      </c>
      <c r="BB503" s="118" t="str">
        <f t="shared" si="741"/>
        <v/>
      </c>
      <c r="BC503" s="118" t="str">
        <f t="shared" si="742"/>
        <v/>
      </c>
      <c r="BD503" s="119" t="str">
        <f>+IF(OR($W503="",BB503=0),"",ROUND((VLOOKUP(ROUNDDOWN($D503-1/frec,0),cob_adi,AO$40,FALSE)*(1+i/frec)^-0.5*(1+Parámetros!$D$103)*(1+rec_fracc)/frec),6))</f>
        <v/>
      </c>
      <c r="BE503" s="66" t="str">
        <f t="shared" si="698"/>
        <v/>
      </c>
      <c r="BF503" s="119" t="str">
        <f t="shared" si="699"/>
        <v/>
      </c>
      <c r="BG503" s="66" t="str">
        <f>+IF($W503="","",ROUND(IF($B503&gt;Parámetros!$D$107,'Tablas Servicio'!BE503+('Tablas Servicio'!BG502-'Tablas Servicio'!BE502),BE503/(1-IF(B503&lt;=10,Parámetros!$D$100,0))),2))</f>
        <v/>
      </c>
      <c r="BH503" s="66" t="str">
        <f t="shared" si="700"/>
        <v/>
      </c>
      <c r="BI503" s="66" t="str">
        <f t="shared" si="701"/>
        <v/>
      </c>
      <c r="BJ503" s="66" t="str">
        <f>+IF($W503="","",ROUND((BG503*Parámetros!$G$85),2))</f>
        <v/>
      </c>
      <c r="BK503" s="66" t="str">
        <f>+IF($W503="","",ROUND((BG503*(Parámetros!$G$86)),2))</f>
        <v/>
      </c>
      <c r="BL503" s="66" t="str">
        <f t="shared" si="702"/>
        <v/>
      </c>
      <c r="BM503" t="str">
        <f t="shared" si="743"/>
        <v/>
      </c>
      <c r="BN503" t="str">
        <f t="shared" si="744"/>
        <v/>
      </c>
      <c r="BO503" s="118" t="str">
        <f t="shared" si="745"/>
        <v/>
      </c>
      <c r="BP503" s="118" t="str">
        <f t="shared" si="746"/>
        <v/>
      </c>
      <c r="BQ503" s="119" t="str">
        <f>+IF(OR($W503="",BO503=0),"",ROUND((VLOOKUP(ROUNDDOWN($D503-1/frec,0),cob_adi,BB$40,FALSE)*(1+i/frec)^-0.5*(1+Parámetros!$D$103)*(1+rec_fracc)/frec),6))</f>
        <v/>
      </c>
      <c r="BR503" s="66" t="str">
        <f t="shared" si="703"/>
        <v/>
      </c>
      <c r="BS503" s="119" t="str">
        <f t="shared" si="704"/>
        <v/>
      </c>
      <c r="BT503" s="66" t="str">
        <f>+IF($W503="","",ROUND(IF($B503&gt;Parámetros!$D$107,'Tablas Servicio'!BR503+('Tablas Servicio'!BT502-'Tablas Servicio'!BR502),BR503/(1-IF(B503&lt;=10,Parámetros!$D$100,0))),2))</f>
        <v/>
      </c>
      <c r="BU503" s="66" t="str">
        <f t="shared" si="705"/>
        <v/>
      </c>
      <c r="BV503" s="66" t="str">
        <f t="shared" si="705"/>
        <v/>
      </c>
      <c r="BW503" s="66" t="str">
        <f>+IF($W503="","",ROUND((BT503*Parámetros!$G$85),2))</f>
        <v/>
      </c>
      <c r="BX503" s="66" t="str">
        <f>+IF($W503="","",ROUND((BT503*(Parámetros!$G$86)),2))</f>
        <v/>
      </c>
      <c r="BY503" s="66" t="str">
        <f t="shared" si="706"/>
        <v/>
      </c>
      <c r="BZ503" t="str">
        <f t="shared" si="747"/>
        <v/>
      </c>
      <c r="CA503" t="str">
        <f t="shared" si="748"/>
        <v/>
      </c>
      <c r="CB503" s="118" t="str">
        <f t="shared" si="749"/>
        <v/>
      </c>
      <c r="CC503" s="118" t="str">
        <f t="shared" si="750"/>
        <v/>
      </c>
      <c r="CD503" s="119" t="str">
        <f t="shared" si="707"/>
        <v/>
      </c>
      <c r="CE503" s="66" t="str">
        <f>+IF($W503="","",ROUND((VLOOKUP(ROUNDDOWN($D503-1/frec,0),cob_adi,BO$40,FALSE)*(1+i/frec)^-0.5*(1+Parámetros!$D$103)*(1+rec_fracc)/frec*'TABLAS ADI'!$BC$17),2))</f>
        <v/>
      </c>
      <c r="CF503" s="119" t="str">
        <f t="shared" si="708"/>
        <v/>
      </c>
      <c r="CG503" s="66" t="str">
        <f>+IF($W503="","",ROUND(IF($B503&gt;Parámetros!$D$107,'Tablas Servicio'!CE503+('Tablas Servicio'!CG502-'Tablas Servicio'!CE502),CE503/(1-IF(B503&lt;=10,Parámetros!$D$100,0))),2))</f>
        <v/>
      </c>
      <c r="CH503" s="66" t="str">
        <f t="shared" si="709"/>
        <v/>
      </c>
      <c r="CI503" s="66" t="str">
        <f t="shared" si="709"/>
        <v/>
      </c>
      <c r="CJ503" s="66" t="str">
        <f>+IF($W503="","",ROUND((CG503*Parámetros!$G$85),2))</f>
        <v/>
      </c>
      <c r="CK503" s="66" t="str">
        <f>+IF($W503="","",ROUND((CG503*(Parámetros!$G$86)),2))</f>
        <v/>
      </c>
      <c r="CL503" s="66" t="str">
        <f t="shared" si="710"/>
        <v/>
      </c>
      <c r="CM503" t="str">
        <f t="shared" si="751"/>
        <v/>
      </c>
      <c r="CN503" s="118" t="str">
        <f t="shared" si="752"/>
        <v/>
      </c>
      <c r="CO503" s="118" t="str">
        <f t="shared" si="753"/>
        <v/>
      </c>
      <c r="CP503" s="118" t="str">
        <f t="shared" si="754"/>
        <v/>
      </c>
      <c r="CQ503" s="119" t="str">
        <f t="shared" si="711"/>
        <v/>
      </c>
      <c r="CR503" s="66" t="str">
        <f>+IF($W503="","",ROUND((VLOOKUP(Parámetros!$F$51,'COBERTURAS ADICIONALES'!$S$4:$T$32,2,FALSE)*(1+i/frec)^-0.5*(1+Parámetros!$D$103)*(1+rec_fracc)/frec*$CO$42),2))</f>
        <v/>
      </c>
      <c r="CS503" s="119" t="str">
        <f t="shared" si="712"/>
        <v/>
      </c>
      <c r="CT503" s="66" t="str">
        <f>+IF($W503="","",ROUND(IF($B503&gt;Parámetros!$D$107,'Tablas Servicio'!CR503+('Tablas Servicio'!CT502-'Tablas Servicio'!CR502),CR503/(1-IF(B503&lt;=10,Parámetros!$D$100,0))),2))</f>
        <v/>
      </c>
      <c r="CU503" s="66" t="str">
        <f t="shared" si="713"/>
        <v/>
      </c>
      <c r="CV503" s="66" t="str">
        <f t="shared" si="713"/>
        <v/>
      </c>
      <c r="CW503" s="66" t="str">
        <f>+IF($W503="","",ROUND((CT503*Parámetros!$G$85),2))</f>
        <v/>
      </c>
      <c r="CX503" s="66" t="str">
        <f>+IF($W503="","",ROUND((CT503*(Parámetros!$G$86)),2))</f>
        <v/>
      </c>
      <c r="CY503" s="66" t="str">
        <f t="shared" si="714"/>
        <v/>
      </c>
      <c r="CZ503" t="str">
        <f t="shared" si="755"/>
        <v/>
      </c>
      <c r="DA503" s="118" t="str">
        <f t="shared" si="756"/>
        <v/>
      </c>
      <c r="DB503" s="118" t="str">
        <f t="shared" si="757"/>
        <v/>
      </c>
      <c r="DC503" s="118" t="str">
        <f t="shared" si="758"/>
        <v/>
      </c>
      <c r="DD503" s="121" t="str">
        <f>+IF(OR($W503="",DB503=0),"",ROUND((VLOOKUP(ROUNDDOWN($D503-1/frec,0),cob_adi,CO$40,FALSE)*(1+i/frec)^-0.5*(1+Parámetros!$D$103)*(1+rec_fracc)/frec),6))</f>
        <v/>
      </c>
      <c r="DE503" s="66" t="str">
        <f t="shared" si="715"/>
        <v/>
      </c>
      <c r="DF503" s="119" t="str">
        <f t="shared" si="716"/>
        <v/>
      </c>
      <c r="DG503" s="66" t="str">
        <f>+IF($W503="","",ROUND(IF($B503&gt;Parámetros!$D$107,'Tablas Servicio'!DE503+('Tablas Servicio'!DG502-'Tablas Servicio'!DE502),DE503/(1-IF(B503&lt;=10,Parámetros!$D$100,0))),2))</f>
        <v/>
      </c>
      <c r="DH503" s="66" t="str">
        <f t="shared" si="717"/>
        <v/>
      </c>
      <c r="DI503" s="66" t="str">
        <f t="shared" si="717"/>
        <v/>
      </c>
      <c r="DJ503" s="66" t="str">
        <f>+IF($W503="","",ROUND((DG503*Parámetros!$G$85),2))</f>
        <v/>
      </c>
      <c r="DK503" s="66" t="str">
        <f>+IF($W503="","",ROUND((DG503*(Parámetros!$G$86)),2))</f>
        <v/>
      </c>
      <c r="DL503" s="66" t="str">
        <f t="shared" si="718"/>
        <v/>
      </c>
      <c r="DM503" t="str">
        <f t="shared" si="759"/>
        <v/>
      </c>
      <c r="DN503" s="118" t="str">
        <f t="shared" si="760"/>
        <v/>
      </c>
      <c r="DO503" s="118" t="str">
        <f t="shared" si="761"/>
        <v/>
      </c>
      <c r="DP503" s="118" t="str">
        <f t="shared" si="762"/>
        <v/>
      </c>
      <c r="DQ503" s="122" t="str">
        <f>+IF(OR($W503="",DO503=0),"",ROUND((VLOOKUP(ROUNDDOWN($D503-1/frec,0),cob_adi,DB$40,FALSE)*(1+i/frec)^-0.5*(1+Parámetros!$D$103)*(1+rec_fracc)/frec),6))</f>
        <v/>
      </c>
      <c r="DR503" s="66" t="str">
        <f t="shared" si="719"/>
        <v/>
      </c>
      <c r="DS503" s="68" t="str">
        <f t="shared" si="720"/>
        <v/>
      </c>
      <c r="DT503" s="66" t="str">
        <f>+IF($W503="","",ROUND(IF($B503&gt;Parámetros!$D$107,'Tablas Servicio'!DR503+('Tablas Servicio'!DT502-'Tablas Servicio'!DR502),DR503/(1-IF(B503&lt;=10,Parámetros!$D$100,0))),2))</f>
        <v/>
      </c>
      <c r="DU503" s="66" t="str">
        <f t="shared" si="721"/>
        <v/>
      </c>
      <c r="DV503" s="66" t="str">
        <f t="shared" si="721"/>
        <v/>
      </c>
      <c r="DW503" s="66" t="str">
        <f>+IF($W503="","",ROUND((DT503*Parámetros!$G$85),2))</f>
        <v/>
      </c>
      <c r="DX503" s="66" t="str">
        <f>+IF($W503="","",ROUND((DT503*(Parámetros!$G$86)),2))</f>
        <v/>
      </c>
      <c r="DY503" s="66" t="str">
        <f t="shared" si="722"/>
        <v/>
      </c>
      <c r="DZ503" t="str">
        <f t="shared" si="723"/>
        <v/>
      </c>
      <c r="EA503" s="118" t="str">
        <f t="shared" si="723"/>
        <v/>
      </c>
      <c r="EB503" s="118" t="str">
        <f>+IF($W503="","",ROUND(IF(Parámetros!$D$25='TABLAS MORT'!$V$33,EB502,Z503/2),0))</f>
        <v/>
      </c>
      <c r="EC503" s="118" t="str">
        <f t="shared" si="723"/>
        <v/>
      </c>
      <c r="ED503" s="122" t="str">
        <f>+IF(OR($W503="",EB503=0),"",ROUND((VLOOKUP(ROUNDDOWN($D503-1/frec,0),cob_adi,DO$40,FALSE)*(1+i/frec)^-0.5*(1+Parámetros!$D$103)*(1+rec_fracc)/frec),6))</f>
        <v/>
      </c>
      <c r="EE503" s="66" t="str">
        <f t="shared" si="724"/>
        <v/>
      </c>
      <c r="EF503" s="68" t="str">
        <f t="shared" si="725"/>
        <v/>
      </c>
      <c r="EG503" s="66" t="str">
        <f>+IF($W503="","",ROUND(IF($B503&gt;Parámetros!$D$107,'Tablas Servicio'!EE503+('Tablas Servicio'!EG502-'Tablas Servicio'!EE502),EE503/(1-IF(B503&lt;=10,Parámetros!$D$100,0))),2))</f>
        <v/>
      </c>
      <c r="EH503" s="66" t="str">
        <f t="shared" si="726"/>
        <v/>
      </c>
      <c r="EI503" s="66" t="str">
        <f t="shared" si="726"/>
        <v/>
      </c>
      <c r="EJ503" s="66" t="str">
        <f>+IF($W503="","",ROUND((EG503*Parámetros!$G$85),2))</f>
        <v/>
      </c>
      <c r="EK503" s="66" t="str">
        <f>+IF($W503="","",ROUND((EG503*(Parámetros!$G$86)),2))</f>
        <v/>
      </c>
      <c r="EL503" s="66" t="str">
        <f t="shared" si="727"/>
        <v/>
      </c>
    </row>
    <row r="504" spans="1:142" x14ac:dyDescent="0.25">
      <c r="A504" t="str">
        <f>+IF($C504="","",ROUND(VLOOKUP('Tablas Servicio'!B504,Parámetros!$H$100:$J$159,IF(Parámetros!$E$16="F",2,3),FALSE),2))</f>
        <v/>
      </c>
      <c r="B504" t="str">
        <f t="shared" si="678"/>
        <v/>
      </c>
      <c r="C504" s="57" t="str">
        <f>+IF(D504="","",'Tablas Servicio'!C503+1)</f>
        <v/>
      </c>
      <c r="D504" s="56" t="str">
        <f>+IF(D503&lt;edadmaxtabla,D503+1/Parámetros!$E$25,"")</f>
        <v/>
      </c>
      <c r="E504" s="57" t="str">
        <f t="shared" si="688"/>
        <v/>
      </c>
      <c r="F504" s="59" t="str">
        <f t="shared" si="689"/>
        <v/>
      </c>
      <c r="G504" s="66" t="str">
        <f t="shared" si="679"/>
        <v/>
      </c>
      <c r="H504" s="66" t="str">
        <f t="shared" si="680"/>
        <v/>
      </c>
      <c r="I504" s="66" t="str">
        <f t="shared" si="728"/>
        <v/>
      </c>
      <c r="J504" s="66" t="str">
        <f t="shared" si="681"/>
        <v/>
      </c>
      <c r="K504" s="66" t="str">
        <f t="shared" si="682"/>
        <v/>
      </c>
      <c r="L504" s="66" t="str">
        <f t="shared" si="683"/>
        <v/>
      </c>
      <c r="M504" s="66" t="str">
        <f t="shared" si="684"/>
        <v/>
      </c>
      <c r="N504" s="66" t="str">
        <f>+IF(C504="","",ROUND(Parámetros!$D$23,2))</f>
        <v/>
      </c>
      <c r="O504" s="66" t="str">
        <f t="shared" si="685"/>
        <v/>
      </c>
      <c r="P504" s="66" t="str">
        <f>+IF($C504="","",ROUND(IF(B504&gt;Parámetros!$D$117,0,N504*Parámetros!$D$116-G504*Parámetros!$D$100),2))</f>
        <v/>
      </c>
      <c r="Q504" s="75" t="str">
        <f t="shared" si="729"/>
        <v/>
      </c>
      <c r="R504" s="75" t="str">
        <f t="shared" si="730"/>
        <v/>
      </c>
      <c r="S504" s="117" t="str">
        <f>+IF($C504="","",ROUND((S503+I504)*(1+Parámetros!$D$91),2))</f>
        <v/>
      </c>
      <c r="T504" s="117" t="str">
        <f>+IF($C504="","",ROUND(S504*VLOOKUP(B504,Parámetros!$C$30:$D$39,2,TRUE),2))</f>
        <v/>
      </c>
      <c r="U504" s="117" t="str">
        <f>+IF($C504="","",ROUND((U503+I504)*(1+Parámetros!$D$92),2))</f>
        <v/>
      </c>
      <c r="V504" s="117" t="str">
        <f>+IF($C504="","",ROUND(U504*VLOOKUP(B504,Parámetros!$C$30:$D$39,2,TRUE),2))</f>
        <v/>
      </c>
      <c r="W504" s="57" t="str">
        <f t="shared" si="731"/>
        <v/>
      </c>
      <c r="X504" t="str">
        <f t="shared" si="732"/>
        <v/>
      </c>
      <c r="Y504" t="str">
        <f t="shared" si="733"/>
        <v/>
      </c>
      <c r="Z504" s="118" t="str">
        <f>+IF($W504="","",ROUND(IF(Parámetros!$D$25='TABLAS MORT'!$V$33,Z503,Parámetros!$D$21-'Tablas Servicio'!T503),0))</f>
        <v/>
      </c>
      <c r="AA504" s="118" t="str">
        <f t="shared" si="734"/>
        <v/>
      </c>
      <c r="AB504" s="119" t="str">
        <f>+IF(W504="","",ROUND((VLOOKUP(ROUNDDOWN($D504-1/frec,0),qx_tabla,2,FALSE)*(1+i/frec)^-0.5*(1+Parámetros!$D$103)*(1+rec_fracc)/frec),6))</f>
        <v/>
      </c>
      <c r="AC504" s="66" t="str">
        <f t="shared" si="690"/>
        <v/>
      </c>
      <c r="AD504" s="119" t="str">
        <f t="shared" si="686"/>
        <v/>
      </c>
      <c r="AE504" s="66" t="str">
        <f>+IF($W504="","",ROUND(IF($B504&gt;Parámetros!$D$107,'Tablas Servicio'!AC504+('Tablas Servicio'!AG503-'Tablas Servicio'!AC503),AC504/(1-IF(B504&lt;=10,Parámetros!$D$104,Parámetros!$D$105))),2))</f>
        <v/>
      </c>
      <c r="AF504" s="66" t="str">
        <f>+IF($W504="","",ROUND(IF($B504&gt;Parámetros!$D$107,'Tablas Servicio'!AC504+('Tablas Servicio'!AG503-'Tablas Servicio'!AC503),(AC504+$A503/frec)/(1-IF(B504&lt;=Parámetros!$D$117,Parámetros!$D$100,0))),2))</f>
        <v/>
      </c>
      <c r="AG504" s="66" t="str">
        <f t="shared" si="691"/>
        <v/>
      </c>
      <c r="AH504" s="66" t="str">
        <f t="shared" si="692"/>
        <v/>
      </c>
      <c r="AI504" s="66" t="str">
        <f t="shared" si="693"/>
        <v/>
      </c>
      <c r="AJ504" s="66" t="str">
        <f>+IF($W504="","",ROUND((AG504*Parámetros!$G$85),2))</f>
        <v/>
      </c>
      <c r="AK504" s="66" t="str">
        <f>+IF($W504="","",ROUND((AG504*(Parámetros!$G$86)),2))</f>
        <v/>
      </c>
      <c r="AL504" s="66" t="str">
        <f t="shared" si="687"/>
        <v/>
      </c>
      <c r="AM504" t="str">
        <f t="shared" si="735"/>
        <v/>
      </c>
      <c r="AN504" t="str">
        <f t="shared" si="736"/>
        <v/>
      </c>
      <c r="AO504" s="118" t="str">
        <f t="shared" si="737"/>
        <v/>
      </c>
      <c r="AP504" s="118" t="str">
        <f t="shared" si="738"/>
        <v/>
      </c>
      <c r="AQ504" s="119" t="str">
        <f>+IF(OR($W504="",AO504=0),"",ROUND((VLOOKUP(ROUNDDOWN($D504-1/frec,0),cob_adi,Z$40,FALSE)*(1+i/frec)^-0.5*(1+Parámetros!$D$103)*(1+rec_fracc)/frec),6))</f>
        <v/>
      </c>
      <c r="AR504" s="66" t="str">
        <f t="shared" si="694"/>
        <v/>
      </c>
      <c r="AS504" s="119" t="str">
        <f t="shared" si="695"/>
        <v/>
      </c>
      <c r="AT504" s="66" t="str">
        <f>+IF($W504="","",ROUND(IF($B504&gt;Parámetros!$D$107,'Tablas Servicio'!AR504+('Tablas Servicio'!AT503-'Tablas Servicio'!AR503),AR504/(1-IF(B504&lt;=10,Parámetros!$D$100,0))),2))</f>
        <v/>
      </c>
      <c r="AU504" s="66" t="str">
        <f t="shared" si="696"/>
        <v/>
      </c>
      <c r="AV504" s="66" t="str">
        <f t="shared" si="696"/>
        <v/>
      </c>
      <c r="AW504" s="66" t="str">
        <f>+IF($W504="","",ROUND((AT504*Parámetros!$G$85),2))</f>
        <v/>
      </c>
      <c r="AX504" s="66" t="str">
        <f>+IF($W504="","",ROUND((AT504*(Parámetros!$G$86)),2))</f>
        <v/>
      </c>
      <c r="AY504" s="66" t="str">
        <f t="shared" si="697"/>
        <v/>
      </c>
      <c r="AZ504" t="str">
        <f t="shared" si="739"/>
        <v/>
      </c>
      <c r="BA504" t="str">
        <f t="shared" si="740"/>
        <v/>
      </c>
      <c r="BB504" s="118" t="str">
        <f t="shared" si="741"/>
        <v/>
      </c>
      <c r="BC504" s="118" t="str">
        <f t="shared" si="742"/>
        <v/>
      </c>
      <c r="BD504" s="119" t="str">
        <f>+IF(OR($W504="",BB504=0),"",ROUND((VLOOKUP(ROUNDDOWN($D504-1/frec,0),cob_adi,AO$40,FALSE)*(1+i/frec)^-0.5*(1+Parámetros!$D$103)*(1+rec_fracc)/frec),6))</f>
        <v/>
      </c>
      <c r="BE504" s="66" t="str">
        <f t="shared" si="698"/>
        <v/>
      </c>
      <c r="BF504" s="119" t="str">
        <f t="shared" si="699"/>
        <v/>
      </c>
      <c r="BG504" s="66" t="str">
        <f>+IF($W504="","",ROUND(IF($B504&gt;Parámetros!$D$107,'Tablas Servicio'!BE504+('Tablas Servicio'!BG503-'Tablas Servicio'!BE503),BE504/(1-IF(B504&lt;=10,Parámetros!$D$100,0))),2))</f>
        <v/>
      </c>
      <c r="BH504" s="66" t="str">
        <f t="shared" si="700"/>
        <v/>
      </c>
      <c r="BI504" s="66" t="str">
        <f t="shared" si="701"/>
        <v/>
      </c>
      <c r="BJ504" s="66" t="str">
        <f>+IF($W504="","",ROUND((BG504*Parámetros!$G$85),2))</f>
        <v/>
      </c>
      <c r="BK504" s="66" t="str">
        <f>+IF($W504="","",ROUND((BG504*(Parámetros!$G$86)),2))</f>
        <v/>
      </c>
      <c r="BL504" s="66" t="str">
        <f t="shared" si="702"/>
        <v/>
      </c>
      <c r="BM504" t="str">
        <f t="shared" si="743"/>
        <v/>
      </c>
      <c r="BN504" t="str">
        <f t="shared" si="744"/>
        <v/>
      </c>
      <c r="BO504" s="118" t="str">
        <f t="shared" si="745"/>
        <v/>
      </c>
      <c r="BP504" s="118" t="str">
        <f t="shared" si="746"/>
        <v/>
      </c>
      <c r="BQ504" s="119" t="str">
        <f>+IF(OR($W504="",BO504=0),"",ROUND((VLOOKUP(ROUNDDOWN($D504-1/frec,0),cob_adi,BB$40,FALSE)*(1+i/frec)^-0.5*(1+Parámetros!$D$103)*(1+rec_fracc)/frec),6))</f>
        <v/>
      </c>
      <c r="BR504" s="66" t="str">
        <f t="shared" si="703"/>
        <v/>
      </c>
      <c r="BS504" s="119" t="str">
        <f t="shared" si="704"/>
        <v/>
      </c>
      <c r="BT504" s="66" t="str">
        <f>+IF($W504="","",ROUND(IF($B504&gt;Parámetros!$D$107,'Tablas Servicio'!BR504+('Tablas Servicio'!BT503-'Tablas Servicio'!BR503),BR504/(1-IF(B504&lt;=10,Parámetros!$D$100,0))),2))</f>
        <v/>
      </c>
      <c r="BU504" s="66" t="str">
        <f t="shared" si="705"/>
        <v/>
      </c>
      <c r="BV504" s="66" t="str">
        <f t="shared" si="705"/>
        <v/>
      </c>
      <c r="BW504" s="66" t="str">
        <f>+IF($W504="","",ROUND((BT504*Parámetros!$G$85),2))</f>
        <v/>
      </c>
      <c r="BX504" s="66" t="str">
        <f>+IF($W504="","",ROUND((BT504*(Parámetros!$G$86)),2))</f>
        <v/>
      </c>
      <c r="BY504" s="66" t="str">
        <f t="shared" si="706"/>
        <v/>
      </c>
      <c r="BZ504" t="str">
        <f t="shared" si="747"/>
        <v/>
      </c>
      <c r="CA504" t="str">
        <f t="shared" si="748"/>
        <v/>
      </c>
      <c r="CB504" s="118" t="str">
        <f t="shared" si="749"/>
        <v/>
      </c>
      <c r="CC504" s="118" t="str">
        <f t="shared" si="750"/>
        <v/>
      </c>
      <c r="CD504" s="119" t="str">
        <f t="shared" si="707"/>
        <v/>
      </c>
      <c r="CE504" s="66" t="str">
        <f>+IF($W504="","",ROUND((VLOOKUP(ROUNDDOWN($D504-1/frec,0),cob_adi,BO$40,FALSE)*(1+i/frec)^-0.5*(1+Parámetros!$D$103)*(1+rec_fracc)/frec*'TABLAS ADI'!$BC$17),2))</f>
        <v/>
      </c>
      <c r="CF504" s="119" t="str">
        <f t="shared" si="708"/>
        <v/>
      </c>
      <c r="CG504" s="66" t="str">
        <f>+IF($W504="","",ROUND(IF($B504&gt;Parámetros!$D$107,'Tablas Servicio'!CE504+('Tablas Servicio'!CG503-'Tablas Servicio'!CE503),CE504/(1-IF(B504&lt;=10,Parámetros!$D$100,0))),2))</f>
        <v/>
      </c>
      <c r="CH504" s="66" t="str">
        <f t="shared" si="709"/>
        <v/>
      </c>
      <c r="CI504" s="66" t="str">
        <f t="shared" si="709"/>
        <v/>
      </c>
      <c r="CJ504" s="66" t="str">
        <f>+IF($W504="","",ROUND((CG504*Parámetros!$G$85),2))</f>
        <v/>
      </c>
      <c r="CK504" s="66" t="str">
        <f>+IF($W504="","",ROUND((CG504*(Parámetros!$G$86)),2))</f>
        <v/>
      </c>
      <c r="CL504" s="66" t="str">
        <f t="shared" si="710"/>
        <v/>
      </c>
      <c r="CM504" t="str">
        <f t="shared" si="751"/>
        <v/>
      </c>
      <c r="CN504" s="118" t="str">
        <f t="shared" si="752"/>
        <v/>
      </c>
      <c r="CO504" s="118" t="str">
        <f t="shared" si="753"/>
        <v/>
      </c>
      <c r="CP504" s="118" t="str">
        <f t="shared" si="754"/>
        <v/>
      </c>
      <c r="CQ504" s="119" t="str">
        <f t="shared" si="711"/>
        <v/>
      </c>
      <c r="CR504" s="66" t="str">
        <f>+IF($W504="","",ROUND((VLOOKUP(Parámetros!$F$51,'COBERTURAS ADICIONALES'!$S$4:$T$32,2,FALSE)*(1+i/frec)^-0.5*(1+Parámetros!$D$103)*(1+rec_fracc)/frec*$CO$42),2))</f>
        <v/>
      </c>
      <c r="CS504" s="119" t="str">
        <f t="shared" si="712"/>
        <v/>
      </c>
      <c r="CT504" s="66" t="str">
        <f>+IF($W504="","",ROUND(IF($B504&gt;Parámetros!$D$107,'Tablas Servicio'!CR504+('Tablas Servicio'!CT503-'Tablas Servicio'!CR503),CR504/(1-IF(B504&lt;=10,Parámetros!$D$100,0))),2))</f>
        <v/>
      </c>
      <c r="CU504" s="66" t="str">
        <f t="shared" si="713"/>
        <v/>
      </c>
      <c r="CV504" s="66" t="str">
        <f t="shared" si="713"/>
        <v/>
      </c>
      <c r="CW504" s="66" t="str">
        <f>+IF($W504="","",ROUND((CT504*Parámetros!$G$85),2))</f>
        <v/>
      </c>
      <c r="CX504" s="66" t="str">
        <f>+IF($W504="","",ROUND((CT504*(Parámetros!$G$86)),2))</f>
        <v/>
      </c>
      <c r="CY504" s="66" t="str">
        <f t="shared" si="714"/>
        <v/>
      </c>
      <c r="CZ504" t="str">
        <f t="shared" si="755"/>
        <v/>
      </c>
      <c r="DA504" s="118" t="str">
        <f t="shared" si="756"/>
        <v/>
      </c>
      <c r="DB504" s="118" t="str">
        <f t="shared" si="757"/>
        <v/>
      </c>
      <c r="DC504" s="118" t="str">
        <f t="shared" si="758"/>
        <v/>
      </c>
      <c r="DD504" s="121" t="str">
        <f>+IF(OR($W504="",DB504=0),"",ROUND((VLOOKUP(ROUNDDOWN($D504-1/frec,0),cob_adi,CO$40,FALSE)*(1+i/frec)^-0.5*(1+Parámetros!$D$103)*(1+rec_fracc)/frec),6))</f>
        <v/>
      </c>
      <c r="DE504" s="66" t="str">
        <f t="shared" si="715"/>
        <v/>
      </c>
      <c r="DF504" s="119" t="str">
        <f t="shared" si="716"/>
        <v/>
      </c>
      <c r="DG504" s="66" t="str">
        <f>+IF($W504="","",ROUND(IF($B504&gt;Parámetros!$D$107,'Tablas Servicio'!DE504+('Tablas Servicio'!DG503-'Tablas Servicio'!DE503),DE504/(1-IF(B504&lt;=10,Parámetros!$D$100,0))),2))</f>
        <v/>
      </c>
      <c r="DH504" s="66" t="str">
        <f t="shared" si="717"/>
        <v/>
      </c>
      <c r="DI504" s="66" t="str">
        <f t="shared" si="717"/>
        <v/>
      </c>
      <c r="DJ504" s="66" t="str">
        <f>+IF($W504="","",ROUND((DG504*Parámetros!$G$85),2))</f>
        <v/>
      </c>
      <c r="DK504" s="66" t="str">
        <f>+IF($W504="","",ROUND((DG504*(Parámetros!$G$86)),2))</f>
        <v/>
      </c>
      <c r="DL504" s="66" t="str">
        <f t="shared" si="718"/>
        <v/>
      </c>
      <c r="DM504" t="str">
        <f t="shared" si="759"/>
        <v/>
      </c>
      <c r="DN504" s="118" t="str">
        <f t="shared" si="760"/>
        <v/>
      </c>
      <c r="DO504" s="118" t="str">
        <f t="shared" si="761"/>
        <v/>
      </c>
      <c r="DP504" s="118" t="str">
        <f t="shared" si="762"/>
        <v/>
      </c>
      <c r="DQ504" s="122" t="str">
        <f>+IF(OR($W504="",DO504=0),"",ROUND((VLOOKUP(ROUNDDOWN($D504-1/frec,0),cob_adi,DB$40,FALSE)*(1+i/frec)^-0.5*(1+Parámetros!$D$103)*(1+rec_fracc)/frec),6))</f>
        <v/>
      </c>
      <c r="DR504" s="66" t="str">
        <f t="shared" si="719"/>
        <v/>
      </c>
      <c r="DS504" s="68" t="str">
        <f t="shared" si="720"/>
        <v/>
      </c>
      <c r="DT504" s="66" t="str">
        <f>+IF($W504="","",ROUND(IF($B504&gt;Parámetros!$D$107,'Tablas Servicio'!DR504+('Tablas Servicio'!DT503-'Tablas Servicio'!DR503),DR504/(1-IF(B504&lt;=10,Parámetros!$D$100,0))),2))</f>
        <v/>
      </c>
      <c r="DU504" s="66" t="str">
        <f t="shared" si="721"/>
        <v/>
      </c>
      <c r="DV504" s="66" t="str">
        <f t="shared" si="721"/>
        <v/>
      </c>
      <c r="DW504" s="66" t="str">
        <f>+IF($W504="","",ROUND((DT504*Parámetros!$G$85),2))</f>
        <v/>
      </c>
      <c r="DX504" s="66" t="str">
        <f>+IF($W504="","",ROUND((DT504*(Parámetros!$G$86)),2))</f>
        <v/>
      </c>
      <c r="DY504" s="66" t="str">
        <f t="shared" si="722"/>
        <v/>
      </c>
      <c r="DZ504" t="str">
        <f t="shared" si="723"/>
        <v/>
      </c>
      <c r="EA504" s="118" t="str">
        <f t="shared" si="723"/>
        <v/>
      </c>
      <c r="EB504" s="118" t="str">
        <f>+IF($W504="","",ROUND(IF(Parámetros!$D$25='TABLAS MORT'!$V$33,EB503,Z504/2),0))</f>
        <v/>
      </c>
      <c r="EC504" s="118" t="str">
        <f t="shared" si="723"/>
        <v/>
      </c>
      <c r="ED504" s="122" t="str">
        <f>+IF(OR($W504="",EB504=0),"",ROUND((VLOOKUP(ROUNDDOWN($D504-1/frec,0),cob_adi,DO$40,FALSE)*(1+i/frec)^-0.5*(1+Parámetros!$D$103)*(1+rec_fracc)/frec),6))</f>
        <v/>
      </c>
      <c r="EE504" s="66" t="str">
        <f t="shared" si="724"/>
        <v/>
      </c>
      <c r="EF504" s="68" t="str">
        <f t="shared" si="725"/>
        <v/>
      </c>
      <c r="EG504" s="66" t="str">
        <f>+IF($W504="","",ROUND(IF($B504&gt;Parámetros!$D$107,'Tablas Servicio'!EE504+('Tablas Servicio'!EG503-'Tablas Servicio'!EE503),EE504/(1-IF(B504&lt;=10,Parámetros!$D$100,0))),2))</f>
        <v/>
      </c>
      <c r="EH504" s="66" t="str">
        <f t="shared" si="726"/>
        <v/>
      </c>
      <c r="EI504" s="66" t="str">
        <f t="shared" si="726"/>
        <v/>
      </c>
      <c r="EJ504" s="66" t="str">
        <f>+IF($W504="","",ROUND((EG504*Parámetros!$G$85),2))</f>
        <v/>
      </c>
      <c r="EK504" s="66" t="str">
        <f>+IF($W504="","",ROUND((EG504*(Parámetros!$G$86)),2))</f>
        <v/>
      </c>
      <c r="EL504" s="66" t="str">
        <f t="shared" si="727"/>
        <v/>
      </c>
    </row>
    <row r="505" spans="1:142" x14ac:dyDescent="0.25">
      <c r="A505" t="str">
        <f>+IF($C505="","",ROUND(VLOOKUP('Tablas Servicio'!B505,Parámetros!$H$100:$J$159,IF(Parámetros!$E$16="F",2,3),FALSE),2))</f>
        <v/>
      </c>
      <c r="B505" t="str">
        <f t="shared" si="678"/>
        <v/>
      </c>
      <c r="C505" s="57" t="str">
        <f>+IF(D505="","",'Tablas Servicio'!C504+1)</f>
        <v/>
      </c>
      <c r="D505" s="56" t="str">
        <f>+IF(D504&lt;edadmaxtabla,D504+1/Parámetros!$E$25,"")</f>
        <v/>
      </c>
      <c r="E505" s="57" t="str">
        <f t="shared" si="688"/>
        <v/>
      </c>
      <c r="F505" s="59" t="str">
        <f t="shared" si="689"/>
        <v/>
      </c>
      <c r="G505" s="66" t="str">
        <f t="shared" si="679"/>
        <v/>
      </c>
      <c r="H505" s="66" t="str">
        <f t="shared" si="680"/>
        <v/>
      </c>
      <c r="I505" s="66" t="str">
        <f t="shared" si="728"/>
        <v/>
      </c>
      <c r="J505" s="66" t="str">
        <f t="shared" si="681"/>
        <v/>
      </c>
      <c r="K505" s="66" t="str">
        <f t="shared" si="682"/>
        <v/>
      </c>
      <c r="L505" s="66" t="str">
        <f t="shared" si="683"/>
        <v/>
      </c>
      <c r="M505" s="66" t="str">
        <f t="shared" si="684"/>
        <v/>
      </c>
      <c r="N505" s="66" t="str">
        <f>+IF(C505="","",ROUND(Parámetros!$D$23,2))</f>
        <v/>
      </c>
      <c r="O505" s="66" t="str">
        <f t="shared" si="685"/>
        <v/>
      </c>
      <c r="P505" s="66" t="str">
        <f>+IF($C505="","",ROUND(IF(B505&gt;Parámetros!$D$117,0,N505*Parámetros!$D$116-G505*Parámetros!$D$100),2))</f>
        <v/>
      </c>
      <c r="Q505" s="75" t="str">
        <f t="shared" si="729"/>
        <v/>
      </c>
      <c r="R505" s="75" t="str">
        <f t="shared" si="730"/>
        <v/>
      </c>
      <c r="S505" s="117" t="str">
        <f>+IF($C505="","",ROUND((S504+I505)*(1+Parámetros!$D$91),2))</f>
        <v/>
      </c>
      <c r="T505" s="117" t="str">
        <f>+IF($C505="","",ROUND(S505*VLOOKUP(B505,Parámetros!$C$30:$D$39,2,TRUE),2))</f>
        <v/>
      </c>
      <c r="U505" s="117" t="str">
        <f>+IF($C505="","",ROUND((U504+I505)*(1+Parámetros!$D$92),2))</f>
        <v/>
      </c>
      <c r="V505" s="117" t="str">
        <f>+IF($C505="","",ROUND(U505*VLOOKUP(B505,Parámetros!$C$30:$D$39,2,TRUE),2))</f>
        <v/>
      </c>
      <c r="W505" s="57" t="str">
        <f t="shared" si="731"/>
        <v/>
      </c>
      <c r="X505" t="str">
        <f t="shared" si="732"/>
        <v/>
      </c>
      <c r="Y505" t="str">
        <f t="shared" si="733"/>
        <v/>
      </c>
      <c r="Z505" s="118" t="str">
        <f>+IF($W505="","",ROUND(IF(Parámetros!$D$25='TABLAS MORT'!$V$33,Z504,Parámetros!$D$21-'Tablas Servicio'!T504),0))</f>
        <v/>
      </c>
      <c r="AA505" s="118" t="str">
        <f t="shared" si="734"/>
        <v/>
      </c>
      <c r="AB505" s="119" t="str">
        <f>+IF(W505="","",ROUND((VLOOKUP(ROUNDDOWN($D505-1/frec,0),qx_tabla,2,FALSE)*(1+i/frec)^-0.5*(1+Parámetros!$D$103)*(1+rec_fracc)/frec),6))</f>
        <v/>
      </c>
      <c r="AC505" s="66" t="str">
        <f t="shared" si="690"/>
        <v/>
      </c>
      <c r="AD505" s="119" t="str">
        <f t="shared" si="686"/>
        <v/>
      </c>
      <c r="AE505" s="66" t="str">
        <f>+IF($W505="","",ROUND(IF($B505&gt;Parámetros!$D$107,'Tablas Servicio'!AC505+('Tablas Servicio'!AG504-'Tablas Servicio'!AC504),AC505/(1-IF(B505&lt;=10,Parámetros!$D$104,Parámetros!$D$105))),2))</f>
        <v/>
      </c>
      <c r="AF505" s="66" t="str">
        <f>+IF($W505="","",ROUND(IF($B505&gt;Parámetros!$D$107,'Tablas Servicio'!AC505+('Tablas Servicio'!AG504-'Tablas Servicio'!AC504),(AC505+$A504/frec)/(1-IF(B505&lt;=Parámetros!$D$117,Parámetros!$D$100,0))),2))</f>
        <v/>
      </c>
      <c r="AG505" s="66" t="str">
        <f t="shared" si="691"/>
        <v/>
      </c>
      <c r="AH505" s="66" t="str">
        <f t="shared" si="692"/>
        <v/>
      </c>
      <c r="AI505" s="66" t="str">
        <f t="shared" si="693"/>
        <v/>
      </c>
      <c r="AJ505" s="66" t="str">
        <f>+IF($W505="","",ROUND((AG505*Parámetros!$G$85),2))</f>
        <v/>
      </c>
      <c r="AK505" s="66" t="str">
        <f>+IF($W505="","",ROUND((AG505*(Parámetros!$G$86)),2))</f>
        <v/>
      </c>
      <c r="AL505" s="66" t="str">
        <f t="shared" si="687"/>
        <v/>
      </c>
      <c r="AM505" t="str">
        <f t="shared" si="735"/>
        <v/>
      </c>
      <c r="AN505" t="str">
        <f t="shared" si="736"/>
        <v/>
      </c>
      <c r="AO505" s="118" t="str">
        <f t="shared" si="737"/>
        <v/>
      </c>
      <c r="AP505" s="118" t="str">
        <f t="shared" si="738"/>
        <v/>
      </c>
      <c r="AQ505" s="119" t="str">
        <f>+IF(OR($W505="",AO505=0),"",ROUND((VLOOKUP(ROUNDDOWN($D505-1/frec,0),cob_adi,Z$40,FALSE)*(1+i/frec)^-0.5*(1+Parámetros!$D$103)*(1+rec_fracc)/frec),6))</f>
        <v/>
      </c>
      <c r="AR505" s="66" t="str">
        <f t="shared" si="694"/>
        <v/>
      </c>
      <c r="AS505" s="119" t="str">
        <f t="shared" si="695"/>
        <v/>
      </c>
      <c r="AT505" s="66" t="str">
        <f>+IF($W505="","",ROUND(IF($B505&gt;Parámetros!$D$107,'Tablas Servicio'!AR505+('Tablas Servicio'!AT504-'Tablas Servicio'!AR504),AR505/(1-IF(B505&lt;=10,Parámetros!$D$100,0))),2))</f>
        <v/>
      </c>
      <c r="AU505" s="66" t="str">
        <f t="shared" si="696"/>
        <v/>
      </c>
      <c r="AV505" s="66" t="str">
        <f t="shared" si="696"/>
        <v/>
      </c>
      <c r="AW505" s="66" t="str">
        <f>+IF($W505="","",ROUND((AT505*Parámetros!$G$85),2))</f>
        <v/>
      </c>
      <c r="AX505" s="66" t="str">
        <f>+IF($W505="","",ROUND((AT505*(Parámetros!$G$86)),2))</f>
        <v/>
      </c>
      <c r="AY505" s="66" t="str">
        <f t="shared" si="697"/>
        <v/>
      </c>
      <c r="AZ505" t="str">
        <f t="shared" si="739"/>
        <v/>
      </c>
      <c r="BA505" t="str">
        <f t="shared" si="740"/>
        <v/>
      </c>
      <c r="BB505" s="118" t="str">
        <f t="shared" si="741"/>
        <v/>
      </c>
      <c r="BC505" s="118" t="str">
        <f t="shared" si="742"/>
        <v/>
      </c>
      <c r="BD505" s="119" t="str">
        <f>+IF(OR($W505="",BB505=0),"",ROUND((VLOOKUP(ROUNDDOWN($D505-1/frec,0),cob_adi,AO$40,FALSE)*(1+i/frec)^-0.5*(1+Parámetros!$D$103)*(1+rec_fracc)/frec),6))</f>
        <v/>
      </c>
      <c r="BE505" s="66" t="str">
        <f t="shared" si="698"/>
        <v/>
      </c>
      <c r="BF505" s="119" t="str">
        <f t="shared" si="699"/>
        <v/>
      </c>
      <c r="BG505" s="66" t="str">
        <f>+IF($W505="","",ROUND(IF($B505&gt;Parámetros!$D$107,'Tablas Servicio'!BE505+('Tablas Servicio'!BG504-'Tablas Servicio'!BE504),BE505/(1-IF(B505&lt;=10,Parámetros!$D$100,0))),2))</f>
        <v/>
      </c>
      <c r="BH505" s="66" t="str">
        <f t="shared" si="700"/>
        <v/>
      </c>
      <c r="BI505" s="66" t="str">
        <f t="shared" si="701"/>
        <v/>
      </c>
      <c r="BJ505" s="66" t="str">
        <f>+IF($W505="","",ROUND((BG505*Parámetros!$G$85),2))</f>
        <v/>
      </c>
      <c r="BK505" s="66" t="str">
        <f>+IF($W505="","",ROUND((BG505*(Parámetros!$G$86)),2))</f>
        <v/>
      </c>
      <c r="BL505" s="66" t="str">
        <f t="shared" si="702"/>
        <v/>
      </c>
      <c r="BM505" t="str">
        <f t="shared" si="743"/>
        <v/>
      </c>
      <c r="BN505" t="str">
        <f t="shared" si="744"/>
        <v/>
      </c>
      <c r="BO505" s="118" t="str">
        <f t="shared" si="745"/>
        <v/>
      </c>
      <c r="BP505" s="118" t="str">
        <f t="shared" si="746"/>
        <v/>
      </c>
      <c r="BQ505" s="119" t="str">
        <f>+IF(OR($W505="",BO505=0),"",ROUND((VLOOKUP(ROUNDDOWN($D505-1/frec,0),cob_adi,BB$40,FALSE)*(1+i/frec)^-0.5*(1+Parámetros!$D$103)*(1+rec_fracc)/frec),6))</f>
        <v/>
      </c>
      <c r="BR505" s="66" t="str">
        <f t="shared" si="703"/>
        <v/>
      </c>
      <c r="BS505" s="119" t="str">
        <f t="shared" si="704"/>
        <v/>
      </c>
      <c r="BT505" s="66" t="str">
        <f>+IF($W505="","",ROUND(IF($B505&gt;Parámetros!$D$107,'Tablas Servicio'!BR505+('Tablas Servicio'!BT504-'Tablas Servicio'!BR504),BR505/(1-IF(B505&lt;=10,Parámetros!$D$100,0))),2))</f>
        <v/>
      </c>
      <c r="BU505" s="66" t="str">
        <f t="shared" si="705"/>
        <v/>
      </c>
      <c r="BV505" s="66" t="str">
        <f t="shared" si="705"/>
        <v/>
      </c>
      <c r="BW505" s="66" t="str">
        <f>+IF($W505="","",ROUND((BT505*Parámetros!$G$85),2))</f>
        <v/>
      </c>
      <c r="BX505" s="66" t="str">
        <f>+IF($W505="","",ROUND((BT505*(Parámetros!$G$86)),2))</f>
        <v/>
      </c>
      <c r="BY505" s="66" t="str">
        <f t="shared" si="706"/>
        <v/>
      </c>
      <c r="BZ505" t="str">
        <f t="shared" si="747"/>
        <v/>
      </c>
      <c r="CA505" t="str">
        <f t="shared" si="748"/>
        <v/>
      </c>
      <c r="CB505" s="118" t="str">
        <f t="shared" si="749"/>
        <v/>
      </c>
      <c r="CC505" s="118" t="str">
        <f t="shared" si="750"/>
        <v/>
      </c>
      <c r="CD505" s="119" t="str">
        <f t="shared" si="707"/>
        <v/>
      </c>
      <c r="CE505" s="66" t="str">
        <f>+IF($W505="","",ROUND((VLOOKUP(ROUNDDOWN($D505-1/frec,0),cob_adi,BO$40,FALSE)*(1+i/frec)^-0.5*(1+Parámetros!$D$103)*(1+rec_fracc)/frec*'TABLAS ADI'!$BC$17),2))</f>
        <v/>
      </c>
      <c r="CF505" s="119" t="str">
        <f t="shared" si="708"/>
        <v/>
      </c>
      <c r="CG505" s="66" t="str">
        <f>+IF($W505="","",ROUND(IF($B505&gt;Parámetros!$D$107,'Tablas Servicio'!CE505+('Tablas Servicio'!CG504-'Tablas Servicio'!CE504),CE505/(1-IF(B505&lt;=10,Parámetros!$D$100,0))),2))</f>
        <v/>
      </c>
      <c r="CH505" s="66" t="str">
        <f t="shared" si="709"/>
        <v/>
      </c>
      <c r="CI505" s="66" t="str">
        <f t="shared" si="709"/>
        <v/>
      </c>
      <c r="CJ505" s="66" t="str">
        <f>+IF($W505="","",ROUND((CG505*Parámetros!$G$85),2))</f>
        <v/>
      </c>
      <c r="CK505" s="66" t="str">
        <f>+IF($W505="","",ROUND((CG505*(Parámetros!$G$86)),2))</f>
        <v/>
      </c>
      <c r="CL505" s="66" t="str">
        <f t="shared" si="710"/>
        <v/>
      </c>
      <c r="CM505" t="str">
        <f t="shared" si="751"/>
        <v/>
      </c>
      <c r="CN505" s="118" t="str">
        <f t="shared" si="752"/>
        <v/>
      </c>
      <c r="CO505" s="118" t="str">
        <f t="shared" si="753"/>
        <v/>
      </c>
      <c r="CP505" s="118" t="str">
        <f t="shared" si="754"/>
        <v/>
      </c>
      <c r="CQ505" s="119" t="str">
        <f t="shared" si="711"/>
        <v/>
      </c>
      <c r="CR505" s="66" t="str">
        <f>+IF($W505="","",ROUND((VLOOKUP(Parámetros!$F$51,'COBERTURAS ADICIONALES'!$S$4:$T$32,2,FALSE)*(1+i/frec)^-0.5*(1+Parámetros!$D$103)*(1+rec_fracc)/frec*$CO$42),2))</f>
        <v/>
      </c>
      <c r="CS505" s="119" t="str">
        <f t="shared" si="712"/>
        <v/>
      </c>
      <c r="CT505" s="66" t="str">
        <f>+IF($W505="","",ROUND(IF($B505&gt;Parámetros!$D$107,'Tablas Servicio'!CR505+('Tablas Servicio'!CT504-'Tablas Servicio'!CR504),CR505/(1-IF(B505&lt;=10,Parámetros!$D$100,0))),2))</f>
        <v/>
      </c>
      <c r="CU505" s="66" t="str">
        <f t="shared" si="713"/>
        <v/>
      </c>
      <c r="CV505" s="66" t="str">
        <f t="shared" si="713"/>
        <v/>
      </c>
      <c r="CW505" s="66" t="str">
        <f>+IF($W505="","",ROUND((CT505*Parámetros!$G$85),2))</f>
        <v/>
      </c>
      <c r="CX505" s="66" t="str">
        <f>+IF($W505="","",ROUND((CT505*(Parámetros!$G$86)),2))</f>
        <v/>
      </c>
      <c r="CY505" s="66" t="str">
        <f t="shared" si="714"/>
        <v/>
      </c>
      <c r="CZ505" t="str">
        <f t="shared" si="755"/>
        <v/>
      </c>
      <c r="DA505" s="118" t="str">
        <f t="shared" si="756"/>
        <v/>
      </c>
      <c r="DB505" s="118" t="str">
        <f t="shared" si="757"/>
        <v/>
      </c>
      <c r="DC505" s="118" t="str">
        <f t="shared" si="758"/>
        <v/>
      </c>
      <c r="DD505" s="121" t="str">
        <f>+IF(OR($W505="",DB505=0),"",ROUND((VLOOKUP(ROUNDDOWN($D505-1/frec,0),cob_adi,CO$40,FALSE)*(1+i/frec)^-0.5*(1+Parámetros!$D$103)*(1+rec_fracc)/frec),6))</f>
        <v/>
      </c>
      <c r="DE505" s="66" t="str">
        <f t="shared" si="715"/>
        <v/>
      </c>
      <c r="DF505" s="119" t="str">
        <f t="shared" si="716"/>
        <v/>
      </c>
      <c r="DG505" s="66" t="str">
        <f>+IF($W505="","",ROUND(IF($B505&gt;Parámetros!$D$107,'Tablas Servicio'!DE505+('Tablas Servicio'!DG504-'Tablas Servicio'!DE504),DE505/(1-IF(B505&lt;=10,Parámetros!$D$100,0))),2))</f>
        <v/>
      </c>
      <c r="DH505" s="66" t="str">
        <f t="shared" si="717"/>
        <v/>
      </c>
      <c r="DI505" s="66" t="str">
        <f t="shared" si="717"/>
        <v/>
      </c>
      <c r="DJ505" s="66" t="str">
        <f>+IF($W505="","",ROUND((DG505*Parámetros!$G$85),2))</f>
        <v/>
      </c>
      <c r="DK505" s="66" t="str">
        <f>+IF($W505="","",ROUND((DG505*(Parámetros!$G$86)),2))</f>
        <v/>
      </c>
      <c r="DL505" s="66" t="str">
        <f t="shared" si="718"/>
        <v/>
      </c>
      <c r="DM505" t="str">
        <f t="shared" si="759"/>
        <v/>
      </c>
      <c r="DN505" s="118" t="str">
        <f t="shared" si="760"/>
        <v/>
      </c>
      <c r="DO505" s="118" t="str">
        <f t="shared" si="761"/>
        <v/>
      </c>
      <c r="DP505" s="118" t="str">
        <f t="shared" si="762"/>
        <v/>
      </c>
      <c r="DQ505" s="122" t="str">
        <f>+IF(OR($W505="",DO505=0),"",ROUND((VLOOKUP(ROUNDDOWN($D505-1/frec,0),cob_adi,DB$40,FALSE)*(1+i/frec)^-0.5*(1+Parámetros!$D$103)*(1+rec_fracc)/frec),6))</f>
        <v/>
      </c>
      <c r="DR505" s="66" t="str">
        <f t="shared" si="719"/>
        <v/>
      </c>
      <c r="DS505" s="68" t="str">
        <f t="shared" si="720"/>
        <v/>
      </c>
      <c r="DT505" s="66" t="str">
        <f>+IF($W505="","",ROUND(IF($B505&gt;Parámetros!$D$107,'Tablas Servicio'!DR505+('Tablas Servicio'!DT504-'Tablas Servicio'!DR504),DR505/(1-IF(B505&lt;=10,Parámetros!$D$100,0))),2))</f>
        <v/>
      </c>
      <c r="DU505" s="66" t="str">
        <f t="shared" si="721"/>
        <v/>
      </c>
      <c r="DV505" s="66" t="str">
        <f t="shared" si="721"/>
        <v/>
      </c>
      <c r="DW505" s="66" t="str">
        <f>+IF($W505="","",ROUND((DT505*Parámetros!$G$85),2))</f>
        <v/>
      </c>
      <c r="DX505" s="66" t="str">
        <f>+IF($W505="","",ROUND((DT505*(Parámetros!$G$86)),2))</f>
        <v/>
      </c>
      <c r="DY505" s="66" t="str">
        <f t="shared" si="722"/>
        <v/>
      </c>
      <c r="DZ505" t="str">
        <f t="shared" si="723"/>
        <v/>
      </c>
      <c r="EA505" s="118" t="str">
        <f t="shared" si="723"/>
        <v/>
      </c>
      <c r="EB505" s="118" t="str">
        <f>+IF($W505="","",ROUND(IF(Parámetros!$D$25='TABLAS MORT'!$V$33,EB504,Z505/2),0))</f>
        <v/>
      </c>
      <c r="EC505" s="118" t="str">
        <f t="shared" si="723"/>
        <v/>
      </c>
      <c r="ED505" s="122" t="str">
        <f>+IF(OR($W505="",EB505=0),"",ROUND((VLOOKUP(ROUNDDOWN($D505-1/frec,0),cob_adi,DO$40,FALSE)*(1+i/frec)^-0.5*(1+Parámetros!$D$103)*(1+rec_fracc)/frec),6))</f>
        <v/>
      </c>
      <c r="EE505" s="66" t="str">
        <f t="shared" si="724"/>
        <v/>
      </c>
      <c r="EF505" s="68" t="str">
        <f t="shared" si="725"/>
        <v/>
      </c>
      <c r="EG505" s="66" t="str">
        <f>+IF($W505="","",ROUND(IF($B505&gt;Parámetros!$D$107,'Tablas Servicio'!EE505+('Tablas Servicio'!EG504-'Tablas Servicio'!EE504),EE505/(1-IF(B505&lt;=10,Parámetros!$D$100,0))),2))</f>
        <v/>
      </c>
      <c r="EH505" s="66" t="str">
        <f t="shared" si="726"/>
        <v/>
      </c>
      <c r="EI505" s="66" t="str">
        <f t="shared" si="726"/>
        <v/>
      </c>
      <c r="EJ505" s="66" t="str">
        <f>+IF($W505="","",ROUND((EG505*Parámetros!$G$85),2))</f>
        <v/>
      </c>
      <c r="EK505" s="66" t="str">
        <f>+IF($W505="","",ROUND((EG505*(Parámetros!$G$86)),2))</f>
        <v/>
      </c>
      <c r="EL505" s="66" t="str">
        <f t="shared" si="727"/>
        <v/>
      </c>
    </row>
    <row r="506" spans="1:142" x14ac:dyDescent="0.25">
      <c r="A506" t="str">
        <f>+IF($C506="","",ROUND(VLOOKUP('Tablas Servicio'!B506,Parámetros!$H$100:$J$159,IF(Parámetros!$E$16="F",2,3),FALSE),2))</f>
        <v/>
      </c>
      <c r="B506" t="str">
        <f t="shared" si="678"/>
        <v/>
      </c>
      <c r="C506" s="57" t="str">
        <f>+IF(D506="","",'Tablas Servicio'!C505+1)</f>
        <v/>
      </c>
      <c r="D506" s="56" t="str">
        <f>+IF(D505&lt;edadmaxtabla,D505+1/Parámetros!$E$25,"")</f>
        <v/>
      </c>
      <c r="E506" s="57" t="str">
        <f t="shared" si="688"/>
        <v/>
      </c>
      <c r="F506" s="59" t="str">
        <f t="shared" si="689"/>
        <v/>
      </c>
      <c r="G506" s="66" t="str">
        <f t="shared" si="679"/>
        <v/>
      </c>
      <c r="H506" s="66" t="str">
        <f t="shared" si="680"/>
        <v/>
      </c>
      <c r="I506" s="66" t="str">
        <f t="shared" si="728"/>
        <v/>
      </c>
      <c r="J506" s="66" t="str">
        <f t="shared" si="681"/>
        <v/>
      </c>
      <c r="K506" s="66" t="str">
        <f t="shared" si="682"/>
        <v/>
      </c>
      <c r="L506" s="66" t="str">
        <f t="shared" si="683"/>
        <v/>
      </c>
      <c r="M506" s="66" t="str">
        <f t="shared" si="684"/>
        <v/>
      </c>
      <c r="N506" s="66" t="str">
        <f>+IF(C506="","",ROUND(Parámetros!$D$23,2))</f>
        <v/>
      </c>
      <c r="O506" s="66" t="str">
        <f t="shared" si="685"/>
        <v/>
      </c>
      <c r="P506" s="66" t="str">
        <f>+IF($C506="","",ROUND(IF(B506&gt;Parámetros!$D$117,0,N506*Parámetros!$D$116-G506*Parámetros!$D$100),2))</f>
        <v/>
      </c>
      <c r="Q506" s="75" t="str">
        <f t="shared" si="729"/>
        <v/>
      </c>
      <c r="R506" s="75" t="str">
        <f t="shared" si="730"/>
        <v/>
      </c>
      <c r="S506" s="117" t="str">
        <f>+IF($C506="","",ROUND((S505+I506)*(1+Parámetros!$D$91),2))</f>
        <v/>
      </c>
      <c r="T506" s="117" t="str">
        <f>+IF($C506="","",ROUND(S506*VLOOKUP(B506,Parámetros!$C$30:$D$39,2,TRUE),2))</f>
        <v/>
      </c>
      <c r="U506" s="117" t="str">
        <f>+IF($C506="","",ROUND((U505+I506)*(1+Parámetros!$D$92),2))</f>
        <v/>
      </c>
      <c r="V506" s="117" t="str">
        <f>+IF($C506="","",ROUND(U506*VLOOKUP(B506,Parámetros!$C$30:$D$39,2,TRUE),2))</f>
        <v/>
      </c>
      <c r="W506" s="57" t="str">
        <f t="shared" si="731"/>
        <v/>
      </c>
      <c r="X506" t="str">
        <f t="shared" si="732"/>
        <v/>
      </c>
      <c r="Y506" t="str">
        <f t="shared" si="733"/>
        <v/>
      </c>
      <c r="Z506" s="118" t="str">
        <f>+IF($W506="","",ROUND(IF(Parámetros!$D$25='TABLAS MORT'!$V$33,Z505,Parámetros!$D$21-'Tablas Servicio'!T505),0))</f>
        <v/>
      </c>
      <c r="AA506" s="118" t="str">
        <f t="shared" si="734"/>
        <v/>
      </c>
      <c r="AB506" s="119" t="str">
        <f>+IF(W506="","",ROUND((VLOOKUP(ROUNDDOWN($D506-1/frec,0),qx_tabla,2,FALSE)*(1+i/frec)^-0.5*(1+Parámetros!$D$103)*(1+rec_fracc)/frec),6))</f>
        <v/>
      </c>
      <c r="AC506" s="66" t="str">
        <f t="shared" si="690"/>
        <v/>
      </c>
      <c r="AD506" s="119" t="str">
        <f t="shared" si="686"/>
        <v/>
      </c>
      <c r="AE506" s="66" t="str">
        <f>+IF($W506="","",ROUND(IF($B506&gt;Parámetros!$D$107,'Tablas Servicio'!AC506+('Tablas Servicio'!AG505-'Tablas Servicio'!AC505),AC506/(1-IF(B506&lt;=10,Parámetros!$D$104,Parámetros!$D$105))),2))</f>
        <v/>
      </c>
      <c r="AF506" s="66" t="str">
        <f>+IF($W506="","",ROUND(IF($B506&gt;Parámetros!$D$107,'Tablas Servicio'!AC506+('Tablas Servicio'!AG505-'Tablas Servicio'!AC505),(AC506+$A505/frec)/(1-IF(B506&lt;=Parámetros!$D$117,Parámetros!$D$100,0))),2))</f>
        <v/>
      </c>
      <c r="AG506" s="66" t="str">
        <f t="shared" si="691"/>
        <v/>
      </c>
      <c r="AH506" s="66" t="str">
        <f t="shared" si="692"/>
        <v/>
      </c>
      <c r="AI506" s="66" t="str">
        <f t="shared" si="693"/>
        <v/>
      </c>
      <c r="AJ506" s="66" t="str">
        <f>+IF($W506="","",ROUND((AG506*Parámetros!$G$85),2))</f>
        <v/>
      </c>
      <c r="AK506" s="66" t="str">
        <f>+IF($W506="","",ROUND((AG506*(Parámetros!$G$86)),2))</f>
        <v/>
      </c>
      <c r="AL506" s="66" t="str">
        <f t="shared" si="687"/>
        <v/>
      </c>
      <c r="AM506" t="str">
        <f t="shared" si="735"/>
        <v/>
      </c>
      <c r="AN506" t="str">
        <f t="shared" si="736"/>
        <v/>
      </c>
      <c r="AO506" s="118" t="str">
        <f t="shared" si="737"/>
        <v/>
      </c>
      <c r="AP506" s="118" t="str">
        <f t="shared" si="738"/>
        <v/>
      </c>
      <c r="AQ506" s="119" t="str">
        <f>+IF(OR($W506="",AO506=0),"",ROUND((VLOOKUP(ROUNDDOWN($D506-1/frec,0),cob_adi,Z$40,FALSE)*(1+i/frec)^-0.5*(1+Parámetros!$D$103)*(1+rec_fracc)/frec),6))</f>
        <v/>
      </c>
      <c r="AR506" s="66" t="str">
        <f t="shared" si="694"/>
        <v/>
      </c>
      <c r="AS506" s="119" t="str">
        <f t="shared" si="695"/>
        <v/>
      </c>
      <c r="AT506" s="66" t="str">
        <f>+IF($W506="","",ROUND(IF($B506&gt;Parámetros!$D$107,'Tablas Servicio'!AR506+('Tablas Servicio'!AT505-'Tablas Servicio'!AR505),AR506/(1-IF(B506&lt;=10,Parámetros!$D$100,0))),2))</f>
        <v/>
      </c>
      <c r="AU506" s="66" t="str">
        <f t="shared" si="696"/>
        <v/>
      </c>
      <c r="AV506" s="66" t="str">
        <f t="shared" si="696"/>
        <v/>
      </c>
      <c r="AW506" s="66" t="str">
        <f>+IF($W506="","",ROUND((AT506*Parámetros!$G$85),2))</f>
        <v/>
      </c>
      <c r="AX506" s="66" t="str">
        <f>+IF($W506="","",ROUND((AT506*(Parámetros!$G$86)),2))</f>
        <v/>
      </c>
      <c r="AY506" s="66" t="str">
        <f t="shared" si="697"/>
        <v/>
      </c>
      <c r="AZ506" t="str">
        <f t="shared" si="739"/>
        <v/>
      </c>
      <c r="BA506" t="str">
        <f t="shared" si="740"/>
        <v/>
      </c>
      <c r="BB506" s="118" t="str">
        <f t="shared" si="741"/>
        <v/>
      </c>
      <c r="BC506" s="118" t="str">
        <f t="shared" si="742"/>
        <v/>
      </c>
      <c r="BD506" s="119" t="str">
        <f>+IF(OR($W506="",BB506=0),"",ROUND((VLOOKUP(ROUNDDOWN($D506-1/frec,0),cob_adi,AO$40,FALSE)*(1+i/frec)^-0.5*(1+Parámetros!$D$103)*(1+rec_fracc)/frec),6))</f>
        <v/>
      </c>
      <c r="BE506" s="66" t="str">
        <f t="shared" si="698"/>
        <v/>
      </c>
      <c r="BF506" s="119" t="str">
        <f t="shared" si="699"/>
        <v/>
      </c>
      <c r="BG506" s="66" t="str">
        <f>+IF($W506="","",ROUND(IF($B506&gt;Parámetros!$D$107,'Tablas Servicio'!BE506+('Tablas Servicio'!BG505-'Tablas Servicio'!BE505),BE506/(1-IF(B506&lt;=10,Parámetros!$D$100,0))),2))</f>
        <v/>
      </c>
      <c r="BH506" s="66" t="str">
        <f t="shared" si="700"/>
        <v/>
      </c>
      <c r="BI506" s="66" t="str">
        <f t="shared" si="701"/>
        <v/>
      </c>
      <c r="BJ506" s="66" t="str">
        <f>+IF($W506="","",ROUND((BG506*Parámetros!$G$85),2))</f>
        <v/>
      </c>
      <c r="BK506" s="66" t="str">
        <f>+IF($W506="","",ROUND((BG506*(Parámetros!$G$86)),2))</f>
        <v/>
      </c>
      <c r="BL506" s="66" t="str">
        <f t="shared" si="702"/>
        <v/>
      </c>
      <c r="BM506" t="str">
        <f t="shared" si="743"/>
        <v/>
      </c>
      <c r="BN506" t="str">
        <f t="shared" si="744"/>
        <v/>
      </c>
      <c r="BO506" s="118" t="str">
        <f t="shared" si="745"/>
        <v/>
      </c>
      <c r="BP506" s="118" t="str">
        <f t="shared" si="746"/>
        <v/>
      </c>
      <c r="BQ506" s="119" t="str">
        <f>+IF(OR($W506="",BO506=0),"",ROUND((VLOOKUP(ROUNDDOWN($D506-1/frec,0),cob_adi,BB$40,FALSE)*(1+i/frec)^-0.5*(1+Parámetros!$D$103)*(1+rec_fracc)/frec),6))</f>
        <v/>
      </c>
      <c r="BR506" s="66" t="str">
        <f t="shared" si="703"/>
        <v/>
      </c>
      <c r="BS506" s="119" t="str">
        <f t="shared" si="704"/>
        <v/>
      </c>
      <c r="BT506" s="66" t="str">
        <f>+IF($W506="","",ROUND(IF($B506&gt;Parámetros!$D$107,'Tablas Servicio'!BR506+('Tablas Servicio'!BT505-'Tablas Servicio'!BR505),BR506/(1-IF(B506&lt;=10,Parámetros!$D$100,0))),2))</f>
        <v/>
      </c>
      <c r="BU506" s="66" t="str">
        <f t="shared" si="705"/>
        <v/>
      </c>
      <c r="BV506" s="66" t="str">
        <f t="shared" si="705"/>
        <v/>
      </c>
      <c r="BW506" s="66" t="str">
        <f>+IF($W506="","",ROUND((BT506*Parámetros!$G$85),2))</f>
        <v/>
      </c>
      <c r="BX506" s="66" t="str">
        <f>+IF($W506="","",ROUND((BT506*(Parámetros!$G$86)),2))</f>
        <v/>
      </c>
      <c r="BY506" s="66" t="str">
        <f t="shared" si="706"/>
        <v/>
      </c>
      <c r="BZ506" t="str">
        <f t="shared" si="747"/>
        <v/>
      </c>
      <c r="CA506" t="str">
        <f t="shared" si="748"/>
        <v/>
      </c>
      <c r="CB506" s="118" t="str">
        <f t="shared" si="749"/>
        <v/>
      </c>
      <c r="CC506" s="118" t="str">
        <f t="shared" si="750"/>
        <v/>
      </c>
      <c r="CD506" s="119" t="str">
        <f t="shared" si="707"/>
        <v/>
      </c>
      <c r="CE506" s="66" t="str">
        <f>+IF($W506="","",ROUND((VLOOKUP(ROUNDDOWN($D506-1/frec,0),cob_adi,BO$40,FALSE)*(1+i/frec)^-0.5*(1+Parámetros!$D$103)*(1+rec_fracc)/frec*'TABLAS ADI'!$BC$17),2))</f>
        <v/>
      </c>
      <c r="CF506" s="119" t="str">
        <f t="shared" si="708"/>
        <v/>
      </c>
      <c r="CG506" s="66" t="str">
        <f>+IF($W506="","",ROUND(IF($B506&gt;Parámetros!$D$107,'Tablas Servicio'!CE506+('Tablas Servicio'!CG505-'Tablas Servicio'!CE505),CE506/(1-IF(B506&lt;=10,Parámetros!$D$100,0))),2))</f>
        <v/>
      </c>
      <c r="CH506" s="66" t="str">
        <f t="shared" si="709"/>
        <v/>
      </c>
      <c r="CI506" s="66" t="str">
        <f t="shared" si="709"/>
        <v/>
      </c>
      <c r="CJ506" s="66" t="str">
        <f>+IF($W506="","",ROUND((CG506*Parámetros!$G$85),2))</f>
        <v/>
      </c>
      <c r="CK506" s="66" t="str">
        <f>+IF($W506="","",ROUND((CG506*(Parámetros!$G$86)),2))</f>
        <v/>
      </c>
      <c r="CL506" s="66" t="str">
        <f t="shared" si="710"/>
        <v/>
      </c>
      <c r="CM506" t="str">
        <f t="shared" si="751"/>
        <v/>
      </c>
      <c r="CN506" s="118" t="str">
        <f t="shared" si="752"/>
        <v/>
      </c>
      <c r="CO506" s="118" t="str">
        <f t="shared" si="753"/>
        <v/>
      </c>
      <c r="CP506" s="118" t="str">
        <f t="shared" si="754"/>
        <v/>
      </c>
      <c r="CQ506" s="119" t="str">
        <f t="shared" si="711"/>
        <v/>
      </c>
      <c r="CR506" s="66" t="str">
        <f>+IF($W506="","",ROUND((VLOOKUP(Parámetros!$F$51,'COBERTURAS ADICIONALES'!$S$4:$T$32,2,FALSE)*(1+i/frec)^-0.5*(1+Parámetros!$D$103)*(1+rec_fracc)/frec*$CO$42),2))</f>
        <v/>
      </c>
      <c r="CS506" s="119" t="str">
        <f t="shared" si="712"/>
        <v/>
      </c>
      <c r="CT506" s="66" t="str">
        <f>+IF($W506="","",ROUND(IF($B506&gt;Parámetros!$D$107,'Tablas Servicio'!CR506+('Tablas Servicio'!CT505-'Tablas Servicio'!CR505),CR506/(1-IF(B506&lt;=10,Parámetros!$D$100,0))),2))</f>
        <v/>
      </c>
      <c r="CU506" s="66" t="str">
        <f t="shared" si="713"/>
        <v/>
      </c>
      <c r="CV506" s="66" t="str">
        <f t="shared" si="713"/>
        <v/>
      </c>
      <c r="CW506" s="66" t="str">
        <f>+IF($W506="","",ROUND((CT506*Parámetros!$G$85),2))</f>
        <v/>
      </c>
      <c r="CX506" s="66" t="str">
        <f>+IF($W506="","",ROUND((CT506*(Parámetros!$G$86)),2))</f>
        <v/>
      </c>
      <c r="CY506" s="66" t="str">
        <f t="shared" si="714"/>
        <v/>
      </c>
      <c r="CZ506" t="str">
        <f t="shared" si="755"/>
        <v/>
      </c>
      <c r="DA506" s="118" t="str">
        <f t="shared" si="756"/>
        <v/>
      </c>
      <c r="DB506" s="118" t="str">
        <f t="shared" si="757"/>
        <v/>
      </c>
      <c r="DC506" s="118" t="str">
        <f t="shared" si="758"/>
        <v/>
      </c>
      <c r="DD506" s="121" t="str">
        <f>+IF(OR($W506="",DB506=0),"",ROUND((VLOOKUP(ROUNDDOWN($D506-1/frec,0),cob_adi,CO$40,FALSE)*(1+i/frec)^-0.5*(1+Parámetros!$D$103)*(1+rec_fracc)/frec),6))</f>
        <v/>
      </c>
      <c r="DE506" s="66" t="str">
        <f t="shared" si="715"/>
        <v/>
      </c>
      <c r="DF506" s="119" t="str">
        <f t="shared" si="716"/>
        <v/>
      </c>
      <c r="DG506" s="66" t="str">
        <f>+IF($W506="","",ROUND(IF($B506&gt;Parámetros!$D$107,'Tablas Servicio'!DE506+('Tablas Servicio'!DG505-'Tablas Servicio'!DE505),DE506/(1-IF(B506&lt;=10,Parámetros!$D$100,0))),2))</f>
        <v/>
      </c>
      <c r="DH506" s="66" t="str">
        <f t="shared" si="717"/>
        <v/>
      </c>
      <c r="DI506" s="66" t="str">
        <f t="shared" si="717"/>
        <v/>
      </c>
      <c r="DJ506" s="66" t="str">
        <f>+IF($W506="","",ROUND((DG506*Parámetros!$G$85),2))</f>
        <v/>
      </c>
      <c r="DK506" s="66" t="str">
        <f>+IF($W506="","",ROUND((DG506*(Parámetros!$G$86)),2))</f>
        <v/>
      </c>
      <c r="DL506" s="66" t="str">
        <f t="shared" si="718"/>
        <v/>
      </c>
      <c r="DM506" t="str">
        <f t="shared" si="759"/>
        <v/>
      </c>
      <c r="DN506" s="118" t="str">
        <f t="shared" si="760"/>
        <v/>
      </c>
      <c r="DO506" s="118" t="str">
        <f t="shared" si="761"/>
        <v/>
      </c>
      <c r="DP506" s="118" t="str">
        <f t="shared" si="762"/>
        <v/>
      </c>
      <c r="DQ506" s="122" t="str">
        <f>+IF(OR($W506="",DO506=0),"",ROUND((VLOOKUP(ROUNDDOWN($D506-1/frec,0),cob_adi,DB$40,FALSE)*(1+i/frec)^-0.5*(1+Parámetros!$D$103)*(1+rec_fracc)/frec),6))</f>
        <v/>
      </c>
      <c r="DR506" s="66" t="str">
        <f t="shared" si="719"/>
        <v/>
      </c>
      <c r="DS506" s="68" t="str">
        <f t="shared" si="720"/>
        <v/>
      </c>
      <c r="DT506" s="66" t="str">
        <f>+IF($W506="","",ROUND(IF($B506&gt;Parámetros!$D$107,'Tablas Servicio'!DR506+('Tablas Servicio'!DT505-'Tablas Servicio'!DR505),DR506/(1-IF(B506&lt;=10,Parámetros!$D$100,0))),2))</f>
        <v/>
      </c>
      <c r="DU506" s="66" t="str">
        <f t="shared" si="721"/>
        <v/>
      </c>
      <c r="DV506" s="66" t="str">
        <f t="shared" si="721"/>
        <v/>
      </c>
      <c r="DW506" s="66" t="str">
        <f>+IF($W506="","",ROUND((DT506*Parámetros!$G$85),2))</f>
        <v/>
      </c>
      <c r="DX506" s="66" t="str">
        <f>+IF($W506="","",ROUND((DT506*(Parámetros!$G$86)),2))</f>
        <v/>
      </c>
      <c r="DY506" s="66" t="str">
        <f t="shared" si="722"/>
        <v/>
      </c>
      <c r="DZ506" t="str">
        <f t="shared" si="723"/>
        <v/>
      </c>
      <c r="EA506" s="118" t="str">
        <f t="shared" si="723"/>
        <v/>
      </c>
      <c r="EB506" s="118" t="str">
        <f>+IF($W506="","",ROUND(IF(Parámetros!$D$25='TABLAS MORT'!$V$33,EB505,Z506/2),0))</f>
        <v/>
      </c>
      <c r="EC506" s="118" t="str">
        <f t="shared" si="723"/>
        <v/>
      </c>
      <c r="ED506" s="122" t="str">
        <f>+IF(OR($W506="",EB506=0),"",ROUND((VLOOKUP(ROUNDDOWN($D506-1/frec,0),cob_adi,DO$40,FALSE)*(1+i/frec)^-0.5*(1+Parámetros!$D$103)*(1+rec_fracc)/frec),6))</f>
        <v/>
      </c>
      <c r="EE506" s="66" t="str">
        <f t="shared" si="724"/>
        <v/>
      </c>
      <c r="EF506" s="68" t="str">
        <f t="shared" si="725"/>
        <v/>
      </c>
      <c r="EG506" s="66" t="str">
        <f>+IF($W506="","",ROUND(IF($B506&gt;Parámetros!$D$107,'Tablas Servicio'!EE506+('Tablas Servicio'!EG505-'Tablas Servicio'!EE505),EE506/(1-IF(B506&lt;=10,Parámetros!$D$100,0))),2))</f>
        <v/>
      </c>
      <c r="EH506" s="66" t="str">
        <f t="shared" si="726"/>
        <v/>
      </c>
      <c r="EI506" s="66" t="str">
        <f t="shared" si="726"/>
        <v/>
      </c>
      <c r="EJ506" s="66" t="str">
        <f>+IF($W506="","",ROUND((EG506*Parámetros!$G$85),2))</f>
        <v/>
      </c>
      <c r="EK506" s="66" t="str">
        <f>+IF($W506="","",ROUND((EG506*(Parámetros!$G$86)),2))</f>
        <v/>
      </c>
      <c r="EL506" s="66" t="str">
        <f t="shared" si="727"/>
        <v/>
      </c>
    </row>
    <row r="507" spans="1:142" x14ac:dyDescent="0.25">
      <c r="A507" t="str">
        <f>+IF($C507="","",ROUND(VLOOKUP('Tablas Servicio'!B507,Parámetros!$H$100:$J$159,IF(Parámetros!$E$16="F",2,3),FALSE),2))</f>
        <v/>
      </c>
      <c r="B507" t="str">
        <f t="shared" si="678"/>
        <v/>
      </c>
      <c r="C507" s="57" t="str">
        <f>+IF(D507="","",'Tablas Servicio'!C506+1)</f>
        <v/>
      </c>
      <c r="D507" s="56" t="str">
        <f>+IF(D506&lt;edadmaxtabla,D506+1/Parámetros!$E$25,"")</f>
        <v/>
      </c>
      <c r="E507" s="57" t="str">
        <f t="shared" si="688"/>
        <v/>
      </c>
      <c r="F507" s="59" t="str">
        <f t="shared" si="689"/>
        <v/>
      </c>
      <c r="G507" s="66" t="str">
        <f t="shared" si="679"/>
        <v/>
      </c>
      <c r="H507" s="66" t="str">
        <f t="shared" si="680"/>
        <v/>
      </c>
      <c r="I507" s="66" t="str">
        <f t="shared" si="728"/>
        <v/>
      </c>
      <c r="J507" s="66" t="str">
        <f t="shared" si="681"/>
        <v/>
      </c>
      <c r="K507" s="66" t="str">
        <f t="shared" si="682"/>
        <v/>
      </c>
      <c r="L507" s="66" t="str">
        <f t="shared" si="683"/>
        <v/>
      </c>
      <c r="M507" s="66" t="str">
        <f t="shared" si="684"/>
        <v/>
      </c>
      <c r="N507" s="66" t="str">
        <f>+IF(C507="","",ROUND(Parámetros!$D$23,2))</f>
        <v/>
      </c>
      <c r="O507" s="66" t="str">
        <f t="shared" si="685"/>
        <v/>
      </c>
      <c r="P507" s="66" t="str">
        <f>+IF($C507="","",ROUND(IF(B507&gt;Parámetros!$D$117,0,N507*Parámetros!$D$116-G507*Parámetros!$D$100),2))</f>
        <v/>
      </c>
      <c r="Q507" s="75" t="str">
        <f t="shared" si="729"/>
        <v/>
      </c>
      <c r="R507" s="75" t="str">
        <f t="shared" si="730"/>
        <v/>
      </c>
      <c r="S507" s="117" t="str">
        <f>+IF($C507="","",ROUND((S506+I507)*(1+Parámetros!$D$91),2))</f>
        <v/>
      </c>
      <c r="T507" s="117" t="str">
        <f>+IF($C507="","",ROUND(S507*VLOOKUP(B507,Parámetros!$C$30:$D$39,2,TRUE),2))</f>
        <v/>
      </c>
      <c r="U507" s="117" t="str">
        <f>+IF($C507="","",ROUND((U506+I507)*(1+Parámetros!$D$92),2))</f>
        <v/>
      </c>
      <c r="V507" s="117" t="str">
        <f>+IF($C507="","",ROUND(U507*VLOOKUP(B507,Parámetros!$C$30:$D$39,2,TRUE),2))</f>
        <v/>
      </c>
      <c r="W507" s="57" t="str">
        <f t="shared" si="731"/>
        <v/>
      </c>
      <c r="X507" t="str">
        <f t="shared" si="732"/>
        <v/>
      </c>
      <c r="Y507" t="str">
        <f t="shared" si="733"/>
        <v/>
      </c>
      <c r="Z507" s="118" t="str">
        <f>+IF($W507="","",ROUND(IF(Parámetros!$D$25='TABLAS MORT'!$V$33,Z506,Parámetros!$D$21-'Tablas Servicio'!T506),0))</f>
        <v/>
      </c>
      <c r="AA507" s="118" t="str">
        <f t="shared" si="734"/>
        <v/>
      </c>
      <c r="AB507" s="119" t="str">
        <f>+IF(W507="","",ROUND((VLOOKUP(ROUNDDOWN($D507-1/frec,0),qx_tabla,2,FALSE)*(1+i/frec)^-0.5*(1+Parámetros!$D$103)*(1+rec_fracc)/frec),6))</f>
        <v/>
      </c>
      <c r="AC507" s="66" t="str">
        <f t="shared" si="690"/>
        <v/>
      </c>
      <c r="AD507" s="119" t="str">
        <f t="shared" si="686"/>
        <v/>
      </c>
      <c r="AE507" s="66" t="str">
        <f>+IF($W507="","",ROUND(IF($B507&gt;Parámetros!$D$107,'Tablas Servicio'!AC507+('Tablas Servicio'!AG506-'Tablas Servicio'!AC506),AC507/(1-IF(B507&lt;=10,Parámetros!$D$104,Parámetros!$D$105))),2))</f>
        <v/>
      </c>
      <c r="AF507" s="66" t="str">
        <f>+IF($W507="","",ROUND(IF($B507&gt;Parámetros!$D$107,'Tablas Servicio'!AC507+('Tablas Servicio'!AG506-'Tablas Servicio'!AC506),(AC507+$A506/frec)/(1-IF(B507&lt;=Parámetros!$D$117,Parámetros!$D$100,0))),2))</f>
        <v/>
      </c>
      <c r="AG507" s="66" t="str">
        <f t="shared" si="691"/>
        <v/>
      </c>
      <c r="AH507" s="66" t="str">
        <f t="shared" si="692"/>
        <v/>
      </c>
      <c r="AI507" s="66" t="str">
        <f t="shared" si="693"/>
        <v/>
      </c>
      <c r="AJ507" s="66" t="str">
        <f>+IF($W507="","",ROUND((AG507*Parámetros!$G$85),2))</f>
        <v/>
      </c>
      <c r="AK507" s="66" t="str">
        <f>+IF($W507="","",ROUND((AG507*(Parámetros!$G$86)),2))</f>
        <v/>
      </c>
      <c r="AL507" s="66" t="str">
        <f t="shared" si="687"/>
        <v/>
      </c>
      <c r="AM507" t="str">
        <f t="shared" si="735"/>
        <v/>
      </c>
      <c r="AN507" t="str">
        <f t="shared" si="736"/>
        <v/>
      </c>
      <c r="AO507" s="118" t="str">
        <f t="shared" si="737"/>
        <v/>
      </c>
      <c r="AP507" s="118" t="str">
        <f t="shared" si="738"/>
        <v/>
      </c>
      <c r="AQ507" s="119" t="str">
        <f>+IF(OR($W507="",AO507=0),"",ROUND((VLOOKUP(ROUNDDOWN($D507-1/frec,0),cob_adi,Z$40,FALSE)*(1+i/frec)^-0.5*(1+Parámetros!$D$103)*(1+rec_fracc)/frec),6))</f>
        <v/>
      </c>
      <c r="AR507" s="66" t="str">
        <f t="shared" si="694"/>
        <v/>
      </c>
      <c r="AS507" s="119" t="str">
        <f t="shared" si="695"/>
        <v/>
      </c>
      <c r="AT507" s="66" t="str">
        <f>+IF($W507="","",ROUND(IF($B507&gt;Parámetros!$D$107,'Tablas Servicio'!AR507+('Tablas Servicio'!AT506-'Tablas Servicio'!AR506),AR507/(1-IF(B507&lt;=10,Parámetros!$D$100,0))),2))</f>
        <v/>
      </c>
      <c r="AU507" s="66" t="str">
        <f t="shared" si="696"/>
        <v/>
      </c>
      <c r="AV507" s="66" t="str">
        <f t="shared" si="696"/>
        <v/>
      </c>
      <c r="AW507" s="66" t="str">
        <f>+IF($W507="","",ROUND((AT507*Parámetros!$G$85),2))</f>
        <v/>
      </c>
      <c r="AX507" s="66" t="str">
        <f>+IF($W507="","",ROUND((AT507*(Parámetros!$G$86)),2))</f>
        <v/>
      </c>
      <c r="AY507" s="66" t="str">
        <f t="shared" si="697"/>
        <v/>
      </c>
      <c r="AZ507" t="str">
        <f t="shared" si="739"/>
        <v/>
      </c>
      <c r="BA507" t="str">
        <f t="shared" si="740"/>
        <v/>
      </c>
      <c r="BB507" s="118" t="str">
        <f t="shared" si="741"/>
        <v/>
      </c>
      <c r="BC507" s="118" t="str">
        <f t="shared" si="742"/>
        <v/>
      </c>
      <c r="BD507" s="119" t="str">
        <f>+IF(OR($W507="",BB507=0),"",ROUND((VLOOKUP(ROUNDDOWN($D507-1/frec,0),cob_adi,AO$40,FALSE)*(1+i/frec)^-0.5*(1+Parámetros!$D$103)*(1+rec_fracc)/frec),6))</f>
        <v/>
      </c>
      <c r="BE507" s="66" t="str">
        <f t="shared" si="698"/>
        <v/>
      </c>
      <c r="BF507" s="119" t="str">
        <f t="shared" si="699"/>
        <v/>
      </c>
      <c r="BG507" s="66" t="str">
        <f>+IF($W507="","",ROUND(IF($B507&gt;Parámetros!$D$107,'Tablas Servicio'!BE507+('Tablas Servicio'!BG506-'Tablas Servicio'!BE506),BE507/(1-IF(B507&lt;=10,Parámetros!$D$100,0))),2))</f>
        <v/>
      </c>
      <c r="BH507" s="66" t="str">
        <f t="shared" si="700"/>
        <v/>
      </c>
      <c r="BI507" s="66" t="str">
        <f t="shared" si="701"/>
        <v/>
      </c>
      <c r="BJ507" s="66" t="str">
        <f>+IF($W507="","",ROUND((BG507*Parámetros!$G$85),2))</f>
        <v/>
      </c>
      <c r="BK507" s="66" t="str">
        <f>+IF($W507="","",ROUND((BG507*(Parámetros!$G$86)),2))</f>
        <v/>
      </c>
      <c r="BL507" s="66" t="str">
        <f t="shared" si="702"/>
        <v/>
      </c>
      <c r="BM507" t="str">
        <f t="shared" si="743"/>
        <v/>
      </c>
      <c r="BN507" t="str">
        <f t="shared" si="744"/>
        <v/>
      </c>
      <c r="BO507" s="118" t="str">
        <f t="shared" si="745"/>
        <v/>
      </c>
      <c r="BP507" s="118" t="str">
        <f t="shared" si="746"/>
        <v/>
      </c>
      <c r="BQ507" s="119" t="str">
        <f>+IF(OR($W507="",BO507=0),"",ROUND((VLOOKUP(ROUNDDOWN($D507-1/frec,0),cob_adi,BB$40,FALSE)*(1+i/frec)^-0.5*(1+Parámetros!$D$103)*(1+rec_fracc)/frec),6))</f>
        <v/>
      </c>
      <c r="BR507" s="66" t="str">
        <f t="shared" si="703"/>
        <v/>
      </c>
      <c r="BS507" s="119" t="str">
        <f t="shared" si="704"/>
        <v/>
      </c>
      <c r="BT507" s="66" t="str">
        <f>+IF($W507="","",ROUND(IF($B507&gt;Parámetros!$D$107,'Tablas Servicio'!BR507+('Tablas Servicio'!BT506-'Tablas Servicio'!BR506),BR507/(1-IF(B507&lt;=10,Parámetros!$D$100,0))),2))</f>
        <v/>
      </c>
      <c r="BU507" s="66" t="str">
        <f t="shared" si="705"/>
        <v/>
      </c>
      <c r="BV507" s="66" t="str">
        <f t="shared" si="705"/>
        <v/>
      </c>
      <c r="BW507" s="66" t="str">
        <f>+IF($W507="","",ROUND((BT507*Parámetros!$G$85),2))</f>
        <v/>
      </c>
      <c r="BX507" s="66" t="str">
        <f>+IF($W507="","",ROUND((BT507*(Parámetros!$G$86)),2))</f>
        <v/>
      </c>
      <c r="BY507" s="66" t="str">
        <f t="shared" si="706"/>
        <v/>
      </c>
      <c r="BZ507" t="str">
        <f t="shared" si="747"/>
        <v/>
      </c>
      <c r="CA507" t="str">
        <f t="shared" si="748"/>
        <v/>
      </c>
      <c r="CB507" s="118" t="str">
        <f t="shared" si="749"/>
        <v/>
      </c>
      <c r="CC507" s="118" t="str">
        <f t="shared" si="750"/>
        <v/>
      </c>
      <c r="CD507" s="119" t="str">
        <f t="shared" si="707"/>
        <v/>
      </c>
      <c r="CE507" s="66" t="str">
        <f>+IF($W507="","",ROUND((VLOOKUP(ROUNDDOWN($D507-1/frec,0),cob_adi,BO$40,FALSE)*(1+i/frec)^-0.5*(1+Parámetros!$D$103)*(1+rec_fracc)/frec*'TABLAS ADI'!$BC$17),2))</f>
        <v/>
      </c>
      <c r="CF507" s="119" t="str">
        <f t="shared" si="708"/>
        <v/>
      </c>
      <c r="CG507" s="66" t="str">
        <f>+IF($W507="","",ROUND(IF($B507&gt;Parámetros!$D$107,'Tablas Servicio'!CE507+('Tablas Servicio'!CG506-'Tablas Servicio'!CE506),CE507/(1-IF(B507&lt;=10,Parámetros!$D$100,0))),2))</f>
        <v/>
      </c>
      <c r="CH507" s="66" t="str">
        <f t="shared" si="709"/>
        <v/>
      </c>
      <c r="CI507" s="66" t="str">
        <f t="shared" si="709"/>
        <v/>
      </c>
      <c r="CJ507" s="66" t="str">
        <f>+IF($W507="","",ROUND((CG507*Parámetros!$G$85),2))</f>
        <v/>
      </c>
      <c r="CK507" s="66" t="str">
        <f>+IF($W507="","",ROUND((CG507*(Parámetros!$G$86)),2))</f>
        <v/>
      </c>
      <c r="CL507" s="66" t="str">
        <f t="shared" si="710"/>
        <v/>
      </c>
      <c r="CM507" t="str">
        <f t="shared" si="751"/>
        <v/>
      </c>
      <c r="CN507" s="118" t="str">
        <f t="shared" si="752"/>
        <v/>
      </c>
      <c r="CO507" s="118" t="str">
        <f t="shared" si="753"/>
        <v/>
      </c>
      <c r="CP507" s="118" t="str">
        <f t="shared" si="754"/>
        <v/>
      </c>
      <c r="CQ507" s="119" t="str">
        <f t="shared" si="711"/>
        <v/>
      </c>
      <c r="CR507" s="66" t="str">
        <f>+IF($W507="","",ROUND((VLOOKUP(Parámetros!$F$51,'COBERTURAS ADICIONALES'!$S$4:$T$32,2,FALSE)*(1+i/frec)^-0.5*(1+Parámetros!$D$103)*(1+rec_fracc)/frec*$CO$42),2))</f>
        <v/>
      </c>
      <c r="CS507" s="119" t="str">
        <f t="shared" si="712"/>
        <v/>
      </c>
      <c r="CT507" s="66" t="str">
        <f>+IF($W507="","",ROUND(IF($B507&gt;Parámetros!$D$107,'Tablas Servicio'!CR507+('Tablas Servicio'!CT506-'Tablas Servicio'!CR506),CR507/(1-IF(B507&lt;=10,Parámetros!$D$100,0))),2))</f>
        <v/>
      </c>
      <c r="CU507" s="66" t="str">
        <f t="shared" si="713"/>
        <v/>
      </c>
      <c r="CV507" s="66" t="str">
        <f t="shared" si="713"/>
        <v/>
      </c>
      <c r="CW507" s="66" t="str">
        <f>+IF($W507="","",ROUND((CT507*Parámetros!$G$85),2))</f>
        <v/>
      </c>
      <c r="CX507" s="66" t="str">
        <f>+IF($W507="","",ROUND((CT507*(Parámetros!$G$86)),2))</f>
        <v/>
      </c>
      <c r="CY507" s="66" t="str">
        <f t="shared" si="714"/>
        <v/>
      </c>
      <c r="CZ507" t="str">
        <f t="shared" si="755"/>
        <v/>
      </c>
      <c r="DA507" s="118" t="str">
        <f t="shared" si="756"/>
        <v/>
      </c>
      <c r="DB507" s="118" t="str">
        <f t="shared" si="757"/>
        <v/>
      </c>
      <c r="DC507" s="118" t="str">
        <f t="shared" si="758"/>
        <v/>
      </c>
      <c r="DD507" s="121" t="str">
        <f>+IF(OR($W507="",DB507=0),"",ROUND((VLOOKUP(ROUNDDOWN($D507-1/frec,0),cob_adi,CO$40,FALSE)*(1+i/frec)^-0.5*(1+Parámetros!$D$103)*(1+rec_fracc)/frec),6))</f>
        <v/>
      </c>
      <c r="DE507" s="66" t="str">
        <f t="shared" si="715"/>
        <v/>
      </c>
      <c r="DF507" s="119" t="str">
        <f t="shared" si="716"/>
        <v/>
      </c>
      <c r="DG507" s="66" t="str">
        <f>+IF($W507="","",ROUND(IF($B507&gt;Parámetros!$D$107,'Tablas Servicio'!DE507+('Tablas Servicio'!DG506-'Tablas Servicio'!DE506),DE507/(1-IF(B507&lt;=10,Parámetros!$D$100,0))),2))</f>
        <v/>
      </c>
      <c r="DH507" s="66" t="str">
        <f t="shared" si="717"/>
        <v/>
      </c>
      <c r="DI507" s="66" t="str">
        <f t="shared" si="717"/>
        <v/>
      </c>
      <c r="DJ507" s="66" t="str">
        <f>+IF($W507="","",ROUND((DG507*Parámetros!$G$85),2))</f>
        <v/>
      </c>
      <c r="DK507" s="66" t="str">
        <f>+IF($W507="","",ROUND((DG507*(Parámetros!$G$86)),2))</f>
        <v/>
      </c>
      <c r="DL507" s="66" t="str">
        <f t="shared" si="718"/>
        <v/>
      </c>
      <c r="DM507" t="str">
        <f t="shared" si="759"/>
        <v/>
      </c>
      <c r="DN507" s="118" t="str">
        <f t="shared" si="760"/>
        <v/>
      </c>
      <c r="DO507" s="118" t="str">
        <f t="shared" si="761"/>
        <v/>
      </c>
      <c r="DP507" s="118" t="str">
        <f t="shared" si="762"/>
        <v/>
      </c>
      <c r="DQ507" s="122" t="str">
        <f>+IF(OR($W507="",DO507=0),"",ROUND((VLOOKUP(ROUNDDOWN($D507-1/frec,0),cob_adi,DB$40,FALSE)*(1+i/frec)^-0.5*(1+Parámetros!$D$103)*(1+rec_fracc)/frec),6))</f>
        <v/>
      </c>
      <c r="DR507" s="66" t="str">
        <f t="shared" si="719"/>
        <v/>
      </c>
      <c r="DS507" s="68" t="str">
        <f t="shared" si="720"/>
        <v/>
      </c>
      <c r="DT507" s="66" t="str">
        <f>+IF($W507="","",ROUND(IF($B507&gt;Parámetros!$D$107,'Tablas Servicio'!DR507+('Tablas Servicio'!DT506-'Tablas Servicio'!DR506),DR507/(1-IF(B507&lt;=10,Parámetros!$D$100,0))),2))</f>
        <v/>
      </c>
      <c r="DU507" s="66" t="str">
        <f t="shared" si="721"/>
        <v/>
      </c>
      <c r="DV507" s="66" t="str">
        <f t="shared" si="721"/>
        <v/>
      </c>
      <c r="DW507" s="66" t="str">
        <f>+IF($W507="","",ROUND((DT507*Parámetros!$G$85),2))</f>
        <v/>
      </c>
      <c r="DX507" s="66" t="str">
        <f>+IF($W507="","",ROUND((DT507*(Parámetros!$G$86)),2))</f>
        <v/>
      </c>
      <c r="DY507" s="66" t="str">
        <f t="shared" si="722"/>
        <v/>
      </c>
      <c r="DZ507" t="str">
        <f t="shared" ref="DZ507:EC522" si="763">+IF($W507="","",DZ506)</f>
        <v/>
      </c>
      <c r="EA507" s="118" t="str">
        <f t="shared" si="763"/>
        <v/>
      </c>
      <c r="EB507" s="118" t="str">
        <f>+IF($W507="","",ROUND(IF(Parámetros!$D$25='TABLAS MORT'!$V$33,EB506,Z507/2),0))</f>
        <v/>
      </c>
      <c r="EC507" s="118" t="str">
        <f t="shared" si="763"/>
        <v/>
      </c>
      <c r="ED507" s="122" t="str">
        <f>+IF(OR($W507="",EB507=0),"",ROUND((VLOOKUP(ROUNDDOWN($D507-1/frec,0),cob_adi,DO$40,FALSE)*(1+i/frec)^-0.5*(1+Parámetros!$D$103)*(1+rec_fracc)/frec),6))</f>
        <v/>
      </c>
      <c r="EE507" s="66" t="str">
        <f t="shared" si="724"/>
        <v/>
      </c>
      <c r="EF507" s="68" t="str">
        <f t="shared" si="725"/>
        <v/>
      </c>
      <c r="EG507" s="66" t="str">
        <f>+IF($W507="","",ROUND(IF($B507&gt;Parámetros!$D$107,'Tablas Servicio'!EE507+('Tablas Servicio'!EG506-'Tablas Servicio'!EE506),EE507/(1-IF(B507&lt;=10,Parámetros!$D$100,0))),2))</f>
        <v/>
      </c>
      <c r="EH507" s="66" t="str">
        <f t="shared" si="726"/>
        <v/>
      </c>
      <c r="EI507" s="66" t="str">
        <f t="shared" si="726"/>
        <v/>
      </c>
      <c r="EJ507" s="66" t="str">
        <f>+IF($W507="","",ROUND((EG507*Parámetros!$G$85),2))</f>
        <v/>
      </c>
      <c r="EK507" s="66" t="str">
        <f>+IF($W507="","",ROUND((EG507*(Parámetros!$G$86)),2))</f>
        <v/>
      </c>
      <c r="EL507" s="66" t="str">
        <f t="shared" si="727"/>
        <v/>
      </c>
    </row>
    <row r="508" spans="1:142" x14ac:dyDescent="0.25">
      <c r="A508" t="str">
        <f>+IF($C508="","",ROUND(VLOOKUP('Tablas Servicio'!B508,Parámetros!$H$100:$J$159,IF(Parámetros!$E$16="F",2,3),FALSE),2))</f>
        <v/>
      </c>
      <c r="B508" t="str">
        <f t="shared" si="678"/>
        <v/>
      </c>
      <c r="C508" s="57" t="str">
        <f>+IF(D508="","",'Tablas Servicio'!C507+1)</f>
        <v/>
      </c>
      <c r="D508" s="56" t="str">
        <f>+IF(D507&lt;edadmaxtabla,D507+1/Parámetros!$E$25,"")</f>
        <v/>
      </c>
      <c r="E508" s="57" t="str">
        <f t="shared" si="688"/>
        <v/>
      </c>
      <c r="F508" s="59" t="str">
        <f t="shared" si="689"/>
        <v/>
      </c>
      <c r="G508" s="66" t="str">
        <f t="shared" si="679"/>
        <v/>
      </c>
      <c r="H508" s="66" t="str">
        <f t="shared" si="680"/>
        <v/>
      </c>
      <c r="I508" s="66" t="str">
        <f t="shared" si="728"/>
        <v/>
      </c>
      <c r="J508" s="66" t="str">
        <f t="shared" si="681"/>
        <v/>
      </c>
      <c r="K508" s="66" t="str">
        <f t="shared" si="682"/>
        <v/>
      </c>
      <c r="L508" s="66" t="str">
        <f t="shared" si="683"/>
        <v/>
      </c>
      <c r="M508" s="66" t="str">
        <f t="shared" si="684"/>
        <v/>
      </c>
      <c r="N508" s="66" t="str">
        <f>+IF(C508="","",ROUND(Parámetros!$D$23,2))</f>
        <v/>
      </c>
      <c r="O508" s="66" t="str">
        <f t="shared" si="685"/>
        <v/>
      </c>
      <c r="P508" s="66" t="str">
        <f>+IF($C508="","",ROUND(IF(B508&gt;Parámetros!$D$117,0,N508*Parámetros!$D$116-G508*Parámetros!$D$100),2))</f>
        <v/>
      </c>
      <c r="Q508" s="75" t="str">
        <f t="shared" si="729"/>
        <v/>
      </c>
      <c r="R508" s="75" t="str">
        <f t="shared" si="730"/>
        <v/>
      </c>
      <c r="S508" s="117" t="str">
        <f>+IF($C508="","",ROUND((S507+I508)*(1+Parámetros!$D$91),2))</f>
        <v/>
      </c>
      <c r="T508" s="117" t="str">
        <f>+IF($C508="","",ROUND(S508*VLOOKUP(B508,Parámetros!$C$30:$D$39,2,TRUE),2))</f>
        <v/>
      </c>
      <c r="U508" s="117" t="str">
        <f>+IF($C508="","",ROUND((U507+I508)*(1+Parámetros!$D$92),2))</f>
        <v/>
      </c>
      <c r="V508" s="117" t="str">
        <f>+IF($C508="","",ROUND(U508*VLOOKUP(B508,Parámetros!$C$30:$D$39,2,TRUE),2))</f>
        <v/>
      </c>
      <c r="W508" s="57" t="str">
        <f t="shared" si="731"/>
        <v/>
      </c>
      <c r="X508" t="str">
        <f t="shared" si="732"/>
        <v/>
      </c>
      <c r="Y508" t="str">
        <f t="shared" si="733"/>
        <v/>
      </c>
      <c r="Z508" s="118" t="str">
        <f>+IF($W508="","",ROUND(IF(Parámetros!$D$25='TABLAS MORT'!$V$33,Z507,Parámetros!$D$21-'Tablas Servicio'!T507),0))</f>
        <v/>
      </c>
      <c r="AA508" s="118" t="str">
        <f t="shared" si="734"/>
        <v/>
      </c>
      <c r="AB508" s="119" t="str">
        <f>+IF(W508="","",ROUND((VLOOKUP(ROUNDDOWN($D508-1/frec,0),qx_tabla,2,FALSE)*(1+i/frec)^-0.5*(1+Parámetros!$D$103)*(1+rec_fracc)/frec),6))</f>
        <v/>
      </c>
      <c r="AC508" s="66" t="str">
        <f t="shared" si="690"/>
        <v/>
      </c>
      <c r="AD508" s="119" t="str">
        <f t="shared" si="686"/>
        <v/>
      </c>
      <c r="AE508" s="66" t="str">
        <f>+IF($W508="","",ROUND(IF($B508&gt;Parámetros!$D$107,'Tablas Servicio'!AC508+('Tablas Servicio'!AG507-'Tablas Servicio'!AC507),AC508/(1-IF(B508&lt;=10,Parámetros!$D$104,Parámetros!$D$105))),2))</f>
        <v/>
      </c>
      <c r="AF508" s="66" t="str">
        <f>+IF($W508="","",ROUND(IF($B508&gt;Parámetros!$D$107,'Tablas Servicio'!AC508+('Tablas Servicio'!AG507-'Tablas Servicio'!AC507),(AC508+$A507/frec)/(1-IF(B508&lt;=Parámetros!$D$117,Parámetros!$D$100,0))),2))</f>
        <v/>
      </c>
      <c r="AG508" s="66" t="str">
        <f t="shared" si="691"/>
        <v/>
      </c>
      <c r="AH508" s="66" t="str">
        <f t="shared" si="692"/>
        <v/>
      </c>
      <c r="AI508" s="66" t="str">
        <f t="shared" si="693"/>
        <v/>
      </c>
      <c r="AJ508" s="66" t="str">
        <f>+IF($W508="","",ROUND((AG508*Parámetros!$G$85),2))</f>
        <v/>
      </c>
      <c r="AK508" s="66" t="str">
        <f>+IF($W508="","",ROUND((AG508*(Parámetros!$G$86)),2))</f>
        <v/>
      </c>
      <c r="AL508" s="66" t="str">
        <f t="shared" si="687"/>
        <v/>
      </c>
      <c r="AM508" t="str">
        <f t="shared" si="735"/>
        <v/>
      </c>
      <c r="AN508" t="str">
        <f t="shared" si="736"/>
        <v/>
      </c>
      <c r="AO508" s="118" t="str">
        <f t="shared" si="737"/>
        <v/>
      </c>
      <c r="AP508" s="118" t="str">
        <f t="shared" si="738"/>
        <v/>
      </c>
      <c r="AQ508" s="119" t="str">
        <f>+IF(OR($W508="",AO508=0),"",ROUND((VLOOKUP(ROUNDDOWN($D508-1/frec,0),cob_adi,Z$40,FALSE)*(1+i/frec)^-0.5*(1+Parámetros!$D$103)*(1+rec_fracc)/frec),6))</f>
        <v/>
      </c>
      <c r="AR508" s="66" t="str">
        <f t="shared" si="694"/>
        <v/>
      </c>
      <c r="AS508" s="119" t="str">
        <f t="shared" si="695"/>
        <v/>
      </c>
      <c r="AT508" s="66" t="str">
        <f>+IF($W508="","",ROUND(IF($B508&gt;Parámetros!$D$107,'Tablas Servicio'!AR508+('Tablas Servicio'!AT507-'Tablas Servicio'!AR507),AR508/(1-IF(B508&lt;=10,Parámetros!$D$100,0))),2))</f>
        <v/>
      </c>
      <c r="AU508" s="66" t="str">
        <f t="shared" si="696"/>
        <v/>
      </c>
      <c r="AV508" s="66" t="str">
        <f t="shared" si="696"/>
        <v/>
      </c>
      <c r="AW508" s="66" t="str">
        <f>+IF($W508="","",ROUND((AT508*Parámetros!$G$85),2))</f>
        <v/>
      </c>
      <c r="AX508" s="66" t="str">
        <f>+IF($W508="","",ROUND((AT508*(Parámetros!$G$86)),2))</f>
        <v/>
      </c>
      <c r="AY508" s="66" t="str">
        <f t="shared" si="697"/>
        <v/>
      </c>
      <c r="AZ508" t="str">
        <f t="shared" si="739"/>
        <v/>
      </c>
      <c r="BA508" t="str">
        <f t="shared" si="740"/>
        <v/>
      </c>
      <c r="BB508" s="118" t="str">
        <f t="shared" si="741"/>
        <v/>
      </c>
      <c r="BC508" s="118" t="str">
        <f t="shared" si="742"/>
        <v/>
      </c>
      <c r="BD508" s="119" t="str">
        <f>+IF(OR($W508="",BB508=0),"",ROUND((VLOOKUP(ROUNDDOWN($D508-1/frec,0),cob_adi,AO$40,FALSE)*(1+i/frec)^-0.5*(1+Parámetros!$D$103)*(1+rec_fracc)/frec),6))</f>
        <v/>
      </c>
      <c r="BE508" s="66" t="str">
        <f t="shared" si="698"/>
        <v/>
      </c>
      <c r="BF508" s="119" t="str">
        <f t="shared" si="699"/>
        <v/>
      </c>
      <c r="BG508" s="66" t="str">
        <f>+IF($W508="","",ROUND(IF($B508&gt;Parámetros!$D$107,'Tablas Servicio'!BE508+('Tablas Servicio'!BG507-'Tablas Servicio'!BE507),BE508/(1-IF(B508&lt;=10,Parámetros!$D$100,0))),2))</f>
        <v/>
      </c>
      <c r="BH508" s="66" t="str">
        <f t="shared" si="700"/>
        <v/>
      </c>
      <c r="BI508" s="66" t="str">
        <f t="shared" si="701"/>
        <v/>
      </c>
      <c r="BJ508" s="66" t="str">
        <f>+IF($W508="","",ROUND((BG508*Parámetros!$G$85),2))</f>
        <v/>
      </c>
      <c r="BK508" s="66" t="str">
        <f>+IF($W508="","",ROUND((BG508*(Parámetros!$G$86)),2))</f>
        <v/>
      </c>
      <c r="BL508" s="66" t="str">
        <f t="shared" si="702"/>
        <v/>
      </c>
      <c r="BM508" t="str">
        <f t="shared" si="743"/>
        <v/>
      </c>
      <c r="BN508" t="str">
        <f t="shared" si="744"/>
        <v/>
      </c>
      <c r="BO508" s="118" t="str">
        <f t="shared" si="745"/>
        <v/>
      </c>
      <c r="BP508" s="118" t="str">
        <f t="shared" si="746"/>
        <v/>
      </c>
      <c r="BQ508" s="119" t="str">
        <f>+IF(OR($W508="",BO508=0),"",ROUND((VLOOKUP(ROUNDDOWN($D508-1/frec,0),cob_adi,BB$40,FALSE)*(1+i/frec)^-0.5*(1+Parámetros!$D$103)*(1+rec_fracc)/frec),6))</f>
        <v/>
      </c>
      <c r="BR508" s="66" t="str">
        <f t="shared" si="703"/>
        <v/>
      </c>
      <c r="BS508" s="119" t="str">
        <f t="shared" si="704"/>
        <v/>
      </c>
      <c r="BT508" s="66" t="str">
        <f>+IF($W508="","",ROUND(IF($B508&gt;Parámetros!$D$107,'Tablas Servicio'!BR508+('Tablas Servicio'!BT507-'Tablas Servicio'!BR507),BR508/(1-IF(B508&lt;=10,Parámetros!$D$100,0))),2))</f>
        <v/>
      </c>
      <c r="BU508" s="66" t="str">
        <f t="shared" si="705"/>
        <v/>
      </c>
      <c r="BV508" s="66" t="str">
        <f t="shared" si="705"/>
        <v/>
      </c>
      <c r="BW508" s="66" t="str">
        <f>+IF($W508="","",ROUND((BT508*Parámetros!$G$85),2))</f>
        <v/>
      </c>
      <c r="BX508" s="66" t="str">
        <f>+IF($W508="","",ROUND((BT508*(Parámetros!$G$86)),2))</f>
        <v/>
      </c>
      <c r="BY508" s="66" t="str">
        <f t="shared" si="706"/>
        <v/>
      </c>
      <c r="BZ508" t="str">
        <f t="shared" si="747"/>
        <v/>
      </c>
      <c r="CA508" t="str">
        <f t="shared" si="748"/>
        <v/>
      </c>
      <c r="CB508" s="118" t="str">
        <f t="shared" si="749"/>
        <v/>
      </c>
      <c r="CC508" s="118" t="str">
        <f t="shared" si="750"/>
        <v/>
      </c>
      <c r="CD508" s="119" t="str">
        <f t="shared" si="707"/>
        <v/>
      </c>
      <c r="CE508" s="66" t="str">
        <f>+IF($W508="","",ROUND((VLOOKUP(ROUNDDOWN($D508-1/frec,0),cob_adi,BO$40,FALSE)*(1+i/frec)^-0.5*(1+Parámetros!$D$103)*(1+rec_fracc)/frec*'TABLAS ADI'!$BC$17),2))</f>
        <v/>
      </c>
      <c r="CF508" s="119" t="str">
        <f t="shared" si="708"/>
        <v/>
      </c>
      <c r="CG508" s="66" t="str">
        <f>+IF($W508="","",ROUND(IF($B508&gt;Parámetros!$D$107,'Tablas Servicio'!CE508+('Tablas Servicio'!CG507-'Tablas Servicio'!CE507),CE508/(1-IF(B508&lt;=10,Parámetros!$D$100,0))),2))</f>
        <v/>
      </c>
      <c r="CH508" s="66" t="str">
        <f t="shared" si="709"/>
        <v/>
      </c>
      <c r="CI508" s="66" t="str">
        <f t="shared" si="709"/>
        <v/>
      </c>
      <c r="CJ508" s="66" t="str">
        <f>+IF($W508="","",ROUND((CG508*Parámetros!$G$85),2))</f>
        <v/>
      </c>
      <c r="CK508" s="66" t="str">
        <f>+IF($W508="","",ROUND((CG508*(Parámetros!$G$86)),2))</f>
        <v/>
      </c>
      <c r="CL508" s="66" t="str">
        <f t="shared" si="710"/>
        <v/>
      </c>
      <c r="CM508" t="str">
        <f t="shared" si="751"/>
        <v/>
      </c>
      <c r="CN508" s="118" t="str">
        <f t="shared" si="752"/>
        <v/>
      </c>
      <c r="CO508" s="118" t="str">
        <f t="shared" si="753"/>
        <v/>
      </c>
      <c r="CP508" s="118" t="str">
        <f t="shared" si="754"/>
        <v/>
      </c>
      <c r="CQ508" s="119" t="str">
        <f t="shared" si="711"/>
        <v/>
      </c>
      <c r="CR508" s="66" t="str">
        <f>+IF($W508="","",ROUND((VLOOKUP(Parámetros!$F$51,'COBERTURAS ADICIONALES'!$S$4:$T$32,2,FALSE)*(1+i/frec)^-0.5*(1+Parámetros!$D$103)*(1+rec_fracc)/frec*$CO$42),2))</f>
        <v/>
      </c>
      <c r="CS508" s="119" t="str">
        <f t="shared" si="712"/>
        <v/>
      </c>
      <c r="CT508" s="66" t="str">
        <f>+IF($W508="","",ROUND(IF($B508&gt;Parámetros!$D$107,'Tablas Servicio'!CR508+('Tablas Servicio'!CT507-'Tablas Servicio'!CR507),CR508/(1-IF(B508&lt;=10,Parámetros!$D$100,0))),2))</f>
        <v/>
      </c>
      <c r="CU508" s="66" t="str">
        <f t="shared" si="713"/>
        <v/>
      </c>
      <c r="CV508" s="66" t="str">
        <f t="shared" si="713"/>
        <v/>
      </c>
      <c r="CW508" s="66" t="str">
        <f>+IF($W508="","",ROUND((CT508*Parámetros!$G$85),2))</f>
        <v/>
      </c>
      <c r="CX508" s="66" t="str">
        <f>+IF($W508="","",ROUND((CT508*(Parámetros!$G$86)),2))</f>
        <v/>
      </c>
      <c r="CY508" s="66" t="str">
        <f t="shared" si="714"/>
        <v/>
      </c>
      <c r="CZ508" t="str">
        <f t="shared" si="755"/>
        <v/>
      </c>
      <c r="DA508" s="118" t="str">
        <f t="shared" si="756"/>
        <v/>
      </c>
      <c r="DB508" s="118" t="str">
        <f t="shared" si="757"/>
        <v/>
      </c>
      <c r="DC508" s="118" t="str">
        <f t="shared" si="758"/>
        <v/>
      </c>
      <c r="DD508" s="121" t="str">
        <f>+IF(OR($W508="",DB508=0),"",ROUND((VLOOKUP(ROUNDDOWN($D508-1/frec,0),cob_adi,CO$40,FALSE)*(1+i/frec)^-0.5*(1+Parámetros!$D$103)*(1+rec_fracc)/frec),6))</f>
        <v/>
      </c>
      <c r="DE508" s="66" t="str">
        <f t="shared" si="715"/>
        <v/>
      </c>
      <c r="DF508" s="119" t="str">
        <f t="shared" si="716"/>
        <v/>
      </c>
      <c r="DG508" s="66" t="str">
        <f>+IF($W508="","",ROUND(IF($B508&gt;Parámetros!$D$107,'Tablas Servicio'!DE508+('Tablas Servicio'!DG507-'Tablas Servicio'!DE507),DE508/(1-IF(B508&lt;=10,Parámetros!$D$100,0))),2))</f>
        <v/>
      </c>
      <c r="DH508" s="66" t="str">
        <f t="shared" si="717"/>
        <v/>
      </c>
      <c r="DI508" s="66" t="str">
        <f t="shared" si="717"/>
        <v/>
      </c>
      <c r="DJ508" s="66" t="str">
        <f>+IF($W508="","",ROUND((DG508*Parámetros!$G$85),2))</f>
        <v/>
      </c>
      <c r="DK508" s="66" t="str">
        <f>+IF($W508="","",ROUND((DG508*(Parámetros!$G$86)),2))</f>
        <v/>
      </c>
      <c r="DL508" s="66" t="str">
        <f t="shared" si="718"/>
        <v/>
      </c>
      <c r="DM508" t="str">
        <f t="shared" si="759"/>
        <v/>
      </c>
      <c r="DN508" s="118" t="str">
        <f t="shared" si="760"/>
        <v/>
      </c>
      <c r="DO508" s="118" t="str">
        <f t="shared" si="761"/>
        <v/>
      </c>
      <c r="DP508" s="118" t="str">
        <f t="shared" si="762"/>
        <v/>
      </c>
      <c r="DQ508" s="122" t="str">
        <f>+IF(OR($W508="",DO508=0),"",ROUND((VLOOKUP(ROUNDDOWN($D508-1/frec,0),cob_adi,DB$40,FALSE)*(1+i/frec)^-0.5*(1+Parámetros!$D$103)*(1+rec_fracc)/frec),6))</f>
        <v/>
      </c>
      <c r="DR508" s="66" t="str">
        <f t="shared" si="719"/>
        <v/>
      </c>
      <c r="DS508" s="68" t="str">
        <f t="shared" si="720"/>
        <v/>
      </c>
      <c r="DT508" s="66" t="str">
        <f>+IF($W508="","",ROUND(IF($B508&gt;Parámetros!$D$107,'Tablas Servicio'!DR508+('Tablas Servicio'!DT507-'Tablas Servicio'!DR507),DR508/(1-IF(B508&lt;=10,Parámetros!$D$100,0))),2))</f>
        <v/>
      </c>
      <c r="DU508" s="66" t="str">
        <f t="shared" si="721"/>
        <v/>
      </c>
      <c r="DV508" s="66" t="str">
        <f t="shared" si="721"/>
        <v/>
      </c>
      <c r="DW508" s="66" t="str">
        <f>+IF($W508="","",ROUND((DT508*Parámetros!$G$85),2))</f>
        <v/>
      </c>
      <c r="DX508" s="66" t="str">
        <f>+IF($W508="","",ROUND((DT508*(Parámetros!$G$86)),2))</f>
        <v/>
      </c>
      <c r="DY508" s="66" t="str">
        <f t="shared" si="722"/>
        <v/>
      </c>
      <c r="DZ508" t="str">
        <f t="shared" si="763"/>
        <v/>
      </c>
      <c r="EA508" s="118" t="str">
        <f t="shared" si="763"/>
        <v/>
      </c>
      <c r="EB508" s="118" t="str">
        <f>+IF($W508="","",ROUND(IF(Parámetros!$D$25='TABLAS MORT'!$V$33,EB507,Z508/2),0))</f>
        <v/>
      </c>
      <c r="EC508" s="118" t="str">
        <f t="shared" si="763"/>
        <v/>
      </c>
      <c r="ED508" s="122" t="str">
        <f>+IF(OR($W508="",EB508=0),"",ROUND((VLOOKUP(ROUNDDOWN($D508-1/frec,0),cob_adi,DO$40,FALSE)*(1+i/frec)^-0.5*(1+Parámetros!$D$103)*(1+rec_fracc)/frec),6))</f>
        <v/>
      </c>
      <c r="EE508" s="66" t="str">
        <f t="shared" si="724"/>
        <v/>
      </c>
      <c r="EF508" s="68" t="str">
        <f t="shared" si="725"/>
        <v/>
      </c>
      <c r="EG508" s="66" t="str">
        <f>+IF($W508="","",ROUND(IF($B508&gt;Parámetros!$D$107,'Tablas Servicio'!EE508+('Tablas Servicio'!EG507-'Tablas Servicio'!EE507),EE508/(1-IF(B508&lt;=10,Parámetros!$D$100,0))),2))</f>
        <v/>
      </c>
      <c r="EH508" s="66" t="str">
        <f t="shared" si="726"/>
        <v/>
      </c>
      <c r="EI508" s="66" t="str">
        <f t="shared" si="726"/>
        <v/>
      </c>
      <c r="EJ508" s="66" t="str">
        <f>+IF($W508="","",ROUND((EG508*Parámetros!$G$85),2))</f>
        <v/>
      </c>
      <c r="EK508" s="66" t="str">
        <f>+IF($W508="","",ROUND((EG508*(Parámetros!$G$86)),2))</f>
        <v/>
      </c>
      <c r="EL508" s="66" t="str">
        <f t="shared" si="727"/>
        <v/>
      </c>
    </row>
    <row r="509" spans="1:142" x14ac:dyDescent="0.25">
      <c r="A509" t="str">
        <f>+IF($C509="","",ROUND(VLOOKUP('Tablas Servicio'!B509,Parámetros!$H$100:$J$159,IF(Parámetros!$E$16="F",2,3),FALSE),2))</f>
        <v/>
      </c>
      <c r="B509" t="str">
        <f t="shared" si="678"/>
        <v/>
      </c>
      <c r="C509" s="57" t="str">
        <f>+IF(D509="","",'Tablas Servicio'!C508+1)</f>
        <v/>
      </c>
      <c r="D509" s="56" t="str">
        <f>+IF(D508&lt;edadmaxtabla,D508+1/Parámetros!$E$25,"")</f>
        <v/>
      </c>
      <c r="E509" s="57" t="str">
        <f t="shared" si="688"/>
        <v/>
      </c>
      <c r="F509" s="59" t="str">
        <f t="shared" si="689"/>
        <v/>
      </c>
      <c r="G509" s="66" t="str">
        <f t="shared" si="679"/>
        <v/>
      </c>
      <c r="H509" s="66" t="str">
        <f t="shared" si="680"/>
        <v/>
      </c>
      <c r="I509" s="66" t="str">
        <f t="shared" si="728"/>
        <v/>
      </c>
      <c r="J509" s="66" t="str">
        <f t="shared" si="681"/>
        <v/>
      </c>
      <c r="K509" s="66" t="str">
        <f t="shared" si="682"/>
        <v/>
      </c>
      <c r="L509" s="66" t="str">
        <f t="shared" si="683"/>
        <v/>
      </c>
      <c r="M509" s="66" t="str">
        <f t="shared" si="684"/>
        <v/>
      </c>
      <c r="N509" s="66" t="str">
        <f>+IF(C509="","",ROUND(Parámetros!$D$23,2))</f>
        <v/>
      </c>
      <c r="O509" s="66" t="str">
        <f t="shared" si="685"/>
        <v/>
      </c>
      <c r="P509" s="66" t="str">
        <f>+IF($C509="","",ROUND(IF(B509&gt;Parámetros!$D$117,0,N509*Parámetros!$D$116-G509*Parámetros!$D$100),2))</f>
        <v/>
      </c>
      <c r="Q509" s="75" t="str">
        <f t="shared" si="729"/>
        <v/>
      </c>
      <c r="R509" s="75" t="str">
        <f t="shared" si="730"/>
        <v/>
      </c>
      <c r="S509" s="117" t="str">
        <f>+IF($C509="","",ROUND((S508+I509)*(1+Parámetros!$D$91),2))</f>
        <v/>
      </c>
      <c r="T509" s="117" t="str">
        <f>+IF($C509="","",ROUND(S509*VLOOKUP(B509,Parámetros!$C$30:$D$39,2,TRUE),2))</f>
        <v/>
      </c>
      <c r="U509" s="117" t="str">
        <f>+IF($C509="","",ROUND((U508+I509)*(1+Parámetros!$D$92),2))</f>
        <v/>
      </c>
      <c r="V509" s="117" t="str">
        <f>+IF($C509="","",ROUND(U509*VLOOKUP(B509,Parámetros!$C$30:$D$39,2,TRUE),2))</f>
        <v/>
      </c>
      <c r="W509" s="57" t="str">
        <f t="shared" si="731"/>
        <v/>
      </c>
      <c r="X509" t="str">
        <f t="shared" si="732"/>
        <v/>
      </c>
      <c r="Y509" t="str">
        <f t="shared" si="733"/>
        <v/>
      </c>
      <c r="Z509" s="118" t="str">
        <f>+IF($W509="","",ROUND(IF(Parámetros!$D$25='TABLAS MORT'!$V$33,Z508,Parámetros!$D$21-'Tablas Servicio'!T508),0))</f>
        <v/>
      </c>
      <c r="AA509" s="118" t="str">
        <f t="shared" si="734"/>
        <v/>
      </c>
      <c r="AB509" s="119" t="str">
        <f>+IF(W509="","",ROUND((VLOOKUP(ROUNDDOWN($D509-1/frec,0),qx_tabla,2,FALSE)*(1+i/frec)^-0.5*(1+Parámetros!$D$103)*(1+rec_fracc)/frec),6))</f>
        <v/>
      </c>
      <c r="AC509" s="66" t="str">
        <f t="shared" si="690"/>
        <v/>
      </c>
      <c r="AD509" s="119" t="str">
        <f t="shared" si="686"/>
        <v/>
      </c>
      <c r="AE509" s="66" t="str">
        <f>+IF($W509="","",ROUND(IF($B509&gt;Parámetros!$D$107,'Tablas Servicio'!AC509+('Tablas Servicio'!AG508-'Tablas Servicio'!AC508),AC509/(1-IF(B509&lt;=10,Parámetros!$D$104,Parámetros!$D$105))),2))</f>
        <v/>
      </c>
      <c r="AF509" s="66" t="str">
        <f>+IF($W509="","",ROUND(IF($B509&gt;Parámetros!$D$107,'Tablas Servicio'!AC509+('Tablas Servicio'!AG508-'Tablas Servicio'!AC508),(AC509+$A508/frec)/(1-IF(B509&lt;=Parámetros!$D$117,Parámetros!$D$100,0))),2))</f>
        <v/>
      </c>
      <c r="AG509" s="66" t="str">
        <f t="shared" si="691"/>
        <v/>
      </c>
      <c r="AH509" s="66" t="str">
        <f t="shared" si="692"/>
        <v/>
      </c>
      <c r="AI509" s="66" t="str">
        <f t="shared" si="693"/>
        <v/>
      </c>
      <c r="AJ509" s="66" t="str">
        <f>+IF($W509="","",ROUND((AG509*Parámetros!$G$85),2))</f>
        <v/>
      </c>
      <c r="AK509" s="66" t="str">
        <f>+IF($W509="","",ROUND((AG509*(Parámetros!$G$86)),2))</f>
        <v/>
      </c>
      <c r="AL509" s="66" t="str">
        <f t="shared" si="687"/>
        <v/>
      </c>
      <c r="AM509" t="str">
        <f t="shared" si="735"/>
        <v/>
      </c>
      <c r="AN509" t="str">
        <f t="shared" si="736"/>
        <v/>
      </c>
      <c r="AO509" s="118" t="str">
        <f t="shared" si="737"/>
        <v/>
      </c>
      <c r="AP509" s="118" t="str">
        <f t="shared" si="738"/>
        <v/>
      </c>
      <c r="AQ509" s="119" t="str">
        <f>+IF(OR($W509="",AO509=0),"",ROUND((VLOOKUP(ROUNDDOWN($D509-1/frec,0),cob_adi,Z$40,FALSE)*(1+i/frec)^-0.5*(1+Parámetros!$D$103)*(1+rec_fracc)/frec),6))</f>
        <v/>
      </c>
      <c r="AR509" s="66" t="str">
        <f t="shared" si="694"/>
        <v/>
      </c>
      <c r="AS509" s="119" t="str">
        <f t="shared" si="695"/>
        <v/>
      </c>
      <c r="AT509" s="66" t="str">
        <f>+IF($W509="","",ROUND(IF($B509&gt;Parámetros!$D$107,'Tablas Servicio'!AR509+('Tablas Servicio'!AT508-'Tablas Servicio'!AR508),AR509/(1-IF(B509&lt;=10,Parámetros!$D$100,0))),2))</f>
        <v/>
      </c>
      <c r="AU509" s="66" t="str">
        <f t="shared" si="696"/>
        <v/>
      </c>
      <c r="AV509" s="66" t="str">
        <f t="shared" si="696"/>
        <v/>
      </c>
      <c r="AW509" s="66" t="str">
        <f>+IF($W509="","",ROUND((AT509*Parámetros!$G$85),2))</f>
        <v/>
      </c>
      <c r="AX509" s="66" t="str">
        <f>+IF($W509="","",ROUND((AT509*(Parámetros!$G$86)),2))</f>
        <v/>
      </c>
      <c r="AY509" s="66" t="str">
        <f t="shared" si="697"/>
        <v/>
      </c>
      <c r="AZ509" t="str">
        <f t="shared" si="739"/>
        <v/>
      </c>
      <c r="BA509" t="str">
        <f t="shared" si="740"/>
        <v/>
      </c>
      <c r="BB509" s="118" t="str">
        <f t="shared" si="741"/>
        <v/>
      </c>
      <c r="BC509" s="118" t="str">
        <f t="shared" si="742"/>
        <v/>
      </c>
      <c r="BD509" s="119" t="str">
        <f>+IF(OR($W509="",BB509=0),"",ROUND((VLOOKUP(ROUNDDOWN($D509-1/frec,0),cob_adi,AO$40,FALSE)*(1+i/frec)^-0.5*(1+Parámetros!$D$103)*(1+rec_fracc)/frec),6))</f>
        <v/>
      </c>
      <c r="BE509" s="66" t="str">
        <f t="shared" si="698"/>
        <v/>
      </c>
      <c r="BF509" s="119" t="str">
        <f t="shared" si="699"/>
        <v/>
      </c>
      <c r="BG509" s="66" t="str">
        <f>+IF($W509="","",ROUND(IF($B509&gt;Parámetros!$D$107,'Tablas Servicio'!BE509+('Tablas Servicio'!BG508-'Tablas Servicio'!BE508),BE509/(1-IF(B509&lt;=10,Parámetros!$D$100,0))),2))</f>
        <v/>
      </c>
      <c r="BH509" s="66" t="str">
        <f t="shared" si="700"/>
        <v/>
      </c>
      <c r="BI509" s="66" t="str">
        <f t="shared" si="701"/>
        <v/>
      </c>
      <c r="BJ509" s="66" t="str">
        <f>+IF($W509="","",ROUND((BG509*Parámetros!$G$85),2))</f>
        <v/>
      </c>
      <c r="BK509" s="66" t="str">
        <f>+IF($W509="","",ROUND((BG509*(Parámetros!$G$86)),2))</f>
        <v/>
      </c>
      <c r="BL509" s="66" t="str">
        <f t="shared" si="702"/>
        <v/>
      </c>
      <c r="BM509" t="str">
        <f t="shared" si="743"/>
        <v/>
      </c>
      <c r="BN509" t="str">
        <f t="shared" si="744"/>
        <v/>
      </c>
      <c r="BO509" s="118" t="str">
        <f t="shared" si="745"/>
        <v/>
      </c>
      <c r="BP509" s="118" t="str">
        <f t="shared" si="746"/>
        <v/>
      </c>
      <c r="BQ509" s="119" t="str">
        <f>+IF(OR($W509="",BO509=0),"",ROUND((VLOOKUP(ROUNDDOWN($D509-1/frec,0),cob_adi,BB$40,FALSE)*(1+i/frec)^-0.5*(1+Parámetros!$D$103)*(1+rec_fracc)/frec),6))</f>
        <v/>
      </c>
      <c r="BR509" s="66" t="str">
        <f t="shared" si="703"/>
        <v/>
      </c>
      <c r="BS509" s="119" t="str">
        <f t="shared" si="704"/>
        <v/>
      </c>
      <c r="BT509" s="66" t="str">
        <f>+IF($W509="","",ROUND(IF($B509&gt;Parámetros!$D$107,'Tablas Servicio'!BR509+('Tablas Servicio'!BT508-'Tablas Servicio'!BR508),BR509/(1-IF(B509&lt;=10,Parámetros!$D$100,0))),2))</f>
        <v/>
      </c>
      <c r="BU509" s="66" t="str">
        <f t="shared" si="705"/>
        <v/>
      </c>
      <c r="BV509" s="66" t="str">
        <f t="shared" si="705"/>
        <v/>
      </c>
      <c r="BW509" s="66" t="str">
        <f>+IF($W509="","",ROUND((BT509*Parámetros!$G$85),2))</f>
        <v/>
      </c>
      <c r="BX509" s="66" t="str">
        <f>+IF($W509="","",ROUND((BT509*(Parámetros!$G$86)),2))</f>
        <v/>
      </c>
      <c r="BY509" s="66" t="str">
        <f t="shared" si="706"/>
        <v/>
      </c>
      <c r="BZ509" t="str">
        <f t="shared" si="747"/>
        <v/>
      </c>
      <c r="CA509" t="str">
        <f t="shared" si="748"/>
        <v/>
      </c>
      <c r="CB509" s="118" t="str">
        <f t="shared" si="749"/>
        <v/>
      </c>
      <c r="CC509" s="118" t="str">
        <f t="shared" si="750"/>
        <v/>
      </c>
      <c r="CD509" s="119" t="str">
        <f t="shared" si="707"/>
        <v/>
      </c>
      <c r="CE509" s="66" t="str">
        <f>+IF($W509="","",ROUND((VLOOKUP(ROUNDDOWN($D509-1/frec,0),cob_adi,BO$40,FALSE)*(1+i/frec)^-0.5*(1+Parámetros!$D$103)*(1+rec_fracc)/frec*'TABLAS ADI'!$BC$17),2))</f>
        <v/>
      </c>
      <c r="CF509" s="119" t="str">
        <f t="shared" si="708"/>
        <v/>
      </c>
      <c r="CG509" s="66" t="str">
        <f>+IF($W509="","",ROUND(IF($B509&gt;Parámetros!$D$107,'Tablas Servicio'!CE509+('Tablas Servicio'!CG508-'Tablas Servicio'!CE508),CE509/(1-IF(B509&lt;=10,Parámetros!$D$100,0))),2))</f>
        <v/>
      </c>
      <c r="CH509" s="66" t="str">
        <f t="shared" si="709"/>
        <v/>
      </c>
      <c r="CI509" s="66" t="str">
        <f t="shared" si="709"/>
        <v/>
      </c>
      <c r="CJ509" s="66" t="str">
        <f>+IF($W509="","",ROUND((CG509*Parámetros!$G$85),2))</f>
        <v/>
      </c>
      <c r="CK509" s="66" t="str">
        <f>+IF($W509="","",ROUND((CG509*(Parámetros!$G$86)),2))</f>
        <v/>
      </c>
      <c r="CL509" s="66" t="str">
        <f t="shared" si="710"/>
        <v/>
      </c>
      <c r="CM509" t="str">
        <f t="shared" si="751"/>
        <v/>
      </c>
      <c r="CN509" s="118" t="str">
        <f t="shared" si="752"/>
        <v/>
      </c>
      <c r="CO509" s="118" t="str">
        <f t="shared" si="753"/>
        <v/>
      </c>
      <c r="CP509" s="118" t="str">
        <f t="shared" si="754"/>
        <v/>
      </c>
      <c r="CQ509" s="119" t="str">
        <f t="shared" si="711"/>
        <v/>
      </c>
      <c r="CR509" s="66" t="str">
        <f>+IF($W509="","",ROUND((VLOOKUP(Parámetros!$F$51,'COBERTURAS ADICIONALES'!$S$4:$T$32,2,FALSE)*(1+i/frec)^-0.5*(1+Parámetros!$D$103)*(1+rec_fracc)/frec*$CO$42),2))</f>
        <v/>
      </c>
      <c r="CS509" s="119" t="str">
        <f t="shared" si="712"/>
        <v/>
      </c>
      <c r="CT509" s="66" t="str">
        <f>+IF($W509="","",ROUND(IF($B509&gt;Parámetros!$D$107,'Tablas Servicio'!CR509+('Tablas Servicio'!CT508-'Tablas Servicio'!CR508),CR509/(1-IF(B509&lt;=10,Parámetros!$D$100,0))),2))</f>
        <v/>
      </c>
      <c r="CU509" s="66" t="str">
        <f t="shared" si="713"/>
        <v/>
      </c>
      <c r="CV509" s="66" t="str">
        <f t="shared" si="713"/>
        <v/>
      </c>
      <c r="CW509" s="66" t="str">
        <f>+IF($W509="","",ROUND((CT509*Parámetros!$G$85),2))</f>
        <v/>
      </c>
      <c r="CX509" s="66" t="str">
        <f>+IF($W509="","",ROUND((CT509*(Parámetros!$G$86)),2))</f>
        <v/>
      </c>
      <c r="CY509" s="66" t="str">
        <f t="shared" si="714"/>
        <v/>
      </c>
      <c r="CZ509" t="str">
        <f t="shared" si="755"/>
        <v/>
      </c>
      <c r="DA509" s="118" t="str">
        <f t="shared" si="756"/>
        <v/>
      </c>
      <c r="DB509" s="118" t="str">
        <f t="shared" si="757"/>
        <v/>
      </c>
      <c r="DC509" s="118" t="str">
        <f t="shared" si="758"/>
        <v/>
      </c>
      <c r="DD509" s="121" t="str">
        <f>+IF(OR($W509="",DB509=0),"",ROUND((VLOOKUP(ROUNDDOWN($D509-1/frec,0),cob_adi,CO$40,FALSE)*(1+i/frec)^-0.5*(1+Parámetros!$D$103)*(1+rec_fracc)/frec),6))</f>
        <v/>
      </c>
      <c r="DE509" s="66" t="str">
        <f t="shared" si="715"/>
        <v/>
      </c>
      <c r="DF509" s="119" t="str">
        <f t="shared" si="716"/>
        <v/>
      </c>
      <c r="DG509" s="66" t="str">
        <f>+IF($W509="","",ROUND(IF($B509&gt;Parámetros!$D$107,'Tablas Servicio'!DE509+('Tablas Servicio'!DG508-'Tablas Servicio'!DE508),DE509/(1-IF(B509&lt;=10,Parámetros!$D$100,0))),2))</f>
        <v/>
      </c>
      <c r="DH509" s="66" t="str">
        <f t="shared" si="717"/>
        <v/>
      </c>
      <c r="DI509" s="66" t="str">
        <f t="shared" si="717"/>
        <v/>
      </c>
      <c r="DJ509" s="66" t="str">
        <f>+IF($W509="","",ROUND((DG509*Parámetros!$G$85),2))</f>
        <v/>
      </c>
      <c r="DK509" s="66" t="str">
        <f>+IF($W509="","",ROUND((DG509*(Parámetros!$G$86)),2))</f>
        <v/>
      </c>
      <c r="DL509" s="66" t="str">
        <f t="shared" si="718"/>
        <v/>
      </c>
      <c r="DM509" t="str">
        <f t="shared" si="759"/>
        <v/>
      </c>
      <c r="DN509" s="118" t="str">
        <f t="shared" si="760"/>
        <v/>
      </c>
      <c r="DO509" s="118" t="str">
        <f t="shared" si="761"/>
        <v/>
      </c>
      <c r="DP509" s="118" t="str">
        <f t="shared" si="762"/>
        <v/>
      </c>
      <c r="DQ509" s="122" t="str">
        <f>+IF(OR($W509="",DO509=0),"",ROUND((VLOOKUP(ROUNDDOWN($D509-1/frec,0),cob_adi,DB$40,FALSE)*(1+i/frec)^-0.5*(1+Parámetros!$D$103)*(1+rec_fracc)/frec),6))</f>
        <v/>
      </c>
      <c r="DR509" s="66" t="str">
        <f t="shared" si="719"/>
        <v/>
      </c>
      <c r="DS509" s="68" t="str">
        <f t="shared" si="720"/>
        <v/>
      </c>
      <c r="DT509" s="66" t="str">
        <f>+IF($W509="","",ROUND(IF($B509&gt;Parámetros!$D$107,'Tablas Servicio'!DR509+('Tablas Servicio'!DT508-'Tablas Servicio'!DR508),DR509/(1-IF(B509&lt;=10,Parámetros!$D$100,0))),2))</f>
        <v/>
      </c>
      <c r="DU509" s="66" t="str">
        <f t="shared" si="721"/>
        <v/>
      </c>
      <c r="DV509" s="66" t="str">
        <f t="shared" si="721"/>
        <v/>
      </c>
      <c r="DW509" s="66" t="str">
        <f>+IF($W509="","",ROUND((DT509*Parámetros!$G$85),2))</f>
        <v/>
      </c>
      <c r="DX509" s="66" t="str">
        <f>+IF($W509="","",ROUND((DT509*(Parámetros!$G$86)),2))</f>
        <v/>
      </c>
      <c r="DY509" s="66" t="str">
        <f t="shared" si="722"/>
        <v/>
      </c>
      <c r="DZ509" t="str">
        <f t="shared" si="763"/>
        <v/>
      </c>
      <c r="EA509" s="118" t="str">
        <f t="shared" si="763"/>
        <v/>
      </c>
      <c r="EB509" s="118" t="str">
        <f>+IF($W509="","",ROUND(IF(Parámetros!$D$25='TABLAS MORT'!$V$33,EB508,Z509/2),0))</f>
        <v/>
      </c>
      <c r="EC509" s="118" t="str">
        <f t="shared" si="763"/>
        <v/>
      </c>
      <c r="ED509" s="122" t="str">
        <f>+IF(OR($W509="",EB509=0),"",ROUND((VLOOKUP(ROUNDDOWN($D509-1/frec,0),cob_adi,DO$40,FALSE)*(1+i/frec)^-0.5*(1+Parámetros!$D$103)*(1+rec_fracc)/frec),6))</f>
        <v/>
      </c>
      <c r="EE509" s="66" t="str">
        <f t="shared" si="724"/>
        <v/>
      </c>
      <c r="EF509" s="68" t="str">
        <f t="shared" si="725"/>
        <v/>
      </c>
      <c r="EG509" s="66" t="str">
        <f>+IF($W509="","",ROUND(IF($B509&gt;Parámetros!$D$107,'Tablas Servicio'!EE509+('Tablas Servicio'!EG508-'Tablas Servicio'!EE508),EE509/(1-IF(B509&lt;=10,Parámetros!$D$100,0))),2))</f>
        <v/>
      </c>
      <c r="EH509" s="66" t="str">
        <f t="shared" si="726"/>
        <v/>
      </c>
      <c r="EI509" s="66" t="str">
        <f t="shared" si="726"/>
        <v/>
      </c>
      <c r="EJ509" s="66" t="str">
        <f>+IF($W509="","",ROUND((EG509*Parámetros!$G$85),2))</f>
        <v/>
      </c>
      <c r="EK509" s="66" t="str">
        <f>+IF($W509="","",ROUND((EG509*(Parámetros!$G$86)),2))</f>
        <v/>
      </c>
      <c r="EL509" s="66" t="str">
        <f t="shared" si="727"/>
        <v/>
      </c>
    </row>
    <row r="510" spans="1:142" x14ac:dyDescent="0.25">
      <c r="A510" t="str">
        <f>+IF($C510="","",ROUND(VLOOKUP('Tablas Servicio'!B510,Parámetros!$H$100:$J$159,IF(Parámetros!$E$16="F",2,3),FALSE),2))</f>
        <v/>
      </c>
      <c r="B510" t="str">
        <f t="shared" si="678"/>
        <v/>
      </c>
      <c r="C510" s="57" t="str">
        <f>+IF(D510="","",'Tablas Servicio'!C509+1)</f>
        <v/>
      </c>
      <c r="D510" s="56" t="str">
        <f>+IF(D509&lt;edadmaxtabla,D509+1/Parámetros!$E$25,"")</f>
        <v/>
      </c>
      <c r="E510" s="57" t="str">
        <f t="shared" si="688"/>
        <v/>
      </c>
      <c r="F510" s="59" t="str">
        <f t="shared" si="689"/>
        <v/>
      </c>
      <c r="G510" s="66" t="str">
        <f t="shared" si="679"/>
        <v/>
      </c>
      <c r="H510" s="66" t="str">
        <f t="shared" si="680"/>
        <v/>
      </c>
      <c r="I510" s="66" t="str">
        <f t="shared" si="728"/>
        <v/>
      </c>
      <c r="J510" s="66" t="str">
        <f t="shared" si="681"/>
        <v/>
      </c>
      <c r="K510" s="66" t="str">
        <f t="shared" si="682"/>
        <v/>
      </c>
      <c r="L510" s="66" t="str">
        <f t="shared" si="683"/>
        <v/>
      </c>
      <c r="M510" s="66" t="str">
        <f t="shared" si="684"/>
        <v/>
      </c>
      <c r="N510" s="66" t="str">
        <f>+IF(C510="","",ROUND(Parámetros!$D$23,2))</f>
        <v/>
      </c>
      <c r="O510" s="66" t="str">
        <f t="shared" si="685"/>
        <v/>
      </c>
      <c r="P510" s="66" t="str">
        <f>+IF($C510="","",ROUND(IF(B510&gt;Parámetros!$D$117,0,N510*Parámetros!$D$116-G510*Parámetros!$D$100),2))</f>
        <v/>
      </c>
      <c r="Q510" s="75" t="str">
        <f t="shared" si="729"/>
        <v/>
      </c>
      <c r="R510" s="75" t="str">
        <f t="shared" si="730"/>
        <v/>
      </c>
      <c r="S510" s="117" t="str">
        <f>+IF($C510="","",ROUND((S509+I510)*(1+Parámetros!$D$91),2))</f>
        <v/>
      </c>
      <c r="T510" s="117" t="str">
        <f>+IF($C510="","",ROUND(S510*VLOOKUP(B510,Parámetros!$C$30:$D$39,2,TRUE),2))</f>
        <v/>
      </c>
      <c r="U510" s="117" t="str">
        <f>+IF($C510="","",ROUND((U509+I510)*(1+Parámetros!$D$92),2))</f>
        <v/>
      </c>
      <c r="V510" s="117" t="str">
        <f>+IF($C510="","",ROUND(U510*VLOOKUP(B510,Parámetros!$C$30:$D$39,2,TRUE),2))</f>
        <v/>
      </c>
      <c r="W510" s="57" t="str">
        <f t="shared" si="731"/>
        <v/>
      </c>
      <c r="X510" t="str">
        <f t="shared" si="732"/>
        <v/>
      </c>
      <c r="Y510" t="str">
        <f t="shared" si="733"/>
        <v/>
      </c>
      <c r="Z510" s="118" t="str">
        <f>+IF($W510="","",ROUND(IF(Parámetros!$D$25='TABLAS MORT'!$V$33,Z509,Parámetros!$D$21-'Tablas Servicio'!T509),0))</f>
        <v/>
      </c>
      <c r="AA510" s="118" t="str">
        <f t="shared" si="734"/>
        <v/>
      </c>
      <c r="AB510" s="119" t="str">
        <f>+IF(W510="","",ROUND((VLOOKUP(ROUNDDOWN($D510-1/frec,0),qx_tabla,2,FALSE)*(1+i/frec)^-0.5*(1+Parámetros!$D$103)*(1+rec_fracc)/frec),6))</f>
        <v/>
      </c>
      <c r="AC510" s="66" t="str">
        <f t="shared" si="690"/>
        <v/>
      </c>
      <c r="AD510" s="119" t="str">
        <f t="shared" si="686"/>
        <v/>
      </c>
      <c r="AE510" s="66" t="str">
        <f>+IF($W510="","",ROUND(IF($B510&gt;Parámetros!$D$107,'Tablas Servicio'!AC510+('Tablas Servicio'!AG509-'Tablas Servicio'!AC509),AC510/(1-IF(B510&lt;=10,Parámetros!$D$104,Parámetros!$D$105))),2))</f>
        <v/>
      </c>
      <c r="AF510" s="66" t="str">
        <f>+IF($W510="","",ROUND(IF($B510&gt;Parámetros!$D$107,'Tablas Servicio'!AC510+('Tablas Servicio'!AG509-'Tablas Servicio'!AC509),(AC510+$A509/frec)/(1-IF(B510&lt;=Parámetros!$D$117,Parámetros!$D$100,0))),2))</f>
        <v/>
      </c>
      <c r="AG510" s="66" t="str">
        <f t="shared" si="691"/>
        <v/>
      </c>
      <c r="AH510" s="66" t="str">
        <f t="shared" si="692"/>
        <v/>
      </c>
      <c r="AI510" s="66" t="str">
        <f t="shared" si="693"/>
        <v/>
      </c>
      <c r="AJ510" s="66" t="str">
        <f>+IF($W510="","",ROUND((AG510*Parámetros!$G$85),2))</f>
        <v/>
      </c>
      <c r="AK510" s="66" t="str">
        <f>+IF($W510="","",ROUND((AG510*(Parámetros!$G$86)),2))</f>
        <v/>
      </c>
      <c r="AL510" s="66" t="str">
        <f t="shared" si="687"/>
        <v/>
      </c>
      <c r="AM510" t="str">
        <f t="shared" si="735"/>
        <v/>
      </c>
      <c r="AN510" t="str">
        <f t="shared" si="736"/>
        <v/>
      </c>
      <c r="AO510" s="118" t="str">
        <f t="shared" si="737"/>
        <v/>
      </c>
      <c r="AP510" s="118" t="str">
        <f t="shared" si="738"/>
        <v/>
      </c>
      <c r="AQ510" s="119" t="str">
        <f>+IF(OR($W510="",AO510=0),"",ROUND((VLOOKUP(ROUNDDOWN($D510-1/frec,0),cob_adi,Z$40,FALSE)*(1+i/frec)^-0.5*(1+Parámetros!$D$103)*(1+rec_fracc)/frec),6))</f>
        <v/>
      </c>
      <c r="AR510" s="66" t="str">
        <f t="shared" si="694"/>
        <v/>
      </c>
      <c r="AS510" s="119" t="str">
        <f t="shared" si="695"/>
        <v/>
      </c>
      <c r="AT510" s="66" t="str">
        <f>+IF($W510="","",ROUND(IF($B510&gt;Parámetros!$D$107,'Tablas Servicio'!AR510+('Tablas Servicio'!AT509-'Tablas Servicio'!AR509),AR510/(1-IF(B510&lt;=10,Parámetros!$D$100,0))),2))</f>
        <v/>
      </c>
      <c r="AU510" s="66" t="str">
        <f t="shared" si="696"/>
        <v/>
      </c>
      <c r="AV510" s="66" t="str">
        <f t="shared" si="696"/>
        <v/>
      </c>
      <c r="AW510" s="66" t="str">
        <f>+IF($W510="","",ROUND((AT510*Parámetros!$G$85),2))</f>
        <v/>
      </c>
      <c r="AX510" s="66" t="str">
        <f>+IF($W510="","",ROUND((AT510*(Parámetros!$G$86)),2))</f>
        <v/>
      </c>
      <c r="AY510" s="66" t="str">
        <f t="shared" si="697"/>
        <v/>
      </c>
      <c r="AZ510" t="str">
        <f t="shared" si="739"/>
        <v/>
      </c>
      <c r="BA510" t="str">
        <f t="shared" si="740"/>
        <v/>
      </c>
      <c r="BB510" s="118" t="str">
        <f t="shared" si="741"/>
        <v/>
      </c>
      <c r="BC510" s="118" t="str">
        <f t="shared" si="742"/>
        <v/>
      </c>
      <c r="BD510" s="119" t="str">
        <f>+IF(OR($W510="",BB510=0),"",ROUND((VLOOKUP(ROUNDDOWN($D510-1/frec,0),cob_adi,AO$40,FALSE)*(1+i/frec)^-0.5*(1+Parámetros!$D$103)*(1+rec_fracc)/frec),6))</f>
        <v/>
      </c>
      <c r="BE510" s="66" t="str">
        <f t="shared" si="698"/>
        <v/>
      </c>
      <c r="BF510" s="119" t="str">
        <f t="shared" si="699"/>
        <v/>
      </c>
      <c r="BG510" s="66" t="str">
        <f>+IF($W510="","",ROUND(IF($B510&gt;Parámetros!$D$107,'Tablas Servicio'!BE510+('Tablas Servicio'!BG509-'Tablas Servicio'!BE509),BE510/(1-IF(B510&lt;=10,Parámetros!$D$100,0))),2))</f>
        <v/>
      </c>
      <c r="BH510" s="66" t="str">
        <f t="shared" si="700"/>
        <v/>
      </c>
      <c r="BI510" s="66" t="str">
        <f t="shared" si="701"/>
        <v/>
      </c>
      <c r="BJ510" s="66" t="str">
        <f>+IF($W510="","",ROUND((BG510*Parámetros!$G$85),2))</f>
        <v/>
      </c>
      <c r="BK510" s="66" t="str">
        <f>+IF($W510="","",ROUND((BG510*(Parámetros!$G$86)),2))</f>
        <v/>
      </c>
      <c r="BL510" s="66" t="str">
        <f t="shared" si="702"/>
        <v/>
      </c>
      <c r="BM510" t="str">
        <f t="shared" si="743"/>
        <v/>
      </c>
      <c r="BN510" t="str">
        <f t="shared" si="744"/>
        <v/>
      </c>
      <c r="BO510" s="118" t="str">
        <f t="shared" si="745"/>
        <v/>
      </c>
      <c r="BP510" s="118" t="str">
        <f t="shared" si="746"/>
        <v/>
      </c>
      <c r="BQ510" s="119" t="str">
        <f>+IF(OR($W510="",BO510=0),"",ROUND((VLOOKUP(ROUNDDOWN($D510-1/frec,0),cob_adi,BB$40,FALSE)*(1+i/frec)^-0.5*(1+Parámetros!$D$103)*(1+rec_fracc)/frec),6))</f>
        <v/>
      </c>
      <c r="BR510" s="66" t="str">
        <f t="shared" si="703"/>
        <v/>
      </c>
      <c r="BS510" s="119" t="str">
        <f t="shared" si="704"/>
        <v/>
      </c>
      <c r="BT510" s="66" t="str">
        <f>+IF($W510="","",ROUND(IF($B510&gt;Parámetros!$D$107,'Tablas Servicio'!BR510+('Tablas Servicio'!BT509-'Tablas Servicio'!BR509),BR510/(1-IF(B510&lt;=10,Parámetros!$D$100,0))),2))</f>
        <v/>
      </c>
      <c r="BU510" s="66" t="str">
        <f t="shared" si="705"/>
        <v/>
      </c>
      <c r="BV510" s="66" t="str">
        <f t="shared" si="705"/>
        <v/>
      </c>
      <c r="BW510" s="66" t="str">
        <f>+IF($W510="","",ROUND((BT510*Parámetros!$G$85),2))</f>
        <v/>
      </c>
      <c r="BX510" s="66" t="str">
        <f>+IF($W510="","",ROUND((BT510*(Parámetros!$G$86)),2))</f>
        <v/>
      </c>
      <c r="BY510" s="66" t="str">
        <f t="shared" si="706"/>
        <v/>
      </c>
      <c r="BZ510" t="str">
        <f t="shared" si="747"/>
        <v/>
      </c>
      <c r="CA510" t="str">
        <f t="shared" si="748"/>
        <v/>
      </c>
      <c r="CB510" s="118" t="str">
        <f t="shared" si="749"/>
        <v/>
      </c>
      <c r="CC510" s="118" t="str">
        <f t="shared" si="750"/>
        <v/>
      </c>
      <c r="CD510" s="119" t="str">
        <f t="shared" si="707"/>
        <v/>
      </c>
      <c r="CE510" s="66" t="str">
        <f>+IF($W510="","",ROUND((VLOOKUP(ROUNDDOWN($D510-1/frec,0),cob_adi,BO$40,FALSE)*(1+i/frec)^-0.5*(1+Parámetros!$D$103)*(1+rec_fracc)/frec*'TABLAS ADI'!$BC$17),2))</f>
        <v/>
      </c>
      <c r="CF510" s="119" t="str">
        <f t="shared" si="708"/>
        <v/>
      </c>
      <c r="CG510" s="66" t="str">
        <f>+IF($W510="","",ROUND(IF($B510&gt;Parámetros!$D$107,'Tablas Servicio'!CE510+('Tablas Servicio'!CG509-'Tablas Servicio'!CE509),CE510/(1-IF(B510&lt;=10,Parámetros!$D$100,0))),2))</f>
        <v/>
      </c>
      <c r="CH510" s="66" t="str">
        <f t="shared" si="709"/>
        <v/>
      </c>
      <c r="CI510" s="66" t="str">
        <f t="shared" si="709"/>
        <v/>
      </c>
      <c r="CJ510" s="66" t="str">
        <f>+IF($W510="","",ROUND((CG510*Parámetros!$G$85),2))</f>
        <v/>
      </c>
      <c r="CK510" s="66" t="str">
        <f>+IF($W510="","",ROUND((CG510*(Parámetros!$G$86)),2))</f>
        <v/>
      </c>
      <c r="CL510" s="66" t="str">
        <f t="shared" si="710"/>
        <v/>
      </c>
      <c r="CM510" t="str">
        <f t="shared" si="751"/>
        <v/>
      </c>
      <c r="CN510" s="118" t="str">
        <f t="shared" si="752"/>
        <v/>
      </c>
      <c r="CO510" s="118" t="str">
        <f t="shared" si="753"/>
        <v/>
      </c>
      <c r="CP510" s="118" t="str">
        <f t="shared" si="754"/>
        <v/>
      </c>
      <c r="CQ510" s="119" t="str">
        <f t="shared" si="711"/>
        <v/>
      </c>
      <c r="CR510" s="66" t="str">
        <f>+IF($W510="","",ROUND((VLOOKUP(Parámetros!$F$51,'COBERTURAS ADICIONALES'!$S$4:$T$32,2,FALSE)*(1+i/frec)^-0.5*(1+Parámetros!$D$103)*(1+rec_fracc)/frec*$CO$42),2))</f>
        <v/>
      </c>
      <c r="CS510" s="119" t="str">
        <f t="shared" si="712"/>
        <v/>
      </c>
      <c r="CT510" s="66" t="str">
        <f>+IF($W510="","",ROUND(IF($B510&gt;Parámetros!$D$107,'Tablas Servicio'!CR510+('Tablas Servicio'!CT509-'Tablas Servicio'!CR509),CR510/(1-IF(B510&lt;=10,Parámetros!$D$100,0))),2))</f>
        <v/>
      </c>
      <c r="CU510" s="66" t="str">
        <f t="shared" si="713"/>
        <v/>
      </c>
      <c r="CV510" s="66" t="str">
        <f t="shared" si="713"/>
        <v/>
      </c>
      <c r="CW510" s="66" t="str">
        <f>+IF($W510="","",ROUND((CT510*Parámetros!$G$85),2))</f>
        <v/>
      </c>
      <c r="CX510" s="66" t="str">
        <f>+IF($W510="","",ROUND((CT510*(Parámetros!$G$86)),2))</f>
        <v/>
      </c>
      <c r="CY510" s="66" t="str">
        <f t="shared" si="714"/>
        <v/>
      </c>
      <c r="CZ510" t="str">
        <f t="shared" si="755"/>
        <v/>
      </c>
      <c r="DA510" s="118" t="str">
        <f t="shared" si="756"/>
        <v/>
      </c>
      <c r="DB510" s="118" t="str">
        <f t="shared" si="757"/>
        <v/>
      </c>
      <c r="DC510" s="118" t="str">
        <f t="shared" si="758"/>
        <v/>
      </c>
      <c r="DD510" s="121" t="str">
        <f>+IF(OR($W510="",DB510=0),"",ROUND((VLOOKUP(ROUNDDOWN($D510-1/frec,0),cob_adi,CO$40,FALSE)*(1+i/frec)^-0.5*(1+Parámetros!$D$103)*(1+rec_fracc)/frec),6))</f>
        <v/>
      </c>
      <c r="DE510" s="66" t="str">
        <f t="shared" si="715"/>
        <v/>
      </c>
      <c r="DF510" s="119" t="str">
        <f t="shared" si="716"/>
        <v/>
      </c>
      <c r="DG510" s="66" t="str">
        <f>+IF($W510="","",ROUND(IF($B510&gt;Parámetros!$D$107,'Tablas Servicio'!DE510+('Tablas Servicio'!DG509-'Tablas Servicio'!DE509),DE510/(1-IF(B510&lt;=10,Parámetros!$D$100,0))),2))</f>
        <v/>
      </c>
      <c r="DH510" s="66" t="str">
        <f t="shared" si="717"/>
        <v/>
      </c>
      <c r="DI510" s="66" t="str">
        <f t="shared" si="717"/>
        <v/>
      </c>
      <c r="DJ510" s="66" t="str">
        <f>+IF($W510="","",ROUND((DG510*Parámetros!$G$85),2))</f>
        <v/>
      </c>
      <c r="DK510" s="66" t="str">
        <f>+IF($W510="","",ROUND((DG510*(Parámetros!$G$86)),2))</f>
        <v/>
      </c>
      <c r="DL510" s="66" t="str">
        <f t="shared" si="718"/>
        <v/>
      </c>
      <c r="DM510" t="str">
        <f t="shared" si="759"/>
        <v/>
      </c>
      <c r="DN510" s="118" t="str">
        <f t="shared" si="760"/>
        <v/>
      </c>
      <c r="DO510" s="118" t="str">
        <f t="shared" si="761"/>
        <v/>
      </c>
      <c r="DP510" s="118" t="str">
        <f t="shared" si="762"/>
        <v/>
      </c>
      <c r="DQ510" s="122" t="str">
        <f>+IF(OR($W510="",DO510=0),"",ROUND((VLOOKUP(ROUNDDOWN($D510-1/frec,0),cob_adi,DB$40,FALSE)*(1+i/frec)^-0.5*(1+Parámetros!$D$103)*(1+rec_fracc)/frec),6))</f>
        <v/>
      </c>
      <c r="DR510" s="66" t="str">
        <f t="shared" si="719"/>
        <v/>
      </c>
      <c r="DS510" s="68" t="str">
        <f t="shared" si="720"/>
        <v/>
      </c>
      <c r="DT510" s="66" t="str">
        <f>+IF($W510="","",ROUND(IF($B510&gt;Parámetros!$D$107,'Tablas Servicio'!DR510+('Tablas Servicio'!DT509-'Tablas Servicio'!DR509),DR510/(1-IF(B510&lt;=10,Parámetros!$D$100,0))),2))</f>
        <v/>
      </c>
      <c r="DU510" s="66" t="str">
        <f t="shared" si="721"/>
        <v/>
      </c>
      <c r="DV510" s="66" t="str">
        <f t="shared" si="721"/>
        <v/>
      </c>
      <c r="DW510" s="66" t="str">
        <f>+IF($W510="","",ROUND((DT510*Parámetros!$G$85),2))</f>
        <v/>
      </c>
      <c r="DX510" s="66" t="str">
        <f>+IF($W510="","",ROUND((DT510*(Parámetros!$G$86)),2))</f>
        <v/>
      </c>
      <c r="DY510" s="66" t="str">
        <f t="shared" si="722"/>
        <v/>
      </c>
      <c r="DZ510" t="str">
        <f t="shared" si="763"/>
        <v/>
      </c>
      <c r="EA510" s="118" t="str">
        <f t="shared" si="763"/>
        <v/>
      </c>
      <c r="EB510" s="118" t="str">
        <f>+IF($W510="","",ROUND(IF(Parámetros!$D$25='TABLAS MORT'!$V$33,EB509,Z510/2),0))</f>
        <v/>
      </c>
      <c r="EC510" s="118" t="str">
        <f t="shared" si="763"/>
        <v/>
      </c>
      <c r="ED510" s="122" t="str">
        <f>+IF(OR($W510="",EB510=0),"",ROUND((VLOOKUP(ROUNDDOWN($D510-1/frec,0),cob_adi,DO$40,FALSE)*(1+i/frec)^-0.5*(1+Parámetros!$D$103)*(1+rec_fracc)/frec),6))</f>
        <v/>
      </c>
      <c r="EE510" s="66" t="str">
        <f t="shared" si="724"/>
        <v/>
      </c>
      <c r="EF510" s="68" t="str">
        <f t="shared" si="725"/>
        <v/>
      </c>
      <c r="EG510" s="66" t="str">
        <f>+IF($W510="","",ROUND(IF($B510&gt;Parámetros!$D$107,'Tablas Servicio'!EE510+('Tablas Servicio'!EG509-'Tablas Servicio'!EE509),EE510/(1-IF(B510&lt;=10,Parámetros!$D$100,0))),2))</f>
        <v/>
      </c>
      <c r="EH510" s="66" t="str">
        <f t="shared" si="726"/>
        <v/>
      </c>
      <c r="EI510" s="66" t="str">
        <f t="shared" si="726"/>
        <v/>
      </c>
      <c r="EJ510" s="66" t="str">
        <f>+IF($W510="","",ROUND((EG510*Parámetros!$G$85),2))</f>
        <v/>
      </c>
      <c r="EK510" s="66" t="str">
        <f>+IF($W510="","",ROUND((EG510*(Parámetros!$G$86)),2))</f>
        <v/>
      </c>
      <c r="EL510" s="66" t="str">
        <f t="shared" si="727"/>
        <v/>
      </c>
    </row>
    <row r="511" spans="1:142" x14ac:dyDescent="0.25">
      <c r="A511" t="str">
        <f>+IF($C511="","",ROUND(VLOOKUP('Tablas Servicio'!B511,Parámetros!$H$100:$J$159,IF(Parámetros!$E$16="F",2,3),FALSE),2))</f>
        <v/>
      </c>
      <c r="B511" t="str">
        <f t="shared" si="678"/>
        <v/>
      </c>
      <c r="C511" s="57" t="str">
        <f>+IF(D511="","",'Tablas Servicio'!C510+1)</f>
        <v/>
      </c>
      <c r="D511" s="56" t="str">
        <f>+IF(D510&lt;edadmaxtabla,D510+1/Parámetros!$E$25,"")</f>
        <v/>
      </c>
      <c r="E511" s="57" t="str">
        <f t="shared" si="688"/>
        <v/>
      </c>
      <c r="F511" s="59" t="str">
        <f t="shared" si="689"/>
        <v/>
      </c>
      <c r="G511" s="66" t="str">
        <f t="shared" si="679"/>
        <v/>
      </c>
      <c r="H511" s="66" t="str">
        <f t="shared" si="680"/>
        <v/>
      </c>
      <c r="I511" s="66" t="str">
        <f t="shared" si="728"/>
        <v/>
      </c>
      <c r="J511" s="66" t="str">
        <f t="shared" si="681"/>
        <v/>
      </c>
      <c r="K511" s="66" t="str">
        <f t="shared" si="682"/>
        <v/>
      </c>
      <c r="L511" s="66" t="str">
        <f t="shared" si="683"/>
        <v/>
      </c>
      <c r="M511" s="66" t="str">
        <f t="shared" si="684"/>
        <v/>
      </c>
      <c r="N511" s="66" t="str">
        <f>+IF(C511="","",ROUND(Parámetros!$D$23,2))</f>
        <v/>
      </c>
      <c r="O511" s="66" t="str">
        <f t="shared" si="685"/>
        <v/>
      </c>
      <c r="P511" s="66" t="str">
        <f>+IF($C511="","",ROUND(IF(B511&gt;Parámetros!$D$117,0,N511*Parámetros!$D$116-G511*Parámetros!$D$100),2))</f>
        <v/>
      </c>
      <c r="Q511" s="75" t="str">
        <f t="shared" si="729"/>
        <v/>
      </c>
      <c r="R511" s="75" t="str">
        <f t="shared" si="730"/>
        <v/>
      </c>
      <c r="S511" s="117" t="str">
        <f>+IF($C511="","",ROUND((S510+I511)*(1+Parámetros!$D$91),2))</f>
        <v/>
      </c>
      <c r="T511" s="117" t="str">
        <f>+IF($C511="","",ROUND(S511*VLOOKUP(B511,Parámetros!$C$30:$D$39,2,TRUE),2))</f>
        <v/>
      </c>
      <c r="U511" s="117" t="str">
        <f>+IF($C511="","",ROUND((U510+I511)*(1+Parámetros!$D$92),2))</f>
        <v/>
      </c>
      <c r="V511" s="117" t="str">
        <f>+IF($C511="","",ROUND(U511*VLOOKUP(B511,Parámetros!$C$30:$D$39,2,TRUE),2))</f>
        <v/>
      </c>
      <c r="W511" s="57" t="str">
        <f t="shared" si="731"/>
        <v/>
      </c>
      <c r="X511" t="str">
        <f t="shared" si="732"/>
        <v/>
      </c>
      <c r="Y511" t="str">
        <f t="shared" si="733"/>
        <v/>
      </c>
      <c r="Z511" s="118" t="str">
        <f>+IF($W511="","",ROUND(IF(Parámetros!$D$25='TABLAS MORT'!$V$33,Z510,Parámetros!$D$21-'Tablas Servicio'!T510),0))</f>
        <v/>
      </c>
      <c r="AA511" s="118" t="str">
        <f t="shared" si="734"/>
        <v/>
      </c>
      <c r="AB511" s="119" t="str">
        <f>+IF(W511="","",ROUND((VLOOKUP(ROUNDDOWN($D511-1/frec,0),qx_tabla,2,FALSE)*(1+i/frec)^-0.5*(1+Parámetros!$D$103)*(1+rec_fracc)/frec),6))</f>
        <v/>
      </c>
      <c r="AC511" s="66" t="str">
        <f t="shared" si="690"/>
        <v/>
      </c>
      <c r="AD511" s="119" t="str">
        <f t="shared" si="686"/>
        <v/>
      </c>
      <c r="AE511" s="66" t="str">
        <f>+IF($W511="","",ROUND(IF($B511&gt;Parámetros!$D$107,'Tablas Servicio'!AC511+('Tablas Servicio'!AG510-'Tablas Servicio'!AC510),AC511/(1-IF(B511&lt;=10,Parámetros!$D$104,Parámetros!$D$105))),2))</f>
        <v/>
      </c>
      <c r="AF511" s="66" t="str">
        <f>+IF($W511="","",ROUND(IF($B511&gt;Parámetros!$D$107,'Tablas Servicio'!AC511+('Tablas Servicio'!AG510-'Tablas Servicio'!AC510),(AC511+$A510/frec)/(1-IF(B511&lt;=Parámetros!$D$117,Parámetros!$D$100,0))),2))</f>
        <v/>
      </c>
      <c r="AG511" s="66" t="str">
        <f t="shared" si="691"/>
        <v/>
      </c>
      <c r="AH511" s="66" t="str">
        <f t="shared" si="692"/>
        <v/>
      </c>
      <c r="AI511" s="66" t="str">
        <f t="shared" si="693"/>
        <v/>
      </c>
      <c r="AJ511" s="66" t="str">
        <f>+IF($W511="","",ROUND((AG511*Parámetros!$G$85),2))</f>
        <v/>
      </c>
      <c r="AK511" s="66" t="str">
        <f>+IF($W511="","",ROUND((AG511*(Parámetros!$G$86)),2))</f>
        <v/>
      </c>
      <c r="AL511" s="66" t="str">
        <f t="shared" si="687"/>
        <v/>
      </c>
      <c r="AM511" t="str">
        <f t="shared" si="735"/>
        <v/>
      </c>
      <c r="AN511" t="str">
        <f t="shared" si="736"/>
        <v/>
      </c>
      <c r="AO511" s="118" t="str">
        <f t="shared" si="737"/>
        <v/>
      </c>
      <c r="AP511" s="118" t="str">
        <f t="shared" si="738"/>
        <v/>
      </c>
      <c r="AQ511" s="119" t="str">
        <f>+IF(OR($W511="",AO511=0),"",ROUND((VLOOKUP(ROUNDDOWN($D511-1/frec,0),cob_adi,Z$40,FALSE)*(1+i/frec)^-0.5*(1+Parámetros!$D$103)*(1+rec_fracc)/frec),6))</f>
        <v/>
      </c>
      <c r="AR511" s="66" t="str">
        <f t="shared" si="694"/>
        <v/>
      </c>
      <c r="AS511" s="119" t="str">
        <f t="shared" si="695"/>
        <v/>
      </c>
      <c r="AT511" s="66" t="str">
        <f>+IF($W511="","",ROUND(IF($B511&gt;Parámetros!$D$107,'Tablas Servicio'!AR511+('Tablas Servicio'!AT510-'Tablas Servicio'!AR510),AR511/(1-IF(B511&lt;=10,Parámetros!$D$100,0))),2))</f>
        <v/>
      </c>
      <c r="AU511" s="66" t="str">
        <f t="shared" si="696"/>
        <v/>
      </c>
      <c r="AV511" s="66" t="str">
        <f t="shared" si="696"/>
        <v/>
      </c>
      <c r="AW511" s="66" t="str">
        <f>+IF($W511="","",ROUND((AT511*Parámetros!$G$85),2))</f>
        <v/>
      </c>
      <c r="AX511" s="66" t="str">
        <f>+IF($W511="","",ROUND((AT511*(Parámetros!$G$86)),2))</f>
        <v/>
      </c>
      <c r="AY511" s="66" t="str">
        <f t="shared" si="697"/>
        <v/>
      </c>
      <c r="AZ511" t="str">
        <f t="shared" si="739"/>
        <v/>
      </c>
      <c r="BA511" t="str">
        <f t="shared" si="740"/>
        <v/>
      </c>
      <c r="BB511" s="118" t="str">
        <f t="shared" si="741"/>
        <v/>
      </c>
      <c r="BC511" s="118" t="str">
        <f t="shared" si="742"/>
        <v/>
      </c>
      <c r="BD511" s="119" t="str">
        <f>+IF(OR($W511="",BB511=0),"",ROUND((VLOOKUP(ROUNDDOWN($D511-1/frec,0),cob_adi,AO$40,FALSE)*(1+i/frec)^-0.5*(1+Parámetros!$D$103)*(1+rec_fracc)/frec),6))</f>
        <v/>
      </c>
      <c r="BE511" s="66" t="str">
        <f t="shared" si="698"/>
        <v/>
      </c>
      <c r="BF511" s="119" t="str">
        <f t="shared" si="699"/>
        <v/>
      </c>
      <c r="BG511" s="66" t="str">
        <f>+IF($W511="","",ROUND(IF($B511&gt;Parámetros!$D$107,'Tablas Servicio'!BE511+('Tablas Servicio'!BG510-'Tablas Servicio'!BE510),BE511/(1-IF(B511&lt;=10,Parámetros!$D$100,0))),2))</f>
        <v/>
      </c>
      <c r="BH511" s="66" t="str">
        <f t="shared" si="700"/>
        <v/>
      </c>
      <c r="BI511" s="66" t="str">
        <f t="shared" si="701"/>
        <v/>
      </c>
      <c r="BJ511" s="66" t="str">
        <f>+IF($W511="","",ROUND((BG511*Parámetros!$G$85),2))</f>
        <v/>
      </c>
      <c r="BK511" s="66" t="str">
        <f>+IF($W511="","",ROUND((BG511*(Parámetros!$G$86)),2))</f>
        <v/>
      </c>
      <c r="BL511" s="66" t="str">
        <f t="shared" si="702"/>
        <v/>
      </c>
      <c r="BM511" t="str">
        <f t="shared" si="743"/>
        <v/>
      </c>
      <c r="BN511" t="str">
        <f t="shared" si="744"/>
        <v/>
      </c>
      <c r="BO511" s="118" t="str">
        <f t="shared" si="745"/>
        <v/>
      </c>
      <c r="BP511" s="118" t="str">
        <f t="shared" si="746"/>
        <v/>
      </c>
      <c r="BQ511" s="119" t="str">
        <f>+IF(OR($W511="",BO511=0),"",ROUND((VLOOKUP(ROUNDDOWN($D511-1/frec,0),cob_adi,BB$40,FALSE)*(1+i/frec)^-0.5*(1+Parámetros!$D$103)*(1+rec_fracc)/frec),6))</f>
        <v/>
      </c>
      <c r="BR511" s="66" t="str">
        <f t="shared" si="703"/>
        <v/>
      </c>
      <c r="BS511" s="119" t="str">
        <f t="shared" si="704"/>
        <v/>
      </c>
      <c r="BT511" s="66" t="str">
        <f>+IF($W511="","",ROUND(IF($B511&gt;Parámetros!$D$107,'Tablas Servicio'!BR511+('Tablas Servicio'!BT510-'Tablas Servicio'!BR510),BR511/(1-IF(B511&lt;=10,Parámetros!$D$100,0))),2))</f>
        <v/>
      </c>
      <c r="BU511" s="66" t="str">
        <f t="shared" si="705"/>
        <v/>
      </c>
      <c r="BV511" s="66" t="str">
        <f t="shared" si="705"/>
        <v/>
      </c>
      <c r="BW511" s="66" t="str">
        <f>+IF($W511="","",ROUND((BT511*Parámetros!$G$85),2))</f>
        <v/>
      </c>
      <c r="BX511" s="66" t="str">
        <f>+IF($W511="","",ROUND((BT511*(Parámetros!$G$86)),2))</f>
        <v/>
      </c>
      <c r="BY511" s="66" t="str">
        <f t="shared" si="706"/>
        <v/>
      </c>
      <c r="BZ511" t="str">
        <f t="shared" si="747"/>
        <v/>
      </c>
      <c r="CA511" t="str">
        <f t="shared" si="748"/>
        <v/>
      </c>
      <c r="CB511" s="118" t="str">
        <f t="shared" si="749"/>
        <v/>
      </c>
      <c r="CC511" s="118" t="str">
        <f t="shared" si="750"/>
        <v/>
      </c>
      <c r="CD511" s="119" t="str">
        <f t="shared" si="707"/>
        <v/>
      </c>
      <c r="CE511" s="66" t="str">
        <f>+IF($W511="","",ROUND((VLOOKUP(ROUNDDOWN($D511-1/frec,0),cob_adi,BO$40,FALSE)*(1+i/frec)^-0.5*(1+Parámetros!$D$103)*(1+rec_fracc)/frec*'TABLAS ADI'!$BC$17),2))</f>
        <v/>
      </c>
      <c r="CF511" s="119" t="str">
        <f t="shared" si="708"/>
        <v/>
      </c>
      <c r="CG511" s="66" t="str">
        <f>+IF($W511="","",ROUND(IF($B511&gt;Parámetros!$D$107,'Tablas Servicio'!CE511+('Tablas Servicio'!CG510-'Tablas Servicio'!CE510),CE511/(1-IF(B511&lt;=10,Parámetros!$D$100,0))),2))</f>
        <v/>
      </c>
      <c r="CH511" s="66" t="str">
        <f t="shared" si="709"/>
        <v/>
      </c>
      <c r="CI511" s="66" t="str">
        <f t="shared" si="709"/>
        <v/>
      </c>
      <c r="CJ511" s="66" t="str">
        <f>+IF($W511="","",ROUND((CG511*Parámetros!$G$85),2))</f>
        <v/>
      </c>
      <c r="CK511" s="66" t="str">
        <f>+IF($W511="","",ROUND((CG511*(Parámetros!$G$86)),2))</f>
        <v/>
      </c>
      <c r="CL511" s="66" t="str">
        <f t="shared" si="710"/>
        <v/>
      </c>
      <c r="CM511" t="str">
        <f t="shared" si="751"/>
        <v/>
      </c>
      <c r="CN511" s="118" t="str">
        <f t="shared" si="752"/>
        <v/>
      </c>
      <c r="CO511" s="118" t="str">
        <f t="shared" si="753"/>
        <v/>
      </c>
      <c r="CP511" s="118" t="str">
        <f t="shared" si="754"/>
        <v/>
      </c>
      <c r="CQ511" s="119" t="str">
        <f t="shared" si="711"/>
        <v/>
      </c>
      <c r="CR511" s="66" t="str">
        <f>+IF($W511="","",ROUND((VLOOKUP(Parámetros!$F$51,'COBERTURAS ADICIONALES'!$S$4:$T$32,2,FALSE)*(1+i/frec)^-0.5*(1+Parámetros!$D$103)*(1+rec_fracc)/frec*$CO$42),2))</f>
        <v/>
      </c>
      <c r="CS511" s="119" t="str">
        <f t="shared" si="712"/>
        <v/>
      </c>
      <c r="CT511" s="66" t="str">
        <f>+IF($W511="","",ROUND(IF($B511&gt;Parámetros!$D$107,'Tablas Servicio'!CR511+('Tablas Servicio'!CT510-'Tablas Servicio'!CR510),CR511/(1-IF(B511&lt;=10,Parámetros!$D$100,0))),2))</f>
        <v/>
      </c>
      <c r="CU511" s="66" t="str">
        <f t="shared" si="713"/>
        <v/>
      </c>
      <c r="CV511" s="66" t="str">
        <f t="shared" si="713"/>
        <v/>
      </c>
      <c r="CW511" s="66" t="str">
        <f>+IF($W511="","",ROUND((CT511*Parámetros!$G$85),2))</f>
        <v/>
      </c>
      <c r="CX511" s="66" t="str">
        <f>+IF($W511="","",ROUND((CT511*(Parámetros!$G$86)),2))</f>
        <v/>
      </c>
      <c r="CY511" s="66" t="str">
        <f t="shared" si="714"/>
        <v/>
      </c>
      <c r="CZ511" t="str">
        <f t="shared" si="755"/>
        <v/>
      </c>
      <c r="DA511" s="118" t="str">
        <f t="shared" si="756"/>
        <v/>
      </c>
      <c r="DB511" s="118" t="str">
        <f t="shared" si="757"/>
        <v/>
      </c>
      <c r="DC511" s="118" t="str">
        <f t="shared" si="758"/>
        <v/>
      </c>
      <c r="DD511" s="121" t="str">
        <f>+IF(OR($W511="",DB511=0),"",ROUND((VLOOKUP(ROUNDDOWN($D511-1/frec,0),cob_adi,CO$40,FALSE)*(1+i/frec)^-0.5*(1+Parámetros!$D$103)*(1+rec_fracc)/frec),6))</f>
        <v/>
      </c>
      <c r="DE511" s="66" t="str">
        <f t="shared" si="715"/>
        <v/>
      </c>
      <c r="DF511" s="119" t="str">
        <f t="shared" si="716"/>
        <v/>
      </c>
      <c r="DG511" s="66" t="str">
        <f>+IF($W511="","",ROUND(IF($B511&gt;Parámetros!$D$107,'Tablas Servicio'!DE511+('Tablas Servicio'!DG510-'Tablas Servicio'!DE510),DE511/(1-IF(B511&lt;=10,Parámetros!$D$100,0))),2))</f>
        <v/>
      </c>
      <c r="DH511" s="66" t="str">
        <f t="shared" si="717"/>
        <v/>
      </c>
      <c r="DI511" s="66" t="str">
        <f t="shared" si="717"/>
        <v/>
      </c>
      <c r="DJ511" s="66" t="str">
        <f>+IF($W511="","",ROUND((DG511*Parámetros!$G$85),2))</f>
        <v/>
      </c>
      <c r="DK511" s="66" t="str">
        <f>+IF($W511="","",ROUND((DG511*(Parámetros!$G$86)),2))</f>
        <v/>
      </c>
      <c r="DL511" s="66" t="str">
        <f t="shared" si="718"/>
        <v/>
      </c>
      <c r="DM511" t="str">
        <f t="shared" si="759"/>
        <v/>
      </c>
      <c r="DN511" s="118" t="str">
        <f t="shared" si="760"/>
        <v/>
      </c>
      <c r="DO511" s="118" t="str">
        <f t="shared" si="761"/>
        <v/>
      </c>
      <c r="DP511" s="118" t="str">
        <f t="shared" si="762"/>
        <v/>
      </c>
      <c r="DQ511" s="122" t="str">
        <f>+IF(OR($W511="",DO511=0),"",ROUND((VLOOKUP(ROUNDDOWN($D511-1/frec,0),cob_adi,DB$40,FALSE)*(1+i/frec)^-0.5*(1+Parámetros!$D$103)*(1+rec_fracc)/frec),6))</f>
        <v/>
      </c>
      <c r="DR511" s="66" t="str">
        <f t="shared" si="719"/>
        <v/>
      </c>
      <c r="DS511" s="68" t="str">
        <f t="shared" si="720"/>
        <v/>
      </c>
      <c r="DT511" s="66" t="str">
        <f>+IF($W511="","",ROUND(IF($B511&gt;Parámetros!$D$107,'Tablas Servicio'!DR511+('Tablas Servicio'!DT510-'Tablas Servicio'!DR510),DR511/(1-IF(B511&lt;=10,Parámetros!$D$100,0))),2))</f>
        <v/>
      </c>
      <c r="DU511" s="66" t="str">
        <f t="shared" si="721"/>
        <v/>
      </c>
      <c r="DV511" s="66" t="str">
        <f t="shared" si="721"/>
        <v/>
      </c>
      <c r="DW511" s="66" t="str">
        <f>+IF($W511="","",ROUND((DT511*Parámetros!$G$85),2))</f>
        <v/>
      </c>
      <c r="DX511" s="66" t="str">
        <f>+IF($W511="","",ROUND((DT511*(Parámetros!$G$86)),2))</f>
        <v/>
      </c>
      <c r="DY511" s="66" t="str">
        <f t="shared" si="722"/>
        <v/>
      </c>
      <c r="DZ511" t="str">
        <f t="shared" si="763"/>
        <v/>
      </c>
      <c r="EA511" s="118" t="str">
        <f t="shared" si="763"/>
        <v/>
      </c>
      <c r="EB511" s="118" t="str">
        <f>+IF($W511="","",ROUND(IF(Parámetros!$D$25='TABLAS MORT'!$V$33,EB510,Z511/2),0))</f>
        <v/>
      </c>
      <c r="EC511" s="118" t="str">
        <f t="shared" si="763"/>
        <v/>
      </c>
      <c r="ED511" s="122" t="str">
        <f>+IF(OR($W511="",EB511=0),"",ROUND((VLOOKUP(ROUNDDOWN($D511-1/frec,0),cob_adi,DO$40,FALSE)*(1+i/frec)^-0.5*(1+Parámetros!$D$103)*(1+rec_fracc)/frec),6))</f>
        <v/>
      </c>
      <c r="EE511" s="66" t="str">
        <f t="shared" si="724"/>
        <v/>
      </c>
      <c r="EF511" s="68" t="str">
        <f t="shared" si="725"/>
        <v/>
      </c>
      <c r="EG511" s="66" t="str">
        <f>+IF($W511="","",ROUND(IF($B511&gt;Parámetros!$D$107,'Tablas Servicio'!EE511+('Tablas Servicio'!EG510-'Tablas Servicio'!EE510),EE511/(1-IF(B511&lt;=10,Parámetros!$D$100,0))),2))</f>
        <v/>
      </c>
      <c r="EH511" s="66" t="str">
        <f t="shared" si="726"/>
        <v/>
      </c>
      <c r="EI511" s="66" t="str">
        <f t="shared" si="726"/>
        <v/>
      </c>
      <c r="EJ511" s="66" t="str">
        <f>+IF($W511="","",ROUND((EG511*Parámetros!$G$85),2))</f>
        <v/>
      </c>
      <c r="EK511" s="66" t="str">
        <f>+IF($W511="","",ROUND((EG511*(Parámetros!$G$86)),2))</f>
        <v/>
      </c>
      <c r="EL511" s="66" t="str">
        <f t="shared" si="727"/>
        <v/>
      </c>
    </row>
    <row r="512" spans="1:142" x14ac:dyDescent="0.25">
      <c r="A512" t="str">
        <f>+IF($C512="","",ROUND(VLOOKUP('Tablas Servicio'!B512,Parámetros!$H$100:$J$159,IF(Parámetros!$E$16="F",2,3),FALSE),2))</f>
        <v/>
      </c>
      <c r="B512" t="str">
        <f t="shared" si="678"/>
        <v/>
      </c>
      <c r="C512" s="57" t="str">
        <f>+IF(D512="","",'Tablas Servicio'!C511+1)</f>
        <v/>
      </c>
      <c r="D512" s="56" t="str">
        <f>+IF(D511&lt;edadmaxtabla,D511+1/Parámetros!$E$25,"")</f>
        <v/>
      </c>
      <c r="E512" s="57" t="str">
        <f t="shared" si="688"/>
        <v/>
      </c>
      <c r="F512" s="59" t="str">
        <f t="shared" si="689"/>
        <v/>
      </c>
      <c r="G512" s="66" t="str">
        <f t="shared" si="679"/>
        <v/>
      </c>
      <c r="H512" s="66" t="str">
        <f t="shared" si="680"/>
        <v/>
      </c>
      <c r="I512" s="66" t="str">
        <f t="shared" si="728"/>
        <v/>
      </c>
      <c r="J512" s="66" t="str">
        <f t="shared" si="681"/>
        <v/>
      </c>
      <c r="K512" s="66" t="str">
        <f t="shared" si="682"/>
        <v/>
      </c>
      <c r="L512" s="66" t="str">
        <f t="shared" si="683"/>
        <v/>
      </c>
      <c r="M512" s="66" t="str">
        <f t="shared" si="684"/>
        <v/>
      </c>
      <c r="N512" s="66" t="str">
        <f>+IF(C512="","",ROUND(Parámetros!$D$23,2))</f>
        <v/>
      </c>
      <c r="O512" s="66" t="str">
        <f t="shared" si="685"/>
        <v/>
      </c>
      <c r="P512" s="66" t="str">
        <f>+IF($C512="","",ROUND(IF(B512&gt;Parámetros!$D$117,0,N512*Parámetros!$D$116-G512*Parámetros!$D$100),2))</f>
        <v/>
      </c>
      <c r="Q512" s="75" t="str">
        <f t="shared" si="729"/>
        <v/>
      </c>
      <c r="R512" s="75" t="str">
        <f t="shared" si="730"/>
        <v/>
      </c>
      <c r="S512" s="117" t="str">
        <f>+IF($C512="","",ROUND((S511+I512)*(1+Parámetros!$D$91),2))</f>
        <v/>
      </c>
      <c r="T512" s="117" t="str">
        <f>+IF($C512="","",ROUND(S512*VLOOKUP(B512,Parámetros!$C$30:$D$39,2,TRUE),2))</f>
        <v/>
      </c>
      <c r="U512" s="117" t="str">
        <f>+IF($C512="","",ROUND((U511+I512)*(1+Parámetros!$D$92),2))</f>
        <v/>
      </c>
      <c r="V512" s="117" t="str">
        <f>+IF($C512="","",ROUND(U512*VLOOKUP(B512,Parámetros!$C$30:$D$39,2,TRUE),2))</f>
        <v/>
      </c>
      <c r="W512" s="57" t="str">
        <f t="shared" si="731"/>
        <v/>
      </c>
      <c r="X512" t="str">
        <f t="shared" si="732"/>
        <v/>
      </c>
      <c r="Y512" t="str">
        <f t="shared" si="733"/>
        <v/>
      </c>
      <c r="Z512" s="118" t="str">
        <f>+IF($W512="","",ROUND(IF(Parámetros!$D$25='TABLAS MORT'!$V$33,Z511,Parámetros!$D$21-'Tablas Servicio'!T511),0))</f>
        <v/>
      </c>
      <c r="AA512" s="118" t="str">
        <f t="shared" si="734"/>
        <v/>
      </c>
      <c r="AB512" s="119" t="str">
        <f>+IF(W512="","",ROUND((VLOOKUP(ROUNDDOWN($D512-1/frec,0),qx_tabla,2,FALSE)*(1+i/frec)^-0.5*(1+Parámetros!$D$103)*(1+rec_fracc)/frec),6))</f>
        <v/>
      </c>
      <c r="AC512" s="66" t="str">
        <f t="shared" si="690"/>
        <v/>
      </c>
      <c r="AD512" s="119" t="str">
        <f t="shared" si="686"/>
        <v/>
      </c>
      <c r="AE512" s="66" t="str">
        <f>+IF($W512="","",ROUND(IF($B512&gt;Parámetros!$D$107,'Tablas Servicio'!AC512+('Tablas Servicio'!AG511-'Tablas Servicio'!AC511),AC512/(1-IF(B512&lt;=10,Parámetros!$D$104,Parámetros!$D$105))),2))</f>
        <v/>
      </c>
      <c r="AF512" s="66" t="str">
        <f>+IF($W512="","",ROUND(IF($B512&gt;Parámetros!$D$107,'Tablas Servicio'!AC512+('Tablas Servicio'!AG511-'Tablas Servicio'!AC511),(AC512+$A511/frec)/(1-IF(B512&lt;=Parámetros!$D$117,Parámetros!$D$100,0))),2))</f>
        <v/>
      </c>
      <c r="AG512" s="66" t="str">
        <f t="shared" si="691"/>
        <v/>
      </c>
      <c r="AH512" s="66" t="str">
        <f t="shared" si="692"/>
        <v/>
      </c>
      <c r="AI512" s="66" t="str">
        <f t="shared" si="693"/>
        <v/>
      </c>
      <c r="AJ512" s="66" t="str">
        <f>+IF($W512="","",ROUND((AG512*Parámetros!$G$85),2))</f>
        <v/>
      </c>
      <c r="AK512" s="66" t="str">
        <f>+IF($W512="","",ROUND((AG512*(Parámetros!$G$86)),2))</f>
        <v/>
      </c>
      <c r="AL512" s="66" t="str">
        <f t="shared" si="687"/>
        <v/>
      </c>
      <c r="AM512" t="str">
        <f t="shared" si="735"/>
        <v/>
      </c>
      <c r="AN512" t="str">
        <f t="shared" si="736"/>
        <v/>
      </c>
      <c r="AO512" s="118" t="str">
        <f t="shared" si="737"/>
        <v/>
      </c>
      <c r="AP512" s="118" t="str">
        <f t="shared" si="738"/>
        <v/>
      </c>
      <c r="AQ512" s="119" t="str">
        <f>+IF(OR($W512="",AO512=0),"",ROUND((VLOOKUP(ROUNDDOWN($D512-1/frec,0),cob_adi,Z$40,FALSE)*(1+i/frec)^-0.5*(1+Parámetros!$D$103)*(1+rec_fracc)/frec),6))</f>
        <v/>
      </c>
      <c r="AR512" s="66" t="str">
        <f t="shared" si="694"/>
        <v/>
      </c>
      <c r="AS512" s="119" t="str">
        <f t="shared" si="695"/>
        <v/>
      </c>
      <c r="AT512" s="66" t="str">
        <f>+IF($W512="","",ROUND(IF($B512&gt;Parámetros!$D$107,'Tablas Servicio'!AR512+('Tablas Servicio'!AT511-'Tablas Servicio'!AR511),AR512/(1-IF(B512&lt;=10,Parámetros!$D$100,0))),2))</f>
        <v/>
      </c>
      <c r="AU512" s="66" t="str">
        <f t="shared" si="696"/>
        <v/>
      </c>
      <c r="AV512" s="66" t="str">
        <f t="shared" si="696"/>
        <v/>
      </c>
      <c r="AW512" s="66" t="str">
        <f>+IF($W512="","",ROUND((AT512*Parámetros!$G$85),2))</f>
        <v/>
      </c>
      <c r="AX512" s="66" t="str">
        <f>+IF($W512="","",ROUND((AT512*(Parámetros!$G$86)),2))</f>
        <v/>
      </c>
      <c r="AY512" s="66" t="str">
        <f t="shared" si="697"/>
        <v/>
      </c>
      <c r="AZ512" t="str">
        <f t="shared" si="739"/>
        <v/>
      </c>
      <c r="BA512" t="str">
        <f t="shared" si="740"/>
        <v/>
      </c>
      <c r="BB512" s="118" t="str">
        <f t="shared" si="741"/>
        <v/>
      </c>
      <c r="BC512" s="118" t="str">
        <f t="shared" si="742"/>
        <v/>
      </c>
      <c r="BD512" s="119" t="str">
        <f>+IF(OR($W512="",BB512=0),"",ROUND((VLOOKUP(ROUNDDOWN($D512-1/frec,0),cob_adi,AO$40,FALSE)*(1+i/frec)^-0.5*(1+Parámetros!$D$103)*(1+rec_fracc)/frec),6))</f>
        <v/>
      </c>
      <c r="BE512" s="66" t="str">
        <f t="shared" si="698"/>
        <v/>
      </c>
      <c r="BF512" s="119" t="str">
        <f t="shared" si="699"/>
        <v/>
      </c>
      <c r="BG512" s="66" t="str">
        <f>+IF($W512="","",ROUND(IF($B512&gt;Parámetros!$D$107,'Tablas Servicio'!BE512+('Tablas Servicio'!BG511-'Tablas Servicio'!BE511),BE512/(1-IF(B512&lt;=10,Parámetros!$D$100,0))),2))</f>
        <v/>
      </c>
      <c r="BH512" s="66" t="str">
        <f t="shared" si="700"/>
        <v/>
      </c>
      <c r="BI512" s="66" t="str">
        <f t="shared" si="701"/>
        <v/>
      </c>
      <c r="BJ512" s="66" t="str">
        <f>+IF($W512="","",ROUND((BG512*Parámetros!$G$85),2))</f>
        <v/>
      </c>
      <c r="BK512" s="66" t="str">
        <f>+IF($W512="","",ROUND((BG512*(Parámetros!$G$86)),2))</f>
        <v/>
      </c>
      <c r="BL512" s="66" t="str">
        <f t="shared" si="702"/>
        <v/>
      </c>
      <c r="BM512" t="str">
        <f t="shared" si="743"/>
        <v/>
      </c>
      <c r="BN512" t="str">
        <f t="shared" si="744"/>
        <v/>
      </c>
      <c r="BO512" s="118" t="str">
        <f t="shared" si="745"/>
        <v/>
      </c>
      <c r="BP512" s="118" t="str">
        <f t="shared" si="746"/>
        <v/>
      </c>
      <c r="BQ512" s="119" t="str">
        <f>+IF(OR($W512="",BO512=0),"",ROUND((VLOOKUP(ROUNDDOWN($D512-1/frec,0),cob_adi,BB$40,FALSE)*(1+i/frec)^-0.5*(1+Parámetros!$D$103)*(1+rec_fracc)/frec),6))</f>
        <v/>
      </c>
      <c r="BR512" s="66" t="str">
        <f t="shared" si="703"/>
        <v/>
      </c>
      <c r="BS512" s="119" t="str">
        <f t="shared" si="704"/>
        <v/>
      </c>
      <c r="BT512" s="66" t="str">
        <f>+IF($W512="","",ROUND(IF($B512&gt;Parámetros!$D$107,'Tablas Servicio'!BR512+('Tablas Servicio'!BT511-'Tablas Servicio'!BR511),BR512/(1-IF(B512&lt;=10,Parámetros!$D$100,0))),2))</f>
        <v/>
      </c>
      <c r="BU512" s="66" t="str">
        <f t="shared" si="705"/>
        <v/>
      </c>
      <c r="BV512" s="66" t="str">
        <f t="shared" si="705"/>
        <v/>
      </c>
      <c r="BW512" s="66" t="str">
        <f>+IF($W512="","",ROUND((BT512*Parámetros!$G$85),2))</f>
        <v/>
      </c>
      <c r="BX512" s="66" t="str">
        <f>+IF($W512="","",ROUND((BT512*(Parámetros!$G$86)),2))</f>
        <v/>
      </c>
      <c r="BY512" s="66" t="str">
        <f t="shared" si="706"/>
        <v/>
      </c>
      <c r="BZ512" t="str">
        <f t="shared" si="747"/>
        <v/>
      </c>
      <c r="CA512" t="str">
        <f t="shared" si="748"/>
        <v/>
      </c>
      <c r="CB512" s="118" t="str">
        <f t="shared" si="749"/>
        <v/>
      </c>
      <c r="CC512" s="118" t="str">
        <f t="shared" si="750"/>
        <v/>
      </c>
      <c r="CD512" s="119" t="str">
        <f t="shared" si="707"/>
        <v/>
      </c>
      <c r="CE512" s="66" t="str">
        <f>+IF($W512="","",ROUND((VLOOKUP(ROUNDDOWN($D512-1/frec,0),cob_adi,BO$40,FALSE)*(1+i/frec)^-0.5*(1+Parámetros!$D$103)*(1+rec_fracc)/frec*'TABLAS ADI'!$BC$17),2))</f>
        <v/>
      </c>
      <c r="CF512" s="119" t="str">
        <f t="shared" si="708"/>
        <v/>
      </c>
      <c r="CG512" s="66" t="str">
        <f>+IF($W512="","",ROUND(IF($B512&gt;Parámetros!$D$107,'Tablas Servicio'!CE512+('Tablas Servicio'!CG511-'Tablas Servicio'!CE511),CE512/(1-IF(B512&lt;=10,Parámetros!$D$100,0))),2))</f>
        <v/>
      </c>
      <c r="CH512" s="66" t="str">
        <f t="shared" si="709"/>
        <v/>
      </c>
      <c r="CI512" s="66" t="str">
        <f t="shared" si="709"/>
        <v/>
      </c>
      <c r="CJ512" s="66" t="str">
        <f>+IF($W512="","",ROUND((CG512*Parámetros!$G$85),2))</f>
        <v/>
      </c>
      <c r="CK512" s="66" t="str">
        <f>+IF($W512="","",ROUND((CG512*(Parámetros!$G$86)),2))</f>
        <v/>
      </c>
      <c r="CL512" s="66" t="str">
        <f t="shared" si="710"/>
        <v/>
      </c>
      <c r="CM512" t="str">
        <f t="shared" si="751"/>
        <v/>
      </c>
      <c r="CN512" s="118" t="str">
        <f t="shared" si="752"/>
        <v/>
      </c>
      <c r="CO512" s="118" t="str">
        <f t="shared" si="753"/>
        <v/>
      </c>
      <c r="CP512" s="118" t="str">
        <f t="shared" si="754"/>
        <v/>
      </c>
      <c r="CQ512" s="119" t="str">
        <f t="shared" si="711"/>
        <v/>
      </c>
      <c r="CR512" s="66" t="str">
        <f>+IF($W512="","",ROUND((VLOOKUP(Parámetros!$F$51,'COBERTURAS ADICIONALES'!$S$4:$T$32,2,FALSE)*(1+i/frec)^-0.5*(1+Parámetros!$D$103)*(1+rec_fracc)/frec*$CO$42),2))</f>
        <v/>
      </c>
      <c r="CS512" s="119" t="str">
        <f t="shared" si="712"/>
        <v/>
      </c>
      <c r="CT512" s="66" t="str">
        <f>+IF($W512="","",ROUND(IF($B512&gt;Parámetros!$D$107,'Tablas Servicio'!CR512+('Tablas Servicio'!CT511-'Tablas Servicio'!CR511),CR512/(1-IF(B512&lt;=10,Parámetros!$D$100,0))),2))</f>
        <v/>
      </c>
      <c r="CU512" s="66" t="str">
        <f t="shared" si="713"/>
        <v/>
      </c>
      <c r="CV512" s="66" t="str">
        <f t="shared" si="713"/>
        <v/>
      </c>
      <c r="CW512" s="66" t="str">
        <f>+IF($W512="","",ROUND((CT512*Parámetros!$G$85),2))</f>
        <v/>
      </c>
      <c r="CX512" s="66" t="str">
        <f>+IF($W512="","",ROUND((CT512*(Parámetros!$G$86)),2))</f>
        <v/>
      </c>
      <c r="CY512" s="66" t="str">
        <f t="shared" si="714"/>
        <v/>
      </c>
      <c r="CZ512" t="str">
        <f t="shared" si="755"/>
        <v/>
      </c>
      <c r="DA512" s="118" t="str">
        <f t="shared" si="756"/>
        <v/>
      </c>
      <c r="DB512" s="118" t="str">
        <f t="shared" si="757"/>
        <v/>
      </c>
      <c r="DC512" s="118" t="str">
        <f t="shared" si="758"/>
        <v/>
      </c>
      <c r="DD512" s="121" t="str">
        <f>+IF(OR($W512="",DB512=0),"",ROUND((VLOOKUP(ROUNDDOWN($D512-1/frec,0),cob_adi,CO$40,FALSE)*(1+i/frec)^-0.5*(1+Parámetros!$D$103)*(1+rec_fracc)/frec),6))</f>
        <v/>
      </c>
      <c r="DE512" s="66" t="str">
        <f t="shared" si="715"/>
        <v/>
      </c>
      <c r="DF512" s="119" t="str">
        <f t="shared" si="716"/>
        <v/>
      </c>
      <c r="DG512" s="66" t="str">
        <f>+IF($W512="","",ROUND(IF($B512&gt;Parámetros!$D$107,'Tablas Servicio'!DE512+('Tablas Servicio'!DG511-'Tablas Servicio'!DE511),DE512/(1-IF(B512&lt;=10,Parámetros!$D$100,0))),2))</f>
        <v/>
      </c>
      <c r="DH512" s="66" t="str">
        <f t="shared" si="717"/>
        <v/>
      </c>
      <c r="DI512" s="66" t="str">
        <f t="shared" si="717"/>
        <v/>
      </c>
      <c r="DJ512" s="66" t="str">
        <f>+IF($W512="","",ROUND((DG512*Parámetros!$G$85),2))</f>
        <v/>
      </c>
      <c r="DK512" s="66" t="str">
        <f>+IF($W512="","",ROUND((DG512*(Parámetros!$G$86)),2))</f>
        <v/>
      </c>
      <c r="DL512" s="66" t="str">
        <f t="shared" si="718"/>
        <v/>
      </c>
      <c r="DM512" t="str">
        <f t="shared" si="759"/>
        <v/>
      </c>
      <c r="DN512" s="118" t="str">
        <f t="shared" si="760"/>
        <v/>
      </c>
      <c r="DO512" s="118" t="str">
        <f t="shared" si="761"/>
        <v/>
      </c>
      <c r="DP512" s="118" t="str">
        <f t="shared" si="762"/>
        <v/>
      </c>
      <c r="DQ512" s="122" t="str">
        <f>+IF(OR($W512="",DO512=0),"",ROUND((VLOOKUP(ROUNDDOWN($D512-1/frec,0),cob_adi,DB$40,FALSE)*(1+i/frec)^-0.5*(1+Parámetros!$D$103)*(1+rec_fracc)/frec),6))</f>
        <v/>
      </c>
      <c r="DR512" s="66" t="str">
        <f t="shared" si="719"/>
        <v/>
      </c>
      <c r="DS512" s="68" t="str">
        <f t="shared" si="720"/>
        <v/>
      </c>
      <c r="DT512" s="66" t="str">
        <f>+IF($W512="","",ROUND(IF($B512&gt;Parámetros!$D$107,'Tablas Servicio'!DR512+('Tablas Servicio'!DT511-'Tablas Servicio'!DR511),DR512/(1-IF(B512&lt;=10,Parámetros!$D$100,0))),2))</f>
        <v/>
      </c>
      <c r="DU512" s="66" t="str">
        <f t="shared" si="721"/>
        <v/>
      </c>
      <c r="DV512" s="66" t="str">
        <f t="shared" si="721"/>
        <v/>
      </c>
      <c r="DW512" s="66" t="str">
        <f>+IF($W512="","",ROUND((DT512*Parámetros!$G$85),2))</f>
        <v/>
      </c>
      <c r="DX512" s="66" t="str">
        <f>+IF($W512="","",ROUND((DT512*(Parámetros!$G$86)),2))</f>
        <v/>
      </c>
      <c r="DY512" s="66" t="str">
        <f t="shared" si="722"/>
        <v/>
      </c>
      <c r="DZ512" t="str">
        <f t="shared" si="763"/>
        <v/>
      </c>
      <c r="EA512" s="118" t="str">
        <f t="shared" si="763"/>
        <v/>
      </c>
      <c r="EB512" s="118" t="str">
        <f>+IF($W512="","",ROUND(IF(Parámetros!$D$25='TABLAS MORT'!$V$33,EB511,Z512/2),0))</f>
        <v/>
      </c>
      <c r="EC512" s="118" t="str">
        <f t="shared" si="763"/>
        <v/>
      </c>
      <c r="ED512" s="122" t="str">
        <f>+IF(OR($W512="",EB512=0),"",ROUND((VLOOKUP(ROUNDDOWN($D512-1/frec,0),cob_adi,DO$40,FALSE)*(1+i/frec)^-0.5*(1+Parámetros!$D$103)*(1+rec_fracc)/frec),6))</f>
        <v/>
      </c>
      <c r="EE512" s="66" t="str">
        <f t="shared" si="724"/>
        <v/>
      </c>
      <c r="EF512" s="68" t="str">
        <f t="shared" si="725"/>
        <v/>
      </c>
      <c r="EG512" s="66" t="str">
        <f>+IF($W512="","",ROUND(IF($B512&gt;Parámetros!$D$107,'Tablas Servicio'!EE512+('Tablas Servicio'!EG511-'Tablas Servicio'!EE511),EE512/(1-IF(B512&lt;=10,Parámetros!$D$100,0))),2))</f>
        <v/>
      </c>
      <c r="EH512" s="66" t="str">
        <f t="shared" si="726"/>
        <v/>
      </c>
      <c r="EI512" s="66" t="str">
        <f t="shared" si="726"/>
        <v/>
      </c>
      <c r="EJ512" s="66" t="str">
        <f>+IF($W512="","",ROUND((EG512*Parámetros!$G$85),2))</f>
        <v/>
      </c>
      <c r="EK512" s="66" t="str">
        <f>+IF($W512="","",ROUND((EG512*(Parámetros!$G$86)),2))</f>
        <v/>
      </c>
      <c r="EL512" s="66" t="str">
        <f t="shared" si="727"/>
        <v/>
      </c>
    </row>
    <row r="513" spans="1:142" x14ac:dyDescent="0.25">
      <c r="A513" t="str">
        <f>+IF($C513="","",ROUND(VLOOKUP('Tablas Servicio'!B513,Parámetros!$H$100:$J$159,IF(Parámetros!$E$16="F",2,3),FALSE),2))</f>
        <v/>
      </c>
      <c r="B513" t="str">
        <f t="shared" si="678"/>
        <v/>
      </c>
      <c r="C513" s="57" t="str">
        <f>+IF(D513="","",'Tablas Servicio'!C512+1)</f>
        <v/>
      </c>
      <c r="D513" s="56" t="str">
        <f>+IF(D512&lt;edadmaxtabla,D512+1/Parámetros!$E$25,"")</f>
        <v/>
      </c>
      <c r="E513" s="57" t="str">
        <f t="shared" si="688"/>
        <v/>
      </c>
      <c r="F513" s="59" t="str">
        <f t="shared" si="689"/>
        <v/>
      </c>
      <c r="G513" s="66" t="str">
        <f t="shared" si="679"/>
        <v/>
      </c>
      <c r="H513" s="66" t="str">
        <f t="shared" si="680"/>
        <v/>
      </c>
      <c r="I513" s="66" t="str">
        <f t="shared" si="728"/>
        <v/>
      </c>
      <c r="J513" s="66" t="str">
        <f t="shared" si="681"/>
        <v/>
      </c>
      <c r="K513" s="66" t="str">
        <f t="shared" si="682"/>
        <v/>
      </c>
      <c r="L513" s="66" t="str">
        <f t="shared" si="683"/>
        <v/>
      </c>
      <c r="M513" s="66" t="str">
        <f t="shared" si="684"/>
        <v/>
      </c>
      <c r="N513" s="66" t="str">
        <f>+IF(C513="","",ROUND(Parámetros!$D$23,2))</f>
        <v/>
      </c>
      <c r="O513" s="66" t="str">
        <f t="shared" si="685"/>
        <v/>
      </c>
      <c r="P513" s="66" t="str">
        <f>+IF($C513="","",ROUND(IF(B513&gt;Parámetros!$D$117,0,N513*Parámetros!$D$116-G513*Parámetros!$D$100),2))</f>
        <v/>
      </c>
      <c r="Q513" s="75" t="str">
        <f t="shared" si="729"/>
        <v/>
      </c>
      <c r="R513" s="75" t="str">
        <f t="shared" si="730"/>
        <v/>
      </c>
      <c r="S513" s="117" t="str">
        <f>+IF($C513="","",ROUND((S512+I513)*(1+Parámetros!$D$91),2))</f>
        <v/>
      </c>
      <c r="T513" s="117" t="str">
        <f>+IF($C513="","",ROUND(S513*VLOOKUP(B513,Parámetros!$C$30:$D$39,2,TRUE),2))</f>
        <v/>
      </c>
      <c r="U513" s="117" t="str">
        <f>+IF($C513="","",ROUND((U512+I513)*(1+Parámetros!$D$92),2))</f>
        <v/>
      </c>
      <c r="V513" s="117" t="str">
        <f>+IF($C513="","",ROUND(U513*VLOOKUP(B513,Parámetros!$C$30:$D$39,2,TRUE),2))</f>
        <v/>
      </c>
      <c r="W513" s="57" t="str">
        <f t="shared" si="731"/>
        <v/>
      </c>
      <c r="X513" t="str">
        <f t="shared" si="732"/>
        <v/>
      </c>
      <c r="Y513" t="str">
        <f t="shared" si="733"/>
        <v/>
      </c>
      <c r="Z513" s="118" t="str">
        <f>+IF($W513="","",ROUND(IF(Parámetros!$D$25='TABLAS MORT'!$V$33,Z512,Parámetros!$D$21-'Tablas Servicio'!T512),0))</f>
        <v/>
      </c>
      <c r="AA513" s="118" t="str">
        <f t="shared" si="734"/>
        <v/>
      </c>
      <c r="AB513" s="119" t="str">
        <f>+IF(W513="","",ROUND((VLOOKUP(ROUNDDOWN($D513-1/frec,0),qx_tabla,2,FALSE)*(1+i/frec)^-0.5*(1+Parámetros!$D$103)*(1+rec_fracc)/frec),6))</f>
        <v/>
      </c>
      <c r="AC513" s="66" t="str">
        <f t="shared" si="690"/>
        <v/>
      </c>
      <c r="AD513" s="119" t="str">
        <f t="shared" si="686"/>
        <v/>
      </c>
      <c r="AE513" s="66" t="str">
        <f>+IF($W513="","",ROUND(IF($B513&gt;Parámetros!$D$107,'Tablas Servicio'!AC513+('Tablas Servicio'!AG512-'Tablas Servicio'!AC512),AC513/(1-IF(B513&lt;=10,Parámetros!$D$104,Parámetros!$D$105))),2))</f>
        <v/>
      </c>
      <c r="AF513" s="66" t="str">
        <f>+IF($W513="","",ROUND(IF($B513&gt;Parámetros!$D$107,'Tablas Servicio'!AC513+('Tablas Servicio'!AG512-'Tablas Servicio'!AC512),(AC513+$A512/frec)/(1-IF(B513&lt;=Parámetros!$D$117,Parámetros!$D$100,0))),2))</f>
        <v/>
      </c>
      <c r="AG513" s="66" t="str">
        <f t="shared" si="691"/>
        <v/>
      </c>
      <c r="AH513" s="66" t="str">
        <f t="shared" si="692"/>
        <v/>
      </c>
      <c r="AI513" s="66" t="str">
        <f t="shared" si="693"/>
        <v/>
      </c>
      <c r="AJ513" s="66" t="str">
        <f>+IF($W513="","",ROUND((AG513*Parámetros!$G$85),2))</f>
        <v/>
      </c>
      <c r="AK513" s="66" t="str">
        <f>+IF($W513="","",ROUND((AG513*(Parámetros!$G$86)),2))</f>
        <v/>
      </c>
      <c r="AL513" s="66" t="str">
        <f t="shared" si="687"/>
        <v/>
      </c>
      <c r="AM513" t="str">
        <f t="shared" si="735"/>
        <v/>
      </c>
      <c r="AN513" t="str">
        <f t="shared" si="736"/>
        <v/>
      </c>
      <c r="AO513" s="118" t="str">
        <f t="shared" si="737"/>
        <v/>
      </c>
      <c r="AP513" s="118" t="str">
        <f t="shared" si="738"/>
        <v/>
      </c>
      <c r="AQ513" s="119" t="str">
        <f>+IF(OR($W513="",AO513=0),"",ROUND((VLOOKUP(ROUNDDOWN($D513-1/frec,0),cob_adi,Z$40,FALSE)*(1+i/frec)^-0.5*(1+Parámetros!$D$103)*(1+rec_fracc)/frec),6))</f>
        <v/>
      </c>
      <c r="AR513" s="66" t="str">
        <f t="shared" si="694"/>
        <v/>
      </c>
      <c r="AS513" s="119" t="str">
        <f t="shared" si="695"/>
        <v/>
      </c>
      <c r="AT513" s="66" t="str">
        <f>+IF($W513="","",ROUND(IF($B513&gt;Parámetros!$D$107,'Tablas Servicio'!AR513+('Tablas Servicio'!AT512-'Tablas Servicio'!AR512),AR513/(1-IF(B513&lt;=10,Parámetros!$D$100,0))),2))</f>
        <v/>
      </c>
      <c r="AU513" s="66" t="str">
        <f t="shared" si="696"/>
        <v/>
      </c>
      <c r="AV513" s="66" t="str">
        <f t="shared" si="696"/>
        <v/>
      </c>
      <c r="AW513" s="66" t="str">
        <f>+IF($W513="","",ROUND((AT513*Parámetros!$G$85),2))</f>
        <v/>
      </c>
      <c r="AX513" s="66" t="str">
        <f>+IF($W513="","",ROUND((AT513*(Parámetros!$G$86)),2))</f>
        <v/>
      </c>
      <c r="AY513" s="66" t="str">
        <f t="shared" si="697"/>
        <v/>
      </c>
      <c r="AZ513" t="str">
        <f t="shared" si="739"/>
        <v/>
      </c>
      <c r="BA513" t="str">
        <f t="shared" si="740"/>
        <v/>
      </c>
      <c r="BB513" s="118" t="str">
        <f t="shared" si="741"/>
        <v/>
      </c>
      <c r="BC513" s="118" t="str">
        <f t="shared" si="742"/>
        <v/>
      </c>
      <c r="BD513" s="119" t="str">
        <f>+IF(OR($W513="",BB513=0),"",ROUND((VLOOKUP(ROUNDDOWN($D513-1/frec,0),cob_adi,AO$40,FALSE)*(1+i/frec)^-0.5*(1+Parámetros!$D$103)*(1+rec_fracc)/frec),6))</f>
        <v/>
      </c>
      <c r="BE513" s="66" t="str">
        <f t="shared" si="698"/>
        <v/>
      </c>
      <c r="BF513" s="119" t="str">
        <f t="shared" si="699"/>
        <v/>
      </c>
      <c r="BG513" s="66" t="str">
        <f>+IF($W513="","",ROUND(IF($B513&gt;Parámetros!$D$107,'Tablas Servicio'!BE513+('Tablas Servicio'!BG512-'Tablas Servicio'!BE512),BE513/(1-IF(B513&lt;=10,Parámetros!$D$100,0))),2))</f>
        <v/>
      </c>
      <c r="BH513" s="66" t="str">
        <f t="shared" si="700"/>
        <v/>
      </c>
      <c r="BI513" s="66" t="str">
        <f t="shared" si="701"/>
        <v/>
      </c>
      <c r="BJ513" s="66" t="str">
        <f>+IF($W513="","",ROUND((BG513*Parámetros!$G$85),2))</f>
        <v/>
      </c>
      <c r="BK513" s="66" t="str">
        <f>+IF($W513="","",ROUND((BG513*(Parámetros!$G$86)),2))</f>
        <v/>
      </c>
      <c r="BL513" s="66" t="str">
        <f t="shared" si="702"/>
        <v/>
      </c>
      <c r="BM513" t="str">
        <f t="shared" si="743"/>
        <v/>
      </c>
      <c r="BN513" t="str">
        <f t="shared" si="744"/>
        <v/>
      </c>
      <c r="BO513" s="118" t="str">
        <f t="shared" si="745"/>
        <v/>
      </c>
      <c r="BP513" s="118" t="str">
        <f t="shared" si="746"/>
        <v/>
      </c>
      <c r="BQ513" s="119" t="str">
        <f>+IF(OR($W513="",BO513=0),"",ROUND((VLOOKUP(ROUNDDOWN($D513-1/frec,0),cob_adi,BB$40,FALSE)*(1+i/frec)^-0.5*(1+Parámetros!$D$103)*(1+rec_fracc)/frec),6))</f>
        <v/>
      </c>
      <c r="BR513" s="66" t="str">
        <f t="shared" si="703"/>
        <v/>
      </c>
      <c r="BS513" s="119" t="str">
        <f t="shared" si="704"/>
        <v/>
      </c>
      <c r="BT513" s="66" t="str">
        <f>+IF($W513="","",ROUND(IF($B513&gt;Parámetros!$D$107,'Tablas Servicio'!BR513+('Tablas Servicio'!BT512-'Tablas Servicio'!BR512),BR513/(1-IF(B513&lt;=10,Parámetros!$D$100,0))),2))</f>
        <v/>
      </c>
      <c r="BU513" s="66" t="str">
        <f t="shared" si="705"/>
        <v/>
      </c>
      <c r="BV513" s="66" t="str">
        <f t="shared" si="705"/>
        <v/>
      </c>
      <c r="BW513" s="66" t="str">
        <f>+IF($W513="","",ROUND((BT513*Parámetros!$G$85),2))</f>
        <v/>
      </c>
      <c r="BX513" s="66" t="str">
        <f>+IF($W513="","",ROUND((BT513*(Parámetros!$G$86)),2))</f>
        <v/>
      </c>
      <c r="BY513" s="66" t="str">
        <f t="shared" si="706"/>
        <v/>
      </c>
      <c r="BZ513" t="str">
        <f t="shared" si="747"/>
        <v/>
      </c>
      <c r="CA513" t="str">
        <f t="shared" si="748"/>
        <v/>
      </c>
      <c r="CB513" s="118" t="str">
        <f t="shared" si="749"/>
        <v/>
      </c>
      <c r="CC513" s="118" t="str">
        <f t="shared" si="750"/>
        <v/>
      </c>
      <c r="CD513" s="119" t="str">
        <f t="shared" si="707"/>
        <v/>
      </c>
      <c r="CE513" s="66" t="str">
        <f>+IF($W513="","",ROUND((VLOOKUP(ROUNDDOWN($D513-1/frec,0),cob_adi,BO$40,FALSE)*(1+i/frec)^-0.5*(1+Parámetros!$D$103)*(1+rec_fracc)/frec*'TABLAS ADI'!$BC$17),2))</f>
        <v/>
      </c>
      <c r="CF513" s="119" t="str">
        <f t="shared" si="708"/>
        <v/>
      </c>
      <c r="CG513" s="66" t="str">
        <f>+IF($W513="","",ROUND(IF($B513&gt;Parámetros!$D$107,'Tablas Servicio'!CE513+('Tablas Servicio'!CG512-'Tablas Servicio'!CE512),CE513/(1-IF(B513&lt;=10,Parámetros!$D$100,0))),2))</f>
        <v/>
      </c>
      <c r="CH513" s="66" t="str">
        <f t="shared" si="709"/>
        <v/>
      </c>
      <c r="CI513" s="66" t="str">
        <f t="shared" si="709"/>
        <v/>
      </c>
      <c r="CJ513" s="66" t="str">
        <f>+IF($W513="","",ROUND((CG513*Parámetros!$G$85),2))</f>
        <v/>
      </c>
      <c r="CK513" s="66" t="str">
        <f>+IF($W513="","",ROUND((CG513*(Parámetros!$G$86)),2))</f>
        <v/>
      </c>
      <c r="CL513" s="66" t="str">
        <f t="shared" si="710"/>
        <v/>
      </c>
      <c r="CM513" t="str">
        <f t="shared" si="751"/>
        <v/>
      </c>
      <c r="CN513" s="118" t="str">
        <f t="shared" si="752"/>
        <v/>
      </c>
      <c r="CO513" s="118" t="str">
        <f t="shared" si="753"/>
        <v/>
      </c>
      <c r="CP513" s="118" t="str">
        <f t="shared" si="754"/>
        <v/>
      </c>
      <c r="CQ513" s="119" t="str">
        <f t="shared" si="711"/>
        <v/>
      </c>
      <c r="CR513" s="66" t="str">
        <f>+IF($W513="","",ROUND((VLOOKUP(Parámetros!$F$51,'COBERTURAS ADICIONALES'!$S$4:$T$32,2,FALSE)*(1+i/frec)^-0.5*(1+Parámetros!$D$103)*(1+rec_fracc)/frec*$CO$42),2))</f>
        <v/>
      </c>
      <c r="CS513" s="119" t="str">
        <f t="shared" si="712"/>
        <v/>
      </c>
      <c r="CT513" s="66" t="str">
        <f>+IF($W513="","",ROUND(IF($B513&gt;Parámetros!$D$107,'Tablas Servicio'!CR513+('Tablas Servicio'!CT512-'Tablas Servicio'!CR512),CR513/(1-IF(B513&lt;=10,Parámetros!$D$100,0))),2))</f>
        <v/>
      </c>
      <c r="CU513" s="66" t="str">
        <f t="shared" si="713"/>
        <v/>
      </c>
      <c r="CV513" s="66" t="str">
        <f t="shared" si="713"/>
        <v/>
      </c>
      <c r="CW513" s="66" t="str">
        <f>+IF($W513="","",ROUND((CT513*Parámetros!$G$85),2))</f>
        <v/>
      </c>
      <c r="CX513" s="66" t="str">
        <f>+IF($W513="","",ROUND((CT513*(Parámetros!$G$86)),2))</f>
        <v/>
      </c>
      <c r="CY513" s="66" t="str">
        <f t="shared" si="714"/>
        <v/>
      </c>
      <c r="CZ513" t="str">
        <f t="shared" si="755"/>
        <v/>
      </c>
      <c r="DA513" s="118" t="str">
        <f t="shared" si="756"/>
        <v/>
      </c>
      <c r="DB513" s="118" t="str">
        <f t="shared" si="757"/>
        <v/>
      </c>
      <c r="DC513" s="118" t="str">
        <f t="shared" si="758"/>
        <v/>
      </c>
      <c r="DD513" s="121" t="str">
        <f>+IF(OR($W513="",DB513=0),"",ROUND((VLOOKUP(ROUNDDOWN($D513-1/frec,0),cob_adi,CO$40,FALSE)*(1+i/frec)^-0.5*(1+Parámetros!$D$103)*(1+rec_fracc)/frec),6))</f>
        <v/>
      </c>
      <c r="DE513" s="66" t="str">
        <f t="shared" si="715"/>
        <v/>
      </c>
      <c r="DF513" s="119" t="str">
        <f t="shared" si="716"/>
        <v/>
      </c>
      <c r="DG513" s="66" t="str">
        <f>+IF($W513="","",ROUND(IF($B513&gt;Parámetros!$D$107,'Tablas Servicio'!DE513+('Tablas Servicio'!DG512-'Tablas Servicio'!DE512),DE513/(1-IF(B513&lt;=10,Parámetros!$D$100,0))),2))</f>
        <v/>
      </c>
      <c r="DH513" s="66" t="str">
        <f t="shared" si="717"/>
        <v/>
      </c>
      <c r="DI513" s="66" t="str">
        <f t="shared" si="717"/>
        <v/>
      </c>
      <c r="DJ513" s="66" t="str">
        <f>+IF($W513="","",ROUND((DG513*Parámetros!$G$85),2))</f>
        <v/>
      </c>
      <c r="DK513" s="66" t="str">
        <f>+IF($W513="","",ROUND((DG513*(Parámetros!$G$86)),2))</f>
        <v/>
      </c>
      <c r="DL513" s="66" t="str">
        <f t="shared" si="718"/>
        <v/>
      </c>
      <c r="DM513" t="str">
        <f t="shared" si="759"/>
        <v/>
      </c>
      <c r="DN513" s="118" t="str">
        <f t="shared" si="760"/>
        <v/>
      </c>
      <c r="DO513" s="118" t="str">
        <f t="shared" si="761"/>
        <v/>
      </c>
      <c r="DP513" s="118" t="str">
        <f t="shared" si="762"/>
        <v/>
      </c>
      <c r="DQ513" s="122" t="str">
        <f>+IF(OR($W513="",DO513=0),"",ROUND((VLOOKUP(ROUNDDOWN($D513-1/frec,0),cob_adi,DB$40,FALSE)*(1+i/frec)^-0.5*(1+Parámetros!$D$103)*(1+rec_fracc)/frec),6))</f>
        <v/>
      </c>
      <c r="DR513" s="66" t="str">
        <f t="shared" si="719"/>
        <v/>
      </c>
      <c r="DS513" s="68" t="str">
        <f t="shared" si="720"/>
        <v/>
      </c>
      <c r="DT513" s="66" t="str">
        <f>+IF($W513="","",ROUND(IF($B513&gt;Parámetros!$D$107,'Tablas Servicio'!DR513+('Tablas Servicio'!DT512-'Tablas Servicio'!DR512),DR513/(1-IF(B513&lt;=10,Parámetros!$D$100,0))),2))</f>
        <v/>
      </c>
      <c r="DU513" s="66" t="str">
        <f t="shared" si="721"/>
        <v/>
      </c>
      <c r="DV513" s="66" t="str">
        <f t="shared" si="721"/>
        <v/>
      </c>
      <c r="DW513" s="66" t="str">
        <f>+IF($W513="","",ROUND((DT513*Parámetros!$G$85),2))</f>
        <v/>
      </c>
      <c r="DX513" s="66" t="str">
        <f>+IF($W513="","",ROUND((DT513*(Parámetros!$G$86)),2))</f>
        <v/>
      </c>
      <c r="DY513" s="66" t="str">
        <f t="shared" si="722"/>
        <v/>
      </c>
      <c r="DZ513" t="str">
        <f t="shared" si="763"/>
        <v/>
      </c>
      <c r="EA513" s="118" t="str">
        <f t="shared" si="763"/>
        <v/>
      </c>
      <c r="EB513" s="118" t="str">
        <f>+IF($W513="","",ROUND(IF(Parámetros!$D$25='TABLAS MORT'!$V$33,EB512,Z513/2),0))</f>
        <v/>
      </c>
      <c r="EC513" s="118" t="str">
        <f t="shared" si="763"/>
        <v/>
      </c>
      <c r="ED513" s="122" t="str">
        <f>+IF(OR($W513="",EB513=0),"",ROUND((VLOOKUP(ROUNDDOWN($D513-1/frec,0),cob_adi,DO$40,FALSE)*(1+i/frec)^-0.5*(1+Parámetros!$D$103)*(1+rec_fracc)/frec),6))</f>
        <v/>
      </c>
      <c r="EE513" s="66" t="str">
        <f t="shared" si="724"/>
        <v/>
      </c>
      <c r="EF513" s="68" t="str">
        <f t="shared" si="725"/>
        <v/>
      </c>
      <c r="EG513" s="66" t="str">
        <f>+IF($W513="","",ROUND(IF($B513&gt;Parámetros!$D$107,'Tablas Servicio'!EE513+('Tablas Servicio'!EG512-'Tablas Servicio'!EE512),EE513/(1-IF(B513&lt;=10,Parámetros!$D$100,0))),2))</f>
        <v/>
      </c>
      <c r="EH513" s="66" t="str">
        <f t="shared" si="726"/>
        <v/>
      </c>
      <c r="EI513" s="66" t="str">
        <f t="shared" si="726"/>
        <v/>
      </c>
      <c r="EJ513" s="66" t="str">
        <f>+IF($W513="","",ROUND((EG513*Parámetros!$G$85),2))</f>
        <v/>
      </c>
      <c r="EK513" s="66" t="str">
        <f>+IF($W513="","",ROUND((EG513*(Parámetros!$G$86)),2))</f>
        <v/>
      </c>
      <c r="EL513" s="66" t="str">
        <f t="shared" si="727"/>
        <v/>
      </c>
    </row>
    <row r="514" spans="1:142" x14ac:dyDescent="0.25">
      <c r="A514" t="str">
        <f>+IF($C514="","",ROUND(VLOOKUP('Tablas Servicio'!B514,Parámetros!$H$100:$J$159,IF(Parámetros!$E$16="F",2,3),FALSE),2))</f>
        <v/>
      </c>
      <c r="B514" t="str">
        <f t="shared" si="678"/>
        <v/>
      </c>
      <c r="C514" s="57" t="str">
        <f>+IF(D514="","",'Tablas Servicio'!C513+1)</f>
        <v/>
      </c>
      <c r="D514" s="56" t="str">
        <f>+IF(D513&lt;edadmaxtabla,D513+1/Parámetros!$E$25,"")</f>
        <v/>
      </c>
      <c r="E514" s="57" t="str">
        <f t="shared" si="688"/>
        <v/>
      </c>
      <c r="F514" s="59" t="str">
        <f t="shared" si="689"/>
        <v/>
      </c>
      <c r="G514" s="66" t="str">
        <f t="shared" si="679"/>
        <v/>
      </c>
      <c r="H514" s="66" t="str">
        <f t="shared" si="680"/>
        <v/>
      </c>
      <c r="I514" s="66" t="str">
        <f t="shared" si="728"/>
        <v/>
      </c>
      <c r="J514" s="66" t="str">
        <f t="shared" si="681"/>
        <v/>
      </c>
      <c r="K514" s="66" t="str">
        <f t="shared" si="682"/>
        <v/>
      </c>
      <c r="L514" s="66" t="str">
        <f t="shared" si="683"/>
        <v/>
      </c>
      <c r="M514" s="66" t="str">
        <f t="shared" si="684"/>
        <v/>
      </c>
      <c r="N514" s="66" t="str">
        <f>+IF(C514="","",ROUND(Parámetros!$D$23,2))</f>
        <v/>
      </c>
      <c r="O514" s="66" t="str">
        <f t="shared" si="685"/>
        <v/>
      </c>
      <c r="P514" s="66" t="str">
        <f>+IF($C514="","",ROUND(IF(B514&gt;Parámetros!$D$117,0,N514*Parámetros!$D$116-G514*Parámetros!$D$100),2))</f>
        <v/>
      </c>
      <c r="Q514" s="75" t="str">
        <f t="shared" si="729"/>
        <v/>
      </c>
      <c r="R514" s="75" t="str">
        <f t="shared" si="730"/>
        <v/>
      </c>
      <c r="S514" s="117" t="str">
        <f>+IF($C514="","",ROUND((S513+I514)*(1+Parámetros!$D$91),2))</f>
        <v/>
      </c>
      <c r="T514" s="117" t="str">
        <f>+IF($C514="","",ROUND(S514*VLOOKUP(B514,Parámetros!$C$30:$D$39,2,TRUE),2))</f>
        <v/>
      </c>
      <c r="U514" s="117" t="str">
        <f>+IF($C514="","",ROUND((U513+I514)*(1+Parámetros!$D$92),2))</f>
        <v/>
      </c>
      <c r="V514" s="117" t="str">
        <f>+IF($C514="","",ROUND(U514*VLOOKUP(B514,Parámetros!$C$30:$D$39,2,TRUE),2))</f>
        <v/>
      </c>
      <c r="W514" s="57" t="str">
        <f t="shared" si="731"/>
        <v/>
      </c>
      <c r="X514" t="str">
        <f t="shared" si="732"/>
        <v/>
      </c>
      <c r="Y514" t="str">
        <f t="shared" si="733"/>
        <v/>
      </c>
      <c r="Z514" s="118" t="str">
        <f>+IF($W514="","",ROUND(IF(Parámetros!$D$25='TABLAS MORT'!$V$33,Z513,Parámetros!$D$21-'Tablas Servicio'!T513),0))</f>
        <v/>
      </c>
      <c r="AA514" s="118" t="str">
        <f t="shared" si="734"/>
        <v/>
      </c>
      <c r="AB514" s="119" t="str">
        <f>+IF(W514="","",ROUND((VLOOKUP(ROUNDDOWN($D514-1/frec,0),qx_tabla,2,FALSE)*(1+i/frec)^-0.5*(1+Parámetros!$D$103)*(1+rec_fracc)/frec),6))</f>
        <v/>
      </c>
      <c r="AC514" s="66" t="str">
        <f t="shared" si="690"/>
        <v/>
      </c>
      <c r="AD514" s="119" t="str">
        <f t="shared" si="686"/>
        <v/>
      </c>
      <c r="AE514" s="66" t="str">
        <f>+IF($W514="","",ROUND(IF($B514&gt;Parámetros!$D$107,'Tablas Servicio'!AC514+('Tablas Servicio'!AG513-'Tablas Servicio'!AC513),AC514/(1-IF(B514&lt;=10,Parámetros!$D$104,Parámetros!$D$105))),2))</f>
        <v/>
      </c>
      <c r="AF514" s="66" t="str">
        <f>+IF($W514="","",ROUND(IF($B514&gt;Parámetros!$D$107,'Tablas Servicio'!AC514+('Tablas Servicio'!AG513-'Tablas Servicio'!AC513),(AC514+$A513/frec)/(1-IF(B514&lt;=Parámetros!$D$117,Parámetros!$D$100,0))),2))</f>
        <v/>
      </c>
      <c r="AG514" s="66" t="str">
        <f t="shared" si="691"/>
        <v/>
      </c>
      <c r="AH514" s="66" t="str">
        <f t="shared" si="692"/>
        <v/>
      </c>
      <c r="AI514" s="66" t="str">
        <f t="shared" si="693"/>
        <v/>
      </c>
      <c r="AJ514" s="66" t="str">
        <f>+IF($W514="","",ROUND((AG514*Parámetros!$G$85),2))</f>
        <v/>
      </c>
      <c r="AK514" s="66" t="str">
        <f>+IF($W514="","",ROUND((AG514*(Parámetros!$G$86)),2))</f>
        <v/>
      </c>
      <c r="AL514" s="66" t="str">
        <f t="shared" si="687"/>
        <v/>
      </c>
      <c r="AM514" t="str">
        <f t="shared" si="735"/>
        <v/>
      </c>
      <c r="AN514" t="str">
        <f t="shared" si="736"/>
        <v/>
      </c>
      <c r="AO514" s="118" t="str">
        <f t="shared" si="737"/>
        <v/>
      </c>
      <c r="AP514" s="118" t="str">
        <f t="shared" si="738"/>
        <v/>
      </c>
      <c r="AQ514" s="119" t="str">
        <f>+IF(OR($W514="",AO514=0),"",ROUND((VLOOKUP(ROUNDDOWN($D514-1/frec,0),cob_adi,Z$40,FALSE)*(1+i/frec)^-0.5*(1+Parámetros!$D$103)*(1+rec_fracc)/frec),6))</f>
        <v/>
      </c>
      <c r="AR514" s="66" t="str">
        <f t="shared" si="694"/>
        <v/>
      </c>
      <c r="AS514" s="119" t="str">
        <f t="shared" si="695"/>
        <v/>
      </c>
      <c r="AT514" s="66" t="str">
        <f>+IF($W514="","",ROUND(IF($B514&gt;Parámetros!$D$107,'Tablas Servicio'!AR514+('Tablas Servicio'!AT513-'Tablas Servicio'!AR513),AR514/(1-IF(B514&lt;=10,Parámetros!$D$100,0))),2))</f>
        <v/>
      </c>
      <c r="AU514" s="66" t="str">
        <f t="shared" si="696"/>
        <v/>
      </c>
      <c r="AV514" s="66" t="str">
        <f t="shared" si="696"/>
        <v/>
      </c>
      <c r="AW514" s="66" t="str">
        <f>+IF($W514="","",ROUND((AT514*Parámetros!$G$85),2))</f>
        <v/>
      </c>
      <c r="AX514" s="66" t="str">
        <f>+IF($W514="","",ROUND((AT514*(Parámetros!$G$86)),2))</f>
        <v/>
      </c>
      <c r="AY514" s="66" t="str">
        <f t="shared" si="697"/>
        <v/>
      </c>
      <c r="AZ514" t="str">
        <f t="shared" si="739"/>
        <v/>
      </c>
      <c r="BA514" t="str">
        <f t="shared" si="740"/>
        <v/>
      </c>
      <c r="BB514" s="118" t="str">
        <f t="shared" si="741"/>
        <v/>
      </c>
      <c r="BC514" s="118" t="str">
        <f t="shared" si="742"/>
        <v/>
      </c>
      <c r="BD514" s="119" t="str">
        <f>+IF(OR($W514="",BB514=0),"",ROUND((VLOOKUP(ROUNDDOWN($D514-1/frec,0),cob_adi,AO$40,FALSE)*(1+i/frec)^-0.5*(1+Parámetros!$D$103)*(1+rec_fracc)/frec),6))</f>
        <v/>
      </c>
      <c r="BE514" s="66" t="str">
        <f t="shared" si="698"/>
        <v/>
      </c>
      <c r="BF514" s="119" t="str">
        <f t="shared" si="699"/>
        <v/>
      </c>
      <c r="BG514" s="66" t="str">
        <f>+IF($W514="","",ROUND(IF($B514&gt;Parámetros!$D$107,'Tablas Servicio'!BE514+('Tablas Servicio'!BG513-'Tablas Servicio'!BE513),BE514/(1-IF(B514&lt;=10,Parámetros!$D$100,0))),2))</f>
        <v/>
      </c>
      <c r="BH514" s="66" t="str">
        <f t="shared" si="700"/>
        <v/>
      </c>
      <c r="BI514" s="66" t="str">
        <f t="shared" si="701"/>
        <v/>
      </c>
      <c r="BJ514" s="66" t="str">
        <f>+IF($W514="","",ROUND((BG514*Parámetros!$G$85),2))</f>
        <v/>
      </c>
      <c r="BK514" s="66" t="str">
        <f>+IF($W514="","",ROUND((BG514*(Parámetros!$G$86)),2))</f>
        <v/>
      </c>
      <c r="BL514" s="66" t="str">
        <f t="shared" si="702"/>
        <v/>
      </c>
      <c r="BM514" t="str">
        <f t="shared" si="743"/>
        <v/>
      </c>
      <c r="BN514" t="str">
        <f t="shared" si="744"/>
        <v/>
      </c>
      <c r="BO514" s="118" t="str">
        <f t="shared" si="745"/>
        <v/>
      </c>
      <c r="BP514" s="118" t="str">
        <f t="shared" si="746"/>
        <v/>
      </c>
      <c r="BQ514" s="119" t="str">
        <f>+IF(OR($W514="",BO514=0),"",ROUND((VLOOKUP(ROUNDDOWN($D514-1/frec,0),cob_adi,BB$40,FALSE)*(1+i/frec)^-0.5*(1+Parámetros!$D$103)*(1+rec_fracc)/frec),6))</f>
        <v/>
      </c>
      <c r="BR514" s="66" t="str">
        <f t="shared" si="703"/>
        <v/>
      </c>
      <c r="BS514" s="119" t="str">
        <f t="shared" si="704"/>
        <v/>
      </c>
      <c r="BT514" s="66" t="str">
        <f>+IF($W514="","",ROUND(IF($B514&gt;Parámetros!$D$107,'Tablas Servicio'!BR514+('Tablas Servicio'!BT513-'Tablas Servicio'!BR513),BR514/(1-IF(B514&lt;=10,Parámetros!$D$100,0))),2))</f>
        <v/>
      </c>
      <c r="BU514" s="66" t="str">
        <f t="shared" si="705"/>
        <v/>
      </c>
      <c r="BV514" s="66" t="str">
        <f t="shared" si="705"/>
        <v/>
      </c>
      <c r="BW514" s="66" t="str">
        <f>+IF($W514="","",ROUND((BT514*Parámetros!$G$85),2))</f>
        <v/>
      </c>
      <c r="BX514" s="66" t="str">
        <f>+IF($W514="","",ROUND((BT514*(Parámetros!$G$86)),2))</f>
        <v/>
      </c>
      <c r="BY514" s="66" t="str">
        <f t="shared" si="706"/>
        <v/>
      </c>
      <c r="BZ514" t="str">
        <f t="shared" si="747"/>
        <v/>
      </c>
      <c r="CA514" t="str">
        <f t="shared" si="748"/>
        <v/>
      </c>
      <c r="CB514" s="118" t="str">
        <f t="shared" si="749"/>
        <v/>
      </c>
      <c r="CC514" s="118" t="str">
        <f t="shared" si="750"/>
        <v/>
      </c>
      <c r="CD514" s="119" t="str">
        <f t="shared" si="707"/>
        <v/>
      </c>
      <c r="CE514" s="66" t="str">
        <f>+IF($W514="","",ROUND((VLOOKUP(ROUNDDOWN($D514-1/frec,0),cob_adi,BO$40,FALSE)*(1+i/frec)^-0.5*(1+Parámetros!$D$103)*(1+rec_fracc)/frec*'TABLAS ADI'!$BC$17),2))</f>
        <v/>
      </c>
      <c r="CF514" s="119" t="str">
        <f t="shared" si="708"/>
        <v/>
      </c>
      <c r="CG514" s="66" t="str">
        <f>+IF($W514="","",ROUND(IF($B514&gt;Parámetros!$D$107,'Tablas Servicio'!CE514+('Tablas Servicio'!CG513-'Tablas Servicio'!CE513),CE514/(1-IF(B514&lt;=10,Parámetros!$D$100,0))),2))</f>
        <v/>
      </c>
      <c r="CH514" s="66" t="str">
        <f t="shared" si="709"/>
        <v/>
      </c>
      <c r="CI514" s="66" t="str">
        <f t="shared" si="709"/>
        <v/>
      </c>
      <c r="CJ514" s="66" t="str">
        <f>+IF($W514="","",ROUND((CG514*Parámetros!$G$85),2))</f>
        <v/>
      </c>
      <c r="CK514" s="66" t="str">
        <f>+IF($W514="","",ROUND((CG514*(Parámetros!$G$86)),2))</f>
        <v/>
      </c>
      <c r="CL514" s="66" t="str">
        <f t="shared" si="710"/>
        <v/>
      </c>
      <c r="CM514" t="str">
        <f t="shared" si="751"/>
        <v/>
      </c>
      <c r="CN514" s="118" t="str">
        <f t="shared" si="752"/>
        <v/>
      </c>
      <c r="CO514" s="118" t="str">
        <f t="shared" si="753"/>
        <v/>
      </c>
      <c r="CP514" s="118" t="str">
        <f t="shared" si="754"/>
        <v/>
      </c>
      <c r="CQ514" s="119" t="str">
        <f t="shared" si="711"/>
        <v/>
      </c>
      <c r="CR514" s="66" t="str">
        <f>+IF($W514="","",ROUND((VLOOKUP(Parámetros!$F$51,'COBERTURAS ADICIONALES'!$S$4:$T$32,2,FALSE)*(1+i/frec)^-0.5*(1+Parámetros!$D$103)*(1+rec_fracc)/frec*$CO$42),2))</f>
        <v/>
      </c>
      <c r="CS514" s="119" t="str">
        <f t="shared" si="712"/>
        <v/>
      </c>
      <c r="CT514" s="66" t="str">
        <f>+IF($W514="","",ROUND(IF($B514&gt;Parámetros!$D$107,'Tablas Servicio'!CR514+('Tablas Servicio'!CT513-'Tablas Servicio'!CR513),CR514/(1-IF(B514&lt;=10,Parámetros!$D$100,0))),2))</f>
        <v/>
      </c>
      <c r="CU514" s="66" t="str">
        <f t="shared" si="713"/>
        <v/>
      </c>
      <c r="CV514" s="66" t="str">
        <f t="shared" si="713"/>
        <v/>
      </c>
      <c r="CW514" s="66" t="str">
        <f>+IF($W514="","",ROUND((CT514*Parámetros!$G$85),2))</f>
        <v/>
      </c>
      <c r="CX514" s="66" t="str">
        <f>+IF($W514="","",ROUND((CT514*(Parámetros!$G$86)),2))</f>
        <v/>
      </c>
      <c r="CY514" s="66" t="str">
        <f t="shared" si="714"/>
        <v/>
      </c>
      <c r="CZ514" t="str">
        <f t="shared" si="755"/>
        <v/>
      </c>
      <c r="DA514" s="118" t="str">
        <f t="shared" si="756"/>
        <v/>
      </c>
      <c r="DB514" s="118" t="str">
        <f t="shared" si="757"/>
        <v/>
      </c>
      <c r="DC514" s="118" t="str">
        <f t="shared" si="758"/>
        <v/>
      </c>
      <c r="DD514" s="121" t="str">
        <f>+IF(OR($W514="",DB514=0),"",ROUND((VLOOKUP(ROUNDDOWN($D514-1/frec,0),cob_adi,CO$40,FALSE)*(1+i/frec)^-0.5*(1+Parámetros!$D$103)*(1+rec_fracc)/frec),6))</f>
        <v/>
      </c>
      <c r="DE514" s="66" t="str">
        <f t="shared" si="715"/>
        <v/>
      </c>
      <c r="DF514" s="119" t="str">
        <f t="shared" si="716"/>
        <v/>
      </c>
      <c r="DG514" s="66" t="str">
        <f>+IF($W514="","",ROUND(IF($B514&gt;Parámetros!$D$107,'Tablas Servicio'!DE514+('Tablas Servicio'!DG513-'Tablas Servicio'!DE513),DE514/(1-IF(B514&lt;=10,Parámetros!$D$100,0))),2))</f>
        <v/>
      </c>
      <c r="DH514" s="66" t="str">
        <f t="shared" si="717"/>
        <v/>
      </c>
      <c r="DI514" s="66" t="str">
        <f t="shared" si="717"/>
        <v/>
      </c>
      <c r="DJ514" s="66" t="str">
        <f>+IF($W514="","",ROUND((DG514*Parámetros!$G$85),2))</f>
        <v/>
      </c>
      <c r="DK514" s="66" t="str">
        <f>+IF($W514="","",ROUND((DG514*(Parámetros!$G$86)),2))</f>
        <v/>
      </c>
      <c r="DL514" s="66" t="str">
        <f t="shared" si="718"/>
        <v/>
      </c>
      <c r="DM514" t="str">
        <f t="shared" si="759"/>
        <v/>
      </c>
      <c r="DN514" s="118" t="str">
        <f t="shared" si="760"/>
        <v/>
      </c>
      <c r="DO514" s="118" t="str">
        <f t="shared" si="761"/>
        <v/>
      </c>
      <c r="DP514" s="118" t="str">
        <f t="shared" si="762"/>
        <v/>
      </c>
      <c r="DQ514" s="122" t="str">
        <f>+IF(OR($W514="",DO514=0),"",ROUND((VLOOKUP(ROUNDDOWN($D514-1/frec,0),cob_adi,DB$40,FALSE)*(1+i/frec)^-0.5*(1+Parámetros!$D$103)*(1+rec_fracc)/frec),6))</f>
        <v/>
      </c>
      <c r="DR514" s="66" t="str">
        <f t="shared" si="719"/>
        <v/>
      </c>
      <c r="DS514" s="68" t="str">
        <f t="shared" si="720"/>
        <v/>
      </c>
      <c r="DT514" s="66" t="str">
        <f>+IF($W514="","",ROUND(IF($B514&gt;Parámetros!$D$107,'Tablas Servicio'!DR514+('Tablas Servicio'!DT513-'Tablas Servicio'!DR513),DR514/(1-IF(B514&lt;=10,Parámetros!$D$100,0))),2))</f>
        <v/>
      </c>
      <c r="DU514" s="66" t="str">
        <f t="shared" si="721"/>
        <v/>
      </c>
      <c r="DV514" s="66" t="str">
        <f t="shared" si="721"/>
        <v/>
      </c>
      <c r="DW514" s="66" t="str">
        <f>+IF($W514="","",ROUND((DT514*Parámetros!$G$85),2))</f>
        <v/>
      </c>
      <c r="DX514" s="66" t="str">
        <f>+IF($W514="","",ROUND((DT514*(Parámetros!$G$86)),2))</f>
        <v/>
      </c>
      <c r="DY514" s="66" t="str">
        <f t="shared" si="722"/>
        <v/>
      </c>
      <c r="DZ514" t="str">
        <f t="shared" si="763"/>
        <v/>
      </c>
      <c r="EA514" s="118" t="str">
        <f t="shared" si="763"/>
        <v/>
      </c>
      <c r="EB514" s="118" t="str">
        <f>+IF($W514="","",ROUND(IF(Parámetros!$D$25='TABLAS MORT'!$V$33,EB513,Z514/2),0))</f>
        <v/>
      </c>
      <c r="EC514" s="118" t="str">
        <f t="shared" si="763"/>
        <v/>
      </c>
      <c r="ED514" s="122" t="str">
        <f>+IF(OR($W514="",EB514=0),"",ROUND((VLOOKUP(ROUNDDOWN($D514-1/frec,0),cob_adi,DO$40,FALSE)*(1+i/frec)^-0.5*(1+Parámetros!$D$103)*(1+rec_fracc)/frec),6))</f>
        <v/>
      </c>
      <c r="EE514" s="66" t="str">
        <f t="shared" si="724"/>
        <v/>
      </c>
      <c r="EF514" s="68" t="str">
        <f t="shared" si="725"/>
        <v/>
      </c>
      <c r="EG514" s="66" t="str">
        <f>+IF($W514="","",ROUND(IF($B514&gt;Parámetros!$D$107,'Tablas Servicio'!EE514+('Tablas Servicio'!EG513-'Tablas Servicio'!EE513),EE514/(1-IF(B514&lt;=10,Parámetros!$D$100,0))),2))</f>
        <v/>
      </c>
      <c r="EH514" s="66" t="str">
        <f t="shared" si="726"/>
        <v/>
      </c>
      <c r="EI514" s="66" t="str">
        <f t="shared" si="726"/>
        <v/>
      </c>
      <c r="EJ514" s="66" t="str">
        <f>+IF($W514="","",ROUND((EG514*Parámetros!$G$85),2))</f>
        <v/>
      </c>
      <c r="EK514" s="66" t="str">
        <f>+IF($W514="","",ROUND((EG514*(Parámetros!$G$86)),2))</f>
        <v/>
      </c>
      <c r="EL514" s="66" t="str">
        <f t="shared" si="727"/>
        <v/>
      </c>
    </row>
    <row r="515" spans="1:142" x14ac:dyDescent="0.25">
      <c r="A515" t="str">
        <f>+IF($C515="","",ROUND(VLOOKUP('Tablas Servicio'!B515,Parámetros!$H$100:$J$159,IF(Parámetros!$E$16="F",2,3),FALSE),2))</f>
        <v/>
      </c>
      <c r="B515" t="str">
        <f t="shared" si="678"/>
        <v/>
      </c>
      <c r="C515" s="57" t="str">
        <f>+IF(D515="","",'Tablas Servicio'!C514+1)</f>
        <v/>
      </c>
      <c r="D515" s="56" t="str">
        <f>+IF(D514&lt;edadmaxtabla,D514+1/Parámetros!$E$25,"")</f>
        <v/>
      </c>
      <c r="E515" s="57" t="str">
        <f t="shared" si="688"/>
        <v/>
      </c>
      <c r="F515" s="59" t="str">
        <f t="shared" si="689"/>
        <v/>
      </c>
      <c r="G515" s="66" t="str">
        <f t="shared" si="679"/>
        <v/>
      </c>
      <c r="H515" s="66" t="str">
        <f t="shared" si="680"/>
        <v/>
      </c>
      <c r="I515" s="66" t="str">
        <f t="shared" si="728"/>
        <v/>
      </c>
      <c r="J515" s="66" t="str">
        <f t="shared" si="681"/>
        <v/>
      </c>
      <c r="K515" s="66" t="str">
        <f t="shared" si="682"/>
        <v/>
      </c>
      <c r="L515" s="66" t="str">
        <f t="shared" si="683"/>
        <v/>
      </c>
      <c r="M515" s="66" t="str">
        <f t="shared" si="684"/>
        <v/>
      </c>
      <c r="N515" s="66" t="str">
        <f>+IF(C515="","",ROUND(Parámetros!$D$23,2))</f>
        <v/>
      </c>
      <c r="O515" s="66" t="str">
        <f t="shared" si="685"/>
        <v/>
      </c>
      <c r="P515" s="66" t="str">
        <f>+IF($C515="","",ROUND(IF(B515&gt;Parámetros!$D$117,0,N515*Parámetros!$D$116-G515*Parámetros!$D$100),2))</f>
        <v/>
      </c>
      <c r="Q515" s="75" t="str">
        <f t="shared" si="729"/>
        <v/>
      </c>
      <c r="R515" s="75" t="str">
        <f t="shared" si="730"/>
        <v/>
      </c>
      <c r="S515" s="117" t="str">
        <f>+IF($C515="","",ROUND((S514+I515)*(1+Parámetros!$D$91),2))</f>
        <v/>
      </c>
      <c r="T515" s="117" t="str">
        <f>+IF($C515="","",ROUND(S515*VLOOKUP(B515,Parámetros!$C$30:$D$39,2,TRUE),2))</f>
        <v/>
      </c>
      <c r="U515" s="117" t="str">
        <f>+IF($C515="","",ROUND((U514+I515)*(1+Parámetros!$D$92),2))</f>
        <v/>
      </c>
      <c r="V515" s="117" t="str">
        <f>+IF($C515="","",ROUND(U515*VLOOKUP(B515,Parámetros!$C$30:$D$39,2,TRUE),2))</f>
        <v/>
      </c>
      <c r="W515" s="57" t="str">
        <f t="shared" si="731"/>
        <v/>
      </c>
      <c r="X515" t="str">
        <f t="shared" si="732"/>
        <v/>
      </c>
      <c r="Y515" t="str">
        <f t="shared" si="733"/>
        <v/>
      </c>
      <c r="Z515" s="118" t="str">
        <f>+IF($W515="","",ROUND(IF(Parámetros!$D$25='TABLAS MORT'!$V$33,Z514,Parámetros!$D$21-'Tablas Servicio'!T514),0))</f>
        <v/>
      </c>
      <c r="AA515" s="118" t="str">
        <f t="shared" si="734"/>
        <v/>
      </c>
      <c r="AB515" s="119" t="str">
        <f>+IF(W515="","",ROUND((VLOOKUP(ROUNDDOWN($D515-1/frec,0),qx_tabla,2,FALSE)*(1+i/frec)^-0.5*(1+Parámetros!$D$103)*(1+rec_fracc)/frec),6))</f>
        <v/>
      </c>
      <c r="AC515" s="66" t="str">
        <f t="shared" si="690"/>
        <v/>
      </c>
      <c r="AD515" s="119" t="str">
        <f t="shared" si="686"/>
        <v/>
      </c>
      <c r="AE515" s="66" t="str">
        <f>+IF($W515="","",ROUND(IF($B515&gt;Parámetros!$D$107,'Tablas Servicio'!AC515+('Tablas Servicio'!AG514-'Tablas Servicio'!AC514),AC515/(1-IF(B515&lt;=10,Parámetros!$D$104,Parámetros!$D$105))),2))</f>
        <v/>
      </c>
      <c r="AF515" s="66" t="str">
        <f>+IF($W515="","",ROUND(IF($B515&gt;Parámetros!$D$107,'Tablas Servicio'!AC515+('Tablas Servicio'!AG514-'Tablas Servicio'!AC514),(AC515+$A514/frec)/(1-IF(B515&lt;=Parámetros!$D$117,Parámetros!$D$100,0))),2))</f>
        <v/>
      </c>
      <c r="AG515" s="66" t="str">
        <f t="shared" si="691"/>
        <v/>
      </c>
      <c r="AH515" s="66" t="str">
        <f t="shared" si="692"/>
        <v/>
      </c>
      <c r="AI515" s="66" t="str">
        <f t="shared" si="693"/>
        <v/>
      </c>
      <c r="AJ515" s="66" t="str">
        <f>+IF($W515="","",ROUND((AG515*Parámetros!$G$85),2))</f>
        <v/>
      </c>
      <c r="AK515" s="66" t="str">
        <f>+IF($W515="","",ROUND((AG515*(Parámetros!$G$86)),2))</f>
        <v/>
      </c>
      <c r="AL515" s="66" t="str">
        <f t="shared" si="687"/>
        <v/>
      </c>
      <c r="AM515" t="str">
        <f t="shared" si="735"/>
        <v/>
      </c>
      <c r="AN515" t="str">
        <f t="shared" si="736"/>
        <v/>
      </c>
      <c r="AO515" s="118" t="str">
        <f t="shared" si="737"/>
        <v/>
      </c>
      <c r="AP515" s="118" t="str">
        <f t="shared" si="738"/>
        <v/>
      </c>
      <c r="AQ515" s="119" t="str">
        <f>+IF(OR($W515="",AO515=0),"",ROUND((VLOOKUP(ROUNDDOWN($D515-1/frec,0),cob_adi,Z$40,FALSE)*(1+i/frec)^-0.5*(1+Parámetros!$D$103)*(1+rec_fracc)/frec),6))</f>
        <v/>
      </c>
      <c r="AR515" s="66" t="str">
        <f t="shared" si="694"/>
        <v/>
      </c>
      <c r="AS515" s="119" t="str">
        <f t="shared" si="695"/>
        <v/>
      </c>
      <c r="AT515" s="66" t="str">
        <f>+IF($W515="","",ROUND(IF($B515&gt;Parámetros!$D$107,'Tablas Servicio'!AR515+('Tablas Servicio'!AT514-'Tablas Servicio'!AR514),AR515/(1-IF(B515&lt;=10,Parámetros!$D$100,0))),2))</f>
        <v/>
      </c>
      <c r="AU515" s="66" t="str">
        <f t="shared" si="696"/>
        <v/>
      </c>
      <c r="AV515" s="66" t="str">
        <f t="shared" si="696"/>
        <v/>
      </c>
      <c r="AW515" s="66" t="str">
        <f>+IF($W515="","",ROUND((AT515*Parámetros!$G$85),2))</f>
        <v/>
      </c>
      <c r="AX515" s="66" t="str">
        <f>+IF($W515="","",ROUND((AT515*(Parámetros!$G$86)),2))</f>
        <v/>
      </c>
      <c r="AY515" s="66" t="str">
        <f t="shared" si="697"/>
        <v/>
      </c>
      <c r="AZ515" t="str">
        <f t="shared" si="739"/>
        <v/>
      </c>
      <c r="BA515" t="str">
        <f t="shared" si="740"/>
        <v/>
      </c>
      <c r="BB515" s="118" t="str">
        <f t="shared" si="741"/>
        <v/>
      </c>
      <c r="BC515" s="118" t="str">
        <f t="shared" si="742"/>
        <v/>
      </c>
      <c r="BD515" s="119" t="str">
        <f>+IF(OR($W515="",BB515=0),"",ROUND((VLOOKUP(ROUNDDOWN($D515-1/frec,0),cob_adi,AO$40,FALSE)*(1+i/frec)^-0.5*(1+Parámetros!$D$103)*(1+rec_fracc)/frec),6))</f>
        <v/>
      </c>
      <c r="BE515" s="66" t="str">
        <f t="shared" si="698"/>
        <v/>
      </c>
      <c r="BF515" s="119" t="str">
        <f t="shared" si="699"/>
        <v/>
      </c>
      <c r="BG515" s="66" t="str">
        <f>+IF($W515="","",ROUND(IF($B515&gt;Parámetros!$D$107,'Tablas Servicio'!BE515+('Tablas Servicio'!BG514-'Tablas Servicio'!BE514),BE515/(1-IF(B515&lt;=10,Parámetros!$D$100,0))),2))</f>
        <v/>
      </c>
      <c r="BH515" s="66" t="str">
        <f t="shared" si="700"/>
        <v/>
      </c>
      <c r="BI515" s="66" t="str">
        <f t="shared" si="701"/>
        <v/>
      </c>
      <c r="BJ515" s="66" t="str">
        <f>+IF($W515="","",ROUND((BG515*Parámetros!$G$85),2))</f>
        <v/>
      </c>
      <c r="BK515" s="66" t="str">
        <f>+IF($W515="","",ROUND((BG515*(Parámetros!$G$86)),2))</f>
        <v/>
      </c>
      <c r="BL515" s="66" t="str">
        <f t="shared" si="702"/>
        <v/>
      </c>
      <c r="BM515" t="str">
        <f t="shared" si="743"/>
        <v/>
      </c>
      <c r="BN515" t="str">
        <f t="shared" si="744"/>
        <v/>
      </c>
      <c r="BO515" s="118" t="str">
        <f t="shared" si="745"/>
        <v/>
      </c>
      <c r="BP515" s="118" t="str">
        <f t="shared" si="746"/>
        <v/>
      </c>
      <c r="BQ515" s="119" t="str">
        <f>+IF(OR($W515="",BO515=0),"",ROUND((VLOOKUP(ROUNDDOWN($D515-1/frec,0),cob_adi,BB$40,FALSE)*(1+i/frec)^-0.5*(1+Parámetros!$D$103)*(1+rec_fracc)/frec),6))</f>
        <v/>
      </c>
      <c r="BR515" s="66" t="str">
        <f t="shared" si="703"/>
        <v/>
      </c>
      <c r="BS515" s="119" t="str">
        <f t="shared" si="704"/>
        <v/>
      </c>
      <c r="BT515" s="66" t="str">
        <f>+IF($W515="","",ROUND(IF($B515&gt;Parámetros!$D$107,'Tablas Servicio'!BR515+('Tablas Servicio'!BT514-'Tablas Servicio'!BR514),BR515/(1-IF(B515&lt;=10,Parámetros!$D$100,0))),2))</f>
        <v/>
      </c>
      <c r="BU515" s="66" t="str">
        <f t="shared" si="705"/>
        <v/>
      </c>
      <c r="BV515" s="66" t="str">
        <f t="shared" si="705"/>
        <v/>
      </c>
      <c r="BW515" s="66" t="str">
        <f>+IF($W515="","",ROUND((BT515*Parámetros!$G$85),2))</f>
        <v/>
      </c>
      <c r="BX515" s="66" t="str">
        <f>+IF($W515="","",ROUND((BT515*(Parámetros!$G$86)),2))</f>
        <v/>
      </c>
      <c r="BY515" s="66" t="str">
        <f t="shared" si="706"/>
        <v/>
      </c>
      <c r="BZ515" t="str">
        <f t="shared" si="747"/>
        <v/>
      </c>
      <c r="CA515" t="str">
        <f t="shared" si="748"/>
        <v/>
      </c>
      <c r="CB515" s="118" t="str">
        <f t="shared" si="749"/>
        <v/>
      </c>
      <c r="CC515" s="118" t="str">
        <f t="shared" si="750"/>
        <v/>
      </c>
      <c r="CD515" s="119" t="str">
        <f t="shared" si="707"/>
        <v/>
      </c>
      <c r="CE515" s="66" t="str">
        <f>+IF($W515="","",ROUND((VLOOKUP(ROUNDDOWN($D515-1/frec,0),cob_adi,BO$40,FALSE)*(1+i/frec)^-0.5*(1+Parámetros!$D$103)*(1+rec_fracc)/frec*'TABLAS ADI'!$BC$17),2))</f>
        <v/>
      </c>
      <c r="CF515" s="119" t="str">
        <f t="shared" si="708"/>
        <v/>
      </c>
      <c r="CG515" s="66" t="str">
        <f>+IF($W515="","",ROUND(IF($B515&gt;Parámetros!$D$107,'Tablas Servicio'!CE515+('Tablas Servicio'!CG514-'Tablas Servicio'!CE514),CE515/(1-IF(B515&lt;=10,Parámetros!$D$100,0))),2))</f>
        <v/>
      </c>
      <c r="CH515" s="66" t="str">
        <f t="shared" si="709"/>
        <v/>
      </c>
      <c r="CI515" s="66" t="str">
        <f t="shared" si="709"/>
        <v/>
      </c>
      <c r="CJ515" s="66" t="str">
        <f>+IF($W515="","",ROUND((CG515*Parámetros!$G$85),2))</f>
        <v/>
      </c>
      <c r="CK515" s="66" t="str">
        <f>+IF($W515="","",ROUND((CG515*(Parámetros!$G$86)),2))</f>
        <v/>
      </c>
      <c r="CL515" s="66" t="str">
        <f t="shared" si="710"/>
        <v/>
      </c>
      <c r="CM515" t="str">
        <f t="shared" si="751"/>
        <v/>
      </c>
      <c r="CN515" s="118" t="str">
        <f t="shared" si="752"/>
        <v/>
      </c>
      <c r="CO515" s="118" t="str">
        <f t="shared" si="753"/>
        <v/>
      </c>
      <c r="CP515" s="118" t="str">
        <f t="shared" si="754"/>
        <v/>
      </c>
      <c r="CQ515" s="119" t="str">
        <f t="shared" si="711"/>
        <v/>
      </c>
      <c r="CR515" s="66" t="str">
        <f>+IF($W515="","",ROUND((VLOOKUP(Parámetros!$F$51,'COBERTURAS ADICIONALES'!$S$4:$T$32,2,FALSE)*(1+i/frec)^-0.5*(1+Parámetros!$D$103)*(1+rec_fracc)/frec*$CO$42),2))</f>
        <v/>
      </c>
      <c r="CS515" s="119" t="str">
        <f t="shared" si="712"/>
        <v/>
      </c>
      <c r="CT515" s="66" t="str">
        <f>+IF($W515="","",ROUND(IF($B515&gt;Parámetros!$D$107,'Tablas Servicio'!CR515+('Tablas Servicio'!CT514-'Tablas Servicio'!CR514),CR515/(1-IF(B515&lt;=10,Parámetros!$D$100,0))),2))</f>
        <v/>
      </c>
      <c r="CU515" s="66" t="str">
        <f t="shared" si="713"/>
        <v/>
      </c>
      <c r="CV515" s="66" t="str">
        <f t="shared" si="713"/>
        <v/>
      </c>
      <c r="CW515" s="66" t="str">
        <f>+IF($W515="","",ROUND((CT515*Parámetros!$G$85),2))</f>
        <v/>
      </c>
      <c r="CX515" s="66" t="str">
        <f>+IF($W515="","",ROUND((CT515*(Parámetros!$G$86)),2))</f>
        <v/>
      </c>
      <c r="CY515" s="66" t="str">
        <f t="shared" si="714"/>
        <v/>
      </c>
      <c r="CZ515" t="str">
        <f t="shared" si="755"/>
        <v/>
      </c>
      <c r="DA515" s="118" t="str">
        <f t="shared" si="756"/>
        <v/>
      </c>
      <c r="DB515" s="118" t="str">
        <f t="shared" si="757"/>
        <v/>
      </c>
      <c r="DC515" s="118" t="str">
        <f t="shared" si="758"/>
        <v/>
      </c>
      <c r="DD515" s="121" t="str">
        <f>+IF(OR($W515="",DB515=0),"",ROUND((VLOOKUP(ROUNDDOWN($D515-1/frec,0),cob_adi,CO$40,FALSE)*(1+i/frec)^-0.5*(1+Parámetros!$D$103)*(1+rec_fracc)/frec),6))</f>
        <v/>
      </c>
      <c r="DE515" s="66" t="str">
        <f t="shared" si="715"/>
        <v/>
      </c>
      <c r="DF515" s="119" t="str">
        <f t="shared" si="716"/>
        <v/>
      </c>
      <c r="DG515" s="66" t="str">
        <f>+IF($W515="","",ROUND(IF($B515&gt;Parámetros!$D$107,'Tablas Servicio'!DE515+('Tablas Servicio'!DG514-'Tablas Servicio'!DE514),DE515/(1-IF(B515&lt;=10,Parámetros!$D$100,0))),2))</f>
        <v/>
      </c>
      <c r="DH515" s="66" t="str">
        <f t="shared" si="717"/>
        <v/>
      </c>
      <c r="DI515" s="66" t="str">
        <f t="shared" si="717"/>
        <v/>
      </c>
      <c r="DJ515" s="66" t="str">
        <f>+IF($W515="","",ROUND((DG515*Parámetros!$G$85),2))</f>
        <v/>
      </c>
      <c r="DK515" s="66" t="str">
        <f>+IF($W515="","",ROUND((DG515*(Parámetros!$G$86)),2))</f>
        <v/>
      </c>
      <c r="DL515" s="66" t="str">
        <f t="shared" si="718"/>
        <v/>
      </c>
      <c r="DM515" t="str">
        <f t="shared" si="759"/>
        <v/>
      </c>
      <c r="DN515" s="118" t="str">
        <f t="shared" si="760"/>
        <v/>
      </c>
      <c r="DO515" s="118" t="str">
        <f t="shared" si="761"/>
        <v/>
      </c>
      <c r="DP515" s="118" t="str">
        <f t="shared" si="762"/>
        <v/>
      </c>
      <c r="DQ515" s="122" t="str">
        <f>+IF(OR($W515="",DO515=0),"",ROUND((VLOOKUP(ROUNDDOWN($D515-1/frec,0),cob_adi,DB$40,FALSE)*(1+i/frec)^-0.5*(1+Parámetros!$D$103)*(1+rec_fracc)/frec),6))</f>
        <v/>
      </c>
      <c r="DR515" s="66" t="str">
        <f t="shared" si="719"/>
        <v/>
      </c>
      <c r="DS515" s="68" t="str">
        <f t="shared" si="720"/>
        <v/>
      </c>
      <c r="DT515" s="66" t="str">
        <f>+IF($W515="","",ROUND(IF($B515&gt;Parámetros!$D$107,'Tablas Servicio'!DR515+('Tablas Servicio'!DT514-'Tablas Servicio'!DR514),DR515/(1-IF(B515&lt;=10,Parámetros!$D$100,0))),2))</f>
        <v/>
      </c>
      <c r="DU515" s="66" t="str">
        <f t="shared" si="721"/>
        <v/>
      </c>
      <c r="DV515" s="66" t="str">
        <f t="shared" si="721"/>
        <v/>
      </c>
      <c r="DW515" s="66" t="str">
        <f>+IF($W515="","",ROUND((DT515*Parámetros!$G$85),2))</f>
        <v/>
      </c>
      <c r="DX515" s="66" t="str">
        <f>+IF($W515="","",ROUND((DT515*(Parámetros!$G$86)),2))</f>
        <v/>
      </c>
      <c r="DY515" s="66" t="str">
        <f t="shared" si="722"/>
        <v/>
      </c>
      <c r="DZ515" t="str">
        <f t="shared" si="763"/>
        <v/>
      </c>
      <c r="EA515" s="118" t="str">
        <f t="shared" si="763"/>
        <v/>
      </c>
      <c r="EB515" s="118" t="str">
        <f>+IF($W515="","",ROUND(IF(Parámetros!$D$25='TABLAS MORT'!$V$33,EB514,Z515/2),0))</f>
        <v/>
      </c>
      <c r="EC515" s="118" t="str">
        <f t="shared" si="763"/>
        <v/>
      </c>
      <c r="ED515" s="122" t="str">
        <f>+IF(OR($W515="",EB515=0),"",ROUND((VLOOKUP(ROUNDDOWN($D515-1/frec,0),cob_adi,DO$40,FALSE)*(1+i/frec)^-0.5*(1+Parámetros!$D$103)*(1+rec_fracc)/frec),6))</f>
        <v/>
      </c>
      <c r="EE515" s="66" t="str">
        <f t="shared" si="724"/>
        <v/>
      </c>
      <c r="EF515" s="68" t="str">
        <f t="shared" si="725"/>
        <v/>
      </c>
      <c r="EG515" s="66" t="str">
        <f>+IF($W515="","",ROUND(IF($B515&gt;Parámetros!$D$107,'Tablas Servicio'!EE515+('Tablas Servicio'!EG514-'Tablas Servicio'!EE514),EE515/(1-IF(B515&lt;=10,Parámetros!$D$100,0))),2))</f>
        <v/>
      </c>
      <c r="EH515" s="66" t="str">
        <f t="shared" si="726"/>
        <v/>
      </c>
      <c r="EI515" s="66" t="str">
        <f t="shared" si="726"/>
        <v/>
      </c>
      <c r="EJ515" s="66" t="str">
        <f>+IF($W515="","",ROUND((EG515*Parámetros!$G$85),2))</f>
        <v/>
      </c>
      <c r="EK515" s="66" t="str">
        <f>+IF($W515="","",ROUND((EG515*(Parámetros!$G$86)),2))</f>
        <v/>
      </c>
      <c r="EL515" s="66" t="str">
        <f t="shared" si="727"/>
        <v/>
      </c>
    </row>
    <row r="516" spans="1:142" x14ac:dyDescent="0.25">
      <c r="A516" t="str">
        <f>+IF($C516="","",ROUND(VLOOKUP('Tablas Servicio'!B516,Parámetros!$H$100:$J$159,IF(Parámetros!$E$16="F",2,3),FALSE),2))</f>
        <v/>
      </c>
      <c r="B516" t="str">
        <f t="shared" si="678"/>
        <v/>
      </c>
      <c r="C516" s="57" t="str">
        <f>+IF(D516="","",'Tablas Servicio'!C515+1)</f>
        <v/>
      </c>
      <c r="D516" s="56" t="str">
        <f>+IF(D515&lt;edadmaxtabla,D515+1/Parámetros!$E$25,"")</f>
        <v/>
      </c>
      <c r="E516" s="57" t="str">
        <f t="shared" si="688"/>
        <v/>
      </c>
      <c r="F516" s="59" t="str">
        <f t="shared" si="689"/>
        <v/>
      </c>
      <c r="G516" s="66" t="str">
        <f t="shared" si="679"/>
        <v/>
      </c>
      <c r="H516" s="66" t="str">
        <f t="shared" si="680"/>
        <v/>
      </c>
      <c r="I516" s="66" t="str">
        <f t="shared" si="728"/>
        <v/>
      </c>
      <c r="J516" s="66" t="str">
        <f t="shared" si="681"/>
        <v/>
      </c>
      <c r="K516" s="66" t="str">
        <f t="shared" si="682"/>
        <v/>
      </c>
      <c r="L516" s="66" t="str">
        <f t="shared" si="683"/>
        <v/>
      </c>
      <c r="M516" s="66" t="str">
        <f t="shared" si="684"/>
        <v/>
      </c>
      <c r="N516" s="66" t="str">
        <f>+IF(C516="","",ROUND(Parámetros!$D$23,2))</f>
        <v/>
      </c>
      <c r="O516" s="66" t="str">
        <f t="shared" si="685"/>
        <v/>
      </c>
      <c r="P516" s="66" t="str">
        <f>+IF($C516="","",ROUND(IF(B516&gt;Parámetros!$D$117,0,N516*Parámetros!$D$116-G516*Parámetros!$D$100),2))</f>
        <v/>
      </c>
      <c r="Q516" s="75" t="str">
        <f t="shared" si="729"/>
        <v/>
      </c>
      <c r="R516" s="75" t="str">
        <f t="shared" si="730"/>
        <v/>
      </c>
      <c r="S516" s="117" t="str">
        <f>+IF($C516="","",ROUND((S515+I516)*(1+Parámetros!$D$91),2))</f>
        <v/>
      </c>
      <c r="T516" s="117" t="str">
        <f>+IF($C516="","",ROUND(S516*VLOOKUP(B516,Parámetros!$C$30:$D$39,2,TRUE),2))</f>
        <v/>
      </c>
      <c r="U516" s="117" t="str">
        <f>+IF($C516="","",ROUND((U515+I516)*(1+Parámetros!$D$92),2))</f>
        <v/>
      </c>
      <c r="V516" s="117" t="str">
        <f>+IF($C516="","",ROUND(U516*VLOOKUP(B516,Parámetros!$C$30:$D$39,2,TRUE),2))</f>
        <v/>
      </c>
      <c r="W516" s="57" t="str">
        <f t="shared" si="731"/>
        <v/>
      </c>
      <c r="X516" t="str">
        <f t="shared" si="732"/>
        <v/>
      </c>
      <c r="Y516" t="str">
        <f t="shared" si="733"/>
        <v/>
      </c>
      <c r="Z516" s="118" t="str">
        <f>+IF($W516="","",ROUND(IF(Parámetros!$D$25='TABLAS MORT'!$V$33,Z515,Parámetros!$D$21-'Tablas Servicio'!T515),0))</f>
        <v/>
      </c>
      <c r="AA516" s="118" t="str">
        <f t="shared" si="734"/>
        <v/>
      </c>
      <c r="AB516" s="119" t="str">
        <f>+IF(W516="","",ROUND((VLOOKUP(ROUNDDOWN($D516-1/frec,0),qx_tabla,2,FALSE)*(1+i/frec)^-0.5*(1+Parámetros!$D$103)*(1+rec_fracc)/frec),6))</f>
        <v/>
      </c>
      <c r="AC516" s="66" t="str">
        <f t="shared" si="690"/>
        <v/>
      </c>
      <c r="AD516" s="119" t="str">
        <f t="shared" si="686"/>
        <v/>
      </c>
      <c r="AE516" s="66" t="str">
        <f>+IF($W516="","",ROUND(IF($B516&gt;Parámetros!$D$107,'Tablas Servicio'!AC516+('Tablas Servicio'!AG515-'Tablas Servicio'!AC515),AC516/(1-IF(B516&lt;=10,Parámetros!$D$104,Parámetros!$D$105))),2))</f>
        <v/>
      </c>
      <c r="AF516" s="66" t="str">
        <f>+IF($W516="","",ROUND(IF($B516&gt;Parámetros!$D$107,'Tablas Servicio'!AC516+('Tablas Servicio'!AG515-'Tablas Servicio'!AC515),(AC516+$A515/frec)/(1-IF(B516&lt;=Parámetros!$D$117,Parámetros!$D$100,0))),2))</f>
        <v/>
      </c>
      <c r="AG516" s="66" t="str">
        <f t="shared" si="691"/>
        <v/>
      </c>
      <c r="AH516" s="66" t="str">
        <f t="shared" si="692"/>
        <v/>
      </c>
      <c r="AI516" s="66" t="str">
        <f t="shared" si="693"/>
        <v/>
      </c>
      <c r="AJ516" s="66" t="str">
        <f>+IF($W516="","",ROUND((AG516*Parámetros!$G$85),2))</f>
        <v/>
      </c>
      <c r="AK516" s="66" t="str">
        <f>+IF($W516="","",ROUND((AG516*(Parámetros!$G$86)),2))</f>
        <v/>
      </c>
      <c r="AL516" s="66" t="str">
        <f t="shared" si="687"/>
        <v/>
      </c>
      <c r="AM516" t="str">
        <f t="shared" si="735"/>
        <v/>
      </c>
      <c r="AN516" t="str">
        <f t="shared" si="736"/>
        <v/>
      </c>
      <c r="AO516" s="118" t="str">
        <f t="shared" si="737"/>
        <v/>
      </c>
      <c r="AP516" s="118" t="str">
        <f t="shared" si="738"/>
        <v/>
      </c>
      <c r="AQ516" s="119" t="str">
        <f>+IF(OR($W516="",AO516=0),"",ROUND((VLOOKUP(ROUNDDOWN($D516-1/frec,0),cob_adi,Z$40,FALSE)*(1+i/frec)^-0.5*(1+Parámetros!$D$103)*(1+rec_fracc)/frec),6))</f>
        <v/>
      </c>
      <c r="AR516" s="66" t="str">
        <f t="shared" si="694"/>
        <v/>
      </c>
      <c r="AS516" s="119" t="str">
        <f t="shared" si="695"/>
        <v/>
      </c>
      <c r="AT516" s="66" t="str">
        <f>+IF($W516="","",ROUND(IF($B516&gt;Parámetros!$D$107,'Tablas Servicio'!AR516+('Tablas Servicio'!AT515-'Tablas Servicio'!AR515),AR516/(1-IF(B516&lt;=10,Parámetros!$D$100,0))),2))</f>
        <v/>
      </c>
      <c r="AU516" s="66" t="str">
        <f t="shared" si="696"/>
        <v/>
      </c>
      <c r="AV516" s="66" t="str">
        <f t="shared" si="696"/>
        <v/>
      </c>
      <c r="AW516" s="66" t="str">
        <f>+IF($W516="","",ROUND((AT516*Parámetros!$G$85),2))</f>
        <v/>
      </c>
      <c r="AX516" s="66" t="str">
        <f>+IF($W516="","",ROUND((AT516*(Parámetros!$G$86)),2))</f>
        <v/>
      </c>
      <c r="AY516" s="66" t="str">
        <f t="shared" si="697"/>
        <v/>
      </c>
      <c r="AZ516" t="str">
        <f t="shared" si="739"/>
        <v/>
      </c>
      <c r="BA516" t="str">
        <f t="shared" si="740"/>
        <v/>
      </c>
      <c r="BB516" s="118" t="str">
        <f t="shared" si="741"/>
        <v/>
      </c>
      <c r="BC516" s="118" t="str">
        <f t="shared" si="742"/>
        <v/>
      </c>
      <c r="BD516" s="119" t="str">
        <f>+IF(OR($W516="",BB516=0),"",ROUND((VLOOKUP(ROUNDDOWN($D516-1/frec,0),cob_adi,AO$40,FALSE)*(1+i/frec)^-0.5*(1+Parámetros!$D$103)*(1+rec_fracc)/frec),6))</f>
        <v/>
      </c>
      <c r="BE516" s="66" t="str">
        <f t="shared" si="698"/>
        <v/>
      </c>
      <c r="BF516" s="119" t="str">
        <f t="shared" si="699"/>
        <v/>
      </c>
      <c r="BG516" s="66" t="str">
        <f>+IF($W516="","",ROUND(IF($B516&gt;Parámetros!$D$107,'Tablas Servicio'!BE516+('Tablas Servicio'!BG515-'Tablas Servicio'!BE515),BE516/(1-IF(B516&lt;=10,Parámetros!$D$100,0))),2))</f>
        <v/>
      </c>
      <c r="BH516" s="66" t="str">
        <f t="shared" si="700"/>
        <v/>
      </c>
      <c r="BI516" s="66" t="str">
        <f t="shared" si="701"/>
        <v/>
      </c>
      <c r="BJ516" s="66" t="str">
        <f>+IF($W516="","",ROUND((BG516*Parámetros!$G$85),2))</f>
        <v/>
      </c>
      <c r="BK516" s="66" t="str">
        <f>+IF($W516="","",ROUND((BG516*(Parámetros!$G$86)),2))</f>
        <v/>
      </c>
      <c r="BL516" s="66" t="str">
        <f t="shared" si="702"/>
        <v/>
      </c>
      <c r="BM516" t="str">
        <f t="shared" si="743"/>
        <v/>
      </c>
      <c r="BN516" t="str">
        <f t="shared" si="744"/>
        <v/>
      </c>
      <c r="BO516" s="118" t="str">
        <f t="shared" si="745"/>
        <v/>
      </c>
      <c r="BP516" s="118" t="str">
        <f t="shared" si="746"/>
        <v/>
      </c>
      <c r="BQ516" s="119" t="str">
        <f>+IF(OR($W516="",BO516=0),"",ROUND((VLOOKUP(ROUNDDOWN($D516-1/frec,0),cob_adi,BB$40,FALSE)*(1+i/frec)^-0.5*(1+Parámetros!$D$103)*(1+rec_fracc)/frec),6))</f>
        <v/>
      </c>
      <c r="BR516" s="66" t="str">
        <f t="shared" si="703"/>
        <v/>
      </c>
      <c r="BS516" s="119" t="str">
        <f t="shared" si="704"/>
        <v/>
      </c>
      <c r="BT516" s="66" t="str">
        <f>+IF($W516="","",ROUND(IF($B516&gt;Parámetros!$D$107,'Tablas Servicio'!BR516+('Tablas Servicio'!BT515-'Tablas Servicio'!BR515),BR516/(1-IF(B516&lt;=10,Parámetros!$D$100,0))),2))</f>
        <v/>
      </c>
      <c r="BU516" s="66" t="str">
        <f t="shared" si="705"/>
        <v/>
      </c>
      <c r="BV516" s="66" t="str">
        <f t="shared" si="705"/>
        <v/>
      </c>
      <c r="BW516" s="66" t="str">
        <f>+IF($W516="","",ROUND((BT516*Parámetros!$G$85),2))</f>
        <v/>
      </c>
      <c r="BX516" s="66" t="str">
        <f>+IF($W516="","",ROUND((BT516*(Parámetros!$G$86)),2))</f>
        <v/>
      </c>
      <c r="BY516" s="66" t="str">
        <f t="shared" si="706"/>
        <v/>
      </c>
      <c r="BZ516" t="str">
        <f t="shared" si="747"/>
        <v/>
      </c>
      <c r="CA516" t="str">
        <f t="shared" si="748"/>
        <v/>
      </c>
      <c r="CB516" s="118" t="str">
        <f t="shared" si="749"/>
        <v/>
      </c>
      <c r="CC516" s="118" t="str">
        <f t="shared" si="750"/>
        <v/>
      </c>
      <c r="CD516" s="119" t="str">
        <f t="shared" si="707"/>
        <v/>
      </c>
      <c r="CE516" s="66" t="str">
        <f>+IF($W516="","",ROUND((VLOOKUP(ROUNDDOWN($D516-1/frec,0),cob_adi,BO$40,FALSE)*(1+i/frec)^-0.5*(1+Parámetros!$D$103)*(1+rec_fracc)/frec*'TABLAS ADI'!$BC$17),2))</f>
        <v/>
      </c>
      <c r="CF516" s="119" t="str">
        <f t="shared" si="708"/>
        <v/>
      </c>
      <c r="CG516" s="66" t="str">
        <f>+IF($W516="","",ROUND(IF($B516&gt;Parámetros!$D$107,'Tablas Servicio'!CE516+('Tablas Servicio'!CG515-'Tablas Servicio'!CE515),CE516/(1-IF(B516&lt;=10,Parámetros!$D$100,0))),2))</f>
        <v/>
      </c>
      <c r="CH516" s="66" t="str">
        <f t="shared" si="709"/>
        <v/>
      </c>
      <c r="CI516" s="66" t="str">
        <f t="shared" si="709"/>
        <v/>
      </c>
      <c r="CJ516" s="66" t="str">
        <f>+IF($W516="","",ROUND((CG516*Parámetros!$G$85),2))</f>
        <v/>
      </c>
      <c r="CK516" s="66" t="str">
        <f>+IF($W516="","",ROUND((CG516*(Parámetros!$G$86)),2))</f>
        <v/>
      </c>
      <c r="CL516" s="66" t="str">
        <f t="shared" si="710"/>
        <v/>
      </c>
      <c r="CM516" t="str">
        <f t="shared" si="751"/>
        <v/>
      </c>
      <c r="CN516" s="118" t="str">
        <f t="shared" si="752"/>
        <v/>
      </c>
      <c r="CO516" s="118" t="str">
        <f t="shared" si="753"/>
        <v/>
      </c>
      <c r="CP516" s="118" t="str">
        <f t="shared" si="754"/>
        <v/>
      </c>
      <c r="CQ516" s="119" t="str">
        <f t="shared" si="711"/>
        <v/>
      </c>
      <c r="CR516" s="66" t="str">
        <f>+IF($W516="","",ROUND((VLOOKUP(Parámetros!$F$51,'COBERTURAS ADICIONALES'!$S$4:$T$32,2,FALSE)*(1+i/frec)^-0.5*(1+Parámetros!$D$103)*(1+rec_fracc)/frec*$CO$42),2))</f>
        <v/>
      </c>
      <c r="CS516" s="119" t="str">
        <f t="shared" si="712"/>
        <v/>
      </c>
      <c r="CT516" s="66" t="str">
        <f>+IF($W516="","",ROUND(IF($B516&gt;Parámetros!$D$107,'Tablas Servicio'!CR516+('Tablas Servicio'!CT515-'Tablas Servicio'!CR515),CR516/(1-IF(B516&lt;=10,Parámetros!$D$100,0))),2))</f>
        <v/>
      </c>
      <c r="CU516" s="66" t="str">
        <f t="shared" si="713"/>
        <v/>
      </c>
      <c r="CV516" s="66" t="str">
        <f t="shared" si="713"/>
        <v/>
      </c>
      <c r="CW516" s="66" t="str">
        <f>+IF($W516="","",ROUND((CT516*Parámetros!$G$85),2))</f>
        <v/>
      </c>
      <c r="CX516" s="66" t="str">
        <f>+IF($W516="","",ROUND((CT516*(Parámetros!$G$86)),2))</f>
        <v/>
      </c>
      <c r="CY516" s="66" t="str">
        <f t="shared" si="714"/>
        <v/>
      </c>
      <c r="CZ516" t="str">
        <f t="shared" si="755"/>
        <v/>
      </c>
      <c r="DA516" s="118" t="str">
        <f t="shared" si="756"/>
        <v/>
      </c>
      <c r="DB516" s="118" t="str">
        <f t="shared" si="757"/>
        <v/>
      </c>
      <c r="DC516" s="118" t="str">
        <f t="shared" si="758"/>
        <v/>
      </c>
      <c r="DD516" s="121" t="str">
        <f>+IF(OR($W516="",DB516=0),"",ROUND((VLOOKUP(ROUNDDOWN($D516-1/frec,0),cob_adi,CO$40,FALSE)*(1+i/frec)^-0.5*(1+Parámetros!$D$103)*(1+rec_fracc)/frec),6))</f>
        <v/>
      </c>
      <c r="DE516" s="66" t="str">
        <f t="shared" si="715"/>
        <v/>
      </c>
      <c r="DF516" s="119" t="str">
        <f t="shared" si="716"/>
        <v/>
      </c>
      <c r="DG516" s="66" t="str">
        <f>+IF($W516="","",ROUND(IF($B516&gt;Parámetros!$D$107,'Tablas Servicio'!DE516+('Tablas Servicio'!DG515-'Tablas Servicio'!DE515),DE516/(1-IF(B516&lt;=10,Parámetros!$D$100,0))),2))</f>
        <v/>
      </c>
      <c r="DH516" s="66" t="str">
        <f t="shared" si="717"/>
        <v/>
      </c>
      <c r="DI516" s="66" t="str">
        <f t="shared" si="717"/>
        <v/>
      </c>
      <c r="DJ516" s="66" t="str">
        <f>+IF($W516="","",ROUND((DG516*Parámetros!$G$85),2))</f>
        <v/>
      </c>
      <c r="DK516" s="66" t="str">
        <f>+IF($W516="","",ROUND((DG516*(Parámetros!$G$86)),2))</f>
        <v/>
      </c>
      <c r="DL516" s="66" t="str">
        <f t="shared" si="718"/>
        <v/>
      </c>
      <c r="DM516" t="str">
        <f t="shared" si="759"/>
        <v/>
      </c>
      <c r="DN516" s="118" t="str">
        <f t="shared" si="760"/>
        <v/>
      </c>
      <c r="DO516" s="118" t="str">
        <f t="shared" si="761"/>
        <v/>
      </c>
      <c r="DP516" s="118" t="str">
        <f t="shared" si="762"/>
        <v/>
      </c>
      <c r="DQ516" s="122" t="str">
        <f>+IF(OR($W516="",DO516=0),"",ROUND((VLOOKUP(ROUNDDOWN($D516-1/frec,0),cob_adi,DB$40,FALSE)*(1+i/frec)^-0.5*(1+Parámetros!$D$103)*(1+rec_fracc)/frec),6))</f>
        <v/>
      </c>
      <c r="DR516" s="66" t="str">
        <f t="shared" si="719"/>
        <v/>
      </c>
      <c r="DS516" s="68" t="str">
        <f t="shared" si="720"/>
        <v/>
      </c>
      <c r="DT516" s="66" t="str">
        <f>+IF($W516="","",ROUND(IF($B516&gt;Parámetros!$D$107,'Tablas Servicio'!DR516+('Tablas Servicio'!DT515-'Tablas Servicio'!DR515),DR516/(1-IF(B516&lt;=10,Parámetros!$D$100,0))),2))</f>
        <v/>
      </c>
      <c r="DU516" s="66" t="str">
        <f t="shared" si="721"/>
        <v/>
      </c>
      <c r="DV516" s="66" t="str">
        <f t="shared" si="721"/>
        <v/>
      </c>
      <c r="DW516" s="66" t="str">
        <f>+IF($W516="","",ROUND((DT516*Parámetros!$G$85),2))</f>
        <v/>
      </c>
      <c r="DX516" s="66" t="str">
        <f>+IF($W516="","",ROUND((DT516*(Parámetros!$G$86)),2))</f>
        <v/>
      </c>
      <c r="DY516" s="66" t="str">
        <f t="shared" si="722"/>
        <v/>
      </c>
      <c r="DZ516" t="str">
        <f t="shared" si="763"/>
        <v/>
      </c>
      <c r="EA516" s="118" t="str">
        <f t="shared" si="763"/>
        <v/>
      </c>
      <c r="EB516" s="118" t="str">
        <f>+IF($W516="","",ROUND(IF(Parámetros!$D$25='TABLAS MORT'!$V$33,EB515,Z516/2),0))</f>
        <v/>
      </c>
      <c r="EC516" s="118" t="str">
        <f t="shared" si="763"/>
        <v/>
      </c>
      <c r="ED516" s="122" t="str">
        <f>+IF(OR($W516="",EB516=0),"",ROUND((VLOOKUP(ROUNDDOWN($D516-1/frec,0),cob_adi,DO$40,FALSE)*(1+i/frec)^-0.5*(1+Parámetros!$D$103)*(1+rec_fracc)/frec),6))</f>
        <v/>
      </c>
      <c r="EE516" s="66" t="str">
        <f t="shared" si="724"/>
        <v/>
      </c>
      <c r="EF516" s="68" t="str">
        <f t="shared" si="725"/>
        <v/>
      </c>
      <c r="EG516" s="66" t="str">
        <f>+IF($W516="","",ROUND(IF($B516&gt;Parámetros!$D$107,'Tablas Servicio'!EE516+('Tablas Servicio'!EG515-'Tablas Servicio'!EE515),EE516/(1-IF(B516&lt;=10,Parámetros!$D$100,0))),2))</f>
        <v/>
      </c>
      <c r="EH516" s="66" t="str">
        <f t="shared" si="726"/>
        <v/>
      </c>
      <c r="EI516" s="66" t="str">
        <f t="shared" si="726"/>
        <v/>
      </c>
      <c r="EJ516" s="66" t="str">
        <f>+IF($W516="","",ROUND((EG516*Parámetros!$G$85),2))</f>
        <v/>
      </c>
      <c r="EK516" s="66" t="str">
        <f>+IF($W516="","",ROUND((EG516*(Parámetros!$G$86)),2))</f>
        <v/>
      </c>
      <c r="EL516" s="66" t="str">
        <f t="shared" si="727"/>
        <v/>
      </c>
    </row>
    <row r="517" spans="1:142" x14ac:dyDescent="0.25">
      <c r="A517" t="str">
        <f>+IF($C517="","",ROUND(VLOOKUP('Tablas Servicio'!B517,Parámetros!$H$100:$J$159,IF(Parámetros!$E$16="F",2,3),FALSE),2))</f>
        <v/>
      </c>
      <c r="B517" t="str">
        <f t="shared" si="678"/>
        <v/>
      </c>
      <c r="C517" s="57" t="str">
        <f>+IF(D517="","",'Tablas Servicio'!C516+1)</f>
        <v/>
      </c>
      <c r="D517" s="56" t="str">
        <f>+IF(D516&lt;edadmaxtabla,D516+1/Parámetros!$E$25,"")</f>
        <v/>
      </c>
      <c r="E517" s="57" t="str">
        <f t="shared" si="688"/>
        <v/>
      </c>
      <c r="F517" s="59" t="str">
        <f t="shared" si="689"/>
        <v/>
      </c>
      <c r="G517" s="66" t="str">
        <f t="shared" si="679"/>
        <v/>
      </c>
      <c r="H517" s="66" t="str">
        <f t="shared" si="680"/>
        <v/>
      </c>
      <c r="I517" s="66" t="str">
        <f t="shared" si="728"/>
        <v/>
      </c>
      <c r="J517" s="66" t="str">
        <f t="shared" si="681"/>
        <v/>
      </c>
      <c r="K517" s="66" t="str">
        <f t="shared" si="682"/>
        <v/>
      </c>
      <c r="L517" s="66" t="str">
        <f t="shared" si="683"/>
        <v/>
      </c>
      <c r="M517" s="66" t="str">
        <f t="shared" si="684"/>
        <v/>
      </c>
      <c r="N517" s="66" t="str">
        <f>+IF(C517="","",ROUND(Parámetros!$D$23,2))</f>
        <v/>
      </c>
      <c r="O517" s="66" t="str">
        <f t="shared" si="685"/>
        <v/>
      </c>
      <c r="P517" s="66" t="str">
        <f>+IF($C517="","",ROUND(IF(B517&gt;Parámetros!$D$117,0,N517*Parámetros!$D$116-G517*Parámetros!$D$100),2))</f>
        <v/>
      </c>
      <c r="Q517" s="75" t="str">
        <f t="shared" si="729"/>
        <v/>
      </c>
      <c r="R517" s="75" t="str">
        <f t="shared" si="730"/>
        <v/>
      </c>
      <c r="S517" s="117" t="str">
        <f>+IF($C517="","",ROUND((S516+I517)*(1+Parámetros!$D$91),2))</f>
        <v/>
      </c>
      <c r="T517" s="117" t="str">
        <f>+IF($C517="","",ROUND(S517*VLOOKUP(B517,Parámetros!$C$30:$D$39,2,TRUE),2))</f>
        <v/>
      </c>
      <c r="U517" s="117" t="str">
        <f>+IF($C517="","",ROUND((U516+I517)*(1+Parámetros!$D$92),2))</f>
        <v/>
      </c>
      <c r="V517" s="117" t="str">
        <f>+IF($C517="","",ROUND(U517*VLOOKUP(B517,Parámetros!$C$30:$D$39,2,TRUE),2))</f>
        <v/>
      </c>
      <c r="W517" s="57" t="str">
        <f t="shared" si="731"/>
        <v/>
      </c>
      <c r="X517" t="str">
        <f t="shared" si="732"/>
        <v/>
      </c>
      <c r="Y517" t="str">
        <f t="shared" si="733"/>
        <v/>
      </c>
      <c r="Z517" s="118" t="str">
        <f>+IF($W517="","",ROUND(IF(Parámetros!$D$25='TABLAS MORT'!$V$33,Z516,Parámetros!$D$21-'Tablas Servicio'!T516),0))</f>
        <v/>
      </c>
      <c r="AA517" s="118" t="str">
        <f t="shared" si="734"/>
        <v/>
      </c>
      <c r="AB517" s="119" t="str">
        <f>+IF(W517="","",ROUND((VLOOKUP(ROUNDDOWN($D517-1/frec,0),qx_tabla,2,FALSE)*(1+i/frec)^-0.5*(1+Parámetros!$D$103)*(1+rec_fracc)/frec),6))</f>
        <v/>
      </c>
      <c r="AC517" s="66" t="str">
        <f t="shared" si="690"/>
        <v/>
      </c>
      <c r="AD517" s="119" t="str">
        <f t="shared" si="686"/>
        <v/>
      </c>
      <c r="AE517" s="66" t="str">
        <f>+IF($W517="","",ROUND(IF($B517&gt;Parámetros!$D$107,'Tablas Servicio'!AC517+('Tablas Servicio'!AG516-'Tablas Servicio'!AC516),AC517/(1-IF(B517&lt;=10,Parámetros!$D$104,Parámetros!$D$105))),2))</f>
        <v/>
      </c>
      <c r="AF517" s="66" t="str">
        <f>+IF($W517="","",ROUND(IF($B517&gt;Parámetros!$D$107,'Tablas Servicio'!AC517+('Tablas Servicio'!AG516-'Tablas Servicio'!AC516),(AC517+$A516/frec)/(1-IF(B517&lt;=Parámetros!$D$117,Parámetros!$D$100,0))),2))</f>
        <v/>
      </c>
      <c r="AG517" s="66" t="str">
        <f t="shared" si="691"/>
        <v/>
      </c>
      <c r="AH517" s="66" t="str">
        <f t="shared" si="692"/>
        <v/>
      </c>
      <c r="AI517" s="66" t="str">
        <f t="shared" si="693"/>
        <v/>
      </c>
      <c r="AJ517" s="66" t="str">
        <f>+IF($W517="","",ROUND((AG517*Parámetros!$G$85),2))</f>
        <v/>
      </c>
      <c r="AK517" s="66" t="str">
        <f>+IF($W517="","",ROUND((AG517*(Parámetros!$G$86)),2))</f>
        <v/>
      </c>
      <c r="AL517" s="66" t="str">
        <f t="shared" si="687"/>
        <v/>
      </c>
      <c r="AM517" t="str">
        <f t="shared" si="735"/>
        <v/>
      </c>
      <c r="AN517" t="str">
        <f t="shared" si="736"/>
        <v/>
      </c>
      <c r="AO517" s="118" t="str">
        <f t="shared" si="737"/>
        <v/>
      </c>
      <c r="AP517" s="118" t="str">
        <f t="shared" si="738"/>
        <v/>
      </c>
      <c r="AQ517" s="119" t="str">
        <f>+IF(OR($W517="",AO517=0),"",ROUND((VLOOKUP(ROUNDDOWN($D517-1/frec,0),cob_adi,Z$40,FALSE)*(1+i/frec)^-0.5*(1+Parámetros!$D$103)*(1+rec_fracc)/frec),6))</f>
        <v/>
      </c>
      <c r="AR517" s="66" t="str">
        <f t="shared" si="694"/>
        <v/>
      </c>
      <c r="AS517" s="119" t="str">
        <f t="shared" si="695"/>
        <v/>
      </c>
      <c r="AT517" s="66" t="str">
        <f>+IF($W517="","",ROUND(IF($B517&gt;Parámetros!$D$107,'Tablas Servicio'!AR517+('Tablas Servicio'!AT516-'Tablas Servicio'!AR516),AR517/(1-IF(B517&lt;=10,Parámetros!$D$100,0))),2))</f>
        <v/>
      </c>
      <c r="AU517" s="66" t="str">
        <f t="shared" si="696"/>
        <v/>
      </c>
      <c r="AV517" s="66" t="str">
        <f t="shared" si="696"/>
        <v/>
      </c>
      <c r="AW517" s="66" t="str">
        <f>+IF($W517="","",ROUND((AT517*Parámetros!$G$85),2))</f>
        <v/>
      </c>
      <c r="AX517" s="66" t="str">
        <f>+IF($W517="","",ROUND((AT517*(Parámetros!$G$86)),2))</f>
        <v/>
      </c>
      <c r="AY517" s="66" t="str">
        <f t="shared" si="697"/>
        <v/>
      </c>
      <c r="AZ517" t="str">
        <f t="shared" si="739"/>
        <v/>
      </c>
      <c r="BA517" t="str">
        <f t="shared" si="740"/>
        <v/>
      </c>
      <c r="BB517" s="118" t="str">
        <f t="shared" si="741"/>
        <v/>
      </c>
      <c r="BC517" s="118" t="str">
        <f t="shared" si="742"/>
        <v/>
      </c>
      <c r="BD517" s="119" t="str">
        <f>+IF(OR($W517="",BB517=0),"",ROUND((VLOOKUP(ROUNDDOWN($D517-1/frec,0),cob_adi,AO$40,FALSE)*(1+i/frec)^-0.5*(1+Parámetros!$D$103)*(1+rec_fracc)/frec),6))</f>
        <v/>
      </c>
      <c r="BE517" s="66" t="str">
        <f t="shared" si="698"/>
        <v/>
      </c>
      <c r="BF517" s="119" t="str">
        <f t="shared" si="699"/>
        <v/>
      </c>
      <c r="BG517" s="66" t="str">
        <f>+IF($W517="","",ROUND(IF($B517&gt;Parámetros!$D$107,'Tablas Servicio'!BE517+('Tablas Servicio'!BG516-'Tablas Servicio'!BE516),BE517/(1-IF(B517&lt;=10,Parámetros!$D$100,0))),2))</f>
        <v/>
      </c>
      <c r="BH517" s="66" t="str">
        <f t="shared" si="700"/>
        <v/>
      </c>
      <c r="BI517" s="66" t="str">
        <f t="shared" si="701"/>
        <v/>
      </c>
      <c r="BJ517" s="66" t="str">
        <f>+IF($W517="","",ROUND((BG517*Parámetros!$G$85),2))</f>
        <v/>
      </c>
      <c r="BK517" s="66" t="str">
        <f>+IF($W517="","",ROUND((BG517*(Parámetros!$G$86)),2))</f>
        <v/>
      </c>
      <c r="BL517" s="66" t="str">
        <f t="shared" si="702"/>
        <v/>
      </c>
      <c r="BM517" t="str">
        <f t="shared" si="743"/>
        <v/>
      </c>
      <c r="BN517" t="str">
        <f t="shared" si="744"/>
        <v/>
      </c>
      <c r="BO517" s="118" t="str">
        <f t="shared" si="745"/>
        <v/>
      </c>
      <c r="BP517" s="118" t="str">
        <f t="shared" si="746"/>
        <v/>
      </c>
      <c r="BQ517" s="119" t="str">
        <f>+IF(OR($W517="",BO517=0),"",ROUND((VLOOKUP(ROUNDDOWN($D517-1/frec,0),cob_adi,BB$40,FALSE)*(1+i/frec)^-0.5*(1+Parámetros!$D$103)*(1+rec_fracc)/frec),6))</f>
        <v/>
      </c>
      <c r="BR517" s="66" t="str">
        <f t="shared" si="703"/>
        <v/>
      </c>
      <c r="BS517" s="119" t="str">
        <f t="shared" si="704"/>
        <v/>
      </c>
      <c r="BT517" s="66" t="str">
        <f>+IF($W517="","",ROUND(IF($B517&gt;Parámetros!$D$107,'Tablas Servicio'!BR517+('Tablas Servicio'!BT516-'Tablas Servicio'!BR516),BR517/(1-IF(B517&lt;=10,Parámetros!$D$100,0))),2))</f>
        <v/>
      </c>
      <c r="BU517" s="66" t="str">
        <f t="shared" si="705"/>
        <v/>
      </c>
      <c r="BV517" s="66" t="str">
        <f t="shared" si="705"/>
        <v/>
      </c>
      <c r="BW517" s="66" t="str">
        <f>+IF($W517="","",ROUND((BT517*Parámetros!$G$85),2))</f>
        <v/>
      </c>
      <c r="BX517" s="66" t="str">
        <f>+IF($W517="","",ROUND((BT517*(Parámetros!$G$86)),2))</f>
        <v/>
      </c>
      <c r="BY517" s="66" t="str">
        <f t="shared" si="706"/>
        <v/>
      </c>
      <c r="BZ517" t="str">
        <f t="shared" si="747"/>
        <v/>
      </c>
      <c r="CA517" t="str">
        <f t="shared" si="748"/>
        <v/>
      </c>
      <c r="CB517" s="118" t="str">
        <f t="shared" si="749"/>
        <v/>
      </c>
      <c r="CC517" s="118" t="str">
        <f t="shared" si="750"/>
        <v/>
      </c>
      <c r="CD517" s="119" t="str">
        <f t="shared" si="707"/>
        <v/>
      </c>
      <c r="CE517" s="66" t="str">
        <f>+IF($W517="","",ROUND((VLOOKUP(ROUNDDOWN($D517-1/frec,0),cob_adi,BO$40,FALSE)*(1+i/frec)^-0.5*(1+Parámetros!$D$103)*(1+rec_fracc)/frec*'TABLAS ADI'!$BC$17),2))</f>
        <v/>
      </c>
      <c r="CF517" s="119" t="str">
        <f t="shared" si="708"/>
        <v/>
      </c>
      <c r="CG517" s="66" t="str">
        <f>+IF($W517="","",ROUND(IF($B517&gt;Parámetros!$D$107,'Tablas Servicio'!CE517+('Tablas Servicio'!CG516-'Tablas Servicio'!CE516),CE517/(1-IF(B517&lt;=10,Parámetros!$D$100,0))),2))</f>
        <v/>
      </c>
      <c r="CH517" s="66" t="str">
        <f t="shared" si="709"/>
        <v/>
      </c>
      <c r="CI517" s="66" t="str">
        <f t="shared" si="709"/>
        <v/>
      </c>
      <c r="CJ517" s="66" t="str">
        <f>+IF($W517="","",ROUND((CG517*Parámetros!$G$85),2))</f>
        <v/>
      </c>
      <c r="CK517" s="66" t="str">
        <f>+IF($W517="","",ROUND((CG517*(Parámetros!$G$86)),2))</f>
        <v/>
      </c>
      <c r="CL517" s="66" t="str">
        <f t="shared" si="710"/>
        <v/>
      </c>
      <c r="CM517" t="str">
        <f t="shared" si="751"/>
        <v/>
      </c>
      <c r="CN517" s="118" t="str">
        <f t="shared" si="752"/>
        <v/>
      </c>
      <c r="CO517" s="118" t="str">
        <f t="shared" si="753"/>
        <v/>
      </c>
      <c r="CP517" s="118" t="str">
        <f t="shared" si="754"/>
        <v/>
      </c>
      <c r="CQ517" s="119" t="str">
        <f t="shared" si="711"/>
        <v/>
      </c>
      <c r="CR517" s="66" t="str">
        <f>+IF($W517="","",ROUND((VLOOKUP(Parámetros!$F$51,'COBERTURAS ADICIONALES'!$S$4:$T$32,2,FALSE)*(1+i/frec)^-0.5*(1+Parámetros!$D$103)*(1+rec_fracc)/frec*$CO$42),2))</f>
        <v/>
      </c>
      <c r="CS517" s="119" t="str">
        <f t="shared" si="712"/>
        <v/>
      </c>
      <c r="CT517" s="66" t="str">
        <f>+IF($W517="","",ROUND(IF($B517&gt;Parámetros!$D$107,'Tablas Servicio'!CR517+('Tablas Servicio'!CT516-'Tablas Servicio'!CR516),CR517/(1-IF(B517&lt;=10,Parámetros!$D$100,0))),2))</f>
        <v/>
      </c>
      <c r="CU517" s="66" t="str">
        <f t="shared" si="713"/>
        <v/>
      </c>
      <c r="CV517" s="66" t="str">
        <f t="shared" si="713"/>
        <v/>
      </c>
      <c r="CW517" s="66" t="str">
        <f>+IF($W517="","",ROUND((CT517*Parámetros!$G$85),2))</f>
        <v/>
      </c>
      <c r="CX517" s="66" t="str">
        <f>+IF($W517="","",ROUND((CT517*(Parámetros!$G$86)),2))</f>
        <v/>
      </c>
      <c r="CY517" s="66" t="str">
        <f t="shared" si="714"/>
        <v/>
      </c>
      <c r="CZ517" t="str">
        <f t="shared" si="755"/>
        <v/>
      </c>
      <c r="DA517" s="118" t="str">
        <f t="shared" si="756"/>
        <v/>
      </c>
      <c r="DB517" s="118" t="str">
        <f t="shared" si="757"/>
        <v/>
      </c>
      <c r="DC517" s="118" t="str">
        <f t="shared" si="758"/>
        <v/>
      </c>
      <c r="DD517" s="121" t="str">
        <f>+IF(OR($W517="",DB517=0),"",ROUND((VLOOKUP(ROUNDDOWN($D517-1/frec,0),cob_adi,CO$40,FALSE)*(1+i/frec)^-0.5*(1+Parámetros!$D$103)*(1+rec_fracc)/frec),6))</f>
        <v/>
      </c>
      <c r="DE517" s="66" t="str">
        <f t="shared" si="715"/>
        <v/>
      </c>
      <c r="DF517" s="119" t="str">
        <f t="shared" si="716"/>
        <v/>
      </c>
      <c r="DG517" s="66" t="str">
        <f>+IF($W517="","",ROUND(IF($B517&gt;Parámetros!$D$107,'Tablas Servicio'!DE517+('Tablas Servicio'!DG516-'Tablas Servicio'!DE516),DE517/(1-IF(B517&lt;=10,Parámetros!$D$100,0))),2))</f>
        <v/>
      </c>
      <c r="DH517" s="66" t="str">
        <f t="shared" si="717"/>
        <v/>
      </c>
      <c r="DI517" s="66" t="str">
        <f t="shared" si="717"/>
        <v/>
      </c>
      <c r="DJ517" s="66" t="str">
        <f>+IF($W517="","",ROUND((DG517*Parámetros!$G$85),2))</f>
        <v/>
      </c>
      <c r="DK517" s="66" t="str">
        <f>+IF($W517="","",ROUND((DG517*(Parámetros!$G$86)),2))</f>
        <v/>
      </c>
      <c r="DL517" s="66" t="str">
        <f t="shared" si="718"/>
        <v/>
      </c>
      <c r="DM517" t="str">
        <f t="shared" si="759"/>
        <v/>
      </c>
      <c r="DN517" s="118" t="str">
        <f t="shared" si="760"/>
        <v/>
      </c>
      <c r="DO517" s="118" t="str">
        <f t="shared" si="761"/>
        <v/>
      </c>
      <c r="DP517" s="118" t="str">
        <f t="shared" si="762"/>
        <v/>
      </c>
      <c r="DQ517" s="122" t="str">
        <f>+IF(OR($W517="",DO517=0),"",ROUND((VLOOKUP(ROUNDDOWN($D517-1/frec,0),cob_adi,DB$40,FALSE)*(1+i/frec)^-0.5*(1+Parámetros!$D$103)*(1+rec_fracc)/frec),6))</f>
        <v/>
      </c>
      <c r="DR517" s="66" t="str">
        <f t="shared" si="719"/>
        <v/>
      </c>
      <c r="DS517" s="68" t="str">
        <f t="shared" si="720"/>
        <v/>
      </c>
      <c r="DT517" s="66" t="str">
        <f>+IF($W517="","",ROUND(IF($B517&gt;Parámetros!$D$107,'Tablas Servicio'!DR517+('Tablas Servicio'!DT516-'Tablas Servicio'!DR516),DR517/(1-IF(B517&lt;=10,Parámetros!$D$100,0))),2))</f>
        <v/>
      </c>
      <c r="DU517" s="66" t="str">
        <f t="shared" si="721"/>
        <v/>
      </c>
      <c r="DV517" s="66" t="str">
        <f t="shared" si="721"/>
        <v/>
      </c>
      <c r="DW517" s="66" t="str">
        <f>+IF($W517="","",ROUND((DT517*Parámetros!$G$85),2))</f>
        <v/>
      </c>
      <c r="DX517" s="66" t="str">
        <f>+IF($W517="","",ROUND((DT517*(Parámetros!$G$86)),2))</f>
        <v/>
      </c>
      <c r="DY517" s="66" t="str">
        <f t="shared" si="722"/>
        <v/>
      </c>
      <c r="DZ517" t="str">
        <f t="shared" si="763"/>
        <v/>
      </c>
      <c r="EA517" s="118" t="str">
        <f t="shared" si="763"/>
        <v/>
      </c>
      <c r="EB517" s="118" t="str">
        <f>+IF($W517="","",ROUND(IF(Parámetros!$D$25='TABLAS MORT'!$V$33,EB516,Z517/2),0))</f>
        <v/>
      </c>
      <c r="EC517" s="118" t="str">
        <f t="shared" si="763"/>
        <v/>
      </c>
      <c r="ED517" s="122" t="str">
        <f>+IF(OR($W517="",EB517=0),"",ROUND((VLOOKUP(ROUNDDOWN($D517-1/frec,0),cob_adi,DO$40,FALSE)*(1+i/frec)^-0.5*(1+Parámetros!$D$103)*(1+rec_fracc)/frec),6))</f>
        <v/>
      </c>
      <c r="EE517" s="66" t="str">
        <f t="shared" si="724"/>
        <v/>
      </c>
      <c r="EF517" s="68" t="str">
        <f t="shared" si="725"/>
        <v/>
      </c>
      <c r="EG517" s="66" t="str">
        <f>+IF($W517="","",ROUND(IF($B517&gt;Parámetros!$D$107,'Tablas Servicio'!EE517+('Tablas Servicio'!EG516-'Tablas Servicio'!EE516),EE517/(1-IF(B517&lt;=10,Parámetros!$D$100,0))),2))</f>
        <v/>
      </c>
      <c r="EH517" s="66" t="str">
        <f t="shared" si="726"/>
        <v/>
      </c>
      <c r="EI517" s="66" t="str">
        <f t="shared" si="726"/>
        <v/>
      </c>
      <c r="EJ517" s="66" t="str">
        <f>+IF($W517="","",ROUND((EG517*Parámetros!$G$85),2))</f>
        <v/>
      </c>
      <c r="EK517" s="66" t="str">
        <f>+IF($W517="","",ROUND((EG517*(Parámetros!$G$86)),2))</f>
        <v/>
      </c>
      <c r="EL517" s="66" t="str">
        <f t="shared" si="727"/>
        <v/>
      </c>
    </row>
    <row r="518" spans="1:142" x14ac:dyDescent="0.25">
      <c r="A518" t="str">
        <f>+IF($C518="","",ROUND(VLOOKUP('Tablas Servicio'!B518,Parámetros!$H$100:$J$159,IF(Parámetros!$E$16="F",2,3),FALSE),2))</f>
        <v/>
      </c>
      <c r="B518" t="str">
        <f t="shared" si="678"/>
        <v/>
      </c>
      <c r="C518" s="57" t="str">
        <f>+IF(D518="","",'Tablas Servicio'!C517+1)</f>
        <v/>
      </c>
      <c r="D518" s="56" t="str">
        <f>+IF(D517&lt;edadmaxtabla,D517+1/Parámetros!$E$25,"")</f>
        <v/>
      </c>
      <c r="E518" s="57" t="str">
        <f t="shared" si="688"/>
        <v/>
      </c>
      <c r="F518" s="59" t="str">
        <f t="shared" si="689"/>
        <v/>
      </c>
      <c r="G518" s="66" t="str">
        <f t="shared" si="679"/>
        <v/>
      </c>
      <c r="H518" s="66" t="str">
        <f t="shared" si="680"/>
        <v/>
      </c>
      <c r="I518" s="66" t="str">
        <f t="shared" si="728"/>
        <v/>
      </c>
      <c r="J518" s="66" t="str">
        <f t="shared" si="681"/>
        <v/>
      </c>
      <c r="K518" s="66" t="str">
        <f t="shared" si="682"/>
        <v/>
      </c>
      <c r="L518" s="66" t="str">
        <f t="shared" si="683"/>
        <v/>
      </c>
      <c r="M518" s="66" t="str">
        <f t="shared" si="684"/>
        <v/>
      </c>
      <c r="N518" s="66" t="str">
        <f>+IF(C518="","",ROUND(Parámetros!$D$23,2))</f>
        <v/>
      </c>
      <c r="O518" s="66" t="str">
        <f t="shared" si="685"/>
        <v/>
      </c>
      <c r="P518" s="66" t="str">
        <f>+IF($C518="","",ROUND(IF(B518&gt;Parámetros!$D$117,0,N518*Parámetros!$D$116-G518*Parámetros!$D$100),2))</f>
        <v/>
      </c>
      <c r="Q518" s="75" t="str">
        <f t="shared" si="729"/>
        <v/>
      </c>
      <c r="R518" s="75" t="str">
        <f t="shared" si="730"/>
        <v/>
      </c>
      <c r="S518" s="117" t="str">
        <f>+IF($C518="","",ROUND((S517+I518)*(1+Parámetros!$D$91),2))</f>
        <v/>
      </c>
      <c r="T518" s="117" t="str">
        <f>+IF($C518="","",ROUND(S518*VLOOKUP(B518,Parámetros!$C$30:$D$39,2,TRUE),2))</f>
        <v/>
      </c>
      <c r="U518" s="117" t="str">
        <f>+IF($C518="","",ROUND((U517+I518)*(1+Parámetros!$D$92),2))</f>
        <v/>
      </c>
      <c r="V518" s="117" t="str">
        <f>+IF($C518="","",ROUND(U518*VLOOKUP(B518,Parámetros!$C$30:$D$39,2,TRUE),2))</f>
        <v/>
      </c>
      <c r="W518" s="57" t="str">
        <f t="shared" si="731"/>
        <v/>
      </c>
      <c r="X518" t="str">
        <f t="shared" si="732"/>
        <v/>
      </c>
      <c r="Y518" t="str">
        <f t="shared" si="733"/>
        <v/>
      </c>
      <c r="Z518" s="118" t="str">
        <f>+IF($W518="","",ROUND(IF(Parámetros!$D$25='TABLAS MORT'!$V$33,Z517,Parámetros!$D$21-'Tablas Servicio'!T517),0))</f>
        <v/>
      </c>
      <c r="AA518" s="118" t="str">
        <f t="shared" si="734"/>
        <v/>
      </c>
      <c r="AB518" s="119" t="str">
        <f>+IF(W518="","",ROUND((VLOOKUP(ROUNDDOWN($D518-1/frec,0),qx_tabla,2,FALSE)*(1+i/frec)^-0.5*(1+Parámetros!$D$103)*(1+rec_fracc)/frec),6))</f>
        <v/>
      </c>
      <c r="AC518" s="66" t="str">
        <f t="shared" si="690"/>
        <v/>
      </c>
      <c r="AD518" s="119" t="str">
        <f t="shared" si="686"/>
        <v/>
      </c>
      <c r="AE518" s="66" t="str">
        <f>+IF($W518="","",ROUND(IF($B518&gt;Parámetros!$D$107,'Tablas Servicio'!AC518+('Tablas Servicio'!AG517-'Tablas Servicio'!AC517),AC518/(1-IF(B518&lt;=10,Parámetros!$D$104,Parámetros!$D$105))),2))</f>
        <v/>
      </c>
      <c r="AF518" s="66" t="str">
        <f>+IF($W518="","",ROUND(IF($B518&gt;Parámetros!$D$107,'Tablas Servicio'!AC518+('Tablas Servicio'!AG517-'Tablas Servicio'!AC517),(AC518+$A517/frec)/(1-IF(B518&lt;=Parámetros!$D$117,Parámetros!$D$100,0))),2))</f>
        <v/>
      </c>
      <c r="AG518" s="66" t="str">
        <f t="shared" si="691"/>
        <v/>
      </c>
      <c r="AH518" s="66" t="str">
        <f t="shared" si="692"/>
        <v/>
      </c>
      <c r="AI518" s="66" t="str">
        <f t="shared" si="693"/>
        <v/>
      </c>
      <c r="AJ518" s="66" t="str">
        <f>+IF($W518="","",ROUND((AG518*Parámetros!$G$85),2))</f>
        <v/>
      </c>
      <c r="AK518" s="66" t="str">
        <f>+IF($W518="","",ROUND((AG518*(Parámetros!$G$86)),2))</f>
        <v/>
      </c>
      <c r="AL518" s="66" t="str">
        <f t="shared" si="687"/>
        <v/>
      </c>
      <c r="AM518" t="str">
        <f t="shared" si="735"/>
        <v/>
      </c>
      <c r="AN518" t="str">
        <f t="shared" si="736"/>
        <v/>
      </c>
      <c r="AO518" s="118" t="str">
        <f t="shared" si="737"/>
        <v/>
      </c>
      <c r="AP518" s="118" t="str">
        <f t="shared" si="738"/>
        <v/>
      </c>
      <c r="AQ518" s="119" t="str">
        <f>+IF(OR($W518="",AO518=0),"",ROUND((VLOOKUP(ROUNDDOWN($D518-1/frec,0),cob_adi,Z$40,FALSE)*(1+i/frec)^-0.5*(1+Parámetros!$D$103)*(1+rec_fracc)/frec),6))</f>
        <v/>
      </c>
      <c r="AR518" s="66" t="str">
        <f t="shared" si="694"/>
        <v/>
      </c>
      <c r="AS518" s="119" t="str">
        <f t="shared" si="695"/>
        <v/>
      </c>
      <c r="AT518" s="66" t="str">
        <f>+IF($W518="","",ROUND(IF($B518&gt;Parámetros!$D$107,'Tablas Servicio'!AR518+('Tablas Servicio'!AT517-'Tablas Servicio'!AR517),AR518/(1-IF(B518&lt;=10,Parámetros!$D$100,0))),2))</f>
        <v/>
      </c>
      <c r="AU518" s="66" t="str">
        <f t="shared" si="696"/>
        <v/>
      </c>
      <c r="AV518" s="66" t="str">
        <f t="shared" si="696"/>
        <v/>
      </c>
      <c r="AW518" s="66" t="str">
        <f>+IF($W518="","",ROUND((AT518*Parámetros!$G$85),2))</f>
        <v/>
      </c>
      <c r="AX518" s="66" t="str">
        <f>+IF($W518="","",ROUND((AT518*(Parámetros!$G$86)),2))</f>
        <v/>
      </c>
      <c r="AY518" s="66" t="str">
        <f t="shared" si="697"/>
        <v/>
      </c>
      <c r="AZ518" t="str">
        <f t="shared" si="739"/>
        <v/>
      </c>
      <c r="BA518" t="str">
        <f t="shared" si="740"/>
        <v/>
      </c>
      <c r="BB518" s="118" t="str">
        <f t="shared" si="741"/>
        <v/>
      </c>
      <c r="BC518" s="118" t="str">
        <f t="shared" si="742"/>
        <v/>
      </c>
      <c r="BD518" s="119" t="str">
        <f>+IF(OR($W518="",BB518=0),"",ROUND((VLOOKUP(ROUNDDOWN($D518-1/frec,0),cob_adi,AO$40,FALSE)*(1+i/frec)^-0.5*(1+Parámetros!$D$103)*(1+rec_fracc)/frec),6))</f>
        <v/>
      </c>
      <c r="BE518" s="66" t="str">
        <f t="shared" si="698"/>
        <v/>
      </c>
      <c r="BF518" s="119" t="str">
        <f t="shared" si="699"/>
        <v/>
      </c>
      <c r="BG518" s="66" t="str">
        <f>+IF($W518="","",ROUND(IF($B518&gt;Parámetros!$D$107,'Tablas Servicio'!BE518+('Tablas Servicio'!BG517-'Tablas Servicio'!BE517),BE518/(1-IF(B518&lt;=10,Parámetros!$D$100,0))),2))</f>
        <v/>
      </c>
      <c r="BH518" s="66" t="str">
        <f t="shared" si="700"/>
        <v/>
      </c>
      <c r="BI518" s="66" t="str">
        <f t="shared" si="701"/>
        <v/>
      </c>
      <c r="BJ518" s="66" t="str">
        <f>+IF($W518="","",ROUND((BG518*Parámetros!$G$85),2))</f>
        <v/>
      </c>
      <c r="BK518" s="66" t="str">
        <f>+IF($W518="","",ROUND((BG518*(Parámetros!$G$86)),2))</f>
        <v/>
      </c>
      <c r="BL518" s="66" t="str">
        <f t="shared" si="702"/>
        <v/>
      </c>
      <c r="BM518" t="str">
        <f t="shared" si="743"/>
        <v/>
      </c>
      <c r="BN518" t="str">
        <f t="shared" si="744"/>
        <v/>
      </c>
      <c r="BO518" s="118" t="str">
        <f t="shared" si="745"/>
        <v/>
      </c>
      <c r="BP518" s="118" t="str">
        <f t="shared" si="746"/>
        <v/>
      </c>
      <c r="BQ518" s="119" t="str">
        <f>+IF(OR($W518="",BO518=0),"",ROUND((VLOOKUP(ROUNDDOWN($D518-1/frec,0),cob_adi,BB$40,FALSE)*(1+i/frec)^-0.5*(1+Parámetros!$D$103)*(1+rec_fracc)/frec),6))</f>
        <v/>
      </c>
      <c r="BR518" s="66" t="str">
        <f t="shared" si="703"/>
        <v/>
      </c>
      <c r="BS518" s="119" t="str">
        <f t="shared" si="704"/>
        <v/>
      </c>
      <c r="BT518" s="66" t="str">
        <f>+IF($W518="","",ROUND(IF($B518&gt;Parámetros!$D$107,'Tablas Servicio'!BR518+('Tablas Servicio'!BT517-'Tablas Servicio'!BR517),BR518/(1-IF(B518&lt;=10,Parámetros!$D$100,0))),2))</f>
        <v/>
      </c>
      <c r="BU518" s="66" t="str">
        <f t="shared" si="705"/>
        <v/>
      </c>
      <c r="BV518" s="66" t="str">
        <f t="shared" si="705"/>
        <v/>
      </c>
      <c r="BW518" s="66" t="str">
        <f>+IF($W518="","",ROUND((BT518*Parámetros!$G$85),2))</f>
        <v/>
      </c>
      <c r="BX518" s="66" t="str">
        <f>+IF($W518="","",ROUND((BT518*(Parámetros!$G$86)),2))</f>
        <v/>
      </c>
      <c r="BY518" s="66" t="str">
        <f t="shared" si="706"/>
        <v/>
      </c>
      <c r="BZ518" t="str">
        <f t="shared" si="747"/>
        <v/>
      </c>
      <c r="CA518" t="str">
        <f t="shared" si="748"/>
        <v/>
      </c>
      <c r="CB518" s="118" t="str">
        <f t="shared" si="749"/>
        <v/>
      </c>
      <c r="CC518" s="118" t="str">
        <f t="shared" si="750"/>
        <v/>
      </c>
      <c r="CD518" s="119" t="str">
        <f t="shared" si="707"/>
        <v/>
      </c>
      <c r="CE518" s="66" t="str">
        <f>+IF($W518="","",ROUND((VLOOKUP(ROUNDDOWN($D518-1/frec,0),cob_adi,BO$40,FALSE)*(1+i/frec)^-0.5*(1+Parámetros!$D$103)*(1+rec_fracc)/frec*'TABLAS ADI'!$BC$17),2))</f>
        <v/>
      </c>
      <c r="CF518" s="119" t="str">
        <f t="shared" si="708"/>
        <v/>
      </c>
      <c r="CG518" s="66" t="str">
        <f>+IF($W518="","",ROUND(IF($B518&gt;Parámetros!$D$107,'Tablas Servicio'!CE518+('Tablas Servicio'!CG517-'Tablas Servicio'!CE517),CE518/(1-IF(B518&lt;=10,Parámetros!$D$100,0))),2))</f>
        <v/>
      </c>
      <c r="CH518" s="66" t="str">
        <f t="shared" si="709"/>
        <v/>
      </c>
      <c r="CI518" s="66" t="str">
        <f t="shared" si="709"/>
        <v/>
      </c>
      <c r="CJ518" s="66" t="str">
        <f>+IF($W518="","",ROUND((CG518*Parámetros!$G$85),2))</f>
        <v/>
      </c>
      <c r="CK518" s="66" t="str">
        <f>+IF($W518="","",ROUND((CG518*(Parámetros!$G$86)),2))</f>
        <v/>
      </c>
      <c r="CL518" s="66" t="str">
        <f t="shared" si="710"/>
        <v/>
      </c>
      <c r="CM518" t="str">
        <f t="shared" si="751"/>
        <v/>
      </c>
      <c r="CN518" s="118" t="str">
        <f t="shared" si="752"/>
        <v/>
      </c>
      <c r="CO518" s="118" t="str">
        <f t="shared" si="753"/>
        <v/>
      </c>
      <c r="CP518" s="118" t="str">
        <f t="shared" si="754"/>
        <v/>
      </c>
      <c r="CQ518" s="119" t="str">
        <f t="shared" si="711"/>
        <v/>
      </c>
      <c r="CR518" s="66" t="str">
        <f>+IF($W518="","",ROUND((VLOOKUP(Parámetros!$F$51,'COBERTURAS ADICIONALES'!$S$4:$T$32,2,FALSE)*(1+i/frec)^-0.5*(1+Parámetros!$D$103)*(1+rec_fracc)/frec*$CO$42),2))</f>
        <v/>
      </c>
      <c r="CS518" s="119" t="str">
        <f t="shared" si="712"/>
        <v/>
      </c>
      <c r="CT518" s="66" t="str">
        <f>+IF($W518="","",ROUND(IF($B518&gt;Parámetros!$D$107,'Tablas Servicio'!CR518+('Tablas Servicio'!CT517-'Tablas Servicio'!CR517),CR518/(1-IF(B518&lt;=10,Parámetros!$D$100,0))),2))</f>
        <v/>
      </c>
      <c r="CU518" s="66" t="str">
        <f t="shared" si="713"/>
        <v/>
      </c>
      <c r="CV518" s="66" t="str">
        <f t="shared" si="713"/>
        <v/>
      </c>
      <c r="CW518" s="66" t="str">
        <f>+IF($W518="","",ROUND((CT518*Parámetros!$G$85),2))</f>
        <v/>
      </c>
      <c r="CX518" s="66" t="str">
        <f>+IF($W518="","",ROUND((CT518*(Parámetros!$G$86)),2))</f>
        <v/>
      </c>
      <c r="CY518" s="66" t="str">
        <f t="shared" si="714"/>
        <v/>
      </c>
      <c r="CZ518" t="str">
        <f t="shared" si="755"/>
        <v/>
      </c>
      <c r="DA518" s="118" t="str">
        <f t="shared" si="756"/>
        <v/>
      </c>
      <c r="DB518" s="118" t="str">
        <f t="shared" si="757"/>
        <v/>
      </c>
      <c r="DC518" s="118" t="str">
        <f t="shared" si="758"/>
        <v/>
      </c>
      <c r="DD518" s="121" t="str">
        <f>+IF(OR($W518="",DB518=0),"",ROUND((VLOOKUP(ROUNDDOWN($D518-1/frec,0),cob_adi,CO$40,FALSE)*(1+i/frec)^-0.5*(1+Parámetros!$D$103)*(1+rec_fracc)/frec),6))</f>
        <v/>
      </c>
      <c r="DE518" s="66" t="str">
        <f t="shared" si="715"/>
        <v/>
      </c>
      <c r="DF518" s="119" t="str">
        <f t="shared" si="716"/>
        <v/>
      </c>
      <c r="DG518" s="66" t="str">
        <f>+IF($W518="","",ROUND(IF($B518&gt;Parámetros!$D$107,'Tablas Servicio'!DE518+('Tablas Servicio'!DG517-'Tablas Servicio'!DE517),DE518/(1-IF(B518&lt;=10,Parámetros!$D$100,0))),2))</f>
        <v/>
      </c>
      <c r="DH518" s="66" t="str">
        <f t="shared" si="717"/>
        <v/>
      </c>
      <c r="DI518" s="66" t="str">
        <f t="shared" si="717"/>
        <v/>
      </c>
      <c r="DJ518" s="66" t="str">
        <f>+IF($W518="","",ROUND((DG518*Parámetros!$G$85),2))</f>
        <v/>
      </c>
      <c r="DK518" s="66" t="str">
        <f>+IF($W518="","",ROUND((DG518*(Parámetros!$G$86)),2))</f>
        <v/>
      </c>
      <c r="DL518" s="66" t="str">
        <f t="shared" si="718"/>
        <v/>
      </c>
      <c r="DM518" t="str">
        <f t="shared" si="759"/>
        <v/>
      </c>
      <c r="DN518" s="118" t="str">
        <f t="shared" si="760"/>
        <v/>
      </c>
      <c r="DO518" s="118" t="str">
        <f t="shared" si="761"/>
        <v/>
      </c>
      <c r="DP518" s="118" t="str">
        <f t="shared" si="762"/>
        <v/>
      </c>
      <c r="DQ518" s="122" t="str">
        <f>+IF(OR($W518="",DO518=0),"",ROUND((VLOOKUP(ROUNDDOWN($D518-1/frec,0),cob_adi,DB$40,FALSE)*(1+i/frec)^-0.5*(1+Parámetros!$D$103)*(1+rec_fracc)/frec),6))</f>
        <v/>
      </c>
      <c r="DR518" s="66" t="str">
        <f t="shared" si="719"/>
        <v/>
      </c>
      <c r="DS518" s="68" t="str">
        <f t="shared" si="720"/>
        <v/>
      </c>
      <c r="DT518" s="66" t="str">
        <f>+IF($W518="","",ROUND(IF($B518&gt;Parámetros!$D$107,'Tablas Servicio'!DR518+('Tablas Servicio'!DT517-'Tablas Servicio'!DR517),DR518/(1-IF(B518&lt;=10,Parámetros!$D$100,0))),2))</f>
        <v/>
      </c>
      <c r="DU518" s="66" t="str">
        <f t="shared" si="721"/>
        <v/>
      </c>
      <c r="DV518" s="66" t="str">
        <f t="shared" si="721"/>
        <v/>
      </c>
      <c r="DW518" s="66" t="str">
        <f>+IF($W518="","",ROUND((DT518*Parámetros!$G$85),2))</f>
        <v/>
      </c>
      <c r="DX518" s="66" t="str">
        <f>+IF($W518="","",ROUND((DT518*(Parámetros!$G$86)),2))</f>
        <v/>
      </c>
      <c r="DY518" s="66" t="str">
        <f t="shared" si="722"/>
        <v/>
      </c>
      <c r="DZ518" t="str">
        <f t="shared" si="763"/>
        <v/>
      </c>
      <c r="EA518" s="118" t="str">
        <f t="shared" si="763"/>
        <v/>
      </c>
      <c r="EB518" s="118" t="str">
        <f>+IF($W518="","",ROUND(IF(Parámetros!$D$25='TABLAS MORT'!$V$33,EB517,Z518/2),0))</f>
        <v/>
      </c>
      <c r="EC518" s="118" t="str">
        <f t="shared" si="763"/>
        <v/>
      </c>
      <c r="ED518" s="122" t="str">
        <f>+IF(OR($W518="",EB518=0),"",ROUND((VLOOKUP(ROUNDDOWN($D518-1/frec,0),cob_adi,DO$40,FALSE)*(1+i/frec)^-0.5*(1+Parámetros!$D$103)*(1+rec_fracc)/frec),6))</f>
        <v/>
      </c>
      <c r="EE518" s="66" t="str">
        <f t="shared" si="724"/>
        <v/>
      </c>
      <c r="EF518" s="68" t="str">
        <f t="shared" si="725"/>
        <v/>
      </c>
      <c r="EG518" s="66" t="str">
        <f>+IF($W518="","",ROUND(IF($B518&gt;Parámetros!$D$107,'Tablas Servicio'!EE518+('Tablas Servicio'!EG517-'Tablas Servicio'!EE517),EE518/(1-IF(B518&lt;=10,Parámetros!$D$100,0))),2))</f>
        <v/>
      </c>
      <c r="EH518" s="66" t="str">
        <f t="shared" si="726"/>
        <v/>
      </c>
      <c r="EI518" s="66" t="str">
        <f t="shared" si="726"/>
        <v/>
      </c>
      <c r="EJ518" s="66" t="str">
        <f>+IF($W518="","",ROUND((EG518*Parámetros!$G$85),2))</f>
        <v/>
      </c>
      <c r="EK518" s="66" t="str">
        <f>+IF($W518="","",ROUND((EG518*(Parámetros!$G$86)),2))</f>
        <v/>
      </c>
      <c r="EL518" s="66" t="str">
        <f t="shared" si="727"/>
        <v/>
      </c>
    </row>
    <row r="519" spans="1:142" x14ac:dyDescent="0.25">
      <c r="A519" t="str">
        <f>+IF($C519="","",ROUND(VLOOKUP('Tablas Servicio'!B519,Parámetros!$H$100:$J$159,IF(Parámetros!$E$16="F",2,3),FALSE),2))</f>
        <v/>
      </c>
      <c r="B519" t="str">
        <f t="shared" si="678"/>
        <v/>
      </c>
      <c r="C519" s="57" t="str">
        <f>+IF(D519="","",'Tablas Servicio'!C518+1)</f>
        <v/>
      </c>
      <c r="D519" s="56" t="str">
        <f>+IF(D518&lt;edadmaxtabla,D518+1/Parámetros!$E$25,"")</f>
        <v/>
      </c>
      <c r="E519" s="57" t="str">
        <f t="shared" si="688"/>
        <v/>
      </c>
      <c r="F519" s="59" t="str">
        <f t="shared" si="689"/>
        <v/>
      </c>
      <c r="G519" s="66" t="str">
        <f t="shared" si="679"/>
        <v/>
      </c>
      <c r="H519" s="66" t="str">
        <f t="shared" si="680"/>
        <v/>
      </c>
      <c r="I519" s="66" t="str">
        <f t="shared" si="728"/>
        <v/>
      </c>
      <c r="J519" s="66" t="str">
        <f t="shared" si="681"/>
        <v/>
      </c>
      <c r="K519" s="66" t="str">
        <f t="shared" si="682"/>
        <v/>
      </c>
      <c r="L519" s="66" t="str">
        <f t="shared" si="683"/>
        <v/>
      </c>
      <c r="M519" s="66" t="str">
        <f t="shared" si="684"/>
        <v/>
      </c>
      <c r="N519" s="66" t="str">
        <f>+IF(C519="","",ROUND(Parámetros!$D$23,2))</f>
        <v/>
      </c>
      <c r="O519" s="66" t="str">
        <f t="shared" si="685"/>
        <v/>
      </c>
      <c r="P519" s="66" t="str">
        <f>+IF($C519="","",ROUND(IF(B519&gt;Parámetros!$D$117,0,N519*Parámetros!$D$116-G519*Parámetros!$D$100),2))</f>
        <v/>
      </c>
      <c r="Q519" s="75" t="str">
        <f t="shared" si="729"/>
        <v/>
      </c>
      <c r="R519" s="75" t="str">
        <f t="shared" si="730"/>
        <v/>
      </c>
      <c r="S519" s="117" t="str">
        <f>+IF($C519="","",ROUND((S518+I519)*(1+Parámetros!$D$91),2))</f>
        <v/>
      </c>
      <c r="T519" s="117" t="str">
        <f>+IF($C519="","",ROUND(S519*VLOOKUP(B519,Parámetros!$C$30:$D$39,2,TRUE),2))</f>
        <v/>
      </c>
      <c r="U519" s="117" t="str">
        <f>+IF($C519="","",ROUND((U518+I519)*(1+Parámetros!$D$92),2))</f>
        <v/>
      </c>
      <c r="V519" s="117" t="str">
        <f>+IF($C519="","",ROUND(U519*VLOOKUP(B519,Parámetros!$C$30:$D$39,2,TRUE),2))</f>
        <v/>
      </c>
      <c r="W519" s="57" t="str">
        <f t="shared" si="731"/>
        <v/>
      </c>
      <c r="X519" t="str">
        <f t="shared" si="732"/>
        <v/>
      </c>
      <c r="Y519" t="str">
        <f t="shared" si="733"/>
        <v/>
      </c>
      <c r="Z519" s="118" t="str">
        <f>+IF($W519="","",ROUND(IF(Parámetros!$D$25='TABLAS MORT'!$V$33,Z518,Parámetros!$D$21-'Tablas Servicio'!T518),0))</f>
        <v/>
      </c>
      <c r="AA519" s="118" t="str">
        <f t="shared" si="734"/>
        <v/>
      </c>
      <c r="AB519" s="119" t="str">
        <f>+IF(W519="","",ROUND((VLOOKUP(ROUNDDOWN($D519-1/frec,0),qx_tabla,2,FALSE)*(1+i/frec)^-0.5*(1+Parámetros!$D$103)*(1+rec_fracc)/frec),6))</f>
        <v/>
      </c>
      <c r="AC519" s="66" t="str">
        <f t="shared" si="690"/>
        <v/>
      </c>
      <c r="AD519" s="119" t="str">
        <f t="shared" si="686"/>
        <v/>
      </c>
      <c r="AE519" s="66" t="str">
        <f>+IF($W519="","",ROUND(IF($B519&gt;Parámetros!$D$107,'Tablas Servicio'!AC519+('Tablas Servicio'!AG518-'Tablas Servicio'!AC518),AC519/(1-IF(B519&lt;=10,Parámetros!$D$104,Parámetros!$D$105))),2))</f>
        <v/>
      </c>
      <c r="AF519" s="66" t="str">
        <f>+IF($W519="","",ROUND(IF($B519&gt;Parámetros!$D$107,'Tablas Servicio'!AC519+('Tablas Servicio'!AG518-'Tablas Servicio'!AC518),(AC519+$A518/frec)/(1-IF(B519&lt;=Parámetros!$D$117,Parámetros!$D$100,0))),2))</f>
        <v/>
      </c>
      <c r="AG519" s="66" t="str">
        <f t="shared" si="691"/>
        <v/>
      </c>
      <c r="AH519" s="66" t="str">
        <f t="shared" si="692"/>
        <v/>
      </c>
      <c r="AI519" s="66" t="str">
        <f t="shared" si="693"/>
        <v/>
      </c>
      <c r="AJ519" s="66" t="str">
        <f>+IF($W519="","",ROUND((AG519*Parámetros!$G$85),2))</f>
        <v/>
      </c>
      <c r="AK519" s="66" t="str">
        <f>+IF($W519="","",ROUND((AG519*(Parámetros!$G$86)),2))</f>
        <v/>
      </c>
      <c r="AL519" s="66" t="str">
        <f t="shared" si="687"/>
        <v/>
      </c>
      <c r="AM519" t="str">
        <f t="shared" si="735"/>
        <v/>
      </c>
      <c r="AN519" t="str">
        <f t="shared" si="736"/>
        <v/>
      </c>
      <c r="AO519" s="118" t="str">
        <f t="shared" si="737"/>
        <v/>
      </c>
      <c r="AP519" s="118" t="str">
        <f t="shared" si="738"/>
        <v/>
      </c>
      <c r="AQ519" s="119" t="str">
        <f>+IF(OR($W519="",AO519=0),"",ROUND((VLOOKUP(ROUNDDOWN($D519-1/frec,0),cob_adi,Z$40,FALSE)*(1+i/frec)^-0.5*(1+Parámetros!$D$103)*(1+rec_fracc)/frec),6))</f>
        <v/>
      </c>
      <c r="AR519" s="66" t="str">
        <f t="shared" si="694"/>
        <v/>
      </c>
      <c r="AS519" s="119" t="str">
        <f t="shared" si="695"/>
        <v/>
      </c>
      <c r="AT519" s="66" t="str">
        <f>+IF($W519="","",ROUND(IF($B519&gt;Parámetros!$D$107,'Tablas Servicio'!AR519+('Tablas Servicio'!AT518-'Tablas Servicio'!AR518),AR519/(1-IF(B519&lt;=10,Parámetros!$D$100,0))),2))</f>
        <v/>
      </c>
      <c r="AU519" s="66" t="str">
        <f t="shared" si="696"/>
        <v/>
      </c>
      <c r="AV519" s="66" t="str">
        <f t="shared" si="696"/>
        <v/>
      </c>
      <c r="AW519" s="66" t="str">
        <f>+IF($W519="","",ROUND((AT519*Parámetros!$G$85),2))</f>
        <v/>
      </c>
      <c r="AX519" s="66" t="str">
        <f>+IF($W519="","",ROUND((AT519*(Parámetros!$G$86)),2))</f>
        <v/>
      </c>
      <c r="AY519" s="66" t="str">
        <f t="shared" si="697"/>
        <v/>
      </c>
      <c r="AZ519" t="str">
        <f t="shared" si="739"/>
        <v/>
      </c>
      <c r="BA519" t="str">
        <f t="shared" si="740"/>
        <v/>
      </c>
      <c r="BB519" s="118" t="str">
        <f t="shared" si="741"/>
        <v/>
      </c>
      <c r="BC519" s="118" t="str">
        <f t="shared" si="742"/>
        <v/>
      </c>
      <c r="BD519" s="119" t="str">
        <f>+IF(OR($W519="",BB519=0),"",ROUND((VLOOKUP(ROUNDDOWN($D519-1/frec,0),cob_adi,AO$40,FALSE)*(1+i/frec)^-0.5*(1+Parámetros!$D$103)*(1+rec_fracc)/frec),6))</f>
        <v/>
      </c>
      <c r="BE519" s="66" t="str">
        <f t="shared" si="698"/>
        <v/>
      </c>
      <c r="BF519" s="119" t="str">
        <f t="shared" si="699"/>
        <v/>
      </c>
      <c r="BG519" s="66" t="str">
        <f>+IF($W519="","",ROUND(IF($B519&gt;Parámetros!$D$107,'Tablas Servicio'!BE519+('Tablas Servicio'!BG518-'Tablas Servicio'!BE518),BE519/(1-IF(B519&lt;=10,Parámetros!$D$100,0))),2))</f>
        <v/>
      </c>
      <c r="BH519" s="66" t="str">
        <f t="shared" si="700"/>
        <v/>
      </c>
      <c r="BI519" s="66" t="str">
        <f t="shared" si="701"/>
        <v/>
      </c>
      <c r="BJ519" s="66" t="str">
        <f>+IF($W519="","",ROUND((BG519*Parámetros!$G$85),2))</f>
        <v/>
      </c>
      <c r="BK519" s="66" t="str">
        <f>+IF($W519="","",ROUND((BG519*(Parámetros!$G$86)),2))</f>
        <v/>
      </c>
      <c r="BL519" s="66" t="str">
        <f t="shared" si="702"/>
        <v/>
      </c>
      <c r="BM519" t="str">
        <f t="shared" si="743"/>
        <v/>
      </c>
      <c r="BN519" t="str">
        <f t="shared" si="744"/>
        <v/>
      </c>
      <c r="BO519" s="118" t="str">
        <f t="shared" si="745"/>
        <v/>
      </c>
      <c r="BP519" s="118" t="str">
        <f t="shared" si="746"/>
        <v/>
      </c>
      <c r="BQ519" s="119" t="str">
        <f>+IF(OR($W519="",BO519=0),"",ROUND((VLOOKUP(ROUNDDOWN($D519-1/frec,0),cob_adi,BB$40,FALSE)*(1+i/frec)^-0.5*(1+Parámetros!$D$103)*(1+rec_fracc)/frec),6))</f>
        <v/>
      </c>
      <c r="BR519" s="66" t="str">
        <f t="shared" si="703"/>
        <v/>
      </c>
      <c r="BS519" s="119" t="str">
        <f t="shared" si="704"/>
        <v/>
      </c>
      <c r="BT519" s="66" t="str">
        <f>+IF($W519="","",ROUND(IF($B519&gt;Parámetros!$D$107,'Tablas Servicio'!BR519+('Tablas Servicio'!BT518-'Tablas Servicio'!BR518),BR519/(1-IF(B519&lt;=10,Parámetros!$D$100,0))),2))</f>
        <v/>
      </c>
      <c r="BU519" s="66" t="str">
        <f t="shared" si="705"/>
        <v/>
      </c>
      <c r="BV519" s="66" t="str">
        <f t="shared" si="705"/>
        <v/>
      </c>
      <c r="BW519" s="66" t="str">
        <f>+IF($W519="","",ROUND((BT519*Parámetros!$G$85),2))</f>
        <v/>
      </c>
      <c r="BX519" s="66" t="str">
        <f>+IF($W519="","",ROUND((BT519*(Parámetros!$G$86)),2))</f>
        <v/>
      </c>
      <c r="BY519" s="66" t="str">
        <f t="shared" si="706"/>
        <v/>
      </c>
      <c r="BZ519" t="str">
        <f t="shared" si="747"/>
        <v/>
      </c>
      <c r="CA519" t="str">
        <f t="shared" si="748"/>
        <v/>
      </c>
      <c r="CB519" s="118" t="str">
        <f t="shared" si="749"/>
        <v/>
      </c>
      <c r="CC519" s="118" t="str">
        <f t="shared" si="750"/>
        <v/>
      </c>
      <c r="CD519" s="119" t="str">
        <f t="shared" si="707"/>
        <v/>
      </c>
      <c r="CE519" s="66" t="str">
        <f>+IF($W519="","",ROUND((VLOOKUP(ROUNDDOWN($D519-1/frec,0),cob_adi,BO$40,FALSE)*(1+i/frec)^-0.5*(1+Parámetros!$D$103)*(1+rec_fracc)/frec*'TABLAS ADI'!$BC$17),2))</f>
        <v/>
      </c>
      <c r="CF519" s="119" t="str">
        <f t="shared" si="708"/>
        <v/>
      </c>
      <c r="CG519" s="66" t="str">
        <f>+IF($W519="","",ROUND(IF($B519&gt;Parámetros!$D$107,'Tablas Servicio'!CE519+('Tablas Servicio'!CG518-'Tablas Servicio'!CE518),CE519/(1-IF(B519&lt;=10,Parámetros!$D$100,0))),2))</f>
        <v/>
      </c>
      <c r="CH519" s="66" t="str">
        <f t="shared" si="709"/>
        <v/>
      </c>
      <c r="CI519" s="66" t="str">
        <f t="shared" si="709"/>
        <v/>
      </c>
      <c r="CJ519" s="66" t="str">
        <f>+IF($W519="","",ROUND((CG519*Parámetros!$G$85),2))</f>
        <v/>
      </c>
      <c r="CK519" s="66" t="str">
        <f>+IF($W519="","",ROUND((CG519*(Parámetros!$G$86)),2))</f>
        <v/>
      </c>
      <c r="CL519" s="66" t="str">
        <f t="shared" si="710"/>
        <v/>
      </c>
      <c r="CM519" t="str">
        <f t="shared" si="751"/>
        <v/>
      </c>
      <c r="CN519" s="118" t="str">
        <f t="shared" si="752"/>
        <v/>
      </c>
      <c r="CO519" s="118" t="str">
        <f t="shared" si="753"/>
        <v/>
      </c>
      <c r="CP519" s="118" t="str">
        <f t="shared" si="754"/>
        <v/>
      </c>
      <c r="CQ519" s="119" t="str">
        <f t="shared" si="711"/>
        <v/>
      </c>
      <c r="CR519" s="66" t="str">
        <f>+IF($W519="","",ROUND((VLOOKUP(Parámetros!$F$51,'COBERTURAS ADICIONALES'!$S$4:$T$32,2,FALSE)*(1+i/frec)^-0.5*(1+Parámetros!$D$103)*(1+rec_fracc)/frec*$CO$42),2))</f>
        <v/>
      </c>
      <c r="CS519" s="119" t="str">
        <f t="shared" si="712"/>
        <v/>
      </c>
      <c r="CT519" s="66" t="str">
        <f>+IF($W519="","",ROUND(IF($B519&gt;Parámetros!$D$107,'Tablas Servicio'!CR519+('Tablas Servicio'!CT518-'Tablas Servicio'!CR518),CR519/(1-IF(B519&lt;=10,Parámetros!$D$100,0))),2))</f>
        <v/>
      </c>
      <c r="CU519" s="66" t="str">
        <f t="shared" si="713"/>
        <v/>
      </c>
      <c r="CV519" s="66" t="str">
        <f t="shared" si="713"/>
        <v/>
      </c>
      <c r="CW519" s="66" t="str">
        <f>+IF($W519="","",ROUND((CT519*Parámetros!$G$85),2))</f>
        <v/>
      </c>
      <c r="CX519" s="66" t="str">
        <f>+IF($W519="","",ROUND((CT519*(Parámetros!$G$86)),2))</f>
        <v/>
      </c>
      <c r="CY519" s="66" t="str">
        <f t="shared" si="714"/>
        <v/>
      </c>
      <c r="CZ519" t="str">
        <f t="shared" si="755"/>
        <v/>
      </c>
      <c r="DA519" s="118" t="str">
        <f t="shared" si="756"/>
        <v/>
      </c>
      <c r="DB519" s="118" t="str">
        <f t="shared" si="757"/>
        <v/>
      </c>
      <c r="DC519" s="118" t="str">
        <f t="shared" si="758"/>
        <v/>
      </c>
      <c r="DD519" s="121" t="str">
        <f>+IF(OR($W519="",DB519=0),"",ROUND((VLOOKUP(ROUNDDOWN($D519-1/frec,0),cob_adi,CO$40,FALSE)*(1+i/frec)^-0.5*(1+Parámetros!$D$103)*(1+rec_fracc)/frec),6))</f>
        <v/>
      </c>
      <c r="DE519" s="66" t="str">
        <f t="shared" si="715"/>
        <v/>
      </c>
      <c r="DF519" s="119" t="str">
        <f t="shared" si="716"/>
        <v/>
      </c>
      <c r="DG519" s="66" t="str">
        <f>+IF($W519="","",ROUND(IF($B519&gt;Parámetros!$D$107,'Tablas Servicio'!DE519+('Tablas Servicio'!DG518-'Tablas Servicio'!DE518),DE519/(1-IF(B519&lt;=10,Parámetros!$D$100,0))),2))</f>
        <v/>
      </c>
      <c r="DH519" s="66" t="str">
        <f t="shared" si="717"/>
        <v/>
      </c>
      <c r="DI519" s="66" t="str">
        <f t="shared" si="717"/>
        <v/>
      </c>
      <c r="DJ519" s="66" t="str">
        <f>+IF($W519="","",ROUND((DG519*Parámetros!$G$85),2))</f>
        <v/>
      </c>
      <c r="DK519" s="66" t="str">
        <f>+IF($W519="","",ROUND((DG519*(Parámetros!$G$86)),2))</f>
        <v/>
      </c>
      <c r="DL519" s="66" t="str">
        <f t="shared" si="718"/>
        <v/>
      </c>
      <c r="DM519" t="str">
        <f t="shared" si="759"/>
        <v/>
      </c>
      <c r="DN519" s="118" t="str">
        <f t="shared" si="760"/>
        <v/>
      </c>
      <c r="DO519" s="118" t="str">
        <f t="shared" si="761"/>
        <v/>
      </c>
      <c r="DP519" s="118" t="str">
        <f t="shared" si="762"/>
        <v/>
      </c>
      <c r="DQ519" s="122" t="str">
        <f>+IF(OR($W519="",DO519=0),"",ROUND((VLOOKUP(ROUNDDOWN($D519-1/frec,0),cob_adi,DB$40,FALSE)*(1+i/frec)^-0.5*(1+Parámetros!$D$103)*(1+rec_fracc)/frec),6))</f>
        <v/>
      </c>
      <c r="DR519" s="66" t="str">
        <f t="shared" si="719"/>
        <v/>
      </c>
      <c r="DS519" s="68" t="str">
        <f t="shared" si="720"/>
        <v/>
      </c>
      <c r="DT519" s="66" t="str">
        <f>+IF($W519="","",ROUND(IF($B519&gt;Parámetros!$D$107,'Tablas Servicio'!DR519+('Tablas Servicio'!DT518-'Tablas Servicio'!DR518),DR519/(1-IF(B519&lt;=10,Parámetros!$D$100,0))),2))</f>
        <v/>
      </c>
      <c r="DU519" s="66" t="str">
        <f t="shared" si="721"/>
        <v/>
      </c>
      <c r="DV519" s="66" t="str">
        <f t="shared" si="721"/>
        <v/>
      </c>
      <c r="DW519" s="66" t="str">
        <f>+IF($W519="","",ROUND((DT519*Parámetros!$G$85),2))</f>
        <v/>
      </c>
      <c r="DX519" s="66" t="str">
        <f>+IF($W519="","",ROUND((DT519*(Parámetros!$G$86)),2))</f>
        <v/>
      </c>
      <c r="DY519" s="66" t="str">
        <f t="shared" si="722"/>
        <v/>
      </c>
      <c r="DZ519" t="str">
        <f t="shared" si="763"/>
        <v/>
      </c>
      <c r="EA519" s="118" t="str">
        <f t="shared" si="763"/>
        <v/>
      </c>
      <c r="EB519" s="118" t="str">
        <f>+IF($W519="","",ROUND(IF(Parámetros!$D$25='TABLAS MORT'!$V$33,EB518,Z519/2),0))</f>
        <v/>
      </c>
      <c r="EC519" s="118" t="str">
        <f t="shared" si="763"/>
        <v/>
      </c>
      <c r="ED519" s="122" t="str">
        <f>+IF(OR($W519="",EB519=0),"",ROUND((VLOOKUP(ROUNDDOWN($D519-1/frec,0),cob_adi,DO$40,FALSE)*(1+i/frec)^-0.5*(1+Parámetros!$D$103)*(1+rec_fracc)/frec),6))</f>
        <v/>
      </c>
      <c r="EE519" s="66" t="str">
        <f t="shared" si="724"/>
        <v/>
      </c>
      <c r="EF519" s="68" t="str">
        <f t="shared" si="725"/>
        <v/>
      </c>
      <c r="EG519" s="66" t="str">
        <f>+IF($W519="","",ROUND(IF($B519&gt;Parámetros!$D$107,'Tablas Servicio'!EE519+('Tablas Servicio'!EG518-'Tablas Servicio'!EE518),EE519/(1-IF(B519&lt;=10,Parámetros!$D$100,0))),2))</f>
        <v/>
      </c>
      <c r="EH519" s="66" t="str">
        <f t="shared" si="726"/>
        <v/>
      </c>
      <c r="EI519" s="66" t="str">
        <f t="shared" si="726"/>
        <v/>
      </c>
      <c r="EJ519" s="66" t="str">
        <f>+IF($W519="","",ROUND((EG519*Parámetros!$G$85),2))</f>
        <v/>
      </c>
      <c r="EK519" s="66" t="str">
        <f>+IF($W519="","",ROUND((EG519*(Parámetros!$G$86)),2))</f>
        <v/>
      </c>
      <c r="EL519" s="66" t="str">
        <f t="shared" si="727"/>
        <v/>
      </c>
    </row>
    <row r="520" spans="1:142" x14ac:dyDescent="0.25">
      <c r="A520" t="str">
        <f>+IF($C520="","",ROUND(VLOOKUP('Tablas Servicio'!B520,Parámetros!$H$100:$J$159,IF(Parámetros!$E$16="F",2,3),FALSE),2))</f>
        <v/>
      </c>
      <c r="B520" t="str">
        <f t="shared" si="678"/>
        <v/>
      </c>
      <c r="C520" s="57" t="str">
        <f>+IF(D520="","",'Tablas Servicio'!C519+1)</f>
        <v/>
      </c>
      <c r="D520" s="56" t="str">
        <f>+IF(D519&lt;edadmaxtabla,D519+1/Parámetros!$E$25,"")</f>
        <v/>
      </c>
      <c r="E520" s="57" t="str">
        <f t="shared" si="688"/>
        <v/>
      </c>
      <c r="F520" s="59" t="str">
        <f t="shared" si="689"/>
        <v/>
      </c>
      <c r="G520" s="66" t="str">
        <f t="shared" si="679"/>
        <v/>
      </c>
      <c r="H520" s="66" t="str">
        <f t="shared" si="680"/>
        <v/>
      </c>
      <c r="I520" s="66" t="str">
        <f t="shared" si="728"/>
        <v/>
      </c>
      <c r="J520" s="66" t="str">
        <f t="shared" si="681"/>
        <v/>
      </c>
      <c r="K520" s="66" t="str">
        <f t="shared" si="682"/>
        <v/>
      </c>
      <c r="L520" s="66" t="str">
        <f t="shared" si="683"/>
        <v/>
      </c>
      <c r="M520" s="66" t="str">
        <f t="shared" si="684"/>
        <v/>
      </c>
      <c r="N520" s="66" t="str">
        <f>+IF(C520="","",ROUND(Parámetros!$D$23,2))</f>
        <v/>
      </c>
      <c r="O520" s="66" t="str">
        <f t="shared" si="685"/>
        <v/>
      </c>
      <c r="P520" s="66" t="str">
        <f>+IF($C520="","",ROUND(IF(B520&gt;Parámetros!$D$117,0,N520*Parámetros!$D$116-G520*Parámetros!$D$100),2))</f>
        <v/>
      </c>
      <c r="Q520" s="75" t="str">
        <f t="shared" si="729"/>
        <v/>
      </c>
      <c r="R520" s="75" t="str">
        <f t="shared" si="730"/>
        <v/>
      </c>
      <c r="S520" s="117" t="str">
        <f>+IF($C520="","",ROUND((S519+I520)*(1+Parámetros!$D$91),2))</f>
        <v/>
      </c>
      <c r="T520" s="117" t="str">
        <f>+IF($C520="","",ROUND(S520*VLOOKUP(B520,Parámetros!$C$30:$D$39,2,TRUE),2))</f>
        <v/>
      </c>
      <c r="U520" s="117" t="str">
        <f>+IF($C520="","",ROUND((U519+I520)*(1+Parámetros!$D$92),2))</f>
        <v/>
      </c>
      <c r="V520" s="117" t="str">
        <f>+IF($C520="","",ROUND(U520*VLOOKUP(B520,Parámetros!$C$30:$D$39,2,TRUE),2))</f>
        <v/>
      </c>
      <c r="W520" s="57" t="str">
        <f t="shared" si="731"/>
        <v/>
      </c>
      <c r="X520" t="str">
        <f t="shared" si="732"/>
        <v/>
      </c>
      <c r="Y520" t="str">
        <f t="shared" si="733"/>
        <v/>
      </c>
      <c r="Z520" s="118" t="str">
        <f>+IF($W520="","",ROUND(IF(Parámetros!$D$25='TABLAS MORT'!$V$33,Z519,Parámetros!$D$21-'Tablas Servicio'!T519),0))</f>
        <v/>
      </c>
      <c r="AA520" s="118" t="str">
        <f t="shared" si="734"/>
        <v/>
      </c>
      <c r="AB520" s="119" t="str">
        <f>+IF(W520="","",ROUND((VLOOKUP(ROUNDDOWN($D520-1/frec,0),qx_tabla,2,FALSE)*(1+i/frec)^-0.5*(1+Parámetros!$D$103)*(1+rec_fracc)/frec),6))</f>
        <v/>
      </c>
      <c r="AC520" s="66" t="str">
        <f t="shared" si="690"/>
        <v/>
      </c>
      <c r="AD520" s="119" t="str">
        <f t="shared" si="686"/>
        <v/>
      </c>
      <c r="AE520" s="66" t="str">
        <f>+IF($W520="","",ROUND(IF($B520&gt;Parámetros!$D$107,'Tablas Servicio'!AC520+('Tablas Servicio'!AG519-'Tablas Servicio'!AC519),AC520/(1-IF(B520&lt;=10,Parámetros!$D$104,Parámetros!$D$105))),2))</f>
        <v/>
      </c>
      <c r="AF520" s="66" t="str">
        <f>+IF($W520="","",ROUND(IF($B520&gt;Parámetros!$D$107,'Tablas Servicio'!AC520+('Tablas Servicio'!AG519-'Tablas Servicio'!AC519),(AC520+$A519/frec)/(1-IF(B520&lt;=Parámetros!$D$117,Parámetros!$D$100,0))),2))</f>
        <v/>
      </c>
      <c r="AG520" s="66" t="str">
        <f t="shared" si="691"/>
        <v/>
      </c>
      <c r="AH520" s="66" t="str">
        <f t="shared" si="692"/>
        <v/>
      </c>
      <c r="AI520" s="66" t="str">
        <f t="shared" si="693"/>
        <v/>
      </c>
      <c r="AJ520" s="66" t="str">
        <f>+IF($W520="","",ROUND((AG520*Parámetros!$G$85),2))</f>
        <v/>
      </c>
      <c r="AK520" s="66" t="str">
        <f>+IF($W520="","",ROUND((AG520*(Parámetros!$G$86)),2))</f>
        <v/>
      </c>
      <c r="AL520" s="66" t="str">
        <f t="shared" si="687"/>
        <v/>
      </c>
      <c r="AM520" t="str">
        <f t="shared" si="735"/>
        <v/>
      </c>
      <c r="AN520" t="str">
        <f t="shared" si="736"/>
        <v/>
      </c>
      <c r="AO520" s="118" t="str">
        <f t="shared" si="737"/>
        <v/>
      </c>
      <c r="AP520" s="118" t="str">
        <f t="shared" si="738"/>
        <v/>
      </c>
      <c r="AQ520" s="119" t="str">
        <f>+IF(OR($W520="",AO520=0),"",ROUND((VLOOKUP(ROUNDDOWN($D520-1/frec,0),cob_adi,Z$40,FALSE)*(1+i/frec)^-0.5*(1+Parámetros!$D$103)*(1+rec_fracc)/frec),6))</f>
        <v/>
      </c>
      <c r="AR520" s="66" t="str">
        <f t="shared" si="694"/>
        <v/>
      </c>
      <c r="AS520" s="119" t="str">
        <f t="shared" si="695"/>
        <v/>
      </c>
      <c r="AT520" s="66" t="str">
        <f>+IF($W520="","",ROUND(IF($B520&gt;Parámetros!$D$107,'Tablas Servicio'!AR520+('Tablas Servicio'!AT519-'Tablas Servicio'!AR519),AR520/(1-IF(B520&lt;=10,Parámetros!$D$100,0))),2))</f>
        <v/>
      </c>
      <c r="AU520" s="66" t="str">
        <f t="shared" si="696"/>
        <v/>
      </c>
      <c r="AV520" s="66" t="str">
        <f t="shared" si="696"/>
        <v/>
      </c>
      <c r="AW520" s="66" t="str">
        <f>+IF($W520="","",ROUND((AT520*Parámetros!$G$85),2))</f>
        <v/>
      </c>
      <c r="AX520" s="66" t="str">
        <f>+IF($W520="","",ROUND((AT520*(Parámetros!$G$86)),2))</f>
        <v/>
      </c>
      <c r="AY520" s="66" t="str">
        <f t="shared" si="697"/>
        <v/>
      </c>
      <c r="AZ520" t="str">
        <f t="shared" si="739"/>
        <v/>
      </c>
      <c r="BA520" t="str">
        <f t="shared" si="740"/>
        <v/>
      </c>
      <c r="BB520" s="118" t="str">
        <f t="shared" si="741"/>
        <v/>
      </c>
      <c r="BC520" s="118" t="str">
        <f t="shared" si="742"/>
        <v/>
      </c>
      <c r="BD520" s="119" t="str">
        <f>+IF(OR($W520="",BB520=0),"",ROUND((VLOOKUP(ROUNDDOWN($D520-1/frec,0),cob_adi,AO$40,FALSE)*(1+i/frec)^-0.5*(1+Parámetros!$D$103)*(1+rec_fracc)/frec),6))</f>
        <v/>
      </c>
      <c r="BE520" s="66" t="str">
        <f t="shared" si="698"/>
        <v/>
      </c>
      <c r="BF520" s="119" t="str">
        <f t="shared" si="699"/>
        <v/>
      </c>
      <c r="BG520" s="66" t="str">
        <f>+IF($W520="","",ROUND(IF($B520&gt;Parámetros!$D$107,'Tablas Servicio'!BE520+('Tablas Servicio'!BG519-'Tablas Servicio'!BE519),BE520/(1-IF(B520&lt;=10,Parámetros!$D$100,0))),2))</f>
        <v/>
      </c>
      <c r="BH520" s="66" t="str">
        <f t="shared" si="700"/>
        <v/>
      </c>
      <c r="BI520" s="66" t="str">
        <f t="shared" si="701"/>
        <v/>
      </c>
      <c r="BJ520" s="66" t="str">
        <f>+IF($W520="","",ROUND((BG520*Parámetros!$G$85),2))</f>
        <v/>
      </c>
      <c r="BK520" s="66" t="str">
        <f>+IF($W520="","",ROUND((BG520*(Parámetros!$G$86)),2))</f>
        <v/>
      </c>
      <c r="BL520" s="66" t="str">
        <f t="shared" si="702"/>
        <v/>
      </c>
      <c r="BM520" t="str">
        <f t="shared" si="743"/>
        <v/>
      </c>
      <c r="BN520" t="str">
        <f t="shared" si="744"/>
        <v/>
      </c>
      <c r="BO520" s="118" t="str">
        <f t="shared" si="745"/>
        <v/>
      </c>
      <c r="BP520" s="118" t="str">
        <f t="shared" si="746"/>
        <v/>
      </c>
      <c r="BQ520" s="119" t="str">
        <f>+IF(OR($W520="",BO520=0),"",ROUND((VLOOKUP(ROUNDDOWN($D520-1/frec,0),cob_adi,BB$40,FALSE)*(1+i/frec)^-0.5*(1+Parámetros!$D$103)*(1+rec_fracc)/frec),6))</f>
        <v/>
      </c>
      <c r="BR520" s="66" t="str">
        <f t="shared" si="703"/>
        <v/>
      </c>
      <c r="BS520" s="119" t="str">
        <f t="shared" si="704"/>
        <v/>
      </c>
      <c r="BT520" s="66" t="str">
        <f>+IF($W520="","",ROUND(IF($B520&gt;Parámetros!$D$107,'Tablas Servicio'!BR520+('Tablas Servicio'!BT519-'Tablas Servicio'!BR519),BR520/(1-IF(B520&lt;=10,Parámetros!$D$100,0))),2))</f>
        <v/>
      </c>
      <c r="BU520" s="66" t="str">
        <f t="shared" si="705"/>
        <v/>
      </c>
      <c r="BV520" s="66" t="str">
        <f t="shared" si="705"/>
        <v/>
      </c>
      <c r="BW520" s="66" t="str">
        <f>+IF($W520="","",ROUND((BT520*Parámetros!$G$85),2))</f>
        <v/>
      </c>
      <c r="BX520" s="66" t="str">
        <f>+IF($W520="","",ROUND((BT520*(Parámetros!$G$86)),2))</f>
        <v/>
      </c>
      <c r="BY520" s="66" t="str">
        <f t="shared" si="706"/>
        <v/>
      </c>
      <c r="BZ520" t="str">
        <f t="shared" si="747"/>
        <v/>
      </c>
      <c r="CA520" t="str">
        <f t="shared" si="748"/>
        <v/>
      </c>
      <c r="CB520" s="118" t="str">
        <f t="shared" si="749"/>
        <v/>
      </c>
      <c r="CC520" s="118" t="str">
        <f t="shared" si="750"/>
        <v/>
      </c>
      <c r="CD520" s="119" t="str">
        <f t="shared" si="707"/>
        <v/>
      </c>
      <c r="CE520" s="66" t="str">
        <f>+IF($W520="","",ROUND((VLOOKUP(ROUNDDOWN($D520-1/frec,0),cob_adi,BO$40,FALSE)*(1+i/frec)^-0.5*(1+Parámetros!$D$103)*(1+rec_fracc)/frec*'TABLAS ADI'!$BC$17),2))</f>
        <v/>
      </c>
      <c r="CF520" s="119" t="str">
        <f t="shared" si="708"/>
        <v/>
      </c>
      <c r="CG520" s="66" t="str">
        <f>+IF($W520="","",ROUND(IF($B520&gt;Parámetros!$D$107,'Tablas Servicio'!CE520+('Tablas Servicio'!CG519-'Tablas Servicio'!CE519),CE520/(1-IF(B520&lt;=10,Parámetros!$D$100,0))),2))</f>
        <v/>
      </c>
      <c r="CH520" s="66" t="str">
        <f t="shared" si="709"/>
        <v/>
      </c>
      <c r="CI520" s="66" t="str">
        <f t="shared" si="709"/>
        <v/>
      </c>
      <c r="CJ520" s="66" t="str">
        <f>+IF($W520="","",ROUND((CG520*Parámetros!$G$85),2))</f>
        <v/>
      </c>
      <c r="CK520" s="66" t="str">
        <f>+IF($W520="","",ROUND((CG520*(Parámetros!$G$86)),2))</f>
        <v/>
      </c>
      <c r="CL520" s="66" t="str">
        <f t="shared" si="710"/>
        <v/>
      </c>
      <c r="CM520" t="str">
        <f t="shared" si="751"/>
        <v/>
      </c>
      <c r="CN520" s="118" t="str">
        <f t="shared" si="752"/>
        <v/>
      </c>
      <c r="CO520" s="118" t="str">
        <f t="shared" si="753"/>
        <v/>
      </c>
      <c r="CP520" s="118" t="str">
        <f t="shared" si="754"/>
        <v/>
      </c>
      <c r="CQ520" s="119" t="str">
        <f t="shared" si="711"/>
        <v/>
      </c>
      <c r="CR520" s="66" t="str">
        <f>+IF($W520="","",ROUND((VLOOKUP(Parámetros!$F$51,'COBERTURAS ADICIONALES'!$S$4:$T$32,2,FALSE)*(1+i/frec)^-0.5*(1+Parámetros!$D$103)*(1+rec_fracc)/frec*$CO$42),2))</f>
        <v/>
      </c>
      <c r="CS520" s="119" t="str">
        <f t="shared" si="712"/>
        <v/>
      </c>
      <c r="CT520" s="66" t="str">
        <f>+IF($W520="","",ROUND(IF($B520&gt;Parámetros!$D$107,'Tablas Servicio'!CR520+('Tablas Servicio'!CT519-'Tablas Servicio'!CR519),CR520/(1-IF(B520&lt;=10,Parámetros!$D$100,0))),2))</f>
        <v/>
      </c>
      <c r="CU520" s="66" t="str">
        <f t="shared" si="713"/>
        <v/>
      </c>
      <c r="CV520" s="66" t="str">
        <f t="shared" si="713"/>
        <v/>
      </c>
      <c r="CW520" s="66" t="str">
        <f>+IF($W520="","",ROUND((CT520*Parámetros!$G$85),2))</f>
        <v/>
      </c>
      <c r="CX520" s="66" t="str">
        <f>+IF($W520="","",ROUND((CT520*(Parámetros!$G$86)),2))</f>
        <v/>
      </c>
      <c r="CY520" s="66" t="str">
        <f t="shared" si="714"/>
        <v/>
      </c>
      <c r="CZ520" t="str">
        <f t="shared" si="755"/>
        <v/>
      </c>
      <c r="DA520" s="118" t="str">
        <f t="shared" si="756"/>
        <v/>
      </c>
      <c r="DB520" s="118" t="str">
        <f t="shared" si="757"/>
        <v/>
      </c>
      <c r="DC520" s="118" t="str">
        <f t="shared" si="758"/>
        <v/>
      </c>
      <c r="DD520" s="121" t="str">
        <f>+IF(OR($W520="",DB520=0),"",ROUND((VLOOKUP(ROUNDDOWN($D520-1/frec,0),cob_adi,CO$40,FALSE)*(1+i/frec)^-0.5*(1+Parámetros!$D$103)*(1+rec_fracc)/frec),6))</f>
        <v/>
      </c>
      <c r="DE520" s="66" t="str">
        <f t="shared" si="715"/>
        <v/>
      </c>
      <c r="DF520" s="119" t="str">
        <f t="shared" si="716"/>
        <v/>
      </c>
      <c r="DG520" s="66" t="str">
        <f>+IF($W520="","",ROUND(IF($B520&gt;Parámetros!$D$107,'Tablas Servicio'!DE520+('Tablas Servicio'!DG519-'Tablas Servicio'!DE519),DE520/(1-IF(B520&lt;=10,Parámetros!$D$100,0))),2))</f>
        <v/>
      </c>
      <c r="DH520" s="66" t="str">
        <f t="shared" si="717"/>
        <v/>
      </c>
      <c r="DI520" s="66" t="str">
        <f t="shared" si="717"/>
        <v/>
      </c>
      <c r="DJ520" s="66" t="str">
        <f>+IF($W520="","",ROUND((DG520*Parámetros!$G$85),2))</f>
        <v/>
      </c>
      <c r="DK520" s="66" t="str">
        <f>+IF($W520="","",ROUND((DG520*(Parámetros!$G$86)),2))</f>
        <v/>
      </c>
      <c r="DL520" s="66" t="str">
        <f t="shared" si="718"/>
        <v/>
      </c>
      <c r="DM520" t="str">
        <f t="shared" si="759"/>
        <v/>
      </c>
      <c r="DN520" s="118" t="str">
        <f t="shared" si="760"/>
        <v/>
      </c>
      <c r="DO520" s="118" t="str">
        <f t="shared" si="761"/>
        <v/>
      </c>
      <c r="DP520" s="118" t="str">
        <f t="shared" si="762"/>
        <v/>
      </c>
      <c r="DQ520" s="122" t="str">
        <f>+IF(OR($W520="",DO520=0),"",ROUND((VLOOKUP(ROUNDDOWN($D520-1/frec,0),cob_adi,DB$40,FALSE)*(1+i/frec)^-0.5*(1+Parámetros!$D$103)*(1+rec_fracc)/frec),6))</f>
        <v/>
      </c>
      <c r="DR520" s="66" t="str">
        <f t="shared" si="719"/>
        <v/>
      </c>
      <c r="DS520" s="68" t="str">
        <f t="shared" si="720"/>
        <v/>
      </c>
      <c r="DT520" s="66" t="str">
        <f>+IF($W520="","",ROUND(IF($B520&gt;Parámetros!$D$107,'Tablas Servicio'!DR520+('Tablas Servicio'!DT519-'Tablas Servicio'!DR519),DR520/(1-IF(B520&lt;=10,Parámetros!$D$100,0))),2))</f>
        <v/>
      </c>
      <c r="DU520" s="66" t="str">
        <f t="shared" si="721"/>
        <v/>
      </c>
      <c r="DV520" s="66" t="str">
        <f t="shared" si="721"/>
        <v/>
      </c>
      <c r="DW520" s="66" t="str">
        <f>+IF($W520="","",ROUND((DT520*Parámetros!$G$85),2))</f>
        <v/>
      </c>
      <c r="DX520" s="66" t="str">
        <f>+IF($W520="","",ROUND((DT520*(Parámetros!$G$86)),2))</f>
        <v/>
      </c>
      <c r="DY520" s="66" t="str">
        <f t="shared" si="722"/>
        <v/>
      </c>
      <c r="DZ520" t="str">
        <f t="shared" si="763"/>
        <v/>
      </c>
      <c r="EA520" s="118" t="str">
        <f t="shared" si="763"/>
        <v/>
      </c>
      <c r="EB520" s="118" t="str">
        <f>+IF($W520="","",ROUND(IF(Parámetros!$D$25='TABLAS MORT'!$V$33,EB519,Z520/2),0))</f>
        <v/>
      </c>
      <c r="EC520" s="118" t="str">
        <f t="shared" si="763"/>
        <v/>
      </c>
      <c r="ED520" s="122" t="str">
        <f>+IF(OR($W520="",EB520=0),"",ROUND((VLOOKUP(ROUNDDOWN($D520-1/frec,0),cob_adi,DO$40,FALSE)*(1+i/frec)^-0.5*(1+Parámetros!$D$103)*(1+rec_fracc)/frec),6))</f>
        <v/>
      </c>
      <c r="EE520" s="66" t="str">
        <f t="shared" si="724"/>
        <v/>
      </c>
      <c r="EF520" s="68" t="str">
        <f t="shared" si="725"/>
        <v/>
      </c>
      <c r="EG520" s="66" t="str">
        <f>+IF($W520="","",ROUND(IF($B520&gt;Parámetros!$D$107,'Tablas Servicio'!EE520+('Tablas Servicio'!EG519-'Tablas Servicio'!EE519),EE520/(1-IF(B520&lt;=10,Parámetros!$D$100,0))),2))</f>
        <v/>
      </c>
      <c r="EH520" s="66" t="str">
        <f t="shared" si="726"/>
        <v/>
      </c>
      <c r="EI520" s="66" t="str">
        <f t="shared" si="726"/>
        <v/>
      </c>
      <c r="EJ520" s="66" t="str">
        <f>+IF($W520="","",ROUND((EG520*Parámetros!$G$85),2))</f>
        <v/>
      </c>
      <c r="EK520" s="66" t="str">
        <f>+IF($W520="","",ROUND((EG520*(Parámetros!$G$86)),2))</f>
        <v/>
      </c>
      <c r="EL520" s="66" t="str">
        <f t="shared" si="727"/>
        <v/>
      </c>
    </row>
    <row r="521" spans="1:142" x14ac:dyDescent="0.25">
      <c r="A521" t="str">
        <f>+IF($C521="","",ROUND(VLOOKUP('Tablas Servicio'!B521,Parámetros!$H$100:$J$159,IF(Parámetros!$E$16="F",2,3),FALSE),2))</f>
        <v/>
      </c>
      <c r="B521" t="str">
        <f t="shared" si="678"/>
        <v/>
      </c>
      <c r="C521" s="57" t="str">
        <f>+IF(D521="","",'Tablas Servicio'!C520+1)</f>
        <v/>
      </c>
      <c r="D521" s="56" t="str">
        <f>+IF(D520&lt;edadmaxtabla,D520+1/Parámetros!$E$25,"")</f>
        <v/>
      </c>
      <c r="E521" s="57" t="str">
        <f t="shared" si="688"/>
        <v/>
      </c>
      <c r="F521" s="59" t="str">
        <f t="shared" si="689"/>
        <v/>
      </c>
      <c r="G521" s="66" t="str">
        <f t="shared" si="679"/>
        <v/>
      </c>
      <c r="H521" s="66" t="str">
        <f t="shared" si="680"/>
        <v/>
      </c>
      <c r="I521" s="66" t="str">
        <f t="shared" si="728"/>
        <v/>
      </c>
      <c r="J521" s="66" t="str">
        <f t="shared" si="681"/>
        <v/>
      </c>
      <c r="K521" s="66" t="str">
        <f t="shared" si="682"/>
        <v/>
      </c>
      <c r="L521" s="66" t="str">
        <f t="shared" si="683"/>
        <v/>
      </c>
      <c r="M521" s="66" t="str">
        <f t="shared" si="684"/>
        <v/>
      </c>
      <c r="N521" s="66" t="str">
        <f>+IF(C521="","",ROUND(Parámetros!$D$23,2))</f>
        <v/>
      </c>
      <c r="O521" s="66" t="str">
        <f t="shared" si="685"/>
        <v/>
      </c>
      <c r="P521" s="66" t="str">
        <f>+IF($C521="","",ROUND(IF(B521&gt;Parámetros!$D$117,0,N521*Parámetros!$D$116-G521*Parámetros!$D$100),2))</f>
        <v/>
      </c>
      <c r="Q521" s="75" t="str">
        <f t="shared" si="729"/>
        <v/>
      </c>
      <c r="R521" s="75" t="str">
        <f t="shared" si="730"/>
        <v/>
      </c>
      <c r="S521" s="117" t="str">
        <f>+IF($C521="","",ROUND((S520+I521)*(1+Parámetros!$D$91),2))</f>
        <v/>
      </c>
      <c r="T521" s="117" t="str">
        <f>+IF($C521="","",ROUND(S521*VLOOKUP(B521,Parámetros!$C$30:$D$39,2,TRUE),2))</f>
        <v/>
      </c>
      <c r="U521" s="117" t="str">
        <f>+IF($C521="","",ROUND((U520+I521)*(1+Parámetros!$D$92),2))</f>
        <v/>
      </c>
      <c r="V521" s="117" t="str">
        <f>+IF($C521="","",ROUND(U521*VLOOKUP(B521,Parámetros!$C$30:$D$39,2,TRUE),2))</f>
        <v/>
      </c>
      <c r="W521" s="57" t="str">
        <f t="shared" si="731"/>
        <v/>
      </c>
      <c r="X521" t="str">
        <f t="shared" si="732"/>
        <v/>
      </c>
      <c r="Y521" t="str">
        <f t="shared" si="733"/>
        <v/>
      </c>
      <c r="Z521" s="118" t="str">
        <f>+IF($W521="","",ROUND(IF(Parámetros!$D$25='TABLAS MORT'!$V$33,Z520,Parámetros!$D$21-'Tablas Servicio'!T520),0))</f>
        <v/>
      </c>
      <c r="AA521" s="118" t="str">
        <f t="shared" si="734"/>
        <v/>
      </c>
      <c r="AB521" s="119" t="str">
        <f>+IF(W521="","",ROUND((VLOOKUP(ROUNDDOWN($D521-1/frec,0),qx_tabla,2,FALSE)*(1+i/frec)^-0.5*(1+Parámetros!$D$103)*(1+rec_fracc)/frec),6))</f>
        <v/>
      </c>
      <c r="AC521" s="66" t="str">
        <f t="shared" si="690"/>
        <v/>
      </c>
      <c r="AD521" s="119" t="str">
        <f t="shared" si="686"/>
        <v/>
      </c>
      <c r="AE521" s="66" t="str">
        <f>+IF($W521="","",ROUND(IF($B521&gt;Parámetros!$D$107,'Tablas Servicio'!AC521+('Tablas Servicio'!AG520-'Tablas Servicio'!AC520),AC521/(1-IF(B521&lt;=10,Parámetros!$D$104,Parámetros!$D$105))),2))</f>
        <v/>
      </c>
      <c r="AF521" s="66" t="str">
        <f>+IF($W521="","",ROUND(IF($B521&gt;Parámetros!$D$107,'Tablas Servicio'!AC521+('Tablas Servicio'!AG520-'Tablas Servicio'!AC520),(AC521+$A520/frec)/(1-IF(B521&lt;=Parámetros!$D$117,Parámetros!$D$100,0))),2))</f>
        <v/>
      </c>
      <c r="AG521" s="66" t="str">
        <f t="shared" si="691"/>
        <v/>
      </c>
      <c r="AH521" s="66" t="str">
        <f t="shared" si="692"/>
        <v/>
      </c>
      <c r="AI521" s="66" t="str">
        <f t="shared" si="693"/>
        <v/>
      </c>
      <c r="AJ521" s="66" t="str">
        <f>+IF($W521="","",ROUND((AG521*Parámetros!$G$85),2))</f>
        <v/>
      </c>
      <c r="AK521" s="66" t="str">
        <f>+IF($W521="","",ROUND((AG521*(Parámetros!$G$86)),2))</f>
        <v/>
      </c>
      <c r="AL521" s="66" t="str">
        <f t="shared" si="687"/>
        <v/>
      </c>
      <c r="AM521" t="str">
        <f t="shared" si="735"/>
        <v/>
      </c>
      <c r="AN521" t="str">
        <f t="shared" si="736"/>
        <v/>
      </c>
      <c r="AO521" s="118" t="str">
        <f t="shared" si="737"/>
        <v/>
      </c>
      <c r="AP521" s="118" t="str">
        <f t="shared" si="738"/>
        <v/>
      </c>
      <c r="AQ521" s="119" t="str">
        <f>+IF(OR($W521="",AO521=0),"",ROUND((VLOOKUP(ROUNDDOWN($D521-1/frec,0),cob_adi,Z$40,FALSE)*(1+i/frec)^-0.5*(1+Parámetros!$D$103)*(1+rec_fracc)/frec),6))</f>
        <v/>
      </c>
      <c r="AR521" s="66" t="str">
        <f t="shared" si="694"/>
        <v/>
      </c>
      <c r="AS521" s="119" t="str">
        <f t="shared" si="695"/>
        <v/>
      </c>
      <c r="AT521" s="66" t="str">
        <f>+IF($W521="","",ROUND(IF($B521&gt;Parámetros!$D$107,'Tablas Servicio'!AR521+('Tablas Servicio'!AT520-'Tablas Servicio'!AR520),AR521/(1-IF(B521&lt;=10,Parámetros!$D$100,0))),2))</f>
        <v/>
      </c>
      <c r="AU521" s="66" t="str">
        <f t="shared" si="696"/>
        <v/>
      </c>
      <c r="AV521" s="66" t="str">
        <f t="shared" si="696"/>
        <v/>
      </c>
      <c r="AW521" s="66" t="str">
        <f>+IF($W521="","",ROUND((AT521*Parámetros!$G$85),2))</f>
        <v/>
      </c>
      <c r="AX521" s="66" t="str">
        <f>+IF($W521="","",ROUND((AT521*(Parámetros!$G$86)),2))</f>
        <v/>
      </c>
      <c r="AY521" s="66" t="str">
        <f t="shared" si="697"/>
        <v/>
      </c>
      <c r="AZ521" t="str">
        <f t="shared" si="739"/>
        <v/>
      </c>
      <c r="BA521" t="str">
        <f t="shared" si="740"/>
        <v/>
      </c>
      <c r="BB521" s="118" t="str">
        <f t="shared" si="741"/>
        <v/>
      </c>
      <c r="BC521" s="118" t="str">
        <f t="shared" si="742"/>
        <v/>
      </c>
      <c r="BD521" s="119" t="str">
        <f>+IF(OR($W521="",BB521=0),"",ROUND((VLOOKUP(ROUNDDOWN($D521-1/frec,0),cob_adi,AO$40,FALSE)*(1+i/frec)^-0.5*(1+Parámetros!$D$103)*(1+rec_fracc)/frec),6))</f>
        <v/>
      </c>
      <c r="BE521" s="66" t="str">
        <f t="shared" si="698"/>
        <v/>
      </c>
      <c r="BF521" s="119" t="str">
        <f t="shared" si="699"/>
        <v/>
      </c>
      <c r="BG521" s="66" t="str">
        <f>+IF($W521="","",ROUND(IF($B521&gt;Parámetros!$D$107,'Tablas Servicio'!BE521+('Tablas Servicio'!BG520-'Tablas Servicio'!BE520),BE521/(1-IF(B521&lt;=10,Parámetros!$D$100,0))),2))</f>
        <v/>
      </c>
      <c r="BH521" s="66" t="str">
        <f t="shared" si="700"/>
        <v/>
      </c>
      <c r="BI521" s="66" t="str">
        <f t="shared" si="701"/>
        <v/>
      </c>
      <c r="BJ521" s="66" t="str">
        <f>+IF($W521="","",ROUND((BG521*Parámetros!$G$85),2))</f>
        <v/>
      </c>
      <c r="BK521" s="66" t="str">
        <f>+IF($W521="","",ROUND((BG521*(Parámetros!$G$86)),2))</f>
        <v/>
      </c>
      <c r="BL521" s="66" t="str">
        <f t="shared" si="702"/>
        <v/>
      </c>
      <c r="BM521" t="str">
        <f t="shared" si="743"/>
        <v/>
      </c>
      <c r="BN521" t="str">
        <f t="shared" si="744"/>
        <v/>
      </c>
      <c r="BO521" s="118" t="str">
        <f t="shared" si="745"/>
        <v/>
      </c>
      <c r="BP521" s="118" t="str">
        <f t="shared" si="746"/>
        <v/>
      </c>
      <c r="BQ521" s="119" t="str">
        <f>+IF(OR($W521="",BO521=0),"",ROUND((VLOOKUP(ROUNDDOWN($D521-1/frec,0),cob_adi,BB$40,FALSE)*(1+i/frec)^-0.5*(1+Parámetros!$D$103)*(1+rec_fracc)/frec),6))</f>
        <v/>
      </c>
      <c r="BR521" s="66" t="str">
        <f t="shared" si="703"/>
        <v/>
      </c>
      <c r="BS521" s="119" t="str">
        <f t="shared" si="704"/>
        <v/>
      </c>
      <c r="BT521" s="66" t="str">
        <f>+IF($W521="","",ROUND(IF($B521&gt;Parámetros!$D$107,'Tablas Servicio'!BR521+('Tablas Servicio'!BT520-'Tablas Servicio'!BR520),BR521/(1-IF(B521&lt;=10,Parámetros!$D$100,0))),2))</f>
        <v/>
      </c>
      <c r="BU521" s="66" t="str">
        <f t="shared" si="705"/>
        <v/>
      </c>
      <c r="BV521" s="66" t="str">
        <f t="shared" si="705"/>
        <v/>
      </c>
      <c r="BW521" s="66" t="str">
        <f>+IF($W521="","",ROUND((BT521*Parámetros!$G$85),2))</f>
        <v/>
      </c>
      <c r="BX521" s="66" t="str">
        <f>+IF($W521="","",ROUND((BT521*(Parámetros!$G$86)),2))</f>
        <v/>
      </c>
      <c r="BY521" s="66" t="str">
        <f t="shared" si="706"/>
        <v/>
      </c>
      <c r="BZ521" t="str">
        <f t="shared" si="747"/>
        <v/>
      </c>
      <c r="CA521" t="str">
        <f t="shared" si="748"/>
        <v/>
      </c>
      <c r="CB521" s="118" t="str">
        <f t="shared" si="749"/>
        <v/>
      </c>
      <c r="CC521" s="118" t="str">
        <f t="shared" si="750"/>
        <v/>
      </c>
      <c r="CD521" s="119" t="str">
        <f t="shared" si="707"/>
        <v/>
      </c>
      <c r="CE521" s="66" t="str">
        <f>+IF($W521="","",ROUND((VLOOKUP(ROUNDDOWN($D521-1/frec,0),cob_adi,BO$40,FALSE)*(1+i/frec)^-0.5*(1+Parámetros!$D$103)*(1+rec_fracc)/frec*'TABLAS ADI'!$BC$17),2))</f>
        <v/>
      </c>
      <c r="CF521" s="119" t="str">
        <f t="shared" si="708"/>
        <v/>
      </c>
      <c r="CG521" s="66" t="str">
        <f>+IF($W521="","",ROUND(IF($B521&gt;Parámetros!$D$107,'Tablas Servicio'!CE521+('Tablas Servicio'!CG520-'Tablas Servicio'!CE520),CE521/(1-IF(B521&lt;=10,Parámetros!$D$100,0))),2))</f>
        <v/>
      </c>
      <c r="CH521" s="66" t="str">
        <f t="shared" si="709"/>
        <v/>
      </c>
      <c r="CI521" s="66" t="str">
        <f t="shared" si="709"/>
        <v/>
      </c>
      <c r="CJ521" s="66" t="str">
        <f>+IF($W521="","",ROUND((CG521*Parámetros!$G$85),2))</f>
        <v/>
      </c>
      <c r="CK521" s="66" t="str">
        <f>+IF($W521="","",ROUND((CG521*(Parámetros!$G$86)),2))</f>
        <v/>
      </c>
      <c r="CL521" s="66" t="str">
        <f t="shared" si="710"/>
        <v/>
      </c>
      <c r="CM521" t="str">
        <f t="shared" si="751"/>
        <v/>
      </c>
      <c r="CN521" s="118" t="str">
        <f t="shared" si="752"/>
        <v/>
      </c>
      <c r="CO521" s="118" t="str">
        <f t="shared" si="753"/>
        <v/>
      </c>
      <c r="CP521" s="118" t="str">
        <f t="shared" si="754"/>
        <v/>
      </c>
      <c r="CQ521" s="119" t="str">
        <f t="shared" si="711"/>
        <v/>
      </c>
      <c r="CR521" s="66" t="str">
        <f>+IF($W521="","",ROUND((VLOOKUP(Parámetros!$F$51,'COBERTURAS ADICIONALES'!$S$4:$T$32,2,FALSE)*(1+i/frec)^-0.5*(1+Parámetros!$D$103)*(1+rec_fracc)/frec*$CO$42),2))</f>
        <v/>
      </c>
      <c r="CS521" s="119" t="str">
        <f t="shared" si="712"/>
        <v/>
      </c>
      <c r="CT521" s="66" t="str">
        <f>+IF($W521="","",ROUND(IF($B521&gt;Parámetros!$D$107,'Tablas Servicio'!CR521+('Tablas Servicio'!CT520-'Tablas Servicio'!CR520),CR521/(1-IF(B521&lt;=10,Parámetros!$D$100,0))),2))</f>
        <v/>
      </c>
      <c r="CU521" s="66" t="str">
        <f t="shared" si="713"/>
        <v/>
      </c>
      <c r="CV521" s="66" t="str">
        <f t="shared" si="713"/>
        <v/>
      </c>
      <c r="CW521" s="66" t="str">
        <f>+IF($W521="","",ROUND((CT521*Parámetros!$G$85),2))</f>
        <v/>
      </c>
      <c r="CX521" s="66" t="str">
        <f>+IF($W521="","",ROUND((CT521*(Parámetros!$G$86)),2))</f>
        <v/>
      </c>
      <c r="CY521" s="66" t="str">
        <f t="shared" si="714"/>
        <v/>
      </c>
      <c r="CZ521" t="str">
        <f t="shared" si="755"/>
        <v/>
      </c>
      <c r="DA521" s="118" t="str">
        <f t="shared" si="756"/>
        <v/>
      </c>
      <c r="DB521" s="118" t="str">
        <f t="shared" si="757"/>
        <v/>
      </c>
      <c r="DC521" s="118" t="str">
        <f t="shared" si="758"/>
        <v/>
      </c>
      <c r="DD521" s="121" t="str">
        <f>+IF(OR($W521="",DB521=0),"",ROUND((VLOOKUP(ROUNDDOWN($D521-1/frec,0),cob_adi,CO$40,FALSE)*(1+i/frec)^-0.5*(1+Parámetros!$D$103)*(1+rec_fracc)/frec),6))</f>
        <v/>
      </c>
      <c r="DE521" s="66" t="str">
        <f t="shared" si="715"/>
        <v/>
      </c>
      <c r="DF521" s="119" t="str">
        <f t="shared" si="716"/>
        <v/>
      </c>
      <c r="DG521" s="66" t="str">
        <f>+IF($W521="","",ROUND(IF($B521&gt;Parámetros!$D$107,'Tablas Servicio'!DE521+('Tablas Servicio'!DG520-'Tablas Servicio'!DE520),DE521/(1-IF(B521&lt;=10,Parámetros!$D$100,0))),2))</f>
        <v/>
      </c>
      <c r="DH521" s="66" t="str">
        <f t="shared" si="717"/>
        <v/>
      </c>
      <c r="DI521" s="66" t="str">
        <f t="shared" si="717"/>
        <v/>
      </c>
      <c r="DJ521" s="66" t="str">
        <f>+IF($W521="","",ROUND((DG521*Parámetros!$G$85),2))</f>
        <v/>
      </c>
      <c r="DK521" s="66" t="str">
        <f>+IF($W521="","",ROUND((DG521*(Parámetros!$G$86)),2))</f>
        <v/>
      </c>
      <c r="DL521" s="66" t="str">
        <f t="shared" si="718"/>
        <v/>
      </c>
      <c r="DM521" t="str">
        <f t="shared" si="759"/>
        <v/>
      </c>
      <c r="DN521" s="118" t="str">
        <f t="shared" si="760"/>
        <v/>
      </c>
      <c r="DO521" s="118" t="str">
        <f t="shared" si="761"/>
        <v/>
      </c>
      <c r="DP521" s="118" t="str">
        <f t="shared" si="762"/>
        <v/>
      </c>
      <c r="DQ521" s="122" t="str">
        <f>+IF(OR($W521="",DO521=0),"",ROUND((VLOOKUP(ROUNDDOWN($D521-1/frec,0),cob_adi,DB$40,FALSE)*(1+i/frec)^-0.5*(1+Parámetros!$D$103)*(1+rec_fracc)/frec),6))</f>
        <v/>
      </c>
      <c r="DR521" s="66" t="str">
        <f t="shared" si="719"/>
        <v/>
      </c>
      <c r="DS521" s="68" t="str">
        <f t="shared" si="720"/>
        <v/>
      </c>
      <c r="DT521" s="66" t="str">
        <f>+IF($W521="","",ROUND(IF($B521&gt;Parámetros!$D$107,'Tablas Servicio'!DR521+('Tablas Servicio'!DT520-'Tablas Servicio'!DR520),DR521/(1-IF(B521&lt;=10,Parámetros!$D$100,0))),2))</f>
        <v/>
      </c>
      <c r="DU521" s="66" t="str">
        <f t="shared" si="721"/>
        <v/>
      </c>
      <c r="DV521" s="66" t="str">
        <f t="shared" si="721"/>
        <v/>
      </c>
      <c r="DW521" s="66" t="str">
        <f>+IF($W521="","",ROUND((DT521*Parámetros!$G$85),2))</f>
        <v/>
      </c>
      <c r="DX521" s="66" t="str">
        <f>+IF($W521="","",ROUND((DT521*(Parámetros!$G$86)),2))</f>
        <v/>
      </c>
      <c r="DY521" s="66" t="str">
        <f t="shared" si="722"/>
        <v/>
      </c>
      <c r="DZ521" t="str">
        <f t="shared" si="763"/>
        <v/>
      </c>
      <c r="EA521" s="118" t="str">
        <f t="shared" si="763"/>
        <v/>
      </c>
      <c r="EB521" s="118" t="str">
        <f>+IF($W521="","",ROUND(IF(Parámetros!$D$25='TABLAS MORT'!$V$33,EB520,Z521/2),0))</f>
        <v/>
      </c>
      <c r="EC521" s="118" t="str">
        <f t="shared" si="763"/>
        <v/>
      </c>
      <c r="ED521" s="122" t="str">
        <f>+IF(OR($W521="",EB521=0),"",ROUND((VLOOKUP(ROUNDDOWN($D521-1/frec,0),cob_adi,DO$40,FALSE)*(1+i/frec)^-0.5*(1+Parámetros!$D$103)*(1+rec_fracc)/frec),6))</f>
        <v/>
      </c>
      <c r="EE521" s="66" t="str">
        <f t="shared" si="724"/>
        <v/>
      </c>
      <c r="EF521" s="68" t="str">
        <f t="shared" si="725"/>
        <v/>
      </c>
      <c r="EG521" s="66" t="str">
        <f>+IF($W521="","",ROUND(IF($B521&gt;Parámetros!$D$107,'Tablas Servicio'!EE521+('Tablas Servicio'!EG520-'Tablas Servicio'!EE520),EE521/(1-IF(B521&lt;=10,Parámetros!$D$100,0))),2))</f>
        <v/>
      </c>
      <c r="EH521" s="66" t="str">
        <f t="shared" si="726"/>
        <v/>
      </c>
      <c r="EI521" s="66" t="str">
        <f t="shared" si="726"/>
        <v/>
      </c>
      <c r="EJ521" s="66" t="str">
        <f>+IF($W521="","",ROUND((EG521*Parámetros!$G$85),2))</f>
        <v/>
      </c>
      <c r="EK521" s="66" t="str">
        <f>+IF($W521="","",ROUND((EG521*(Parámetros!$G$86)),2))</f>
        <v/>
      </c>
      <c r="EL521" s="66" t="str">
        <f t="shared" si="727"/>
        <v/>
      </c>
    </row>
    <row r="522" spans="1:142" x14ac:dyDescent="0.25">
      <c r="A522" t="str">
        <f>+IF($C522="","",ROUND(VLOOKUP('Tablas Servicio'!B522,Parámetros!$H$100:$J$159,IF(Parámetros!$E$16="F",2,3),FALSE),2))</f>
        <v/>
      </c>
      <c r="B522" t="str">
        <f t="shared" si="678"/>
        <v/>
      </c>
      <c r="C522" s="57" t="str">
        <f>+IF(D522="","",'Tablas Servicio'!C521+1)</f>
        <v/>
      </c>
      <c r="D522" s="56" t="str">
        <f>+IF(D521&lt;edadmaxtabla,D521+1/Parámetros!$E$25,"")</f>
        <v/>
      </c>
      <c r="E522" s="57" t="str">
        <f t="shared" si="688"/>
        <v/>
      </c>
      <c r="F522" s="59" t="str">
        <f t="shared" si="689"/>
        <v/>
      </c>
      <c r="G522" s="66" t="str">
        <f t="shared" si="679"/>
        <v/>
      </c>
      <c r="H522" s="66" t="str">
        <f t="shared" si="680"/>
        <v/>
      </c>
      <c r="I522" s="66" t="str">
        <f t="shared" si="728"/>
        <v/>
      </c>
      <c r="J522" s="66" t="str">
        <f t="shared" si="681"/>
        <v/>
      </c>
      <c r="K522" s="66" t="str">
        <f t="shared" si="682"/>
        <v/>
      </c>
      <c r="L522" s="66" t="str">
        <f t="shared" si="683"/>
        <v/>
      </c>
      <c r="M522" s="66" t="str">
        <f t="shared" si="684"/>
        <v/>
      </c>
      <c r="N522" s="66" t="str">
        <f>+IF(C522="","",ROUND(Parámetros!$D$23,2))</f>
        <v/>
      </c>
      <c r="O522" s="66" t="str">
        <f t="shared" si="685"/>
        <v/>
      </c>
      <c r="P522" s="66" t="str">
        <f>+IF($C522="","",ROUND(IF(B522&gt;Parámetros!$D$117,0,N522*Parámetros!$D$116-G522*Parámetros!$D$100),2))</f>
        <v/>
      </c>
      <c r="Q522" s="75" t="str">
        <f t="shared" si="729"/>
        <v/>
      </c>
      <c r="R522" s="75" t="str">
        <f t="shared" si="730"/>
        <v/>
      </c>
      <c r="S522" s="117" t="str">
        <f>+IF($C522="","",ROUND((S521+I522)*(1+Parámetros!$D$91),2))</f>
        <v/>
      </c>
      <c r="T522" s="117" t="str">
        <f>+IF($C522="","",ROUND(S522*VLOOKUP(B522,Parámetros!$C$30:$D$39,2,TRUE),2))</f>
        <v/>
      </c>
      <c r="U522" s="117" t="str">
        <f>+IF($C522="","",ROUND((U521+I522)*(1+Parámetros!$D$92),2))</f>
        <v/>
      </c>
      <c r="V522" s="117" t="str">
        <f>+IF($C522="","",ROUND(U522*VLOOKUP(B522,Parámetros!$C$30:$D$39,2,TRUE),2))</f>
        <v/>
      </c>
      <c r="W522" s="57" t="str">
        <f t="shared" si="731"/>
        <v/>
      </c>
      <c r="X522" t="str">
        <f t="shared" si="732"/>
        <v/>
      </c>
      <c r="Y522" t="str">
        <f t="shared" si="733"/>
        <v/>
      </c>
      <c r="Z522" s="118" t="str">
        <f>+IF($W522="","",ROUND(IF(Parámetros!$D$25='TABLAS MORT'!$V$33,Z521,Parámetros!$D$21-'Tablas Servicio'!T521),0))</f>
        <v/>
      </c>
      <c r="AA522" s="118" t="str">
        <f t="shared" si="734"/>
        <v/>
      </c>
      <c r="AB522" s="119" t="str">
        <f>+IF(W522="","",ROUND((VLOOKUP(ROUNDDOWN($D522-1/frec,0),qx_tabla,2,FALSE)*(1+i/frec)^-0.5*(1+Parámetros!$D$103)*(1+rec_fracc)/frec),6))</f>
        <v/>
      </c>
      <c r="AC522" s="66" t="str">
        <f t="shared" si="690"/>
        <v/>
      </c>
      <c r="AD522" s="119" t="str">
        <f t="shared" si="686"/>
        <v/>
      </c>
      <c r="AE522" s="66" t="str">
        <f>+IF($W522="","",ROUND(IF($B522&gt;Parámetros!$D$107,'Tablas Servicio'!AC522+('Tablas Servicio'!AG521-'Tablas Servicio'!AC521),AC522/(1-IF(B522&lt;=10,Parámetros!$D$104,Parámetros!$D$105))),2))</f>
        <v/>
      </c>
      <c r="AF522" s="66" t="str">
        <f>+IF($W522="","",ROUND(IF($B522&gt;Parámetros!$D$107,'Tablas Servicio'!AC522+('Tablas Servicio'!AG521-'Tablas Servicio'!AC521),(AC522+$A521/frec)/(1-IF(B522&lt;=Parámetros!$D$117,Parámetros!$D$100,0))),2))</f>
        <v/>
      </c>
      <c r="AG522" s="66" t="str">
        <f t="shared" si="691"/>
        <v/>
      </c>
      <c r="AH522" s="66" t="str">
        <f t="shared" si="692"/>
        <v/>
      </c>
      <c r="AI522" s="66" t="str">
        <f t="shared" si="693"/>
        <v/>
      </c>
      <c r="AJ522" s="66" t="str">
        <f>+IF($W522="","",ROUND((AG522*Parámetros!$G$85),2))</f>
        <v/>
      </c>
      <c r="AK522" s="66" t="str">
        <f>+IF($W522="","",ROUND((AG522*(Parámetros!$G$86)),2))</f>
        <v/>
      </c>
      <c r="AL522" s="66" t="str">
        <f t="shared" si="687"/>
        <v/>
      </c>
      <c r="AM522" t="str">
        <f t="shared" si="735"/>
        <v/>
      </c>
      <c r="AN522" t="str">
        <f t="shared" si="736"/>
        <v/>
      </c>
      <c r="AO522" s="118" t="str">
        <f t="shared" si="737"/>
        <v/>
      </c>
      <c r="AP522" s="118" t="str">
        <f t="shared" si="738"/>
        <v/>
      </c>
      <c r="AQ522" s="119" t="str">
        <f>+IF(OR($W522="",AO522=0),"",ROUND((VLOOKUP(ROUNDDOWN($D522-1/frec,0),cob_adi,Z$40,FALSE)*(1+i/frec)^-0.5*(1+Parámetros!$D$103)*(1+rec_fracc)/frec),6))</f>
        <v/>
      </c>
      <c r="AR522" s="66" t="str">
        <f t="shared" si="694"/>
        <v/>
      </c>
      <c r="AS522" s="119" t="str">
        <f t="shared" si="695"/>
        <v/>
      </c>
      <c r="AT522" s="66" t="str">
        <f>+IF($W522="","",ROUND(IF($B522&gt;Parámetros!$D$107,'Tablas Servicio'!AR522+('Tablas Servicio'!AT521-'Tablas Servicio'!AR521),AR522/(1-IF(B522&lt;=10,Parámetros!$D$100,0))),2))</f>
        <v/>
      </c>
      <c r="AU522" s="66" t="str">
        <f t="shared" si="696"/>
        <v/>
      </c>
      <c r="AV522" s="66" t="str">
        <f t="shared" si="696"/>
        <v/>
      </c>
      <c r="AW522" s="66" t="str">
        <f>+IF($W522="","",ROUND((AT522*Parámetros!$G$85),2))</f>
        <v/>
      </c>
      <c r="AX522" s="66" t="str">
        <f>+IF($W522="","",ROUND((AT522*(Parámetros!$G$86)),2))</f>
        <v/>
      </c>
      <c r="AY522" s="66" t="str">
        <f t="shared" si="697"/>
        <v/>
      </c>
      <c r="AZ522" t="str">
        <f t="shared" si="739"/>
        <v/>
      </c>
      <c r="BA522" t="str">
        <f t="shared" si="740"/>
        <v/>
      </c>
      <c r="BB522" s="118" t="str">
        <f t="shared" si="741"/>
        <v/>
      </c>
      <c r="BC522" s="118" t="str">
        <f t="shared" si="742"/>
        <v/>
      </c>
      <c r="BD522" s="119" t="str">
        <f>+IF(OR($W522="",BB522=0),"",ROUND((VLOOKUP(ROUNDDOWN($D522-1/frec,0),cob_adi,AO$40,FALSE)*(1+i/frec)^-0.5*(1+Parámetros!$D$103)*(1+rec_fracc)/frec),6))</f>
        <v/>
      </c>
      <c r="BE522" s="66" t="str">
        <f t="shared" si="698"/>
        <v/>
      </c>
      <c r="BF522" s="119" t="str">
        <f t="shared" si="699"/>
        <v/>
      </c>
      <c r="BG522" s="66" t="str">
        <f>+IF($W522="","",ROUND(IF($B522&gt;Parámetros!$D$107,'Tablas Servicio'!BE522+('Tablas Servicio'!BG521-'Tablas Servicio'!BE521),BE522/(1-IF(B522&lt;=10,Parámetros!$D$100,0))),2))</f>
        <v/>
      </c>
      <c r="BH522" s="66" t="str">
        <f t="shared" si="700"/>
        <v/>
      </c>
      <c r="BI522" s="66" t="str">
        <f t="shared" si="701"/>
        <v/>
      </c>
      <c r="BJ522" s="66" t="str">
        <f>+IF($W522="","",ROUND((BG522*Parámetros!$G$85),2))</f>
        <v/>
      </c>
      <c r="BK522" s="66" t="str">
        <f>+IF($W522="","",ROUND((BG522*(Parámetros!$G$86)),2))</f>
        <v/>
      </c>
      <c r="BL522" s="66" t="str">
        <f t="shared" si="702"/>
        <v/>
      </c>
      <c r="BM522" t="str">
        <f t="shared" si="743"/>
        <v/>
      </c>
      <c r="BN522" t="str">
        <f t="shared" si="744"/>
        <v/>
      </c>
      <c r="BO522" s="118" t="str">
        <f t="shared" si="745"/>
        <v/>
      </c>
      <c r="BP522" s="118" t="str">
        <f t="shared" si="746"/>
        <v/>
      </c>
      <c r="BQ522" s="119" t="str">
        <f>+IF(OR($W522="",BO522=0),"",ROUND((VLOOKUP(ROUNDDOWN($D522-1/frec,0),cob_adi,BB$40,FALSE)*(1+i/frec)^-0.5*(1+Parámetros!$D$103)*(1+rec_fracc)/frec),6))</f>
        <v/>
      </c>
      <c r="BR522" s="66" t="str">
        <f t="shared" si="703"/>
        <v/>
      </c>
      <c r="BS522" s="119" t="str">
        <f t="shared" si="704"/>
        <v/>
      </c>
      <c r="BT522" s="66" t="str">
        <f>+IF($W522="","",ROUND(IF($B522&gt;Parámetros!$D$107,'Tablas Servicio'!BR522+('Tablas Servicio'!BT521-'Tablas Servicio'!BR521),BR522/(1-IF(B522&lt;=10,Parámetros!$D$100,0))),2))</f>
        <v/>
      </c>
      <c r="BU522" s="66" t="str">
        <f t="shared" si="705"/>
        <v/>
      </c>
      <c r="BV522" s="66" t="str">
        <f t="shared" si="705"/>
        <v/>
      </c>
      <c r="BW522" s="66" t="str">
        <f>+IF($W522="","",ROUND((BT522*Parámetros!$G$85),2))</f>
        <v/>
      </c>
      <c r="BX522" s="66" t="str">
        <f>+IF($W522="","",ROUND((BT522*(Parámetros!$G$86)),2))</f>
        <v/>
      </c>
      <c r="BY522" s="66" t="str">
        <f t="shared" si="706"/>
        <v/>
      </c>
      <c r="BZ522" t="str">
        <f t="shared" si="747"/>
        <v/>
      </c>
      <c r="CA522" t="str">
        <f t="shared" si="748"/>
        <v/>
      </c>
      <c r="CB522" s="118" t="str">
        <f t="shared" si="749"/>
        <v/>
      </c>
      <c r="CC522" s="118" t="str">
        <f t="shared" si="750"/>
        <v/>
      </c>
      <c r="CD522" s="119" t="str">
        <f t="shared" si="707"/>
        <v/>
      </c>
      <c r="CE522" s="66" t="str">
        <f>+IF($W522="","",ROUND((VLOOKUP(ROUNDDOWN($D522-1/frec,0),cob_adi,BO$40,FALSE)*(1+i/frec)^-0.5*(1+Parámetros!$D$103)*(1+rec_fracc)/frec*'TABLAS ADI'!$BC$17),2))</f>
        <v/>
      </c>
      <c r="CF522" s="119" t="str">
        <f t="shared" si="708"/>
        <v/>
      </c>
      <c r="CG522" s="66" t="str">
        <f>+IF($W522="","",ROUND(IF($B522&gt;Parámetros!$D$107,'Tablas Servicio'!CE522+('Tablas Servicio'!CG521-'Tablas Servicio'!CE521),CE522/(1-IF(B522&lt;=10,Parámetros!$D$100,0))),2))</f>
        <v/>
      </c>
      <c r="CH522" s="66" t="str">
        <f t="shared" si="709"/>
        <v/>
      </c>
      <c r="CI522" s="66" t="str">
        <f t="shared" si="709"/>
        <v/>
      </c>
      <c r="CJ522" s="66" t="str">
        <f>+IF($W522="","",ROUND((CG522*Parámetros!$G$85),2))</f>
        <v/>
      </c>
      <c r="CK522" s="66" t="str">
        <f>+IF($W522="","",ROUND((CG522*(Parámetros!$G$86)),2))</f>
        <v/>
      </c>
      <c r="CL522" s="66" t="str">
        <f t="shared" si="710"/>
        <v/>
      </c>
      <c r="CM522" t="str">
        <f t="shared" si="751"/>
        <v/>
      </c>
      <c r="CN522" s="118" t="str">
        <f t="shared" si="752"/>
        <v/>
      </c>
      <c r="CO522" s="118" t="str">
        <f t="shared" si="753"/>
        <v/>
      </c>
      <c r="CP522" s="118" t="str">
        <f t="shared" si="754"/>
        <v/>
      </c>
      <c r="CQ522" s="119" t="str">
        <f t="shared" si="711"/>
        <v/>
      </c>
      <c r="CR522" s="66" t="str">
        <f>+IF($W522="","",ROUND((VLOOKUP(Parámetros!$F$51,'COBERTURAS ADICIONALES'!$S$4:$T$32,2,FALSE)*(1+i/frec)^-0.5*(1+Parámetros!$D$103)*(1+rec_fracc)/frec*$CO$42),2))</f>
        <v/>
      </c>
      <c r="CS522" s="119" t="str">
        <f t="shared" si="712"/>
        <v/>
      </c>
      <c r="CT522" s="66" t="str">
        <f>+IF($W522="","",ROUND(IF($B522&gt;Parámetros!$D$107,'Tablas Servicio'!CR522+('Tablas Servicio'!CT521-'Tablas Servicio'!CR521),CR522/(1-IF(B522&lt;=10,Parámetros!$D$100,0))),2))</f>
        <v/>
      </c>
      <c r="CU522" s="66" t="str">
        <f t="shared" si="713"/>
        <v/>
      </c>
      <c r="CV522" s="66" t="str">
        <f t="shared" si="713"/>
        <v/>
      </c>
      <c r="CW522" s="66" t="str">
        <f>+IF($W522="","",ROUND((CT522*Parámetros!$G$85),2))</f>
        <v/>
      </c>
      <c r="CX522" s="66" t="str">
        <f>+IF($W522="","",ROUND((CT522*(Parámetros!$G$86)),2))</f>
        <v/>
      </c>
      <c r="CY522" s="66" t="str">
        <f t="shared" si="714"/>
        <v/>
      </c>
      <c r="CZ522" t="str">
        <f t="shared" si="755"/>
        <v/>
      </c>
      <c r="DA522" s="118" t="str">
        <f t="shared" si="756"/>
        <v/>
      </c>
      <c r="DB522" s="118" t="str">
        <f t="shared" si="757"/>
        <v/>
      </c>
      <c r="DC522" s="118" t="str">
        <f t="shared" si="758"/>
        <v/>
      </c>
      <c r="DD522" s="121" t="str">
        <f>+IF(OR($W522="",DB522=0),"",ROUND((VLOOKUP(ROUNDDOWN($D522-1/frec,0),cob_adi,CO$40,FALSE)*(1+i/frec)^-0.5*(1+Parámetros!$D$103)*(1+rec_fracc)/frec),6))</f>
        <v/>
      </c>
      <c r="DE522" s="66" t="str">
        <f t="shared" si="715"/>
        <v/>
      </c>
      <c r="DF522" s="119" t="str">
        <f t="shared" si="716"/>
        <v/>
      </c>
      <c r="DG522" s="66" t="str">
        <f>+IF($W522="","",ROUND(IF($B522&gt;Parámetros!$D$107,'Tablas Servicio'!DE522+('Tablas Servicio'!DG521-'Tablas Servicio'!DE521),DE522/(1-IF(B522&lt;=10,Parámetros!$D$100,0))),2))</f>
        <v/>
      </c>
      <c r="DH522" s="66" t="str">
        <f t="shared" si="717"/>
        <v/>
      </c>
      <c r="DI522" s="66" t="str">
        <f t="shared" si="717"/>
        <v/>
      </c>
      <c r="DJ522" s="66" t="str">
        <f>+IF($W522="","",ROUND((DG522*Parámetros!$G$85),2))</f>
        <v/>
      </c>
      <c r="DK522" s="66" t="str">
        <f>+IF($W522="","",ROUND((DG522*(Parámetros!$G$86)),2))</f>
        <v/>
      </c>
      <c r="DL522" s="66" t="str">
        <f t="shared" si="718"/>
        <v/>
      </c>
      <c r="DM522" t="str">
        <f t="shared" si="759"/>
        <v/>
      </c>
      <c r="DN522" s="118" t="str">
        <f t="shared" si="760"/>
        <v/>
      </c>
      <c r="DO522" s="118" t="str">
        <f t="shared" si="761"/>
        <v/>
      </c>
      <c r="DP522" s="118" t="str">
        <f t="shared" si="762"/>
        <v/>
      </c>
      <c r="DQ522" s="122" t="str">
        <f>+IF(OR($W522="",DO522=0),"",ROUND((VLOOKUP(ROUNDDOWN($D522-1/frec,0),cob_adi,DB$40,FALSE)*(1+i/frec)^-0.5*(1+Parámetros!$D$103)*(1+rec_fracc)/frec),6))</f>
        <v/>
      </c>
      <c r="DR522" s="66" t="str">
        <f t="shared" si="719"/>
        <v/>
      </c>
      <c r="DS522" s="68" t="str">
        <f t="shared" si="720"/>
        <v/>
      </c>
      <c r="DT522" s="66" t="str">
        <f>+IF($W522="","",ROUND(IF($B522&gt;Parámetros!$D$107,'Tablas Servicio'!DR522+('Tablas Servicio'!DT521-'Tablas Servicio'!DR521),DR522/(1-IF(B522&lt;=10,Parámetros!$D$100,0))),2))</f>
        <v/>
      </c>
      <c r="DU522" s="66" t="str">
        <f t="shared" si="721"/>
        <v/>
      </c>
      <c r="DV522" s="66" t="str">
        <f t="shared" si="721"/>
        <v/>
      </c>
      <c r="DW522" s="66" t="str">
        <f>+IF($W522="","",ROUND((DT522*Parámetros!$G$85),2))</f>
        <v/>
      </c>
      <c r="DX522" s="66" t="str">
        <f>+IF($W522="","",ROUND((DT522*(Parámetros!$G$86)),2))</f>
        <v/>
      </c>
      <c r="DY522" s="66" t="str">
        <f t="shared" si="722"/>
        <v/>
      </c>
      <c r="DZ522" t="str">
        <f t="shared" si="763"/>
        <v/>
      </c>
      <c r="EA522" s="118" t="str">
        <f t="shared" si="763"/>
        <v/>
      </c>
      <c r="EB522" s="118" t="str">
        <f>+IF($W522="","",ROUND(IF(Parámetros!$D$25='TABLAS MORT'!$V$33,EB521,Z522/2),0))</f>
        <v/>
      </c>
      <c r="EC522" s="118" t="str">
        <f t="shared" si="763"/>
        <v/>
      </c>
      <c r="ED522" s="122" t="str">
        <f>+IF(OR($W522="",EB522=0),"",ROUND((VLOOKUP(ROUNDDOWN($D522-1/frec,0),cob_adi,DO$40,FALSE)*(1+i/frec)^-0.5*(1+Parámetros!$D$103)*(1+rec_fracc)/frec),6))</f>
        <v/>
      </c>
      <c r="EE522" s="66" t="str">
        <f t="shared" si="724"/>
        <v/>
      </c>
      <c r="EF522" s="68" t="str">
        <f t="shared" si="725"/>
        <v/>
      </c>
      <c r="EG522" s="66" t="str">
        <f>+IF($W522="","",ROUND(IF($B522&gt;Parámetros!$D$107,'Tablas Servicio'!EE522+('Tablas Servicio'!EG521-'Tablas Servicio'!EE521),EE522/(1-IF(B522&lt;=10,Parámetros!$D$100,0))),2))</f>
        <v/>
      </c>
      <c r="EH522" s="66" t="str">
        <f t="shared" si="726"/>
        <v/>
      </c>
      <c r="EI522" s="66" t="str">
        <f t="shared" si="726"/>
        <v/>
      </c>
      <c r="EJ522" s="66" t="str">
        <f>+IF($W522="","",ROUND((EG522*Parámetros!$G$85),2))</f>
        <v/>
      </c>
      <c r="EK522" s="66" t="str">
        <f>+IF($W522="","",ROUND((EG522*(Parámetros!$G$86)),2))</f>
        <v/>
      </c>
      <c r="EL522" s="66" t="str">
        <f t="shared" si="727"/>
        <v/>
      </c>
    </row>
    <row r="523" spans="1:142" x14ac:dyDescent="0.25">
      <c r="A523" t="str">
        <f>+IF($C523="","",ROUND(VLOOKUP('Tablas Servicio'!B523,Parámetros!$H$100:$J$159,IF(Parámetros!$E$16="F",2,3),FALSE),2))</f>
        <v/>
      </c>
      <c r="B523" t="str">
        <f t="shared" si="678"/>
        <v/>
      </c>
      <c r="C523" s="57" t="str">
        <f>+IF(D523="","",'Tablas Servicio'!C522+1)</f>
        <v/>
      </c>
      <c r="D523" s="56" t="str">
        <f>+IF(D522&lt;edadmaxtabla,D522+1/Parámetros!$E$25,"")</f>
        <v/>
      </c>
      <c r="E523" s="57" t="str">
        <f t="shared" si="688"/>
        <v/>
      </c>
      <c r="F523" s="59" t="str">
        <f t="shared" si="689"/>
        <v/>
      </c>
      <c r="G523" s="66" t="str">
        <f t="shared" si="679"/>
        <v/>
      </c>
      <c r="H523" s="66" t="str">
        <f t="shared" si="680"/>
        <v/>
      </c>
      <c r="I523" s="66" t="str">
        <f t="shared" si="728"/>
        <v/>
      </c>
      <c r="J523" s="66" t="str">
        <f t="shared" si="681"/>
        <v/>
      </c>
      <c r="K523" s="66" t="str">
        <f t="shared" si="682"/>
        <v/>
      </c>
      <c r="L523" s="66" t="str">
        <f t="shared" si="683"/>
        <v/>
      </c>
      <c r="M523" s="66" t="str">
        <f t="shared" si="684"/>
        <v/>
      </c>
      <c r="N523" s="66" t="str">
        <f>+IF(C523="","",ROUND(Parámetros!$D$23,2))</f>
        <v/>
      </c>
      <c r="O523" s="66" t="str">
        <f t="shared" si="685"/>
        <v/>
      </c>
      <c r="P523" s="66" t="str">
        <f>+IF($C523="","",ROUND(IF(B523&gt;Parámetros!$D$117,0,N523*Parámetros!$D$116-G523*Parámetros!$D$100),2))</f>
        <v/>
      </c>
      <c r="Q523" s="75" t="str">
        <f t="shared" si="729"/>
        <v/>
      </c>
      <c r="R523" s="75" t="str">
        <f t="shared" si="730"/>
        <v/>
      </c>
      <c r="S523" s="117" t="str">
        <f>+IF($C523="","",ROUND((S522+I523)*(1+Parámetros!$D$91),2))</f>
        <v/>
      </c>
      <c r="T523" s="117" t="str">
        <f>+IF($C523="","",ROUND(S523*VLOOKUP(B523,Parámetros!$C$30:$D$39,2,TRUE),2))</f>
        <v/>
      </c>
      <c r="U523" s="117" t="str">
        <f>+IF($C523="","",ROUND((U522+I523)*(1+Parámetros!$D$92),2))</f>
        <v/>
      </c>
      <c r="V523" s="117" t="str">
        <f>+IF($C523="","",ROUND(U523*VLOOKUP(B523,Parámetros!$C$30:$D$39,2,TRUE),2))</f>
        <v/>
      </c>
      <c r="W523" s="57" t="str">
        <f t="shared" si="731"/>
        <v/>
      </c>
      <c r="X523" t="str">
        <f t="shared" si="732"/>
        <v/>
      </c>
      <c r="Y523" t="str">
        <f t="shared" si="733"/>
        <v/>
      </c>
      <c r="Z523" s="118" t="str">
        <f>+IF($W523="","",ROUND(IF(Parámetros!$D$25='TABLAS MORT'!$V$33,Z522,Parámetros!$D$21-'Tablas Servicio'!T522),0))</f>
        <v/>
      </c>
      <c r="AA523" s="118" t="str">
        <f t="shared" si="734"/>
        <v/>
      </c>
      <c r="AB523" s="119" t="str">
        <f>+IF(W523="","",ROUND((VLOOKUP(ROUNDDOWN($D523-1/frec,0),qx_tabla,2,FALSE)*(1+i/frec)^-0.5*(1+Parámetros!$D$103)*(1+rec_fracc)/frec),6))</f>
        <v/>
      </c>
      <c r="AC523" s="66" t="str">
        <f t="shared" si="690"/>
        <v/>
      </c>
      <c r="AD523" s="119" t="str">
        <f t="shared" si="686"/>
        <v/>
      </c>
      <c r="AE523" s="66" t="str">
        <f>+IF($W523="","",ROUND(IF($B523&gt;Parámetros!$D$107,'Tablas Servicio'!AC523+('Tablas Servicio'!AG522-'Tablas Servicio'!AC522),AC523/(1-IF(B523&lt;=10,Parámetros!$D$104,Parámetros!$D$105))),2))</f>
        <v/>
      </c>
      <c r="AF523" s="66" t="str">
        <f>+IF($W523="","",ROUND(IF($B523&gt;Parámetros!$D$107,'Tablas Servicio'!AC523+('Tablas Servicio'!AG522-'Tablas Servicio'!AC522),(AC523+$A522/frec)/(1-IF(B523&lt;=Parámetros!$D$117,Parámetros!$D$100,0))),2))</f>
        <v/>
      </c>
      <c r="AG523" s="66" t="str">
        <f t="shared" si="691"/>
        <v/>
      </c>
      <c r="AH523" s="66" t="str">
        <f t="shared" si="692"/>
        <v/>
      </c>
      <c r="AI523" s="66" t="str">
        <f t="shared" si="693"/>
        <v/>
      </c>
      <c r="AJ523" s="66" t="str">
        <f>+IF($W523="","",ROUND((AG523*Parámetros!$G$85),2))</f>
        <v/>
      </c>
      <c r="AK523" s="66" t="str">
        <f>+IF($W523="","",ROUND((AG523*(Parámetros!$G$86)),2))</f>
        <v/>
      </c>
      <c r="AL523" s="66" t="str">
        <f t="shared" si="687"/>
        <v/>
      </c>
      <c r="AM523" t="str">
        <f t="shared" si="735"/>
        <v/>
      </c>
      <c r="AN523" t="str">
        <f t="shared" si="736"/>
        <v/>
      </c>
      <c r="AO523" s="118" t="str">
        <f t="shared" si="737"/>
        <v/>
      </c>
      <c r="AP523" s="118" t="str">
        <f t="shared" si="738"/>
        <v/>
      </c>
      <c r="AQ523" s="119" t="str">
        <f>+IF(OR($W523="",AO523=0),"",ROUND((VLOOKUP(ROUNDDOWN($D523-1/frec,0),cob_adi,Z$40,FALSE)*(1+i/frec)^-0.5*(1+Parámetros!$D$103)*(1+rec_fracc)/frec),6))</f>
        <v/>
      </c>
      <c r="AR523" s="66" t="str">
        <f t="shared" si="694"/>
        <v/>
      </c>
      <c r="AS523" s="119" t="str">
        <f t="shared" si="695"/>
        <v/>
      </c>
      <c r="AT523" s="66" t="str">
        <f>+IF($W523="","",ROUND(IF($B523&gt;Parámetros!$D$107,'Tablas Servicio'!AR523+('Tablas Servicio'!AT522-'Tablas Servicio'!AR522),AR523/(1-IF(B523&lt;=10,Parámetros!$D$100,0))),2))</f>
        <v/>
      </c>
      <c r="AU523" s="66" t="str">
        <f t="shared" si="696"/>
        <v/>
      </c>
      <c r="AV523" s="66" t="str">
        <f t="shared" si="696"/>
        <v/>
      </c>
      <c r="AW523" s="66" t="str">
        <f>+IF($W523="","",ROUND((AT523*Parámetros!$G$85),2))</f>
        <v/>
      </c>
      <c r="AX523" s="66" t="str">
        <f>+IF($W523="","",ROUND((AT523*(Parámetros!$G$86)),2))</f>
        <v/>
      </c>
      <c r="AY523" s="66" t="str">
        <f t="shared" si="697"/>
        <v/>
      </c>
      <c r="AZ523" t="str">
        <f t="shared" si="739"/>
        <v/>
      </c>
      <c r="BA523" t="str">
        <f t="shared" si="740"/>
        <v/>
      </c>
      <c r="BB523" s="118" t="str">
        <f t="shared" si="741"/>
        <v/>
      </c>
      <c r="BC523" s="118" t="str">
        <f t="shared" si="742"/>
        <v/>
      </c>
      <c r="BD523" s="119" t="str">
        <f>+IF(OR($W523="",BB523=0),"",ROUND((VLOOKUP(ROUNDDOWN($D523-1/frec,0),cob_adi,AO$40,FALSE)*(1+i/frec)^-0.5*(1+Parámetros!$D$103)*(1+rec_fracc)/frec),6))</f>
        <v/>
      </c>
      <c r="BE523" s="66" t="str">
        <f t="shared" si="698"/>
        <v/>
      </c>
      <c r="BF523" s="119" t="str">
        <f t="shared" si="699"/>
        <v/>
      </c>
      <c r="BG523" s="66" t="str">
        <f>+IF($W523="","",ROUND(IF($B523&gt;Parámetros!$D$107,'Tablas Servicio'!BE523+('Tablas Servicio'!BG522-'Tablas Servicio'!BE522),BE523/(1-IF(B523&lt;=10,Parámetros!$D$100,0))),2))</f>
        <v/>
      </c>
      <c r="BH523" s="66" t="str">
        <f t="shared" si="700"/>
        <v/>
      </c>
      <c r="BI523" s="66" t="str">
        <f t="shared" si="701"/>
        <v/>
      </c>
      <c r="BJ523" s="66" t="str">
        <f>+IF($W523="","",ROUND((BG523*Parámetros!$G$85),2))</f>
        <v/>
      </c>
      <c r="BK523" s="66" t="str">
        <f>+IF($W523="","",ROUND((BG523*(Parámetros!$G$86)),2))</f>
        <v/>
      </c>
      <c r="BL523" s="66" t="str">
        <f t="shared" si="702"/>
        <v/>
      </c>
      <c r="BM523" t="str">
        <f t="shared" si="743"/>
        <v/>
      </c>
      <c r="BN523" t="str">
        <f t="shared" si="744"/>
        <v/>
      </c>
      <c r="BO523" s="118" t="str">
        <f t="shared" si="745"/>
        <v/>
      </c>
      <c r="BP523" s="118" t="str">
        <f t="shared" si="746"/>
        <v/>
      </c>
      <c r="BQ523" s="119" t="str">
        <f>+IF(OR($W523="",BO523=0),"",ROUND((VLOOKUP(ROUNDDOWN($D523-1/frec,0),cob_adi,BB$40,FALSE)*(1+i/frec)^-0.5*(1+Parámetros!$D$103)*(1+rec_fracc)/frec),6))</f>
        <v/>
      </c>
      <c r="BR523" s="66" t="str">
        <f t="shared" si="703"/>
        <v/>
      </c>
      <c r="BS523" s="119" t="str">
        <f t="shared" si="704"/>
        <v/>
      </c>
      <c r="BT523" s="66" t="str">
        <f>+IF($W523="","",ROUND(IF($B523&gt;Parámetros!$D$107,'Tablas Servicio'!BR523+('Tablas Servicio'!BT522-'Tablas Servicio'!BR522),BR523/(1-IF(B523&lt;=10,Parámetros!$D$100,0))),2))</f>
        <v/>
      </c>
      <c r="BU523" s="66" t="str">
        <f t="shared" si="705"/>
        <v/>
      </c>
      <c r="BV523" s="66" t="str">
        <f t="shared" si="705"/>
        <v/>
      </c>
      <c r="BW523" s="66" t="str">
        <f>+IF($W523="","",ROUND((BT523*Parámetros!$G$85),2))</f>
        <v/>
      </c>
      <c r="BX523" s="66" t="str">
        <f>+IF($W523="","",ROUND((BT523*(Parámetros!$G$86)),2))</f>
        <v/>
      </c>
      <c r="BY523" s="66" t="str">
        <f t="shared" si="706"/>
        <v/>
      </c>
      <c r="BZ523" t="str">
        <f t="shared" si="747"/>
        <v/>
      </c>
      <c r="CA523" t="str">
        <f t="shared" si="748"/>
        <v/>
      </c>
      <c r="CB523" s="118" t="str">
        <f t="shared" si="749"/>
        <v/>
      </c>
      <c r="CC523" s="118" t="str">
        <f t="shared" si="750"/>
        <v/>
      </c>
      <c r="CD523" s="119" t="str">
        <f t="shared" si="707"/>
        <v/>
      </c>
      <c r="CE523" s="66" t="str">
        <f>+IF($W523="","",ROUND((VLOOKUP(ROUNDDOWN($D523-1/frec,0),cob_adi,BO$40,FALSE)*(1+i/frec)^-0.5*(1+Parámetros!$D$103)*(1+rec_fracc)/frec*'TABLAS ADI'!$BC$17),2))</f>
        <v/>
      </c>
      <c r="CF523" s="119" t="str">
        <f t="shared" si="708"/>
        <v/>
      </c>
      <c r="CG523" s="66" t="str">
        <f>+IF($W523="","",ROUND(IF($B523&gt;Parámetros!$D$107,'Tablas Servicio'!CE523+('Tablas Servicio'!CG522-'Tablas Servicio'!CE522),CE523/(1-IF(B523&lt;=10,Parámetros!$D$100,0))),2))</f>
        <v/>
      </c>
      <c r="CH523" s="66" t="str">
        <f t="shared" si="709"/>
        <v/>
      </c>
      <c r="CI523" s="66" t="str">
        <f t="shared" si="709"/>
        <v/>
      </c>
      <c r="CJ523" s="66" t="str">
        <f>+IF($W523="","",ROUND((CG523*Parámetros!$G$85),2))</f>
        <v/>
      </c>
      <c r="CK523" s="66" t="str">
        <f>+IF($W523="","",ROUND((CG523*(Parámetros!$G$86)),2))</f>
        <v/>
      </c>
      <c r="CL523" s="66" t="str">
        <f t="shared" si="710"/>
        <v/>
      </c>
      <c r="CM523" t="str">
        <f t="shared" si="751"/>
        <v/>
      </c>
      <c r="CN523" s="118" t="str">
        <f t="shared" si="752"/>
        <v/>
      </c>
      <c r="CO523" s="118" t="str">
        <f t="shared" si="753"/>
        <v/>
      </c>
      <c r="CP523" s="118" t="str">
        <f t="shared" si="754"/>
        <v/>
      </c>
      <c r="CQ523" s="119" t="str">
        <f t="shared" si="711"/>
        <v/>
      </c>
      <c r="CR523" s="66" t="str">
        <f>+IF($W523="","",ROUND((VLOOKUP(Parámetros!$F$51,'COBERTURAS ADICIONALES'!$S$4:$T$32,2,FALSE)*(1+i/frec)^-0.5*(1+Parámetros!$D$103)*(1+rec_fracc)/frec*$CO$42),2))</f>
        <v/>
      </c>
      <c r="CS523" s="119" t="str">
        <f t="shared" si="712"/>
        <v/>
      </c>
      <c r="CT523" s="66" t="str">
        <f>+IF($W523="","",ROUND(IF($B523&gt;Parámetros!$D$107,'Tablas Servicio'!CR523+('Tablas Servicio'!CT522-'Tablas Servicio'!CR522),CR523/(1-IF(B523&lt;=10,Parámetros!$D$100,0))),2))</f>
        <v/>
      </c>
      <c r="CU523" s="66" t="str">
        <f t="shared" si="713"/>
        <v/>
      </c>
      <c r="CV523" s="66" t="str">
        <f t="shared" si="713"/>
        <v/>
      </c>
      <c r="CW523" s="66" t="str">
        <f>+IF($W523="","",ROUND((CT523*Parámetros!$G$85),2))</f>
        <v/>
      </c>
      <c r="CX523" s="66" t="str">
        <f>+IF($W523="","",ROUND((CT523*(Parámetros!$G$86)),2))</f>
        <v/>
      </c>
      <c r="CY523" s="66" t="str">
        <f t="shared" si="714"/>
        <v/>
      </c>
      <c r="CZ523" t="str">
        <f t="shared" si="755"/>
        <v/>
      </c>
      <c r="DA523" s="118" t="str">
        <f t="shared" si="756"/>
        <v/>
      </c>
      <c r="DB523" s="118" t="str">
        <f t="shared" si="757"/>
        <v/>
      </c>
      <c r="DC523" s="118" t="str">
        <f t="shared" si="758"/>
        <v/>
      </c>
      <c r="DD523" s="121" t="str">
        <f>+IF(OR($W523="",DB523=0),"",ROUND((VLOOKUP(ROUNDDOWN($D523-1/frec,0),cob_adi,CO$40,FALSE)*(1+i/frec)^-0.5*(1+Parámetros!$D$103)*(1+rec_fracc)/frec),6))</f>
        <v/>
      </c>
      <c r="DE523" s="66" t="str">
        <f t="shared" si="715"/>
        <v/>
      </c>
      <c r="DF523" s="119" t="str">
        <f t="shared" si="716"/>
        <v/>
      </c>
      <c r="DG523" s="66" t="str">
        <f>+IF($W523="","",ROUND(IF($B523&gt;Parámetros!$D$107,'Tablas Servicio'!DE523+('Tablas Servicio'!DG522-'Tablas Servicio'!DE522),DE523/(1-IF(B523&lt;=10,Parámetros!$D$100,0))),2))</f>
        <v/>
      </c>
      <c r="DH523" s="66" t="str">
        <f t="shared" si="717"/>
        <v/>
      </c>
      <c r="DI523" s="66" t="str">
        <f t="shared" si="717"/>
        <v/>
      </c>
      <c r="DJ523" s="66" t="str">
        <f>+IF($W523="","",ROUND((DG523*Parámetros!$G$85),2))</f>
        <v/>
      </c>
      <c r="DK523" s="66" t="str">
        <f>+IF($W523="","",ROUND((DG523*(Parámetros!$G$86)),2))</f>
        <v/>
      </c>
      <c r="DL523" s="66" t="str">
        <f t="shared" si="718"/>
        <v/>
      </c>
      <c r="DM523" t="str">
        <f t="shared" si="759"/>
        <v/>
      </c>
      <c r="DN523" s="118" t="str">
        <f t="shared" si="760"/>
        <v/>
      </c>
      <c r="DO523" s="118" t="str">
        <f t="shared" si="761"/>
        <v/>
      </c>
      <c r="DP523" s="118" t="str">
        <f t="shared" si="762"/>
        <v/>
      </c>
      <c r="DQ523" s="122" t="str">
        <f>+IF(OR($W523="",DO523=0),"",ROUND((VLOOKUP(ROUNDDOWN($D523-1/frec,0),cob_adi,DB$40,FALSE)*(1+i/frec)^-0.5*(1+Parámetros!$D$103)*(1+rec_fracc)/frec),6))</f>
        <v/>
      </c>
      <c r="DR523" s="66" t="str">
        <f t="shared" si="719"/>
        <v/>
      </c>
      <c r="DS523" s="68" t="str">
        <f t="shared" si="720"/>
        <v/>
      </c>
      <c r="DT523" s="66" t="str">
        <f>+IF($W523="","",ROUND(IF($B523&gt;Parámetros!$D$107,'Tablas Servicio'!DR523+('Tablas Servicio'!DT522-'Tablas Servicio'!DR522),DR523/(1-IF(B523&lt;=10,Parámetros!$D$100,0))),2))</f>
        <v/>
      </c>
      <c r="DU523" s="66" t="str">
        <f t="shared" si="721"/>
        <v/>
      </c>
      <c r="DV523" s="66" t="str">
        <f t="shared" si="721"/>
        <v/>
      </c>
      <c r="DW523" s="66" t="str">
        <f>+IF($W523="","",ROUND((DT523*Parámetros!$G$85),2))</f>
        <v/>
      </c>
      <c r="DX523" s="66" t="str">
        <f>+IF($W523="","",ROUND((DT523*(Parámetros!$G$86)),2))</f>
        <v/>
      </c>
      <c r="DY523" s="66" t="str">
        <f t="shared" si="722"/>
        <v/>
      </c>
      <c r="DZ523" t="str">
        <f t="shared" ref="DZ523:EC538" si="764">+IF($W523="","",DZ522)</f>
        <v/>
      </c>
      <c r="EA523" s="118" t="str">
        <f t="shared" si="764"/>
        <v/>
      </c>
      <c r="EB523" s="118" t="str">
        <f>+IF($W523="","",ROUND(IF(Parámetros!$D$25='TABLAS MORT'!$V$33,EB522,Z523/2),0))</f>
        <v/>
      </c>
      <c r="EC523" s="118" t="str">
        <f t="shared" si="764"/>
        <v/>
      </c>
      <c r="ED523" s="122" t="str">
        <f>+IF(OR($W523="",EB523=0),"",ROUND((VLOOKUP(ROUNDDOWN($D523-1/frec,0),cob_adi,DO$40,FALSE)*(1+i/frec)^-0.5*(1+Parámetros!$D$103)*(1+rec_fracc)/frec),6))</f>
        <v/>
      </c>
      <c r="EE523" s="66" t="str">
        <f t="shared" si="724"/>
        <v/>
      </c>
      <c r="EF523" s="68" t="str">
        <f t="shared" si="725"/>
        <v/>
      </c>
      <c r="EG523" s="66" t="str">
        <f>+IF($W523="","",ROUND(IF($B523&gt;Parámetros!$D$107,'Tablas Servicio'!EE523+('Tablas Servicio'!EG522-'Tablas Servicio'!EE522),EE523/(1-IF(B523&lt;=10,Parámetros!$D$100,0))),2))</f>
        <v/>
      </c>
      <c r="EH523" s="66" t="str">
        <f t="shared" si="726"/>
        <v/>
      </c>
      <c r="EI523" s="66" t="str">
        <f t="shared" si="726"/>
        <v/>
      </c>
      <c r="EJ523" s="66" t="str">
        <f>+IF($W523="","",ROUND((EG523*Parámetros!$G$85),2))</f>
        <v/>
      </c>
      <c r="EK523" s="66" t="str">
        <f>+IF($W523="","",ROUND((EG523*(Parámetros!$G$86)),2))</f>
        <v/>
      </c>
      <c r="EL523" s="66" t="str">
        <f t="shared" si="727"/>
        <v/>
      </c>
    </row>
    <row r="524" spans="1:142" x14ac:dyDescent="0.25">
      <c r="A524" t="str">
        <f>+IF($C524="","",ROUND(VLOOKUP('Tablas Servicio'!B524,Parámetros!$H$100:$J$159,IF(Parámetros!$E$16="F",2,3),FALSE),2))</f>
        <v/>
      </c>
      <c r="B524" t="str">
        <f t="shared" si="678"/>
        <v/>
      </c>
      <c r="C524" s="57" t="str">
        <f>+IF(D524="","",'Tablas Servicio'!C523+1)</f>
        <v/>
      </c>
      <c r="D524" s="56" t="str">
        <f>+IF(D523&lt;edadmaxtabla,D523+1/Parámetros!$E$25,"")</f>
        <v/>
      </c>
      <c r="E524" s="57" t="str">
        <f t="shared" si="688"/>
        <v/>
      </c>
      <c r="F524" s="59" t="str">
        <f t="shared" si="689"/>
        <v/>
      </c>
      <c r="G524" s="66" t="str">
        <f t="shared" si="679"/>
        <v/>
      </c>
      <c r="H524" s="66" t="str">
        <f t="shared" si="680"/>
        <v/>
      </c>
      <c r="I524" s="66" t="str">
        <f t="shared" si="728"/>
        <v/>
      </c>
      <c r="J524" s="66" t="str">
        <f t="shared" si="681"/>
        <v/>
      </c>
      <c r="K524" s="66" t="str">
        <f t="shared" si="682"/>
        <v/>
      </c>
      <c r="L524" s="66" t="str">
        <f t="shared" si="683"/>
        <v/>
      </c>
      <c r="M524" s="66" t="str">
        <f t="shared" si="684"/>
        <v/>
      </c>
      <c r="N524" s="66" t="str">
        <f>+IF(C524="","",ROUND(Parámetros!$D$23,2))</f>
        <v/>
      </c>
      <c r="O524" s="66" t="str">
        <f t="shared" si="685"/>
        <v/>
      </c>
      <c r="P524" s="66" t="str">
        <f>+IF($C524="","",ROUND(IF(B524&gt;Parámetros!$D$117,0,N524*Parámetros!$D$116-G524*Parámetros!$D$100),2))</f>
        <v/>
      </c>
      <c r="Q524" s="75" t="str">
        <f t="shared" si="729"/>
        <v/>
      </c>
      <c r="R524" s="75" t="str">
        <f t="shared" si="730"/>
        <v/>
      </c>
      <c r="S524" s="117" t="str">
        <f>+IF($C524="","",ROUND((S523+I524)*(1+Parámetros!$D$91),2))</f>
        <v/>
      </c>
      <c r="T524" s="117" t="str">
        <f>+IF($C524="","",ROUND(S524*VLOOKUP(B524,Parámetros!$C$30:$D$39,2,TRUE),2))</f>
        <v/>
      </c>
      <c r="U524" s="117" t="str">
        <f>+IF($C524="","",ROUND((U523+I524)*(1+Parámetros!$D$92),2))</f>
        <v/>
      </c>
      <c r="V524" s="117" t="str">
        <f>+IF($C524="","",ROUND(U524*VLOOKUP(B524,Parámetros!$C$30:$D$39,2,TRUE),2))</f>
        <v/>
      </c>
      <c r="W524" s="57" t="str">
        <f t="shared" si="731"/>
        <v/>
      </c>
      <c r="X524" t="str">
        <f t="shared" si="732"/>
        <v/>
      </c>
      <c r="Y524" t="str">
        <f t="shared" si="733"/>
        <v/>
      </c>
      <c r="Z524" s="118" t="str">
        <f>+IF($W524="","",ROUND(IF(Parámetros!$D$25='TABLAS MORT'!$V$33,Z523,Parámetros!$D$21-'Tablas Servicio'!T523),0))</f>
        <v/>
      </c>
      <c r="AA524" s="118" t="str">
        <f t="shared" si="734"/>
        <v/>
      </c>
      <c r="AB524" s="119" t="str">
        <f>+IF(W524="","",ROUND((VLOOKUP(ROUNDDOWN($D524-1/frec,0),qx_tabla,2,FALSE)*(1+i/frec)^-0.5*(1+Parámetros!$D$103)*(1+rec_fracc)/frec),6))</f>
        <v/>
      </c>
      <c r="AC524" s="66" t="str">
        <f t="shared" si="690"/>
        <v/>
      </c>
      <c r="AD524" s="119" t="str">
        <f t="shared" si="686"/>
        <v/>
      </c>
      <c r="AE524" s="66" t="str">
        <f>+IF($W524="","",ROUND(IF($B524&gt;Parámetros!$D$107,'Tablas Servicio'!AC524+('Tablas Servicio'!AG523-'Tablas Servicio'!AC523),AC524/(1-IF(B524&lt;=10,Parámetros!$D$104,Parámetros!$D$105))),2))</f>
        <v/>
      </c>
      <c r="AF524" s="66" t="str">
        <f>+IF($W524="","",ROUND(IF($B524&gt;Parámetros!$D$107,'Tablas Servicio'!AC524+('Tablas Servicio'!AG523-'Tablas Servicio'!AC523),(AC524+$A523/frec)/(1-IF(B524&lt;=Parámetros!$D$117,Parámetros!$D$100,0))),2))</f>
        <v/>
      </c>
      <c r="AG524" s="66" t="str">
        <f t="shared" si="691"/>
        <v/>
      </c>
      <c r="AH524" s="66" t="str">
        <f t="shared" si="692"/>
        <v/>
      </c>
      <c r="AI524" s="66" t="str">
        <f t="shared" si="693"/>
        <v/>
      </c>
      <c r="AJ524" s="66" t="str">
        <f>+IF($W524="","",ROUND((AG524*Parámetros!$G$85),2))</f>
        <v/>
      </c>
      <c r="AK524" s="66" t="str">
        <f>+IF($W524="","",ROUND((AG524*(Parámetros!$G$86)),2))</f>
        <v/>
      </c>
      <c r="AL524" s="66" t="str">
        <f t="shared" si="687"/>
        <v/>
      </c>
      <c r="AM524" t="str">
        <f t="shared" si="735"/>
        <v/>
      </c>
      <c r="AN524" t="str">
        <f t="shared" si="736"/>
        <v/>
      </c>
      <c r="AO524" s="118" t="str">
        <f t="shared" si="737"/>
        <v/>
      </c>
      <c r="AP524" s="118" t="str">
        <f t="shared" si="738"/>
        <v/>
      </c>
      <c r="AQ524" s="119" t="str">
        <f>+IF(OR($W524="",AO524=0),"",ROUND((VLOOKUP(ROUNDDOWN($D524-1/frec,0),cob_adi,Z$40,FALSE)*(1+i/frec)^-0.5*(1+Parámetros!$D$103)*(1+rec_fracc)/frec),6))</f>
        <v/>
      </c>
      <c r="AR524" s="66" t="str">
        <f t="shared" si="694"/>
        <v/>
      </c>
      <c r="AS524" s="119" t="str">
        <f t="shared" si="695"/>
        <v/>
      </c>
      <c r="AT524" s="66" t="str">
        <f>+IF($W524="","",ROUND(IF($B524&gt;Parámetros!$D$107,'Tablas Servicio'!AR524+('Tablas Servicio'!AT523-'Tablas Servicio'!AR523),AR524/(1-IF(B524&lt;=10,Parámetros!$D$100,0))),2))</f>
        <v/>
      </c>
      <c r="AU524" s="66" t="str">
        <f t="shared" si="696"/>
        <v/>
      </c>
      <c r="AV524" s="66" t="str">
        <f t="shared" si="696"/>
        <v/>
      </c>
      <c r="AW524" s="66" t="str">
        <f>+IF($W524="","",ROUND((AT524*Parámetros!$G$85),2))</f>
        <v/>
      </c>
      <c r="AX524" s="66" t="str">
        <f>+IF($W524="","",ROUND((AT524*(Parámetros!$G$86)),2))</f>
        <v/>
      </c>
      <c r="AY524" s="66" t="str">
        <f t="shared" si="697"/>
        <v/>
      </c>
      <c r="AZ524" t="str">
        <f t="shared" si="739"/>
        <v/>
      </c>
      <c r="BA524" t="str">
        <f t="shared" si="740"/>
        <v/>
      </c>
      <c r="BB524" s="118" t="str">
        <f t="shared" si="741"/>
        <v/>
      </c>
      <c r="BC524" s="118" t="str">
        <f t="shared" si="742"/>
        <v/>
      </c>
      <c r="BD524" s="119" t="str">
        <f>+IF(OR($W524="",BB524=0),"",ROUND((VLOOKUP(ROUNDDOWN($D524-1/frec,0),cob_adi,AO$40,FALSE)*(1+i/frec)^-0.5*(1+Parámetros!$D$103)*(1+rec_fracc)/frec),6))</f>
        <v/>
      </c>
      <c r="BE524" s="66" t="str">
        <f t="shared" si="698"/>
        <v/>
      </c>
      <c r="BF524" s="119" t="str">
        <f t="shared" si="699"/>
        <v/>
      </c>
      <c r="BG524" s="66" t="str">
        <f>+IF($W524="","",ROUND(IF($B524&gt;Parámetros!$D$107,'Tablas Servicio'!BE524+('Tablas Servicio'!BG523-'Tablas Servicio'!BE523),BE524/(1-IF(B524&lt;=10,Parámetros!$D$100,0))),2))</f>
        <v/>
      </c>
      <c r="BH524" s="66" t="str">
        <f t="shared" si="700"/>
        <v/>
      </c>
      <c r="BI524" s="66" t="str">
        <f t="shared" si="701"/>
        <v/>
      </c>
      <c r="BJ524" s="66" t="str">
        <f>+IF($W524="","",ROUND((BG524*Parámetros!$G$85),2))</f>
        <v/>
      </c>
      <c r="BK524" s="66" t="str">
        <f>+IF($W524="","",ROUND((BG524*(Parámetros!$G$86)),2))</f>
        <v/>
      </c>
      <c r="BL524" s="66" t="str">
        <f t="shared" si="702"/>
        <v/>
      </c>
      <c r="BM524" t="str">
        <f t="shared" si="743"/>
        <v/>
      </c>
      <c r="BN524" t="str">
        <f t="shared" si="744"/>
        <v/>
      </c>
      <c r="BO524" s="118" t="str">
        <f t="shared" si="745"/>
        <v/>
      </c>
      <c r="BP524" s="118" t="str">
        <f t="shared" si="746"/>
        <v/>
      </c>
      <c r="BQ524" s="119" t="str">
        <f>+IF(OR($W524="",BO524=0),"",ROUND((VLOOKUP(ROUNDDOWN($D524-1/frec,0),cob_adi,BB$40,FALSE)*(1+i/frec)^-0.5*(1+Parámetros!$D$103)*(1+rec_fracc)/frec),6))</f>
        <v/>
      </c>
      <c r="BR524" s="66" t="str">
        <f t="shared" si="703"/>
        <v/>
      </c>
      <c r="BS524" s="119" t="str">
        <f t="shared" si="704"/>
        <v/>
      </c>
      <c r="BT524" s="66" t="str">
        <f>+IF($W524="","",ROUND(IF($B524&gt;Parámetros!$D$107,'Tablas Servicio'!BR524+('Tablas Servicio'!BT523-'Tablas Servicio'!BR523),BR524/(1-IF(B524&lt;=10,Parámetros!$D$100,0))),2))</f>
        <v/>
      </c>
      <c r="BU524" s="66" t="str">
        <f t="shared" si="705"/>
        <v/>
      </c>
      <c r="BV524" s="66" t="str">
        <f t="shared" si="705"/>
        <v/>
      </c>
      <c r="BW524" s="66" t="str">
        <f>+IF($W524="","",ROUND((BT524*Parámetros!$G$85),2))</f>
        <v/>
      </c>
      <c r="BX524" s="66" t="str">
        <f>+IF($W524="","",ROUND((BT524*(Parámetros!$G$86)),2))</f>
        <v/>
      </c>
      <c r="BY524" s="66" t="str">
        <f t="shared" si="706"/>
        <v/>
      </c>
      <c r="BZ524" t="str">
        <f t="shared" si="747"/>
        <v/>
      </c>
      <c r="CA524" t="str">
        <f t="shared" si="748"/>
        <v/>
      </c>
      <c r="CB524" s="118" t="str">
        <f t="shared" si="749"/>
        <v/>
      </c>
      <c r="CC524" s="118" t="str">
        <f t="shared" si="750"/>
        <v/>
      </c>
      <c r="CD524" s="119" t="str">
        <f t="shared" si="707"/>
        <v/>
      </c>
      <c r="CE524" s="66" t="str">
        <f>+IF($W524="","",ROUND((VLOOKUP(ROUNDDOWN($D524-1/frec,0),cob_adi,BO$40,FALSE)*(1+i/frec)^-0.5*(1+Parámetros!$D$103)*(1+rec_fracc)/frec*'TABLAS ADI'!$BC$17),2))</f>
        <v/>
      </c>
      <c r="CF524" s="119" t="str">
        <f t="shared" si="708"/>
        <v/>
      </c>
      <c r="CG524" s="66" t="str">
        <f>+IF($W524="","",ROUND(IF($B524&gt;Parámetros!$D$107,'Tablas Servicio'!CE524+('Tablas Servicio'!CG523-'Tablas Servicio'!CE523),CE524/(1-IF(B524&lt;=10,Parámetros!$D$100,0))),2))</f>
        <v/>
      </c>
      <c r="CH524" s="66" t="str">
        <f t="shared" si="709"/>
        <v/>
      </c>
      <c r="CI524" s="66" t="str">
        <f t="shared" si="709"/>
        <v/>
      </c>
      <c r="CJ524" s="66" t="str">
        <f>+IF($W524="","",ROUND((CG524*Parámetros!$G$85),2))</f>
        <v/>
      </c>
      <c r="CK524" s="66" t="str">
        <f>+IF($W524="","",ROUND((CG524*(Parámetros!$G$86)),2))</f>
        <v/>
      </c>
      <c r="CL524" s="66" t="str">
        <f t="shared" si="710"/>
        <v/>
      </c>
      <c r="CM524" t="str">
        <f t="shared" si="751"/>
        <v/>
      </c>
      <c r="CN524" s="118" t="str">
        <f t="shared" si="752"/>
        <v/>
      </c>
      <c r="CO524" s="118" t="str">
        <f t="shared" si="753"/>
        <v/>
      </c>
      <c r="CP524" s="118" t="str">
        <f t="shared" si="754"/>
        <v/>
      </c>
      <c r="CQ524" s="119" t="str">
        <f t="shared" si="711"/>
        <v/>
      </c>
      <c r="CR524" s="66" t="str">
        <f>+IF($W524="","",ROUND((VLOOKUP(Parámetros!$F$51,'COBERTURAS ADICIONALES'!$S$4:$T$32,2,FALSE)*(1+i/frec)^-0.5*(1+Parámetros!$D$103)*(1+rec_fracc)/frec*$CO$42),2))</f>
        <v/>
      </c>
      <c r="CS524" s="119" t="str">
        <f t="shared" si="712"/>
        <v/>
      </c>
      <c r="CT524" s="66" t="str">
        <f>+IF($W524="","",ROUND(IF($B524&gt;Parámetros!$D$107,'Tablas Servicio'!CR524+('Tablas Servicio'!CT523-'Tablas Servicio'!CR523),CR524/(1-IF(B524&lt;=10,Parámetros!$D$100,0))),2))</f>
        <v/>
      </c>
      <c r="CU524" s="66" t="str">
        <f t="shared" si="713"/>
        <v/>
      </c>
      <c r="CV524" s="66" t="str">
        <f t="shared" si="713"/>
        <v/>
      </c>
      <c r="CW524" s="66" t="str">
        <f>+IF($W524="","",ROUND((CT524*Parámetros!$G$85),2))</f>
        <v/>
      </c>
      <c r="CX524" s="66" t="str">
        <f>+IF($W524="","",ROUND((CT524*(Parámetros!$G$86)),2))</f>
        <v/>
      </c>
      <c r="CY524" s="66" t="str">
        <f t="shared" si="714"/>
        <v/>
      </c>
      <c r="CZ524" t="str">
        <f t="shared" si="755"/>
        <v/>
      </c>
      <c r="DA524" s="118" t="str">
        <f t="shared" si="756"/>
        <v/>
      </c>
      <c r="DB524" s="118" t="str">
        <f t="shared" si="757"/>
        <v/>
      </c>
      <c r="DC524" s="118" t="str">
        <f t="shared" si="758"/>
        <v/>
      </c>
      <c r="DD524" s="121" t="str">
        <f>+IF(OR($W524="",DB524=0),"",ROUND((VLOOKUP(ROUNDDOWN($D524-1/frec,0),cob_adi,CO$40,FALSE)*(1+i/frec)^-0.5*(1+Parámetros!$D$103)*(1+rec_fracc)/frec),6))</f>
        <v/>
      </c>
      <c r="DE524" s="66" t="str">
        <f t="shared" si="715"/>
        <v/>
      </c>
      <c r="DF524" s="119" t="str">
        <f t="shared" si="716"/>
        <v/>
      </c>
      <c r="DG524" s="66" t="str">
        <f>+IF($W524="","",ROUND(IF($B524&gt;Parámetros!$D$107,'Tablas Servicio'!DE524+('Tablas Servicio'!DG523-'Tablas Servicio'!DE523),DE524/(1-IF(B524&lt;=10,Parámetros!$D$100,0))),2))</f>
        <v/>
      </c>
      <c r="DH524" s="66" t="str">
        <f t="shared" si="717"/>
        <v/>
      </c>
      <c r="DI524" s="66" t="str">
        <f t="shared" si="717"/>
        <v/>
      </c>
      <c r="DJ524" s="66" t="str">
        <f>+IF($W524="","",ROUND((DG524*Parámetros!$G$85),2))</f>
        <v/>
      </c>
      <c r="DK524" s="66" t="str">
        <f>+IF($W524="","",ROUND((DG524*(Parámetros!$G$86)),2))</f>
        <v/>
      </c>
      <c r="DL524" s="66" t="str">
        <f t="shared" si="718"/>
        <v/>
      </c>
      <c r="DM524" t="str">
        <f t="shared" si="759"/>
        <v/>
      </c>
      <c r="DN524" s="118" t="str">
        <f t="shared" si="760"/>
        <v/>
      </c>
      <c r="DO524" s="118" t="str">
        <f t="shared" si="761"/>
        <v/>
      </c>
      <c r="DP524" s="118" t="str">
        <f t="shared" si="762"/>
        <v/>
      </c>
      <c r="DQ524" s="122" t="str">
        <f>+IF(OR($W524="",DO524=0),"",ROUND((VLOOKUP(ROUNDDOWN($D524-1/frec,0),cob_adi,DB$40,FALSE)*(1+i/frec)^-0.5*(1+Parámetros!$D$103)*(1+rec_fracc)/frec),6))</f>
        <v/>
      </c>
      <c r="DR524" s="66" t="str">
        <f t="shared" si="719"/>
        <v/>
      </c>
      <c r="DS524" s="68" t="str">
        <f t="shared" si="720"/>
        <v/>
      </c>
      <c r="DT524" s="66" t="str">
        <f>+IF($W524="","",ROUND(IF($B524&gt;Parámetros!$D$107,'Tablas Servicio'!DR524+('Tablas Servicio'!DT523-'Tablas Servicio'!DR523),DR524/(1-IF(B524&lt;=10,Parámetros!$D$100,0))),2))</f>
        <v/>
      </c>
      <c r="DU524" s="66" t="str">
        <f t="shared" si="721"/>
        <v/>
      </c>
      <c r="DV524" s="66" t="str">
        <f t="shared" si="721"/>
        <v/>
      </c>
      <c r="DW524" s="66" t="str">
        <f>+IF($W524="","",ROUND((DT524*Parámetros!$G$85),2))</f>
        <v/>
      </c>
      <c r="DX524" s="66" t="str">
        <f>+IF($W524="","",ROUND((DT524*(Parámetros!$G$86)),2))</f>
        <v/>
      </c>
      <c r="DY524" s="66" t="str">
        <f t="shared" si="722"/>
        <v/>
      </c>
      <c r="DZ524" t="str">
        <f t="shared" si="764"/>
        <v/>
      </c>
      <c r="EA524" s="118" t="str">
        <f t="shared" si="764"/>
        <v/>
      </c>
      <c r="EB524" s="118" t="str">
        <f>+IF($W524="","",ROUND(IF(Parámetros!$D$25='TABLAS MORT'!$V$33,EB523,Z524/2),0))</f>
        <v/>
      </c>
      <c r="EC524" s="118" t="str">
        <f t="shared" si="764"/>
        <v/>
      </c>
      <c r="ED524" s="122" t="str">
        <f>+IF(OR($W524="",EB524=0),"",ROUND((VLOOKUP(ROUNDDOWN($D524-1/frec,0),cob_adi,DO$40,FALSE)*(1+i/frec)^-0.5*(1+Parámetros!$D$103)*(1+rec_fracc)/frec),6))</f>
        <v/>
      </c>
      <c r="EE524" s="66" t="str">
        <f t="shared" si="724"/>
        <v/>
      </c>
      <c r="EF524" s="68" t="str">
        <f t="shared" si="725"/>
        <v/>
      </c>
      <c r="EG524" s="66" t="str">
        <f>+IF($W524="","",ROUND(IF($B524&gt;Parámetros!$D$107,'Tablas Servicio'!EE524+('Tablas Servicio'!EG523-'Tablas Servicio'!EE523),EE524/(1-IF(B524&lt;=10,Parámetros!$D$100,0))),2))</f>
        <v/>
      </c>
      <c r="EH524" s="66" t="str">
        <f t="shared" si="726"/>
        <v/>
      </c>
      <c r="EI524" s="66" t="str">
        <f t="shared" si="726"/>
        <v/>
      </c>
      <c r="EJ524" s="66" t="str">
        <f>+IF($W524="","",ROUND((EG524*Parámetros!$G$85),2))</f>
        <v/>
      </c>
      <c r="EK524" s="66" t="str">
        <f>+IF($W524="","",ROUND((EG524*(Parámetros!$G$86)),2))</f>
        <v/>
      </c>
      <c r="EL524" s="66" t="str">
        <f t="shared" si="727"/>
        <v/>
      </c>
    </row>
    <row r="525" spans="1:142" x14ac:dyDescent="0.25">
      <c r="A525" t="str">
        <f>+IF($C525="","",ROUND(VLOOKUP('Tablas Servicio'!B525,Parámetros!$H$100:$J$159,IF(Parámetros!$E$16="F",2,3),FALSE),2))</f>
        <v/>
      </c>
      <c r="B525" t="str">
        <f t="shared" si="678"/>
        <v/>
      </c>
      <c r="C525" s="57" t="str">
        <f>+IF(D525="","",'Tablas Servicio'!C524+1)</f>
        <v/>
      </c>
      <c r="D525" s="56" t="str">
        <f>+IF(D524&lt;edadmaxtabla,D524+1/Parámetros!$E$25,"")</f>
        <v/>
      </c>
      <c r="E525" s="57" t="str">
        <f t="shared" si="688"/>
        <v/>
      </c>
      <c r="F525" s="59" t="str">
        <f t="shared" si="689"/>
        <v/>
      </c>
      <c r="G525" s="66" t="str">
        <f t="shared" si="679"/>
        <v/>
      </c>
      <c r="H525" s="66" t="str">
        <f t="shared" si="680"/>
        <v/>
      </c>
      <c r="I525" s="66" t="str">
        <f t="shared" si="728"/>
        <v/>
      </c>
      <c r="J525" s="66" t="str">
        <f t="shared" si="681"/>
        <v/>
      </c>
      <c r="K525" s="66" t="str">
        <f t="shared" si="682"/>
        <v/>
      </c>
      <c r="L525" s="66" t="str">
        <f t="shared" si="683"/>
        <v/>
      </c>
      <c r="M525" s="66" t="str">
        <f t="shared" si="684"/>
        <v/>
      </c>
      <c r="N525" s="66" t="str">
        <f>+IF(C525="","",ROUND(Parámetros!$D$23,2))</f>
        <v/>
      </c>
      <c r="O525" s="66" t="str">
        <f t="shared" si="685"/>
        <v/>
      </c>
      <c r="P525" s="66" t="str">
        <f>+IF($C525="","",ROUND(IF(B525&gt;Parámetros!$D$117,0,N525*Parámetros!$D$116-G525*Parámetros!$D$100),2))</f>
        <v/>
      </c>
      <c r="Q525" s="75" t="str">
        <f t="shared" si="729"/>
        <v/>
      </c>
      <c r="R525" s="75" t="str">
        <f t="shared" si="730"/>
        <v/>
      </c>
      <c r="S525" s="117" t="str">
        <f>+IF($C525="","",ROUND((S524+I525)*(1+Parámetros!$D$91),2))</f>
        <v/>
      </c>
      <c r="T525" s="117" t="str">
        <f>+IF($C525="","",ROUND(S525*VLOOKUP(B525,Parámetros!$C$30:$D$39,2,TRUE),2))</f>
        <v/>
      </c>
      <c r="U525" s="117" t="str">
        <f>+IF($C525="","",ROUND((U524+I525)*(1+Parámetros!$D$92),2))</f>
        <v/>
      </c>
      <c r="V525" s="117" t="str">
        <f>+IF($C525="","",ROUND(U525*VLOOKUP(B525,Parámetros!$C$30:$D$39,2,TRUE),2))</f>
        <v/>
      </c>
      <c r="W525" s="57" t="str">
        <f t="shared" si="731"/>
        <v/>
      </c>
      <c r="X525" t="str">
        <f t="shared" si="732"/>
        <v/>
      </c>
      <c r="Y525" t="str">
        <f t="shared" si="733"/>
        <v/>
      </c>
      <c r="Z525" s="118" t="str">
        <f>+IF($W525="","",ROUND(IF(Parámetros!$D$25='TABLAS MORT'!$V$33,Z524,Parámetros!$D$21-'Tablas Servicio'!T524),0))</f>
        <v/>
      </c>
      <c r="AA525" s="118" t="str">
        <f t="shared" si="734"/>
        <v/>
      </c>
      <c r="AB525" s="119" t="str">
        <f>+IF(W525="","",ROUND((VLOOKUP(ROUNDDOWN($D525-1/frec,0),qx_tabla,2,FALSE)*(1+i/frec)^-0.5*(1+Parámetros!$D$103)*(1+rec_fracc)/frec),6))</f>
        <v/>
      </c>
      <c r="AC525" s="66" t="str">
        <f t="shared" si="690"/>
        <v/>
      </c>
      <c r="AD525" s="119" t="str">
        <f t="shared" si="686"/>
        <v/>
      </c>
      <c r="AE525" s="66" t="str">
        <f>+IF($W525="","",ROUND(IF($B525&gt;Parámetros!$D$107,'Tablas Servicio'!AC525+('Tablas Servicio'!AG524-'Tablas Servicio'!AC524),AC525/(1-IF(B525&lt;=10,Parámetros!$D$104,Parámetros!$D$105))),2))</f>
        <v/>
      </c>
      <c r="AF525" s="66" t="str">
        <f>+IF($W525="","",ROUND(IF($B525&gt;Parámetros!$D$107,'Tablas Servicio'!AC525+('Tablas Servicio'!AG524-'Tablas Servicio'!AC524),(AC525+$A524/frec)/(1-IF(B525&lt;=Parámetros!$D$117,Parámetros!$D$100,0))),2))</f>
        <v/>
      </c>
      <c r="AG525" s="66" t="str">
        <f t="shared" si="691"/>
        <v/>
      </c>
      <c r="AH525" s="66" t="str">
        <f t="shared" si="692"/>
        <v/>
      </c>
      <c r="AI525" s="66" t="str">
        <f t="shared" si="693"/>
        <v/>
      </c>
      <c r="AJ525" s="66" t="str">
        <f>+IF($W525="","",ROUND((AG525*Parámetros!$G$85),2))</f>
        <v/>
      </c>
      <c r="AK525" s="66" t="str">
        <f>+IF($W525="","",ROUND((AG525*(Parámetros!$G$86)),2))</f>
        <v/>
      </c>
      <c r="AL525" s="66" t="str">
        <f t="shared" si="687"/>
        <v/>
      </c>
      <c r="AM525" t="str">
        <f t="shared" si="735"/>
        <v/>
      </c>
      <c r="AN525" t="str">
        <f t="shared" si="736"/>
        <v/>
      </c>
      <c r="AO525" s="118" t="str">
        <f t="shared" si="737"/>
        <v/>
      </c>
      <c r="AP525" s="118" t="str">
        <f t="shared" si="738"/>
        <v/>
      </c>
      <c r="AQ525" s="119" t="str">
        <f>+IF(OR($W525="",AO525=0),"",ROUND((VLOOKUP(ROUNDDOWN($D525-1/frec,0),cob_adi,Z$40,FALSE)*(1+i/frec)^-0.5*(1+Parámetros!$D$103)*(1+rec_fracc)/frec),6))</f>
        <v/>
      </c>
      <c r="AR525" s="66" t="str">
        <f t="shared" si="694"/>
        <v/>
      </c>
      <c r="AS525" s="119" t="str">
        <f t="shared" si="695"/>
        <v/>
      </c>
      <c r="AT525" s="66" t="str">
        <f>+IF($W525="","",ROUND(IF($B525&gt;Parámetros!$D$107,'Tablas Servicio'!AR525+('Tablas Servicio'!AT524-'Tablas Servicio'!AR524),AR525/(1-IF(B525&lt;=10,Parámetros!$D$100,0))),2))</f>
        <v/>
      </c>
      <c r="AU525" s="66" t="str">
        <f t="shared" si="696"/>
        <v/>
      </c>
      <c r="AV525" s="66" t="str">
        <f t="shared" si="696"/>
        <v/>
      </c>
      <c r="AW525" s="66" t="str">
        <f>+IF($W525="","",ROUND((AT525*Parámetros!$G$85),2))</f>
        <v/>
      </c>
      <c r="AX525" s="66" t="str">
        <f>+IF($W525="","",ROUND((AT525*(Parámetros!$G$86)),2))</f>
        <v/>
      </c>
      <c r="AY525" s="66" t="str">
        <f t="shared" si="697"/>
        <v/>
      </c>
      <c r="AZ525" t="str">
        <f t="shared" si="739"/>
        <v/>
      </c>
      <c r="BA525" t="str">
        <f t="shared" si="740"/>
        <v/>
      </c>
      <c r="BB525" s="118" t="str">
        <f t="shared" si="741"/>
        <v/>
      </c>
      <c r="BC525" s="118" t="str">
        <f t="shared" si="742"/>
        <v/>
      </c>
      <c r="BD525" s="119" t="str">
        <f>+IF(OR($W525="",BB525=0),"",ROUND((VLOOKUP(ROUNDDOWN($D525-1/frec,0),cob_adi,AO$40,FALSE)*(1+i/frec)^-0.5*(1+Parámetros!$D$103)*(1+rec_fracc)/frec),6))</f>
        <v/>
      </c>
      <c r="BE525" s="66" t="str">
        <f t="shared" si="698"/>
        <v/>
      </c>
      <c r="BF525" s="119" t="str">
        <f t="shared" si="699"/>
        <v/>
      </c>
      <c r="BG525" s="66" t="str">
        <f>+IF($W525="","",ROUND(IF($B525&gt;Parámetros!$D$107,'Tablas Servicio'!BE525+('Tablas Servicio'!BG524-'Tablas Servicio'!BE524),BE525/(1-IF(B525&lt;=10,Parámetros!$D$100,0))),2))</f>
        <v/>
      </c>
      <c r="BH525" s="66" t="str">
        <f t="shared" si="700"/>
        <v/>
      </c>
      <c r="BI525" s="66" t="str">
        <f t="shared" si="701"/>
        <v/>
      </c>
      <c r="BJ525" s="66" t="str">
        <f>+IF($W525="","",ROUND((BG525*Parámetros!$G$85),2))</f>
        <v/>
      </c>
      <c r="BK525" s="66" t="str">
        <f>+IF($W525="","",ROUND((BG525*(Parámetros!$G$86)),2))</f>
        <v/>
      </c>
      <c r="BL525" s="66" t="str">
        <f t="shared" si="702"/>
        <v/>
      </c>
      <c r="BM525" t="str">
        <f t="shared" si="743"/>
        <v/>
      </c>
      <c r="BN525" t="str">
        <f t="shared" si="744"/>
        <v/>
      </c>
      <c r="BO525" s="118" t="str">
        <f t="shared" si="745"/>
        <v/>
      </c>
      <c r="BP525" s="118" t="str">
        <f t="shared" si="746"/>
        <v/>
      </c>
      <c r="BQ525" s="119" t="str">
        <f>+IF(OR($W525="",BO525=0),"",ROUND((VLOOKUP(ROUNDDOWN($D525-1/frec,0),cob_adi,BB$40,FALSE)*(1+i/frec)^-0.5*(1+Parámetros!$D$103)*(1+rec_fracc)/frec),6))</f>
        <v/>
      </c>
      <c r="BR525" s="66" t="str">
        <f t="shared" si="703"/>
        <v/>
      </c>
      <c r="BS525" s="119" t="str">
        <f t="shared" si="704"/>
        <v/>
      </c>
      <c r="BT525" s="66" t="str">
        <f>+IF($W525="","",ROUND(IF($B525&gt;Parámetros!$D$107,'Tablas Servicio'!BR525+('Tablas Servicio'!BT524-'Tablas Servicio'!BR524),BR525/(1-IF(B525&lt;=10,Parámetros!$D$100,0))),2))</f>
        <v/>
      </c>
      <c r="BU525" s="66" t="str">
        <f t="shared" si="705"/>
        <v/>
      </c>
      <c r="BV525" s="66" t="str">
        <f t="shared" si="705"/>
        <v/>
      </c>
      <c r="BW525" s="66" t="str">
        <f>+IF($W525="","",ROUND((BT525*Parámetros!$G$85),2))</f>
        <v/>
      </c>
      <c r="BX525" s="66" t="str">
        <f>+IF($W525="","",ROUND((BT525*(Parámetros!$G$86)),2))</f>
        <v/>
      </c>
      <c r="BY525" s="66" t="str">
        <f t="shared" si="706"/>
        <v/>
      </c>
      <c r="BZ525" t="str">
        <f t="shared" si="747"/>
        <v/>
      </c>
      <c r="CA525" t="str">
        <f t="shared" si="748"/>
        <v/>
      </c>
      <c r="CB525" s="118" t="str">
        <f t="shared" si="749"/>
        <v/>
      </c>
      <c r="CC525" s="118" t="str">
        <f t="shared" si="750"/>
        <v/>
      </c>
      <c r="CD525" s="119" t="str">
        <f t="shared" si="707"/>
        <v/>
      </c>
      <c r="CE525" s="66" t="str">
        <f>+IF($W525="","",ROUND((VLOOKUP(ROUNDDOWN($D525-1/frec,0),cob_adi,BO$40,FALSE)*(1+i/frec)^-0.5*(1+Parámetros!$D$103)*(1+rec_fracc)/frec*'TABLAS ADI'!$BC$17),2))</f>
        <v/>
      </c>
      <c r="CF525" s="119" t="str">
        <f t="shared" si="708"/>
        <v/>
      </c>
      <c r="CG525" s="66" t="str">
        <f>+IF($W525="","",ROUND(IF($B525&gt;Parámetros!$D$107,'Tablas Servicio'!CE525+('Tablas Servicio'!CG524-'Tablas Servicio'!CE524),CE525/(1-IF(B525&lt;=10,Parámetros!$D$100,0))),2))</f>
        <v/>
      </c>
      <c r="CH525" s="66" t="str">
        <f t="shared" si="709"/>
        <v/>
      </c>
      <c r="CI525" s="66" t="str">
        <f t="shared" si="709"/>
        <v/>
      </c>
      <c r="CJ525" s="66" t="str">
        <f>+IF($W525="","",ROUND((CG525*Parámetros!$G$85),2))</f>
        <v/>
      </c>
      <c r="CK525" s="66" t="str">
        <f>+IF($W525="","",ROUND((CG525*(Parámetros!$G$86)),2))</f>
        <v/>
      </c>
      <c r="CL525" s="66" t="str">
        <f t="shared" si="710"/>
        <v/>
      </c>
      <c r="CM525" t="str">
        <f t="shared" si="751"/>
        <v/>
      </c>
      <c r="CN525" s="118" t="str">
        <f t="shared" si="752"/>
        <v/>
      </c>
      <c r="CO525" s="118" t="str">
        <f t="shared" si="753"/>
        <v/>
      </c>
      <c r="CP525" s="118" t="str">
        <f t="shared" si="754"/>
        <v/>
      </c>
      <c r="CQ525" s="119" t="str">
        <f t="shared" si="711"/>
        <v/>
      </c>
      <c r="CR525" s="66" t="str">
        <f>+IF($W525="","",ROUND((VLOOKUP(Parámetros!$F$51,'COBERTURAS ADICIONALES'!$S$4:$T$32,2,FALSE)*(1+i/frec)^-0.5*(1+Parámetros!$D$103)*(1+rec_fracc)/frec*$CO$42),2))</f>
        <v/>
      </c>
      <c r="CS525" s="119" t="str">
        <f t="shared" si="712"/>
        <v/>
      </c>
      <c r="CT525" s="66" t="str">
        <f>+IF($W525="","",ROUND(IF($B525&gt;Parámetros!$D$107,'Tablas Servicio'!CR525+('Tablas Servicio'!CT524-'Tablas Servicio'!CR524),CR525/(1-IF(B525&lt;=10,Parámetros!$D$100,0))),2))</f>
        <v/>
      </c>
      <c r="CU525" s="66" t="str">
        <f t="shared" si="713"/>
        <v/>
      </c>
      <c r="CV525" s="66" t="str">
        <f t="shared" si="713"/>
        <v/>
      </c>
      <c r="CW525" s="66" t="str">
        <f>+IF($W525="","",ROUND((CT525*Parámetros!$G$85),2))</f>
        <v/>
      </c>
      <c r="CX525" s="66" t="str">
        <f>+IF($W525="","",ROUND((CT525*(Parámetros!$G$86)),2))</f>
        <v/>
      </c>
      <c r="CY525" s="66" t="str">
        <f t="shared" si="714"/>
        <v/>
      </c>
      <c r="CZ525" t="str">
        <f t="shared" si="755"/>
        <v/>
      </c>
      <c r="DA525" s="118" t="str">
        <f t="shared" si="756"/>
        <v/>
      </c>
      <c r="DB525" s="118" t="str">
        <f t="shared" si="757"/>
        <v/>
      </c>
      <c r="DC525" s="118" t="str">
        <f t="shared" si="758"/>
        <v/>
      </c>
      <c r="DD525" s="121" t="str">
        <f>+IF(OR($W525="",DB525=0),"",ROUND((VLOOKUP(ROUNDDOWN($D525-1/frec,0),cob_adi,CO$40,FALSE)*(1+i/frec)^-0.5*(1+Parámetros!$D$103)*(1+rec_fracc)/frec),6))</f>
        <v/>
      </c>
      <c r="DE525" s="66" t="str">
        <f t="shared" si="715"/>
        <v/>
      </c>
      <c r="DF525" s="119" t="str">
        <f t="shared" si="716"/>
        <v/>
      </c>
      <c r="DG525" s="66" t="str">
        <f>+IF($W525="","",ROUND(IF($B525&gt;Parámetros!$D$107,'Tablas Servicio'!DE525+('Tablas Servicio'!DG524-'Tablas Servicio'!DE524),DE525/(1-IF(B525&lt;=10,Parámetros!$D$100,0))),2))</f>
        <v/>
      </c>
      <c r="DH525" s="66" t="str">
        <f t="shared" si="717"/>
        <v/>
      </c>
      <c r="DI525" s="66" t="str">
        <f t="shared" si="717"/>
        <v/>
      </c>
      <c r="DJ525" s="66" t="str">
        <f>+IF($W525="","",ROUND((DG525*Parámetros!$G$85),2))</f>
        <v/>
      </c>
      <c r="DK525" s="66" t="str">
        <f>+IF($W525="","",ROUND((DG525*(Parámetros!$G$86)),2))</f>
        <v/>
      </c>
      <c r="DL525" s="66" t="str">
        <f t="shared" si="718"/>
        <v/>
      </c>
      <c r="DM525" t="str">
        <f t="shared" si="759"/>
        <v/>
      </c>
      <c r="DN525" s="118" t="str">
        <f t="shared" si="760"/>
        <v/>
      </c>
      <c r="DO525" s="118" t="str">
        <f t="shared" si="761"/>
        <v/>
      </c>
      <c r="DP525" s="118" t="str">
        <f t="shared" si="762"/>
        <v/>
      </c>
      <c r="DQ525" s="122" t="str">
        <f>+IF(OR($W525="",DO525=0),"",ROUND((VLOOKUP(ROUNDDOWN($D525-1/frec,0),cob_adi,DB$40,FALSE)*(1+i/frec)^-0.5*(1+Parámetros!$D$103)*(1+rec_fracc)/frec),6))</f>
        <v/>
      </c>
      <c r="DR525" s="66" t="str">
        <f t="shared" si="719"/>
        <v/>
      </c>
      <c r="DS525" s="68" t="str">
        <f t="shared" si="720"/>
        <v/>
      </c>
      <c r="DT525" s="66" t="str">
        <f>+IF($W525="","",ROUND(IF($B525&gt;Parámetros!$D$107,'Tablas Servicio'!DR525+('Tablas Servicio'!DT524-'Tablas Servicio'!DR524),DR525/(1-IF(B525&lt;=10,Parámetros!$D$100,0))),2))</f>
        <v/>
      </c>
      <c r="DU525" s="66" t="str">
        <f t="shared" si="721"/>
        <v/>
      </c>
      <c r="DV525" s="66" t="str">
        <f t="shared" si="721"/>
        <v/>
      </c>
      <c r="DW525" s="66" t="str">
        <f>+IF($W525="","",ROUND((DT525*Parámetros!$G$85),2))</f>
        <v/>
      </c>
      <c r="DX525" s="66" t="str">
        <f>+IF($W525="","",ROUND((DT525*(Parámetros!$G$86)),2))</f>
        <v/>
      </c>
      <c r="DY525" s="66" t="str">
        <f t="shared" si="722"/>
        <v/>
      </c>
      <c r="DZ525" t="str">
        <f t="shared" si="764"/>
        <v/>
      </c>
      <c r="EA525" s="118" t="str">
        <f t="shared" si="764"/>
        <v/>
      </c>
      <c r="EB525" s="118" t="str">
        <f>+IF($W525="","",ROUND(IF(Parámetros!$D$25='TABLAS MORT'!$V$33,EB524,Z525/2),0))</f>
        <v/>
      </c>
      <c r="EC525" s="118" t="str">
        <f t="shared" si="764"/>
        <v/>
      </c>
      <c r="ED525" s="122" t="str">
        <f>+IF(OR($W525="",EB525=0),"",ROUND((VLOOKUP(ROUNDDOWN($D525-1/frec,0),cob_adi,DO$40,FALSE)*(1+i/frec)^-0.5*(1+Parámetros!$D$103)*(1+rec_fracc)/frec),6))</f>
        <v/>
      </c>
      <c r="EE525" s="66" t="str">
        <f t="shared" si="724"/>
        <v/>
      </c>
      <c r="EF525" s="68" t="str">
        <f t="shared" si="725"/>
        <v/>
      </c>
      <c r="EG525" s="66" t="str">
        <f>+IF($W525="","",ROUND(IF($B525&gt;Parámetros!$D$107,'Tablas Servicio'!EE525+('Tablas Servicio'!EG524-'Tablas Servicio'!EE524),EE525/(1-IF(B525&lt;=10,Parámetros!$D$100,0))),2))</f>
        <v/>
      </c>
      <c r="EH525" s="66" t="str">
        <f t="shared" si="726"/>
        <v/>
      </c>
      <c r="EI525" s="66" t="str">
        <f t="shared" si="726"/>
        <v/>
      </c>
      <c r="EJ525" s="66" t="str">
        <f>+IF($W525="","",ROUND((EG525*Parámetros!$G$85),2))</f>
        <v/>
      </c>
      <c r="EK525" s="66" t="str">
        <f>+IF($W525="","",ROUND((EG525*(Parámetros!$G$86)),2))</f>
        <v/>
      </c>
      <c r="EL525" s="66" t="str">
        <f t="shared" si="727"/>
        <v/>
      </c>
    </row>
    <row r="526" spans="1:142" x14ac:dyDescent="0.25">
      <c r="A526" t="str">
        <f>+IF($C526="","",ROUND(VLOOKUP('Tablas Servicio'!B526,Parámetros!$H$100:$J$159,IF(Parámetros!$E$16="F",2,3),FALSE),2))</f>
        <v/>
      </c>
      <c r="B526" t="str">
        <f t="shared" si="678"/>
        <v/>
      </c>
      <c r="C526" s="57" t="str">
        <f>+IF(D526="","",'Tablas Servicio'!C525+1)</f>
        <v/>
      </c>
      <c r="D526" s="56" t="str">
        <f>+IF(D525&lt;edadmaxtabla,D525+1/Parámetros!$E$25,"")</f>
        <v/>
      </c>
      <c r="E526" s="57" t="str">
        <f t="shared" si="688"/>
        <v/>
      </c>
      <c r="F526" s="59" t="str">
        <f t="shared" si="689"/>
        <v/>
      </c>
      <c r="G526" s="66" t="str">
        <f t="shared" si="679"/>
        <v/>
      </c>
      <c r="H526" s="66" t="str">
        <f t="shared" si="680"/>
        <v/>
      </c>
      <c r="I526" s="66" t="str">
        <f t="shared" si="728"/>
        <v/>
      </c>
      <c r="J526" s="66" t="str">
        <f t="shared" si="681"/>
        <v/>
      </c>
      <c r="K526" s="66" t="str">
        <f t="shared" si="682"/>
        <v/>
      </c>
      <c r="L526" s="66" t="str">
        <f t="shared" si="683"/>
        <v/>
      </c>
      <c r="M526" s="66" t="str">
        <f t="shared" si="684"/>
        <v/>
      </c>
      <c r="N526" s="66" t="str">
        <f>+IF(C526="","",ROUND(Parámetros!$D$23,2))</f>
        <v/>
      </c>
      <c r="O526" s="66" t="str">
        <f t="shared" si="685"/>
        <v/>
      </c>
      <c r="P526" s="66" t="str">
        <f>+IF($C526="","",ROUND(IF(B526&gt;Parámetros!$D$117,0,N526*Parámetros!$D$116-G526*Parámetros!$D$100),2))</f>
        <v/>
      </c>
      <c r="Q526" s="75" t="str">
        <f t="shared" si="729"/>
        <v/>
      </c>
      <c r="R526" s="75" t="str">
        <f t="shared" si="730"/>
        <v/>
      </c>
      <c r="S526" s="117" t="str">
        <f>+IF($C526="","",ROUND((S525+I526)*(1+Parámetros!$D$91),2))</f>
        <v/>
      </c>
      <c r="T526" s="117" t="str">
        <f>+IF($C526="","",ROUND(S526*VLOOKUP(B526,Parámetros!$C$30:$D$39,2,TRUE),2))</f>
        <v/>
      </c>
      <c r="U526" s="117" t="str">
        <f>+IF($C526="","",ROUND((U525+I526)*(1+Parámetros!$D$92),2))</f>
        <v/>
      </c>
      <c r="V526" s="117" t="str">
        <f>+IF($C526="","",ROUND(U526*VLOOKUP(B526,Parámetros!$C$30:$D$39,2,TRUE),2))</f>
        <v/>
      </c>
      <c r="W526" s="57" t="str">
        <f t="shared" si="731"/>
        <v/>
      </c>
      <c r="X526" t="str">
        <f t="shared" si="732"/>
        <v/>
      </c>
      <c r="Y526" t="str">
        <f t="shared" si="733"/>
        <v/>
      </c>
      <c r="Z526" s="118" t="str">
        <f>+IF($W526="","",ROUND(IF(Parámetros!$D$25='TABLAS MORT'!$V$33,Z525,Parámetros!$D$21-'Tablas Servicio'!T525),0))</f>
        <v/>
      </c>
      <c r="AA526" s="118" t="str">
        <f t="shared" si="734"/>
        <v/>
      </c>
      <c r="AB526" s="119" t="str">
        <f>+IF(W526="","",ROUND((VLOOKUP(ROUNDDOWN($D526-1/frec,0),qx_tabla,2,FALSE)*(1+i/frec)^-0.5*(1+Parámetros!$D$103)*(1+rec_fracc)/frec),6))</f>
        <v/>
      </c>
      <c r="AC526" s="66" t="str">
        <f t="shared" si="690"/>
        <v/>
      </c>
      <c r="AD526" s="119" t="str">
        <f t="shared" si="686"/>
        <v/>
      </c>
      <c r="AE526" s="66" t="str">
        <f>+IF($W526="","",ROUND(IF($B526&gt;Parámetros!$D$107,'Tablas Servicio'!AC526+('Tablas Servicio'!AG525-'Tablas Servicio'!AC525),AC526/(1-IF(B526&lt;=10,Parámetros!$D$104,Parámetros!$D$105))),2))</f>
        <v/>
      </c>
      <c r="AF526" s="66" t="str">
        <f>+IF($W526="","",ROUND(IF($B526&gt;Parámetros!$D$107,'Tablas Servicio'!AC526+('Tablas Servicio'!AG525-'Tablas Servicio'!AC525),(AC526+$A525/frec)/(1-IF(B526&lt;=Parámetros!$D$117,Parámetros!$D$100,0))),2))</f>
        <v/>
      </c>
      <c r="AG526" s="66" t="str">
        <f t="shared" si="691"/>
        <v/>
      </c>
      <c r="AH526" s="66" t="str">
        <f t="shared" si="692"/>
        <v/>
      </c>
      <c r="AI526" s="66" t="str">
        <f t="shared" si="693"/>
        <v/>
      </c>
      <c r="AJ526" s="66" t="str">
        <f>+IF($W526="","",ROUND((AG526*Parámetros!$G$85),2))</f>
        <v/>
      </c>
      <c r="AK526" s="66" t="str">
        <f>+IF($W526="","",ROUND((AG526*(Parámetros!$G$86)),2))</f>
        <v/>
      </c>
      <c r="AL526" s="66" t="str">
        <f t="shared" si="687"/>
        <v/>
      </c>
      <c r="AM526" t="str">
        <f t="shared" si="735"/>
        <v/>
      </c>
      <c r="AN526" t="str">
        <f t="shared" si="736"/>
        <v/>
      </c>
      <c r="AO526" s="118" t="str">
        <f t="shared" si="737"/>
        <v/>
      </c>
      <c r="AP526" s="118" t="str">
        <f t="shared" si="738"/>
        <v/>
      </c>
      <c r="AQ526" s="119" t="str">
        <f>+IF(OR($W526="",AO526=0),"",ROUND((VLOOKUP(ROUNDDOWN($D526-1/frec,0),cob_adi,Z$40,FALSE)*(1+i/frec)^-0.5*(1+Parámetros!$D$103)*(1+rec_fracc)/frec),6))</f>
        <v/>
      </c>
      <c r="AR526" s="66" t="str">
        <f t="shared" si="694"/>
        <v/>
      </c>
      <c r="AS526" s="119" t="str">
        <f t="shared" si="695"/>
        <v/>
      </c>
      <c r="AT526" s="66" t="str">
        <f>+IF($W526="","",ROUND(IF($B526&gt;Parámetros!$D$107,'Tablas Servicio'!AR526+('Tablas Servicio'!AT525-'Tablas Servicio'!AR525),AR526/(1-IF(B526&lt;=10,Parámetros!$D$100,0))),2))</f>
        <v/>
      </c>
      <c r="AU526" s="66" t="str">
        <f t="shared" si="696"/>
        <v/>
      </c>
      <c r="AV526" s="66" t="str">
        <f t="shared" si="696"/>
        <v/>
      </c>
      <c r="AW526" s="66" t="str">
        <f>+IF($W526="","",ROUND((AT526*Parámetros!$G$85),2))</f>
        <v/>
      </c>
      <c r="AX526" s="66" t="str">
        <f>+IF($W526="","",ROUND((AT526*(Parámetros!$G$86)),2))</f>
        <v/>
      </c>
      <c r="AY526" s="66" t="str">
        <f t="shared" si="697"/>
        <v/>
      </c>
      <c r="AZ526" t="str">
        <f t="shared" si="739"/>
        <v/>
      </c>
      <c r="BA526" t="str">
        <f t="shared" si="740"/>
        <v/>
      </c>
      <c r="BB526" s="118" t="str">
        <f t="shared" si="741"/>
        <v/>
      </c>
      <c r="BC526" s="118" t="str">
        <f t="shared" si="742"/>
        <v/>
      </c>
      <c r="BD526" s="119" t="str">
        <f>+IF(OR($W526="",BB526=0),"",ROUND((VLOOKUP(ROUNDDOWN($D526-1/frec,0),cob_adi,AO$40,FALSE)*(1+i/frec)^-0.5*(1+Parámetros!$D$103)*(1+rec_fracc)/frec),6))</f>
        <v/>
      </c>
      <c r="BE526" s="66" t="str">
        <f t="shared" si="698"/>
        <v/>
      </c>
      <c r="BF526" s="119" t="str">
        <f t="shared" si="699"/>
        <v/>
      </c>
      <c r="BG526" s="66" t="str">
        <f>+IF($W526="","",ROUND(IF($B526&gt;Parámetros!$D$107,'Tablas Servicio'!BE526+('Tablas Servicio'!BG525-'Tablas Servicio'!BE525),BE526/(1-IF(B526&lt;=10,Parámetros!$D$100,0))),2))</f>
        <v/>
      </c>
      <c r="BH526" s="66" t="str">
        <f t="shared" si="700"/>
        <v/>
      </c>
      <c r="BI526" s="66" t="str">
        <f t="shared" si="701"/>
        <v/>
      </c>
      <c r="BJ526" s="66" t="str">
        <f>+IF($W526="","",ROUND((BG526*Parámetros!$G$85),2))</f>
        <v/>
      </c>
      <c r="BK526" s="66" t="str">
        <f>+IF($W526="","",ROUND((BG526*(Parámetros!$G$86)),2))</f>
        <v/>
      </c>
      <c r="BL526" s="66" t="str">
        <f t="shared" si="702"/>
        <v/>
      </c>
      <c r="BM526" t="str">
        <f t="shared" si="743"/>
        <v/>
      </c>
      <c r="BN526" t="str">
        <f t="shared" si="744"/>
        <v/>
      </c>
      <c r="BO526" s="118" t="str">
        <f t="shared" si="745"/>
        <v/>
      </c>
      <c r="BP526" s="118" t="str">
        <f t="shared" si="746"/>
        <v/>
      </c>
      <c r="BQ526" s="119" t="str">
        <f>+IF(OR($W526="",BO526=0),"",ROUND((VLOOKUP(ROUNDDOWN($D526-1/frec,0),cob_adi,BB$40,FALSE)*(1+i/frec)^-0.5*(1+Parámetros!$D$103)*(1+rec_fracc)/frec),6))</f>
        <v/>
      </c>
      <c r="BR526" s="66" t="str">
        <f t="shared" si="703"/>
        <v/>
      </c>
      <c r="BS526" s="119" t="str">
        <f t="shared" si="704"/>
        <v/>
      </c>
      <c r="BT526" s="66" t="str">
        <f>+IF($W526="","",ROUND(IF($B526&gt;Parámetros!$D$107,'Tablas Servicio'!BR526+('Tablas Servicio'!BT525-'Tablas Servicio'!BR525),BR526/(1-IF(B526&lt;=10,Parámetros!$D$100,0))),2))</f>
        <v/>
      </c>
      <c r="BU526" s="66" t="str">
        <f t="shared" si="705"/>
        <v/>
      </c>
      <c r="BV526" s="66" t="str">
        <f t="shared" si="705"/>
        <v/>
      </c>
      <c r="BW526" s="66" t="str">
        <f>+IF($W526="","",ROUND((BT526*Parámetros!$G$85),2))</f>
        <v/>
      </c>
      <c r="BX526" s="66" t="str">
        <f>+IF($W526="","",ROUND((BT526*(Parámetros!$G$86)),2))</f>
        <v/>
      </c>
      <c r="BY526" s="66" t="str">
        <f t="shared" si="706"/>
        <v/>
      </c>
      <c r="BZ526" t="str">
        <f t="shared" si="747"/>
        <v/>
      </c>
      <c r="CA526" t="str">
        <f t="shared" si="748"/>
        <v/>
      </c>
      <c r="CB526" s="118" t="str">
        <f t="shared" si="749"/>
        <v/>
      </c>
      <c r="CC526" s="118" t="str">
        <f t="shared" si="750"/>
        <v/>
      </c>
      <c r="CD526" s="119" t="str">
        <f t="shared" si="707"/>
        <v/>
      </c>
      <c r="CE526" s="66" t="str">
        <f>+IF($W526="","",ROUND((VLOOKUP(ROUNDDOWN($D526-1/frec,0),cob_adi,BO$40,FALSE)*(1+i/frec)^-0.5*(1+Parámetros!$D$103)*(1+rec_fracc)/frec*'TABLAS ADI'!$BC$17),2))</f>
        <v/>
      </c>
      <c r="CF526" s="119" t="str">
        <f t="shared" si="708"/>
        <v/>
      </c>
      <c r="CG526" s="66" t="str">
        <f>+IF($W526="","",ROUND(IF($B526&gt;Parámetros!$D$107,'Tablas Servicio'!CE526+('Tablas Servicio'!CG525-'Tablas Servicio'!CE525),CE526/(1-IF(B526&lt;=10,Parámetros!$D$100,0))),2))</f>
        <v/>
      </c>
      <c r="CH526" s="66" t="str">
        <f t="shared" si="709"/>
        <v/>
      </c>
      <c r="CI526" s="66" t="str">
        <f t="shared" si="709"/>
        <v/>
      </c>
      <c r="CJ526" s="66" t="str">
        <f>+IF($W526="","",ROUND((CG526*Parámetros!$G$85),2))</f>
        <v/>
      </c>
      <c r="CK526" s="66" t="str">
        <f>+IF($W526="","",ROUND((CG526*(Parámetros!$G$86)),2))</f>
        <v/>
      </c>
      <c r="CL526" s="66" t="str">
        <f t="shared" si="710"/>
        <v/>
      </c>
      <c r="CM526" t="str">
        <f t="shared" si="751"/>
        <v/>
      </c>
      <c r="CN526" s="118" t="str">
        <f t="shared" si="752"/>
        <v/>
      </c>
      <c r="CO526" s="118" t="str">
        <f t="shared" si="753"/>
        <v/>
      </c>
      <c r="CP526" s="118" t="str">
        <f t="shared" si="754"/>
        <v/>
      </c>
      <c r="CQ526" s="119" t="str">
        <f t="shared" si="711"/>
        <v/>
      </c>
      <c r="CR526" s="66" t="str">
        <f>+IF($W526="","",ROUND((VLOOKUP(Parámetros!$F$51,'COBERTURAS ADICIONALES'!$S$4:$T$32,2,FALSE)*(1+i/frec)^-0.5*(1+Parámetros!$D$103)*(1+rec_fracc)/frec*$CO$42),2))</f>
        <v/>
      </c>
      <c r="CS526" s="119" t="str">
        <f t="shared" si="712"/>
        <v/>
      </c>
      <c r="CT526" s="66" t="str">
        <f>+IF($W526="","",ROUND(IF($B526&gt;Parámetros!$D$107,'Tablas Servicio'!CR526+('Tablas Servicio'!CT525-'Tablas Servicio'!CR525),CR526/(1-IF(B526&lt;=10,Parámetros!$D$100,0))),2))</f>
        <v/>
      </c>
      <c r="CU526" s="66" t="str">
        <f t="shared" si="713"/>
        <v/>
      </c>
      <c r="CV526" s="66" t="str">
        <f t="shared" si="713"/>
        <v/>
      </c>
      <c r="CW526" s="66" t="str">
        <f>+IF($W526="","",ROUND((CT526*Parámetros!$G$85),2))</f>
        <v/>
      </c>
      <c r="CX526" s="66" t="str">
        <f>+IF($W526="","",ROUND((CT526*(Parámetros!$G$86)),2))</f>
        <v/>
      </c>
      <c r="CY526" s="66" t="str">
        <f t="shared" si="714"/>
        <v/>
      </c>
      <c r="CZ526" t="str">
        <f t="shared" si="755"/>
        <v/>
      </c>
      <c r="DA526" s="118" t="str">
        <f t="shared" si="756"/>
        <v/>
      </c>
      <c r="DB526" s="118" t="str">
        <f t="shared" si="757"/>
        <v/>
      </c>
      <c r="DC526" s="118" t="str">
        <f t="shared" si="758"/>
        <v/>
      </c>
      <c r="DD526" s="121" t="str">
        <f>+IF(OR($W526="",DB526=0),"",ROUND((VLOOKUP(ROUNDDOWN($D526-1/frec,0),cob_adi,CO$40,FALSE)*(1+i/frec)^-0.5*(1+Parámetros!$D$103)*(1+rec_fracc)/frec),6))</f>
        <v/>
      </c>
      <c r="DE526" s="66" t="str">
        <f t="shared" si="715"/>
        <v/>
      </c>
      <c r="DF526" s="119" t="str">
        <f t="shared" si="716"/>
        <v/>
      </c>
      <c r="DG526" s="66" t="str">
        <f>+IF($W526="","",ROUND(IF($B526&gt;Parámetros!$D$107,'Tablas Servicio'!DE526+('Tablas Servicio'!DG525-'Tablas Servicio'!DE525),DE526/(1-IF(B526&lt;=10,Parámetros!$D$100,0))),2))</f>
        <v/>
      </c>
      <c r="DH526" s="66" t="str">
        <f t="shared" si="717"/>
        <v/>
      </c>
      <c r="DI526" s="66" t="str">
        <f t="shared" si="717"/>
        <v/>
      </c>
      <c r="DJ526" s="66" t="str">
        <f>+IF($W526="","",ROUND((DG526*Parámetros!$G$85),2))</f>
        <v/>
      </c>
      <c r="DK526" s="66" t="str">
        <f>+IF($W526="","",ROUND((DG526*(Parámetros!$G$86)),2))</f>
        <v/>
      </c>
      <c r="DL526" s="66" t="str">
        <f t="shared" si="718"/>
        <v/>
      </c>
      <c r="DM526" t="str">
        <f t="shared" si="759"/>
        <v/>
      </c>
      <c r="DN526" s="118" t="str">
        <f t="shared" si="760"/>
        <v/>
      </c>
      <c r="DO526" s="118" t="str">
        <f t="shared" si="761"/>
        <v/>
      </c>
      <c r="DP526" s="118" t="str">
        <f t="shared" si="762"/>
        <v/>
      </c>
      <c r="DQ526" s="122" t="str">
        <f>+IF(OR($W526="",DO526=0),"",ROUND((VLOOKUP(ROUNDDOWN($D526-1/frec,0),cob_adi,DB$40,FALSE)*(1+i/frec)^-0.5*(1+Parámetros!$D$103)*(1+rec_fracc)/frec),6))</f>
        <v/>
      </c>
      <c r="DR526" s="66" t="str">
        <f t="shared" si="719"/>
        <v/>
      </c>
      <c r="DS526" s="68" t="str">
        <f t="shared" si="720"/>
        <v/>
      </c>
      <c r="DT526" s="66" t="str">
        <f>+IF($W526="","",ROUND(IF($B526&gt;Parámetros!$D$107,'Tablas Servicio'!DR526+('Tablas Servicio'!DT525-'Tablas Servicio'!DR525),DR526/(1-IF(B526&lt;=10,Parámetros!$D$100,0))),2))</f>
        <v/>
      </c>
      <c r="DU526" s="66" t="str">
        <f t="shared" si="721"/>
        <v/>
      </c>
      <c r="DV526" s="66" t="str">
        <f t="shared" si="721"/>
        <v/>
      </c>
      <c r="DW526" s="66" t="str">
        <f>+IF($W526="","",ROUND((DT526*Parámetros!$G$85),2))</f>
        <v/>
      </c>
      <c r="DX526" s="66" t="str">
        <f>+IF($W526="","",ROUND((DT526*(Parámetros!$G$86)),2))</f>
        <v/>
      </c>
      <c r="DY526" s="66" t="str">
        <f t="shared" si="722"/>
        <v/>
      </c>
      <c r="DZ526" t="str">
        <f t="shared" si="764"/>
        <v/>
      </c>
      <c r="EA526" s="118" t="str">
        <f t="shared" si="764"/>
        <v/>
      </c>
      <c r="EB526" s="118" t="str">
        <f>+IF($W526="","",ROUND(IF(Parámetros!$D$25='TABLAS MORT'!$V$33,EB525,Z526/2),0))</f>
        <v/>
      </c>
      <c r="EC526" s="118" t="str">
        <f t="shared" si="764"/>
        <v/>
      </c>
      <c r="ED526" s="122" t="str">
        <f>+IF(OR($W526="",EB526=0),"",ROUND((VLOOKUP(ROUNDDOWN($D526-1/frec,0),cob_adi,DO$40,FALSE)*(1+i/frec)^-0.5*(1+Parámetros!$D$103)*(1+rec_fracc)/frec),6))</f>
        <v/>
      </c>
      <c r="EE526" s="66" t="str">
        <f t="shared" si="724"/>
        <v/>
      </c>
      <c r="EF526" s="68" t="str">
        <f t="shared" si="725"/>
        <v/>
      </c>
      <c r="EG526" s="66" t="str">
        <f>+IF($W526="","",ROUND(IF($B526&gt;Parámetros!$D$107,'Tablas Servicio'!EE526+('Tablas Servicio'!EG525-'Tablas Servicio'!EE525),EE526/(1-IF(B526&lt;=10,Parámetros!$D$100,0))),2))</f>
        <v/>
      </c>
      <c r="EH526" s="66" t="str">
        <f t="shared" si="726"/>
        <v/>
      </c>
      <c r="EI526" s="66" t="str">
        <f t="shared" si="726"/>
        <v/>
      </c>
      <c r="EJ526" s="66" t="str">
        <f>+IF($W526="","",ROUND((EG526*Parámetros!$G$85),2))</f>
        <v/>
      </c>
      <c r="EK526" s="66" t="str">
        <f>+IF($W526="","",ROUND((EG526*(Parámetros!$G$86)),2))</f>
        <v/>
      </c>
      <c r="EL526" s="66" t="str">
        <f t="shared" si="727"/>
        <v/>
      </c>
    </row>
    <row r="527" spans="1:142" x14ac:dyDescent="0.25">
      <c r="A527" t="str">
        <f>+IF($C527="","",ROUND(VLOOKUP('Tablas Servicio'!B527,Parámetros!$H$100:$J$159,IF(Parámetros!$E$16="F",2,3),FALSE),2))</f>
        <v/>
      </c>
      <c r="B527" t="str">
        <f t="shared" si="678"/>
        <v/>
      </c>
      <c r="C527" s="57" t="str">
        <f>+IF(D527="","",'Tablas Servicio'!C526+1)</f>
        <v/>
      </c>
      <c r="D527" s="56" t="str">
        <f>+IF(D526&lt;edadmaxtabla,D526+1/Parámetros!$E$25,"")</f>
        <v/>
      </c>
      <c r="E527" s="57" t="str">
        <f t="shared" si="688"/>
        <v/>
      </c>
      <c r="F527" s="59" t="str">
        <f t="shared" si="689"/>
        <v/>
      </c>
      <c r="G527" s="66" t="str">
        <f t="shared" si="679"/>
        <v/>
      </c>
      <c r="H527" s="66" t="str">
        <f t="shared" si="680"/>
        <v/>
      </c>
      <c r="I527" s="66" t="str">
        <f t="shared" si="728"/>
        <v/>
      </c>
      <c r="J527" s="66" t="str">
        <f t="shared" si="681"/>
        <v/>
      </c>
      <c r="K527" s="66" t="str">
        <f t="shared" si="682"/>
        <v/>
      </c>
      <c r="L527" s="66" t="str">
        <f t="shared" si="683"/>
        <v/>
      </c>
      <c r="M527" s="66" t="str">
        <f t="shared" si="684"/>
        <v/>
      </c>
      <c r="N527" s="66" t="str">
        <f>+IF(C527="","",ROUND(Parámetros!$D$23,2))</f>
        <v/>
      </c>
      <c r="O527" s="66" t="str">
        <f t="shared" si="685"/>
        <v/>
      </c>
      <c r="P527" s="66" t="str">
        <f>+IF($C527="","",ROUND(IF(B527&gt;Parámetros!$D$117,0,N527*Parámetros!$D$116-G527*Parámetros!$D$100),2))</f>
        <v/>
      </c>
      <c r="Q527" s="75" t="str">
        <f t="shared" si="729"/>
        <v/>
      </c>
      <c r="R527" s="75" t="str">
        <f t="shared" si="730"/>
        <v/>
      </c>
      <c r="S527" s="117" t="str">
        <f>+IF($C527="","",ROUND((S526+I527)*(1+Parámetros!$D$91),2))</f>
        <v/>
      </c>
      <c r="T527" s="117" t="str">
        <f>+IF($C527="","",ROUND(S527*VLOOKUP(B527,Parámetros!$C$30:$D$39,2,TRUE),2))</f>
        <v/>
      </c>
      <c r="U527" s="117" t="str">
        <f>+IF($C527="","",ROUND((U526+I527)*(1+Parámetros!$D$92),2))</f>
        <v/>
      </c>
      <c r="V527" s="117" t="str">
        <f>+IF($C527="","",ROUND(U527*VLOOKUP(B527,Parámetros!$C$30:$D$39,2,TRUE),2))</f>
        <v/>
      </c>
      <c r="W527" s="57" t="str">
        <f t="shared" si="731"/>
        <v/>
      </c>
      <c r="X527" t="str">
        <f t="shared" si="732"/>
        <v/>
      </c>
      <c r="Y527" t="str">
        <f t="shared" si="733"/>
        <v/>
      </c>
      <c r="Z527" s="118" t="str">
        <f>+IF($W527="","",ROUND(IF(Parámetros!$D$25='TABLAS MORT'!$V$33,Z526,Parámetros!$D$21-'Tablas Servicio'!T526),0))</f>
        <v/>
      </c>
      <c r="AA527" s="118" t="str">
        <f t="shared" si="734"/>
        <v/>
      </c>
      <c r="AB527" s="119" t="str">
        <f>+IF(W527="","",ROUND((VLOOKUP(ROUNDDOWN($D527-1/frec,0),qx_tabla,2,FALSE)*(1+i/frec)^-0.5*(1+Parámetros!$D$103)*(1+rec_fracc)/frec),6))</f>
        <v/>
      </c>
      <c r="AC527" s="66" t="str">
        <f t="shared" si="690"/>
        <v/>
      </c>
      <c r="AD527" s="119" t="str">
        <f t="shared" si="686"/>
        <v/>
      </c>
      <c r="AE527" s="66" t="str">
        <f>+IF($W527="","",ROUND(IF($B527&gt;Parámetros!$D$107,'Tablas Servicio'!AC527+('Tablas Servicio'!AG526-'Tablas Servicio'!AC526),AC527/(1-IF(B527&lt;=10,Parámetros!$D$104,Parámetros!$D$105))),2))</f>
        <v/>
      </c>
      <c r="AF527" s="66" t="str">
        <f>+IF($W527="","",ROUND(IF($B527&gt;Parámetros!$D$107,'Tablas Servicio'!AC527+('Tablas Servicio'!AG526-'Tablas Servicio'!AC526),(AC527+$A526/frec)/(1-IF(B527&lt;=Parámetros!$D$117,Parámetros!$D$100,0))),2))</f>
        <v/>
      </c>
      <c r="AG527" s="66" t="str">
        <f t="shared" si="691"/>
        <v/>
      </c>
      <c r="AH527" s="66" t="str">
        <f t="shared" si="692"/>
        <v/>
      </c>
      <c r="AI527" s="66" t="str">
        <f t="shared" si="693"/>
        <v/>
      </c>
      <c r="AJ527" s="66" t="str">
        <f>+IF($W527="","",ROUND((AG527*Parámetros!$G$85),2))</f>
        <v/>
      </c>
      <c r="AK527" s="66" t="str">
        <f>+IF($W527="","",ROUND((AG527*(Parámetros!$G$86)),2))</f>
        <v/>
      </c>
      <c r="AL527" s="66" t="str">
        <f t="shared" si="687"/>
        <v/>
      </c>
      <c r="AM527" t="str">
        <f t="shared" si="735"/>
        <v/>
      </c>
      <c r="AN527" t="str">
        <f t="shared" si="736"/>
        <v/>
      </c>
      <c r="AO527" s="118" t="str">
        <f t="shared" si="737"/>
        <v/>
      </c>
      <c r="AP527" s="118" t="str">
        <f t="shared" si="738"/>
        <v/>
      </c>
      <c r="AQ527" s="119" t="str">
        <f>+IF(OR($W527="",AO527=0),"",ROUND((VLOOKUP(ROUNDDOWN($D527-1/frec,0),cob_adi,Z$40,FALSE)*(1+i/frec)^-0.5*(1+Parámetros!$D$103)*(1+rec_fracc)/frec),6))</f>
        <v/>
      </c>
      <c r="AR527" s="66" t="str">
        <f t="shared" si="694"/>
        <v/>
      </c>
      <c r="AS527" s="119" t="str">
        <f t="shared" si="695"/>
        <v/>
      </c>
      <c r="AT527" s="66" t="str">
        <f>+IF($W527="","",ROUND(IF($B527&gt;Parámetros!$D$107,'Tablas Servicio'!AR527+('Tablas Servicio'!AT526-'Tablas Servicio'!AR526),AR527/(1-IF(B527&lt;=10,Parámetros!$D$100,0))),2))</f>
        <v/>
      </c>
      <c r="AU527" s="66" t="str">
        <f t="shared" si="696"/>
        <v/>
      </c>
      <c r="AV527" s="66" t="str">
        <f t="shared" si="696"/>
        <v/>
      </c>
      <c r="AW527" s="66" t="str">
        <f>+IF($W527="","",ROUND((AT527*Parámetros!$G$85),2))</f>
        <v/>
      </c>
      <c r="AX527" s="66" t="str">
        <f>+IF($W527="","",ROUND((AT527*(Parámetros!$G$86)),2))</f>
        <v/>
      </c>
      <c r="AY527" s="66" t="str">
        <f t="shared" si="697"/>
        <v/>
      </c>
      <c r="AZ527" t="str">
        <f t="shared" si="739"/>
        <v/>
      </c>
      <c r="BA527" t="str">
        <f t="shared" si="740"/>
        <v/>
      </c>
      <c r="BB527" s="118" t="str">
        <f t="shared" si="741"/>
        <v/>
      </c>
      <c r="BC527" s="118" t="str">
        <f t="shared" si="742"/>
        <v/>
      </c>
      <c r="BD527" s="119" t="str">
        <f>+IF(OR($W527="",BB527=0),"",ROUND((VLOOKUP(ROUNDDOWN($D527-1/frec,0),cob_adi,AO$40,FALSE)*(1+i/frec)^-0.5*(1+Parámetros!$D$103)*(1+rec_fracc)/frec),6))</f>
        <v/>
      </c>
      <c r="BE527" s="66" t="str">
        <f t="shared" si="698"/>
        <v/>
      </c>
      <c r="BF527" s="119" t="str">
        <f t="shared" si="699"/>
        <v/>
      </c>
      <c r="BG527" s="66" t="str">
        <f>+IF($W527="","",ROUND(IF($B527&gt;Parámetros!$D$107,'Tablas Servicio'!BE527+('Tablas Servicio'!BG526-'Tablas Servicio'!BE526),BE527/(1-IF(B527&lt;=10,Parámetros!$D$100,0))),2))</f>
        <v/>
      </c>
      <c r="BH527" s="66" t="str">
        <f t="shared" si="700"/>
        <v/>
      </c>
      <c r="BI527" s="66" t="str">
        <f t="shared" si="701"/>
        <v/>
      </c>
      <c r="BJ527" s="66" t="str">
        <f>+IF($W527="","",ROUND((BG527*Parámetros!$G$85),2))</f>
        <v/>
      </c>
      <c r="BK527" s="66" t="str">
        <f>+IF($W527="","",ROUND((BG527*(Parámetros!$G$86)),2))</f>
        <v/>
      </c>
      <c r="BL527" s="66" t="str">
        <f t="shared" si="702"/>
        <v/>
      </c>
      <c r="BM527" t="str">
        <f t="shared" si="743"/>
        <v/>
      </c>
      <c r="BN527" t="str">
        <f t="shared" si="744"/>
        <v/>
      </c>
      <c r="BO527" s="118" t="str">
        <f t="shared" si="745"/>
        <v/>
      </c>
      <c r="BP527" s="118" t="str">
        <f t="shared" si="746"/>
        <v/>
      </c>
      <c r="BQ527" s="119" t="str">
        <f>+IF(OR($W527="",BO527=0),"",ROUND((VLOOKUP(ROUNDDOWN($D527-1/frec,0),cob_adi,BB$40,FALSE)*(1+i/frec)^-0.5*(1+Parámetros!$D$103)*(1+rec_fracc)/frec),6))</f>
        <v/>
      </c>
      <c r="BR527" s="66" t="str">
        <f t="shared" si="703"/>
        <v/>
      </c>
      <c r="BS527" s="119" t="str">
        <f t="shared" si="704"/>
        <v/>
      </c>
      <c r="BT527" s="66" t="str">
        <f>+IF($W527="","",ROUND(IF($B527&gt;Parámetros!$D$107,'Tablas Servicio'!BR527+('Tablas Servicio'!BT526-'Tablas Servicio'!BR526),BR527/(1-IF(B527&lt;=10,Parámetros!$D$100,0))),2))</f>
        <v/>
      </c>
      <c r="BU527" s="66" t="str">
        <f t="shared" si="705"/>
        <v/>
      </c>
      <c r="BV527" s="66" t="str">
        <f t="shared" si="705"/>
        <v/>
      </c>
      <c r="BW527" s="66" t="str">
        <f>+IF($W527="","",ROUND((BT527*Parámetros!$G$85),2))</f>
        <v/>
      </c>
      <c r="BX527" s="66" t="str">
        <f>+IF($W527="","",ROUND((BT527*(Parámetros!$G$86)),2))</f>
        <v/>
      </c>
      <c r="BY527" s="66" t="str">
        <f t="shared" si="706"/>
        <v/>
      </c>
      <c r="BZ527" t="str">
        <f t="shared" si="747"/>
        <v/>
      </c>
      <c r="CA527" t="str">
        <f t="shared" si="748"/>
        <v/>
      </c>
      <c r="CB527" s="118" t="str">
        <f t="shared" si="749"/>
        <v/>
      </c>
      <c r="CC527" s="118" t="str">
        <f t="shared" si="750"/>
        <v/>
      </c>
      <c r="CD527" s="119" t="str">
        <f t="shared" si="707"/>
        <v/>
      </c>
      <c r="CE527" s="66" t="str">
        <f>+IF($W527="","",ROUND((VLOOKUP(ROUNDDOWN($D527-1/frec,0),cob_adi,BO$40,FALSE)*(1+i/frec)^-0.5*(1+Parámetros!$D$103)*(1+rec_fracc)/frec*'TABLAS ADI'!$BC$17),2))</f>
        <v/>
      </c>
      <c r="CF527" s="119" t="str">
        <f t="shared" si="708"/>
        <v/>
      </c>
      <c r="CG527" s="66" t="str">
        <f>+IF($W527="","",ROUND(IF($B527&gt;Parámetros!$D$107,'Tablas Servicio'!CE527+('Tablas Servicio'!CG526-'Tablas Servicio'!CE526),CE527/(1-IF(B527&lt;=10,Parámetros!$D$100,0))),2))</f>
        <v/>
      </c>
      <c r="CH527" s="66" t="str">
        <f t="shared" si="709"/>
        <v/>
      </c>
      <c r="CI527" s="66" t="str">
        <f t="shared" si="709"/>
        <v/>
      </c>
      <c r="CJ527" s="66" t="str">
        <f>+IF($W527="","",ROUND((CG527*Parámetros!$G$85),2))</f>
        <v/>
      </c>
      <c r="CK527" s="66" t="str">
        <f>+IF($W527="","",ROUND((CG527*(Parámetros!$G$86)),2))</f>
        <v/>
      </c>
      <c r="CL527" s="66" t="str">
        <f t="shared" si="710"/>
        <v/>
      </c>
      <c r="CM527" t="str">
        <f t="shared" si="751"/>
        <v/>
      </c>
      <c r="CN527" s="118" t="str">
        <f t="shared" si="752"/>
        <v/>
      </c>
      <c r="CO527" s="118" t="str">
        <f t="shared" si="753"/>
        <v/>
      </c>
      <c r="CP527" s="118" t="str">
        <f t="shared" si="754"/>
        <v/>
      </c>
      <c r="CQ527" s="119" t="str">
        <f t="shared" si="711"/>
        <v/>
      </c>
      <c r="CR527" s="66" t="str">
        <f>+IF($W527="","",ROUND((VLOOKUP(Parámetros!$F$51,'COBERTURAS ADICIONALES'!$S$4:$T$32,2,FALSE)*(1+i/frec)^-0.5*(1+Parámetros!$D$103)*(1+rec_fracc)/frec*$CO$42),2))</f>
        <v/>
      </c>
      <c r="CS527" s="119" t="str">
        <f t="shared" si="712"/>
        <v/>
      </c>
      <c r="CT527" s="66" t="str">
        <f>+IF($W527="","",ROUND(IF($B527&gt;Parámetros!$D$107,'Tablas Servicio'!CR527+('Tablas Servicio'!CT526-'Tablas Servicio'!CR526),CR527/(1-IF(B527&lt;=10,Parámetros!$D$100,0))),2))</f>
        <v/>
      </c>
      <c r="CU527" s="66" t="str">
        <f t="shared" si="713"/>
        <v/>
      </c>
      <c r="CV527" s="66" t="str">
        <f t="shared" si="713"/>
        <v/>
      </c>
      <c r="CW527" s="66" t="str">
        <f>+IF($W527="","",ROUND((CT527*Parámetros!$G$85),2))</f>
        <v/>
      </c>
      <c r="CX527" s="66" t="str">
        <f>+IF($W527="","",ROUND((CT527*(Parámetros!$G$86)),2))</f>
        <v/>
      </c>
      <c r="CY527" s="66" t="str">
        <f t="shared" si="714"/>
        <v/>
      </c>
      <c r="CZ527" t="str">
        <f t="shared" si="755"/>
        <v/>
      </c>
      <c r="DA527" s="118" t="str">
        <f t="shared" si="756"/>
        <v/>
      </c>
      <c r="DB527" s="118" t="str">
        <f t="shared" si="757"/>
        <v/>
      </c>
      <c r="DC527" s="118" t="str">
        <f t="shared" si="758"/>
        <v/>
      </c>
      <c r="DD527" s="121" t="str">
        <f>+IF(OR($W527="",DB527=0),"",ROUND((VLOOKUP(ROUNDDOWN($D527-1/frec,0),cob_adi,CO$40,FALSE)*(1+i/frec)^-0.5*(1+Parámetros!$D$103)*(1+rec_fracc)/frec),6))</f>
        <v/>
      </c>
      <c r="DE527" s="66" t="str">
        <f t="shared" si="715"/>
        <v/>
      </c>
      <c r="DF527" s="119" t="str">
        <f t="shared" si="716"/>
        <v/>
      </c>
      <c r="DG527" s="66" t="str">
        <f>+IF($W527="","",ROUND(IF($B527&gt;Parámetros!$D$107,'Tablas Servicio'!DE527+('Tablas Servicio'!DG526-'Tablas Servicio'!DE526),DE527/(1-IF(B527&lt;=10,Parámetros!$D$100,0))),2))</f>
        <v/>
      </c>
      <c r="DH527" s="66" t="str">
        <f t="shared" si="717"/>
        <v/>
      </c>
      <c r="DI527" s="66" t="str">
        <f t="shared" si="717"/>
        <v/>
      </c>
      <c r="DJ527" s="66" t="str">
        <f>+IF($W527="","",ROUND((DG527*Parámetros!$G$85),2))</f>
        <v/>
      </c>
      <c r="DK527" s="66" t="str">
        <f>+IF($W527="","",ROUND((DG527*(Parámetros!$G$86)),2))</f>
        <v/>
      </c>
      <c r="DL527" s="66" t="str">
        <f t="shared" si="718"/>
        <v/>
      </c>
      <c r="DM527" t="str">
        <f t="shared" si="759"/>
        <v/>
      </c>
      <c r="DN527" s="118" t="str">
        <f t="shared" si="760"/>
        <v/>
      </c>
      <c r="DO527" s="118" t="str">
        <f t="shared" si="761"/>
        <v/>
      </c>
      <c r="DP527" s="118" t="str">
        <f t="shared" si="762"/>
        <v/>
      </c>
      <c r="DQ527" s="122" t="str">
        <f>+IF(OR($W527="",DO527=0),"",ROUND((VLOOKUP(ROUNDDOWN($D527-1/frec,0),cob_adi,DB$40,FALSE)*(1+i/frec)^-0.5*(1+Parámetros!$D$103)*(1+rec_fracc)/frec),6))</f>
        <v/>
      </c>
      <c r="DR527" s="66" t="str">
        <f t="shared" si="719"/>
        <v/>
      </c>
      <c r="DS527" s="68" t="str">
        <f t="shared" si="720"/>
        <v/>
      </c>
      <c r="DT527" s="66" t="str">
        <f>+IF($W527="","",ROUND(IF($B527&gt;Parámetros!$D$107,'Tablas Servicio'!DR527+('Tablas Servicio'!DT526-'Tablas Servicio'!DR526),DR527/(1-IF(B527&lt;=10,Parámetros!$D$100,0))),2))</f>
        <v/>
      </c>
      <c r="DU527" s="66" t="str">
        <f t="shared" si="721"/>
        <v/>
      </c>
      <c r="DV527" s="66" t="str">
        <f t="shared" si="721"/>
        <v/>
      </c>
      <c r="DW527" s="66" t="str">
        <f>+IF($W527="","",ROUND((DT527*Parámetros!$G$85),2))</f>
        <v/>
      </c>
      <c r="DX527" s="66" t="str">
        <f>+IF($W527="","",ROUND((DT527*(Parámetros!$G$86)),2))</f>
        <v/>
      </c>
      <c r="DY527" s="66" t="str">
        <f t="shared" si="722"/>
        <v/>
      </c>
      <c r="DZ527" t="str">
        <f t="shared" si="764"/>
        <v/>
      </c>
      <c r="EA527" s="118" t="str">
        <f t="shared" si="764"/>
        <v/>
      </c>
      <c r="EB527" s="118" t="str">
        <f>+IF($W527="","",ROUND(IF(Parámetros!$D$25='TABLAS MORT'!$V$33,EB526,Z527/2),0))</f>
        <v/>
      </c>
      <c r="EC527" s="118" t="str">
        <f t="shared" si="764"/>
        <v/>
      </c>
      <c r="ED527" s="122" t="str">
        <f>+IF(OR($W527="",EB527=0),"",ROUND((VLOOKUP(ROUNDDOWN($D527-1/frec,0),cob_adi,DO$40,FALSE)*(1+i/frec)^-0.5*(1+Parámetros!$D$103)*(1+rec_fracc)/frec),6))</f>
        <v/>
      </c>
      <c r="EE527" s="66" t="str">
        <f t="shared" si="724"/>
        <v/>
      </c>
      <c r="EF527" s="68" t="str">
        <f t="shared" si="725"/>
        <v/>
      </c>
      <c r="EG527" s="66" t="str">
        <f>+IF($W527="","",ROUND(IF($B527&gt;Parámetros!$D$107,'Tablas Servicio'!EE527+('Tablas Servicio'!EG526-'Tablas Servicio'!EE526),EE527/(1-IF(B527&lt;=10,Parámetros!$D$100,0))),2))</f>
        <v/>
      </c>
      <c r="EH527" s="66" t="str">
        <f t="shared" si="726"/>
        <v/>
      </c>
      <c r="EI527" s="66" t="str">
        <f t="shared" si="726"/>
        <v/>
      </c>
      <c r="EJ527" s="66" t="str">
        <f>+IF($W527="","",ROUND((EG527*Parámetros!$G$85),2))</f>
        <v/>
      </c>
      <c r="EK527" s="66" t="str">
        <f>+IF($W527="","",ROUND((EG527*(Parámetros!$G$86)),2))</f>
        <v/>
      </c>
      <c r="EL527" s="66" t="str">
        <f t="shared" si="727"/>
        <v/>
      </c>
    </row>
    <row r="528" spans="1:142" x14ac:dyDescent="0.25">
      <c r="A528" t="str">
        <f>+IF($C528="","",ROUND(VLOOKUP('Tablas Servicio'!B528,Parámetros!$H$100:$J$159,IF(Parámetros!$E$16="F",2,3),FALSE),2))</f>
        <v/>
      </c>
      <c r="B528" t="str">
        <f t="shared" si="678"/>
        <v/>
      </c>
      <c r="C528" s="57" t="str">
        <f>+IF(D528="","",'Tablas Servicio'!C527+1)</f>
        <v/>
      </c>
      <c r="D528" s="56" t="str">
        <f>+IF(D527&lt;edadmaxtabla,D527+1/Parámetros!$E$25,"")</f>
        <v/>
      </c>
      <c r="E528" s="57" t="str">
        <f t="shared" si="688"/>
        <v/>
      </c>
      <c r="F528" s="59" t="str">
        <f t="shared" si="689"/>
        <v/>
      </c>
      <c r="G528" s="66" t="str">
        <f t="shared" si="679"/>
        <v/>
      </c>
      <c r="H528" s="66" t="str">
        <f t="shared" si="680"/>
        <v/>
      </c>
      <c r="I528" s="66" t="str">
        <f t="shared" si="728"/>
        <v/>
      </c>
      <c r="J528" s="66" t="str">
        <f t="shared" si="681"/>
        <v/>
      </c>
      <c r="K528" s="66" t="str">
        <f t="shared" si="682"/>
        <v/>
      </c>
      <c r="L528" s="66" t="str">
        <f t="shared" si="683"/>
        <v/>
      </c>
      <c r="M528" s="66" t="str">
        <f t="shared" si="684"/>
        <v/>
      </c>
      <c r="N528" s="66" t="str">
        <f>+IF(C528="","",ROUND(Parámetros!$D$23,2))</f>
        <v/>
      </c>
      <c r="O528" s="66" t="str">
        <f t="shared" si="685"/>
        <v/>
      </c>
      <c r="P528" s="66" t="str">
        <f>+IF($C528="","",ROUND(IF(B528&gt;Parámetros!$D$117,0,N528*Parámetros!$D$116-G528*Parámetros!$D$100),2))</f>
        <v/>
      </c>
      <c r="Q528" s="75" t="str">
        <f t="shared" si="729"/>
        <v/>
      </c>
      <c r="R528" s="75" t="str">
        <f t="shared" si="730"/>
        <v/>
      </c>
      <c r="S528" s="117" t="str">
        <f>+IF($C528="","",ROUND((S527+I528)*(1+Parámetros!$D$91),2))</f>
        <v/>
      </c>
      <c r="T528" s="117" t="str">
        <f>+IF($C528="","",ROUND(S528*VLOOKUP(B528,Parámetros!$C$30:$D$39,2,TRUE),2))</f>
        <v/>
      </c>
      <c r="U528" s="117" t="str">
        <f>+IF($C528="","",ROUND((U527+I528)*(1+Parámetros!$D$92),2))</f>
        <v/>
      </c>
      <c r="V528" s="117" t="str">
        <f>+IF($C528="","",ROUND(U528*VLOOKUP(B528,Parámetros!$C$30:$D$39,2,TRUE),2))</f>
        <v/>
      </c>
      <c r="W528" s="57" t="str">
        <f t="shared" si="731"/>
        <v/>
      </c>
      <c r="X528" t="str">
        <f t="shared" si="732"/>
        <v/>
      </c>
      <c r="Y528" t="str">
        <f t="shared" si="733"/>
        <v/>
      </c>
      <c r="Z528" s="118" t="str">
        <f>+IF($W528="","",ROUND(IF(Parámetros!$D$25='TABLAS MORT'!$V$33,Z527,Parámetros!$D$21-'Tablas Servicio'!T527),0))</f>
        <v/>
      </c>
      <c r="AA528" s="118" t="str">
        <f t="shared" si="734"/>
        <v/>
      </c>
      <c r="AB528" s="119" t="str">
        <f>+IF(W528="","",ROUND((VLOOKUP(ROUNDDOWN($D528-1/frec,0),qx_tabla,2,FALSE)*(1+i/frec)^-0.5*(1+Parámetros!$D$103)*(1+rec_fracc)/frec),6))</f>
        <v/>
      </c>
      <c r="AC528" s="66" t="str">
        <f t="shared" si="690"/>
        <v/>
      </c>
      <c r="AD528" s="119" t="str">
        <f t="shared" si="686"/>
        <v/>
      </c>
      <c r="AE528" s="66" t="str">
        <f>+IF($W528="","",ROUND(IF($B528&gt;Parámetros!$D$107,'Tablas Servicio'!AC528+('Tablas Servicio'!AG527-'Tablas Servicio'!AC527),AC528/(1-IF(B528&lt;=10,Parámetros!$D$104,Parámetros!$D$105))),2))</f>
        <v/>
      </c>
      <c r="AF528" s="66" t="str">
        <f>+IF($W528="","",ROUND(IF($B528&gt;Parámetros!$D$107,'Tablas Servicio'!AC528+('Tablas Servicio'!AG527-'Tablas Servicio'!AC527),(AC528+$A527/frec)/(1-IF(B528&lt;=Parámetros!$D$117,Parámetros!$D$100,0))),2))</f>
        <v/>
      </c>
      <c r="AG528" s="66" t="str">
        <f t="shared" si="691"/>
        <v/>
      </c>
      <c r="AH528" s="66" t="str">
        <f t="shared" si="692"/>
        <v/>
      </c>
      <c r="AI528" s="66" t="str">
        <f t="shared" si="693"/>
        <v/>
      </c>
      <c r="AJ528" s="66" t="str">
        <f>+IF($W528="","",ROUND((AG528*Parámetros!$G$85),2))</f>
        <v/>
      </c>
      <c r="AK528" s="66" t="str">
        <f>+IF($W528="","",ROUND((AG528*(Parámetros!$G$86)),2))</f>
        <v/>
      </c>
      <c r="AL528" s="66" t="str">
        <f t="shared" si="687"/>
        <v/>
      </c>
      <c r="AM528" t="str">
        <f t="shared" si="735"/>
        <v/>
      </c>
      <c r="AN528" t="str">
        <f t="shared" si="736"/>
        <v/>
      </c>
      <c r="AO528" s="118" t="str">
        <f t="shared" si="737"/>
        <v/>
      </c>
      <c r="AP528" s="118" t="str">
        <f t="shared" si="738"/>
        <v/>
      </c>
      <c r="AQ528" s="119" t="str">
        <f>+IF(OR($W528="",AO528=0),"",ROUND((VLOOKUP(ROUNDDOWN($D528-1/frec,0),cob_adi,Z$40,FALSE)*(1+i/frec)^-0.5*(1+Parámetros!$D$103)*(1+rec_fracc)/frec),6))</f>
        <v/>
      </c>
      <c r="AR528" s="66" t="str">
        <f t="shared" si="694"/>
        <v/>
      </c>
      <c r="AS528" s="119" t="str">
        <f t="shared" si="695"/>
        <v/>
      </c>
      <c r="AT528" s="66" t="str">
        <f>+IF($W528="","",ROUND(IF($B528&gt;Parámetros!$D$107,'Tablas Servicio'!AR528+('Tablas Servicio'!AT527-'Tablas Servicio'!AR527),AR528/(1-IF(B528&lt;=10,Parámetros!$D$100,0))),2))</f>
        <v/>
      </c>
      <c r="AU528" s="66" t="str">
        <f t="shared" si="696"/>
        <v/>
      </c>
      <c r="AV528" s="66" t="str">
        <f t="shared" si="696"/>
        <v/>
      </c>
      <c r="AW528" s="66" t="str">
        <f>+IF($W528="","",ROUND((AT528*Parámetros!$G$85),2))</f>
        <v/>
      </c>
      <c r="AX528" s="66" t="str">
        <f>+IF($W528="","",ROUND((AT528*(Parámetros!$G$86)),2))</f>
        <v/>
      </c>
      <c r="AY528" s="66" t="str">
        <f t="shared" si="697"/>
        <v/>
      </c>
      <c r="AZ528" t="str">
        <f t="shared" si="739"/>
        <v/>
      </c>
      <c r="BA528" t="str">
        <f t="shared" si="740"/>
        <v/>
      </c>
      <c r="BB528" s="118" t="str">
        <f t="shared" si="741"/>
        <v/>
      </c>
      <c r="BC528" s="118" t="str">
        <f t="shared" si="742"/>
        <v/>
      </c>
      <c r="BD528" s="119" t="str">
        <f>+IF(OR($W528="",BB528=0),"",ROUND((VLOOKUP(ROUNDDOWN($D528-1/frec,0),cob_adi,AO$40,FALSE)*(1+i/frec)^-0.5*(1+Parámetros!$D$103)*(1+rec_fracc)/frec),6))</f>
        <v/>
      </c>
      <c r="BE528" s="66" t="str">
        <f t="shared" si="698"/>
        <v/>
      </c>
      <c r="BF528" s="119" t="str">
        <f t="shared" si="699"/>
        <v/>
      </c>
      <c r="BG528" s="66" t="str">
        <f>+IF($W528="","",ROUND(IF($B528&gt;Parámetros!$D$107,'Tablas Servicio'!BE528+('Tablas Servicio'!BG527-'Tablas Servicio'!BE527),BE528/(1-IF(B528&lt;=10,Parámetros!$D$100,0))),2))</f>
        <v/>
      </c>
      <c r="BH528" s="66" t="str">
        <f t="shared" si="700"/>
        <v/>
      </c>
      <c r="BI528" s="66" t="str">
        <f t="shared" si="701"/>
        <v/>
      </c>
      <c r="BJ528" s="66" t="str">
        <f>+IF($W528="","",ROUND((BG528*Parámetros!$G$85),2))</f>
        <v/>
      </c>
      <c r="BK528" s="66" t="str">
        <f>+IF($W528="","",ROUND((BG528*(Parámetros!$G$86)),2))</f>
        <v/>
      </c>
      <c r="BL528" s="66" t="str">
        <f t="shared" si="702"/>
        <v/>
      </c>
      <c r="BM528" t="str">
        <f t="shared" si="743"/>
        <v/>
      </c>
      <c r="BN528" t="str">
        <f t="shared" si="744"/>
        <v/>
      </c>
      <c r="BO528" s="118" t="str">
        <f t="shared" si="745"/>
        <v/>
      </c>
      <c r="BP528" s="118" t="str">
        <f t="shared" si="746"/>
        <v/>
      </c>
      <c r="BQ528" s="119" t="str">
        <f>+IF(OR($W528="",BO528=0),"",ROUND((VLOOKUP(ROUNDDOWN($D528-1/frec,0),cob_adi,BB$40,FALSE)*(1+i/frec)^-0.5*(1+Parámetros!$D$103)*(1+rec_fracc)/frec),6))</f>
        <v/>
      </c>
      <c r="BR528" s="66" t="str">
        <f t="shared" si="703"/>
        <v/>
      </c>
      <c r="BS528" s="119" t="str">
        <f t="shared" si="704"/>
        <v/>
      </c>
      <c r="BT528" s="66" t="str">
        <f>+IF($W528="","",ROUND(IF($B528&gt;Parámetros!$D$107,'Tablas Servicio'!BR528+('Tablas Servicio'!BT527-'Tablas Servicio'!BR527),BR528/(1-IF(B528&lt;=10,Parámetros!$D$100,0))),2))</f>
        <v/>
      </c>
      <c r="BU528" s="66" t="str">
        <f t="shared" si="705"/>
        <v/>
      </c>
      <c r="BV528" s="66" t="str">
        <f t="shared" si="705"/>
        <v/>
      </c>
      <c r="BW528" s="66" t="str">
        <f>+IF($W528="","",ROUND((BT528*Parámetros!$G$85),2))</f>
        <v/>
      </c>
      <c r="BX528" s="66" t="str">
        <f>+IF($W528="","",ROUND((BT528*(Parámetros!$G$86)),2))</f>
        <v/>
      </c>
      <c r="BY528" s="66" t="str">
        <f t="shared" si="706"/>
        <v/>
      </c>
      <c r="BZ528" t="str">
        <f t="shared" si="747"/>
        <v/>
      </c>
      <c r="CA528" t="str">
        <f t="shared" si="748"/>
        <v/>
      </c>
      <c r="CB528" s="118" t="str">
        <f t="shared" si="749"/>
        <v/>
      </c>
      <c r="CC528" s="118" t="str">
        <f t="shared" si="750"/>
        <v/>
      </c>
      <c r="CD528" s="119" t="str">
        <f t="shared" si="707"/>
        <v/>
      </c>
      <c r="CE528" s="66" t="str">
        <f>+IF($W528="","",ROUND((VLOOKUP(ROUNDDOWN($D528-1/frec,0),cob_adi,BO$40,FALSE)*(1+i/frec)^-0.5*(1+Parámetros!$D$103)*(1+rec_fracc)/frec*'TABLAS ADI'!$BC$17),2))</f>
        <v/>
      </c>
      <c r="CF528" s="119" t="str">
        <f t="shared" si="708"/>
        <v/>
      </c>
      <c r="CG528" s="66" t="str">
        <f>+IF($W528="","",ROUND(IF($B528&gt;Parámetros!$D$107,'Tablas Servicio'!CE528+('Tablas Servicio'!CG527-'Tablas Servicio'!CE527),CE528/(1-IF(B528&lt;=10,Parámetros!$D$100,0))),2))</f>
        <v/>
      </c>
      <c r="CH528" s="66" t="str">
        <f t="shared" si="709"/>
        <v/>
      </c>
      <c r="CI528" s="66" t="str">
        <f t="shared" si="709"/>
        <v/>
      </c>
      <c r="CJ528" s="66" t="str">
        <f>+IF($W528="","",ROUND((CG528*Parámetros!$G$85),2))</f>
        <v/>
      </c>
      <c r="CK528" s="66" t="str">
        <f>+IF($W528="","",ROUND((CG528*(Parámetros!$G$86)),2))</f>
        <v/>
      </c>
      <c r="CL528" s="66" t="str">
        <f t="shared" si="710"/>
        <v/>
      </c>
      <c r="CM528" t="str">
        <f t="shared" si="751"/>
        <v/>
      </c>
      <c r="CN528" s="118" t="str">
        <f t="shared" si="752"/>
        <v/>
      </c>
      <c r="CO528" s="118" t="str">
        <f t="shared" si="753"/>
        <v/>
      </c>
      <c r="CP528" s="118" t="str">
        <f t="shared" si="754"/>
        <v/>
      </c>
      <c r="CQ528" s="119" t="str">
        <f t="shared" si="711"/>
        <v/>
      </c>
      <c r="CR528" s="66" t="str">
        <f>+IF($W528="","",ROUND((VLOOKUP(Parámetros!$F$51,'COBERTURAS ADICIONALES'!$S$4:$T$32,2,FALSE)*(1+i/frec)^-0.5*(1+Parámetros!$D$103)*(1+rec_fracc)/frec*$CO$42),2))</f>
        <v/>
      </c>
      <c r="CS528" s="119" t="str">
        <f t="shared" si="712"/>
        <v/>
      </c>
      <c r="CT528" s="66" t="str">
        <f>+IF($W528="","",ROUND(IF($B528&gt;Parámetros!$D$107,'Tablas Servicio'!CR528+('Tablas Servicio'!CT527-'Tablas Servicio'!CR527),CR528/(1-IF(B528&lt;=10,Parámetros!$D$100,0))),2))</f>
        <v/>
      </c>
      <c r="CU528" s="66" t="str">
        <f t="shared" si="713"/>
        <v/>
      </c>
      <c r="CV528" s="66" t="str">
        <f t="shared" si="713"/>
        <v/>
      </c>
      <c r="CW528" s="66" t="str">
        <f>+IF($W528="","",ROUND((CT528*Parámetros!$G$85),2))</f>
        <v/>
      </c>
      <c r="CX528" s="66" t="str">
        <f>+IF($W528="","",ROUND((CT528*(Parámetros!$G$86)),2))</f>
        <v/>
      </c>
      <c r="CY528" s="66" t="str">
        <f t="shared" si="714"/>
        <v/>
      </c>
      <c r="CZ528" t="str">
        <f t="shared" si="755"/>
        <v/>
      </c>
      <c r="DA528" s="118" t="str">
        <f t="shared" si="756"/>
        <v/>
      </c>
      <c r="DB528" s="118" t="str">
        <f t="shared" si="757"/>
        <v/>
      </c>
      <c r="DC528" s="118" t="str">
        <f t="shared" si="758"/>
        <v/>
      </c>
      <c r="DD528" s="121" t="str">
        <f>+IF(OR($W528="",DB528=0),"",ROUND((VLOOKUP(ROUNDDOWN($D528-1/frec,0),cob_adi,CO$40,FALSE)*(1+i/frec)^-0.5*(1+Parámetros!$D$103)*(1+rec_fracc)/frec),6))</f>
        <v/>
      </c>
      <c r="DE528" s="66" t="str">
        <f t="shared" si="715"/>
        <v/>
      </c>
      <c r="DF528" s="119" t="str">
        <f t="shared" si="716"/>
        <v/>
      </c>
      <c r="DG528" s="66" t="str">
        <f>+IF($W528="","",ROUND(IF($B528&gt;Parámetros!$D$107,'Tablas Servicio'!DE528+('Tablas Servicio'!DG527-'Tablas Servicio'!DE527),DE528/(1-IF(B528&lt;=10,Parámetros!$D$100,0))),2))</f>
        <v/>
      </c>
      <c r="DH528" s="66" t="str">
        <f t="shared" si="717"/>
        <v/>
      </c>
      <c r="DI528" s="66" t="str">
        <f t="shared" si="717"/>
        <v/>
      </c>
      <c r="DJ528" s="66" t="str">
        <f>+IF($W528="","",ROUND((DG528*Parámetros!$G$85),2))</f>
        <v/>
      </c>
      <c r="DK528" s="66" t="str">
        <f>+IF($W528="","",ROUND((DG528*(Parámetros!$G$86)),2))</f>
        <v/>
      </c>
      <c r="DL528" s="66" t="str">
        <f t="shared" si="718"/>
        <v/>
      </c>
      <c r="DM528" t="str">
        <f t="shared" si="759"/>
        <v/>
      </c>
      <c r="DN528" s="118" t="str">
        <f t="shared" si="760"/>
        <v/>
      </c>
      <c r="DO528" s="118" t="str">
        <f t="shared" si="761"/>
        <v/>
      </c>
      <c r="DP528" s="118" t="str">
        <f t="shared" si="762"/>
        <v/>
      </c>
      <c r="DQ528" s="122" t="str">
        <f>+IF(OR($W528="",DO528=0),"",ROUND((VLOOKUP(ROUNDDOWN($D528-1/frec,0),cob_adi,DB$40,FALSE)*(1+i/frec)^-0.5*(1+Parámetros!$D$103)*(1+rec_fracc)/frec),6))</f>
        <v/>
      </c>
      <c r="DR528" s="66" t="str">
        <f t="shared" si="719"/>
        <v/>
      </c>
      <c r="DS528" s="68" t="str">
        <f t="shared" si="720"/>
        <v/>
      </c>
      <c r="DT528" s="66" t="str">
        <f>+IF($W528="","",ROUND(IF($B528&gt;Parámetros!$D$107,'Tablas Servicio'!DR528+('Tablas Servicio'!DT527-'Tablas Servicio'!DR527),DR528/(1-IF(B528&lt;=10,Parámetros!$D$100,0))),2))</f>
        <v/>
      </c>
      <c r="DU528" s="66" t="str">
        <f t="shared" si="721"/>
        <v/>
      </c>
      <c r="DV528" s="66" t="str">
        <f t="shared" si="721"/>
        <v/>
      </c>
      <c r="DW528" s="66" t="str">
        <f>+IF($W528="","",ROUND((DT528*Parámetros!$G$85),2))</f>
        <v/>
      </c>
      <c r="DX528" s="66" t="str">
        <f>+IF($W528="","",ROUND((DT528*(Parámetros!$G$86)),2))</f>
        <v/>
      </c>
      <c r="DY528" s="66" t="str">
        <f t="shared" si="722"/>
        <v/>
      </c>
      <c r="DZ528" t="str">
        <f t="shared" si="764"/>
        <v/>
      </c>
      <c r="EA528" s="118" t="str">
        <f t="shared" si="764"/>
        <v/>
      </c>
      <c r="EB528" s="118" t="str">
        <f>+IF($W528="","",ROUND(IF(Parámetros!$D$25='TABLAS MORT'!$V$33,EB527,Z528/2),0))</f>
        <v/>
      </c>
      <c r="EC528" s="118" t="str">
        <f t="shared" si="764"/>
        <v/>
      </c>
      <c r="ED528" s="122" t="str">
        <f>+IF(OR($W528="",EB528=0),"",ROUND((VLOOKUP(ROUNDDOWN($D528-1/frec,0),cob_adi,DO$40,FALSE)*(1+i/frec)^-0.5*(1+Parámetros!$D$103)*(1+rec_fracc)/frec),6))</f>
        <v/>
      </c>
      <c r="EE528" s="66" t="str">
        <f t="shared" si="724"/>
        <v/>
      </c>
      <c r="EF528" s="68" t="str">
        <f t="shared" si="725"/>
        <v/>
      </c>
      <c r="EG528" s="66" t="str">
        <f>+IF($W528="","",ROUND(IF($B528&gt;Parámetros!$D$107,'Tablas Servicio'!EE528+('Tablas Servicio'!EG527-'Tablas Servicio'!EE527),EE528/(1-IF(B528&lt;=10,Parámetros!$D$100,0))),2))</f>
        <v/>
      </c>
      <c r="EH528" s="66" t="str">
        <f t="shared" si="726"/>
        <v/>
      </c>
      <c r="EI528" s="66" t="str">
        <f t="shared" si="726"/>
        <v/>
      </c>
      <c r="EJ528" s="66" t="str">
        <f>+IF($W528="","",ROUND((EG528*Parámetros!$G$85),2))</f>
        <v/>
      </c>
      <c r="EK528" s="66" t="str">
        <f>+IF($W528="","",ROUND((EG528*(Parámetros!$G$86)),2))</f>
        <v/>
      </c>
      <c r="EL528" s="66" t="str">
        <f t="shared" si="727"/>
        <v/>
      </c>
    </row>
    <row r="529" spans="1:142" x14ac:dyDescent="0.25">
      <c r="A529" t="str">
        <f>+IF($C529="","",ROUND(VLOOKUP('Tablas Servicio'!B529,Parámetros!$H$100:$J$159,IF(Parámetros!$E$16="F",2,3),FALSE),2))</f>
        <v/>
      </c>
      <c r="B529" t="str">
        <f t="shared" si="678"/>
        <v/>
      </c>
      <c r="C529" s="57" t="str">
        <f>+IF(D529="","",'Tablas Servicio'!C528+1)</f>
        <v/>
      </c>
      <c r="D529" s="56" t="str">
        <f>+IF(D528&lt;edadmaxtabla,D528+1/Parámetros!$E$25,"")</f>
        <v/>
      </c>
      <c r="E529" s="57" t="str">
        <f t="shared" si="688"/>
        <v/>
      </c>
      <c r="F529" s="59" t="str">
        <f t="shared" si="689"/>
        <v/>
      </c>
      <c r="G529" s="66" t="str">
        <f t="shared" si="679"/>
        <v/>
      </c>
      <c r="H529" s="66" t="str">
        <f t="shared" si="680"/>
        <v/>
      </c>
      <c r="I529" s="66" t="str">
        <f t="shared" si="728"/>
        <v/>
      </c>
      <c r="J529" s="66" t="str">
        <f t="shared" si="681"/>
        <v/>
      </c>
      <c r="K529" s="66" t="str">
        <f t="shared" si="682"/>
        <v/>
      </c>
      <c r="L529" s="66" t="str">
        <f t="shared" si="683"/>
        <v/>
      </c>
      <c r="M529" s="66" t="str">
        <f t="shared" si="684"/>
        <v/>
      </c>
      <c r="N529" s="66" t="str">
        <f>+IF(C529="","",ROUND(Parámetros!$D$23,2))</f>
        <v/>
      </c>
      <c r="O529" s="66" t="str">
        <f t="shared" si="685"/>
        <v/>
      </c>
      <c r="P529" s="66" t="str">
        <f>+IF($C529="","",ROUND(IF(B529&gt;Parámetros!$D$117,0,N529*Parámetros!$D$116-G529*Parámetros!$D$100),2))</f>
        <v/>
      </c>
      <c r="Q529" s="75" t="str">
        <f t="shared" si="729"/>
        <v/>
      </c>
      <c r="R529" s="75" t="str">
        <f t="shared" si="730"/>
        <v/>
      </c>
      <c r="S529" s="117" t="str">
        <f>+IF($C529="","",ROUND((S528+I529)*(1+Parámetros!$D$91),2))</f>
        <v/>
      </c>
      <c r="T529" s="117" t="str">
        <f>+IF($C529="","",ROUND(S529*VLOOKUP(B529,Parámetros!$C$30:$D$39,2,TRUE),2))</f>
        <v/>
      </c>
      <c r="U529" s="117" t="str">
        <f>+IF($C529="","",ROUND((U528+I529)*(1+Parámetros!$D$92),2))</f>
        <v/>
      </c>
      <c r="V529" s="117" t="str">
        <f>+IF($C529="","",ROUND(U529*VLOOKUP(B529,Parámetros!$C$30:$D$39,2,TRUE),2))</f>
        <v/>
      </c>
      <c r="W529" s="57" t="str">
        <f t="shared" si="731"/>
        <v/>
      </c>
      <c r="X529" t="str">
        <f t="shared" si="732"/>
        <v/>
      </c>
      <c r="Y529" t="str">
        <f t="shared" si="733"/>
        <v/>
      </c>
      <c r="Z529" s="118" t="str">
        <f>+IF($W529="","",ROUND(IF(Parámetros!$D$25='TABLAS MORT'!$V$33,Z528,Parámetros!$D$21-'Tablas Servicio'!T528),0))</f>
        <v/>
      </c>
      <c r="AA529" s="118" t="str">
        <f t="shared" si="734"/>
        <v/>
      </c>
      <c r="AB529" s="119" t="str">
        <f>+IF(W529="","",ROUND((VLOOKUP(ROUNDDOWN($D529-1/frec,0),qx_tabla,2,FALSE)*(1+i/frec)^-0.5*(1+Parámetros!$D$103)*(1+rec_fracc)/frec),6))</f>
        <v/>
      </c>
      <c r="AC529" s="66" t="str">
        <f t="shared" si="690"/>
        <v/>
      </c>
      <c r="AD529" s="119" t="str">
        <f t="shared" si="686"/>
        <v/>
      </c>
      <c r="AE529" s="66" t="str">
        <f>+IF($W529="","",ROUND(IF($B529&gt;Parámetros!$D$107,'Tablas Servicio'!AC529+('Tablas Servicio'!AG528-'Tablas Servicio'!AC528),AC529/(1-IF(B529&lt;=10,Parámetros!$D$104,Parámetros!$D$105))),2))</f>
        <v/>
      </c>
      <c r="AF529" s="66" t="str">
        <f>+IF($W529="","",ROUND(IF($B529&gt;Parámetros!$D$107,'Tablas Servicio'!AC529+('Tablas Servicio'!AG528-'Tablas Servicio'!AC528),(AC529+$A528/frec)/(1-IF(B529&lt;=Parámetros!$D$117,Parámetros!$D$100,0))),2))</f>
        <v/>
      </c>
      <c r="AG529" s="66" t="str">
        <f t="shared" si="691"/>
        <v/>
      </c>
      <c r="AH529" s="66" t="str">
        <f t="shared" si="692"/>
        <v/>
      </c>
      <c r="AI529" s="66" t="str">
        <f t="shared" si="693"/>
        <v/>
      </c>
      <c r="AJ529" s="66" t="str">
        <f>+IF($W529="","",ROUND((AG529*Parámetros!$G$85),2))</f>
        <v/>
      </c>
      <c r="AK529" s="66" t="str">
        <f>+IF($W529="","",ROUND((AG529*(Parámetros!$G$86)),2))</f>
        <v/>
      </c>
      <c r="AL529" s="66" t="str">
        <f t="shared" si="687"/>
        <v/>
      </c>
      <c r="AM529" t="str">
        <f t="shared" si="735"/>
        <v/>
      </c>
      <c r="AN529" t="str">
        <f t="shared" si="736"/>
        <v/>
      </c>
      <c r="AO529" s="118" t="str">
        <f t="shared" si="737"/>
        <v/>
      </c>
      <c r="AP529" s="118" t="str">
        <f t="shared" si="738"/>
        <v/>
      </c>
      <c r="AQ529" s="119" t="str">
        <f>+IF(OR($W529="",AO529=0),"",ROUND((VLOOKUP(ROUNDDOWN($D529-1/frec,0),cob_adi,Z$40,FALSE)*(1+i/frec)^-0.5*(1+Parámetros!$D$103)*(1+rec_fracc)/frec),6))</f>
        <v/>
      </c>
      <c r="AR529" s="66" t="str">
        <f t="shared" si="694"/>
        <v/>
      </c>
      <c r="AS529" s="119" t="str">
        <f t="shared" si="695"/>
        <v/>
      </c>
      <c r="AT529" s="66" t="str">
        <f>+IF($W529="","",ROUND(IF($B529&gt;Parámetros!$D$107,'Tablas Servicio'!AR529+('Tablas Servicio'!AT528-'Tablas Servicio'!AR528),AR529/(1-IF(B529&lt;=10,Parámetros!$D$100,0))),2))</f>
        <v/>
      </c>
      <c r="AU529" s="66" t="str">
        <f t="shared" si="696"/>
        <v/>
      </c>
      <c r="AV529" s="66" t="str">
        <f t="shared" si="696"/>
        <v/>
      </c>
      <c r="AW529" s="66" t="str">
        <f>+IF($W529="","",ROUND((AT529*Parámetros!$G$85),2))</f>
        <v/>
      </c>
      <c r="AX529" s="66" t="str">
        <f>+IF($W529="","",ROUND((AT529*(Parámetros!$G$86)),2))</f>
        <v/>
      </c>
      <c r="AY529" s="66" t="str">
        <f t="shared" si="697"/>
        <v/>
      </c>
      <c r="AZ529" t="str">
        <f t="shared" si="739"/>
        <v/>
      </c>
      <c r="BA529" t="str">
        <f t="shared" si="740"/>
        <v/>
      </c>
      <c r="BB529" s="118" t="str">
        <f t="shared" si="741"/>
        <v/>
      </c>
      <c r="BC529" s="118" t="str">
        <f t="shared" si="742"/>
        <v/>
      </c>
      <c r="BD529" s="119" t="str">
        <f>+IF(OR($W529="",BB529=0),"",ROUND((VLOOKUP(ROUNDDOWN($D529-1/frec,0),cob_adi,AO$40,FALSE)*(1+i/frec)^-0.5*(1+Parámetros!$D$103)*(1+rec_fracc)/frec),6))</f>
        <v/>
      </c>
      <c r="BE529" s="66" t="str">
        <f t="shared" si="698"/>
        <v/>
      </c>
      <c r="BF529" s="119" t="str">
        <f t="shared" si="699"/>
        <v/>
      </c>
      <c r="BG529" s="66" t="str">
        <f>+IF($W529="","",ROUND(IF($B529&gt;Parámetros!$D$107,'Tablas Servicio'!BE529+('Tablas Servicio'!BG528-'Tablas Servicio'!BE528),BE529/(1-IF(B529&lt;=10,Parámetros!$D$100,0))),2))</f>
        <v/>
      </c>
      <c r="BH529" s="66" t="str">
        <f t="shared" si="700"/>
        <v/>
      </c>
      <c r="BI529" s="66" t="str">
        <f t="shared" si="701"/>
        <v/>
      </c>
      <c r="BJ529" s="66" t="str">
        <f>+IF($W529="","",ROUND((BG529*Parámetros!$G$85),2))</f>
        <v/>
      </c>
      <c r="BK529" s="66" t="str">
        <f>+IF($W529="","",ROUND((BG529*(Parámetros!$G$86)),2))</f>
        <v/>
      </c>
      <c r="BL529" s="66" t="str">
        <f t="shared" si="702"/>
        <v/>
      </c>
      <c r="BM529" t="str">
        <f t="shared" si="743"/>
        <v/>
      </c>
      <c r="BN529" t="str">
        <f t="shared" si="744"/>
        <v/>
      </c>
      <c r="BO529" s="118" t="str">
        <f t="shared" si="745"/>
        <v/>
      </c>
      <c r="BP529" s="118" t="str">
        <f t="shared" si="746"/>
        <v/>
      </c>
      <c r="BQ529" s="119" t="str">
        <f>+IF(OR($W529="",BO529=0),"",ROUND((VLOOKUP(ROUNDDOWN($D529-1/frec,0),cob_adi,BB$40,FALSE)*(1+i/frec)^-0.5*(1+Parámetros!$D$103)*(1+rec_fracc)/frec),6))</f>
        <v/>
      </c>
      <c r="BR529" s="66" t="str">
        <f t="shared" si="703"/>
        <v/>
      </c>
      <c r="BS529" s="119" t="str">
        <f t="shared" si="704"/>
        <v/>
      </c>
      <c r="BT529" s="66" t="str">
        <f>+IF($W529="","",ROUND(IF($B529&gt;Parámetros!$D$107,'Tablas Servicio'!BR529+('Tablas Servicio'!BT528-'Tablas Servicio'!BR528),BR529/(1-IF(B529&lt;=10,Parámetros!$D$100,0))),2))</f>
        <v/>
      </c>
      <c r="BU529" s="66" t="str">
        <f t="shared" si="705"/>
        <v/>
      </c>
      <c r="BV529" s="66" t="str">
        <f t="shared" si="705"/>
        <v/>
      </c>
      <c r="BW529" s="66" t="str">
        <f>+IF($W529="","",ROUND((BT529*Parámetros!$G$85),2))</f>
        <v/>
      </c>
      <c r="BX529" s="66" t="str">
        <f>+IF($W529="","",ROUND((BT529*(Parámetros!$G$86)),2))</f>
        <v/>
      </c>
      <c r="BY529" s="66" t="str">
        <f t="shared" si="706"/>
        <v/>
      </c>
      <c r="BZ529" t="str">
        <f t="shared" si="747"/>
        <v/>
      </c>
      <c r="CA529" t="str">
        <f t="shared" si="748"/>
        <v/>
      </c>
      <c r="CB529" s="118" t="str">
        <f t="shared" si="749"/>
        <v/>
      </c>
      <c r="CC529" s="118" t="str">
        <f t="shared" si="750"/>
        <v/>
      </c>
      <c r="CD529" s="119" t="str">
        <f t="shared" si="707"/>
        <v/>
      </c>
      <c r="CE529" s="66" t="str">
        <f>+IF($W529="","",ROUND((VLOOKUP(ROUNDDOWN($D529-1/frec,0),cob_adi,BO$40,FALSE)*(1+i/frec)^-0.5*(1+Parámetros!$D$103)*(1+rec_fracc)/frec*'TABLAS ADI'!$BC$17),2))</f>
        <v/>
      </c>
      <c r="CF529" s="119" t="str">
        <f t="shared" si="708"/>
        <v/>
      </c>
      <c r="CG529" s="66" t="str">
        <f>+IF($W529="","",ROUND(IF($B529&gt;Parámetros!$D$107,'Tablas Servicio'!CE529+('Tablas Servicio'!CG528-'Tablas Servicio'!CE528),CE529/(1-IF(B529&lt;=10,Parámetros!$D$100,0))),2))</f>
        <v/>
      </c>
      <c r="CH529" s="66" t="str">
        <f t="shared" si="709"/>
        <v/>
      </c>
      <c r="CI529" s="66" t="str">
        <f t="shared" si="709"/>
        <v/>
      </c>
      <c r="CJ529" s="66" t="str">
        <f>+IF($W529="","",ROUND((CG529*Parámetros!$G$85),2))</f>
        <v/>
      </c>
      <c r="CK529" s="66" t="str">
        <f>+IF($W529="","",ROUND((CG529*(Parámetros!$G$86)),2))</f>
        <v/>
      </c>
      <c r="CL529" s="66" t="str">
        <f t="shared" si="710"/>
        <v/>
      </c>
      <c r="CM529" t="str">
        <f t="shared" si="751"/>
        <v/>
      </c>
      <c r="CN529" s="118" t="str">
        <f t="shared" si="752"/>
        <v/>
      </c>
      <c r="CO529" s="118" t="str">
        <f t="shared" si="753"/>
        <v/>
      </c>
      <c r="CP529" s="118" t="str">
        <f t="shared" si="754"/>
        <v/>
      </c>
      <c r="CQ529" s="119" t="str">
        <f t="shared" si="711"/>
        <v/>
      </c>
      <c r="CR529" s="66" t="str">
        <f>+IF($W529="","",ROUND((VLOOKUP(Parámetros!$F$51,'COBERTURAS ADICIONALES'!$S$4:$T$32,2,FALSE)*(1+i/frec)^-0.5*(1+Parámetros!$D$103)*(1+rec_fracc)/frec*$CO$42),2))</f>
        <v/>
      </c>
      <c r="CS529" s="119" t="str">
        <f t="shared" si="712"/>
        <v/>
      </c>
      <c r="CT529" s="66" t="str">
        <f>+IF($W529="","",ROUND(IF($B529&gt;Parámetros!$D$107,'Tablas Servicio'!CR529+('Tablas Servicio'!CT528-'Tablas Servicio'!CR528),CR529/(1-IF(B529&lt;=10,Parámetros!$D$100,0))),2))</f>
        <v/>
      </c>
      <c r="CU529" s="66" t="str">
        <f t="shared" si="713"/>
        <v/>
      </c>
      <c r="CV529" s="66" t="str">
        <f t="shared" si="713"/>
        <v/>
      </c>
      <c r="CW529" s="66" t="str">
        <f>+IF($W529="","",ROUND((CT529*Parámetros!$G$85),2))</f>
        <v/>
      </c>
      <c r="CX529" s="66" t="str">
        <f>+IF($W529="","",ROUND((CT529*(Parámetros!$G$86)),2))</f>
        <v/>
      </c>
      <c r="CY529" s="66" t="str">
        <f t="shared" si="714"/>
        <v/>
      </c>
      <c r="CZ529" t="str">
        <f t="shared" si="755"/>
        <v/>
      </c>
      <c r="DA529" s="118" t="str">
        <f t="shared" si="756"/>
        <v/>
      </c>
      <c r="DB529" s="118" t="str">
        <f t="shared" si="757"/>
        <v/>
      </c>
      <c r="DC529" s="118" t="str">
        <f t="shared" si="758"/>
        <v/>
      </c>
      <c r="DD529" s="121" t="str">
        <f>+IF(OR($W529="",DB529=0),"",ROUND((VLOOKUP(ROUNDDOWN($D529-1/frec,0),cob_adi,CO$40,FALSE)*(1+i/frec)^-0.5*(1+Parámetros!$D$103)*(1+rec_fracc)/frec),6))</f>
        <v/>
      </c>
      <c r="DE529" s="66" t="str">
        <f t="shared" si="715"/>
        <v/>
      </c>
      <c r="DF529" s="119" t="str">
        <f t="shared" si="716"/>
        <v/>
      </c>
      <c r="DG529" s="66" t="str">
        <f>+IF($W529="","",ROUND(IF($B529&gt;Parámetros!$D$107,'Tablas Servicio'!DE529+('Tablas Servicio'!DG528-'Tablas Servicio'!DE528),DE529/(1-IF(B529&lt;=10,Parámetros!$D$100,0))),2))</f>
        <v/>
      </c>
      <c r="DH529" s="66" t="str">
        <f t="shared" si="717"/>
        <v/>
      </c>
      <c r="DI529" s="66" t="str">
        <f t="shared" si="717"/>
        <v/>
      </c>
      <c r="DJ529" s="66" t="str">
        <f>+IF($W529="","",ROUND((DG529*Parámetros!$G$85),2))</f>
        <v/>
      </c>
      <c r="DK529" s="66" t="str">
        <f>+IF($W529="","",ROUND((DG529*(Parámetros!$G$86)),2))</f>
        <v/>
      </c>
      <c r="DL529" s="66" t="str">
        <f t="shared" si="718"/>
        <v/>
      </c>
      <c r="DM529" t="str">
        <f t="shared" si="759"/>
        <v/>
      </c>
      <c r="DN529" s="118" t="str">
        <f t="shared" si="760"/>
        <v/>
      </c>
      <c r="DO529" s="118" t="str">
        <f t="shared" si="761"/>
        <v/>
      </c>
      <c r="DP529" s="118" t="str">
        <f t="shared" si="762"/>
        <v/>
      </c>
      <c r="DQ529" s="122" t="str">
        <f>+IF(OR($W529="",DO529=0),"",ROUND((VLOOKUP(ROUNDDOWN($D529-1/frec,0),cob_adi,DB$40,FALSE)*(1+i/frec)^-0.5*(1+Parámetros!$D$103)*(1+rec_fracc)/frec),6))</f>
        <v/>
      </c>
      <c r="DR529" s="66" t="str">
        <f t="shared" si="719"/>
        <v/>
      </c>
      <c r="DS529" s="68" t="str">
        <f t="shared" si="720"/>
        <v/>
      </c>
      <c r="DT529" s="66" t="str">
        <f>+IF($W529="","",ROUND(IF($B529&gt;Parámetros!$D$107,'Tablas Servicio'!DR529+('Tablas Servicio'!DT528-'Tablas Servicio'!DR528),DR529/(1-IF(B529&lt;=10,Parámetros!$D$100,0))),2))</f>
        <v/>
      </c>
      <c r="DU529" s="66" t="str">
        <f t="shared" si="721"/>
        <v/>
      </c>
      <c r="DV529" s="66" t="str">
        <f t="shared" si="721"/>
        <v/>
      </c>
      <c r="DW529" s="66" t="str">
        <f>+IF($W529="","",ROUND((DT529*Parámetros!$G$85),2))</f>
        <v/>
      </c>
      <c r="DX529" s="66" t="str">
        <f>+IF($W529="","",ROUND((DT529*(Parámetros!$G$86)),2))</f>
        <v/>
      </c>
      <c r="DY529" s="66" t="str">
        <f t="shared" si="722"/>
        <v/>
      </c>
      <c r="DZ529" t="str">
        <f t="shared" si="764"/>
        <v/>
      </c>
      <c r="EA529" s="118" t="str">
        <f t="shared" si="764"/>
        <v/>
      </c>
      <c r="EB529" s="118" t="str">
        <f>+IF($W529="","",ROUND(IF(Parámetros!$D$25='TABLAS MORT'!$V$33,EB528,Z529/2),0))</f>
        <v/>
      </c>
      <c r="EC529" s="118" t="str">
        <f t="shared" si="764"/>
        <v/>
      </c>
      <c r="ED529" s="122" t="str">
        <f>+IF(OR($W529="",EB529=0),"",ROUND((VLOOKUP(ROUNDDOWN($D529-1/frec,0),cob_adi,DO$40,FALSE)*(1+i/frec)^-0.5*(1+Parámetros!$D$103)*(1+rec_fracc)/frec),6))</f>
        <v/>
      </c>
      <c r="EE529" s="66" t="str">
        <f t="shared" si="724"/>
        <v/>
      </c>
      <c r="EF529" s="68" t="str">
        <f t="shared" si="725"/>
        <v/>
      </c>
      <c r="EG529" s="66" t="str">
        <f>+IF($W529="","",ROUND(IF($B529&gt;Parámetros!$D$107,'Tablas Servicio'!EE529+('Tablas Servicio'!EG528-'Tablas Servicio'!EE528),EE529/(1-IF(B529&lt;=10,Parámetros!$D$100,0))),2))</f>
        <v/>
      </c>
      <c r="EH529" s="66" t="str">
        <f t="shared" si="726"/>
        <v/>
      </c>
      <c r="EI529" s="66" t="str">
        <f t="shared" si="726"/>
        <v/>
      </c>
      <c r="EJ529" s="66" t="str">
        <f>+IF($W529="","",ROUND((EG529*Parámetros!$G$85),2))</f>
        <v/>
      </c>
      <c r="EK529" s="66" t="str">
        <f>+IF($W529="","",ROUND((EG529*(Parámetros!$G$86)),2))</f>
        <v/>
      </c>
      <c r="EL529" s="66" t="str">
        <f t="shared" si="727"/>
        <v/>
      </c>
    </row>
    <row r="530" spans="1:142" x14ac:dyDescent="0.25">
      <c r="A530" t="str">
        <f>+IF($C530="","",ROUND(VLOOKUP('Tablas Servicio'!B530,Parámetros!$H$100:$J$159,IF(Parámetros!$E$16="F",2,3),FALSE),2))</f>
        <v/>
      </c>
      <c r="B530" t="str">
        <f t="shared" si="678"/>
        <v/>
      </c>
      <c r="C530" s="57" t="str">
        <f>+IF(D530="","",'Tablas Servicio'!C529+1)</f>
        <v/>
      </c>
      <c r="D530" s="56" t="str">
        <f>+IF(D529&lt;edadmaxtabla,D529+1/Parámetros!$E$25,"")</f>
        <v/>
      </c>
      <c r="E530" s="57" t="str">
        <f t="shared" si="688"/>
        <v/>
      </c>
      <c r="F530" s="59" t="str">
        <f t="shared" si="689"/>
        <v/>
      </c>
      <c r="G530" s="66" t="str">
        <f t="shared" si="679"/>
        <v/>
      </c>
      <c r="H530" s="66" t="str">
        <f t="shared" si="680"/>
        <v/>
      </c>
      <c r="I530" s="66" t="str">
        <f t="shared" si="728"/>
        <v/>
      </c>
      <c r="J530" s="66" t="str">
        <f t="shared" si="681"/>
        <v/>
      </c>
      <c r="K530" s="66" t="str">
        <f t="shared" si="682"/>
        <v/>
      </c>
      <c r="L530" s="66" t="str">
        <f t="shared" si="683"/>
        <v/>
      </c>
      <c r="M530" s="66" t="str">
        <f t="shared" si="684"/>
        <v/>
      </c>
      <c r="N530" s="66" t="str">
        <f>+IF(C530="","",ROUND(Parámetros!$D$23,2))</f>
        <v/>
      </c>
      <c r="O530" s="66" t="str">
        <f t="shared" si="685"/>
        <v/>
      </c>
      <c r="P530" s="66" t="str">
        <f>+IF($C530="","",ROUND(IF(B530&gt;Parámetros!$D$117,0,N530*Parámetros!$D$116-G530*Parámetros!$D$100),2))</f>
        <v/>
      </c>
      <c r="Q530" s="75" t="str">
        <f t="shared" si="729"/>
        <v/>
      </c>
      <c r="R530" s="75" t="str">
        <f t="shared" si="730"/>
        <v/>
      </c>
      <c r="S530" s="117" t="str">
        <f>+IF($C530="","",ROUND((S529+I530)*(1+Parámetros!$D$91),2))</f>
        <v/>
      </c>
      <c r="T530" s="117" t="str">
        <f>+IF($C530="","",ROUND(S530*VLOOKUP(B530,Parámetros!$C$30:$D$39,2,TRUE),2))</f>
        <v/>
      </c>
      <c r="U530" s="117" t="str">
        <f>+IF($C530="","",ROUND((U529+I530)*(1+Parámetros!$D$92),2))</f>
        <v/>
      </c>
      <c r="V530" s="117" t="str">
        <f>+IF($C530="","",ROUND(U530*VLOOKUP(B530,Parámetros!$C$30:$D$39,2,TRUE),2))</f>
        <v/>
      </c>
      <c r="W530" s="57" t="str">
        <f t="shared" si="731"/>
        <v/>
      </c>
      <c r="X530" t="str">
        <f t="shared" si="732"/>
        <v/>
      </c>
      <c r="Y530" t="str">
        <f t="shared" si="733"/>
        <v/>
      </c>
      <c r="Z530" s="118" t="str">
        <f>+IF($W530="","",ROUND(IF(Parámetros!$D$25='TABLAS MORT'!$V$33,Z529,Parámetros!$D$21-'Tablas Servicio'!T529),0))</f>
        <v/>
      </c>
      <c r="AA530" s="118" t="str">
        <f t="shared" si="734"/>
        <v/>
      </c>
      <c r="AB530" s="119" t="str">
        <f>+IF(W530="","",ROUND((VLOOKUP(ROUNDDOWN($D530-1/frec,0),qx_tabla,2,FALSE)*(1+i/frec)^-0.5*(1+Parámetros!$D$103)*(1+rec_fracc)/frec),6))</f>
        <v/>
      </c>
      <c r="AC530" s="66" t="str">
        <f t="shared" si="690"/>
        <v/>
      </c>
      <c r="AD530" s="119" t="str">
        <f t="shared" si="686"/>
        <v/>
      </c>
      <c r="AE530" s="66" t="str">
        <f>+IF($W530="","",ROUND(IF($B530&gt;Parámetros!$D$107,'Tablas Servicio'!AC530+('Tablas Servicio'!AG529-'Tablas Servicio'!AC529),AC530/(1-IF(B530&lt;=10,Parámetros!$D$104,Parámetros!$D$105))),2))</f>
        <v/>
      </c>
      <c r="AF530" s="66" t="str">
        <f>+IF($W530="","",ROUND(IF($B530&gt;Parámetros!$D$107,'Tablas Servicio'!AC530+('Tablas Servicio'!AG529-'Tablas Servicio'!AC529),(AC530+$A529/frec)/(1-IF(B530&lt;=Parámetros!$D$117,Parámetros!$D$100,0))),2))</f>
        <v/>
      </c>
      <c r="AG530" s="66" t="str">
        <f t="shared" si="691"/>
        <v/>
      </c>
      <c r="AH530" s="66" t="str">
        <f t="shared" si="692"/>
        <v/>
      </c>
      <c r="AI530" s="66" t="str">
        <f t="shared" si="693"/>
        <v/>
      </c>
      <c r="AJ530" s="66" t="str">
        <f>+IF($W530="","",ROUND((AG530*Parámetros!$G$85),2))</f>
        <v/>
      </c>
      <c r="AK530" s="66" t="str">
        <f>+IF($W530="","",ROUND((AG530*(Parámetros!$G$86)),2))</f>
        <v/>
      </c>
      <c r="AL530" s="66" t="str">
        <f t="shared" si="687"/>
        <v/>
      </c>
      <c r="AM530" t="str">
        <f t="shared" si="735"/>
        <v/>
      </c>
      <c r="AN530" t="str">
        <f t="shared" si="736"/>
        <v/>
      </c>
      <c r="AO530" s="118" t="str">
        <f t="shared" si="737"/>
        <v/>
      </c>
      <c r="AP530" s="118" t="str">
        <f t="shared" si="738"/>
        <v/>
      </c>
      <c r="AQ530" s="119" t="str">
        <f>+IF(OR($W530="",AO530=0),"",ROUND((VLOOKUP(ROUNDDOWN($D530-1/frec,0),cob_adi,Z$40,FALSE)*(1+i/frec)^-0.5*(1+Parámetros!$D$103)*(1+rec_fracc)/frec),6))</f>
        <v/>
      </c>
      <c r="AR530" s="66" t="str">
        <f t="shared" si="694"/>
        <v/>
      </c>
      <c r="AS530" s="119" t="str">
        <f t="shared" si="695"/>
        <v/>
      </c>
      <c r="AT530" s="66" t="str">
        <f>+IF($W530="","",ROUND(IF($B530&gt;Parámetros!$D$107,'Tablas Servicio'!AR530+('Tablas Servicio'!AT529-'Tablas Servicio'!AR529),AR530/(1-IF(B530&lt;=10,Parámetros!$D$100,0))),2))</f>
        <v/>
      </c>
      <c r="AU530" s="66" t="str">
        <f t="shared" si="696"/>
        <v/>
      </c>
      <c r="AV530" s="66" t="str">
        <f t="shared" si="696"/>
        <v/>
      </c>
      <c r="AW530" s="66" t="str">
        <f>+IF($W530="","",ROUND((AT530*Parámetros!$G$85),2))</f>
        <v/>
      </c>
      <c r="AX530" s="66" t="str">
        <f>+IF($W530="","",ROUND((AT530*(Parámetros!$G$86)),2))</f>
        <v/>
      </c>
      <c r="AY530" s="66" t="str">
        <f t="shared" si="697"/>
        <v/>
      </c>
      <c r="AZ530" t="str">
        <f t="shared" si="739"/>
        <v/>
      </c>
      <c r="BA530" t="str">
        <f t="shared" si="740"/>
        <v/>
      </c>
      <c r="BB530" s="118" t="str">
        <f t="shared" si="741"/>
        <v/>
      </c>
      <c r="BC530" s="118" t="str">
        <f t="shared" si="742"/>
        <v/>
      </c>
      <c r="BD530" s="119" t="str">
        <f>+IF(OR($W530="",BB530=0),"",ROUND((VLOOKUP(ROUNDDOWN($D530-1/frec,0),cob_adi,AO$40,FALSE)*(1+i/frec)^-0.5*(1+Parámetros!$D$103)*(1+rec_fracc)/frec),6))</f>
        <v/>
      </c>
      <c r="BE530" s="66" t="str">
        <f t="shared" si="698"/>
        <v/>
      </c>
      <c r="BF530" s="119" t="str">
        <f t="shared" si="699"/>
        <v/>
      </c>
      <c r="BG530" s="66" t="str">
        <f>+IF($W530="","",ROUND(IF($B530&gt;Parámetros!$D$107,'Tablas Servicio'!BE530+('Tablas Servicio'!BG529-'Tablas Servicio'!BE529),BE530/(1-IF(B530&lt;=10,Parámetros!$D$100,0))),2))</f>
        <v/>
      </c>
      <c r="BH530" s="66" t="str">
        <f t="shared" si="700"/>
        <v/>
      </c>
      <c r="BI530" s="66" t="str">
        <f t="shared" si="701"/>
        <v/>
      </c>
      <c r="BJ530" s="66" t="str">
        <f>+IF($W530="","",ROUND((BG530*Parámetros!$G$85),2))</f>
        <v/>
      </c>
      <c r="BK530" s="66" t="str">
        <f>+IF($W530="","",ROUND((BG530*(Parámetros!$G$86)),2))</f>
        <v/>
      </c>
      <c r="BL530" s="66" t="str">
        <f t="shared" si="702"/>
        <v/>
      </c>
      <c r="BM530" t="str">
        <f t="shared" si="743"/>
        <v/>
      </c>
      <c r="BN530" t="str">
        <f t="shared" si="744"/>
        <v/>
      </c>
      <c r="BO530" s="118" t="str">
        <f t="shared" si="745"/>
        <v/>
      </c>
      <c r="BP530" s="118" t="str">
        <f t="shared" si="746"/>
        <v/>
      </c>
      <c r="BQ530" s="119" t="str">
        <f>+IF(OR($W530="",BO530=0),"",ROUND((VLOOKUP(ROUNDDOWN($D530-1/frec,0),cob_adi,BB$40,FALSE)*(1+i/frec)^-0.5*(1+Parámetros!$D$103)*(1+rec_fracc)/frec),6))</f>
        <v/>
      </c>
      <c r="BR530" s="66" t="str">
        <f t="shared" si="703"/>
        <v/>
      </c>
      <c r="BS530" s="119" t="str">
        <f t="shared" si="704"/>
        <v/>
      </c>
      <c r="BT530" s="66" t="str">
        <f>+IF($W530="","",ROUND(IF($B530&gt;Parámetros!$D$107,'Tablas Servicio'!BR530+('Tablas Servicio'!BT529-'Tablas Servicio'!BR529),BR530/(1-IF(B530&lt;=10,Parámetros!$D$100,0))),2))</f>
        <v/>
      </c>
      <c r="BU530" s="66" t="str">
        <f t="shared" si="705"/>
        <v/>
      </c>
      <c r="BV530" s="66" t="str">
        <f t="shared" si="705"/>
        <v/>
      </c>
      <c r="BW530" s="66" t="str">
        <f>+IF($W530="","",ROUND((BT530*Parámetros!$G$85),2))</f>
        <v/>
      </c>
      <c r="BX530" s="66" t="str">
        <f>+IF($W530="","",ROUND((BT530*(Parámetros!$G$86)),2))</f>
        <v/>
      </c>
      <c r="BY530" s="66" t="str">
        <f t="shared" si="706"/>
        <v/>
      </c>
      <c r="BZ530" t="str">
        <f t="shared" si="747"/>
        <v/>
      </c>
      <c r="CA530" t="str">
        <f t="shared" si="748"/>
        <v/>
      </c>
      <c r="CB530" s="118" t="str">
        <f t="shared" si="749"/>
        <v/>
      </c>
      <c r="CC530" s="118" t="str">
        <f t="shared" si="750"/>
        <v/>
      </c>
      <c r="CD530" s="119" t="str">
        <f t="shared" si="707"/>
        <v/>
      </c>
      <c r="CE530" s="66" t="str">
        <f>+IF($W530="","",ROUND((VLOOKUP(ROUNDDOWN($D530-1/frec,0),cob_adi,BO$40,FALSE)*(1+i/frec)^-0.5*(1+Parámetros!$D$103)*(1+rec_fracc)/frec*'TABLAS ADI'!$BC$17),2))</f>
        <v/>
      </c>
      <c r="CF530" s="119" t="str">
        <f t="shared" si="708"/>
        <v/>
      </c>
      <c r="CG530" s="66" t="str">
        <f>+IF($W530="","",ROUND(IF($B530&gt;Parámetros!$D$107,'Tablas Servicio'!CE530+('Tablas Servicio'!CG529-'Tablas Servicio'!CE529),CE530/(1-IF(B530&lt;=10,Parámetros!$D$100,0))),2))</f>
        <v/>
      </c>
      <c r="CH530" s="66" t="str">
        <f t="shared" si="709"/>
        <v/>
      </c>
      <c r="CI530" s="66" t="str">
        <f t="shared" si="709"/>
        <v/>
      </c>
      <c r="CJ530" s="66" t="str">
        <f>+IF($W530="","",ROUND((CG530*Parámetros!$G$85),2))</f>
        <v/>
      </c>
      <c r="CK530" s="66" t="str">
        <f>+IF($W530="","",ROUND((CG530*(Parámetros!$G$86)),2))</f>
        <v/>
      </c>
      <c r="CL530" s="66" t="str">
        <f t="shared" si="710"/>
        <v/>
      </c>
      <c r="CM530" t="str">
        <f t="shared" si="751"/>
        <v/>
      </c>
      <c r="CN530" s="118" t="str">
        <f t="shared" si="752"/>
        <v/>
      </c>
      <c r="CO530" s="118" t="str">
        <f t="shared" si="753"/>
        <v/>
      </c>
      <c r="CP530" s="118" t="str">
        <f t="shared" si="754"/>
        <v/>
      </c>
      <c r="CQ530" s="119" t="str">
        <f t="shared" si="711"/>
        <v/>
      </c>
      <c r="CR530" s="66" t="str">
        <f>+IF($W530="","",ROUND((VLOOKUP(Parámetros!$F$51,'COBERTURAS ADICIONALES'!$S$4:$T$32,2,FALSE)*(1+i/frec)^-0.5*(1+Parámetros!$D$103)*(1+rec_fracc)/frec*$CO$42),2))</f>
        <v/>
      </c>
      <c r="CS530" s="119" t="str">
        <f t="shared" si="712"/>
        <v/>
      </c>
      <c r="CT530" s="66" t="str">
        <f>+IF($W530="","",ROUND(IF($B530&gt;Parámetros!$D$107,'Tablas Servicio'!CR530+('Tablas Servicio'!CT529-'Tablas Servicio'!CR529),CR530/(1-IF(B530&lt;=10,Parámetros!$D$100,0))),2))</f>
        <v/>
      </c>
      <c r="CU530" s="66" t="str">
        <f t="shared" si="713"/>
        <v/>
      </c>
      <c r="CV530" s="66" t="str">
        <f t="shared" si="713"/>
        <v/>
      </c>
      <c r="CW530" s="66" t="str">
        <f>+IF($W530="","",ROUND((CT530*Parámetros!$G$85),2))</f>
        <v/>
      </c>
      <c r="CX530" s="66" t="str">
        <f>+IF($W530="","",ROUND((CT530*(Parámetros!$G$86)),2))</f>
        <v/>
      </c>
      <c r="CY530" s="66" t="str">
        <f t="shared" si="714"/>
        <v/>
      </c>
      <c r="CZ530" t="str">
        <f t="shared" si="755"/>
        <v/>
      </c>
      <c r="DA530" s="118" t="str">
        <f t="shared" si="756"/>
        <v/>
      </c>
      <c r="DB530" s="118" t="str">
        <f t="shared" si="757"/>
        <v/>
      </c>
      <c r="DC530" s="118" t="str">
        <f t="shared" si="758"/>
        <v/>
      </c>
      <c r="DD530" s="121" t="str">
        <f>+IF(OR($W530="",DB530=0),"",ROUND((VLOOKUP(ROUNDDOWN($D530-1/frec,0),cob_adi,CO$40,FALSE)*(1+i/frec)^-0.5*(1+Parámetros!$D$103)*(1+rec_fracc)/frec),6))</f>
        <v/>
      </c>
      <c r="DE530" s="66" t="str">
        <f t="shared" si="715"/>
        <v/>
      </c>
      <c r="DF530" s="119" t="str">
        <f t="shared" si="716"/>
        <v/>
      </c>
      <c r="DG530" s="66" t="str">
        <f>+IF($W530="","",ROUND(IF($B530&gt;Parámetros!$D$107,'Tablas Servicio'!DE530+('Tablas Servicio'!DG529-'Tablas Servicio'!DE529),DE530/(1-IF(B530&lt;=10,Parámetros!$D$100,0))),2))</f>
        <v/>
      </c>
      <c r="DH530" s="66" t="str">
        <f t="shared" si="717"/>
        <v/>
      </c>
      <c r="DI530" s="66" t="str">
        <f t="shared" si="717"/>
        <v/>
      </c>
      <c r="DJ530" s="66" t="str">
        <f>+IF($W530="","",ROUND((DG530*Parámetros!$G$85),2))</f>
        <v/>
      </c>
      <c r="DK530" s="66" t="str">
        <f>+IF($W530="","",ROUND((DG530*(Parámetros!$G$86)),2))</f>
        <v/>
      </c>
      <c r="DL530" s="66" t="str">
        <f t="shared" si="718"/>
        <v/>
      </c>
      <c r="DM530" t="str">
        <f t="shared" si="759"/>
        <v/>
      </c>
      <c r="DN530" s="118" t="str">
        <f t="shared" si="760"/>
        <v/>
      </c>
      <c r="DO530" s="118" t="str">
        <f t="shared" si="761"/>
        <v/>
      </c>
      <c r="DP530" s="118" t="str">
        <f t="shared" si="762"/>
        <v/>
      </c>
      <c r="DQ530" s="122" t="str">
        <f>+IF(OR($W530="",DO530=0),"",ROUND((VLOOKUP(ROUNDDOWN($D530-1/frec,0),cob_adi,DB$40,FALSE)*(1+i/frec)^-0.5*(1+Parámetros!$D$103)*(1+rec_fracc)/frec),6))</f>
        <v/>
      </c>
      <c r="DR530" s="66" t="str">
        <f t="shared" si="719"/>
        <v/>
      </c>
      <c r="DS530" s="68" t="str">
        <f t="shared" si="720"/>
        <v/>
      </c>
      <c r="DT530" s="66" t="str">
        <f>+IF($W530="","",ROUND(IF($B530&gt;Parámetros!$D$107,'Tablas Servicio'!DR530+('Tablas Servicio'!DT529-'Tablas Servicio'!DR529),DR530/(1-IF(B530&lt;=10,Parámetros!$D$100,0))),2))</f>
        <v/>
      </c>
      <c r="DU530" s="66" t="str">
        <f t="shared" si="721"/>
        <v/>
      </c>
      <c r="DV530" s="66" t="str">
        <f t="shared" si="721"/>
        <v/>
      </c>
      <c r="DW530" s="66" t="str">
        <f>+IF($W530="","",ROUND((DT530*Parámetros!$G$85),2))</f>
        <v/>
      </c>
      <c r="DX530" s="66" t="str">
        <f>+IF($W530="","",ROUND((DT530*(Parámetros!$G$86)),2))</f>
        <v/>
      </c>
      <c r="DY530" s="66" t="str">
        <f t="shared" si="722"/>
        <v/>
      </c>
      <c r="DZ530" t="str">
        <f t="shared" si="764"/>
        <v/>
      </c>
      <c r="EA530" s="118" t="str">
        <f t="shared" si="764"/>
        <v/>
      </c>
      <c r="EB530" s="118" t="str">
        <f>+IF($W530="","",ROUND(IF(Parámetros!$D$25='TABLAS MORT'!$V$33,EB529,Z530/2),0))</f>
        <v/>
      </c>
      <c r="EC530" s="118" t="str">
        <f t="shared" si="764"/>
        <v/>
      </c>
      <c r="ED530" s="122" t="str">
        <f>+IF(OR($W530="",EB530=0),"",ROUND((VLOOKUP(ROUNDDOWN($D530-1/frec,0),cob_adi,DO$40,FALSE)*(1+i/frec)^-0.5*(1+Parámetros!$D$103)*(1+rec_fracc)/frec),6))</f>
        <v/>
      </c>
      <c r="EE530" s="66" t="str">
        <f t="shared" si="724"/>
        <v/>
      </c>
      <c r="EF530" s="68" t="str">
        <f t="shared" si="725"/>
        <v/>
      </c>
      <c r="EG530" s="66" t="str">
        <f>+IF($W530="","",ROUND(IF($B530&gt;Parámetros!$D$107,'Tablas Servicio'!EE530+('Tablas Servicio'!EG529-'Tablas Servicio'!EE529),EE530/(1-IF(B530&lt;=10,Parámetros!$D$100,0))),2))</f>
        <v/>
      </c>
      <c r="EH530" s="66" t="str">
        <f t="shared" si="726"/>
        <v/>
      </c>
      <c r="EI530" s="66" t="str">
        <f t="shared" si="726"/>
        <v/>
      </c>
      <c r="EJ530" s="66" t="str">
        <f>+IF($W530="","",ROUND((EG530*Parámetros!$G$85),2))</f>
        <v/>
      </c>
      <c r="EK530" s="66" t="str">
        <f>+IF($W530="","",ROUND((EG530*(Parámetros!$G$86)),2))</f>
        <v/>
      </c>
      <c r="EL530" s="66" t="str">
        <f t="shared" si="727"/>
        <v/>
      </c>
    </row>
    <row r="531" spans="1:142" x14ac:dyDescent="0.25">
      <c r="A531" t="str">
        <f>+IF($C531="","",ROUND(VLOOKUP('Tablas Servicio'!B531,Parámetros!$H$100:$J$159,IF(Parámetros!$E$16="F",2,3),FALSE),2))</f>
        <v/>
      </c>
      <c r="B531" t="str">
        <f t="shared" si="678"/>
        <v/>
      </c>
      <c r="C531" s="57" t="str">
        <f>+IF(D531="","",'Tablas Servicio'!C530+1)</f>
        <v/>
      </c>
      <c r="D531" s="56" t="str">
        <f>+IF(D530&lt;edadmaxtabla,D530+1/Parámetros!$E$25,"")</f>
        <v/>
      </c>
      <c r="E531" s="57" t="str">
        <f t="shared" si="688"/>
        <v/>
      </c>
      <c r="F531" s="59" t="str">
        <f t="shared" si="689"/>
        <v/>
      </c>
      <c r="G531" s="66" t="str">
        <f t="shared" si="679"/>
        <v/>
      </c>
      <c r="H531" s="66" t="str">
        <f t="shared" si="680"/>
        <v/>
      </c>
      <c r="I531" s="66" t="str">
        <f t="shared" si="728"/>
        <v/>
      </c>
      <c r="J531" s="66" t="str">
        <f t="shared" si="681"/>
        <v/>
      </c>
      <c r="K531" s="66" t="str">
        <f t="shared" si="682"/>
        <v/>
      </c>
      <c r="L531" s="66" t="str">
        <f t="shared" si="683"/>
        <v/>
      </c>
      <c r="M531" s="66" t="str">
        <f t="shared" si="684"/>
        <v/>
      </c>
      <c r="N531" s="66" t="str">
        <f>+IF(C531="","",ROUND(Parámetros!$D$23,2))</f>
        <v/>
      </c>
      <c r="O531" s="66" t="str">
        <f t="shared" si="685"/>
        <v/>
      </c>
      <c r="P531" s="66" t="str">
        <f>+IF($C531="","",ROUND(IF(B531&gt;Parámetros!$D$117,0,N531*Parámetros!$D$116-G531*Parámetros!$D$100),2))</f>
        <v/>
      </c>
      <c r="Q531" s="75" t="str">
        <f t="shared" si="729"/>
        <v/>
      </c>
      <c r="R531" s="75" t="str">
        <f t="shared" si="730"/>
        <v/>
      </c>
      <c r="S531" s="117" t="str">
        <f>+IF($C531="","",ROUND((S530+I531)*(1+Parámetros!$D$91),2))</f>
        <v/>
      </c>
      <c r="T531" s="117" t="str">
        <f>+IF($C531="","",ROUND(S531*VLOOKUP(B531,Parámetros!$C$30:$D$39,2,TRUE),2))</f>
        <v/>
      </c>
      <c r="U531" s="117" t="str">
        <f>+IF($C531="","",ROUND((U530+I531)*(1+Parámetros!$D$92),2))</f>
        <v/>
      </c>
      <c r="V531" s="117" t="str">
        <f>+IF($C531="","",ROUND(U531*VLOOKUP(B531,Parámetros!$C$30:$D$39,2,TRUE),2))</f>
        <v/>
      </c>
      <c r="W531" s="57" t="str">
        <f t="shared" si="731"/>
        <v/>
      </c>
      <c r="X531" t="str">
        <f t="shared" si="732"/>
        <v/>
      </c>
      <c r="Y531" t="str">
        <f t="shared" si="733"/>
        <v/>
      </c>
      <c r="Z531" s="118" t="str">
        <f>+IF($W531="","",ROUND(IF(Parámetros!$D$25='TABLAS MORT'!$V$33,Z530,Parámetros!$D$21-'Tablas Servicio'!T530),0))</f>
        <v/>
      </c>
      <c r="AA531" s="118" t="str">
        <f t="shared" si="734"/>
        <v/>
      </c>
      <c r="AB531" s="119" t="str">
        <f>+IF(W531="","",ROUND((VLOOKUP(ROUNDDOWN($D531-1/frec,0),qx_tabla,2,FALSE)*(1+i/frec)^-0.5*(1+Parámetros!$D$103)*(1+rec_fracc)/frec),6))</f>
        <v/>
      </c>
      <c r="AC531" s="66" t="str">
        <f t="shared" si="690"/>
        <v/>
      </c>
      <c r="AD531" s="119" t="str">
        <f t="shared" si="686"/>
        <v/>
      </c>
      <c r="AE531" s="66" t="str">
        <f>+IF($W531="","",ROUND(IF($B531&gt;Parámetros!$D$107,'Tablas Servicio'!AC531+('Tablas Servicio'!AG530-'Tablas Servicio'!AC530),AC531/(1-IF(B531&lt;=10,Parámetros!$D$104,Parámetros!$D$105))),2))</f>
        <v/>
      </c>
      <c r="AF531" s="66" t="str">
        <f>+IF($W531="","",ROUND(IF($B531&gt;Parámetros!$D$107,'Tablas Servicio'!AC531+('Tablas Servicio'!AG530-'Tablas Servicio'!AC530),(AC531+$A530/frec)/(1-IF(B531&lt;=Parámetros!$D$117,Parámetros!$D$100,0))),2))</f>
        <v/>
      </c>
      <c r="AG531" s="66" t="str">
        <f t="shared" si="691"/>
        <v/>
      </c>
      <c r="AH531" s="66" t="str">
        <f t="shared" si="692"/>
        <v/>
      </c>
      <c r="AI531" s="66" t="str">
        <f t="shared" si="693"/>
        <v/>
      </c>
      <c r="AJ531" s="66" t="str">
        <f>+IF($W531="","",ROUND((AG531*Parámetros!$G$85),2))</f>
        <v/>
      </c>
      <c r="AK531" s="66" t="str">
        <f>+IF($W531="","",ROUND((AG531*(Parámetros!$G$86)),2))</f>
        <v/>
      </c>
      <c r="AL531" s="66" t="str">
        <f t="shared" si="687"/>
        <v/>
      </c>
      <c r="AM531" t="str">
        <f t="shared" si="735"/>
        <v/>
      </c>
      <c r="AN531" t="str">
        <f t="shared" si="736"/>
        <v/>
      </c>
      <c r="AO531" s="118" t="str">
        <f t="shared" si="737"/>
        <v/>
      </c>
      <c r="AP531" s="118" t="str">
        <f t="shared" si="738"/>
        <v/>
      </c>
      <c r="AQ531" s="119" t="str">
        <f>+IF(OR($W531="",AO531=0),"",ROUND((VLOOKUP(ROUNDDOWN($D531-1/frec,0),cob_adi,Z$40,FALSE)*(1+i/frec)^-0.5*(1+Parámetros!$D$103)*(1+rec_fracc)/frec),6))</f>
        <v/>
      </c>
      <c r="AR531" s="66" t="str">
        <f t="shared" si="694"/>
        <v/>
      </c>
      <c r="AS531" s="119" t="str">
        <f t="shared" si="695"/>
        <v/>
      </c>
      <c r="AT531" s="66" t="str">
        <f>+IF($W531="","",ROUND(IF($B531&gt;Parámetros!$D$107,'Tablas Servicio'!AR531+('Tablas Servicio'!AT530-'Tablas Servicio'!AR530),AR531/(1-IF(B531&lt;=10,Parámetros!$D$100,0))),2))</f>
        <v/>
      </c>
      <c r="AU531" s="66" t="str">
        <f t="shared" si="696"/>
        <v/>
      </c>
      <c r="AV531" s="66" t="str">
        <f t="shared" si="696"/>
        <v/>
      </c>
      <c r="AW531" s="66" t="str">
        <f>+IF($W531="","",ROUND((AT531*Parámetros!$G$85),2))</f>
        <v/>
      </c>
      <c r="AX531" s="66" t="str">
        <f>+IF($W531="","",ROUND((AT531*(Parámetros!$G$86)),2))</f>
        <v/>
      </c>
      <c r="AY531" s="66" t="str">
        <f t="shared" si="697"/>
        <v/>
      </c>
      <c r="AZ531" t="str">
        <f t="shared" si="739"/>
        <v/>
      </c>
      <c r="BA531" t="str">
        <f t="shared" si="740"/>
        <v/>
      </c>
      <c r="BB531" s="118" t="str">
        <f t="shared" si="741"/>
        <v/>
      </c>
      <c r="BC531" s="118" t="str">
        <f t="shared" si="742"/>
        <v/>
      </c>
      <c r="BD531" s="119" t="str">
        <f>+IF(OR($W531="",BB531=0),"",ROUND((VLOOKUP(ROUNDDOWN($D531-1/frec,0),cob_adi,AO$40,FALSE)*(1+i/frec)^-0.5*(1+Parámetros!$D$103)*(1+rec_fracc)/frec),6))</f>
        <v/>
      </c>
      <c r="BE531" s="66" t="str">
        <f t="shared" si="698"/>
        <v/>
      </c>
      <c r="BF531" s="119" t="str">
        <f t="shared" si="699"/>
        <v/>
      </c>
      <c r="BG531" s="66" t="str">
        <f>+IF($W531="","",ROUND(IF($B531&gt;Parámetros!$D$107,'Tablas Servicio'!BE531+('Tablas Servicio'!BG530-'Tablas Servicio'!BE530),BE531/(1-IF(B531&lt;=10,Parámetros!$D$100,0))),2))</f>
        <v/>
      </c>
      <c r="BH531" s="66" t="str">
        <f t="shared" si="700"/>
        <v/>
      </c>
      <c r="BI531" s="66" t="str">
        <f t="shared" si="701"/>
        <v/>
      </c>
      <c r="BJ531" s="66" t="str">
        <f>+IF($W531="","",ROUND((BG531*Parámetros!$G$85),2))</f>
        <v/>
      </c>
      <c r="BK531" s="66" t="str">
        <f>+IF($W531="","",ROUND((BG531*(Parámetros!$G$86)),2))</f>
        <v/>
      </c>
      <c r="BL531" s="66" t="str">
        <f t="shared" si="702"/>
        <v/>
      </c>
      <c r="BM531" t="str">
        <f t="shared" si="743"/>
        <v/>
      </c>
      <c r="BN531" t="str">
        <f t="shared" si="744"/>
        <v/>
      </c>
      <c r="BO531" s="118" t="str">
        <f t="shared" si="745"/>
        <v/>
      </c>
      <c r="BP531" s="118" t="str">
        <f t="shared" si="746"/>
        <v/>
      </c>
      <c r="BQ531" s="119" t="str">
        <f>+IF(OR($W531="",BO531=0),"",ROUND((VLOOKUP(ROUNDDOWN($D531-1/frec,0),cob_adi,BB$40,FALSE)*(1+i/frec)^-0.5*(1+Parámetros!$D$103)*(1+rec_fracc)/frec),6))</f>
        <v/>
      </c>
      <c r="BR531" s="66" t="str">
        <f t="shared" si="703"/>
        <v/>
      </c>
      <c r="BS531" s="119" t="str">
        <f t="shared" si="704"/>
        <v/>
      </c>
      <c r="BT531" s="66" t="str">
        <f>+IF($W531="","",ROUND(IF($B531&gt;Parámetros!$D$107,'Tablas Servicio'!BR531+('Tablas Servicio'!BT530-'Tablas Servicio'!BR530),BR531/(1-IF(B531&lt;=10,Parámetros!$D$100,0))),2))</f>
        <v/>
      </c>
      <c r="BU531" s="66" t="str">
        <f t="shared" si="705"/>
        <v/>
      </c>
      <c r="BV531" s="66" t="str">
        <f t="shared" si="705"/>
        <v/>
      </c>
      <c r="BW531" s="66" t="str">
        <f>+IF($W531="","",ROUND((BT531*Parámetros!$G$85),2))</f>
        <v/>
      </c>
      <c r="BX531" s="66" t="str">
        <f>+IF($W531="","",ROUND((BT531*(Parámetros!$G$86)),2))</f>
        <v/>
      </c>
      <c r="BY531" s="66" t="str">
        <f t="shared" si="706"/>
        <v/>
      </c>
      <c r="BZ531" t="str">
        <f t="shared" si="747"/>
        <v/>
      </c>
      <c r="CA531" t="str">
        <f t="shared" si="748"/>
        <v/>
      </c>
      <c r="CB531" s="118" t="str">
        <f t="shared" si="749"/>
        <v/>
      </c>
      <c r="CC531" s="118" t="str">
        <f t="shared" si="750"/>
        <v/>
      </c>
      <c r="CD531" s="119" t="str">
        <f t="shared" si="707"/>
        <v/>
      </c>
      <c r="CE531" s="66" t="str">
        <f>+IF($W531="","",ROUND((VLOOKUP(ROUNDDOWN($D531-1/frec,0),cob_adi,BO$40,FALSE)*(1+i/frec)^-0.5*(1+Parámetros!$D$103)*(1+rec_fracc)/frec*'TABLAS ADI'!$BC$17),2))</f>
        <v/>
      </c>
      <c r="CF531" s="119" t="str">
        <f t="shared" si="708"/>
        <v/>
      </c>
      <c r="CG531" s="66" t="str">
        <f>+IF($W531="","",ROUND(IF($B531&gt;Parámetros!$D$107,'Tablas Servicio'!CE531+('Tablas Servicio'!CG530-'Tablas Servicio'!CE530),CE531/(1-IF(B531&lt;=10,Parámetros!$D$100,0))),2))</f>
        <v/>
      </c>
      <c r="CH531" s="66" t="str">
        <f t="shared" si="709"/>
        <v/>
      </c>
      <c r="CI531" s="66" t="str">
        <f t="shared" si="709"/>
        <v/>
      </c>
      <c r="CJ531" s="66" t="str">
        <f>+IF($W531="","",ROUND((CG531*Parámetros!$G$85),2))</f>
        <v/>
      </c>
      <c r="CK531" s="66" t="str">
        <f>+IF($W531="","",ROUND((CG531*(Parámetros!$G$86)),2))</f>
        <v/>
      </c>
      <c r="CL531" s="66" t="str">
        <f t="shared" si="710"/>
        <v/>
      </c>
      <c r="CM531" t="str">
        <f t="shared" si="751"/>
        <v/>
      </c>
      <c r="CN531" s="118" t="str">
        <f t="shared" si="752"/>
        <v/>
      </c>
      <c r="CO531" s="118" t="str">
        <f t="shared" si="753"/>
        <v/>
      </c>
      <c r="CP531" s="118" t="str">
        <f t="shared" si="754"/>
        <v/>
      </c>
      <c r="CQ531" s="119" t="str">
        <f t="shared" si="711"/>
        <v/>
      </c>
      <c r="CR531" s="66" t="str">
        <f>+IF($W531="","",ROUND((VLOOKUP(Parámetros!$F$51,'COBERTURAS ADICIONALES'!$S$4:$T$32,2,FALSE)*(1+i/frec)^-0.5*(1+Parámetros!$D$103)*(1+rec_fracc)/frec*$CO$42),2))</f>
        <v/>
      </c>
      <c r="CS531" s="119" t="str">
        <f t="shared" si="712"/>
        <v/>
      </c>
      <c r="CT531" s="66" t="str">
        <f>+IF($W531="","",ROUND(IF($B531&gt;Parámetros!$D$107,'Tablas Servicio'!CR531+('Tablas Servicio'!CT530-'Tablas Servicio'!CR530),CR531/(1-IF(B531&lt;=10,Parámetros!$D$100,0))),2))</f>
        <v/>
      </c>
      <c r="CU531" s="66" t="str">
        <f t="shared" si="713"/>
        <v/>
      </c>
      <c r="CV531" s="66" t="str">
        <f t="shared" si="713"/>
        <v/>
      </c>
      <c r="CW531" s="66" t="str">
        <f>+IF($W531="","",ROUND((CT531*Parámetros!$G$85),2))</f>
        <v/>
      </c>
      <c r="CX531" s="66" t="str">
        <f>+IF($W531="","",ROUND((CT531*(Parámetros!$G$86)),2))</f>
        <v/>
      </c>
      <c r="CY531" s="66" t="str">
        <f t="shared" si="714"/>
        <v/>
      </c>
      <c r="CZ531" t="str">
        <f t="shared" si="755"/>
        <v/>
      </c>
      <c r="DA531" s="118" t="str">
        <f t="shared" si="756"/>
        <v/>
      </c>
      <c r="DB531" s="118" t="str">
        <f t="shared" si="757"/>
        <v/>
      </c>
      <c r="DC531" s="118" t="str">
        <f t="shared" si="758"/>
        <v/>
      </c>
      <c r="DD531" s="121" t="str">
        <f>+IF(OR($W531="",DB531=0),"",ROUND((VLOOKUP(ROUNDDOWN($D531-1/frec,0),cob_adi,CO$40,FALSE)*(1+i/frec)^-0.5*(1+Parámetros!$D$103)*(1+rec_fracc)/frec),6))</f>
        <v/>
      </c>
      <c r="DE531" s="66" t="str">
        <f t="shared" si="715"/>
        <v/>
      </c>
      <c r="DF531" s="119" t="str">
        <f t="shared" si="716"/>
        <v/>
      </c>
      <c r="DG531" s="66" t="str">
        <f>+IF($W531="","",ROUND(IF($B531&gt;Parámetros!$D$107,'Tablas Servicio'!DE531+('Tablas Servicio'!DG530-'Tablas Servicio'!DE530),DE531/(1-IF(B531&lt;=10,Parámetros!$D$100,0))),2))</f>
        <v/>
      </c>
      <c r="DH531" s="66" t="str">
        <f t="shared" si="717"/>
        <v/>
      </c>
      <c r="DI531" s="66" t="str">
        <f t="shared" si="717"/>
        <v/>
      </c>
      <c r="DJ531" s="66" t="str">
        <f>+IF($W531="","",ROUND((DG531*Parámetros!$G$85),2))</f>
        <v/>
      </c>
      <c r="DK531" s="66" t="str">
        <f>+IF($W531="","",ROUND((DG531*(Parámetros!$G$86)),2))</f>
        <v/>
      </c>
      <c r="DL531" s="66" t="str">
        <f t="shared" si="718"/>
        <v/>
      </c>
      <c r="DM531" t="str">
        <f t="shared" si="759"/>
        <v/>
      </c>
      <c r="DN531" s="118" t="str">
        <f t="shared" si="760"/>
        <v/>
      </c>
      <c r="DO531" s="118" t="str">
        <f t="shared" si="761"/>
        <v/>
      </c>
      <c r="DP531" s="118" t="str">
        <f t="shared" si="762"/>
        <v/>
      </c>
      <c r="DQ531" s="122" t="str">
        <f>+IF(OR($W531="",DO531=0),"",ROUND((VLOOKUP(ROUNDDOWN($D531-1/frec,0),cob_adi,DB$40,FALSE)*(1+i/frec)^-0.5*(1+Parámetros!$D$103)*(1+rec_fracc)/frec),6))</f>
        <v/>
      </c>
      <c r="DR531" s="66" t="str">
        <f t="shared" si="719"/>
        <v/>
      </c>
      <c r="DS531" s="68" t="str">
        <f t="shared" si="720"/>
        <v/>
      </c>
      <c r="DT531" s="66" t="str">
        <f>+IF($W531="","",ROUND(IF($B531&gt;Parámetros!$D$107,'Tablas Servicio'!DR531+('Tablas Servicio'!DT530-'Tablas Servicio'!DR530),DR531/(1-IF(B531&lt;=10,Parámetros!$D$100,0))),2))</f>
        <v/>
      </c>
      <c r="DU531" s="66" t="str">
        <f t="shared" si="721"/>
        <v/>
      </c>
      <c r="DV531" s="66" t="str">
        <f t="shared" si="721"/>
        <v/>
      </c>
      <c r="DW531" s="66" t="str">
        <f>+IF($W531="","",ROUND((DT531*Parámetros!$G$85),2))</f>
        <v/>
      </c>
      <c r="DX531" s="66" t="str">
        <f>+IF($W531="","",ROUND((DT531*(Parámetros!$G$86)),2))</f>
        <v/>
      </c>
      <c r="DY531" s="66" t="str">
        <f t="shared" si="722"/>
        <v/>
      </c>
      <c r="DZ531" t="str">
        <f t="shared" si="764"/>
        <v/>
      </c>
      <c r="EA531" s="118" t="str">
        <f t="shared" si="764"/>
        <v/>
      </c>
      <c r="EB531" s="118" t="str">
        <f>+IF($W531="","",ROUND(IF(Parámetros!$D$25='TABLAS MORT'!$V$33,EB530,Z531/2),0))</f>
        <v/>
      </c>
      <c r="EC531" s="118" t="str">
        <f t="shared" si="764"/>
        <v/>
      </c>
      <c r="ED531" s="122" t="str">
        <f>+IF(OR($W531="",EB531=0),"",ROUND((VLOOKUP(ROUNDDOWN($D531-1/frec,0),cob_adi,DO$40,FALSE)*(1+i/frec)^-0.5*(1+Parámetros!$D$103)*(1+rec_fracc)/frec),6))</f>
        <v/>
      </c>
      <c r="EE531" s="66" t="str">
        <f t="shared" si="724"/>
        <v/>
      </c>
      <c r="EF531" s="68" t="str">
        <f t="shared" si="725"/>
        <v/>
      </c>
      <c r="EG531" s="66" t="str">
        <f>+IF($W531="","",ROUND(IF($B531&gt;Parámetros!$D$107,'Tablas Servicio'!EE531+('Tablas Servicio'!EG530-'Tablas Servicio'!EE530),EE531/(1-IF(B531&lt;=10,Parámetros!$D$100,0))),2))</f>
        <v/>
      </c>
      <c r="EH531" s="66" t="str">
        <f t="shared" si="726"/>
        <v/>
      </c>
      <c r="EI531" s="66" t="str">
        <f t="shared" si="726"/>
        <v/>
      </c>
      <c r="EJ531" s="66" t="str">
        <f>+IF($W531="","",ROUND((EG531*Parámetros!$G$85),2))</f>
        <v/>
      </c>
      <c r="EK531" s="66" t="str">
        <f>+IF($W531="","",ROUND((EG531*(Parámetros!$G$86)),2))</f>
        <v/>
      </c>
      <c r="EL531" s="66" t="str">
        <f t="shared" si="727"/>
        <v/>
      </c>
    </row>
    <row r="532" spans="1:142" x14ac:dyDescent="0.25">
      <c r="A532" t="str">
        <f>+IF($C532="","",ROUND(VLOOKUP('Tablas Servicio'!B532,Parámetros!$H$100:$J$159,IF(Parámetros!$E$16="F",2,3),FALSE),2))</f>
        <v/>
      </c>
      <c r="B532" t="str">
        <f t="shared" si="678"/>
        <v/>
      </c>
      <c r="C532" s="57" t="str">
        <f>+IF(D532="","",'Tablas Servicio'!C531+1)</f>
        <v/>
      </c>
      <c r="D532" s="56" t="str">
        <f>+IF(D531&lt;edadmaxtabla,D531+1/Parámetros!$E$25,"")</f>
        <v/>
      </c>
      <c r="E532" s="57" t="str">
        <f t="shared" si="688"/>
        <v/>
      </c>
      <c r="F532" s="59" t="str">
        <f t="shared" si="689"/>
        <v/>
      </c>
      <c r="G532" s="66" t="str">
        <f t="shared" si="679"/>
        <v/>
      </c>
      <c r="H532" s="66" t="str">
        <f t="shared" si="680"/>
        <v/>
      </c>
      <c r="I532" s="66" t="str">
        <f t="shared" si="728"/>
        <v/>
      </c>
      <c r="J532" s="66" t="str">
        <f t="shared" si="681"/>
        <v/>
      </c>
      <c r="K532" s="66" t="str">
        <f t="shared" si="682"/>
        <v/>
      </c>
      <c r="L532" s="66" t="str">
        <f t="shared" si="683"/>
        <v/>
      </c>
      <c r="M532" s="66" t="str">
        <f t="shared" si="684"/>
        <v/>
      </c>
      <c r="N532" s="66" t="str">
        <f>+IF(C532="","",ROUND(Parámetros!$D$23,2))</f>
        <v/>
      </c>
      <c r="O532" s="66" t="str">
        <f t="shared" si="685"/>
        <v/>
      </c>
      <c r="P532" s="66" t="str">
        <f>+IF($C532="","",ROUND(IF(B532&gt;Parámetros!$D$117,0,N532*Parámetros!$D$116-G532*Parámetros!$D$100),2))</f>
        <v/>
      </c>
      <c r="Q532" s="75" t="str">
        <f t="shared" si="729"/>
        <v/>
      </c>
      <c r="R532" s="75" t="str">
        <f t="shared" si="730"/>
        <v/>
      </c>
      <c r="S532" s="117" t="str">
        <f>+IF($C532="","",ROUND((S531+I532)*(1+Parámetros!$D$91),2))</f>
        <v/>
      </c>
      <c r="T532" s="117" t="str">
        <f>+IF($C532="","",ROUND(S532*VLOOKUP(B532,Parámetros!$C$30:$D$39,2,TRUE),2))</f>
        <v/>
      </c>
      <c r="U532" s="117" t="str">
        <f>+IF($C532="","",ROUND((U531+I532)*(1+Parámetros!$D$92),2))</f>
        <v/>
      </c>
      <c r="V532" s="117" t="str">
        <f>+IF($C532="","",ROUND(U532*VLOOKUP(B532,Parámetros!$C$30:$D$39,2,TRUE),2))</f>
        <v/>
      </c>
      <c r="W532" s="57" t="str">
        <f t="shared" si="731"/>
        <v/>
      </c>
      <c r="X532" t="str">
        <f t="shared" si="732"/>
        <v/>
      </c>
      <c r="Y532" t="str">
        <f t="shared" si="733"/>
        <v/>
      </c>
      <c r="Z532" s="118" t="str">
        <f>+IF($W532="","",ROUND(IF(Parámetros!$D$25='TABLAS MORT'!$V$33,Z531,Parámetros!$D$21-'Tablas Servicio'!T531),0))</f>
        <v/>
      </c>
      <c r="AA532" s="118" t="str">
        <f t="shared" si="734"/>
        <v/>
      </c>
      <c r="AB532" s="119" t="str">
        <f>+IF(W532="","",ROUND((VLOOKUP(ROUNDDOWN($D532-1/frec,0),qx_tabla,2,FALSE)*(1+i/frec)^-0.5*(1+Parámetros!$D$103)*(1+rec_fracc)/frec),6))</f>
        <v/>
      </c>
      <c r="AC532" s="66" t="str">
        <f t="shared" si="690"/>
        <v/>
      </c>
      <c r="AD532" s="119" t="str">
        <f t="shared" si="686"/>
        <v/>
      </c>
      <c r="AE532" s="66" t="str">
        <f>+IF($W532="","",ROUND(IF($B532&gt;Parámetros!$D$107,'Tablas Servicio'!AC532+('Tablas Servicio'!AG531-'Tablas Servicio'!AC531),AC532/(1-IF(B532&lt;=10,Parámetros!$D$104,Parámetros!$D$105))),2))</f>
        <v/>
      </c>
      <c r="AF532" s="66" t="str">
        <f>+IF($W532="","",ROUND(IF($B532&gt;Parámetros!$D$107,'Tablas Servicio'!AC532+('Tablas Servicio'!AG531-'Tablas Servicio'!AC531),(AC532+$A531/frec)/(1-IF(B532&lt;=Parámetros!$D$117,Parámetros!$D$100,0))),2))</f>
        <v/>
      </c>
      <c r="AG532" s="66" t="str">
        <f t="shared" si="691"/>
        <v/>
      </c>
      <c r="AH532" s="66" t="str">
        <f t="shared" si="692"/>
        <v/>
      </c>
      <c r="AI532" s="66" t="str">
        <f t="shared" si="693"/>
        <v/>
      </c>
      <c r="AJ532" s="66" t="str">
        <f>+IF($W532="","",ROUND((AG532*Parámetros!$G$85),2))</f>
        <v/>
      </c>
      <c r="AK532" s="66" t="str">
        <f>+IF($W532="","",ROUND((AG532*(Parámetros!$G$86)),2))</f>
        <v/>
      </c>
      <c r="AL532" s="66" t="str">
        <f t="shared" si="687"/>
        <v/>
      </c>
      <c r="AM532" t="str">
        <f t="shared" si="735"/>
        <v/>
      </c>
      <c r="AN532" t="str">
        <f t="shared" si="736"/>
        <v/>
      </c>
      <c r="AO532" s="118" t="str">
        <f t="shared" si="737"/>
        <v/>
      </c>
      <c r="AP532" s="118" t="str">
        <f t="shared" si="738"/>
        <v/>
      </c>
      <c r="AQ532" s="119" t="str">
        <f>+IF(OR($W532="",AO532=0),"",ROUND((VLOOKUP(ROUNDDOWN($D532-1/frec,0),cob_adi,Z$40,FALSE)*(1+i/frec)^-0.5*(1+Parámetros!$D$103)*(1+rec_fracc)/frec),6))</f>
        <v/>
      </c>
      <c r="AR532" s="66" t="str">
        <f t="shared" si="694"/>
        <v/>
      </c>
      <c r="AS532" s="119" t="str">
        <f t="shared" si="695"/>
        <v/>
      </c>
      <c r="AT532" s="66" t="str">
        <f>+IF($W532="","",ROUND(IF($B532&gt;Parámetros!$D$107,'Tablas Servicio'!AR532+('Tablas Servicio'!AT531-'Tablas Servicio'!AR531),AR532/(1-IF(B532&lt;=10,Parámetros!$D$100,0))),2))</f>
        <v/>
      </c>
      <c r="AU532" s="66" t="str">
        <f t="shared" si="696"/>
        <v/>
      </c>
      <c r="AV532" s="66" t="str">
        <f t="shared" si="696"/>
        <v/>
      </c>
      <c r="AW532" s="66" t="str">
        <f>+IF($W532="","",ROUND((AT532*Parámetros!$G$85),2))</f>
        <v/>
      </c>
      <c r="AX532" s="66" t="str">
        <f>+IF($W532="","",ROUND((AT532*(Parámetros!$G$86)),2))</f>
        <v/>
      </c>
      <c r="AY532" s="66" t="str">
        <f t="shared" si="697"/>
        <v/>
      </c>
      <c r="AZ532" t="str">
        <f t="shared" si="739"/>
        <v/>
      </c>
      <c r="BA532" t="str">
        <f t="shared" si="740"/>
        <v/>
      </c>
      <c r="BB532" s="118" t="str">
        <f t="shared" si="741"/>
        <v/>
      </c>
      <c r="BC532" s="118" t="str">
        <f t="shared" si="742"/>
        <v/>
      </c>
      <c r="BD532" s="119" t="str">
        <f>+IF(OR($W532="",BB532=0),"",ROUND((VLOOKUP(ROUNDDOWN($D532-1/frec,0),cob_adi,AO$40,FALSE)*(1+i/frec)^-0.5*(1+Parámetros!$D$103)*(1+rec_fracc)/frec),6))</f>
        <v/>
      </c>
      <c r="BE532" s="66" t="str">
        <f t="shared" si="698"/>
        <v/>
      </c>
      <c r="BF532" s="119" t="str">
        <f t="shared" si="699"/>
        <v/>
      </c>
      <c r="BG532" s="66" t="str">
        <f>+IF($W532="","",ROUND(IF($B532&gt;Parámetros!$D$107,'Tablas Servicio'!BE532+('Tablas Servicio'!BG531-'Tablas Servicio'!BE531),BE532/(1-IF(B532&lt;=10,Parámetros!$D$100,0))),2))</f>
        <v/>
      </c>
      <c r="BH532" s="66" t="str">
        <f t="shared" si="700"/>
        <v/>
      </c>
      <c r="BI532" s="66" t="str">
        <f t="shared" si="701"/>
        <v/>
      </c>
      <c r="BJ532" s="66" t="str">
        <f>+IF($W532="","",ROUND((BG532*Parámetros!$G$85),2))</f>
        <v/>
      </c>
      <c r="BK532" s="66" t="str">
        <f>+IF($W532="","",ROUND((BG532*(Parámetros!$G$86)),2))</f>
        <v/>
      </c>
      <c r="BL532" s="66" t="str">
        <f t="shared" si="702"/>
        <v/>
      </c>
      <c r="BM532" t="str">
        <f t="shared" si="743"/>
        <v/>
      </c>
      <c r="BN532" t="str">
        <f t="shared" si="744"/>
        <v/>
      </c>
      <c r="BO532" s="118" t="str">
        <f t="shared" si="745"/>
        <v/>
      </c>
      <c r="BP532" s="118" t="str">
        <f t="shared" si="746"/>
        <v/>
      </c>
      <c r="BQ532" s="119" t="str">
        <f>+IF(OR($W532="",BO532=0),"",ROUND((VLOOKUP(ROUNDDOWN($D532-1/frec,0),cob_adi,BB$40,FALSE)*(1+i/frec)^-0.5*(1+Parámetros!$D$103)*(1+rec_fracc)/frec),6))</f>
        <v/>
      </c>
      <c r="BR532" s="66" t="str">
        <f t="shared" si="703"/>
        <v/>
      </c>
      <c r="BS532" s="119" t="str">
        <f t="shared" si="704"/>
        <v/>
      </c>
      <c r="BT532" s="66" t="str">
        <f>+IF($W532="","",ROUND(IF($B532&gt;Parámetros!$D$107,'Tablas Servicio'!BR532+('Tablas Servicio'!BT531-'Tablas Servicio'!BR531),BR532/(1-IF(B532&lt;=10,Parámetros!$D$100,0))),2))</f>
        <v/>
      </c>
      <c r="BU532" s="66" t="str">
        <f t="shared" si="705"/>
        <v/>
      </c>
      <c r="BV532" s="66" t="str">
        <f t="shared" si="705"/>
        <v/>
      </c>
      <c r="BW532" s="66" t="str">
        <f>+IF($W532="","",ROUND((BT532*Parámetros!$G$85),2))</f>
        <v/>
      </c>
      <c r="BX532" s="66" t="str">
        <f>+IF($W532="","",ROUND((BT532*(Parámetros!$G$86)),2))</f>
        <v/>
      </c>
      <c r="BY532" s="66" t="str">
        <f t="shared" si="706"/>
        <v/>
      </c>
      <c r="BZ532" t="str">
        <f t="shared" si="747"/>
        <v/>
      </c>
      <c r="CA532" t="str">
        <f t="shared" si="748"/>
        <v/>
      </c>
      <c r="CB532" s="118" t="str">
        <f t="shared" si="749"/>
        <v/>
      </c>
      <c r="CC532" s="118" t="str">
        <f t="shared" si="750"/>
        <v/>
      </c>
      <c r="CD532" s="119" t="str">
        <f t="shared" si="707"/>
        <v/>
      </c>
      <c r="CE532" s="66" t="str">
        <f>+IF($W532="","",ROUND((VLOOKUP(ROUNDDOWN($D532-1/frec,0),cob_adi,BO$40,FALSE)*(1+i/frec)^-0.5*(1+Parámetros!$D$103)*(1+rec_fracc)/frec*'TABLAS ADI'!$BC$17),2))</f>
        <v/>
      </c>
      <c r="CF532" s="119" t="str">
        <f t="shared" si="708"/>
        <v/>
      </c>
      <c r="CG532" s="66" t="str">
        <f>+IF($W532="","",ROUND(IF($B532&gt;Parámetros!$D$107,'Tablas Servicio'!CE532+('Tablas Servicio'!CG531-'Tablas Servicio'!CE531),CE532/(1-IF(B532&lt;=10,Parámetros!$D$100,0))),2))</f>
        <v/>
      </c>
      <c r="CH532" s="66" t="str">
        <f t="shared" si="709"/>
        <v/>
      </c>
      <c r="CI532" s="66" t="str">
        <f t="shared" si="709"/>
        <v/>
      </c>
      <c r="CJ532" s="66" t="str">
        <f>+IF($W532="","",ROUND((CG532*Parámetros!$G$85),2))</f>
        <v/>
      </c>
      <c r="CK532" s="66" t="str">
        <f>+IF($W532="","",ROUND((CG532*(Parámetros!$G$86)),2))</f>
        <v/>
      </c>
      <c r="CL532" s="66" t="str">
        <f t="shared" si="710"/>
        <v/>
      </c>
      <c r="CM532" t="str">
        <f t="shared" si="751"/>
        <v/>
      </c>
      <c r="CN532" s="118" t="str">
        <f t="shared" si="752"/>
        <v/>
      </c>
      <c r="CO532" s="118" t="str">
        <f t="shared" si="753"/>
        <v/>
      </c>
      <c r="CP532" s="118" t="str">
        <f t="shared" si="754"/>
        <v/>
      </c>
      <c r="CQ532" s="119" t="str">
        <f t="shared" si="711"/>
        <v/>
      </c>
      <c r="CR532" s="66" t="str">
        <f>+IF($W532="","",ROUND((VLOOKUP(Parámetros!$F$51,'COBERTURAS ADICIONALES'!$S$4:$T$32,2,FALSE)*(1+i/frec)^-0.5*(1+Parámetros!$D$103)*(1+rec_fracc)/frec*$CO$42),2))</f>
        <v/>
      </c>
      <c r="CS532" s="119" t="str">
        <f t="shared" si="712"/>
        <v/>
      </c>
      <c r="CT532" s="66" t="str">
        <f>+IF($W532="","",ROUND(IF($B532&gt;Parámetros!$D$107,'Tablas Servicio'!CR532+('Tablas Servicio'!CT531-'Tablas Servicio'!CR531),CR532/(1-IF(B532&lt;=10,Parámetros!$D$100,0))),2))</f>
        <v/>
      </c>
      <c r="CU532" s="66" t="str">
        <f t="shared" si="713"/>
        <v/>
      </c>
      <c r="CV532" s="66" t="str">
        <f t="shared" si="713"/>
        <v/>
      </c>
      <c r="CW532" s="66" t="str">
        <f>+IF($W532="","",ROUND((CT532*Parámetros!$G$85),2))</f>
        <v/>
      </c>
      <c r="CX532" s="66" t="str">
        <f>+IF($W532="","",ROUND((CT532*(Parámetros!$G$86)),2))</f>
        <v/>
      </c>
      <c r="CY532" s="66" t="str">
        <f t="shared" si="714"/>
        <v/>
      </c>
      <c r="CZ532" t="str">
        <f t="shared" si="755"/>
        <v/>
      </c>
      <c r="DA532" s="118" t="str">
        <f t="shared" si="756"/>
        <v/>
      </c>
      <c r="DB532" s="118" t="str">
        <f t="shared" si="757"/>
        <v/>
      </c>
      <c r="DC532" s="118" t="str">
        <f t="shared" si="758"/>
        <v/>
      </c>
      <c r="DD532" s="121" t="str">
        <f>+IF(OR($W532="",DB532=0),"",ROUND((VLOOKUP(ROUNDDOWN($D532-1/frec,0),cob_adi,CO$40,FALSE)*(1+i/frec)^-0.5*(1+Parámetros!$D$103)*(1+rec_fracc)/frec),6))</f>
        <v/>
      </c>
      <c r="DE532" s="66" t="str">
        <f t="shared" si="715"/>
        <v/>
      </c>
      <c r="DF532" s="119" t="str">
        <f t="shared" si="716"/>
        <v/>
      </c>
      <c r="DG532" s="66" t="str">
        <f>+IF($W532="","",ROUND(IF($B532&gt;Parámetros!$D$107,'Tablas Servicio'!DE532+('Tablas Servicio'!DG531-'Tablas Servicio'!DE531),DE532/(1-IF(B532&lt;=10,Parámetros!$D$100,0))),2))</f>
        <v/>
      </c>
      <c r="DH532" s="66" t="str">
        <f t="shared" si="717"/>
        <v/>
      </c>
      <c r="DI532" s="66" t="str">
        <f t="shared" si="717"/>
        <v/>
      </c>
      <c r="DJ532" s="66" t="str">
        <f>+IF($W532="","",ROUND((DG532*Parámetros!$G$85),2))</f>
        <v/>
      </c>
      <c r="DK532" s="66" t="str">
        <f>+IF($W532="","",ROUND((DG532*(Parámetros!$G$86)),2))</f>
        <v/>
      </c>
      <c r="DL532" s="66" t="str">
        <f t="shared" si="718"/>
        <v/>
      </c>
      <c r="DM532" t="str">
        <f t="shared" si="759"/>
        <v/>
      </c>
      <c r="DN532" s="118" t="str">
        <f t="shared" si="760"/>
        <v/>
      </c>
      <c r="DO532" s="118" t="str">
        <f t="shared" si="761"/>
        <v/>
      </c>
      <c r="DP532" s="118" t="str">
        <f t="shared" si="762"/>
        <v/>
      </c>
      <c r="DQ532" s="122" t="str">
        <f>+IF(OR($W532="",DO532=0),"",ROUND((VLOOKUP(ROUNDDOWN($D532-1/frec,0),cob_adi,DB$40,FALSE)*(1+i/frec)^-0.5*(1+Parámetros!$D$103)*(1+rec_fracc)/frec),6))</f>
        <v/>
      </c>
      <c r="DR532" s="66" t="str">
        <f t="shared" si="719"/>
        <v/>
      </c>
      <c r="DS532" s="68" t="str">
        <f t="shared" si="720"/>
        <v/>
      </c>
      <c r="DT532" s="66" t="str">
        <f>+IF($W532="","",ROUND(IF($B532&gt;Parámetros!$D$107,'Tablas Servicio'!DR532+('Tablas Servicio'!DT531-'Tablas Servicio'!DR531),DR532/(1-IF(B532&lt;=10,Parámetros!$D$100,0))),2))</f>
        <v/>
      </c>
      <c r="DU532" s="66" t="str">
        <f t="shared" si="721"/>
        <v/>
      </c>
      <c r="DV532" s="66" t="str">
        <f t="shared" si="721"/>
        <v/>
      </c>
      <c r="DW532" s="66" t="str">
        <f>+IF($W532="","",ROUND((DT532*Parámetros!$G$85),2))</f>
        <v/>
      </c>
      <c r="DX532" s="66" t="str">
        <f>+IF($W532="","",ROUND((DT532*(Parámetros!$G$86)),2))</f>
        <v/>
      </c>
      <c r="DY532" s="66" t="str">
        <f t="shared" si="722"/>
        <v/>
      </c>
      <c r="DZ532" t="str">
        <f t="shared" si="764"/>
        <v/>
      </c>
      <c r="EA532" s="118" t="str">
        <f t="shared" si="764"/>
        <v/>
      </c>
      <c r="EB532" s="118" t="str">
        <f>+IF($W532="","",ROUND(IF(Parámetros!$D$25='TABLAS MORT'!$V$33,EB531,Z532/2),0))</f>
        <v/>
      </c>
      <c r="EC532" s="118" t="str">
        <f t="shared" si="764"/>
        <v/>
      </c>
      <c r="ED532" s="122" t="str">
        <f>+IF(OR($W532="",EB532=0),"",ROUND((VLOOKUP(ROUNDDOWN($D532-1/frec,0),cob_adi,DO$40,FALSE)*(1+i/frec)^-0.5*(1+Parámetros!$D$103)*(1+rec_fracc)/frec),6))</f>
        <v/>
      </c>
      <c r="EE532" s="66" t="str">
        <f t="shared" si="724"/>
        <v/>
      </c>
      <c r="EF532" s="68" t="str">
        <f t="shared" si="725"/>
        <v/>
      </c>
      <c r="EG532" s="66" t="str">
        <f>+IF($W532="","",ROUND(IF($B532&gt;Parámetros!$D$107,'Tablas Servicio'!EE532+('Tablas Servicio'!EG531-'Tablas Servicio'!EE531),EE532/(1-IF(B532&lt;=10,Parámetros!$D$100,0))),2))</f>
        <v/>
      </c>
      <c r="EH532" s="66" t="str">
        <f t="shared" si="726"/>
        <v/>
      </c>
      <c r="EI532" s="66" t="str">
        <f t="shared" si="726"/>
        <v/>
      </c>
      <c r="EJ532" s="66" t="str">
        <f>+IF($W532="","",ROUND((EG532*Parámetros!$G$85),2))</f>
        <v/>
      </c>
      <c r="EK532" s="66" t="str">
        <f>+IF($W532="","",ROUND((EG532*(Parámetros!$G$86)),2))</f>
        <v/>
      </c>
      <c r="EL532" s="66" t="str">
        <f t="shared" si="727"/>
        <v/>
      </c>
    </row>
    <row r="533" spans="1:142" x14ac:dyDescent="0.25">
      <c r="A533" t="str">
        <f>+IF($C533="","",ROUND(VLOOKUP('Tablas Servicio'!B533,Parámetros!$H$100:$J$159,IF(Parámetros!$E$16="F",2,3),FALSE),2))</f>
        <v/>
      </c>
      <c r="B533" t="str">
        <f t="shared" si="678"/>
        <v/>
      </c>
      <c r="C533" s="57" t="str">
        <f>+IF(D533="","",'Tablas Servicio'!C532+1)</f>
        <v/>
      </c>
      <c r="D533" s="56" t="str">
        <f>+IF(D532&lt;edadmaxtabla,D532+1/Parámetros!$E$25,"")</f>
        <v/>
      </c>
      <c r="E533" s="57" t="str">
        <f t="shared" si="688"/>
        <v/>
      </c>
      <c r="F533" s="59" t="str">
        <f t="shared" si="689"/>
        <v/>
      </c>
      <c r="G533" s="66" t="str">
        <f t="shared" si="679"/>
        <v/>
      </c>
      <c r="H533" s="66" t="str">
        <f t="shared" si="680"/>
        <v/>
      </c>
      <c r="I533" s="66" t="str">
        <f t="shared" si="728"/>
        <v/>
      </c>
      <c r="J533" s="66" t="str">
        <f t="shared" si="681"/>
        <v/>
      </c>
      <c r="K533" s="66" t="str">
        <f t="shared" si="682"/>
        <v/>
      </c>
      <c r="L533" s="66" t="str">
        <f t="shared" si="683"/>
        <v/>
      </c>
      <c r="M533" s="66" t="str">
        <f t="shared" si="684"/>
        <v/>
      </c>
      <c r="N533" s="66" t="str">
        <f>+IF(C533="","",ROUND(Parámetros!$D$23,2))</f>
        <v/>
      </c>
      <c r="O533" s="66" t="str">
        <f t="shared" si="685"/>
        <v/>
      </c>
      <c r="P533" s="66" t="str">
        <f>+IF($C533="","",ROUND(IF(B533&gt;Parámetros!$D$117,0,N533*Parámetros!$D$116-G533*Parámetros!$D$100),2))</f>
        <v/>
      </c>
      <c r="Q533" s="75" t="str">
        <f t="shared" si="729"/>
        <v/>
      </c>
      <c r="R533" s="75" t="str">
        <f t="shared" si="730"/>
        <v/>
      </c>
      <c r="S533" s="117" t="str">
        <f>+IF($C533="","",ROUND((S532+I533)*(1+Parámetros!$D$91),2))</f>
        <v/>
      </c>
      <c r="T533" s="117" t="str">
        <f>+IF($C533="","",ROUND(S533*VLOOKUP(B533,Parámetros!$C$30:$D$39,2,TRUE),2))</f>
        <v/>
      </c>
      <c r="U533" s="117" t="str">
        <f>+IF($C533="","",ROUND((U532+I533)*(1+Parámetros!$D$92),2))</f>
        <v/>
      </c>
      <c r="V533" s="117" t="str">
        <f>+IF($C533="","",ROUND(U533*VLOOKUP(B533,Parámetros!$C$30:$D$39,2,TRUE),2))</f>
        <v/>
      </c>
      <c r="W533" s="57" t="str">
        <f t="shared" si="731"/>
        <v/>
      </c>
      <c r="X533" t="str">
        <f t="shared" si="732"/>
        <v/>
      </c>
      <c r="Y533" t="str">
        <f t="shared" si="733"/>
        <v/>
      </c>
      <c r="Z533" s="118" t="str">
        <f>+IF($W533="","",ROUND(IF(Parámetros!$D$25='TABLAS MORT'!$V$33,Z532,Parámetros!$D$21-'Tablas Servicio'!T532),0))</f>
        <v/>
      </c>
      <c r="AA533" s="118" t="str">
        <f t="shared" si="734"/>
        <v/>
      </c>
      <c r="AB533" s="119" t="str">
        <f>+IF(W533="","",ROUND((VLOOKUP(ROUNDDOWN($D533-1/frec,0),qx_tabla,2,FALSE)*(1+i/frec)^-0.5*(1+Parámetros!$D$103)*(1+rec_fracc)/frec),6))</f>
        <v/>
      </c>
      <c r="AC533" s="66" t="str">
        <f t="shared" si="690"/>
        <v/>
      </c>
      <c r="AD533" s="119" t="str">
        <f t="shared" si="686"/>
        <v/>
      </c>
      <c r="AE533" s="66" t="str">
        <f>+IF($W533="","",ROUND(IF($B533&gt;Parámetros!$D$107,'Tablas Servicio'!AC533+('Tablas Servicio'!AG532-'Tablas Servicio'!AC532),AC533/(1-IF(B533&lt;=10,Parámetros!$D$104,Parámetros!$D$105))),2))</f>
        <v/>
      </c>
      <c r="AF533" s="66" t="str">
        <f>+IF($W533="","",ROUND(IF($B533&gt;Parámetros!$D$107,'Tablas Servicio'!AC533+('Tablas Servicio'!AG532-'Tablas Servicio'!AC532),(AC533+$A532/frec)/(1-IF(B533&lt;=Parámetros!$D$117,Parámetros!$D$100,0))),2))</f>
        <v/>
      </c>
      <c r="AG533" s="66" t="str">
        <f t="shared" si="691"/>
        <v/>
      </c>
      <c r="AH533" s="66" t="str">
        <f t="shared" si="692"/>
        <v/>
      </c>
      <c r="AI533" s="66" t="str">
        <f t="shared" si="693"/>
        <v/>
      </c>
      <c r="AJ533" s="66" t="str">
        <f>+IF($W533="","",ROUND((AG533*Parámetros!$G$85),2))</f>
        <v/>
      </c>
      <c r="AK533" s="66" t="str">
        <f>+IF($W533="","",ROUND((AG533*(Parámetros!$G$86)),2))</f>
        <v/>
      </c>
      <c r="AL533" s="66" t="str">
        <f t="shared" si="687"/>
        <v/>
      </c>
      <c r="AM533" t="str">
        <f t="shared" si="735"/>
        <v/>
      </c>
      <c r="AN533" t="str">
        <f t="shared" si="736"/>
        <v/>
      </c>
      <c r="AO533" s="118" t="str">
        <f t="shared" si="737"/>
        <v/>
      </c>
      <c r="AP533" s="118" t="str">
        <f t="shared" si="738"/>
        <v/>
      </c>
      <c r="AQ533" s="119" t="str">
        <f>+IF(OR($W533="",AO533=0),"",ROUND((VLOOKUP(ROUNDDOWN($D533-1/frec,0),cob_adi,Z$40,FALSE)*(1+i/frec)^-0.5*(1+Parámetros!$D$103)*(1+rec_fracc)/frec),6))</f>
        <v/>
      </c>
      <c r="AR533" s="66" t="str">
        <f t="shared" si="694"/>
        <v/>
      </c>
      <c r="AS533" s="119" t="str">
        <f t="shared" si="695"/>
        <v/>
      </c>
      <c r="AT533" s="66" t="str">
        <f>+IF($W533="","",ROUND(IF($B533&gt;Parámetros!$D$107,'Tablas Servicio'!AR533+('Tablas Servicio'!AT532-'Tablas Servicio'!AR532),AR533/(1-IF(B533&lt;=10,Parámetros!$D$100,0))),2))</f>
        <v/>
      </c>
      <c r="AU533" s="66" t="str">
        <f t="shared" si="696"/>
        <v/>
      </c>
      <c r="AV533" s="66" t="str">
        <f t="shared" si="696"/>
        <v/>
      </c>
      <c r="AW533" s="66" t="str">
        <f>+IF($W533="","",ROUND((AT533*Parámetros!$G$85),2))</f>
        <v/>
      </c>
      <c r="AX533" s="66" t="str">
        <f>+IF($W533="","",ROUND((AT533*(Parámetros!$G$86)),2))</f>
        <v/>
      </c>
      <c r="AY533" s="66" t="str">
        <f t="shared" si="697"/>
        <v/>
      </c>
      <c r="AZ533" t="str">
        <f t="shared" si="739"/>
        <v/>
      </c>
      <c r="BA533" t="str">
        <f t="shared" si="740"/>
        <v/>
      </c>
      <c r="BB533" s="118" t="str">
        <f t="shared" si="741"/>
        <v/>
      </c>
      <c r="BC533" s="118" t="str">
        <f t="shared" si="742"/>
        <v/>
      </c>
      <c r="BD533" s="119" t="str">
        <f>+IF(OR($W533="",BB533=0),"",ROUND((VLOOKUP(ROUNDDOWN($D533-1/frec,0),cob_adi,AO$40,FALSE)*(1+i/frec)^-0.5*(1+Parámetros!$D$103)*(1+rec_fracc)/frec),6))</f>
        <v/>
      </c>
      <c r="BE533" s="66" t="str">
        <f t="shared" si="698"/>
        <v/>
      </c>
      <c r="BF533" s="119" t="str">
        <f t="shared" si="699"/>
        <v/>
      </c>
      <c r="BG533" s="66" t="str">
        <f>+IF($W533="","",ROUND(IF($B533&gt;Parámetros!$D$107,'Tablas Servicio'!BE533+('Tablas Servicio'!BG532-'Tablas Servicio'!BE532),BE533/(1-IF(B533&lt;=10,Parámetros!$D$100,0))),2))</f>
        <v/>
      </c>
      <c r="BH533" s="66" t="str">
        <f t="shared" si="700"/>
        <v/>
      </c>
      <c r="BI533" s="66" t="str">
        <f t="shared" si="701"/>
        <v/>
      </c>
      <c r="BJ533" s="66" t="str">
        <f>+IF($W533="","",ROUND((BG533*Parámetros!$G$85),2))</f>
        <v/>
      </c>
      <c r="BK533" s="66" t="str">
        <f>+IF($W533="","",ROUND((BG533*(Parámetros!$G$86)),2))</f>
        <v/>
      </c>
      <c r="BL533" s="66" t="str">
        <f t="shared" si="702"/>
        <v/>
      </c>
      <c r="BM533" t="str">
        <f t="shared" si="743"/>
        <v/>
      </c>
      <c r="BN533" t="str">
        <f t="shared" si="744"/>
        <v/>
      </c>
      <c r="BO533" s="118" t="str">
        <f t="shared" si="745"/>
        <v/>
      </c>
      <c r="BP533" s="118" t="str">
        <f t="shared" si="746"/>
        <v/>
      </c>
      <c r="BQ533" s="119" t="str">
        <f>+IF(OR($W533="",BO533=0),"",ROUND((VLOOKUP(ROUNDDOWN($D533-1/frec,0),cob_adi,BB$40,FALSE)*(1+i/frec)^-0.5*(1+Parámetros!$D$103)*(1+rec_fracc)/frec),6))</f>
        <v/>
      </c>
      <c r="BR533" s="66" t="str">
        <f t="shared" si="703"/>
        <v/>
      </c>
      <c r="BS533" s="119" t="str">
        <f t="shared" si="704"/>
        <v/>
      </c>
      <c r="BT533" s="66" t="str">
        <f>+IF($W533="","",ROUND(IF($B533&gt;Parámetros!$D$107,'Tablas Servicio'!BR533+('Tablas Servicio'!BT532-'Tablas Servicio'!BR532),BR533/(1-IF(B533&lt;=10,Parámetros!$D$100,0))),2))</f>
        <v/>
      </c>
      <c r="BU533" s="66" t="str">
        <f t="shared" si="705"/>
        <v/>
      </c>
      <c r="BV533" s="66" t="str">
        <f t="shared" si="705"/>
        <v/>
      </c>
      <c r="BW533" s="66" t="str">
        <f>+IF($W533="","",ROUND((BT533*Parámetros!$G$85),2))</f>
        <v/>
      </c>
      <c r="BX533" s="66" t="str">
        <f>+IF($W533="","",ROUND((BT533*(Parámetros!$G$86)),2))</f>
        <v/>
      </c>
      <c r="BY533" s="66" t="str">
        <f t="shared" si="706"/>
        <v/>
      </c>
      <c r="BZ533" t="str">
        <f t="shared" si="747"/>
        <v/>
      </c>
      <c r="CA533" t="str">
        <f t="shared" si="748"/>
        <v/>
      </c>
      <c r="CB533" s="118" t="str">
        <f t="shared" si="749"/>
        <v/>
      </c>
      <c r="CC533" s="118" t="str">
        <f t="shared" si="750"/>
        <v/>
      </c>
      <c r="CD533" s="119" t="str">
        <f t="shared" si="707"/>
        <v/>
      </c>
      <c r="CE533" s="66" t="str">
        <f>+IF($W533="","",ROUND((VLOOKUP(ROUNDDOWN($D533-1/frec,0),cob_adi,BO$40,FALSE)*(1+i/frec)^-0.5*(1+Parámetros!$D$103)*(1+rec_fracc)/frec*'TABLAS ADI'!$BC$17),2))</f>
        <v/>
      </c>
      <c r="CF533" s="119" t="str">
        <f t="shared" si="708"/>
        <v/>
      </c>
      <c r="CG533" s="66" t="str">
        <f>+IF($W533="","",ROUND(IF($B533&gt;Parámetros!$D$107,'Tablas Servicio'!CE533+('Tablas Servicio'!CG532-'Tablas Servicio'!CE532),CE533/(1-IF(B533&lt;=10,Parámetros!$D$100,0))),2))</f>
        <v/>
      </c>
      <c r="CH533" s="66" t="str">
        <f t="shared" si="709"/>
        <v/>
      </c>
      <c r="CI533" s="66" t="str">
        <f t="shared" si="709"/>
        <v/>
      </c>
      <c r="CJ533" s="66" t="str">
        <f>+IF($W533="","",ROUND((CG533*Parámetros!$G$85),2))</f>
        <v/>
      </c>
      <c r="CK533" s="66" t="str">
        <f>+IF($W533="","",ROUND((CG533*(Parámetros!$G$86)),2))</f>
        <v/>
      </c>
      <c r="CL533" s="66" t="str">
        <f t="shared" si="710"/>
        <v/>
      </c>
      <c r="CM533" t="str">
        <f t="shared" si="751"/>
        <v/>
      </c>
      <c r="CN533" s="118" t="str">
        <f t="shared" si="752"/>
        <v/>
      </c>
      <c r="CO533" s="118" t="str">
        <f t="shared" si="753"/>
        <v/>
      </c>
      <c r="CP533" s="118" t="str">
        <f t="shared" si="754"/>
        <v/>
      </c>
      <c r="CQ533" s="119" t="str">
        <f t="shared" si="711"/>
        <v/>
      </c>
      <c r="CR533" s="66" t="str">
        <f>+IF($W533="","",ROUND((VLOOKUP(Parámetros!$F$51,'COBERTURAS ADICIONALES'!$S$4:$T$32,2,FALSE)*(1+i/frec)^-0.5*(1+Parámetros!$D$103)*(1+rec_fracc)/frec*$CO$42),2))</f>
        <v/>
      </c>
      <c r="CS533" s="119" t="str">
        <f t="shared" si="712"/>
        <v/>
      </c>
      <c r="CT533" s="66" t="str">
        <f>+IF($W533="","",ROUND(IF($B533&gt;Parámetros!$D$107,'Tablas Servicio'!CR533+('Tablas Servicio'!CT532-'Tablas Servicio'!CR532),CR533/(1-IF(B533&lt;=10,Parámetros!$D$100,0))),2))</f>
        <v/>
      </c>
      <c r="CU533" s="66" t="str">
        <f t="shared" si="713"/>
        <v/>
      </c>
      <c r="CV533" s="66" t="str">
        <f t="shared" si="713"/>
        <v/>
      </c>
      <c r="CW533" s="66" t="str">
        <f>+IF($W533="","",ROUND((CT533*Parámetros!$G$85),2))</f>
        <v/>
      </c>
      <c r="CX533" s="66" t="str">
        <f>+IF($W533="","",ROUND((CT533*(Parámetros!$G$86)),2))</f>
        <v/>
      </c>
      <c r="CY533" s="66" t="str">
        <f t="shared" si="714"/>
        <v/>
      </c>
      <c r="CZ533" t="str">
        <f t="shared" si="755"/>
        <v/>
      </c>
      <c r="DA533" s="118" t="str">
        <f t="shared" si="756"/>
        <v/>
      </c>
      <c r="DB533" s="118" t="str">
        <f t="shared" si="757"/>
        <v/>
      </c>
      <c r="DC533" s="118" t="str">
        <f t="shared" si="758"/>
        <v/>
      </c>
      <c r="DD533" s="121" t="str">
        <f>+IF(OR($W533="",DB533=0),"",ROUND((VLOOKUP(ROUNDDOWN($D533-1/frec,0),cob_adi,CO$40,FALSE)*(1+i/frec)^-0.5*(1+Parámetros!$D$103)*(1+rec_fracc)/frec),6))</f>
        <v/>
      </c>
      <c r="DE533" s="66" t="str">
        <f t="shared" si="715"/>
        <v/>
      </c>
      <c r="DF533" s="119" t="str">
        <f t="shared" si="716"/>
        <v/>
      </c>
      <c r="DG533" s="66" t="str">
        <f>+IF($W533="","",ROUND(IF($B533&gt;Parámetros!$D$107,'Tablas Servicio'!DE533+('Tablas Servicio'!DG532-'Tablas Servicio'!DE532),DE533/(1-IF(B533&lt;=10,Parámetros!$D$100,0))),2))</f>
        <v/>
      </c>
      <c r="DH533" s="66" t="str">
        <f t="shared" si="717"/>
        <v/>
      </c>
      <c r="DI533" s="66" t="str">
        <f t="shared" si="717"/>
        <v/>
      </c>
      <c r="DJ533" s="66" t="str">
        <f>+IF($W533="","",ROUND((DG533*Parámetros!$G$85),2))</f>
        <v/>
      </c>
      <c r="DK533" s="66" t="str">
        <f>+IF($W533="","",ROUND((DG533*(Parámetros!$G$86)),2))</f>
        <v/>
      </c>
      <c r="DL533" s="66" t="str">
        <f t="shared" si="718"/>
        <v/>
      </c>
      <c r="DM533" t="str">
        <f t="shared" si="759"/>
        <v/>
      </c>
      <c r="DN533" s="118" t="str">
        <f t="shared" si="760"/>
        <v/>
      </c>
      <c r="DO533" s="118" t="str">
        <f t="shared" si="761"/>
        <v/>
      </c>
      <c r="DP533" s="118" t="str">
        <f t="shared" si="762"/>
        <v/>
      </c>
      <c r="DQ533" s="122" t="str">
        <f>+IF(OR($W533="",DO533=0),"",ROUND((VLOOKUP(ROUNDDOWN($D533-1/frec,0),cob_adi,DB$40,FALSE)*(1+i/frec)^-0.5*(1+Parámetros!$D$103)*(1+rec_fracc)/frec),6))</f>
        <v/>
      </c>
      <c r="DR533" s="66" t="str">
        <f t="shared" si="719"/>
        <v/>
      </c>
      <c r="DS533" s="68" t="str">
        <f t="shared" si="720"/>
        <v/>
      </c>
      <c r="DT533" s="66" t="str">
        <f>+IF($W533="","",ROUND(IF($B533&gt;Parámetros!$D$107,'Tablas Servicio'!DR533+('Tablas Servicio'!DT532-'Tablas Servicio'!DR532),DR533/(1-IF(B533&lt;=10,Parámetros!$D$100,0))),2))</f>
        <v/>
      </c>
      <c r="DU533" s="66" t="str">
        <f t="shared" si="721"/>
        <v/>
      </c>
      <c r="DV533" s="66" t="str">
        <f t="shared" si="721"/>
        <v/>
      </c>
      <c r="DW533" s="66" t="str">
        <f>+IF($W533="","",ROUND((DT533*Parámetros!$G$85),2))</f>
        <v/>
      </c>
      <c r="DX533" s="66" t="str">
        <f>+IF($W533="","",ROUND((DT533*(Parámetros!$G$86)),2))</f>
        <v/>
      </c>
      <c r="DY533" s="66" t="str">
        <f t="shared" si="722"/>
        <v/>
      </c>
      <c r="DZ533" t="str">
        <f t="shared" si="764"/>
        <v/>
      </c>
      <c r="EA533" s="118" t="str">
        <f t="shared" si="764"/>
        <v/>
      </c>
      <c r="EB533" s="118" t="str">
        <f>+IF($W533="","",ROUND(IF(Parámetros!$D$25='TABLAS MORT'!$V$33,EB532,Z533/2),0))</f>
        <v/>
      </c>
      <c r="EC533" s="118" t="str">
        <f t="shared" si="764"/>
        <v/>
      </c>
      <c r="ED533" s="122" t="str">
        <f>+IF(OR($W533="",EB533=0),"",ROUND((VLOOKUP(ROUNDDOWN($D533-1/frec,0),cob_adi,DO$40,FALSE)*(1+i/frec)^-0.5*(1+Parámetros!$D$103)*(1+rec_fracc)/frec),6))</f>
        <v/>
      </c>
      <c r="EE533" s="66" t="str">
        <f t="shared" si="724"/>
        <v/>
      </c>
      <c r="EF533" s="68" t="str">
        <f t="shared" si="725"/>
        <v/>
      </c>
      <c r="EG533" s="66" t="str">
        <f>+IF($W533="","",ROUND(IF($B533&gt;Parámetros!$D$107,'Tablas Servicio'!EE533+('Tablas Servicio'!EG532-'Tablas Servicio'!EE532),EE533/(1-IF(B533&lt;=10,Parámetros!$D$100,0))),2))</f>
        <v/>
      </c>
      <c r="EH533" s="66" t="str">
        <f t="shared" si="726"/>
        <v/>
      </c>
      <c r="EI533" s="66" t="str">
        <f t="shared" si="726"/>
        <v/>
      </c>
      <c r="EJ533" s="66" t="str">
        <f>+IF($W533="","",ROUND((EG533*Parámetros!$G$85),2))</f>
        <v/>
      </c>
      <c r="EK533" s="66" t="str">
        <f>+IF($W533="","",ROUND((EG533*(Parámetros!$G$86)),2))</f>
        <v/>
      </c>
      <c r="EL533" s="66" t="str">
        <f t="shared" si="727"/>
        <v/>
      </c>
    </row>
    <row r="534" spans="1:142" x14ac:dyDescent="0.25">
      <c r="A534" t="str">
        <f>+IF($C534="","",ROUND(VLOOKUP('Tablas Servicio'!B534,Parámetros!$H$100:$J$159,IF(Parámetros!$E$16="F",2,3),FALSE),2))</f>
        <v/>
      </c>
      <c r="B534" t="str">
        <f t="shared" si="678"/>
        <v/>
      </c>
      <c r="C534" s="57" t="str">
        <f>+IF(D534="","",'Tablas Servicio'!C533+1)</f>
        <v/>
      </c>
      <c r="D534" s="56" t="str">
        <f>+IF(D533&lt;edadmaxtabla,D533+1/Parámetros!$E$25,"")</f>
        <v/>
      </c>
      <c r="E534" s="57" t="str">
        <f t="shared" si="688"/>
        <v/>
      </c>
      <c r="F534" s="59" t="str">
        <f t="shared" si="689"/>
        <v/>
      </c>
      <c r="G534" s="66" t="str">
        <f t="shared" si="679"/>
        <v/>
      </c>
      <c r="H534" s="66" t="str">
        <f t="shared" si="680"/>
        <v/>
      </c>
      <c r="I534" s="66" t="str">
        <f t="shared" si="728"/>
        <v/>
      </c>
      <c r="J534" s="66" t="str">
        <f t="shared" si="681"/>
        <v/>
      </c>
      <c r="K534" s="66" t="str">
        <f t="shared" si="682"/>
        <v/>
      </c>
      <c r="L534" s="66" t="str">
        <f t="shared" si="683"/>
        <v/>
      </c>
      <c r="M534" s="66" t="str">
        <f t="shared" si="684"/>
        <v/>
      </c>
      <c r="N534" s="66" t="str">
        <f>+IF(C534="","",ROUND(Parámetros!$D$23,2))</f>
        <v/>
      </c>
      <c r="O534" s="66" t="str">
        <f t="shared" si="685"/>
        <v/>
      </c>
      <c r="P534" s="66" t="str">
        <f>+IF($C534="","",ROUND(IF(B534&gt;Parámetros!$D$117,0,N534*Parámetros!$D$116-G534*Parámetros!$D$100),2))</f>
        <v/>
      </c>
      <c r="Q534" s="75" t="str">
        <f t="shared" si="729"/>
        <v/>
      </c>
      <c r="R534" s="75" t="str">
        <f t="shared" si="730"/>
        <v/>
      </c>
      <c r="S534" s="117" t="str">
        <f>+IF($C534="","",ROUND((S533+I534)*(1+Parámetros!$D$91),2))</f>
        <v/>
      </c>
      <c r="T534" s="117" t="str">
        <f>+IF($C534="","",ROUND(S534*VLOOKUP(B534,Parámetros!$C$30:$D$39,2,TRUE),2))</f>
        <v/>
      </c>
      <c r="U534" s="117" t="str">
        <f>+IF($C534="","",ROUND((U533+I534)*(1+Parámetros!$D$92),2))</f>
        <v/>
      </c>
      <c r="V534" s="117" t="str">
        <f>+IF($C534="","",ROUND(U534*VLOOKUP(B534,Parámetros!$C$30:$D$39,2,TRUE),2))</f>
        <v/>
      </c>
      <c r="W534" s="57" t="str">
        <f t="shared" si="731"/>
        <v/>
      </c>
      <c r="X534" t="str">
        <f t="shared" si="732"/>
        <v/>
      </c>
      <c r="Y534" t="str">
        <f t="shared" si="733"/>
        <v/>
      </c>
      <c r="Z534" s="118" t="str">
        <f>+IF($W534="","",ROUND(IF(Parámetros!$D$25='TABLAS MORT'!$V$33,Z533,Parámetros!$D$21-'Tablas Servicio'!T533),0))</f>
        <v/>
      </c>
      <c r="AA534" s="118" t="str">
        <f t="shared" si="734"/>
        <v/>
      </c>
      <c r="AB534" s="119" t="str">
        <f>+IF(W534="","",ROUND((VLOOKUP(ROUNDDOWN($D534-1/frec,0),qx_tabla,2,FALSE)*(1+i/frec)^-0.5*(1+Parámetros!$D$103)*(1+rec_fracc)/frec),6))</f>
        <v/>
      </c>
      <c r="AC534" s="66" t="str">
        <f t="shared" si="690"/>
        <v/>
      </c>
      <c r="AD534" s="119" t="str">
        <f t="shared" si="686"/>
        <v/>
      </c>
      <c r="AE534" s="66" t="str">
        <f>+IF($W534="","",ROUND(IF($B534&gt;Parámetros!$D$107,'Tablas Servicio'!AC534+('Tablas Servicio'!AG533-'Tablas Servicio'!AC533),AC534/(1-IF(B534&lt;=10,Parámetros!$D$104,Parámetros!$D$105))),2))</f>
        <v/>
      </c>
      <c r="AF534" s="66" t="str">
        <f>+IF($W534="","",ROUND(IF($B534&gt;Parámetros!$D$107,'Tablas Servicio'!AC534+('Tablas Servicio'!AG533-'Tablas Servicio'!AC533),(AC534+$A533/frec)/(1-IF(B534&lt;=Parámetros!$D$117,Parámetros!$D$100,0))),2))</f>
        <v/>
      </c>
      <c r="AG534" s="66" t="str">
        <f t="shared" si="691"/>
        <v/>
      </c>
      <c r="AH534" s="66" t="str">
        <f t="shared" si="692"/>
        <v/>
      </c>
      <c r="AI534" s="66" t="str">
        <f t="shared" si="693"/>
        <v/>
      </c>
      <c r="AJ534" s="66" t="str">
        <f>+IF($W534="","",ROUND((AG534*Parámetros!$G$85),2))</f>
        <v/>
      </c>
      <c r="AK534" s="66" t="str">
        <f>+IF($W534="","",ROUND((AG534*(Parámetros!$G$86)),2))</f>
        <v/>
      </c>
      <c r="AL534" s="66" t="str">
        <f t="shared" si="687"/>
        <v/>
      </c>
      <c r="AM534" t="str">
        <f t="shared" si="735"/>
        <v/>
      </c>
      <c r="AN534" t="str">
        <f t="shared" si="736"/>
        <v/>
      </c>
      <c r="AO534" s="118" t="str">
        <f t="shared" si="737"/>
        <v/>
      </c>
      <c r="AP534" s="118" t="str">
        <f t="shared" si="738"/>
        <v/>
      </c>
      <c r="AQ534" s="119" t="str">
        <f>+IF(OR($W534="",AO534=0),"",ROUND((VLOOKUP(ROUNDDOWN($D534-1/frec,0),cob_adi,Z$40,FALSE)*(1+i/frec)^-0.5*(1+Parámetros!$D$103)*(1+rec_fracc)/frec),6))</f>
        <v/>
      </c>
      <c r="AR534" s="66" t="str">
        <f t="shared" si="694"/>
        <v/>
      </c>
      <c r="AS534" s="119" t="str">
        <f t="shared" si="695"/>
        <v/>
      </c>
      <c r="AT534" s="66" t="str">
        <f>+IF($W534="","",ROUND(IF($B534&gt;Parámetros!$D$107,'Tablas Servicio'!AR534+('Tablas Servicio'!AT533-'Tablas Servicio'!AR533),AR534/(1-IF(B534&lt;=10,Parámetros!$D$100,0))),2))</f>
        <v/>
      </c>
      <c r="AU534" s="66" t="str">
        <f t="shared" si="696"/>
        <v/>
      </c>
      <c r="AV534" s="66" t="str">
        <f t="shared" si="696"/>
        <v/>
      </c>
      <c r="AW534" s="66" t="str">
        <f>+IF($W534="","",ROUND((AT534*Parámetros!$G$85),2))</f>
        <v/>
      </c>
      <c r="AX534" s="66" t="str">
        <f>+IF($W534="","",ROUND((AT534*(Parámetros!$G$86)),2))</f>
        <v/>
      </c>
      <c r="AY534" s="66" t="str">
        <f t="shared" si="697"/>
        <v/>
      </c>
      <c r="AZ534" t="str">
        <f t="shared" si="739"/>
        <v/>
      </c>
      <c r="BA534" t="str">
        <f t="shared" si="740"/>
        <v/>
      </c>
      <c r="BB534" s="118" t="str">
        <f t="shared" si="741"/>
        <v/>
      </c>
      <c r="BC534" s="118" t="str">
        <f t="shared" si="742"/>
        <v/>
      </c>
      <c r="BD534" s="119" t="str">
        <f>+IF(OR($W534="",BB534=0),"",ROUND((VLOOKUP(ROUNDDOWN($D534-1/frec,0),cob_adi,AO$40,FALSE)*(1+i/frec)^-0.5*(1+Parámetros!$D$103)*(1+rec_fracc)/frec),6))</f>
        <v/>
      </c>
      <c r="BE534" s="66" t="str">
        <f t="shared" si="698"/>
        <v/>
      </c>
      <c r="BF534" s="119" t="str">
        <f t="shared" si="699"/>
        <v/>
      </c>
      <c r="BG534" s="66" t="str">
        <f>+IF($W534="","",ROUND(IF($B534&gt;Parámetros!$D$107,'Tablas Servicio'!BE534+('Tablas Servicio'!BG533-'Tablas Servicio'!BE533),BE534/(1-IF(B534&lt;=10,Parámetros!$D$100,0))),2))</f>
        <v/>
      </c>
      <c r="BH534" s="66" t="str">
        <f t="shared" si="700"/>
        <v/>
      </c>
      <c r="BI534" s="66" t="str">
        <f t="shared" si="701"/>
        <v/>
      </c>
      <c r="BJ534" s="66" t="str">
        <f>+IF($W534="","",ROUND((BG534*Parámetros!$G$85),2))</f>
        <v/>
      </c>
      <c r="BK534" s="66" t="str">
        <f>+IF($W534="","",ROUND((BG534*(Parámetros!$G$86)),2))</f>
        <v/>
      </c>
      <c r="BL534" s="66" t="str">
        <f t="shared" si="702"/>
        <v/>
      </c>
      <c r="BM534" t="str">
        <f t="shared" si="743"/>
        <v/>
      </c>
      <c r="BN534" t="str">
        <f t="shared" si="744"/>
        <v/>
      </c>
      <c r="BO534" s="118" t="str">
        <f t="shared" si="745"/>
        <v/>
      </c>
      <c r="BP534" s="118" t="str">
        <f t="shared" si="746"/>
        <v/>
      </c>
      <c r="BQ534" s="119" t="str">
        <f>+IF(OR($W534="",BO534=0),"",ROUND((VLOOKUP(ROUNDDOWN($D534-1/frec,0),cob_adi,BB$40,FALSE)*(1+i/frec)^-0.5*(1+Parámetros!$D$103)*(1+rec_fracc)/frec),6))</f>
        <v/>
      </c>
      <c r="BR534" s="66" t="str">
        <f t="shared" si="703"/>
        <v/>
      </c>
      <c r="BS534" s="119" t="str">
        <f t="shared" si="704"/>
        <v/>
      </c>
      <c r="BT534" s="66" t="str">
        <f>+IF($W534="","",ROUND(IF($B534&gt;Parámetros!$D$107,'Tablas Servicio'!BR534+('Tablas Servicio'!BT533-'Tablas Servicio'!BR533),BR534/(1-IF(B534&lt;=10,Parámetros!$D$100,0))),2))</f>
        <v/>
      </c>
      <c r="BU534" s="66" t="str">
        <f t="shared" si="705"/>
        <v/>
      </c>
      <c r="BV534" s="66" t="str">
        <f t="shared" si="705"/>
        <v/>
      </c>
      <c r="BW534" s="66" t="str">
        <f>+IF($W534="","",ROUND((BT534*Parámetros!$G$85),2))</f>
        <v/>
      </c>
      <c r="BX534" s="66" t="str">
        <f>+IF($W534="","",ROUND((BT534*(Parámetros!$G$86)),2))</f>
        <v/>
      </c>
      <c r="BY534" s="66" t="str">
        <f t="shared" si="706"/>
        <v/>
      </c>
      <c r="BZ534" t="str">
        <f t="shared" si="747"/>
        <v/>
      </c>
      <c r="CA534" t="str">
        <f t="shared" si="748"/>
        <v/>
      </c>
      <c r="CB534" s="118" t="str">
        <f t="shared" si="749"/>
        <v/>
      </c>
      <c r="CC534" s="118" t="str">
        <f t="shared" si="750"/>
        <v/>
      </c>
      <c r="CD534" s="119" t="str">
        <f t="shared" si="707"/>
        <v/>
      </c>
      <c r="CE534" s="66" t="str">
        <f>+IF($W534="","",ROUND((VLOOKUP(ROUNDDOWN($D534-1/frec,0),cob_adi,BO$40,FALSE)*(1+i/frec)^-0.5*(1+Parámetros!$D$103)*(1+rec_fracc)/frec*'TABLAS ADI'!$BC$17),2))</f>
        <v/>
      </c>
      <c r="CF534" s="119" t="str">
        <f t="shared" si="708"/>
        <v/>
      </c>
      <c r="CG534" s="66" t="str">
        <f>+IF($W534="","",ROUND(IF($B534&gt;Parámetros!$D$107,'Tablas Servicio'!CE534+('Tablas Servicio'!CG533-'Tablas Servicio'!CE533),CE534/(1-IF(B534&lt;=10,Parámetros!$D$100,0))),2))</f>
        <v/>
      </c>
      <c r="CH534" s="66" t="str">
        <f t="shared" si="709"/>
        <v/>
      </c>
      <c r="CI534" s="66" t="str">
        <f t="shared" si="709"/>
        <v/>
      </c>
      <c r="CJ534" s="66" t="str">
        <f>+IF($W534="","",ROUND((CG534*Parámetros!$G$85),2))</f>
        <v/>
      </c>
      <c r="CK534" s="66" t="str">
        <f>+IF($W534="","",ROUND((CG534*(Parámetros!$G$86)),2))</f>
        <v/>
      </c>
      <c r="CL534" s="66" t="str">
        <f t="shared" si="710"/>
        <v/>
      </c>
      <c r="CM534" t="str">
        <f t="shared" si="751"/>
        <v/>
      </c>
      <c r="CN534" s="118" t="str">
        <f t="shared" si="752"/>
        <v/>
      </c>
      <c r="CO534" s="118" t="str">
        <f t="shared" si="753"/>
        <v/>
      </c>
      <c r="CP534" s="118" t="str">
        <f t="shared" si="754"/>
        <v/>
      </c>
      <c r="CQ534" s="119" t="str">
        <f t="shared" si="711"/>
        <v/>
      </c>
      <c r="CR534" s="66" t="str">
        <f>+IF($W534="","",ROUND((VLOOKUP(Parámetros!$F$51,'COBERTURAS ADICIONALES'!$S$4:$T$32,2,FALSE)*(1+i/frec)^-0.5*(1+Parámetros!$D$103)*(1+rec_fracc)/frec*$CO$42),2))</f>
        <v/>
      </c>
      <c r="CS534" s="119" t="str">
        <f t="shared" si="712"/>
        <v/>
      </c>
      <c r="CT534" s="66" t="str">
        <f>+IF($W534="","",ROUND(IF($B534&gt;Parámetros!$D$107,'Tablas Servicio'!CR534+('Tablas Servicio'!CT533-'Tablas Servicio'!CR533),CR534/(1-IF(B534&lt;=10,Parámetros!$D$100,0))),2))</f>
        <v/>
      </c>
      <c r="CU534" s="66" t="str">
        <f t="shared" si="713"/>
        <v/>
      </c>
      <c r="CV534" s="66" t="str">
        <f t="shared" si="713"/>
        <v/>
      </c>
      <c r="CW534" s="66" t="str">
        <f>+IF($W534="","",ROUND((CT534*Parámetros!$G$85),2))</f>
        <v/>
      </c>
      <c r="CX534" s="66" t="str">
        <f>+IF($W534="","",ROUND((CT534*(Parámetros!$G$86)),2))</f>
        <v/>
      </c>
      <c r="CY534" s="66" t="str">
        <f t="shared" si="714"/>
        <v/>
      </c>
      <c r="CZ534" t="str">
        <f t="shared" si="755"/>
        <v/>
      </c>
      <c r="DA534" s="118" t="str">
        <f t="shared" si="756"/>
        <v/>
      </c>
      <c r="DB534" s="118" t="str">
        <f t="shared" si="757"/>
        <v/>
      </c>
      <c r="DC534" s="118" t="str">
        <f t="shared" si="758"/>
        <v/>
      </c>
      <c r="DD534" s="121" t="str">
        <f>+IF(OR($W534="",DB534=0),"",ROUND((VLOOKUP(ROUNDDOWN($D534-1/frec,0),cob_adi,CO$40,FALSE)*(1+i/frec)^-0.5*(1+Parámetros!$D$103)*(1+rec_fracc)/frec),6))</f>
        <v/>
      </c>
      <c r="DE534" s="66" t="str">
        <f t="shared" si="715"/>
        <v/>
      </c>
      <c r="DF534" s="119" t="str">
        <f t="shared" si="716"/>
        <v/>
      </c>
      <c r="DG534" s="66" t="str">
        <f>+IF($W534="","",ROUND(IF($B534&gt;Parámetros!$D$107,'Tablas Servicio'!DE534+('Tablas Servicio'!DG533-'Tablas Servicio'!DE533),DE534/(1-IF(B534&lt;=10,Parámetros!$D$100,0))),2))</f>
        <v/>
      </c>
      <c r="DH534" s="66" t="str">
        <f t="shared" si="717"/>
        <v/>
      </c>
      <c r="DI534" s="66" t="str">
        <f t="shared" si="717"/>
        <v/>
      </c>
      <c r="DJ534" s="66" t="str">
        <f>+IF($W534="","",ROUND((DG534*Parámetros!$G$85),2))</f>
        <v/>
      </c>
      <c r="DK534" s="66" t="str">
        <f>+IF($W534="","",ROUND((DG534*(Parámetros!$G$86)),2))</f>
        <v/>
      </c>
      <c r="DL534" s="66" t="str">
        <f t="shared" si="718"/>
        <v/>
      </c>
      <c r="DM534" t="str">
        <f t="shared" si="759"/>
        <v/>
      </c>
      <c r="DN534" s="118" t="str">
        <f t="shared" si="760"/>
        <v/>
      </c>
      <c r="DO534" s="118" t="str">
        <f t="shared" si="761"/>
        <v/>
      </c>
      <c r="DP534" s="118" t="str">
        <f t="shared" si="762"/>
        <v/>
      </c>
      <c r="DQ534" s="122" t="str">
        <f>+IF(OR($W534="",DO534=0),"",ROUND((VLOOKUP(ROUNDDOWN($D534-1/frec,0),cob_adi,DB$40,FALSE)*(1+i/frec)^-0.5*(1+Parámetros!$D$103)*(1+rec_fracc)/frec),6))</f>
        <v/>
      </c>
      <c r="DR534" s="66" t="str">
        <f t="shared" si="719"/>
        <v/>
      </c>
      <c r="DS534" s="68" t="str">
        <f t="shared" si="720"/>
        <v/>
      </c>
      <c r="DT534" s="66" t="str">
        <f>+IF($W534="","",ROUND(IF($B534&gt;Parámetros!$D$107,'Tablas Servicio'!DR534+('Tablas Servicio'!DT533-'Tablas Servicio'!DR533),DR534/(1-IF(B534&lt;=10,Parámetros!$D$100,0))),2))</f>
        <v/>
      </c>
      <c r="DU534" s="66" t="str">
        <f t="shared" si="721"/>
        <v/>
      </c>
      <c r="DV534" s="66" t="str">
        <f t="shared" si="721"/>
        <v/>
      </c>
      <c r="DW534" s="66" t="str">
        <f>+IF($W534="","",ROUND((DT534*Parámetros!$G$85),2))</f>
        <v/>
      </c>
      <c r="DX534" s="66" t="str">
        <f>+IF($W534="","",ROUND((DT534*(Parámetros!$G$86)),2))</f>
        <v/>
      </c>
      <c r="DY534" s="66" t="str">
        <f t="shared" si="722"/>
        <v/>
      </c>
      <c r="DZ534" t="str">
        <f t="shared" si="764"/>
        <v/>
      </c>
      <c r="EA534" s="118" t="str">
        <f t="shared" si="764"/>
        <v/>
      </c>
      <c r="EB534" s="118" t="str">
        <f>+IF($W534="","",ROUND(IF(Parámetros!$D$25='TABLAS MORT'!$V$33,EB533,Z534/2),0))</f>
        <v/>
      </c>
      <c r="EC534" s="118" t="str">
        <f t="shared" si="764"/>
        <v/>
      </c>
      <c r="ED534" s="122" t="str">
        <f>+IF(OR($W534="",EB534=0),"",ROUND((VLOOKUP(ROUNDDOWN($D534-1/frec,0),cob_adi,DO$40,FALSE)*(1+i/frec)^-0.5*(1+Parámetros!$D$103)*(1+rec_fracc)/frec),6))</f>
        <v/>
      </c>
      <c r="EE534" s="66" t="str">
        <f t="shared" si="724"/>
        <v/>
      </c>
      <c r="EF534" s="68" t="str">
        <f t="shared" si="725"/>
        <v/>
      </c>
      <c r="EG534" s="66" t="str">
        <f>+IF($W534="","",ROUND(IF($B534&gt;Parámetros!$D$107,'Tablas Servicio'!EE534+('Tablas Servicio'!EG533-'Tablas Servicio'!EE533),EE534/(1-IF(B534&lt;=10,Parámetros!$D$100,0))),2))</f>
        <v/>
      </c>
      <c r="EH534" s="66" t="str">
        <f t="shared" si="726"/>
        <v/>
      </c>
      <c r="EI534" s="66" t="str">
        <f t="shared" si="726"/>
        <v/>
      </c>
      <c r="EJ534" s="66" t="str">
        <f>+IF($W534="","",ROUND((EG534*Parámetros!$G$85),2))</f>
        <v/>
      </c>
      <c r="EK534" s="66" t="str">
        <f>+IF($W534="","",ROUND((EG534*(Parámetros!$G$86)),2))</f>
        <v/>
      </c>
      <c r="EL534" s="66" t="str">
        <f t="shared" si="727"/>
        <v/>
      </c>
    </row>
    <row r="535" spans="1:142" x14ac:dyDescent="0.25">
      <c r="A535" t="str">
        <f>+IF($C535="","",ROUND(VLOOKUP('Tablas Servicio'!B535,Parámetros!$H$100:$J$159,IF(Parámetros!$E$16="F",2,3),FALSE),2))</f>
        <v/>
      </c>
      <c r="B535" t="str">
        <f t="shared" si="678"/>
        <v/>
      </c>
      <c r="C535" s="57" t="str">
        <f>+IF(D535="","",'Tablas Servicio'!C534+1)</f>
        <v/>
      </c>
      <c r="D535" s="56" t="str">
        <f>+IF(D534&lt;edadmaxtabla,D534+1/Parámetros!$E$25,"")</f>
        <v/>
      </c>
      <c r="E535" s="57" t="str">
        <f t="shared" si="688"/>
        <v/>
      </c>
      <c r="F535" s="59" t="str">
        <f t="shared" si="689"/>
        <v/>
      </c>
      <c r="G535" s="66" t="str">
        <f t="shared" si="679"/>
        <v/>
      </c>
      <c r="H535" s="66" t="str">
        <f t="shared" si="680"/>
        <v/>
      </c>
      <c r="I535" s="66" t="str">
        <f t="shared" si="728"/>
        <v/>
      </c>
      <c r="J535" s="66" t="str">
        <f t="shared" si="681"/>
        <v/>
      </c>
      <c r="K535" s="66" t="str">
        <f t="shared" si="682"/>
        <v/>
      </c>
      <c r="L535" s="66" t="str">
        <f t="shared" si="683"/>
        <v/>
      </c>
      <c r="M535" s="66" t="str">
        <f t="shared" si="684"/>
        <v/>
      </c>
      <c r="N535" s="66" t="str">
        <f>+IF(C535="","",ROUND(Parámetros!$D$23,2))</f>
        <v/>
      </c>
      <c r="O535" s="66" t="str">
        <f t="shared" si="685"/>
        <v/>
      </c>
      <c r="P535" s="66" t="str">
        <f>+IF($C535="","",ROUND(IF(B535&gt;Parámetros!$D$117,0,N535*Parámetros!$D$116-G535*Parámetros!$D$100),2))</f>
        <v/>
      </c>
      <c r="Q535" s="75" t="str">
        <f t="shared" si="729"/>
        <v/>
      </c>
      <c r="R535" s="75" t="str">
        <f t="shared" si="730"/>
        <v/>
      </c>
      <c r="S535" s="117" t="str">
        <f>+IF($C535="","",ROUND((S534+I535)*(1+Parámetros!$D$91),2))</f>
        <v/>
      </c>
      <c r="T535" s="117" t="str">
        <f>+IF($C535="","",ROUND(S535*VLOOKUP(B535,Parámetros!$C$30:$D$39,2,TRUE),2))</f>
        <v/>
      </c>
      <c r="U535" s="117" t="str">
        <f>+IF($C535="","",ROUND((U534+I535)*(1+Parámetros!$D$92),2))</f>
        <v/>
      </c>
      <c r="V535" s="117" t="str">
        <f>+IF($C535="","",ROUND(U535*VLOOKUP(B535,Parámetros!$C$30:$D$39,2,TRUE),2))</f>
        <v/>
      </c>
      <c r="W535" s="57" t="str">
        <f t="shared" si="731"/>
        <v/>
      </c>
      <c r="X535" t="str">
        <f t="shared" si="732"/>
        <v/>
      </c>
      <c r="Y535" t="str">
        <f t="shared" si="733"/>
        <v/>
      </c>
      <c r="Z535" s="118" t="str">
        <f>+IF($W535="","",ROUND(IF(Parámetros!$D$25='TABLAS MORT'!$V$33,Z534,Parámetros!$D$21-'Tablas Servicio'!T534),0))</f>
        <v/>
      </c>
      <c r="AA535" s="118" t="str">
        <f t="shared" si="734"/>
        <v/>
      </c>
      <c r="AB535" s="119" t="str">
        <f>+IF(W535="","",ROUND((VLOOKUP(ROUNDDOWN($D535-1/frec,0),qx_tabla,2,FALSE)*(1+i/frec)^-0.5*(1+Parámetros!$D$103)*(1+rec_fracc)/frec),6))</f>
        <v/>
      </c>
      <c r="AC535" s="66" t="str">
        <f t="shared" si="690"/>
        <v/>
      </c>
      <c r="AD535" s="119" t="str">
        <f t="shared" si="686"/>
        <v/>
      </c>
      <c r="AE535" s="66" t="str">
        <f>+IF($W535="","",ROUND(IF($B535&gt;Parámetros!$D$107,'Tablas Servicio'!AC535+('Tablas Servicio'!AG534-'Tablas Servicio'!AC534),AC535/(1-IF(B535&lt;=10,Parámetros!$D$104,Parámetros!$D$105))),2))</f>
        <v/>
      </c>
      <c r="AF535" s="66" t="str">
        <f>+IF($W535="","",ROUND(IF($B535&gt;Parámetros!$D$107,'Tablas Servicio'!AC535+('Tablas Servicio'!AG534-'Tablas Servicio'!AC534),(AC535+$A534/frec)/(1-IF(B535&lt;=Parámetros!$D$117,Parámetros!$D$100,0))),2))</f>
        <v/>
      </c>
      <c r="AG535" s="66" t="str">
        <f t="shared" si="691"/>
        <v/>
      </c>
      <c r="AH535" s="66" t="str">
        <f t="shared" si="692"/>
        <v/>
      </c>
      <c r="AI535" s="66" t="str">
        <f t="shared" si="693"/>
        <v/>
      </c>
      <c r="AJ535" s="66" t="str">
        <f>+IF($W535="","",ROUND((AG535*Parámetros!$G$85),2))</f>
        <v/>
      </c>
      <c r="AK535" s="66" t="str">
        <f>+IF($W535="","",ROUND((AG535*(Parámetros!$G$86)),2))</f>
        <v/>
      </c>
      <c r="AL535" s="66" t="str">
        <f t="shared" si="687"/>
        <v/>
      </c>
      <c r="AM535" t="str">
        <f t="shared" si="735"/>
        <v/>
      </c>
      <c r="AN535" t="str">
        <f t="shared" si="736"/>
        <v/>
      </c>
      <c r="AO535" s="118" t="str">
        <f t="shared" si="737"/>
        <v/>
      </c>
      <c r="AP535" s="118" t="str">
        <f t="shared" si="738"/>
        <v/>
      </c>
      <c r="AQ535" s="119" t="str">
        <f>+IF(OR($W535="",AO535=0),"",ROUND((VLOOKUP(ROUNDDOWN($D535-1/frec,0),cob_adi,Z$40,FALSE)*(1+i/frec)^-0.5*(1+Parámetros!$D$103)*(1+rec_fracc)/frec),6))</f>
        <v/>
      </c>
      <c r="AR535" s="66" t="str">
        <f t="shared" si="694"/>
        <v/>
      </c>
      <c r="AS535" s="119" t="str">
        <f t="shared" si="695"/>
        <v/>
      </c>
      <c r="AT535" s="66" t="str">
        <f>+IF($W535="","",ROUND(IF($B535&gt;Parámetros!$D$107,'Tablas Servicio'!AR535+('Tablas Servicio'!AT534-'Tablas Servicio'!AR534),AR535/(1-IF(B535&lt;=10,Parámetros!$D$100,0))),2))</f>
        <v/>
      </c>
      <c r="AU535" s="66" t="str">
        <f t="shared" si="696"/>
        <v/>
      </c>
      <c r="AV535" s="66" t="str">
        <f t="shared" si="696"/>
        <v/>
      </c>
      <c r="AW535" s="66" t="str">
        <f>+IF($W535="","",ROUND((AT535*Parámetros!$G$85),2))</f>
        <v/>
      </c>
      <c r="AX535" s="66" t="str">
        <f>+IF($W535="","",ROUND((AT535*(Parámetros!$G$86)),2))</f>
        <v/>
      </c>
      <c r="AY535" s="66" t="str">
        <f t="shared" si="697"/>
        <v/>
      </c>
      <c r="AZ535" t="str">
        <f t="shared" si="739"/>
        <v/>
      </c>
      <c r="BA535" t="str">
        <f t="shared" si="740"/>
        <v/>
      </c>
      <c r="BB535" s="118" t="str">
        <f t="shared" si="741"/>
        <v/>
      </c>
      <c r="BC535" s="118" t="str">
        <f t="shared" si="742"/>
        <v/>
      </c>
      <c r="BD535" s="119" t="str">
        <f>+IF(OR($W535="",BB535=0),"",ROUND((VLOOKUP(ROUNDDOWN($D535-1/frec,0),cob_adi,AO$40,FALSE)*(1+i/frec)^-0.5*(1+Parámetros!$D$103)*(1+rec_fracc)/frec),6))</f>
        <v/>
      </c>
      <c r="BE535" s="66" t="str">
        <f t="shared" si="698"/>
        <v/>
      </c>
      <c r="BF535" s="119" t="str">
        <f t="shared" si="699"/>
        <v/>
      </c>
      <c r="BG535" s="66" t="str">
        <f>+IF($W535="","",ROUND(IF($B535&gt;Parámetros!$D$107,'Tablas Servicio'!BE535+('Tablas Servicio'!BG534-'Tablas Servicio'!BE534),BE535/(1-IF(B535&lt;=10,Parámetros!$D$100,0))),2))</f>
        <v/>
      </c>
      <c r="BH535" s="66" t="str">
        <f t="shared" si="700"/>
        <v/>
      </c>
      <c r="BI535" s="66" t="str">
        <f t="shared" si="701"/>
        <v/>
      </c>
      <c r="BJ535" s="66" t="str">
        <f>+IF($W535="","",ROUND((BG535*Parámetros!$G$85),2))</f>
        <v/>
      </c>
      <c r="BK535" s="66" t="str">
        <f>+IF($W535="","",ROUND((BG535*(Parámetros!$G$86)),2))</f>
        <v/>
      </c>
      <c r="BL535" s="66" t="str">
        <f t="shared" si="702"/>
        <v/>
      </c>
      <c r="BM535" t="str">
        <f t="shared" si="743"/>
        <v/>
      </c>
      <c r="BN535" t="str">
        <f t="shared" si="744"/>
        <v/>
      </c>
      <c r="BO535" s="118" t="str">
        <f t="shared" si="745"/>
        <v/>
      </c>
      <c r="BP535" s="118" t="str">
        <f t="shared" si="746"/>
        <v/>
      </c>
      <c r="BQ535" s="119" t="str">
        <f>+IF(OR($W535="",BO535=0),"",ROUND((VLOOKUP(ROUNDDOWN($D535-1/frec,0),cob_adi,BB$40,FALSE)*(1+i/frec)^-0.5*(1+Parámetros!$D$103)*(1+rec_fracc)/frec),6))</f>
        <v/>
      </c>
      <c r="BR535" s="66" t="str">
        <f t="shared" si="703"/>
        <v/>
      </c>
      <c r="BS535" s="119" t="str">
        <f t="shared" si="704"/>
        <v/>
      </c>
      <c r="BT535" s="66" t="str">
        <f>+IF($W535="","",ROUND(IF($B535&gt;Parámetros!$D$107,'Tablas Servicio'!BR535+('Tablas Servicio'!BT534-'Tablas Servicio'!BR534),BR535/(1-IF(B535&lt;=10,Parámetros!$D$100,0))),2))</f>
        <v/>
      </c>
      <c r="BU535" s="66" t="str">
        <f t="shared" si="705"/>
        <v/>
      </c>
      <c r="BV535" s="66" t="str">
        <f t="shared" si="705"/>
        <v/>
      </c>
      <c r="BW535" s="66" t="str">
        <f>+IF($W535="","",ROUND((BT535*Parámetros!$G$85),2))</f>
        <v/>
      </c>
      <c r="BX535" s="66" t="str">
        <f>+IF($W535="","",ROUND((BT535*(Parámetros!$G$86)),2))</f>
        <v/>
      </c>
      <c r="BY535" s="66" t="str">
        <f t="shared" si="706"/>
        <v/>
      </c>
      <c r="BZ535" t="str">
        <f t="shared" si="747"/>
        <v/>
      </c>
      <c r="CA535" t="str">
        <f t="shared" si="748"/>
        <v/>
      </c>
      <c r="CB535" s="118" t="str">
        <f t="shared" si="749"/>
        <v/>
      </c>
      <c r="CC535" s="118" t="str">
        <f t="shared" si="750"/>
        <v/>
      </c>
      <c r="CD535" s="119" t="str">
        <f t="shared" si="707"/>
        <v/>
      </c>
      <c r="CE535" s="66" t="str">
        <f>+IF($W535="","",ROUND((VLOOKUP(ROUNDDOWN($D535-1/frec,0),cob_adi,BO$40,FALSE)*(1+i/frec)^-0.5*(1+Parámetros!$D$103)*(1+rec_fracc)/frec*'TABLAS ADI'!$BC$17),2))</f>
        <v/>
      </c>
      <c r="CF535" s="119" t="str">
        <f t="shared" si="708"/>
        <v/>
      </c>
      <c r="CG535" s="66" t="str">
        <f>+IF($W535="","",ROUND(IF($B535&gt;Parámetros!$D$107,'Tablas Servicio'!CE535+('Tablas Servicio'!CG534-'Tablas Servicio'!CE534),CE535/(1-IF(B535&lt;=10,Parámetros!$D$100,0))),2))</f>
        <v/>
      </c>
      <c r="CH535" s="66" t="str">
        <f t="shared" si="709"/>
        <v/>
      </c>
      <c r="CI535" s="66" t="str">
        <f t="shared" si="709"/>
        <v/>
      </c>
      <c r="CJ535" s="66" t="str">
        <f>+IF($W535="","",ROUND((CG535*Parámetros!$G$85),2))</f>
        <v/>
      </c>
      <c r="CK535" s="66" t="str">
        <f>+IF($W535="","",ROUND((CG535*(Parámetros!$G$86)),2))</f>
        <v/>
      </c>
      <c r="CL535" s="66" t="str">
        <f t="shared" si="710"/>
        <v/>
      </c>
      <c r="CM535" t="str">
        <f t="shared" si="751"/>
        <v/>
      </c>
      <c r="CN535" s="118" t="str">
        <f t="shared" si="752"/>
        <v/>
      </c>
      <c r="CO535" s="118" t="str">
        <f t="shared" si="753"/>
        <v/>
      </c>
      <c r="CP535" s="118" t="str">
        <f t="shared" si="754"/>
        <v/>
      </c>
      <c r="CQ535" s="119" t="str">
        <f t="shared" si="711"/>
        <v/>
      </c>
      <c r="CR535" s="66" t="str">
        <f>+IF($W535="","",ROUND((VLOOKUP(Parámetros!$F$51,'COBERTURAS ADICIONALES'!$S$4:$T$32,2,FALSE)*(1+i/frec)^-0.5*(1+Parámetros!$D$103)*(1+rec_fracc)/frec*$CO$42),2))</f>
        <v/>
      </c>
      <c r="CS535" s="119" t="str">
        <f t="shared" si="712"/>
        <v/>
      </c>
      <c r="CT535" s="66" t="str">
        <f>+IF($W535="","",ROUND(IF($B535&gt;Parámetros!$D$107,'Tablas Servicio'!CR535+('Tablas Servicio'!CT534-'Tablas Servicio'!CR534),CR535/(1-IF(B535&lt;=10,Parámetros!$D$100,0))),2))</f>
        <v/>
      </c>
      <c r="CU535" s="66" t="str">
        <f t="shared" si="713"/>
        <v/>
      </c>
      <c r="CV535" s="66" t="str">
        <f t="shared" si="713"/>
        <v/>
      </c>
      <c r="CW535" s="66" t="str">
        <f>+IF($W535="","",ROUND((CT535*Parámetros!$G$85),2))</f>
        <v/>
      </c>
      <c r="CX535" s="66" t="str">
        <f>+IF($W535="","",ROUND((CT535*(Parámetros!$G$86)),2))</f>
        <v/>
      </c>
      <c r="CY535" s="66" t="str">
        <f t="shared" si="714"/>
        <v/>
      </c>
      <c r="CZ535" t="str">
        <f t="shared" si="755"/>
        <v/>
      </c>
      <c r="DA535" s="118" t="str">
        <f t="shared" si="756"/>
        <v/>
      </c>
      <c r="DB535" s="118" t="str">
        <f t="shared" si="757"/>
        <v/>
      </c>
      <c r="DC535" s="118" t="str">
        <f t="shared" si="758"/>
        <v/>
      </c>
      <c r="DD535" s="121" t="str">
        <f>+IF(OR($W535="",DB535=0),"",ROUND((VLOOKUP(ROUNDDOWN($D535-1/frec,0),cob_adi,CO$40,FALSE)*(1+i/frec)^-0.5*(1+Parámetros!$D$103)*(1+rec_fracc)/frec),6))</f>
        <v/>
      </c>
      <c r="DE535" s="66" t="str">
        <f t="shared" si="715"/>
        <v/>
      </c>
      <c r="DF535" s="119" t="str">
        <f t="shared" si="716"/>
        <v/>
      </c>
      <c r="DG535" s="66" t="str">
        <f>+IF($W535="","",ROUND(IF($B535&gt;Parámetros!$D$107,'Tablas Servicio'!DE535+('Tablas Servicio'!DG534-'Tablas Servicio'!DE534),DE535/(1-IF(B535&lt;=10,Parámetros!$D$100,0))),2))</f>
        <v/>
      </c>
      <c r="DH535" s="66" t="str">
        <f t="shared" si="717"/>
        <v/>
      </c>
      <c r="DI535" s="66" t="str">
        <f t="shared" si="717"/>
        <v/>
      </c>
      <c r="DJ535" s="66" t="str">
        <f>+IF($W535="","",ROUND((DG535*Parámetros!$G$85),2))</f>
        <v/>
      </c>
      <c r="DK535" s="66" t="str">
        <f>+IF($W535="","",ROUND((DG535*(Parámetros!$G$86)),2))</f>
        <v/>
      </c>
      <c r="DL535" s="66" t="str">
        <f t="shared" si="718"/>
        <v/>
      </c>
      <c r="DM535" t="str">
        <f t="shared" si="759"/>
        <v/>
      </c>
      <c r="DN535" s="118" t="str">
        <f t="shared" si="760"/>
        <v/>
      </c>
      <c r="DO535" s="118" t="str">
        <f t="shared" si="761"/>
        <v/>
      </c>
      <c r="DP535" s="118" t="str">
        <f t="shared" si="762"/>
        <v/>
      </c>
      <c r="DQ535" s="122" t="str">
        <f>+IF(OR($W535="",DO535=0),"",ROUND((VLOOKUP(ROUNDDOWN($D535-1/frec,0),cob_adi,DB$40,FALSE)*(1+i/frec)^-0.5*(1+Parámetros!$D$103)*(1+rec_fracc)/frec),6))</f>
        <v/>
      </c>
      <c r="DR535" s="66" t="str">
        <f t="shared" si="719"/>
        <v/>
      </c>
      <c r="DS535" s="68" t="str">
        <f t="shared" si="720"/>
        <v/>
      </c>
      <c r="DT535" s="66" t="str">
        <f>+IF($W535="","",ROUND(IF($B535&gt;Parámetros!$D$107,'Tablas Servicio'!DR535+('Tablas Servicio'!DT534-'Tablas Servicio'!DR534),DR535/(1-IF(B535&lt;=10,Parámetros!$D$100,0))),2))</f>
        <v/>
      </c>
      <c r="DU535" s="66" t="str">
        <f t="shared" si="721"/>
        <v/>
      </c>
      <c r="DV535" s="66" t="str">
        <f t="shared" si="721"/>
        <v/>
      </c>
      <c r="DW535" s="66" t="str">
        <f>+IF($W535="","",ROUND((DT535*Parámetros!$G$85),2))</f>
        <v/>
      </c>
      <c r="DX535" s="66" t="str">
        <f>+IF($W535="","",ROUND((DT535*(Parámetros!$G$86)),2))</f>
        <v/>
      </c>
      <c r="DY535" s="66" t="str">
        <f t="shared" si="722"/>
        <v/>
      </c>
      <c r="DZ535" t="str">
        <f t="shared" si="764"/>
        <v/>
      </c>
      <c r="EA535" s="118" t="str">
        <f t="shared" si="764"/>
        <v/>
      </c>
      <c r="EB535" s="118" t="str">
        <f>+IF($W535="","",ROUND(IF(Parámetros!$D$25='TABLAS MORT'!$V$33,EB534,Z535/2),0))</f>
        <v/>
      </c>
      <c r="EC535" s="118" t="str">
        <f t="shared" si="764"/>
        <v/>
      </c>
      <c r="ED535" s="122" t="str">
        <f>+IF(OR($W535="",EB535=0),"",ROUND((VLOOKUP(ROUNDDOWN($D535-1/frec,0),cob_adi,DO$40,FALSE)*(1+i/frec)^-0.5*(1+Parámetros!$D$103)*(1+rec_fracc)/frec),6))</f>
        <v/>
      </c>
      <c r="EE535" s="66" t="str">
        <f t="shared" si="724"/>
        <v/>
      </c>
      <c r="EF535" s="68" t="str">
        <f t="shared" si="725"/>
        <v/>
      </c>
      <c r="EG535" s="66" t="str">
        <f>+IF($W535="","",ROUND(IF($B535&gt;Parámetros!$D$107,'Tablas Servicio'!EE535+('Tablas Servicio'!EG534-'Tablas Servicio'!EE534),EE535/(1-IF(B535&lt;=10,Parámetros!$D$100,0))),2))</f>
        <v/>
      </c>
      <c r="EH535" s="66" t="str">
        <f t="shared" si="726"/>
        <v/>
      </c>
      <c r="EI535" s="66" t="str">
        <f t="shared" si="726"/>
        <v/>
      </c>
      <c r="EJ535" s="66" t="str">
        <f>+IF($W535="","",ROUND((EG535*Parámetros!$G$85),2))</f>
        <v/>
      </c>
      <c r="EK535" s="66" t="str">
        <f>+IF($W535="","",ROUND((EG535*(Parámetros!$G$86)),2))</f>
        <v/>
      </c>
      <c r="EL535" s="66" t="str">
        <f t="shared" si="727"/>
        <v/>
      </c>
    </row>
    <row r="536" spans="1:142" x14ac:dyDescent="0.25">
      <c r="A536" t="str">
        <f>+IF($C536="","",ROUND(VLOOKUP('Tablas Servicio'!B536,Parámetros!$H$100:$J$159,IF(Parámetros!$E$16="F",2,3),FALSE),2))</f>
        <v/>
      </c>
      <c r="B536" t="str">
        <f t="shared" si="678"/>
        <v/>
      </c>
      <c r="C536" s="57" t="str">
        <f>+IF(D536="","",'Tablas Servicio'!C535+1)</f>
        <v/>
      </c>
      <c r="D536" s="56" t="str">
        <f>+IF(D535&lt;edadmaxtabla,D535+1/Parámetros!$E$25,"")</f>
        <v/>
      </c>
      <c r="E536" s="57" t="str">
        <f t="shared" si="688"/>
        <v/>
      </c>
      <c r="F536" s="59" t="str">
        <f t="shared" si="689"/>
        <v/>
      </c>
      <c r="G536" s="66" t="str">
        <f t="shared" si="679"/>
        <v/>
      </c>
      <c r="H536" s="66" t="str">
        <f t="shared" si="680"/>
        <v/>
      </c>
      <c r="I536" s="66" t="str">
        <f t="shared" si="728"/>
        <v/>
      </c>
      <c r="J536" s="66" t="str">
        <f t="shared" si="681"/>
        <v/>
      </c>
      <c r="K536" s="66" t="str">
        <f t="shared" si="682"/>
        <v/>
      </c>
      <c r="L536" s="66" t="str">
        <f t="shared" si="683"/>
        <v/>
      </c>
      <c r="M536" s="66" t="str">
        <f t="shared" si="684"/>
        <v/>
      </c>
      <c r="N536" s="66" t="str">
        <f>+IF(C536="","",ROUND(Parámetros!$D$23,2))</f>
        <v/>
      </c>
      <c r="O536" s="66" t="str">
        <f t="shared" si="685"/>
        <v/>
      </c>
      <c r="P536" s="66" t="str">
        <f>+IF($C536="","",ROUND(IF(B536&gt;Parámetros!$D$117,0,N536*Parámetros!$D$116-G536*Parámetros!$D$100),2))</f>
        <v/>
      </c>
      <c r="Q536" s="75" t="str">
        <f t="shared" si="729"/>
        <v/>
      </c>
      <c r="R536" s="75" t="str">
        <f t="shared" si="730"/>
        <v/>
      </c>
      <c r="S536" s="117" t="str">
        <f>+IF($C536="","",ROUND((S535+I536)*(1+Parámetros!$D$91),2))</f>
        <v/>
      </c>
      <c r="T536" s="117" t="str">
        <f>+IF($C536="","",ROUND(S536*VLOOKUP(B536,Parámetros!$C$30:$D$39,2,TRUE),2))</f>
        <v/>
      </c>
      <c r="U536" s="117" t="str">
        <f>+IF($C536="","",ROUND((U535+I536)*(1+Parámetros!$D$92),2))</f>
        <v/>
      </c>
      <c r="V536" s="117" t="str">
        <f>+IF($C536="","",ROUND(U536*VLOOKUP(B536,Parámetros!$C$30:$D$39,2,TRUE),2))</f>
        <v/>
      </c>
      <c r="W536" s="57" t="str">
        <f t="shared" si="731"/>
        <v/>
      </c>
      <c r="X536" t="str">
        <f t="shared" si="732"/>
        <v/>
      </c>
      <c r="Y536" t="str">
        <f t="shared" si="733"/>
        <v/>
      </c>
      <c r="Z536" s="118" t="str">
        <f>+IF($W536="","",ROUND(IF(Parámetros!$D$25='TABLAS MORT'!$V$33,Z535,Parámetros!$D$21-'Tablas Servicio'!T535),0))</f>
        <v/>
      </c>
      <c r="AA536" s="118" t="str">
        <f t="shared" si="734"/>
        <v/>
      </c>
      <c r="AB536" s="119" t="str">
        <f>+IF(W536="","",ROUND((VLOOKUP(ROUNDDOWN($D536-1/frec,0),qx_tabla,2,FALSE)*(1+i/frec)^-0.5*(1+Parámetros!$D$103)*(1+rec_fracc)/frec),6))</f>
        <v/>
      </c>
      <c r="AC536" s="66" t="str">
        <f t="shared" si="690"/>
        <v/>
      </c>
      <c r="AD536" s="119" t="str">
        <f t="shared" si="686"/>
        <v/>
      </c>
      <c r="AE536" s="66" t="str">
        <f>+IF($W536="","",ROUND(IF($B536&gt;Parámetros!$D$107,'Tablas Servicio'!AC536+('Tablas Servicio'!AG535-'Tablas Servicio'!AC535),AC536/(1-IF(B536&lt;=10,Parámetros!$D$104,Parámetros!$D$105))),2))</f>
        <v/>
      </c>
      <c r="AF536" s="66" t="str">
        <f>+IF($W536="","",ROUND(IF($B536&gt;Parámetros!$D$107,'Tablas Servicio'!AC536+('Tablas Servicio'!AG535-'Tablas Servicio'!AC535),(AC536+$A535/frec)/(1-IF(B536&lt;=Parámetros!$D$117,Parámetros!$D$100,0))),2))</f>
        <v/>
      </c>
      <c r="AG536" s="66" t="str">
        <f t="shared" si="691"/>
        <v/>
      </c>
      <c r="AH536" s="66" t="str">
        <f t="shared" si="692"/>
        <v/>
      </c>
      <c r="AI536" s="66" t="str">
        <f t="shared" si="693"/>
        <v/>
      </c>
      <c r="AJ536" s="66" t="str">
        <f>+IF($W536="","",ROUND((AG536*Parámetros!$G$85),2))</f>
        <v/>
      </c>
      <c r="AK536" s="66" t="str">
        <f>+IF($W536="","",ROUND((AG536*(Parámetros!$G$86)),2))</f>
        <v/>
      </c>
      <c r="AL536" s="66" t="str">
        <f t="shared" si="687"/>
        <v/>
      </c>
      <c r="AM536" t="str">
        <f t="shared" si="735"/>
        <v/>
      </c>
      <c r="AN536" t="str">
        <f t="shared" si="736"/>
        <v/>
      </c>
      <c r="AO536" s="118" t="str">
        <f t="shared" si="737"/>
        <v/>
      </c>
      <c r="AP536" s="118" t="str">
        <f t="shared" si="738"/>
        <v/>
      </c>
      <c r="AQ536" s="119" t="str">
        <f>+IF(OR($W536="",AO536=0),"",ROUND((VLOOKUP(ROUNDDOWN($D536-1/frec,0),cob_adi,Z$40,FALSE)*(1+i/frec)^-0.5*(1+Parámetros!$D$103)*(1+rec_fracc)/frec),6))</f>
        <v/>
      </c>
      <c r="AR536" s="66" t="str">
        <f t="shared" si="694"/>
        <v/>
      </c>
      <c r="AS536" s="119" t="str">
        <f t="shared" si="695"/>
        <v/>
      </c>
      <c r="AT536" s="66" t="str">
        <f>+IF($W536="","",ROUND(IF($B536&gt;Parámetros!$D$107,'Tablas Servicio'!AR536+('Tablas Servicio'!AT535-'Tablas Servicio'!AR535),AR536/(1-IF(B536&lt;=10,Parámetros!$D$100,0))),2))</f>
        <v/>
      </c>
      <c r="AU536" s="66" t="str">
        <f t="shared" si="696"/>
        <v/>
      </c>
      <c r="AV536" s="66" t="str">
        <f t="shared" si="696"/>
        <v/>
      </c>
      <c r="AW536" s="66" t="str">
        <f>+IF($W536="","",ROUND((AT536*Parámetros!$G$85),2))</f>
        <v/>
      </c>
      <c r="AX536" s="66" t="str">
        <f>+IF($W536="","",ROUND((AT536*(Parámetros!$G$86)),2))</f>
        <v/>
      </c>
      <c r="AY536" s="66" t="str">
        <f t="shared" si="697"/>
        <v/>
      </c>
      <c r="AZ536" t="str">
        <f t="shared" si="739"/>
        <v/>
      </c>
      <c r="BA536" t="str">
        <f t="shared" si="740"/>
        <v/>
      </c>
      <c r="BB536" s="118" t="str">
        <f t="shared" si="741"/>
        <v/>
      </c>
      <c r="BC536" s="118" t="str">
        <f t="shared" si="742"/>
        <v/>
      </c>
      <c r="BD536" s="119" t="str">
        <f>+IF(OR($W536="",BB536=0),"",ROUND((VLOOKUP(ROUNDDOWN($D536-1/frec,0),cob_adi,AO$40,FALSE)*(1+i/frec)^-0.5*(1+Parámetros!$D$103)*(1+rec_fracc)/frec),6))</f>
        <v/>
      </c>
      <c r="BE536" s="66" t="str">
        <f t="shared" si="698"/>
        <v/>
      </c>
      <c r="BF536" s="119" t="str">
        <f t="shared" si="699"/>
        <v/>
      </c>
      <c r="BG536" s="66" t="str">
        <f>+IF($W536="","",ROUND(IF($B536&gt;Parámetros!$D$107,'Tablas Servicio'!BE536+('Tablas Servicio'!BG535-'Tablas Servicio'!BE535),BE536/(1-IF(B536&lt;=10,Parámetros!$D$100,0))),2))</f>
        <v/>
      </c>
      <c r="BH536" s="66" t="str">
        <f t="shared" si="700"/>
        <v/>
      </c>
      <c r="BI536" s="66" t="str">
        <f t="shared" si="701"/>
        <v/>
      </c>
      <c r="BJ536" s="66" t="str">
        <f>+IF($W536="","",ROUND((BG536*Parámetros!$G$85),2))</f>
        <v/>
      </c>
      <c r="BK536" s="66" t="str">
        <f>+IF($W536="","",ROUND((BG536*(Parámetros!$G$86)),2))</f>
        <v/>
      </c>
      <c r="BL536" s="66" t="str">
        <f t="shared" si="702"/>
        <v/>
      </c>
      <c r="BM536" t="str">
        <f t="shared" si="743"/>
        <v/>
      </c>
      <c r="BN536" t="str">
        <f t="shared" si="744"/>
        <v/>
      </c>
      <c r="BO536" s="118" t="str">
        <f t="shared" si="745"/>
        <v/>
      </c>
      <c r="BP536" s="118" t="str">
        <f t="shared" si="746"/>
        <v/>
      </c>
      <c r="BQ536" s="119" t="str">
        <f>+IF(OR($W536="",BO536=0),"",ROUND((VLOOKUP(ROUNDDOWN($D536-1/frec,0),cob_adi,BB$40,FALSE)*(1+i/frec)^-0.5*(1+Parámetros!$D$103)*(1+rec_fracc)/frec),6))</f>
        <v/>
      </c>
      <c r="BR536" s="66" t="str">
        <f t="shared" si="703"/>
        <v/>
      </c>
      <c r="BS536" s="119" t="str">
        <f t="shared" si="704"/>
        <v/>
      </c>
      <c r="BT536" s="66" t="str">
        <f>+IF($W536="","",ROUND(IF($B536&gt;Parámetros!$D$107,'Tablas Servicio'!BR536+('Tablas Servicio'!BT535-'Tablas Servicio'!BR535),BR536/(1-IF(B536&lt;=10,Parámetros!$D$100,0))),2))</f>
        <v/>
      </c>
      <c r="BU536" s="66" t="str">
        <f t="shared" si="705"/>
        <v/>
      </c>
      <c r="BV536" s="66" t="str">
        <f t="shared" si="705"/>
        <v/>
      </c>
      <c r="BW536" s="66" t="str">
        <f>+IF($W536="","",ROUND((BT536*Parámetros!$G$85),2))</f>
        <v/>
      </c>
      <c r="BX536" s="66" t="str">
        <f>+IF($W536="","",ROUND((BT536*(Parámetros!$G$86)),2))</f>
        <v/>
      </c>
      <c r="BY536" s="66" t="str">
        <f t="shared" si="706"/>
        <v/>
      </c>
      <c r="BZ536" t="str">
        <f t="shared" si="747"/>
        <v/>
      </c>
      <c r="CA536" t="str">
        <f t="shared" si="748"/>
        <v/>
      </c>
      <c r="CB536" s="118" t="str">
        <f t="shared" si="749"/>
        <v/>
      </c>
      <c r="CC536" s="118" t="str">
        <f t="shared" si="750"/>
        <v/>
      </c>
      <c r="CD536" s="119" t="str">
        <f t="shared" si="707"/>
        <v/>
      </c>
      <c r="CE536" s="66" t="str">
        <f>+IF($W536="","",ROUND((VLOOKUP(ROUNDDOWN($D536-1/frec,0),cob_adi,BO$40,FALSE)*(1+i/frec)^-0.5*(1+Parámetros!$D$103)*(1+rec_fracc)/frec*'TABLAS ADI'!$BC$17),2))</f>
        <v/>
      </c>
      <c r="CF536" s="119" t="str">
        <f t="shared" si="708"/>
        <v/>
      </c>
      <c r="CG536" s="66" t="str">
        <f>+IF($W536="","",ROUND(IF($B536&gt;Parámetros!$D$107,'Tablas Servicio'!CE536+('Tablas Servicio'!CG535-'Tablas Servicio'!CE535),CE536/(1-IF(B536&lt;=10,Parámetros!$D$100,0))),2))</f>
        <v/>
      </c>
      <c r="CH536" s="66" t="str">
        <f t="shared" si="709"/>
        <v/>
      </c>
      <c r="CI536" s="66" t="str">
        <f t="shared" si="709"/>
        <v/>
      </c>
      <c r="CJ536" s="66" t="str">
        <f>+IF($W536="","",ROUND((CG536*Parámetros!$G$85),2))</f>
        <v/>
      </c>
      <c r="CK536" s="66" t="str">
        <f>+IF($W536="","",ROUND((CG536*(Parámetros!$G$86)),2))</f>
        <v/>
      </c>
      <c r="CL536" s="66" t="str">
        <f t="shared" si="710"/>
        <v/>
      </c>
      <c r="CM536" t="str">
        <f t="shared" si="751"/>
        <v/>
      </c>
      <c r="CN536" s="118" t="str">
        <f t="shared" si="752"/>
        <v/>
      </c>
      <c r="CO536" s="118" t="str">
        <f t="shared" si="753"/>
        <v/>
      </c>
      <c r="CP536" s="118" t="str">
        <f t="shared" si="754"/>
        <v/>
      </c>
      <c r="CQ536" s="119" t="str">
        <f t="shared" si="711"/>
        <v/>
      </c>
      <c r="CR536" s="66" t="str">
        <f>+IF($W536="","",ROUND((VLOOKUP(Parámetros!$F$51,'COBERTURAS ADICIONALES'!$S$4:$T$32,2,FALSE)*(1+i/frec)^-0.5*(1+Parámetros!$D$103)*(1+rec_fracc)/frec*$CO$42),2))</f>
        <v/>
      </c>
      <c r="CS536" s="119" t="str">
        <f t="shared" si="712"/>
        <v/>
      </c>
      <c r="CT536" s="66" t="str">
        <f>+IF($W536="","",ROUND(IF($B536&gt;Parámetros!$D$107,'Tablas Servicio'!CR536+('Tablas Servicio'!CT535-'Tablas Servicio'!CR535),CR536/(1-IF(B536&lt;=10,Parámetros!$D$100,0))),2))</f>
        <v/>
      </c>
      <c r="CU536" s="66" t="str">
        <f t="shared" si="713"/>
        <v/>
      </c>
      <c r="CV536" s="66" t="str">
        <f t="shared" si="713"/>
        <v/>
      </c>
      <c r="CW536" s="66" t="str">
        <f>+IF($W536="","",ROUND((CT536*Parámetros!$G$85),2))</f>
        <v/>
      </c>
      <c r="CX536" s="66" t="str">
        <f>+IF($W536="","",ROUND((CT536*(Parámetros!$G$86)),2))</f>
        <v/>
      </c>
      <c r="CY536" s="66" t="str">
        <f t="shared" si="714"/>
        <v/>
      </c>
      <c r="CZ536" t="str">
        <f t="shared" si="755"/>
        <v/>
      </c>
      <c r="DA536" s="118" t="str">
        <f t="shared" si="756"/>
        <v/>
      </c>
      <c r="DB536" s="118" t="str">
        <f t="shared" si="757"/>
        <v/>
      </c>
      <c r="DC536" s="118" t="str">
        <f t="shared" si="758"/>
        <v/>
      </c>
      <c r="DD536" s="121" t="str">
        <f>+IF(OR($W536="",DB536=0),"",ROUND((VLOOKUP(ROUNDDOWN($D536-1/frec,0),cob_adi,CO$40,FALSE)*(1+i/frec)^-0.5*(1+Parámetros!$D$103)*(1+rec_fracc)/frec),6))</f>
        <v/>
      </c>
      <c r="DE536" s="66" t="str">
        <f t="shared" si="715"/>
        <v/>
      </c>
      <c r="DF536" s="119" t="str">
        <f t="shared" si="716"/>
        <v/>
      </c>
      <c r="DG536" s="66" t="str">
        <f>+IF($W536="","",ROUND(IF($B536&gt;Parámetros!$D$107,'Tablas Servicio'!DE536+('Tablas Servicio'!DG535-'Tablas Servicio'!DE535),DE536/(1-IF(B536&lt;=10,Parámetros!$D$100,0))),2))</f>
        <v/>
      </c>
      <c r="DH536" s="66" t="str">
        <f t="shared" si="717"/>
        <v/>
      </c>
      <c r="DI536" s="66" t="str">
        <f t="shared" si="717"/>
        <v/>
      </c>
      <c r="DJ536" s="66" t="str">
        <f>+IF($W536="","",ROUND((DG536*Parámetros!$G$85),2))</f>
        <v/>
      </c>
      <c r="DK536" s="66" t="str">
        <f>+IF($W536="","",ROUND((DG536*(Parámetros!$G$86)),2))</f>
        <v/>
      </c>
      <c r="DL536" s="66" t="str">
        <f t="shared" si="718"/>
        <v/>
      </c>
      <c r="DM536" t="str">
        <f t="shared" si="759"/>
        <v/>
      </c>
      <c r="DN536" s="118" t="str">
        <f t="shared" si="760"/>
        <v/>
      </c>
      <c r="DO536" s="118" t="str">
        <f t="shared" si="761"/>
        <v/>
      </c>
      <c r="DP536" s="118" t="str">
        <f t="shared" si="762"/>
        <v/>
      </c>
      <c r="DQ536" s="122" t="str">
        <f>+IF(OR($W536="",DO536=0),"",ROUND((VLOOKUP(ROUNDDOWN($D536-1/frec,0),cob_adi,DB$40,FALSE)*(1+i/frec)^-0.5*(1+Parámetros!$D$103)*(1+rec_fracc)/frec),6))</f>
        <v/>
      </c>
      <c r="DR536" s="66" t="str">
        <f t="shared" si="719"/>
        <v/>
      </c>
      <c r="DS536" s="68" t="str">
        <f t="shared" si="720"/>
        <v/>
      </c>
      <c r="DT536" s="66" t="str">
        <f>+IF($W536="","",ROUND(IF($B536&gt;Parámetros!$D$107,'Tablas Servicio'!DR536+('Tablas Servicio'!DT535-'Tablas Servicio'!DR535),DR536/(1-IF(B536&lt;=10,Parámetros!$D$100,0))),2))</f>
        <v/>
      </c>
      <c r="DU536" s="66" t="str">
        <f t="shared" si="721"/>
        <v/>
      </c>
      <c r="DV536" s="66" t="str">
        <f t="shared" si="721"/>
        <v/>
      </c>
      <c r="DW536" s="66" t="str">
        <f>+IF($W536="","",ROUND((DT536*Parámetros!$G$85),2))</f>
        <v/>
      </c>
      <c r="DX536" s="66" t="str">
        <f>+IF($W536="","",ROUND((DT536*(Parámetros!$G$86)),2))</f>
        <v/>
      </c>
      <c r="DY536" s="66" t="str">
        <f t="shared" si="722"/>
        <v/>
      </c>
      <c r="DZ536" t="str">
        <f t="shared" si="764"/>
        <v/>
      </c>
      <c r="EA536" s="118" t="str">
        <f t="shared" si="764"/>
        <v/>
      </c>
      <c r="EB536" s="118" t="str">
        <f>+IF($W536="","",ROUND(IF(Parámetros!$D$25='TABLAS MORT'!$V$33,EB535,Z536/2),0))</f>
        <v/>
      </c>
      <c r="EC536" s="118" t="str">
        <f t="shared" si="764"/>
        <v/>
      </c>
      <c r="ED536" s="122" t="str">
        <f>+IF(OR($W536="",EB536=0),"",ROUND((VLOOKUP(ROUNDDOWN($D536-1/frec,0),cob_adi,DO$40,FALSE)*(1+i/frec)^-0.5*(1+Parámetros!$D$103)*(1+rec_fracc)/frec),6))</f>
        <v/>
      </c>
      <c r="EE536" s="66" t="str">
        <f t="shared" si="724"/>
        <v/>
      </c>
      <c r="EF536" s="68" t="str">
        <f t="shared" si="725"/>
        <v/>
      </c>
      <c r="EG536" s="66" t="str">
        <f>+IF($W536="","",ROUND(IF($B536&gt;Parámetros!$D$107,'Tablas Servicio'!EE536+('Tablas Servicio'!EG535-'Tablas Servicio'!EE535),EE536/(1-IF(B536&lt;=10,Parámetros!$D$100,0))),2))</f>
        <v/>
      </c>
      <c r="EH536" s="66" t="str">
        <f t="shared" si="726"/>
        <v/>
      </c>
      <c r="EI536" s="66" t="str">
        <f t="shared" si="726"/>
        <v/>
      </c>
      <c r="EJ536" s="66" t="str">
        <f>+IF($W536="","",ROUND((EG536*Parámetros!$G$85),2))</f>
        <v/>
      </c>
      <c r="EK536" s="66" t="str">
        <f>+IF($W536="","",ROUND((EG536*(Parámetros!$G$86)),2))</f>
        <v/>
      </c>
      <c r="EL536" s="66" t="str">
        <f t="shared" si="727"/>
        <v/>
      </c>
    </row>
    <row r="537" spans="1:142" x14ac:dyDescent="0.25">
      <c r="A537" t="str">
        <f>+IF($C537="","",ROUND(VLOOKUP('Tablas Servicio'!B537,Parámetros!$H$100:$J$159,IF(Parámetros!$E$16="F",2,3),FALSE),2))</f>
        <v/>
      </c>
      <c r="B537" t="str">
        <f t="shared" si="678"/>
        <v/>
      </c>
      <c r="C537" s="57" t="str">
        <f>+IF(D537="","",'Tablas Servicio'!C536+1)</f>
        <v/>
      </c>
      <c r="D537" s="56" t="str">
        <f>+IF(D536&lt;edadmaxtabla,D536+1/Parámetros!$E$25,"")</f>
        <v/>
      </c>
      <c r="E537" s="57" t="str">
        <f t="shared" si="688"/>
        <v/>
      </c>
      <c r="F537" s="59" t="str">
        <f t="shared" si="689"/>
        <v/>
      </c>
      <c r="G537" s="66" t="str">
        <f t="shared" si="679"/>
        <v/>
      </c>
      <c r="H537" s="66" t="str">
        <f t="shared" si="680"/>
        <v/>
      </c>
      <c r="I537" s="66" t="str">
        <f t="shared" si="728"/>
        <v/>
      </c>
      <c r="J537" s="66" t="str">
        <f t="shared" si="681"/>
        <v/>
      </c>
      <c r="K537" s="66" t="str">
        <f t="shared" si="682"/>
        <v/>
      </c>
      <c r="L537" s="66" t="str">
        <f t="shared" si="683"/>
        <v/>
      </c>
      <c r="M537" s="66" t="str">
        <f t="shared" si="684"/>
        <v/>
      </c>
      <c r="N537" s="66" t="str">
        <f>+IF(C537="","",ROUND(Parámetros!$D$23,2))</f>
        <v/>
      </c>
      <c r="O537" s="66" t="str">
        <f t="shared" si="685"/>
        <v/>
      </c>
      <c r="P537" s="66" t="str">
        <f>+IF($C537="","",ROUND(IF(B537&gt;Parámetros!$D$117,0,N537*Parámetros!$D$116-G537*Parámetros!$D$100),2))</f>
        <v/>
      </c>
      <c r="Q537" s="75" t="str">
        <f t="shared" si="729"/>
        <v/>
      </c>
      <c r="R537" s="75" t="str">
        <f t="shared" si="730"/>
        <v/>
      </c>
      <c r="S537" s="117" t="str">
        <f>+IF($C537="","",ROUND((S536+I537)*(1+Parámetros!$D$91),2))</f>
        <v/>
      </c>
      <c r="T537" s="117" t="str">
        <f>+IF($C537="","",ROUND(S537*VLOOKUP(B537,Parámetros!$C$30:$D$39,2,TRUE),2))</f>
        <v/>
      </c>
      <c r="U537" s="117" t="str">
        <f>+IF($C537="","",ROUND((U536+I537)*(1+Parámetros!$D$92),2))</f>
        <v/>
      </c>
      <c r="V537" s="117" t="str">
        <f>+IF($C537="","",ROUND(U537*VLOOKUP(B537,Parámetros!$C$30:$D$39,2,TRUE),2))</f>
        <v/>
      </c>
      <c r="W537" s="57" t="str">
        <f t="shared" si="731"/>
        <v/>
      </c>
      <c r="X537" t="str">
        <f t="shared" si="732"/>
        <v/>
      </c>
      <c r="Y537" t="str">
        <f t="shared" si="733"/>
        <v/>
      </c>
      <c r="Z537" s="118" t="str">
        <f>+IF($W537="","",ROUND(IF(Parámetros!$D$25='TABLAS MORT'!$V$33,Z536,Parámetros!$D$21-'Tablas Servicio'!T536),0))</f>
        <v/>
      </c>
      <c r="AA537" s="118" t="str">
        <f t="shared" si="734"/>
        <v/>
      </c>
      <c r="AB537" s="119" t="str">
        <f>+IF(W537="","",ROUND((VLOOKUP(ROUNDDOWN($D537-1/frec,0),qx_tabla,2,FALSE)*(1+i/frec)^-0.5*(1+Parámetros!$D$103)*(1+rec_fracc)/frec),6))</f>
        <v/>
      </c>
      <c r="AC537" s="66" t="str">
        <f t="shared" si="690"/>
        <v/>
      </c>
      <c r="AD537" s="119" t="str">
        <f t="shared" si="686"/>
        <v/>
      </c>
      <c r="AE537" s="66" t="str">
        <f>+IF($W537="","",ROUND(IF($B537&gt;Parámetros!$D$107,'Tablas Servicio'!AC537+('Tablas Servicio'!AG536-'Tablas Servicio'!AC536),AC537/(1-IF(B537&lt;=10,Parámetros!$D$104,Parámetros!$D$105))),2))</f>
        <v/>
      </c>
      <c r="AF537" s="66" t="str">
        <f>+IF($W537="","",ROUND(IF($B537&gt;Parámetros!$D$107,'Tablas Servicio'!AC537+('Tablas Servicio'!AG536-'Tablas Servicio'!AC536),(AC537+$A536/frec)/(1-IF(B537&lt;=Parámetros!$D$117,Parámetros!$D$100,0))),2))</f>
        <v/>
      </c>
      <c r="AG537" s="66" t="str">
        <f t="shared" si="691"/>
        <v/>
      </c>
      <c r="AH537" s="66" t="str">
        <f t="shared" si="692"/>
        <v/>
      </c>
      <c r="AI537" s="66" t="str">
        <f t="shared" si="693"/>
        <v/>
      </c>
      <c r="AJ537" s="66" t="str">
        <f>+IF($W537="","",ROUND((AG537*Parámetros!$G$85),2))</f>
        <v/>
      </c>
      <c r="AK537" s="66" t="str">
        <f>+IF($W537="","",ROUND((AG537*(Parámetros!$G$86)),2))</f>
        <v/>
      </c>
      <c r="AL537" s="66" t="str">
        <f t="shared" si="687"/>
        <v/>
      </c>
      <c r="AM537" t="str">
        <f t="shared" si="735"/>
        <v/>
      </c>
      <c r="AN537" t="str">
        <f t="shared" si="736"/>
        <v/>
      </c>
      <c r="AO537" s="118" t="str">
        <f t="shared" si="737"/>
        <v/>
      </c>
      <c r="AP537" s="118" t="str">
        <f t="shared" si="738"/>
        <v/>
      </c>
      <c r="AQ537" s="119" t="str">
        <f>+IF(OR($W537="",AO537=0),"",ROUND((VLOOKUP(ROUNDDOWN($D537-1/frec,0),cob_adi,Z$40,FALSE)*(1+i/frec)^-0.5*(1+Parámetros!$D$103)*(1+rec_fracc)/frec),6))</f>
        <v/>
      </c>
      <c r="AR537" s="66" t="str">
        <f t="shared" si="694"/>
        <v/>
      </c>
      <c r="AS537" s="119" t="str">
        <f t="shared" si="695"/>
        <v/>
      </c>
      <c r="AT537" s="66" t="str">
        <f>+IF($W537="","",ROUND(IF($B537&gt;Parámetros!$D$107,'Tablas Servicio'!AR537+('Tablas Servicio'!AT536-'Tablas Servicio'!AR536),AR537/(1-IF(B537&lt;=10,Parámetros!$D$100,0))),2))</f>
        <v/>
      </c>
      <c r="AU537" s="66" t="str">
        <f t="shared" si="696"/>
        <v/>
      </c>
      <c r="AV537" s="66" t="str">
        <f t="shared" si="696"/>
        <v/>
      </c>
      <c r="AW537" s="66" t="str">
        <f>+IF($W537="","",ROUND((AT537*Parámetros!$G$85),2))</f>
        <v/>
      </c>
      <c r="AX537" s="66" t="str">
        <f>+IF($W537="","",ROUND((AT537*(Parámetros!$G$86)),2))</f>
        <v/>
      </c>
      <c r="AY537" s="66" t="str">
        <f t="shared" si="697"/>
        <v/>
      </c>
      <c r="AZ537" t="str">
        <f t="shared" si="739"/>
        <v/>
      </c>
      <c r="BA537" t="str">
        <f t="shared" si="740"/>
        <v/>
      </c>
      <c r="BB537" s="118" t="str">
        <f t="shared" si="741"/>
        <v/>
      </c>
      <c r="BC537" s="118" t="str">
        <f t="shared" si="742"/>
        <v/>
      </c>
      <c r="BD537" s="119" t="str">
        <f>+IF(OR($W537="",BB537=0),"",ROUND((VLOOKUP(ROUNDDOWN($D537-1/frec,0),cob_adi,AO$40,FALSE)*(1+i/frec)^-0.5*(1+Parámetros!$D$103)*(1+rec_fracc)/frec),6))</f>
        <v/>
      </c>
      <c r="BE537" s="66" t="str">
        <f t="shared" si="698"/>
        <v/>
      </c>
      <c r="BF537" s="119" t="str">
        <f t="shared" si="699"/>
        <v/>
      </c>
      <c r="BG537" s="66" t="str">
        <f>+IF($W537="","",ROUND(IF($B537&gt;Parámetros!$D$107,'Tablas Servicio'!BE537+('Tablas Servicio'!BG536-'Tablas Servicio'!BE536),BE537/(1-IF(B537&lt;=10,Parámetros!$D$100,0))),2))</f>
        <v/>
      </c>
      <c r="BH537" s="66" t="str">
        <f t="shared" si="700"/>
        <v/>
      </c>
      <c r="BI537" s="66" t="str">
        <f t="shared" si="701"/>
        <v/>
      </c>
      <c r="BJ537" s="66" t="str">
        <f>+IF($W537="","",ROUND((BG537*Parámetros!$G$85),2))</f>
        <v/>
      </c>
      <c r="BK537" s="66" t="str">
        <f>+IF($W537="","",ROUND((BG537*(Parámetros!$G$86)),2))</f>
        <v/>
      </c>
      <c r="BL537" s="66" t="str">
        <f t="shared" si="702"/>
        <v/>
      </c>
      <c r="BM537" t="str">
        <f t="shared" si="743"/>
        <v/>
      </c>
      <c r="BN537" t="str">
        <f t="shared" si="744"/>
        <v/>
      </c>
      <c r="BO537" s="118" t="str">
        <f t="shared" si="745"/>
        <v/>
      </c>
      <c r="BP537" s="118" t="str">
        <f t="shared" si="746"/>
        <v/>
      </c>
      <c r="BQ537" s="119" t="str">
        <f>+IF(OR($W537="",BO537=0),"",ROUND((VLOOKUP(ROUNDDOWN($D537-1/frec,0),cob_adi,BB$40,FALSE)*(1+i/frec)^-0.5*(1+Parámetros!$D$103)*(1+rec_fracc)/frec),6))</f>
        <v/>
      </c>
      <c r="BR537" s="66" t="str">
        <f t="shared" si="703"/>
        <v/>
      </c>
      <c r="BS537" s="119" t="str">
        <f t="shared" si="704"/>
        <v/>
      </c>
      <c r="BT537" s="66" t="str">
        <f>+IF($W537="","",ROUND(IF($B537&gt;Parámetros!$D$107,'Tablas Servicio'!BR537+('Tablas Servicio'!BT536-'Tablas Servicio'!BR536),BR537/(1-IF(B537&lt;=10,Parámetros!$D$100,0))),2))</f>
        <v/>
      </c>
      <c r="BU537" s="66" t="str">
        <f t="shared" si="705"/>
        <v/>
      </c>
      <c r="BV537" s="66" t="str">
        <f t="shared" si="705"/>
        <v/>
      </c>
      <c r="BW537" s="66" t="str">
        <f>+IF($W537="","",ROUND((BT537*Parámetros!$G$85),2))</f>
        <v/>
      </c>
      <c r="BX537" s="66" t="str">
        <f>+IF($W537="","",ROUND((BT537*(Parámetros!$G$86)),2))</f>
        <v/>
      </c>
      <c r="BY537" s="66" t="str">
        <f t="shared" si="706"/>
        <v/>
      </c>
      <c r="BZ537" t="str">
        <f t="shared" si="747"/>
        <v/>
      </c>
      <c r="CA537" t="str">
        <f t="shared" si="748"/>
        <v/>
      </c>
      <c r="CB537" s="118" t="str">
        <f t="shared" si="749"/>
        <v/>
      </c>
      <c r="CC537" s="118" t="str">
        <f t="shared" si="750"/>
        <v/>
      </c>
      <c r="CD537" s="119" t="str">
        <f t="shared" si="707"/>
        <v/>
      </c>
      <c r="CE537" s="66" t="str">
        <f>+IF($W537="","",ROUND((VLOOKUP(ROUNDDOWN($D537-1/frec,0),cob_adi,BO$40,FALSE)*(1+i/frec)^-0.5*(1+Parámetros!$D$103)*(1+rec_fracc)/frec*'TABLAS ADI'!$BC$17),2))</f>
        <v/>
      </c>
      <c r="CF537" s="119" t="str">
        <f t="shared" si="708"/>
        <v/>
      </c>
      <c r="CG537" s="66" t="str">
        <f>+IF($W537="","",ROUND(IF($B537&gt;Parámetros!$D$107,'Tablas Servicio'!CE537+('Tablas Servicio'!CG536-'Tablas Servicio'!CE536),CE537/(1-IF(B537&lt;=10,Parámetros!$D$100,0))),2))</f>
        <v/>
      </c>
      <c r="CH537" s="66" t="str">
        <f t="shared" si="709"/>
        <v/>
      </c>
      <c r="CI537" s="66" t="str">
        <f t="shared" si="709"/>
        <v/>
      </c>
      <c r="CJ537" s="66" t="str">
        <f>+IF($W537="","",ROUND((CG537*Parámetros!$G$85),2))</f>
        <v/>
      </c>
      <c r="CK537" s="66" t="str">
        <f>+IF($W537="","",ROUND((CG537*(Parámetros!$G$86)),2))</f>
        <v/>
      </c>
      <c r="CL537" s="66" t="str">
        <f t="shared" si="710"/>
        <v/>
      </c>
      <c r="CM537" t="str">
        <f t="shared" si="751"/>
        <v/>
      </c>
      <c r="CN537" s="118" t="str">
        <f t="shared" si="752"/>
        <v/>
      </c>
      <c r="CO537" s="118" t="str">
        <f t="shared" si="753"/>
        <v/>
      </c>
      <c r="CP537" s="118" t="str">
        <f t="shared" si="754"/>
        <v/>
      </c>
      <c r="CQ537" s="119" t="str">
        <f t="shared" si="711"/>
        <v/>
      </c>
      <c r="CR537" s="66" t="str">
        <f>+IF($W537="","",ROUND((VLOOKUP(Parámetros!$F$51,'COBERTURAS ADICIONALES'!$S$4:$T$32,2,FALSE)*(1+i/frec)^-0.5*(1+Parámetros!$D$103)*(1+rec_fracc)/frec*$CO$42),2))</f>
        <v/>
      </c>
      <c r="CS537" s="119" t="str">
        <f t="shared" si="712"/>
        <v/>
      </c>
      <c r="CT537" s="66" t="str">
        <f>+IF($W537="","",ROUND(IF($B537&gt;Parámetros!$D$107,'Tablas Servicio'!CR537+('Tablas Servicio'!CT536-'Tablas Servicio'!CR536),CR537/(1-IF(B537&lt;=10,Parámetros!$D$100,0))),2))</f>
        <v/>
      </c>
      <c r="CU537" s="66" t="str">
        <f t="shared" si="713"/>
        <v/>
      </c>
      <c r="CV537" s="66" t="str">
        <f t="shared" si="713"/>
        <v/>
      </c>
      <c r="CW537" s="66" t="str">
        <f>+IF($W537="","",ROUND((CT537*Parámetros!$G$85),2))</f>
        <v/>
      </c>
      <c r="CX537" s="66" t="str">
        <f>+IF($W537="","",ROUND((CT537*(Parámetros!$G$86)),2))</f>
        <v/>
      </c>
      <c r="CY537" s="66" t="str">
        <f t="shared" si="714"/>
        <v/>
      </c>
      <c r="CZ537" t="str">
        <f t="shared" si="755"/>
        <v/>
      </c>
      <c r="DA537" s="118" t="str">
        <f t="shared" si="756"/>
        <v/>
      </c>
      <c r="DB537" s="118" t="str">
        <f t="shared" si="757"/>
        <v/>
      </c>
      <c r="DC537" s="118" t="str">
        <f t="shared" si="758"/>
        <v/>
      </c>
      <c r="DD537" s="121" t="str">
        <f>+IF(OR($W537="",DB537=0),"",ROUND((VLOOKUP(ROUNDDOWN($D537-1/frec,0),cob_adi,CO$40,FALSE)*(1+i/frec)^-0.5*(1+Parámetros!$D$103)*(1+rec_fracc)/frec),6))</f>
        <v/>
      </c>
      <c r="DE537" s="66" t="str">
        <f t="shared" si="715"/>
        <v/>
      </c>
      <c r="DF537" s="119" t="str">
        <f t="shared" si="716"/>
        <v/>
      </c>
      <c r="DG537" s="66" t="str">
        <f>+IF($W537="","",ROUND(IF($B537&gt;Parámetros!$D$107,'Tablas Servicio'!DE537+('Tablas Servicio'!DG536-'Tablas Servicio'!DE536),DE537/(1-IF(B537&lt;=10,Parámetros!$D$100,0))),2))</f>
        <v/>
      </c>
      <c r="DH537" s="66" t="str">
        <f t="shared" si="717"/>
        <v/>
      </c>
      <c r="DI537" s="66" t="str">
        <f t="shared" si="717"/>
        <v/>
      </c>
      <c r="DJ537" s="66" t="str">
        <f>+IF($W537="","",ROUND((DG537*Parámetros!$G$85),2))</f>
        <v/>
      </c>
      <c r="DK537" s="66" t="str">
        <f>+IF($W537="","",ROUND((DG537*(Parámetros!$G$86)),2))</f>
        <v/>
      </c>
      <c r="DL537" s="66" t="str">
        <f t="shared" si="718"/>
        <v/>
      </c>
      <c r="DM537" t="str">
        <f t="shared" si="759"/>
        <v/>
      </c>
      <c r="DN537" s="118" t="str">
        <f t="shared" si="760"/>
        <v/>
      </c>
      <c r="DO537" s="118" t="str">
        <f t="shared" si="761"/>
        <v/>
      </c>
      <c r="DP537" s="118" t="str">
        <f t="shared" si="762"/>
        <v/>
      </c>
      <c r="DQ537" s="122" t="str">
        <f>+IF(OR($W537="",DO537=0),"",ROUND((VLOOKUP(ROUNDDOWN($D537-1/frec,0),cob_adi,DB$40,FALSE)*(1+i/frec)^-0.5*(1+Parámetros!$D$103)*(1+rec_fracc)/frec),6))</f>
        <v/>
      </c>
      <c r="DR537" s="66" t="str">
        <f t="shared" si="719"/>
        <v/>
      </c>
      <c r="DS537" s="68" t="str">
        <f t="shared" si="720"/>
        <v/>
      </c>
      <c r="DT537" s="66" t="str">
        <f>+IF($W537="","",ROUND(IF($B537&gt;Parámetros!$D$107,'Tablas Servicio'!DR537+('Tablas Servicio'!DT536-'Tablas Servicio'!DR536),DR537/(1-IF(B537&lt;=10,Parámetros!$D$100,0))),2))</f>
        <v/>
      </c>
      <c r="DU537" s="66" t="str">
        <f t="shared" si="721"/>
        <v/>
      </c>
      <c r="DV537" s="66" t="str">
        <f t="shared" si="721"/>
        <v/>
      </c>
      <c r="DW537" s="66" t="str">
        <f>+IF($W537="","",ROUND((DT537*Parámetros!$G$85),2))</f>
        <v/>
      </c>
      <c r="DX537" s="66" t="str">
        <f>+IF($W537="","",ROUND((DT537*(Parámetros!$G$86)),2))</f>
        <v/>
      </c>
      <c r="DY537" s="66" t="str">
        <f t="shared" si="722"/>
        <v/>
      </c>
      <c r="DZ537" t="str">
        <f t="shared" si="764"/>
        <v/>
      </c>
      <c r="EA537" s="118" t="str">
        <f t="shared" si="764"/>
        <v/>
      </c>
      <c r="EB537" s="118" t="str">
        <f>+IF($W537="","",ROUND(IF(Parámetros!$D$25='TABLAS MORT'!$V$33,EB536,Z537/2),0))</f>
        <v/>
      </c>
      <c r="EC537" s="118" t="str">
        <f t="shared" si="764"/>
        <v/>
      </c>
      <c r="ED537" s="122" t="str">
        <f>+IF(OR($W537="",EB537=0),"",ROUND((VLOOKUP(ROUNDDOWN($D537-1/frec,0),cob_adi,DO$40,FALSE)*(1+i/frec)^-0.5*(1+Parámetros!$D$103)*(1+rec_fracc)/frec),6))</f>
        <v/>
      </c>
      <c r="EE537" s="66" t="str">
        <f t="shared" si="724"/>
        <v/>
      </c>
      <c r="EF537" s="68" t="str">
        <f t="shared" si="725"/>
        <v/>
      </c>
      <c r="EG537" s="66" t="str">
        <f>+IF($W537="","",ROUND(IF($B537&gt;Parámetros!$D$107,'Tablas Servicio'!EE537+('Tablas Servicio'!EG536-'Tablas Servicio'!EE536),EE537/(1-IF(B537&lt;=10,Parámetros!$D$100,0))),2))</f>
        <v/>
      </c>
      <c r="EH537" s="66" t="str">
        <f t="shared" si="726"/>
        <v/>
      </c>
      <c r="EI537" s="66" t="str">
        <f t="shared" si="726"/>
        <v/>
      </c>
      <c r="EJ537" s="66" t="str">
        <f>+IF($W537="","",ROUND((EG537*Parámetros!$G$85),2))</f>
        <v/>
      </c>
      <c r="EK537" s="66" t="str">
        <f>+IF($W537="","",ROUND((EG537*(Parámetros!$G$86)),2))</f>
        <v/>
      </c>
      <c r="EL537" s="66" t="str">
        <f t="shared" si="727"/>
        <v/>
      </c>
    </row>
    <row r="538" spans="1:142" x14ac:dyDescent="0.25">
      <c r="A538" t="str">
        <f>+IF($C538="","",ROUND(VLOOKUP('Tablas Servicio'!B538,Parámetros!$H$100:$J$159,IF(Parámetros!$E$16="F",2,3),FALSE),2))</f>
        <v/>
      </c>
      <c r="B538" t="str">
        <f t="shared" si="678"/>
        <v/>
      </c>
      <c r="C538" s="57" t="str">
        <f>+IF(D538="","",'Tablas Servicio'!C537+1)</f>
        <v/>
      </c>
      <c r="D538" s="56" t="str">
        <f>+IF(D537&lt;edadmaxtabla,D537+1/Parámetros!$E$25,"")</f>
        <v/>
      </c>
      <c r="E538" s="57" t="str">
        <f t="shared" si="688"/>
        <v/>
      </c>
      <c r="F538" s="59" t="str">
        <f t="shared" si="689"/>
        <v/>
      </c>
      <c r="G538" s="66" t="str">
        <f t="shared" si="679"/>
        <v/>
      </c>
      <c r="H538" s="66" t="str">
        <f t="shared" si="680"/>
        <v/>
      </c>
      <c r="I538" s="66" t="str">
        <f t="shared" si="728"/>
        <v/>
      </c>
      <c r="J538" s="66" t="str">
        <f t="shared" si="681"/>
        <v/>
      </c>
      <c r="K538" s="66" t="str">
        <f t="shared" si="682"/>
        <v/>
      </c>
      <c r="L538" s="66" t="str">
        <f t="shared" si="683"/>
        <v/>
      </c>
      <c r="M538" s="66" t="str">
        <f t="shared" si="684"/>
        <v/>
      </c>
      <c r="N538" s="66" t="str">
        <f>+IF(C538="","",ROUND(Parámetros!$D$23,2))</f>
        <v/>
      </c>
      <c r="O538" s="66" t="str">
        <f t="shared" si="685"/>
        <v/>
      </c>
      <c r="P538" s="66" t="str">
        <f>+IF($C538="","",ROUND(IF(B538&gt;Parámetros!$D$117,0,N538*Parámetros!$D$116-G538*Parámetros!$D$100),2))</f>
        <v/>
      </c>
      <c r="Q538" s="75" t="str">
        <f t="shared" si="729"/>
        <v/>
      </c>
      <c r="R538" s="75" t="str">
        <f t="shared" si="730"/>
        <v/>
      </c>
      <c r="S538" s="117" t="str">
        <f>+IF($C538="","",ROUND((S537+I538)*(1+Parámetros!$D$91),2))</f>
        <v/>
      </c>
      <c r="T538" s="117" t="str">
        <f>+IF($C538="","",ROUND(S538*VLOOKUP(B538,Parámetros!$C$30:$D$39,2,TRUE),2))</f>
        <v/>
      </c>
      <c r="U538" s="117" t="str">
        <f>+IF($C538="","",ROUND((U537+I538)*(1+Parámetros!$D$92),2))</f>
        <v/>
      </c>
      <c r="V538" s="117" t="str">
        <f>+IF($C538="","",ROUND(U538*VLOOKUP(B538,Parámetros!$C$30:$D$39,2,TRUE),2))</f>
        <v/>
      </c>
      <c r="W538" s="57" t="str">
        <f t="shared" si="731"/>
        <v/>
      </c>
      <c r="X538" t="str">
        <f t="shared" si="732"/>
        <v/>
      </c>
      <c r="Y538" t="str">
        <f t="shared" si="733"/>
        <v/>
      </c>
      <c r="Z538" s="118" t="str">
        <f>+IF($W538="","",ROUND(IF(Parámetros!$D$25='TABLAS MORT'!$V$33,Z537,Parámetros!$D$21-'Tablas Servicio'!T537),0))</f>
        <v/>
      </c>
      <c r="AA538" s="118" t="str">
        <f t="shared" si="734"/>
        <v/>
      </c>
      <c r="AB538" s="119" t="str">
        <f>+IF(W538="","",ROUND((VLOOKUP(ROUNDDOWN($D538-1/frec,0),qx_tabla,2,FALSE)*(1+i/frec)^-0.5*(1+Parámetros!$D$103)*(1+rec_fracc)/frec),6))</f>
        <v/>
      </c>
      <c r="AC538" s="66" t="str">
        <f t="shared" si="690"/>
        <v/>
      </c>
      <c r="AD538" s="119" t="str">
        <f t="shared" si="686"/>
        <v/>
      </c>
      <c r="AE538" s="66" t="str">
        <f>+IF($W538="","",ROUND(IF($B538&gt;Parámetros!$D$107,'Tablas Servicio'!AC538+('Tablas Servicio'!AG537-'Tablas Servicio'!AC537),AC538/(1-IF(B538&lt;=10,Parámetros!$D$104,Parámetros!$D$105))),2))</f>
        <v/>
      </c>
      <c r="AF538" s="66" t="str">
        <f>+IF($W538="","",ROUND(IF($B538&gt;Parámetros!$D$107,'Tablas Servicio'!AC538+('Tablas Servicio'!AG537-'Tablas Servicio'!AC537),(AC538+$A537/frec)/(1-IF(B538&lt;=Parámetros!$D$117,Parámetros!$D$100,0))),2))</f>
        <v/>
      </c>
      <c r="AG538" s="66" t="str">
        <f t="shared" si="691"/>
        <v/>
      </c>
      <c r="AH538" s="66" t="str">
        <f t="shared" si="692"/>
        <v/>
      </c>
      <c r="AI538" s="66" t="str">
        <f t="shared" si="693"/>
        <v/>
      </c>
      <c r="AJ538" s="66" t="str">
        <f>+IF($W538="","",ROUND((AG538*Parámetros!$G$85),2))</f>
        <v/>
      </c>
      <c r="AK538" s="66" t="str">
        <f>+IF($W538="","",ROUND((AG538*(Parámetros!$G$86)),2))</f>
        <v/>
      </c>
      <c r="AL538" s="66" t="str">
        <f t="shared" si="687"/>
        <v/>
      </c>
      <c r="AM538" t="str">
        <f t="shared" si="735"/>
        <v/>
      </c>
      <c r="AN538" t="str">
        <f t="shared" si="736"/>
        <v/>
      </c>
      <c r="AO538" s="118" t="str">
        <f t="shared" si="737"/>
        <v/>
      </c>
      <c r="AP538" s="118" t="str">
        <f t="shared" si="738"/>
        <v/>
      </c>
      <c r="AQ538" s="119" t="str">
        <f>+IF(OR($W538="",AO538=0),"",ROUND((VLOOKUP(ROUNDDOWN($D538-1/frec,0),cob_adi,Z$40,FALSE)*(1+i/frec)^-0.5*(1+Parámetros!$D$103)*(1+rec_fracc)/frec),6))</f>
        <v/>
      </c>
      <c r="AR538" s="66" t="str">
        <f t="shared" si="694"/>
        <v/>
      </c>
      <c r="AS538" s="119" t="str">
        <f t="shared" si="695"/>
        <v/>
      </c>
      <c r="AT538" s="66" t="str">
        <f>+IF($W538="","",ROUND(IF($B538&gt;Parámetros!$D$107,'Tablas Servicio'!AR538+('Tablas Servicio'!AT537-'Tablas Servicio'!AR537),AR538/(1-IF(B538&lt;=10,Parámetros!$D$100,0))),2))</f>
        <v/>
      </c>
      <c r="AU538" s="66" t="str">
        <f t="shared" si="696"/>
        <v/>
      </c>
      <c r="AV538" s="66" t="str">
        <f t="shared" si="696"/>
        <v/>
      </c>
      <c r="AW538" s="66" t="str">
        <f>+IF($W538="","",ROUND((AT538*Parámetros!$G$85),2))</f>
        <v/>
      </c>
      <c r="AX538" s="66" t="str">
        <f>+IF($W538="","",ROUND((AT538*(Parámetros!$G$86)),2))</f>
        <v/>
      </c>
      <c r="AY538" s="66" t="str">
        <f t="shared" si="697"/>
        <v/>
      </c>
      <c r="AZ538" t="str">
        <f t="shared" si="739"/>
        <v/>
      </c>
      <c r="BA538" t="str">
        <f t="shared" si="740"/>
        <v/>
      </c>
      <c r="BB538" s="118" t="str">
        <f t="shared" si="741"/>
        <v/>
      </c>
      <c r="BC538" s="118" t="str">
        <f t="shared" si="742"/>
        <v/>
      </c>
      <c r="BD538" s="119" t="str">
        <f>+IF(OR($W538="",BB538=0),"",ROUND((VLOOKUP(ROUNDDOWN($D538-1/frec,0),cob_adi,AO$40,FALSE)*(1+i/frec)^-0.5*(1+Parámetros!$D$103)*(1+rec_fracc)/frec),6))</f>
        <v/>
      </c>
      <c r="BE538" s="66" t="str">
        <f t="shared" si="698"/>
        <v/>
      </c>
      <c r="BF538" s="119" t="str">
        <f t="shared" si="699"/>
        <v/>
      </c>
      <c r="BG538" s="66" t="str">
        <f>+IF($W538="","",ROUND(IF($B538&gt;Parámetros!$D$107,'Tablas Servicio'!BE538+('Tablas Servicio'!BG537-'Tablas Servicio'!BE537),BE538/(1-IF(B538&lt;=10,Parámetros!$D$100,0))),2))</f>
        <v/>
      </c>
      <c r="BH538" s="66" t="str">
        <f t="shared" si="700"/>
        <v/>
      </c>
      <c r="BI538" s="66" t="str">
        <f t="shared" si="701"/>
        <v/>
      </c>
      <c r="BJ538" s="66" t="str">
        <f>+IF($W538="","",ROUND((BG538*Parámetros!$G$85),2))</f>
        <v/>
      </c>
      <c r="BK538" s="66" t="str">
        <f>+IF($W538="","",ROUND((BG538*(Parámetros!$G$86)),2))</f>
        <v/>
      </c>
      <c r="BL538" s="66" t="str">
        <f t="shared" si="702"/>
        <v/>
      </c>
      <c r="BM538" t="str">
        <f t="shared" si="743"/>
        <v/>
      </c>
      <c r="BN538" t="str">
        <f t="shared" si="744"/>
        <v/>
      </c>
      <c r="BO538" s="118" t="str">
        <f t="shared" si="745"/>
        <v/>
      </c>
      <c r="BP538" s="118" t="str">
        <f t="shared" si="746"/>
        <v/>
      </c>
      <c r="BQ538" s="119" t="str">
        <f>+IF(OR($W538="",BO538=0),"",ROUND((VLOOKUP(ROUNDDOWN($D538-1/frec,0),cob_adi,BB$40,FALSE)*(1+i/frec)^-0.5*(1+Parámetros!$D$103)*(1+rec_fracc)/frec),6))</f>
        <v/>
      </c>
      <c r="BR538" s="66" t="str">
        <f t="shared" si="703"/>
        <v/>
      </c>
      <c r="BS538" s="119" t="str">
        <f t="shared" si="704"/>
        <v/>
      </c>
      <c r="BT538" s="66" t="str">
        <f>+IF($W538="","",ROUND(IF($B538&gt;Parámetros!$D$107,'Tablas Servicio'!BR538+('Tablas Servicio'!BT537-'Tablas Servicio'!BR537),BR538/(1-IF(B538&lt;=10,Parámetros!$D$100,0))),2))</f>
        <v/>
      </c>
      <c r="BU538" s="66" t="str">
        <f t="shared" si="705"/>
        <v/>
      </c>
      <c r="BV538" s="66" t="str">
        <f t="shared" si="705"/>
        <v/>
      </c>
      <c r="BW538" s="66" t="str">
        <f>+IF($W538="","",ROUND((BT538*Parámetros!$G$85),2))</f>
        <v/>
      </c>
      <c r="BX538" s="66" t="str">
        <f>+IF($W538="","",ROUND((BT538*(Parámetros!$G$86)),2))</f>
        <v/>
      </c>
      <c r="BY538" s="66" t="str">
        <f t="shared" si="706"/>
        <v/>
      </c>
      <c r="BZ538" t="str">
        <f t="shared" si="747"/>
        <v/>
      </c>
      <c r="CA538" t="str">
        <f t="shared" si="748"/>
        <v/>
      </c>
      <c r="CB538" s="118" t="str">
        <f t="shared" si="749"/>
        <v/>
      </c>
      <c r="CC538" s="118" t="str">
        <f t="shared" si="750"/>
        <v/>
      </c>
      <c r="CD538" s="119" t="str">
        <f t="shared" si="707"/>
        <v/>
      </c>
      <c r="CE538" s="66" t="str">
        <f>+IF($W538="","",ROUND((VLOOKUP(ROUNDDOWN($D538-1/frec,0),cob_adi,BO$40,FALSE)*(1+i/frec)^-0.5*(1+Parámetros!$D$103)*(1+rec_fracc)/frec*'TABLAS ADI'!$BC$17),2))</f>
        <v/>
      </c>
      <c r="CF538" s="119" t="str">
        <f t="shared" si="708"/>
        <v/>
      </c>
      <c r="CG538" s="66" t="str">
        <f>+IF($W538="","",ROUND(IF($B538&gt;Parámetros!$D$107,'Tablas Servicio'!CE538+('Tablas Servicio'!CG537-'Tablas Servicio'!CE537),CE538/(1-IF(B538&lt;=10,Parámetros!$D$100,0))),2))</f>
        <v/>
      </c>
      <c r="CH538" s="66" t="str">
        <f t="shared" si="709"/>
        <v/>
      </c>
      <c r="CI538" s="66" t="str">
        <f t="shared" si="709"/>
        <v/>
      </c>
      <c r="CJ538" s="66" t="str">
        <f>+IF($W538="","",ROUND((CG538*Parámetros!$G$85),2))</f>
        <v/>
      </c>
      <c r="CK538" s="66" t="str">
        <f>+IF($W538="","",ROUND((CG538*(Parámetros!$G$86)),2))</f>
        <v/>
      </c>
      <c r="CL538" s="66" t="str">
        <f t="shared" si="710"/>
        <v/>
      </c>
      <c r="CM538" t="str">
        <f t="shared" si="751"/>
        <v/>
      </c>
      <c r="CN538" s="118" t="str">
        <f t="shared" si="752"/>
        <v/>
      </c>
      <c r="CO538" s="118" t="str">
        <f t="shared" si="753"/>
        <v/>
      </c>
      <c r="CP538" s="118" t="str">
        <f t="shared" si="754"/>
        <v/>
      </c>
      <c r="CQ538" s="119" t="str">
        <f t="shared" si="711"/>
        <v/>
      </c>
      <c r="CR538" s="66" t="str">
        <f>+IF($W538="","",ROUND((VLOOKUP(Parámetros!$F$51,'COBERTURAS ADICIONALES'!$S$4:$T$32,2,FALSE)*(1+i/frec)^-0.5*(1+Parámetros!$D$103)*(1+rec_fracc)/frec*$CO$42),2))</f>
        <v/>
      </c>
      <c r="CS538" s="119" t="str">
        <f t="shared" si="712"/>
        <v/>
      </c>
      <c r="CT538" s="66" t="str">
        <f>+IF($W538="","",ROUND(IF($B538&gt;Parámetros!$D$107,'Tablas Servicio'!CR538+('Tablas Servicio'!CT537-'Tablas Servicio'!CR537),CR538/(1-IF(B538&lt;=10,Parámetros!$D$100,0))),2))</f>
        <v/>
      </c>
      <c r="CU538" s="66" t="str">
        <f t="shared" si="713"/>
        <v/>
      </c>
      <c r="CV538" s="66" t="str">
        <f t="shared" si="713"/>
        <v/>
      </c>
      <c r="CW538" s="66" t="str">
        <f>+IF($W538="","",ROUND((CT538*Parámetros!$G$85),2))</f>
        <v/>
      </c>
      <c r="CX538" s="66" t="str">
        <f>+IF($W538="","",ROUND((CT538*(Parámetros!$G$86)),2))</f>
        <v/>
      </c>
      <c r="CY538" s="66" t="str">
        <f t="shared" si="714"/>
        <v/>
      </c>
      <c r="CZ538" t="str">
        <f t="shared" si="755"/>
        <v/>
      </c>
      <c r="DA538" s="118" t="str">
        <f t="shared" si="756"/>
        <v/>
      </c>
      <c r="DB538" s="118" t="str">
        <f t="shared" si="757"/>
        <v/>
      </c>
      <c r="DC538" s="118" t="str">
        <f t="shared" si="758"/>
        <v/>
      </c>
      <c r="DD538" s="121" t="str">
        <f>+IF(OR($W538="",DB538=0),"",ROUND((VLOOKUP(ROUNDDOWN($D538-1/frec,0),cob_adi,CO$40,FALSE)*(1+i/frec)^-0.5*(1+Parámetros!$D$103)*(1+rec_fracc)/frec),6))</f>
        <v/>
      </c>
      <c r="DE538" s="66" t="str">
        <f t="shared" si="715"/>
        <v/>
      </c>
      <c r="DF538" s="119" t="str">
        <f t="shared" si="716"/>
        <v/>
      </c>
      <c r="DG538" s="66" t="str">
        <f>+IF($W538="","",ROUND(IF($B538&gt;Parámetros!$D$107,'Tablas Servicio'!DE538+('Tablas Servicio'!DG537-'Tablas Servicio'!DE537),DE538/(1-IF(B538&lt;=10,Parámetros!$D$100,0))),2))</f>
        <v/>
      </c>
      <c r="DH538" s="66" t="str">
        <f t="shared" si="717"/>
        <v/>
      </c>
      <c r="DI538" s="66" t="str">
        <f t="shared" si="717"/>
        <v/>
      </c>
      <c r="DJ538" s="66" t="str">
        <f>+IF($W538="","",ROUND((DG538*Parámetros!$G$85),2))</f>
        <v/>
      </c>
      <c r="DK538" s="66" t="str">
        <f>+IF($W538="","",ROUND((DG538*(Parámetros!$G$86)),2))</f>
        <v/>
      </c>
      <c r="DL538" s="66" t="str">
        <f t="shared" si="718"/>
        <v/>
      </c>
      <c r="DM538" t="str">
        <f t="shared" si="759"/>
        <v/>
      </c>
      <c r="DN538" s="118" t="str">
        <f t="shared" si="760"/>
        <v/>
      </c>
      <c r="DO538" s="118" t="str">
        <f t="shared" si="761"/>
        <v/>
      </c>
      <c r="DP538" s="118" t="str">
        <f t="shared" si="762"/>
        <v/>
      </c>
      <c r="DQ538" s="122" t="str">
        <f>+IF(OR($W538="",DO538=0),"",ROUND((VLOOKUP(ROUNDDOWN($D538-1/frec,0),cob_adi,DB$40,FALSE)*(1+i/frec)^-0.5*(1+Parámetros!$D$103)*(1+rec_fracc)/frec),6))</f>
        <v/>
      </c>
      <c r="DR538" s="66" t="str">
        <f t="shared" si="719"/>
        <v/>
      </c>
      <c r="DS538" s="68" t="str">
        <f t="shared" si="720"/>
        <v/>
      </c>
      <c r="DT538" s="66" t="str">
        <f>+IF($W538="","",ROUND(IF($B538&gt;Parámetros!$D$107,'Tablas Servicio'!DR538+('Tablas Servicio'!DT537-'Tablas Servicio'!DR537),DR538/(1-IF(B538&lt;=10,Parámetros!$D$100,0))),2))</f>
        <v/>
      </c>
      <c r="DU538" s="66" t="str">
        <f t="shared" si="721"/>
        <v/>
      </c>
      <c r="DV538" s="66" t="str">
        <f t="shared" si="721"/>
        <v/>
      </c>
      <c r="DW538" s="66" t="str">
        <f>+IF($W538="","",ROUND((DT538*Parámetros!$G$85),2))</f>
        <v/>
      </c>
      <c r="DX538" s="66" t="str">
        <f>+IF($W538="","",ROUND((DT538*(Parámetros!$G$86)),2))</f>
        <v/>
      </c>
      <c r="DY538" s="66" t="str">
        <f t="shared" si="722"/>
        <v/>
      </c>
      <c r="DZ538" t="str">
        <f t="shared" si="764"/>
        <v/>
      </c>
      <c r="EA538" s="118" t="str">
        <f t="shared" si="764"/>
        <v/>
      </c>
      <c r="EB538" s="118" t="str">
        <f>+IF($W538="","",ROUND(IF(Parámetros!$D$25='TABLAS MORT'!$V$33,EB537,Z538/2),0))</f>
        <v/>
      </c>
      <c r="EC538" s="118" t="str">
        <f t="shared" si="764"/>
        <v/>
      </c>
      <c r="ED538" s="122" t="str">
        <f>+IF(OR($W538="",EB538=0),"",ROUND((VLOOKUP(ROUNDDOWN($D538-1/frec,0),cob_adi,DO$40,FALSE)*(1+i/frec)^-0.5*(1+Parámetros!$D$103)*(1+rec_fracc)/frec),6))</f>
        <v/>
      </c>
      <c r="EE538" s="66" t="str">
        <f t="shared" si="724"/>
        <v/>
      </c>
      <c r="EF538" s="68" t="str">
        <f t="shared" si="725"/>
        <v/>
      </c>
      <c r="EG538" s="66" t="str">
        <f>+IF($W538="","",ROUND(IF($B538&gt;Parámetros!$D$107,'Tablas Servicio'!EE538+('Tablas Servicio'!EG537-'Tablas Servicio'!EE537),EE538/(1-IF(B538&lt;=10,Parámetros!$D$100,0))),2))</f>
        <v/>
      </c>
      <c r="EH538" s="66" t="str">
        <f t="shared" si="726"/>
        <v/>
      </c>
      <c r="EI538" s="66" t="str">
        <f t="shared" si="726"/>
        <v/>
      </c>
      <c r="EJ538" s="66" t="str">
        <f>+IF($W538="","",ROUND((EG538*Parámetros!$G$85),2))</f>
        <v/>
      </c>
      <c r="EK538" s="66" t="str">
        <f>+IF($W538="","",ROUND((EG538*(Parámetros!$G$86)),2))</f>
        <v/>
      </c>
      <c r="EL538" s="66" t="str">
        <f t="shared" si="727"/>
        <v/>
      </c>
    </row>
    <row r="539" spans="1:142" x14ac:dyDescent="0.25">
      <c r="A539" t="str">
        <f>+IF($C539="","",ROUND(VLOOKUP('Tablas Servicio'!B539,Parámetros!$H$100:$J$159,IF(Parámetros!$E$16="F",2,3),FALSE),2))</f>
        <v/>
      </c>
      <c r="B539" t="str">
        <f t="shared" si="678"/>
        <v/>
      </c>
      <c r="C539" s="57" t="str">
        <f>+IF(D539="","",'Tablas Servicio'!C538+1)</f>
        <v/>
      </c>
      <c r="D539" s="56" t="str">
        <f>+IF(D538&lt;edadmaxtabla,D538+1/Parámetros!$E$25,"")</f>
        <v/>
      </c>
      <c r="E539" s="57" t="str">
        <f t="shared" si="688"/>
        <v/>
      </c>
      <c r="F539" s="59" t="str">
        <f t="shared" si="689"/>
        <v/>
      </c>
      <c r="G539" s="66" t="str">
        <f t="shared" si="679"/>
        <v/>
      </c>
      <c r="H539" s="66" t="str">
        <f t="shared" si="680"/>
        <v/>
      </c>
      <c r="I539" s="66" t="str">
        <f t="shared" si="728"/>
        <v/>
      </c>
      <c r="J539" s="66" t="str">
        <f t="shared" si="681"/>
        <v/>
      </c>
      <c r="K539" s="66" t="str">
        <f t="shared" si="682"/>
        <v/>
      </c>
      <c r="L539" s="66" t="str">
        <f t="shared" si="683"/>
        <v/>
      </c>
      <c r="M539" s="66" t="str">
        <f t="shared" si="684"/>
        <v/>
      </c>
      <c r="N539" s="66" t="str">
        <f>+IF(C539="","",ROUND(Parámetros!$D$23,2))</f>
        <v/>
      </c>
      <c r="O539" s="66" t="str">
        <f t="shared" si="685"/>
        <v/>
      </c>
      <c r="P539" s="66" t="str">
        <f>+IF($C539="","",ROUND(IF(B539&gt;Parámetros!$D$117,0,N539*Parámetros!$D$116-G539*Parámetros!$D$100),2))</f>
        <v/>
      </c>
      <c r="Q539" s="75" t="str">
        <f t="shared" si="729"/>
        <v/>
      </c>
      <c r="R539" s="75" t="str">
        <f t="shared" si="730"/>
        <v/>
      </c>
      <c r="S539" s="117" t="str">
        <f>+IF($C539="","",ROUND((S538+I539)*(1+Parámetros!$D$91),2))</f>
        <v/>
      </c>
      <c r="T539" s="117" t="str">
        <f>+IF($C539="","",ROUND(S539*VLOOKUP(B539,Parámetros!$C$30:$D$39,2,TRUE),2))</f>
        <v/>
      </c>
      <c r="U539" s="117" t="str">
        <f>+IF($C539="","",ROUND((U538+I539)*(1+Parámetros!$D$92),2))</f>
        <v/>
      </c>
      <c r="V539" s="117" t="str">
        <f>+IF($C539="","",ROUND(U539*VLOOKUP(B539,Parámetros!$C$30:$D$39,2,TRUE),2))</f>
        <v/>
      </c>
      <c r="W539" s="57" t="str">
        <f t="shared" si="731"/>
        <v/>
      </c>
      <c r="X539" t="str">
        <f t="shared" si="732"/>
        <v/>
      </c>
      <c r="Y539" t="str">
        <f t="shared" si="733"/>
        <v/>
      </c>
      <c r="Z539" s="118" t="str">
        <f>+IF($W539="","",ROUND(IF(Parámetros!$D$25='TABLAS MORT'!$V$33,Z538,Parámetros!$D$21-'Tablas Servicio'!T538),0))</f>
        <v/>
      </c>
      <c r="AA539" s="118" t="str">
        <f t="shared" si="734"/>
        <v/>
      </c>
      <c r="AB539" s="119" t="str">
        <f>+IF(W539="","",ROUND((VLOOKUP(ROUNDDOWN($D539-1/frec,0),qx_tabla,2,FALSE)*(1+i/frec)^-0.5*(1+Parámetros!$D$103)*(1+rec_fracc)/frec),6))</f>
        <v/>
      </c>
      <c r="AC539" s="66" t="str">
        <f t="shared" si="690"/>
        <v/>
      </c>
      <c r="AD539" s="119" t="str">
        <f t="shared" si="686"/>
        <v/>
      </c>
      <c r="AE539" s="66" t="str">
        <f>+IF($W539="","",ROUND(IF($B539&gt;Parámetros!$D$107,'Tablas Servicio'!AC539+('Tablas Servicio'!AG538-'Tablas Servicio'!AC538),AC539/(1-IF(B539&lt;=10,Parámetros!$D$104,Parámetros!$D$105))),2))</f>
        <v/>
      </c>
      <c r="AF539" s="66" t="str">
        <f>+IF($W539="","",ROUND(IF($B539&gt;Parámetros!$D$107,'Tablas Servicio'!AC539+('Tablas Servicio'!AG538-'Tablas Servicio'!AC538),(AC539+$A538/frec)/(1-IF(B539&lt;=Parámetros!$D$117,Parámetros!$D$100,0))),2))</f>
        <v/>
      </c>
      <c r="AG539" s="66" t="str">
        <f t="shared" si="691"/>
        <v/>
      </c>
      <c r="AH539" s="66" t="str">
        <f t="shared" si="692"/>
        <v/>
      </c>
      <c r="AI539" s="66" t="str">
        <f t="shared" si="693"/>
        <v/>
      </c>
      <c r="AJ539" s="66" t="str">
        <f>+IF($W539="","",ROUND((AG539*Parámetros!$G$85),2))</f>
        <v/>
      </c>
      <c r="AK539" s="66" t="str">
        <f>+IF($W539="","",ROUND((AG539*(Parámetros!$G$86)),2))</f>
        <v/>
      </c>
      <c r="AL539" s="66" t="str">
        <f t="shared" si="687"/>
        <v/>
      </c>
      <c r="AM539" t="str">
        <f t="shared" si="735"/>
        <v/>
      </c>
      <c r="AN539" t="str">
        <f t="shared" si="736"/>
        <v/>
      </c>
      <c r="AO539" s="118" t="str">
        <f t="shared" si="737"/>
        <v/>
      </c>
      <c r="AP539" s="118" t="str">
        <f t="shared" si="738"/>
        <v/>
      </c>
      <c r="AQ539" s="119" t="str">
        <f>+IF(OR($W539="",AO539=0),"",ROUND((VLOOKUP(ROUNDDOWN($D539-1/frec,0),cob_adi,Z$40,FALSE)*(1+i/frec)^-0.5*(1+Parámetros!$D$103)*(1+rec_fracc)/frec),6))</f>
        <v/>
      </c>
      <c r="AR539" s="66" t="str">
        <f t="shared" si="694"/>
        <v/>
      </c>
      <c r="AS539" s="119" t="str">
        <f t="shared" si="695"/>
        <v/>
      </c>
      <c r="AT539" s="66" t="str">
        <f>+IF($W539="","",ROUND(IF($B539&gt;Parámetros!$D$107,'Tablas Servicio'!AR539+('Tablas Servicio'!AT538-'Tablas Servicio'!AR538),AR539/(1-IF(B539&lt;=10,Parámetros!$D$100,0))),2))</f>
        <v/>
      </c>
      <c r="AU539" s="66" t="str">
        <f t="shared" si="696"/>
        <v/>
      </c>
      <c r="AV539" s="66" t="str">
        <f t="shared" si="696"/>
        <v/>
      </c>
      <c r="AW539" s="66" t="str">
        <f>+IF($W539="","",ROUND((AT539*Parámetros!$G$85),2))</f>
        <v/>
      </c>
      <c r="AX539" s="66" t="str">
        <f>+IF($W539="","",ROUND((AT539*(Parámetros!$G$86)),2))</f>
        <v/>
      </c>
      <c r="AY539" s="66" t="str">
        <f t="shared" si="697"/>
        <v/>
      </c>
      <c r="AZ539" t="str">
        <f t="shared" si="739"/>
        <v/>
      </c>
      <c r="BA539" t="str">
        <f t="shared" si="740"/>
        <v/>
      </c>
      <c r="BB539" s="118" t="str">
        <f t="shared" si="741"/>
        <v/>
      </c>
      <c r="BC539" s="118" t="str">
        <f t="shared" si="742"/>
        <v/>
      </c>
      <c r="BD539" s="119" t="str">
        <f>+IF(OR($W539="",BB539=0),"",ROUND((VLOOKUP(ROUNDDOWN($D539-1/frec,0),cob_adi,AO$40,FALSE)*(1+i/frec)^-0.5*(1+Parámetros!$D$103)*(1+rec_fracc)/frec),6))</f>
        <v/>
      </c>
      <c r="BE539" s="66" t="str">
        <f t="shared" si="698"/>
        <v/>
      </c>
      <c r="BF539" s="119" t="str">
        <f t="shared" si="699"/>
        <v/>
      </c>
      <c r="BG539" s="66" t="str">
        <f>+IF($W539="","",ROUND(IF($B539&gt;Parámetros!$D$107,'Tablas Servicio'!BE539+('Tablas Servicio'!BG538-'Tablas Servicio'!BE538),BE539/(1-IF(B539&lt;=10,Parámetros!$D$100,0))),2))</f>
        <v/>
      </c>
      <c r="BH539" s="66" t="str">
        <f t="shared" si="700"/>
        <v/>
      </c>
      <c r="BI539" s="66" t="str">
        <f t="shared" si="701"/>
        <v/>
      </c>
      <c r="BJ539" s="66" t="str">
        <f>+IF($W539="","",ROUND((BG539*Parámetros!$G$85),2))</f>
        <v/>
      </c>
      <c r="BK539" s="66" t="str">
        <f>+IF($W539="","",ROUND((BG539*(Parámetros!$G$86)),2))</f>
        <v/>
      </c>
      <c r="BL539" s="66" t="str">
        <f t="shared" si="702"/>
        <v/>
      </c>
      <c r="BM539" t="str">
        <f t="shared" si="743"/>
        <v/>
      </c>
      <c r="BN539" t="str">
        <f t="shared" si="744"/>
        <v/>
      </c>
      <c r="BO539" s="118" t="str">
        <f t="shared" si="745"/>
        <v/>
      </c>
      <c r="BP539" s="118" t="str">
        <f t="shared" si="746"/>
        <v/>
      </c>
      <c r="BQ539" s="119" t="str">
        <f>+IF(OR($W539="",BO539=0),"",ROUND((VLOOKUP(ROUNDDOWN($D539-1/frec,0),cob_adi,BB$40,FALSE)*(1+i/frec)^-0.5*(1+Parámetros!$D$103)*(1+rec_fracc)/frec),6))</f>
        <v/>
      </c>
      <c r="BR539" s="66" t="str">
        <f t="shared" si="703"/>
        <v/>
      </c>
      <c r="BS539" s="119" t="str">
        <f t="shared" si="704"/>
        <v/>
      </c>
      <c r="BT539" s="66" t="str">
        <f>+IF($W539="","",ROUND(IF($B539&gt;Parámetros!$D$107,'Tablas Servicio'!BR539+('Tablas Servicio'!BT538-'Tablas Servicio'!BR538),BR539/(1-IF(B539&lt;=10,Parámetros!$D$100,0))),2))</f>
        <v/>
      </c>
      <c r="BU539" s="66" t="str">
        <f t="shared" si="705"/>
        <v/>
      </c>
      <c r="BV539" s="66" t="str">
        <f t="shared" si="705"/>
        <v/>
      </c>
      <c r="BW539" s="66" t="str">
        <f>+IF($W539="","",ROUND((BT539*Parámetros!$G$85),2))</f>
        <v/>
      </c>
      <c r="BX539" s="66" t="str">
        <f>+IF($W539="","",ROUND((BT539*(Parámetros!$G$86)),2))</f>
        <v/>
      </c>
      <c r="BY539" s="66" t="str">
        <f t="shared" si="706"/>
        <v/>
      </c>
      <c r="BZ539" t="str">
        <f t="shared" si="747"/>
        <v/>
      </c>
      <c r="CA539" t="str">
        <f t="shared" si="748"/>
        <v/>
      </c>
      <c r="CB539" s="118" t="str">
        <f t="shared" si="749"/>
        <v/>
      </c>
      <c r="CC539" s="118" t="str">
        <f t="shared" si="750"/>
        <v/>
      </c>
      <c r="CD539" s="119" t="str">
        <f t="shared" si="707"/>
        <v/>
      </c>
      <c r="CE539" s="66" t="str">
        <f>+IF($W539="","",ROUND((VLOOKUP(ROUNDDOWN($D539-1/frec,0),cob_adi,BO$40,FALSE)*(1+i/frec)^-0.5*(1+Parámetros!$D$103)*(1+rec_fracc)/frec*'TABLAS ADI'!$BC$17),2))</f>
        <v/>
      </c>
      <c r="CF539" s="119" t="str">
        <f t="shared" si="708"/>
        <v/>
      </c>
      <c r="CG539" s="66" t="str">
        <f>+IF($W539="","",ROUND(IF($B539&gt;Parámetros!$D$107,'Tablas Servicio'!CE539+('Tablas Servicio'!CG538-'Tablas Servicio'!CE538),CE539/(1-IF(B539&lt;=10,Parámetros!$D$100,0))),2))</f>
        <v/>
      </c>
      <c r="CH539" s="66" t="str">
        <f t="shared" si="709"/>
        <v/>
      </c>
      <c r="CI539" s="66" t="str">
        <f t="shared" si="709"/>
        <v/>
      </c>
      <c r="CJ539" s="66" t="str">
        <f>+IF($W539="","",ROUND((CG539*Parámetros!$G$85),2))</f>
        <v/>
      </c>
      <c r="CK539" s="66" t="str">
        <f>+IF($W539="","",ROUND((CG539*(Parámetros!$G$86)),2))</f>
        <v/>
      </c>
      <c r="CL539" s="66" t="str">
        <f t="shared" si="710"/>
        <v/>
      </c>
      <c r="CM539" t="str">
        <f t="shared" si="751"/>
        <v/>
      </c>
      <c r="CN539" s="118" t="str">
        <f t="shared" si="752"/>
        <v/>
      </c>
      <c r="CO539" s="118" t="str">
        <f t="shared" si="753"/>
        <v/>
      </c>
      <c r="CP539" s="118" t="str">
        <f t="shared" si="754"/>
        <v/>
      </c>
      <c r="CQ539" s="119" t="str">
        <f t="shared" si="711"/>
        <v/>
      </c>
      <c r="CR539" s="66" t="str">
        <f>+IF($W539="","",ROUND((VLOOKUP(Parámetros!$F$51,'COBERTURAS ADICIONALES'!$S$4:$T$32,2,FALSE)*(1+i/frec)^-0.5*(1+Parámetros!$D$103)*(1+rec_fracc)/frec*$CO$42),2))</f>
        <v/>
      </c>
      <c r="CS539" s="119" t="str">
        <f t="shared" si="712"/>
        <v/>
      </c>
      <c r="CT539" s="66" t="str">
        <f>+IF($W539="","",ROUND(IF($B539&gt;Parámetros!$D$107,'Tablas Servicio'!CR539+('Tablas Servicio'!CT538-'Tablas Servicio'!CR538),CR539/(1-IF(B539&lt;=10,Parámetros!$D$100,0))),2))</f>
        <v/>
      </c>
      <c r="CU539" s="66" t="str">
        <f t="shared" si="713"/>
        <v/>
      </c>
      <c r="CV539" s="66" t="str">
        <f t="shared" si="713"/>
        <v/>
      </c>
      <c r="CW539" s="66" t="str">
        <f>+IF($W539="","",ROUND((CT539*Parámetros!$G$85),2))</f>
        <v/>
      </c>
      <c r="CX539" s="66" t="str">
        <f>+IF($W539="","",ROUND((CT539*(Parámetros!$G$86)),2))</f>
        <v/>
      </c>
      <c r="CY539" s="66" t="str">
        <f t="shared" si="714"/>
        <v/>
      </c>
      <c r="CZ539" t="str">
        <f t="shared" si="755"/>
        <v/>
      </c>
      <c r="DA539" s="118" t="str">
        <f t="shared" si="756"/>
        <v/>
      </c>
      <c r="DB539" s="118" t="str">
        <f t="shared" si="757"/>
        <v/>
      </c>
      <c r="DC539" s="118" t="str">
        <f t="shared" si="758"/>
        <v/>
      </c>
      <c r="DD539" s="121" t="str">
        <f>+IF(OR($W539="",DB539=0),"",ROUND((VLOOKUP(ROUNDDOWN($D539-1/frec,0),cob_adi,CO$40,FALSE)*(1+i/frec)^-0.5*(1+Parámetros!$D$103)*(1+rec_fracc)/frec),6))</f>
        <v/>
      </c>
      <c r="DE539" s="66" t="str">
        <f t="shared" si="715"/>
        <v/>
      </c>
      <c r="DF539" s="119" t="str">
        <f t="shared" si="716"/>
        <v/>
      </c>
      <c r="DG539" s="66" t="str">
        <f>+IF($W539="","",ROUND(IF($B539&gt;Parámetros!$D$107,'Tablas Servicio'!DE539+('Tablas Servicio'!DG538-'Tablas Servicio'!DE538),DE539/(1-IF(B539&lt;=10,Parámetros!$D$100,0))),2))</f>
        <v/>
      </c>
      <c r="DH539" s="66" t="str">
        <f t="shared" si="717"/>
        <v/>
      </c>
      <c r="DI539" s="66" t="str">
        <f t="shared" si="717"/>
        <v/>
      </c>
      <c r="DJ539" s="66" t="str">
        <f>+IF($W539="","",ROUND((DG539*Parámetros!$G$85),2))</f>
        <v/>
      </c>
      <c r="DK539" s="66" t="str">
        <f>+IF($W539="","",ROUND((DG539*(Parámetros!$G$86)),2))</f>
        <v/>
      </c>
      <c r="DL539" s="66" t="str">
        <f t="shared" si="718"/>
        <v/>
      </c>
      <c r="DM539" t="str">
        <f t="shared" si="759"/>
        <v/>
      </c>
      <c r="DN539" s="118" t="str">
        <f t="shared" si="760"/>
        <v/>
      </c>
      <c r="DO539" s="118" t="str">
        <f t="shared" si="761"/>
        <v/>
      </c>
      <c r="DP539" s="118" t="str">
        <f t="shared" si="762"/>
        <v/>
      </c>
      <c r="DQ539" s="122" t="str">
        <f>+IF(OR($W539="",DO539=0),"",ROUND((VLOOKUP(ROUNDDOWN($D539-1/frec,0),cob_adi,DB$40,FALSE)*(1+i/frec)^-0.5*(1+Parámetros!$D$103)*(1+rec_fracc)/frec),6))</f>
        <v/>
      </c>
      <c r="DR539" s="66" t="str">
        <f t="shared" si="719"/>
        <v/>
      </c>
      <c r="DS539" s="68" t="str">
        <f t="shared" si="720"/>
        <v/>
      </c>
      <c r="DT539" s="66" t="str">
        <f>+IF($W539="","",ROUND(IF($B539&gt;Parámetros!$D$107,'Tablas Servicio'!DR539+('Tablas Servicio'!DT538-'Tablas Servicio'!DR538),DR539/(1-IF(B539&lt;=10,Parámetros!$D$100,0))),2))</f>
        <v/>
      </c>
      <c r="DU539" s="66" t="str">
        <f t="shared" si="721"/>
        <v/>
      </c>
      <c r="DV539" s="66" t="str">
        <f t="shared" si="721"/>
        <v/>
      </c>
      <c r="DW539" s="66" t="str">
        <f>+IF($W539="","",ROUND((DT539*Parámetros!$G$85),2))</f>
        <v/>
      </c>
      <c r="DX539" s="66" t="str">
        <f>+IF($W539="","",ROUND((DT539*(Parámetros!$G$86)),2))</f>
        <v/>
      </c>
      <c r="DY539" s="66" t="str">
        <f t="shared" si="722"/>
        <v/>
      </c>
      <c r="DZ539" t="str">
        <f t="shared" ref="DZ539:EC554" si="765">+IF($W539="","",DZ538)</f>
        <v/>
      </c>
      <c r="EA539" s="118" t="str">
        <f t="shared" si="765"/>
        <v/>
      </c>
      <c r="EB539" s="118" t="str">
        <f>+IF($W539="","",ROUND(IF(Parámetros!$D$25='TABLAS MORT'!$V$33,EB538,Z539/2),0))</f>
        <v/>
      </c>
      <c r="EC539" s="118" t="str">
        <f t="shared" si="765"/>
        <v/>
      </c>
      <c r="ED539" s="122" t="str">
        <f>+IF(OR($W539="",EB539=0),"",ROUND((VLOOKUP(ROUNDDOWN($D539-1/frec,0),cob_adi,DO$40,FALSE)*(1+i/frec)^-0.5*(1+Parámetros!$D$103)*(1+rec_fracc)/frec),6))</f>
        <v/>
      </c>
      <c r="EE539" s="66" t="str">
        <f t="shared" si="724"/>
        <v/>
      </c>
      <c r="EF539" s="68" t="str">
        <f t="shared" si="725"/>
        <v/>
      </c>
      <c r="EG539" s="66" t="str">
        <f>+IF($W539="","",ROUND(IF($B539&gt;Parámetros!$D$107,'Tablas Servicio'!EE539+('Tablas Servicio'!EG538-'Tablas Servicio'!EE538),EE539/(1-IF(B539&lt;=10,Parámetros!$D$100,0))),2))</f>
        <v/>
      </c>
      <c r="EH539" s="66" t="str">
        <f t="shared" si="726"/>
        <v/>
      </c>
      <c r="EI539" s="66" t="str">
        <f t="shared" si="726"/>
        <v/>
      </c>
      <c r="EJ539" s="66" t="str">
        <f>+IF($W539="","",ROUND((EG539*Parámetros!$G$85),2))</f>
        <v/>
      </c>
      <c r="EK539" s="66" t="str">
        <f>+IF($W539="","",ROUND((EG539*(Parámetros!$G$86)),2))</f>
        <v/>
      </c>
      <c r="EL539" s="66" t="str">
        <f t="shared" si="727"/>
        <v/>
      </c>
    </row>
    <row r="540" spans="1:142" x14ac:dyDescent="0.25">
      <c r="A540" t="str">
        <f>+IF($C540="","",ROUND(VLOOKUP('Tablas Servicio'!B540,Parámetros!$H$100:$J$159,IF(Parámetros!$E$16="F",2,3),FALSE),2))</f>
        <v/>
      </c>
      <c r="B540" t="str">
        <f t="shared" si="678"/>
        <v/>
      </c>
      <c r="C540" s="57" t="str">
        <f>+IF(D540="","",'Tablas Servicio'!C539+1)</f>
        <v/>
      </c>
      <c r="D540" s="56" t="str">
        <f>+IF(D539&lt;edadmaxtabla,D539+1/Parámetros!$E$25,"")</f>
        <v/>
      </c>
      <c r="E540" s="57" t="str">
        <f t="shared" si="688"/>
        <v/>
      </c>
      <c r="F540" s="59" t="str">
        <f t="shared" si="689"/>
        <v/>
      </c>
      <c r="G540" s="66" t="str">
        <f t="shared" si="679"/>
        <v/>
      </c>
      <c r="H540" s="66" t="str">
        <f t="shared" si="680"/>
        <v/>
      </c>
      <c r="I540" s="66" t="str">
        <f t="shared" si="728"/>
        <v/>
      </c>
      <c r="J540" s="66" t="str">
        <f t="shared" si="681"/>
        <v/>
      </c>
      <c r="K540" s="66" t="str">
        <f t="shared" si="682"/>
        <v/>
      </c>
      <c r="L540" s="66" t="str">
        <f t="shared" si="683"/>
        <v/>
      </c>
      <c r="M540" s="66" t="str">
        <f t="shared" si="684"/>
        <v/>
      </c>
      <c r="N540" s="66" t="str">
        <f>+IF(C540="","",ROUND(Parámetros!$D$23,2))</f>
        <v/>
      </c>
      <c r="O540" s="66" t="str">
        <f t="shared" si="685"/>
        <v/>
      </c>
      <c r="P540" s="66" t="str">
        <f>+IF($C540="","",ROUND(IF(B540&gt;Parámetros!$D$117,0,N540*Parámetros!$D$116-G540*Parámetros!$D$100),2))</f>
        <v/>
      </c>
      <c r="Q540" s="75" t="str">
        <f t="shared" si="729"/>
        <v/>
      </c>
      <c r="R540" s="75" t="str">
        <f t="shared" si="730"/>
        <v/>
      </c>
      <c r="S540" s="117" t="str">
        <f>+IF($C540="","",ROUND((S539+I540)*(1+Parámetros!$D$91),2))</f>
        <v/>
      </c>
      <c r="T540" s="117" t="str">
        <f>+IF($C540="","",ROUND(S540*VLOOKUP(B540,Parámetros!$C$30:$D$39,2,TRUE),2))</f>
        <v/>
      </c>
      <c r="U540" s="117" t="str">
        <f>+IF($C540="","",ROUND((U539+I540)*(1+Parámetros!$D$92),2))</f>
        <v/>
      </c>
      <c r="V540" s="117" t="str">
        <f>+IF($C540="","",ROUND(U540*VLOOKUP(B540,Parámetros!$C$30:$D$39,2,TRUE),2))</f>
        <v/>
      </c>
      <c r="W540" s="57" t="str">
        <f t="shared" si="731"/>
        <v/>
      </c>
      <c r="X540" t="str">
        <f t="shared" si="732"/>
        <v/>
      </c>
      <c r="Y540" t="str">
        <f t="shared" si="733"/>
        <v/>
      </c>
      <c r="Z540" s="118" t="str">
        <f>+IF($W540="","",ROUND(IF(Parámetros!$D$25='TABLAS MORT'!$V$33,Z539,Parámetros!$D$21-'Tablas Servicio'!T539),0))</f>
        <v/>
      </c>
      <c r="AA540" s="118" t="str">
        <f t="shared" si="734"/>
        <v/>
      </c>
      <c r="AB540" s="119" t="str">
        <f>+IF(W540="","",ROUND((VLOOKUP(ROUNDDOWN($D540-1/frec,0),qx_tabla,2,FALSE)*(1+i/frec)^-0.5*(1+Parámetros!$D$103)*(1+rec_fracc)/frec),6))</f>
        <v/>
      </c>
      <c r="AC540" s="66" t="str">
        <f t="shared" si="690"/>
        <v/>
      </c>
      <c r="AD540" s="119" t="str">
        <f t="shared" si="686"/>
        <v/>
      </c>
      <c r="AE540" s="66" t="str">
        <f>+IF($W540="","",ROUND(IF($B540&gt;Parámetros!$D$107,'Tablas Servicio'!AC540+('Tablas Servicio'!AG539-'Tablas Servicio'!AC539),AC540/(1-IF(B540&lt;=10,Parámetros!$D$104,Parámetros!$D$105))),2))</f>
        <v/>
      </c>
      <c r="AF540" s="66" t="str">
        <f>+IF($W540="","",ROUND(IF($B540&gt;Parámetros!$D$107,'Tablas Servicio'!AC540+('Tablas Servicio'!AG539-'Tablas Servicio'!AC539),(AC540+$A539/frec)/(1-IF(B540&lt;=Parámetros!$D$117,Parámetros!$D$100,0))),2))</f>
        <v/>
      </c>
      <c r="AG540" s="66" t="str">
        <f t="shared" si="691"/>
        <v/>
      </c>
      <c r="AH540" s="66" t="str">
        <f t="shared" si="692"/>
        <v/>
      </c>
      <c r="AI540" s="66" t="str">
        <f t="shared" si="693"/>
        <v/>
      </c>
      <c r="AJ540" s="66" t="str">
        <f>+IF($W540="","",ROUND((AG540*Parámetros!$G$85),2))</f>
        <v/>
      </c>
      <c r="AK540" s="66" t="str">
        <f>+IF($W540="","",ROUND((AG540*(Parámetros!$G$86)),2))</f>
        <v/>
      </c>
      <c r="AL540" s="66" t="str">
        <f t="shared" si="687"/>
        <v/>
      </c>
      <c r="AM540" t="str">
        <f t="shared" si="735"/>
        <v/>
      </c>
      <c r="AN540" t="str">
        <f t="shared" si="736"/>
        <v/>
      </c>
      <c r="AO540" s="118" t="str">
        <f t="shared" si="737"/>
        <v/>
      </c>
      <c r="AP540" s="118" t="str">
        <f t="shared" si="738"/>
        <v/>
      </c>
      <c r="AQ540" s="119" t="str">
        <f>+IF(OR($W540="",AO540=0),"",ROUND((VLOOKUP(ROUNDDOWN($D540-1/frec,0),cob_adi,Z$40,FALSE)*(1+i/frec)^-0.5*(1+Parámetros!$D$103)*(1+rec_fracc)/frec),6))</f>
        <v/>
      </c>
      <c r="AR540" s="66" t="str">
        <f t="shared" si="694"/>
        <v/>
      </c>
      <c r="AS540" s="119" t="str">
        <f t="shared" si="695"/>
        <v/>
      </c>
      <c r="AT540" s="66" t="str">
        <f>+IF($W540="","",ROUND(IF($B540&gt;Parámetros!$D$107,'Tablas Servicio'!AR540+('Tablas Servicio'!AT539-'Tablas Servicio'!AR539),AR540/(1-IF(B540&lt;=10,Parámetros!$D$100,0))),2))</f>
        <v/>
      </c>
      <c r="AU540" s="66" t="str">
        <f t="shared" si="696"/>
        <v/>
      </c>
      <c r="AV540" s="66" t="str">
        <f t="shared" si="696"/>
        <v/>
      </c>
      <c r="AW540" s="66" t="str">
        <f>+IF($W540="","",ROUND((AT540*Parámetros!$G$85),2))</f>
        <v/>
      </c>
      <c r="AX540" s="66" t="str">
        <f>+IF($W540="","",ROUND((AT540*(Parámetros!$G$86)),2))</f>
        <v/>
      </c>
      <c r="AY540" s="66" t="str">
        <f t="shared" si="697"/>
        <v/>
      </c>
      <c r="AZ540" t="str">
        <f t="shared" si="739"/>
        <v/>
      </c>
      <c r="BA540" t="str">
        <f t="shared" si="740"/>
        <v/>
      </c>
      <c r="BB540" s="118" t="str">
        <f t="shared" si="741"/>
        <v/>
      </c>
      <c r="BC540" s="118" t="str">
        <f t="shared" si="742"/>
        <v/>
      </c>
      <c r="BD540" s="119" t="str">
        <f>+IF(OR($W540="",BB540=0),"",ROUND((VLOOKUP(ROUNDDOWN($D540-1/frec,0),cob_adi,AO$40,FALSE)*(1+i/frec)^-0.5*(1+Parámetros!$D$103)*(1+rec_fracc)/frec),6))</f>
        <v/>
      </c>
      <c r="BE540" s="66" t="str">
        <f t="shared" si="698"/>
        <v/>
      </c>
      <c r="BF540" s="119" t="str">
        <f t="shared" si="699"/>
        <v/>
      </c>
      <c r="BG540" s="66" t="str">
        <f>+IF($W540="","",ROUND(IF($B540&gt;Parámetros!$D$107,'Tablas Servicio'!BE540+('Tablas Servicio'!BG539-'Tablas Servicio'!BE539),BE540/(1-IF(B540&lt;=10,Parámetros!$D$100,0))),2))</f>
        <v/>
      </c>
      <c r="BH540" s="66" t="str">
        <f t="shared" si="700"/>
        <v/>
      </c>
      <c r="BI540" s="66" t="str">
        <f t="shared" si="701"/>
        <v/>
      </c>
      <c r="BJ540" s="66" t="str">
        <f>+IF($W540="","",ROUND((BG540*Parámetros!$G$85),2))</f>
        <v/>
      </c>
      <c r="BK540" s="66" t="str">
        <f>+IF($W540="","",ROUND((BG540*(Parámetros!$G$86)),2))</f>
        <v/>
      </c>
      <c r="BL540" s="66" t="str">
        <f t="shared" si="702"/>
        <v/>
      </c>
      <c r="BM540" t="str">
        <f t="shared" si="743"/>
        <v/>
      </c>
      <c r="BN540" t="str">
        <f t="shared" si="744"/>
        <v/>
      </c>
      <c r="BO540" s="118" t="str">
        <f t="shared" si="745"/>
        <v/>
      </c>
      <c r="BP540" s="118" t="str">
        <f t="shared" si="746"/>
        <v/>
      </c>
      <c r="BQ540" s="119" t="str">
        <f>+IF(OR($W540="",BO540=0),"",ROUND((VLOOKUP(ROUNDDOWN($D540-1/frec,0),cob_adi,BB$40,FALSE)*(1+i/frec)^-0.5*(1+Parámetros!$D$103)*(1+rec_fracc)/frec),6))</f>
        <v/>
      </c>
      <c r="BR540" s="66" t="str">
        <f t="shared" si="703"/>
        <v/>
      </c>
      <c r="BS540" s="119" t="str">
        <f t="shared" si="704"/>
        <v/>
      </c>
      <c r="BT540" s="66" t="str">
        <f>+IF($W540="","",ROUND(IF($B540&gt;Parámetros!$D$107,'Tablas Servicio'!BR540+('Tablas Servicio'!BT539-'Tablas Servicio'!BR539),BR540/(1-IF(B540&lt;=10,Parámetros!$D$100,0))),2))</f>
        <v/>
      </c>
      <c r="BU540" s="66" t="str">
        <f t="shared" si="705"/>
        <v/>
      </c>
      <c r="BV540" s="66" t="str">
        <f t="shared" si="705"/>
        <v/>
      </c>
      <c r="BW540" s="66" t="str">
        <f>+IF($W540="","",ROUND((BT540*Parámetros!$G$85),2))</f>
        <v/>
      </c>
      <c r="BX540" s="66" t="str">
        <f>+IF($W540="","",ROUND((BT540*(Parámetros!$G$86)),2))</f>
        <v/>
      </c>
      <c r="BY540" s="66" t="str">
        <f t="shared" si="706"/>
        <v/>
      </c>
      <c r="BZ540" t="str">
        <f t="shared" si="747"/>
        <v/>
      </c>
      <c r="CA540" t="str">
        <f t="shared" si="748"/>
        <v/>
      </c>
      <c r="CB540" s="118" t="str">
        <f t="shared" si="749"/>
        <v/>
      </c>
      <c r="CC540" s="118" t="str">
        <f t="shared" si="750"/>
        <v/>
      </c>
      <c r="CD540" s="119" t="str">
        <f t="shared" si="707"/>
        <v/>
      </c>
      <c r="CE540" s="66" t="str">
        <f>+IF($W540="","",ROUND((VLOOKUP(ROUNDDOWN($D540-1/frec,0),cob_adi,BO$40,FALSE)*(1+i/frec)^-0.5*(1+Parámetros!$D$103)*(1+rec_fracc)/frec*'TABLAS ADI'!$BC$17),2))</f>
        <v/>
      </c>
      <c r="CF540" s="119" t="str">
        <f t="shared" si="708"/>
        <v/>
      </c>
      <c r="CG540" s="66" t="str">
        <f>+IF($W540="","",ROUND(IF($B540&gt;Parámetros!$D$107,'Tablas Servicio'!CE540+('Tablas Servicio'!CG539-'Tablas Servicio'!CE539),CE540/(1-IF(B540&lt;=10,Parámetros!$D$100,0))),2))</f>
        <v/>
      </c>
      <c r="CH540" s="66" t="str">
        <f t="shared" si="709"/>
        <v/>
      </c>
      <c r="CI540" s="66" t="str">
        <f t="shared" si="709"/>
        <v/>
      </c>
      <c r="CJ540" s="66" t="str">
        <f>+IF($W540="","",ROUND((CG540*Parámetros!$G$85),2))</f>
        <v/>
      </c>
      <c r="CK540" s="66" t="str">
        <f>+IF($W540="","",ROUND((CG540*(Parámetros!$G$86)),2))</f>
        <v/>
      </c>
      <c r="CL540" s="66" t="str">
        <f t="shared" si="710"/>
        <v/>
      </c>
      <c r="CM540" t="str">
        <f t="shared" si="751"/>
        <v/>
      </c>
      <c r="CN540" s="118" t="str">
        <f t="shared" si="752"/>
        <v/>
      </c>
      <c r="CO540" s="118" t="str">
        <f t="shared" si="753"/>
        <v/>
      </c>
      <c r="CP540" s="118" t="str">
        <f t="shared" si="754"/>
        <v/>
      </c>
      <c r="CQ540" s="119" t="str">
        <f t="shared" si="711"/>
        <v/>
      </c>
      <c r="CR540" s="66" t="str">
        <f>+IF($W540="","",ROUND((VLOOKUP(Parámetros!$F$51,'COBERTURAS ADICIONALES'!$S$4:$T$32,2,FALSE)*(1+i/frec)^-0.5*(1+Parámetros!$D$103)*(1+rec_fracc)/frec*$CO$42),2))</f>
        <v/>
      </c>
      <c r="CS540" s="119" t="str">
        <f t="shared" si="712"/>
        <v/>
      </c>
      <c r="CT540" s="66" t="str">
        <f>+IF($W540="","",ROUND(IF($B540&gt;Parámetros!$D$107,'Tablas Servicio'!CR540+('Tablas Servicio'!CT539-'Tablas Servicio'!CR539),CR540/(1-IF(B540&lt;=10,Parámetros!$D$100,0))),2))</f>
        <v/>
      </c>
      <c r="CU540" s="66" t="str">
        <f t="shared" si="713"/>
        <v/>
      </c>
      <c r="CV540" s="66" t="str">
        <f t="shared" si="713"/>
        <v/>
      </c>
      <c r="CW540" s="66" t="str">
        <f>+IF($W540="","",ROUND((CT540*Parámetros!$G$85),2))</f>
        <v/>
      </c>
      <c r="CX540" s="66" t="str">
        <f>+IF($W540="","",ROUND((CT540*(Parámetros!$G$86)),2))</f>
        <v/>
      </c>
      <c r="CY540" s="66" t="str">
        <f t="shared" si="714"/>
        <v/>
      </c>
      <c r="CZ540" t="str">
        <f t="shared" si="755"/>
        <v/>
      </c>
      <c r="DA540" s="118" t="str">
        <f t="shared" si="756"/>
        <v/>
      </c>
      <c r="DB540" s="118" t="str">
        <f t="shared" si="757"/>
        <v/>
      </c>
      <c r="DC540" s="118" t="str">
        <f t="shared" si="758"/>
        <v/>
      </c>
      <c r="DD540" s="121" t="str">
        <f>+IF(OR($W540="",DB540=0),"",ROUND((VLOOKUP(ROUNDDOWN($D540-1/frec,0),cob_adi,CO$40,FALSE)*(1+i/frec)^-0.5*(1+Parámetros!$D$103)*(1+rec_fracc)/frec),6))</f>
        <v/>
      </c>
      <c r="DE540" s="66" t="str">
        <f t="shared" si="715"/>
        <v/>
      </c>
      <c r="DF540" s="119" t="str">
        <f t="shared" si="716"/>
        <v/>
      </c>
      <c r="DG540" s="66" t="str">
        <f>+IF($W540="","",ROUND(IF($B540&gt;Parámetros!$D$107,'Tablas Servicio'!DE540+('Tablas Servicio'!DG539-'Tablas Servicio'!DE539),DE540/(1-IF(B540&lt;=10,Parámetros!$D$100,0))),2))</f>
        <v/>
      </c>
      <c r="DH540" s="66" t="str">
        <f t="shared" si="717"/>
        <v/>
      </c>
      <c r="DI540" s="66" t="str">
        <f t="shared" si="717"/>
        <v/>
      </c>
      <c r="DJ540" s="66" t="str">
        <f>+IF($W540="","",ROUND((DG540*Parámetros!$G$85),2))</f>
        <v/>
      </c>
      <c r="DK540" s="66" t="str">
        <f>+IF($W540="","",ROUND((DG540*(Parámetros!$G$86)),2))</f>
        <v/>
      </c>
      <c r="DL540" s="66" t="str">
        <f t="shared" si="718"/>
        <v/>
      </c>
      <c r="DM540" t="str">
        <f t="shared" si="759"/>
        <v/>
      </c>
      <c r="DN540" s="118" t="str">
        <f t="shared" si="760"/>
        <v/>
      </c>
      <c r="DO540" s="118" t="str">
        <f t="shared" si="761"/>
        <v/>
      </c>
      <c r="DP540" s="118" t="str">
        <f t="shared" si="762"/>
        <v/>
      </c>
      <c r="DQ540" s="122" t="str">
        <f>+IF(OR($W540="",DO540=0),"",ROUND((VLOOKUP(ROUNDDOWN($D540-1/frec,0),cob_adi,DB$40,FALSE)*(1+i/frec)^-0.5*(1+Parámetros!$D$103)*(1+rec_fracc)/frec),6))</f>
        <v/>
      </c>
      <c r="DR540" s="66" t="str">
        <f t="shared" si="719"/>
        <v/>
      </c>
      <c r="DS540" s="68" t="str">
        <f t="shared" si="720"/>
        <v/>
      </c>
      <c r="DT540" s="66" t="str">
        <f>+IF($W540="","",ROUND(IF($B540&gt;Parámetros!$D$107,'Tablas Servicio'!DR540+('Tablas Servicio'!DT539-'Tablas Servicio'!DR539),DR540/(1-IF(B540&lt;=10,Parámetros!$D$100,0))),2))</f>
        <v/>
      </c>
      <c r="DU540" s="66" t="str">
        <f t="shared" si="721"/>
        <v/>
      </c>
      <c r="DV540" s="66" t="str">
        <f t="shared" si="721"/>
        <v/>
      </c>
      <c r="DW540" s="66" t="str">
        <f>+IF($W540="","",ROUND((DT540*Parámetros!$G$85),2))</f>
        <v/>
      </c>
      <c r="DX540" s="66" t="str">
        <f>+IF($W540="","",ROUND((DT540*(Parámetros!$G$86)),2))</f>
        <v/>
      </c>
      <c r="DY540" s="66" t="str">
        <f t="shared" si="722"/>
        <v/>
      </c>
      <c r="DZ540" t="str">
        <f t="shared" si="765"/>
        <v/>
      </c>
      <c r="EA540" s="118" t="str">
        <f t="shared" si="765"/>
        <v/>
      </c>
      <c r="EB540" s="118" t="str">
        <f>+IF($W540="","",ROUND(IF(Parámetros!$D$25='TABLAS MORT'!$V$33,EB539,Z540/2),0))</f>
        <v/>
      </c>
      <c r="EC540" s="118" t="str">
        <f t="shared" si="765"/>
        <v/>
      </c>
      <c r="ED540" s="122" t="str">
        <f>+IF(OR($W540="",EB540=0),"",ROUND((VLOOKUP(ROUNDDOWN($D540-1/frec,0),cob_adi,DO$40,FALSE)*(1+i/frec)^-0.5*(1+Parámetros!$D$103)*(1+rec_fracc)/frec),6))</f>
        <v/>
      </c>
      <c r="EE540" s="66" t="str">
        <f t="shared" si="724"/>
        <v/>
      </c>
      <c r="EF540" s="68" t="str">
        <f t="shared" si="725"/>
        <v/>
      </c>
      <c r="EG540" s="66" t="str">
        <f>+IF($W540="","",ROUND(IF($B540&gt;Parámetros!$D$107,'Tablas Servicio'!EE540+('Tablas Servicio'!EG539-'Tablas Servicio'!EE539),EE540/(1-IF(B540&lt;=10,Parámetros!$D$100,0))),2))</f>
        <v/>
      </c>
      <c r="EH540" s="66" t="str">
        <f t="shared" si="726"/>
        <v/>
      </c>
      <c r="EI540" s="66" t="str">
        <f t="shared" si="726"/>
        <v/>
      </c>
      <c r="EJ540" s="66" t="str">
        <f>+IF($W540="","",ROUND((EG540*Parámetros!$G$85),2))</f>
        <v/>
      </c>
      <c r="EK540" s="66" t="str">
        <f>+IF($W540="","",ROUND((EG540*(Parámetros!$G$86)),2))</f>
        <v/>
      </c>
      <c r="EL540" s="66" t="str">
        <f t="shared" si="727"/>
        <v/>
      </c>
    </row>
    <row r="541" spans="1:142" x14ac:dyDescent="0.25">
      <c r="A541" t="str">
        <f>+IF($C541="","",ROUND(VLOOKUP('Tablas Servicio'!B541,Parámetros!$H$100:$J$159,IF(Parámetros!$E$16="F",2,3),FALSE),2))</f>
        <v/>
      </c>
      <c r="B541" t="str">
        <f t="shared" si="678"/>
        <v/>
      </c>
      <c r="C541" s="57" t="str">
        <f>+IF(D541="","",'Tablas Servicio'!C540+1)</f>
        <v/>
      </c>
      <c r="D541" s="56" t="str">
        <f>+IF(D540&lt;edadmaxtabla,D540+1/Parámetros!$E$25,"")</f>
        <v/>
      </c>
      <c r="E541" s="57" t="str">
        <f t="shared" si="688"/>
        <v/>
      </c>
      <c r="F541" s="59" t="str">
        <f t="shared" si="689"/>
        <v/>
      </c>
      <c r="G541" s="66" t="str">
        <f t="shared" si="679"/>
        <v/>
      </c>
      <c r="H541" s="66" t="str">
        <f t="shared" si="680"/>
        <v/>
      </c>
      <c r="I541" s="66" t="str">
        <f t="shared" si="728"/>
        <v/>
      </c>
      <c r="J541" s="66" t="str">
        <f t="shared" si="681"/>
        <v/>
      </c>
      <c r="K541" s="66" t="str">
        <f t="shared" si="682"/>
        <v/>
      </c>
      <c r="L541" s="66" t="str">
        <f t="shared" si="683"/>
        <v/>
      </c>
      <c r="M541" s="66" t="str">
        <f t="shared" si="684"/>
        <v/>
      </c>
      <c r="N541" s="66" t="str">
        <f>+IF(C541="","",ROUND(Parámetros!$D$23,2))</f>
        <v/>
      </c>
      <c r="O541" s="66" t="str">
        <f t="shared" si="685"/>
        <v/>
      </c>
      <c r="P541" s="66" t="str">
        <f>+IF($C541="","",ROUND(IF(B541&gt;Parámetros!$D$117,0,N541*Parámetros!$D$116-G541*Parámetros!$D$100),2))</f>
        <v/>
      </c>
      <c r="Q541" s="75" t="str">
        <f t="shared" si="729"/>
        <v/>
      </c>
      <c r="R541" s="75" t="str">
        <f t="shared" si="730"/>
        <v/>
      </c>
      <c r="S541" s="117" t="str">
        <f>+IF($C541="","",ROUND((S540+I541)*(1+Parámetros!$D$91),2))</f>
        <v/>
      </c>
      <c r="T541" s="117" t="str">
        <f>+IF($C541="","",ROUND(S541*VLOOKUP(B541,Parámetros!$C$30:$D$39,2,TRUE),2))</f>
        <v/>
      </c>
      <c r="U541" s="117" t="str">
        <f>+IF($C541="","",ROUND((U540+I541)*(1+Parámetros!$D$92),2))</f>
        <v/>
      </c>
      <c r="V541" s="117" t="str">
        <f>+IF($C541="","",ROUND(U541*VLOOKUP(B541,Parámetros!$C$30:$D$39,2,TRUE),2))</f>
        <v/>
      </c>
      <c r="W541" s="57" t="str">
        <f t="shared" si="731"/>
        <v/>
      </c>
      <c r="X541" t="str">
        <f t="shared" si="732"/>
        <v/>
      </c>
      <c r="Y541" t="str">
        <f t="shared" si="733"/>
        <v/>
      </c>
      <c r="Z541" s="118" t="str">
        <f>+IF($W541="","",ROUND(IF(Parámetros!$D$25='TABLAS MORT'!$V$33,Z540,Parámetros!$D$21-'Tablas Servicio'!T540),0))</f>
        <v/>
      </c>
      <c r="AA541" s="118" t="str">
        <f t="shared" si="734"/>
        <v/>
      </c>
      <c r="AB541" s="119" t="str">
        <f>+IF(W541="","",ROUND((VLOOKUP(ROUNDDOWN($D541-1/frec,0),qx_tabla,2,FALSE)*(1+i/frec)^-0.5*(1+Parámetros!$D$103)*(1+rec_fracc)/frec),6))</f>
        <v/>
      </c>
      <c r="AC541" s="66" t="str">
        <f t="shared" si="690"/>
        <v/>
      </c>
      <c r="AD541" s="119" t="str">
        <f t="shared" si="686"/>
        <v/>
      </c>
      <c r="AE541" s="66" t="str">
        <f>+IF($W541="","",ROUND(IF($B541&gt;Parámetros!$D$107,'Tablas Servicio'!AC541+('Tablas Servicio'!AG540-'Tablas Servicio'!AC540),AC541/(1-IF(B541&lt;=10,Parámetros!$D$104,Parámetros!$D$105))),2))</f>
        <v/>
      </c>
      <c r="AF541" s="66" t="str">
        <f>+IF($W541="","",ROUND(IF($B541&gt;Parámetros!$D$107,'Tablas Servicio'!AC541+('Tablas Servicio'!AG540-'Tablas Servicio'!AC540),(AC541+$A540/frec)/(1-IF(B541&lt;=Parámetros!$D$117,Parámetros!$D$100,0))),2))</f>
        <v/>
      </c>
      <c r="AG541" s="66" t="str">
        <f t="shared" si="691"/>
        <v/>
      </c>
      <c r="AH541" s="66" t="str">
        <f t="shared" si="692"/>
        <v/>
      </c>
      <c r="AI541" s="66" t="str">
        <f t="shared" si="693"/>
        <v/>
      </c>
      <c r="AJ541" s="66" t="str">
        <f>+IF($W541="","",ROUND((AG541*Parámetros!$G$85),2))</f>
        <v/>
      </c>
      <c r="AK541" s="66" t="str">
        <f>+IF($W541="","",ROUND((AG541*(Parámetros!$G$86)),2))</f>
        <v/>
      </c>
      <c r="AL541" s="66" t="str">
        <f t="shared" si="687"/>
        <v/>
      </c>
      <c r="AM541" t="str">
        <f t="shared" si="735"/>
        <v/>
      </c>
      <c r="AN541" t="str">
        <f t="shared" si="736"/>
        <v/>
      </c>
      <c r="AO541" s="118" t="str">
        <f t="shared" si="737"/>
        <v/>
      </c>
      <c r="AP541" s="118" t="str">
        <f t="shared" si="738"/>
        <v/>
      </c>
      <c r="AQ541" s="119" t="str">
        <f>+IF(OR($W541="",AO541=0),"",ROUND((VLOOKUP(ROUNDDOWN($D541-1/frec,0),cob_adi,Z$40,FALSE)*(1+i/frec)^-0.5*(1+Parámetros!$D$103)*(1+rec_fracc)/frec),6))</f>
        <v/>
      </c>
      <c r="AR541" s="66" t="str">
        <f t="shared" si="694"/>
        <v/>
      </c>
      <c r="AS541" s="119" t="str">
        <f t="shared" si="695"/>
        <v/>
      </c>
      <c r="AT541" s="66" t="str">
        <f>+IF($W541="","",ROUND(IF($B541&gt;Parámetros!$D$107,'Tablas Servicio'!AR541+('Tablas Servicio'!AT540-'Tablas Servicio'!AR540),AR541/(1-IF(B541&lt;=10,Parámetros!$D$100,0))),2))</f>
        <v/>
      </c>
      <c r="AU541" s="66" t="str">
        <f t="shared" si="696"/>
        <v/>
      </c>
      <c r="AV541" s="66" t="str">
        <f t="shared" si="696"/>
        <v/>
      </c>
      <c r="AW541" s="66" t="str">
        <f>+IF($W541="","",ROUND((AT541*Parámetros!$G$85),2))</f>
        <v/>
      </c>
      <c r="AX541" s="66" t="str">
        <f>+IF($W541="","",ROUND((AT541*(Parámetros!$G$86)),2))</f>
        <v/>
      </c>
      <c r="AY541" s="66" t="str">
        <f t="shared" si="697"/>
        <v/>
      </c>
      <c r="AZ541" t="str">
        <f t="shared" si="739"/>
        <v/>
      </c>
      <c r="BA541" t="str">
        <f t="shared" si="740"/>
        <v/>
      </c>
      <c r="BB541" s="118" t="str">
        <f t="shared" si="741"/>
        <v/>
      </c>
      <c r="BC541" s="118" t="str">
        <f t="shared" si="742"/>
        <v/>
      </c>
      <c r="BD541" s="119" t="str">
        <f>+IF(OR($W541="",BB541=0),"",ROUND((VLOOKUP(ROUNDDOWN($D541-1/frec,0),cob_adi,AO$40,FALSE)*(1+i/frec)^-0.5*(1+Parámetros!$D$103)*(1+rec_fracc)/frec),6))</f>
        <v/>
      </c>
      <c r="BE541" s="66" t="str">
        <f t="shared" si="698"/>
        <v/>
      </c>
      <c r="BF541" s="119" t="str">
        <f t="shared" si="699"/>
        <v/>
      </c>
      <c r="BG541" s="66" t="str">
        <f>+IF($W541="","",ROUND(IF($B541&gt;Parámetros!$D$107,'Tablas Servicio'!BE541+('Tablas Servicio'!BG540-'Tablas Servicio'!BE540),BE541/(1-IF(B541&lt;=10,Parámetros!$D$100,0))),2))</f>
        <v/>
      </c>
      <c r="BH541" s="66" t="str">
        <f t="shared" si="700"/>
        <v/>
      </c>
      <c r="BI541" s="66" t="str">
        <f t="shared" si="701"/>
        <v/>
      </c>
      <c r="BJ541" s="66" t="str">
        <f>+IF($W541="","",ROUND((BG541*Parámetros!$G$85),2))</f>
        <v/>
      </c>
      <c r="BK541" s="66" t="str">
        <f>+IF($W541="","",ROUND((BG541*(Parámetros!$G$86)),2))</f>
        <v/>
      </c>
      <c r="BL541" s="66" t="str">
        <f t="shared" si="702"/>
        <v/>
      </c>
      <c r="BM541" t="str">
        <f t="shared" si="743"/>
        <v/>
      </c>
      <c r="BN541" t="str">
        <f t="shared" si="744"/>
        <v/>
      </c>
      <c r="BO541" s="118" t="str">
        <f t="shared" si="745"/>
        <v/>
      </c>
      <c r="BP541" s="118" t="str">
        <f t="shared" si="746"/>
        <v/>
      </c>
      <c r="BQ541" s="119" t="str">
        <f>+IF(OR($W541="",BO541=0),"",ROUND((VLOOKUP(ROUNDDOWN($D541-1/frec,0),cob_adi,BB$40,FALSE)*(1+i/frec)^-0.5*(1+Parámetros!$D$103)*(1+rec_fracc)/frec),6))</f>
        <v/>
      </c>
      <c r="BR541" s="66" t="str">
        <f t="shared" si="703"/>
        <v/>
      </c>
      <c r="BS541" s="119" t="str">
        <f t="shared" si="704"/>
        <v/>
      </c>
      <c r="BT541" s="66" t="str">
        <f>+IF($W541="","",ROUND(IF($B541&gt;Parámetros!$D$107,'Tablas Servicio'!BR541+('Tablas Servicio'!BT540-'Tablas Servicio'!BR540),BR541/(1-IF(B541&lt;=10,Parámetros!$D$100,0))),2))</f>
        <v/>
      </c>
      <c r="BU541" s="66" t="str">
        <f t="shared" si="705"/>
        <v/>
      </c>
      <c r="BV541" s="66" t="str">
        <f t="shared" si="705"/>
        <v/>
      </c>
      <c r="BW541" s="66" t="str">
        <f>+IF($W541="","",ROUND((BT541*Parámetros!$G$85),2))</f>
        <v/>
      </c>
      <c r="BX541" s="66" t="str">
        <f>+IF($W541="","",ROUND((BT541*(Parámetros!$G$86)),2))</f>
        <v/>
      </c>
      <c r="BY541" s="66" t="str">
        <f t="shared" si="706"/>
        <v/>
      </c>
      <c r="BZ541" t="str">
        <f t="shared" si="747"/>
        <v/>
      </c>
      <c r="CA541" t="str">
        <f t="shared" si="748"/>
        <v/>
      </c>
      <c r="CB541" s="118" t="str">
        <f t="shared" si="749"/>
        <v/>
      </c>
      <c r="CC541" s="118" t="str">
        <f t="shared" si="750"/>
        <v/>
      </c>
      <c r="CD541" s="119" t="str">
        <f t="shared" si="707"/>
        <v/>
      </c>
      <c r="CE541" s="66" t="str">
        <f>+IF($W541="","",ROUND((VLOOKUP(ROUNDDOWN($D541-1/frec,0),cob_adi,BO$40,FALSE)*(1+i/frec)^-0.5*(1+Parámetros!$D$103)*(1+rec_fracc)/frec*'TABLAS ADI'!$BC$17),2))</f>
        <v/>
      </c>
      <c r="CF541" s="119" t="str">
        <f t="shared" si="708"/>
        <v/>
      </c>
      <c r="CG541" s="66" t="str">
        <f>+IF($W541="","",ROUND(IF($B541&gt;Parámetros!$D$107,'Tablas Servicio'!CE541+('Tablas Servicio'!CG540-'Tablas Servicio'!CE540),CE541/(1-IF(B541&lt;=10,Parámetros!$D$100,0))),2))</f>
        <v/>
      </c>
      <c r="CH541" s="66" t="str">
        <f t="shared" si="709"/>
        <v/>
      </c>
      <c r="CI541" s="66" t="str">
        <f t="shared" si="709"/>
        <v/>
      </c>
      <c r="CJ541" s="66" t="str">
        <f>+IF($W541="","",ROUND((CG541*Parámetros!$G$85),2))</f>
        <v/>
      </c>
      <c r="CK541" s="66" t="str">
        <f>+IF($W541="","",ROUND((CG541*(Parámetros!$G$86)),2))</f>
        <v/>
      </c>
      <c r="CL541" s="66" t="str">
        <f t="shared" si="710"/>
        <v/>
      </c>
      <c r="CM541" t="str">
        <f t="shared" si="751"/>
        <v/>
      </c>
      <c r="CN541" s="118" t="str">
        <f t="shared" si="752"/>
        <v/>
      </c>
      <c r="CO541" s="118" t="str">
        <f t="shared" si="753"/>
        <v/>
      </c>
      <c r="CP541" s="118" t="str">
        <f t="shared" si="754"/>
        <v/>
      </c>
      <c r="CQ541" s="119" t="str">
        <f t="shared" si="711"/>
        <v/>
      </c>
      <c r="CR541" s="66" t="str">
        <f>+IF($W541="","",ROUND((VLOOKUP(Parámetros!$F$51,'COBERTURAS ADICIONALES'!$S$4:$T$32,2,FALSE)*(1+i/frec)^-0.5*(1+Parámetros!$D$103)*(1+rec_fracc)/frec*$CO$42),2))</f>
        <v/>
      </c>
      <c r="CS541" s="119" t="str">
        <f t="shared" si="712"/>
        <v/>
      </c>
      <c r="CT541" s="66" t="str">
        <f>+IF($W541="","",ROUND(IF($B541&gt;Parámetros!$D$107,'Tablas Servicio'!CR541+('Tablas Servicio'!CT540-'Tablas Servicio'!CR540),CR541/(1-IF(B541&lt;=10,Parámetros!$D$100,0))),2))</f>
        <v/>
      </c>
      <c r="CU541" s="66" t="str">
        <f t="shared" si="713"/>
        <v/>
      </c>
      <c r="CV541" s="66" t="str">
        <f t="shared" si="713"/>
        <v/>
      </c>
      <c r="CW541" s="66" t="str">
        <f>+IF($W541="","",ROUND((CT541*Parámetros!$G$85),2))</f>
        <v/>
      </c>
      <c r="CX541" s="66" t="str">
        <f>+IF($W541="","",ROUND((CT541*(Parámetros!$G$86)),2))</f>
        <v/>
      </c>
      <c r="CY541" s="66" t="str">
        <f t="shared" si="714"/>
        <v/>
      </c>
      <c r="CZ541" t="str">
        <f t="shared" si="755"/>
        <v/>
      </c>
      <c r="DA541" s="118" t="str">
        <f t="shared" si="756"/>
        <v/>
      </c>
      <c r="DB541" s="118" t="str">
        <f t="shared" si="757"/>
        <v/>
      </c>
      <c r="DC541" s="118" t="str">
        <f t="shared" si="758"/>
        <v/>
      </c>
      <c r="DD541" s="121" t="str">
        <f>+IF(OR($W541="",DB541=0),"",ROUND((VLOOKUP(ROUNDDOWN($D541-1/frec,0),cob_adi,CO$40,FALSE)*(1+i/frec)^-0.5*(1+Parámetros!$D$103)*(1+rec_fracc)/frec),6))</f>
        <v/>
      </c>
      <c r="DE541" s="66" t="str">
        <f t="shared" si="715"/>
        <v/>
      </c>
      <c r="DF541" s="119" t="str">
        <f t="shared" si="716"/>
        <v/>
      </c>
      <c r="DG541" s="66" t="str">
        <f>+IF($W541="","",ROUND(IF($B541&gt;Parámetros!$D$107,'Tablas Servicio'!DE541+('Tablas Servicio'!DG540-'Tablas Servicio'!DE540),DE541/(1-IF(B541&lt;=10,Parámetros!$D$100,0))),2))</f>
        <v/>
      </c>
      <c r="DH541" s="66" t="str">
        <f t="shared" si="717"/>
        <v/>
      </c>
      <c r="DI541" s="66" t="str">
        <f t="shared" si="717"/>
        <v/>
      </c>
      <c r="DJ541" s="66" t="str">
        <f>+IF($W541="","",ROUND((DG541*Parámetros!$G$85),2))</f>
        <v/>
      </c>
      <c r="DK541" s="66" t="str">
        <f>+IF($W541="","",ROUND((DG541*(Parámetros!$G$86)),2))</f>
        <v/>
      </c>
      <c r="DL541" s="66" t="str">
        <f t="shared" si="718"/>
        <v/>
      </c>
      <c r="DM541" t="str">
        <f t="shared" si="759"/>
        <v/>
      </c>
      <c r="DN541" s="118" t="str">
        <f t="shared" si="760"/>
        <v/>
      </c>
      <c r="DO541" s="118" t="str">
        <f t="shared" si="761"/>
        <v/>
      </c>
      <c r="DP541" s="118" t="str">
        <f t="shared" si="762"/>
        <v/>
      </c>
      <c r="DQ541" s="122" t="str">
        <f>+IF(OR($W541="",DO541=0),"",ROUND((VLOOKUP(ROUNDDOWN($D541-1/frec,0),cob_adi,DB$40,FALSE)*(1+i/frec)^-0.5*(1+Parámetros!$D$103)*(1+rec_fracc)/frec),6))</f>
        <v/>
      </c>
      <c r="DR541" s="66" t="str">
        <f t="shared" si="719"/>
        <v/>
      </c>
      <c r="DS541" s="68" t="str">
        <f t="shared" si="720"/>
        <v/>
      </c>
      <c r="DT541" s="66" t="str">
        <f>+IF($W541="","",ROUND(IF($B541&gt;Parámetros!$D$107,'Tablas Servicio'!DR541+('Tablas Servicio'!DT540-'Tablas Servicio'!DR540),DR541/(1-IF(B541&lt;=10,Parámetros!$D$100,0))),2))</f>
        <v/>
      </c>
      <c r="DU541" s="66" t="str">
        <f t="shared" si="721"/>
        <v/>
      </c>
      <c r="DV541" s="66" t="str">
        <f t="shared" si="721"/>
        <v/>
      </c>
      <c r="DW541" s="66" t="str">
        <f>+IF($W541="","",ROUND((DT541*Parámetros!$G$85),2))</f>
        <v/>
      </c>
      <c r="DX541" s="66" t="str">
        <f>+IF($W541="","",ROUND((DT541*(Parámetros!$G$86)),2))</f>
        <v/>
      </c>
      <c r="DY541" s="66" t="str">
        <f t="shared" si="722"/>
        <v/>
      </c>
      <c r="DZ541" t="str">
        <f t="shared" si="765"/>
        <v/>
      </c>
      <c r="EA541" s="118" t="str">
        <f t="shared" si="765"/>
        <v/>
      </c>
      <c r="EB541" s="118" t="str">
        <f>+IF($W541="","",ROUND(IF(Parámetros!$D$25='TABLAS MORT'!$V$33,EB540,Z541/2),0))</f>
        <v/>
      </c>
      <c r="EC541" s="118" t="str">
        <f t="shared" si="765"/>
        <v/>
      </c>
      <c r="ED541" s="122" t="str">
        <f>+IF(OR($W541="",EB541=0),"",ROUND((VLOOKUP(ROUNDDOWN($D541-1/frec,0),cob_adi,DO$40,FALSE)*(1+i/frec)^-0.5*(1+Parámetros!$D$103)*(1+rec_fracc)/frec),6))</f>
        <v/>
      </c>
      <c r="EE541" s="66" t="str">
        <f t="shared" si="724"/>
        <v/>
      </c>
      <c r="EF541" s="68" t="str">
        <f t="shared" si="725"/>
        <v/>
      </c>
      <c r="EG541" s="66" t="str">
        <f>+IF($W541="","",ROUND(IF($B541&gt;Parámetros!$D$107,'Tablas Servicio'!EE541+('Tablas Servicio'!EG540-'Tablas Servicio'!EE540),EE541/(1-IF(B541&lt;=10,Parámetros!$D$100,0))),2))</f>
        <v/>
      </c>
      <c r="EH541" s="66" t="str">
        <f t="shared" si="726"/>
        <v/>
      </c>
      <c r="EI541" s="66" t="str">
        <f t="shared" si="726"/>
        <v/>
      </c>
      <c r="EJ541" s="66" t="str">
        <f>+IF($W541="","",ROUND((EG541*Parámetros!$G$85),2))</f>
        <v/>
      </c>
      <c r="EK541" s="66" t="str">
        <f>+IF($W541="","",ROUND((EG541*(Parámetros!$G$86)),2))</f>
        <v/>
      </c>
      <c r="EL541" s="66" t="str">
        <f t="shared" si="727"/>
        <v/>
      </c>
    </row>
    <row r="542" spans="1:142" x14ac:dyDescent="0.25">
      <c r="A542" t="str">
        <f>+IF($C542="","",ROUND(VLOOKUP('Tablas Servicio'!B542,Parámetros!$H$100:$J$159,IF(Parámetros!$E$16="F",2,3),FALSE),2))</f>
        <v/>
      </c>
      <c r="B542" t="str">
        <f t="shared" si="678"/>
        <v/>
      </c>
      <c r="C542" s="57" t="str">
        <f>+IF(D542="","",'Tablas Servicio'!C541+1)</f>
        <v/>
      </c>
      <c r="D542" s="56" t="str">
        <f>+IF(D541&lt;edadmaxtabla,D541+1/Parámetros!$E$25,"")</f>
        <v/>
      </c>
      <c r="E542" s="57" t="str">
        <f t="shared" si="688"/>
        <v/>
      </c>
      <c r="F542" s="59" t="str">
        <f t="shared" si="689"/>
        <v/>
      </c>
      <c r="G542" s="66" t="str">
        <f t="shared" si="679"/>
        <v/>
      </c>
      <c r="H542" s="66" t="str">
        <f t="shared" si="680"/>
        <v/>
      </c>
      <c r="I542" s="66" t="str">
        <f t="shared" si="728"/>
        <v/>
      </c>
      <c r="J542" s="66" t="str">
        <f t="shared" si="681"/>
        <v/>
      </c>
      <c r="K542" s="66" t="str">
        <f t="shared" si="682"/>
        <v/>
      </c>
      <c r="L542" s="66" t="str">
        <f t="shared" si="683"/>
        <v/>
      </c>
      <c r="M542" s="66" t="str">
        <f t="shared" si="684"/>
        <v/>
      </c>
      <c r="N542" s="66" t="str">
        <f>+IF(C542="","",ROUND(Parámetros!$D$23,2))</f>
        <v/>
      </c>
      <c r="O542" s="66" t="str">
        <f t="shared" si="685"/>
        <v/>
      </c>
      <c r="P542" s="66" t="str">
        <f>+IF($C542="","",ROUND(IF(B542&gt;Parámetros!$D$117,0,N542*Parámetros!$D$116-G542*Parámetros!$D$100),2))</f>
        <v/>
      </c>
      <c r="Q542" s="75" t="str">
        <f t="shared" si="729"/>
        <v/>
      </c>
      <c r="R542" s="75" t="str">
        <f t="shared" si="730"/>
        <v/>
      </c>
      <c r="S542" s="117" t="str">
        <f>+IF($C542="","",ROUND((S541+I542)*(1+Parámetros!$D$91),2))</f>
        <v/>
      </c>
      <c r="T542" s="117" t="str">
        <f>+IF($C542="","",ROUND(S542*VLOOKUP(B542,Parámetros!$C$30:$D$39,2,TRUE),2))</f>
        <v/>
      </c>
      <c r="U542" s="117" t="str">
        <f>+IF($C542="","",ROUND((U541+I542)*(1+Parámetros!$D$92),2))</f>
        <v/>
      </c>
      <c r="V542" s="117" t="str">
        <f>+IF($C542="","",ROUND(U542*VLOOKUP(B542,Parámetros!$C$30:$D$39,2,TRUE),2))</f>
        <v/>
      </c>
      <c r="W542" s="57" t="str">
        <f t="shared" si="731"/>
        <v/>
      </c>
      <c r="X542" t="str">
        <f t="shared" si="732"/>
        <v/>
      </c>
      <c r="Y542" t="str">
        <f t="shared" si="733"/>
        <v/>
      </c>
      <c r="Z542" s="118" t="str">
        <f>+IF($W542="","",ROUND(IF(Parámetros!$D$25='TABLAS MORT'!$V$33,Z541,Parámetros!$D$21-'Tablas Servicio'!T541),0))</f>
        <v/>
      </c>
      <c r="AA542" s="118" t="str">
        <f t="shared" si="734"/>
        <v/>
      </c>
      <c r="AB542" s="119" t="str">
        <f>+IF(W542="","",ROUND((VLOOKUP(ROUNDDOWN($D542-1/frec,0),qx_tabla,2,FALSE)*(1+i/frec)^-0.5*(1+Parámetros!$D$103)*(1+rec_fracc)/frec),6))</f>
        <v/>
      </c>
      <c r="AC542" s="66" t="str">
        <f t="shared" si="690"/>
        <v/>
      </c>
      <c r="AD542" s="119" t="str">
        <f t="shared" si="686"/>
        <v/>
      </c>
      <c r="AE542" s="66" t="str">
        <f>+IF($W542="","",ROUND(IF($B542&gt;Parámetros!$D$107,'Tablas Servicio'!AC542+('Tablas Servicio'!AG541-'Tablas Servicio'!AC541),AC542/(1-IF(B542&lt;=10,Parámetros!$D$104,Parámetros!$D$105))),2))</f>
        <v/>
      </c>
      <c r="AF542" s="66" t="str">
        <f>+IF($W542="","",ROUND(IF($B542&gt;Parámetros!$D$107,'Tablas Servicio'!AC542+('Tablas Servicio'!AG541-'Tablas Servicio'!AC541),(AC542+$A541/frec)/(1-IF(B542&lt;=Parámetros!$D$117,Parámetros!$D$100,0))),2))</f>
        <v/>
      </c>
      <c r="AG542" s="66" t="str">
        <f t="shared" si="691"/>
        <v/>
      </c>
      <c r="AH542" s="66" t="str">
        <f t="shared" si="692"/>
        <v/>
      </c>
      <c r="AI542" s="66" t="str">
        <f t="shared" si="693"/>
        <v/>
      </c>
      <c r="AJ542" s="66" t="str">
        <f>+IF($W542="","",ROUND((AG542*Parámetros!$G$85),2))</f>
        <v/>
      </c>
      <c r="AK542" s="66" t="str">
        <f>+IF($W542="","",ROUND((AG542*(Parámetros!$G$86)),2))</f>
        <v/>
      </c>
      <c r="AL542" s="66" t="str">
        <f t="shared" si="687"/>
        <v/>
      </c>
      <c r="AM542" t="str">
        <f t="shared" si="735"/>
        <v/>
      </c>
      <c r="AN542" t="str">
        <f t="shared" si="736"/>
        <v/>
      </c>
      <c r="AO542" s="118" t="str">
        <f t="shared" si="737"/>
        <v/>
      </c>
      <c r="AP542" s="118" t="str">
        <f t="shared" si="738"/>
        <v/>
      </c>
      <c r="AQ542" s="119" t="str">
        <f>+IF(OR($W542="",AO542=0),"",ROUND((VLOOKUP(ROUNDDOWN($D542-1/frec,0),cob_adi,Z$40,FALSE)*(1+i/frec)^-0.5*(1+Parámetros!$D$103)*(1+rec_fracc)/frec),6))</f>
        <v/>
      </c>
      <c r="AR542" s="66" t="str">
        <f t="shared" si="694"/>
        <v/>
      </c>
      <c r="AS542" s="119" t="str">
        <f t="shared" si="695"/>
        <v/>
      </c>
      <c r="AT542" s="66" t="str">
        <f>+IF($W542="","",ROUND(IF($B542&gt;Parámetros!$D$107,'Tablas Servicio'!AR542+('Tablas Servicio'!AT541-'Tablas Servicio'!AR541),AR542/(1-IF(B542&lt;=10,Parámetros!$D$100,0))),2))</f>
        <v/>
      </c>
      <c r="AU542" s="66" t="str">
        <f t="shared" si="696"/>
        <v/>
      </c>
      <c r="AV542" s="66" t="str">
        <f t="shared" si="696"/>
        <v/>
      </c>
      <c r="AW542" s="66" t="str">
        <f>+IF($W542="","",ROUND((AT542*Parámetros!$G$85),2))</f>
        <v/>
      </c>
      <c r="AX542" s="66" t="str">
        <f>+IF($W542="","",ROUND((AT542*(Parámetros!$G$86)),2))</f>
        <v/>
      </c>
      <c r="AY542" s="66" t="str">
        <f t="shared" si="697"/>
        <v/>
      </c>
      <c r="AZ542" t="str">
        <f t="shared" si="739"/>
        <v/>
      </c>
      <c r="BA542" t="str">
        <f t="shared" si="740"/>
        <v/>
      </c>
      <c r="BB542" s="118" t="str">
        <f t="shared" si="741"/>
        <v/>
      </c>
      <c r="BC542" s="118" t="str">
        <f t="shared" si="742"/>
        <v/>
      </c>
      <c r="BD542" s="119" t="str">
        <f>+IF(OR($W542="",BB542=0),"",ROUND((VLOOKUP(ROUNDDOWN($D542-1/frec,0),cob_adi,AO$40,FALSE)*(1+i/frec)^-0.5*(1+Parámetros!$D$103)*(1+rec_fracc)/frec),6))</f>
        <v/>
      </c>
      <c r="BE542" s="66" t="str">
        <f t="shared" si="698"/>
        <v/>
      </c>
      <c r="BF542" s="119" t="str">
        <f t="shared" si="699"/>
        <v/>
      </c>
      <c r="BG542" s="66" t="str">
        <f>+IF($W542="","",ROUND(IF($B542&gt;Parámetros!$D$107,'Tablas Servicio'!BE542+('Tablas Servicio'!BG541-'Tablas Servicio'!BE541),BE542/(1-IF(B542&lt;=10,Parámetros!$D$100,0))),2))</f>
        <v/>
      </c>
      <c r="BH542" s="66" t="str">
        <f t="shared" si="700"/>
        <v/>
      </c>
      <c r="BI542" s="66" t="str">
        <f t="shared" si="701"/>
        <v/>
      </c>
      <c r="BJ542" s="66" t="str">
        <f>+IF($W542="","",ROUND((BG542*Parámetros!$G$85),2))</f>
        <v/>
      </c>
      <c r="BK542" s="66" t="str">
        <f>+IF($W542="","",ROUND((BG542*(Parámetros!$G$86)),2))</f>
        <v/>
      </c>
      <c r="BL542" s="66" t="str">
        <f t="shared" si="702"/>
        <v/>
      </c>
      <c r="BM542" t="str">
        <f t="shared" si="743"/>
        <v/>
      </c>
      <c r="BN542" t="str">
        <f t="shared" si="744"/>
        <v/>
      </c>
      <c r="BO542" s="118" t="str">
        <f t="shared" si="745"/>
        <v/>
      </c>
      <c r="BP542" s="118" t="str">
        <f t="shared" si="746"/>
        <v/>
      </c>
      <c r="BQ542" s="119" t="str">
        <f>+IF(OR($W542="",BO542=0),"",ROUND((VLOOKUP(ROUNDDOWN($D542-1/frec,0),cob_adi,BB$40,FALSE)*(1+i/frec)^-0.5*(1+Parámetros!$D$103)*(1+rec_fracc)/frec),6))</f>
        <v/>
      </c>
      <c r="BR542" s="66" t="str">
        <f t="shared" si="703"/>
        <v/>
      </c>
      <c r="BS542" s="119" t="str">
        <f t="shared" si="704"/>
        <v/>
      </c>
      <c r="BT542" s="66" t="str">
        <f>+IF($W542="","",ROUND(IF($B542&gt;Parámetros!$D$107,'Tablas Servicio'!BR542+('Tablas Servicio'!BT541-'Tablas Servicio'!BR541),BR542/(1-IF(B542&lt;=10,Parámetros!$D$100,0))),2))</f>
        <v/>
      </c>
      <c r="BU542" s="66" t="str">
        <f t="shared" si="705"/>
        <v/>
      </c>
      <c r="BV542" s="66" t="str">
        <f t="shared" si="705"/>
        <v/>
      </c>
      <c r="BW542" s="66" t="str">
        <f>+IF($W542="","",ROUND((BT542*Parámetros!$G$85),2))</f>
        <v/>
      </c>
      <c r="BX542" s="66" t="str">
        <f>+IF($W542="","",ROUND((BT542*(Parámetros!$G$86)),2))</f>
        <v/>
      </c>
      <c r="BY542" s="66" t="str">
        <f t="shared" si="706"/>
        <v/>
      </c>
      <c r="BZ542" t="str">
        <f t="shared" si="747"/>
        <v/>
      </c>
      <c r="CA542" t="str">
        <f t="shared" si="748"/>
        <v/>
      </c>
      <c r="CB542" s="118" t="str">
        <f t="shared" si="749"/>
        <v/>
      </c>
      <c r="CC542" s="118" t="str">
        <f t="shared" si="750"/>
        <v/>
      </c>
      <c r="CD542" s="119" t="str">
        <f t="shared" si="707"/>
        <v/>
      </c>
      <c r="CE542" s="66" t="str">
        <f>+IF($W542="","",ROUND((VLOOKUP(ROUNDDOWN($D542-1/frec,0),cob_adi,BO$40,FALSE)*(1+i/frec)^-0.5*(1+Parámetros!$D$103)*(1+rec_fracc)/frec*'TABLAS ADI'!$BC$17),2))</f>
        <v/>
      </c>
      <c r="CF542" s="119" t="str">
        <f t="shared" si="708"/>
        <v/>
      </c>
      <c r="CG542" s="66" t="str">
        <f>+IF($W542="","",ROUND(IF($B542&gt;Parámetros!$D$107,'Tablas Servicio'!CE542+('Tablas Servicio'!CG541-'Tablas Servicio'!CE541),CE542/(1-IF(B542&lt;=10,Parámetros!$D$100,0))),2))</f>
        <v/>
      </c>
      <c r="CH542" s="66" t="str">
        <f t="shared" si="709"/>
        <v/>
      </c>
      <c r="CI542" s="66" t="str">
        <f t="shared" si="709"/>
        <v/>
      </c>
      <c r="CJ542" s="66" t="str">
        <f>+IF($W542="","",ROUND((CG542*Parámetros!$G$85),2))</f>
        <v/>
      </c>
      <c r="CK542" s="66" t="str">
        <f>+IF($W542="","",ROUND((CG542*(Parámetros!$G$86)),2))</f>
        <v/>
      </c>
      <c r="CL542" s="66" t="str">
        <f t="shared" si="710"/>
        <v/>
      </c>
      <c r="CM542" t="str">
        <f t="shared" si="751"/>
        <v/>
      </c>
      <c r="CN542" s="118" t="str">
        <f t="shared" si="752"/>
        <v/>
      </c>
      <c r="CO542" s="118" t="str">
        <f t="shared" si="753"/>
        <v/>
      </c>
      <c r="CP542" s="118" t="str">
        <f t="shared" si="754"/>
        <v/>
      </c>
      <c r="CQ542" s="119" t="str">
        <f t="shared" si="711"/>
        <v/>
      </c>
      <c r="CR542" s="66" t="str">
        <f>+IF($W542="","",ROUND((VLOOKUP(Parámetros!$F$51,'COBERTURAS ADICIONALES'!$S$4:$T$32,2,FALSE)*(1+i/frec)^-0.5*(1+Parámetros!$D$103)*(1+rec_fracc)/frec*$CO$42),2))</f>
        <v/>
      </c>
      <c r="CS542" s="119" t="str">
        <f t="shared" si="712"/>
        <v/>
      </c>
      <c r="CT542" s="66" t="str">
        <f>+IF($W542="","",ROUND(IF($B542&gt;Parámetros!$D$107,'Tablas Servicio'!CR542+('Tablas Servicio'!CT541-'Tablas Servicio'!CR541),CR542/(1-IF(B542&lt;=10,Parámetros!$D$100,0))),2))</f>
        <v/>
      </c>
      <c r="CU542" s="66" t="str">
        <f t="shared" si="713"/>
        <v/>
      </c>
      <c r="CV542" s="66" t="str">
        <f t="shared" si="713"/>
        <v/>
      </c>
      <c r="CW542" s="66" t="str">
        <f>+IF($W542="","",ROUND((CT542*Parámetros!$G$85),2))</f>
        <v/>
      </c>
      <c r="CX542" s="66" t="str">
        <f>+IF($W542="","",ROUND((CT542*(Parámetros!$G$86)),2))</f>
        <v/>
      </c>
      <c r="CY542" s="66" t="str">
        <f t="shared" si="714"/>
        <v/>
      </c>
      <c r="CZ542" t="str">
        <f t="shared" si="755"/>
        <v/>
      </c>
      <c r="DA542" s="118" t="str">
        <f t="shared" si="756"/>
        <v/>
      </c>
      <c r="DB542" s="118" t="str">
        <f t="shared" si="757"/>
        <v/>
      </c>
      <c r="DC542" s="118" t="str">
        <f t="shared" si="758"/>
        <v/>
      </c>
      <c r="DD542" s="121" t="str">
        <f>+IF(OR($W542="",DB542=0),"",ROUND((VLOOKUP(ROUNDDOWN($D542-1/frec,0),cob_adi,CO$40,FALSE)*(1+i/frec)^-0.5*(1+Parámetros!$D$103)*(1+rec_fracc)/frec),6))</f>
        <v/>
      </c>
      <c r="DE542" s="66" t="str">
        <f t="shared" si="715"/>
        <v/>
      </c>
      <c r="DF542" s="119" t="str">
        <f t="shared" si="716"/>
        <v/>
      </c>
      <c r="DG542" s="66" t="str">
        <f>+IF($W542="","",ROUND(IF($B542&gt;Parámetros!$D$107,'Tablas Servicio'!DE542+('Tablas Servicio'!DG541-'Tablas Servicio'!DE541),DE542/(1-IF(B542&lt;=10,Parámetros!$D$100,0))),2))</f>
        <v/>
      </c>
      <c r="DH542" s="66" t="str">
        <f t="shared" si="717"/>
        <v/>
      </c>
      <c r="DI542" s="66" t="str">
        <f t="shared" si="717"/>
        <v/>
      </c>
      <c r="DJ542" s="66" t="str">
        <f>+IF($W542="","",ROUND((DG542*Parámetros!$G$85),2))</f>
        <v/>
      </c>
      <c r="DK542" s="66" t="str">
        <f>+IF($W542="","",ROUND((DG542*(Parámetros!$G$86)),2))</f>
        <v/>
      </c>
      <c r="DL542" s="66" t="str">
        <f t="shared" si="718"/>
        <v/>
      </c>
      <c r="DM542" t="str">
        <f t="shared" si="759"/>
        <v/>
      </c>
      <c r="DN542" s="118" t="str">
        <f t="shared" si="760"/>
        <v/>
      </c>
      <c r="DO542" s="118" t="str">
        <f t="shared" si="761"/>
        <v/>
      </c>
      <c r="DP542" s="118" t="str">
        <f t="shared" si="762"/>
        <v/>
      </c>
      <c r="DQ542" s="122" t="str">
        <f>+IF(OR($W542="",DO542=0),"",ROUND((VLOOKUP(ROUNDDOWN($D542-1/frec,0),cob_adi,DB$40,FALSE)*(1+i/frec)^-0.5*(1+Parámetros!$D$103)*(1+rec_fracc)/frec),6))</f>
        <v/>
      </c>
      <c r="DR542" s="66" t="str">
        <f t="shared" si="719"/>
        <v/>
      </c>
      <c r="DS542" s="68" t="str">
        <f t="shared" si="720"/>
        <v/>
      </c>
      <c r="DT542" s="66" t="str">
        <f>+IF($W542="","",ROUND(IF($B542&gt;Parámetros!$D$107,'Tablas Servicio'!DR542+('Tablas Servicio'!DT541-'Tablas Servicio'!DR541),DR542/(1-IF(B542&lt;=10,Parámetros!$D$100,0))),2))</f>
        <v/>
      </c>
      <c r="DU542" s="66" t="str">
        <f t="shared" si="721"/>
        <v/>
      </c>
      <c r="DV542" s="66" t="str">
        <f t="shared" si="721"/>
        <v/>
      </c>
      <c r="DW542" s="66" t="str">
        <f>+IF($W542="","",ROUND((DT542*Parámetros!$G$85),2))</f>
        <v/>
      </c>
      <c r="DX542" s="66" t="str">
        <f>+IF($W542="","",ROUND((DT542*(Parámetros!$G$86)),2))</f>
        <v/>
      </c>
      <c r="DY542" s="66" t="str">
        <f t="shared" si="722"/>
        <v/>
      </c>
      <c r="DZ542" t="str">
        <f t="shared" si="765"/>
        <v/>
      </c>
      <c r="EA542" s="118" t="str">
        <f t="shared" si="765"/>
        <v/>
      </c>
      <c r="EB542" s="118" t="str">
        <f>+IF($W542="","",ROUND(IF(Parámetros!$D$25='TABLAS MORT'!$V$33,EB541,Z542/2),0))</f>
        <v/>
      </c>
      <c r="EC542" s="118" t="str">
        <f t="shared" si="765"/>
        <v/>
      </c>
      <c r="ED542" s="122" t="str">
        <f>+IF(OR($W542="",EB542=0),"",ROUND((VLOOKUP(ROUNDDOWN($D542-1/frec,0),cob_adi,DO$40,FALSE)*(1+i/frec)^-0.5*(1+Parámetros!$D$103)*(1+rec_fracc)/frec),6))</f>
        <v/>
      </c>
      <c r="EE542" s="66" t="str">
        <f t="shared" si="724"/>
        <v/>
      </c>
      <c r="EF542" s="68" t="str">
        <f t="shared" si="725"/>
        <v/>
      </c>
      <c r="EG542" s="66" t="str">
        <f>+IF($W542="","",ROUND(IF($B542&gt;Parámetros!$D$107,'Tablas Servicio'!EE542+('Tablas Servicio'!EG541-'Tablas Servicio'!EE541),EE542/(1-IF(B542&lt;=10,Parámetros!$D$100,0))),2))</f>
        <v/>
      </c>
      <c r="EH542" s="66" t="str">
        <f t="shared" si="726"/>
        <v/>
      </c>
      <c r="EI542" s="66" t="str">
        <f t="shared" si="726"/>
        <v/>
      </c>
      <c r="EJ542" s="66" t="str">
        <f>+IF($W542="","",ROUND((EG542*Parámetros!$G$85),2))</f>
        <v/>
      </c>
      <c r="EK542" s="66" t="str">
        <f>+IF($W542="","",ROUND((EG542*(Parámetros!$G$86)),2))</f>
        <v/>
      </c>
      <c r="EL542" s="66" t="str">
        <f t="shared" si="727"/>
        <v/>
      </c>
    </row>
    <row r="543" spans="1:142" x14ac:dyDescent="0.25">
      <c r="A543" t="str">
        <f>+IF($C543="","",ROUND(VLOOKUP('Tablas Servicio'!B543,Parámetros!$H$100:$J$159,IF(Parámetros!$E$16="F",2,3),FALSE),2))</f>
        <v/>
      </c>
      <c r="B543" t="str">
        <f t="shared" si="678"/>
        <v/>
      </c>
      <c r="C543" s="57" t="str">
        <f>+IF(D543="","",'Tablas Servicio'!C542+1)</f>
        <v/>
      </c>
      <c r="D543" s="56" t="str">
        <f>+IF(D542&lt;edadmaxtabla,D542+1/Parámetros!$E$25,"")</f>
        <v/>
      </c>
      <c r="E543" s="57" t="str">
        <f t="shared" si="688"/>
        <v/>
      </c>
      <c r="F543" s="59" t="str">
        <f t="shared" si="689"/>
        <v/>
      </c>
      <c r="G543" s="66" t="str">
        <f t="shared" si="679"/>
        <v/>
      </c>
      <c r="H543" s="66" t="str">
        <f t="shared" si="680"/>
        <v/>
      </c>
      <c r="I543" s="66" t="str">
        <f t="shared" si="728"/>
        <v/>
      </c>
      <c r="J543" s="66" t="str">
        <f t="shared" si="681"/>
        <v/>
      </c>
      <c r="K543" s="66" t="str">
        <f t="shared" si="682"/>
        <v/>
      </c>
      <c r="L543" s="66" t="str">
        <f t="shared" si="683"/>
        <v/>
      </c>
      <c r="M543" s="66" t="str">
        <f t="shared" si="684"/>
        <v/>
      </c>
      <c r="N543" s="66" t="str">
        <f>+IF(C543="","",ROUND(Parámetros!$D$23,2))</f>
        <v/>
      </c>
      <c r="O543" s="66" t="str">
        <f t="shared" si="685"/>
        <v/>
      </c>
      <c r="P543" s="66" t="str">
        <f>+IF($C543="","",ROUND(IF(B543&gt;Parámetros!$D$117,0,N543*Parámetros!$D$116-G543*Parámetros!$D$100),2))</f>
        <v/>
      </c>
      <c r="Q543" s="75" t="str">
        <f t="shared" si="729"/>
        <v/>
      </c>
      <c r="R543" s="75" t="str">
        <f t="shared" si="730"/>
        <v/>
      </c>
      <c r="S543" s="117" t="str">
        <f>+IF($C543="","",ROUND((S542+I543)*(1+Parámetros!$D$91),2))</f>
        <v/>
      </c>
      <c r="T543" s="117" t="str">
        <f>+IF($C543="","",ROUND(S543*VLOOKUP(B543,Parámetros!$C$30:$D$39,2,TRUE),2))</f>
        <v/>
      </c>
      <c r="U543" s="117" t="str">
        <f>+IF($C543="","",ROUND((U542+I543)*(1+Parámetros!$D$92),2))</f>
        <v/>
      </c>
      <c r="V543" s="117" t="str">
        <f>+IF($C543="","",ROUND(U543*VLOOKUP(B543,Parámetros!$C$30:$D$39,2,TRUE),2))</f>
        <v/>
      </c>
      <c r="W543" s="57" t="str">
        <f t="shared" si="731"/>
        <v/>
      </c>
      <c r="X543" t="str">
        <f t="shared" si="732"/>
        <v/>
      </c>
      <c r="Y543" t="str">
        <f t="shared" si="733"/>
        <v/>
      </c>
      <c r="Z543" s="118" t="str">
        <f>+IF($W543="","",ROUND(IF(Parámetros!$D$25='TABLAS MORT'!$V$33,Z542,Parámetros!$D$21-'Tablas Servicio'!T542),0))</f>
        <v/>
      </c>
      <c r="AA543" s="118" t="str">
        <f t="shared" si="734"/>
        <v/>
      </c>
      <c r="AB543" s="119" t="str">
        <f>+IF(W543="","",ROUND((VLOOKUP(ROUNDDOWN($D543-1/frec,0),qx_tabla,2,FALSE)*(1+i/frec)^-0.5*(1+Parámetros!$D$103)*(1+rec_fracc)/frec),6))</f>
        <v/>
      </c>
      <c r="AC543" s="66" t="str">
        <f t="shared" si="690"/>
        <v/>
      </c>
      <c r="AD543" s="119" t="str">
        <f t="shared" si="686"/>
        <v/>
      </c>
      <c r="AE543" s="66" t="str">
        <f>+IF($W543="","",ROUND(IF($B543&gt;Parámetros!$D$107,'Tablas Servicio'!AC543+('Tablas Servicio'!AG542-'Tablas Servicio'!AC542),AC543/(1-IF(B543&lt;=10,Parámetros!$D$104,Parámetros!$D$105))),2))</f>
        <v/>
      </c>
      <c r="AF543" s="66" t="str">
        <f>+IF($W543="","",ROUND(IF($B543&gt;Parámetros!$D$107,'Tablas Servicio'!AC543+('Tablas Servicio'!AG542-'Tablas Servicio'!AC542),(AC543+$A542/frec)/(1-IF(B543&lt;=Parámetros!$D$117,Parámetros!$D$100,0))),2))</f>
        <v/>
      </c>
      <c r="AG543" s="66" t="str">
        <f t="shared" si="691"/>
        <v/>
      </c>
      <c r="AH543" s="66" t="str">
        <f t="shared" si="692"/>
        <v/>
      </c>
      <c r="AI543" s="66" t="str">
        <f t="shared" si="693"/>
        <v/>
      </c>
      <c r="AJ543" s="66" t="str">
        <f>+IF($W543="","",ROUND((AG543*Parámetros!$G$85),2))</f>
        <v/>
      </c>
      <c r="AK543" s="66" t="str">
        <f>+IF($W543="","",ROUND((AG543*(Parámetros!$G$86)),2))</f>
        <v/>
      </c>
      <c r="AL543" s="66" t="str">
        <f t="shared" si="687"/>
        <v/>
      </c>
      <c r="AM543" t="str">
        <f t="shared" si="735"/>
        <v/>
      </c>
      <c r="AN543" t="str">
        <f t="shared" si="736"/>
        <v/>
      </c>
      <c r="AO543" s="118" t="str">
        <f t="shared" si="737"/>
        <v/>
      </c>
      <c r="AP543" s="118" t="str">
        <f t="shared" si="738"/>
        <v/>
      </c>
      <c r="AQ543" s="119" t="str">
        <f>+IF(OR($W543="",AO543=0),"",ROUND((VLOOKUP(ROUNDDOWN($D543-1/frec,0),cob_adi,Z$40,FALSE)*(1+i/frec)^-0.5*(1+Parámetros!$D$103)*(1+rec_fracc)/frec),6))</f>
        <v/>
      </c>
      <c r="AR543" s="66" t="str">
        <f t="shared" si="694"/>
        <v/>
      </c>
      <c r="AS543" s="119" t="str">
        <f t="shared" si="695"/>
        <v/>
      </c>
      <c r="AT543" s="66" t="str">
        <f>+IF($W543="","",ROUND(IF($B543&gt;Parámetros!$D$107,'Tablas Servicio'!AR543+('Tablas Servicio'!AT542-'Tablas Servicio'!AR542),AR543/(1-IF(B543&lt;=10,Parámetros!$D$100,0))),2))</f>
        <v/>
      </c>
      <c r="AU543" s="66" t="str">
        <f t="shared" si="696"/>
        <v/>
      </c>
      <c r="AV543" s="66" t="str">
        <f t="shared" si="696"/>
        <v/>
      </c>
      <c r="AW543" s="66" t="str">
        <f>+IF($W543="","",ROUND((AT543*Parámetros!$G$85),2))</f>
        <v/>
      </c>
      <c r="AX543" s="66" t="str">
        <f>+IF($W543="","",ROUND((AT543*(Parámetros!$G$86)),2))</f>
        <v/>
      </c>
      <c r="AY543" s="66" t="str">
        <f t="shared" si="697"/>
        <v/>
      </c>
      <c r="AZ543" t="str">
        <f t="shared" si="739"/>
        <v/>
      </c>
      <c r="BA543" t="str">
        <f t="shared" si="740"/>
        <v/>
      </c>
      <c r="BB543" s="118" t="str">
        <f t="shared" si="741"/>
        <v/>
      </c>
      <c r="BC543" s="118" t="str">
        <f t="shared" si="742"/>
        <v/>
      </c>
      <c r="BD543" s="119" t="str">
        <f>+IF(OR($W543="",BB543=0),"",ROUND((VLOOKUP(ROUNDDOWN($D543-1/frec,0),cob_adi,AO$40,FALSE)*(1+i/frec)^-0.5*(1+Parámetros!$D$103)*(1+rec_fracc)/frec),6))</f>
        <v/>
      </c>
      <c r="BE543" s="66" t="str">
        <f t="shared" si="698"/>
        <v/>
      </c>
      <c r="BF543" s="119" t="str">
        <f t="shared" si="699"/>
        <v/>
      </c>
      <c r="BG543" s="66" t="str">
        <f>+IF($W543="","",ROUND(IF($B543&gt;Parámetros!$D$107,'Tablas Servicio'!BE543+('Tablas Servicio'!BG542-'Tablas Servicio'!BE542),BE543/(1-IF(B543&lt;=10,Parámetros!$D$100,0))),2))</f>
        <v/>
      </c>
      <c r="BH543" s="66" t="str">
        <f t="shared" si="700"/>
        <v/>
      </c>
      <c r="BI543" s="66" t="str">
        <f t="shared" si="701"/>
        <v/>
      </c>
      <c r="BJ543" s="66" t="str">
        <f>+IF($W543="","",ROUND((BG543*Parámetros!$G$85),2))</f>
        <v/>
      </c>
      <c r="BK543" s="66" t="str">
        <f>+IF($W543="","",ROUND((BG543*(Parámetros!$G$86)),2))</f>
        <v/>
      </c>
      <c r="BL543" s="66" t="str">
        <f t="shared" si="702"/>
        <v/>
      </c>
      <c r="BM543" t="str">
        <f t="shared" si="743"/>
        <v/>
      </c>
      <c r="BN543" t="str">
        <f t="shared" si="744"/>
        <v/>
      </c>
      <c r="BO543" s="118" t="str">
        <f t="shared" si="745"/>
        <v/>
      </c>
      <c r="BP543" s="118" t="str">
        <f t="shared" si="746"/>
        <v/>
      </c>
      <c r="BQ543" s="119" t="str">
        <f>+IF(OR($W543="",BO543=0),"",ROUND((VLOOKUP(ROUNDDOWN($D543-1/frec,0),cob_adi,BB$40,FALSE)*(1+i/frec)^-0.5*(1+Parámetros!$D$103)*(1+rec_fracc)/frec),6))</f>
        <v/>
      </c>
      <c r="BR543" s="66" t="str">
        <f t="shared" si="703"/>
        <v/>
      </c>
      <c r="BS543" s="119" t="str">
        <f t="shared" si="704"/>
        <v/>
      </c>
      <c r="BT543" s="66" t="str">
        <f>+IF($W543="","",ROUND(IF($B543&gt;Parámetros!$D$107,'Tablas Servicio'!BR543+('Tablas Servicio'!BT542-'Tablas Servicio'!BR542),BR543/(1-IF(B543&lt;=10,Parámetros!$D$100,0))),2))</f>
        <v/>
      </c>
      <c r="BU543" s="66" t="str">
        <f t="shared" si="705"/>
        <v/>
      </c>
      <c r="BV543" s="66" t="str">
        <f t="shared" si="705"/>
        <v/>
      </c>
      <c r="BW543" s="66" t="str">
        <f>+IF($W543="","",ROUND((BT543*Parámetros!$G$85),2))</f>
        <v/>
      </c>
      <c r="BX543" s="66" t="str">
        <f>+IF($W543="","",ROUND((BT543*(Parámetros!$G$86)),2))</f>
        <v/>
      </c>
      <c r="BY543" s="66" t="str">
        <f t="shared" si="706"/>
        <v/>
      </c>
      <c r="BZ543" t="str">
        <f t="shared" si="747"/>
        <v/>
      </c>
      <c r="CA543" t="str">
        <f t="shared" si="748"/>
        <v/>
      </c>
      <c r="CB543" s="118" t="str">
        <f t="shared" si="749"/>
        <v/>
      </c>
      <c r="CC543" s="118" t="str">
        <f t="shared" si="750"/>
        <v/>
      </c>
      <c r="CD543" s="119" t="str">
        <f t="shared" si="707"/>
        <v/>
      </c>
      <c r="CE543" s="66" t="str">
        <f>+IF($W543="","",ROUND((VLOOKUP(ROUNDDOWN($D543-1/frec,0),cob_adi,BO$40,FALSE)*(1+i/frec)^-0.5*(1+Parámetros!$D$103)*(1+rec_fracc)/frec*'TABLAS ADI'!$BC$17),2))</f>
        <v/>
      </c>
      <c r="CF543" s="119" t="str">
        <f t="shared" si="708"/>
        <v/>
      </c>
      <c r="CG543" s="66" t="str">
        <f>+IF($W543="","",ROUND(IF($B543&gt;Parámetros!$D$107,'Tablas Servicio'!CE543+('Tablas Servicio'!CG542-'Tablas Servicio'!CE542),CE543/(1-IF(B543&lt;=10,Parámetros!$D$100,0))),2))</f>
        <v/>
      </c>
      <c r="CH543" s="66" t="str">
        <f t="shared" si="709"/>
        <v/>
      </c>
      <c r="CI543" s="66" t="str">
        <f t="shared" si="709"/>
        <v/>
      </c>
      <c r="CJ543" s="66" t="str">
        <f>+IF($W543="","",ROUND((CG543*Parámetros!$G$85),2))</f>
        <v/>
      </c>
      <c r="CK543" s="66" t="str">
        <f>+IF($W543="","",ROUND((CG543*(Parámetros!$G$86)),2))</f>
        <v/>
      </c>
      <c r="CL543" s="66" t="str">
        <f t="shared" si="710"/>
        <v/>
      </c>
      <c r="CM543" t="str">
        <f t="shared" si="751"/>
        <v/>
      </c>
      <c r="CN543" s="118" t="str">
        <f t="shared" si="752"/>
        <v/>
      </c>
      <c r="CO543" s="118" t="str">
        <f t="shared" si="753"/>
        <v/>
      </c>
      <c r="CP543" s="118" t="str">
        <f t="shared" si="754"/>
        <v/>
      </c>
      <c r="CQ543" s="119" t="str">
        <f t="shared" si="711"/>
        <v/>
      </c>
      <c r="CR543" s="66" t="str">
        <f>+IF($W543="","",ROUND((VLOOKUP(Parámetros!$F$51,'COBERTURAS ADICIONALES'!$S$4:$T$32,2,FALSE)*(1+i/frec)^-0.5*(1+Parámetros!$D$103)*(1+rec_fracc)/frec*$CO$42),2))</f>
        <v/>
      </c>
      <c r="CS543" s="119" t="str">
        <f t="shared" si="712"/>
        <v/>
      </c>
      <c r="CT543" s="66" t="str">
        <f>+IF($W543="","",ROUND(IF($B543&gt;Parámetros!$D$107,'Tablas Servicio'!CR543+('Tablas Servicio'!CT542-'Tablas Servicio'!CR542),CR543/(1-IF(B543&lt;=10,Parámetros!$D$100,0))),2))</f>
        <v/>
      </c>
      <c r="CU543" s="66" t="str">
        <f t="shared" si="713"/>
        <v/>
      </c>
      <c r="CV543" s="66" t="str">
        <f t="shared" si="713"/>
        <v/>
      </c>
      <c r="CW543" s="66" t="str">
        <f>+IF($W543="","",ROUND((CT543*Parámetros!$G$85),2))</f>
        <v/>
      </c>
      <c r="CX543" s="66" t="str">
        <f>+IF($W543="","",ROUND((CT543*(Parámetros!$G$86)),2))</f>
        <v/>
      </c>
      <c r="CY543" s="66" t="str">
        <f t="shared" si="714"/>
        <v/>
      </c>
      <c r="CZ543" t="str">
        <f t="shared" si="755"/>
        <v/>
      </c>
      <c r="DA543" s="118" t="str">
        <f t="shared" si="756"/>
        <v/>
      </c>
      <c r="DB543" s="118" t="str">
        <f t="shared" si="757"/>
        <v/>
      </c>
      <c r="DC543" s="118" t="str">
        <f t="shared" si="758"/>
        <v/>
      </c>
      <c r="DD543" s="121" t="str">
        <f>+IF(OR($W543="",DB543=0),"",ROUND((VLOOKUP(ROUNDDOWN($D543-1/frec,0),cob_adi,CO$40,FALSE)*(1+i/frec)^-0.5*(1+Parámetros!$D$103)*(1+rec_fracc)/frec),6))</f>
        <v/>
      </c>
      <c r="DE543" s="66" t="str">
        <f t="shared" si="715"/>
        <v/>
      </c>
      <c r="DF543" s="119" t="str">
        <f t="shared" si="716"/>
        <v/>
      </c>
      <c r="DG543" s="66" t="str">
        <f>+IF($W543="","",ROUND(IF($B543&gt;Parámetros!$D$107,'Tablas Servicio'!DE543+('Tablas Servicio'!DG542-'Tablas Servicio'!DE542),DE543/(1-IF(B543&lt;=10,Parámetros!$D$100,0))),2))</f>
        <v/>
      </c>
      <c r="DH543" s="66" t="str">
        <f t="shared" si="717"/>
        <v/>
      </c>
      <c r="DI543" s="66" t="str">
        <f t="shared" si="717"/>
        <v/>
      </c>
      <c r="DJ543" s="66" t="str">
        <f>+IF($W543="","",ROUND((DG543*Parámetros!$G$85),2))</f>
        <v/>
      </c>
      <c r="DK543" s="66" t="str">
        <f>+IF($W543="","",ROUND((DG543*(Parámetros!$G$86)),2))</f>
        <v/>
      </c>
      <c r="DL543" s="66" t="str">
        <f t="shared" si="718"/>
        <v/>
      </c>
      <c r="DM543" t="str">
        <f t="shared" si="759"/>
        <v/>
      </c>
      <c r="DN543" s="118" t="str">
        <f t="shared" si="760"/>
        <v/>
      </c>
      <c r="DO543" s="118" t="str">
        <f t="shared" si="761"/>
        <v/>
      </c>
      <c r="DP543" s="118" t="str">
        <f t="shared" si="762"/>
        <v/>
      </c>
      <c r="DQ543" s="122" t="str">
        <f>+IF(OR($W543="",DO543=0),"",ROUND((VLOOKUP(ROUNDDOWN($D543-1/frec,0),cob_adi,DB$40,FALSE)*(1+i/frec)^-0.5*(1+Parámetros!$D$103)*(1+rec_fracc)/frec),6))</f>
        <v/>
      </c>
      <c r="DR543" s="66" t="str">
        <f t="shared" si="719"/>
        <v/>
      </c>
      <c r="DS543" s="68" t="str">
        <f t="shared" si="720"/>
        <v/>
      </c>
      <c r="DT543" s="66" t="str">
        <f>+IF($W543="","",ROUND(IF($B543&gt;Parámetros!$D$107,'Tablas Servicio'!DR543+('Tablas Servicio'!DT542-'Tablas Servicio'!DR542),DR543/(1-IF(B543&lt;=10,Parámetros!$D$100,0))),2))</f>
        <v/>
      </c>
      <c r="DU543" s="66" t="str">
        <f t="shared" si="721"/>
        <v/>
      </c>
      <c r="DV543" s="66" t="str">
        <f t="shared" si="721"/>
        <v/>
      </c>
      <c r="DW543" s="66" t="str">
        <f>+IF($W543="","",ROUND((DT543*Parámetros!$G$85),2))</f>
        <v/>
      </c>
      <c r="DX543" s="66" t="str">
        <f>+IF($W543="","",ROUND((DT543*(Parámetros!$G$86)),2))</f>
        <v/>
      </c>
      <c r="DY543" s="66" t="str">
        <f t="shared" si="722"/>
        <v/>
      </c>
      <c r="DZ543" t="str">
        <f t="shared" si="765"/>
        <v/>
      </c>
      <c r="EA543" s="118" t="str">
        <f t="shared" si="765"/>
        <v/>
      </c>
      <c r="EB543" s="118" t="str">
        <f>+IF($W543="","",ROUND(IF(Parámetros!$D$25='TABLAS MORT'!$V$33,EB542,Z543/2),0))</f>
        <v/>
      </c>
      <c r="EC543" s="118" t="str">
        <f t="shared" si="765"/>
        <v/>
      </c>
      <c r="ED543" s="122" t="str">
        <f>+IF(OR($W543="",EB543=0),"",ROUND((VLOOKUP(ROUNDDOWN($D543-1/frec,0),cob_adi,DO$40,FALSE)*(1+i/frec)^-0.5*(1+Parámetros!$D$103)*(1+rec_fracc)/frec),6))</f>
        <v/>
      </c>
      <c r="EE543" s="66" t="str">
        <f t="shared" si="724"/>
        <v/>
      </c>
      <c r="EF543" s="68" t="str">
        <f t="shared" si="725"/>
        <v/>
      </c>
      <c r="EG543" s="66" t="str">
        <f>+IF($W543="","",ROUND(IF($B543&gt;Parámetros!$D$107,'Tablas Servicio'!EE543+('Tablas Servicio'!EG542-'Tablas Servicio'!EE542),EE543/(1-IF(B543&lt;=10,Parámetros!$D$100,0))),2))</f>
        <v/>
      </c>
      <c r="EH543" s="66" t="str">
        <f t="shared" si="726"/>
        <v/>
      </c>
      <c r="EI543" s="66" t="str">
        <f t="shared" si="726"/>
        <v/>
      </c>
      <c r="EJ543" s="66" t="str">
        <f>+IF($W543="","",ROUND((EG543*Parámetros!$G$85),2))</f>
        <v/>
      </c>
      <c r="EK543" s="66" t="str">
        <f>+IF($W543="","",ROUND((EG543*(Parámetros!$G$86)),2))</f>
        <v/>
      </c>
      <c r="EL543" s="66" t="str">
        <f t="shared" si="727"/>
        <v/>
      </c>
    </row>
    <row r="544" spans="1:142" x14ac:dyDescent="0.25">
      <c r="A544" t="str">
        <f>+IF($C544="","",ROUND(VLOOKUP('Tablas Servicio'!B544,Parámetros!$H$100:$J$159,IF(Parámetros!$E$16="F",2,3),FALSE),2))</f>
        <v/>
      </c>
      <c r="B544" t="str">
        <f t="shared" si="678"/>
        <v/>
      </c>
      <c r="C544" s="57" t="str">
        <f>+IF(D544="","",'Tablas Servicio'!C543+1)</f>
        <v/>
      </c>
      <c r="D544" s="56" t="str">
        <f>+IF(D543&lt;edadmaxtabla,D543+1/Parámetros!$E$25,"")</f>
        <v/>
      </c>
      <c r="E544" s="57" t="str">
        <f t="shared" si="688"/>
        <v/>
      </c>
      <c r="F544" s="59" t="str">
        <f t="shared" si="689"/>
        <v/>
      </c>
      <c r="G544" s="66" t="str">
        <f t="shared" si="679"/>
        <v/>
      </c>
      <c r="H544" s="66" t="str">
        <f t="shared" si="680"/>
        <v/>
      </c>
      <c r="I544" s="66" t="str">
        <f t="shared" si="728"/>
        <v/>
      </c>
      <c r="J544" s="66" t="str">
        <f t="shared" si="681"/>
        <v/>
      </c>
      <c r="K544" s="66" t="str">
        <f t="shared" si="682"/>
        <v/>
      </c>
      <c r="L544" s="66" t="str">
        <f t="shared" si="683"/>
        <v/>
      </c>
      <c r="M544" s="66" t="str">
        <f t="shared" si="684"/>
        <v/>
      </c>
      <c r="N544" s="66" t="str">
        <f>+IF(C544="","",ROUND(Parámetros!$D$23,2))</f>
        <v/>
      </c>
      <c r="O544" s="66" t="str">
        <f t="shared" si="685"/>
        <v/>
      </c>
      <c r="P544" s="66" t="str">
        <f>+IF($C544="","",ROUND(IF(B544&gt;Parámetros!$D$117,0,N544*Parámetros!$D$116-G544*Parámetros!$D$100),2))</f>
        <v/>
      </c>
      <c r="Q544" s="75" t="str">
        <f t="shared" si="729"/>
        <v/>
      </c>
      <c r="R544" s="75" t="str">
        <f t="shared" si="730"/>
        <v/>
      </c>
      <c r="S544" s="117" t="str">
        <f>+IF($C544="","",ROUND((S543+I544)*(1+Parámetros!$D$91),2))</f>
        <v/>
      </c>
      <c r="T544" s="117" t="str">
        <f>+IF($C544="","",ROUND(S544*VLOOKUP(B544,Parámetros!$C$30:$D$39,2,TRUE),2))</f>
        <v/>
      </c>
      <c r="U544" s="117" t="str">
        <f>+IF($C544="","",ROUND((U543+I544)*(1+Parámetros!$D$92),2))</f>
        <v/>
      </c>
      <c r="V544" s="117" t="str">
        <f>+IF($C544="","",ROUND(U544*VLOOKUP(B544,Parámetros!$C$30:$D$39,2,TRUE),2))</f>
        <v/>
      </c>
      <c r="W544" s="57" t="str">
        <f t="shared" si="731"/>
        <v/>
      </c>
      <c r="X544" t="str">
        <f t="shared" si="732"/>
        <v/>
      </c>
      <c r="Y544" t="str">
        <f t="shared" si="733"/>
        <v/>
      </c>
      <c r="Z544" s="118" t="str">
        <f>+IF($W544="","",ROUND(IF(Parámetros!$D$25='TABLAS MORT'!$V$33,Z543,Parámetros!$D$21-'Tablas Servicio'!T543),0))</f>
        <v/>
      </c>
      <c r="AA544" s="118" t="str">
        <f t="shared" si="734"/>
        <v/>
      </c>
      <c r="AB544" s="119" t="str">
        <f>+IF(W544="","",ROUND((VLOOKUP(ROUNDDOWN($D544-1/frec,0),qx_tabla,2,FALSE)*(1+i/frec)^-0.5*(1+Parámetros!$D$103)*(1+rec_fracc)/frec),6))</f>
        <v/>
      </c>
      <c r="AC544" s="66" t="str">
        <f t="shared" si="690"/>
        <v/>
      </c>
      <c r="AD544" s="119" t="str">
        <f t="shared" si="686"/>
        <v/>
      </c>
      <c r="AE544" s="66" t="str">
        <f>+IF($W544="","",ROUND(IF($B544&gt;Parámetros!$D$107,'Tablas Servicio'!AC544+('Tablas Servicio'!AG543-'Tablas Servicio'!AC543),AC544/(1-IF(B544&lt;=10,Parámetros!$D$104,Parámetros!$D$105))),2))</f>
        <v/>
      </c>
      <c r="AF544" s="66" t="str">
        <f>+IF($W544="","",ROUND(IF($B544&gt;Parámetros!$D$107,'Tablas Servicio'!AC544+('Tablas Servicio'!AG543-'Tablas Servicio'!AC543),(AC544+$A543/frec)/(1-IF(B544&lt;=Parámetros!$D$117,Parámetros!$D$100,0))),2))</f>
        <v/>
      </c>
      <c r="AG544" s="66" t="str">
        <f t="shared" si="691"/>
        <v/>
      </c>
      <c r="AH544" s="66" t="str">
        <f t="shared" si="692"/>
        <v/>
      </c>
      <c r="AI544" s="66" t="str">
        <f t="shared" si="693"/>
        <v/>
      </c>
      <c r="AJ544" s="66" t="str">
        <f>+IF($W544="","",ROUND((AG544*Parámetros!$G$85),2))</f>
        <v/>
      </c>
      <c r="AK544" s="66" t="str">
        <f>+IF($W544="","",ROUND((AG544*(Parámetros!$G$86)),2))</f>
        <v/>
      </c>
      <c r="AL544" s="66" t="str">
        <f t="shared" si="687"/>
        <v/>
      </c>
      <c r="AM544" t="str">
        <f t="shared" si="735"/>
        <v/>
      </c>
      <c r="AN544" t="str">
        <f t="shared" si="736"/>
        <v/>
      </c>
      <c r="AO544" s="118" t="str">
        <f t="shared" si="737"/>
        <v/>
      </c>
      <c r="AP544" s="118" t="str">
        <f t="shared" si="738"/>
        <v/>
      </c>
      <c r="AQ544" s="119" t="str">
        <f>+IF(OR($W544="",AO544=0),"",ROUND((VLOOKUP(ROUNDDOWN($D544-1/frec,0),cob_adi,Z$40,FALSE)*(1+i/frec)^-0.5*(1+Parámetros!$D$103)*(1+rec_fracc)/frec),6))</f>
        <v/>
      </c>
      <c r="AR544" s="66" t="str">
        <f t="shared" si="694"/>
        <v/>
      </c>
      <c r="AS544" s="119" t="str">
        <f t="shared" si="695"/>
        <v/>
      </c>
      <c r="AT544" s="66" t="str">
        <f>+IF($W544="","",ROUND(IF($B544&gt;Parámetros!$D$107,'Tablas Servicio'!AR544+('Tablas Servicio'!AT543-'Tablas Servicio'!AR543),AR544/(1-IF(B544&lt;=10,Parámetros!$D$100,0))),2))</f>
        <v/>
      </c>
      <c r="AU544" s="66" t="str">
        <f t="shared" si="696"/>
        <v/>
      </c>
      <c r="AV544" s="66" t="str">
        <f t="shared" si="696"/>
        <v/>
      </c>
      <c r="AW544" s="66" t="str">
        <f>+IF($W544="","",ROUND((AT544*Parámetros!$G$85),2))</f>
        <v/>
      </c>
      <c r="AX544" s="66" t="str">
        <f>+IF($W544="","",ROUND((AT544*(Parámetros!$G$86)),2))</f>
        <v/>
      </c>
      <c r="AY544" s="66" t="str">
        <f t="shared" si="697"/>
        <v/>
      </c>
      <c r="AZ544" t="str">
        <f t="shared" si="739"/>
        <v/>
      </c>
      <c r="BA544" t="str">
        <f t="shared" si="740"/>
        <v/>
      </c>
      <c r="BB544" s="118" t="str">
        <f t="shared" si="741"/>
        <v/>
      </c>
      <c r="BC544" s="118" t="str">
        <f t="shared" si="742"/>
        <v/>
      </c>
      <c r="BD544" s="119" t="str">
        <f>+IF(OR($W544="",BB544=0),"",ROUND((VLOOKUP(ROUNDDOWN($D544-1/frec,0),cob_adi,AO$40,FALSE)*(1+i/frec)^-0.5*(1+Parámetros!$D$103)*(1+rec_fracc)/frec),6))</f>
        <v/>
      </c>
      <c r="BE544" s="66" t="str">
        <f t="shared" si="698"/>
        <v/>
      </c>
      <c r="BF544" s="119" t="str">
        <f t="shared" si="699"/>
        <v/>
      </c>
      <c r="BG544" s="66" t="str">
        <f>+IF($W544="","",ROUND(IF($B544&gt;Parámetros!$D$107,'Tablas Servicio'!BE544+('Tablas Servicio'!BG543-'Tablas Servicio'!BE543),BE544/(1-IF(B544&lt;=10,Parámetros!$D$100,0))),2))</f>
        <v/>
      </c>
      <c r="BH544" s="66" t="str">
        <f t="shared" si="700"/>
        <v/>
      </c>
      <c r="BI544" s="66" t="str">
        <f t="shared" si="701"/>
        <v/>
      </c>
      <c r="BJ544" s="66" t="str">
        <f>+IF($W544="","",ROUND((BG544*Parámetros!$G$85),2))</f>
        <v/>
      </c>
      <c r="BK544" s="66" t="str">
        <f>+IF($W544="","",ROUND((BG544*(Parámetros!$G$86)),2))</f>
        <v/>
      </c>
      <c r="BL544" s="66" t="str">
        <f t="shared" si="702"/>
        <v/>
      </c>
      <c r="BM544" t="str">
        <f t="shared" si="743"/>
        <v/>
      </c>
      <c r="BN544" t="str">
        <f t="shared" si="744"/>
        <v/>
      </c>
      <c r="BO544" s="118" t="str">
        <f t="shared" si="745"/>
        <v/>
      </c>
      <c r="BP544" s="118" t="str">
        <f t="shared" si="746"/>
        <v/>
      </c>
      <c r="BQ544" s="119" t="str">
        <f>+IF(OR($W544="",BO544=0),"",ROUND((VLOOKUP(ROUNDDOWN($D544-1/frec,0),cob_adi,BB$40,FALSE)*(1+i/frec)^-0.5*(1+Parámetros!$D$103)*(1+rec_fracc)/frec),6))</f>
        <v/>
      </c>
      <c r="BR544" s="66" t="str">
        <f t="shared" si="703"/>
        <v/>
      </c>
      <c r="BS544" s="119" t="str">
        <f t="shared" si="704"/>
        <v/>
      </c>
      <c r="BT544" s="66" t="str">
        <f>+IF($W544="","",ROUND(IF($B544&gt;Parámetros!$D$107,'Tablas Servicio'!BR544+('Tablas Servicio'!BT543-'Tablas Servicio'!BR543),BR544/(1-IF(B544&lt;=10,Parámetros!$D$100,0))),2))</f>
        <v/>
      </c>
      <c r="BU544" s="66" t="str">
        <f t="shared" si="705"/>
        <v/>
      </c>
      <c r="BV544" s="66" t="str">
        <f t="shared" si="705"/>
        <v/>
      </c>
      <c r="BW544" s="66" t="str">
        <f>+IF($W544="","",ROUND((BT544*Parámetros!$G$85),2))</f>
        <v/>
      </c>
      <c r="BX544" s="66" t="str">
        <f>+IF($W544="","",ROUND((BT544*(Parámetros!$G$86)),2))</f>
        <v/>
      </c>
      <c r="BY544" s="66" t="str">
        <f t="shared" si="706"/>
        <v/>
      </c>
      <c r="BZ544" t="str">
        <f t="shared" si="747"/>
        <v/>
      </c>
      <c r="CA544" t="str">
        <f t="shared" si="748"/>
        <v/>
      </c>
      <c r="CB544" s="118" t="str">
        <f t="shared" si="749"/>
        <v/>
      </c>
      <c r="CC544" s="118" t="str">
        <f t="shared" si="750"/>
        <v/>
      </c>
      <c r="CD544" s="119" t="str">
        <f t="shared" si="707"/>
        <v/>
      </c>
      <c r="CE544" s="66" t="str">
        <f>+IF($W544="","",ROUND((VLOOKUP(ROUNDDOWN($D544-1/frec,0),cob_adi,BO$40,FALSE)*(1+i/frec)^-0.5*(1+Parámetros!$D$103)*(1+rec_fracc)/frec*'TABLAS ADI'!$BC$17),2))</f>
        <v/>
      </c>
      <c r="CF544" s="119" t="str">
        <f t="shared" si="708"/>
        <v/>
      </c>
      <c r="CG544" s="66" t="str">
        <f>+IF($W544="","",ROUND(IF($B544&gt;Parámetros!$D$107,'Tablas Servicio'!CE544+('Tablas Servicio'!CG543-'Tablas Servicio'!CE543),CE544/(1-IF(B544&lt;=10,Parámetros!$D$100,0))),2))</f>
        <v/>
      </c>
      <c r="CH544" s="66" t="str">
        <f t="shared" si="709"/>
        <v/>
      </c>
      <c r="CI544" s="66" t="str">
        <f t="shared" si="709"/>
        <v/>
      </c>
      <c r="CJ544" s="66" t="str">
        <f>+IF($W544="","",ROUND((CG544*Parámetros!$G$85),2))</f>
        <v/>
      </c>
      <c r="CK544" s="66" t="str">
        <f>+IF($W544="","",ROUND((CG544*(Parámetros!$G$86)),2))</f>
        <v/>
      </c>
      <c r="CL544" s="66" t="str">
        <f t="shared" si="710"/>
        <v/>
      </c>
      <c r="CM544" t="str">
        <f t="shared" si="751"/>
        <v/>
      </c>
      <c r="CN544" s="118" t="str">
        <f t="shared" si="752"/>
        <v/>
      </c>
      <c r="CO544" s="118" t="str">
        <f t="shared" si="753"/>
        <v/>
      </c>
      <c r="CP544" s="118" t="str">
        <f t="shared" si="754"/>
        <v/>
      </c>
      <c r="CQ544" s="119" t="str">
        <f t="shared" si="711"/>
        <v/>
      </c>
      <c r="CR544" s="66" t="str">
        <f>+IF($W544="","",ROUND((VLOOKUP(Parámetros!$F$51,'COBERTURAS ADICIONALES'!$S$4:$T$32,2,FALSE)*(1+i/frec)^-0.5*(1+Parámetros!$D$103)*(1+rec_fracc)/frec*$CO$42),2))</f>
        <v/>
      </c>
      <c r="CS544" s="119" t="str">
        <f t="shared" si="712"/>
        <v/>
      </c>
      <c r="CT544" s="66" t="str">
        <f>+IF($W544="","",ROUND(IF($B544&gt;Parámetros!$D$107,'Tablas Servicio'!CR544+('Tablas Servicio'!CT543-'Tablas Servicio'!CR543),CR544/(1-IF(B544&lt;=10,Parámetros!$D$100,0))),2))</f>
        <v/>
      </c>
      <c r="CU544" s="66" t="str">
        <f t="shared" si="713"/>
        <v/>
      </c>
      <c r="CV544" s="66" t="str">
        <f t="shared" si="713"/>
        <v/>
      </c>
      <c r="CW544" s="66" t="str">
        <f>+IF($W544="","",ROUND((CT544*Parámetros!$G$85),2))</f>
        <v/>
      </c>
      <c r="CX544" s="66" t="str">
        <f>+IF($W544="","",ROUND((CT544*(Parámetros!$G$86)),2))</f>
        <v/>
      </c>
      <c r="CY544" s="66" t="str">
        <f t="shared" si="714"/>
        <v/>
      </c>
      <c r="CZ544" t="str">
        <f t="shared" si="755"/>
        <v/>
      </c>
      <c r="DA544" s="118" t="str">
        <f t="shared" si="756"/>
        <v/>
      </c>
      <c r="DB544" s="118" t="str">
        <f t="shared" si="757"/>
        <v/>
      </c>
      <c r="DC544" s="118" t="str">
        <f t="shared" si="758"/>
        <v/>
      </c>
      <c r="DD544" s="121" t="str">
        <f>+IF(OR($W544="",DB544=0),"",ROUND((VLOOKUP(ROUNDDOWN($D544-1/frec,0),cob_adi,CO$40,FALSE)*(1+i/frec)^-0.5*(1+Parámetros!$D$103)*(1+rec_fracc)/frec),6))</f>
        <v/>
      </c>
      <c r="DE544" s="66" t="str">
        <f t="shared" si="715"/>
        <v/>
      </c>
      <c r="DF544" s="119" t="str">
        <f t="shared" si="716"/>
        <v/>
      </c>
      <c r="DG544" s="66" t="str">
        <f>+IF($W544="","",ROUND(IF($B544&gt;Parámetros!$D$107,'Tablas Servicio'!DE544+('Tablas Servicio'!DG543-'Tablas Servicio'!DE543),DE544/(1-IF(B544&lt;=10,Parámetros!$D$100,0))),2))</f>
        <v/>
      </c>
      <c r="DH544" s="66" t="str">
        <f t="shared" si="717"/>
        <v/>
      </c>
      <c r="DI544" s="66" t="str">
        <f t="shared" si="717"/>
        <v/>
      </c>
      <c r="DJ544" s="66" t="str">
        <f>+IF($W544="","",ROUND((DG544*Parámetros!$G$85),2))</f>
        <v/>
      </c>
      <c r="DK544" s="66" t="str">
        <f>+IF($W544="","",ROUND((DG544*(Parámetros!$G$86)),2))</f>
        <v/>
      </c>
      <c r="DL544" s="66" t="str">
        <f t="shared" si="718"/>
        <v/>
      </c>
      <c r="DM544" t="str">
        <f t="shared" si="759"/>
        <v/>
      </c>
      <c r="DN544" s="118" t="str">
        <f t="shared" si="760"/>
        <v/>
      </c>
      <c r="DO544" s="118" t="str">
        <f t="shared" si="761"/>
        <v/>
      </c>
      <c r="DP544" s="118" t="str">
        <f t="shared" si="762"/>
        <v/>
      </c>
      <c r="DQ544" s="122" t="str">
        <f>+IF(OR($W544="",DO544=0),"",ROUND((VLOOKUP(ROUNDDOWN($D544-1/frec,0),cob_adi,DB$40,FALSE)*(1+i/frec)^-0.5*(1+Parámetros!$D$103)*(1+rec_fracc)/frec),6))</f>
        <v/>
      </c>
      <c r="DR544" s="66" t="str">
        <f t="shared" si="719"/>
        <v/>
      </c>
      <c r="DS544" s="68" t="str">
        <f t="shared" si="720"/>
        <v/>
      </c>
      <c r="DT544" s="66" t="str">
        <f>+IF($W544="","",ROUND(IF($B544&gt;Parámetros!$D$107,'Tablas Servicio'!DR544+('Tablas Servicio'!DT543-'Tablas Servicio'!DR543),DR544/(1-IF(B544&lt;=10,Parámetros!$D$100,0))),2))</f>
        <v/>
      </c>
      <c r="DU544" s="66" t="str">
        <f t="shared" si="721"/>
        <v/>
      </c>
      <c r="DV544" s="66" t="str">
        <f t="shared" si="721"/>
        <v/>
      </c>
      <c r="DW544" s="66" t="str">
        <f>+IF($W544="","",ROUND((DT544*Parámetros!$G$85),2))</f>
        <v/>
      </c>
      <c r="DX544" s="66" t="str">
        <f>+IF($W544="","",ROUND((DT544*(Parámetros!$G$86)),2))</f>
        <v/>
      </c>
      <c r="DY544" s="66" t="str">
        <f t="shared" si="722"/>
        <v/>
      </c>
      <c r="DZ544" t="str">
        <f t="shared" si="765"/>
        <v/>
      </c>
      <c r="EA544" s="118" t="str">
        <f t="shared" si="765"/>
        <v/>
      </c>
      <c r="EB544" s="118" t="str">
        <f>+IF($W544="","",ROUND(IF(Parámetros!$D$25='TABLAS MORT'!$V$33,EB543,Z544/2),0))</f>
        <v/>
      </c>
      <c r="EC544" s="118" t="str">
        <f t="shared" si="765"/>
        <v/>
      </c>
      <c r="ED544" s="122" t="str">
        <f>+IF(OR($W544="",EB544=0),"",ROUND((VLOOKUP(ROUNDDOWN($D544-1/frec,0),cob_adi,DO$40,FALSE)*(1+i/frec)^-0.5*(1+Parámetros!$D$103)*(1+rec_fracc)/frec),6))</f>
        <v/>
      </c>
      <c r="EE544" s="66" t="str">
        <f t="shared" si="724"/>
        <v/>
      </c>
      <c r="EF544" s="68" t="str">
        <f t="shared" si="725"/>
        <v/>
      </c>
      <c r="EG544" s="66" t="str">
        <f>+IF($W544="","",ROUND(IF($B544&gt;Parámetros!$D$107,'Tablas Servicio'!EE544+('Tablas Servicio'!EG543-'Tablas Servicio'!EE543),EE544/(1-IF(B544&lt;=10,Parámetros!$D$100,0))),2))</f>
        <v/>
      </c>
      <c r="EH544" s="66" t="str">
        <f t="shared" si="726"/>
        <v/>
      </c>
      <c r="EI544" s="66" t="str">
        <f t="shared" si="726"/>
        <v/>
      </c>
      <c r="EJ544" s="66" t="str">
        <f>+IF($W544="","",ROUND((EG544*Parámetros!$G$85),2))</f>
        <v/>
      </c>
      <c r="EK544" s="66" t="str">
        <f>+IF($W544="","",ROUND((EG544*(Parámetros!$G$86)),2))</f>
        <v/>
      </c>
      <c r="EL544" s="66" t="str">
        <f t="shared" si="727"/>
        <v/>
      </c>
    </row>
    <row r="545" spans="1:142" x14ac:dyDescent="0.25">
      <c r="A545" t="str">
        <f>+IF($C545="","",ROUND(VLOOKUP('Tablas Servicio'!B545,Parámetros!$H$100:$J$159,IF(Parámetros!$E$16="F",2,3),FALSE),2))</f>
        <v/>
      </c>
      <c r="B545" t="str">
        <f t="shared" si="678"/>
        <v/>
      </c>
      <c r="C545" s="57" t="str">
        <f>+IF(D545="","",'Tablas Servicio'!C544+1)</f>
        <v/>
      </c>
      <c r="D545" s="56" t="str">
        <f>+IF(D544&lt;edadmaxtabla,D544+1/Parámetros!$E$25,"")</f>
        <v/>
      </c>
      <c r="E545" s="57" t="str">
        <f t="shared" si="688"/>
        <v/>
      </c>
      <c r="F545" s="59" t="str">
        <f t="shared" si="689"/>
        <v/>
      </c>
      <c r="G545" s="66" t="str">
        <f t="shared" si="679"/>
        <v/>
      </c>
      <c r="H545" s="66" t="str">
        <f t="shared" si="680"/>
        <v/>
      </c>
      <c r="I545" s="66" t="str">
        <f t="shared" si="728"/>
        <v/>
      </c>
      <c r="J545" s="66" t="str">
        <f t="shared" si="681"/>
        <v/>
      </c>
      <c r="K545" s="66" t="str">
        <f t="shared" si="682"/>
        <v/>
      </c>
      <c r="L545" s="66" t="str">
        <f t="shared" si="683"/>
        <v/>
      </c>
      <c r="M545" s="66" t="str">
        <f t="shared" si="684"/>
        <v/>
      </c>
      <c r="N545" s="66" t="str">
        <f>+IF(C545="","",ROUND(Parámetros!$D$23,2))</f>
        <v/>
      </c>
      <c r="O545" s="66" t="str">
        <f t="shared" si="685"/>
        <v/>
      </c>
      <c r="P545" s="66" t="str">
        <f>+IF($C545="","",ROUND(IF(B545&gt;Parámetros!$D$117,0,N545*Parámetros!$D$116-G545*Parámetros!$D$100),2))</f>
        <v/>
      </c>
      <c r="Q545" s="75" t="str">
        <f t="shared" si="729"/>
        <v/>
      </c>
      <c r="R545" s="75" t="str">
        <f t="shared" si="730"/>
        <v/>
      </c>
      <c r="S545" s="117" t="str">
        <f>+IF($C545="","",ROUND((S544+I545)*(1+Parámetros!$D$91),2))</f>
        <v/>
      </c>
      <c r="T545" s="117" t="str">
        <f>+IF($C545="","",ROUND(S545*VLOOKUP(B545,Parámetros!$C$30:$D$39,2,TRUE),2))</f>
        <v/>
      </c>
      <c r="U545" s="117" t="str">
        <f>+IF($C545="","",ROUND((U544+I545)*(1+Parámetros!$D$92),2))</f>
        <v/>
      </c>
      <c r="V545" s="117" t="str">
        <f>+IF($C545="","",ROUND(U545*VLOOKUP(B545,Parámetros!$C$30:$D$39,2,TRUE),2))</f>
        <v/>
      </c>
      <c r="W545" s="57" t="str">
        <f t="shared" si="731"/>
        <v/>
      </c>
      <c r="X545" t="str">
        <f t="shared" si="732"/>
        <v/>
      </c>
      <c r="Y545" t="str">
        <f t="shared" si="733"/>
        <v/>
      </c>
      <c r="Z545" s="118" t="str">
        <f>+IF($W545="","",ROUND(IF(Parámetros!$D$25='TABLAS MORT'!$V$33,Z544,Parámetros!$D$21-'Tablas Servicio'!T544),0))</f>
        <v/>
      </c>
      <c r="AA545" s="118" t="str">
        <f t="shared" si="734"/>
        <v/>
      </c>
      <c r="AB545" s="119" t="str">
        <f>+IF(W545="","",ROUND((VLOOKUP(ROUNDDOWN($D545-1/frec,0),qx_tabla,2,FALSE)*(1+i/frec)^-0.5*(1+Parámetros!$D$103)*(1+rec_fracc)/frec),6))</f>
        <v/>
      </c>
      <c r="AC545" s="66" t="str">
        <f t="shared" si="690"/>
        <v/>
      </c>
      <c r="AD545" s="119" t="str">
        <f t="shared" si="686"/>
        <v/>
      </c>
      <c r="AE545" s="66" t="str">
        <f>+IF($W545="","",ROUND(IF($B545&gt;Parámetros!$D$107,'Tablas Servicio'!AC545+('Tablas Servicio'!AG544-'Tablas Servicio'!AC544),AC545/(1-IF(B545&lt;=10,Parámetros!$D$104,Parámetros!$D$105))),2))</f>
        <v/>
      </c>
      <c r="AF545" s="66" t="str">
        <f>+IF($W545="","",ROUND(IF($B545&gt;Parámetros!$D$107,'Tablas Servicio'!AC545+('Tablas Servicio'!AG544-'Tablas Servicio'!AC544),(AC545+$A544/frec)/(1-IF(B545&lt;=Parámetros!$D$117,Parámetros!$D$100,0))),2))</f>
        <v/>
      </c>
      <c r="AG545" s="66" t="str">
        <f t="shared" si="691"/>
        <v/>
      </c>
      <c r="AH545" s="66" t="str">
        <f t="shared" si="692"/>
        <v/>
      </c>
      <c r="AI545" s="66" t="str">
        <f t="shared" si="693"/>
        <v/>
      </c>
      <c r="AJ545" s="66" t="str">
        <f>+IF($W545="","",ROUND((AG545*Parámetros!$G$85),2))</f>
        <v/>
      </c>
      <c r="AK545" s="66" t="str">
        <f>+IF($W545="","",ROUND((AG545*(Parámetros!$G$86)),2))</f>
        <v/>
      </c>
      <c r="AL545" s="66" t="str">
        <f t="shared" si="687"/>
        <v/>
      </c>
      <c r="AM545" t="str">
        <f t="shared" si="735"/>
        <v/>
      </c>
      <c r="AN545" t="str">
        <f t="shared" si="736"/>
        <v/>
      </c>
      <c r="AO545" s="118" t="str">
        <f t="shared" si="737"/>
        <v/>
      </c>
      <c r="AP545" s="118" t="str">
        <f t="shared" si="738"/>
        <v/>
      </c>
      <c r="AQ545" s="119" t="str">
        <f>+IF(OR($W545="",AO545=0),"",ROUND((VLOOKUP(ROUNDDOWN($D545-1/frec,0),cob_adi,Z$40,FALSE)*(1+i/frec)^-0.5*(1+Parámetros!$D$103)*(1+rec_fracc)/frec),6))</f>
        <v/>
      </c>
      <c r="AR545" s="66" t="str">
        <f t="shared" si="694"/>
        <v/>
      </c>
      <c r="AS545" s="119" t="str">
        <f t="shared" si="695"/>
        <v/>
      </c>
      <c r="AT545" s="66" t="str">
        <f>+IF($W545="","",ROUND(IF($B545&gt;Parámetros!$D$107,'Tablas Servicio'!AR545+('Tablas Servicio'!AT544-'Tablas Servicio'!AR544),AR545/(1-IF(B545&lt;=10,Parámetros!$D$100,0))),2))</f>
        <v/>
      </c>
      <c r="AU545" s="66" t="str">
        <f t="shared" si="696"/>
        <v/>
      </c>
      <c r="AV545" s="66" t="str">
        <f t="shared" si="696"/>
        <v/>
      </c>
      <c r="AW545" s="66" t="str">
        <f>+IF($W545="","",ROUND((AT545*Parámetros!$G$85),2))</f>
        <v/>
      </c>
      <c r="AX545" s="66" t="str">
        <f>+IF($W545="","",ROUND((AT545*(Parámetros!$G$86)),2))</f>
        <v/>
      </c>
      <c r="AY545" s="66" t="str">
        <f t="shared" si="697"/>
        <v/>
      </c>
      <c r="AZ545" t="str">
        <f t="shared" si="739"/>
        <v/>
      </c>
      <c r="BA545" t="str">
        <f t="shared" si="740"/>
        <v/>
      </c>
      <c r="BB545" s="118" t="str">
        <f t="shared" si="741"/>
        <v/>
      </c>
      <c r="BC545" s="118" t="str">
        <f t="shared" si="742"/>
        <v/>
      </c>
      <c r="BD545" s="119" t="str">
        <f>+IF(OR($W545="",BB545=0),"",ROUND((VLOOKUP(ROUNDDOWN($D545-1/frec,0),cob_adi,AO$40,FALSE)*(1+i/frec)^-0.5*(1+Parámetros!$D$103)*(1+rec_fracc)/frec),6))</f>
        <v/>
      </c>
      <c r="BE545" s="66" t="str">
        <f t="shared" si="698"/>
        <v/>
      </c>
      <c r="BF545" s="119" t="str">
        <f t="shared" si="699"/>
        <v/>
      </c>
      <c r="BG545" s="66" t="str">
        <f>+IF($W545="","",ROUND(IF($B545&gt;Parámetros!$D$107,'Tablas Servicio'!BE545+('Tablas Servicio'!BG544-'Tablas Servicio'!BE544),BE545/(1-IF(B545&lt;=10,Parámetros!$D$100,0))),2))</f>
        <v/>
      </c>
      <c r="BH545" s="66" t="str">
        <f t="shared" si="700"/>
        <v/>
      </c>
      <c r="BI545" s="66" t="str">
        <f t="shared" si="701"/>
        <v/>
      </c>
      <c r="BJ545" s="66" t="str">
        <f>+IF($W545="","",ROUND((BG545*Parámetros!$G$85),2))</f>
        <v/>
      </c>
      <c r="BK545" s="66" t="str">
        <f>+IF($W545="","",ROUND((BG545*(Parámetros!$G$86)),2))</f>
        <v/>
      </c>
      <c r="BL545" s="66" t="str">
        <f t="shared" si="702"/>
        <v/>
      </c>
      <c r="BM545" t="str">
        <f t="shared" si="743"/>
        <v/>
      </c>
      <c r="BN545" t="str">
        <f t="shared" si="744"/>
        <v/>
      </c>
      <c r="BO545" s="118" t="str">
        <f t="shared" si="745"/>
        <v/>
      </c>
      <c r="BP545" s="118" t="str">
        <f t="shared" si="746"/>
        <v/>
      </c>
      <c r="BQ545" s="119" t="str">
        <f>+IF(OR($W545="",BO545=0),"",ROUND((VLOOKUP(ROUNDDOWN($D545-1/frec,0),cob_adi,BB$40,FALSE)*(1+i/frec)^-0.5*(1+Parámetros!$D$103)*(1+rec_fracc)/frec),6))</f>
        <v/>
      </c>
      <c r="BR545" s="66" t="str">
        <f t="shared" si="703"/>
        <v/>
      </c>
      <c r="BS545" s="119" t="str">
        <f t="shared" si="704"/>
        <v/>
      </c>
      <c r="BT545" s="66" t="str">
        <f>+IF($W545="","",ROUND(IF($B545&gt;Parámetros!$D$107,'Tablas Servicio'!BR545+('Tablas Servicio'!BT544-'Tablas Servicio'!BR544),BR545/(1-IF(B545&lt;=10,Parámetros!$D$100,0))),2))</f>
        <v/>
      </c>
      <c r="BU545" s="66" t="str">
        <f t="shared" si="705"/>
        <v/>
      </c>
      <c r="BV545" s="66" t="str">
        <f t="shared" si="705"/>
        <v/>
      </c>
      <c r="BW545" s="66" t="str">
        <f>+IF($W545="","",ROUND((BT545*Parámetros!$G$85),2))</f>
        <v/>
      </c>
      <c r="BX545" s="66" t="str">
        <f>+IF($W545="","",ROUND((BT545*(Parámetros!$G$86)),2))</f>
        <v/>
      </c>
      <c r="BY545" s="66" t="str">
        <f t="shared" si="706"/>
        <v/>
      </c>
      <c r="BZ545" t="str">
        <f t="shared" si="747"/>
        <v/>
      </c>
      <c r="CA545" t="str">
        <f t="shared" si="748"/>
        <v/>
      </c>
      <c r="CB545" s="118" t="str">
        <f t="shared" si="749"/>
        <v/>
      </c>
      <c r="CC545" s="118" t="str">
        <f t="shared" si="750"/>
        <v/>
      </c>
      <c r="CD545" s="119" t="str">
        <f t="shared" si="707"/>
        <v/>
      </c>
      <c r="CE545" s="66" t="str">
        <f>+IF($W545="","",ROUND((VLOOKUP(ROUNDDOWN($D545-1/frec,0),cob_adi,BO$40,FALSE)*(1+i/frec)^-0.5*(1+Parámetros!$D$103)*(1+rec_fracc)/frec*'TABLAS ADI'!$BC$17),2))</f>
        <v/>
      </c>
      <c r="CF545" s="119" t="str">
        <f t="shared" si="708"/>
        <v/>
      </c>
      <c r="CG545" s="66" t="str">
        <f>+IF($W545="","",ROUND(IF($B545&gt;Parámetros!$D$107,'Tablas Servicio'!CE545+('Tablas Servicio'!CG544-'Tablas Servicio'!CE544),CE545/(1-IF(B545&lt;=10,Parámetros!$D$100,0))),2))</f>
        <v/>
      </c>
      <c r="CH545" s="66" t="str">
        <f t="shared" si="709"/>
        <v/>
      </c>
      <c r="CI545" s="66" t="str">
        <f t="shared" si="709"/>
        <v/>
      </c>
      <c r="CJ545" s="66" t="str">
        <f>+IF($W545="","",ROUND((CG545*Parámetros!$G$85),2))</f>
        <v/>
      </c>
      <c r="CK545" s="66" t="str">
        <f>+IF($W545="","",ROUND((CG545*(Parámetros!$G$86)),2))</f>
        <v/>
      </c>
      <c r="CL545" s="66" t="str">
        <f t="shared" si="710"/>
        <v/>
      </c>
      <c r="CM545" t="str">
        <f t="shared" si="751"/>
        <v/>
      </c>
      <c r="CN545" s="118" t="str">
        <f t="shared" si="752"/>
        <v/>
      </c>
      <c r="CO545" s="118" t="str">
        <f t="shared" si="753"/>
        <v/>
      </c>
      <c r="CP545" s="118" t="str">
        <f t="shared" si="754"/>
        <v/>
      </c>
      <c r="CQ545" s="119" t="str">
        <f t="shared" si="711"/>
        <v/>
      </c>
      <c r="CR545" s="66" t="str">
        <f>+IF($W545="","",ROUND((VLOOKUP(Parámetros!$F$51,'COBERTURAS ADICIONALES'!$S$4:$T$32,2,FALSE)*(1+i/frec)^-0.5*(1+Parámetros!$D$103)*(1+rec_fracc)/frec*$CO$42),2))</f>
        <v/>
      </c>
      <c r="CS545" s="119" t="str">
        <f t="shared" si="712"/>
        <v/>
      </c>
      <c r="CT545" s="66" t="str">
        <f>+IF($W545="","",ROUND(IF($B545&gt;Parámetros!$D$107,'Tablas Servicio'!CR545+('Tablas Servicio'!CT544-'Tablas Servicio'!CR544),CR545/(1-IF(B545&lt;=10,Parámetros!$D$100,0))),2))</f>
        <v/>
      </c>
      <c r="CU545" s="66" t="str">
        <f t="shared" si="713"/>
        <v/>
      </c>
      <c r="CV545" s="66" t="str">
        <f t="shared" si="713"/>
        <v/>
      </c>
      <c r="CW545" s="66" t="str">
        <f>+IF($W545="","",ROUND((CT545*Parámetros!$G$85),2))</f>
        <v/>
      </c>
      <c r="CX545" s="66" t="str">
        <f>+IF($W545="","",ROUND((CT545*(Parámetros!$G$86)),2))</f>
        <v/>
      </c>
      <c r="CY545" s="66" t="str">
        <f t="shared" si="714"/>
        <v/>
      </c>
      <c r="CZ545" t="str">
        <f t="shared" si="755"/>
        <v/>
      </c>
      <c r="DA545" s="118" t="str">
        <f t="shared" si="756"/>
        <v/>
      </c>
      <c r="DB545" s="118" t="str">
        <f t="shared" si="757"/>
        <v/>
      </c>
      <c r="DC545" s="118" t="str">
        <f t="shared" si="758"/>
        <v/>
      </c>
      <c r="DD545" s="121" t="str">
        <f>+IF(OR($W545="",DB545=0),"",ROUND((VLOOKUP(ROUNDDOWN($D545-1/frec,0),cob_adi,CO$40,FALSE)*(1+i/frec)^-0.5*(1+Parámetros!$D$103)*(1+rec_fracc)/frec),6))</f>
        <v/>
      </c>
      <c r="DE545" s="66" t="str">
        <f t="shared" si="715"/>
        <v/>
      </c>
      <c r="DF545" s="119" t="str">
        <f t="shared" si="716"/>
        <v/>
      </c>
      <c r="DG545" s="66" t="str">
        <f>+IF($W545="","",ROUND(IF($B545&gt;Parámetros!$D$107,'Tablas Servicio'!DE545+('Tablas Servicio'!DG544-'Tablas Servicio'!DE544),DE545/(1-IF(B545&lt;=10,Parámetros!$D$100,0))),2))</f>
        <v/>
      </c>
      <c r="DH545" s="66" t="str">
        <f t="shared" si="717"/>
        <v/>
      </c>
      <c r="DI545" s="66" t="str">
        <f t="shared" si="717"/>
        <v/>
      </c>
      <c r="DJ545" s="66" t="str">
        <f>+IF($W545="","",ROUND((DG545*Parámetros!$G$85),2))</f>
        <v/>
      </c>
      <c r="DK545" s="66" t="str">
        <f>+IF($W545="","",ROUND((DG545*(Parámetros!$G$86)),2))</f>
        <v/>
      </c>
      <c r="DL545" s="66" t="str">
        <f t="shared" si="718"/>
        <v/>
      </c>
      <c r="DM545" t="str">
        <f t="shared" si="759"/>
        <v/>
      </c>
      <c r="DN545" s="118" t="str">
        <f t="shared" si="760"/>
        <v/>
      </c>
      <c r="DO545" s="118" t="str">
        <f t="shared" si="761"/>
        <v/>
      </c>
      <c r="DP545" s="118" t="str">
        <f t="shared" si="762"/>
        <v/>
      </c>
      <c r="DQ545" s="122" t="str">
        <f>+IF(OR($W545="",DO545=0),"",ROUND((VLOOKUP(ROUNDDOWN($D545-1/frec,0),cob_adi,DB$40,FALSE)*(1+i/frec)^-0.5*(1+Parámetros!$D$103)*(1+rec_fracc)/frec),6))</f>
        <v/>
      </c>
      <c r="DR545" s="66" t="str">
        <f t="shared" si="719"/>
        <v/>
      </c>
      <c r="DS545" s="68" t="str">
        <f t="shared" si="720"/>
        <v/>
      </c>
      <c r="DT545" s="66" t="str">
        <f>+IF($W545="","",ROUND(IF($B545&gt;Parámetros!$D$107,'Tablas Servicio'!DR545+('Tablas Servicio'!DT544-'Tablas Servicio'!DR544),DR545/(1-IF(B545&lt;=10,Parámetros!$D$100,0))),2))</f>
        <v/>
      </c>
      <c r="DU545" s="66" t="str">
        <f t="shared" si="721"/>
        <v/>
      </c>
      <c r="DV545" s="66" t="str">
        <f t="shared" si="721"/>
        <v/>
      </c>
      <c r="DW545" s="66" t="str">
        <f>+IF($W545="","",ROUND((DT545*Parámetros!$G$85),2))</f>
        <v/>
      </c>
      <c r="DX545" s="66" t="str">
        <f>+IF($W545="","",ROUND((DT545*(Parámetros!$G$86)),2))</f>
        <v/>
      </c>
      <c r="DY545" s="66" t="str">
        <f t="shared" si="722"/>
        <v/>
      </c>
      <c r="DZ545" t="str">
        <f t="shared" si="765"/>
        <v/>
      </c>
      <c r="EA545" s="118" t="str">
        <f t="shared" si="765"/>
        <v/>
      </c>
      <c r="EB545" s="118" t="str">
        <f>+IF($W545="","",ROUND(IF(Parámetros!$D$25='TABLAS MORT'!$V$33,EB544,Z545/2),0))</f>
        <v/>
      </c>
      <c r="EC545" s="118" t="str">
        <f t="shared" si="765"/>
        <v/>
      </c>
      <c r="ED545" s="122" t="str">
        <f>+IF(OR($W545="",EB545=0),"",ROUND((VLOOKUP(ROUNDDOWN($D545-1/frec,0),cob_adi,DO$40,FALSE)*(1+i/frec)^-0.5*(1+Parámetros!$D$103)*(1+rec_fracc)/frec),6))</f>
        <v/>
      </c>
      <c r="EE545" s="66" t="str">
        <f t="shared" si="724"/>
        <v/>
      </c>
      <c r="EF545" s="68" t="str">
        <f t="shared" si="725"/>
        <v/>
      </c>
      <c r="EG545" s="66" t="str">
        <f>+IF($W545="","",ROUND(IF($B545&gt;Parámetros!$D$107,'Tablas Servicio'!EE545+('Tablas Servicio'!EG544-'Tablas Servicio'!EE544),EE545/(1-IF(B545&lt;=10,Parámetros!$D$100,0))),2))</f>
        <v/>
      </c>
      <c r="EH545" s="66" t="str">
        <f t="shared" si="726"/>
        <v/>
      </c>
      <c r="EI545" s="66" t="str">
        <f t="shared" si="726"/>
        <v/>
      </c>
      <c r="EJ545" s="66" t="str">
        <f>+IF($W545="","",ROUND((EG545*Parámetros!$G$85),2))</f>
        <v/>
      </c>
      <c r="EK545" s="66" t="str">
        <f>+IF($W545="","",ROUND((EG545*(Parámetros!$G$86)),2))</f>
        <v/>
      </c>
      <c r="EL545" s="66" t="str">
        <f t="shared" si="727"/>
        <v/>
      </c>
    </row>
    <row r="546" spans="1:142" x14ac:dyDescent="0.25">
      <c r="A546" t="str">
        <f>+IF($C546="","",ROUND(VLOOKUP('Tablas Servicio'!B546,Parámetros!$H$100:$J$159,IF(Parámetros!$E$16="F",2,3),FALSE),2))</f>
        <v/>
      </c>
      <c r="B546" t="str">
        <f t="shared" si="678"/>
        <v/>
      </c>
      <c r="C546" s="57" t="str">
        <f>+IF(D546="","",'Tablas Servicio'!C545+1)</f>
        <v/>
      </c>
      <c r="D546" s="56" t="str">
        <f>+IF(D545&lt;edadmaxtabla,D545+1/Parámetros!$E$25,"")</f>
        <v/>
      </c>
      <c r="E546" s="57" t="str">
        <f t="shared" si="688"/>
        <v/>
      </c>
      <c r="F546" s="59" t="str">
        <f t="shared" si="689"/>
        <v/>
      </c>
      <c r="G546" s="66" t="str">
        <f t="shared" si="679"/>
        <v/>
      </c>
      <c r="H546" s="66" t="str">
        <f t="shared" si="680"/>
        <v/>
      </c>
      <c r="I546" s="66" t="str">
        <f t="shared" si="728"/>
        <v/>
      </c>
      <c r="J546" s="66" t="str">
        <f t="shared" si="681"/>
        <v/>
      </c>
      <c r="K546" s="66" t="str">
        <f t="shared" si="682"/>
        <v/>
      </c>
      <c r="L546" s="66" t="str">
        <f t="shared" si="683"/>
        <v/>
      </c>
      <c r="M546" s="66" t="str">
        <f t="shared" si="684"/>
        <v/>
      </c>
      <c r="N546" s="66" t="str">
        <f>+IF(C546="","",ROUND(Parámetros!$D$23,2))</f>
        <v/>
      </c>
      <c r="O546" s="66" t="str">
        <f t="shared" si="685"/>
        <v/>
      </c>
      <c r="P546" s="66" t="str">
        <f>+IF($C546="","",ROUND(IF(B546&gt;Parámetros!$D$117,0,N546*Parámetros!$D$116-G546*Parámetros!$D$100),2))</f>
        <v/>
      </c>
      <c r="Q546" s="75" t="str">
        <f t="shared" si="729"/>
        <v/>
      </c>
      <c r="R546" s="75" t="str">
        <f t="shared" si="730"/>
        <v/>
      </c>
      <c r="S546" s="117" t="str">
        <f>+IF($C546="","",ROUND((S545+I546)*(1+Parámetros!$D$91),2))</f>
        <v/>
      </c>
      <c r="T546" s="117" t="str">
        <f>+IF($C546="","",ROUND(S546*VLOOKUP(B546,Parámetros!$C$30:$D$39,2,TRUE),2))</f>
        <v/>
      </c>
      <c r="U546" s="117" t="str">
        <f>+IF($C546="","",ROUND((U545+I546)*(1+Parámetros!$D$92),2))</f>
        <v/>
      </c>
      <c r="V546" s="117" t="str">
        <f>+IF($C546="","",ROUND(U546*VLOOKUP(B546,Parámetros!$C$30:$D$39,2,TRUE),2))</f>
        <v/>
      </c>
      <c r="W546" s="57" t="str">
        <f t="shared" si="731"/>
        <v/>
      </c>
      <c r="X546" t="str">
        <f t="shared" si="732"/>
        <v/>
      </c>
      <c r="Y546" t="str">
        <f t="shared" si="733"/>
        <v/>
      </c>
      <c r="Z546" s="118" t="str">
        <f>+IF($W546="","",ROUND(IF(Parámetros!$D$25='TABLAS MORT'!$V$33,Z545,Parámetros!$D$21-'Tablas Servicio'!T545),0))</f>
        <v/>
      </c>
      <c r="AA546" s="118" t="str">
        <f t="shared" si="734"/>
        <v/>
      </c>
      <c r="AB546" s="119" t="str">
        <f>+IF(W546="","",ROUND((VLOOKUP(ROUNDDOWN($D546-1/frec,0),qx_tabla,2,FALSE)*(1+i/frec)^-0.5*(1+Parámetros!$D$103)*(1+rec_fracc)/frec),6))</f>
        <v/>
      </c>
      <c r="AC546" s="66" t="str">
        <f t="shared" si="690"/>
        <v/>
      </c>
      <c r="AD546" s="119" t="str">
        <f t="shared" si="686"/>
        <v/>
      </c>
      <c r="AE546" s="66" t="str">
        <f>+IF($W546="","",ROUND(IF($B546&gt;Parámetros!$D$107,'Tablas Servicio'!AC546+('Tablas Servicio'!AG545-'Tablas Servicio'!AC545),AC546/(1-IF(B546&lt;=10,Parámetros!$D$104,Parámetros!$D$105))),2))</f>
        <v/>
      </c>
      <c r="AF546" s="66" t="str">
        <f>+IF($W546="","",ROUND(IF($B546&gt;Parámetros!$D$107,'Tablas Servicio'!AC546+('Tablas Servicio'!AG545-'Tablas Servicio'!AC545),(AC546+$A545/frec)/(1-IF(B546&lt;=Parámetros!$D$117,Parámetros!$D$100,0))),2))</f>
        <v/>
      </c>
      <c r="AG546" s="66" t="str">
        <f t="shared" si="691"/>
        <v/>
      </c>
      <c r="AH546" s="66" t="str">
        <f t="shared" si="692"/>
        <v/>
      </c>
      <c r="AI546" s="66" t="str">
        <f t="shared" si="693"/>
        <v/>
      </c>
      <c r="AJ546" s="66" t="str">
        <f>+IF($W546="","",ROUND((AG546*Parámetros!$G$85),2))</f>
        <v/>
      </c>
      <c r="AK546" s="66" t="str">
        <f>+IF($W546="","",ROUND((AG546*(Parámetros!$G$86)),2))</f>
        <v/>
      </c>
      <c r="AL546" s="66" t="str">
        <f t="shared" si="687"/>
        <v/>
      </c>
      <c r="AM546" t="str">
        <f t="shared" si="735"/>
        <v/>
      </c>
      <c r="AN546" t="str">
        <f t="shared" si="736"/>
        <v/>
      </c>
      <c r="AO546" s="118" t="str">
        <f t="shared" si="737"/>
        <v/>
      </c>
      <c r="AP546" s="118" t="str">
        <f t="shared" si="738"/>
        <v/>
      </c>
      <c r="AQ546" s="119" t="str">
        <f>+IF(OR($W546="",AO546=0),"",ROUND((VLOOKUP(ROUNDDOWN($D546-1/frec,0),cob_adi,Z$40,FALSE)*(1+i/frec)^-0.5*(1+Parámetros!$D$103)*(1+rec_fracc)/frec),6))</f>
        <v/>
      </c>
      <c r="AR546" s="66" t="str">
        <f t="shared" si="694"/>
        <v/>
      </c>
      <c r="AS546" s="119" t="str">
        <f t="shared" si="695"/>
        <v/>
      </c>
      <c r="AT546" s="66" t="str">
        <f>+IF($W546="","",ROUND(IF($B546&gt;Parámetros!$D$107,'Tablas Servicio'!AR546+('Tablas Servicio'!AT545-'Tablas Servicio'!AR545),AR546/(1-IF(B546&lt;=10,Parámetros!$D$100,0))),2))</f>
        <v/>
      </c>
      <c r="AU546" s="66" t="str">
        <f t="shared" si="696"/>
        <v/>
      </c>
      <c r="AV546" s="66" t="str">
        <f t="shared" si="696"/>
        <v/>
      </c>
      <c r="AW546" s="66" t="str">
        <f>+IF($W546="","",ROUND((AT546*Parámetros!$G$85),2))</f>
        <v/>
      </c>
      <c r="AX546" s="66" t="str">
        <f>+IF($W546="","",ROUND((AT546*(Parámetros!$G$86)),2))</f>
        <v/>
      </c>
      <c r="AY546" s="66" t="str">
        <f t="shared" si="697"/>
        <v/>
      </c>
      <c r="AZ546" t="str">
        <f t="shared" si="739"/>
        <v/>
      </c>
      <c r="BA546" t="str">
        <f t="shared" si="740"/>
        <v/>
      </c>
      <c r="BB546" s="118" t="str">
        <f t="shared" si="741"/>
        <v/>
      </c>
      <c r="BC546" s="118" t="str">
        <f t="shared" si="742"/>
        <v/>
      </c>
      <c r="BD546" s="119" t="str">
        <f>+IF(OR($W546="",BB546=0),"",ROUND((VLOOKUP(ROUNDDOWN($D546-1/frec,0),cob_adi,AO$40,FALSE)*(1+i/frec)^-0.5*(1+Parámetros!$D$103)*(1+rec_fracc)/frec),6))</f>
        <v/>
      </c>
      <c r="BE546" s="66" t="str">
        <f t="shared" si="698"/>
        <v/>
      </c>
      <c r="BF546" s="119" t="str">
        <f t="shared" si="699"/>
        <v/>
      </c>
      <c r="BG546" s="66" t="str">
        <f>+IF($W546="","",ROUND(IF($B546&gt;Parámetros!$D$107,'Tablas Servicio'!BE546+('Tablas Servicio'!BG545-'Tablas Servicio'!BE545),BE546/(1-IF(B546&lt;=10,Parámetros!$D$100,0))),2))</f>
        <v/>
      </c>
      <c r="BH546" s="66" t="str">
        <f t="shared" si="700"/>
        <v/>
      </c>
      <c r="BI546" s="66" t="str">
        <f t="shared" si="701"/>
        <v/>
      </c>
      <c r="BJ546" s="66" t="str">
        <f>+IF($W546="","",ROUND((BG546*Parámetros!$G$85),2))</f>
        <v/>
      </c>
      <c r="BK546" s="66" t="str">
        <f>+IF($W546="","",ROUND((BG546*(Parámetros!$G$86)),2))</f>
        <v/>
      </c>
      <c r="BL546" s="66" t="str">
        <f t="shared" si="702"/>
        <v/>
      </c>
      <c r="BM546" t="str">
        <f t="shared" si="743"/>
        <v/>
      </c>
      <c r="BN546" t="str">
        <f t="shared" si="744"/>
        <v/>
      </c>
      <c r="BO546" s="118" t="str">
        <f t="shared" si="745"/>
        <v/>
      </c>
      <c r="BP546" s="118" t="str">
        <f t="shared" si="746"/>
        <v/>
      </c>
      <c r="BQ546" s="119" t="str">
        <f>+IF(OR($W546="",BO546=0),"",ROUND((VLOOKUP(ROUNDDOWN($D546-1/frec,0),cob_adi,BB$40,FALSE)*(1+i/frec)^-0.5*(1+Parámetros!$D$103)*(1+rec_fracc)/frec),6))</f>
        <v/>
      </c>
      <c r="BR546" s="66" t="str">
        <f t="shared" si="703"/>
        <v/>
      </c>
      <c r="BS546" s="119" t="str">
        <f t="shared" si="704"/>
        <v/>
      </c>
      <c r="BT546" s="66" t="str">
        <f>+IF($W546="","",ROUND(IF($B546&gt;Parámetros!$D$107,'Tablas Servicio'!BR546+('Tablas Servicio'!BT545-'Tablas Servicio'!BR545),BR546/(1-IF(B546&lt;=10,Parámetros!$D$100,0))),2))</f>
        <v/>
      </c>
      <c r="BU546" s="66" t="str">
        <f t="shared" si="705"/>
        <v/>
      </c>
      <c r="BV546" s="66" t="str">
        <f t="shared" si="705"/>
        <v/>
      </c>
      <c r="BW546" s="66" t="str">
        <f>+IF($W546="","",ROUND((BT546*Parámetros!$G$85),2))</f>
        <v/>
      </c>
      <c r="BX546" s="66" t="str">
        <f>+IF($W546="","",ROUND((BT546*(Parámetros!$G$86)),2))</f>
        <v/>
      </c>
      <c r="BY546" s="66" t="str">
        <f t="shared" si="706"/>
        <v/>
      </c>
      <c r="BZ546" t="str">
        <f t="shared" si="747"/>
        <v/>
      </c>
      <c r="CA546" t="str">
        <f t="shared" si="748"/>
        <v/>
      </c>
      <c r="CB546" s="118" t="str">
        <f t="shared" si="749"/>
        <v/>
      </c>
      <c r="CC546" s="118" t="str">
        <f t="shared" si="750"/>
        <v/>
      </c>
      <c r="CD546" s="119" t="str">
        <f t="shared" si="707"/>
        <v/>
      </c>
      <c r="CE546" s="66" t="str">
        <f>+IF($W546="","",ROUND((VLOOKUP(ROUNDDOWN($D546-1/frec,0),cob_adi,BO$40,FALSE)*(1+i/frec)^-0.5*(1+Parámetros!$D$103)*(1+rec_fracc)/frec*'TABLAS ADI'!$BC$17),2))</f>
        <v/>
      </c>
      <c r="CF546" s="119" t="str">
        <f t="shared" si="708"/>
        <v/>
      </c>
      <c r="CG546" s="66" t="str">
        <f>+IF($W546="","",ROUND(IF($B546&gt;Parámetros!$D$107,'Tablas Servicio'!CE546+('Tablas Servicio'!CG545-'Tablas Servicio'!CE545),CE546/(1-IF(B546&lt;=10,Parámetros!$D$100,0))),2))</f>
        <v/>
      </c>
      <c r="CH546" s="66" t="str">
        <f t="shared" si="709"/>
        <v/>
      </c>
      <c r="CI546" s="66" t="str">
        <f t="shared" si="709"/>
        <v/>
      </c>
      <c r="CJ546" s="66" t="str">
        <f>+IF($W546="","",ROUND((CG546*Parámetros!$G$85),2))</f>
        <v/>
      </c>
      <c r="CK546" s="66" t="str">
        <f>+IF($W546="","",ROUND((CG546*(Parámetros!$G$86)),2))</f>
        <v/>
      </c>
      <c r="CL546" s="66" t="str">
        <f t="shared" si="710"/>
        <v/>
      </c>
      <c r="CM546" t="str">
        <f t="shared" si="751"/>
        <v/>
      </c>
      <c r="CN546" s="118" t="str">
        <f t="shared" si="752"/>
        <v/>
      </c>
      <c r="CO546" s="118" t="str">
        <f t="shared" si="753"/>
        <v/>
      </c>
      <c r="CP546" s="118" t="str">
        <f t="shared" si="754"/>
        <v/>
      </c>
      <c r="CQ546" s="119" t="str">
        <f t="shared" si="711"/>
        <v/>
      </c>
      <c r="CR546" s="66" t="str">
        <f>+IF($W546="","",ROUND((VLOOKUP(Parámetros!$F$51,'COBERTURAS ADICIONALES'!$S$4:$T$32,2,FALSE)*(1+i/frec)^-0.5*(1+Parámetros!$D$103)*(1+rec_fracc)/frec*$CO$42),2))</f>
        <v/>
      </c>
      <c r="CS546" s="119" t="str">
        <f t="shared" si="712"/>
        <v/>
      </c>
      <c r="CT546" s="66" t="str">
        <f>+IF($W546="","",ROUND(IF($B546&gt;Parámetros!$D$107,'Tablas Servicio'!CR546+('Tablas Servicio'!CT545-'Tablas Servicio'!CR545),CR546/(1-IF(B546&lt;=10,Parámetros!$D$100,0))),2))</f>
        <v/>
      </c>
      <c r="CU546" s="66" t="str">
        <f t="shared" si="713"/>
        <v/>
      </c>
      <c r="CV546" s="66" t="str">
        <f t="shared" si="713"/>
        <v/>
      </c>
      <c r="CW546" s="66" t="str">
        <f>+IF($W546="","",ROUND((CT546*Parámetros!$G$85),2))</f>
        <v/>
      </c>
      <c r="CX546" s="66" t="str">
        <f>+IF($W546="","",ROUND((CT546*(Parámetros!$G$86)),2))</f>
        <v/>
      </c>
      <c r="CY546" s="66" t="str">
        <f t="shared" si="714"/>
        <v/>
      </c>
      <c r="CZ546" t="str">
        <f t="shared" si="755"/>
        <v/>
      </c>
      <c r="DA546" s="118" t="str">
        <f t="shared" si="756"/>
        <v/>
      </c>
      <c r="DB546" s="118" t="str">
        <f t="shared" si="757"/>
        <v/>
      </c>
      <c r="DC546" s="118" t="str">
        <f t="shared" si="758"/>
        <v/>
      </c>
      <c r="DD546" s="121" t="str">
        <f>+IF(OR($W546="",DB546=0),"",ROUND((VLOOKUP(ROUNDDOWN($D546-1/frec,0),cob_adi,CO$40,FALSE)*(1+i/frec)^-0.5*(1+Parámetros!$D$103)*(1+rec_fracc)/frec),6))</f>
        <v/>
      </c>
      <c r="DE546" s="66" t="str">
        <f t="shared" si="715"/>
        <v/>
      </c>
      <c r="DF546" s="119" t="str">
        <f t="shared" si="716"/>
        <v/>
      </c>
      <c r="DG546" s="66" t="str">
        <f>+IF($W546="","",ROUND(IF($B546&gt;Parámetros!$D$107,'Tablas Servicio'!DE546+('Tablas Servicio'!DG545-'Tablas Servicio'!DE545),DE546/(1-IF(B546&lt;=10,Parámetros!$D$100,0))),2))</f>
        <v/>
      </c>
      <c r="DH546" s="66" t="str">
        <f t="shared" si="717"/>
        <v/>
      </c>
      <c r="DI546" s="66" t="str">
        <f t="shared" si="717"/>
        <v/>
      </c>
      <c r="DJ546" s="66" t="str">
        <f>+IF($W546="","",ROUND((DG546*Parámetros!$G$85),2))</f>
        <v/>
      </c>
      <c r="DK546" s="66" t="str">
        <f>+IF($W546="","",ROUND((DG546*(Parámetros!$G$86)),2))</f>
        <v/>
      </c>
      <c r="DL546" s="66" t="str">
        <f t="shared" si="718"/>
        <v/>
      </c>
      <c r="DM546" t="str">
        <f t="shared" si="759"/>
        <v/>
      </c>
      <c r="DN546" s="118" t="str">
        <f t="shared" si="760"/>
        <v/>
      </c>
      <c r="DO546" s="118" t="str">
        <f t="shared" si="761"/>
        <v/>
      </c>
      <c r="DP546" s="118" t="str">
        <f t="shared" si="762"/>
        <v/>
      </c>
      <c r="DQ546" s="122" t="str">
        <f>+IF(OR($W546="",DO546=0),"",ROUND((VLOOKUP(ROUNDDOWN($D546-1/frec,0),cob_adi,DB$40,FALSE)*(1+i/frec)^-0.5*(1+Parámetros!$D$103)*(1+rec_fracc)/frec),6))</f>
        <v/>
      </c>
      <c r="DR546" s="66" t="str">
        <f t="shared" si="719"/>
        <v/>
      </c>
      <c r="DS546" s="68" t="str">
        <f t="shared" si="720"/>
        <v/>
      </c>
      <c r="DT546" s="66" t="str">
        <f>+IF($W546="","",ROUND(IF($B546&gt;Parámetros!$D$107,'Tablas Servicio'!DR546+('Tablas Servicio'!DT545-'Tablas Servicio'!DR545),DR546/(1-IF(B546&lt;=10,Parámetros!$D$100,0))),2))</f>
        <v/>
      </c>
      <c r="DU546" s="66" t="str">
        <f t="shared" si="721"/>
        <v/>
      </c>
      <c r="DV546" s="66" t="str">
        <f t="shared" si="721"/>
        <v/>
      </c>
      <c r="DW546" s="66" t="str">
        <f>+IF($W546="","",ROUND((DT546*Parámetros!$G$85),2))</f>
        <v/>
      </c>
      <c r="DX546" s="66" t="str">
        <f>+IF($W546="","",ROUND((DT546*(Parámetros!$G$86)),2))</f>
        <v/>
      </c>
      <c r="DY546" s="66" t="str">
        <f t="shared" si="722"/>
        <v/>
      </c>
      <c r="DZ546" t="str">
        <f t="shared" si="765"/>
        <v/>
      </c>
      <c r="EA546" s="118" t="str">
        <f t="shared" si="765"/>
        <v/>
      </c>
      <c r="EB546" s="118" t="str">
        <f>+IF($W546="","",ROUND(IF(Parámetros!$D$25='TABLAS MORT'!$V$33,EB545,Z546/2),0))</f>
        <v/>
      </c>
      <c r="EC546" s="118" t="str">
        <f t="shared" si="765"/>
        <v/>
      </c>
      <c r="ED546" s="122" t="str">
        <f>+IF(OR($W546="",EB546=0),"",ROUND((VLOOKUP(ROUNDDOWN($D546-1/frec,0),cob_adi,DO$40,FALSE)*(1+i/frec)^-0.5*(1+Parámetros!$D$103)*(1+rec_fracc)/frec),6))</f>
        <v/>
      </c>
      <c r="EE546" s="66" t="str">
        <f t="shared" si="724"/>
        <v/>
      </c>
      <c r="EF546" s="68" t="str">
        <f t="shared" si="725"/>
        <v/>
      </c>
      <c r="EG546" s="66" t="str">
        <f>+IF($W546="","",ROUND(IF($B546&gt;Parámetros!$D$107,'Tablas Servicio'!EE546+('Tablas Servicio'!EG545-'Tablas Servicio'!EE545),EE546/(1-IF(B546&lt;=10,Parámetros!$D$100,0))),2))</f>
        <v/>
      </c>
      <c r="EH546" s="66" t="str">
        <f t="shared" si="726"/>
        <v/>
      </c>
      <c r="EI546" s="66" t="str">
        <f t="shared" si="726"/>
        <v/>
      </c>
      <c r="EJ546" s="66" t="str">
        <f>+IF($W546="","",ROUND((EG546*Parámetros!$G$85),2))</f>
        <v/>
      </c>
      <c r="EK546" s="66" t="str">
        <f>+IF($W546="","",ROUND((EG546*(Parámetros!$G$86)),2))</f>
        <v/>
      </c>
      <c r="EL546" s="66" t="str">
        <f t="shared" si="727"/>
        <v/>
      </c>
    </row>
    <row r="547" spans="1:142" x14ac:dyDescent="0.25">
      <c r="A547" t="str">
        <f>+IF($C547="","",ROUND(VLOOKUP('Tablas Servicio'!B547,Parámetros!$H$100:$J$159,IF(Parámetros!$E$16="F",2,3),FALSE),2))</f>
        <v/>
      </c>
      <c r="B547" t="str">
        <f t="shared" si="678"/>
        <v/>
      </c>
      <c r="C547" s="57" t="str">
        <f>+IF(D547="","",'Tablas Servicio'!C546+1)</f>
        <v/>
      </c>
      <c r="D547" s="56" t="str">
        <f>+IF(D546&lt;edadmaxtabla,D546+1/Parámetros!$E$25,"")</f>
        <v/>
      </c>
      <c r="E547" s="57" t="str">
        <f t="shared" si="688"/>
        <v/>
      </c>
      <c r="F547" s="59" t="str">
        <f t="shared" si="689"/>
        <v/>
      </c>
      <c r="G547" s="66" t="str">
        <f t="shared" si="679"/>
        <v/>
      </c>
      <c r="H547" s="66" t="str">
        <f t="shared" si="680"/>
        <v/>
      </c>
      <c r="I547" s="66" t="str">
        <f t="shared" si="728"/>
        <v/>
      </c>
      <c r="J547" s="66" t="str">
        <f t="shared" si="681"/>
        <v/>
      </c>
      <c r="K547" s="66" t="str">
        <f t="shared" si="682"/>
        <v/>
      </c>
      <c r="L547" s="66" t="str">
        <f t="shared" si="683"/>
        <v/>
      </c>
      <c r="M547" s="66" t="str">
        <f t="shared" si="684"/>
        <v/>
      </c>
      <c r="N547" s="66" t="str">
        <f>+IF(C547="","",ROUND(Parámetros!$D$23,2))</f>
        <v/>
      </c>
      <c r="O547" s="66" t="str">
        <f t="shared" si="685"/>
        <v/>
      </c>
      <c r="P547" s="66" t="str">
        <f>+IF($C547="","",ROUND(IF(B547&gt;Parámetros!$D$117,0,N547*Parámetros!$D$116-G547*Parámetros!$D$100),2))</f>
        <v/>
      </c>
      <c r="Q547" s="75" t="str">
        <f t="shared" si="729"/>
        <v/>
      </c>
      <c r="R547" s="75" t="str">
        <f t="shared" si="730"/>
        <v/>
      </c>
      <c r="S547" s="117" t="str">
        <f>+IF($C547="","",ROUND((S546+I547)*(1+Parámetros!$D$91),2))</f>
        <v/>
      </c>
      <c r="T547" s="117" t="str">
        <f>+IF($C547="","",ROUND(S547*VLOOKUP(B547,Parámetros!$C$30:$D$39,2,TRUE),2))</f>
        <v/>
      </c>
      <c r="U547" s="117" t="str">
        <f>+IF($C547="","",ROUND((U546+I547)*(1+Parámetros!$D$92),2))</f>
        <v/>
      </c>
      <c r="V547" s="117" t="str">
        <f>+IF($C547="","",ROUND(U547*VLOOKUP(B547,Parámetros!$C$30:$D$39,2,TRUE),2))</f>
        <v/>
      </c>
      <c r="W547" s="57" t="str">
        <f t="shared" si="731"/>
        <v/>
      </c>
      <c r="X547" t="str">
        <f t="shared" si="732"/>
        <v/>
      </c>
      <c r="Y547" t="str">
        <f t="shared" si="733"/>
        <v/>
      </c>
      <c r="Z547" s="118" t="str">
        <f>+IF($W547="","",ROUND(IF(Parámetros!$D$25='TABLAS MORT'!$V$33,Z546,Parámetros!$D$21-'Tablas Servicio'!T546),0))</f>
        <v/>
      </c>
      <c r="AA547" s="118" t="str">
        <f t="shared" si="734"/>
        <v/>
      </c>
      <c r="AB547" s="119" t="str">
        <f>+IF(W547="","",ROUND((VLOOKUP(ROUNDDOWN($D547-1/frec,0),qx_tabla,2,FALSE)*(1+i/frec)^-0.5*(1+Parámetros!$D$103)*(1+rec_fracc)/frec),6))</f>
        <v/>
      </c>
      <c r="AC547" s="66" t="str">
        <f t="shared" si="690"/>
        <v/>
      </c>
      <c r="AD547" s="119" t="str">
        <f t="shared" si="686"/>
        <v/>
      </c>
      <c r="AE547" s="66" t="str">
        <f>+IF($W547="","",ROUND(IF($B547&gt;Parámetros!$D$107,'Tablas Servicio'!AC547+('Tablas Servicio'!AG546-'Tablas Servicio'!AC546),AC547/(1-IF(B547&lt;=10,Parámetros!$D$104,Parámetros!$D$105))),2))</f>
        <v/>
      </c>
      <c r="AF547" s="66" t="str">
        <f>+IF($W547="","",ROUND(IF($B547&gt;Parámetros!$D$107,'Tablas Servicio'!AC547+('Tablas Servicio'!AG546-'Tablas Servicio'!AC546),(AC547+$A546/frec)/(1-IF(B547&lt;=Parámetros!$D$117,Parámetros!$D$100,0))),2))</f>
        <v/>
      </c>
      <c r="AG547" s="66" t="str">
        <f t="shared" si="691"/>
        <v/>
      </c>
      <c r="AH547" s="66" t="str">
        <f t="shared" si="692"/>
        <v/>
      </c>
      <c r="AI547" s="66" t="str">
        <f t="shared" si="693"/>
        <v/>
      </c>
      <c r="AJ547" s="66" t="str">
        <f>+IF($W547="","",ROUND((AG547*Parámetros!$G$85),2))</f>
        <v/>
      </c>
      <c r="AK547" s="66" t="str">
        <f>+IF($W547="","",ROUND((AG547*(Parámetros!$G$86)),2))</f>
        <v/>
      </c>
      <c r="AL547" s="66" t="str">
        <f t="shared" si="687"/>
        <v/>
      </c>
      <c r="AM547" t="str">
        <f t="shared" si="735"/>
        <v/>
      </c>
      <c r="AN547" t="str">
        <f t="shared" si="736"/>
        <v/>
      </c>
      <c r="AO547" s="118" t="str">
        <f t="shared" si="737"/>
        <v/>
      </c>
      <c r="AP547" s="118" t="str">
        <f t="shared" si="738"/>
        <v/>
      </c>
      <c r="AQ547" s="119" t="str">
        <f>+IF(OR($W547="",AO547=0),"",ROUND((VLOOKUP(ROUNDDOWN($D547-1/frec,0),cob_adi,Z$40,FALSE)*(1+i/frec)^-0.5*(1+Parámetros!$D$103)*(1+rec_fracc)/frec),6))</f>
        <v/>
      </c>
      <c r="AR547" s="66" t="str">
        <f t="shared" si="694"/>
        <v/>
      </c>
      <c r="AS547" s="119" t="str">
        <f t="shared" si="695"/>
        <v/>
      </c>
      <c r="AT547" s="66" t="str">
        <f>+IF($W547="","",ROUND(IF($B547&gt;Parámetros!$D$107,'Tablas Servicio'!AR547+('Tablas Servicio'!AT546-'Tablas Servicio'!AR546),AR547/(1-IF(B547&lt;=10,Parámetros!$D$100,0))),2))</f>
        <v/>
      </c>
      <c r="AU547" s="66" t="str">
        <f t="shared" si="696"/>
        <v/>
      </c>
      <c r="AV547" s="66" t="str">
        <f t="shared" si="696"/>
        <v/>
      </c>
      <c r="AW547" s="66" t="str">
        <f>+IF($W547="","",ROUND((AT547*Parámetros!$G$85),2))</f>
        <v/>
      </c>
      <c r="AX547" s="66" t="str">
        <f>+IF($W547="","",ROUND((AT547*(Parámetros!$G$86)),2))</f>
        <v/>
      </c>
      <c r="AY547" s="66" t="str">
        <f t="shared" si="697"/>
        <v/>
      </c>
      <c r="AZ547" t="str">
        <f t="shared" si="739"/>
        <v/>
      </c>
      <c r="BA547" t="str">
        <f t="shared" si="740"/>
        <v/>
      </c>
      <c r="BB547" s="118" t="str">
        <f t="shared" si="741"/>
        <v/>
      </c>
      <c r="BC547" s="118" t="str">
        <f t="shared" si="742"/>
        <v/>
      </c>
      <c r="BD547" s="119" t="str">
        <f>+IF(OR($W547="",BB547=0),"",ROUND((VLOOKUP(ROUNDDOWN($D547-1/frec,0),cob_adi,AO$40,FALSE)*(1+i/frec)^-0.5*(1+Parámetros!$D$103)*(1+rec_fracc)/frec),6))</f>
        <v/>
      </c>
      <c r="BE547" s="66" t="str">
        <f t="shared" si="698"/>
        <v/>
      </c>
      <c r="BF547" s="119" t="str">
        <f t="shared" si="699"/>
        <v/>
      </c>
      <c r="BG547" s="66" t="str">
        <f>+IF($W547="","",ROUND(IF($B547&gt;Parámetros!$D$107,'Tablas Servicio'!BE547+('Tablas Servicio'!BG546-'Tablas Servicio'!BE546),BE547/(1-IF(B547&lt;=10,Parámetros!$D$100,0))),2))</f>
        <v/>
      </c>
      <c r="BH547" s="66" t="str">
        <f t="shared" si="700"/>
        <v/>
      </c>
      <c r="BI547" s="66" t="str">
        <f t="shared" si="701"/>
        <v/>
      </c>
      <c r="BJ547" s="66" t="str">
        <f>+IF($W547="","",ROUND((BG547*Parámetros!$G$85),2))</f>
        <v/>
      </c>
      <c r="BK547" s="66" t="str">
        <f>+IF($W547="","",ROUND((BG547*(Parámetros!$G$86)),2))</f>
        <v/>
      </c>
      <c r="BL547" s="66" t="str">
        <f t="shared" si="702"/>
        <v/>
      </c>
      <c r="BM547" t="str">
        <f t="shared" si="743"/>
        <v/>
      </c>
      <c r="BN547" t="str">
        <f t="shared" si="744"/>
        <v/>
      </c>
      <c r="BO547" s="118" t="str">
        <f t="shared" si="745"/>
        <v/>
      </c>
      <c r="BP547" s="118" t="str">
        <f t="shared" si="746"/>
        <v/>
      </c>
      <c r="BQ547" s="119" t="str">
        <f>+IF(OR($W547="",BO547=0),"",ROUND((VLOOKUP(ROUNDDOWN($D547-1/frec,0),cob_adi,BB$40,FALSE)*(1+i/frec)^-0.5*(1+Parámetros!$D$103)*(1+rec_fracc)/frec),6))</f>
        <v/>
      </c>
      <c r="BR547" s="66" t="str">
        <f t="shared" si="703"/>
        <v/>
      </c>
      <c r="BS547" s="119" t="str">
        <f t="shared" si="704"/>
        <v/>
      </c>
      <c r="BT547" s="66" t="str">
        <f>+IF($W547="","",ROUND(IF($B547&gt;Parámetros!$D$107,'Tablas Servicio'!BR547+('Tablas Servicio'!BT546-'Tablas Servicio'!BR546),BR547/(1-IF(B547&lt;=10,Parámetros!$D$100,0))),2))</f>
        <v/>
      </c>
      <c r="BU547" s="66" t="str">
        <f t="shared" si="705"/>
        <v/>
      </c>
      <c r="BV547" s="66" t="str">
        <f t="shared" si="705"/>
        <v/>
      </c>
      <c r="BW547" s="66" t="str">
        <f>+IF($W547="","",ROUND((BT547*Parámetros!$G$85),2))</f>
        <v/>
      </c>
      <c r="BX547" s="66" t="str">
        <f>+IF($W547="","",ROUND((BT547*(Parámetros!$G$86)),2))</f>
        <v/>
      </c>
      <c r="BY547" s="66" t="str">
        <f t="shared" si="706"/>
        <v/>
      </c>
      <c r="BZ547" t="str">
        <f t="shared" si="747"/>
        <v/>
      </c>
      <c r="CA547" t="str">
        <f t="shared" si="748"/>
        <v/>
      </c>
      <c r="CB547" s="118" t="str">
        <f t="shared" si="749"/>
        <v/>
      </c>
      <c r="CC547" s="118" t="str">
        <f t="shared" si="750"/>
        <v/>
      </c>
      <c r="CD547" s="119" t="str">
        <f t="shared" si="707"/>
        <v/>
      </c>
      <c r="CE547" s="66" t="str">
        <f>+IF($W547="","",ROUND((VLOOKUP(ROUNDDOWN($D547-1/frec,0),cob_adi,BO$40,FALSE)*(1+i/frec)^-0.5*(1+Parámetros!$D$103)*(1+rec_fracc)/frec*'TABLAS ADI'!$BC$17),2))</f>
        <v/>
      </c>
      <c r="CF547" s="119" t="str">
        <f t="shared" si="708"/>
        <v/>
      </c>
      <c r="CG547" s="66" t="str">
        <f>+IF($W547="","",ROUND(IF($B547&gt;Parámetros!$D$107,'Tablas Servicio'!CE547+('Tablas Servicio'!CG546-'Tablas Servicio'!CE546),CE547/(1-IF(B547&lt;=10,Parámetros!$D$100,0))),2))</f>
        <v/>
      </c>
      <c r="CH547" s="66" t="str">
        <f t="shared" si="709"/>
        <v/>
      </c>
      <c r="CI547" s="66" t="str">
        <f t="shared" si="709"/>
        <v/>
      </c>
      <c r="CJ547" s="66" t="str">
        <f>+IF($W547="","",ROUND((CG547*Parámetros!$G$85),2))</f>
        <v/>
      </c>
      <c r="CK547" s="66" t="str">
        <f>+IF($W547="","",ROUND((CG547*(Parámetros!$G$86)),2))</f>
        <v/>
      </c>
      <c r="CL547" s="66" t="str">
        <f t="shared" si="710"/>
        <v/>
      </c>
      <c r="CM547" t="str">
        <f t="shared" si="751"/>
        <v/>
      </c>
      <c r="CN547" s="118" t="str">
        <f t="shared" si="752"/>
        <v/>
      </c>
      <c r="CO547" s="118" t="str">
        <f t="shared" si="753"/>
        <v/>
      </c>
      <c r="CP547" s="118" t="str">
        <f t="shared" si="754"/>
        <v/>
      </c>
      <c r="CQ547" s="119" t="str">
        <f t="shared" si="711"/>
        <v/>
      </c>
      <c r="CR547" s="66" t="str">
        <f>+IF($W547="","",ROUND((VLOOKUP(Parámetros!$F$51,'COBERTURAS ADICIONALES'!$S$4:$T$32,2,FALSE)*(1+i/frec)^-0.5*(1+Parámetros!$D$103)*(1+rec_fracc)/frec*$CO$42),2))</f>
        <v/>
      </c>
      <c r="CS547" s="119" t="str">
        <f t="shared" si="712"/>
        <v/>
      </c>
      <c r="CT547" s="66" t="str">
        <f>+IF($W547="","",ROUND(IF($B547&gt;Parámetros!$D$107,'Tablas Servicio'!CR547+('Tablas Servicio'!CT546-'Tablas Servicio'!CR546),CR547/(1-IF(B547&lt;=10,Parámetros!$D$100,0))),2))</f>
        <v/>
      </c>
      <c r="CU547" s="66" t="str">
        <f t="shared" si="713"/>
        <v/>
      </c>
      <c r="CV547" s="66" t="str">
        <f t="shared" si="713"/>
        <v/>
      </c>
      <c r="CW547" s="66" t="str">
        <f>+IF($W547="","",ROUND((CT547*Parámetros!$G$85),2))</f>
        <v/>
      </c>
      <c r="CX547" s="66" t="str">
        <f>+IF($W547="","",ROUND((CT547*(Parámetros!$G$86)),2))</f>
        <v/>
      </c>
      <c r="CY547" s="66" t="str">
        <f t="shared" si="714"/>
        <v/>
      </c>
      <c r="CZ547" t="str">
        <f t="shared" si="755"/>
        <v/>
      </c>
      <c r="DA547" s="118" t="str">
        <f t="shared" si="756"/>
        <v/>
      </c>
      <c r="DB547" s="118" t="str">
        <f t="shared" si="757"/>
        <v/>
      </c>
      <c r="DC547" s="118" t="str">
        <f t="shared" si="758"/>
        <v/>
      </c>
      <c r="DD547" s="121" t="str">
        <f>+IF(OR($W547="",DB547=0),"",ROUND((VLOOKUP(ROUNDDOWN($D547-1/frec,0),cob_adi,CO$40,FALSE)*(1+i/frec)^-0.5*(1+Parámetros!$D$103)*(1+rec_fracc)/frec),6))</f>
        <v/>
      </c>
      <c r="DE547" s="66" t="str">
        <f t="shared" si="715"/>
        <v/>
      </c>
      <c r="DF547" s="119" t="str">
        <f t="shared" si="716"/>
        <v/>
      </c>
      <c r="DG547" s="66" t="str">
        <f>+IF($W547="","",ROUND(IF($B547&gt;Parámetros!$D$107,'Tablas Servicio'!DE547+('Tablas Servicio'!DG546-'Tablas Servicio'!DE546),DE547/(1-IF(B547&lt;=10,Parámetros!$D$100,0))),2))</f>
        <v/>
      </c>
      <c r="DH547" s="66" t="str">
        <f t="shared" si="717"/>
        <v/>
      </c>
      <c r="DI547" s="66" t="str">
        <f t="shared" si="717"/>
        <v/>
      </c>
      <c r="DJ547" s="66" t="str">
        <f>+IF($W547="","",ROUND((DG547*Parámetros!$G$85),2))</f>
        <v/>
      </c>
      <c r="DK547" s="66" t="str">
        <f>+IF($W547="","",ROUND((DG547*(Parámetros!$G$86)),2))</f>
        <v/>
      </c>
      <c r="DL547" s="66" t="str">
        <f t="shared" si="718"/>
        <v/>
      </c>
      <c r="DM547" t="str">
        <f t="shared" si="759"/>
        <v/>
      </c>
      <c r="DN547" s="118" t="str">
        <f t="shared" si="760"/>
        <v/>
      </c>
      <c r="DO547" s="118" t="str">
        <f t="shared" si="761"/>
        <v/>
      </c>
      <c r="DP547" s="118" t="str">
        <f t="shared" si="762"/>
        <v/>
      </c>
      <c r="DQ547" s="122" t="str">
        <f>+IF(OR($W547="",DO547=0),"",ROUND((VLOOKUP(ROUNDDOWN($D547-1/frec,0),cob_adi,DB$40,FALSE)*(1+i/frec)^-0.5*(1+Parámetros!$D$103)*(1+rec_fracc)/frec),6))</f>
        <v/>
      </c>
      <c r="DR547" s="66" t="str">
        <f t="shared" si="719"/>
        <v/>
      </c>
      <c r="DS547" s="68" t="str">
        <f t="shared" si="720"/>
        <v/>
      </c>
      <c r="DT547" s="66" t="str">
        <f>+IF($W547="","",ROUND(IF($B547&gt;Parámetros!$D$107,'Tablas Servicio'!DR547+('Tablas Servicio'!DT546-'Tablas Servicio'!DR546),DR547/(1-IF(B547&lt;=10,Parámetros!$D$100,0))),2))</f>
        <v/>
      </c>
      <c r="DU547" s="66" t="str">
        <f t="shared" si="721"/>
        <v/>
      </c>
      <c r="DV547" s="66" t="str">
        <f t="shared" si="721"/>
        <v/>
      </c>
      <c r="DW547" s="66" t="str">
        <f>+IF($W547="","",ROUND((DT547*Parámetros!$G$85),2))</f>
        <v/>
      </c>
      <c r="DX547" s="66" t="str">
        <f>+IF($W547="","",ROUND((DT547*(Parámetros!$G$86)),2))</f>
        <v/>
      </c>
      <c r="DY547" s="66" t="str">
        <f t="shared" si="722"/>
        <v/>
      </c>
      <c r="DZ547" t="str">
        <f t="shared" si="765"/>
        <v/>
      </c>
      <c r="EA547" s="118" t="str">
        <f t="shared" si="765"/>
        <v/>
      </c>
      <c r="EB547" s="118" t="str">
        <f>+IF($W547="","",ROUND(IF(Parámetros!$D$25='TABLAS MORT'!$V$33,EB546,Z547/2),0))</f>
        <v/>
      </c>
      <c r="EC547" s="118" t="str">
        <f t="shared" si="765"/>
        <v/>
      </c>
      <c r="ED547" s="122" t="str">
        <f>+IF(OR($W547="",EB547=0),"",ROUND((VLOOKUP(ROUNDDOWN($D547-1/frec,0),cob_adi,DO$40,FALSE)*(1+i/frec)^-0.5*(1+Parámetros!$D$103)*(1+rec_fracc)/frec),6))</f>
        <v/>
      </c>
      <c r="EE547" s="66" t="str">
        <f t="shared" si="724"/>
        <v/>
      </c>
      <c r="EF547" s="68" t="str">
        <f t="shared" si="725"/>
        <v/>
      </c>
      <c r="EG547" s="66" t="str">
        <f>+IF($W547="","",ROUND(IF($B547&gt;Parámetros!$D$107,'Tablas Servicio'!EE547+('Tablas Servicio'!EG546-'Tablas Servicio'!EE546),EE547/(1-IF(B547&lt;=10,Parámetros!$D$100,0))),2))</f>
        <v/>
      </c>
      <c r="EH547" s="66" t="str">
        <f t="shared" si="726"/>
        <v/>
      </c>
      <c r="EI547" s="66" t="str">
        <f t="shared" si="726"/>
        <v/>
      </c>
      <c r="EJ547" s="66" t="str">
        <f>+IF($W547="","",ROUND((EG547*Parámetros!$G$85),2))</f>
        <v/>
      </c>
      <c r="EK547" s="66" t="str">
        <f>+IF($W547="","",ROUND((EG547*(Parámetros!$G$86)),2))</f>
        <v/>
      </c>
      <c r="EL547" s="66" t="str">
        <f t="shared" si="727"/>
        <v/>
      </c>
    </row>
    <row r="548" spans="1:142" x14ac:dyDescent="0.25">
      <c r="A548" t="str">
        <f>+IF($C548="","",ROUND(VLOOKUP('Tablas Servicio'!B548,Parámetros!$H$100:$J$159,IF(Parámetros!$E$16="F",2,3),FALSE),2))</f>
        <v/>
      </c>
      <c r="B548" t="str">
        <f t="shared" si="678"/>
        <v/>
      </c>
      <c r="C548" s="57" t="str">
        <f>+IF(D548="","",'Tablas Servicio'!C547+1)</f>
        <v/>
      </c>
      <c r="D548" s="56" t="str">
        <f>+IF(D547&lt;edadmaxtabla,D547+1/Parámetros!$E$25,"")</f>
        <v/>
      </c>
      <c r="E548" s="57" t="str">
        <f t="shared" si="688"/>
        <v/>
      </c>
      <c r="F548" s="59" t="str">
        <f t="shared" si="689"/>
        <v/>
      </c>
      <c r="G548" s="66" t="str">
        <f t="shared" si="679"/>
        <v/>
      </c>
      <c r="H548" s="66" t="str">
        <f t="shared" si="680"/>
        <v/>
      </c>
      <c r="I548" s="66" t="str">
        <f t="shared" si="728"/>
        <v/>
      </c>
      <c r="J548" s="66" t="str">
        <f t="shared" si="681"/>
        <v/>
      </c>
      <c r="K548" s="66" t="str">
        <f t="shared" si="682"/>
        <v/>
      </c>
      <c r="L548" s="66" t="str">
        <f t="shared" si="683"/>
        <v/>
      </c>
      <c r="M548" s="66" t="str">
        <f t="shared" si="684"/>
        <v/>
      </c>
      <c r="N548" s="66" t="str">
        <f>+IF(C548="","",ROUND(Parámetros!$D$23,2))</f>
        <v/>
      </c>
      <c r="O548" s="66" t="str">
        <f t="shared" si="685"/>
        <v/>
      </c>
      <c r="P548" s="66" t="str">
        <f>+IF($C548="","",ROUND(IF(B548&gt;Parámetros!$D$117,0,N548*Parámetros!$D$116-G548*Parámetros!$D$100),2))</f>
        <v/>
      </c>
      <c r="Q548" s="75" t="str">
        <f t="shared" si="729"/>
        <v/>
      </c>
      <c r="R548" s="75" t="str">
        <f t="shared" si="730"/>
        <v/>
      </c>
      <c r="S548" s="117" t="str">
        <f>+IF($C548="","",ROUND((S547+I548)*(1+Parámetros!$D$91),2))</f>
        <v/>
      </c>
      <c r="T548" s="117" t="str">
        <f>+IF($C548="","",ROUND(S548*VLOOKUP(B548,Parámetros!$C$30:$D$39,2,TRUE),2))</f>
        <v/>
      </c>
      <c r="U548" s="117" t="str">
        <f>+IF($C548="","",ROUND((U547+I548)*(1+Parámetros!$D$92),2))</f>
        <v/>
      </c>
      <c r="V548" s="117" t="str">
        <f>+IF($C548="","",ROUND(U548*VLOOKUP(B548,Parámetros!$C$30:$D$39,2,TRUE),2))</f>
        <v/>
      </c>
      <c r="W548" s="57" t="str">
        <f t="shared" si="731"/>
        <v/>
      </c>
      <c r="X548" t="str">
        <f t="shared" si="732"/>
        <v/>
      </c>
      <c r="Y548" t="str">
        <f t="shared" si="733"/>
        <v/>
      </c>
      <c r="Z548" s="118" t="str">
        <f>+IF($W548="","",ROUND(IF(Parámetros!$D$25='TABLAS MORT'!$V$33,Z547,Parámetros!$D$21-'Tablas Servicio'!T547),0))</f>
        <v/>
      </c>
      <c r="AA548" s="118" t="str">
        <f t="shared" si="734"/>
        <v/>
      </c>
      <c r="AB548" s="119" t="str">
        <f>+IF(W548="","",ROUND((VLOOKUP(ROUNDDOWN($D548-1/frec,0),qx_tabla,2,FALSE)*(1+i/frec)^-0.5*(1+Parámetros!$D$103)*(1+rec_fracc)/frec),6))</f>
        <v/>
      </c>
      <c r="AC548" s="66" t="str">
        <f t="shared" si="690"/>
        <v/>
      </c>
      <c r="AD548" s="119" t="str">
        <f t="shared" si="686"/>
        <v/>
      </c>
      <c r="AE548" s="66" t="str">
        <f>+IF($W548="","",ROUND(IF($B548&gt;Parámetros!$D$107,'Tablas Servicio'!AC548+('Tablas Servicio'!AG547-'Tablas Servicio'!AC547),AC548/(1-IF(B548&lt;=10,Parámetros!$D$104,Parámetros!$D$105))),2))</f>
        <v/>
      </c>
      <c r="AF548" s="66" t="str">
        <f>+IF($W548="","",ROUND(IF($B548&gt;Parámetros!$D$107,'Tablas Servicio'!AC548+('Tablas Servicio'!AG547-'Tablas Servicio'!AC547),(AC548+$A547/frec)/(1-IF(B548&lt;=Parámetros!$D$117,Parámetros!$D$100,0))),2))</f>
        <v/>
      </c>
      <c r="AG548" s="66" t="str">
        <f t="shared" si="691"/>
        <v/>
      </c>
      <c r="AH548" s="66" t="str">
        <f t="shared" si="692"/>
        <v/>
      </c>
      <c r="AI548" s="66" t="str">
        <f t="shared" si="693"/>
        <v/>
      </c>
      <c r="AJ548" s="66" t="str">
        <f>+IF($W548="","",ROUND((AG548*Parámetros!$G$85),2))</f>
        <v/>
      </c>
      <c r="AK548" s="66" t="str">
        <f>+IF($W548="","",ROUND((AG548*(Parámetros!$G$86)),2))</f>
        <v/>
      </c>
      <c r="AL548" s="66" t="str">
        <f t="shared" si="687"/>
        <v/>
      </c>
      <c r="AM548" t="str">
        <f t="shared" si="735"/>
        <v/>
      </c>
      <c r="AN548" t="str">
        <f t="shared" si="736"/>
        <v/>
      </c>
      <c r="AO548" s="118" t="str">
        <f t="shared" si="737"/>
        <v/>
      </c>
      <c r="AP548" s="118" t="str">
        <f t="shared" si="738"/>
        <v/>
      </c>
      <c r="AQ548" s="119" t="str">
        <f>+IF(OR($W548="",AO548=0),"",ROUND((VLOOKUP(ROUNDDOWN($D548-1/frec,0),cob_adi,Z$40,FALSE)*(1+i/frec)^-0.5*(1+Parámetros!$D$103)*(1+rec_fracc)/frec),6))</f>
        <v/>
      </c>
      <c r="AR548" s="66" t="str">
        <f t="shared" si="694"/>
        <v/>
      </c>
      <c r="AS548" s="119" t="str">
        <f t="shared" si="695"/>
        <v/>
      </c>
      <c r="AT548" s="66" t="str">
        <f>+IF($W548="","",ROUND(IF($B548&gt;Parámetros!$D$107,'Tablas Servicio'!AR548+('Tablas Servicio'!AT547-'Tablas Servicio'!AR547),AR548/(1-IF(B548&lt;=10,Parámetros!$D$100,0))),2))</f>
        <v/>
      </c>
      <c r="AU548" s="66" t="str">
        <f t="shared" si="696"/>
        <v/>
      </c>
      <c r="AV548" s="66" t="str">
        <f t="shared" si="696"/>
        <v/>
      </c>
      <c r="AW548" s="66" t="str">
        <f>+IF($W548="","",ROUND((AT548*Parámetros!$G$85),2))</f>
        <v/>
      </c>
      <c r="AX548" s="66" t="str">
        <f>+IF($W548="","",ROUND((AT548*(Parámetros!$G$86)),2))</f>
        <v/>
      </c>
      <c r="AY548" s="66" t="str">
        <f t="shared" si="697"/>
        <v/>
      </c>
      <c r="AZ548" t="str">
        <f t="shared" si="739"/>
        <v/>
      </c>
      <c r="BA548" t="str">
        <f t="shared" si="740"/>
        <v/>
      </c>
      <c r="BB548" s="118" t="str">
        <f t="shared" si="741"/>
        <v/>
      </c>
      <c r="BC548" s="118" t="str">
        <f t="shared" si="742"/>
        <v/>
      </c>
      <c r="BD548" s="119" t="str">
        <f>+IF(OR($W548="",BB548=0),"",ROUND((VLOOKUP(ROUNDDOWN($D548-1/frec,0),cob_adi,AO$40,FALSE)*(1+i/frec)^-0.5*(1+Parámetros!$D$103)*(1+rec_fracc)/frec),6))</f>
        <v/>
      </c>
      <c r="BE548" s="66" t="str">
        <f t="shared" si="698"/>
        <v/>
      </c>
      <c r="BF548" s="119" t="str">
        <f t="shared" si="699"/>
        <v/>
      </c>
      <c r="BG548" s="66" t="str">
        <f>+IF($W548="","",ROUND(IF($B548&gt;Parámetros!$D$107,'Tablas Servicio'!BE548+('Tablas Servicio'!BG547-'Tablas Servicio'!BE547),BE548/(1-IF(B548&lt;=10,Parámetros!$D$100,0))),2))</f>
        <v/>
      </c>
      <c r="BH548" s="66" t="str">
        <f t="shared" si="700"/>
        <v/>
      </c>
      <c r="BI548" s="66" t="str">
        <f t="shared" si="701"/>
        <v/>
      </c>
      <c r="BJ548" s="66" t="str">
        <f>+IF($W548="","",ROUND((BG548*Parámetros!$G$85),2))</f>
        <v/>
      </c>
      <c r="BK548" s="66" t="str">
        <f>+IF($W548="","",ROUND((BG548*(Parámetros!$G$86)),2))</f>
        <v/>
      </c>
      <c r="BL548" s="66" t="str">
        <f t="shared" si="702"/>
        <v/>
      </c>
      <c r="BM548" t="str">
        <f t="shared" si="743"/>
        <v/>
      </c>
      <c r="BN548" t="str">
        <f t="shared" si="744"/>
        <v/>
      </c>
      <c r="BO548" s="118" t="str">
        <f t="shared" si="745"/>
        <v/>
      </c>
      <c r="BP548" s="118" t="str">
        <f t="shared" si="746"/>
        <v/>
      </c>
      <c r="BQ548" s="119" t="str">
        <f>+IF(OR($W548="",BO548=0),"",ROUND((VLOOKUP(ROUNDDOWN($D548-1/frec,0),cob_adi,BB$40,FALSE)*(1+i/frec)^-0.5*(1+Parámetros!$D$103)*(1+rec_fracc)/frec),6))</f>
        <v/>
      </c>
      <c r="BR548" s="66" t="str">
        <f t="shared" si="703"/>
        <v/>
      </c>
      <c r="BS548" s="119" t="str">
        <f t="shared" si="704"/>
        <v/>
      </c>
      <c r="BT548" s="66" t="str">
        <f>+IF($W548="","",ROUND(IF($B548&gt;Parámetros!$D$107,'Tablas Servicio'!BR548+('Tablas Servicio'!BT547-'Tablas Servicio'!BR547),BR548/(1-IF(B548&lt;=10,Parámetros!$D$100,0))),2))</f>
        <v/>
      </c>
      <c r="BU548" s="66" t="str">
        <f t="shared" si="705"/>
        <v/>
      </c>
      <c r="BV548" s="66" t="str">
        <f t="shared" si="705"/>
        <v/>
      </c>
      <c r="BW548" s="66" t="str">
        <f>+IF($W548="","",ROUND((BT548*Parámetros!$G$85),2))</f>
        <v/>
      </c>
      <c r="BX548" s="66" t="str">
        <f>+IF($W548="","",ROUND((BT548*(Parámetros!$G$86)),2))</f>
        <v/>
      </c>
      <c r="BY548" s="66" t="str">
        <f t="shared" si="706"/>
        <v/>
      </c>
      <c r="BZ548" t="str">
        <f t="shared" si="747"/>
        <v/>
      </c>
      <c r="CA548" t="str">
        <f t="shared" si="748"/>
        <v/>
      </c>
      <c r="CB548" s="118" t="str">
        <f t="shared" si="749"/>
        <v/>
      </c>
      <c r="CC548" s="118" t="str">
        <f t="shared" si="750"/>
        <v/>
      </c>
      <c r="CD548" s="119" t="str">
        <f t="shared" si="707"/>
        <v/>
      </c>
      <c r="CE548" s="66" t="str">
        <f>+IF($W548="","",ROUND((VLOOKUP(ROUNDDOWN($D548-1/frec,0),cob_adi,BO$40,FALSE)*(1+i/frec)^-0.5*(1+Parámetros!$D$103)*(1+rec_fracc)/frec*'TABLAS ADI'!$BC$17),2))</f>
        <v/>
      </c>
      <c r="CF548" s="119" t="str">
        <f t="shared" si="708"/>
        <v/>
      </c>
      <c r="CG548" s="66" t="str">
        <f>+IF($W548="","",ROUND(IF($B548&gt;Parámetros!$D$107,'Tablas Servicio'!CE548+('Tablas Servicio'!CG547-'Tablas Servicio'!CE547),CE548/(1-IF(B548&lt;=10,Parámetros!$D$100,0))),2))</f>
        <v/>
      </c>
      <c r="CH548" s="66" t="str">
        <f t="shared" si="709"/>
        <v/>
      </c>
      <c r="CI548" s="66" t="str">
        <f t="shared" si="709"/>
        <v/>
      </c>
      <c r="CJ548" s="66" t="str">
        <f>+IF($W548="","",ROUND((CG548*Parámetros!$G$85),2))</f>
        <v/>
      </c>
      <c r="CK548" s="66" t="str">
        <f>+IF($W548="","",ROUND((CG548*(Parámetros!$G$86)),2))</f>
        <v/>
      </c>
      <c r="CL548" s="66" t="str">
        <f t="shared" si="710"/>
        <v/>
      </c>
      <c r="CM548" t="str">
        <f t="shared" si="751"/>
        <v/>
      </c>
      <c r="CN548" s="118" t="str">
        <f t="shared" si="752"/>
        <v/>
      </c>
      <c r="CO548" s="118" t="str">
        <f t="shared" si="753"/>
        <v/>
      </c>
      <c r="CP548" s="118" t="str">
        <f t="shared" si="754"/>
        <v/>
      </c>
      <c r="CQ548" s="119" t="str">
        <f t="shared" si="711"/>
        <v/>
      </c>
      <c r="CR548" s="66" t="str">
        <f>+IF($W548="","",ROUND((VLOOKUP(Parámetros!$F$51,'COBERTURAS ADICIONALES'!$S$4:$T$32,2,FALSE)*(1+i/frec)^-0.5*(1+Parámetros!$D$103)*(1+rec_fracc)/frec*$CO$42),2))</f>
        <v/>
      </c>
      <c r="CS548" s="119" t="str">
        <f t="shared" si="712"/>
        <v/>
      </c>
      <c r="CT548" s="66" t="str">
        <f>+IF($W548="","",ROUND(IF($B548&gt;Parámetros!$D$107,'Tablas Servicio'!CR548+('Tablas Servicio'!CT547-'Tablas Servicio'!CR547),CR548/(1-IF(B548&lt;=10,Parámetros!$D$100,0))),2))</f>
        <v/>
      </c>
      <c r="CU548" s="66" t="str">
        <f t="shared" si="713"/>
        <v/>
      </c>
      <c r="CV548" s="66" t="str">
        <f t="shared" si="713"/>
        <v/>
      </c>
      <c r="CW548" s="66" t="str">
        <f>+IF($W548="","",ROUND((CT548*Parámetros!$G$85),2))</f>
        <v/>
      </c>
      <c r="CX548" s="66" t="str">
        <f>+IF($W548="","",ROUND((CT548*(Parámetros!$G$86)),2))</f>
        <v/>
      </c>
      <c r="CY548" s="66" t="str">
        <f t="shared" si="714"/>
        <v/>
      </c>
      <c r="CZ548" t="str">
        <f t="shared" si="755"/>
        <v/>
      </c>
      <c r="DA548" s="118" t="str">
        <f t="shared" si="756"/>
        <v/>
      </c>
      <c r="DB548" s="118" t="str">
        <f t="shared" si="757"/>
        <v/>
      </c>
      <c r="DC548" s="118" t="str">
        <f t="shared" si="758"/>
        <v/>
      </c>
      <c r="DD548" s="121" t="str">
        <f>+IF(OR($W548="",DB548=0),"",ROUND((VLOOKUP(ROUNDDOWN($D548-1/frec,0),cob_adi,CO$40,FALSE)*(1+i/frec)^-0.5*(1+Parámetros!$D$103)*(1+rec_fracc)/frec),6))</f>
        <v/>
      </c>
      <c r="DE548" s="66" t="str">
        <f t="shared" si="715"/>
        <v/>
      </c>
      <c r="DF548" s="119" t="str">
        <f t="shared" si="716"/>
        <v/>
      </c>
      <c r="DG548" s="66" t="str">
        <f>+IF($W548="","",ROUND(IF($B548&gt;Parámetros!$D$107,'Tablas Servicio'!DE548+('Tablas Servicio'!DG547-'Tablas Servicio'!DE547),DE548/(1-IF(B548&lt;=10,Parámetros!$D$100,0))),2))</f>
        <v/>
      </c>
      <c r="DH548" s="66" t="str">
        <f t="shared" si="717"/>
        <v/>
      </c>
      <c r="DI548" s="66" t="str">
        <f t="shared" si="717"/>
        <v/>
      </c>
      <c r="DJ548" s="66" t="str">
        <f>+IF($W548="","",ROUND((DG548*Parámetros!$G$85),2))</f>
        <v/>
      </c>
      <c r="DK548" s="66" t="str">
        <f>+IF($W548="","",ROUND((DG548*(Parámetros!$G$86)),2))</f>
        <v/>
      </c>
      <c r="DL548" s="66" t="str">
        <f t="shared" si="718"/>
        <v/>
      </c>
      <c r="DM548" t="str">
        <f t="shared" si="759"/>
        <v/>
      </c>
      <c r="DN548" s="118" t="str">
        <f t="shared" si="760"/>
        <v/>
      </c>
      <c r="DO548" s="118" t="str">
        <f t="shared" si="761"/>
        <v/>
      </c>
      <c r="DP548" s="118" t="str">
        <f t="shared" si="762"/>
        <v/>
      </c>
      <c r="DQ548" s="122" t="str">
        <f>+IF(OR($W548="",DO548=0),"",ROUND((VLOOKUP(ROUNDDOWN($D548-1/frec,0),cob_adi,DB$40,FALSE)*(1+i/frec)^-0.5*(1+Parámetros!$D$103)*(1+rec_fracc)/frec),6))</f>
        <v/>
      </c>
      <c r="DR548" s="66" t="str">
        <f t="shared" si="719"/>
        <v/>
      </c>
      <c r="DS548" s="68" t="str">
        <f t="shared" si="720"/>
        <v/>
      </c>
      <c r="DT548" s="66" t="str">
        <f>+IF($W548="","",ROUND(IF($B548&gt;Parámetros!$D$107,'Tablas Servicio'!DR548+('Tablas Servicio'!DT547-'Tablas Servicio'!DR547),DR548/(1-IF(B548&lt;=10,Parámetros!$D$100,0))),2))</f>
        <v/>
      </c>
      <c r="DU548" s="66" t="str">
        <f t="shared" si="721"/>
        <v/>
      </c>
      <c r="DV548" s="66" t="str">
        <f t="shared" si="721"/>
        <v/>
      </c>
      <c r="DW548" s="66" t="str">
        <f>+IF($W548="","",ROUND((DT548*Parámetros!$G$85),2))</f>
        <v/>
      </c>
      <c r="DX548" s="66" t="str">
        <f>+IF($W548="","",ROUND((DT548*(Parámetros!$G$86)),2))</f>
        <v/>
      </c>
      <c r="DY548" s="66" t="str">
        <f t="shared" si="722"/>
        <v/>
      </c>
      <c r="DZ548" t="str">
        <f t="shared" si="765"/>
        <v/>
      </c>
      <c r="EA548" s="118" t="str">
        <f t="shared" si="765"/>
        <v/>
      </c>
      <c r="EB548" s="118" t="str">
        <f>+IF($W548="","",ROUND(IF(Parámetros!$D$25='TABLAS MORT'!$V$33,EB547,Z548/2),0))</f>
        <v/>
      </c>
      <c r="EC548" s="118" t="str">
        <f t="shared" si="765"/>
        <v/>
      </c>
      <c r="ED548" s="122" t="str">
        <f>+IF(OR($W548="",EB548=0),"",ROUND((VLOOKUP(ROUNDDOWN($D548-1/frec,0),cob_adi,DO$40,FALSE)*(1+i/frec)^-0.5*(1+Parámetros!$D$103)*(1+rec_fracc)/frec),6))</f>
        <v/>
      </c>
      <c r="EE548" s="66" t="str">
        <f t="shared" si="724"/>
        <v/>
      </c>
      <c r="EF548" s="68" t="str">
        <f t="shared" si="725"/>
        <v/>
      </c>
      <c r="EG548" s="66" t="str">
        <f>+IF($W548="","",ROUND(IF($B548&gt;Parámetros!$D$107,'Tablas Servicio'!EE548+('Tablas Servicio'!EG547-'Tablas Servicio'!EE547),EE548/(1-IF(B548&lt;=10,Parámetros!$D$100,0))),2))</f>
        <v/>
      </c>
      <c r="EH548" s="66" t="str">
        <f t="shared" si="726"/>
        <v/>
      </c>
      <c r="EI548" s="66" t="str">
        <f t="shared" si="726"/>
        <v/>
      </c>
      <c r="EJ548" s="66" t="str">
        <f>+IF($W548="","",ROUND((EG548*Parámetros!$G$85),2))</f>
        <v/>
      </c>
      <c r="EK548" s="66" t="str">
        <f>+IF($W548="","",ROUND((EG548*(Parámetros!$G$86)),2))</f>
        <v/>
      </c>
      <c r="EL548" s="66" t="str">
        <f t="shared" si="727"/>
        <v/>
      </c>
    </row>
    <row r="549" spans="1:142" x14ac:dyDescent="0.25">
      <c r="A549" t="str">
        <f>+IF($C549="","",ROUND(VLOOKUP('Tablas Servicio'!B549,Parámetros!$H$100:$J$159,IF(Parámetros!$E$16="F",2,3),FALSE),2))</f>
        <v/>
      </c>
      <c r="B549" t="str">
        <f t="shared" si="678"/>
        <v/>
      </c>
      <c r="C549" s="57" t="str">
        <f>+IF(D549="","",'Tablas Servicio'!C548+1)</f>
        <v/>
      </c>
      <c r="D549" s="56" t="str">
        <f>+IF(D548&lt;edadmaxtabla,D548+1/Parámetros!$E$25,"")</f>
        <v/>
      </c>
      <c r="E549" s="57" t="str">
        <f t="shared" si="688"/>
        <v/>
      </c>
      <c r="F549" s="59" t="str">
        <f t="shared" si="689"/>
        <v/>
      </c>
      <c r="G549" s="66" t="str">
        <f t="shared" si="679"/>
        <v/>
      </c>
      <c r="H549" s="66" t="str">
        <f t="shared" si="680"/>
        <v/>
      </c>
      <c r="I549" s="66" t="str">
        <f t="shared" si="728"/>
        <v/>
      </c>
      <c r="J549" s="66" t="str">
        <f t="shared" si="681"/>
        <v/>
      </c>
      <c r="K549" s="66" t="str">
        <f t="shared" si="682"/>
        <v/>
      </c>
      <c r="L549" s="66" t="str">
        <f t="shared" si="683"/>
        <v/>
      </c>
      <c r="M549" s="66" t="str">
        <f t="shared" si="684"/>
        <v/>
      </c>
      <c r="N549" s="66" t="str">
        <f>+IF(C549="","",ROUND(Parámetros!$D$23,2))</f>
        <v/>
      </c>
      <c r="O549" s="66" t="str">
        <f t="shared" si="685"/>
        <v/>
      </c>
      <c r="P549" s="66" t="str">
        <f>+IF($C549="","",ROUND(IF(B549&gt;Parámetros!$D$117,0,N549*Parámetros!$D$116-G549*Parámetros!$D$100),2))</f>
        <v/>
      </c>
      <c r="Q549" s="75" t="str">
        <f t="shared" si="729"/>
        <v/>
      </c>
      <c r="R549" s="75" t="str">
        <f t="shared" si="730"/>
        <v/>
      </c>
      <c r="S549" s="117" t="str">
        <f>+IF($C549="","",ROUND((S548+I549)*(1+Parámetros!$D$91),2))</f>
        <v/>
      </c>
      <c r="T549" s="117" t="str">
        <f>+IF($C549="","",ROUND(S549*VLOOKUP(B549,Parámetros!$C$30:$D$39,2,TRUE),2))</f>
        <v/>
      </c>
      <c r="U549" s="117" t="str">
        <f>+IF($C549="","",ROUND((U548+I549)*(1+Parámetros!$D$92),2))</f>
        <v/>
      </c>
      <c r="V549" s="117" t="str">
        <f>+IF($C549="","",ROUND(U549*VLOOKUP(B549,Parámetros!$C$30:$D$39,2,TRUE),2))</f>
        <v/>
      </c>
      <c r="W549" s="57" t="str">
        <f t="shared" si="731"/>
        <v/>
      </c>
      <c r="X549" t="str">
        <f t="shared" si="732"/>
        <v/>
      </c>
      <c r="Y549" t="str">
        <f t="shared" si="733"/>
        <v/>
      </c>
      <c r="Z549" s="118" t="str">
        <f>+IF($W549="","",ROUND(IF(Parámetros!$D$25='TABLAS MORT'!$V$33,Z548,Parámetros!$D$21-'Tablas Servicio'!T548),0))</f>
        <v/>
      </c>
      <c r="AA549" s="118" t="str">
        <f t="shared" si="734"/>
        <v/>
      </c>
      <c r="AB549" s="119" t="str">
        <f>+IF(W549="","",ROUND((VLOOKUP(ROUNDDOWN($D549-1/frec,0),qx_tabla,2,FALSE)*(1+i/frec)^-0.5*(1+Parámetros!$D$103)*(1+rec_fracc)/frec),6))</f>
        <v/>
      </c>
      <c r="AC549" s="66" t="str">
        <f t="shared" si="690"/>
        <v/>
      </c>
      <c r="AD549" s="119" t="str">
        <f t="shared" si="686"/>
        <v/>
      </c>
      <c r="AE549" s="66" t="str">
        <f>+IF($W549="","",ROUND(IF($B549&gt;Parámetros!$D$107,'Tablas Servicio'!AC549+('Tablas Servicio'!AG548-'Tablas Servicio'!AC548),AC549/(1-IF(B549&lt;=10,Parámetros!$D$104,Parámetros!$D$105))),2))</f>
        <v/>
      </c>
      <c r="AF549" s="66" t="str">
        <f>+IF($W549="","",ROUND(IF($B549&gt;Parámetros!$D$107,'Tablas Servicio'!AC549+('Tablas Servicio'!AG548-'Tablas Servicio'!AC548),(AC549+$A548/frec)/(1-IF(B549&lt;=Parámetros!$D$117,Parámetros!$D$100,0))),2))</f>
        <v/>
      </c>
      <c r="AG549" s="66" t="str">
        <f t="shared" si="691"/>
        <v/>
      </c>
      <c r="AH549" s="66" t="str">
        <f t="shared" si="692"/>
        <v/>
      </c>
      <c r="AI549" s="66" t="str">
        <f t="shared" si="693"/>
        <v/>
      </c>
      <c r="AJ549" s="66" t="str">
        <f>+IF($W549="","",ROUND((AG549*Parámetros!$G$85),2))</f>
        <v/>
      </c>
      <c r="AK549" s="66" t="str">
        <f>+IF($W549="","",ROUND((AG549*(Parámetros!$G$86)),2))</f>
        <v/>
      </c>
      <c r="AL549" s="66" t="str">
        <f t="shared" si="687"/>
        <v/>
      </c>
      <c r="AM549" t="str">
        <f t="shared" si="735"/>
        <v/>
      </c>
      <c r="AN549" t="str">
        <f t="shared" si="736"/>
        <v/>
      </c>
      <c r="AO549" s="118" t="str">
        <f t="shared" si="737"/>
        <v/>
      </c>
      <c r="AP549" s="118" t="str">
        <f t="shared" si="738"/>
        <v/>
      </c>
      <c r="AQ549" s="119" t="str">
        <f>+IF(OR($W549="",AO549=0),"",ROUND((VLOOKUP(ROUNDDOWN($D549-1/frec,0),cob_adi,Z$40,FALSE)*(1+i/frec)^-0.5*(1+Parámetros!$D$103)*(1+rec_fracc)/frec),6))</f>
        <v/>
      </c>
      <c r="AR549" s="66" t="str">
        <f t="shared" si="694"/>
        <v/>
      </c>
      <c r="AS549" s="119" t="str">
        <f t="shared" si="695"/>
        <v/>
      </c>
      <c r="AT549" s="66" t="str">
        <f>+IF($W549="","",ROUND(IF($B549&gt;Parámetros!$D$107,'Tablas Servicio'!AR549+('Tablas Servicio'!AT548-'Tablas Servicio'!AR548),AR549/(1-IF(B549&lt;=10,Parámetros!$D$100,0))),2))</f>
        <v/>
      </c>
      <c r="AU549" s="66" t="str">
        <f t="shared" si="696"/>
        <v/>
      </c>
      <c r="AV549" s="66" t="str">
        <f t="shared" si="696"/>
        <v/>
      </c>
      <c r="AW549" s="66" t="str">
        <f>+IF($W549="","",ROUND((AT549*Parámetros!$G$85),2))</f>
        <v/>
      </c>
      <c r="AX549" s="66" t="str">
        <f>+IF($W549="","",ROUND((AT549*(Parámetros!$G$86)),2))</f>
        <v/>
      </c>
      <c r="AY549" s="66" t="str">
        <f t="shared" si="697"/>
        <v/>
      </c>
      <c r="AZ549" t="str">
        <f t="shared" si="739"/>
        <v/>
      </c>
      <c r="BA549" t="str">
        <f t="shared" si="740"/>
        <v/>
      </c>
      <c r="BB549" s="118" t="str">
        <f t="shared" si="741"/>
        <v/>
      </c>
      <c r="BC549" s="118" t="str">
        <f t="shared" si="742"/>
        <v/>
      </c>
      <c r="BD549" s="119" t="str">
        <f>+IF(OR($W549="",BB549=0),"",ROUND((VLOOKUP(ROUNDDOWN($D549-1/frec,0),cob_adi,AO$40,FALSE)*(1+i/frec)^-0.5*(1+Parámetros!$D$103)*(1+rec_fracc)/frec),6))</f>
        <v/>
      </c>
      <c r="BE549" s="66" t="str">
        <f t="shared" si="698"/>
        <v/>
      </c>
      <c r="BF549" s="119" t="str">
        <f t="shared" si="699"/>
        <v/>
      </c>
      <c r="BG549" s="66" t="str">
        <f>+IF($W549="","",ROUND(IF($B549&gt;Parámetros!$D$107,'Tablas Servicio'!BE549+('Tablas Servicio'!BG548-'Tablas Servicio'!BE548),BE549/(1-IF(B549&lt;=10,Parámetros!$D$100,0))),2))</f>
        <v/>
      </c>
      <c r="BH549" s="66" t="str">
        <f t="shared" si="700"/>
        <v/>
      </c>
      <c r="BI549" s="66" t="str">
        <f t="shared" si="701"/>
        <v/>
      </c>
      <c r="BJ549" s="66" t="str">
        <f>+IF($W549="","",ROUND((BG549*Parámetros!$G$85),2))</f>
        <v/>
      </c>
      <c r="BK549" s="66" t="str">
        <f>+IF($W549="","",ROUND((BG549*(Parámetros!$G$86)),2))</f>
        <v/>
      </c>
      <c r="BL549" s="66" t="str">
        <f t="shared" si="702"/>
        <v/>
      </c>
      <c r="BM549" t="str">
        <f t="shared" si="743"/>
        <v/>
      </c>
      <c r="BN549" t="str">
        <f t="shared" si="744"/>
        <v/>
      </c>
      <c r="BO549" s="118" t="str">
        <f t="shared" si="745"/>
        <v/>
      </c>
      <c r="BP549" s="118" t="str">
        <f t="shared" si="746"/>
        <v/>
      </c>
      <c r="BQ549" s="119" t="str">
        <f>+IF(OR($W549="",BO549=0),"",ROUND((VLOOKUP(ROUNDDOWN($D549-1/frec,0),cob_adi,BB$40,FALSE)*(1+i/frec)^-0.5*(1+Parámetros!$D$103)*(1+rec_fracc)/frec),6))</f>
        <v/>
      </c>
      <c r="BR549" s="66" t="str">
        <f t="shared" si="703"/>
        <v/>
      </c>
      <c r="BS549" s="119" t="str">
        <f t="shared" si="704"/>
        <v/>
      </c>
      <c r="BT549" s="66" t="str">
        <f>+IF($W549="","",ROUND(IF($B549&gt;Parámetros!$D$107,'Tablas Servicio'!BR549+('Tablas Servicio'!BT548-'Tablas Servicio'!BR548),BR549/(1-IF(B549&lt;=10,Parámetros!$D$100,0))),2))</f>
        <v/>
      </c>
      <c r="BU549" s="66" t="str">
        <f t="shared" si="705"/>
        <v/>
      </c>
      <c r="BV549" s="66" t="str">
        <f t="shared" si="705"/>
        <v/>
      </c>
      <c r="BW549" s="66" t="str">
        <f>+IF($W549="","",ROUND((BT549*Parámetros!$G$85),2))</f>
        <v/>
      </c>
      <c r="BX549" s="66" t="str">
        <f>+IF($W549="","",ROUND((BT549*(Parámetros!$G$86)),2))</f>
        <v/>
      </c>
      <c r="BY549" s="66" t="str">
        <f t="shared" si="706"/>
        <v/>
      </c>
      <c r="BZ549" t="str">
        <f t="shared" si="747"/>
        <v/>
      </c>
      <c r="CA549" t="str">
        <f t="shared" si="748"/>
        <v/>
      </c>
      <c r="CB549" s="118" t="str">
        <f t="shared" si="749"/>
        <v/>
      </c>
      <c r="CC549" s="118" t="str">
        <f t="shared" si="750"/>
        <v/>
      </c>
      <c r="CD549" s="119" t="str">
        <f t="shared" si="707"/>
        <v/>
      </c>
      <c r="CE549" s="66" t="str">
        <f>+IF($W549="","",ROUND((VLOOKUP(ROUNDDOWN($D549-1/frec,0),cob_adi,BO$40,FALSE)*(1+i/frec)^-0.5*(1+Parámetros!$D$103)*(1+rec_fracc)/frec*'TABLAS ADI'!$BC$17),2))</f>
        <v/>
      </c>
      <c r="CF549" s="119" t="str">
        <f t="shared" si="708"/>
        <v/>
      </c>
      <c r="CG549" s="66" t="str">
        <f>+IF($W549="","",ROUND(IF($B549&gt;Parámetros!$D$107,'Tablas Servicio'!CE549+('Tablas Servicio'!CG548-'Tablas Servicio'!CE548),CE549/(1-IF(B549&lt;=10,Parámetros!$D$100,0))),2))</f>
        <v/>
      </c>
      <c r="CH549" s="66" t="str">
        <f t="shared" si="709"/>
        <v/>
      </c>
      <c r="CI549" s="66" t="str">
        <f t="shared" si="709"/>
        <v/>
      </c>
      <c r="CJ549" s="66" t="str">
        <f>+IF($W549="","",ROUND((CG549*Parámetros!$G$85),2))</f>
        <v/>
      </c>
      <c r="CK549" s="66" t="str">
        <f>+IF($W549="","",ROUND((CG549*(Parámetros!$G$86)),2))</f>
        <v/>
      </c>
      <c r="CL549" s="66" t="str">
        <f t="shared" si="710"/>
        <v/>
      </c>
      <c r="CM549" t="str">
        <f t="shared" si="751"/>
        <v/>
      </c>
      <c r="CN549" s="118" t="str">
        <f t="shared" si="752"/>
        <v/>
      </c>
      <c r="CO549" s="118" t="str">
        <f t="shared" si="753"/>
        <v/>
      </c>
      <c r="CP549" s="118" t="str">
        <f t="shared" si="754"/>
        <v/>
      </c>
      <c r="CQ549" s="119" t="str">
        <f t="shared" si="711"/>
        <v/>
      </c>
      <c r="CR549" s="66" t="str">
        <f>+IF($W549="","",ROUND((VLOOKUP(Parámetros!$F$51,'COBERTURAS ADICIONALES'!$S$4:$T$32,2,FALSE)*(1+i/frec)^-0.5*(1+Parámetros!$D$103)*(1+rec_fracc)/frec*$CO$42),2))</f>
        <v/>
      </c>
      <c r="CS549" s="119" t="str">
        <f t="shared" si="712"/>
        <v/>
      </c>
      <c r="CT549" s="66" t="str">
        <f>+IF($W549="","",ROUND(IF($B549&gt;Parámetros!$D$107,'Tablas Servicio'!CR549+('Tablas Servicio'!CT548-'Tablas Servicio'!CR548),CR549/(1-IF(B549&lt;=10,Parámetros!$D$100,0))),2))</f>
        <v/>
      </c>
      <c r="CU549" s="66" t="str">
        <f t="shared" si="713"/>
        <v/>
      </c>
      <c r="CV549" s="66" t="str">
        <f t="shared" si="713"/>
        <v/>
      </c>
      <c r="CW549" s="66" t="str">
        <f>+IF($W549="","",ROUND((CT549*Parámetros!$G$85),2))</f>
        <v/>
      </c>
      <c r="CX549" s="66" t="str">
        <f>+IF($W549="","",ROUND((CT549*(Parámetros!$G$86)),2))</f>
        <v/>
      </c>
      <c r="CY549" s="66" t="str">
        <f t="shared" si="714"/>
        <v/>
      </c>
      <c r="CZ549" t="str">
        <f t="shared" si="755"/>
        <v/>
      </c>
      <c r="DA549" s="118" t="str">
        <f t="shared" si="756"/>
        <v/>
      </c>
      <c r="DB549" s="118" t="str">
        <f t="shared" si="757"/>
        <v/>
      </c>
      <c r="DC549" s="118" t="str">
        <f t="shared" si="758"/>
        <v/>
      </c>
      <c r="DD549" s="121" t="str">
        <f>+IF(OR($W549="",DB549=0),"",ROUND((VLOOKUP(ROUNDDOWN($D549-1/frec,0),cob_adi,CO$40,FALSE)*(1+i/frec)^-0.5*(1+Parámetros!$D$103)*(1+rec_fracc)/frec),6))</f>
        <v/>
      </c>
      <c r="DE549" s="66" t="str">
        <f t="shared" si="715"/>
        <v/>
      </c>
      <c r="DF549" s="119" t="str">
        <f t="shared" si="716"/>
        <v/>
      </c>
      <c r="DG549" s="66" t="str">
        <f>+IF($W549="","",ROUND(IF($B549&gt;Parámetros!$D$107,'Tablas Servicio'!DE549+('Tablas Servicio'!DG548-'Tablas Servicio'!DE548),DE549/(1-IF(B549&lt;=10,Parámetros!$D$100,0))),2))</f>
        <v/>
      </c>
      <c r="DH549" s="66" t="str">
        <f t="shared" si="717"/>
        <v/>
      </c>
      <c r="DI549" s="66" t="str">
        <f t="shared" si="717"/>
        <v/>
      </c>
      <c r="DJ549" s="66" t="str">
        <f>+IF($W549="","",ROUND((DG549*Parámetros!$G$85),2))</f>
        <v/>
      </c>
      <c r="DK549" s="66" t="str">
        <f>+IF($W549="","",ROUND((DG549*(Parámetros!$G$86)),2))</f>
        <v/>
      </c>
      <c r="DL549" s="66" t="str">
        <f t="shared" si="718"/>
        <v/>
      </c>
      <c r="DM549" t="str">
        <f t="shared" si="759"/>
        <v/>
      </c>
      <c r="DN549" s="118" t="str">
        <f t="shared" si="760"/>
        <v/>
      </c>
      <c r="DO549" s="118" t="str">
        <f t="shared" si="761"/>
        <v/>
      </c>
      <c r="DP549" s="118" t="str">
        <f t="shared" si="762"/>
        <v/>
      </c>
      <c r="DQ549" s="122" t="str">
        <f>+IF(OR($W549="",DO549=0),"",ROUND((VLOOKUP(ROUNDDOWN($D549-1/frec,0),cob_adi,DB$40,FALSE)*(1+i/frec)^-0.5*(1+Parámetros!$D$103)*(1+rec_fracc)/frec),6))</f>
        <v/>
      </c>
      <c r="DR549" s="66" t="str">
        <f t="shared" si="719"/>
        <v/>
      </c>
      <c r="DS549" s="68" t="str">
        <f t="shared" si="720"/>
        <v/>
      </c>
      <c r="DT549" s="66" t="str">
        <f>+IF($W549="","",ROUND(IF($B549&gt;Parámetros!$D$107,'Tablas Servicio'!DR549+('Tablas Servicio'!DT548-'Tablas Servicio'!DR548),DR549/(1-IF(B549&lt;=10,Parámetros!$D$100,0))),2))</f>
        <v/>
      </c>
      <c r="DU549" s="66" t="str">
        <f t="shared" si="721"/>
        <v/>
      </c>
      <c r="DV549" s="66" t="str">
        <f t="shared" si="721"/>
        <v/>
      </c>
      <c r="DW549" s="66" t="str">
        <f>+IF($W549="","",ROUND((DT549*Parámetros!$G$85),2))</f>
        <v/>
      </c>
      <c r="DX549" s="66" t="str">
        <f>+IF($W549="","",ROUND((DT549*(Parámetros!$G$86)),2))</f>
        <v/>
      </c>
      <c r="DY549" s="66" t="str">
        <f t="shared" si="722"/>
        <v/>
      </c>
      <c r="DZ549" t="str">
        <f t="shared" si="765"/>
        <v/>
      </c>
      <c r="EA549" s="118" t="str">
        <f t="shared" si="765"/>
        <v/>
      </c>
      <c r="EB549" s="118" t="str">
        <f>+IF($W549="","",ROUND(IF(Parámetros!$D$25='TABLAS MORT'!$V$33,EB548,Z549/2),0))</f>
        <v/>
      </c>
      <c r="EC549" s="118" t="str">
        <f t="shared" si="765"/>
        <v/>
      </c>
      <c r="ED549" s="122" t="str">
        <f>+IF(OR($W549="",EB549=0),"",ROUND((VLOOKUP(ROUNDDOWN($D549-1/frec,0),cob_adi,DO$40,FALSE)*(1+i/frec)^-0.5*(1+Parámetros!$D$103)*(1+rec_fracc)/frec),6))</f>
        <v/>
      </c>
      <c r="EE549" s="66" t="str">
        <f t="shared" si="724"/>
        <v/>
      </c>
      <c r="EF549" s="68" t="str">
        <f t="shared" si="725"/>
        <v/>
      </c>
      <c r="EG549" s="66" t="str">
        <f>+IF($W549="","",ROUND(IF($B549&gt;Parámetros!$D$107,'Tablas Servicio'!EE549+('Tablas Servicio'!EG548-'Tablas Servicio'!EE548),EE549/(1-IF(B549&lt;=10,Parámetros!$D$100,0))),2))</f>
        <v/>
      </c>
      <c r="EH549" s="66" t="str">
        <f t="shared" si="726"/>
        <v/>
      </c>
      <c r="EI549" s="66" t="str">
        <f t="shared" si="726"/>
        <v/>
      </c>
      <c r="EJ549" s="66" t="str">
        <f>+IF($W549="","",ROUND((EG549*Parámetros!$G$85),2))</f>
        <v/>
      </c>
      <c r="EK549" s="66" t="str">
        <f>+IF($W549="","",ROUND((EG549*(Parámetros!$G$86)),2))</f>
        <v/>
      </c>
      <c r="EL549" s="66" t="str">
        <f t="shared" si="727"/>
        <v/>
      </c>
    </row>
    <row r="550" spans="1:142" x14ac:dyDescent="0.25">
      <c r="A550" t="str">
        <f>+IF($C550="","",ROUND(VLOOKUP('Tablas Servicio'!B550,Parámetros!$H$100:$J$159,IF(Parámetros!$E$16="F",2,3),FALSE),2))</f>
        <v/>
      </c>
      <c r="B550" t="str">
        <f t="shared" si="678"/>
        <v/>
      </c>
      <c r="C550" s="57" t="str">
        <f>+IF(D550="","",'Tablas Servicio'!C549+1)</f>
        <v/>
      </c>
      <c r="D550" s="56" t="str">
        <f>+IF(D549&lt;edadmaxtabla,D549+1/Parámetros!$E$25,"")</f>
        <v/>
      </c>
      <c r="E550" s="57" t="str">
        <f t="shared" si="688"/>
        <v/>
      </c>
      <c r="F550" s="59" t="str">
        <f t="shared" si="689"/>
        <v/>
      </c>
      <c r="G550" s="66" t="str">
        <f t="shared" si="679"/>
        <v/>
      </c>
      <c r="H550" s="66" t="str">
        <f t="shared" si="680"/>
        <v/>
      </c>
      <c r="I550" s="66" t="str">
        <f t="shared" si="728"/>
        <v/>
      </c>
      <c r="J550" s="66" t="str">
        <f t="shared" si="681"/>
        <v/>
      </c>
      <c r="K550" s="66" t="str">
        <f t="shared" si="682"/>
        <v/>
      </c>
      <c r="L550" s="66" t="str">
        <f t="shared" si="683"/>
        <v/>
      </c>
      <c r="M550" s="66" t="str">
        <f t="shared" si="684"/>
        <v/>
      </c>
      <c r="N550" s="66" t="str">
        <f>+IF(C550="","",ROUND(Parámetros!$D$23,2))</f>
        <v/>
      </c>
      <c r="O550" s="66" t="str">
        <f t="shared" si="685"/>
        <v/>
      </c>
      <c r="P550" s="66" t="str">
        <f>+IF($C550="","",ROUND(IF(B550&gt;Parámetros!$D$117,0,N550*Parámetros!$D$116-G550*Parámetros!$D$100),2))</f>
        <v/>
      </c>
      <c r="Q550" s="75" t="str">
        <f t="shared" si="729"/>
        <v/>
      </c>
      <c r="R550" s="75" t="str">
        <f t="shared" si="730"/>
        <v/>
      </c>
      <c r="S550" s="117" t="str">
        <f>+IF($C550="","",ROUND((S549+I550)*(1+Parámetros!$D$91),2))</f>
        <v/>
      </c>
      <c r="T550" s="117" t="str">
        <f>+IF($C550="","",ROUND(S550*VLOOKUP(B550,Parámetros!$C$30:$D$39,2,TRUE),2))</f>
        <v/>
      </c>
      <c r="U550" s="117" t="str">
        <f>+IF($C550="","",ROUND((U549+I550)*(1+Parámetros!$D$92),2))</f>
        <v/>
      </c>
      <c r="V550" s="117" t="str">
        <f>+IF($C550="","",ROUND(U550*VLOOKUP(B550,Parámetros!$C$30:$D$39,2,TRUE),2))</f>
        <v/>
      </c>
      <c r="W550" s="57" t="str">
        <f t="shared" si="731"/>
        <v/>
      </c>
      <c r="X550" t="str">
        <f t="shared" si="732"/>
        <v/>
      </c>
      <c r="Y550" t="str">
        <f t="shared" si="733"/>
        <v/>
      </c>
      <c r="Z550" s="118" t="str">
        <f>+IF($W550="","",ROUND(IF(Parámetros!$D$25='TABLAS MORT'!$V$33,Z549,Parámetros!$D$21-'Tablas Servicio'!T549),0))</f>
        <v/>
      </c>
      <c r="AA550" s="118" t="str">
        <f t="shared" si="734"/>
        <v/>
      </c>
      <c r="AB550" s="119" t="str">
        <f>+IF(W550="","",ROUND((VLOOKUP(ROUNDDOWN($D550-1/frec,0),qx_tabla,2,FALSE)*(1+i/frec)^-0.5*(1+Parámetros!$D$103)*(1+rec_fracc)/frec),6))</f>
        <v/>
      </c>
      <c r="AC550" s="66" t="str">
        <f t="shared" si="690"/>
        <v/>
      </c>
      <c r="AD550" s="119" t="str">
        <f t="shared" si="686"/>
        <v/>
      </c>
      <c r="AE550" s="66" t="str">
        <f>+IF($W550="","",ROUND(IF($B550&gt;Parámetros!$D$107,'Tablas Servicio'!AC550+('Tablas Servicio'!AG549-'Tablas Servicio'!AC549),AC550/(1-IF(B550&lt;=10,Parámetros!$D$104,Parámetros!$D$105))),2))</f>
        <v/>
      </c>
      <c r="AF550" s="66" t="str">
        <f>+IF($W550="","",ROUND(IF($B550&gt;Parámetros!$D$107,'Tablas Servicio'!AC550+('Tablas Servicio'!AG549-'Tablas Servicio'!AC549),(AC550+$A549/frec)/(1-IF(B550&lt;=Parámetros!$D$117,Parámetros!$D$100,0))),2))</f>
        <v/>
      </c>
      <c r="AG550" s="66" t="str">
        <f t="shared" si="691"/>
        <v/>
      </c>
      <c r="AH550" s="66" t="str">
        <f t="shared" si="692"/>
        <v/>
      </c>
      <c r="AI550" s="66" t="str">
        <f t="shared" si="693"/>
        <v/>
      </c>
      <c r="AJ550" s="66" t="str">
        <f>+IF($W550="","",ROUND((AG550*Parámetros!$G$85),2))</f>
        <v/>
      </c>
      <c r="AK550" s="66" t="str">
        <f>+IF($W550="","",ROUND((AG550*(Parámetros!$G$86)),2))</f>
        <v/>
      </c>
      <c r="AL550" s="66" t="str">
        <f t="shared" si="687"/>
        <v/>
      </c>
      <c r="AM550" t="str">
        <f t="shared" si="735"/>
        <v/>
      </c>
      <c r="AN550" t="str">
        <f t="shared" si="736"/>
        <v/>
      </c>
      <c r="AO550" s="118" t="str">
        <f t="shared" si="737"/>
        <v/>
      </c>
      <c r="AP550" s="118" t="str">
        <f t="shared" si="738"/>
        <v/>
      </c>
      <c r="AQ550" s="119" t="str">
        <f>+IF(OR($W550="",AO550=0),"",ROUND((VLOOKUP(ROUNDDOWN($D550-1/frec,0),cob_adi,Z$40,FALSE)*(1+i/frec)^-0.5*(1+Parámetros!$D$103)*(1+rec_fracc)/frec),6))</f>
        <v/>
      </c>
      <c r="AR550" s="66" t="str">
        <f t="shared" si="694"/>
        <v/>
      </c>
      <c r="AS550" s="119" t="str">
        <f t="shared" si="695"/>
        <v/>
      </c>
      <c r="AT550" s="66" t="str">
        <f>+IF($W550="","",ROUND(IF($B550&gt;Parámetros!$D$107,'Tablas Servicio'!AR550+('Tablas Servicio'!AT549-'Tablas Servicio'!AR549),AR550/(1-IF(B550&lt;=10,Parámetros!$D$100,0))),2))</f>
        <v/>
      </c>
      <c r="AU550" s="66" t="str">
        <f t="shared" si="696"/>
        <v/>
      </c>
      <c r="AV550" s="66" t="str">
        <f t="shared" si="696"/>
        <v/>
      </c>
      <c r="AW550" s="66" t="str">
        <f>+IF($W550="","",ROUND((AT550*Parámetros!$G$85),2))</f>
        <v/>
      </c>
      <c r="AX550" s="66" t="str">
        <f>+IF($W550="","",ROUND((AT550*(Parámetros!$G$86)),2))</f>
        <v/>
      </c>
      <c r="AY550" s="66" t="str">
        <f t="shared" si="697"/>
        <v/>
      </c>
      <c r="AZ550" t="str">
        <f t="shared" si="739"/>
        <v/>
      </c>
      <c r="BA550" t="str">
        <f t="shared" si="740"/>
        <v/>
      </c>
      <c r="BB550" s="118" t="str">
        <f t="shared" si="741"/>
        <v/>
      </c>
      <c r="BC550" s="118" t="str">
        <f t="shared" si="742"/>
        <v/>
      </c>
      <c r="BD550" s="119" t="str">
        <f>+IF(OR($W550="",BB550=0),"",ROUND((VLOOKUP(ROUNDDOWN($D550-1/frec,0),cob_adi,AO$40,FALSE)*(1+i/frec)^-0.5*(1+Parámetros!$D$103)*(1+rec_fracc)/frec),6))</f>
        <v/>
      </c>
      <c r="BE550" s="66" t="str">
        <f t="shared" si="698"/>
        <v/>
      </c>
      <c r="BF550" s="119" t="str">
        <f t="shared" si="699"/>
        <v/>
      </c>
      <c r="BG550" s="66" t="str">
        <f>+IF($W550="","",ROUND(IF($B550&gt;Parámetros!$D$107,'Tablas Servicio'!BE550+('Tablas Servicio'!BG549-'Tablas Servicio'!BE549),BE550/(1-IF(B550&lt;=10,Parámetros!$D$100,0))),2))</f>
        <v/>
      </c>
      <c r="BH550" s="66" t="str">
        <f t="shared" si="700"/>
        <v/>
      </c>
      <c r="BI550" s="66" t="str">
        <f t="shared" si="701"/>
        <v/>
      </c>
      <c r="BJ550" s="66" t="str">
        <f>+IF($W550="","",ROUND((BG550*Parámetros!$G$85),2))</f>
        <v/>
      </c>
      <c r="BK550" s="66" t="str">
        <f>+IF($W550="","",ROUND((BG550*(Parámetros!$G$86)),2))</f>
        <v/>
      </c>
      <c r="BL550" s="66" t="str">
        <f t="shared" si="702"/>
        <v/>
      </c>
      <c r="BM550" t="str">
        <f t="shared" si="743"/>
        <v/>
      </c>
      <c r="BN550" t="str">
        <f t="shared" si="744"/>
        <v/>
      </c>
      <c r="BO550" s="118" t="str">
        <f t="shared" si="745"/>
        <v/>
      </c>
      <c r="BP550" s="118" t="str">
        <f t="shared" si="746"/>
        <v/>
      </c>
      <c r="BQ550" s="119" t="str">
        <f>+IF(OR($W550="",BO550=0),"",ROUND((VLOOKUP(ROUNDDOWN($D550-1/frec,0),cob_adi,BB$40,FALSE)*(1+i/frec)^-0.5*(1+Parámetros!$D$103)*(1+rec_fracc)/frec),6))</f>
        <v/>
      </c>
      <c r="BR550" s="66" t="str">
        <f t="shared" si="703"/>
        <v/>
      </c>
      <c r="BS550" s="119" t="str">
        <f t="shared" si="704"/>
        <v/>
      </c>
      <c r="BT550" s="66" t="str">
        <f>+IF($W550="","",ROUND(IF($B550&gt;Parámetros!$D$107,'Tablas Servicio'!BR550+('Tablas Servicio'!BT549-'Tablas Servicio'!BR549),BR550/(1-IF(B550&lt;=10,Parámetros!$D$100,0))),2))</f>
        <v/>
      </c>
      <c r="BU550" s="66" t="str">
        <f t="shared" si="705"/>
        <v/>
      </c>
      <c r="BV550" s="66" t="str">
        <f t="shared" si="705"/>
        <v/>
      </c>
      <c r="BW550" s="66" t="str">
        <f>+IF($W550="","",ROUND((BT550*Parámetros!$G$85),2))</f>
        <v/>
      </c>
      <c r="BX550" s="66" t="str">
        <f>+IF($W550="","",ROUND((BT550*(Parámetros!$G$86)),2))</f>
        <v/>
      </c>
      <c r="BY550" s="66" t="str">
        <f t="shared" si="706"/>
        <v/>
      </c>
      <c r="BZ550" t="str">
        <f t="shared" si="747"/>
        <v/>
      </c>
      <c r="CA550" t="str">
        <f t="shared" si="748"/>
        <v/>
      </c>
      <c r="CB550" s="118" t="str">
        <f t="shared" si="749"/>
        <v/>
      </c>
      <c r="CC550" s="118" t="str">
        <f t="shared" si="750"/>
        <v/>
      </c>
      <c r="CD550" s="119" t="str">
        <f t="shared" si="707"/>
        <v/>
      </c>
      <c r="CE550" s="66" t="str">
        <f>+IF($W550="","",ROUND((VLOOKUP(ROUNDDOWN($D550-1/frec,0),cob_adi,BO$40,FALSE)*(1+i/frec)^-0.5*(1+Parámetros!$D$103)*(1+rec_fracc)/frec*'TABLAS ADI'!$BC$17),2))</f>
        <v/>
      </c>
      <c r="CF550" s="119" t="str">
        <f t="shared" si="708"/>
        <v/>
      </c>
      <c r="CG550" s="66" t="str">
        <f>+IF($W550="","",ROUND(IF($B550&gt;Parámetros!$D$107,'Tablas Servicio'!CE550+('Tablas Servicio'!CG549-'Tablas Servicio'!CE549),CE550/(1-IF(B550&lt;=10,Parámetros!$D$100,0))),2))</f>
        <v/>
      </c>
      <c r="CH550" s="66" t="str">
        <f t="shared" si="709"/>
        <v/>
      </c>
      <c r="CI550" s="66" t="str">
        <f t="shared" si="709"/>
        <v/>
      </c>
      <c r="CJ550" s="66" t="str">
        <f>+IF($W550="","",ROUND((CG550*Parámetros!$G$85),2))</f>
        <v/>
      </c>
      <c r="CK550" s="66" t="str">
        <f>+IF($W550="","",ROUND((CG550*(Parámetros!$G$86)),2))</f>
        <v/>
      </c>
      <c r="CL550" s="66" t="str">
        <f t="shared" si="710"/>
        <v/>
      </c>
      <c r="CM550" t="str">
        <f t="shared" si="751"/>
        <v/>
      </c>
      <c r="CN550" s="118" t="str">
        <f t="shared" si="752"/>
        <v/>
      </c>
      <c r="CO550" s="118" t="str">
        <f t="shared" si="753"/>
        <v/>
      </c>
      <c r="CP550" s="118" t="str">
        <f t="shared" si="754"/>
        <v/>
      </c>
      <c r="CQ550" s="119" t="str">
        <f t="shared" si="711"/>
        <v/>
      </c>
      <c r="CR550" s="66" t="str">
        <f>+IF($W550="","",ROUND((VLOOKUP(Parámetros!$F$51,'COBERTURAS ADICIONALES'!$S$4:$T$32,2,FALSE)*(1+i/frec)^-0.5*(1+Parámetros!$D$103)*(1+rec_fracc)/frec*$CO$42),2))</f>
        <v/>
      </c>
      <c r="CS550" s="119" t="str">
        <f t="shared" si="712"/>
        <v/>
      </c>
      <c r="CT550" s="66" t="str">
        <f>+IF($W550="","",ROUND(IF($B550&gt;Parámetros!$D$107,'Tablas Servicio'!CR550+('Tablas Servicio'!CT549-'Tablas Servicio'!CR549),CR550/(1-IF(B550&lt;=10,Parámetros!$D$100,0))),2))</f>
        <v/>
      </c>
      <c r="CU550" s="66" t="str">
        <f t="shared" si="713"/>
        <v/>
      </c>
      <c r="CV550" s="66" t="str">
        <f t="shared" si="713"/>
        <v/>
      </c>
      <c r="CW550" s="66" t="str">
        <f>+IF($W550="","",ROUND((CT550*Parámetros!$G$85),2))</f>
        <v/>
      </c>
      <c r="CX550" s="66" t="str">
        <f>+IF($W550="","",ROUND((CT550*(Parámetros!$G$86)),2))</f>
        <v/>
      </c>
      <c r="CY550" s="66" t="str">
        <f t="shared" si="714"/>
        <v/>
      </c>
      <c r="CZ550" t="str">
        <f t="shared" si="755"/>
        <v/>
      </c>
      <c r="DA550" s="118" t="str">
        <f t="shared" si="756"/>
        <v/>
      </c>
      <c r="DB550" s="118" t="str">
        <f t="shared" si="757"/>
        <v/>
      </c>
      <c r="DC550" s="118" t="str">
        <f t="shared" si="758"/>
        <v/>
      </c>
      <c r="DD550" s="121" t="str">
        <f>+IF(OR($W550="",DB550=0),"",ROUND((VLOOKUP(ROUNDDOWN($D550-1/frec,0),cob_adi,CO$40,FALSE)*(1+i/frec)^-0.5*(1+Parámetros!$D$103)*(1+rec_fracc)/frec),6))</f>
        <v/>
      </c>
      <c r="DE550" s="66" t="str">
        <f t="shared" si="715"/>
        <v/>
      </c>
      <c r="DF550" s="119" t="str">
        <f t="shared" si="716"/>
        <v/>
      </c>
      <c r="DG550" s="66" t="str">
        <f>+IF($W550="","",ROUND(IF($B550&gt;Parámetros!$D$107,'Tablas Servicio'!DE550+('Tablas Servicio'!DG549-'Tablas Servicio'!DE549),DE550/(1-IF(B550&lt;=10,Parámetros!$D$100,0))),2))</f>
        <v/>
      </c>
      <c r="DH550" s="66" t="str">
        <f t="shared" si="717"/>
        <v/>
      </c>
      <c r="DI550" s="66" t="str">
        <f t="shared" si="717"/>
        <v/>
      </c>
      <c r="DJ550" s="66" t="str">
        <f>+IF($W550="","",ROUND((DG550*Parámetros!$G$85),2))</f>
        <v/>
      </c>
      <c r="DK550" s="66" t="str">
        <f>+IF($W550="","",ROUND((DG550*(Parámetros!$G$86)),2))</f>
        <v/>
      </c>
      <c r="DL550" s="66" t="str">
        <f t="shared" si="718"/>
        <v/>
      </c>
      <c r="DM550" t="str">
        <f t="shared" si="759"/>
        <v/>
      </c>
      <c r="DN550" s="118" t="str">
        <f t="shared" si="760"/>
        <v/>
      </c>
      <c r="DO550" s="118" t="str">
        <f t="shared" si="761"/>
        <v/>
      </c>
      <c r="DP550" s="118" t="str">
        <f t="shared" si="762"/>
        <v/>
      </c>
      <c r="DQ550" s="122" t="str">
        <f>+IF(OR($W550="",DO550=0),"",ROUND((VLOOKUP(ROUNDDOWN($D550-1/frec,0),cob_adi,DB$40,FALSE)*(1+i/frec)^-0.5*(1+Parámetros!$D$103)*(1+rec_fracc)/frec),6))</f>
        <v/>
      </c>
      <c r="DR550" s="66" t="str">
        <f t="shared" si="719"/>
        <v/>
      </c>
      <c r="DS550" s="68" t="str">
        <f t="shared" si="720"/>
        <v/>
      </c>
      <c r="DT550" s="66" t="str">
        <f>+IF($W550="","",ROUND(IF($B550&gt;Parámetros!$D$107,'Tablas Servicio'!DR550+('Tablas Servicio'!DT549-'Tablas Servicio'!DR549),DR550/(1-IF(B550&lt;=10,Parámetros!$D$100,0))),2))</f>
        <v/>
      </c>
      <c r="DU550" s="66" t="str">
        <f t="shared" si="721"/>
        <v/>
      </c>
      <c r="DV550" s="66" t="str">
        <f t="shared" si="721"/>
        <v/>
      </c>
      <c r="DW550" s="66" t="str">
        <f>+IF($W550="","",ROUND((DT550*Parámetros!$G$85),2))</f>
        <v/>
      </c>
      <c r="DX550" s="66" t="str">
        <f>+IF($W550="","",ROUND((DT550*(Parámetros!$G$86)),2))</f>
        <v/>
      </c>
      <c r="DY550" s="66" t="str">
        <f t="shared" si="722"/>
        <v/>
      </c>
      <c r="DZ550" t="str">
        <f t="shared" si="765"/>
        <v/>
      </c>
      <c r="EA550" s="118" t="str">
        <f t="shared" si="765"/>
        <v/>
      </c>
      <c r="EB550" s="118" t="str">
        <f>+IF($W550="","",ROUND(IF(Parámetros!$D$25='TABLAS MORT'!$V$33,EB549,Z550/2),0))</f>
        <v/>
      </c>
      <c r="EC550" s="118" t="str">
        <f t="shared" si="765"/>
        <v/>
      </c>
      <c r="ED550" s="122" t="str">
        <f>+IF(OR($W550="",EB550=0),"",ROUND((VLOOKUP(ROUNDDOWN($D550-1/frec,0),cob_adi,DO$40,FALSE)*(1+i/frec)^-0.5*(1+Parámetros!$D$103)*(1+rec_fracc)/frec),6))</f>
        <v/>
      </c>
      <c r="EE550" s="66" t="str">
        <f t="shared" si="724"/>
        <v/>
      </c>
      <c r="EF550" s="68" t="str">
        <f t="shared" si="725"/>
        <v/>
      </c>
      <c r="EG550" s="66" t="str">
        <f>+IF($W550="","",ROUND(IF($B550&gt;Parámetros!$D$107,'Tablas Servicio'!EE550+('Tablas Servicio'!EG549-'Tablas Servicio'!EE549),EE550/(1-IF(B550&lt;=10,Parámetros!$D$100,0))),2))</f>
        <v/>
      </c>
      <c r="EH550" s="66" t="str">
        <f t="shared" si="726"/>
        <v/>
      </c>
      <c r="EI550" s="66" t="str">
        <f t="shared" si="726"/>
        <v/>
      </c>
      <c r="EJ550" s="66" t="str">
        <f>+IF($W550="","",ROUND((EG550*Parámetros!$G$85),2))</f>
        <v/>
      </c>
      <c r="EK550" s="66" t="str">
        <f>+IF($W550="","",ROUND((EG550*(Parámetros!$G$86)),2))</f>
        <v/>
      </c>
      <c r="EL550" s="66" t="str">
        <f t="shared" si="727"/>
        <v/>
      </c>
    </row>
    <row r="551" spans="1:142" x14ac:dyDescent="0.25">
      <c r="A551" t="str">
        <f>+IF($C551="","",ROUND(VLOOKUP('Tablas Servicio'!B551,Parámetros!$H$100:$J$159,IF(Parámetros!$E$16="F",2,3),FALSE),2))</f>
        <v/>
      </c>
      <c r="B551" t="str">
        <f t="shared" si="678"/>
        <v/>
      </c>
      <c r="C551" s="57" t="str">
        <f>+IF(D551="","",'Tablas Servicio'!C550+1)</f>
        <v/>
      </c>
      <c r="D551" s="56" t="str">
        <f>+IF(D550&lt;edadmaxtabla,D550+1/Parámetros!$E$25,"")</f>
        <v/>
      </c>
      <c r="E551" s="57" t="str">
        <f t="shared" si="688"/>
        <v/>
      </c>
      <c r="F551" s="59" t="str">
        <f t="shared" si="689"/>
        <v/>
      </c>
      <c r="G551" s="66" t="str">
        <f t="shared" si="679"/>
        <v/>
      </c>
      <c r="H551" s="66" t="str">
        <f t="shared" si="680"/>
        <v/>
      </c>
      <c r="I551" s="66" t="str">
        <f t="shared" si="728"/>
        <v/>
      </c>
      <c r="J551" s="66" t="str">
        <f t="shared" si="681"/>
        <v/>
      </c>
      <c r="K551" s="66" t="str">
        <f t="shared" si="682"/>
        <v/>
      </c>
      <c r="L551" s="66" t="str">
        <f t="shared" si="683"/>
        <v/>
      </c>
      <c r="M551" s="66" t="str">
        <f t="shared" si="684"/>
        <v/>
      </c>
      <c r="N551" s="66" t="str">
        <f>+IF(C551="","",ROUND(Parámetros!$D$23,2))</f>
        <v/>
      </c>
      <c r="O551" s="66" t="str">
        <f t="shared" si="685"/>
        <v/>
      </c>
      <c r="P551" s="66" t="str">
        <f>+IF($C551="","",ROUND(IF(B551&gt;Parámetros!$D$117,0,N551*Parámetros!$D$116-G551*Parámetros!$D$100),2))</f>
        <v/>
      </c>
      <c r="Q551" s="75" t="str">
        <f t="shared" si="729"/>
        <v/>
      </c>
      <c r="R551" s="75" t="str">
        <f t="shared" si="730"/>
        <v/>
      </c>
      <c r="S551" s="117" t="str">
        <f>+IF($C551="","",ROUND((S550+I551)*(1+Parámetros!$D$91),2))</f>
        <v/>
      </c>
      <c r="T551" s="117" t="str">
        <f>+IF($C551="","",ROUND(S551*VLOOKUP(B551,Parámetros!$C$30:$D$39,2,TRUE),2))</f>
        <v/>
      </c>
      <c r="U551" s="117" t="str">
        <f>+IF($C551="","",ROUND((U550+I551)*(1+Parámetros!$D$92),2))</f>
        <v/>
      </c>
      <c r="V551" s="117" t="str">
        <f>+IF($C551="","",ROUND(U551*VLOOKUP(B551,Parámetros!$C$30:$D$39,2,TRUE),2))</f>
        <v/>
      </c>
      <c r="W551" s="57" t="str">
        <f t="shared" si="731"/>
        <v/>
      </c>
      <c r="X551" t="str">
        <f t="shared" si="732"/>
        <v/>
      </c>
      <c r="Y551" t="str">
        <f t="shared" si="733"/>
        <v/>
      </c>
      <c r="Z551" s="118" t="str">
        <f>+IF($W551="","",ROUND(IF(Parámetros!$D$25='TABLAS MORT'!$V$33,Z550,Parámetros!$D$21-'Tablas Servicio'!T550),0))</f>
        <v/>
      </c>
      <c r="AA551" s="118" t="str">
        <f t="shared" si="734"/>
        <v/>
      </c>
      <c r="AB551" s="119" t="str">
        <f>+IF(W551="","",ROUND((VLOOKUP(ROUNDDOWN($D551-1/frec,0),qx_tabla,2,FALSE)*(1+i/frec)^-0.5*(1+Parámetros!$D$103)*(1+rec_fracc)/frec),6))</f>
        <v/>
      </c>
      <c r="AC551" s="66" t="str">
        <f t="shared" si="690"/>
        <v/>
      </c>
      <c r="AD551" s="119" t="str">
        <f t="shared" si="686"/>
        <v/>
      </c>
      <c r="AE551" s="66" t="str">
        <f>+IF($W551="","",ROUND(IF($B551&gt;Parámetros!$D$107,'Tablas Servicio'!AC551+('Tablas Servicio'!AG550-'Tablas Servicio'!AC550),AC551/(1-IF(B551&lt;=10,Parámetros!$D$104,Parámetros!$D$105))),2))</f>
        <v/>
      </c>
      <c r="AF551" s="66" t="str">
        <f>+IF($W551="","",ROUND(IF($B551&gt;Parámetros!$D$107,'Tablas Servicio'!AC551+('Tablas Servicio'!AG550-'Tablas Servicio'!AC550),(AC551+$A550/frec)/(1-IF(B551&lt;=Parámetros!$D$117,Parámetros!$D$100,0))),2))</f>
        <v/>
      </c>
      <c r="AG551" s="66" t="str">
        <f t="shared" si="691"/>
        <v/>
      </c>
      <c r="AH551" s="66" t="str">
        <f t="shared" si="692"/>
        <v/>
      </c>
      <c r="AI551" s="66" t="str">
        <f t="shared" si="693"/>
        <v/>
      </c>
      <c r="AJ551" s="66" t="str">
        <f>+IF($W551="","",ROUND((AG551*Parámetros!$G$85),2))</f>
        <v/>
      </c>
      <c r="AK551" s="66" t="str">
        <f>+IF($W551="","",ROUND((AG551*(Parámetros!$G$86)),2))</f>
        <v/>
      </c>
      <c r="AL551" s="66" t="str">
        <f t="shared" si="687"/>
        <v/>
      </c>
      <c r="AM551" t="str">
        <f t="shared" si="735"/>
        <v/>
      </c>
      <c r="AN551" t="str">
        <f t="shared" si="736"/>
        <v/>
      </c>
      <c r="AO551" s="118" t="str">
        <f t="shared" si="737"/>
        <v/>
      </c>
      <c r="AP551" s="118" t="str">
        <f t="shared" si="738"/>
        <v/>
      </c>
      <c r="AQ551" s="119" t="str">
        <f>+IF(OR($W551="",AO551=0),"",ROUND((VLOOKUP(ROUNDDOWN($D551-1/frec,0),cob_adi,Z$40,FALSE)*(1+i/frec)^-0.5*(1+Parámetros!$D$103)*(1+rec_fracc)/frec),6))</f>
        <v/>
      </c>
      <c r="AR551" s="66" t="str">
        <f t="shared" si="694"/>
        <v/>
      </c>
      <c r="AS551" s="119" t="str">
        <f t="shared" si="695"/>
        <v/>
      </c>
      <c r="AT551" s="66" t="str">
        <f>+IF($W551="","",ROUND(IF($B551&gt;Parámetros!$D$107,'Tablas Servicio'!AR551+('Tablas Servicio'!AT550-'Tablas Servicio'!AR550),AR551/(1-IF(B551&lt;=10,Parámetros!$D$100,0))),2))</f>
        <v/>
      </c>
      <c r="AU551" s="66" t="str">
        <f t="shared" si="696"/>
        <v/>
      </c>
      <c r="AV551" s="66" t="str">
        <f t="shared" si="696"/>
        <v/>
      </c>
      <c r="AW551" s="66" t="str">
        <f>+IF($W551="","",ROUND((AT551*Parámetros!$G$85),2))</f>
        <v/>
      </c>
      <c r="AX551" s="66" t="str">
        <f>+IF($W551="","",ROUND((AT551*(Parámetros!$G$86)),2))</f>
        <v/>
      </c>
      <c r="AY551" s="66" t="str">
        <f t="shared" si="697"/>
        <v/>
      </c>
      <c r="AZ551" t="str">
        <f t="shared" si="739"/>
        <v/>
      </c>
      <c r="BA551" t="str">
        <f t="shared" si="740"/>
        <v/>
      </c>
      <c r="BB551" s="118" t="str">
        <f t="shared" si="741"/>
        <v/>
      </c>
      <c r="BC551" s="118" t="str">
        <f t="shared" si="742"/>
        <v/>
      </c>
      <c r="BD551" s="119" t="str">
        <f>+IF(OR($W551="",BB551=0),"",ROUND((VLOOKUP(ROUNDDOWN($D551-1/frec,0),cob_adi,AO$40,FALSE)*(1+i/frec)^-0.5*(1+Parámetros!$D$103)*(1+rec_fracc)/frec),6))</f>
        <v/>
      </c>
      <c r="BE551" s="66" t="str">
        <f t="shared" si="698"/>
        <v/>
      </c>
      <c r="BF551" s="119" t="str">
        <f t="shared" si="699"/>
        <v/>
      </c>
      <c r="BG551" s="66" t="str">
        <f>+IF($W551="","",ROUND(IF($B551&gt;Parámetros!$D$107,'Tablas Servicio'!BE551+('Tablas Servicio'!BG550-'Tablas Servicio'!BE550),BE551/(1-IF(B551&lt;=10,Parámetros!$D$100,0))),2))</f>
        <v/>
      </c>
      <c r="BH551" s="66" t="str">
        <f t="shared" si="700"/>
        <v/>
      </c>
      <c r="BI551" s="66" t="str">
        <f t="shared" si="701"/>
        <v/>
      </c>
      <c r="BJ551" s="66" t="str">
        <f>+IF($W551="","",ROUND((BG551*Parámetros!$G$85),2))</f>
        <v/>
      </c>
      <c r="BK551" s="66" t="str">
        <f>+IF($W551="","",ROUND((BG551*(Parámetros!$G$86)),2))</f>
        <v/>
      </c>
      <c r="BL551" s="66" t="str">
        <f t="shared" si="702"/>
        <v/>
      </c>
      <c r="BM551" t="str">
        <f t="shared" si="743"/>
        <v/>
      </c>
      <c r="BN551" t="str">
        <f t="shared" si="744"/>
        <v/>
      </c>
      <c r="BO551" s="118" t="str">
        <f t="shared" si="745"/>
        <v/>
      </c>
      <c r="BP551" s="118" t="str">
        <f t="shared" si="746"/>
        <v/>
      </c>
      <c r="BQ551" s="119" t="str">
        <f>+IF(OR($W551="",BO551=0),"",ROUND((VLOOKUP(ROUNDDOWN($D551-1/frec,0),cob_adi,BB$40,FALSE)*(1+i/frec)^-0.5*(1+Parámetros!$D$103)*(1+rec_fracc)/frec),6))</f>
        <v/>
      </c>
      <c r="BR551" s="66" t="str">
        <f t="shared" si="703"/>
        <v/>
      </c>
      <c r="BS551" s="119" t="str">
        <f t="shared" si="704"/>
        <v/>
      </c>
      <c r="BT551" s="66" t="str">
        <f>+IF($W551="","",ROUND(IF($B551&gt;Parámetros!$D$107,'Tablas Servicio'!BR551+('Tablas Servicio'!BT550-'Tablas Servicio'!BR550),BR551/(1-IF(B551&lt;=10,Parámetros!$D$100,0))),2))</f>
        <v/>
      </c>
      <c r="BU551" s="66" t="str">
        <f t="shared" si="705"/>
        <v/>
      </c>
      <c r="BV551" s="66" t="str">
        <f t="shared" si="705"/>
        <v/>
      </c>
      <c r="BW551" s="66" t="str">
        <f>+IF($W551="","",ROUND((BT551*Parámetros!$G$85),2))</f>
        <v/>
      </c>
      <c r="BX551" s="66" t="str">
        <f>+IF($W551="","",ROUND((BT551*(Parámetros!$G$86)),2))</f>
        <v/>
      </c>
      <c r="BY551" s="66" t="str">
        <f t="shared" si="706"/>
        <v/>
      </c>
      <c r="BZ551" t="str">
        <f t="shared" si="747"/>
        <v/>
      </c>
      <c r="CA551" t="str">
        <f t="shared" si="748"/>
        <v/>
      </c>
      <c r="CB551" s="118" t="str">
        <f t="shared" si="749"/>
        <v/>
      </c>
      <c r="CC551" s="118" t="str">
        <f t="shared" si="750"/>
        <v/>
      </c>
      <c r="CD551" s="119" t="str">
        <f t="shared" si="707"/>
        <v/>
      </c>
      <c r="CE551" s="66" t="str">
        <f>+IF($W551="","",ROUND((VLOOKUP(ROUNDDOWN($D551-1/frec,0),cob_adi,BO$40,FALSE)*(1+i/frec)^-0.5*(1+Parámetros!$D$103)*(1+rec_fracc)/frec*'TABLAS ADI'!$BC$17),2))</f>
        <v/>
      </c>
      <c r="CF551" s="119" t="str">
        <f t="shared" si="708"/>
        <v/>
      </c>
      <c r="CG551" s="66" t="str">
        <f>+IF($W551="","",ROUND(IF($B551&gt;Parámetros!$D$107,'Tablas Servicio'!CE551+('Tablas Servicio'!CG550-'Tablas Servicio'!CE550),CE551/(1-IF(B551&lt;=10,Parámetros!$D$100,0))),2))</f>
        <v/>
      </c>
      <c r="CH551" s="66" t="str">
        <f t="shared" si="709"/>
        <v/>
      </c>
      <c r="CI551" s="66" t="str">
        <f t="shared" si="709"/>
        <v/>
      </c>
      <c r="CJ551" s="66" t="str">
        <f>+IF($W551="","",ROUND((CG551*Parámetros!$G$85),2))</f>
        <v/>
      </c>
      <c r="CK551" s="66" t="str">
        <f>+IF($W551="","",ROUND((CG551*(Parámetros!$G$86)),2))</f>
        <v/>
      </c>
      <c r="CL551" s="66" t="str">
        <f t="shared" si="710"/>
        <v/>
      </c>
      <c r="CM551" t="str">
        <f t="shared" si="751"/>
        <v/>
      </c>
      <c r="CN551" s="118" t="str">
        <f t="shared" si="752"/>
        <v/>
      </c>
      <c r="CO551" s="118" t="str">
        <f t="shared" si="753"/>
        <v/>
      </c>
      <c r="CP551" s="118" t="str">
        <f t="shared" si="754"/>
        <v/>
      </c>
      <c r="CQ551" s="119" t="str">
        <f t="shared" si="711"/>
        <v/>
      </c>
      <c r="CR551" s="66" t="str">
        <f>+IF($W551="","",ROUND((VLOOKUP(Parámetros!$F$51,'COBERTURAS ADICIONALES'!$S$4:$T$32,2,FALSE)*(1+i/frec)^-0.5*(1+Parámetros!$D$103)*(1+rec_fracc)/frec*$CO$42),2))</f>
        <v/>
      </c>
      <c r="CS551" s="119" t="str">
        <f t="shared" si="712"/>
        <v/>
      </c>
      <c r="CT551" s="66" t="str">
        <f>+IF($W551="","",ROUND(IF($B551&gt;Parámetros!$D$107,'Tablas Servicio'!CR551+('Tablas Servicio'!CT550-'Tablas Servicio'!CR550),CR551/(1-IF(B551&lt;=10,Parámetros!$D$100,0))),2))</f>
        <v/>
      </c>
      <c r="CU551" s="66" t="str">
        <f t="shared" si="713"/>
        <v/>
      </c>
      <c r="CV551" s="66" t="str">
        <f t="shared" si="713"/>
        <v/>
      </c>
      <c r="CW551" s="66" t="str">
        <f>+IF($W551="","",ROUND((CT551*Parámetros!$G$85),2))</f>
        <v/>
      </c>
      <c r="CX551" s="66" t="str">
        <f>+IF($W551="","",ROUND((CT551*(Parámetros!$G$86)),2))</f>
        <v/>
      </c>
      <c r="CY551" s="66" t="str">
        <f t="shared" si="714"/>
        <v/>
      </c>
      <c r="CZ551" t="str">
        <f t="shared" si="755"/>
        <v/>
      </c>
      <c r="DA551" s="118" t="str">
        <f t="shared" si="756"/>
        <v/>
      </c>
      <c r="DB551" s="118" t="str">
        <f t="shared" si="757"/>
        <v/>
      </c>
      <c r="DC551" s="118" t="str">
        <f t="shared" si="758"/>
        <v/>
      </c>
      <c r="DD551" s="121" t="str">
        <f>+IF(OR($W551="",DB551=0),"",ROUND((VLOOKUP(ROUNDDOWN($D551-1/frec,0),cob_adi,CO$40,FALSE)*(1+i/frec)^-0.5*(1+Parámetros!$D$103)*(1+rec_fracc)/frec),6))</f>
        <v/>
      </c>
      <c r="DE551" s="66" t="str">
        <f t="shared" si="715"/>
        <v/>
      </c>
      <c r="DF551" s="119" t="str">
        <f t="shared" si="716"/>
        <v/>
      </c>
      <c r="DG551" s="66" t="str">
        <f>+IF($W551="","",ROUND(IF($B551&gt;Parámetros!$D$107,'Tablas Servicio'!DE551+('Tablas Servicio'!DG550-'Tablas Servicio'!DE550),DE551/(1-IF(B551&lt;=10,Parámetros!$D$100,0))),2))</f>
        <v/>
      </c>
      <c r="DH551" s="66" t="str">
        <f t="shared" si="717"/>
        <v/>
      </c>
      <c r="DI551" s="66" t="str">
        <f t="shared" si="717"/>
        <v/>
      </c>
      <c r="DJ551" s="66" t="str">
        <f>+IF($W551="","",ROUND((DG551*Parámetros!$G$85),2))</f>
        <v/>
      </c>
      <c r="DK551" s="66" t="str">
        <f>+IF($W551="","",ROUND((DG551*(Parámetros!$G$86)),2))</f>
        <v/>
      </c>
      <c r="DL551" s="66" t="str">
        <f t="shared" si="718"/>
        <v/>
      </c>
      <c r="DM551" t="str">
        <f t="shared" si="759"/>
        <v/>
      </c>
      <c r="DN551" s="118" t="str">
        <f t="shared" si="760"/>
        <v/>
      </c>
      <c r="DO551" s="118" t="str">
        <f t="shared" si="761"/>
        <v/>
      </c>
      <c r="DP551" s="118" t="str">
        <f t="shared" si="762"/>
        <v/>
      </c>
      <c r="DQ551" s="122" t="str">
        <f>+IF(OR($W551="",DO551=0),"",ROUND((VLOOKUP(ROUNDDOWN($D551-1/frec,0),cob_adi,DB$40,FALSE)*(1+i/frec)^-0.5*(1+Parámetros!$D$103)*(1+rec_fracc)/frec),6))</f>
        <v/>
      </c>
      <c r="DR551" s="66" t="str">
        <f t="shared" si="719"/>
        <v/>
      </c>
      <c r="DS551" s="68" t="str">
        <f t="shared" si="720"/>
        <v/>
      </c>
      <c r="DT551" s="66" t="str">
        <f>+IF($W551="","",ROUND(IF($B551&gt;Parámetros!$D$107,'Tablas Servicio'!DR551+('Tablas Servicio'!DT550-'Tablas Servicio'!DR550),DR551/(1-IF(B551&lt;=10,Parámetros!$D$100,0))),2))</f>
        <v/>
      </c>
      <c r="DU551" s="66" t="str">
        <f t="shared" si="721"/>
        <v/>
      </c>
      <c r="DV551" s="66" t="str">
        <f t="shared" si="721"/>
        <v/>
      </c>
      <c r="DW551" s="66" t="str">
        <f>+IF($W551="","",ROUND((DT551*Parámetros!$G$85),2))</f>
        <v/>
      </c>
      <c r="DX551" s="66" t="str">
        <f>+IF($W551="","",ROUND((DT551*(Parámetros!$G$86)),2))</f>
        <v/>
      </c>
      <c r="DY551" s="66" t="str">
        <f t="shared" si="722"/>
        <v/>
      </c>
      <c r="DZ551" t="str">
        <f t="shared" si="765"/>
        <v/>
      </c>
      <c r="EA551" s="118" t="str">
        <f t="shared" si="765"/>
        <v/>
      </c>
      <c r="EB551" s="118" t="str">
        <f>+IF($W551="","",ROUND(IF(Parámetros!$D$25='TABLAS MORT'!$V$33,EB550,Z551/2),0))</f>
        <v/>
      </c>
      <c r="EC551" s="118" t="str">
        <f t="shared" si="765"/>
        <v/>
      </c>
      <c r="ED551" s="122" t="str">
        <f>+IF(OR($W551="",EB551=0),"",ROUND((VLOOKUP(ROUNDDOWN($D551-1/frec,0),cob_adi,DO$40,FALSE)*(1+i/frec)^-0.5*(1+Parámetros!$D$103)*(1+rec_fracc)/frec),6))</f>
        <v/>
      </c>
      <c r="EE551" s="66" t="str">
        <f t="shared" si="724"/>
        <v/>
      </c>
      <c r="EF551" s="68" t="str">
        <f t="shared" si="725"/>
        <v/>
      </c>
      <c r="EG551" s="66" t="str">
        <f>+IF($W551="","",ROUND(IF($B551&gt;Parámetros!$D$107,'Tablas Servicio'!EE551+('Tablas Servicio'!EG550-'Tablas Servicio'!EE550),EE551/(1-IF(B551&lt;=10,Parámetros!$D$100,0))),2))</f>
        <v/>
      </c>
      <c r="EH551" s="66" t="str">
        <f t="shared" si="726"/>
        <v/>
      </c>
      <c r="EI551" s="66" t="str">
        <f t="shared" si="726"/>
        <v/>
      </c>
      <c r="EJ551" s="66" t="str">
        <f>+IF($W551="","",ROUND((EG551*Parámetros!$G$85),2))</f>
        <v/>
      </c>
      <c r="EK551" s="66" t="str">
        <f>+IF($W551="","",ROUND((EG551*(Parámetros!$G$86)),2))</f>
        <v/>
      </c>
      <c r="EL551" s="66" t="str">
        <f t="shared" si="727"/>
        <v/>
      </c>
    </row>
    <row r="552" spans="1:142" x14ac:dyDescent="0.25">
      <c r="A552" t="str">
        <f>+IF($C552="","",ROUND(VLOOKUP('Tablas Servicio'!B552,Parámetros!$H$100:$J$159,IF(Parámetros!$E$16="F",2,3),FALSE),2))</f>
        <v/>
      </c>
      <c r="B552" t="str">
        <f t="shared" si="678"/>
        <v/>
      </c>
      <c r="C552" s="57" t="str">
        <f>+IF(D552="","",'Tablas Servicio'!C551+1)</f>
        <v/>
      </c>
      <c r="D552" s="56" t="str">
        <f>+IF(D551&lt;edadmaxtabla,D551+1/Parámetros!$E$25,"")</f>
        <v/>
      </c>
      <c r="E552" s="57" t="str">
        <f t="shared" si="688"/>
        <v/>
      </c>
      <c r="F552" s="59" t="str">
        <f t="shared" si="689"/>
        <v/>
      </c>
      <c r="G552" s="66" t="str">
        <f t="shared" si="679"/>
        <v/>
      </c>
      <c r="H552" s="66" t="str">
        <f t="shared" si="680"/>
        <v/>
      </c>
      <c r="I552" s="66" t="str">
        <f t="shared" si="728"/>
        <v/>
      </c>
      <c r="J552" s="66" t="str">
        <f t="shared" si="681"/>
        <v/>
      </c>
      <c r="K552" s="66" t="str">
        <f t="shared" si="682"/>
        <v/>
      </c>
      <c r="L552" s="66" t="str">
        <f t="shared" si="683"/>
        <v/>
      </c>
      <c r="M552" s="66" t="str">
        <f t="shared" si="684"/>
        <v/>
      </c>
      <c r="N552" s="66" t="str">
        <f>+IF(C552="","",ROUND(Parámetros!$D$23,2))</f>
        <v/>
      </c>
      <c r="O552" s="66" t="str">
        <f t="shared" si="685"/>
        <v/>
      </c>
      <c r="P552" s="66" t="str">
        <f>+IF($C552="","",ROUND(IF(B552&gt;Parámetros!$D$117,0,N552*Parámetros!$D$116-G552*Parámetros!$D$100),2))</f>
        <v/>
      </c>
      <c r="Q552" s="75" t="str">
        <f t="shared" si="729"/>
        <v/>
      </c>
      <c r="R552" s="75" t="str">
        <f t="shared" si="730"/>
        <v/>
      </c>
      <c r="S552" s="117" t="str">
        <f>+IF($C552="","",ROUND((S551+I552)*(1+Parámetros!$D$91),2))</f>
        <v/>
      </c>
      <c r="T552" s="117" t="str">
        <f>+IF($C552="","",ROUND(S552*VLOOKUP(B552,Parámetros!$C$30:$D$39,2,TRUE),2))</f>
        <v/>
      </c>
      <c r="U552" s="117" t="str">
        <f>+IF($C552="","",ROUND((U551+I552)*(1+Parámetros!$D$92),2))</f>
        <v/>
      </c>
      <c r="V552" s="117" t="str">
        <f>+IF($C552="","",ROUND(U552*VLOOKUP(B552,Parámetros!$C$30:$D$39,2,TRUE),2))</f>
        <v/>
      </c>
      <c r="W552" s="57" t="str">
        <f t="shared" si="731"/>
        <v/>
      </c>
      <c r="X552" t="str">
        <f t="shared" si="732"/>
        <v/>
      </c>
      <c r="Y552" t="str">
        <f t="shared" si="733"/>
        <v/>
      </c>
      <c r="Z552" s="118" t="str">
        <f>+IF($W552="","",ROUND(IF(Parámetros!$D$25='TABLAS MORT'!$V$33,Z551,Parámetros!$D$21-'Tablas Servicio'!T551),0))</f>
        <v/>
      </c>
      <c r="AA552" s="118" t="str">
        <f t="shared" si="734"/>
        <v/>
      </c>
      <c r="AB552" s="119" t="str">
        <f>+IF(W552="","",ROUND((VLOOKUP(ROUNDDOWN($D552-1/frec,0),qx_tabla,2,FALSE)*(1+i/frec)^-0.5*(1+Parámetros!$D$103)*(1+rec_fracc)/frec),6))</f>
        <v/>
      </c>
      <c r="AC552" s="66" t="str">
        <f t="shared" si="690"/>
        <v/>
      </c>
      <c r="AD552" s="119" t="str">
        <f t="shared" si="686"/>
        <v/>
      </c>
      <c r="AE552" s="66" t="str">
        <f>+IF($W552="","",ROUND(IF($B552&gt;Parámetros!$D$107,'Tablas Servicio'!AC552+('Tablas Servicio'!AG551-'Tablas Servicio'!AC551),AC552/(1-IF(B552&lt;=10,Parámetros!$D$104,Parámetros!$D$105))),2))</f>
        <v/>
      </c>
      <c r="AF552" s="66" t="str">
        <f>+IF($W552="","",ROUND(IF($B552&gt;Parámetros!$D$107,'Tablas Servicio'!AC552+('Tablas Servicio'!AG551-'Tablas Servicio'!AC551),(AC552+$A551/frec)/(1-IF(B552&lt;=Parámetros!$D$117,Parámetros!$D$100,0))),2))</f>
        <v/>
      </c>
      <c r="AG552" s="66" t="str">
        <f t="shared" si="691"/>
        <v/>
      </c>
      <c r="AH552" s="66" t="str">
        <f t="shared" si="692"/>
        <v/>
      </c>
      <c r="AI552" s="66" t="str">
        <f t="shared" si="693"/>
        <v/>
      </c>
      <c r="AJ552" s="66" t="str">
        <f>+IF($W552="","",ROUND((AG552*Parámetros!$G$85),2))</f>
        <v/>
      </c>
      <c r="AK552" s="66" t="str">
        <f>+IF($W552="","",ROUND((AG552*(Parámetros!$G$86)),2))</f>
        <v/>
      </c>
      <c r="AL552" s="66" t="str">
        <f t="shared" si="687"/>
        <v/>
      </c>
      <c r="AM552" t="str">
        <f t="shared" si="735"/>
        <v/>
      </c>
      <c r="AN552" t="str">
        <f t="shared" si="736"/>
        <v/>
      </c>
      <c r="AO552" s="118" t="str">
        <f t="shared" si="737"/>
        <v/>
      </c>
      <c r="AP552" s="118" t="str">
        <f t="shared" si="738"/>
        <v/>
      </c>
      <c r="AQ552" s="119" t="str">
        <f>+IF(OR($W552="",AO552=0),"",ROUND((VLOOKUP(ROUNDDOWN($D552-1/frec,0),cob_adi,Z$40,FALSE)*(1+i/frec)^-0.5*(1+Parámetros!$D$103)*(1+rec_fracc)/frec),6))</f>
        <v/>
      </c>
      <c r="AR552" s="66" t="str">
        <f t="shared" si="694"/>
        <v/>
      </c>
      <c r="AS552" s="119" t="str">
        <f t="shared" si="695"/>
        <v/>
      </c>
      <c r="AT552" s="66" t="str">
        <f>+IF($W552="","",ROUND(IF($B552&gt;Parámetros!$D$107,'Tablas Servicio'!AR552+('Tablas Servicio'!AT551-'Tablas Servicio'!AR551),AR552/(1-IF(B552&lt;=10,Parámetros!$D$100,0))),2))</f>
        <v/>
      </c>
      <c r="AU552" s="66" t="str">
        <f t="shared" si="696"/>
        <v/>
      </c>
      <c r="AV552" s="66" t="str">
        <f t="shared" si="696"/>
        <v/>
      </c>
      <c r="AW552" s="66" t="str">
        <f>+IF($W552="","",ROUND((AT552*Parámetros!$G$85),2))</f>
        <v/>
      </c>
      <c r="AX552" s="66" t="str">
        <f>+IF($W552="","",ROUND((AT552*(Parámetros!$G$86)),2))</f>
        <v/>
      </c>
      <c r="AY552" s="66" t="str">
        <f t="shared" si="697"/>
        <v/>
      </c>
      <c r="AZ552" t="str">
        <f t="shared" si="739"/>
        <v/>
      </c>
      <c r="BA552" t="str">
        <f t="shared" si="740"/>
        <v/>
      </c>
      <c r="BB552" s="118" t="str">
        <f t="shared" si="741"/>
        <v/>
      </c>
      <c r="BC552" s="118" t="str">
        <f t="shared" si="742"/>
        <v/>
      </c>
      <c r="BD552" s="119" t="str">
        <f>+IF(OR($W552="",BB552=0),"",ROUND((VLOOKUP(ROUNDDOWN($D552-1/frec,0),cob_adi,AO$40,FALSE)*(1+i/frec)^-0.5*(1+Parámetros!$D$103)*(1+rec_fracc)/frec),6))</f>
        <v/>
      </c>
      <c r="BE552" s="66" t="str">
        <f t="shared" si="698"/>
        <v/>
      </c>
      <c r="BF552" s="119" t="str">
        <f t="shared" si="699"/>
        <v/>
      </c>
      <c r="BG552" s="66" t="str">
        <f>+IF($W552="","",ROUND(IF($B552&gt;Parámetros!$D$107,'Tablas Servicio'!BE552+('Tablas Servicio'!BG551-'Tablas Servicio'!BE551),BE552/(1-IF(B552&lt;=10,Parámetros!$D$100,0))),2))</f>
        <v/>
      </c>
      <c r="BH552" s="66" t="str">
        <f t="shared" si="700"/>
        <v/>
      </c>
      <c r="BI552" s="66" t="str">
        <f t="shared" si="701"/>
        <v/>
      </c>
      <c r="BJ552" s="66" t="str">
        <f>+IF($W552="","",ROUND((BG552*Parámetros!$G$85),2))</f>
        <v/>
      </c>
      <c r="BK552" s="66" t="str">
        <f>+IF($W552="","",ROUND((BG552*(Parámetros!$G$86)),2))</f>
        <v/>
      </c>
      <c r="BL552" s="66" t="str">
        <f t="shared" si="702"/>
        <v/>
      </c>
      <c r="BM552" t="str">
        <f t="shared" si="743"/>
        <v/>
      </c>
      <c r="BN552" t="str">
        <f t="shared" si="744"/>
        <v/>
      </c>
      <c r="BO552" s="118" t="str">
        <f t="shared" si="745"/>
        <v/>
      </c>
      <c r="BP552" s="118" t="str">
        <f t="shared" si="746"/>
        <v/>
      </c>
      <c r="BQ552" s="119" t="str">
        <f>+IF(OR($W552="",BO552=0),"",ROUND((VLOOKUP(ROUNDDOWN($D552-1/frec,0),cob_adi,BB$40,FALSE)*(1+i/frec)^-0.5*(1+Parámetros!$D$103)*(1+rec_fracc)/frec),6))</f>
        <v/>
      </c>
      <c r="BR552" s="66" t="str">
        <f t="shared" si="703"/>
        <v/>
      </c>
      <c r="BS552" s="119" t="str">
        <f t="shared" si="704"/>
        <v/>
      </c>
      <c r="BT552" s="66" t="str">
        <f>+IF($W552="","",ROUND(IF($B552&gt;Parámetros!$D$107,'Tablas Servicio'!BR552+('Tablas Servicio'!BT551-'Tablas Servicio'!BR551),BR552/(1-IF(B552&lt;=10,Parámetros!$D$100,0))),2))</f>
        <v/>
      </c>
      <c r="BU552" s="66" t="str">
        <f t="shared" si="705"/>
        <v/>
      </c>
      <c r="BV552" s="66" t="str">
        <f t="shared" si="705"/>
        <v/>
      </c>
      <c r="BW552" s="66" t="str">
        <f>+IF($W552="","",ROUND((BT552*Parámetros!$G$85),2))</f>
        <v/>
      </c>
      <c r="BX552" s="66" t="str">
        <f>+IF($W552="","",ROUND((BT552*(Parámetros!$G$86)),2))</f>
        <v/>
      </c>
      <c r="BY552" s="66" t="str">
        <f t="shared" si="706"/>
        <v/>
      </c>
      <c r="BZ552" t="str">
        <f t="shared" si="747"/>
        <v/>
      </c>
      <c r="CA552" t="str">
        <f t="shared" si="748"/>
        <v/>
      </c>
      <c r="CB552" s="118" t="str">
        <f t="shared" si="749"/>
        <v/>
      </c>
      <c r="CC552" s="118" t="str">
        <f t="shared" si="750"/>
        <v/>
      </c>
      <c r="CD552" s="119" t="str">
        <f t="shared" si="707"/>
        <v/>
      </c>
      <c r="CE552" s="66" t="str">
        <f>+IF($W552="","",ROUND((VLOOKUP(ROUNDDOWN($D552-1/frec,0),cob_adi,BO$40,FALSE)*(1+i/frec)^-0.5*(1+Parámetros!$D$103)*(1+rec_fracc)/frec*'TABLAS ADI'!$BC$17),2))</f>
        <v/>
      </c>
      <c r="CF552" s="119" t="str">
        <f t="shared" si="708"/>
        <v/>
      </c>
      <c r="CG552" s="66" t="str">
        <f>+IF($W552="","",ROUND(IF($B552&gt;Parámetros!$D$107,'Tablas Servicio'!CE552+('Tablas Servicio'!CG551-'Tablas Servicio'!CE551),CE552/(1-IF(B552&lt;=10,Parámetros!$D$100,0))),2))</f>
        <v/>
      </c>
      <c r="CH552" s="66" t="str">
        <f t="shared" si="709"/>
        <v/>
      </c>
      <c r="CI552" s="66" t="str">
        <f t="shared" si="709"/>
        <v/>
      </c>
      <c r="CJ552" s="66" t="str">
        <f>+IF($W552="","",ROUND((CG552*Parámetros!$G$85),2))</f>
        <v/>
      </c>
      <c r="CK552" s="66" t="str">
        <f>+IF($W552="","",ROUND((CG552*(Parámetros!$G$86)),2))</f>
        <v/>
      </c>
      <c r="CL552" s="66" t="str">
        <f t="shared" si="710"/>
        <v/>
      </c>
      <c r="CM552" t="str">
        <f t="shared" si="751"/>
        <v/>
      </c>
      <c r="CN552" s="118" t="str">
        <f t="shared" si="752"/>
        <v/>
      </c>
      <c r="CO552" s="118" t="str">
        <f t="shared" si="753"/>
        <v/>
      </c>
      <c r="CP552" s="118" t="str">
        <f t="shared" si="754"/>
        <v/>
      </c>
      <c r="CQ552" s="119" t="str">
        <f t="shared" si="711"/>
        <v/>
      </c>
      <c r="CR552" s="66" t="str">
        <f>+IF($W552="","",ROUND((VLOOKUP(Parámetros!$F$51,'COBERTURAS ADICIONALES'!$S$4:$T$32,2,FALSE)*(1+i/frec)^-0.5*(1+Parámetros!$D$103)*(1+rec_fracc)/frec*$CO$42),2))</f>
        <v/>
      </c>
      <c r="CS552" s="119" t="str">
        <f t="shared" si="712"/>
        <v/>
      </c>
      <c r="CT552" s="66" t="str">
        <f>+IF($W552="","",ROUND(IF($B552&gt;Parámetros!$D$107,'Tablas Servicio'!CR552+('Tablas Servicio'!CT551-'Tablas Servicio'!CR551),CR552/(1-IF(B552&lt;=10,Parámetros!$D$100,0))),2))</f>
        <v/>
      </c>
      <c r="CU552" s="66" t="str">
        <f t="shared" si="713"/>
        <v/>
      </c>
      <c r="CV552" s="66" t="str">
        <f t="shared" si="713"/>
        <v/>
      </c>
      <c r="CW552" s="66" t="str">
        <f>+IF($W552="","",ROUND((CT552*Parámetros!$G$85),2))</f>
        <v/>
      </c>
      <c r="CX552" s="66" t="str">
        <f>+IF($W552="","",ROUND((CT552*(Parámetros!$G$86)),2))</f>
        <v/>
      </c>
      <c r="CY552" s="66" t="str">
        <f t="shared" si="714"/>
        <v/>
      </c>
      <c r="CZ552" t="str">
        <f t="shared" si="755"/>
        <v/>
      </c>
      <c r="DA552" s="118" t="str">
        <f t="shared" si="756"/>
        <v/>
      </c>
      <c r="DB552" s="118" t="str">
        <f t="shared" si="757"/>
        <v/>
      </c>
      <c r="DC552" s="118" t="str">
        <f t="shared" si="758"/>
        <v/>
      </c>
      <c r="DD552" s="121" t="str">
        <f>+IF(OR($W552="",DB552=0),"",ROUND((VLOOKUP(ROUNDDOWN($D552-1/frec,0),cob_adi,CO$40,FALSE)*(1+i/frec)^-0.5*(1+Parámetros!$D$103)*(1+rec_fracc)/frec),6))</f>
        <v/>
      </c>
      <c r="DE552" s="66" t="str">
        <f t="shared" si="715"/>
        <v/>
      </c>
      <c r="DF552" s="119" t="str">
        <f t="shared" si="716"/>
        <v/>
      </c>
      <c r="DG552" s="66" t="str">
        <f>+IF($W552="","",ROUND(IF($B552&gt;Parámetros!$D$107,'Tablas Servicio'!DE552+('Tablas Servicio'!DG551-'Tablas Servicio'!DE551),DE552/(1-IF(B552&lt;=10,Parámetros!$D$100,0))),2))</f>
        <v/>
      </c>
      <c r="DH552" s="66" t="str">
        <f t="shared" si="717"/>
        <v/>
      </c>
      <c r="DI552" s="66" t="str">
        <f t="shared" si="717"/>
        <v/>
      </c>
      <c r="DJ552" s="66" t="str">
        <f>+IF($W552="","",ROUND((DG552*Parámetros!$G$85),2))</f>
        <v/>
      </c>
      <c r="DK552" s="66" t="str">
        <f>+IF($W552="","",ROUND((DG552*(Parámetros!$G$86)),2))</f>
        <v/>
      </c>
      <c r="DL552" s="66" t="str">
        <f t="shared" si="718"/>
        <v/>
      </c>
      <c r="DM552" t="str">
        <f t="shared" si="759"/>
        <v/>
      </c>
      <c r="DN552" s="118" t="str">
        <f t="shared" si="760"/>
        <v/>
      </c>
      <c r="DO552" s="118" t="str">
        <f t="shared" si="761"/>
        <v/>
      </c>
      <c r="DP552" s="118" t="str">
        <f t="shared" si="762"/>
        <v/>
      </c>
      <c r="DQ552" s="122" t="str">
        <f>+IF(OR($W552="",DO552=0),"",ROUND((VLOOKUP(ROUNDDOWN($D552-1/frec,0),cob_adi,DB$40,FALSE)*(1+i/frec)^-0.5*(1+Parámetros!$D$103)*(1+rec_fracc)/frec),6))</f>
        <v/>
      </c>
      <c r="DR552" s="66" t="str">
        <f t="shared" si="719"/>
        <v/>
      </c>
      <c r="DS552" s="68" t="str">
        <f t="shared" si="720"/>
        <v/>
      </c>
      <c r="DT552" s="66" t="str">
        <f>+IF($W552="","",ROUND(IF($B552&gt;Parámetros!$D$107,'Tablas Servicio'!DR552+('Tablas Servicio'!DT551-'Tablas Servicio'!DR551),DR552/(1-IF(B552&lt;=10,Parámetros!$D$100,0))),2))</f>
        <v/>
      </c>
      <c r="DU552" s="66" t="str">
        <f t="shared" si="721"/>
        <v/>
      </c>
      <c r="DV552" s="66" t="str">
        <f t="shared" si="721"/>
        <v/>
      </c>
      <c r="DW552" s="66" t="str">
        <f>+IF($W552="","",ROUND((DT552*Parámetros!$G$85),2))</f>
        <v/>
      </c>
      <c r="DX552" s="66" t="str">
        <f>+IF($W552="","",ROUND((DT552*(Parámetros!$G$86)),2))</f>
        <v/>
      </c>
      <c r="DY552" s="66" t="str">
        <f t="shared" si="722"/>
        <v/>
      </c>
      <c r="DZ552" t="str">
        <f t="shared" si="765"/>
        <v/>
      </c>
      <c r="EA552" s="118" t="str">
        <f t="shared" si="765"/>
        <v/>
      </c>
      <c r="EB552" s="118" t="str">
        <f>+IF($W552="","",ROUND(IF(Parámetros!$D$25='TABLAS MORT'!$V$33,EB551,Z552/2),0))</f>
        <v/>
      </c>
      <c r="EC552" s="118" t="str">
        <f t="shared" si="765"/>
        <v/>
      </c>
      <c r="ED552" s="122" t="str">
        <f>+IF(OR($W552="",EB552=0),"",ROUND((VLOOKUP(ROUNDDOWN($D552-1/frec,0),cob_adi,DO$40,FALSE)*(1+i/frec)^-0.5*(1+Parámetros!$D$103)*(1+rec_fracc)/frec),6))</f>
        <v/>
      </c>
      <c r="EE552" s="66" t="str">
        <f t="shared" si="724"/>
        <v/>
      </c>
      <c r="EF552" s="68" t="str">
        <f t="shared" si="725"/>
        <v/>
      </c>
      <c r="EG552" s="66" t="str">
        <f>+IF($W552="","",ROUND(IF($B552&gt;Parámetros!$D$107,'Tablas Servicio'!EE552+('Tablas Servicio'!EG551-'Tablas Servicio'!EE551),EE552/(1-IF(B552&lt;=10,Parámetros!$D$100,0))),2))</f>
        <v/>
      </c>
      <c r="EH552" s="66" t="str">
        <f t="shared" si="726"/>
        <v/>
      </c>
      <c r="EI552" s="66" t="str">
        <f t="shared" si="726"/>
        <v/>
      </c>
      <c r="EJ552" s="66" t="str">
        <f>+IF($W552="","",ROUND((EG552*Parámetros!$G$85),2))</f>
        <v/>
      </c>
      <c r="EK552" s="66" t="str">
        <f>+IF($W552="","",ROUND((EG552*(Parámetros!$G$86)),2))</f>
        <v/>
      </c>
      <c r="EL552" s="66" t="str">
        <f t="shared" si="727"/>
        <v/>
      </c>
    </row>
    <row r="553" spans="1:142" x14ac:dyDescent="0.25">
      <c r="A553" t="str">
        <f>+IF($C553="","",ROUND(VLOOKUP('Tablas Servicio'!B553,Parámetros!$H$100:$J$159,IF(Parámetros!$E$16="F",2,3),FALSE),2))</f>
        <v/>
      </c>
      <c r="B553" t="str">
        <f t="shared" si="678"/>
        <v/>
      </c>
      <c r="C553" s="57" t="str">
        <f>+IF(D553="","",'Tablas Servicio'!C552+1)</f>
        <v/>
      </c>
      <c r="D553" s="56" t="str">
        <f>+IF(D552&lt;edadmaxtabla,D552+1/Parámetros!$E$25,"")</f>
        <v/>
      </c>
      <c r="E553" s="57" t="str">
        <f t="shared" si="688"/>
        <v/>
      </c>
      <c r="F553" s="59" t="str">
        <f t="shared" si="689"/>
        <v/>
      </c>
      <c r="G553" s="66" t="str">
        <f t="shared" si="679"/>
        <v/>
      </c>
      <c r="H553" s="66" t="str">
        <f t="shared" si="680"/>
        <v/>
      </c>
      <c r="I553" s="66" t="str">
        <f t="shared" si="728"/>
        <v/>
      </c>
      <c r="J553" s="66" t="str">
        <f t="shared" si="681"/>
        <v/>
      </c>
      <c r="K553" s="66" t="str">
        <f t="shared" si="682"/>
        <v/>
      </c>
      <c r="L553" s="66" t="str">
        <f t="shared" si="683"/>
        <v/>
      </c>
      <c r="M553" s="66" t="str">
        <f t="shared" si="684"/>
        <v/>
      </c>
      <c r="N553" s="66" t="str">
        <f>+IF(C553="","",ROUND(Parámetros!$D$23,2))</f>
        <v/>
      </c>
      <c r="O553" s="66" t="str">
        <f t="shared" si="685"/>
        <v/>
      </c>
      <c r="P553" s="66" t="str">
        <f>+IF($C553="","",ROUND(IF(B553&gt;Parámetros!$D$117,0,N553*Parámetros!$D$116-G553*Parámetros!$D$100),2))</f>
        <v/>
      </c>
      <c r="Q553" s="75" t="str">
        <f t="shared" si="729"/>
        <v/>
      </c>
      <c r="R553" s="75" t="str">
        <f t="shared" si="730"/>
        <v/>
      </c>
      <c r="S553" s="117" t="str">
        <f>+IF($C553="","",ROUND((S552+I553)*(1+Parámetros!$D$91),2))</f>
        <v/>
      </c>
      <c r="T553" s="117" t="str">
        <f>+IF($C553="","",ROUND(S553*VLOOKUP(B553,Parámetros!$C$30:$D$39,2,TRUE),2))</f>
        <v/>
      </c>
      <c r="U553" s="117" t="str">
        <f>+IF($C553="","",ROUND((U552+I553)*(1+Parámetros!$D$92),2))</f>
        <v/>
      </c>
      <c r="V553" s="117" t="str">
        <f>+IF($C553="","",ROUND(U553*VLOOKUP(B553,Parámetros!$C$30:$D$39,2,TRUE),2))</f>
        <v/>
      </c>
      <c r="W553" s="57" t="str">
        <f t="shared" si="731"/>
        <v/>
      </c>
      <c r="X553" t="str">
        <f t="shared" si="732"/>
        <v/>
      </c>
      <c r="Y553" t="str">
        <f t="shared" si="733"/>
        <v/>
      </c>
      <c r="Z553" s="118" t="str">
        <f>+IF($W553="","",ROUND(IF(Parámetros!$D$25='TABLAS MORT'!$V$33,Z552,Parámetros!$D$21-'Tablas Servicio'!T552),0))</f>
        <v/>
      </c>
      <c r="AA553" s="118" t="str">
        <f t="shared" si="734"/>
        <v/>
      </c>
      <c r="AB553" s="119" t="str">
        <f>+IF(W553="","",ROUND((VLOOKUP(ROUNDDOWN($D553-1/frec,0),qx_tabla,2,FALSE)*(1+i/frec)^-0.5*(1+Parámetros!$D$103)*(1+rec_fracc)/frec),6))</f>
        <v/>
      </c>
      <c r="AC553" s="66" t="str">
        <f t="shared" si="690"/>
        <v/>
      </c>
      <c r="AD553" s="119" t="str">
        <f t="shared" si="686"/>
        <v/>
      </c>
      <c r="AE553" s="66" t="str">
        <f>+IF($W553="","",ROUND(IF($B553&gt;Parámetros!$D$107,'Tablas Servicio'!AC553+('Tablas Servicio'!AG552-'Tablas Servicio'!AC552),AC553/(1-IF(B553&lt;=10,Parámetros!$D$104,Parámetros!$D$105))),2))</f>
        <v/>
      </c>
      <c r="AF553" s="66" t="str">
        <f>+IF($W553="","",ROUND(IF($B553&gt;Parámetros!$D$107,'Tablas Servicio'!AC553+('Tablas Servicio'!AG552-'Tablas Servicio'!AC552),(AC553+$A552/frec)/(1-IF(B553&lt;=Parámetros!$D$117,Parámetros!$D$100,0))),2))</f>
        <v/>
      </c>
      <c r="AG553" s="66" t="str">
        <f t="shared" si="691"/>
        <v/>
      </c>
      <c r="AH553" s="66" t="str">
        <f t="shared" si="692"/>
        <v/>
      </c>
      <c r="AI553" s="66" t="str">
        <f t="shared" si="693"/>
        <v/>
      </c>
      <c r="AJ553" s="66" t="str">
        <f>+IF($W553="","",ROUND((AG553*Parámetros!$G$85),2))</f>
        <v/>
      </c>
      <c r="AK553" s="66" t="str">
        <f>+IF($W553="","",ROUND((AG553*(Parámetros!$G$86)),2))</f>
        <v/>
      </c>
      <c r="AL553" s="66" t="str">
        <f t="shared" si="687"/>
        <v/>
      </c>
      <c r="AM553" t="str">
        <f t="shared" si="735"/>
        <v/>
      </c>
      <c r="AN553" t="str">
        <f t="shared" si="736"/>
        <v/>
      </c>
      <c r="AO553" s="118" t="str">
        <f t="shared" si="737"/>
        <v/>
      </c>
      <c r="AP553" s="118" t="str">
        <f t="shared" si="738"/>
        <v/>
      </c>
      <c r="AQ553" s="119" t="str">
        <f>+IF(OR($W553="",AO553=0),"",ROUND((VLOOKUP(ROUNDDOWN($D553-1/frec,0),cob_adi,Z$40,FALSE)*(1+i/frec)^-0.5*(1+Parámetros!$D$103)*(1+rec_fracc)/frec),6))</f>
        <v/>
      </c>
      <c r="AR553" s="66" t="str">
        <f t="shared" si="694"/>
        <v/>
      </c>
      <c r="AS553" s="119" t="str">
        <f t="shared" si="695"/>
        <v/>
      </c>
      <c r="AT553" s="66" t="str">
        <f>+IF($W553="","",ROUND(IF($B553&gt;Parámetros!$D$107,'Tablas Servicio'!AR553+('Tablas Servicio'!AT552-'Tablas Servicio'!AR552),AR553/(1-IF(B553&lt;=10,Parámetros!$D$100,0))),2))</f>
        <v/>
      </c>
      <c r="AU553" s="66" t="str">
        <f t="shared" si="696"/>
        <v/>
      </c>
      <c r="AV553" s="66" t="str">
        <f t="shared" si="696"/>
        <v/>
      </c>
      <c r="AW553" s="66" t="str">
        <f>+IF($W553="","",ROUND((AT553*Parámetros!$G$85),2))</f>
        <v/>
      </c>
      <c r="AX553" s="66" t="str">
        <f>+IF($W553="","",ROUND((AT553*(Parámetros!$G$86)),2))</f>
        <v/>
      </c>
      <c r="AY553" s="66" t="str">
        <f t="shared" si="697"/>
        <v/>
      </c>
      <c r="AZ553" t="str">
        <f t="shared" si="739"/>
        <v/>
      </c>
      <c r="BA553" t="str">
        <f t="shared" si="740"/>
        <v/>
      </c>
      <c r="BB553" s="118" t="str">
        <f t="shared" si="741"/>
        <v/>
      </c>
      <c r="BC553" s="118" t="str">
        <f t="shared" si="742"/>
        <v/>
      </c>
      <c r="BD553" s="119" t="str">
        <f>+IF(OR($W553="",BB553=0),"",ROUND((VLOOKUP(ROUNDDOWN($D553-1/frec,0),cob_adi,AO$40,FALSE)*(1+i/frec)^-0.5*(1+Parámetros!$D$103)*(1+rec_fracc)/frec),6))</f>
        <v/>
      </c>
      <c r="BE553" s="66" t="str">
        <f t="shared" si="698"/>
        <v/>
      </c>
      <c r="BF553" s="119" t="str">
        <f t="shared" si="699"/>
        <v/>
      </c>
      <c r="BG553" s="66" t="str">
        <f>+IF($W553="","",ROUND(IF($B553&gt;Parámetros!$D$107,'Tablas Servicio'!BE553+('Tablas Servicio'!BG552-'Tablas Servicio'!BE552),BE553/(1-IF(B553&lt;=10,Parámetros!$D$100,0))),2))</f>
        <v/>
      </c>
      <c r="BH553" s="66" t="str">
        <f t="shared" si="700"/>
        <v/>
      </c>
      <c r="BI553" s="66" t="str">
        <f t="shared" si="701"/>
        <v/>
      </c>
      <c r="BJ553" s="66" t="str">
        <f>+IF($W553="","",ROUND((BG553*Parámetros!$G$85),2))</f>
        <v/>
      </c>
      <c r="BK553" s="66" t="str">
        <f>+IF($W553="","",ROUND((BG553*(Parámetros!$G$86)),2))</f>
        <v/>
      </c>
      <c r="BL553" s="66" t="str">
        <f t="shared" si="702"/>
        <v/>
      </c>
      <c r="BM553" t="str">
        <f t="shared" si="743"/>
        <v/>
      </c>
      <c r="BN553" t="str">
        <f t="shared" si="744"/>
        <v/>
      </c>
      <c r="BO553" s="118" t="str">
        <f t="shared" si="745"/>
        <v/>
      </c>
      <c r="BP553" s="118" t="str">
        <f t="shared" si="746"/>
        <v/>
      </c>
      <c r="BQ553" s="119" t="str">
        <f>+IF(OR($W553="",BO553=0),"",ROUND((VLOOKUP(ROUNDDOWN($D553-1/frec,0),cob_adi,BB$40,FALSE)*(1+i/frec)^-0.5*(1+Parámetros!$D$103)*(1+rec_fracc)/frec),6))</f>
        <v/>
      </c>
      <c r="BR553" s="66" t="str">
        <f t="shared" si="703"/>
        <v/>
      </c>
      <c r="BS553" s="119" t="str">
        <f t="shared" si="704"/>
        <v/>
      </c>
      <c r="BT553" s="66" t="str">
        <f>+IF($W553="","",ROUND(IF($B553&gt;Parámetros!$D$107,'Tablas Servicio'!BR553+('Tablas Servicio'!BT552-'Tablas Servicio'!BR552),BR553/(1-IF(B553&lt;=10,Parámetros!$D$100,0))),2))</f>
        <v/>
      </c>
      <c r="BU553" s="66" t="str">
        <f t="shared" si="705"/>
        <v/>
      </c>
      <c r="BV553" s="66" t="str">
        <f t="shared" si="705"/>
        <v/>
      </c>
      <c r="BW553" s="66" t="str">
        <f>+IF($W553="","",ROUND((BT553*Parámetros!$G$85),2))</f>
        <v/>
      </c>
      <c r="BX553" s="66" t="str">
        <f>+IF($W553="","",ROUND((BT553*(Parámetros!$G$86)),2))</f>
        <v/>
      </c>
      <c r="BY553" s="66" t="str">
        <f t="shared" si="706"/>
        <v/>
      </c>
      <c r="BZ553" t="str">
        <f t="shared" si="747"/>
        <v/>
      </c>
      <c r="CA553" t="str">
        <f t="shared" si="748"/>
        <v/>
      </c>
      <c r="CB553" s="118" t="str">
        <f t="shared" si="749"/>
        <v/>
      </c>
      <c r="CC553" s="118" t="str">
        <f t="shared" si="750"/>
        <v/>
      </c>
      <c r="CD553" s="119" t="str">
        <f t="shared" si="707"/>
        <v/>
      </c>
      <c r="CE553" s="66" t="str">
        <f>+IF($W553="","",ROUND((VLOOKUP(ROUNDDOWN($D553-1/frec,0),cob_adi,BO$40,FALSE)*(1+i/frec)^-0.5*(1+Parámetros!$D$103)*(1+rec_fracc)/frec*'TABLAS ADI'!$BC$17),2))</f>
        <v/>
      </c>
      <c r="CF553" s="119" t="str">
        <f t="shared" si="708"/>
        <v/>
      </c>
      <c r="CG553" s="66" t="str">
        <f>+IF($W553="","",ROUND(IF($B553&gt;Parámetros!$D$107,'Tablas Servicio'!CE553+('Tablas Servicio'!CG552-'Tablas Servicio'!CE552),CE553/(1-IF(B553&lt;=10,Parámetros!$D$100,0))),2))</f>
        <v/>
      </c>
      <c r="CH553" s="66" t="str">
        <f t="shared" si="709"/>
        <v/>
      </c>
      <c r="CI553" s="66" t="str">
        <f t="shared" si="709"/>
        <v/>
      </c>
      <c r="CJ553" s="66" t="str">
        <f>+IF($W553="","",ROUND((CG553*Parámetros!$G$85),2))</f>
        <v/>
      </c>
      <c r="CK553" s="66" t="str">
        <f>+IF($W553="","",ROUND((CG553*(Parámetros!$G$86)),2))</f>
        <v/>
      </c>
      <c r="CL553" s="66" t="str">
        <f t="shared" si="710"/>
        <v/>
      </c>
      <c r="CM553" t="str">
        <f t="shared" si="751"/>
        <v/>
      </c>
      <c r="CN553" s="118" t="str">
        <f t="shared" si="752"/>
        <v/>
      </c>
      <c r="CO553" s="118" t="str">
        <f t="shared" si="753"/>
        <v/>
      </c>
      <c r="CP553" s="118" t="str">
        <f t="shared" si="754"/>
        <v/>
      </c>
      <c r="CQ553" s="119" t="str">
        <f t="shared" si="711"/>
        <v/>
      </c>
      <c r="CR553" s="66" t="str">
        <f>+IF($W553="","",ROUND((VLOOKUP(Parámetros!$F$51,'COBERTURAS ADICIONALES'!$S$4:$T$32,2,FALSE)*(1+i/frec)^-0.5*(1+Parámetros!$D$103)*(1+rec_fracc)/frec*$CO$42),2))</f>
        <v/>
      </c>
      <c r="CS553" s="119" t="str">
        <f t="shared" si="712"/>
        <v/>
      </c>
      <c r="CT553" s="66" t="str">
        <f>+IF($W553="","",ROUND(IF($B553&gt;Parámetros!$D$107,'Tablas Servicio'!CR553+('Tablas Servicio'!CT552-'Tablas Servicio'!CR552),CR553/(1-IF(B553&lt;=10,Parámetros!$D$100,0))),2))</f>
        <v/>
      </c>
      <c r="CU553" s="66" t="str">
        <f t="shared" si="713"/>
        <v/>
      </c>
      <c r="CV553" s="66" t="str">
        <f t="shared" si="713"/>
        <v/>
      </c>
      <c r="CW553" s="66" t="str">
        <f>+IF($W553="","",ROUND((CT553*Parámetros!$G$85),2))</f>
        <v/>
      </c>
      <c r="CX553" s="66" t="str">
        <f>+IF($W553="","",ROUND((CT553*(Parámetros!$G$86)),2))</f>
        <v/>
      </c>
      <c r="CY553" s="66" t="str">
        <f t="shared" si="714"/>
        <v/>
      </c>
      <c r="CZ553" t="str">
        <f t="shared" si="755"/>
        <v/>
      </c>
      <c r="DA553" s="118" t="str">
        <f t="shared" si="756"/>
        <v/>
      </c>
      <c r="DB553" s="118" t="str">
        <f t="shared" si="757"/>
        <v/>
      </c>
      <c r="DC553" s="118" t="str">
        <f t="shared" si="758"/>
        <v/>
      </c>
      <c r="DD553" s="121" t="str">
        <f>+IF(OR($W553="",DB553=0),"",ROUND((VLOOKUP(ROUNDDOWN($D553-1/frec,0),cob_adi,CO$40,FALSE)*(1+i/frec)^-0.5*(1+Parámetros!$D$103)*(1+rec_fracc)/frec),6))</f>
        <v/>
      </c>
      <c r="DE553" s="66" t="str">
        <f t="shared" si="715"/>
        <v/>
      </c>
      <c r="DF553" s="119" t="str">
        <f t="shared" si="716"/>
        <v/>
      </c>
      <c r="DG553" s="66" t="str">
        <f>+IF($W553="","",ROUND(IF($B553&gt;Parámetros!$D$107,'Tablas Servicio'!DE553+('Tablas Servicio'!DG552-'Tablas Servicio'!DE552),DE553/(1-IF(B553&lt;=10,Parámetros!$D$100,0))),2))</f>
        <v/>
      </c>
      <c r="DH553" s="66" t="str">
        <f t="shared" si="717"/>
        <v/>
      </c>
      <c r="DI553" s="66" t="str">
        <f t="shared" si="717"/>
        <v/>
      </c>
      <c r="DJ553" s="66" t="str">
        <f>+IF($W553="","",ROUND((DG553*Parámetros!$G$85),2))</f>
        <v/>
      </c>
      <c r="DK553" s="66" t="str">
        <f>+IF($W553="","",ROUND((DG553*(Parámetros!$G$86)),2))</f>
        <v/>
      </c>
      <c r="DL553" s="66" t="str">
        <f t="shared" si="718"/>
        <v/>
      </c>
      <c r="DM553" t="str">
        <f t="shared" si="759"/>
        <v/>
      </c>
      <c r="DN553" s="118" t="str">
        <f t="shared" si="760"/>
        <v/>
      </c>
      <c r="DO553" s="118" t="str">
        <f t="shared" si="761"/>
        <v/>
      </c>
      <c r="DP553" s="118" t="str">
        <f t="shared" si="762"/>
        <v/>
      </c>
      <c r="DQ553" s="122" t="str">
        <f>+IF(OR($W553="",DO553=0),"",ROUND((VLOOKUP(ROUNDDOWN($D553-1/frec,0),cob_adi,DB$40,FALSE)*(1+i/frec)^-0.5*(1+Parámetros!$D$103)*(1+rec_fracc)/frec),6))</f>
        <v/>
      </c>
      <c r="DR553" s="66" t="str">
        <f t="shared" si="719"/>
        <v/>
      </c>
      <c r="DS553" s="68" t="str">
        <f t="shared" si="720"/>
        <v/>
      </c>
      <c r="DT553" s="66" t="str">
        <f>+IF($W553="","",ROUND(IF($B553&gt;Parámetros!$D$107,'Tablas Servicio'!DR553+('Tablas Servicio'!DT552-'Tablas Servicio'!DR552),DR553/(1-IF(B553&lt;=10,Parámetros!$D$100,0))),2))</f>
        <v/>
      </c>
      <c r="DU553" s="66" t="str">
        <f t="shared" si="721"/>
        <v/>
      </c>
      <c r="DV553" s="66" t="str">
        <f t="shared" si="721"/>
        <v/>
      </c>
      <c r="DW553" s="66" t="str">
        <f>+IF($W553="","",ROUND((DT553*Parámetros!$G$85),2))</f>
        <v/>
      </c>
      <c r="DX553" s="66" t="str">
        <f>+IF($W553="","",ROUND((DT553*(Parámetros!$G$86)),2))</f>
        <v/>
      </c>
      <c r="DY553" s="66" t="str">
        <f t="shared" si="722"/>
        <v/>
      </c>
      <c r="DZ553" t="str">
        <f t="shared" si="765"/>
        <v/>
      </c>
      <c r="EA553" s="118" t="str">
        <f t="shared" si="765"/>
        <v/>
      </c>
      <c r="EB553" s="118" t="str">
        <f>+IF($W553="","",ROUND(IF(Parámetros!$D$25='TABLAS MORT'!$V$33,EB552,Z553/2),0))</f>
        <v/>
      </c>
      <c r="EC553" s="118" t="str">
        <f t="shared" si="765"/>
        <v/>
      </c>
      <c r="ED553" s="122" t="str">
        <f>+IF(OR($W553="",EB553=0),"",ROUND((VLOOKUP(ROUNDDOWN($D553-1/frec,0),cob_adi,DO$40,FALSE)*(1+i/frec)^-0.5*(1+Parámetros!$D$103)*(1+rec_fracc)/frec),6))</f>
        <v/>
      </c>
      <c r="EE553" s="66" t="str">
        <f t="shared" si="724"/>
        <v/>
      </c>
      <c r="EF553" s="68" t="str">
        <f t="shared" si="725"/>
        <v/>
      </c>
      <c r="EG553" s="66" t="str">
        <f>+IF($W553="","",ROUND(IF($B553&gt;Parámetros!$D$107,'Tablas Servicio'!EE553+('Tablas Servicio'!EG552-'Tablas Servicio'!EE552),EE553/(1-IF(B553&lt;=10,Parámetros!$D$100,0))),2))</f>
        <v/>
      </c>
      <c r="EH553" s="66" t="str">
        <f t="shared" si="726"/>
        <v/>
      </c>
      <c r="EI553" s="66" t="str">
        <f t="shared" si="726"/>
        <v/>
      </c>
      <c r="EJ553" s="66" t="str">
        <f>+IF($W553="","",ROUND((EG553*Parámetros!$G$85),2))</f>
        <v/>
      </c>
      <c r="EK553" s="66" t="str">
        <f>+IF($W553="","",ROUND((EG553*(Parámetros!$G$86)),2))</f>
        <v/>
      </c>
      <c r="EL553" s="66" t="str">
        <f t="shared" si="727"/>
        <v/>
      </c>
    </row>
    <row r="554" spans="1:142" x14ac:dyDescent="0.25">
      <c r="A554" t="str">
        <f>+IF($C554="","",ROUND(VLOOKUP('Tablas Servicio'!B554,Parámetros!$H$100:$J$159,IF(Parámetros!$E$16="F",2,3),FALSE),2))</f>
        <v/>
      </c>
      <c r="B554" t="str">
        <f t="shared" ref="B554:B617" si="766">+IF(D554="","",ROUNDUP(C554/frec,0))</f>
        <v/>
      </c>
      <c r="C554" s="57" t="str">
        <f>+IF(D554="","",'Tablas Servicio'!C553+1)</f>
        <v/>
      </c>
      <c r="D554" s="56" t="str">
        <f>+IF(D553&lt;edadmaxtabla,D553+1/Parámetros!$E$25,"")</f>
        <v/>
      </c>
      <c r="E554" s="57" t="str">
        <f t="shared" si="688"/>
        <v/>
      </c>
      <c r="F554" s="59" t="str">
        <f t="shared" si="689"/>
        <v/>
      </c>
      <c r="G554" s="66" t="str">
        <f t="shared" ref="G554:G617" si="767">+IF($C554="","",AG554+AT554+BG554+BT554+CG554+CT554+DG554+DT554+EG554)</f>
        <v/>
      </c>
      <c r="H554" s="66" t="str">
        <f t="shared" ref="H554:H617" si="768">+IF($C554="","",AL554+AY554+BL554+BY554+CL554+CY554+DL554+DY554+EL554)</f>
        <v/>
      </c>
      <c r="I554" s="66" t="str">
        <f t="shared" si="728"/>
        <v/>
      </c>
      <c r="J554" s="66" t="str">
        <f t="shared" ref="J554:J617" si="769">+IF($C554="","",AJ554+AW554+BJ554+BW554+CJ554+CW554+DJ554+DW554+EJ554)</f>
        <v/>
      </c>
      <c r="K554" s="66" t="str">
        <f t="shared" ref="K554:K617" si="770">+IF($C554="","",AK554+AX554+BK554+BX554+CK554+CX554+DK554+DX554+EK554)</f>
        <v/>
      </c>
      <c r="L554" s="66" t="str">
        <f t="shared" ref="L554:L617" si="771">+IF($C554="","",AH554+AU554+BH554+BU554+CH554+CU554+DH554+DU554+EH554)</f>
        <v/>
      </c>
      <c r="M554" s="66" t="str">
        <f t="shared" ref="M554:M617" si="772">+IF($C554="","",AI554+AV554+BI554+BV554+CI554+CV554+DI554+DV554+EI554)</f>
        <v/>
      </c>
      <c r="N554" s="66" t="str">
        <f>+IF(C554="","",ROUND(Parámetros!$D$23,2))</f>
        <v/>
      </c>
      <c r="O554" s="66" t="str">
        <f t="shared" ref="O554:O617" si="773">+IF($C554="","",AC554+AR554+BE554+BR554+CE554+CR554+DE554+DR554+EE554)</f>
        <v/>
      </c>
      <c r="P554" s="66" t="str">
        <f>+IF($C554="","",ROUND(IF(B554&gt;Parámetros!$D$117,0,N554*Parámetros!$D$116-G554*Parámetros!$D$100),2))</f>
        <v/>
      </c>
      <c r="Q554" s="75" t="str">
        <f t="shared" si="729"/>
        <v/>
      </c>
      <c r="R554" s="75" t="str">
        <f t="shared" si="730"/>
        <v/>
      </c>
      <c r="S554" s="117" t="str">
        <f>+IF($C554="","",ROUND((S553+I554)*(1+Parámetros!$D$91),2))</f>
        <v/>
      </c>
      <c r="T554" s="117" t="str">
        <f>+IF($C554="","",ROUND(S554*VLOOKUP(B554,Parámetros!$C$30:$D$39,2,TRUE),2))</f>
        <v/>
      </c>
      <c r="U554" s="117" t="str">
        <f>+IF($C554="","",ROUND((U553+I554)*(1+Parámetros!$D$92),2))</f>
        <v/>
      </c>
      <c r="V554" s="117" t="str">
        <f>+IF($C554="","",ROUND(U554*VLOOKUP(B554,Parámetros!$C$30:$D$39,2,TRUE),2))</f>
        <v/>
      </c>
      <c r="W554" s="57" t="str">
        <f t="shared" si="731"/>
        <v/>
      </c>
      <c r="X554" t="str">
        <f t="shared" si="732"/>
        <v/>
      </c>
      <c r="Y554" t="str">
        <f t="shared" si="733"/>
        <v/>
      </c>
      <c r="Z554" s="118" t="str">
        <f>+IF($W554="","",ROUND(IF(Parámetros!$D$25='TABLAS MORT'!$V$33,Z553,Parámetros!$D$21-'Tablas Servicio'!T553),0))</f>
        <v/>
      </c>
      <c r="AA554" s="118" t="str">
        <f t="shared" si="734"/>
        <v/>
      </c>
      <c r="AB554" s="119" t="str">
        <f>+IF(W554="","",ROUND((VLOOKUP(ROUNDDOWN($D554-1/frec,0),qx_tabla,2,FALSE)*(1+i/frec)^-0.5*(1+Parámetros!$D$103)*(1+rec_fracc)/frec),6))</f>
        <v/>
      </c>
      <c r="AC554" s="66" t="str">
        <f t="shared" si="690"/>
        <v/>
      </c>
      <c r="AD554" s="119" t="str">
        <f t="shared" ref="AD554:AD617" si="774">+IF($W554="","",ROUND((AG554/Z554),6))</f>
        <v/>
      </c>
      <c r="AE554" s="66" t="str">
        <f>+IF($W554="","",ROUND(IF($B554&gt;Parámetros!$D$107,'Tablas Servicio'!AC554+('Tablas Servicio'!AG553-'Tablas Servicio'!AC553),AC554/(1-IF(B554&lt;=10,Parámetros!$D$104,Parámetros!$D$105))),2))</f>
        <v/>
      </c>
      <c r="AF554" s="66" t="str">
        <f>+IF($W554="","",ROUND(IF($B554&gt;Parámetros!$D$107,'Tablas Servicio'!AC554+('Tablas Servicio'!AG553-'Tablas Servicio'!AC553),(AC554+$A553/frec)/(1-IF(B554&lt;=Parámetros!$D$117,Parámetros!$D$100,0))),2))</f>
        <v/>
      </c>
      <c r="AG554" s="66" t="str">
        <f t="shared" si="691"/>
        <v/>
      </c>
      <c r="AH554" s="66" t="str">
        <f t="shared" si="692"/>
        <v/>
      </c>
      <c r="AI554" s="66" t="str">
        <f t="shared" si="693"/>
        <v/>
      </c>
      <c r="AJ554" s="66" t="str">
        <f>+IF($W554="","",ROUND((AG554*Parámetros!$G$85),2))</f>
        <v/>
      </c>
      <c r="AK554" s="66" t="str">
        <f>+IF($W554="","",ROUND((AG554*(Parámetros!$G$86)),2))</f>
        <v/>
      </c>
      <c r="AL554" s="66" t="str">
        <f t="shared" ref="AL554:AL617" si="775">+IF($W554="","",ROUND((AG554+AJ554+AK554),2))</f>
        <v/>
      </c>
      <c r="AM554" t="str">
        <f t="shared" si="735"/>
        <v/>
      </c>
      <c r="AN554" t="str">
        <f t="shared" si="736"/>
        <v/>
      </c>
      <c r="AO554" s="118" t="str">
        <f t="shared" si="737"/>
        <v/>
      </c>
      <c r="AP554" s="118" t="str">
        <f t="shared" si="738"/>
        <v/>
      </c>
      <c r="AQ554" s="119" t="str">
        <f>+IF(OR($W554="",AO554=0),"",ROUND((VLOOKUP(ROUNDDOWN($D554-1/frec,0),cob_adi,Z$40,FALSE)*(1+i/frec)^-0.5*(1+Parámetros!$D$103)*(1+rec_fracc)/frec),6))</f>
        <v/>
      </c>
      <c r="AR554" s="66" t="str">
        <f t="shared" si="694"/>
        <v/>
      </c>
      <c r="AS554" s="119" t="str">
        <f t="shared" si="695"/>
        <v/>
      </c>
      <c r="AT554" s="66" t="str">
        <f>+IF($W554="","",ROUND(IF($B554&gt;Parámetros!$D$107,'Tablas Servicio'!AR554+('Tablas Servicio'!AT553-'Tablas Servicio'!AR553),AR554/(1-IF(B554&lt;=10,Parámetros!$D$100,0))),2))</f>
        <v/>
      </c>
      <c r="AU554" s="66" t="str">
        <f t="shared" si="696"/>
        <v/>
      </c>
      <c r="AV554" s="66" t="str">
        <f t="shared" si="696"/>
        <v/>
      </c>
      <c r="AW554" s="66" t="str">
        <f>+IF($W554="","",ROUND((AT554*Parámetros!$G$85),2))</f>
        <v/>
      </c>
      <c r="AX554" s="66" t="str">
        <f>+IF($W554="","",ROUND((AT554*(Parámetros!$G$86)),2))</f>
        <v/>
      </c>
      <c r="AY554" s="66" t="str">
        <f t="shared" si="697"/>
        <v/>
      </c>
      <c r="AZ554" t="str">
        <f t="shared" si="739"/>
        <v/>
      </c>
      <c r="BA554" t="str">
        <f t="shared" si="740"/>
        <v/>
      </c>
      <c r="BB554" s="118" t="str">
        <f t="shared" si="741"/>
        <v/>
      </c>
      <c r="BC554" s="118" t="str">
        <f t="shared" si="742"/>
        <v/>
      </c>
      <c r="BD554" s="119" t="str">
        <f>+IF(OR($W554="",BB554=0),"",ROUND((VLOOKUP(ROUNDDOWN($D554-1/frec,0),cob_adi,AO$40,FALSE)*(1+i/frec)^-0.5*(1+Parámetros!$D$103)*(1+rec_fracc)/frec),6))</f>
        <v/>
      </c>
      <c r="BE554" s="66" t="str">
        <f t="shared" si="698"/>
        <v/>
      </c>
      <c r="BF554" s="119" t="str">
        <f t="shared" si="699"/>
        <v/>
      </c>
      <c r="BG554" s="66" t="str">
        <f>+IF($W554="","",ROUND(IF($B554&gt;Parámetros!$D$107,'Tablas Servicio'!BE554+('Tablas Servicio'!BG553-'Tablas Servicio'!BE553),BE554/(1-IF(B554&lt;=10,Parámetros!$D$100,0))),2))</f>
        <v/>
      </c>
      <c r="BH554" s="66" t="str">
        <f t="shared" si="700"/>
        <v/>
      </c>
      <c r="BI554" s="66" t="str">
        <f t="shared" si="701"/>
        <v/>
      </c>
      <c r="BJ554" s="66" t="str">
        <f>+IF($W554="","",ROUND((BG554*Parámetros!$G$85),2))</f>
        <v/>
      </c>
      <c r="BK554" s="66" t="str">
        <f>+IF($W554="","",ROUND((BG554*(Parámetros!$G$86)),2))</f>
        <v/>
      </c>
      <c r="BL554" s="66" t="str">
        <f t="shared" si="702"/>
        <v/>
      </c>
      <c r="BM554" t="str">
        <f t="shared" si="743"/>
        <v/>
      </c>
      <c r="BN554" t="str">
        <f t="shared" si="744"/>
        <v/>
      </c>
      <c r="BO554" s="118" t="str">
        <f t="shared" si="745"/>
        <v/>
      </c>
      <c r="BP554" s="118" t="str">
        <f t="shared" si="746"/>
        <v/>
      </c>
      <c r="BQ554" s="119" t="str">
        <f>+IF(OR($W554="",BO554=0),"",ROUND((VLOOKUP(ROUNDDOWN($D554-1/frec,0),cob_adi,BB$40,FALSE)*(1+i/frec)^-0.5*(1+Parámetros!$D$103)*(1+rec_fracc)/frec),6))</f>
        <v/>
      </c>
      <c r="BR554" s="66" t="str">
        <f t="shared" si="703"/>
        <v/>
      </c>
      <c r="BS554" s="119" t="str">
        <f t="shared" si="704"/>
        <v/>
      </c>
      <c r="BT554" s="66" t="str">
        <f>+IF($W554="","",ROUND(IF($B554&gt;Parámetros!$D$107,'Tablas Servicio'!BR554+('Tablas Servicio'!BT553-'Tablas Servicio'!BR553),BR554/(1-IF(B554&lt;=10,Parámetros!$D$100,0))),2))</f>
        <v/>
      </c>
      <c r="BU554" s="66" t="str">
        <f t="shared" si="705"/>
        <v/>
      </c>
      <c r="BV554" s="66" t="str">
        <f t="shared" si="705"/>
        <v/>
      </c>
      <c r="BW554" s="66" t="str">
        <f>+IF($W554="","",ROUND((BT554*Parámetros!$G$85),2))</f>
        <v/>
      </c>
      <c r="BX554" s="66" t="str">
        <f>+IF($W554="","",ROUND((BT554*(Parámetros!$G$86)),2))</f>
        <v/>
      </c>
      <c r="BY554" s="66" t="str">
        <f t="shared" si="706"/>
        <v/>
      </c>
      <c r="BZ554" t="str">
        <f t="shared" si="747"/>
        <v/>
      </c>
      <c r="CA554" t="str">
        <f t="shared" si="748"/>
        <v/>
      </c>
      <c r="CB554" s="118" t="str">
        <f t="shared" si="749"/>
        <v/>
      </c>
      <c r="CC554" s="118" t="str">
        <f t="shared" si="750"/>
        <v/>
      </c>
      <c r="CD554" s="119" t="str">
        <f t="shared" si="707"/>
        <v/>
      </c>
      <c r="CE554" s="66" t="str">
        <f>+IF($W554="","",ROUND((VLOOKUP(ROUNDDOWN($D554-1/frec,0),cob_adi,BO$40,FALSE)*(1+i/frec)^-0.5*(1+Parámetros!$D$103)*(1+rec_fracc)/frec*'TABLAS ADI'!$BC$17),2))</f>
        <v/>
      </c>
      <c r="CF554" s="119" t="str">
        <f t="shared" si="708"/>
        <v/>
      </c>
      <c r="CG554" s="66" t="str">
        <f>+IF($W554="","",ROUND(IF($B554&gt;Parámetros!$D$107,'Tablas Servicio'!CE554+('Tablas Servicio'!CG553-'Tablas Servicio'!CE553),CE554/(1-IF(B554&lt;=10,Parámetros!$D$100,0))),2))</f>
        <v/>
      </c>
      <c r="CH554" s="66" t="str">
        <f t="shared" si="709"/>
        <v/>
      </c>
      <c r="CI554" s="66" t="str">
        <f t="shared" si="709"/>
        <v/>
      </c>
      <c r="CJ554" s="66" t="str">
        <f>+IF($W554="","",ROUND((CG554*Parámetros!$G$85),2))</f>
        <v/>
      </c>
      <c r="CK554" s="66" t="str">
        <f>+IF($W554="","",ROUND((CG554*(Parámetros!$G$86)),2))</f>
        <v/>
      </c>
      <c r="CL554" s="66" t="str">
        <f t="shared" si="710"/>
        <v/>
      </c>
      <c r="CM554" t="str">
        <f t="shared" si="751"/>
        <v/>
      </c>
      <c r="CN554" s="118" t="str">
        <f t="shared" si="752"/>
        <v/>
      </c>
      <c r="CO554" s="118" t="str">
        <f t="shared" si="753"/>
        <v/>
      </c>
      <c r="CP554" s="118" t="str">
        <f t="shared" si="754"/>
        <v/>
      </c>
      <c r="CQ554" s="119" t="str">
        <f t="shared" si="711"/>
        <v/>
      </c>
      <c r="CR554" s="66" t="str">
        <f>+IF($W554="","",ROUND((VLOOKUP(Parámetros!$F$51,'COBERTURAS ADICIONALES'!$S$4:$T$32,2,FALSE)*(1+i/frec)^-0.5*(1+Parámetros!$D$103)*(1+rec_fracc)/frec*$CO$42),2))</f>
        <v/>
      </c>
      <c r="CS554" s="119" t="str">
        <f t="shared" si="712"/>
        <v/>
      </c>
      <c r="CT554" s="66" t="str">
        <f>+IF($W554="","",ROUND(IF($B554&gt;Parámetros!$D$107,'Tablas Servicio'!CR554+('Tablas Servicio'!CT553-'Tablas Servicio'!CR553),CR554/(1-IF(B554&lt;=10,Parámetros!$D$100,0))),2))</f>
        <v/>
      </c>
      <c r="CU554" s="66" t="str">
        <f t="shared" si="713"/>
        <v/>
      </c>
      <c r="CV554" s="66" t="str">
        <f t="shared" si="713"/>
        <v/>
      </c>
      <c r="CW554" s="66" t="str">
        <f>+IF($W554="","",ROUND((CT554*Parámetros!$G$85),2))</f>
        <v/>
      </c>
      <c r="CX554" s="66" t="str">
        <f>+IF($W554="","",ROUND((CT554*(Parámetros!$G$86)),2))</f>
        <v/>
      </c>
      <c r="CY554" s="66" t="str">
        <f t="shared" si="714"/>
        <v/>
      </c>
      <c r="CZ554" t="str">
        <f t="shared" si="755"/>
        <v/>
      </c>
      <c r="DA554" s="118" t="str">
        <f t="shared" si="756"/>
        <v/>
      </c>
      <c r="DB554" s="118" t="str">
        <f t="shared" si="757"/>
        <v/>
      </c>
      <c r="DC554" s="118" t="str">
        <f t="shared" si="758"/>
        <v/>
      </c>
      <c r="DD554" s="121" t="str">
        <f>+IF(OR($W554="",DB554=0),"",ROUND((VLOOKUP(ROUNDDOWN($D554-1/frec,0),cob_adi,CO$40,FALSE)*(1+i/frec)^-0.5*(1+Parámetros!$D$103)*(1+rec_fracc)/frec),6))</f>
        <v/>
      </c>
      <c r="DE554" s="66" t="str">
        <f t="shared" si="715"/>
        <v/>
      </c>
      <c r="DF554" s="119" t="str">
        <f t="shared" si="716"/>
        <v/>
      </c>
      <c r="DG554" s="66" t="str">
        <f>+IF($W554="","",ROUND(IF($B554&gt;Parámetros!$D$107,'Tablas Servicio'!DE554+('Tablas Servicio'!DG553-'Tablas Servicio'!DE553),DE554/(1-IF(B554&lt;=10,Parámetros!$D$100,0))),2))</f>
        <v/>
      </c>
      <c r="DH554" s="66" t="str">
        <f t="shared" si="717"/>
        <v/>
      </c>
      <c r="DI554" s="66" t="str">
        <f t="shared" si="717"/>
        <v/>
      </c>
      <c r="DJ554" s="66" t="str">
        <f>+IF($W554="","",ROUND((DG554*Parámetros!$G$85),2))</f>
        <v/>
      </c>
      <c r="DK554" s="66" t="str">
        <f>+IF($W554="","",ROUND((DG554*(Parámetros!$G$86)),2))</f>
        <v/>
      </c>
      <c r="DL554" s="66" t="str">
        <f t="shared" si="718"/>
        <v/>
      </c>
      <c r="DM554" t="str">
        <f t="shared" si="759"/>
        <v/>
      </c>
      <c r="DN554" s="118" t="str">
        <f t="shared" si="760"/>
        <v/>
      </c>
      <c r="DO554" s="118" t="str">
        <f t="shared" si="761"/>
        <v/>
      </c>
      <c r="DP554" s="118" t="str">
        <f t="shared" si="762"/>
        <v/>
      </c>
      <c r="DQ554" s="122" t="str">
        <f>+IF(OR($W554="",DO554=0),"",ROUND((VLOOKUP(ROUNDDOWN($D554-1/frec,0),cob_adi,DB$40,FALSE)*(1+i/frec)^-0.5*(1+Parámetros!$D$103)*(1+rec_fracc)/frec),6))</f>
        <v/>
      </c>
      <c r="DR554" s="66" t="str">
        <f t="shared" si="719"/>
        <v/>
      </c>
      <c r="DS554" s="68" t="str">
        <f t="shared" si="720"/>
        <v/>
      </c>
      <c r="DT554" s="66" t="str">
        <f>+IF($W554="","",ROUND(IF($B554&gt;Parámetros!$D$107,'Tablas Servicio'!DR554+('Tablas Servicio'!DT553-'Tablas Servicio'!DR553),DR554/(1-IF(B554&lt;=10,Parámetros!$D$100,0))),2))</f>
        <v/>
      </c>
      <c r="DU554" s="66" t="str">
        <f t="shared" si="721"/>
        <v/>
      </c>
      <c r="DV554" s="66" t="str">
        <f t="shared" si="721"/>
        <v/>
      </c>
      <c r="DW554" s="66" t="str">
        <f>+IF($W554="","",ROUND((DT554*Parámetros!$G$85),2))</f>
        <v/>
      </c>
      <c r="DX554" s="66" t="str">
        <f>+IF($W554="","",ROUND((DT554*(Parámetros!$G$86)),2))</f>
        <v/>
      </c>
      <c r="DY554" s="66" t="str">
        <f t="shared" si="722"/>
        <v/>
      </c>
      <c r="DZ554" t="str">
        <f t="shared" si="765"/>
        <v/>
      </c>
      <c r="EA554" s="118" t="str">
        <f t="shared" si="765"/>
        <v/>
      </c>
      <c r="EB554" s="118" t="str">
        <f>+IF($W554="","",ROUND(IF(Parámetros!$D$25='TABLAS MORT'!$V$33,EB553,Z554/2),0))</f>
        <v/>
      </c>
      <c r="EC554" s="118" t="str">
        <f t="shared" si="765"/>
        <v/>
      </c>
      <c r="ED554" s="122" t="str">
        <f>+IF(OR($W554="",EB554=0),"",ROUND((VLOOKUP(ROUNDDOWN($D554-1/frec,0),cob_adi,DO$40,FALSE)*(1+i/frec)^-0.5*(1+Parámetros!$D$103)*(1+rec_fracc)/frec),6))</f>
        <v/>
      </c>
      <c r="EE554" s="66" t="str">
        <f t="shared" si="724"/>
        <v/>
      </c>
      <c r="EF554" s="68" t="str">
        <f t="shared" si="725"/>
        <v/>
      </c>
      <c r="EG554" s="66" t="str">
        <f>+IF($W554="","",ROUND(IF($B554&gt;Parámetros!$D$107,'Tablas Servicio'!EE554+('Tablas Servicio'!EG553-'Tablas Servicio'!EE553),EE554/(1-IF(B554&lt;=10,Parámetros!$D$100,0))),2))</f>
        <v/>
      </c>
      <c r="EH554" s="66" t="str">
        <f t="shared" si="726"/>
        <v/>
      </c>
      <c r="EI554" s="66" t="str">
        <f t="shared" si="726"/>
        <v/>
      </c>
      <c r="EJ554" s="66" t="str">
        <f>+IF($W554="","",ROUND((EG554*Parámetros!$G$85),2))</f>
        <v/>
      </c>
      <c r="EK554" s="66" t="str">
        <f>+IF($W554="","",ROUND((EG554*(Parámetros!$G$86)),2))</f>
        <v/>
      </c>
      <c r="EL554" s="66" t="str">
        <f t="shared" si="727"/>
        <v/>
      </c>
    </row>
    <row r="555" spans="1:142" x14ac:dyDescent="0.25">
      <c r="A555" t="str">
        <f>+IF($C555="","",ROUND(VLOOKUP('Tablas Servicio'!B555,Parámetros!$H$100:$J$159,IF(Parámetros!$E$16="F",2,3),FALSE),2))</f>
        <v/>
      </c>
      <c r="B555" t="str">
        <f t="shared" si="766"/>
        <v/>
      </c>
      <c r="C555" s="57" t="str">
        <f>+IF(D555="","",'Tablas Servicio'!C554+1)</f>
        <v/>
      </c>
      <c r="D555" s="56" t="str">
        <f>+IF(D554&lt;edadmaxtabla,D554+1/Parámetros!$E$25,"")</f>
        <v/>
      </c>
      <c r="E555" s="57" t="str">
        <f t="shared" ref="E555:E618" si="776">+IF(D555="","",ROUNDDOWN(D555,0))</f>
        <v/>
      </c>
      <c r="F555" s="59" t="str">
        <f t="shared" ref="F555:F618" si="777">+Z555</f>
        <v/>
      </c>
      <c r="G555" s="66" t="str">
        <f t="shared" si="767"/>
        <v/>
      </c>
      <c r="H555" s="66" t="str">
        <f t="shared" si="768"/>
        <v/>
      </c>
      <c r="I555" s="66" t="str">
        <f t="shared" si="728"/>
        <v/>
      </c>
      <c r="J555" s="66" t="str">
        <f t="shared" si="769"/>
        <v/>
      </c>
      <c r="K555" s="66" t="str">
        <f t="shared" si="770"/>
        <v/>
      </c>
      <c r="L555" s="66" t="str">
        <f t="shared" si="771"/>
        <v/>
      </c>
      <c r="M555" s="66" t="str">
        <f t="shared" si="772"/>
        <v/>
      </c>
      <c r="N555" s="66" t="str">
        <f>+IF(C555="","",ROUND(Parámetros!$D$23,2))</f>
        <v/>
      </c>
      <c r="O555" s="66" t="str">
        <f t="shared" si="773"/>
        <v/>
      </c>
      <c r="P555" s="66" t="str">
        <f>+IF($C555="","",ROUND(IF(B555&gt;Parámetros!$D$117,0,N555*Parámetros!$D$116-G555*Parámetros!$D$100),2))</f>
        <v/>
      </c>
      <c r="Q555" s="75" t="str">
        <f t="shared" si="729"/>
        <v/>
      </c>
      <c r="R555" s="75" t="str">
        <f t="shared" si="730"/>
        <v/>
      </c>
      <c r="S555" s="117" t="str">
        <f>+IF($C555="","",ROUND((S554+I555)*(1+Parámetros!$D$91),2))</f>
        <v/>
      </c>
      <c r="T555" s="117" t="str">
        <f>+IF($C555="","",ROUND(S555*VLOOKUP(B555,Parámetros!$C$30:$D$39,2,TRUE),2))</f>
        <v/>
      </c>
      <c r="U555" s="117" t="str">
        <f>+IF($C555="","",ROUND((U554+I555)*(1+Parámetros!$D$92),2))</f>
        <v/>
      </c>
      <c r="V555" s="117" t="str">
        <f>+IF($C555="","",ROUND(U555*VLOOKUP(B555,Parámetros!$C$30:$D$39,2,TRUE),2))</f>
        <v/>
      </c>
      <c r="W555" s="57" t="str">
        <f t="shared" si="731"/>
        <v/>
      </c>
      <c r="X555" t="str">
        <f t="shared" si="732"/>
        <v/>
      </c>
      <c r="Y555" t="str">
        <f t="shared" si="733"/>
        <v/>
      </c>
      <c r="Z555" s="118" t="str">
        <f>+IF($W555="","",ROUND(IF(Parámetros!$D$25='TABLAS MORT'!$V$33,Z554,Parámetros!$D$21-'Tablas Servicio'!T554),0))</f>
        <v/>
      </c>
      <c r="AA555" s="118" t="str">
        <f t="shared" si="734"/>
        <v/>
      </c>
      <c r="AB555" s="119" t="str">
        <f>+IF(W555="","",ROUND((VLOOKUP(ROUNDDOWN($D555-1/frec,0),qx_tabla,2,FALSE)*(1+i/frec)^-0.5*(1+Parámetros!$D$103)*(1+rec_fracc)/frec),6))</f>
        <v/>
      </c>
      <c r="AC555" s="66" t="str">
        <f t="shared" ref="AC555:AC618" si="778">+IF($W555="","",ROUND((AB555*Z555),2))</f>
        <v/>
      </c>
      <c r="AD555" s="119" t="str">
        <f t="shared" si="774"/>
        <v/>
      </c>
      <c r="AE555" s="66" t="str">
        <f>+IF($W555="","",ROUND(IF($B555&gt;Parámetros!$D$107,'Tablas Servicio'!AC555+('Tablas Servicio'!AG554-'Tablas Servicio'!AC554),AC555/(1-IF(B555&lt;=10,Parámetros!$D$104,Parámetros!$D$105))),2))</f>
        <v/>
      </c>
      <c r="AF555" s="66" t="str">
        <f>+IF($W555="","",ROUND(IF($B555&gt;Parámetros!$D$107,'Tablas Servicio'!AC555+('Tablas Servicio'!AG554-'Tablas Servicio'!AC554),(AC555+$A554/frec)/(1-IF(B555&lt;=Parámetros!$D$117,Parámetros!$D$100,0))),2))</f>
        <v/>
      </c>
      <c r="AG555" s="66" t="str">
        <f t="shared" ref="AG555:AG618" si="779">+IF($W555="","",MIN(AE555,AF555))</f>
        <v/>
      </c>
      <c r="AH555" s="66" t="str">
        <f t="shared" ref="AH555:AH618" si="780">+IF($W555="","",0)</f>
        <v/>
      </c>
      <c r="AI555" s="66" t="str">
        <f t="shared" ref="AI555:AI618" si="781">IF($W555="","",0)</f>
        <v/>
      </c>
      <c r="AJ555" s="66" t="str">
        <f>+IF($W555="","",ROUND((AG555*Parámetros!$G$85),2))</f>
        <v/>
      </c>
      <c r="AK555" s="66" t="str">
        <f>+IF($W555="","",ROUND((AG555*(Parámetros!$G$86)),2))</f>
        <v/>
      </c>
      <c r="AL555" s="66" t="str">
        <f t="shared" si="775"/>
        <v/>
      </c>
      <c r="AM555" t="str">
        <f t="shared" si="735"/>
        <v/>
      </c>
      <c r="AN555" t="str">
        <f t="shared" si="736"/>
        <v/>
      </c>
      <c r="AO555" s="118" t="str">
        <f t="shared" si="737"/>
        <v/>
      </c>
      <c r="AP555" s="118" t="str">
        <f t="shared" si="738"/>
        <v/>
      </c>
      <c r="AQ555" s="119" t="str">
        <f>+IF(OR($W555="",AO555=0),"",ROUND((VLOOKUP(ROUNDDOWN($D555-1/frec,0),cob_adi,Z$40,FALSE)*(1+i/frec)^-0.5*(1+Parámetros!$D$103)*(1+rec_fracc)/frec),6))</f>
        <v/>
      </c>
      <c r="AR555" s="66" t="str">
        <f t="shared" ref="AR555:AR618" si="782">+IF(AO555=0,0,IF($W555="","",ROUND((AQ555*AO555),2)))</f>
        <v/>
      </c>
      <c r="AS555" s="119" t="str">
        <f t="shared" ref="AS555:AS618" si="783">+IF(OR($W555="",AO555=0),"",ROUND((AT555/AO555),6))</f>
        <v/>
      </c>
      <c r="AT555" s="66" t="str">
        <f>+IF($W555="","",ROUND(IF($B555&gt;Parámetros!$D$107,'Tablas Servicio'!AR555+('Tablas Servicio'!AT554-'Tablas Servicio'!AR554),AR555/(1-IF(B555&lt;=10,Parámetros!$D$100,0))),2))</f>
        <v/>
      </c>
      <c r="AU555" s="66" t="str">
        <f t="shared" ref="AU555:AV618" si="784">+IF($W555="","",0)</f>
        <v/>
      </c>
      <c r="AV555" s="66" t="str">
        <f t="shared" si="784"/>
        <v/>
      </c>
      <c r="AW555" s="66" t="str">
        <f>+IF($W555="","",ROUND((AT555*Parámetros!$G$85),2))</f>
        <v/>
      </c>
      <c r="AX555" s="66" t="str">
        <f>+IF($W555="","",ROUND((AT555*(Parámetros!$G$86)),2))</f>
        <v/>
      </c>
      <c r="AY555" s="66" t="str">
        <f t="shared" ref="AY555:AY618" si="785">+IF($W555="","",ROUND((AT555+AW555+AX555),2))</f>
        <v/>
      </c>
      <c r="AZ555" t="str">
        <f t="shared" si="739"/>
        <v/>
      </c>
      <c r="BA555" t="str">
        <f t="shared" si="740"/>
        <v/>
      </c>
      <c r="BB555" s="118" t="str">
        <f t="shared" si="741"/>
        <v/>
      </c>
      <c r="BC555" s="118" t="str">
        <f t="shared" si="742"/>
        <v/>
      </c>
      <c r="BD555" s="119" t="str">
        <f>+IF(OR($W555="",BB555=0),"",ROUND((VLOOKUP(ROUNDDOWN($D555-1/frec,0),cob_adi,AO$40,FALSE)*(1+i/frec)^-0.5*(1+Parámetros!$D$103)*(1+rec_fracc)/frec),6))</f>
        <v/>
      </c>
      <c r="BE555" s="66" t="str">
        <f t="shared" ref="BE555:BE618" si="786">+IF(BB555=0,0,IF($W555="","",ROUND(((BD555*BB555)),2)))</f>
        <v/>
      </c>
      <c r="BF555" s="119" t="str">
        <f t="shared" ref="BF555:BF618" si="787">+IF(OR($W555="",BB555=0),"",ROUND((BG555/BB555),6))</f>
        <v/>
      </c>
      <c r="BG555" s="66" t="str">
        <f>+IF($W555="","",ROUND(IF($B555&gt;Parámetros!$D$107,'Tablas Servicio'!BE555+('Tablas Servicio'!BG554-'Tablas Servicio'!BE554),BE555/(1-IF(B555&lt;=10,Parámetros!$D$100,0))),2))</f>
        <v/>
      </c>
      <c r="BH555" s="66" t="str">
        <f t="shared" ref="BH555:BH618" si="788">IF($W555="","",0)</f>
        <v/>
      </c>
      <c r="BI555" s="66" t="str">
        <f t="shared" ref="BI555:BI618" si="789">+IF($W555="","",0)</f>
        <v/>
      </c>
      <c r="BJ555" s="66" t="str">
        <f>+IF($W555="","",ROUND((BG555*Parámetros!$G$85),2))</f>
        <v/>
      </c>
      <c r="BK555" s="66" t="str">
        <f>+IF($W555="","",ROUND((BG555*(Parámetros!$G$86)),2))</f>
        <v/>
      </c>
      <c r="BL555" s="66" t="str">
        <f t="shared" ref="BL555:BL618" si="790">+IF($W555="","",ROUND((BG555+BJ555+BK555),2))</f>
        <v/>
      </c>
      <c r="BM555" t="str">
        <f t="shared" si="743"/>
        <v/>
      </c>
      <c r="BN555" t="str">
        <f t="shared" si="744"/>
        <v/>
      </c>
      <c r="BO555" s="118" t="str">
        <f t="shared" si="745"/>
        <v/>
      </c>
      <c r="BP555" s="118" t="str">
        <f t="shared" si="746"/>
        <v/>
      </c>
      <c r="BQ555" s="119" t="str">
        <f>+IF(OR($W555="",BO555=0),"",ROUND((VLOOKUP(ROUNDDOWN($D555-1/frec,0),cob_adi,BB$40,FALSE)*(1+i/frec)^-0.5*(1+Parámetros!$D$103)*(1+rec_fracc)/frec),6))</f>
        <v/>
      </c>
      <c r="BR555" s="66" t="str">
        <f t="shared" ref="BR555:BR618" si="791">+IF(BO555=0,0,IF($W555="","",ROUND(((BQ555*BO555)),2)))</f>
        <v/>
      </c>
      <c r="BS555" s="119" t="str">
        <f t="shared" ref="BS555:BS618" si="792">+IF(OR($W555="",BO555=0),"",ROUND((BT555/BO555),6))</f>
        <v/>
      </c>
      <c r="BT555" s="66" t="str">
        <f>+IF($W555="","",ROUND(IF($B555&gt;Parámetros!$D$107,'Tablas Servicio'!BR555+('Tablas Servicio'!BT554-'Tablas Servicio'!BR554),BR555/(1-IF(B555&lt;=10,Parámetros!$D$100,0))),2))</f>
        <v/>
      </c>
      <c r="BU555" s="66" t="str">
        <f t="shared" ref="BU555:BV618" si="793">+IF($W555="","",0)</f>
        <v/>
      </c>
      <c r="BV555" s="66" t="str">
        <f t="shared" si="793"/>
        <v/>
      </c>
      <c r="BW555" s="66" t="str">
        <f>+IF($W555="","",ROUND((BT555*Parámetros!$G$85),2))</f>
        <v/>
      </c>
      <c r="BX555" s="66" t="str">
        <f>+IF($W555="","",ROUND((BT555*(Parámetros!$G$86)),2))</f>
        <v/>
      </c>
      <c r="BY555" s="66" t="str">
        <f t="shared" ref="BY555:BY618" si="794">+IF($W555="","",ROUND((BT555+BW555+BX555),2))</f>
        <v/>
      </c>
      <c r="BZ555" t="str">
        <f t="shared" si="747"/>
        <v/>
      </c>
      <c r="CA555" t="str">
        <f t="shared" si="748"/>
        <v/>
      </c>
      <c r="CB555" s="118" t="str">
        <f t="shared" si="749"/>
        <v/>
      </c>
      <c r="CC555" s="118" t="str">
        <f t="shared" si="750"/>
        <v/>
      </c>
      <c r="CD555" s="119" t="str">
        <f t="shared" ref="CD555:CD618" si="795">+IF(OR($W555="",CB555=0),"",ROUND((CE555/CB555),6))</f>
        <v/>
      </c>
      <c r="CE555" s="66" t="str">
        <f>+IF($W555="","",ROUND((VLOOKUP(ROUNDDOWN($D555-1/frec,0),cob_adi,BO$40,FALSE)*(1+i/frec)^-0.5*(1+Parámetros!$D$103)*(1+rec_fracc)/frec*'TABLAS ADI'!$BC$17),2))</f>
        <v/>
      </c>
      <c r="CF555" s="119" t="str">
        <f t="shared" ref="CF555:CF618" si="796">+IF(OR($W555="",CB555=0),"",ROUND((CG555/CB555),6))</f>
        <v/>
      </c>
      <c r="CG555" s="66" t="str">
        <f>+IF($W555="","",ROUND(IF($B555&gt;Parámetros!$D$107,'Tablas Servicio'!CE555+('Tablas Servicio'!CG554-'Tablas Servicio'!CE554),CE555/(1-IF(B555&lt;=10,Parámetros!$D$100,0))),2))</f>
        <v/>
      </c>
      <c r="CH555" s="66" t="str">
        <f t="shared" ref="CH555:CI618" si="797">+IF($W555="","",0)</f>
        <v/>
      </c>
      <c r="CI555" s="66" t="str">
        <f t="shared" si="797"/>
        <v/>
      </c>
      <c r="CJ555" s="66" t="str">
        <f>+IF($W555="","",ROUND((CG555*Parámetros!$G$85),2))</f>
        <v/>
      </c>
      <c r="CK555" s="66" t="str">
        <f>+IF($W555="","",ROUND((CG555*(Parámetros!$G$86)),2))</f>
        <v/>
      </c>
      <c r="CL555" s="66" t="str">
        <f t="shared" ref="CL555:CL618" si="798">+IF($W555="","",ROUND((CG555+CJ555+CK555),2))</f>
        <v/>
      </c>
      <c r="CM555" t="str">
        <f t="shared" si="751"/>
        <v/>
      </c>
      <c r="CN555" s="118" t="str">
        <f t="shared" si="752"/>
        <v/>
      </c>
      <c r="CO555" s="118" t="str">
        <f t="shared" si="753"/>
        <v/>
      </c>
      <c r="CP555" s="118" t="str">
        <f t="shared" si="754"/>
        <v/>
      </c>
      <c r="CQ555" s="119" t="str">
        <f t="shared" ref="CQ555:CQ618" si="799">+IF(OR($W555="",CO555=0),"",ROUND((CR555/CO555),6))</f>
        <v/>
      </c>
      <c r="CR555" s="66" t="str">
        <f>+IF($W555="","",ROUND((VLOOKUP(Parámetros!$F$51,'COBERTURAS ADICIONALES'!$S$4:$T$32,2,FALSE)*(1+i/frec)^-0.5*(1+Parámetros!$D$103)*(1+rec_fracc)/frec*$CO$42),2))</f>
        <v/>
      </c>
      <c r="CS555" s="119" t="str">
        <f t="shared" ref="CS555:CS618" si="800">+IF(OR($W555="",CO555=0),"",ROUND((CT555/CO555),6))</f>
        <v/>
      </c>
      <c r="CT555" s="66" t="str">
        <f>+IF($W555="","",ROUND(IF($B555&gt;Parámetros!$D$107,'Tablas Servicio'!CR555+('Tablas Servicio'!CT554-'Tablas Servicio'!CR554),CR555/(1-IF(B555&lt;=10,Parámetros!$D$100,0))),2))</f>
        <v/>
      </c>
      <c r="CU555" s="66" t="str">
        <f t="shared" ref="CU555:CV618" si="801">+IF($W555="","",0)</f>
        <v/>
      </c>
      <c r="CV555" s="66" t="str">
        <f t="shared" si="801"/>
        <v/>
      </c>
      <c r="CW555" s="66" t="str">
        <f>+IF($W555="","",ROUND((CT555*Parámetros!$G$85),2))</f>
        <v/>
      </c>
      <c r="CX555" s="66" t="str">
        <f>+IF($W555="","",ROUND((CT555*(Parámetros!$G$86)),2))</f>
        <v/>
      </c>
      <c r="CY555" s="66" t="str">
        <f t="shared" ref="CY555:CY618" si="802">+IF($W555="","",ROUND((CT555+CW555+CX555),2))</f>
        <v/>
      </c>
      <c r="CZ555" t="str">
        <f t="shared" si="755"/>
        <v/>
      </c>
      <c r="DA555" s="118" t="str">
        <f t="shared" si="756"/>
        <v/>
      </c>
      <c r="DB555" s="118" t="str">
        <f t="shared" si="757"/>
        <v/>
      </c>
      <c r="DC555" s="118" t="str">
        <f t="shared" si="758"/>
        <v/>
      </c>
      <c r="DD555" s="121" t="str">
        <f>+IF(OR($W555="",DB555=0),"",ROUND((VLOOKUP(ROUNDDOWN($D555-1/frec,0),cob_adi,CO$40,FALSE)*(1+i/frec)^-0.5*(1+Parámetros!$D$103)*(1+rec_fracc)/frec),6))</f>
        <v/>
      </c>
      <c r="DE555" s="66" t="str">
        <f t="shared" ref="DE555:DE618" si="803">+IF(DB555=0,0,IF($W555="","",ROUND(((DD555*DB555)),2)))</f>
        <v/>
      </c>
      <c r="DF555" s="119" t="str">
        <f t="shared" ref="DF555:DF618" si="804">+IF(OR($W555="",DB555=0),"",ROUND((DG555/DB555),6))</f>
        <v/>
      </c>
      <c r="DG555" s="66" t="str">
        <f>+IF($W555="","",ROUND(IF($B555&gt;Parámetros!$D$107,'Tablas Servicio'!DE555+('Tablas Servicio'!DG554-'Tablas Servicio'!DE554),DE555/(1-IF(B555&lt;=10,Parámetros!$D$100,0))),2))</f>
        <v/>
      </c>
      <c r="DH555" s="66" t="str">
        <f t="shared" ref="DH555:DI618" si="805">+IF($W555="","",0)</f>
        <v/>
      </c>
      <c r="DI555" s="66" t="str">
        <f t="shared" si="805"/>
        <v/>
      </c>
      <c r="DJ555" s="66" t="str">
        <f>+IF($W555="","",ROUND((DG555*Parámetros!$G$85),2))</f>
        <v/>
      </c>
      <c r="DK555" s="66" t="str">
        <f>+IF($W555="","",ROUND((DG555*(Parámetros!$G$86)),2))</f>
        <v/>
      </c>
      <c r="DL555" s="66" t="str">
        <f t="shared" ref="DL555:DL618" si="806">+IF($W555="","",ROUND((DG555+DJ555+DK555),2))</f>
        <v/>
      </c>
      <c r="DM555" t="str">
        <f t="shared" si="759"/>
        <v/>
      </c>
      <c r="DN555" s="118" t="str">
        <f t="shared" si="760"/>
        <v/>
      </c>
      <c r="DO555" s="118" t="str">
        <f t="shared" si="761"/>
        <v/>
      </c>
      <c r="DP555" s="118" t="str">
        <f t="shared" si="762"/>
        <v/>
      </c>
      <c r="DQ555" s="122" t="str">
        <f>+IF(OR($W555="",DO555=0),"",ROUND((VLOOKUP(ROUNDDOWN($D555-1/frec,0),cob_adi,DB$40,FALSE)*(1+i/frec)^-0.5*(1+Parámetros!$D$103)*(1+rec_fracc)/frec),6))</f>
        <v/>
      </c>
      <c r="DR555" s="66" t="str">
        <f t="shared" ref="DR555:DR618" si="807">+IF(DO555=0,0,IF($W555="","",ROUND(((DQ555*DO555)),2)))</f>
        <v/>
      </c>
      <c r="DS555" s="68" t="str">
        <f t="shared" ref="DS555:DS618" si="808">+IF(OR($W555="",DO555=0),"",ROUND((DT555/DO555),6))</f>
        <v/>
      </c>
      <c r="DT555" s="66" t="str">
        <f>+IF($W555="","",ROUND(IF($B555&gt;Parámetros!$D$107,'Tablas Servicio'!DR555+('Tablas Servicio'!DT554-'Tablas Servicio'!DR554),DR555/(1-IF(B555&lt;=10,Parámetros!$D$100,0))),2))</f>
        <v/>
      </c>
      <c r="DU555" s="66" t="str">
        <f t="shared" ref="DU555:DV618" si="809">+IF($W555="","",0)</f>
        <v/>
      </c>
      <c r="DV555" s="66" t="str">
        <f t="shared" si="809"/>
        <v/>
      </c>
      <c r="DW555" s="66" t="str">
        <f>+IF($W555="","",ROUND((DT555*Parámetros!$G$85),2))</f>
        <v/>
      </c>
      <c r="DX555" s="66" t="str">
        <f>+IF($W555="","",ROUND((DT555*(Parámetros!$G$86)),2))</f>
        <v/>
      </c>
      <c r="DY555" s="66" t="str">
        <f t="shared" ref="DY555:DY618" si="810">+IF($W555="","",ROUND((DT555+DW555+DX555),2))</f>
        <v/>
      </c>
      <c r="DZ555" t="str">
        <f t="shared" ref="DZ555:EC570" si="811">+IF($W555="","",DZ554)</f>
        <v/>
      </c>
      <c r="EA555" s="118" t="str">
        <f t="shared" si="811"/>
        <v/>
      </c>
      <c r="EB555" s="118" t="str">
        <f>+IF($W555="","",ROUND(IF(Parámetros!$D$25='TABLAS MORT'!$V$33,EB554,Z555/2),0))</f>
        <v/>
      </c>
      <c r="EC555" s="118" t="str">
        <f t="shared" si="811"/>
        <v/>
      </c>
      <c r="ED555" s="122" t="str">
        <f>+IF(OR($W555="",EB555=0),"",ROUND((VLOOKUP(ROUNDDOWN($D555-1/frec,0),cob_adi,DO$40,FALSE)*(1+i/frec)^-0.5*(1+Parámetros!$D$103)*(1+rec_fracc)/frec),6))</f>
        <v/>
      </c>
      <c r="EE555" s="66" t="str">
        <f t="shared" ref="EE555:EE618" si="812">+IF(EB555=0,0,IF($W555="","",ROUND(((ED555*EB555)),2)))</f>
        <v/>
      </c>
      <c r="EF555" s="68" t="str">
        <f t="shared" ref="EF555:EF618" si="813">+IF(OR($W555="",EB555=0),"",ROUND((EG555/EB555),6))</f>
        <v/>
      </c>
      <c r="EG555" s="66" t="str">
        <f>+IF($W555="","",ROUND(IF($B555&gt;Parámetros!$D$107,'Tablas Servicio'!EE555+('Tablas Servicio'!EG554-'Tablas Servicio'!EE554),EE555/(1-IF(B555&lt;=10,Parámetros!$D$100,0))),2))</f>
        <v/>
      </c>
      <c r="EH555" s="66" t="str">
        <f t="shared" ref="EH555:EI618" si="814">+IF($W555="","",0)</f>
        <v/>
      </c>
      <c r="EI555" s="66" t="str">
        <f t="shared" si="814"/>
        <v/>
      </c>
      <c r="EJ555" s="66" t="str">
        <f>+IF($W555="","",ROUND((EG555*Parámetros!$G$85),2))</f>
        <v/>
      </c>
      <c r="EK555" s="66" t="str">
        <f>+IF($W555="","",ROUND((EG555*(Parámetros!$G$86)),2))</f>
        <v/>
      </c>
      <c r="EL555" s="66" t="str">
        <f t="shared" ref="EL555:EL618" si="815">+IF($W555="","",ROUND((EG555+EJ555+EK555),2))</f>
        <v/>
      </c>
    </row>
    <row r="556" spans="1:142" x14ac:dyDescent="0.25">
      <c r="A556" t="str">
        <f>+IF($C556="","",ROUND(VLOOKUP('Tablas Servicio'!B556,Parámetros!$H$100:$J$159,IF(Parámetros!$E$16="F",2,3),FALSE),2))</f>
        <v/>
      </c>
      <c r="B556" t="str">
        <f t="shared" si="766"/>
        <v/>
      </c>
      <c r="C556" s="57" t="str">
        <f>+IF(D556="","",'Tablas Servicio'!C555+1)</f>
        <v/>
      </c>
      <c r="D556" s="56" t="str">
        <f>+IF(D555&lt;edadmaxtabla,D555+1/Parámetros!$E$25,"")</f>
        <v/>
      </c>
      <c r="E556" s="57" t="str">
        <f t="shared" si="776"/>
        <v/>
      </c>
      <c r="F556" s="59" t="str">
        <f t="shared" si="777"/>
        <v/>
      </c>
      <c r="G556" s="66" t="str">
        <f t="shared" si="767"/>
        <v/>
      </c>
      <c r="H556" s="66" t="str">
        <f t="shared" si="768"/>
        <v/>
      </c>
      <c r="I556" s="66" t="str">
        <f t="shared" si="728"/>
        <v/>
      </c>
      <c r="J556" s="66" t="str">
        <f t="shared" si="769"/>
        <v/>
      </c>
      <c r="K556" s="66" t="str">
        <f t="shared" si="770"/>
        <v/>
      </c>
      <c r="L556" s="66" t="str">
        <f t="shared" si="771"/>
        <v/>
      </c>
      <c r="M556" s="66" t="str">
        <f t="shared" si="772"/>
        <v/>
      </c>
      <c r="N556" s="66" t="str">
        <f>+IF(C556="","",ROUND(Parámetros!$D$23,2))</f>
        <v/>
      </c>
      <c r="O556" s="66" t="str">
        <f t="shared" si="773"/>
        <v/>
      </c>
      <c r="P556" s="66" t="str">
        <f>+IF($C556="","",ROUND(IF(B556&gt;Parámetros!$D$117,0,N556*Parámetros!$D$116-G556*Parámetros!$D$100),2))</f>
        <v/>
      </c>
      <c r="Q556" s="75" t="str">
        <f t="shared" si="729"/>
        <v/>
      </c>
      <c r="R556" s="75" t="str">
        <f t="shared" si="730"/>
        <v/>
      </c>
      <c r="S556" s="117" t="str">
        <f>+IF($C556="","",ROUND((S555+I556)*(1+Parámetros!$D$91),2))</f>
        <v/>
      </c>
      <c r="T556" s="117" t="str">
        <f>+IF($C556="","",ROUND(S556*VLOOKUP(B556,Parámetros!$C$30:$D$39,2,TRUE),2))</f>
        <v/>
      </c>
      <c r="U556" s="117" t="str">
        <f>+IF($C556="","",ROUND((U555+I556)*(1+Parámetros!$D$92),2))</f>
        <v/>
      </c>
      <c r="V556" s="117" t="str">
        <f>+IF($C556="","",ROUND(U556*VLOOKUP(B556,Parámetros!$C$30:$D$39,2,TRUE),2))</f>
        <v/>
      </c>
      <c r="W556" s="57" t="str">
        <f t="shared" si="731"/>
        <v/>
      </c>
      <c r="X556" t="str">
        <f t="shared" si="732"/>
        <v/>
      </c>
      <c r="Y556" t="str">
        <f t="shared" si="733"/>
        <v/>
      </c>
      <c r="Z556" s="118" t="str">
        <f>+IF($W556="","",ROUND(IF(Parámetros!$D$25='TABLAS MORT'!$V$33,Z555,Parámetros!$D$21-'Tablas Servicio'!T555),0))</f>
        <v/>
      </c>
      <c r="AA556" s="118" t="str">
        <f t="shared" si="734"/>
        <v/>
      </c>
      <c r="AB556" s="119" t="str">
        <f>+IF(W556="","",ROUND((VLOOKUP(ROUNDDOWN($D556-1/frec,0),qx_tabla,2,FALSE)*(1+i/frec)^-0.5*(1+Parámetros!$D$103)*(1+rec_fracc)/frec),6))</f>
        <v/>
      </c>
      <c r="AC556" s="66" t="str">
        <f t="shared" si="778"/>
        <v/>
      </c>
      <c r="AD556" s="119" t="str">
        <f t="shared" si="774"/>
        <v/>
      </c>
      <c r="AE556" s="66" t="str">
        <f>+IF($W556="","",ROUND(IF($B556&gt;Parámetros!$D$107,'Tablas Servicio'!AC556+('Tablas Servicio'!AG555-'Tablas Servicio'!AC555),AC556/(1-IF(B556&lt;=10,Parámetros!$D$104,Parámetros!$D$105))),2))</f>
        <v/>
      </c>
      <c r="AF556" s="66" t="str">
        <f>+IF($W556="","",ROUND(IF($B556&gt;Parámetros!$D$107,'Tablas Servicio'!AC556+('Tablas Servicio'!AG555-'Tablas Servicio'!AC555),(AC556+$A555/frec)/(1-IF(B556&lt;=Parámetros!$D$117,Parámetros!$D$100,0))),2))</f>
        <v/>
      </c>
      <c r="AG556" s="66" t="str">
        <f t="shared" si="779"/>
        <v/>
      </c>
      <c r="AH556" s="66" t="str">
        <f t="shared" si="780"/>
        <v/>
      </c>
      <c r="AI556" s="66" t="str">
        <f t="shared" si="781"/>
        <v/>
      </c>
      <c r="AJ556" s="66" t="str">
        <f>+IF($W556="","",ROUND((AG556*Parámetros!$G$85),2))</f>
        <v/>
      </c>
      <c r="AK556" s="66" t="str">
        <f>+IF($W556="","",ROUND((AG556*(Parámetros!$G$86)),2))</f>
        <v/>
      </c>
      <c r="AL556" s="66" t="str">
        <f t="shared" si="775"/>
        <v/>
      </c>
      <c r="AM556" t="str">
        <f t="shared" si="735"/>
        <v/>
      </c>
      <c r="AN556" t="str">
        <f t="shared" si="736"/>
        <v/>
      </c>
      <c r="AO556" s="118" t="str">
        <f t="shared" si="737"/>
        <v/>
      </c>
      <c r="AP556" s="118" t="str">
        <f t="shared" si="738"/>
        <v/>
      </c>
      <c r="AQ556" s="119" t="str">
        <f>+IF(OR($W556="",AO556=0),"",ROUND((VLOOKUP(ROUNDDOWN($D556-1/frec,0),cob_adi,Z$40,FALSE)*(1+i/frec)^-0.5*(1+Parámetros!$D$103)*(1+rec_fracc)/frec),6))</f>
        <v/>
      </c>
      <c r="AR556" s="66" t="str">
        <f t="shared" si="782"/>
        <v/>
      </c>
      <c r="AS556" s="119" t="str">
        <f t="shared" si="783"/>
        <v/>
      </c>
      <c r="AT556" s="66" t="str">
        <f>+IF($W556="","",ROUND(IF($B556&gt;Parámetros!$D$107,'Tablas Servicio'!AR556+('Tablas Servicio'!AT555-'Tablas Servicio'!AR555),AR556/(1-IF(B556&lt;=10,Parámetros!$D$100,0))),2))</f>
        <v/>
      </c>
      <c r="AU556" s="66" t="str">
        <f t="shared" si="784"/>
        <v/>
      </c>
      <c r="AV556" s="66" t="str">
        <f t="shared" si="784"/>
        <v/>
      </c>
      <c r="AW556" s="66" t="str">
        <f>+IF($W556="","",ROUND((AT556*Parámetros!$G$85),2))</f>
        <v/>
      </c>
      <c r="AX556" s="66" t="str">
        <f>+IF($W556="","",ROUND((AT556*(Parámetros!$G$86)),2))</f>
        <v/>
      </c>
      <c r="AY556" s="66" t="str">
        <f t="shared" si="785"/>
        <v/>
      </c>
      <c r="AZ556" t="str">
        <f t="shared" si="739"/>
        <v/>
      </c>
      <c r="BA556" t="str">
        <f t="shared" si="740"/>
        <v/>
      </c>
      <c r="BB556" s="118" t="str">
        <f t="shared" si="741"/>
        <v/>
      </c>
      <c r="BC556" s="118" t="str">
        <f t="shared" si="742"/>
        <v/>
      </c>
      <c r="BD556" s="119" t="str">
        <f>+IF(OR($W556="",BB556=0),"",ROUND((VLOOKUP(ROUNDDOWN($D556-1/frec,0),cob_adi,AO$40,FALSE)*(1+i/frec)^-0.5*(1+Parámetros!$D$103)*(1+rec_fracc)/frec),6))</f>
        <v/>
      </c>
      <c r="BE556" s="66" t="str">
        <f t="shared" si="786"/>
        <v/>
      </c>
      <c r="BF556" s="119" t="str">
        <f t="shared" si="787"/>
        <v/>
      </c>
      <c r="BG556" s="66" t="str">
        <f>+IF($W556="","",ROUND(IF($B556&gt;Parámetros!$D$107,'Tablas Servicio'!BE556+('Tablas Servicio'!BG555-'Tablas Servicio'!BE555),BE556/(1-IF(B556&lt;=10,Parámetros!$D$100,0))),2))</f>
        <v/>
      </c>
      <c r="BH556" s="66" t="str">
        <f t="shared" si="788"/>
        <v/>
      </c>
      <c r="BI556" s="66" t="str">
        <f t="shared" si="789"/>
        <v/>
      </c>
      <c r="BJ556" s="66" t="str">
        <f>+IF($W556="","",ROUND((BG556*Parámetros!$G$85),2))</f>
        <v/>
      </c>
      <c r="BK556" s="66" t="str">
        <f>+IF($W556="","",ROUND((BG556*(Parámetros!$G$86)),2))</f>
        <v/>
      </c>
      <c r="BL556" s="66" t="str">
        <f t="shared" si="790"/>
        <v/>
      </c>
      <c r="BM556" t="str">
        <f t="shared" si="743"/>
        <v/>
      </c>
      <c r="BN556" t="str">
        <f t="shared" si="744"/>
        <v/>
      </c>
      <c r="BO556" s="118" t="str">
        <f t="shared" si="745"/>
        <v/>
      </c>
      <c r="BP556" s="118" t="str">
        <f t="shared" si="746"/>
        <v/>
      </c>
      <c r="BQ556" s="119" t="str">
        <f>+IF(OR($W556="",BO556=0),"",ROUND((VLOOKUP(ROUNDDOWN($D556-1/frec,0),cob_adi,BB$40,FALSE)*(1+i/frec)^-0.5*(1+Parámetros!$D$103)*(1+rec_fracc)/frec),6))</f>
        <v/>
      </c>
      <c r="BR556" s="66" t="str">
        <f t="shared" si="791"/>
        <v/>
      </c>
      <c r="BS556" s="119" t="str">
        <f t="shared" si="792"/>
        <v/>
      </c>
      <c r="BT556" s="66" t="str">
        <f>+IF($W556="","",ROUND(IF($B556&gt;Parámetros!$D$107,'Tablas Servicio'!BR556+('Tablas Servicio'!BT555-'Tablas Servicio'!BR555),BR556/(1-IF(B556&lt;=10,Parámetros!$D$100,0))),2))</f>
        <v/>
      </c>
      <c r="BU556" s="66" t="str">
        <f t="shared" si="793"/>
        <v/>
      </c>
      <c r="BV556" s="66" t="str">
        <f t="shared" si="793"/>
        <v/>
      </c>
      <c r="BW556" s="66" t="str">
        <f>+IF($W556="","",ROUND((BT556*Parámetros!$G$85),2))</f>
        <v/>
      </c>
      <c r="BX556" s="66" t="str">
        <f>+IF($W556="","",ROUND((BT556*(Parámetros!$G$86)),2))</f>
        <v/>
      </c>
      <c r="BY556" s="66" t="str">
        <f t="shared" si="794"/>
        <v/>
      </c>
      <c r="BZ556" t="str">
        <f t="shared" si="747"/>
        <v/>
      </c>
      <c r="CA556" t="str">
        <f t="shared" si="748"/>
        <v/>
      </c>
      <c r="CB556" s="118" t="str">
        <f t="shared" si="749"/>
        <v/>
      </c>
      <c r="CC556" s="118" t="str">
        <f t="shared" si="750"/>
        <v/>
      </c>
      <c r="CD556" s="119" t="str">
        <f t="shared" si="795"/>
        <v/>
      </c>
      <c r="CE556" s="66" t="str">
        <f>+IF($W556="","",ROUND((VLOOKUP(ROUNDDOWN($D556-1/frec,0),cob_adi,BO$40,FALSE)*(1+i/frec)^-0.5*(1+Parámetros!$D$103)*(1+rec_fracc)/frec*'TABLAS ADI'!$BC$17),2))</f>
        <v/>
      </c>
      <c r="CF556" s="119" t="str">
        <f t="shared" si="796"/>
        <v/>
      </c>
      <c r="CG556" s="66" t="str">
        <f>+IF($W556="","",ROUND(IF($B556&gt;Parámetros!$D$107,'Tablas Servicio'!CE556+('Tablas Servicio'!CG555-'Tablas Servicio'!CE555),CE556/(1-IF(B556&lt;=10,Parámetros!$D$100,0))),2))</f>
        <v/>
      </c>
      <c r="CH556" s="66" t="str">
        <f t="shared" si="797"/>
        <v/>
      </c>
      <c r="CI556" s="66" t="str">
        <f t="shared" si="797"/>
        <v/>
      </c>
      <c r="CJ556" s="66" t="str">
        <f>+IF($W556="","",ROUND((CG556*Parámetros!$G$85),2))</f>
        <v/>
      </c>
      <c r="CK556" s="66" t="str">
        <f>+IF($W556="","",ROUND((CG556*(Parámetros!$G$86)),2))</f>
        <v/>
      </c>
      <c r="CL556" s="66" t="str">
        <f t="shared" si="798"/>
        <v/>
      </c>
      <c r="CM556" t="str">
        <f t="shared" si="751"/>
        <v/>
      </c>
      <c r="CN556" s="118" t="str">
        <f t="shared" si="752"/>
        <v/>
      </c>
      <c r="CO556" s="118" t="str">
        <f t="shared" si="753"/>
        <v/>
      </c>
      <c r="CP556" s="118" t="str">
        <f t="shared" si="754"/>
        <v/>
      </c>
      <c r="CQ556" s="119" t="str">
        <f t="shared" si="799"/>
        <v/>
      </c>
      <c r="CR556" s="66" t="str">
        <f>+IF($W556="","",ROUND((VLOOKUP(Parámetros!$F$51,'COBERTURAS ADICIONALES'!$S$4:$T$32,2,FALSE)*(1+i/frec)^-0.5*(1+Parámetros!$D$103)*(1+rec_fracc)/frec*$CO$42),2))</f>
        <v/>
      </c>
      <c r="CS556" s="119" t="str">
        <f t="shared" si="800"/>
        <v/>
      </c>
      <c r="CT556" s="66" t="str">
        <f>+IF($W556="","",ROUND(IF($B556&gt;Parámetros!$D$107,'Tablas Servicio'!CR556+('Tablas Servicio'!CT555-'Tablas Servicio'!CR555),CR556/(1-IF(B556&lt;=10,Parámetros!$D$100,0))),2))</f>
        <v/>
      </c>
      <c r="CU556" s="66" t="str">
        <f t="shared" si="801"/>
        <v/>
      </c>
      <c r="CV556" s="66" t="str">
        <f t="shared" si="801"/>
        <v/>
      </c>
      <c r="CW556" s="66" t="str">
        <f>+IF($W556="","",ROUND((CT556*Parámetros!$G$85),2))</f>
        <v/>
      </c>
      <c r="CX556" s="66" t="str">
        <f>+IF($W556="","",ROUND((CT556*(Parámetros!$G$86)),2))</f>
        <v/>
      </c>
      <c r="CY556" s="66" t="str">
        <f t="shared" si="802"/>
        <v/>
      </c>
      <c r="CZ556" t="str">
        <f t="shared" si="755"/>
        <v/>
      </c>
      <c r="DA556" s="118" t="str">
        <f t="shared" si="756"/>
        <v/>
      </c>
      <c r="DB556" s="118" t="str">
        <f t="shared" si="757"/>
        <v/>
      </c>
      <c r="DC556" s="118" t="str">
        <f t="shared" si="758"/>
        <v/>
      </c>
      <c r="DD556" s="121" t="str">
        <f>+IF(OR($W556="",DB556=0),"",ROUND((VLOOKUP(ROUNDDOWN($D556-1/frec,0),cob_adi,CO$40,FALSE)*(1+i/frec)^-0.5*(1+Parámetros!$D$103)*(1+rec_fracc)/frec),6))</f>
        <v/>
      </c>
      <c r="DE556" s="66" t="str">
        <f t="shared" si="803"/>
        <v/>
      </c>
      <c r="DF556" s="119" t="str">
        <f t="shared" si="804"/>
        <v/>
      </c>
      <c r="DG556" s="66" t="str">
        <f>+IF($W556="","",ROUND(IF($B556&gt;Parámetros!$D$107,'Tablas Servicio'!DE556+('Tablas Servicio'!DG555-'Tablas Servicio'!DE555),DE556/(1-IF(B556&lt;=10,Parámetros!$D$100,0))),2))</f>
        <v/>
      </c>
      <c r="DH556" s="66" t="str">
        <f t="shared" si="805"/>
        <v/>
      </c>
      <c r="DI556" s="66" t="str">
        <f t="shared" si="805"/>
        <v/>
      </c>
      <c r="DJ556" s="66" t="str">
        <f>+IF($W556="","",ROUND((DG556*Parámetros!$G$85),2))</f>
        <v/>
      </c>
      <c r="DK556" s="66" t="str">
        <f>+IF($W556="","",ROUND((DG556*(Parámetros!$G$86)),2))</f>
        <v/>
      </c>
      <c r="DL556" s="66" t="str">
        <f t="shared" si="806"/>
        <v/>
      </c>
      <c r="DM556" t="str">
        <f t="shared" si="759"/>
        <v/>
      </c>
      <c r="DN556" s="118" t="str">
        <f t="shared" si="760"/>
        <v/>
      </c>
      <c r="DO556" s="118" t="str">
        <f t="shared" si="761"/>
        <v/>
      </c>
      <c r="DP556" s="118" t="str">
        <f t="shared" si="762"/>
        <v/>
      </c>
      <c r="DQ556" s="122" t="str">
        <f>+IF(OR($W556="",DO556=0),"",ROUND((VLOOKUP(ROUNDDOWN($D556-1/frec,0),cob_adi,DB$40,FALSE)*(1+i/frec)^-0.5*(1+Parámetros!$D$103)*(1+rec_fracc)/frec),6))</f>
        <v/>
      </c>
      <c r="DR556" s="66" t="str">
        <f t="shared" si="807"/>
        <v/>
      </c>
      <c r="DS556" s="68" t="str">
        <f t="shared" si="808"/>
        <v/>
      </c>
      <c r="DT556" s="66" t="str">
        <f>+IF($W556="","",ROUND(IF($B556&gt;Parámetros!$D$107,'Tablas Servicio'!DR556+('Tablas Servicio'!DT555-'Tablas Servicio'!DR555),DR556/(1-IF(B556&lt;=10,Parámetros!$D$100,0))),2))</f>
        <v/>
      </c>
      <c r="DU556" s="66" t="str">
        <f t="shared" si="809"/>
        <v/>
      </c>
      <c r="DV556" s="66" t="str">
        <f t="shared" si="809"/>
        <v/>
      </c>
      <c r="DW556" s="66" t="str">
        <f>+IF($W556="","",ROUND((DT556*Parámetros!$G$85),2))</f>
        <v/>
      </c>
      <c r="DX556" s="66" t="str">
        <f>+IF($W556="","",ROUND((DT556*(Parámetros!$G$86)),2))</f>
        <v/>
      </c>
      <c r="DY556" s="66" t="str">
        <f t="shared" si="810"/>
        <v/>
      </c>
      <c r="DZ556" t="str">
        <f t="shared" si="811"/>
        <v/>
      </c>
      <c r="EA556" s="118" t="str">
        <f t="shared" si="811"/>
        <v/>
      </c>
      <c r="EB556" s="118" t="str">
        <f>+IF($W556="","",ROUND(IF(Parámetros!$D$25='TABLAS MORT'!$V$33,EB555,Z556/2),0))</f>
        <v/>
      </c>
      <c r="EC556" s="118" t="str">
        <f t="shared" si="811"/>
        <v/>
      </c>
      <c r="ED556" s="122" t="str">
        <f>+IF(OR($W556="",EB556=0),"",ROUND((VLOOKUP(ROUNDDOWN($D556-1/frec,0),cob_adi,DO$40,FALSE)*(1+i/frec)^-0.5*(1+Parámetros!$D$103)*(1+rec_fracc)/frec),6))</f>
        <v/>
      </c>
      <c r="EE556" s="66" t="str">
        <f t="shared" si="812"/>
        <v/>
      </c>
      <c r="EF556" s="68" t="str">
        <f t="shared" si="813"/>
        <v/>
      </c>
      <c r="EG556" s="66" t="str">
        <f>+IF($W556="","",ROUND(IF($B556&gt;Parámetros!$D$107,'Tablas Servicio'!EE556+('Tablas Servicio'!EG555-'Tablas Servicio'!EE555),EE556/(1-IF(B556&lt;=10,Parámetros!$D$100,0))),2))</f>
        <v/>
      </c>
      <c r="EH556" s="66" t="str">
        <f t="shared" si="814"/>
        <v/>
      </c>
      <c r="EI556" s="66" t="str">
        <f t="shared" si="814"/>
        <v/>
      </c>
      <c r="EJ556" s="66" t="str">
        <f>+IF($W556="","",ROUND((EG556*Parámetros!$G$85),2))</f>
        <v/>
      </c>
      <c r="EK556" s="66" t="str">
        <f>+IF($W556="","",ROUND((EG556*(Parámetros!$G$86)),2))</f>
        <v/>
      </c>
      <c r="EL556" s="66" t="str">
        <f t="shared" si="815"/>
        <v/>
      </c>
    </row>
    <row r="557" spans="1:142" x14ac:dyDescent="0.25">
      <c r="A557" t="str">
        <f>+IF($C557="","",ROUND(VLOOKUP('Tablas Servicio'!B557,Parámetros!$H$100:$J$159,IF(Parámetros!$E$16="F",2,3),FALSE),2))</f>
        <v/>
      </c>
      <c r="B557" t="str">
        <f t="shared" si="766"/>
        <v/>
      </c>
      <c r="C557" s="57" t="str">
        <f>+IF(D557="","",'Tablas Servicio'!C556+1)</f>
        <v/>
      </c>
      <c r="D557" s="56" t="str">
        <f>+IF(D556&lt;edadmaxtabla,D556+1/Parámetros!$E$25,"")</f>
        <v/>
      </c>
      <c r="E557" s="57" t="str">
        <f t="shared" si="776"/>
        <v/>
      </c>
      <c r="F557" s="59" t="str">
        <f t="shared" si="777"/>
        <v/>
      </c>
      <c r="G557" s="66" t="str">
        <f t="shared" si="767"/>
        <v/>
      </c>
      <c r="H557" s="66" t="str">
        <f t="shared" si="768"/>
        <v/>
      </c>
      <c r="I557" s="66" t="str">
        <f t="shared" si="728"/>
        <v/>
      </c>
      <c r="J557" s="66" t="str">
        <f t="shared" si="769"/>
        <v/>
      </c>
      <c r="K557" s="66" t="str">
        <f t="shared" si="770"/>
        <v/>
      </c>
      <c r="L557" s="66" t="str">
        <f t="shared" si="771"/>
        <v/>
      </c>
      <c r="M557" s="66" t="str">
        <f t="shared" si="772"/>
        <v/>
      </c>
      <c r="N557" s="66" t="str">
        <f>+IF(C557="","",ROUND(Parámetros!$D$23,2))</f>
        <v/>
      </c>
      <c r="O557" s="66" t="str">
        <f t="shared" si="773"/>
        <v/>
      </c>
      <c r="P557" s="66" t="str">
        <f>+IF($C557="","",ROUND(IF(B557&gt;Parámetros!$D$117,0,N557*Parámetros!$D$116-G557*Parámetros!$D$100),2))</f>
        <v/>
      </c>
      <c r="Q557" s="75" t="str">
        <f t="shared" si="729"/>
        <v/>
      </c>
      <c r="R557" s="75" t="str">
        <f t="shared" si="730"/>
        <v/>
      </c>
      <c r="S557" s="117" t="str">
        <f>+IF($C557="","",ROUND((S556+I557)*(1+Parámetros!$D$91),2))</f>
        <v/>
      </c>
      <c r="T557" s="117" t="str">
        <f>+IF($C557="","",ROUND(S557*VLOOKUP(B557,Parámetros!$C$30:$D$39,2,TRUE),2))</f>
        <v/>
      </c>
      <c r="U557" s="117" t="str">
        <f>+IF($C557="","",ROUND((U556+I557)*(1+Parámetros!$D$92),2))</f>
        <v/>
      </c>
      <c r="V557" s="117" t="str">
        <f>+IF($C557="","",ROUND(U557*VLOOKUP(B557,Parámetros!$C$30:$D$39,2,TRUE),2))</f>
        <v/>
      </c>
      <c r="W557" s="57" t="str">
        <f t="shared" si="731"/>
        <v/>
      </c>
      <c r="X557" t="str">
        <f t="shared" si="732"/>
        <v/>
      </c>
      <c r="Y557" t="str">
        <f t="shared" si="733"/>
        <v/>
      </c>
      <c r="Z557" s="118" t="str">
        <f>+IF($W557="","",ROUND(IF(Parámetros!$D$25='TABLAS MORT'!$V$33,Z556,Parámetros!$D$21-'Tablas Servicio'!T556),0))</f>
        <v/>
      </c>
      <c r="AA557" s="118" t="str">
        <f t="shared" si="734"/>
        <v/>
      </c>
      <c r="AB557" s="119" t="str">
        <f>+IF(W557="","",ROUND((VLOOKUP(ROUNDDOWN($D557-1/frec,0),qx_tabla,2,FALSE)*(1+i/frec)^-0.5*(1+Parámetros!$D$103)*(1+rec_fracc)/frec),6))</f>
        <v/>
      </c>
      <c r="AC557" s="66" t="str">
        <f t="shared" si="778"/>
        <v/>
      </c>
      <c r="AD557" s="119" t="str">
        <f t="shared" si="774"/>
        <v/>
      </c>
      <c r="AE557" s="66" t="str">
        <f>+IF($W557="","",ROUND(IF($B557&gt;Parámetros!$D$107,'Tablas Servicio'!AC557+('Tablas Servicio'!AG556-'Tablas Servicio'!AC556),AC557/(1-IF(B557&lt;=10,Parámetros!$D$104,Parámetros!$D$105))),2))</f>
        <v/>
      </c>
      <c r="AF557" s="66" t="str">
        <f>+IF($W557="","",ROUND(IF($B557&gt;Parámetros!$D$107,'Tablas Servicio'!AC557+('Tablas Servicio'!AG556-'Tablas Servicio'!AC556),(AC557+$A556/frec)/(1-IF(B557&lt;=Parámetros!$D$117,Parámetros!$D$100,0))),2))</f>
        <v/>
      </c>
      <c r="AG557" s="66" t="str">
        <f t="shared" si="779"/>
        <v/>
      </c>
      <c r="AH557" s="66" t="str">
        <f t="shared" si="780"/>
        <v/>
      </c>
      <c r="AI557" s="66" t="str">
        <f t="shared" si="781"/>
        <v/>
      </c>
      <c r="AJ557" s="66" t="str">
        <f>+IF($W557="","",ROUND((AG557*Parámetros!$G$85),2))</f>
        <v/>
      </c>
      <c r="AK557" s="66" t="str">
        <f>+IF($W557="","",ROUND((AG557*(Parámetros!$G$86)),2))</f>
        <v/>
      </c>
      <c r="AL557" s="66" t="str">
        <f t="shared" si="775"/>
        <v/>
      </c>
      <c r="AM557" t="str">
        <f t="shared" si="735"/>
        <v/>
      </c>
      <c r="AN557" t="str">
        <f t="shared" si="736"/>
        <v/>
      </c>
      <c r="AO557" s="118" t="str">
        <f t="shared" si="737"/>
        <v/>
      </c>
      <c r="AP557" s="118" t="str">
        <f t="shared" si="738"/>
        <v/>
      </c>
      <c r="AQ557" s="119" t="str">
        <f>+IF(OR($W557="",AO557=0),"",ROUND((VLOOKUP(ROUNDDOWN($D557-1/frec,0),cob_adi,Z$40,FALSE)*(1+i/frec)^-0.5*(1+Parámetros!$D$103)*(1+rec_fracc)/frec),6))</f>
        <v/>
      </c>
      <c r="AR557" s="66" t="str">
        <f t="shared" si="782"/>
        <v/>
      </c>
      <c r="AS557" s="119" t="str">
        <f t="shared" si="783"/>
        <v/>
      </c>
      <c r="AT557" s="66" t="str">
        <f>+IF($W557="","",ROUND(IF($B557&gt;Parámetros!$D$107,'Tablas Servicio'!AR557+('Tablas Servicio'!AT556-'Tablas Servicio'!AR556),AR557/(1-IF(B557&lt;=10,Parámetros!$D$100,0))),2))</f>
        <v/>
      </c>
      <c r="AU557" s="66" t="str">
        <f t="shared" si="784"/>
        <v/>
      </c>
      <c r="AV557" s="66" t="str">
        <f t="shared" si="784"/>
        <v/>
      </c>
      <c r="AW557" s="66" t="str">
        <f>+IF($W557="","",ROUND((AT557*Parámetros!$G$85),2))</f>
        <v/>
      </c>
      <c r="AX557" s="66" t="str">
        <f>+IF($W557="","",ROUND((AT557*(Parámetros!$G$86)),2))</f>
        <v/>
      </c>
      <c r="AY557" s="66" t="str">
        <f t="shared" si="785"/>
        <v/>
      </c>
      <c r="AZ557" t="str">
        <f t="shared" si="739"/>
        <v/>
      </c>
      <c r="BA557" t="str">
        <f t="shared" si="740"/>
        <v/>
      </c>
      <c r="BB557" s="118" t="str">
        <f t="shared" si="741"/>
        <v/>
      </c>
      <c r="BC557" s="118" t="str">
        <f t="shared" si="742"/>
        <v/>
      </c>
      <c r="BD557" s="119" t="str">
        <f>+IF(OR($W557="",BB557=0),"",ROUND((VLOOKUP(ROUNDDOWN($D557-1/frec,0),cob_adi,AO$40,FALSE)*(1+i/frec)^-0.5*(1+Parámetros!$D$103)*(1+rec_fracc)/frec),6))</f>
        <v/>
      </c>
      <c r="BE557" s="66" t="str">
        <f t="shared" si="786"/>
        <v/>
      </c>
      <c r="BF557" s="119" t="str">
        <f t="shared" si="787"/>
        <v/>
      </c>
      <c r="BG557" s="66" t="str">
        <f>+IF($W557="","",ROUND(IF($B557&gt;Parámetros!$D$107,'Tablas Servicio'!BE557+('Tablas Servicio'!BG556-'Tablas Servicio'!BE556),BE557/(1-IF(B557&lt;=10,Parámetros!$D$100,0))),2))</f>
        <v/>
      </c>
      <c r="BH557" s="66" t="str">
        <f t="shared" si="788"/>
        <v/>
      </c>
      <c r="BI557" s="66" t="str">
        <f t="shared" si="789"/>
        <v/>
      </c>
      <c r="BJ557" s="66" t="str">
        <f>+IF($W557="","",ROUND((BG557*Parámetros!$G$85),2))</f>
        <v/>
      </c>
      <c r="BK557" s="66" t="str">
        <f>+IF($W557="","",ROUND((BG557*(Parámetros!$G$86)),2))</f>
        <v/>
      </c>
      <c r="BL557" s="66" t="str">
        <f t="shared" si="790"/>
        <v/>
      </c>
      <c r="BM557" t="str">
        <f t="shared" si="743"/>
        <v/>
      </c>
      <c r="BN557" t="str">
        <f t="shared" si="744"/>
        <v/>
      </c>
      <c r="BO557" s="118" t="str">
        <f t="shared" si="745"/>
        <v/>
      </c>
      <c r="BP557" s="118" t="str">
        <f t="shared" si="746"/>
        <v/>
      </c>
      <c r="BQ557" s="119" t="str">
        <f>+IF(OR($W557="",BO557=0),"",ROUND((VLOOKUP(ROUNDDOWN($D557-1/frec,0),cob_adi,BB$40,FALSE)*(1+i/frec)^-0.5*(1+Parámetros!$D$103)*(1+rec_fracc)/frec),6))</f>
        <v/>
      </c>
      <c r="BR557" s="66" t="str">
        <f t="shared" si="791"/>
        <v/>
      </c>
      <c r="BS557" s="119" t="str">
        <f t="shared" si="792"/>
        <v/>
      </c>
      <c r="BT557" s="66" t="str">
        <f>+IF($W557="","",ROUND(IF($B557&gt;Parámetros!$D$107,'Tablas Servicio'!BR557+('Tablas Servicio'!BT556-'Tablas Servicio'!BR556),BR557/(1-IF(B557&lt;=10,Parámetros!$D$100,0))),2))</f>
        <v/>
      </c>
      <c r="BU557" s="66" t="str">
        <f t="shared" si="793"/>
        <v/>
      </c>
      <c r="BV557" s="66" t="str">
        <f t="shared" si="793"/>
        <v/>
      </c>
      <c r="BW557" s="66" t="str">
        <f>+IF($W557="","",ROUND((BT557*Parámetros!$G$85),2))</f>
        <v/>
      </c>
      <c r="BX557" s="66" t="str">
        <f>+IF($W557="","",ROUND((BT557*(Parámetros!$G$86)),2))</f>
        <v/>
      </c>
      <c r="BY557" s="66" t="str">
        <f t="shared" si="794"/>
        <v/>
      </c>
      <c r="BZ557" t="str">
        <f t="shared" si="747"/>
        <v/>
      </c>
      <c r="CA557" t="str">
        <f t="shared" si="748"/>
        <v/>
      </c>
      <c r="CB557" s="118" t="str">
        <f t="shared" si="749"/>
        <v/>
      </c>
      <c r="CC557" s="118" t="str">
        <f t="shared" si="750"/>
        <v/>
      </c>
      <c r="CD557" s="119" t="str">
        <f t="shared" si="795"/>
        <v/>
      </c>
      <c r="CE557" s="66" t="str">
        <f>+IF($W557="","",ROUND((VLOOKUP(ROUNDDOWN($D557-1/frec,0),cob_adi,BO$40,FALSE)*(1+i/frec)^-0.5*(1+Parámetros!$D$103)*(1+rec_fracc)/frec*'TABLAS ADI'!$BC$17),2))</f>
        <v/>
      </c>
      <c r="CF557" s="119" t="str">
        <f t="shared" si="796"/>
        <v/>
      </c>
      <c r="CG557" s="66" t="str">
        <f>+IF($W557="","",ROUND(IF($B557&gt;Parámetros!$D$107,'Tablas Servicio'!CE557+('Tablas Servicio'!CG556-'Tablas Servicio'!CE556),CE557/(1-IF(B557&lt;=10,Parámetros!$D$100,0))),2))</f>
        <v/>
      </c>
      <c r="CH557" s="66" t="str">
        <f t="shared" si="797"/>
        <v/>
      </c>
      <c r="CI557" s="66" t="str">
        <f t="shared" si="797"/>
        <v/>
      </c>
      <c r="CJ557" s="66" t="str">
        <f>+IF($W557="","",ROUND((CG557*Parámetros!$G$85),2))</f>
        <v/>
      </c>
      <c r="CK557" s="66" t="str">
        <f>+IF($W557="","",ROUND((CG557*(Parámetros!$G$86)),2))</f>
        <v/>
      </c>
      <c r="CL557" s="66" t="str">
        <f t="shared" si="798"/>
        <v/>
      </c>
      <c r="CM557" t="str">
        <f t="shared" si="751"/>
        <v/>
      </c>
      <c r="CN557" s="118" t="str">
        <f t="shared" si="752"/>
        <v/>
      </c>
      <c r="CO557" s="118" t="str">
        <f t="shared" si="753"/>
        <v/>
      </c>
      <c r="CP557" s="118" t="str">
        <f t="shared" si="754"/>
        <v/>
      </c>
      <c r="CQ557" s="119" t="str">
        <f t="shared" si="799"/>
        <v/>
      </c>
      <c r="CR557" s="66" t="str">
        <f>+IF($W557="","",ROUND((VLOOKUP(Parámetros!$F$51,'COBERTURAS ADICIONALES'!$S$4:$T$32,2,FALSE)*(1+i/frec)^-0.5*(1+Parámetros!$D$103)*(1+rec_fracc)/frec*$CO$42),2))</f>
        <v/>
      </c>
      <c r="CS557" s="119" t="str">
        <f t="shared" si="800"/>
        <v/>
      </c>
      <c r="CT557" s="66" t="str">
        <f>+IF($W557="","",ROUND(IF($B557&gt;Parámetros!$D$107,'Tablas Servicio'!CR557+('Tablas Servicio'!CT556-'Tablas Servicio'!CR556),CR557/(1-IF(B557&lt;=10,Parámetros!$D$100,0))),2))</f>
        <v/>
      </c>
      <c r="CU557" s="66" t="str">
        <f t="shared" si="801"/>
        <v/>
      </c>
      <c r="CV557" s="66" t="str">
        <f t="shared" si="801"/>
        <v/>
      </c>
      <c r="CW557" s="66" t="str">
        <f>+IF($W557="","",ROUND((CT557*Parámetros!$G$85),2))</f>
        <v/>
      </c>
      <c r="CX557" s="66" t="str">
        <f>+IF($W557="","",ROUND((CT557*(Parámetros!$G$86)),2))</f>
        <v/>
      </c>
      <c r="CY557" s="66" t="str">
        <f t="shared" si="802"/>
        <v/>
      </c>
      <c r="CZ557" t="str">
        <f t="shared" si="755"/>
        <v/>
      </c>
      <c r="DA557" s="118" t="str">
        <f t="shared" si="756"/>
        <v/>
      </c>
      <c r="DB557" s="118" t="str">
        <f t="shared" si="757"/>
        <v/>
      </c>
      <c r="DC557" s="118" t="str">
        <f t="shared" si="758"/>
        <v/>
      </c>
      <c r="DD557" s="121" t="str">
        <f>+IF(OR($W557="",DB557=0),"",ROUND((VLOOKUP(ROUNDDOWN($D557-1/frec,0),cob_adi,CO$40,FALSE)*(1+i/frec)^-0.5*(1+Parámetros!$D$103)*(1+rec_fracc)/frec),6))</f>
        <v/>
      </c>
      <c r="DE557" s="66" t="str">
        <f t="shared" si="803"/>
        <v/>
      </c>
      <c r="DF557" s="119" t="str">
        <f t="shared" si="804"/>
        <v/>
      </c>
      <c r="DG557" s="66" t="str">
        <f>+IF($W557="","",ROUND(IF($B557&gt;Parámetros!$D$107,'Tablas Servicio'!DE557+('Tablas Servicio'!DG556-'Tablas Servicio'!DE556),DE557/(1-IF(B557&lt;=10,Parámetros!$D$100,0))),2))</f>
        <v/>
      </c>
      <c r="DH557" s="66" t="str">
        <f t="shared" si="805"/>
        <v/>
      </c>
      <c r="DI557" s="66" t="str">
        <f t="shared" si="805"/>
        <v/>
      </c>
      <c r="DJ557" s="66" t="str">
        <f>+IF($W557="","",ROUND((DG557*Parámetros!$G$85),2))</f>
        <v/>
      </c>
      <c r="DK557" s="66" t="str">
        <f>+IF($W557="","",ROUND((DG557*(Parámetros!$G$86)),2))</f>
        <v/>
      </c>
      <c r="DL557" s="66" t="str">
        <f t="shared" si="806"/>
        <v/>
      </c>
      <c r="DM557" t="str">
        <f t="shared" si="759"/>
        <v/>
      </c>
      <c r="DN557" s="118" t="str">
        <f t="shared" si="760"/>
        <v/>
      </c>
      <c r="DO557" s="118" t="str">
        <f t="shared" si="761"/>
        <v/>
      </c>
      <c r="DP557" s="118" t="str">
        <f t="shared" si="762"/>
        <v/>
      </c>
      <c r="DQ557" s="122" t="str">
        <f>+IF(OR($W557="",DO557=0),"",ROUND((VLOOKUP(ROUNDDOWN($D557-1/frec,0),cob_adi,DB$40,FALSE)*(1+i/frec)^-0.5*(1+Parámetros!$D$103)*(1+rec_fracc)/frec),6))</f>
        <v/>
      </c>
      <c r="DR557" s="66" t="str">
        <f t="shared" si="807"/>
        <v/>
      </c>
      <c r="DS557" s="68" t="str">
        <f t="shared" si="808"/>
        <v/>
      </c>
      <c r="DT557" s="66" t="str">
        <f>+IF($W557="","",ROUND(IF($B557&gt;Parámetros!$D$107,'Tablas Servicio'!DR557+('Tablas Servicio'!DT556-'Tablas Servicio'!DR556),DR557/(1-IF(B557&lt;=10,Parámetros!$D$100,0))),2))</f>
        <v/>
      </c>
      <c r="DU557" s="66" t="str">
        <f t="shared" si="809"/>
        <v/>
      </c>
      <c r="DV557" s="66" t="str">
        <f t="shared" si="809"/>
        <v/>
      </c>
      <c r="DW557" s="66" t="str">
        <f>+IF($W557="","",ROUND((DT557*Parámetros!$G$85),2))</f>
        <v/>
      </c>
      <c r="DX557" s="66" t="str">
        <f>+IF($W557="","",ROUND((DT557*(Parámetros!$G$86)),2))</f>
        <v/>
      </c>
      <c r="DY557" s="66" t="str">
        <f t="shared" si="810"/>
        <v/>
      </c>
      <c r="DZ557" t="str">
        <f t="shared" si="811"/>
        <v/>
      </c>
      <c r="EA557" s="118" t="str">
        <f t="shared" si="811"/>
        <v/>
      </c>
      <c r="EB557" s="118" t="str">
        <f>+IF($W557="","",ROUND(IF(Parámetros!$D$25='TABLAS MORT'!$V$33,EB556,Z557/2),0))</f>
        <v/>
      </c>
      <c r="EC557" s="118" t="str">
        <f t="shared" si="811"/>
        <v/>
      </c>
      <c r="ED557" s="122" t="str">
        <f>+IF(OR($W557="",EB557=0),"",ROUND((VLOOKUP(ROUNDDOWN($D557-1/frec,0),cob_adi,DO$40,FALSE)*(1+i/frec)^-0.5*(1+Parámetros!$D$103)*(1+rec_fracc)/frec),6))</f>
        <v/>
      </c>
      <c r="EE557" s="66" t="str">
        <f t="shared" si="812"/>
        <v/>
      </c>
      <c r="EF557" s="68" t="str">
        <f t="shared" si="813"/>
        <v/>
      </c>
      <c r="EG557" s="66" t="str">
        <f>+IF($W557="","",ROUND(IF($B557&gt;Parámetros!$D$107,'Tablas Servicio'!EE557+('Tablas Servicio'!EG556-'Tablas Servicio'!EE556),EE557/(1-IF(B557&lt;=10,Parámetros!$D$100,0))),2))</f>
        <v/>
      </c>
      <c r="EH557" s="66" t="str">
        <f t="shared" si="814"/>
        <v/>
      </c>
      <c r="EI557" s="66" t="str">
        <f t="shared" si="814"/>
        <v/>
      </c>
      <c r="EJ557" s="66" t="str">
        <f>+IF($W557="","",ROUND((EG557*Parámetros!$G$85),2))</f>
        <v/>
      </c>
      <c r="EK557" s="66" t="str">
        <f>+IF($W557="","",ROUND((EG557*(Parámetros!$G$86)),2))</f>
        <v/>
      </c>
      <c r="EL557" s="66" t="str">
        <f t="shared" si="815"/>
        <v/>
      </c>
    </row>
    <row r="558" spans="1:142" x14ac:dyDescent="0.25">
      <c r="A558" t="str">
        <f>+IF($C558="","",ROUND(VLOOKUP('Tablas Servicio'!B558,Parámetros!$H$100:$J$159,IF(Parámetros!$E$16="F",2,3),FALSE),2))</f>
        <v/>
      </c>
      <c r="B558" t="str">
        <f t="shared" si="766"/>
        <v/>
      </c>
      <c r="C558" s="57" t="str">
        <f>+IF(D558="","",'Tablas Servicio'!C557+1)</f>
        <v/>
      </c>
      <c r="D558" s="56" t="str">
        <f>+IF(D557&lt;edadmaxtabla,D557+1/Parámetros!$E$25,"")</f>
        <v/>
      </c>
      <c r="E558" s="57" t="str">
        <f t="shared" si="776"/>
        <v/>
      </c>
      <c r="F558" s="59" t="str">
        <f t="shared" si="777"/>
        <v/>
      </c>
      <c r="G558" s="66" t="str">
        <f t="shared" si="767"/>
        <v/>
      </c>
      <c r="H558" s="66" t="str">
        <f t="shared" si="768"/>
        <v/>
      </c>
      <c r="I558" s="66" t="str">
        <f t="shared" si="728"/>
        <v/>
      </c>
      <c r="J558" s="66" t="str">
        <f t="shared" si="769"/>
        <v/>
      </c>
      <c r="K558" s="66" t="str">
        <f t="shared" si="770"/>
        <v/>
      </c>
      <c r="L558" s="66" t="str">
        <f t="shared" si="771"/>
        <v/>
      </c>
      <c r="M558" s="66" t="str">
        <f t="shared" si="772"/>
        <v/>
      </c>
      <c r="N558" s="66" t="str">
        <f>+IF(C558="","",ROUND(Parámetros!$D$23,2))</f>
        <v/>
      </c>
      <c r="O558" s="66" t="str">
        <f t="shared" si="773"/>
        <v/>
      </c>
      <c r="P558" s="66" t="str">
        <f>+IF($C558="","",ROUND(IF(B558&gt;Parámetros!$D$117,0,N558*Parámetros!$D$116-G558*Parámetros!$D$100),2))</f>
        <v/>
      </c>
      <c r="Q558" s="75" t="str">
        <f t="shared" si="729"/>
        <v/>
      </c>
      <c r="R558" s="75" t="str">
        <f t="shared" si="730"/>
        <v/>
      </c>
      <c r="S558" s="117" t="str">
        <f>+IF($C558="","",ROUND((S557+I558)*(1+Parámetros!$D$91),2))</f>
        <v/>
      </c>
      <c r="T558" s="117" t="str">
        <f>+IF($C558="","",ROUND(S558*VLOOKUP(B558,Parámetros!$C$30:$D$39,2,TRUE),2))</f>
        <v/>
      </c>
      <c r="U558" s="117" t="str">
        <f>+IF($C558="","",ROUND((U557+I558)*(1+Parámetros!$D$92),2))</f>
        <v/>
      </c>
      <c r="V558" s="117" t="str">
        <f>+IF($C558="","",ROUND(U558*VLOOKUP(B558,Parámetros!$C$30:$D$39,2,TRUE),2))</f>
        <v/>
      </c>
      <c r="W558" s="57" t="str">
        <f t="shared" si="731"/>
        <v/>
      </c>
      <c r="X558" t="str">
        <f t="shared" si="732"/>
        <v/>
      </c>
      <c r="Y558" t="str">
        <f t="shared" si="733"/>
        <v/>
      </c>
      <c r="Z558" s="118" t="str">
        <f>+IF($W558="","",ROUND(IF(Parámetros!$D$25='TABLAS MORT'!$V$33,Z557,Parámetros!$D$21-'Tablas Servicio'!T557),0))</f>
        <v/>
      </c>
      <c r="AA558" s="118" t="str">
        <f t="shared" si="734"/>
        <v/>
      </c>
      <c r="AB558" s="119" t="str">
        <f>+IF(W558="","",ROUND((VLOOKUP(ROUNDDOWN($D558-1/frec,0),qx_tabla,2,FALSE)*(1+i/frec)^-0.5*(1+Parámetros!$D$103)*(1+rec_fracc)/frec),6))</f>
        <v/>
      </c>
      <c r="AC558" s="66" t="str">
        <f t="shared" si="778"/>
        <v/>
      </c>
      <c r="AD558" s="119" t="str">
        <f t="shared" si="774"/>
        <v/>
      </c>
      <c r="AE558" s="66" t="str">
        <f>+IF($W558="","",ROUND(IF($B558&gt;Parámetros!$D$107,'Tablas Servicio'!AC558+('Tablas Servicio'!AG557-'Tablas Servicio'!AC557),AC558/(1-IF(B558&lt;=10,Parámetros!$D$104,Parámetros!$D$105))),2))</f>
        <v/>
      </c>
      <c r="AF558" s="66" t="str">
        <f>+IF($W558="","",ROUND(IF($B558&gt;Parámetros!$D$107,'Tablas Servicio'!AC558+('Tablas Servicio'!AG557-'Tablas Servicio'!AC557),(AC558+$A557/frec)/(1-IF(B558&lt;=Parámetros!$D$117,Parámetros!$D$100,0))),2))</f>
        <v/>
      </c>
      <c r="AG558" s="66" t="str">
        <f t="shared" si="779"/>
        <v/>
      </c>
      <c r="AH558" s="66" t="str">
        <f t="shared" si="780"/>
        <v/>
      </c>
      <c r="AI558" s="66" t="str">
        <f t="shared" si="781"/>
        <v/>
      </c>
      <c r="AJ558" s="66" t="str">
        <f>+IF($W558="","",ROUND((AG558*Parámetros!$G$85),2))</f>
        <v/>
      </c>
      <c r="AK558" s="66" t="str">
        <f>+IF($W558="","",ROUND((AG558*(Parámetros!$G$86)),2))</f>
        <v/>
      </c>
      <c r="AL558" s="66" t="str">
        <f t="shared" si="775"/>
        <v/>
      </c>
      <c r="AM558" t="str">
        <f t="shared" si="735"/>
        <v/>
      </c>
      <c r="AN558" t="str">
        <f t="shared" si="736"/>
        <v/>
      </c>
      <c r="AO558" s="118" t="str">
        <f t="shared" si="737"/>
        <v/>
      </c>
      <c r="AP558" s="118" t="str">
        <f t="shared" si="738"/>
        <v/>
      </c>
      <c r="AQ558" s="119" t="str">
        <f>+IF(OR($W558="",AO558=0),"",ROUND((VLOOKUP(ROUNDDOWN($D558-1/frec,0),cob_adi,Z$40,FALSE)*(1+i/frec)^-0.5*(1+Parámetros!$D$103)*(1+rec_fracc)/frec),6))</f>
        <v/>
      </c>
      <c r="AR558" s="66" t="str">
        <f t="shared" si="782"/>
        <v/>
      </c>
      <c r="AS558" s="119" t="str">
        <f t="shared" si="783"/>
        <v/>
      </c>
      <c r="AT558" s="66" t="str">
        <f>+IF($W558="","",ROUND(IF($B558&gt;Parámetros!$D$107,'Tablas Servicio'!AR558+('Tablas Servicio'!AT557-'Tablas Servicio'!AR557),AR558/(1-IF(B558&lt;=10,Parámetros!$D$100,0))),2))</f>
        <v/>
      </c>
      <c r="AU558" s="66" t="str">
        <f t="shared" si="784"/>
        <v/>
      </c>
      <c r="AV558" s="66" t="str">
        <f t="shared" si="784"/>
        <v/>
      </c>
      <c r="AW558" s="66" t="str">
        <f>+IF($W558="","",ROUND((AT558*Parámetros!$G$85),2))</f>
        <v/>
      </c>
      <c r="AX558" s="66" t="str">
        <f>+IF($W558="","",ROUND((AT558*(Parámetros!$G$86)),2))</f>
        <v/>
      </c>
      <c r="AY558" s="66" t="str">
        <f t="shared" si="785"/>
        <v/>
      </c>
      <c r="AZ558" t="str">
        <f t="shared" si="739"/>
        <v/>
      </c>
      <c r="BA558" t="str">
        <f t="shared" si="740"/>
        <v/>
      </c>
      <c r="BB558" s="118" t="str">
        <f t="shared" si="741"/>
        <v/>
      </c>
      <c r="BC558" s="118" t="str">
        <f t="shared" si="742"/>
        <v/>
      </c>
      <c r="BD558" s="119" t="str">
        <f>+IF(OR($W558="",BB558=0),"",ROUND((VLOOKUP(ROUNDDOWN($D558-1/frec,0),cob_adi,AO$40,FALSE)*(1+i/frec)^-0.5*(1+Parámetros!$D$103)*(1+rec_fracc)/frec),6))</f>
        <v/>
      </c>
      <c r="BE558" s="66" t="str">
        <f t="shared" si="786"/>
        <v/>
      </c>
      <c r="BF558" s="119" t="str">
        <f t="shared" si="787"/>
        <v/>
      </c>
      <c r="BG558" s="66" t="str">
        <f>+IF($W558="","",ROUND(IF($B558&gt;Parámetros!$D$107,'Tablas Servicio'!BE558+('Tablas Servicio'!BG557-'Tablas Servicio'!BE557),BE558/(1-IF(B558&lt;=10,Parámetros!$D$100,0))),2))</f>
        <v/>
      </c>
      <c r="BH558" s="66" t="str">
        <f t="shared" si="788"/>
        <v/>
      </c>
      <c r="BI558" s="66" t="str">
        <f t="shared" si="789"/>
        <v/>
      </c>
      <c r="BJ558" s="66" t="str">
        <f>+IF($W558="","",ROUND((BG558*Parámetros!$G$85),2))</f>
        <v/>
      </c>
      <c r="BK558" s="66" t="str">
        <f>+IF($W558="","",ROUND((BG558*(Parámetros!$G$86)),2))</f>
        <v/>
      </c>
      <c r="BL558" s="66" t="str">
        <f t="shared" si="790"/>
        <v/>
      </c>
      <c r="BM558" t="str">
        <f t="shared" si="743"/>
        <v/>
      </c>
      <c r="BN558" t="str">
        <f t="shared" si="744"/>
        <v/>
      </c>
      <c r="BO558" s="118" t="str">
        <f t="shared" si="745"/>
        <v/>
      </c>
      <c r="BP558" s="118" t="str">
        <f t="shared" si="746"/>
        <v/>
      </c>
      <c r="BQ558" s="119" t="str">
        <f>+IF(OR($W558="",BO558=0),"",ROUND((VLOOKUP(ROUNDDOWN($D558-1/frec,0),cob_adi,BB$40,FALSE)*(1+i/frec)^-0.5*(1+Parámetros!$D$103)*(1+rec_fracc)/frec),6))</f>
        <v/>
      </c>
      <c r="BR558" s="66" t="str">
        <f t="shared" si="791"/>
        <v/>
      </c>
      <c r="BS558" s="119" t="str">
        <f t="shared" si="792"/>
        <v/>
      </c>
      <c r="BT558" s="66" t="str">
        <f>+IF($W558="","",ROUND(IF($B558&gt;Parámetros!$D$107,'Tablas Servicio'!BR558+('Tablas Servicio'!BT557-'Tablas Servicio'!BR557),BR558/(1-IF(B558&lt;=10,Parámetros!$D$100,0))),2))</f>
        <v/>
      </c>
      <c r="BU558" s="66" t="str">
        <f t="shared" si="793"/>
        <v/>
      </c>
      <c r="BV558" s="66" t="str">
        <f t="shared" si="793"/>
        <v/>
      </c>
      <c r="BW558" s="66" t="str">
        <f>+IF($W558="","",ROUND((BT558*Parámetros!$G$85),2))</f>
        <v/>
      </c>
      <c r="BX558" s="66" t="str">
        <f>+IF($W558="","",ROUND((BT558*(Parámetros!$G$86)),2))</f>
        <v/>
      </c>
      <c r="BY558" s="66" t="str">
        <f t="shared" si="794"/>
        <v/>
      </c>
      <c r="BZ558" t="str">
        <f t="shared" si="747"/>
        <v/>
      </c>
      <c r="CA558" t="str">
        <f t="shared" si="748"/>
        <v/>
      </c>
      <c r="CB558" s="118" t="str">
        <f t="shared" si="749"/>
        <v/>
      </c>
      <c r="CC558" s="118" t="str">
        <f t="shared" si="750"/>
        <v/>
      </c>
      <c r="CD558" s="119" t="str">
        <f t="shared" si="795"/>
        <v/>
      </c>
      <c r="CE558" s="66" t="str">
        <f>+IF($W558="","",ROUND((VLOOKUP(ROUNDDOWN($D558-1/frec,0),cob_adi,BO$40,FALSE)*(1+i/frec)^-0.5*(1+Parámetros!$D$103)*(1+rec_fracc)/frec*'TABLAS ADI'!$BC$17),2))</f>
        <v/>
      </c>
      <c r="CF558" s="119" t="str">
        <f t="shared" si="796"/>
        <v/>
      </c>
      <c r="CG558" s="66" t="str">
        <f>+IF($W558="","",ROUND(IF($B558&gt;Parámetros!$D$107,'Tablas Servicio'!CE558+('Tablas Servicio'!CG557-'Tablas Servicio'!CE557),CE558/(1-IF(B558&lt;=10,Parámetros!$D$100,0))),2))</f>
        <v/>
      </c>
      <c r="CH558" s="66" t="str">
        <f t="shared" si="797"/>
        <v/>
      </c>
      <c r="CI558" s="66" t="str">
        <f t="shared" si="797"/>
        <v/>
      </c>
      <c r="CJ558" s="66" t="str">
        <f>+IF($W558="","",ROUND((CG558*Parámetros!$G$85),2))</f>
        <v/>
      </c>
      <c r="CK558" s="66" t="str">
        <f>+IF($W558="","",ROUND((CG558*(Parámetros!$G$86)),2))</f>
        <v/>
      </c>
      <c r="CL558" s="66" t="str">
        <f t="shared" si="798"/>
        <v/>
      </c>
      <c r="CM558" t="str">
        <f t="shared" si="751"/>
        <v/>
      </c>
      <c r="CN558" s="118" t="str">
        <f t="shared" si="752"/>
        <v/>
      </c>
      <c r="CO558" s="118" t="str">
        <f t="shared" si="753"/>
        <v/>
      </c>
      <c r="CP558" s="118" t="str">
        <f t="shared" si="754"/>
        <v/>
      </c>
      <c r="CQ558" s="119" t="str">
        <f t="shared" si="799"/>
        <v/>
      </c>
      <c r="CR558" s="66" t="str">
        <f>+IF($W558="","",ROUND((VLOOKUP(Parámetros!$F$51,'COBERTURAS ADICIONALES'!$S$4:$T$32,2,FALSE)*(1+i/frec)^-0.5*(1+Parámetros!$D$103)*(1+rec_fracc)/frec*$CO$42),2))</f>
        <v/>
      </c>
      <c r="CS558" s="119" t="str">
        <f t="shared" si="800"/>
        <v/>
      </c>
      <c r="CT558" s="66" t="str">
        <f>+IF($W558="","",ROUND(IF($B558&gt;Parámetros!$D$107,'Tablas Servicio'!CR558+('Tablas Servicio'!CT557-'Tablas Servicio'!CR557),CR558/(1-IF(B558&lt;=10,Parámetros!$D$100,0))),2))</f>
        <v/>
      </c>
      <c r="CU558" s="66" t="str">
        <f t="shared" si="801"/>
        <v/>
      </c>
      <c r="CV558" s="66" t="str">
        <f t="shared" si="801"/>
        <v/>
      </c>
      <c r="CW558" s="66" t="str">
        <f>+IF($W558="","",ROUND((CT558*Parámetros!$G$85),2))</f>
        <v/>
      </c>
      <c r="CX558" s="66" t="str">
        <f>+IF($W558="","",ROUND((CT558*(Parámetros!$G$86)),2))</f>
        <v/>
      </c>
      <c r="CY558" s="66" t="str">
        <f t="shared" si="802"/>
        <v/>
      </c>
      <c r="CZ558" t="str">
        <f t="shared" si="755"/>
        <v/>
      </c>
      <c r="DA558" s="118" t="str">
        <f t="shared" si="756"/>
        <v/>
      </c>
      <c r="DB558" s="118" t="str">
        <f t="shared" si="757"/>
        <v/>
      </c>
      <c r="DC558" s="118" t="str">
        <f t="shared" si="758"/>
        <v/>
      </c>
      <c r="DD558" s="121" t="str">
        <f>+IF(OR($W558="",DB558=0),"",ROUND((VLOOKUP(ROUNDDOWN($D558-1/frec,0),cob_adi,CO$40,FALSE)*(1+i/frec)^-0.5*(1+Parámetros!$D$103)*(1+rec_fracc)/frec),6))</f>
        <v/>
      </c>
      <c r="DE558" s="66" t="str">
        <f t="shared" si="803"/>
        <v/>
      </c>
      <c r="DF558" s="119" t="str">
        <f t="shared" si="804"/>
        <v/>
      </c>
      <c r="DG558" s="66" t="str">
        <f>+IF($W558="","",ROUND(IF($B558&gt;Parámetros!$D$107,'Tablas Servicio'!DE558+('Tablas Servicio'!DG557-'Tablas Servicio'!DE557),DE558/(1-IF(B558&lt;=10,Parámetros!$D$100,0))),2))</f>
        <v/>
      </c>
      <c r="DH558" s="66" t="str">
        <f t="shared" si="805"/>
        <v/>
      </c>
      <c r="DI558" s="66" t="str">
        <f t="shared" si="805"/>
        <v/>
      </c>
      <c r="DJ558" s="66" t="str">
        <f>+IF($W558="","",ROUND((DG558*Parámetros!$G$85),2))</f>
        <v/>
      </c>
      <c r="DK558" s="66" t="str">
        <f>+IF($W558="","",ROUND((DG558*(Parámetros!$G$86)),2))</f>
        <v/>
      </c>
      <c r="DL558" s="66" t="str">
        <f t="shared" si="806"/>
        <v/>
      </c>
      <c r="DM558" t="str">
        <f t="shared" si="759"/>
        <v/>
      </c>
      <c r="DN558" s="118" t="str">
        <f t="shared" si="760"/>
        <v/>
      </c>
      <c r="DO558" s="118" t="str">
        <f t="shared" si="761"/>
        <v/>
      </c>
      <c r="DP558" s="118" t="str">
        <f t="shared" si="762"/>
        <v/>
      </c>
      <c r="DQ558" s="122" t="str">
        <f>+IF(OR($W558="",DO558=0),"",ROUND((VLOOKUP(ROUNDDOWN($D558-1/frec,0),cob_adi,DB$40,FALSE)*(1+i/frec)^-0.5*(1+Parámetros!$D$103)*(1+rec_fracc)/frec),6))</f>
        <v/>
      </c>
      <c r="DR558" s="66" t="str">
        <f t="shared" si="807"/>
        <v/>
      </c>
      <c r="DS558" s="68" t="str">
        <f t="shared" si="808"/>
        <v/>
      </c>
      <c r="DT558" s="66" t="str">
        <f>+IF($W558="","",ROUND(IF($B558&gt;Parámetros!$D$107,'Tablas Servicio'!DR558+('Tablas Servicio'!DT557-'Tablas Servicio'!DR557),DR558/(1-IF(B558&lt;=10,Parámetros!$D$100,0))),2))</f>
        <v/>
      </c>
      <c r="DU558" s="66" t="str">
        <f t="shared" si="809"/>
        <v/>
      </c>
      <c r="DV558" s="66" t="str">
        <f t="shared" si="809"/>
        <v/>
      </c>
      <c r="DW558" s="66" t="str">
        <f>+IF($W558="","",ROUND((DT558*Parámetros!$G$85),2))</f>
        <v/>
      </c>
      <c r="DX558" s="66" t="str">
        <f>+IF($W558="","",ROUND((DT558*(Parámetros!$G$86)),2))</f>
        <v/>
      </c>
      <c r="DY558" s="66" t="str">
        <f t="shared" si="810"/>
        <v/>
      </c>
      <c r="DZ558" t="str">
        <f t="shared" si="811"/>
        <v/>
      </c>
      <c r="EA558" s="118" t="str">
        <f t="shared" si="811"/>
        <v/>
      </c>
      <c r="EB558" s="118" t="str">
        <f>+IF($W558="","",ROUND(IF(Parámetros!$D$25='TABLAS MORT'!$V$33,EB557,Z558/2),0))</f>
        <v/>
      </c>
      <c r="EC558" s="118" t="str">
        <f t="shared" si="811"/>
        <v/>
      </c>
      <c r="ED558" s="122" t="str">
        <f>+IF(OR($W558="",EB558=0),"",ROUND((VLOOKUP(ROUNDDOWN($D558-1/frec,0),cob_adi,DO$40,FALSE)*(1+i/frec)^-0.5*(1+Parámetros!$D$103)*(1+rec_fracc)/frec),6))</f>
        <v/>
      </c>
      <c r="EE558" s="66" t="str">
        <f t="shared" si="812"/>
        <v/>
      </c>
      <c r="EF558" s="68" t="str">
        <f t="shared" si="813"/>
        <v/>
      </c>
      <c r="EG558" s="66" t="str">
        <f>+IF($W558="","",ROUND(IF($B558&gt;Parámetros!$D$107,'Tablas Servicio'!EE558+('Tablas Servicio'!EG557-'Tablas Servicio'!EE557),EE558/(1-IF(B558&lt;=10,Parámetros!$D$100,0))),2))</f>
        <v/>
      </c>
      <c r="EH558" s="66" t="str">
        <f t="shared" si="814"/>
        <v/>
      </c>
      <c r="EI558" s="66" t="str">
        <f t="shared" si="814"/>
        <v/>
      </c>
      <c r="EJ558" s="66" t="str">
        <f>+IF($W558="","",ROUND((EG558*Parámetros!$G$85),2))</f>
        <v/>
      </c>
      <c r="EK558" s="66" t="str">
        <f>+IF($W558="","",ROUND((EG558*(Parámetros!$G$86)),2))</f>
        <v/>
      </c>
      <c r="EL558" s="66" t="str">
        <f t="shared" si="815"/>
        <v/>
      </c>
    </row>
    <row r="559" spans="1:142" x14ac:dyDescent="0.25">
      <c r="A559" t="str">
        <f>+IF($C559="","",ROUND(VLOOKUP('Tablas Servicio'!B559,Parámetros!$H$100:$J$159,IF(Parámetros!$E$16="F",2,3),FALSE),2))</f>
        <v/>
      </c>
      <c r="B559" t="str">
        <f t="shared" si="766"/>
        <v/>
      </c>
      <c r="C559" s="57" t="str">
        <f>+IF(D559="","",'Tablas Servicio'!C558+1)</f>
        <v/>
      </c>
      <c r="D559" s="56" t="str">
        <f>+IF(D558&lt;edadmaxtabla,D558+1/Parámetros!$E$25,"")</f>
        <v/>
      </c>
      <c r="E559" s="57" t="str">
        <f t="shared" si="776"/>
        <v/>
      </c>
      <c r="F559" s="59" t="str">
        <f t="shared" si="777"/>
        <v/>
      </c>
      <c r="G559" s="66" t="str">
        <f t="shared" si="767"/>
        <v/>
      </c>
      <c r="H559" s="66" t="str">
        <f t="shared" si="768"/>
        <v/>
      </c>
      <c r="I559" s="66" t="str">
        <f t="shared" si="728"/>
        <v/>
      </c>
      <c r="J559" s="66" t="str">
        <f t="shared" si="769"/>
        <v/>
      </c>
      <c r="K559" s="66" t="str">
        <f t="shared" si="770"/>
        <v/>
      </c>
      <c r="L559" s="66" t="str">
        <f t="shared" si="771"/>
        <v/>
      </c>
      <c r="M559" s="66" t="str">
        <f t="shared" si="772"/>
        <v/>
      </c>
      <c r="N559" s="66" t="str">
        <f>+IF(C559="","",ROUND(Parámetros!$D$23,2))</f>
        <v/>
      </c>
      <c r="O559" s="66" t="str">
        <f t="shared" si="773"/>
        <v/>
      </c>
      <c r="P559" s="66" t="str">
        <f>+IF($C559="","",ROUND(IF(B559&gt;Parámetros!$D$117,0,N559*Parámetros!$D$116-G559*Parámetros!$D$100),2))</f>
        <v/>
      </c>
      <c r="Q559" s="75" t="str">
        <f t="shared" si="729"/>
        <v/>
      </c>
      <c r="R559" s="75" t="str">
        <f t="shared" si="730"/>
        <v/>
      </c>
      <c r="S559" s="117" t="str">
        <f>+IF($C559="","",ROUND((S558+I559)*(1+Parámetros!$D$91),2))</f>
        <v/>
      </c>
      <c r="T559" s="117" t="str">
        <f>+IF($C559="","",ROUND(S559*VLOOKUP(B559,Parámetros!$C$30:$D$39,2,TRUE),2))</f>
        <v/>
      </c>
      <c r="U559" s="117" t="str">
        <f>+IF($C559="","",ROUND((U558+I559)*(1+Parámetros!$D$92),2))</f>
        <v/>
      </c>
      <c r="V559" s="117" t="str">
        <f>+IF($C559="","",ROUND(U559*VLOOKUP(B559,Parámetros!$C$30:$D$39,2,TRUE),2))</f>
        <v/>
      </c>
      <c r="W559" s="57" t="str">
        <f t="shared" si="731"/>
        <v/>
      </c>
      <c r="X559" t="str">
        <f t="shared" si="732"/>
        <v/>
      </c>
      <c r="Y559" t="str">
        <f t="shared" si="733"/>
        <v/>
      </c>
      <c r="Z559" s="118" t="str">
        <f>+IF($W559="","",ROUND(IF(Parámetros!$D$25='TABLAS MORT'!$V$33,Z558,Parámetros!$D$21-'Tablas Servicio'!T558),0))</f>
        <v/>
      </c>
      <c r="AA559" s="118" t="str">
        <f t="shared" si="734"/>
        <v/>
      </c>
      <c r="AB559" s="119" t="str">
        <f>+IF(W559="","",ROUND((VLOOKUP(ROUNDDOWN($D559-1/frec,0),qx_tabla,2,FALSE)*(1+i/frec)^-0.5*(1+Parámetros!$D$103)*(1+rec_fracc)/frec),6))</f>
        <v/>
      </c>
      <c r="AC559" s="66" t="str">
        <f t="shared" si="778"/>
        <v/>
      </c>
      <c r="AD559" s="119" t="str">
        <f t="shared" si="774"/>
        <v/>
      </c>
      <c r="AE559" s="66" t="str">
        <f>+IF($W559="","",ROUND(IF($B559&gt;Parámetros!$D$107,'Tablas Servicio'!AC559+('Tablas Servicio'!AG558-'Tablas Servicio'!AC558),AC559/(1-IF(B559&lt;=10,Parámetros!$D$104,Parámetros!$D$105))),2))</f>
        <v/>
      </c>
      <c r="AF559" s="66" t="str">
        <f>+IF($W559="","",ROUND(IF($B559&gt;Parámetros!$D$107,'Tablas Servicio'!AC559+('Tablas Servicio'!AG558-'Tablas Servicio'!AC558),(AC559+$A558/frec)/(1-IF(B559&lt;=Parámetros!$D$117,Parámetros!$D$100,0))),2))</f>
        <v/>
      </c>
      <c r="AG559" s="66" t="str">
        <f t="shared" si="779"/>
        <v/>
      </c>
      <c r="AH559" s="66" t="str">
        <f t="shared" si="780"/>
        <v/>
      </c>
      <c r="AI559" s="66" t="str">
        <f t="shared" si="781"/>
        <v/>
      </c>
      <c r="AJ559" s="66" t="str">
        <f>+IF($W559="","",ROUND((AG559*Parámetros!$G$85),2))</f>
        <v/>
      </c>
      <c r="AK559" s="66" t="str">
        <f>+IF($W559="","",ROUND((AG559*(Parámetros!$G$86)),2))</f>
        <v/>
      </c>
      <c r="AL559" s="66" t="str">
        <f t="shared" si="775"/>
        <v/>
      </c>
      <c r="AM559" t="str">
        <f t="shared" si="735"/>
        <v/>
      </c>
      <c r="AN559" t="str">
        <f t="shared" si="736"/>
        <v/>
      </c>
      <c r="AO559" s="118" t="str">
        <f t="shared" si="737"/>
        <v/>
      </c>
      <c r="AP559" s="118" t="str">
        <f t="shared" si="738"/>
        <v/>
      </c>
      <c r="AQ559" s="119" t="str">
        <f>+IF(OR($W559="",AO559=0),"",ROUND((VLOOKUP(ROUNDDOWN($D559-1/frec,0),cob_adi,Z$40,FALSE)*(1+i/frec)^-0.5*(1+Parámetros!$D$103)*(1+rec_fracc)/frec),6))</f>
        <v/>
      </c>
      <c r="AR559" s="66" t="str">
        <f t="shared" si="782"/>
        <v/>
      </c>
      <c r="AS559" s="119" t="str">
        <f t="shared" si="783"/>
        <v/>
      </c>
      <c r="AT559" s="66" t="str">
        <f>+IF($W559="","",ROUND(IF($B559&gt;Parámetros!$D$107,'Tablas Servicio'!AR559+('Tablas Servicio'!AT558-'Tablas Servicio'!AR558),AR559/(1-IF(B559&lt;=10,Parámetros!$D$100,0))),2))</f>
        <v/>
      </c>
      <c r="AU559" s="66" t="str">
        <f t="shared" si="784"/>
        <v/>
      </c>
      <c r="AV559" s="66" t="str">
        <f t="shared" si="784"/>
        <v/>
      </c>
      <c r="AW559" s="66" t="str">
        <f>+IF($W559="","",ROUND((AT559*Parámetros!$G$85),2))</f>
        <v/>
      </c>
      <c r="AX559" s="66" t="str">
        <f>+IF($W559="","",ROUND((AT559*(Parámetros!$G$86)),2))</f>
        <v/>
      </c>
      <c r="AY559" s="66" t="str">
        <f t="shared" si="785"/>
        <v/>
      </c>
      <c r="AZ559" t="str">
        <f t="shared" si="739"/>
        <v/>
      </c>
      <c r="BA559" t="str">
        <f t="shared" si="740"/>
        <v/>
      </c>
      <c r="BB559" s="118" t="str">
        <f t="shared" si="741"/>
        <v/>
      </c>
      <c r="BC559" s="118" t="str">
        <f t="shared" si="742"/>
        <v/>
      </c>
      <c r="BD559" s="119" t="str">
        <f>+IF(OR($W559="",BB559=0),"",ROUND((VLOOKUP(ROUNDDOWN($D559-1/frec,0),cob_adi,AO$40,FALSE)*(1+i/frec)^-0.5*(1+Parámetros!$D$103)*(1+rec_fracc)/frec),6))</f>
        <v/>
      </c>
      <c r="BE559" s="66" t="str">
        <f t="shared" si="786"/>
        <v/>
      </c>
      <c r="BF559" s="119" t="str">
        <f t="shared" si="787"/>
        <v/>
      </c>
      <c r="BG559" s="66" t="str">
        <f>+IF($W559="","",ROUND(IF($B559&gt;Parámetros!$D$107,'Tablas Servicio'!BE559+('Tablas Servicio'!BG558-'Tablas Servicio'!BE558),BE559/(1-IF(B559&lt;=10,Parámetros!$D$100,0))),2))</f>
        <v/>
      </c>
      <c r="BH559" s="66" t="str">
        <f t="shared" si="788"/>
        <v/>
      </c>
      <c r="BI559" s="66" t="str">
        <f t="shared" si="789"/>
        <v/>
      </c>
      <c r="BJ559" s="66" t="str">
        <f>+IF($W559="","",ROUND((BG559*Parámetros!$G$85),2))</f>
        <v/>
      </c>
      <c r="BK559" s="66" t="str">
        <f>+IF($W559="","",ROUND((BG559*(Parámetros!$G$86)),2))</f>
        <v/>
      </c>
      <c r="BL559" s="66" t="str">
        <f t="shared" si="790"/>
        <v/>
      </c>
      <c r="BM559" t="str">
        <f t="shared" si="743"/>
        <v/>
      </c>
      <c r="BN559" t="str">
        <f t="shared" si="744"/>
        <v/>
      </c>
      <c r="BO559" s="118" t="str">
        <f t="shared" si="745"/>
        <v/>
      </c>
      <c r="BP559" s="118" t="str">
        <f t="shared" si="746"/>
        <v/>
      </c>
      <c r="BQ559" s="119" t="str">
        <f>+IF(OR($W559="",BO559=0),"",ROUND((VLOOKUP(ROUNDDOWN($D559-1/frec,0),cob_adi,BB$40,FALSE)*(1+i/frec)^-0.5*(1+Parámetros!$D$103)*(1+rec_fracc)/frec),6))</f>
        <v/>
      </c>
      <c r="BR559" s="66" t="str">
        <f t="shared" si="791"/>
        <v/>
      </c>
      <c r="BS559" s="119" t="str">
        <f t="shared" si="792"/>
        <v/>
      </c>
      <c r="BT559" s="66" t="str">
        <f>+IF($W559="","",ROUND(IF($B559&gt;Parámetros!$D$107,'Tablas Servicio'!BR559+('Tablas Servicio'!BT558-'Tablas Servicio'!BR558),BR559/(1-IF(B559&lt;=10,Parámetros!$D$100,0))),2))</f>
        <v/>
      </c>
      <c r="BU559" s="66" t="str">
        <f t="shared" si="793"/>
        <v/>
      </c>
      <c r="BV559" s="66" t="str">
        <f t="shared" si="793"/>
        <v/>
      </c>
      <c r="BW559" s="66" t="str">
        <f>+IF($W559="","",ROUND((BT559*Parámetros!$G$85),2))</f>
        <v/>
      </c>
      <c r="BX559" s="66" t="str">
        <f>+IF($W559="","",ROUND((BT559*(Parámetros!$G$86)),2))</f>
        <v/>
      </c>
      <c r="BY559" s="66" t="str">
        <f t="shared" si="794"/>
        <v/>
      </c>
      <c r="BZ559" t="str">
        <f t="shared" si="747"/>
        <v/>
      </c>
      <c r="CA559" t="str">
        <f t="shared" si="748"/>
        <v/>
      </c>
      <c r="CB559" s="118" t="str">
        <f t="shared" si="749"/>
        <v/>
      </c>
      <c r="CC559" s="118" t="str">
        <f t="shared" si="750"/>
        <v/>
      </c>
      <c r="CD559" s="119" t="str">
        <f t="shared" si="795"/>
        <v/>
      </c>
      <c r="CE559" s="66" t="str">
        <f>+IF($W559="","",ROUND((VLOOKUP(ROUNDDOWN($D559-1/frec,0),cob_adi,BO$40,FALSE)*(1+i/frec)^-0.5*(1+Parámetros!$D$103)*(1+rec_fracc)/frec*'TABLAS ADI'!$BC$17),2))</f>
        <v/>
      </c>
      <c r="CF559" s="119" t="str">
        <f t="shared" si="796"/>
        <v/>
      </c>
      <c r="CG559" s="66" t="str">
        <f>+IF($W559="","",ROUND(IF($B559&gt;Parámetros!$D$107,'Tablas Servicio'!CE559+('Tablas Servicio'!CG558-'Tablas Servicio'!CE558),CE559/(1-IF(B559&lt;=10,Parámetros!$D$100,0))),2))</f>
        <v/>
      </c>
      <c r="CH559" s="66" t="str">
        <f t="shared" si="797"/>
        <v/>
      </c>
      <c r="CI559" s="66" t="str">
        <f t="shared" si="797"/>
        <v/>
      </c>
      <c r="CJ559" s="66" t="str">
        <f>+IF($W559="","",ROUND((CG559*Parámetros!$G$85),2))</f>
        <v/>
      </c>
      <c r="CK559" s="66" t="str">
        <f>+IF($W559="","",ROUND((CG559*(Parámetros!$G$86)),2))</f>
        <v/>
      </c>
      <c r="CL559" s="66" t="str">
        <f t="shared" si="798"/>
        <v/>
      </c>
      <c r="CM559" t="str">
        <f t="shared" si="751"/>
        <v/>
      </c>
      <c r="CN559" s="118" t="str">
        <f t="shared" si="752"/>
        <v/>
      </c>
      <c r="CO559" s="118" t="str">
        <f t="shared" si="753"/>
        <v/>
      </c>
      <c r="CP559" s="118" t="str">
        <f t="shared" si="754"/>
        <v/>
      </c>
      <c r="CQ559" s="119" t="str">
        <f t="shared" si="799"/>
        <v/>
      </c>
      <c r="CR559" s="66" t="str">
        <f>+IF($W559="","",ROUND((VLOOKUP(Parámetros!$F$51,'COBERTURAS ADICIONALES'!$S$4:$T$32,2,FALSE)*(1+i/frec)^-0.5*(1+Parámetros!$D$103)*(1+rec_fracc)/frec*$CO$42),2))</f>
        <v/>
      </c>
      <c r="CS559" s="119" t="str">
        <f t="shared" si="800"/>
        <v/>
      </c>
      <c r="CT559" s="66" t="str">
        <f>+IF($W559="","",ROUND(IF($B559&gt;Parámetros!$D$107,'Tablas Servicio'!CR559+('Tablas Servicio'!CT558-'Tablas Servicio'!CR558),CR559/(1-IF(B559&lt;=10,Parámetros!$D$100,0))),2))</f>
        <v/>
      </c>
      <c r="CU559" s="66" t="str">
        <f t="shared" si="801"/>
        <v/>
      </c>
      <c r="CV559" s="66" t="str">
        <f t="shared" si="801"/>
        <v/>
      </c>
      <c r="CW559" s="66" t="str">
        <f>+IF($W559="","",ROUND((CT559*Parámetros!$G$85),2))</f>
        <v/>
      </c>
      <c r="CX559" s="66" t="str">
        <f>+IF($W559="","",ROUND((CT559*(Parámetros!$G$86)),2))</f>
        <v/>
      </c>
      <c r="CY559" s="66" t="str">
        <f t="shared" si="802"/>
        <v/>
      </c>
      <c r="CZ559" t="str">
        <f t="shared" si="755"/>
        <v/>
      </c>
      <c r="DA559" s="118" t="str">
        <f t="shared" si="756"/>
        <v/>
      </c>
      <c r="DB559" s="118" t="str">
        <f t="shared" si="757"/>
        <v/>
      </c>
      <c r="DC559" s="118" t="str">
        <f t="shared" si="758"/>
        <v/>
      </c>
      <c r="DD559" s="121" t="str">
        <f>+IF(OR($W559="",DB559=0),"",ROUND((VLOOKUP(ROUNDDOWN($D559-1/frec,0),cob_adi,CO$40,FALSE)*(1+i/frec)^-0.5*(1+Parámetros!$D$103)*(1+rec_fracc)/frec),6))</f>
        <v/>
      </c>
      <c r="DE559" s="66" t="str">
        <f t="shared" si="803"/>
        <v/>
      </c>
      <c r="DF559" s="119" t="str">
        <f t="shared" si="804"/>
        <v/>
      </c>
      <c r="DG559" s="66" t="str">
        <f>+IF($W559="","",ROUND(IF($B559&gt;Parámetros!$D$107,'Tablas Servicio'!DE559+('Tablas Servicio'!DG558-'Tablas Servicio'!DE558),DE559/(1-IF(B559&lt;=10,Parámetros!$D$100,0))),2))</f>
        <v/>
      </c>
      <c r="DH559" s="66" t="str">
        <f t="shared" si="805"/>
        <v/>
      </c>
      <c r="DI559" s="66" t="str">
        <f t="shared" si="805"/>
        <v/>
      </c>
      <c r="DJ559" s="66" t="str">
        <f>+IF($W559="","",ROUND((DG559*Parámetros!$G$85),2))</f>
        <v/>
      </c>
      <c r="DK559" s="66" t="str">
        <f>+IF($W559="","",ROUND((DG559*(Parámetros!$G$86)),2))</f>
        <v/>
      </c>
      <c r="DL559" s="66" t="str">
        <f t="shared" si="806"/>
        <v/>
      </c>
      <c r="DM559" t="str">
        <f t="shared" si="759"/>
        <v/>
      </c>
      <c r="DN559" s="118" t="str">
        <f t="shared" si="760"/>
        <v/>
      </c>
      <c r="DO559" s="118" t="str">
        <f t="shared" si="761"/>
        <v/>
      </c>
      <c r="DP559" s="118" t="str">
        <f t="shared" si="762"/>
        <v/>
      </c>
      <c r="DQ559" s="122" t="str">
        <f>+IF(OR($W559="",DO559=0),"",ROUND((VLOOKUP(ROUNDDOWN($D559-1/frec,0),cob_adi,DB$40,FALSE)*(1+i/frec)^-0.5*(1+Parámetros!$D$103)*(1+rec_fracc)/frec),6))</f>
        <v/>
      </c>
      <c r="DR559" s="66" t="str">
        <f t="shared" si="807"/>
        <v/>
      </c>
      <c r="DS559" s="68" t="str">
        <f t="shared" si="808"/>
        <v/>
      </c>
      <c r="DT559" s="66" t="str">
        <f>+IF($W559="","",ROUND(IF($B559&gt;Parámetros!$D$107,'Tablas Servicio'!DR559+('Tablas Servicio'!DT558-'Tablas Servicio'!DR558),DR559/(1-IF(B559&lt;=10,Parámetros!$D$100,0))),2))</f>
        <v/>
      </c>
      <c r="DU559" s="66" t="str">
        <f t="shared" si="809"/>
        <v/>
      </c>
      <c r="DV559" s="66" t="str">
        <f t="shared" si="809"/>
        <v/>
      </c>
      <c r="DW559" s="66" t="str">
        <f>+IF($W559="","",ROUND((DT559*Parámetros!$G$85),2))</f>
        <v/>
      </c>
      <c r="DX559" s="66" t="str">
        <f>+IF($W559="","",ROUND((DT559*(Parámetros!$G$86)),2))</f>
        <v/>
      </c>
      <c r="DY559" s="66" t="str">
        <f t="shared" si="810"/>
        <v/>
      </c>
      <c r="DZ559" t="str">
        <f t="shared" si="811"/>
        <v/>
      </c>
      <c r="EA559" s="118" t="str">
        <f t="shared" si="811"/>
        <v/>
      </c>
      <c r="EB559" s="118" t="str">
        <f>+IF($W559="","",ROUND(IF(Parámetros!$D$25='TABLAS MORT'!$V$33,EB558,Z559/2),0))</f>
        <v/>
      </c>
      <c r="EC559" s="118" t="str">
        <f t="shared" si="811"/>
        <v/>
      </c>
      <c r="ED559" s="122" t="str">
        <f>+IF(OR($W559="",EB559=0),"",ROUND((VLOOKUP(ROUNDDOWN($D559-1/frec,0),cob_adi,DO$40,FALSE)*(1+i/frec)^-0.5*(1+Parámetros!$D$103)*(1+rec_fracc)/frec),6))</f>
        <v/>
      </c>
      <c r="EE559" s="66" t="str">
        <f t="shared" si="812"/>
        <v/>
      </c>
      <c r="EF559" s="68" t="str">
        <f t="shared" si="813"/>
        <v/>
      </c>
      <c r="EG559" s="66" t="str">
        <f>+IF($W559="","",ROUND(IF($B559&gt;Parámetros!$D$107,'Tablas Servicio'!EE559+('Tablas Servicio'!EG558-'Tablas Servicio'!EE558),EE559/(1-IF(B559&lt;=10,Parámetros!$D$100,0))),2))</f>
        <v/>
      </c>
      <c r="EH559" s="66" t="str">
        <f t="shared" si="814"/>
        <v/>
      </c>
      <c r="EI559" s="66" t="str">
        <f t="shared" si="814"/>
        <v/>
      </c>
      <c r="EJ559" s="66" t="str">
        <f>+IF($W559="","",ROUND((EG559*Parámetros!$G$85),2))</f>
        <v/>
      </c>
      <c r="EK559" s="66" t="str">
        <f>+IF($W559="","",ROUND((EG559*(Parámetros!$G$86)),2))</f>
        <v/>
      </c>
      <c r="EL559" s="66" t="str">
        <f t="shared" si="815"/>
        <v/>
      </c>
    </row>
    <row r="560" spans="1:142" x14ac:dyDescent="0.25">
      <c r="A560" t="str">
        <f>+IF($C560="","",ROUND(VLOOKUP('Tablas Servicio'!B560,Parámetros!$H$100:$J$159,IF(Parámetros!$E$16="F",2,3),FALSE),2))</f>
        <v/>
      </c>
      <c r="B560" t="str">
        <f t="shared" si="766"/>
        <v/>
      </c>
      <c r="C560" s="57" t="str">
        <f>+IF(D560="","",'Tablas Servicio'!C559+1)</f>
        <v/>
      </c>
      <c r="D560" s="56" t="str">
        <f>+IF(D559&lt;edadmaxtabla,D559+1/Parámetros!$E$25,"")</f>
        <v/>
      </c>
      <c r="E560" s="57" t="str">
        <f t="shared" si="776"/>
        <v/>
      </c>
      <c r="F560" s="59" t="str">
        <f t="shared" si="777"/>
        <v/>
      </c>
      <c r="G560" s="66" t="str">
        <f t="shared" si="767"/>
        <v/>
      </c>
      <c r="H560" s="66" t="str">
        <f t="shared" si="768"/>
        <v/>
      </c>
      <c r="I560" s="66" t="str">
        <f t="shared" si="728"/>
        <v/>
      </c>
      <c r="J560" s="66" t="str">
        <f t="shared" si="769"/>
        <v/>
      </c>
      <c r="K560" s="66" t="str">
        <f t="shared" si="770"/>
        <v/>
      </c>
      <c r="L560" s="66" t="str">
        <f t="shared" si="771"/>
        <v/>
      </c>
      <c r="M560" s="66" t="str">
        <f t="shared" si="772"/>
        <v/>
      </c>
      <c r="N560" s="66" t="str">
        <f>+IF(C560="","",ROUND(Parámetros!$D$23,2))</f>
        <v/>
      </c>
      <c r="O560" s="66" t="str">
        <f t="shared" si="773"/>
        <v/>
      </c>
      <c r="P560" s="66" t="str">
        <f>+IF($C560="","",ROUND(IF(B560&gt;Parámetros!$D$117,0,N560*Parámetros!$D$116-G560*Parámetros!$D$100),2))</f>
        <v/>
      </c>
      <c r="Q560" s="75" t="str">
        <f t="shared" si="729"/>
        <v/>
      </c>
      <c r="R560" s="75" t="str">
        <f t="shared" si="730"/>
        <v/>
      </c>
      <c r="S560" s="117" t="str">
        <f>+IF($C560="","",ROUND((S559+I560)*(1+Parámetros!$D$91),2))</f>
        <v/>
      </c>
      <c r="T560" s="117" t="str">
        <f>+IF($C560="","",ROUND(S560*VLOOKUP(B560,Parámetros!$C$30:$D$39,2,TRUE),2))</f>
        <v/>
      </c>
      <c r="U560" s="117" t="str">
        <f>+IF($C560="","",ROUND((U559+I560)*(1+Parámetros!$D$92),2))</f>
        <v/>
      </c>
      <c r="V560" s="117" t="str">
        <f>+IF($C560="","",ROUND(U560*VLOOKUP(B560,Parámetros!$C$30:$D$39,2,TRUE),2))</f>
        <v/>
      </c>
      <c r="W560" s="57" t="str">
        <f t="shared" si="731"/>
        <v/>
      </c>
      <c r="X560" t="str">
        <f t="shared" si="732"/>
        <v/>
      </c>
      <c r="Y560" t="str">
        <f t="shared" si="733"/>
        <v/>
      </c>
      <c r="Z560" s="118" t="str">
        <f>+IF($W560="","",ROUND(IF(Parámetros!$D$25='TABLAS MORT'!$V$33,Z559,Parámetros!$D$21-'Tablas Servicio'!T559),0))</f>
        <v/>
      </c>
      <c r="AA560" s="118" t="str">
        <f t="shared" si="734"/>
        <v/>
      </c>
      <c r="AB560" s="119" t="str">
        <f>+IF(W560="","",ROUND((VLOOKUP(ROUNDDOWN($D560-1/frec,0),qx_tabla,2,FALSE)*(1+i/frec)^-0.5*(1+Parámetros!$D$103)*(1+rec_fracc)/frec),6))</f>
        <v/>
      </c>
      <c r="AC560" s="66" t="str">
        <f t="shared" si="778"/>
        <v/>
      </c>
      <c r="AD560" s="119" t="str">
        <f t="shared" si="774"/>
        <v/>
      </c>
      <c r="AE560" s="66" t="str">
        <f>+IF($W560="","",ROUND(IF($B560&gt;Parámetros!$D$107,'Tablas Servicio'!AC560+('Tablas Servicio'!AG559-'Tablas Servicio'!AC559),AC560/(1-IF(B560&lt;=10,Parámetros!$D$104,Parámetros!$D$105))),2))</f>
        <v/>
      </c>
      <c r="AF560" s="66" t="str">
        <f>+IF($W560="","",ROUND(IF($B560&gt;Parámetros!$D$107,'Tablas Servicio'!AC560+('Tablas Servicio'!AG559-'Tablas Servicio'!AC559),(AC560+$A559/frec)/(1-IF(B560&lt;=Parámetros!$D$117,Parámetros!$D$100,0))),2))</f>
        <v/>
      </c>
      <c r="AG560" s="66" t="str">
        <f t="shared" si="779"/>
        <v/>
      </c>
      <c r="AH560" s="66" t="str">
        <f t="shared" si="780"/>
        <v/>
      </c>
      <c r="AI560" s="66" t="str">
        <f t="shared" si="781"/>
        <v/>
      </c>
      <c r="AJ560" s="66" t="str">
        <f>+IF($W560="","",ROUND((AG560*Parámetros!$G$85),2))</f>
        <v/>
      </c>
      <c r="AK560" s="66" t="str">
        <f>+IF($W560="","",ROUND((AG560*(Parámetros!$G$86)),2))</f>
        <v/>
      </c>
      <c r="AL560" s="66" t="str">
        <f t="shared" si="775"/>
        <v/>
      </c>
      <c r="AM560" t="str">
        <f t="shared" si="735"/>
        <v/>
      </c>
      <c r="AN560" t="str">
        <f t="shared" si="736"/>
        <v/>
      </c>
      <c r="AO560" s="118" t="str">
        <f t="shared" si="737"/>
        <v/>
      </c>
      <c r="AP560" s="118" t="str">
        <f t="shared" si="738"/>
        <v/>
      </c>
      <c r="AQ560" s="119" t="str">
        <f>+IF(OR($W560="",AO560=0),"",ROUND((VLOOKUP(ROUNDDOWN($D560-1/frec,0),cob_adi,Z$40,FALSE)*(1+i/frec)^-0.5*(1+Parámetros!$D$103)*(1+rec_fracc)/frec),6))</f>
        <v/>
      </c>
      <c r="AR560" s="66" t="str">
        <f t="shared" si="782"/>
        <v/>
      </c>
      <c r="AS560" s="119" t="str">
        <f t="shared" si="783"/>
        <v/>
      </c>
      <c r="AT560" s="66" t="str">
        <f>+IF($W560="","",ROUND(IF($B560&gt;Parámetros!$D$107,'Tablas Servicio'!AR560+('Tablas Servicio'!AT559-'Tablas Servicio'!AR559),AR560/(1-IF(B560&lt;=10,Parámetros!$D$100,0))),2))</f>
        <v/>
      </c>
      <c r="AU560" s="66" t="str">
        <f t="shared" si="784"/>
        <v/>
      </c>
      <c r="AV560" s="66" t="str">
        <f t="shared" si="784"/>
        <v/>
      </c>
      <c r="AW560" s="66" t="str">
        <f>+IF($W560="","",ROUND((AT560*Parámetros!$G$85),2))</f>
        <v/>
      </c>
      <c r="AX560" s="66" t="str">
        <f>+IF($W560="","",ROUND((AT560*(Parámetros!$G$86)),2))</f>
        <v/>
      </c>
      <c r="AY560" s="66" t="str">
        <f t="shared" si="785"/>
        <v/>
      </c>
      <c r="AZ560" t="str">
        <f t="shared" si="739"/>
        <v/>
      </c>
      <c r="BA560" t="str">
        <f t="shared" si="740"/>
        <v/>
      </c>
      <c r="BB560" s="118" t="str">
        <f t="shared" si="741"/>
        <v/>
      </c>
      <c r="BC560" s="118" t="str">
        <f t="shared" si="742"/>
        <v/>
      </c>
      <c r="BD560" s="119" t="str">
        <f>+IF(OR($W560="",BB560=0),"",ROUND((VLOOKUP(ROUNDDOWN($D560-1/frec,0),cob_adi,AO$40,FALSE)*(1+i/frec)^-0.5*(1+Parámetros!$D$103)*(1+rec_fracc)/frec),6))</f>
        <v/>
      </c>
      <c r="BE560" s="66" t="str">
        <f t="shared" si="786"/>
        <v/>
      </c>
      <c r="BF560" s="119" t="str">
        <f t="shared" si="787"/>
        <v/>
      </c>
      <c r="BG560" s="66" t="str">
        <f>+IF($W560="","",ROUND(IF($B560&gt;Parámetros!$D$107,'Tablas Servicio'!BE560+('Tablas Servicio'!BG559-'Tablas Servicio'!BE559),BE560/(1-IF(B560&lt;=10,Parámetros!$D$100,0))),2))</f>
        <v/>
      </c>
      <c r="BH560" s="66" t="str">
        <f t="shared" si="788"/>
        <v/>
      </c>
      <c r="BI560" s="66" t="str">
        <f t="shared" si="789"/>
        <v/>
      </c>
      <c r="BJ560" s="66" t="str">
        <f>+IF($W560="","",ROUND((BG560*Parámetros!$G$85),2))</f>
        <v/>
      </c>
      <c r="BK560" s="66" t="str">
        <f>+IF($W560="","",ROUND((BG560*(Parámetros!$G$86)),2))</f>
        <v/>
      </c>
      <c r="BL560" s="66" t="str">
        <f t="shared" si="790"/>
        <v/>
      </c>
      <c r="BM560" t="str">
        <f t="shared" si="743"/>
        <v/>
      </c>
      <c r="BN560" t="str">
        <f t="shared" si="744"/>
        <v/>
      </c>
      <c r="BO560" s="118" t="str">
        <f t="shared" si="745"/>
        <v/>
      </c>
      <c r="BP560" s="118" t="str">
        <f t="shared" si="746"/>
        <v/>
      </c>
      <c r="BQ560" s="119" t="str">
        <f>+IF(OR($W560="",BO560=0),"",ROUND((VLOOKUP(ROUNDDOWN($D560-1/frec,0),cob_adi,BB$40,FALSE)*(1+i/frec)^-0.5*(1+Parámetros!$D$103)*(1+rec_fracc)/frec),6))</f>
        <v/>
      </c>
      <c r="BR560" s="66" t="str">
        <f t="shared" si="791"/>
        <v/>
      </c>
      <c r="BS560" s="119" t="str">
        <f t="shared" si="792"/>
        <v/>
      </c>
      <c r="BT560" s="66" t="str">
        <f>+IF($W560="","",ROUND(IF($B560&gt;Parámetros!$D$107,'Tablas Servicio'!BR560+('Tablas Servicio'!BT559-'Tablas Servicio'!BR559),BR560/(1-IF(B560&lt;=10,Parámetros!$D$100,0))),2))</f>
        <v/>
      </c>
      <c r="BU560" s="66" t="str">
        <f t="shared" si="793"/>
        <v/>
      </c>
      <c r="BV560" s="66" t="str">
        <f t="shared" si="793"/>
        <v/>
      </c>
      <c r="BW560" s="66" t="str">
        <f>+IF($W560="","",ROUND((BT560*Parámetros!$G$85),2))</f>
        <v/>
      </c>
      <c r="BX560" s="66" t="str">
        <f>+IF($W560="","",ROUND((BT560*(Parámetros!$G$86)),2))</f>
        <v/>
      </c>
      <c r="BY560" s="66" t="str">
        <f t="shared" si="794"/>
        <v/>
      </c>
      <c r="BZ560" t="str">
        <f t="shared" si="747"/>
        <v/>
      </c>
      <c r="CA560" t="str">
        <f t="shared" si="748"/>
        <v/>
      </c>
      <c r="CB560" s="118" t="str">
        <f t="shared" si="749"/>
        <v/>
      </c>
      <c r="CC560" s="118" t="str">
        <f t="shared" si="750"/>
        <v/>
      </c>
      <c r="CD560" s="119" t="str">
        <f t="shared" si="795"/>
        <v/>
      </c>
      <c r="CE560" s="66" t="str">
        <f>+IF($W560="","",ROUND((VLOOKUP(ROUNDDOWN($D560-1/frec,0),cob_adi,BO$40,FALSE)*(1+i/frec)^-0.5*(1+Parámetros!$D$103)*(1+rec_fracc)/frec*'TABLAS ADI'!$BC$17),2))</f>
        <v/>
      </c>
      <c r="CF560" s="119" t="str">
        <f t="shared" si="796"/>
        <v/>
      </c>
      <c r="CG560" s="66" t="str">
        <f>+IF($W560="","",ROUND(IF($B560&gt;Parámetros!$D$107,'Tablas Servicio'!CE560+('Tablas Servicio'!CG559-'Tablas Servicio'!CE559),CE560/(1-IF(B560&lt;=10,Parámetros!$D$100,0))),2))</f>
        <v/>
      </c>
      <c r="CH560" s="66" t="str">
        <f t="shared" si="797"/>
        <v/>
      </c>
      <c r="CI560" s="66" t="str">
        <f t="shared" si="797"/>
        <v/>
      </c>
      <c r="CJ560" s="66" t="str">
        <f>+IF($W560="","",ROUND((CG560*Parámetros!$G$85),2))</f>
        <v/>
      </c>
      <c r="CK560" s="66" t="str">
        <f>+IF($W560="","",ROUND((CG560*(Parámetros!$G$86)),2))</f>
        <v/>
      </c>
      <c r="CL560" s="66" t="str">
        <f t="shared" si="798"/>
        <v/>
      </c>
      <c r="CM560" t="str">
        <f t="shared" si="751"/>
        <v/>
      </c>
      <c r="CN560" s="118" t="str">
        <f t="shared" si="752"/>
        <v/>
      </c>
      <c r="CO560" s="118" t="str">
        <f t="shared" si="753"/>
        <v/>
      </c>
      <c r="CP560" s="118" t="str">
        <f t="shared" si="754"/>
        <v/>
      </c>
      <c r="CQ560" s="119" t="str">
        <f t="shared" si="799"/>
        <v/>
      </c>
      <c r="CR560" s="66" t="str">
        <f>+IF($W560="","",ROUND((VLOOKUP(Parámetros!$F$51,'COBERTURAS ADICIONALES'!$S$4:$T$32,2,FALSE)*(1+i/frec)^-0.5*(1+Parámetros!$D$103)*(1+rec_fracc)/frec*$CO$42),2))</f>
        <v/>
      </c>
      <c r="CS560" s="119" t="str">
        <f t="shared" si="800"/>
        <v/>
      </c>
      <c r="CT560" s="66" t="str">
        <f>+IF($W560="","",ROUND(IF($B560&gt;Parámetros!$D$107,'Tablas Servicio'!CR560+('Tablas Servicio'!CT559-'Tablas Servicio'!CR559),CR560/(1-IF(B560&lt;=10,Parámetros!$D$100,0))),2))</f>
        <v/>
      </c>
      <c r="CU560" s="66" t="str">
        <f t="shared" si="801"/>
        <v/>
      </c>
      <c r="CV560" s="66" t="str">
        <f t="shared" si="801"/>
        <v/>
      </c>
      <c r="CW560" s="66" t="str">
        <f>+IF($W560="","",ROUND((CT560*Parámetros!$G$85),2))</f>
        <v/>
      </c>
      <c r="CX560" s="66" t="str">
        <f>+IF($W560="","",ROUND((CT560*(Parámetros!$G$86)),2))</f>
        <v/>
      </c>
      <c r="CY560" s="66" t="str">
        <f t="shared" si="802"/>
        <v/>
      </c>
      <c r="CZ560" t="str">
        <f t="shared" si="755"/>
        <v/>
      </c>
      <c r="DA560" s="118" t="str">
        <f t="shared" si="756"/>
        <v/>
      </c>
      <c r="DB560" s="118" t="str">
        <f t="shared" si="757"/>
        <v/>
      </c>
      <c r="DC560" s="118" t="str">
        <f t="shared" si="758"/>
        <v/>
      </c>
      <c r="DD560" s="121" t="str">
        <f>+IF(OR($W560="",DB560=0),"",ROUND((VLOOKUP(ROUNDDOWN($D560-1/frec,0),cob_adi,CO$40,FALSE)*(1+i/frec)^-0.5*(1+Parámetros!$D$103)*(1+rec_fracc)/frec),6))</f>
        <v/>
      </c>
      <c r="DE560" s="66" t="str">
        <f t="shared" si="803"/>
        <v/>
      </c>
      <c r="DF560" s="119" t="str">
        <f t="shared" si="804"/>
        <v/>
      </c>
      <c r="DG560" s="66" t="str">
        <f>+IF($W560="","",ROUND(IF($B560&gt;Parámetros!$D$107,'Tablas Servicio'!DE560+('Tablas Servicio'!DG559-'Tablas Servicio'!DE559),DE560/(1-IF(B560&lt;=10,Parámetros!$D$100,0))),2))</f>
        <v/>
      </c>
      <c r="DH560" s="66" t="str">
        <f t="shared" si="805"/>
        <v/>
      </c>
      <c r="DI560" s="66" t="str">
        <f t="shared" si="805"/>
        <v/>
      </c>
      <c r="DJ560" s="66" t="str">
        <f>+IF($W560="","",ROUND((DG560*Parámetros!$G$85),2))</f>
        <v/>
      </c>
      <c r="DK560" s="66" t="str">
        <f>+IF($W560="","",ROUND((DG560*(Parámetros!$G$86)),2))</f>
        <v/>
      </c>
      <c r="DL560" s="66" t="str">
        <f t="shared" si="806"/>
        <v/>
      </c>
      <c r="DM560" t="str">
        <f t="shared" si="759"/>
        <v/>
      </c>
      <c r="DN560" s="118" t="str">
        <f t="shared" si="760"/>
        <v/>
      </c>
      <c r="DO560" s="118" t="str">
        <f t="shared" si="761"/>
        <v/>
      </c>
      <c r="DP560" s="118" t="str">
        <f t="shared" si="762"/>
        <v/>
      </c>
      <c r="DQ560" s="122" t="str">
        <f>+IF(OR($W560="",DO560=0),"",ROUND((VLOOKUP(ROUNDDOWN($D560-1/frec,0),cob_adi,DB$40,FALSE)*(1+i/frec)^-0.5*(1+Parámetros!$D$103)*(1+rec_fracc)/frec),6))</f>
        <v/>
      </c>
      <c r="DR560" s="66" t="str">
        <f t="shared" si="807"/>
        <v/>
      </c>
      <c r="DS560" s="68" t="str">
        <f t="shared" si="808"/>
        <v/>
      </c>
      <c r="DT560" s="66" t="str">
        <f>+IF($W560="","",ROUND(IF($B560&gt;Parámetros!$D$107,'Tablas Servicio'!DR560+('Tablas Servicio'!DT559-'Tablas Servicio'!DR559),DR560/(1-IF(B560&lt;=10,Parámetros!$D$100,0))),2))</f>
        <v/>
      </c>
      <c r="DU560" s="66" t="str">
        <f t="shared" si="809"/>
        <v/>
      </c>
      <c r="DV560" s="66" t="str">
        <f t="shared" si="809"/>
        <v/>
      </c>
      <c r="DW560" s="66" t="str">
        <f>+IF($W560="","",ROUND((DT560*Parámetros!$G$85),2))</f>
        <v/>
      </c>
      <c r="DX560" s="66" t="str">
        <f>+IF($W560="","",ROUND((DT560*(Parámetros!$G$86)),2))</f>
        <v/>
      </c>
      <c r="DY560" s="66" t="str">
        <f t="shared" si="810"/>
        <v/>
      </c>
      <c r="DZ560" t="str">
        <f t="shared" si="811"/>
        <v/>
      </c>
      <c r="EA560" s="118" t="str">
        <f t="shared" si="811"/>
        <v/>
      </c>
      <c r="EB560" s="118" t="str">
        <f>+IF($W560="","",ROUND(IF(Parámetros!$D$25='TABLAS MORT'!$V$33,EB559,Z560/2),0))</f>
        <v/>
      </c>
      <c r="EC560" s="118" t="str">
        <f t="shared" si="811"/>
        <v/>
      </c>
      <c r="ED560" s="122" t="str">
        <f>+IF(OR($W560="",EB560=0),"",ROUND((VLOOKUP(ROUNDDOWN($D560-1/frec,0),cob_adi,DO$40,FALSE)*(1+i/frec)^-0.5*(1+Parámetros!$D$103)*(1+rec_fracc)/frec),6))</f>
        <v/>
      </c>
      <c r="EE560" s="66" t="str">
        <f t="shared" si="812"/>
        <v/>
      </c>
      <c r="EF560" s="68" t="str">
        <f t="shared" si="813"/>
        <v/>
      </c>
      <c r="EG560" s="66" t="str">
        <f>+IF($W560="","",ROUND(IF($B560&gt;Parámetros!$D$107,'Tablas Servicio'!EE560+('Tablas Servicio'!EG559-'Tablas Servicio'!EE559),EE560/(1-IF(B560&lt;=10,Parámetros!$D$100,0))),2))</f>
        <v/>
      </c>
      <c r="EH560" s="66" t="str">
        <f t="shared" si="814"/>
        <v/>
      </c>
      <c r="EI560" s="66" t="str">
        <f t="shared" si="814"/>
        <v/>
      </c>
      <c r="EJ560" s="66" t="str">
        <f>+IF($W560="","",ROUND((EG560*Parámetros!$G$85),2))</f>
        <v/>
      </c>
      <c r="EK560" s="66" t="str">
        <f>+IF($W560="","",ROUND((EG560*(Parámetros!$G$86)),2))</f>
        <v/>
      </c>
      <c r="EL560" s="66" t="str">
        <f t="shared" si="815"/>
        <v/>
      </c>
    </row>
    <row r="561" spans="1:142" x14ac:dyDescent="0.25">
      <c r="A561" t="str">
        <f>+IF($C561="","",ROUND(VLOOKUP('Tablas Servicio'!B561,Parámetros!$H$100:$J$159,IF(Parámetros!$E$16="F",2,3),FALSE),2))</f>
        <v/>
      </c>
      <c r="B561" t="str">
        <f t="shared" si="766"/>
        <v/>
      </c>
      <c r="C561" s="57" t="str">
        <f>+IF(D561="","",'Tablas Servicio'!C560+1)</f>
        <v/>
      </c>
      <c r="D561" s="56" t="str">
        <f>+IF(D560&lt;edadmaxtabla,D560+1/Parámetros!$E$25,"")</f>
        <v/>
      </c>
      <c r="E561" s="57" t="str">
        <f t="shared" si="776"/>
        <v/>
      </c>
      <c r="F561" s="59" t="str">
        <f t="shared" si="777"/>
        <v/>
      </c>
      <c r="G561" s="66" t="str">
        <f t="shared" si="767"/>
        <v/>
      </c>
      <c r="H561" s="66" t="str">
        <f t="shared" si="768"/>
        <v/>
      </c>
      <c r="I561" s="66" t="str">
        <f t="shared" si="728"/>
        <v/>
      </c>
      <c r="J561" s="66" t="str">
        <f t="shared" si="769"/>
        <v/>
      </c>
      <c r="K561" s="66" t="str">
        <f t="shared" si="770"/>
        <v/>
      </c>
      <c r="L561" s="66" t="str">
        <f t="shared" si="771"/>
        <v/>
      </c>
      <c r="M561" s="66" t="str">
        <f t="shared" si="772"/>
        <v/>
      </c>
      <c r="N561" s="66" t="str">
        <f>+IF(C561="","",ROUND(Parámetros!$D$23,2))</f>
        <v/>
      </c>
      <c r="O561" s="66" t="str">
        <f t="shared" si="773"/>
        <v/>
      </c>
      <c r="P561" s="66" t="str">
        <f>+IF($C561="","",ROUND(IF(B561&gt;Parámetros!$D$117,0,N561*Parámetros!$D$116-G561*Parámetros!$D$100),2))</f>
        <v/>
      </c>
      <c r="Q561" s="75" t="str">
        <f t="shared" si="729"/>
        <v/>
      </c>
      <c r="R561" s="75" t="str">
        <f t="shared" si="730"/>
        <v/>
      </c>
      <c r="S561" s="117" t="str">
        <f>+IF($C561="","",ROUND((S560+I561)*(1+Parámetros!$D$91),2))</f>
        <v/>
      </c>
      <c r="T561" s="117" t="str">
        <f>+IF($C561="","",ROUND(S561*VLOOKUP(B561,Parámetros!$C$30:$D$39,2,TRUE),2))</f>
        <v/>
      </c>
      <c r="U561" s="117" t="str">
        <f>+IF($C561="","",ROUND((U560+I561)*(1+Parámetros!$D$92),2))</f>
        <v/>
      </c>
      <c r="V561" s="117" t="str">
        <f>+IF($C561="","",ROUND(U561*VLOOKUP(B561,Parámetros!$C$30:$D$39,2,TRUE),2))</f>
        <v/>
      </c>
      <c r="W561" s="57" t="str">
        <f t="shared" si="731"/>
        <v/>
      </c>
      <c r="X561" t="str">
        <f t="shared" si="732"/>
        <v/>
      </c>
      <c r="Y561" t="str">
        <f t="shared" si="733"/>
        <v/>
      </c>
      <c r="Z561" s="118" t="str">
        <f>+IF($W561="","",ROUND(IF(Parámetros!$D$25='TABLAS MORT'!$V$33,Z560,Parámetros!$D$21-'Tablas Servicio'!T560),0))</f>
        <v/>
      </c>
      <c r="AA561" s="118" t="str">
        <f t="shared" si="734"/>
        <v/>
      </c>
      <c r="AB561" s="119" t="str">
        <f>+IF(W561="","",ROUND((VLOOKUP(ROUNDDOWN($D561-1/frec,0),qx_tabla,2,FALSE)*(1+i/frec)^-0.5*(1+Parámetros!$D$103)*(1+rec_fracc)/frec),6))</f>
        <v/>
      </c>
      <c r="AC561" s="66" t="str">
        <f t="shared" si="778"/>
        <v/>
      </c>
      <c r="AD561" s="119" t="str">
        <f t="shared" si="774"/>
        <v/>
      </c>
      <c r="AE561" s="66" t="str">
        <f>+IF($W561="","",ROUND(IF($B561&gt;Parámetros!$D$107,'Tablas Servicio'!AC561+('Tablas Servicio'!AG560-'Tablas Servicio'!AC560),AC561/(1-IF(B561&lt;=10,Parámetros!$D$104,Parámetros!$D$105))),2))</f>
        <v/>
      </c>
      <c r="AF561" s="66" t="str">
        <f>+IF($W561="","",ROUND(IF($B561&gt;Parámetros!$D$107,'Tablas Servicio'!AC561+('Tablas Servicio'!AG560-'Tablas Servicio'!AC560),(AC561+$A560/frec)/(1-IF(B561&lt;=Parámetros!$D$117,Parámetros!$D$100,0))),2))</f>
        <v/>
      </c>
      <c r="AG561" s="66" t="str">
        <f t="shared" si="779"/>
        <v/>
      </c>
      <c r="AH561" s="66" t="str">
        <f t="shared" si="780"/>
        <v/>
      </c>
      <c r="AI561" s="66" t="str">
        <f t="shared" si="781"/>
        <v/>
      </c>
      <c r="AJ561" s="66" t="str">
        <f>+IF($W561="","",ROUND((AG561*Parámetros!$G$85),2))</f>
        <v/>
      </c>
      <c r="AK561" s="66" t="str">
        <f>+IF($W561="","",ROUND((AG561*(Parámetros!$G$86)),2))</f>
        <v/>
      </c>
      <c r="AL561" s="66" t="str">
        <f t="shared" si="775"/>
        <v/>
      </c>
      <c r="AM561" t="str">
        <f t="shared" si="735"/>
        <v/>
      </c>
      <c r="AN561" t="str">
        <f t="shared" si="736"/>
        <v/>
      </c>
      <c r="AO561" s="118" t="str">
        <f t="shared" si="737"/>
        <v/>
      </c>
      <c r="AP561" s="118" t="str">
        <f t="shared" si="738"/>
        <v/>
      </c>
      <c r="AQ561" s="119" t="str">
        <f>+IF(OR($W561="",AO561=0),"",ROUND((VLOOKUP(ROUNDDOWN($D561-1/frec,0),cob_adi,Z$40,FALSE)*(1+i/frec)^-0.5*(1+Parámetros!$D$103)*(1+rec_fracc)/frec),6))</f>
        <v/>
      </c>
      <c r="AR561" s="66" t="str">
        <f t="shared" si="782"/>
        <v/>
      </c>
      <c r="AS561" s="119" t="str">
        <f t="shared" si="783"/>
        <v/>
      </c>
      <c r="AT561" s="66" t="str">
        <f>+IF($W561="","",ROUND(IF($B561&gt;Parámetros!$D$107,'Tablas Servicio'!AR561+('Tablas Servicio'!AT560-'Tablas Servicio'!AR560),AR561/(1-IF(B561&lt;=10,Parámetros!$D$100,0))),2))</f>
        <v/>
      </c>
      <c r="AU561" s="66" t="str">
        <f t="shared" si="784"/>
        <v/>
      </c>
      <c r="AV561" s="66" t="str">
        <f t="shared" si="784"/>
        <v/>
      </c>
      <c r="AW561" s="66" t="str">
        <f>+IF($W561="","",ROUND((AT561*Parámetros!$G$85),2))</f>
        <v/>
      </c>
      <c r="AX561" s="66" t="str">
        <f>+IF($W561="","",ROUND((AT561*(Parámetros!$G$86)),2))</f>
        <v/>
      </c>
      <c r="AY561" s="66" t="str">
        <f t="shared" si="785"/>
        <v/>
      </c>
      <c r="AZ561" t="str">
        <f t="shared" si="739"/>
        <v/>
      </c>
      <c r="BA561" t="str">
        <f t="shared" si="740"/>
        <v/>
      </c>
      <c r="BB561" s="118" t="str">
        <f t="shared" si="741"/>
        <v/>
      </c>
      <c r="BC561" s="118" t="str">
        <f t="shared" si="742"/>
        <v/>
      </c>
      <c r="BD561" s="119" t="str">
        <f>+IF(OR($W561="",BB561=0),"",ROUND((VLOOKUP(ROUNDDOWN($D561-1/frec,0),cob_adi,AO$40,FALSE)*(1+i/frec)^-0.5*(1+Parámetros!$D$103)*(1+rec_fracc)/frec),6))</f>
        <v/>
      </c>
      <c r="BE561" s="66" t="str">
        <f t="shared" si="786"/>
        <v/>
      </c>
      <c r="BF561" s="119" t="str">
        <f t="shared" si="787"/>
        <v/>
      </c>
      <c r="BG561" s="66" t="str">
        <f>+IF($W561="","",ROUND(IF($B561&gt;Parámetros!$D$107,'Tablas Servicio'!BE561+('Tablas Servicio'!BG560-'Tablas Servicio'!BE560),BE561/(1-IF(B561&lt;=10,Parámetros!$D$100,0))),2))</f>
        <v/>
      </c>
      <c r="BH561" s="66" t="str">
        <f t="shared" si="788"/>
        <v/>
      </c>
      <c r="BI561" s="66" t="str">
        <f t="shared" si="789"/>
        <v/>
      </c>
      <c r="BJ561" s="66" t="str">
        <f>+IF($W561="","",ROUND((BG561*Parámetros!$G$85),2))</f>
        <v/>
      </c>
      <c r="BK561" s="66" t="str">
        <f>+IF($W561="","",ROUND((BG561*(Parámetros!$G$86)),2))</f>
        <v/>
      </c>
      <c r="BL561" s="66" t="str">
        <f t="shared" si="790"/>
        <v/>
      </c>
      <c r="BM561" t="str">
        <f t="shared" si="743"/>
        <v/>
      </c>
      <c r="BN561" t="str">
        <f t="shared" si="744"/>
        <v/>
      </c>
      <c r="BO561" s="118" t="str">
        <f t="shared" si="745"/>
        <v/>
      </c>
      <c r="BP561" s="118" t="str">
        <f t="shared" si="746"/>
        <v/>
      </c>
      <c r="BQ561" s="119" t="str">
        <f>+IF(OR($W561="",BO561=0),"",ROUND((VLOOKUP(ROUNDDOWN($D561-1/frec,0),cob_adi,BB$40,FALSE)*(1+i/frec)^-0.5*(1+Parámetros!$D$103)*(1+rec_fracc)/frec),6))</f>
        <v/>
      </c>
      <c r="BR561" s="66" t="str">
        <f t="shared" si="791"/>
        <v/>
      </c>
      <c r="BS561" s="119" t="str">
        <f t="shared" si="792"/>
        <v/>
      </c>
      <c r="BT561" s="66" t="str">
        <f>+IF($W561="","",ROUND(IF($B561&gt;Parámetros!$D$107,'Tablas Servicio'!BR561+('Tablas Servicio'!BT560-'Tablas Servicio'!BR560),BR561/(1-IF(B561&lt;=10,Parámetros!$D$100,0))),2))</f>
        <v/>
      </c>
      <c r="BU561" s="66" t="str">
        <f t="shared" si="793"/>
        <v/>
      </c>
      <c r="BV561" s="66" t="str">
        <f t="shared" si="793"/>
        <v/>
      </c>
      <c r="BW561" s="66" t="str">
        <f>+IF($W561="","",ROUND((BT561*Parámetros!$G$85),2))</f>
        <v/>
      </c>
      <c r="BX561" s="66" t="str">
        <f>+IF($W561="","",ROUND((BT561*(Parámetros!$G$86)),2))</f>
        <v/>
      </c>
      <c r="BY561" s="66" t="str">
        <f t="shared" si="794"/>
        <v/>
      </c>
      <c r="BZ561" t="str">
        <f t="shared" si="747"/>
        <v/>
      </c>
      <c r="CA561" t="str">
        <f t="shared" si="748"/>
        <v/>
      </c>
      <c r="CB561" s="118" t="str">
        <f t="shared" si="749"/>
        <v/>
      </c>
      <c r="CC561" s="118" t="str">
        <f t="shared" si="750"/>
        <v/>
      </c>
      <c r="CD561" s="119" t="str">
        <f t="shared" si="795"/>
        <v/>
      </c>
      <c r="CE561" s="66" t="str">
        <f>+IF($W561="","",ROUND((VLOOKUP(ROUNDDOWN($D561-1/frec,0),cob_adi,BO$40,FALSE)*(1+i/frec)^-0.5*(1+Parámetros!$D$103)*(1+rec_fracc)/frec*'TABLAS ADI'!$BC$17),2))</f>
        <v/>
      </c>
      <c r="CF561" s="119" t="str">
        <f t="shared" si="796"/>
        <v/>
      </c>
      <c r="CG561" s="66" t="str">
        <f>+IF($W561="","",ROUND(IF($B561&gt;Parámetros!$D$107,'Tablas Servicio'!CE561+('Tablas Servicio'!CG560-'Tablas Servicio'!CE560),CE561/(1-IF(B561&lt;=10,Parámetros!$D$100,0))),2))</f>
        <v/>
      </c>
      <c r="CH561" s="66" t="str">
        <f t="shared" si="797"/>
        <v/>
      </c>
      <c r="CI561" s="66" t="str">
        <f t="shared" si="797"/>
        <v/>
      </c>
      <c r="CJ561" s="66" t="str">
        <f>+IF($W561="","",ROUND((CG561*Parámetros!$G$85),2))</f>
        <v/>
      </c>
      <c r="CK561" s="66" t="str">
        <f>+IF($W561="","",ROUND((CG561*(Parámetros!$G$86)),2))</f>
        <v/>
      </c>
      <c r="CL561" s="66" t="str">
        <f t="shared" si="798"/>
        <v/>
      </c>
      <c r="CM561" t="str">
        <f t="shared" si="751"/>
        <v/>
      </c>
      <c r="CN561" s="118" t="str">
        <f t="shared" si="752"/>
        <v/>
      </c>
      <c r="CO561" s="118" t="str">
        <f t="shared" si="753"/>
        <v/>
      </c>
      <c r="CP561" s="118" t="str">
        <f t="shared" si="754"/>
        <v/>
      </c>
      <c r="CQ561" s="119" t="str">
        <f t="shared" si="799"/>
        <v/>
      </c>
      <c r="CR561" s="66" t="str">
        <f>+IF($W561="","",ROUND((VLOOKUP(Parámetros!$F$51,'COBERTURAS ADICIONALES'!$S$4:$T$32,2,FALSE)*(1+i/frec)^-0.5*(1+Parámetros!$D$103)*(1+rec_fracc)/frec*$CO$42),2))</f>
        <v/>
      </c>
      <c r="CS561" s="119" t="str">
        <f t="shared" si="800"/>
        <v/>
      </c>
      <c r="CT561" s="66" t="str">
        <f>+IF($W561="","",ROUND(IF($B561&gt;Parámetros!$D$107,'Tablas Servicio'!CR561+('Tablas Servicio'!CT560-'Tablas Servicio'!CR560),CR561/(1-IF(B561&lt;=10,Parámetros!$D$100,0))),2))</f>
        <v/>
      </c>
      <c r="CU561" s="66" t="str">
        <f t="shared" si="801"/>
        <v/>
      </c>
      <c r="CV561" s="66" t="str">
        <f t="shared" si="801"/>
        <v/>
      </c>
      <c r="CW561" s="66" t="str">
        <f>+IF($W561="","",ROUND((CT561*Parámetros!$G$85),2))</f>
        <v/>
      </c>
      <c r="CX561" s="66" t="str">
        <f>+IF($W561="","",ROUND((CT561*(Parámetros!$G$86)),2))</f>
        <v/>
      </c>
      <c r="CY561" s="66" t="str">
        <f t="shared" si="802"/>
        <v/>
      </c>
      <c r="CZ561" t="str">
        <f t="shared" si="755"/>
        <v/>
      </c>
      <c r="DA561" s="118" t="str">
        <f t="shared" si="756"/>
        <v/>
      </c>
      <c r="DB561" s="118" t="str">
        <f t="shared" si="757"/>
        <v/>
      </c>
      <c r="DC561" s="118" t="str">
        <f t="shared" si="758"/>
        <v/>
      </c>
      <c r="DD561" s="121" t="str">
        <f>+IF(OR($W561="",DB561=0),"",ROUND((VLOOKUP(ROUNDDOWN($D561-1/frec,0),cob_adi,CO$40,FALSE)*(1+i/frec)^-0.5*(1+Parámetros!$D$103)*(1+rec_fracc)/frec),6))</f>
        <v/>
      </c>
      <c r="DE561" s="66" t="str">
        <f t="shared" si="803"/>
        <v/>
      </c>
      <c r="DF561" s="119" t="str">
        <f t="shared" si="804"/>
        <v/>
      </c>
      <c r="DG561" s="66" t="str">
        <f>+IF($W561="","",ROUND(IF($B561&gt;Parámetros!$D$107,'Tablas Servicio'!DE561+('Tablas Servicio'!DG560-'Tablas Servicio'!DE560),DE561/(1-IF(B561&lt;=10,Parámetros!$D$100,0))),2))</f>
        <v/>
      </c>
      <c r="DH561" s="66" t="str">
        <f t="shared" si="805"/>
        <v/>
      </c>
      <c r="DI561" s="66" t="str">
        <f t="shared" si="805"/>
        <v/>
      </c>
      <c r="DJ561" s="66" t="str">
        <f>+IF($W561="","",ROUND((DG561*Parámetros!$G$85),2))</f>
        <v/>
      </c>
      <c r="DK561" s="66" t="str">
        <f>+IF($W561="","",ROUND((DG561*(Parámetros!$G$86)),2))</f>
        <v/>
      </c>
      <c r="DL561" s="66" t="str">
        <f t="shared" si="806"/>
        <v/>
      </c>
      <c r="DM561" t="str">
        <f t="shared" si="759"/>
        <v/>
      </c>
      <c r="DN561" s="118" t="str">
        <f t="shared" si="760"/>
        <v/>
      </c>
      <c r="DO561" s="118" t="str">
        <f t="shared" si="761"/>
        <v/>
      </c>
      <c r="DP561" s="118" t="str">
        <f t="shared" si="762"/>
        <v/>
      </c>
      <c r="DQ561" s="122" t="str">
        <f>+IF(OR($W561="",DO561=0),"",ROUND((VLOOKUP(ROUNDDOWN($D561-1/frec,0),cob_adi,DB$40,FALSE)*(1+i/frec)^-0.5*(1+Parámetros!$D$103)*(1+rec_fracc)/frec),6))</f>
        <v/>
      </c>
      <c r="DR561" s="66" t="str">
        <f t="shared" si="807"/>
        <v/>
      </c>
      <c r="DS561" s="68" t="str">
        <f t="shared" si="808"/>
        <v/>
      </c>
      <c r="DT561" s="66" t="str">
        <f>+IF($W561="","",ROUND(IF($B561&gt;Parámetros!$D$107,'Tablas Servicio'!DR561+('Tablas Servicio'!DT560-'Tablas Servicio'!DR560),DR561/(1-IF(B561&lt;=10,Parámetros!$D$100,0))),2))</f>
        <v/>
      </c>
      <c r="DU561" s="66" t="str">
        <f t="shared" si="809"/>
        <v/>
      </c>
      <c r="DV561" s="66" t="str">
        <f t="shared" si="809"/>
        <v/>
      </c>
      <c r="DW561" s="66" t="str">
        <f>+IF($W561="","",ROUND((DT561*Parámetros!$G$85),2))</f>
        <v/>
      </c>
      <c r="DX561" s="66" t="str">
        <f>+IF($W561="","",ROUND((DT561*(Parámetros!$G$86)),2))</f>
        <v/>
      </c>
      <c r="DY561" s="66" t="str">
        <f t="shared" si="810"/>
        <v/>
      </c>
      <c r="DZ561" t="str">
        <f t="shared" si="811"/>
        <v/>
      </c>
      <c r="EA561" s="118" t="str">
        <f t="shared" si="811"/>
        <v/>
      </c>
      <c r="EB561" s="118" t="str">
        <f>+IF($W561="","",ROUND(IF(Parámetros!$D$25='TABLAS MORT'!$V$33,EB560,Z561/2),0))</f>
        <v/>
      </c>
      <c r="EC561" s="118" t="str">
        <f t="shared" si="811"/>
        <v/>
      </c>
      <c r="ED561" s="122" t="str">
        <f>+IF(OR($W561="",EB561=0),"",ROUND((VLOOKUP(ROUNDDOWN($D561-1/frec,0),cob_adi,DO$40,FALSE)*(1+i/frec)^-0.5*(1+Parámetros!$D$103)*(1+rec_fracc)/frec),6))</f>
        <v/>
      </c>
      <c r="EE561" s="66" t="str">
        <f t="shared" si="812"/>
        <v/>
      </c>
      <c r="EF561" s="68" t="str">
        <f t="shared" si="813"/>
        <v/>
      </c>
      <c r="EG561" s="66" t="str">
        <f>+IF($W561="","",ROUND(IF($B561&gt;Parámetros!$D$107,'Tablas Servicio'!EE561+('Tablas Servicio'!EG560-'Tablas Servicio'!EE560),EE561/(1-IF(B561&lt;=10,Parámetros!$D$100,0))),2))</f>
        <v/>
      </c>
      <c r="EH561" s="66" t="str">
        <f t="shared" si="814"/>
        <v/>
      </c>
      <c r="EI561" s="66" t="str">
        <f t="shared" si="814"/>
        <v/>
      </c>
      <c r="EJ561" s="66" t="str">
        <f>+IF($W561="","",ROUND((EG561*Parámetros!$G$85),2))</f>
        <v/>
      </c>
      <c r="EK561" s="66" t="str">
        <f>+IF($W561="","",ROUND((EG561*(Parámetros!$G$86)),2))</f>
        <v/>
      </c>
      <c r="EL561" s="66" t="str">
        <f t="shared" si="815"/>
        <v/>
      </c>
    </row>
    <row r="562" spans="1:142" x14ac:dyDescent="0.25">
      <c r="A562" t="str">
        <f>+IF($C562="","",ROUND(VLOOKUP('Tablas Servicio'!B562,Parámetros!$H$100:$J$159,IF(Parámetros!$E$16="F",2,3),FALSE),2))</f>
        <v/>
      </c>
      <c r="B562" t="str">
        <f t="shared" si="766"/>
        <v/>
      </c>
      <c r="C562" s="57" t="str">
        <f>+IF(D562="","",'Tablas Servicio'!C561+1)</f>
        <v/>
      </c>
      <c r="D562" s="56" t="str">
        <f>+IF(D561&lt;edadmaxtabla,D561+1/Parámetros!$E$25,"")</f>
        <v/>
      </c>
      <c r="E562" s="57" t="str">
        <f t="shared" si="776"/>
        <v/>
      </c>
      <c r="F562" s="59" t="str">
        <f t="shared" si="777"/>
        <v/>
      </c>
      <c r="G562" s="66" t="str">
        <f t="shared" si="767"/>
        <v/>
      </c>
      <c r="H562" s="66" t="str">
        <f t="shared" si="768"/>
        <v/>
      </c>
      <c r="I562" s="66" t="str">
        <f t="shared" si="728"/>
        <v/>
      </c>
      <c r="J562" s="66" t="str">
        <f t="shared" si="769"/>
        <v/>
      </c>
      <c r="K562" s="66" t="str">
        <f t="shared" si="770"/>
        <v/>
      </c>
      <c r="L562" s="66" t="str">
        <f t="shared" si="771"/>
        <v/>
      </c>
      <c r="M562" s="66" t="str">
        <f t="shared" si="772"/>
        <v/>
      </c>
      <c r="N562" s="66" t="str">
        <f>+IF(C562="","",ROUND(Parámetros!$D$23,2))</f>
        <v/>
      </c>
      <c r="O562" s="66" t="str">
        <f t="shared" si="773"/>
        <v/>
      </c>
      <c r="P562" s="66" t="str">
        <f>+IF($C562="","",ROUND(IF(B562&gt;Parámetros!$D$117,0,N562*Parámetros!$D$116-G562*Parámetros!$D$100),2))</f>
        <v/>
      </c>
      <c r="Q562" s="75" t="str">
        <f t="shared" si="729"/>
        <v/>
      </c>
      <c r="R562" s="75" t="str">
        <f t="shared" si="730"/>
        <v/>
      </c>
      <c r="S562" s="117" t="str">
        <f>+IF($C562="","",ROUND((S561+I562)*(1+Parámetros!$D$91),2))</f>
        <v/>
      </c>
      <c r="T562" s="117" t="str">
        <f>+IF($C562="","",ROUND(S562*VLOOKUP(B562,Parámetros!$C$30:$D$39,2,TRUE),2))</f>
        <v/>
      </c>
      <c r="U562" s="117" t="str">
        <f>+IF($C562="","",ROUND((U561+I562)*(1+Parámetros!$D$92),2))</f>
        <v/>
      </c>
      <c r="V562" s="117" t="str">
        <f>+IF($C562="","",ROUND(U562*VLOOKUP(B562,Parámetros!$C$30:$D$39,2,TRUE),2))</f>
        <v/>
      </c>
      <c r="W562" s="57" t="str">
        <f t="shared" si="731"/>
        <v/>
      </c>
      <c r="X562" t="str">
        <f t="shared" si="732"/>
        <v/>
      </c>
      <c r="Y562" t="str">
        <f t="shared" si="733"/>
        <v/>
      </c>
      <c r="Z562" s="118" t="str">
        <f>+IF($W562="","",ROUND(IF(Parámetros!$D$25='TABLAS MORT'!$V$33,Z561,Parámetros!$D$21-'Tablas Servicio'!T561),0))</f>
        <v/>
      </c>
      <c r="AA562" s="118" t="str">
        <f t="shared" si="734"/>
        <v/>
      </c>
      <c r="AB562" s="119" t="str">
        <f>+IF(W562="","",ROUND((VLOOKUP(ROUNDDOWN($D562-1/frec,0),qx_tabla,2,FALSE)*(1+i/frec)^-0.5*(1+Parámetros!$D$103)*(1+rec_fracc)/frec),6))</f>
        <v/>
      </c>
      <c r="AC562" s="66" t="str">
        <f t="shared" si="778"/>
        <v/>
      </c>
      <c r="AD562" s="119" t="str">
        <f t="shared" si="774"/>
        <v/>
      </c>
      <c r="AE562" s="66" t="str">
        <f>+IF($W562="","",ROUND(IF($B562&gt;Parámetros!$D$107,'Tablas Servicio'!AC562+('Tablas Servicio'!AG561-'Tablas Servicio'!AC561),AC562/(1-IF(B562&lt;=10,Parámetros!$D$104,Parámetros!$D$105))),2))</f>
        <v/>
      </c>
      <c r="AF562" s="66" t="str">
        <f>+IF($W562="","",ROUND(IF($B562&gt;Parámetros!$D$107,'Tablas Servicio'!AC562+('Tablas Servicio'!AG561-'Tablas Servicio'!AC561),(AC562+$A561/frec)/(1-IF(B562&lt;=Parámetros!$D$117,Parámetros!$D$100,0))),2))</f>
        <v/>
      </c>
      <c r="AG562" s="66" t="str">
        <f t="shared" si="779"/>
        <v/>
      </c>
      <c r="AH562" s="66" t="str">
        <f t="shared" si="780"/>
        <v/>
      </c>
      <c r="AI562" s="66" t="str">
        <f t="shared" si="781"/>
        <v/>
      </c>
      <c r="AJ562" s="66" t="str">
        <f>+IF($W562="","",ROUND((AG562*Parámetros!$G$85),2))</f>
        <v/>
      </c>
      <c r="AK562" s="66" t="str">
        <f>+IF($W562="","",ROUND((AG562*(Parámetros!$G$86)),2))</f>
        <v/>
      </c>
      <c r="AL562" s="66" t="str">
        <f t="shared" si="775"/>
        <v/>
      </c>
      <c r="AM562" t="str">
        <f t="shared" si="735"/>
        <v/>
      </c>
      <c r="AN562" t="str">
        <f t="shared" si="736"/>
        <v/>
      </c>
      <c r="AO562" s="118" t="str">
        <f t="shared" si="737"/>
        <v/>
      </c>
      <c r="AP562" s="118" t="str">
        <f t="shared" si="738"/>
        <v/>
      </c>
      <c r="AQ562" s="119" t="str">
        <f>+IF(OR($W562="",AO562=0),"",ROUND((VLOOKUP(ROUNDDOWN($D562-1/frec,0),cob_adi,Z$40,FALSE)*(1+i/frec)^-0.5*(1+Parámetros!$D$103)*(1+rec_fracc)/frec),6))</f>
        <v/>
      </c>
      <c r="AR562" s="66" t="str">
        <f t="shared" si="782"/>
        <v/>
      </c>
      <c r="AS562" s="119" t="str">
        <f t="shared" si="783"/>
        <v/>
      </c>
      <c r="AT562" s="66" t="str">
        <f>+IF($W562="","",ROUND(IF($B562&gt;Parámetros!$D$107,'Tablas Servicio'!AR562+('Tablas Servicio'!AT561-'Tablas Servicio'!AR561),AR562/(1-IF(B562&lt;=10,Parámetros!$D$100,0))),2))</f>
        <v/>
      </c>
      <c r="AU562" s="66" t="str">
        <f t="shared" si="784"/>
        <v/>
      </c>
      <c r="AV562" s="66" t="str">
        <f t="shared" si="784"/>
        <v/>
      </c>
      <c r="AW562" s="66" t="str">
        <f>+IF($W562="","",ROUND((AT562*Parámetros!$G$85),2))</f>
        <v/>
      </c>
      <c r="AX562" s="66" t="str">
        <f>+IF($W562="","",ROUND((AT562*(Parámetros!$G$86)),2))</f>
        <v/>
      </c>
      <c r="AY562" s="66" t="str">
        <f t="shared" si="785"/>
        <v/>
      </c>
      <c r="AZ562" t="str">
        <f t="shared" si="739"/>
        <v/>
      </c>
      <c r="BA562" t="str">
        <f t="shared" si="740"/>
        <v/>
      </c>
      <c r="BB562" s="118" t="str">
        <f t="shared" si="741"/>
        <v/>
      </c>
      <c r="BC562" s="118" t="str">
        <f t="shared" si="742"/>
        <v/>
      </c>
      <c r="BD562" s="119" t="str">
        <f>+IF(OR($W562="",BB562=0),"",ROUND((VLOOKUP(ROUNDDOWN($D562-1/frec,0),cob_adi,AO$40,FALSE)*(1+i/frec)^-0.5*(1+Parámetros!$D$103)*(1+rec_fracc)/frec),6))</f>
        <v/>
      </c>
      <c r="BE562" s="66" t="str">
        <f t="shared" si="786"/>
        <v/>
      </c>
      <c r="BF562" s="119" t="str">
        <f t="shared" si="787"/>
        <v/>
      </c>
      <c r="BG562" s="66" t="str">
        <f>+IF($W562="","",ROUND(IF($B562&gt;Parámetros!$D$107,'Tablas Servicio'!BE562+('Tablas Servicio'!BG561-'Tablas Servicio'!BE561),BE562/(1-IF(B562&lt;=10,Parámetros!$D$100,0))),2))</f>
        <v/>
      </c>
      <c r="BH562" s="66" t="str">
        <f t="shared" si="788"/>
        <v/>
      </c>
      <c r="BI562" s="66" t="str">
        <f t="shared" si="789"/>
        <v/>
      </c>
      <c r="BJ562" s="66" t="str">
        <f>+IF($W562="","",ROUND((BG562*Parámetros!$G$85),2))</f>
        <v/>
      </c>
      <c r="BK562" s="66" t="str">
        <f>+IF($W562="","",ROUND((BG562*(Parámetros!$G$86)),2))</f>
        <v/>
      </c>
      <c r="BL562" s="66" t="str">
        <f t="shared" si="790"/>
        <v/>
      </c>
      <c r="BM562" t="str">
        <f t="shared" si="743"/>
        <v/>
      </c>
      <c r="BN562" t="str">
        <f t="shared" si="744"/>
        <v/>
      </c>
      <c r="BO562" s="118" t="str">
        <f t="shared" si="745"/>
        <v/>
      </c>
      <c r="BP562" s="118" t="str">
        <f t="shared" si="746"/>
        <v/>
      </c>
      <c r="BQ562" s="119" t="str">
        <f>+IF(OR($W562="",BO562=0),"",ROUND((VLOOKUP(ROUNDDOWN($D562-1/frec,0),cob_adi,BB$40,FALSE)*(1+i/frec)^-0.5*(1+Parámetros!$D$103)*(1+rec_fracc)/frec),6))</f>
        <v/>
      </c>
      <c r="BR562" s="66" t="str">
        <f t="shared" si="791"/>
        <v/>
      </c>
      <c r="BS562" s="119" t="str">
        <f t="shared" si="792"/>
        <v/>
      </c>
      <c r="BT562" s="66" t="str">
        <f>+IF($W562="","",ROUND(IF($B562&gt;Parámetros!$D$107,'Tablas Servicio'!BR562+('Tablas Servicio'!BT561-'Tablas Servicio'!BR561),BR562/(1-IF(B562&lt;=10,Parámetros!$D$100,0))),2))</f>
        <v/>
      </c>
      <c r="BU562" s="66" t="str">
        <f t="shared" si="793"/>
        <v/>
      </c>
      <c r="BV562" s="66" t="str">
        <f t="shared" si="793"/>
        <v/>
      </c>
      <c r="BW562" s="66" t="str">
        <f>+IF($W562="","",ROUND((BT562*Parámetros!$G$85),2))</f>
        <v/>
      </c>
      <c r="BX562" s="66" t="str">
        <f>+IF($W562="","",ROUND((BT562*(Parámetros!$G$86)),2))</f>
        <v/>
      </c>
      <c r="BY562" s="66" t="str">
        <f t="shared" si="794"/>
        <v/>
      </c>
      <c r="BZ562" t="str">
        <f t="shared" si="747"/>
        <v/>
      </c>
      <c r="CA562" t="str">
        <f t="shared" si="748"/>
        <v/>
      </c>
      <c r="CB562" s="118" t="str">
        <f t="shared" si="749"/>
        <v/>
      </c>
      <c r="CC562" s="118" t="str">
        <f t="shared" si="750"/>
        <v/>
      </c>
      <c r="CD562" s="119" t="str">
        <f t="shared" si="795"/>
        <v/>
      </c>
      <c r="CE562" s="66" t="str">
        <f>+IF($W562="","",ROUND((VLOOKUP(ROUNDDOWN($D562-1/frec,0),cob_adi,BO$40,FALSE)*(1+i/frec)^-0.5*(1+Parámetros!$D$103)*(1+rec_fracc)/frec*'TABLAS ADI'!$BC$17),2))</f>
        <v/>
      </c>
      <c r="CF562" s="119" t="str">
        <f t="shared" si="796"/>
        <v/>
      </c>
      <c r="CG562" s="66" t="str">
        <f>+IF($W562="","",ROUND(IF($B562&gt;Parámetros!$D$107,'Tablas Servicio'!CE562+('Tablas Servicio'!CG561-'Tablas Servicio'!CE561),CE562/(1-IF(B562&lt;=10,Parámetros!$D$100,0))),2))</f>
        <v/>
      </c>
      <c r="CH562" s="66" t="str">
        <f t="shared" si="797"/>
        <v/>
      </c>
      <c r="CI562" s="66" t="str">
        <f t="shared" si="797"/>
        <v/>
      </c>
      <c r="CJ562" s="66" t="str">
        <f>+IF($W562="","",ROUND((CG562*Parámetros!$G$85),2))</f>
        <v/>
      </c>
      <c r="CK562" s="66" t="str">
        <f>+IF($W562="","",ROUND((CG562*(Parámetros!$G$86)),2))</f>
        <v/>
      </c>
      <c r="CL562" s="66" t="str">
        <f t="shared" si="798"/>
        <v/>
      </c>
      <c r="CM562" t="str">
        <f t="shared" si="751"/>
        <v/>
      </c>
      <c r="CN562" s="118" t="str">
        <f t="shared" si="752"/>
        <v/>
      </c>
      <c r="CO562" s="118" t="str">
        <f t="shared" si="753"/>
        <v/>
      </c>
      <c r="CP562" s="118" t="str">
        <f t="shared" si="754"/>
        <v/>
      </c>
      <c r="CQ562" s="119" t="str">
        <f t="shared" si="799"/>
        <v/>
      </c>
      <c r="CR562" s="66" t="str">
        <f>+IF($W562="","",ROUND((VLOOKUP(Parámetros!$F$51,'COBERTURAS ADICIONALES'!$S$4:$T$32,2,FALSE)*(1+i/frec)^-0.5*(1+Parámetros!$D$103)*(1+rec_fracc)/frec*$CO$42),2))</f>
        <v/>
      </c>
      <c r="CS562" s="119" t="str">
        <f t="shared" si="800"/>
        <v/>
      </c>
      <c r="CT562" s="66" t="str">
        <f>+IF($W562="","",ROUND(IF($B562&gt;Parámetros!$D$107,'Tablas Servicio'!CR562+('Tablas Servicio'!CT561-'Tablas Servicio'!CR561),CR562/(1-IF(B562&lt;=10,Parámetros!$D$100,0))),2))</f>
        <v/>
      </c>
      <c r="CU562" s="66" t="str">
        <f t="shared" si="801"/>
        <v/>
      </c>
      <c r="CV562" s="66" t="str">
        <f t="shared" si="801"/>
        <v/>
      </c>
      <c r="CW562" s="66" t="str">
        <f>+IF($W562="","",ROUND((CT562*Parámetros!$G$85),2))</f>
        <v/>
      </c>
      <c r="CX562" s="66" t="str">
        <f>+IF($W562="","",ROUND((CT562*(Parámetros!$G$86)),2))</f>
        <v/>
      </c>
      <c r="CY562" s="66" t="str">
        <f t="shared" si="802"/>
        <v/>
      </c>
      <c r="CZ562" t="str">
        <f t="shared" si="755"/>
        <v/>
      </c>
      <c r="DA562" s="118" t="str">
        <f t="shared" si="756"/>
        <v/>
      </c>
      <c r="DB562" s="118" t="str">
        <f t="shared" si="757"/>
        <v/>
      </c>
      <c r="DC562" s="118" t="str">
        <f t="shared" si="758"/>
        <v/>
      </c>
      <c r="DD562" s="121" t="str">
        <f>+IF(OR($W562="",DB562=0),"",ROUND((VLOOKUP(ROUNDDOWN($D562-1/frec,0),cob_adi,CO$40,FALSE)*(1+i/frec)^-0.5*(1+Parámetros!$D$103)*(1+rec_fracc)/frec),6))</f>
        <v/>
      </c>
      <c r="DE562" s="66" t="str">
        <f t="shared" si="803"/>
        <v/>
      </c>
      <c r="DF562" s="119" t="str">
        <f t="shared" si="804"/>
        <v/>
      </c>
      <c r="DG562" s="66" t="str">
        <f>+IF($W562="","",ROUND(IF($B562&gt;Parámetros!$D$107,'Tablas Servicio'!DE562+('Tablas Servicio'!DG561-'Tablas Servicio'!DE561),DE562/(1-IF(B562&lt;=10,Parámetros!$D$100,0))),2))</f>
        <v/>
      </c>
      <c r="DH562" s="66" t="str">
        <f t="shared" si="805"/>
        <v/>
      </c>
      <c r="DI562" s="66" t="str">
        <f t="shared" si="805"/>
        <v/>
      </c>
      <c r="DJ562" s="66" t="str">
        <f>+IF($W562="","",ROUND((DG562*Parámetros!$G$85),2))</f>
        <v/>
      </c>
      <c r="DK562" s="66" t="str">
        <f>+IF($W562="","",ROUND((DG562*(Parámetros!$G$86)),2))</f>
        <v/>
      </c>
      <c r="DL562" s="66" t="str">
        <f t="shared" si="806"/>
        <v/>
      </c>
      <c r="DM562" t="str">
        <f t="shared" si="759"/>
        <v/>
      </c>
      <c r="DN562" s="118" t="str">
        <f t="shared" si="760"/>
        <v/>
      </c>
      <c r="DO562" s="118" t="str">
        <f t="shared" si="761"/>
        <v/>
      </c>
      <c r="DP562" s="118" t="str">
        <f t="shared" si="762"/>
        <v/>
      </c>
      <c r="DQ562" s="122" t="str">
        <f>+IF(OR($W562="",DO562=0),"",ROUND((VLOOKUP(ROUNDDOWN($D562-1/frec,0),cob_adi,DB$40,FALSE)*(1+i/frec)^-0.5*(1+Parámetros!$D$103)*(1+rec_fracc)/frec),6))</f>
        <v/>
      </c>
      <c r="DR562" s="66" t="str">
        <f t="shared" si="807"/>
        <v/>
      </c>
      <c r="DS562" s="68" t="str">
        <f t="shared" si="808"/>
        <v/>
      </c>
      <c r="DT562" s="66" t="str">
        <f>+IF($W562="","",ROUND(IF($B562&gt;Parámetros!$D$107,'Tablas Servicio'!DR562+('Tablas Servicio'!DT561-'Tablas Servicio'!DR561),DR562/(1-IF(B562&lt;=10,Parámetros!$D$100,0))),2))</f>
        <v/>
      </c>
      <c r="DU562" s="66" t="str">
        <f t="shared" si="809"/>
        <v/>
      </c>
      <c r="DV562" s="66" t="str">
        <f t="shared" si="809"/>
        <v/>
      </c>
      <c r="DW562" s="66" t="str">
        <f>+IF($W562="","",ROUND((DT562*Parámetros!$G$85),2))</f>
        <v/>
      </c>
      <c r="DX562" s="66" t="str">
        <f>+IF($W562="","",ROUND((DT562*(Parámetros!$G$86)),2))</f>
        <v/>
      </c>
      <c r="DY562" s="66" t="str">
        <f t="shared" si="810"/>
        <v/>
      </c>
      <c r="DZ562" t="str">
        <f t="shared" si="811"/>
        <v/>
      </c>
      <c r="EA562" s="118" t="str">
        <f t="shared" si="811"/>
        <v/>
      </c>
      <c r="EB562" s="118" t="str">
        <f>+IF($W562="","",ROUND(IF(Parámetros!$D$25='TABLAS MORT'!$V$33,EB561,Z562/2),0))</f>
        <v/>
      </c>
      <c r="EC562" s="118" t="str">
        <f t="shared" si="811"/>
        <v/>
      </c>
      <c r="ED562" s="122" t="str">
        <f>+IF(OR($W562="",EB562=0),"",ROUND((VLOOKUP(ROUNDDOWN($D562-1/frec,0),cob_adi,DO$40,FALSE)*(1+i/frec)^-0.5*(1+Parámetros!$D$103)*(1+rec_fracc)/frec),6))</f>
        <v/>
      </c>
      <c r="EE562" s="66" t="str">
        <f t="shared" si="812"/>
        <v/>
      </c>
      <c r="EF562" s="68" t="str">
        <f t="shared" si="813"/>
        <v/>
      </c>
      <c r="EG562" s="66" t="str">
        <f>+IF($W562="","",ROUND(IF($B562&gt;Parámetros!$D$107,'Tablas Servicio'!EE562+('Tablas Servicio'!EG561-'Tablas Servicio'!EE561),EE562/(1-IF(B562&lt;=10,Parámetros!$D$100,0))),2))</f>
        <v/>
      </c>
      <c r="EH562" s="66" t="str">
        <f t="shared" si="814"/>
        <v/>
      </c>
      <c r="EI562" s="66" t="str">
        <f t="shared" si="814"/>
        <v/>
      </c>
      <c r="EJ562" s="66" t="str">
        <f>+IF($W562="","",ROUND((EG562*Parámetros!$G$85),2))</f>
        <v/>
      </c>
      <c r="EK562" s="66" t="str">
        <f>+IF($W562="","",ROUND((EG562*(Parámetros!$G$86)),2))</f>
        <v/>
      </c>
      <c r="EL562" s="66" t="str">
        <f t="shared" si="815"/>
        <v/>
      </c>
    </row>
    <row r="563" spans="1:142" x14ac:dyDescent="0.25">
      <c r="A563" t="str">
        <f>+IF($C563="","",ROUND(VLOOKUP('Tablas Servicio'!B563,Parámetros!$H$100:$J$159,IF(Parámetros!$E$16="F",2,3),FALSE),2))</f>
        <v/>
      </c>
      <c r="B563" t="str">
        <f t="shared" si="766"/>
        <v/>
      </c>
      <c r="C563" s="57" t="str">
        <f>+IF(D563="","",'Tablas Servicio'!C562+1)</f>
        <v/>
      </c>
      <c r="D563" s="56" t="str">
        <f>+IF(D562&lt;edadmaxtabla,D562+1/Parámetros!$E$25,"")</f>
        <v/>
      </c>
      <c r="E563" s="57" t="str">
        <f t="shared" si="776"/>
        <v/>
      </c>
      <c r="F563" s="59" t="str">
        <f t="shared" si="777"/>
        <v/>
      </c>
      <c r="G563" s="66" t="str">
        <f t="shared" si="767"/>
        <v/>
      </c>
      <c r="H563" s="66" t="str">
        <f t="shared" si="768"/>
        <v/>
      </c>
      <c r="I563" s="66" t="str">
        <f t="shared" si="728"/>
        <v/>
      </c>
      <c r="J563" s="66" t="str">
        <f t="shared" si="769"/>
        <v/>
      </c>
      <c r="K563" s="66" t="str">
        <f t="shared" si="770"/>
        <v/>
      </c>
      <c r="L563" s="66" t="str">
        <f t="shared" si="771"/>
        <v/>
      </c>
      <c r="M563" s="66" t="str">
        <f t="shared" si="772"/>
        <v/>
      </c>
      <c r="N563" s="66" t="str">
        <f>+IF(C563="","",ROUND(Parámetros!$D$23,2))</f>
        <v/>
      </c>
      <c r="O563" s="66" t="str">
        <f t="shared" si="773"/>
        <v/>
      </c>
      <c r="P563" s="66" t="str">
        <f>+IF($C563="","",ROUND(IF(B563&gt;Parámetros!$D$117,0,N563*Parámetros!$D$116-G563*Parámetros!$D$100),2))</f>
        <v/>
      </c>
      <c r="Q563" s="75" t="str">
        <f t="shared" si="729"/>
        <v/>
      </c>
      <c r="R563" s="75" t="str">
        <f t="shared" si="730"/>
        <v/>
      </c>
      <c r="S563" s="117" t="str">
        <f>+IF($C563="","",ROUND((S562+I563)*(1+Parámetros!$D$91),2))</f>
        <v/>
      </c>
      <c r="T563" s="117" t="str">
        <f>+IF($C563="","",ROUND(S563*VLOOKUP(B563,Parámetros!$C$30:$D$39,2,TRUE),2))</f>
        <v/>
      </c>
      <c r="U563" s="117" t="str">
        <f>+IF($C563="","",ROUND((U562+I563)*(1+Parámetros!$D$92),2))</f>
        <v/>
      </c>
      <c r="V563" s="117" t="str">
        <f>+IF($C563="","",ROUND(U563*VLOOKUP(B563,Parámetros!$C$30:$D$39,2,TRUE),2))</f>
        <v/>
      </c>
      <c r="W563" s="57" t="str">
        <f t="shared" si="731"/>
        <v/>
      </c>
      <c r="X563" t="str">
        <f t="shared" si="732"/>
        <v/>
      </c>
      <c r="Y563" t="str">
        <f t="shared" si="733"/>
        <v/>
      </c>
      <c r="Z563" s="118" t="str">
        <f>+IF($W563="","",ROUND(IF(Parámetros!$D$25='TABLAS MORT'!$V$33,Z562,Parámetros!$D$21-'Tablas Servicio'!T562),0))</f>
        <v/>
      </c>
      <c r="AA563" s="118" t="str">
        <f t="shared" si="734"/>
        <v/>
      </c>
      <c r="AB563" s="119" t="str">
        <f>+IF(W563="","",ROUND((VLOOKUP(ROUNDDOWN($D563-1/frec,0),qx_tabla,2,FALSE)*(1+i/frec)^-0.5*(1+Parámetros!$D$103)*(1+rec_fracc)/frec),6))</f>
        <v/>
      </c>
      <c r="AC563" s="66" t="str">
        <f t="shared" si="778"/>
        <v/>
      </c>
      <c r="AD563" s="119" t="str">
        <f t="shared" si="774"/>
        <v/>
      </c>
      <c r="AE563" s="66" t="str">
        <f>+IF($W563="","",ROUND(IF($B563&gt;Parámetros!$D$107,'Tablas Servicio'!AC563+('Tablas Servicio'!AG562-'Tablas Servicio'!AC562),AC563/(1-IF(B563&lt;=10,Parámetros!$D$104,Parámetros!$D$105))),2))</f>
        <v/>
      </c>
      <c r="AF563" s="66" t="str">
        <f>+IF($W563="","",ROUND(IF($B563&gt;Parámetros!$D$107,'Tablas Servicio'!AC563+('Tablas Servicio'!AG562-'Tablas Servicio'!AC562),(AC563+$A562/frec)/(1-IF(B563&lt;=Parámetros!$D$117,Parámetros!$D$100,0))),2))</f>
        <v/>
      </c>
      <c r="AG563" s="66" t="str">
        <f t="shared" si="779"/>
        <v/>
      </c>
      <c r="AH563" s="66" t="str">
        <f t="shared" si="780"/>
        <v/>
      </c>
      <c r="AI563" s="66" t="str">
        <f t="shared" si="781"/>
        <v/>
      </c>
      <c r="AJ563" s="66" t="str">
        <f>+IF($W563="","",ROUND((AG563*Parámetros!$G$85),2))</f>
        <v/>
      </c>
      <c r="AK563" s="66" t="str">
        <f>+IF($W563="","",ROUND((AG563*(Parámetros!$G$86)),2))</f>
        <v/>
      </c>
      <c r="AL563" s="66" t="str">
        <f t="shared" si="775"/>
        <v/>
      </c>
      <c r="AM563" t="str">
        <f t="shared" si="735"/>
        <v/>
      </c>
      <c r="AN563" t="str">
        <f t="shared" si="736"/>
        <v/>
      </c>
      <c r="AO563" s="118" t="str">
        <f t="shared" si="737"/>
        <v/>
      </c>
      <c r="AP563" s="118" t="str">
        <f t="shared" si="738"/>
        <v/>
      </c>
      <c r="AQ563" s="119" t="str">
        <f>+IF(OR($W563="",AO563=0),"",ROUND((VLOOKUP(ROUNDDOWN($D563-1/frec,0),cob_adi,Z$40,FALSE)*(1+i/frec)^-0.5*(1+Parámetros!$D$103)*(1+rec_fracc)/frec),6))</f>
        <v/>
      </c>
      <c r="AR563" s="66" t="str">
        <f t="shared" si="782"/>
        <v/>
      </c>
      <c r="AS563" s="119" t="str">
        <f t="shared" si="783"/>
        <v/>
      </c>
      <c r="AT563" s="66" t="str">
        <f>+IF($W563="","",ROUND(IF($B563&gt;Parámetros!$D$107,'Tablas Servicio'!AR563+('Tablas Servicio'!AT562-'Tablas Servicio'!AR562),AR563/(1-IF(B563&lt;=10,Parámetros!$D$100,0))),2))</f>
        <v/>
      </c>
      <c r="AU563" s="66" t="str">
        <f t="shared" si="784"/>
        <v/>
      </c>
      <c r="AV563" s="66" t="str">
        <f t="shared" si="784"/>
        <v/>
      </c>
      <c r="AW563" s="66" t="str">
        <f>+IF($W563="","",ROUND((AT563*Parámetros!$G$85),2))</f>
        <v/>
      </c>
      <c r="AX563" s="66" t="str">
        <f>+IF($W563="","",ROUND((AT563*(Parámetros!$G$86)),2))</f>
        <v/>
      </c>
      <c r="AY563" s="66" t="str">
        <f t="shared" si="785"/>
        <v/>
      </c>
      <c r="AZ563" t="str">
        <f t="shared" si="739"/>
        <v/>
      </c>
      <c r="BA563" t="str">
        <f t="shared" si="740"/>
        <v/>
      </c>
      <c r="BB563" s="118" t="str">
        <f t="shared" si="741"/>
        <v/>
      </c>
      <c r="BC563" s="118" t="str">
        <f t="shared" si="742"/>
        <v/>
      </c>
      <c r="BD563" s="119" t="str">
        <f>+IF(OR($W563="",BB563=0),"",ROUND((VLOOKUP(ROUNDDOWN($D563-1/frec,0),cob_adi,AO$40,FALSE)*(1+i/frec)^-0.5*(1+Parámetros!$D$103)*(1+rec_fracc)/frec),6))</f>
        <v/>
      </c>
      <c r="BE563" s="66" t="str">
        <f t="shared" si="786"/>
        <v/>
      </c>
      <c r="BF563" s="119" t="str">
        <f t="shared" si="787"/>
        <v/>
      </c>
      <c r="BG563" s="66" t="str">
        <f>+IF($W563="","",ROUND(IF($B563&gt;Parámetros!$D$107,'Tablas Servicio'!BE563+('Tablas Servicio'!BG562-'Tablas Servicio'!BE562),BE563/(1-IF(B563&lt;=10,Parámetros!$D$100,0))),2))</f>
        <v/>
      </c>
      <c r="BH563" s="66" t="str">
        <f t="shared" si="788"/>
        <v/>
      </c>
      <c r="BI563" s="66" t="str">
        <f t="shared" si="789"/>
        <v/>
      </c>
      <c r="BJ563" s="66" t="str">
        <f>+IF($W563="","",ROUND((BG563*Parámetros!$G$85),2))</f>
        <v/>
      </c>
      <c r="BK563" s="66" t="str">
        <f>+IF($W563="","",ROUND((BG563*(Parámetros!$G$86)),2))</f>
        <v/>
      </c>
      <c r="BL563" s="66" t="str">
        <f t="shared" si="790"/>
        <v/>
      </c>
      <c r="BM563" t="str">
        <f t="shared" si="743"/>
        <v/>
      </c>
      <c r="BN563" t="str">
        <f t="shared" si="744"/>
        <v/>
      </c>
      <c r="BO563" s="118" t="str">
        <f t="shared" si="745"/>
        <v/>
      </c>
      <c r="BP563" s="118" t="str">
        <f t="shared" si="746"/>
        <v/>
      </c>
      <c r="BQ563" s="119" t="str">
        <f>+IF(OR($W563="",BO563=0),"",ROUND((VLOOKUP(ROUNDDOWN($D563-1/frec,0),cob_adi,BB$40,FALSE)*(1+i/frec)^-0.5*(1+Parámetros!$D$103)*(1+rec_fracc)/frec),6))</f>
        <v/>
      </c>
      <c r="BR563" s="66" t="str">
        <f t="shared" si="791"/>
        <v/>
      </c>
      <c r="BS563" s="119" t="str">
        <f t="shared" si="792"/>
        <v/>
      </c>
      <c r="BT563" s="66" t="str">
        <f>+IF($W563="","",ROUND(IF($B563&gt;Parámetros!$D$107,'Tablas Servicio'!BR563+('Tablas Servicio'!BT562-'Tablas Servicio'!BR562),BR563/(1-IF(B563&lt;=10,Parámetros!$D$100,0))),2))</f>
        <v/>
      </c>
      <c r="BU563" s="66" t="str">
        <f t="shared" si="793"/>
        <v/>
      </c>
      <c r="BV563" s="66" t="str">
        <f t="shared" si="793"/>
        <v/>
      </c>
      <c r="BW563" s="66" t="str">
        <f>+IF($W563="","",ROUND((BT563*Parámetros!$G$85),2))</f>
        <v/>
      </c>
      <c r="BX563" s="66" t="str">
        <f>+IF($W563="","",ROUND((BT563*(Parámetros!$G$86)),2))</f>
        <v/>
      </c>
      <c r="BY563" s="66" t="str">
        <f t="shared" si="794"/>
        <v/>
      </c>
      <c r="BZ563" t="str">
        <f t="shared" si="747"/>
        <v/>
      </c>
      <c r="CA563" t="str">
        <f t="shared" si="748"/>
        <v/>
      </c>
      <c r="CB563" s="118" t="str">
        <f t="shared" si="749"/>
        <v/>
      </c>
      <c r="CC563" s="118" t="str">
        <f t="shared" si="750"/>
        <v/>
      </c>
      <c r="CD563" s="119" t="str">
        <f t="shared" si="795"/>
        <v/>
      </c>
      <c r="CE563" s="66" t="str">
        <f>+IF($W563="","",ROUND((VLOOKUP(ROUNDDOWN($D563-1/frec,0),cob_adi,BO$40,FALSE)*(1+i/frec)^-0.5*(1+Parámetros!$D$103)*(1+rec_fracc)/frec*'TABLAS ADI'!$BC$17),2))</f>
        <v/>
      </c>
      <c r="CF563" s="119" t="str">
        <f t="shared" si="796"/>
        <v/>
      </c>
      <c r="CG563" s="66" t="str">
        <f>+IF($W563="","",ROUND(IF($B563&gt;Parámetros!$D$107,'Tablas Servicio'!CE563+('Tablas Servicio'!CG562-'Tablas Servicio'!CE562),CE563/(1-IF(B563&lt;=10,Parámetros!$D$100,0))),2))</f>
        <v/>
      </c>
      <c r="CH563" s="66" t="str">
        <f t="shared" si="797"/>
        <v/>
      </c>
      <c r="CI563" s="66" t="str">
        <f t="shared" si="797"/>
        <v/>
      </c>
      <c r="CJ563" s="66" t="str">
        <f>+IF($W563="","",ROUND((CG563*Parámetros!$G$85),2))</f>
        <v/>
      </c>
      <c r="CK563" s="66" t="str">
        <f>+IF($W563="","",ROUND((CG563*(Parámetros!$G$86)),2))</f>
        <v/>
      </c>
      <c r="CL563" s="66" t="str">
        <f t="shared" si="798"/>
        <v/>
      </c>
      <c r="CM563" t="str">
        <f t="shared" si="751"/>
        <v/>
      </c>
      <c r="CN563" s="118" t="str">
        <f t="shared" si="752"/>
        <v/>
      </c>
      <c r="CO563" s="118" t="str">
        <f t="shared" si="753"/>
        <v/>
      </c>
      <c r="CP563" s="118" t="str">
        <f t="shared" si="754"/>
        <v/>
      </c>
      <c r="CQ563" s="119" t="str">
        <f t="shared" si="799"/>
        <v/>
      </c>
      <c r="CR563" s="66" t="str">
        <f>+IF($W563="","",ROUND((VLOOKUP(Parámetros!$F$51,'COBERTURAS ADICIONALES'!$S$4:$T$32,2,FALSE)*(1+i/frec)^-0.5*(1+Parámetros!$D$103)*(1+rec_fracc)/frec*$CO$42),2))</f>
        <v/>
      </c>
      <c r="CS563" s="119" t="str">
        <f t="shared" si="800"/>
        <v/>
      </c>
      <c r="CT563" s="66" t="str">
        <f>+IF($W563="","",ROUND(IF($B563&gt;Parámetros!$D$107,'Tablas Servicio'!CR563+('Tablas Servicio'!CT562-'Tablas Servicio'!CR562),CR563/(1-IF(B563&lt;=10,Parámetros!$D$100,0))),2))</f>
        <v/>
      </c>
      <c r="CU563" s="66" t="str">
        <f t="shared" si="801"/>
        <v/>
      </c>
      <c r="CV563" s="66" t="str">
        <f t="shared" si="801"/>
        <v/>
      </c>
      <c r="CW563" s="66" t="str">
        <f>+IF($W563="","",ROUND((CT563*Parámetros!$G$85),2))</f>
        <v/>
      </c>
      <c r="CX563" s="66" t="str">
        <f>+IF($W563="","",ROUND((CT563*(Parámetros!$G$86)),2))</f>
        <v/>
      </c>
      <c r="CY563" s="66" t="str">
        <f t="shared" si="802"/>
        <v/>
      </c>
      <c r="CZ563" t="str">
        <f t="shared" si="755"/>
        <v/>
      </c>
      <c r="DA563" s="118" t="str">
        <f t="shared" si="756"/>
        <v/>
      </c>
      <c r="DB563" s="118" t="str">
        <f t="shared" si="757"/>
        <v/>
      </c>
      <c r="DC563" s="118" t="str">
        <f t="shared" si="758"/>
        <v/>
      </c>
      <c r="DD563" s="121" t="str">
        <f>+IF(OR($W563="",DB563=0),"",ROUND((VLOOKUP(ROUNDDOWN($D563-1/frec,0),cob_adi,CO$40,FALSE)*(1+i/frec)^-0.5*(1+Parámetros!$D$103)*(1+rec_fracc)/frec),6))</f>
        <v/>
      </c>
      <c r="DE563" s="66" t="str">
        <f t="shared" si="803"/>
        <v/>
      </c>
      <c r="DF563" s="119" t="str">
        <f t="shared" si="804"/>
        <v/>
      </c>
      <c r="DG563" s="66" t="str">
        <f>+IF($W563="","",ROUND(IF($B563&gt;Parámetros!$D$107,'Tablas Servicio'!DE563+('Tablas Servicio'!DG562-'Tablas Servicio'!DE562),DE563/(1-IF(B563&lt;=10,Parámetros!$D$100,0))),2))</f>
        <v/>
      </c>
      <c r="DH563" s="66" t="str">
        <f t="shared" si="805"/>
        <v/>
      </c>
      <c r="DI563" s="66" t="str">
        <f t="shared" si="805"/>
        <v/>
      </c>
      <c r="DJ563" s="66" t="str">
        <f>+IF($W563="","",ROUND((DG563*Parámetros!$G$85),2))</f>
        <v/>
      </c>
      <c r="DK563" s="66" t="str">
        <f>+IF($W563="","",ROUND((DG563*(Parámetros!$G$86)),2))</f>
        <v/>
      </c>
      <c r="DL563" s="66" t="str">
        <f t="shared" si="806"/>
        <v/>
      </c>
      <c r="DM563" t="str">
        <f t="shared" si="759"/>
        <v/>
      </c>
      <c r="DN563" s="118" t="str">
        <f t="shared" si="760"/>
        <v/>
      </c>
      <c r="DO563" s="118" t="str">
        <f t="shared" si="761"/>
        <v/>
      </c>
      <c r="DP563" s="118" t="str">
        <f t="shared" si="762"/>
        <v/>
      </c>
      <c r="DQ563" s="122" t="str">
        <f>+IF(OR($W563="",DO563=0),"",ROUND((VLOOKUP(ROUNDDOWN($D563-1/frec,0),cob_adi,DB$40,FALSE)*(1+i/frec)^-0.5*(1+Parámetros!$D$103)*(1+rec_fracc)/frec),6))</f>
        <v/>
      </c>
      <c r="DR563" s="66" t="str">
        <f t="shared" si="807"/>
        <v/>
      </c>
      <c r="DS563" s="68" t="str">
        <f t="shared" si="808"/>
        <v/>
      </c>
      <c r="DT563" s="66" t="str">
        <f>+IF($W563="","",ROUND(IF($B563&gt;Parámetros!$D$107,'Tablas Servicio'!DR563+('Tablas Servicio'!DT562-'Tablas Servicio'!DR562),DR563/(1-IF(B563&lt;=10,Parámetros!$D$100,0))),2))</f>
        <v/>
      </c>
      <c r="DU563" s="66" t="str">
        <f t="shared" si="809"/>
        <v/>
      </c>
      <c r="DV563" s="66" t="str">
        <f t="shared" si="809"/>
        <v/>
      </c>
      <c r="DW563" s="66" t="str">
        <f>+IF($W563="","",ROUND((DT563*Parámetros!$G$85),2))</f>
        <v/>
      </c>
      <c r="DX563" s="66" t="str">
        <f>+IF($W563="","",ROUND((DT563*(Parámetros!$G$86)),2))</f>
        <v/>
      </c>
      <c r="DY563" s="66" t="str">
        <f t="shared" si="810"/>
        <v/>
      </c>
      <c r="DZ563" t="str">
        <f t="shared" si="811"/>
        <v/>
      </c>
      <c r="EA563" s="118" t="str">
        <f t="shared" si="811"/>
        <v/>
      </c>
      <c r="EB563" s="118" t="str">
        <f>+IF($W563="","",ROUND(IF(Parámetros!$D$25='TABLAS MORT'!$V$33,EB562,Z563/2),0))</f>
        <v/>
      </c>
      <c r="EC563" s="118" t="str">
        <f t="shared" si="811"/>
        <v/>
      </c>
      <c r="ED563" s="122" t="str">
        <f>+IF(OR($W563="",EB563=0),"",ROUND((VLOOKUP(ROUNDDOWN($D563-1/frec,0),cob_adi,DO$40,FALSE)*(1+i/frec)^-0.5*(1+Parámetros!$D$103)*(1+rec_fracc)/frec),6))</f>
        <v/>
      </c>
      <c r="EE563" s="66" t="str">
        <f t="shared" si="812"/>
        <v/>
      </c>
      <c r="EF563" s="68" t="str">
        <f t="shared" si="813"/>
        <v/>
      </c>
      <c r="EG563" s="66" t="str">
        <f>+IF($W563="","",ROUND(IF($B563&gt;Parámetros!$D$107,'Tablas Servicio'!EE563+('Tablas Servicio'!EG562-'Tablas Servicio'!EE562),EE563/(1-IF(B563&lt;=10,Parámetros!$D$100,0))),2))</f>
        <v/>
      </c>
      <c r="EH563" s="66" t="str">
        <f t="shared" si="814"/>
        <v/>
      </c>
      <c r="EI563" s="66" t="str">
        <f t="shared" si="814"/>
        <v/>
      </c>
      <c r="EJ563" s="66" t="str">
        <f>+IF($W563="","",ROUND((EG563*Parámetros!$G$85),2))</f>
        <v/>
      </c>
      <c r="EK563" s="66" t="str">
        <f>+IF($W563="","",ROUND((EG563*(Parámetros!$G$86)),2))</f>
        <v/>
      </c>
      <c r="EL563" s="66" t="str">
        <f t="shared" si="815"/>
        <v/>
      </c>
    </row>
    <row r="564" spans="1:142" x14ac:dyDescent="0.25">
      <c r="A564" t="str">
        <f>+IF($C564="","",ROUND(VLOOKUP('Tablas Servicio'!B564,Parámetros!$H$100:$J$159,IF(Parámetros!$E$16="F",2,3),FALSE),2))</f>
        <v/>
      </c>
      <c r="B564" t="str">
        <f t="shared" si="766"/>
        <v/>
      </c>
      <c r="C564" s="57" t="str">
        <f>+IF(D564="","",'Tablas Servicio'!C563+1)</f>
        <v/>
      </c>
      <c r="D564" s="56" t="str">
        <f>+IF(D563&lt;edadmaxtabla,D563+1/Parámetros!$E$25,"")</f>
        <v/>
      </c>
      <c r="E564" s="57" t="str">
        <f t="shared" si="776"/>
        <v/>
      </c>
      <c r="F564" s="59" t="str">
        <f t="shared" si="777"/>
        <v/>
      </c>
      <c r="G564" s="66" t="str">
        <f t="shared" si="767"/>
        <v/>
      </c>
      <c r="H564" s="66" t="str">
        <f t="shared" si="768"/>
        <v/>
      </c>
      <c r="I564" s="66" t="str">
        <f t="shared" si="728"/>
        <v/>
      </c>
      <c r="J564" s="66" t="str">
        <f t="shared" si="769"/>
        <v/>
      </c>
      <c r="K564" s="66" t="str">
        <f t="shared" si="770"/>
        <v/>
      </c>
      <c r="L564" s="66" t="str">
        <f t="shared" si="771"/>
        <v/>
      </c>
      <c r="M564" s="66" t="str">
        <f t="shared" si="772"/>
        <v/>
      </c>
      <c r="N564" s="66" t="str">
        <f>+IF(C564="","",ROUND(Parámetros!$D$23,2))</f>
        <v/>
      </c>
      <c r="O564" s="66" t="str">
        <f t="shared" si="773"/>
        <v/>
      </c>
      <c r="P564" s="66" t="str">
        <f>+IF($C564="","",ROUND(IF(B564&gt;Parámetros!$D$117,0,N564*Parámetros!$D$116-G564*Parámetros!$D$100),2))</f>
        <v/>
      </c>
      <c r="Q564" s="75" t="str">
        <f t="shared" si="729"/>
        <v/>
      </c>
      <c r="R564" s="75" t="str">
        <f t="shared" si="730"/>
        <v/>
      </c>
      <c r="S564" s="117" t="str">
        <f>+IF($C564="","",ROUND((S563+I564)*(1+Parámetros!$D$91),2))</f>
        <v/>
      </c>
      <c r="T564" s="117" t="str">
        <f>+IF($C564="","",ROUND(S564*VLOOKUP(B564,Parámetros!$C$30:$D$39,2,TRUE),2))</f>
        <v/>
      </c>
      <c r="U564" s="117" t="str">
        <f>+IF($C564="","",ROUND((U563+I564)*(1+Parámetros!$D$92),2))</f>
        <v/>
      </c>
      <c r="V564" s="117" t="str">
        <f>+IF($C564="","",ROUND(U564*VLOOKUP(B564,Parámetros!$C$30:$D$39,2,TRUE),2))</f>
        <v/>
      </c>
      <c r="W564" s="57" t="str">
        <f t="shared" si="731"/>
        <v/>
      </c>
      <c r="X564" t="str">
        <f t="shared" si="732"/>
        <v/>
      </c>
      <c r="Y564" t="str">
        <f t="shared" si="733"/>
        <v/>
      </c>
      <c r="Z564" s="118" t="str">
        <f>+IF($W564="","",ROUND(IF(Parámetros!$D$25='TABLAS MORT'!$V$33,Z563,Parámetros!$D$21-'Tablas Servicio'!T563),0))</f>
        <v/>
      </c>
      <c r="AA564" s="118" t="str">
        <f t="shared" si="734"/>
        <v/>
      </c>
      <c r="AB564" s="119" t="str">
        <f>+IF(W564="","",ROUND((VLOOKUP(ROUNDDOWN($D564-1/frec,0),qx_tabla,2,FALSE)*(1+i/frec)^-0.5*(1+Parámetros!$D$103)*(1+rec_fracc)/frec),6))</f>
        <v/>
      </c>
      <c r="AC564" s="66" t="str">
        <f t="shared" si="778"/>
        <v/>
      </c>
      <c r="AD564" s="119" t="str">
        <f t="shared" si="774"/>
        <v/>
      </c>
      <c r="AE564" s="66" t="str">
        <f>+IF($W564="","",ROUND(IF($B564&gt;Parámetros!$D$107,'Tablas Servicio'!AC564+('Tablas Servicio'!AG563-'Tablas Servicio'!AC563),AC564/(1-IF(B564&lt;=10,Parámetros!$D$104,Parámetros!$D$105))),2))</f>
        <v/>
      </c>
      <c r="AF564" s="66" t="str">
        <f>+IF($W564="","",ROUND(IF($B564&gt;Parámetros!$D$107,'Tablas Servicio'!AC564+('Tablas Servicio'!AG563-'Tablas Servicio'!AC563),(AC564+$A563/frec)/(1-IF(B564&lt;=Parámetros!$D$117,Parámetros!$D$100,0))),2))</f>
        <v/>
      </c>
      <c r="AG564" s="66" t="str">
        <f t="shared" si="779"/>
        <v/>
      </c>
      <c r="AH564" s="66" t="str">
        <f t="shared" si="780"/>
        <v/>
      </c>
      <c r="AI564" s="66" t="str">
        <f t="shared" si="781"/>
        <v/>
      </c>
      <c r="AJ564" s="66" t="str">
        <f>+IF($W564="","",ROUND((AG564*Parámetros!$G$85),2))</f>
        <v/>
      </c>
      <c r="AK564" s="66" t="str">
        <f>+IF($W564="","",ROUND((AG564*(Parámetros!$G$86)),2))</f>
        <v/>
      </c>
      <c r="AL564" s="66" t="str">
        <f t="shared" si="775"/>
        <v/>
      </c>
      <c r="AM564" t="str">
        <f t="shared" si="735"/>
        <v/>
      </c>
      <c r="AN564" t="str">
        <f t="shared" si="736"/>
        <v/>
      </c>
      <c r="AO564" s="118" t="str">
        <f t="shared" si="737"/>
        <v/>
      </c>
      <c r="AP564" s="118" t="str">
        <f t="shared" si="738"/>
        <v/>
      </c>
      <c r="AQ564" s="119" t="str">
        <f>+IF(OR($W564="",AO564=0),"",ROUND((VLOOKUP(ROUNDDOWN($D564-1/frec,0),cob_adi,Z$40,FALSE)*(1+i/frec)^-0.5*(1+Parámetros!$D$103)*(1+rec_fracc)/frec),6))</f>
        <v/>
      </c>
      <c r="AR564" s="66" t="str">
        <f t="shared" si="782"/>
        <v/>
      </c>
      <c r="AS564" s="119" t="str">
        <f t="shared" si="783"/>
        <v/>
      </c>
      <c r="AT564" s="66" t="str">
        <f>+IF($W564="","",ROUND(IF($B564&gt;Parámetros!$D$107,'Tablas Servicio'!AR564+('Tablas Servicio'!AT563-'Tablas Servicio'!AR563),AR564/(1-IF(B564&lt;=10,Parámetros!$D$100,0))),2))</f>
        <v/>
      </c>
      <c r="AU564" s="66" t="str">
        <f t="shared" si="784"/>
        <v/>
      </c>
      <c r="AV564" s="66" t="str">
        <f t="shared" si="784"/>
        <v/>
      </c>
      <c r="AW564" s="66" t="str">
        <f>+IF($W564="","",ROUND((AT564*Parámetros!$G$85),2))</f>
        <v/>
      </c>
      <c r="AX564" s="66" t="str">
        <f>+IF($W564="","",ROUND((AT564*(Parámetros!$G$86)),2))</f>
        <v/>
      </c>
      <c r="AY564" s="66" t="str">
        <f t="shared" si="785"/>
        <v/>
      </c>
      <c r="AZ564" t="str">
        <f t="shared" si="739"/>
        <v/>
      </c>
      <c r="BA564" t="str">
        <f t="shared" si="740"/>
        <v/>
      </c>
      <c r="BB564" s="118" t="str">
        <f t="shared" si="741"/>
        <v/>
      </c>
      <c r="BC564" s="118" t="str">
        <f t="shared" si="742"/>
        <v/>
      </c>
      <c r="BD564" s="119" t="str">
        <f>+IF(OR($W564="",BB564=0),"",ROUND((VLOOKUP(ROUNDDOWN($D564-1/frec,0),cob_adi,AO$40,FALSE)*(1+i/frec)^-0.5*(1+Parámetros!$D$103)*(1+rec_fracc)/frec),6))</f>
        <v/>
      </c>
      <c r="BE564" s="66" t="str">
        <f t="shared" si="786"/>
        <v/>
      </c>
      <c r="BF564" s="119" t="str">
        <f t="shared" si="787"/>
        <v/>
      </c>
      <c r="BG564" s="66" t="str">
        <f>+IF($W564="","",ROUND(IF($B564&gt;Parámetros!$D$107,'Tablas Servicio'!BE564+('Tablas Servicio'!BG563-'Tablas Servicio'!BE563),BE564/(1-IF(B564&lt;=10,Parámetros!$D$100,0))),2))</f>
        <v/>
      </c>
      <c r="BH564" s="66" t="str">
        <f t="shared" si="788"/>
        <v/>
      </c>
      <c r="BI564" s="66" t="str">
        <f t="shared" si="789"/>
        <v/>
      </c>
      <c r="BJ564" s="66" t="str">
        <f>+IF($W564="","",ROUND((BG564*Parámetros!$G$85),2))</f>
        <v/>
      </c>
      <c r="BK564" s="66" t="str">
        <f>+IF($W564="","",ROUND((BG564*(Parámetros!$G$86)),2))</f>
        <v/>
      </c>
      <c r="BL564" s="66" t="str">
        <f t="shared" si="790"/>
        <v/>
      </c>
      <c r="BM564" t="str">
        <f t="shared" si="743"/>
        <v/>
      </c>
      <c r="BN564" t="str">
        <f t="shared" si="744"/>
        <v/>
      </c>
      <c r="BO564" s="118" t="str">
        <f t="shared" si="745"/>
        <v/>
      </c>
      <c r="BP564" s="118" t="str">
        <f t="shared" si="746"/>
        <v/>
      </c>
      <c r="BQ564" s="119" t="str">
        <f>+IF(OR($W564="",BO564=0),"",ROUND((VLOOKUP(ROUNDDOWN($D564-1/frec,0),cob_adi,BB$40,FALSE)*(1+i/frec)^-0.5*(1+Parámetros!$D$103)*(1+rec_fracc)/frec),6))</f>
        <v/>
      </c>
      <c r="BR564" s="66" t="str">
        <f t="shared" si="791"/>
        <v/>
      </c>
      <c r="BS564" s="119" t="str">
        <f t="shared" si="792"/>
        <v/>
      </c>
      <c r="BT564" s="66" t="str">
        <f>+IF($W564="","",ROUND(IF($B564&gt;Parámetros!$D$107,'Tablas Servicio'!BR564+('Tablas Servicio'!BT563-'Tablas Servicio'!BR563),BR564/(1-IF(B564&lt;=10,Parámetros!$D$100,0))),2))</f>
        <v/>
      </c>
      <c r="BU564" s="66" t="str">
        <f t="shared" si="793"/>
        <v/>
      </c>
      <c r="BV564" s="66" t="str">
        <f t="shared" si="793"/>
        <v/>
      </c>
      <c r="BW564" s="66" t="str">
        <f>+IF($W564="","",ROUND((BT564*Parámetros!$G$85),2))</f>
        <v/>
      </c>
      <c r="BX564" s="66" t="str">
        <f>+IF($W564="","",ROUND((BT564*(Parámetros!$G$86)),2))</f>
        <v/>
      </c>
      <c r="BY564" s="66" t="str">
        <f t="shared" si="794"/>
        <v/>
      </c>
      <c r="BZ564" t="str">
        <f t="shared" si="747"/>
        <v/>
      </c>
      <c r="CA564" t="str">
        <f t="shared" si="748"/>
        <v/>
      </c>
      <c r="CB564" s="118" t="str">
        <f t="shared" si="749"/>
        <v/>
      </c>
      <c r="CC564" s="118" t="str">
        <f t="shared" si="750"/>
        <v/>
      </c>
      <c r="CD564" s="119" t="str">
        <f t="shared" si="795"/>
        <v/>
      </c>
      <c r="CE564" s="66" t="str">
        <f>+IF($W564="","",ROUND((VLOOKUP(ROUNDDOWN($D564-1/frec,0),cob_adi,BO$40,FALSE)*(1+i/frec)^-0.5*(1+Parámetros!$D$103)*(1+rec_fracc)/frec*'TABLAS ADI'!$BC$17),2))</f>
        <v/>
      </c>
      <c r="CF564" s="119" t="str">
        <f t="shared" si="796"/>
        <v/>
      </c>
      <c r="CG564" s="66" t="str">
        <f>+IF($W564="","",ROUND(IF($B564&gt;Parámetros!$D$107,'Tablas Servicio'!CE564+('Tablas Servicio'!CG563-'Tablas Servicio'!CE563),CE564/(1-IF(B564&lt;=10,Parámetros!$D$100,0))),2))</f>
        <v/>
      </c>
      <c r="CH564" s="66" t="str">
        <f t="shared" si="797"/>
        <v/>
      </c>
      <c r="CI564" s="66" t="str">
        <f t="shared" si="797"/>
        <v/>
      </c>
      <c r="CJ564" s="66" t="str">
        <f>+IF($W564="","",ROUND((CG564*Parámetros!$G$85),2))</f>
        <v/>
      </c>
      <c r="CK564" s="66" t="str">
        <f>+IF($W564="","",ROUND((CG564*(Parámetros!$G$86)),2))</f>
        <v/>
      </c>
      <c r="CL564" s="66" t="str">
        <f t="shared" si="798"/>
        <v/>
      </c>
      <c r="CM564" t="str">
        <f t="shared" si="751"/>
        <v/>
      </c>
      <c r="CN564" s="118" t="str">
        <f t="shared" si="752"/>
        <v/>
      </c>
      <c r="CO564" s="118" t="str">
        <f t="shared" si="753"/>
        <v/>
      </c>
      <c r="CP564" s="118" t="str">
        <f t="shared" si="754"/>
        <v/>
      </c>
      <c r="CQ564" s="119" t="str">
        <f t="shared" si="799"/>
        <v/>
      </c>
      <c r="CR564" s="66" t="str">
        <f>+IF($W564="","",ROUND((VLOOKUP(Parámetros!$F$51,'COBERTURAS ADICIONALES'!$S$4:$T$32,2,FALSE)*(1+i/frec)^-0.5*(1+Parámetros!$D$103)*(1+rec_fracc)/frec*$CO$42),2))</f>
        <v/>
      </c>
      <c r="CS564" s="119" t="str">
        <f t="shared" si="800"/>
        <v/>
      </c>
      <c r="CT564" s="66" t="str">
        <f>+IF($W564="","",ROUND(IF($B564&gt;Parámetros!$D$107,'Tablas Servicio'!CR564+('Tablas Servicio'!CT563-'Tablas Servicio'!CR563),CR564/(1-IF(B564&lt;=10,Parámetros!$D$100,0))),2))</f>
        <v/>
      </c>
      <c r="CU564" s="66" t="str">
        <f t="shared" si="801"/>
        <v/>
      </c>
      <c r="CV564" s="66" t="str">
        <f t="shared" si="801"/>
        <v/>
      </c>
      <c r="CW564" s="66" t="str">
        <f>+IF($W564="","",ROUND((CT564*Parámetros!$G$85),2))</f>
        <v/>
      </c>
      <c r="CX564" s="66" t="str">
        <f>+IF($W564="","",ROUND((CT564*(Parámetros!$G$86)),2))</f>
        <v/>
      </c>
      <c r="CY564" s="66" t="str">
        <f t="shared" si="802"/>
        <v/>
      </c>
      <c r="CZ564" t="str">
        <f t="shared" si="755"/>
        <v/>
      </c>
      <c r="DA564" s="118" t="str">
        <f t="shared" si="756"/>
        <v/>
      </c>
      <c r="DB564" s="118" t="str">
        <f t="shared" si="757"/>
        <v/>
      </c>
      <c r="DC564" s="118" t="str">
        <f t="shared" si="758"/>
        <v/>
      </c>
      <c r="DD564" s="121" t="str">
        <f>+IF(OR($W564="",DB564=0),"",ROUND((VLOOKUP(ROUNDDOWN($D564-1/frec,0),cob_adi,CO$40,FALSE)*(1+i/frec)^-0.5*(1+Parámetros!$D$103)*(1+rec_fracc)/frec),6))</f>
        <v/>
      </c>
      <c r="DE564" s="66" t="str">
        <f t="shared" si="803"/>
        <v/>
      </c>
      <c r="DF564" s="119" t="str">
        <f t="shared" si="804"/>
        <v/>
      </c>
      <c r="DG564" s="66" t="str">
        <f>+IF($W564="","",ROUND(IF($B564&gt;Parámetros!$D$107,'Tablas Servicio'!DE564+('Tablas Servicio'!DG563-'Tablas Servicio'!DE563),DE564/(1-IF(B564&lt;=10,Parámetros!$D$100,0))),2))</f>
        <v/>
      </c>
      <c r="DH564" s="66" t="str">
        <f t="shared" si="805"/>
        <v/>
      </c>
      <c r="DI564" s="66" t="str">
        <f t="shared" si="805"/>
        <v/>
      </c>
      <c r="DJ564" s="66" t="str">
        <f>+IF($W564="","",ROUND((DG564*Parámetros!$G$85),2))</f>
        <v/>
      </c>
      <c r="DK564" s="66" t="str">
        <f>+IF($W564="","",ROUND((DG564*(Parámetros!$G$86)),2))</f>
        <v/>
      </c>
      <c r="DL564" s="66" t="str">
        <f t="shared" si="806"/>
        <v/>
      </c>
      <c r="DM564" t="str">
        <f t="shared" si="759"/>
        <v/>
      </c>
      <c r="DN564" s="118" t="str">
        <f t="shared" si="760"/>
        <v/>
      </c>
      <c r="DO564" s="118" t="str">
        <f t="shared" si="761"/>
        <v/>
      </c>
      <c r="DP564" s="118" t="str">
        <f t="shared" si="762"/>
        <v/>
      </c>
      <c r="DQ564" s="122" t="str">
        <f>+IF(OR($W564="",DO564=0),"",ROUND((VLOOKUP(ROUNDDOWN($D564-1/frec,0),cob_adi,DB$40,FALSE)*(1+i/frec)^-0.5*(1+Parámetros!$D$103)*(1+rec_fracc)/frec),6))</f>
        <v/>
      </c>
      <c r="DR564" s="66" t="str">
        <f t="shared" si="807"/>
        <v/>
      </c>
      <c r="DS564" s="68" t="str">
        <f t="shared" si="808"/>
        <v/>
      </c>
      <c r="DT564" s="66" t="str">
        <f>+IF($W564="","",ROUND(IF($B564&gt;Parámetros!$D$107,'Tablas Servicio'!DR564+('Tablas Servicio'!DT563-'Tablas Servicio'!DR563),DR564/(1-IF(B564&lt;=10,Parámetros!$D$100,0))),2))</f>
        <v/>
      </c>
      <c r="DU564" s="66" t="str">
        <f t="shared" si="809"/>
        <v/>
      </c>
      <c r="DV564" s="66" t="str">
        <f t="shared" si="809"/>
        <v/>
      </c>
      <c r="DW564" s="66" t="str">
        <f>+IF($W564="","",ROUND((DT564*Parámetros!$G$85),2))</f>
        <v/>
      </c>
      <c r="DX564" s="66" t="str">
        <f>+IF($W564="","",ROUND((DT564*(Parámetros!$G$86)),2))</f>
        <v/>
      </c>
      <c r="DY564" s="66" t="str">
        <f t="shared" si="810"/>
        <v/>
      </c>
      <c r="DZ564" t="str">
        <f t="shared" si="811"/>
        <v/>
      </c>
      <c r="EA564" s="118" t="str">
        <f t="shared" si="811"/>
        <v/>
      </c>
      <c r="EB564" s="118" t="str">
        <f>+IF($W564="","",ROUND(IF(Parámetros!$D$25='TABLAS MORT'!$V$33,EB563,Z564/2),0))</f>
        <v/>
      </c>
      <c r="EC564" s="118" t="str">
        <f t="shared" si="811"/>
        <v/>
      </c>
      <c r="ED564" s="122" t="str">
        <f>+IF(OR($W564="",EB564=0),"",ROUND((VLOOKUP(ROUNDDOWN($D564-1/frec,0),cob_adi,DO$40,FALSE)*(1+i/frec)^-0.5*(1+Parámetros!$D$103)*(1+rec_fracc)/frec),6))</f>
        <v/>
      </c>
      <c r="EE564" s="66" t="str">
        <f t="shared" si="812"/>
        <v/>
      </c>
      <c r="EF564" s="68" t="str">
        <f t="shared" si="813"/>
        <v/>
      </c>
      <c r="EG564" s="66" t="str">
        <f>+IF($W564="","",ROUND(IF($B564&gt;Parámetros!$D$107,'Tablas Servicio'!EE564+('Tablas Servicio'!EG563-'Tablas Servicio'!EE563),EE564/(1-IF(B564&lt;=10,Parámetros!$D$100,0))),2))</f>
        <v/>
      </c>
      <c r="EH564" s="66" t="str">
        <f t="shared" si="814"/>
        <v/>
      </c>
      <c r="EI564" s="66" t="str">
        <f t="shared" si="814"/>
        <v/>
      </c>
      <c r="EJ564" s="66" t="str">
        <f>+IF($W564="","",ROUND((EG564*Parámetros!$G$85),2))</f>
        <v/>
      </c>
      <c r="EK564" s="66" t="str">
        <f>+IF($W564="","",ROUND((EG564*(Parámetros!$G$86)),2))</f>
        <v/>
      </c>
      <c r="EL564" s="66" t="str">
        <f t="shared" si="815"/>
        <v/>
      </c>
    </row>
    <row r="565" spans="1:142" x14ac:dyDescent="0.25">
      <c r="A565" t="str">
        <f>+IF($C565="","",ROUND(VLOOKUP('Tablas Servicio'!B565,Parámetros!$H$100:$J$159,IF(Parámetros!$E$16="F",2,3),FALSE),2))</f>
        <v/>
      </c>
      <c r="B565" t="str">
        <f t="shared" si="766"/>
        <v/>
      </c>
      <c r="C565" s="57" t="str">
        <f>+IF(D565="","",'Tablas Servicio'!C564+1)</f>
        <v/>
      </c>
      <c r="D565" s="56" t="str">
        <f>+IF(D564&lt;edadmaxtabla,D564+1/Parámetros!$E$25,"")</f>
        <v/>
      </c>
      <c r="E565" s="57" t="str">
        <f t="shared" si="776"/>
        <v/>
      </c>
      <c r="F565" s="59" t="str">
        <f t="shared" si="777"/>
        <v/>
      </c>
      <c r="G565" s="66" t="str">
        <f t="shared" si="767"/>
        <v/>
      </c>
      <c r="H565" s="66" t="str">
        <f t="shared" si="768"/>
        <v/>
      </c>
      <c r="I565" s="66" t="str">
        <f t="shared" si="728"/>
        <v/>
      </c>
      <c r="J565" s="66" t="str">
        <f t="shared" si="769"/>
        <v/>
      </c>
      <c r="K565" s="66" t="str">
        <f t="shared" si="770"/>
        <v/>
      </c>
      <c r="L565" s="66" t="str">
        <f t="shared" si="771"/>
        <v/>
      </c>
      <c r="M565" s="66" t="str">
        <f t="shared" si="772"/>
        <v/>
      </c>
      <c r="N565" s="66" t="str">
        <f>+IF(C565="","",ROUND(Parámetros!$D$23,2))</f>
        <v/>
      </c>
      <c r="O565" s="66" t="str">
        <f t="shared" si="773"/>
        <v/>
      </c>
      <c r="P565" s="66" t="str">
        <f>+IF($C565="","",ROUND(IF(B565&gt;Parámetros!$D$117,0,N565*Parámetros!$D$116-G565*Parámetros!$D$100),2))</f>
        <v/>
      </c>
      <c r="Q565" s="75" t="str">
        <f t="shared" si="729"/>
        <v/>
      </c>
      <c r="R565" s="75" t="str">
        <f t="shared" si="730"/>
        <v/>
      </c>
      <c r="S565" s="117" t="str">
        <f>+IF($C565="","",ROUND((S564+I565)*(1+Parámetros!$D$91),2))</f>
        <v/>
      </c>
      <c r="T565" s="117" t="str">
        <f>+IF($C565="","",ROUND(S565*VLOOKUP(B565,Parámetros!$C$30:$D$39,2,TRUE),2))</f>
        <v/>
      </c>
      <c r="U565" s="117" t="str">
        <f>+IF($C565="","",ROUND((U564+I565)*(1+Parámetros!$D$92),2))</f>
        <v/>
      </c>
      <c r="V565" s="117" t="str">
        <f>+IF($C565="","",ROUND(U565*VLOOKUP(B565,Parámetros!$C$30:$D$39,2,TRUE),2))</f>
        <v/>
      </c>
      <c r="W565" s="57" t="str">
        <f t="shared" si="731"/>
        <v/>
      </c>
      <c r="X565" t="str">
        <f t="shared" si="732"/>
        <v/>
      </c>
      <c r="Y565" t="str">
        <f t="shared" si="733"/>
        <v/>
      </c>
      <c r="Z565" s="118" t="str">
        <f>+IF($W565="","",ROUND(IF(Parámetros!$D$25='TABLAS MORT'!$V$33,Z564,Parámetros!$D$21-'Tablas Servicio'!T564),0))</f>
        <v/>
      </c>
      <c r="AA565" s="118" t="str">
        <f t="shared" si="734"/>
        <v/>
      </c>
      <c r="AB565" s="119" t="str">
        <f>+IF(W565="","",ROUND((VLOOKUP(ROUNDDOWN($D565-1/frec,0),qx_tabla,2,FALSE)*(1+i/frec)^-0.5*(1+Parámetros!$D$103)*(1+rec_fracc)/frec),6))</f>
        <v/>
      </c>
      <c r="AC565" s="66" t="str">
        <f t="shared" si="778"/>
        <v/>
      </c>
      <c r="AD565" s="119" t="str">
        <f t="shared" si="774"/>
        <v/>
      </c>
      <c r="AE565" s="66" t="str">
        <f>+IF($W565="","",ROUND(IF($B565&gt;Parámetros!$D$107,'Tablas Servicio'!AC565+('Tablas Servicio'!AG564-'Tablas Servicio'!AC564),AC565/(1-IF(B565&lt;=10,Parámetros!$D$104,Parámetros!$D$105))),2))</f>
        <v/>
      </c>
      <c r="AF565" s="66" t="str">
        <f>+IF($W565="","",ROUND(IF($B565&gt;Parámetros!$D$107,'Tablas Servicio'!AC565+('Tablas Servicio'!AG564-'Tablas Servicio'!AC564),(AC565+$A564/frec)/(1-IF(B565&lt;=Parámetros!$D$117,Parámetros!$D$100,0))),2))</f>
        <v/>
      </c>
      <c r="AG565" s="66" t="str">
        <f t="shared" si="779"/>
        <v/>
      </c>
      <c r="AH565" s="66" t="str">
        <f t="shared" si="780"/>
        <v/>
      </c>
      <c r="AI565" s="66" t="str">
        <f t="shared" si="781"/>
        <v/>
      </c>
      <c r="AJ565" s="66" t="str">
        <f>+IF($W565="","",ROUND((AG565*Parámetros!$G$85),2))</f>
        <v/>
      </c>
      <c r="AK565" s="66" t="str">
        <f>+IF($W565="","",ROUND((AG565*(Parámetros!$G$86)),2))</f>
        <v/>
      </c>
      <c r="AL565" s="66" t="str">
        <f t="shared" si="775"/>
        <v/>
      </c>
      <c r="AM565" t="str">
        <f t="shared" si="735"/>
        <v/>
      </c>
      <c r="AN565" t="str">
        <f t="shared" si="736"/>
        <v/>
      </c>
      <c r="AO565" s="118" t="str">
        <f t="shared" si="737"/>
        <v/>
      </c>
      <c r="AP565" s="118" t="str">
        <f t="shared" si="738"/>
        <v/>
      </c>
      <c r="AQ565" s="119" t="str">
        <f>+IF(OR($W565="",AO565=0),"",ROUND((VLOOKUP(ROUNDDOWN($D565-1/frec,0),cob_adi,Z$40,FALSE)*(1+i/frec)^-0.5*(1+Parámetros!$D$103)*(1+rec_fracc)/frec),6))</f>
        <v/>
      </c>
      <c r="AR565" s="66" t="str">
        <f t="shared" si="782"/>
        <v/>
      </c>
      <c r="AS565" s="119" t="str">
        <f t="shared" si="783"/>
        <v/>
      </c>
      <c r="AT565" s="66" t="str">
        <f>+IF($W565="","",ROUND(IF($B565&gt;Parámetros!$D$107,'Tablas Servicio'!AR565+('Tablas Servicio'!AT564-'Tablas Servicio'!AR564),AR565/(1-IF(B565&lt;=10,Parámetros!$D$100,0))),2))</f>
        <v/>
      </c>
      <c r="AU565" s="66" t="str">
        <f t="shared" si="784"/>
        <v/>
      </c>
      <c r="AV565" s="66" t="str">
        <f t="shared" si="784"/>
        <v/>
      </c>
      <c r="AW565" s="66" t="str">
        <f>+IF($W565="","",ROUND((AT565*Parámetros!$G$85),2))</f>
        <v/>
      </c>
      <c r="AX565" s="66" t="str">
        <f>+IF($W565="","",ROUND((AT565*(Parámetros!$G$86)),2))</f>
        <v/>
      </c>
      <c r="AY565" s="66" t="str">
        <f t="shared" si="785"/>
        <v/>
      </c>
      <c r="AZ565" t="str">
        <f t="shared" si="739"/>
        <v/>
      </c>
      <c r="BA565" t="str">
        <f t="shared" si="740"/>
        <v/>
      </c>
      <c r="BB565" s="118" t="str">
        <f t="shared" si="741"/>
        <v/>
      </c>
      <c r="BC565" s="118" t="str">
        <f t="shared" si="742"/>
        <v/>
      </c>
      <c r="BD565" s="119" t="str">
        <f>+IF(OR($W565="",BB565=0),"",ROUND((VLOOKUP(ROUNDDOWN($D565-1/frec,0),cob_adi,AO$40,FALSE)*(1+i/frec)^-0.5*(1+Parámetros!$D$103)*(1+rec_fracc)/frec),6))</f>
        <v/>
      </c>
      <c r="BE565" s="66" t="str">
        <f t="shared" si="786"/>
        <v/>
      </c>
      <c r="BF565" s="119" t="str">
        <f t="shared" si="787"/>
        <v/>
      </c>
      <c r="BG565" s="66" t="str">
        <f>+IF($W565="","",ROUND(IF($B565&gt;Parámetros!$D$107,'Tablas Servicio'!BE565+('Tablas Servicio'!BG564-'Tablas Servicio'!BE564),BE565/(1-IF(B565&lt;=10,Parámetros!$D$100,0))),2))</f>
        <v/>
      </c>
      <c r="BH565" s="66" t="str">
        <f t="shared" si="788"/>
        <v/>
      </c>
      <c r="BI565" s="66" t="str">
        <f t="shared" si="789"/>
        <v/>
      </c>
      <c r="BJ565" s="66" t="str">
        <f>+IF($W565="","",ROUND((BG565*Parámetros!$G$85),2))</f>
        <v/>
      </c>
      <c r="BK565" s="66" t="str">
        <f>+IF($W565="","",ROUND((BG565*(Parámetros!$G$86)),2))</f>
        <v/>
      </c>
      <c r="BL565" s="66" t="str">
        <f t="shared" si="790"/>
        <v/>
      </c>
      <c r="BM565" t="str">
        <f t="shared" si="743"/>
        <v/>
      </c>
      <c r="BN565" t="str">
        <f t="shared" si="744"/>
        <v/>
      </c>
      <c r="BO565" s="118" t="str">
        <f t="shared" si="745"/>
        <v/>
      </c>
      <c r="BP565" s="118" t="str">
        <f t="shared" si="746"/>
        <v/>
      </c>
      <c r="BQ565" s="119" t="str">
        <f>+IF(OR($W565="",BO565=0),"",ROUND((VLOOKUP(ROUNDDOWN($D565-1/frec,0),cob_adi,BB$40,FALSE)*(1+i/frec)^-0.5*(1+Parámetros!$D$103)*(1+rec_fracc)/frec),6))</f>
        <v/>
      </c>
      <c r="BR565" s="66" t="str">
        <f t="shared" si="791"/>
        <v/>
      </c>
      <c r="BS565" s="119" t="str">
        <f t="shared" si="792"/>
        <v/>
      </c>
      <c r="BT565" s="66" t="str">
        <f>+IF($W565="","",ROUND(IF($B565&gt;Parámetros!$D$107,'Tablas Servicio'!BR565+('Tablas Servicio'!BT564-'Tablas Servicio'!BR564),BR565/(1-IF(B565&lt;=10,Parámetros!$D$100,0))),2))</f>
        <v/>
      </c>
      <c r="BU565" s="66" t="str">
        <f t="shared" si="793"/>
        <v/>
      </c>
      <c r="BV565" s="66" t="str">
        <f t="shared" si="793"/>
        <v/>
      </c>
      <c r="BW565" s="66" t="str">
        <f>+IF($W565="","",ROUND((BT565*Parámetros!$G$85),2))</f>
        <v/>
      </c>
      <c r="BX565" s="66" t="str">
        <f>+IF($W565="","",ROUND((BT565*(Parámetros!$G$86)),2))</f>
        <v/>
      </c>
      <c r="BY565" s="66" t="str">
        <f t="shared" si="794"/>
        <v/>
      </c>
      <c r="BZ565" t="str">
        <f t="shared" si="747"/>
        <v/>
      </c>
      <c r="CA565" t="str">
        <f t="shared" si="748"/>
        <v/>
      </c>
      <c r="CB565" s="118" t="str">
        <f t="shared" si="749"/>
        <v/>
      </c>
      <c r="CC565" s="118" t="str">
        <f t="shared" si="750"/>
        <v/>
      </c>
      <c r="CD565" s="119" t="str">
        <f t="shared" si="795"/>
        <v/>
      </c>
      <c r="CE565" s="66" t="str">
        <f>+IF($W565="","",ROUND((VLOOKUP(ROUNDDOWN($D565-1/frec,0),cob_adi,BO$40,FALSE)*(1+i/frec)^-0.5*(1+Parámetros!$D$103)*(1+rec_fracc)/frec*'TABLAS ADI'!$BC$17),2))</f>
        <v/>
      </c>
      <c r="CF565" s="119" t="str">
        <f t="shared" si="796"/>
        <v/>
      </c>
      <c r="CG565" s="66" t="str">
        <f>+IF($W565="","",ROUND(IF($B565&gt;Parámetros!$D$107,'Tablas Servicio'!CE565+('Tablas Servicio'!CG564-'Tablas Servicio'!CE564),CE565/(1-IF(B565&lt;=10,Parámetros!$D$100,0))),2))</f>
        <v/>
      </c>
      <c r="CH565" s="66" t="str">
        <f t="shared" si="797"/>
        <v/>
      </c>
      <c r="CI565" s="66" t="str">
        <f t="shared" si="797"/>
        <v/>
      </c>
      <c r="CJ565" s="66" t="str">
        <f>+IF($W565="","",ROUND((CG565*Parámetros!$G$85),2))</f>
        <v/>
      </c>
      <c r="CK565" s="66" t="str">
        <f>+IF($W565="","",ROUND((CG565*(Parámetros!$G$86)),2))</f>
        <v/>
      </c>
      <c r="CL565" s="66" t="str">
        <f t="shared" si="798"/>
        <v/>
      </c>
      <c r="CM565" t="str">
        <f t="shared" si="751"/>
        <v/>
      </c>
      <c r="CN565" s="118" t="str">
        <f t="shared" si="752"/>
        <v/>
      </c>
      <c r="CO565" s="118" t="str">
        <f t="shared" si="753"/>
        <v/>
      </c>
      <c r="CP565" s="118" t="str">
        <f t="shared" si="754"/>
        <v/>
      </c>
      <c r="CQ565" s="119" t="str">
        <f t="shared" si="799"/>
        <v/>
      </c>
      <c r="CR565" s="66" t="str">
        <f>+IF($W565="","",ROUND((VLOOKUP(Parámetros!$F$51,'COBERTURAS ADICIONALES'!$S$4:$T$32,2,FALSE)*(1+i/frec)^-0.5*(1+Parámetros!$D$103)*(1+rec_fracc)/frec*$CO$42),2))</f>
        <v/>
      </c>
      <c r="CS565" s="119" t="str">
        <f t="shared" si="800"/>
        <v/>
      </c>
      <c r="CT565" s="66" t="str">
        <f>+IF($W565="","",ROUND(IF($B565&gt;Parámetros!$D$107,'Tablas Servicio'!CR565+('Tablas Servicio'!CT564-'Tablas Servicio'!CR564),CR565/(1-IF(B565&lt;=10,Parámetros!$D$100,0))),2))</f>
        <v/>
      </c>
      <c r="CU565" s="66" t="str">
        <f t="shared" si="801"/>
        <v/>
      </c>
      <c r="CV565" s="66" t="str">
        <f t="shared" si="801"/>
        <v/>
      </c>
      <c r="CW565" s="66" t="str">
        <f>+IF($W565="","",ROUND((CT565*Parámetros!$G$85),2))</f>
        <v/>
      </c>
      <c r="CX565" s="66" t="str">
        <f>+IF($W565="","",ROUND((CT565*(Parámetros!$G$86)),2))</f>
        <v/>
      </c>
      <c r="CY565" s="66" t="str">
        <f t="shared" si="802"/>
        <v/>
      </c>
      <c r="CZ565" t="str">
        <f t="shared" si="755"/>
        <v/>
      </c>
      <c r="DA565" s="118" t="str">
        <f t="shared" si="756"/>
        <v/>
      </c>
      <c r="DB565" s="118" t="str">
        <f t="shared" si="757"/>
        <v/>
      </c>
      <c r="DC565" s="118" t="str">
        <f t="shared" si="758"/>
        <v/>
      </c>
      <c r="DD565" s="121" t="str">
        <f>+IF(OR($W565="",DB565=0),"",ROUND((VLOOKUP(ROUNDDOWN($D565-1/frec,0),cob_adi,CO$40,FALSE)*(1+i/frec)^-0.5*(1+Parámetros!$D$103)*(1+rec_fracc)/frec),6))</f>
        <v/>
      </c>
      <c r="DE565" s="66" t="str">
        <f t="shared" si="803"/>
        <v/>
      </c>
      <c r="DF565" s="119" t="str">
        <f t="shared" si="804"/>
        <v/>
      </c>
      <c r="DG565" s="66" t="str">
        <f>+IF($W565="","",ROUND(IF($B565&gt;Parámetros!$D$107,'Tablas Servicio'!DE565+('Tablas Servicio'!DG564-'Tablas Servicio'!DE564),DE565/(1-IF(B565&lt;=10,Parámetros!$D$100,0))),2))</f>
        <v/>
      </c>
      <c r="DH565" s="66" t="str">
        <f t="shared" si="805"/>
        <v/>
      </c>
      <c r="DI565" s="66" t="str">
        <f t="shared" si="805"/>
        <v/>
      </c>
      <c r="DJ565" s="66" t="str">
        <f>+IF($W565="","",ROUND((DG565*Parámetros!$G$85),2))</f>
        <v/>
      </c>
      <c r="DK565" s="66" t="str">
        <f>+IF($W565="","",ROUND((DG565*(Parámetros!$G$86)),2))</f>
        <v/>
      </c>
      <c r="DL565" s="66" t="str">
        <f t="shared" si="806"/>
        <v/>
      </c>
      <c r="DM565" t="str">
        <f t="shared" si="759"/>
        <v/>
      </c>
      <c r="DN565" s="118" t="str">
        <f t="shared" si="760"/>
        <v/>
      </c>
      <c r="DO565" s="118" t="str">
        <f t="shared" si="761"/>
        <v/>
      </c>
      <c r="DP565" s="118" t="str">
        <f t="shared" si="762"/>
        <v/>
      </c>
      <c r="DQ565" s="122" t="str">
        <f>+IF(OR($W565="",DO565=0),"",ROUND((VLOOKUP(ROUNDDOWN($D565-1/frec,0),cob_adi,DB$40,FALSE)*(1+i/frec)^-0.5*(1+Parámetros!$D$103)*(1+rec_fracc)/frec),6))</f>
        <v/>
      </c>
      <c r="DR565" s="66" t="str">
        <f t="shared" si="807"/>
        <v/>
      </c>
      <c r="DS565" s="68" t="str">
        <f t="shared" si="808"/>
        <v/>
      </c>
      <c r="DT565" s="66" t="str">
        <f>+IF($W565="","",ROUND(IF($B565&gt;Parámetros!$D$107,'Tablas Servicio'!DR565+('Tablas Servicio'!DT564-'Tablas Servicio'!DR564),DR565/(1-IF(B565&lt;=10,Parámetros!$D$100,0))),2))</f>
        <v/>
      </c>
      <c r="DU565" s="66" t="str">
        <f t="shared" si="809"/>
        <v/>
      </c>
      <c r="DV565" s="66" t="str">
        <f t="shared" si="809"/>
        <v/>
      </c>
      <c r="DW565" s="66" t="str">
        <f>+IF($W565="","",ROUND((DT565*Parámetros!$G$85),2))</f>
        <v/>
      </c>
      <c r="DX565" s="66" t="str">
        <f>+IF($W565="","",ROUND((DT565*(Parámetros!$G$86)),2))</f>
        <v/>
      </c>
      <c r="DY565" s="66" t="str">
        <f t="shared" si="810"/>
        <v/>
      </c>
      <c r="DZ565" t="str">
        <f t="shared" si="811"/>
        <v/>
      </c>
      <c r="EA565" s="118" t="str">
        <f t="shared" si="811"/>
        <v/>
      </c>
      <c r="EB565" s="118" t="str">
        <f>+IF($W565="","",ROUND(IF(Parámetros!$D$25='TABLAS MORT'!$V$33,EB564,Z565/2),0))</f>
        <v/>
      </c>
      <c r="EC565" s="118" t="str">
        <f t="shared" si="811"/>
        <v/>
      </c>
      <c r="ED565" s="122" t="str">
        <f>+IF(OR($W565="",EB565=0),"",ROUND((VLOOKUP(ROUNDDOWN($D565-1/frec,0),cob_adi,DO$40,FALSE)*(1+i/frec)^-0.5*(1+Parámetros!$D$103)*(1+rec_fracc)/frec),6))</f>
        <v/>
      </c>
      <c r="EE565" s="66" t="str">
        <f t="shared" si="812"/>
        <v/>
      </c>
      <c r="EF565" s="68" t="str">
        <f t="shared" si="813"/>
        <v/>
      </c>
      <c r="EG565" s="66" t="str">
        <f>+IF($W565="","",ROUND(IF($B565&gt;Parámetros!$D$107,'Tablas Servicio'!EE565+('Tablas Servicio'!EG564-'Tablas Servicio'!EE564),EE565/(1-IF(B565&lt;=10,Parámetros!$D$100,0))),2))</f>
        <v/>
      </c>
      <c r="EH565" s="66" t="str">
        <f t="shared" si="814"/>
        <v/>
      </c>
      <c r="EI565" s="66" t="str">
        <f t="shared" si="814"/>
        <v/>
      </c>
      <c r="EJ565" s="66" t="str">
        <f>+IF($W565="","",ROUND((EG565*Parámetros!$G$85),2))</f>
        <v/>
      </c>
      <c r="EK565" s="66" t="str">
        <f>+IF($W565="","",ROUND((EG565*(Parámetros!$G$86)),2))</f>
        <v/>
      </c>
      <c r="EL565" s="66" t="str">
        <f t="shared" si="815"/>
        <v/>
      </c>
    </row>
    <row r="566" spans="1:142" x14ac:dyDescent="0.25">
      <c r="A566" t="str">
        <f>+IF($C566="","",ROUND(VLOOKUP('Tablas Servicio'!B566,Parámetros!$H$100:$J$159,IF(Parámetros!$E$16="F",2,3),FALSE),2))</f>
        <v/>
      </c>
      <c r="B566" t="str">
        <f t="shared" si="766"/>
        <v/>
      </c>
      <c r="C566" s="57" t="str">
        <f>+IF(D566="","",'Tablas Servicio'!C565+1)</f>
        <v/>
      </c>
      <c r="D566" s="56" t="str">
        <f>+IF(D565&lt;edadmaxtabla,D565+1/Parámetros!$E$25,"")</f>
        <v/>
      </c>
      <c r="E566" s="57" t="str">
        <f t="shared" si="776"/>
        <v/>
      </c>
      <c r="F566" s="59" t="str">
        <f t="shared" si="777"/>
        <v/>
      </c>
      <c r="G566" s="66" t="str">
        <f t="shared" si="767"/>
        <v/>
      </c>
      <c r="H566" s="66" t="str">
        <f t="shared" si="768"/>
        <v/>
      </c>
      <c r="I566" s="66" t="str">
        <f t="shared" ref="I566:I629" si="816">+IF($C566="","",N566-H566-P566)</f>
        <v/>
      </c>
      <c r="J566" s="66" t="str">
        <f t="shared" si="769"/>
        <v/>
      </c>
      <c r="K566" s="66" t="str">
        <f t="shared" si="770"/>
        <v/>
      </c>
      <c r="L566" s="66" t="str">
        <f t="shared" si="771"/>
        <v/>
      </c>
      <c r="M566" s="66" t="str">
        <f t="shared" si="772"/>
        <v/>
      </c>
      <c r="N566" s="66" t="str">
        <f>+IF(C566="","",ROUND(Parámetros!$D$23,2))</f>
        <v/>
      </c>
      <c r="O566" s="66" t="str">
        <f t="shared" si="773"/>
        <v/>
      </c>
      <c r="P566" s="66" t="str">
        <f>+IF($C566="","",ROUND(IF(B566&gt;Parámetros!$D$117,0,N566*Parámetros!$D$116-G566*Parámetros!$D$100),2))</f>
        <v/>
      </c>
      <c r="Q566" s="75" t="str">
        <f t="shared" ref="Q566:Q629" si="817">+IF($C566="","",J566/$G566)</f>
        <v/>
      </c>
      <c r="R566" s="75" t="str">
        <f t="shared" ref="R566:R629" si="818">+IF($C566="","",K566/$G566)</f>
        <v/>
      </c>
      <c r="S566" s="117" t="str">
        <f>+IF($C566="","",ROUND((S565+I566)*(1+Parámetros!$D$91),2))</f>
        <v/>
      </c>
      <c r="T566" s="117" t="str">
        <f>+IF($C566="","",ROUND(S566*VLOOKUP(B566,Parámetros!$C$30:$D$39,2,TRUE),2))</f>
        <v/>
      </c>
      <c r="U566" s="117" t="str">
        <f>+IF($C566="","",ROUND((U565+I566)*(1+Parámetros!$D$92),2))</f>
        <v/>
      </c>
      <c r="V566" s="117" t="str">
        <f>+IF($C566="","",ROUND(U566*VLOOKUP(B566,Parámetros!$C$30:$D$39,2,TRUE),2))</f>
        <v/>
      </c>
      <c r="W566" s="57" t="str">
        <f t="shared" ref="W566:W629" si="819">+C566</f>
        <v/>
      </c>
      <c r="X566" t="str">
        <f t="shared" ref="X566:X629" si="820">+IF($W566="","",X565)</f>
        <v/>
      </c>
      <c r="Y566" t="str">
        <f t="shared" ref="Y566:Y629" si="821">+IF($W566="","",Y565)</f>
        <v/>
      </c>
      <c r="Z566" s="118" t="str">
        <f>+IF($W566="","",ROUND(IF(Parámetros!$D$25='TABLAS MORT'!$V$33,Z565,Parámetros!$D$21-'Tablas Servicio'!T565),0))</f>
        <v/>
      </c>
      <c r="AA566" s="118" t="str">
        <f t="shared" ref="AA566:AA629" si="822">+IF($W566="","",AA565)</f>
        <v/>
      </c>
      <c r="AB566" s="119" t="str">
        <f>+IF(W566="","",ROUND((VLOOKUP(ROUNDDOWN($D566-1/frec,0),qx_tabla,2,FALSE)*(1+i/frec)^-0.5*(1+Parámetros!$D$103)*(1+rec_fracc)/frec),6))</f>
        <v/>
      </c>
      <c r="AC566" s="66" t="str">
        <f t="shared" si="778"/>
        <v/>
      </c>
      <c r="AD566" s="119" t="str">
        <f t="shared" si="774"/>
        <v/>
      </c>
      <c r="AE566" s="66" t="str">
        <f>+IF($W566="","",ROUND(IF($B566&gt;Parámetros!$D$107,'Tablas Servicio'!AC566+('Tablas Servicio'!AG565-'Tablas Servicio'!AC565),AC566/(1-IF(B566&lt;=10,Parámetros!$D$104,Parámetros!$D$105))),2))</f>
        <v/>
      </c>
      <c r="AF566" s="66" t="str">
        <f>+IF($W566="","",ROUND(IF($B566&gt;Parámetros!$D$107,'Tablas Servicio'!AC566+('Tablas Servicio'!AG565-'Tablas Servicio'!AC565),(AC566+$A565/frec)/(1-IF(B566&lt;=Parámetros!$D$117,Parámetros!$D$100,0))),2))</f>
        <v/>
      </c>
      <c r="AG566" s="66" t="str">
        <f t="shared" si="779"/>
        <v/>
      </c>
      <c r="AH566" s="66" t="str">
        <f t="shared" si="780"/>
        <v/>
      </c>
      <c r="AI566" s="66" t="str">
        <f t="shared" si="781"/>
        <v/>
      </c>
      <c r="AJ566" s="66" t="str">
        <f>+IF($W566="","",ROUND((AG566*Parámetros!$G$85),2))</f>
        <v/>
      </c>
      <c r="AK566" s="66" t="str">
        <f>+IF($W566="","",ROUND((AG566*(Parámetros!$G$86)),2))</f>
        <v/>
      </c>
      <c r="AL566" s="66" t="str">
        <f t="shared" si="775"/>
        <v/>
      </c>
      <c r="AM566" t="str">
        <f t="shared" ref="AM566:AM629" si="823">+IF($W566="","",AM565)</f>
        <v/>
      </c>
      <c r="AN566" t="str">
        <f t="shared" ref="AN566:AN629" si="824">+IF($W566="","",AN565)</f>
        <v/>
      </c>
      <c r="AO566" s="118" t="str">
        <f t="shared" ref="AO566:AO629" si="825">+IF($W566="","",AO565)</f>
        <v/>
      </c>
      <c r="AP566" s="118" t="str">
        <f t="shared" ref="AP566:AP629" si="826">+IF($W566="","",AP565)</f>
        <v/>
      </c>
      <c r="AQ566" s="119" t="str">
        <f>+IF(OR($W566="",AO566=0),"",ROUND((VLOOKUP(ROUNDDOWN($D566-1/frec,0),cob_adi,Z$40,FALSE)*(1+i/frec)^-0.5*(1+Parámetros!$D$103)*(1+rec_fracc)/frec),6))</f>
        <v/>
      </c>
      <c r="AR566" s="66" t="str">
        <f t="shared" si="782"/>
        <v/>
      </c>
      <c r="AS566" s="119" t="str">
        <f t="shared" si="783"/>
        <v/>
      </c>
      <c r="AT566" s="66" t="str">
        <f>+IF($W566="","",ROUND(IF($B566&gt;Parámetros!$D$107,'Tablas Servicio'!AR566+('Tablas Servicio'!AT565-'Tablas Servicio'!AR565),AR566/(1-IF(B566&lt;=10,Parámetros!$D$100,0))),2))</f>
        <v/>
      </c>
      <c r="AU566" s="66" t="str">
        <f t="shared" si="784"/>
        <v/>
      </c>
      <c r="AV566" s="66" t="str">
        <f t="shared" si="784"/>
        <v/>
      </c>
      <c r="AW566" s="66" t="str">
        <f>+IF($W566="","",ROUND((AT566*Parámetros!$G$85),2))</f>
        <v/>
      </c>
      <c r="AX566" s="66" t="str">
        <f>+IF($W566="","",ROUND((AT566*(Parámetros!$G$86)),2))</f>
        <v/>
      </c>
      <c r="AY566" s="66" t="str">
        <f t="shared" si="785"/>
        <v/>
      </c>
      <c r="AZ566" t="str">
        <f t="shared" ref="AZ566:AZ629" si="827">+IF($W566="","",AZ565)</f>
        <v/>
      </c>
      <c r="BA566" t="str">
        <f t="shared" ref="BA566:BA629" si="828">+IF($W566="","",BA565)</f>
        <v/>
      </c>
      <c r="BB566" s="118" t="str">
        <f t="shared" ref="BB566:BB629" si="829">+IF($W566="","",BB565)</f>
        <v/>
      </c>
      <c r="BC566" s="118" t="str">
        <f t="shared" ref="BC566:BC629" si="830">+IF($W566="","",BC565)</f>
        <v/>
      </c>
      <c r="BD566" s="119" t="str">
        <f>+IF(OR($W566="",BB566=0),"",ROUND((VLOOKUP(ROUNDDOWN($D566-1/frec,0),cob_adi,AO$40,FALSE)*(1+i/frec)^-0.5*(1+Parámetros!$D$103)*(1+rec_fracc)/frec),6))</f>
        <v/>
      </c>
      <c r="BE566" s="66" t="str">
        <f t="shared" si="786"/>
        <v/>
      </c>
      <c r="BF566" s="119" t="str">
        <f t="shared" si="787"/>
        <v/>
      </c>
      <c r="BG566" s="66" t="str">
        <f>+IF($W566="","",ROUND(IF($B566&gt;Parámetros!$D$107,'Tablas Servicio'!BE566+('Tablas Servicio'!BG565-'Tablas Servicio'!BE565),BE566/(1-IF(B566&lt;=10,Parámetros!$D$100,0))),2))</f>
        <v/>
      </c>
      <c r="BH566" s="66" t="str">
        <f t="shared" si="788"/>
        <v/>
      </c>
      <c r="BI566" s="66" t="str">
        <f t="shared" si="789"/>
        <v/>
      </c>
      <c r="BJ566" s="66" t="str">
        <f>+IF($W566="","",ROUND((BG566*Parámetros!$G$85),2))</f>
        <v/>
      </c>
      <c r="BK566" s="66" t="str">
        <f>+IF($W566="","",ROUND((BG566*(Parámetros!$G$86)),2))</f>
        <v/>
      </c>
      <c r="BL566" s="66" t="str">
        <f t="shared" si="790"/>
        <v/>
      </c>
      <c r="BM566" t="str">
        <f t="shared" ref="BM566:BM629" si="831">+IF($W566="","",BM565)</f>
        <v/>
      </c>
      <c r="BN566" t="str">
        <f t="shared" ref="BN566:BN629" si="832">+IF($W566="","",BN565)</f>
        <v/>
      </c>
      <c r="BO566" s="118" t="str">
        <f t="shared" ref="BO566:BO629" si="833">+IF($W566="","",BO565)</f>
        <v/>
      </c>
      <c r="BP566" s="118" t="str">
        <f t="shared" ref="BP566:BP629" si="834">+IF($W566="","",BP565)</f>
        <v/>
      </c>
      <c r="BQ566" s="119" t="str">
        <f>+IF(OR($W566="",BO566=0),"",ROUND((VLOOKUP(ROUNDDOWN($D566-1/frec,0),cob_adi,BB$40,FALSE)*(1+i/frec)^-0.5*(1+Parámetros!$D$103)*(1+rec_fracc)/frec),6))</f>
        <v/>
      </c>
      <c r="BR566" s="66" t="str">
        <f t="shared" si="791"/>
        <v/>
      </c>
      <c r="BS566" s="119" t="str">
        <f t="shared" si="792"/>
        <v/>
      </c>
      <c r="BT566" s="66" t="str">
        <f>+IF($W566="","",ROUND(IF($B566&gt;Parámetros!$D$107,'Tablas Servicio'!BR566+('Tablas Servicio'!BT565-'Tablas Servicio'!BR565),BR566/(1-IF(B566&lt;=10,Parámetros!$D$100,0))),2))</f>
        <v/>
      </c>
      <c r="BU566" s="66" t="str">
        <f t="shared" si="793"/>
        <v/>
      </c>
      <c r="BV566" s="66" t="str">
        <f t="shared" si="793"/>
        <v/>
      </c>
      <c r="BW566" s="66" t="str">
        <f>+IF($W566="","",ROUND((BT566*Parámetros!$G$85),2))</f>
        <v/>
      </c>
      <c r="BX566" s="66" t="str">
        <f>+IF($W566="","",ROUND((BT566*(Parámetros!$G$86)),2))</f>
        <v/>
      </c>
      <c r="BY566" s="66" t="str">
        <f t="shared" si="794"/>
        <v/>
      </c>
      <c r="BZ566" t="str">
        <f t="shared" ref="BZ566:BZ629" si="835">+IF($W566="","",BZ565)</f>
        <v/>
      </c>
      <c r="CA566" t="str">
        <f t="shared" ref="CA566:CA629" si="836">+IF($W566="","",CA565)</f>
        <v/>
      </c>
      <c r="CB566" s="118" t="str">
        <f t="shared" ref="CB566:CB629" si="837">+IF($W566="","",CB565)</f>
        <v/>
      </c>
      <c r="CC566" s="118" t="str">
        <f t="shared" ref="CC566:CC629" si="838">+IF($W566="","",CC565)</f>
        <v/>
      </c>
      <c r="CD566" s="119" t="str">
        <f t="shared" si="795"/>
        <v/>
      </c>
      <c r="CE566" s="66" t="str">
        <f>+IF($W566="","",ROUND((VLOOKUP(ROUNDDOWN($D566-1/frec,0),cob_adi,BO$40,FALSE)*(1+i/frec)^-0.5*(1+Parámetros!$D$103)*(1+rec_fracc)/frec*'TABLAS ADI'!$BC$17),2))</f>
        <v/>
      </c>
      <c r="CF566" s="119" t="str">
        <f t="shared" si="796"/>
        <v/>
      </c>
      <c r="CG566" s="66" t="str">
        <f>+IF($W566="","",ROUND(IF($B566&gt;Parámetros!$D$107,'Tablas Servicio'!CE566+('Tablas Servicio'!CG565-'Tablas Servicio'!CE565),CE566/(1-IF(B566&lt;=10,Parámetros!$D$100,0))),2))</f>
        <v/>
      </c>
      <c r="CH566" s="66" t="str">
        <f t="shared" si="797"/>
        <v/>
      </c>
      <c r="CI566" s="66" t="str">
        <f t="shared" si="797"/>
        <v/>
      </c>
      <c r="CJ566" s="66" t="str">
        <f>+IF($W566="","",ROUND((CG566*Parámetros!$G$85),2))</f>
        <v/>
      </c>
      <c r="CK566" s="66" t="str">
        <f>+IF($W566="","",ROUND((CG566*(Parámetros!$G$86)),2))</f>
        <v/>
      </c>
      <c r="CL566" s="66" t="str">
        <f t="shared" si="798"/>
        <v/>
      </c>
      <c r="CM566" t="str">
        <f t="shared" ref="CM566:CM629" si="839">+IF($W566="","",CM565)</f>
        <v/>
      </c>
      <c r="CN566" s="118" t="str">
        <f t="shared" ref="CN566:CN629" si="840">+IF($W566="","",CN565)</f>
        <v/>
      </c>
      <c r="CO566" s="118" t="str">
        <f t="shared" ref="CO566:CO629" si="841">+IF($W566="","",CO565)</f>
        <v/>
      </c>
      <c r="CP566" s="118" t="str">
        <f t="shared" ref="CP566:CP629" si="842">+IF($W566="","",CP565)</f>
        <v/>
      </c>
      <c r="CQ566" s="119" t="str">
        <f t="shared" si="799"/>
        <v/>
      </c>
      <c r="CR566" s="66" t="str">
        <f>+IF($W566="","",ROUND((VLOOKUP(Parámetros!$F$51,'COBERTURAS ADICIONALES'!$S$4:$T$32,2,FALSE)*(1+i/frec)^-0.5*(1+Parámetros!$D$103)*(1+rec_fracc)/frec*$CO$42),2))</f>
        <v/>
      </c>
      <c r="CS566" s="119" t="str">
        <f t="shared" si="800"/>
        <v/>
      </c>
      <c r="CT566" s="66" t="str">
        <f>+IF($W566="","",ROUND(IF($B566&gt;Parámetros!$D$107,'Tablas Servicio'!CR566+('Tablas Servicio'!CT565-'Tablas Servicio'!CR565),CR566/(1-IF(B566&lt;=10,Parámetros!$D$100,0))),2))</f>
        <v/>
      </c>
      <c r="CU566" s="66" t="str">
        <f t="shared" si="801"/>
        <v/>
      </c>
      <c r="CV566" s="66" t="str">
        <f t="shared" si="801"/>
        <v/>
      </c>
      <c r="CW566" s="66" t="str">
        <f>+IF($W566="","",ROUND((CT566*Parámetros!$G$85),2))</f>
        <v/>
      </c>
      <c r="CX566" s="66" t="str">
        <f>+IF($W566="","",ROUND((CT566*(Parámetros!$G$86)),2))</f>
        <v/>
      </c>
      <c r="CY566" s="66" t="str">
        <f t="shared" si="802"/>
        <v/>
      </c>
      <c r="CZ566" t="str">
        <f t="shared" ref="CZ566:CZ629" si="843">+IF($W566="","",CZ565)</f>
        <v/>
      </c>
      <c r="DA566" s="118" t="str">
        <f t="shared" ref="DA566:DA629" si="844">+IF($W566="","",DA565)</f>
        <v/>
      </c>
      <c r="DB566" s="118" t="str">
        <f t="shared" ref="DB566:DB629" si="845">+IF($W566="","",DB565)</f>
        <v/>
      </c>
      <c r="DC566" s="118" t="str">
        <f t="shared" ref="DC566:DC629" si="846">+IF($W566="","",DC565)</f>
        <v/>
      </c>
      <c r="DD566" s="121" t="str">
        <f>+IF(OR($W566="",DB566=0),"",ROUND((VLOOKUP(ROUNDDOWN($D566-1/frec,0),cob_adi,CO$40,FALSE)*(1+i/frec)^-0.5*(1+Parámetros!$D$103)*(1+rec_fracc)/frec),6))</f>
        <v/>
      </c>
      <c r="DE566" s="66" t="str">
        <f t="shared" si="803"/>
        <v/>
      </c>
      <c r="DF566" s="119" t="str">
        <f t="shared" si="804"/>
        <v/>
      </c>
      <c r="DG566" s="66" t="str">
        <f>+IF($W566="","",ROUND(IF($B566&gt;Parámetros!$D$107,'Tablas Servicio'!DE566+('Tablas Servicio'!DG565-'Tablas Servicio'!DE565),DE566/(1-IF(B566&lt;=10,Parámetros!$D$100,0))),2))</f>
        <v/>
      </c>
      <c r="DH566" s="66" t="str">
        <f t="shared" si="805"/>
        <v/>
      </c>
      <c r="DI566" s="66" t="str">
        <f t="shared" si="805"/>
        <v/>
      </c>
      <c r="DJ566" s="66" t="str">
        <f>+IF($W566="","",ROUND((DG566*Parámetros!$G$85),2))</f>
        <v/>
      </c>
      <c r="DK566" s="66" t="str">
        <f>+IF($W566="","",ROUND((DG566*(Parámetros!$G$86)),2))</f>
        <v/>
      </c>
      <c r="DL566" s="66" t="str">
        <f t="shared" si="806"/>
        <v/>
      </c>
      <c r="DM566" t="str">
        <f t="shared" ref="DM566:DM629" si="847">+IF($W566="","",DM565)</f>
        <v/>
      </c>
      <c r="DN566" s="118" t="str">
        <f t="shared" ref="DN566:DN629" si="848">+IF($W566="","",DN565)</f>
        <v/>
      </c>
      <c r="DO566" s="118" t="str">
        <f t="shared" ref="DO566:DO629" si="849">+IF($W566="","",DO565)</f>
        <v/>
      </c>
      <c r="DP566" s="118" t="str">
        <f t="shared" ref="DP566:DP629" si="850">+IF($W566="","",DP565)</f>
        <v/>
      </c>
      <c r="DQ566" s="122" t="str">
        <f>+IF(OR($W566="",DO566=0),"",ROUND((VLOOKUP(ROUNDDOWN($D566-1/frec,0),cob_adi,DB$40,FALSE)*(1+i/frec)^-0.5*(1+Parámetros!$D$103)*(1+rec_fracc)/frec),6))</f>
        <v/>
      </c>
      <c r="DR566" s="66" t="str">
        <f t="shared" si="807"/>
        <v/>
      </c>
      <c r="DS566" s="68" t="str">
        <f t="shared" si="808"/>
        <v/>
      </c>
      <c r="DT566" s="66" t="str">
        <f>+IF($W566="","",ROUND(IF($B566&gt;Parámetros!$D$107,'Tablas Servicio'!DR566+('Tablas Servicio'!DT565-'Tablas Servicio'!DR565),DR566/(1-IF(B566&lt;=10,Parámetros!$D$100,0))),2))</f>
        <v/>
      </c>
      <c r="DU566" s="66" t="str">
        <f t="shared" si="809"/>
        <v/>
      </c>
      <c r="DV566" s="66" t="str">
        <f t="shared" si="809"/>
        <v/>
      </c>
      <c r="DW566" s="66" t="str">
        <f>+IF($W566="","",ROUND((DT566*Parámetros!$G$85),2))</f>
        <v/>
      </c>
      <c r="DX566" s="66" t="str">
        <f>+IF($W566="","",ROUND((DT566*(Parámetros!$G$86)),2))</f>
        <v/>
      </c>
      <c r="DY566" s="66" t="str">
        <f t="shared" si="810"/>
        <v/>
      </c>
      <c r="DZ566" t="str">
        <f t="shared" si="811"/>
        <v/>
      </c>
      <c r="EA566" s="118" t="str">
        <f t="shared" si="811"/>
        <v/>
      </c>
      <c r="EB566" s="118" t="str">
        <f>+IF($W566="","",ROUND(IF(Parámetros!$D$25='TABLAS MORT'!$V$33,EB565,Z566/2),0))</f>
        <v/>
      </c>
      <c r="EC566" s="118" t="str">
        <f t="shared" si="811"/>
        <v/>
      </c>
      <c r="ED566" s="122" t="str">
        <f>+IF(OR($W566="",EB566=0),"",ROUND((VLOOKUP(ROUNDDOWN($D566-1/frec,0),cob_adi,DO$40,FALSE)*(1+i/frec)^-0.5*(1+Parámetros!$D$103)*(1+rec_fracc)/frec),6))</f>
        <v/>
      </c>
      <c r="EE566" s="66" t="str">
        <f t="shared" si="812"/>
        <v/>
      </c>
      <c r="EF566" s="68" t="str">
        <f t="shared" si="813"/>
        <v/>
      </c>
      <c r="EG566" s="66" t="str">
        <f>+IF($W566="","",ROUND(IF($B566&gt;Parámetros!$D$107,'Tablas Servicio'!EE566+('Tablas Servicio'!EG565-'Tablas Servicio'!EE565),EE566/(1-IF(B566&lt;=10,Parámetros!$D$100,0))),2))</f>
        <v/>
      </c>
      <c r="EH566" s="66" t="str">
        <f t="shared" si="814"/>
        <v/>
      </c>
      <c r="EI566" s="66" t="str">
        <f t="shared" si="814"/>
        <v/>
      </c>
      <c r="EJ566" s="66" t="str">
        <f>+IF($W566="","",ROUND((EG566*Parámetros!$G$85),2))</f>
        <v/>
      </c>
      <c r="EK566" s="66" t="str">
        <f>+IF($W566="","",ROUND((EG566*(Parámetros!$G$86)),2))</f>
        <v/>
      </c>
      <c r="EL566" s="66" t="str">
        <f t="shared" si="815"/>
        <v/>
      </c>
    </row>
    <row r="567" spans="1:142" x14ac:dyDescent="0.25">
      <c r="A567" t="str">
        <f>+IF($C567="","",ROUND(VLOOKUP('Tablas Servicio'!B567,Parámetros!$H$100:$J$159,IF(Parámetros!$E$16="F",2,3),FALSE),2))</f>
        <v/>
      </c>
      <c r="B567" t="str">
        <f t="shared" si="766"/>
        <v/>
      </c>
      <c r="C567" s="57" t="str">
        <f>+IF(D567="","",'Tablas Servicio'!C566+1)</f>
        <v/>
      </c>
      <c r="D567" s="56" t="str">
        <f>+IF(D566&lt;edadmaxtabla,D566+1/Parámetros!$E$25,"")</f>
        <v/>
      </c>
      <c r="E567" s="57" t="str">
        <f t="shared" si="776"/>
        <v/>
      </c>
      <c r="F567" s="59" t="str">
        <f t="shared" si="777"/>
        <v/>
      </c>
      <c r="G567" s="66" t="str">
        <f t="shared" si="767"/>
        <v/>
      </c>
      <c r="H567" s="66" t="str">
        <f t="shared" si="768"/>
        <v/>
      </c>
      <c r="I567" s="66" t="str">
        <f t="shared" si="816"/>
        <v/>
      </c>
      <c r="J567" s="66" t="str">
        <f t="shared" si="769"/>
        <v/>
      </c>
      <c r="K567" s="66" t="str">
        <f t="shared" si="770"/>
        <v/>
      </c>
      <c r="L567" s="66" t="str">
        <f t="shared" si="771"/>
        <v/>
      </c>
      <c r="M567" s="66" t="str">
        <f t="shared" si="772"/>
        <v/>
      </c>
      <c r="N567" s="66" t="str">
        <f>+IF(C567="","",ROUND(Parámetros!$D$23,2))</f>
        <v/>
      </c>
      <c r="O567" s="66" t="str">
        <f t="shared" si="773"/>
        <v/>
      </c>
      <c r="P567" s="66" t="str">
        <f>+IF($C567="","",ROUND(IF(B567&gt;Parámetros!$D$117,0,N567*Parámetros!$D$116-G567*Parámetros!$D$100),2))</f>
        <v/>
      </c>
      <c r="Q567" s="75" t="str">
        <f t="shared" si="817"/>
        <v/>
      </c>
      <c r="R567" s="75" t="str">
        <f t="shared" si="818"/>
        <v/>
      </c>
      <c r="S567" s="117" t="str">
        <f>+IF($C567="","",ROUND((S566+I567)*(1+Parámetros!$D$91),2))</f>
        <v/>
      </c>
      <c r="T567" s="117" t="str">
        <f>+IF($C567="","",ROUND(S567*VLOOKUP(B567,Parámetros!$C$30:$D$39,2,TRUE),2))</f>
        <v/>
      </c>
      <c r="U567" s="117" t="str">
        <f>+IF($C567="","",ROUND((U566+I567)*(1+Parámetros!$D$92),2))</f>
        <v/>
      </c>
      <c r="V567" s="117" t="str">
        <f>+IF($C567="","",ROUND(U567*VLOOKUP(B567,Parámetros!$C$30:$D$39,2,TRUE),2))</f>
        <v/>
      </c>
      <c r="W567" s="57" t="str">
        <f t="shared" si="819"/>
        <v/>
      </c>
      <c r="X567" t="str">
        <f t="shared" si="820"/>
        <v/>
      </c>
      <c r="Y567" t="str">
        <f t="shared" si="821"/>
        <v/>
      </c>
      <c r="Z567" s="118" t="str">
        <f>+IF($W567="","",ROUND(IF(Parámetros!$D$25='TABLAS MORT'!$V$33,Z566,Parámetros!$D$21-'Tablas Servicio'!T566),0))</f>
        <v/>
      </c>
      <c r="AA567" s="118" t="str">
        <f t="shared" si="822"/>
        <v/>
      </c>
      <c r="AB567" s="119" t="str">
        <f>+IF(W567="","",ROUND((VLOOKUP(ROUNDDOWN($D567-1/frec,0),qx_tabla,2,FALSE)*(1+i/frec)^-0.5*(1+Parámetros!$D$103)*(1+rec_fracc)/frec),6))</f>
        <v/>
      </c>
      <c r="AC567" s="66" t="str">
        <f t="shared" si="778"/>
        <v/>
      </c>
      <c r="AD567" s="119" t="str">
        <f t="shared" si="774"/>
        <v/>
      </c>
      <c r="AE567" s="66" t="str">
        <f>+IF($W567="","",ROUND(IF($B567&gt;Parámetros!$D$107,'Tablas Servicio'!AC567+('Tablas Servicio'!AG566-'Tablas Servicio'!AC566),AC567/(1-IF(B567&lt;=10,Parámetros!$D$104,Parámetros!$D$105))),2))</f>
        <v/>
      </c>
      <c r="AF567" s="66" t="str">
        <f>+IF($W567="","",ROUND(IF($B567&gt;Parámetros!$D$107,'Tablas Servicio'!AC567+('Tablas Servicio'!AG566-'Tablas Servicio'!AC566),(AC567+$A566/frec)/(1-IF(B567&lt;=Parámetros!$D$117,Parámetros!$D$100,0))),2))</f>
        <v/>
      </c>
      <c r="AG567" s="66" t="str">
        <f t="shared" si="779"/>
        <v/>
      </c>
      <c r="AH567" s="66" t="str">
        <f t="shared" si="780"/>
        <v/>
      </c>
      <c r="AI567" s="66" t="str">
        <f t="shared" si="781"/>
        <v/>
      </c>
      <c r="AJ567" s="66" t="str">
        <f>+IF($W567="","",ROUND((AG567*Parámetros!$G$85),2))</f>
        <v/>
      </c>
      <c r="AK567" s="66" t="str">
        <f>+IF($W567="","",ROUND((AG567*(Parámetros!$G$86)),2))</f>
        <v/>
      </c>
      <c r="AL567" s="66" t="str">
        <f t="shared" si="775"/>
        <v/>
      </c>
      <c r="AM567" t="str">
        <f t="shared" si="823"/>
        <v/>
      </c>
      <c r="AN567" t="str">
        <f t="shared" si="824"/>
        <v/>
      </c>
      <c r="AO567" s="118" t="str">
        <f t="shared" si="825"/>
        <v/>
      </c>
      <c r="AP567" s="118" t="str">
        <f t="shared" si="826"/>
        <v/>
      </c>
      <c r="AQ567" s="119" t="str">
        <f>+IF(OR($W567="",AO567=0),"",ROUND((VLOOKUP(ROUNDDOWN($D567-1/frec,0),cob_adi,Z$40,FALSE)*(1+i/frec)^-0.5*(1+Parámetros!$D$103)*(1+rec_fracc)/frec),6))</f>
        <v/>
      </c>
      <c r="AR567" s="66" t="str">
        <f t="shared" si="782"/>
        <v/>
      </c>
      <c r="AS567" s="119" t="str">
        <f t="shared" si="783"/>
        <v/>
      </c>
      <c r="AT567" s="66" t="str">
        <f>+IF($W567="","",ROUND(IF($B567&gt;Parámetros!$D$107,'Tablas Servicio'!AR567+('Tablas Servicio'!AT566-'Tablas Servicio'!AR566),AR567/(1-IF(B567&lt;=10,Parámetros!$D$100,0))),2))</f>
        <v/>
      </c>
      <c r="AU567" s="66" t="str">
        <f t="shared" si="784"/>
        <v/>
      </c>
      <c r="AV567" s="66" t="str">
        <f t="shared" si="784"/>
        <v/>
      </c>
      <c r="AW567" s="66" t="str">
        <f>+IF($W567="","",ROUND((AT567*Parámetros!$G$85),2))</f>
        <v/>
      </c>
      <c r="AX567" s="66" t="str">
        <f>+IF($W567="","",ROUND((AT567*(Parámetros!$G$86)),2))</f>
        <v/>
      </c>
      <c r="AY567" s="66" t="str">
        <f t="shared" si="785"/>
        <v/>
      </c>
      <c r="AZ567" t="str">
        <f t="shared" si="827"/>
        <v/>
      </c>
      <c r="BA567" t="str">
        <f t="shared" si="828"/>
        <v/>
      </c>
      <c r="BB567" s="118" t="str">
        <f t="shared" si="829"/>
        <v/>
      </c>
      <c r="BC567" s="118" t="str">
        <f t="shared" si="830"/>
        <v/>
      </c>
      <c r="BD567" s="119" t="str">
        <f>+IF(OR($W567="",BB567=0),"",ROUND((VLOOKUP(ROUNDDOWN($D567-1/frec,0),cob_adi,AO$40,FALSE)*(1+i/frec)^-0.5*(1+Parámetros!$D$103)*(1+rec_fracc)/frec),6))</f>
        <v/>
      </c>
      <c r="BE567" s="66" t="str">
        <f t="shared" si="786"/>
        <v/>
      </c>
      <c r="BF567" s="119" t="str">
        <f t="shared" si="787"/>
        <v/>
      </c>
      <c r="BG567" s="66" t="str">
        <f>+IF($W567="","",ROUND(IF($B567&gt;Parámetros!$D$107,'Tablas Servicio'!BE567+('Tablas Servicio'!BG566-'Tablas Servicio'!BE566),BE567/(1-IF(B567&lt;=10,Parámetros!$D$100,0))),2))</f>
        <v/>
      </c>
      <c r="BH567" s="66" t="str">
        <f t="shared" si="788"/>
        <v/>
      </c>
      <c r="BI567" s="66" t="str">
        <f t="shared" si="789"/>
        <v/>
      </c>
      <c r="BJ567" s="66" t="str">
        <f>+IF($W567="","",ROUND((BG567*Parámetros!$G$85),2))</f>
        <v/>
      </c>
      <c r="BK567" s="66" t="str">
        <f>+IF($W567="","",ROUND((BG567*(Parámetros!$G$86)),2))</f>
        <v/>
      </c>
      <c r="BL567" s="66" t="str">
        <f t="shared" si="790"/>
        <v/>
      </c>
      <c r="BM567" t="str">
        <f t="shared" si="831"/>
        <v/>
      </c>
      <c r="BN567" t="str">
        <f t="shared" si="832"/>
        <v/>
      </c>
      <c r="BO567" s="118" t="str">
        <f t="shared" si="833"/>
        <v/>
      </c>
      <c r="BP567" s="118" t="str">
        <f t="shared" si="834"/>
        <v/>
      </c>
      <c r="BQ567" s="119" t="str">
        <f>+IF(OR($W567="",BO567=0),"",ROUND((VLOOKUP(ROUNDDOWN($D567-1/frec,0),cob_adi,BB$40,FALSE)*(1+i/frec)^-0.5*(1+Parámetros!$D$103)*(1+rec_fracc)/frec),6))</f>
        <v/>
      </c>
      <c r="BR567" s="66" t="str">
        <f t="shared" si="791"/>
        <v/>
      </c>
      <c r="BS567" s="119" t="str">
        <f t="shared" si="792"/>
        <v/>
      </c>
      <c r="BT567" s="66" t="str">
        <f>+IF($W567="","",ROUND(IF($B567&gt;Parámetros!$D$107,'Tablas Servicio'!BR567+('Tablas Servicio'!BT566-'Tablas Servicio'!BR566),BR567/(1-IF(B567&lt;=10,Parámetros!$D$100,0))),2))</f>
        <v/>
      </c>
      <c r="BU567" s="66" t="str">
        <f t="shared" si="793"/>
        <v/>
      </c>
      <c r="BV567" s="66" t="str">
        <f t="shared" si="793"/>
        <v/>
      </c>
      <c r="BW567" s="66" t="str">
        <f>+IF($W567="","",ROUND((BT567*Parámetros!$G$85),2))</f>
        <v/>
      </c>
      <c r="BX567" s="66" t="str">
        <f>+IF($W567="","",ROUND((BT567*(Parámetros!$G$86)),2))</f>
        <v/>
      </c>
      <c r="BY567" s="66" t="str">
        <f t="shared" si="794"/>
        <v/>
      </c>
      <c r="BZ567" t="str">
        <f t="shared" si="835"/>
        <v/>
      </c>
      <c r="CA567" t="str">
        <f t="shared" si="836"/>
        <v/>
      </c>
      <c r="CB567" s="118" t="str">
        <f t="shared" si="837"/>
        <v/>
      </c>
      <c r="CC567" s="118" t="str">
        <f t="shared" si="838"/>
        <v/>
      </c>
      <c r="CD567" s="119" t="str">
        <f t="shared" si="795"/>
        <v/>
      </c>
      <c r="CE567" s="66" t="str">
        <f>+IF($W567="","",ROUND((VLOOKUP(ROUNDDOWN($D567-1/frec,0),cob_adi,BO$40,FALSE)*(1+i/frec)^-0.5*(1+Parámetros!$D$103)*(1+rec_fracc)/frec*'TABLAS ADI'!$BC$17),2))</f>
        <v/>
      </c>
      <c r="CF567" s="119" t="str">
        <f t="shared" si="796"/>
        <v/>
      </c>
      <c r="CG567" s="66" t="str">
        <f>+IF($W567="","",ROUND(IF($B567&gt;Parámetros!$D$107,'Tablas Servicio'!CE567+('Tablas Servicio'!CG566-'Tablas Servicio'!CE566),CE567/(1-IF(B567&lt;=10,Parámetros!$D$100,0))),2))</f>
        <v/>
      </c>
      <c r="CH567" s="66" t="str">
        <f t="shared" si="797"/>
        <v/>
      </c>
      <c r="CI567" s="66" t="str">
        <f t="shared" si="797"/>
        <v/>
      </c>
      <c r="CJ567" s="66" t="str">
        <f>+IF($W567="","",ROUND((CG567*Parámetros!$G$85),2))</f>
        <v/>
      </c>
      <c r="CK567" s="66" t="str">
        <f>+IF($W567="","",ROUND((CG567*(Parámetros!$G$86)),2))</f>
        <v/>
      </c>
      <c r="CL567" s="66" t="str">
        <f t="shared" si="798"/>
        <v/>
      </c>
      <c r="CM567" t="str">
        <f t="shared" si="839"/>
        <v/>
      </c>
      <c r="CN567" s="118" t="str">
        <f t="shared" si="840"/>
        <v/>
      </c>
      <c r="CO567" s="118" t="str">
        <f t="shared" si="841"/>
        <v/>
      </c>
      <c r="CP567" s="118" t="str">
        <f t="shared" si="842"/>
        <v/>
      </c>
      <c r="CQ567" s="119" t="str">
        <f t="shared" si="799"/>
        <v/>
      </c>
      <c r="CR567" s="66" t="str">
        <f>+IF($W567="","",ROUND((VLOOKUP(Parámetros!$F$51,'COBERTURAS ADICIONALES'!$S$4:$T$32,2,FALSE)*(1+i/frec)^-0.5*(1+Parámetros!$D$103)*(1+rec_fracc)/frec*$CO$42),2))</f>
        <v/>
      </c>
      <c r="CS567" s="119" t="str">
        <f t="shared" si="800"/>
        <v/>
      </c>
      <c r="CT567" s="66" t="str">
        <f>+IF($W567="","",ROUND(IF($B567&gt;Parámetros!$D$107,'Tablas Servicio'!CR567+('Tablas Servicio'!CT566-'Tablas Servicio'!CR566),CR567/(1-IF(B567&lt;=10,Parámetros!$D$100,0))),2))</f>
        <v/>
      </c>
      <c r="CU567" s="66" t="str">
        <f t="shared" si="801"/>
        <v/>
      </c>
      <c r="CV567" s="66" t="str">
        <f t="shared" si="801"/>
        <v/>
      </c>
      <c r="CW567" s="66" t="str">
        <f>+IF($W567="","",ROUND((CT567*Parámetros!$G$85),2))</f>
        <v/>
      </c>
      <c r="CX567" s="66" t="str">
        <f>+IF($W567="","",ROUND((CT567*(Parámetros!$G$86)),2))</f>
        <v/>
      </c>
      <c r="CY567" s="66" t="str">
        <f t="shared" si="802"/>
        <v/>
      </c>
      <c r="CZ567" t="str">
        <f t="shared" si="843"/>
        <v/>
      </c>
      <c r="DA567" s="118" t="str">
        <f t="shared" si="844"/>
        <v/>
      </c>
      <c r="DB567" s="118" t="str">
        <f t="shared" si="845"/>
        <v/>
      </c>
      <c r="DC567" s="118" t="str">
        <f t="shared" si="846"/>
        <v/>
      </c>
      <c r="DD567" s="121" t="str">
        <f>+IF(OR($W567="",DB567=0),"",ROUND((VLOOKUP(ROUNDDOWN($D567-1/frec,0),cob_adi,CO$40,FALSE)*(1+i/frec)^-0.5*(1+Parámetros!$D$103)*(1+rec_fracc)/frec),6))</f>
        <v/>
      </c>
      <c r="DE567" s="66" t="str">
        <f t="shared" si="803"/>
        <v/>
      </c>
      <c r="DF567" s="119" t="str">
        <f t="shared" si="804"/>
        <v/>
      </c>
      <c r="DG567" s="66" t="str">
        <f>+IF($W567="","",ROUND(IF($B567&gt;Parámetros!$D$107,'Tablas Servicio'!DE567+('Tablas Servicio'!DG566-'Tablas Servicio'!DE566),DE567/(1-IF(B567&lt;=10,Parámetros!$D$100,0))),2))</f>
        <v/>
      </c>
      <c r="DH567" s="66" t="str">
        <f t="shared" si="805"/>
        <v/>
      </c>
      <c r="DI567" s="66" t="str">
        <f t="shared" si="805"/>
        <v/>
      </c>
      <c r="DJ567" s="66" t="str">
        <f>+IF($W567="","",ROUND((DG567*Parámetros!$G$85),2))</f>
        <v/>
      </c>
      <c r="DK567" s="66" t="str">
        <f>+IF($W567="","",ROUND((DG567*(Parámetros!$G$86)),2))</f>
        <v/>
      </c>
      <c r="DL567" s="66" t="str">
        <f t="shared" si="806"/>
        <v/>
      </c>
      <c r="DM567" t="str">
        <f t="shared" si="847"/>
        <v/>
      </c>
      <c r="DN567" s="118" t="str">
        <f t="shared" si="848"/>
        <v/>
      </c>
      <c r="DO567" s="118" t="str">
        <f t="shared" si="849"/>
        <v/>
      </c>
      <c r="DP567" s="118" t="str">
        <f t="shared" si="850"/>
        <v/>
      </c>
      <c r="DQ567" s="122" t="str">
        <f>+IF(OR($W567="",DO567=0),"",ROUND((VLOOKUP(ROUNDDOWN($D567-1/frec,0),cob_adi,DB$40,FALSE)*(1+i/frec)^-0.5*(1+Parámetros!$D$103)*(1+rec_fracc)/frec),6))</f>
        <v/>
      </c>
      <c r="DR567" s="66" t="str">
        <f t="shared" si="807"/>
        <v/>
      </c>
      <c r="DS567" s="68" t="str">
        <f t="shared" si="808"/>
        <v/>
      </c>
      <c r="DT567" s="66" t="str">
        <f>+IF($W567="","",ROUND(IF($B567&gt;Parámetros!$D$107,'Tablas Servicio'!DR567+('Tablas Servicio'!DT566-'Tablas Servicio'!DR566),DR567/(1-IF(B567&lt;=10,Parámetros!$D$100,0))),2))</f>
        <v/>
      </c>
      <c r="DU567" s="66" t="str">
        <f t="shared" si="809"/>
        <v/>
      </c>
      <c r="DV567" s="66" t="str">
        <f t="shared" si="809"/>
        <v/>
      </c>
      <c r="DW567" s="66" t="str">
        <f>+IF($W567="","",ROUND((DT567*Parámetros!$G$85),2))</f>
        <v/>
      </c>
      <c r="DX567" s="66" t="str">
        <f>+IF($W567="","",ROUND((DT567*(Parámetros!$G$86)),2))</f>
        <v/>
      </c>
      <c r="DY567" s="66" t="str">
        <f t="shared" si="810"/>
        <v/>
      </c>
      <c r="DZ567" t="str">
        <f t="shared" si="811"/>
        <v/>
      </c>
      <c r="EA567" s="118" t="str">
        <f t="shared" si="811"/>
        <v/>
      </c>
      <c r="EB567" s="118" t="str">
        <f>+IF($W567="","",ROUND(IF(Parámetros!$D$25='TABLAS MORT'!$V$33,EB566,Z567/2),0))</f>
        <v/>
      </c>
      <c r="EC567" s="118" t="str">
        <f t="shared" si="811"/>
        <v/>
      </c>
      <c r="ED567" s="122" t="str">
        <f>+IF(OR($W567="",EB567=0),"",ROUND((VLOOKUP(ROUNDDOWN($D567-1/frec,0),cob_adi,DO$40,FALSE)*(1+i/frec)^-0.5*(1+Parámetros!$D$103)*(1+rec_fracc)/frec),6))</f>
        <v/>
      </c>
      <c r="EE567" s="66" t="str">
        <f t="shared" si="812"/>
        <v/>
      </c>
      <c r="EF567" s="68" t="str">
        <f t="shared" si="813"/>
        <v/>
      </c>
      <c r="EG567" s="66" t="str">
        <f>+IF($W567="","",ROUND(IF($B567&gt;Parámetros!$D$107,'Tablas Servicio'!EE567+('Tablas Servicio'!EG566-'Tablas Servicio'!EE566),EE567/(1-IF(B567&lt;=10,Parámetros!$D$100,0))),2))</f>
        <v/>
      </c>
      <c r="EH567" s="66" t="str">
        <f t="shared" si="814"/>
        <v/>
      </c>
      <c r="EI567" s="66" t="str">
        <f t="shared" si="814"/>
        <v/>
      </c>
      <c r="EJ567" s="66" t="str">
        <f>+IF($W567="","",ROUND((EG567*Parámetros!$G$85),2))</f>
        <v/>
      </c>
      <c r="EK567" s="66" t="str">
        <f>+IF($W567="","",ROUND((EG567*(Parámetros!$G$86)),2))</f>
        <v/>
      </c>
      <c r="EL567" s="66" t="str">
        <f t="shared" si="815"/>
        <v/>
      </c>
    </row>
    <row r="568" spans="1:142" x14ac:dyDescent="0.25">
      <c r="A568" t="str">
        <f>+IF($C568="","",ROUND(VLOOKUP('Tablas Servicio'!B568,Parámetros!$H$100:$J$159,IF(Parámetros!$E$16="F",2,3),FALSE),2))</f>
        <v/>
      </c>
      <c r="B568" t="str">
        <f t="shared" si="766"/>
        <v/>
      </c>
      <c r="C568" s="57" t="str">
        <f>+IF(D568="","",'Tablas Servicio'!C567+1)</f>
        <v/>
      </c>
      <c r="D568" s="56" t="str">
        <f>+IF(D567&lt;edadmaxtabla,D567+1/Parámetros!$E$25,"")</f>
        <v/>
      </c>
      <c r="E568" s="57" t="str">
        <f t="shared" si="776"/>
        <v/>
      </c>
      <c r="F568" s="59" t="str">
        <f t="shared" si="777"/>
        <v/>
      </c>
      <c r="G568" s="66" t="str">
        <f t="shared" si="767"/>
        <v/>
      </c>
      <c r="H568" s="66" t="str">
        <f t="shared" si="768"/>
        <v/>
      </c>
      <c r="I568" s="66" t="str">
        <f t="shared" si="816"/>
        <v/>
      </c>
      <c r="J568" s="66" t="str">
        <f t="shared" si="769"/>
        <v/>
      </c>
      <c r="K568" s="66" t="str">
        <f t="shared" si="770"/>
        <v/>
      </c>
      <c r="L568" s="66" t="str">
        <f t="shared" si="771"/>
        <v/>
      </c>
      <c r="M568" s="66" t="str">
        <f t="shared" si="772"/>
        <v/>
      </c>
      <c r="N568" s="66" t="str">
        <f>+IF(C568="","",ROUND(Parámetros!$D$23,2))</f>
        <v/>
      </c>
      <c r="O568" s="66" t="str">
        <f t="shared" si="773"/>
        <v/>
      </c>
      <c r="P568" s="66" t="str">
        <f>+IF($C568="","",ROUND(IF(B568&gt;Parámetros!$D$117,0,N568*Parámetros!$D$116-G568*Parámetros!$D$100),2))</f>
        <v/>
      </c>
      <c r="Q568" s="75" t="str">
        <f t="shared" si="817"/>
        <v/>
      </c>
      <c r="R568" s="75" t="str">
        <f t="shared" si="818"/>
        <v/>
      </c>
      <c r="S568" s="117" t="str">
        <f>+IF($C568="","",ROUND((S567+I568)*(1+Parámetros!$D$91),2))</f>
        <v/>
      </c>
      <c r="T568" s="117" t="str">
        <f>+IF($C568="","",ROUND(S568*VLOOKUP(B568,Parámetros!$C$30:$D$39,2,TRUE),2))</f>
        <v/>
      </c>
      <c r="U568" s="117" t="str">
        <f>+IF($C568="","",ROUND((U567+I568)*(1+Parámetros!$D$92),2))</f>
        <v/>
      </c>
      <c r="V568" s="117" t="str">
        <f>+IF($C568="","",ROUND(U568*VLOOKUP(B568,Parámetros!$C$30:$D$39,2,TRUE),2))</f>
        <v/>
      </c>
      <c r="W568" s="57" t="str">
        <f t="shared" si="819"/>
        <v/>
      </c>
      <c r="X568" t="str">
        <f t="shared" si="820"/>
        <v/>
      </c>
      <c r="Y568" t="str">
        <f t="shared" si="821"/>
        <v/>
      </c>
      <c r="Z568" s="118" t="str">
        <f>+IF($W568="","",ROUND(IF(Parámetros!$D$25='TABLAS MORT'!$V$33,Z567,Parámetros!$D$21-'Tablas Servicio'!T567),0))</f>
        <v/>
      </c>
      <c r="AA568" s="118" t="str">
        <f t="shared" si="822"/>
        <v/>
      </c>
      <c r="AB568" s="119" t="str">
        <f>+IF(W568="","",ROUND((VLOOKUP(ROUNDDOWN($D568-1/frec,0),qx_tabla,2,FALSE)*(1+i/frec)^-0.5*(1+Parámetros!$D$103)*(1+rec_fracc)/frec),6))</f>
        <v/>
      </c>
      <c r="AC568" s="66" t="str">
        <f t="shared" si="778"/>
        <v/>
      </c>
      <c r="AD568" s="119" t="str">
        <f t="shared" si="774"/>
        <v/>
      </c>
      <c r="AE568" s="66" t="str">
        <f>+IF($W568="","",ROUND(IF($B568&gt;Parámetros!$D$107,'Tablas Servicio'!AC568+('Tablas Servicio'!AG567-'Tablas Servicio'!AC567),AC568/(1-IF(B568&lt;=10,Parámetros!$D$104,Parámetros!$D$105))),2))</f>
        <v/>
      </c>
      <c r="AF568" s="66" t="str">
        <f>+IF($W568="","",ROUND(IF($B568&gt;Parámetros!$D$107,'Tablas Servicio'!AC568+('Tablas Servicio'!AG567-'Tablas Servicio'!AC567),(AC568+$A567/frec)/(1-IF(B568&lt;=Parámetros!$D$117,Parámetros!$D$100,0))),2))</f>
        <v/>
      </c>
      <c r="AG568" s="66" t="str">
        <f t="shared" si="779"/>
        <v/>
      </c>
      <c r="AH568" s="66" t="str">
        <f t="shared" si="780"/>
        <v/>
      </c>
      <c r="AI568" s="66" t="str">
        <f t="shared" si="781"/>
        <v/>
      </c>
      <c r="AJ568" s="66" t="str">
        <f>+IF($W568="","",ROUND((AG568*Parámetros!$G$85),2))</f>
        <v/>
      </c>
      <c r="AK568" s="66" t="str">
        <f>+IF($W568="","",ROUND((AG568*(Parámetros!$G$86)),2))</f>
        <v/>
      </c>
      <c r="AL568" s="66" t="str">
        <f t="shared" si="775"/>
        <v/>
      </c>
      <c r="AM568" t="str">
        <f t="shared" si="823"/>
        <v/>
      </c>
      <c r="AN568" t="str">
        <f t="shared" si="824"/>
        <v/>
      </c>
      <c r="AO568" s="118" t="str">
        <f t="shared" si="825"/>
        <v/>
      </c>
      <c r="AP568" s="118" t="str">
        <f t="shared" si="826"/>
        <v/>
      </c>
      <c r="AQ568" s="119" t="str">
        <f>+IF(OR($W568="",AO568=0),"",ROUND((VLOOKUP(ROUNDDOWN($D568-1/frec,0),cob_adi,Z$40,FALSE)*(1+i/frec)^-0.5*(1+Parámetros!$D$103)*(1+rec_fracc)/frec),6))</f>
        <v/>
      </c>
      <c r="AR568" s="66" t="str">
        <f t="shared" si="782"/>
        <v/>
      </c>
      <c r="AS568" s="119" t="str">
        <f t="shared" si="783"/>
        <v/>
      </c>
      <c r="AT568" s="66" t="str">
        <f>+IF($W568="","",ROUND(IF($B568&gt;Parámetros!$D$107,'Tablas Servicio'!AR568+('Tablas Servicio'!AT567-'Tablas Servicio'!AR567),AR568/(1-IF(B568&lt;=10,Parámetros!$D$100,0))),2))</f>
        <v/>
      </c>
      <c r="AU568" s="66" t="str">
        <f t="shared" si="784"/>
        <v/>
      </c>
      <c r="AV568" s="66" t="str">
        <f t="shared" si="784"/>
        <v/>
      </c>
      <c r="AW568" s="66" t="str">
        <f>+IF($W568="","",ROUND((AT568*Parámetros!$G$85),2))</f>
        <v/>
      </c>
      <c r="AX568" s="66" t="str">
        <f>+IF($W568="","",ROUND((AT568*(Parámetros!$G$86)),2))</f>
        <v/>
      </c>
      <c r="AY568" s="66" t="str">
        <f t="shared" si="785"/>
        <v/>
      </c>
      <c r="AZ568" t="str">
        <f t="shared" si="827"/>
        <v/>
      </c>
      <c r="BA568" t="str">
        <f t="shared" si="828"/>
        <v/>
      </c>
      <c r="BB568" s="118" t="str">
        <f t="shared" si="829"/>
        <v/>
      </c>
      <c r="BC568" s="118" t="str">
        <f t="shared" si="830"/>
        <v/>
      </c>
      <c r="BD568" s="119" t="str">
        <f>+IF(OR($W568="",BB568=0),"",ROUND((VLOOKUP(ROUNDDOWN($D568-1/frec,0),cob_adi,AO$40,FALSE)*(1+i/frec)^-0.5*(1+Parámetros!$D$103)*(1+rec_fracc)/frec),6))</f>
        <v/>
      </c>
      <c r="BE568" s="66" t="str">
        <f t="shared" si="786"/>
        <v/>
      </c>
      <c r="BF568" s="119" t="str">
        <f t="shared" si="787"/>
        <v/>
      </c>
      <c r="BG568" s="66" t="str">
        <f>+IF($W568="","",ROUND(IF($B568&gt;Parámetros!$D$107,'Tablas Servicio'!BE568+('Tablas Servicio'!BG567-'Tablas Servicio'!BE567),BE568/(1-IF(B568&lt;=10,Parámetros!$D$100,0))),2))</f>
        <v/>
      </c>
      <c r="BH568" s="66" t="str">
        <f t="shared" si="788"/>
        <v/>
      </c>
      <c r="BI568" s="66" t="str">
        <f t="shared" si="789"/>
        <v/>
      </c>
      <c r="BJ568" s="66" t="str">
        <f>+IF($W568="","",ROUND((BG568*Parámetros!$G$85),2))</f>
        <v/>
      </c>
      <c r="BK568" s="66" t="str">
        <f>+IF($W568="","",ROUND((BG568*(Parámetros!$G$86)),2))</f>
        <v/>
      </c>
      <c r="BL568" s="66" t="str">
        <f t="shared" si="790"/>
        <v/>
      </c>
      <c r="BM568" t="str">
        <f t="shared" si="831"/>
        <v/>
      </c>
      <c r="BN568" t="str">
        <f t="shared" si="832"/>
        <v/>
      </c>
      <c r="BO568" s="118" t="str">
        <f t="shared" si="833"/>
        <v/>
      </c>
      <c r="BP568" s="118" t="str">
        <f t="shared" si="834"/>
        <v/>
      </c>
      <c r="BQ568" s="119" t="str">
        <f>+IF(OR($W568="",BO568=0),"",ROUND((VLOOKUP(ROUNDDOWN($D568-1/frec,0),cob_adi,BB$40,FALSE)*(1+i/frec)^-0.5*(1+Parámetros!$D$103)*(1+rec_fracc)/frec),6))</f>
        <v/>
      </c>
      <c r="BR568" s="66" t="str">
        <f t="shared" si="791"/>
        <v/>
      </c>
      <c r="BS568" s="119" t="str">
        <f t="shared" si="792"/>
        <v/>
      </c>
      <c r="BT568" s="66" t="str">
        <f>+IF($W568="","",ROUND(IF($B568&gt;Parámetros!$D$107,'Tablas Servicio'!BR568+('Tablas Servicio'!BT567-'Tablas Servicio'!BR567),BR568/(1-IF(B568&lt;=10,Parámetros!$D$100,0))),2))</f>
        <v/>
      </c>
      <c r="BU568" s="66" t="str">
        <f t="shared" si="793"/>
        <v/>
      </c>
      <c r="BV568" s="66" t="str">
        <f t="shared" si="793"/>
        <v/>
      </c>
      <c r="BW568" s="66" t="str">
        <f>+IF($W568="","",ROUND((BT568*Parámetros!$G$85),2))</f>
        <v/>
      </c>
      <c r="BX568" s="66" t="str">
        <f>+IF($W568="","",ROUND((BT568*(Parámetros!$G$86)),2))</f>
        <v/>
      </c>
      <c r="BY568" s="66" t="str">
        <f t="shared" si="794"/>
        <v/>
      </c>
      <c r="BZ568" t="str">
        <f t="shared" si="835"/>
        <v/>
      </c>
      <c r="CA568" t="str">
        <f t="shared" si="836"/>
        <v/>
      </c>
      <c r="CB568" s="118" t="str">
        <f t="shared" si="837"/>
        <v/>
      </c>
      <c r="CC568" s="118" t="str">
        <f t="shared" si="838"/>
        <v/>
      </c>
      <c r="CD568" s="119" t="str">
        <f t="shared" si="795"/>
        <v/>
      </c>
      <c r="CE568" s="66" t="str">
        <f>+IF($W568="","",ROUND((VLOOKUP(ROUNDDOWN($D568-1/frec,0),cob_adi,BO$40,FALSE)*(1+i/frec)^-0.5*(1+Parámetros!$D$103)*(1+rec_fracc)/frec*'TABLAS ADI'!$BC$17),2))</f>
        <v/>
      </c>
      <c r="CF568" s="119" t="str">
        <f t="shared" si="796"/>
        <v/>
      </c>
      <c r="CG568" s="66" t="str">
        <f>+IF($W568="","",ROUND(IF($B568&gt;Parámetros!$D$107,'Tablas Servicio'!CE568+('Tablas Servicio'!CG567-'Tablas Servicio'!CE567),CE568/(1-IF(B568&lt;=10,Parámetros!$D$100,0))),2))</f>
        <v/>
      </c>
      <c r="CH568" s="66" t="str">
        <f t="shared" si="797"/>
        <v/>
      </c>
      <c r="CI568" s="66" t="str">
        <f t="shared" si="797"/>
        <v/>
      </c>
      <c r="CJ568" s="66" t="str">
        <f>+IF($W568="","",ROUND((CG568*Parámetros!$G$85),2))</f>
        <v/>
      </c>
      <c r="CK568" s="66" t="str">
        <f>+IF($W568="","",ROUND((CG568*(Parámetros!$G$86)),2))</f>
        <v/>
      </c>
      <c r="CL568" s="66" t="str">
        <f t="shared" si="798"/>
        <v/>
      </c>
      <c r="CM568" t="str">
        <f t="shared" si="839"/>
        <v/>
      </c>
      <c r="CN568" s="118" t="str">
        <f t="shared" si="840"/>
        <v/>
      </c>
      <c r="CO568" s="118" t="str">
        <f t="shared" si="841"/>
        <v/>
      </c>
      <c r="CP568" s="118" t="str">
        <f t="shared" si="842"/>
        <v/>
      </c>
      <c r="CQ568" s="119" t="str">
        <f t="shared" si="799"/>
        <v/>
      </c>
      <c r="CR568" s="66" t="str">
        <f>+IF($W568="","",ROUND((VLOOKUP(Parámetros!$F$51,'COBERTURAS ADICIONALES'!$S$4:$T$32,2,FALSE)*(1+i/frec)^-0.5*(1+Parámetros!$D$103)*(1+rec_fracc)/frec*$CO$42),2))</f>
        <v/>
      </c>
      <c r="CS568" s="119" t="str">
        <f t="shared" si="800"/>
        <v/>
      </c>
      <c r="CT568" s="66" t="str">
        <f>+IF($W568="","",ROUND(IF($B568&gt;Parámetros!$D$107,'Tablas Servicio'!CR568+('Tablas Servicio'!CT567-'Tablas Servicio'!CR567),CR568/(1-IF(B568&lt;=10,Parámetros!$D$100,0))),2))</f>
        <v/>
      </c>
      <c r="CU568" s="66" t="str">
        <f t="shared" si="801"/>
        <v/>
      </c>
      <c r="CV568" s="66" t="str">
        <f t="shared" si="801"/>
        <v/>
      </c>
      <c r="CW568" s="66" t="str">
        <f>+IF($W568="","",ROUND((CT568*Parámetros!$G$85),2))</f>
        <v/>
      </c>
      <c r="CX568" s="66" t="str">
        <f>+IF($W568="","",ROUND((CT568*(Parámetros!$G$86)),2))</f>
        <v/>
      </c>
      <c r="CY568" s="66" t="str">
        <f t="shared" si="802"/>
        <v/>
      </c>
      <c r="CZ568" t="str">
        <f t="shared" si="843"/>
        <v/>
      </c>
      <c r="DA568" s="118" t="str">
        <f t="shared" si="844"/>
        <v/>
      </c>
      <c r="DB568" s="118" t="str">
        <f t="shared" si="845"/>
        <v/>
      </c>
      <c r="DC568" s="118" t="str">
        <f t="shared" si="846"/>
        <v/>
      </c>
      <c r="DD568" s="121" t="str">
        <f>+IF(OR($W568="",DB568=0),"",ROUND((VLOOKUP(ROUNDDOWN($D568-1/frec,0),cob_adi,CO$40,FALSE)*(1+i/frec)^-0.5*(1+Parámetros!$D$103)*(1+rec_fracc)/frec),6))</f>
        <v/>
      </c>
      <c r="DE568" s="66" t="str">
        <f t="shared" si="803"/>
        <v/>
      </c>
      <c r="DF568" s="119" t="str">
        <f t="shared" si="804"/>
        <v/>
      </c>
      <c r="DG568" s="66" t="str">
        <f>+IF($W568="","",ROUND(IF($B568&gt;Parámetros!$D$107,'Tablas Servicio'!DE568+('Tablas Servicio'!DG567-'Tablas Servicio'!DE567),DE568/(1-IF(B568&lt;=10,Parámetros!$D$100,0))),2))</f>
        <v/>
      </c>
      <c r="DH568" s="66" t="str">
        <f t="shared" si="805"/>
        <v/>
      </c>
      <c r="DI568" s="66" t="str">
        <f t="shared" si="805"/>
        <v/>
      </c>
      <c r="DJ568" s="66" t="str">
        <f>+IF($W568="","",ROUND((DG568*Parámetros!$G$85),2))</f>
        <v/>
      </c>
      <c r="DK568" s="66" t="str">
        <f>+IF($W568="","",ROUND((DG568*(Parámetros!$G$86)),2))</f>
        <v/>
      </c>
      <c r="DL568" s="66" t="str">
        <f t="shared" si="806"/>
        <v/>
      </c>
      <c r="DM568" t="str">
        <f t="shared" si="847"/>
        <v/>
      </c>
      <c r="DN568" s="118" t="str">
        <f t="shared" si="848"/>
        <v/>
      </c>
      <c r="DO568" s="118" t="str">
        <f t="shared" si="849"/>
        <v/>
      </c>
      <c r="DP568" s="118" t="str">
        <f t="shared" si="850"/>
        <v/>
      </c>
      <c r="DQ568" s="122" t="str">
        <f>+IF(OR($W568="",DO568=0),"",ROUND((VLOOKUP(ROUNDDOWN($D568-1/frec,0),cob_adi,DB$40,FALSE)*(1+i/frec)^-0.5*(1+Parámetros!$D$103)*(1+rec_fracc)/frec),6))</f>
        <v/>
      </c>
      <c r="DR568" s="66" t="str">
        <f t="shared" si="807"/>
        <v/>
      </c>
      <c r="DS568" s="68" t="str">
        <f t="shared" si="808"/>
        <v/>
      </c>
      <c r="DT568" s="66" t="str">
        <f>+IF($W568="","",ROUND(IF($B568&gt;Parámetros!$D$107,'Tablas Servicio'!DR568+('Tablas Servicio'!DT567-'Tablas Servicio'!DR567),DR568/(1-IF(B568&lt;=10,Parámetros!$D$100,0))),2))</f>
        <v/>
      </c>
      <c r="DU568" s="66" t="str">
        <f t="shared" si="809"/>
        <v/>
      </c>
      <c r="DV568" s="66" t="str">
        <f t="shared" si="809"/>
        <v/>
      </c>
      <c r="DW568" s="66" t="str">
        <f>+IF($W568="","",ROUND((DT568*Parámetros!$G$85),2))</f>
        <v/>
      </c>
      <c r="DX568" s="66" t="str">
        <f>+IF($W568="","",ROUND((DT568*(Parámetros!$G$86)),2))</f>
        <v/>
      </c>
      <c r="DY568" s="66" t="str">
        <f t="shared" si="810"/>
        <v/>
      </c>
      <c r="DZ568" t="str">
        <f t="shared" si="811"/>
        <v/>
      </c>
      <c r="EA568" s="118" t="str">
        <f t="shared" si="811"/>
        <v/>
      </c>
      <c r="EB568" s="118" t="str">
        <f>+IF($W568="","",ROUND(IF(Parámetros!$D$25='TABLAS MORT'!$V$33,EB567,Z568/2),0))</f>
        <v/>
      </c>
      <c r="EC568" s="118" t="str">
        <f t="shared" si="811"/>
        <v/>
      </c>
      <c r="ED568" s="122" t="str">
        <f>+IF(OR($W568="",EB568=0),"",ROUND((VLOOKUP(ROUNDDOWN($D568-1/frec,0),cob_adi,DO$40,FALSE)*(1+i/frec)^-0.5*(1+Parámetros!$D$103)*(1+rec_fracc)/frec),6))</f>
        <v/>
      </c>
      <c r="EE568" s="66" t="str">
        <f t="shared" si="812"/>
        <v/>
      </c>
      <c r="EF568" s="68" t="str">
        <f t="shared" si="813"/>
        <v/>
      </c>
      <c r="EG568" s="66" t="str">
        <f>+IF($W568="","",ROUND(IF($B568&gt;Parámetros!$D$107,'Tablas Servicio'!EE568+('Tablas Servicio'!EG567-'Tablas Servicio'!EE567),EE568/(1-IF(B568&lt;=10,Parámetros!$D$100,0))),2))</f>
        <v/>
      </c>
      <c r="EH568" s="66" t="str">
        <f t="shared" si="814"/>
        <v/>
      </c>
      <c r="EI568" s="66" t="str">
        <f t="shared" si="814"/>
        <v/>
      </c>
      <c r="EJ568" s="66" t="str">
        <f>+IF($W568="","",ROUND((EG568*Parámetros!$G$85),2))</f>
        <v/>
      </c>
      <c r="EK568" s="66" t="str">
        <f>+IF($W568="","",ROUND((EG568*(Parámetros!$G$86)),2))</f>
        <v/>
      </c>
      <c r="EL568" s="66" t="str">
        <f t="shared" si="815"/>
        <v/>
      </c>
    </row>
    <row r="569" spans="1:142" x14ac:dyDescent="0.25">
      <c r="A569" t="str">
        <f>+IF($C569="","",ROUND(VLOOKUP('Tablas Servicio'!B569,Parámetros!$H$100:$J$159,IF(Parámetros!$E$16="F",2,3),FALSE),2))</f>
        <v/>
      </c>
      <c r="B569" t="str">
        <f t="shared" si="766"/>
        <v/>
      </c>
      <c r="C569" s="57" t="str">
        <f>+IF(D569="","",'Tablas Servicio'!C568+1)</f>
        <v/>
      </c>
      <c r="D569" s="56" t="str">
        <f>+IF(D568&lt;edadmaxtabla,D568+1/Parámetros!$E$25,"")</f>
        <v/>
      </c>
      <c r="E569" s="57" t="str">
        <f t="shared" si="776"/>
        <v/>
      </c>
      <c r="F569" s="59" t="str">
        <f t="shared" si="777"/>
        <v/>
      </c>
      <c r="G569" s="66" t="str">
        <f t="shared" si="767"/>
        <v/>
      </c>
      <c r="H569" s="66" t="str">
        <f t="shared" si="768"/>
        <v/>
      </c>
      <c r="I569" s="66" t="str">
        <f t="shared" si="816"/>
        <v/>
      </c>
      <c r="J569" s="66" t="str">
        <f t="shared" si="769"/>
        <v/>
      </c>
      <c r="K569" s="66" t="str">
        <f t="shared" si="770"/>
        <v/>
      </c>
      <c r="L569" s="66" t="str">
        <f t="shared" si="771"/>
        <v/>
      </c>
      <c r="M569" s="66" t="str">
        <f t="shared" si="772"/>
        <v/>
      </c>
      <c r="N569" s="66" t="str">
        <f>+IF(C569="","",ROUND(Parámetros!$D$23,2))</f>
        <v/>
      </c>
      <c r="O569" s="66" t="str">
        <f t="shared" si="773"/>
        <v/>
      </c>
      <c r="P569" s="66" t="str">
        <f>+IF($C569="","",ROUND(IF(B569&gt;Parámetros!$D$117,0,N569*Parámetros!$D$116-G569*Parámetros!$D$100),2))</f>
        <v/>
      </c>
      <c r="Q569" s="75" t="str">
        <f t="shared" si="817"/>
        <v/>
      </c>
      <c r="R569" s="75" t="str">
        <f t="shared" si="818"/>
        <v/>
      </c>
      <c r="S569" s="117" t="str">
        <f>+IF($C569="","",ROUND((S568+I569)*(1+Parámetros!$D$91),2))</f>
        <v/>
      </c>
      <c r="T569" s="117" t="str">
        <f>+IF($C569="","",ROUND(S569*VLOOKUP(B569,Parámetros!$C$30:$D$39,2,TRUE),2))</f>
        <v/>
      </c>
      <c r="U569" s="117" t="str">
        <f>+IF($C569="","",ROUND((U568+I569)*(1+Parámetros!$D$92),2))</f>
        <v/>
      </c>
      <c r="V569" s="117" t="str">
        <f>+IF($C569="","",ROUND(U569*VLOOKUP(B569,Parámetros!$C$30:$D$39,2,TRUE),2))</f>
        <v/>
      </c>
      <c r="W569" s="57" t="str">
        <f t="shared" si="819"/>
        <v/>
      </c>
      <c r="X569" t="str">
        <f t="shared" si="820"/>
        <v/>
      </c>
      <c r="Y569" t="str">
        <f t="shared" si="821"/>
        <v/>
      </c>
      <c r="Z569" s="118" t="str">
        <f>+IF($W569="","",ROUND(IF(Parámetros!$D$25='TABLAS MORT'!$V$33,Z568,Parámetros!$D$21-'Tablas Servicio'!T568),0))</f>
        <v/>
      </c>
      <c r="AA569" s="118" t="str">
        <f t="shared" si="822"/>
        <v/>
      </c>
      <c r="AB569" s="119" t="str">
        <f>+IF(W569="","",ROUND((VLOOKUP(ROUNDDOWN($D569-1/frec,0),qx_tabla,2,FALSE)*(1+i/frec)^-0.5*(1+Parámetros!$D$103)*(1+rec_fracc)/frec),6))</f>
        <v/>
      </c>
      <c r="AC569" s="66" t="str">
        <f t="shared" si="778"/>
        <v/>
      </c>
      <c r="AD569" s="119" t="str">
        <f t="shared" si="774"/>
        <v/>
      </c>
      <c r="AE569" s="66" t="str">
        <f>+IF($W569="","",ROUND(IF($B569&gt;Parámetros!$D$107,'Tablas Servicio'!AC569+('Tablas Servicio'!AG568-'Tablas Servicio'!AC568),AC569/(1-IF(B569&lt;=10,Parámetros!$D$104,Parámetros!$D$105))),2))</f>
        <v/>
      </c>
      <c r="AF569" s="66" t="str">
        <f>+IF($W569="","",ROUND(IF($B569&gt;Parámetros!$D$107,'Tablas Servicio'!AC569+('Tablas Servicio'!AG568-'Tablas Servicio'!AC568),(AC569+$A568/frec)/(1-IF(B569&lt;=Parámetros!$D$117,Parámetros!$D$100,0))),2))</f>
        <v/>
      </c>
      <c r="AG569" s="66" t="str">
        <f t="shared" si="779"/>
        <v/>
      </c>
      <c r="AH569" s="66" t="str">
        <f t="shared" si="780"/>
        <v/>
      </c>
      <c r="AI569" s="66" t="str">
        <f t="shared" si="781"/>
        <v/>
      </c>
      <c r="AJ569" s="66" t="str">
        <f>+IF($W569="","",ROUND((AG569*Parámetros!$G$85),2))</f>
        <v/>
      </c>
      <c r="AK569" s="66" t="str">
        <f>+IF($W569="","",ROUND((AG569*(Parámetros!$G$86)),2))</f>
        <v/>
      </c>
      <c r="AL569" s="66" t="str">
        <f t="shared" si="775"/>
        <v/>
      </c>
      <c r="AM569" t="str">
        <f t="shared" si="823"/>
        <v/>
      </c>
      <c r="AN569" t="str">
        <f t="shared" si="824"/>
        <v/>
      </c>
      <c r="AO569" s="118" t="str">
        <f t="shared" si="825"/>
        <v/>
      </c>
      <c r="AP569" s="118" t="str">
        <f t="shared" si="826"/>
        <v/>
      </c>
      <c r="AQ569" s="119" t="str">
        <f>+IF(OR($W569="",AO569=0),"",ROUND((VLOOKUP(ROUNDDOWN($D569-1/frec,0),cob_adi,Z$40,FALSE)*(1+i/frec)^-0.5*(1+Parámetros!$D$103)*(1+rec_fracc)/frec),6))</f>
        <v/>
      </c>
      <c r="AR569" s="66" t="str">
        <f t="shared" si="782"/>
        <v/>
      </c>
      <c r="AS569" s="119" t="str">
        <f t="shared" si="783"/>
        <v/>
      </c>
      <c r="AT569" s="66" t="str">
        <f>+IF($W569="","",ROUND(IF($B569&gt;Parámetros!$D$107,'Tablas Servicio'!AR569+('Tablas Servicio'!AT568-'Tablas Servicio'!AR568),AR569/(1-IF(B569&lt;=10,Parámetros!$D$100,0))),2))</f>
        <v/>
      </c>
      <c r="AU569" s="66" t="str">
        <f t="shared" si="784"/>
        <v/>
      </c>
      <c r="AV569" s="66" t="str">
        <f t="shared" si="784"/>
        <v/>
      </c>
      <c r="AW569" s="66" t="str">
        <f>+IF($W569="","",ROUND((AT569*Parámetros!$G$85),2))</f>
        <v/>
      </c>
      <c r="AX569" s="66" t="str">
        <f>+IF($W569="","",ROUND((AT569*(Parámetros!$G$86)),2))</f>
        <v/>
      </c>
      <c r="AY569" s="66" t="str">
        <f t="shared" si="785"/>
        <v/>
      </c>
      <c r="AZ569" t="str">
        <f t="shared" si="827"/>
        <v/>
      </c>
      <c r="BA569" t="str">
        <f t="shared" si="828"/>
        <v/>
      </c>
      <c r="BB569" s="118" t="str">
        <f t="shared" si="829"/>
        <v/>
      </c>
      <c r="BC569" s="118" t="str">
        <f t="shared" si="830"/>
        <v/>
      </c>
      <c r="BD569" s="119" t="str">
        <f>+IF(OR($W569="",BB569=0),"",ROUND((VLOOKUP(ROUNDDOWN($D569-1/frec,0),cob_adi,AO$40,FALSE)*(1+i/frec)^-0.5*(1+Parámetros!$D$103)*(1+rec_fracc)/frec),6))</f>
        <v/>
      </c>
      <c r="BE569" s="66" t="str">
        <f t="shared" si="786"/>
        <v/>
      </c>
      <c r="BF569" s="119" t="str">
        <f t="shared" si="787"/>
        <v/>
      </c>
      <c r="BG569" s="66" t="str">
        <f>+IF($W569="","",ROUND(IF($B569&gt;Parámetros!$D$107,'Tablas Servicio'!BE569+('Tablas Servicio'!BG568-'Tablas Servicio'!BE568),BE569/(1-IF(B569&lt;=10,Parámetros!$D$100,0))),2))</f>
        <v/>
      </c>
      <c r="BH569" s="66" t="str">
        <f t="shared" si="788"/>
        <v/>
      </c>
      <c r="BI569" s="66" t="str">
        <f t="shared" si="789"/>
        <v/>
      </c>
      <c r="BJ569" s="66" t="str">
        <f>+IF($W569="","",ROUND((BG569*Parámetros!$G$85),2))</f>
        <v/>
      </c>
      <c r="BK569" s="66" t="str">
        <f>+IF($W569="","",ROUND((BG569*(Parámetros!$G$86)),2))</f>
        <v/>
      </c>
      <c r="BL569" s="66" t="str">
        <f t="shared" si="790"/>
        <v/>
      </c>
      <c r="BM569" t="str">
        <f t="shared" si="831"/>
        <v/>
      </c>
      <c r="BN569" t="str">
        <f t="shared" si="832"/>
        <v/>
      </c>
      <c r="BO569" s="118" t="str">
        <f t="shared" si="833"/>
        <v/>
      </c>
      <c r="BP569" s="118" t="str">
        <f t="shared" si="834"/>
        <v/>
      </c>
      <c r="BQ569" s="119" t="str">
        <f>+IF(OR($W569="",BO569=0),"",ROUND((VLOOKUP(ROUNDDOWN($D569-1/frec,0),cob_adi,BB$40,FALSE)*(1+i/frec)^-0.5*(1+Parámetros!$D$103)*(1+rec_fracc)/frec),6))</f>
        <v/>
      </c>
      <c r="BR569" s="66" t="str">
        <f t="shared" si="791"/>
        <v/>
      </c>
      <c r="BS569" s="119" t="str">
        <f t="shared" si="792"/>
        <v/>
      </c>
      <c r="BT569" s="66" t="str">
        <f>+IF($W569="","",ROUND(IF($B569&gt;Parámetros!$D$107,'Tablas Servicio'!BR569+('Tablas Servicio'!BT568-'Tablas Servicio'!BR568),BR569/(1-IF(B569&lt;=10,Parámetros!$D$100,0))),2))</f>
        <v/>
      </c>
      <c r="BU569" s="66" t="str">
        <f t="shared" si="793"/>
        <v/>
      </c>
      <c r="BV569" s="66" t="str">
        <f t="shared" si="793"/>
        <v/>
      </c>
      <c r="BW569" s="66" t="str">
        <f>+IF($W569="","",ROUND((BT569*Parámetros!$G$85),2))</f>
        <v/>
      </c>
      <c r="BX569" s="66" t="str">
        <f>+IF($W569="","",ROUND((BT569*(Parámetros!$G$86)),2))</f>
        <v/>
      </c>
      <c r="BY569" s="66" t="str">
        <f t="shared" si="794"/>
        <v/>
      </c>
      <c r="BZ569" t="str">
        <f t="shared" si="835"/>
        <v/>
      </c>
      <c r="CA569" t="str">
        <f t="shared" si="836"/>
        <v/>
      </c>
      <c r="CB569" s="118" t="str">
        <f t="shared" si="837"/>
        <v/>
      </c>
      <c r="CC569" s="118" t="str">
        <f t="shared" si="838"/>
        <v/>
      </c>
      <c r="CD569" s="119" t="str">
        <f t="shared" si="795"/>
        <v/>
      </c>
      <c r="CE569" s="66" t="str">
        <f>+IF($W569="","",ROUND((VLOOKUP(ROUNDDOWN($D569-1/frec,0),cob_adi,BO$40,FALSE)*(1+i/frec)^-0.5*(1+Parámetros!$D$103)*(1+rec_fracc)/frec*'TABLAS ADI'!$BC$17),2))</f>
        <v/>
      </c>
      <c r="CF569" s="119" t="str">
        <f t="shared" si="796"/>
        <v/>
      </c>
      <c r="CG569" s="66" t="str">
        <f>+IF($W569="","",ROUND(IF($B569&gt;Parámetros!$D$107,'Tablas Servicio'!CE569+('Tablas Servicio'!CG568-'Tablas Servicio'!CE568),CE569/(1-IF(B569&lt;=10,Parámetros!$D$100,0))),2))</f>
        <v/>
      </c>
      <c r="CH569" s="66" t="str">
        <f t="shared" si="797"/>
        <v/>
      </c>
      <c r="CI569" s="66" t="str">
        <f t="shared" si="797"/>
        <v/>
      </c>
      <c r="CJ569" s="66" t="str">
        <f>+IF($W569="","",ROUND((CG569*Parámetros!$G$85),2))</f>
        <v/>
      </c>
      <c r="CK569" s="66" t="str">
        <f>+IF($W569="","",ROUND((CG569*(Parámetros!$G$86)),2))</f>
        <v/>
      </c>
      <c r="CL569" s="66" t="str">
        <f t="shared" si="798"/>
        <v/>
      </c>
      <c r="CM569" t="str">
        <f t="shared" si="839"/>
        <v/>
      </c>
      <c r="CN569" s="118" t="str">
        <f t="shared" si="840"/>
        <v/>
      </c>
      <c r="CO569" s="118" t="str">
        <f t="shared" si="841"/>
        <v/>
      </c>
      <c r="CP569" s="118" t="str">
        <f t="shared" si="842"/>
        <v/>
      </c>
      <c r="CQ569" s="119" t="str">
        <f t="shared" si="799"/>
        <v/>
      </c>
      <c r="CR569" s="66" t="str">
        <f>+IF($W569="","",ROUND((VLOOKUP(Parámetros!$F$51,'COBERTURAS ADICIONALES'!$S$4:$T$32,2,FALSE)*(1+i/frec)^-0.5*(1+Parámetros!$D$103)*(1+rec_fracc)/frec*$CO$42),2))</f>
        <v/>
      </c>
      <c r="CS569" s="119" t="str">
        <f t="shared" si="800"/>
        <v/>
      </c>
      <c r="CT569" s="66" t="str">
        <f>+IF($W569="","",ROUND(IF($B569&gt;Parámetros!$D$107,'Tablas Servicio'!CR569+('Tablas Servicio'!CT568-'Tablas Servicio'!CR568),CR569/(1-IF(B569&lt;=10,Parámetros!$D$100,0))),2))</f>
        <v/>
      </c>
      <c r="CU569" s="66" t="str">
        <f t="shared" si="801"/>
        <v/>
      </c>
      <c r="CV569" s="66" t="str">
        <f t="shared" si="801"/>
        <v/>
      </c>
      <c r="CW569" s="66" t="str">
        <f>+IF($W569="","",ROUND((CT569*Parámetros!$G$85),2))</f>
        <v/>
      </c>
      <c r="CX569" s="66" t="str">
        <f>+IF($W569="","",ROUND((CT569*(Parámetros!$G$86)),2))</f>
        <v/>
      </c>
      <c r="CY569" s="66" t="str">
        <f t="shared" si="802"/>
        <v/>
      </c>
      <c r="CZ569" t="str">
        <f t="shared" si="843"/>
        <v/>
      </c>
      <c r="DA569" s="118" t="str">
        <f t="shared" si="844"/>
        <v/>
      </c>
      <c r="DB569" s="118" t="str">
        <f t="shared" si="845"/>
        <v/>
      </c>
      <c r="DC569" s="118" t="str">
        <f t="shared" si="846"/>
        <v/>
      </c>
      <c r="DD569" s="121" t="str">
        <f>+IF(OR($W569="",DB569=0),"",ROUND((VLOOKUP(ROUNDDOWN($D569-1/frec,0),cob_adi,CO$40,FALSE)*(1+i/frec)^-0.5*(1+Parámetros!$D$103)*(1+rec_fracc)/frec),6))</f>
        <v/>
      </c>
      <c r="DE569" s="66" t="str">
        <f t="shared" si="803"/>
        <v/>
      </c>
      <c r="DF569" s="119" t="str">
        <f t="shared" si="804"/>
        <v/>
      </c>
      <c r="DG569" s="66" t="str">
        <f>+IF($W569="","",ROUND(IF($B569&gt;Parámetros!$D$107,'Tablas Servicio'!DE569+('Tablas Servicio'!DG568-'Tablas Servicio'!DE568),DE569/(1-IF(B569&lt;=10,Parámetros!$D$100,0))),2))</f>
        <v/>
      </c>
      <c r="DH569" s="66" t="str">
        <f t="shared" si="805"/>
        <v/>
      </c>
      <c r="DI569" s="66" t="str">
        <f t="shared" si="805"/>
        <v/>
      </c>
      <c r="DJ569" s="66" t="str">
        <f>+IF($W569="","",ROUND((DG569*Parámetros!$G$85),2))</f>
        <v/>
      </c>
      <c r="DK569" s="66" t="str">
        <f>+IF($W569="","",ROUND((DG569*(Parámetros!$G$86)),2))</f>
        <v/>
      </c>
      <c r="DL569" s="66" t="str">
        <f t="shared" si="806"/>
        <v/>
      </c>
      <c r="DM569" t="str">
        <f t="shared" si="847"/>
        <v/>
      </c>
      <c r="DN569" s="118" t="str">
        <f t="shared" si="848"/>
        <v/>
      </c>
      <c r="DO569" s="118" t="str">
        <f t="shared" si="849"/>
        <v/>
      </c>
      <c r="DP569" s="118" t="str">
        <f t="shared" si="850"/>
        <v/>
      </c>
      <c r="DQ569" s="122" t="str">
        <f>+IF(OR($W569="",DO569=0),"",ROUND((VLOOKUP(ROUNDDOWN($D569-1/frec,0),cob_adi,DB$40,FALSE)*(1+i/frec)^-0.5*(1+Parámetros!$D$103)*(1+rec_fracc)/frec),6))</f>
        <v/>
      </c>
      <c r="DR569" s="66" t="str">
        <f t="shared" si="807"/>
        <v/>
      </c>
      <c r="DS569" s="68" t="str">
        <f t="shared" si="808"/>
        <v/>
      </c>
      <c r="DT569" s="66" t="str">
        <f>+IF($W569="","",ROUND(IF($B569&gt;Parámetros!$D$107,'Tablas Servicio'!DR569+('Tablas Servicio'!DT568-'Tablas Servicio'!DR568),DR569/(1-IF(B569&lt;=10,Parámetros!$D$100,0))),2))</f>
        <v/>
      </c>
      <c r="DU569" s="66" t="str">
        <f t="shared" si="809"/>
        <v/>
      </c>
      <c r="DV569" s="66" t="str">
        <f t="shared" si="809"/>
        <v/>
      </c>
      <c r="DW569" s="66" t="str">
        <f>+IF($W569="","",ROUND((DT569*Parámetros!$G$85),2))</f>
        <v/>
      </c>
      <c r="DX569" s="66" t="str">
        <f>+IF($W569="","",ROUND((DT569*(Parámetros!$G$86)),2))</f>
        <v/>
      </c>
      <c r="DY569" s="66" t="str">
        <f t="shared" si="810"/>
        <v/>
      </c>
      <c r="DZ569" t="str">
        <f t="shared" si="811"/>
        <v/>
      </c>
      <c r="EA569" s="118" t="str">
        <f t="shared" si="811"/>
        <v/>
      </c>
      <c r="EB569" s="118" t="str">
        <f>+IF($W569="","",ROUND(IF(Parámetros!$D$25='TABLAS MORT'!$V$33,EB568,Z569/2),0))</f>
        <v/>
      </c>
      <c r="EC569" s="118" t="str">
        <f t="shared" si="811"/>
        <v/>
      </c>
      <c r="ED569" s="122" t="str">
        <f>+IF(OR($W569="",EB569=0),"",ROUND((VLOOKUP(ROUNDDOWN($D569-1/frec,0),cob_adi,DO$40,FALSE)*(1+i/frec)^-0.5*(1+Parámetros!$D$103)*(1+rec_fracc)/frec),6))</f>
        <v/>
      </c>
      <c r="EE569" s="66" t="str">
        <f t="shared" si="812"/>
        <v/>
      </c>
      <c r="EF569" s="68" t="str">
        <f t="shared" si="813"/>
        <v/>
      </c>
      <c r="EG569" s="66" t="str">
        <f>+IF($W569="","",ROUND(IF($B569&gt;Parámetros!$D$107,'Tablas Servicio'!EE569+('Tablas Servicio'!EG568-'Tablas Servicio'!EE568),EE569/(1-IF(B569&lt;=10,Parámetros!$D$100,0))),2))</f>
        <v/>
      </c>
      <c r="EH569" s="66" t="str">
        <f t="shared" si="814"/>
        <v/>
      </c>
      <c r="EI569" s="66" t="str">
        <f t="shared" si="814"/>
        <v/>
      </c>
      <c r="EJ569" s="66" t="str">
        <f>+IF($W569="","",ROUND((EG569*Parámetros!$G$85),2))</f>
        <v/>
      </c>
      <c r="EK569" s="66" t="str">
        <f>+IF($W569="","",ROUND((EG569*(Parámetros!$G$86)),2))</f>
        <v/>
      </c>
      <c r="EL569" s="66" t="str">
        <f t="shared" si="815"/>
        <v/>
      </c>
    </row>
    <row r="570" spans="1:142" x14ac:dyDescent="0.25">
      <c r="A570" t="str">
        <f>+IF($C570="","",ROUND(VLOOKUP('Tablas Servicio'!B570,Parámetros!$H$100:$J$159,IF(Parámetros!$E$16="F",2,3),FALSE),2))</f>
        <v/>
      </c>
      <c r="B570" t="str">
        <f t="shared" si="766"/>
        <v/>
      </c>
      <c r="C570" s="57" t="str">
        <f>+IF(D570="","",'Tablas Servicio'!C569+1)</f>
        <v/>
      </c>
      <c r="D570" s="56" t="str">
        <f>+IF(D569&lt;edadmaxtabla,D569+1/Parámetros!$E$25,"")</f>
        <v/>
      </c>
      <c r="E570" s="57" t="str">
        <f t="shared" si="776"/>
        <v/>
      </c>
      <c r="F570" s="59" t="str">
        <f t="shared" si="777"/>
        <v/>
      </c>
      <c r="G570" s="66" t="str">
        <f t="shared" si="767"/>
        <v/>
      </c>
      <c r="H570" s="66" t="str">
        <f t="shared" si="768"/>
        <v/>
      </c>
      <c r="I570" s="66" t="str">
        <f t="shared" si="816"/>
        <v/>
      </c>
      <c r="J570" s="66" t="str">
        <f t="shared" si="769"/>
        <v/>
      </c>
      <c r="K570" s="66" t="str">
        <f t="shared" si="770"/>
        <v/>
      </c>
      <c r="L570" s="66" t="str">
        <f t="shared" si="771"/>
        <v/>
      </c>
      <c r="M570" s="66" t="str">
        <f t="shared" si="772"/>
        <v/>
      </c>
      <c r="N570" s="66" t="str">
        <f>+IF(C570="","",ROUND(Parámetros!$D$23,2))</f>
        <v/>
      </c>
      <c r="O570" s="66" t="str">
        <f t="shared" si="773"/>
        <v/>
      </c>
      <c r="P570" s="66" t="str">
        <f>+IF($C570="","",ROUND(IF(B570&gt;Parámetros!$D$117,0,N570*Parámetros!$D$116-G570*Parámetros!$D$100),2))</f>
        <v/>
      </c>
      <c r="Q570" s="75" t="str">
        <f t="shared" si="817"/>
        <v/>
      </c>
      <c r="R570" s="75" t="str">
        <f t="shared" si="818"/>
        <v/>
      </c>
      <c r="S570" s="117" t="str">
        <f>+IF($C570="","",ROUND((S569+I570)*(1+Parámetros!$D$91),2))</f>
        <v/>
      </c>
      <c r="T570" s="117" t="str">
        <f>+IF($C570="","",ROUND(S570*VLOOKUP(B570,Parámetros!$C$30:$D$39,2,TRUE),2))</f>
        <v/>
      </c>
      <c r="U570" s="117" t="str">
        <f>+IF($C570="","",ROUND((U569+I570)*(1+Parámetros!$D$92),2))</f>
        <v/>
      </c>
      <c r="V570" s="117" t="str">
        <f>+IF($C570="","",ROUND(U570*VLOOKUP(B570,Parámetros!$C$30:$D$39,2,TRUE),2))</f>
        <v/>
      </c>
      <c r="W570" s="57" t="str">
        <f t="shared" si="819"/>
        <v/>
      </c>
      <c r="X570" t="str">
        <f t="shared" si="820"/>
        <v/>
      </c>
      <c r="Y570" t="str">
        <f t="shared" si="821"/>
        <v/>
      </c>
      <c r="Z570" s="118" t="str">
        <f>+IF($W570="","",ROUND(IF(Parámetros!$D$25='TABLAS MORT'!$V$33,Z569,Parámetros!$D$21-'Tablas Servicio'!T569),0))</f>
        <v/>
      </c>
      <c r="AA570" s="118" t="str">
        <f t="shared" si="822"/>
        <v/>
      </c>
      <c r="AB570" s="119" t="str">
        <f>+IF(W570="","",ROUND((VLOOKUP(ROUNDDOWN($D570-1/frec,0),qx_tabla,2,FALSE)*(1+i/frec)^-0.5*(1+Parámetros!$D$103)*(1+rec_fracc)/frec),6))</f>
        <v/>
      </c>
      <c r="AC570" s="66" t="str">
        <f t="shared" si="778"/>
        <v/>
      </c>
      <c r="AD570" s="119" t="str">
        <f t="shared" si="774"/>
        <v/>
      </c>
      <c r="AE570" s="66" t="str">
        <f>+IF($W570="","",ROUND(IF($B570&gt;Parámetros!$D$107,'Tablas Servicio'!AC570+('Tablas Servicio'!AG569-'Tablas Servicio'!AC569),AC570/(1-IF(B570&lt;=10,Parámetros!$D$104,Parámetros!$D$105))),2))</f>
        <v/>
      </c>
      <c r="AF570" s="66" t="str">
        <f>+IF($W570="","",ROUND(IF($B570&gt;Parámetros!$D$107,'Tablas Servicio'!AC570+('Tablas Servicio'!AG569-'Tablas Servicio'!AC569),(AC570+$A569/frec)/(1-IF(B570&lt;=Parámetros!$D$117,Parámetros!$D$100,0))),2))</f>
        <v/>
      </c>
      <c r="AG570" s="66" t="str">
        <f t="shared" si="779"/>
        <v/>
      </c>
      <c r="AH570" s="66" t="str">
        <f t="shared" si="780"/>
        <v/>
      </c>
      <c r="AI570" s="66" t="str">
        <f t="shared" si="781"/>
        <v/>
      </c>
      <c r="AJ570" s="66" t="str">
        <f>+IF($W570="","",ROUND((AG570*Parámetros!$G$85),2))</f>
        <v/>
      </c>
      <c r="AK570" s="66" t="str">
        <f>+IF($W570="","",ROUND((AG570*(Parámetros!$G$86)),2))</f>
        <v/>
      </c>
      <c r="AL570" s="66" t="str">
        <f t="shared" si="775"/>
        <v/>
      </c>
      <c r="AM570" t="str">
        <f t="shared" si="823"/>
        <v/>
      </c>
      <c r="AN570" t="str">
        <f t="shared" si="824"/>
        <v/>
      </c>
      <c r="AO570" s="118" t="str">
        <f t="shared" si="825"/>
        <v/>
      </c>
      <c r="AP570" s="118" t="str">
        <f t="shared" si="826"/>
        <v/>
      </c>
      <c r="AQ570" s="119" t="str">
        <f>+IF(OR($W570="",AO570=0),"",ROUND((VLOOKUP(ROUNDDOWN($D570-1/frec,0),cob_adi,Z$40,FALSE)*(1+i/frec)^-0.5*(1+Parámetros!$D$103)*(1+rec_fracc)/frec),6))</f>
        <v/>
      </c>
      <c r="AR570" s="66" t="str">
        <f t="shared" si="782"/>
        <v/>
      </c>
      <c r="AS570" s="119" t="str">
        <f t="shared" si="783"/>
        <v/>
      </c>
      <c r="AT570" s="66" t="str">
        <f>+IF($W570="","",ROUND(IF($B570&gt;Parámetros!$D$107,'Tablas Servicio'!AR570+('Tablas Servicio'!AT569-'Tablas Servicio'!AR569),AR570/(1-IF(B570&lt;=10,Parámetros!$D$100,0))),2))</f>
        <v/>
      </c>
      <c r="AU570" s="66" t="str">
        <f t="shared" si="784"/>
        <v/>
      </c>
      <c r="AV570" s="66" t="str">
        <f t="shared" si="784"/>
        <v/>
      </c>
      <c r="AW570" s="66" t="str">
        <f>+IF($W570="","",ROUND((AT570*Parámetros!$G$85),2))</f>
        <v/>
      </c>
      <c r="AX570" s="66" t="str">
        <f>+IF($W570="","",ROUND((AT570*(Parámetros!$G$86)),2))</f>
        <v/>
      </c>
      <c r="AY570" s="66" t="str">
        <f t="shared" si="785"/>
        <v/>
      </c>
      <c r="AZ570" t="str">
        <f t="shared" si="827"/>
        <v/>
      </c>
      <c r="BA570" t="str">
        <f t="shared" si="828"/>
        <v/>
      </c>
      <c r="BB570" s="118" t="str">
        <f t="shared" si="829"/>
        <v/>
      </c>
      <c r="BC570" s="118" t="str">
        <f t="shared" si="830"/>
        <v/>
      </c>
      <c r="BD570" s="119" t="str">
        <f>+IF(OR($W570="",BB570=0),"",ROUND((VLOOKUP(ROUNDDOWN($D570-1/frec,0),cob_adi,AO$40,FALSE)*(1+i/frec)^-0.5*(1+Parámetros!$D$103)*(1+rec_fracc)/frec),6))</f>
        <v/>
      </c>
      <c r="BE570" s="66" t="str">
        <f t="shared" si="786"/>
        <v/>
      </c>
      <c r="BF570" s="119" t="str">
        <f t="shared" si="787"/>
        <v/>
      </c>
      <c r="BG570" s="66" t="str">
        <f>+IF($W570="","",ROUND(IF($B570&gt;Parámetros!$D$107,'Tablas Servicio'!BE570+('Tablas Servicio'!BG569-'Tablas Servicio'!BE569),BE570/(1-IF(B570&lt;=10,Parámetros!$D$100,0))),2))</f>
        <v/>
      </c>
      <c r="BH570" s="66" t="str">
        <f t="shared" si="788"/>
        <v/>
      </c>
      <c r="BI570" s="66" t="str">
        <f t="shared" si="789"/>
        <v/>
      </c>
      <c r="BJ570" s="66" t="str">
        <f>+IF($W570="","",ROUND((BG570*Parámetros!$G$85),2))</f>
        <v/>
      </c>
      <c r="BK570" s="66" t="str">
        <f>+IF($W570="","",ROUND((BG570*(Parámetros!$G$86)),2))</f>
        <v/>
      </c>
      <c r="BL570" s="66" t="str">
        <f t="shared" si="790"/>
        <v/>
      </c>
      <c r="BM570" t="str">
        <f t="shared" si="831"/>
        <v/>
      </c>
      <c r="BN570" t="str">
        <f t="shared" si="832"/>
        <v/>
      </c>
      <c r="BO570" s="118" t="str">
        <f t="shared" si="833"/>
        <v/>
      </c>
      <c r="BP570" s="118" t="str">
        <f t="shared" si="834"/>
        <v/>
      </c>
      <c r="BQ570" s="119" t="str">
        <f>+IF(OR($W570="",BO570=0),"",ROUND((VLOOKUP(ROUNDDOWN($D570-1/frec,0),cob_adi,BB$40,FALSE)*(1+i/frec)^-0.5*(1+Parámetros!$D$103)*(1+rec_fracc)/frec),6))</f>
        <v/>
      </c>
      <c r="BR570" s="66" t="str">
        <f t="shared" si="791"/>
        <v/>
      </c>
      <c r="BS570" s="119" t="str">
        <f t="shared" si="792"/>
        <v/>
      </c>
      <c r="BT570" s="66" t="str">
        <f>+IF($W570="","",ROUND(IF($B570&gt;Parámetros!$D$107,'Tablas Servicio'!BR570+('Tablas Servicio'!BT569-'Tablas Servicio'!BR569),BR570/(1-IF(B570&lt;=10,Parámetros!$D$100,0))),2))</f>
        <v/>
      </c>
      <c r="BU570" s="66" t="str">
        <f t="shared" si="793"/>
        <v/>
      </c>
      <c r="BV570" s="66" t="str">
        <f t="shared" si="793"/>
        <v/>
      </c>
      <c r="BW570" s="66" t="str">
        <f>+IF($W570="","",ROUND((BT570*Parámetros!$G$85),2))</f>
        <v/>
      </c>
      <c r="BX570" s="66" t="str">
        <f>+IF($W570="","",ROUND((BT570*(Parámetros!$G$86)),2))</f>
        <v/>
      </c>
      <c r="BY570" s="66" t="str">
        <f t="shared" si="794"/>
        <v/>
      </c>
      <c r="BZ570" t="str">
        <f t="shared" si="835"/>
        <v/>
      </c>
      <c r="CA570" t="str">
        <f t="shared" si="836"/>
        <v/>
      </c>
      <c r="CB570" s="118" t="str">
        <f t="shared" si="837"/>
        <v/>
      </c>
      <c r="CC570" s="118" t="str">
        <f t="shared" si="838"/>
        <v/>
      </c>
      <c r="CD570" s="119" t="str">
        <f t="shared" si="795"/>
        <v/>
      </c>
      <c r="CE570" s="66" t="str">
        <f>+IF($W570="","",ROUND((VLOOKUP(ROUNDDOWN($D570-1/frec,0),cob_adi,BO$40,FALSE)*(1+i/frec)^-0.5*(1+Parámetros!$D$103)*(1+rec_fracc)/frec*'TABLAS ADI'!$BC$17),2))</f>
        <v/>
      </c>
      <c r="CF570" s="119" t="str">
        <f t="shared" si="796"/>
        <v/>
      </c>
      <c r="CG570" s="66" t="str">
        <f>+IF($W570="","",ROUND(IF($B570&gt;Parámetros!$D$107,'Tablas Servicio'!CE570+('Tablas Servicio'!CG569-'Tablas Servicio'!CE569),CE570/(1-IF(B570&lt;=10,Parámetros!$D$100,0))),2))</f>
        <v/>
      </c>
      <c r="CH570" s="66" t="str">
        <f t="shared" si="797"/>
        <v/>
      </c>
      <c r="CI570" s="66" t="str">
        <f t="shared" si="797"/>
        <v/>
      </c>
      <c r="CJ570" s="66" t="str">
        <f>+IF($W570="","",ROUND((CG570*Parámetros!$G$85),2))</f>
        <v/>
      </c>
      <c r="CK570" s="66" t="str">
        <f>+IF($W570="","",ROUND((CG570*(Parámetros!$G$86)),2))</f>
        <v/>
      </c>
      <c r="CL570" s="66" t="str">
        <f t="shared" si="798"/>
        <v/>
      </c>
      <c r="CM570" t="str">
        <f t="shared" si="839"/>
        <v/>
      </c>
      <c r="CN570" s="118" t="str">
        <f t="shared" si="840"/>
        <v/>
      </c>
      <c r="CO570" s="118" t="str">
        <f t="shared" si="841"/>
        <v/>
      </c>
      <c r="CP570" s="118" t="str">
        <f t="shared" si="842"/>
        <v/>
      </c>
      <c r="CQ570" s="119" t="str">
        <f t="shared" si="799"/>
        <v/>
      </c>
      <c r="CR570" s="66" t="str">
        <f>+IF($W570="","",ROUND((VLOOKUP(Parámetros!$F$51,'COBERTURAS ADICIONALES'!$S$4:$T$32,2,FALSE)*(1+i/frec)^-0.5*(1+Parámetros!$D$103)*(1+rec_fracc)/frec*$CO$42),2))</f>
        <v/>
      </c>
      <c r="CS570" s="119" t="str">
        <f t="shared" si="800"/>
        <v/>
      </c>
      <c r="CT570" s="66" t="str">
        <f>+IF($W570="","",ROUND(IF($B570&gt;Parámetros!$D$107,'Tablas Servicio'!CR570+('Tablas Servicio'!CT569-'Tablas Servicio'!CR569),CR570/(1-IF(B570&lt;=10,Parámetros!$D$100,0))),2))</f>
        <v/>
      </c>
      <c r="CU570" s="66" t="str">
        <f t="shared" si="801"/>
        <v/>
      </c>
      <c r="CV570" s="66" t="str">
        <f t="shared" si="801"/>
        <v/>
      </c>
      <c r="CW570" s="66" t="str">
        <f>+IF($W570="","",ROUND((CT570*Parámetros!$G$85),2))</f>
        <v/>
      </c>
      <c r="CX570" s="66" t="str">
        <f>+IF($W570="","",ROUND((CT570*(Parámetros!$G$86)),2))</f>
        <v/>
      </c>
      <c r="CY570" s="66" t="str">
        <f t="shared" si="802"/>
        <v/>
      </c>
      <c r="CZ570" t="str">
        <f t="shared" si="843"/>
        <v/>
      </c>
      <c r="DA570" s="118" t="str">
        <f t="shared" si="844"/>
        <v/>
      </c>
      <c r="DB570" s="118" t="str">
        <f t="shared" si="845"/>
        <v/>
      </c>
      <c r="DC570" s="118" t="str">
        <f t="shared" si="846"/>
        <v/>
      </c>
      <c r="DD570" s="121" t="str">
        <f>+IF(OR($W570="",DB570=0),"",ROUND((VLOOKUP(ROUNDDOWN($D570-1/frec,0),cob_adi,CO$40,FALSE)*(1+i/frec)^-0.5*(1+Parámetros!$D$103)*(1+rec_fracc)/frec),6))</f>
        <v/>
      </c>
      <c r="DE570" s="66" t="str">
        <f t="shared" si="803"/>
        <v/>
      </c>
      <c r="DF570" s="119" t="str">
        <f t="shared" si="804"/>
        <v/>
      </c>
      <c r="DG570" s="66" t="str">
        <f>+IF($W570="","",ROUND(IF($B570&gt;Parámetros!$D$107,'Tablas Servicio'!DE570+('Tablas Servicio'!DG569-'Tablas Servicio'!DE569),DE570/(1-IF(B570&lt;=10,Parámetros!$D$100,0))),2))</f>
        <v/>
      </c>
      <c r="DH570" s="66" t="str">
        <f t="shared" si="805"/>
        <v/>
      </c>
      <c r="DI570" s="66" t="str">
        <f t="shared" si="805"/>
        <v/>
      </c>
      <c r="DJ570" s="66" t="str">
        <f>+IF($W570="","",ROUND((DG570*Parámetros!$G$85),2))</f>
        <v/>
      </c>
      <c r="DK570" s="66" t="str">
        <f>+IF($W570="","",ROUND((DG570*(Parámetros!$G$86)),2))</f>
        <v/>
      </c>
      <c r="DL570" s="66" t="str">
        <f t="shared" si="806"/>
        <v/>
      </c>
      <c r="DM570" t="str">
        <f t="shared" si="847"/>
        <v/>
      </c>
      <c r="DN570" s="118" t="str">
        <f t="shared" si="848"/>
        <v/>
      </c>
      <c r="DO570" s="118" t="str">
        <f t="shared" si="849"/>
        <v/>
      </c>
      <c r="DP570" s="118" t="str">
        <f t="shared" si="850"/>
        <v/>
      </c>
      <c r="DQ570" s="122" t="str">
        <f>+IF(OR($W570="",DO570=0),"",ROUND((VLOOKUP(ROUNDDOWN($D570-1/frec,0),cob_adi,DB$40,FALSE)*(1+i/frec)^-0.5*(1+Parámetros!$D$103)*(1+rec_fracc)/frec),6))</f>
        <v/>
      </c>
      <c r="DR570" s="66" t="str">
        <f t="shared" si="807"/>
        <v/>
      </c>
      <c r="DS570" s="68" t="str">
        <f t="shared" si="808"/>
        <v/>
      </c>
      <c r="DT570" s="66" t="str">
        <f>+IF($W570="","",ROUND(IF($B570&gt;Parámetros!$D$107,'Tablas Servicio'!DR570+('Tablas Servicio'!DT569-'Tablas Servicio'!DR569),DR570/(1-IF(B570&lt;=10,Parámetros!$D$100,0))),2))</f>
        <v/>
      </c>
      <c r="DU570" s="66" t="str">
        <f t="shared" si="809"/>
        <v/>
      </c>
      <c r="DV570" s="66" t="str">
        <f t="shared" si="809"/>
        <v/>
      </c>
      <c r="DW570" s="66" t="str">
        <f>+IF($W570="","",ROUND((DT570*Parámetros!$G$85),2))</f>
        <v/>
      </c>
      <c r="DX570" s="66" t="str">
        <f>+IF($W570="","",ROUND((DT570*(Parámetros!$G$86)),2))</f>
        <v/>
      </c>
      <c r="DY570" s="66" t="str">
        <f t="shared" si="810"/>
        <v/>
      </c>
      <c r="DZ570" t="str">
        <f t="shared" si="811"/>
        <v/>
      </c>
      <c r="EA570" s="118" t="str">
        <f t="shared" si="811"/>
        <v/>
      </c>
      <c r="EB570" s="118" t="str">
        <f>+IF($W570="","",ROUND(IF(Parámetros!$D$25='TABLAS MORT'!$V$33,EB569,Z570/2),0))</f>
        <v/>
      </c>
      <c r="EC570" s="118" t="str">
        <f t="shared" si="811"/>
        <v/>
      </c>
      <c r="ED570" s="122" t="str">
        <f>+IF(OR($W570="",EB570=0),"",ROUND((VLOOKUP(ROUNDDOWN($D570-1/frec,0),cob_adi,DO$40,FALSE)*(1+i/frec)^-0.5*(1+Parámetros!$D$103)*(1+rec_fracc)/frec),6))</f>
        <v/>
      </c>
      <c r="EE570" s="66" t="str">
        <f t="shared" si="812"/>
        <v/>
      </c>
      <c r="EF570" s="68" t="str">
        <f t="shared" si="813"/>
        <v/>
      </c>
      <c r="EG570" s="66" t="str">
        <f>+IF($W570="","",ROUND(IF($B570&gt;Parámetros!$D$107,'Tablas Servicio'!EE570+('Tablas Servicio'!EG569-'Tablas Servicio'!EE569),EE570/(1-IF(B570&lt;=10,Parámetros!$D$100,0))),2))</f>
        <v/>
      </c>
      <c r="EH570" s="66" t="str">
        <f t="shared" si="814"/>
        <v/>
      </c>
      <c r="EI570" s="66" t="str">
        <f t="shared" si="814"/>
        <v/>
      </c>
      <c r="EJ570" s="66" t="str">
        <f>+IF($W570="","",ROUND((EG570*Parámetros!$G$85),2))</f>
        <v/>
      </c>
      <c r="EK570" s="66" t="str">
        <f>+IF($W570="","",ROUND((EG570*(Parámetros!$G$86)),2))</f>
        <v/>
      </c>
      <c r="EL570" s="66" t="str">
        <f t="shared" si="815"/>
        <v/>
      </c>
    </row>
    <row r="571" spans="1:142" x14ac:dyDescent="0.25">
      <c r="A571" t="str">
        <f>+IF($C571="","",ROUND(VLOOKUP('Tablas Servicio'!B571,Parámetros!$H$100:$J$159,IF(Parámetros!$E$16="F",2,3),FALSE),2))</f>
        <v/>
      </c>
      <c r="B571" t="str">
        <f t="shared" si="766"/>
        <v/>
      </c>
      <c r="C571" s="57" t="str">
        <f>+IF(D571="","",'Tablas Servicio'!C570+1)</f>
        <v/>
      </c>
      <c r="D571" s="56" t="str">
        <f>+IF(D570&lt;edadmaxtabla,D570+1/Parámetros!$E$25,"")</f>
        <v/>
      </c>
      <c r="E571" s="57" t="str">
        <f t="shared" si="776"/>
        <v/>
      </c>
      <c r="F571" s="59" t="str">
        <f t="shared" si="777"/>
        <v/>
      </c>
      <c r="G571" s="66" t="str">
        <f t="shared" si="767"/>
        <v/>
      </c>
      <c r="H571" s="66" t="str">
        <f t="shared" si="768"/>
        <v/>
      </c>
      <c r="I571" s="66" t="str">
        <f t="shared" si="816"/>
        <v/>
      </c>
      <c r="J571" s="66" t="str">
        <f t="shared" si="769"/>
        <v/>
      </c>
      <c r="K571" s="66" t="str">
        <f t="shared" si="770"/>
        <v/>
      </c>
      <c r="L571" s="66" t="str">
        <f t="shared" si="771"/>
        <v/>
      </c>
      <c r="M571" s="66" t="str">
        <f t="shared" si="772"/>
        <v/>
      </c>
      <c r="N571" s="66" t="str">
        <f>+IF(C571="","",ROUND(Parámetros!$D$23,2))</f>
        <v/>
      </c>
      <c r="O571" s="66" t="str">
        <f t="shared" si="773"/>
        <v/>
      </c>
      <c r="P571" s="66" t="str">
        <f>+IF($C571="","",ROUND(IF(B571&gt;Parámetros!$D$117,0,N571*Parámetros!$D$116-G571*Parámetros!$D$100),2))</f>
        <v/>
      </c>
      <c r="Q571" s="75" t="str">
        <f t="shared" si="817"/>
        <v/>
      </c>
      <c r="R571" s="75" t="str">
        <f t="shared" si="818"/>
        <v/>
      </c>
      <c r="S571" s="117" t="str">
        <f>+IF($C571="","",ROUND((S570+I571)*(1+Parámetros!$D$91),2))</f>
        <v/>
      </c>
      <c r="T571" s="117" t="str">
        <f>+IF($C571="","",ROUND(S571*VLOOKUP(B571,Parámetros!$C$30:$D$39,2,TRUE),2))</f>
        <v/>
      </c>
      <c r="U571" s="117" t="str">
        <f>+IF($C571="","",ROUND((U570+I571)*(1+Parámetros!$D$92),2))</f>
        <v/>
      </c>
      <c r="V571" s="117" t="str">
        <f>+IF($C571="","",ROUND(U571*VLOOKUP(B571,Parámetros!$C$30:$D$39,2,TRUE),2))</f>
        <v/>
      </c>
      <c r="W571" s="57" t="str">
        <f t="shared" si="819"/>
        <v/>
      </c>
      <c r="X571" t="str">
        <f t="shared" si="820"/>
        <v/>
      </c>
      <c r="Y571" t="str">
        <f t="shared" si="821"/>
        <v/>
      </c>
      <c r="Z571" s="118" t="str">
        <f>+IF($W571="","",ROUND(IF(Parámetros!$D$25='TABLAS MORT'!$V$33,Z570,Parámetros!$D$21-'Tablas Servicio'!T570),0))</f>
        <v/>
      </c>
      <c r="AA571" s="118" t="str">
        <f t="shared" si="822"/>
        <v/>
      </c>
      <c r="AB571" s="119" t="str">
        <f>+IF(W571="","",ROUND((VLOOKUP(ROUNDDOWN($D571-1/frec,0),qx_tabla,2,FALSE)*(1+i/frec)^-0.5*(1+Parámetros!$D$103)*(1+rec_fracc)/frec),6))</f>
        <v/>
      </c>
      <c r="AC571" s="66" t="str">
        <f t="shared" si="778"/>
        <v/>
      </c>
      <c r="AD571" s="119" t="str">
        <f t="shared" si="774"/>
        <v/>
      </c>
      <c r="AE571" s="66" t="str">
        <f>+IF($W571="","",ROUND(IF($B571&gt;Parámetros!$D$107,'Tablas Servicio'!AC571+('Tablas Servicio'!AG570-'Tablas Servicio'!AC570),AC571/(1-IF(B571&lt;=10,Parámetros!$D$104,Parámetros!$D$105))),2))</f>
        <v/>
      </c>
      <c r="AF571" s="66" t="str">
        <f>+IF($W571="","",ROUND(IF($B571&gt;Parámetros!$D$107,'Tablas Servicio'!AC571+('Tablas Servicio'!AG570-'Tablas Servicio'!AC570),(AC571+$A570/frec)/(1-IF(B571&lt;=Parámetros!$D$117,Parámetros!$D$100,0))),2))</f>
        <v/>
      </c>
      <c r="AG571" s="66" t="str">
        <f t="shared" si="779"/>
        <v/>
      </c>
      <c r="AH571" s="66" t="str">
        <f t="shared" si="780"/>
        <v/>
      </c>
      <c r="AI571" s="66" t="str">
        <f t="shared" si="781"/>
        <v/>
      </c>
      <c r="AJ571" s="66" t="str">
        <f>+IF($W571="","",ROUND((AG571*Parámetros!$G$85),2))</f>
        <v/>
      </c>
      <c r="AK571" s="66" t="str">
        <f>+IF($W571="","",ROUND((AG571*(Parámetros!$G$86)),2))</f>
        <v/>
      </c>
      <c r="AL571" s="66" t="str">
        <f t="shared" si="775"/>
        <v/>
      </c>
      <c r="AM571" t="str">
        <f t="shared" si="823"/>
        <v/>
      </c>
      <c r="AN571" t="str">
        <f t="shared" si="824"/>
        <v/>
      </c>
      <c r="AO571" s="118" t="str">
        <f t="shared" si="825"/>
        <v/>
      </c>
      <c r="AP571" s="118" t="str">
        <f t="shared" si="826"/>
        <v/>
      </c>
      <c r="AQ571" s="119" t="str">
        <f>+IF(OR($W571="",AO571=0),"",ROUND((VLOOKUP(ROUNDDOWN($D571-1/frec,0),cob_adi,Z$40,FALSE)*(1+i/frec)^-0.5*(1+Parámetros!$D$103)*(1+rec_fracc)/frec),6))</f>
        <v/>
      </c>
      <c r="AR571" s="66" t="str">
        <f t="shared" si="782"/>
        <v/>
      </c>
      <c r="AS571" s="119" t="str">
        <f t="shared" si="783"/>
        <v/>
      </c>
      <c r="AT571" s="66" t="str">
        <f>+IF($W571="","",ROUND(IF($B571&gt;Parámetros!$D$107,'Tablas Servicio'!AR571+('Tablas Servicio'!AT570-'Tablas Servicio'!AR570),AR571/(1-IF(B571&lt;=10,Parámetros!$D$100,0))),2))</f>
        <v/>
      </c>
      <c r="AU571" s="66" t="str">
        <f t="shared" si="784"/>
        <v/>
      </c>
      <c r="AV571" s="66" t="str">
        <f t="shared" si="784"/>
        <v/>
      </c>
      <c r="AW571" s="66" t="str">
        <f>+IF($W571="","",ROUND((AT571*Parámetros!$G$85),2))</f>
        <v/>
      </c>
      <c r="AX571" s="66" t="str">
        <f>+IF($W571="","",ROUND((AT571*(Parámetros!$G$86)),2))</f>
        <v/>
      </c>
      <c r="AY571" s="66" t="str">
        <f t="shared" si="785"/>
        <v/>
      </c>
      <c r="AZ571" t="str">
        <f t="shared" si="827"/>
        <v/>
      </c>
      <c r="BA571" t="str">
        <f t="shared" si="828"/>
        <v/>
      </c>
      <c r="BB571" s="118" t="str">
        <f t="shared" si="829"/>
        <v/>
      </c>
      <c r="BC571" s="118" t="str">
        <f t="shared" si="830"/>
        <v/>
      </c>
      <c r="BD571" s="119" t="str">
        <f>+IF(OR($W571="",BB571=0),"",ROUND((VLOOKUP(ROUNDDOWN($D571-1/frec,0),cob_adi,AO$40,FALSE)*(1+i/frec)^-0.5*(1+Parámetros!$D$103)*(1+rec_fracc)/frec),6))</f>
        <v/>
      </c>
      <c r="BE571" s="66" t="str">
        <f t="shared" si="786"/>
        <v/>
      </c>
      <c r="BF571" s="119" t="str">
        <f t="shared" si="787"/>
        <v/>
      </c>
      <c r="BG571" s="66" t="str">
        <f>+IF($W571="","",ROUND(IF($B571&gt;Parámetros!$D$107,'Tablas Servicio'!BE571+('Tablas Servicio'!BG570-'Tablas Servicio'!BE570),BE571/(1-IF(B571&lt;=10,Parámetros!$D$100,0))),2))</f>
        <v/>
      </c>
      <c r="BH571" s="66" t="str">
        <f t="shared" si="788"/>
        <v/>
      </c>
      <c r="BI571" s="66" t="str">
        <f t="shared" si="789"/>
        <v/>
      </c>
      <c r="BJ571" s="66" t="str">
        <f>+IF($W571="","",ROUND((BG571*Parámetros!$G$85),2))</f>
        <v/>
      </c>
      <c r="BK571" s="66" t="str">
        <f>+IF($W571="","",ROUND((BG571*(Parámetros!$G$86)),2))</f>
        <v/>
      </c>
      <c r="BL571" s="66" t="str">
        <f t="shared" si="790"/>
        <v/>
      </c>
      <c r="BM571" t="str">
        <f t="shared" si="831"/>
        <v/>
      </c>
      <c r="BN571" t="str">
        <f t="shared" si="832"/>
        <v/>
      </c>
      <c r="BO571" s="118" t="str">
        <f t="shared" si="833"/>
        <v/>
      </c>
      <c r="BP571" s="118" t="str">
        <f t="shared" si="834"/>
        <v/>
      </c>
      <c r="BQ571" s="119" t="str">
        <f>+IF(OR($W571="",BO571=0),"",ROUND((VLOOKUP(ROUNDDOWN($D571-1/frec,0),cob_adi,BB$40,FALSE)*(1+i/frec)^-0.5*(1+Parámetros!$D$103)*(1+rec_fracc)/frec),6))</f>
        <v/>
      </c>
      <c r="BR571" s="66" t="str">
        <f t="shared" si="791"/>
        <v/>
      </c>
      <c r="BS571" s="119" t="str">
        <f t="shared" si="792"/>
        <v/>
      </c>
      <c r="BT571" s="66" t="str">
        <f>+IF($W571="","",ROUND(IF($B571&gt;Parámetros!$D$107,'Tablas Servicio'!BR571+('Tablas Servicio'!BT570-'Tablas Servicio'!BR570),BR571/(1-IF(B571&lt;=10,Parámetros!$D$100,0))),2))</f>
        <v/>
      </c>
      <c r="BU571" s="66" t="str">
        <f t="shared" si="793"/>
        <v/>
      </c>
      <c r="BV571" s="66" t="str">
        <f t="shared" si="793"/>
        <v/>
      </c>
      <c r="BW571" s="66" t="str">
        <f>+IF($W571="","",ROUND((BT571*Parámetros!$G$85),2))</f>
        <v/>
      </c>
      <c r="BX571" s="66" t="str">
        <f>+IF($W571="","",ROUND((BT571*(Parámetros!$G$86)),2))</f>
        <v/>
      </c>
      <c r="BY571" s="66" t="str">
        <f t="shared" si="794"/>
        <v/>
      </c>
      <c r="BZ571" t="str">
        <f t="shared" si="835"/>
        <v/>
      </c>
      <c r="CA571" t="str">
        <f t="shared" si="836"/>
        <v/>
      </c>
      <c r="CB571" s="118" t="str">
        <f t="shared" si="837"/>
        <v/>
      </c>
      <c r="CC571" s="118" t="str">
        <f t="shared" si="838"/>
        <v/>
      </c>
      <c r="CD571" s="119" t="str">
        <f t="shared" si="795"/>
        <v/>
      </c>
      <c r="CE571" s="66" t="str">
        <f>+IF($W571="","",ROUND((VLOOKUP(ROUNDDOWN($D571-1/frec,0),cob_adi,BO$40,FALSE)*(1+i/frec)^-0.5*(1+Parámetros!$D$103)*(1+rec_fracc)/frec*'TABLAS ADI'!$BC$17),2))</f>
        <v/>
      </c>
      <c r="CF571" s="119" t="str">
        <f t="shared" si="796"/>
        <v/>
      </c>
      <c r="CG571" s="66" t="str">
        <f>+IF($W571="","",ROUND(IF($B571&gt;Parámetros!$D$107,'Tablas Servicio'!CE571+('Tablas Servicio'!CG570-'Tablas Servicio'!CE570),CE571/(1-IF(B571&lt;=10,Parámetros!$D$100,0))),2))</f>
        <v/>
      </c>
      <c r="CH571" s="66" t="str">
        <f t="shared" si="797"/>
        <v/>
      </c>
      <c r="CI571" s="66" t="str">
        <f t="shared" si="797"/>
        <v/>
      </c>
      <c r="CJ571" s="66" t="str">
        <f>+IF($W571="","",ROUND((CG571*Parámetros!$G$85),2))</f>
        <v/>
      </c>
      <c r="CK571" s="66" t="str">
        <f>+IF($W571="","",ROUND((CG571*(Parámetros!$G$86)),2))</f>
        <v/>
      </c>
      <c r="CL571" s="66" t="str">
        <f t="shared" si="798"/>
        <v/>
      </c>
      <c r="CM571" t="str">
        <f t="shared" si="839"/>
        <v/>
      </c>
      <c r="CN571" s="118" t="str">
        <f t="shared" si="840"/>
        <v/>
      </c>
      <c r="CO571" s="118" t="str">
        <f t="shared" si="841"/>
        <v/>
      </c>
      <c r="CP571" s="118" t="str">
        <f t="shared" si="842"/>
        <v/>
      </c>
      <c r="CQ571" s="119" t="str">
        <f t="shared" si="799"/>
        <v/>
      </c>
      <c r="CR571" s="66" t="str">
        <f>+IF($W571="","",ROUND((VLOOKUP(Parámetros!$F$51,'COBERTURAS ADICIONALES'!$S$4:$T$32,2,FALSE)*(1+i/frec)^-0.5*(1+Parámetros!$D$103)*(1+rec_fracc)/frec*$CO$42),2))</f>
        <v/>
      </c>
      <c r="CS571" s="119" t="str">
        <f t="shared" si="800"/>
        <v/>
      </c>
      <c r="CT571" s="66" t="str">
        <f>+IF($W571="","",ROUND(IF($B571&gt;Parámetros!$D$107,'Tablas Servicio'!CR571+('Tablas Servicio'!CT570-'Tablas Servicio'!CR570),CR571/(1-IF(B571&lt;=10,Parámetros!$D$100,0))),2))</f>
        <v/>
      </c>
      <c r="CU571" s="66" t="str">
        <f t="shared" si="801"/>
        <v/>
      </c>
      <c r="CV571" s="66" t="str">
        <f t="shared" si="801"/>
        <v/>
      </c>
      <c r="CW571" s="66" t="str">
        <f>+IF($W571="","",ROUND((CT571*Parámetros!$G$85),2))</f>
        <v/>
      </c>
      <c r="CX571" s="66" t="str">
        <f>+IF($W571="","",ROUND((CT571*(Parámetros!$G$86)),2))</f>
        <v/>
      </c>
      <c r="CY571" s="66" t="str">
        <f t="shared" si="802"/>
        <v/>
      </c>
      <c r="CZ571" t="str">
        <f t="shared" si="843"/>
        <v/>
      </c>
      <c r="DA571" s="118" t="str">
        <f t="shared" si="844"/>
        <v/>
      </c>
      <c r="DB571" s="118" t="str">
        <f t="shared" si="845"/>
        <v/>
      </c>
      <c r="DC571" s="118" t="str">
        <f t="shared" si="846"/>
        <v/>
      </c>
      <c r="DD571" s="121" t="str">
        <f>+IF(OR($W571="",DB571=0),"",ROUND((VLOOKUP(ROUNDDOWN($D571-1/frec,0),cob_adi,CO$40,FALSE)*(1+i/frec)^-0.5*(1+Parámetros!$D$103)*(1+rec_fracc)/frec),6))</f>
        <v/>
      </c>
      <c r="DE571" s="66" t="str">
        <f t="shared" si="803"/>
        <v/>
      </c>
      <c r="DF571" s="119" t="str">
        <f t="shared" si="804"/>
        <v/>
      </c>
      <c r="DG571" s="66" t="str">
        <f>+IF($W571="","",ROUND(IF($B571&gt;Parámetros!$D$107,'Tablas Servicio'!DE571+('Tablas Servicio'!DG570-'Tablas Servicio'!DE570),DE571/(1-IF(B571&lt;=10,Parámetros!$D$100,0))),2))</f>
        <v/>
      </c>
      <c r="DH571" s="66" t="str">
        <f t="shared" si="805"/>
        <v/>
      </c>
      <c r="DI571" s="66" t="str">
        <f t="shared" si="805"/>
        <v/>
      </c>
      <c r="DJ571" s="66" t="str">
        <f>+IF($W571="","",ROUND((DG571*Parámetros!$G$85),2))</f>
        <v/>
      </c>
      <c r="DK571" s="66" t="str">
        <f>+IF($W571="","",ROUND((DG571*(Parámetros!$G$86)),2))</f>
        <v/>
      </c>
      <c r="DL571" s="66" t="str">
        <f t="shared" si="806"/>
        <v/>
      </c>
      <c r="DM571" t="str">
        <f t="shared" si="847"/>
        <v/>
      </c>
      <c r="DN571" s="118" t="str">
        <f t="shared" si="848"/>
        <v/>
      </c>
      <c r="DO571" s="118" t="str">
        <f t="shared" si="849"/>
        <v/>
      </c>
      <c r="DP571" s="118" t="str">
        <f t="shared" si="850"/>
        <v/>
      </c>
      <c r="DQ571" s="122" t="str">
        <f>+IF(OR($W571="",DO571=0),"",ROUND((VLOOKUP(ROUNDDOWN($D571-1/frec,0),cob_adi,DB$40,FALSE)*(1+i/frec)^-0.5*(1+Parámetros!$D$103)*(1+rec_fracc)/frec),6))</f>
        <v/>
      </c>
      <c r="DR571" s="66" t="str">
        <f t="shared" si="807"/>
        <v/>
      </c>
      <c r="DS571" s="68" t="str">
        <f t="shared" si="808"/>
        <v/>
      </c>
      <c r="DT571" s="66" t="str">
        <f>+IF($W571="","",ROUND(IF($B571&gt;Parámetros!$D$107,'Tablas Servicio'!DR571+('Tablas Servicio'!DT570-'Tablas Servicio'!DR570),DR571/(1-IF(B571&lt;=10,Parámetros!$D$100,0))),2))</f>
        <v/>
      </c>
      <c r="DU571" s="66" t="str">
        <f t="shared" si="809"/>
        <v/>
      </c>
      <c r="DV571" s="66" t="str">
        <f t="shared" si="809"/>
        <v/>
      </c>
      <c r="DW571" s="66" t="str">
        <f>+IF($W571="","",ROUND((DT571*Parámetros!$G$85),2))</f>
        <v/>
      </c>
      <c r="DX571" s="66" t="str">
        <f>+IF($W571="","",ROUND((DT571*(Parámetros!$G$86)),2))</f>
        <v/>
      </c>
      <c r="DY571" s="66" t="str">
        <f t="shared" si="810"/>
        <v/>
      </c>
      <c r="DZ571" t="str">
        <f t="shared" ref="DZ571:EC586" si="851">+IF($W571="","",DZ570)</f>
        <v/>
      </c>
      <c r="EA571" s="118" t="str">
        <f t="shared" si="851"/>
        <v/>
      </c>
      <c r="EB571" s="118" t="str">
        <f>+IF($W571="","",ROUND(IF(Parámetros!$D$25='TABLAS MORT'!$V$33,EB570,Z571/2),0))</f>
        <v/>
      </c>
      <c r="EC571" s="118" t="str">
        <f t="shared" si="851"/>
        <v/>
      </c>
      <c r="ED571" s="122" t="str">
        <f>+IF(OR($W571="",EB571=0),"",ROUND((VLOOKUP(ROUNDDOWN($D571-1/frec,0),cob_adi,DO$40,FALSE)*(1+i/frec)^-0.5*(1+Parámetros!$D$103)*(1+rec_fracc)/frec),6))</f>
        <v/>
      </c>
      <c r="EE571" s="66" t="str">
        <f t="shared" si="812"/>
        <v/>
      </c>
      <c r="EF571" s="68" t="str">
        <f t="shared" si="813"/>
        <v/>
      </c>
      <c r="EG571" s="66" t="str">
        <f>+IF($W571="","",ROUND(IF($B571&gt;Parámetros!$D$107,'Tablas Servicio'!EE571+('Tablas Servicio'!EG570-'Tablas Servicio'!EE570),EE571/(1-IF(B571&lt;=10,Parámetros!$D$100,0))),2))</f>
        <v/>
      </c>
      <c r="EH571" s="66" t="str">
        <f t="shared" si="814"/>
        <v/>
      </c>
      <c r="EI571" s="66" t="str">
        <f t="shared" si="814"/>
        <v/>
      </c>
      <c r="EJ571" s="66" t="str">
        <f>+IF($W571="","",ROUND((EG571*Parámetros!$G$85),2))</f>
        <v/>
      </c>
      <c r="EK571" s="66" t="str">
        <f>+IF($W571="","",ROUND((EG571*(Parámetros!$G$86)),2))</f>
        <v/>
      </c>
      <c r="EL571" s="66" t="str">
        <f t="shared" si="815"/>
        <v/>
      </c>
    </row>
    <row r="572" spans="1:142" x14ac:dyDescent="0.25">
      <c r="A572" t="str">
        <f>+IF($C572="","",ROUND(VLOOKUP('Tablas Servicio'!B572,Parámetros!$H$100:$J$159,IF(Parámetros!$E$16="F",2,3),FALSE),2))</f>
        <v/>
      </c>
      <c r="B572" t="str">
        <f t="shared" si="766"/>
        <v/>
      </c>
      <c r="C572" s="57" t="str">
        <f>+IF(D572="","",'Tablas Servicio'!C571+1)</f>
        <v/>
      </c>
      <c r="D572" s="56" t="str">
        <f>+IF(D571&lt;edadmaxtabla,D571+1/Parámetros!$E$25,"")</f>
        <v/>
      </c>
      <c r="E572" s="57" t="str">
        <f t="shared" si="776"/>
        <v/>
      </c>
      <c r="F572" s="59" t="str">
        <f t="shared" si="777"/>
        <v/>
      </c>
      <c r="G572" s="66" t="str">
        <f t="shared" si="767"/>
        <v/>
      </c>
      <c r="H572" s="66" t="str">
        <f t="shared" si="768"/>
        <v/>
      </c>
      <c r="I572" s="66" t="str">
        <f t="shared" si="816"/>
        <v/>
      </c>
      <c r="J572" s="66" t="str">
        <f t="shared" si="769"/>
        <v/>
      </c>
      <c r="K572" s="66" t="str">
        <f t="shared" si="770"/>
        <v/>
      </c>
      <c r="L572" s="66" t="str">
        <f t="shared" si="771"/>
        <v/>
      </c>
      <c r="M572" s="66" t="str">
        <f t="shared" si="772"/>
        <v/>
      </c>
      <c r="N572" s="66" t="str">
        <f>+IF(C572="","",ROUND(Parámetros!$D$23,2))</f>
        <v/>
      </c>
      <c r="O572" s="66" t="str">
        <f t="shared" si="773"/>
        <v/>
      </c>
      <c r="P572" s="66" t="str">
        <f>+IF($C572="","",ROUND(IF(B572&gt;Parámetros!$D$117,0,N572*Parámetros!$D$116-G572*Parámetros!$D$100),2))</f>
        <v/>
      </c>
      <c r="Q572" s="75" t="str">
        <f t="shared" si="817"/>
        <v/>
      </c>
      <c r="R572" s="75" t="str">
        <f t="shared" si="818"/>
        <v/>
      </c>
      <c r="S572" s="117" t="str">
        <f>+IF($C572="","",ROUND((S571+I572)*(1+Parámetros!$D$91),2))</f>
        <v/>
      </c>
      <c r="T572" s="117" t="str">
        <f>+IF($C572="","",ROUND(S572*VLOOKUP(B572,Parámetros!$C$30:$D$39,2,TRUE),2))</f>
        <v/>
      </c>
      <c r="U572" s="117" t="str">
        <f>+IF($C572="","",ROUND((U571+I572)*(1+Parámetros!$D$92),2))</f>
        <v/>
      </c>
      <c r="V572" s="117" t="str">
        <f>+IF($C572="","",ROUND(U572*VLOOKUP(B572,Parámetros!$C$30:$D$39,2,TRUE),2))</f>
        <v/>
      </c>
      <c r="W572" s="57" t="str">
        <f t="shared" si="819"/>
        <v/>
      </c>
      <c r="X572" t="str">
        <f t="shared" si="820"/>
        <v/>
      </c>
      <c r="Y572" t="str">
        <f t="shared" si="821"/>
        <v/>
      </c>
      <c r="Z572" s="118" t="str">
        <f>+IF($W572="","",ROUND(IF(Parámetros!$D$25='TABLAS MORT'!$V$33,Z571,Parámetros!$D$21-'Tablas Servicio'!T571),0))</f>
        <v/>
      </c>
      <c r="AA572" s="118" t="str">
        <f t="shared" si="822"/>
        <v/>
      </c>
      <c r="AB572" s="119" t="str">
        <f>+IF(W572="","",ROUND((VLOOKUP(ROUNDDOWN($D572-1/frec,0),qx_tabla,2,FALSE)*(1+i/frec)^-0.5*(1+Parámetros!$D$103)*(1+rec_fracc)/frec),6))</f>
        <v/>
      </c>
      <c r="AC572" s="66" t="str">
        <f t="shared" si="778"/>
        <v/>
      </c>
      <c r="AD572" s="119" t="str">
        <f t="shared" si="774"/>
        <v/>
      </c>
      <c r="AE572" s="66" t="str">
        <f>+IF($W572="","",ROUND(IF($B572&gt;Parámetros!$D$107,'Tablas Servicio'!AC572+('Tablas Servicio'!AG571-'Tablas Servicio'!AC571),AC572/(1-IF(B572&lt;=10,Parámetros!$D$104,Parámetros!$D$105))),2))</f>
        <v/>
      </c>
      <c r="AF572" s="66" t="str">
        <f>+IF($W572="","",ROUND(IF($B572&gt;Parámetros!$D$107,'Tablas Servicio'!AC572+('Tablas Servicio'!AG571-'Tablas Servicio'!AC571),(AC572+$A571/frec)/(1-IF(B572&lt;=Parámetros!$D$117,Parámetros!$D$100,0))),2))</f>
        <v/>
      </c>
      <c r="AG572" s="66" t="str">
        <f t="shared" si="779"/>
        <v/>
      </c>
      <c r="AH572" s="66" t="str">
        <f t="shared" si="780"/>
        <v/>
      </c>
      <c r="AI572" s="66" t="str">
        <f t="shared" si="781"/>
        <v/>
      </c>
      <c r="AJ572" s="66" t="str">
        <f>+IF($W572="","",ROUND((AG572*Parámetros!$G$85),2))</f>
        <v/>
      </c>
      <c r="AK572" s="66" t="str">
        <f>+IF($W572="","",ROUND((AG572*(Parámetros!$G$86)),2))</f>
        <v/>
      </c>
      <c r="AL572" s="66" t="str">
        <f t="shared" si="775"/>
        <v/>
      </c>
      <c r="AM572" t="str">
        <f t="shared" si="823"/>
        <v/>
      </c>
      <c r="AN572" t="str">
        <f t="shared" si="824"/>
        <v/>
      </c>
      <c r="AO572" s="118" t="str">
        <f t="shared" si="825"/>
        <v/>
      </c>
      <c r="AP572" s="118" t="str">
        <f t="shared" si="826"/>
        <v/>
      </c>
      <c r="AQ572" s="119" t="str">
        <f>+IF(OR($W572="",AO572=0),"",ROUND((VLOOKUP(ROUNDDOWN($D572-1/frec,0),cob_adi,Z$40,FALSE)*(1+i/frec)^-0.5*(1+Parámetros!$D$103)*(1+rec_fracc)/frec),6))</f>
        <v/>
      </c>
      <c r="AR572" s="66" t="str">
        <f t="shared" si="782"/>
        <v/>
      </c>
      <c r="AS572" s="119" t="str">
        <f t="shared" si="783"/>
        <v/>
      </c>
      <c r="AT572" s="66" t="str">
        <f>+IF($W572="","",ROUND(IF($B572&gt;Parámetros!$D$107,'Tablas Servicio'!AR572+('Tablas Servicio'!AT571-'Tablas Servicio'!AR571),AR572/(1-IF(B572&lt;=10,Parámetros!$D$100,0))),2))</f>
        <v/>
      </c>
      <c r="AU572" s="66" t="str">
        <f t="shared" si="784"/>
        <v/>
      </c>
      <c r="AV572" s="66" t="str">
        <f t="shared" si="784"/>
        <v/>
      </c>
      <c r="AW572" s="66" t="str">
        <f>+IF($W572="","",ROUND((AT572*Parámetros!$G$85),2))</f>
        <v/>
      </c>
      <c r="AX572" s="66" t="str">
        <f>+IF($W572="","",ROUND((AT572*(Parámetros!$G$86)),2))</f>
        <v/>
      </c>
      <c r="AY572" s="66" t="str">
        <f t="shared" si="785"/>
        <v/>
      </c>
      <c r="AZ572" t="str">
        <f t="shared" si="827"/>
        <v/>
      </c>
      <c r="BA572" t="str">
        <f t="shared" si="828"/>
        <v/>
      </c>
      <c r="BB572" s="118" t="str">
        <f t="shared" si="829"/>
        <v/>
      </c>
      <c r="BC572" s="118" t="str">
        <f t="shared" si="830"/>
        <v/>
      </c>
      <c r="BD572" s="119" t="str">
        <f>+IF(OR($W572="",BB572=0),"",ROUND((VLOOKUP(ROUNDDOWN($D572-1/frec,0),cob_adi,AO$40,FALSE)*(1+i/frec)^-0.5*(1+Parámetros!$D$103)*(1+rec_fracc)/frec),6))</f>
        <v/>
      </c>
      <c r="BE572" s="66" t="str">
        <f t="shared" si="786"/>
        <v/>
      </c>
      <c r="BF572" s="119" t="str">
        <f t="shared" si="787"/>
        <v/>
      </c>
      <c r="BG572" s="66" t="str">
        <f>+IF($W572="","",ROUND(IF($B572&gt;Parámetros!$D$107,'Tablas Servicio'!BE572+('Tablas Servicio'!BG571-'Tablas Servicio'!BE571),BE572/(1-IF(B572&lt;=10,Parámetros!$D$100,0))),2))</f>
        <v/>
      </c>
      <c r="BH572" s="66" t="str">
        <f t="shared" si="788"/>
        <v/>
      </c>
      <c r="BI572" s="66" t="str">
        <f t="shared" si="789"/>
        <v/>
      </c>
      <c r="BJ572" s="66" t="str">
        <f>+IF($W572="","",ROUND((BG572*Parámetros!$G$85),2))</f>
        <v/>
      </c>
      <c r="BK572" s="66" t="str">
        <f>+IF($W572="","",ROUND((BG572*(Parámetros!$G$86)),2))</f>
        <v/>
      </c>
      <c r="BL572" s="66" t="str">
        <f t="shared" si="790"/>
        <v/>
      </c>
      <c r="BM572" t="str">
        <f t="shared" si="831"/>
        <v/>
      </c>
      <c r="BN572" t="str">
        <f t="shared" si="832"/>
        <v/>
      </c>
      <c r="BO572" s="118" t="str">
        <f t="shared" si="833"/>
        <v/>
      </c>
      <c r="BP572" s="118" t="str">
        <f t="shared" si="834"/>
        <v/>
      </c>
      <c r="BQ572" s="119" t="str">
        <f>+IF(OR($W572="",BO572=0),"",ROUND((VLOOKUP(ROUNDDOWN($D572-1/frec,0),cob_adi,BB$40,FALSE)*(1+i/frec)^-0.5*(1+Parámetros!$D$103)*(1+rec_fracc)/frec),6))</f>
        <v/>
      </c>
      <c r="BR572" s="66" t="str">
        <f t="shared" si="791"/>
        <v/>
      </c>
      <c r="BS572" s="119" t="str">
        <f t="shared" si="792"/>
        <v/>
      </c>
      <c r="BT572" s="66" t="str">
        <f>+IF($W572="","",ROUND(IF($B572&gt;Parámetros!$D$107,'Tablas Servicio'!BR572+('Tablas Servicio'!BT571-'Tablas Servicio'!BR571),BR572/(1-IF(B572&lt;=10,Parámetros!$D$100,0))),2))</f>
        <v/>
      </c>
      <c r="BU572" s="66" t="str">
        <f t="shared" si="793"/>
        <v/>
      </c>
      <c r="BV572" s="66" t="str">
        <f t="shared" si="793"/>
        <v/>
      </c>
      <c r="BW572" s="66" t="str">
        <f>+IF($W572="","",ROUND((BT572*Parámetros!$G$85),2))</f>
        <v/>
      </c>
      <c r="BX572" s="66" t="str">
        <f>+IF($W572="","",ROUND((BT572*(Parámetros!$G$86)),2))</f>
        <v/>
      </c>
      <c r="BY572" s="66" t="str">
        <f t="shared" si="794"/>
        <v/>
      </c>
      <c r="BZ572" t="str">
        <f t="shared" si="835"/>
        <v/>
      </c>
      <c r="CA572" t="str">
        <f t="shared" si="836"/>
        <v/>
      </c>
      <c r="CB572" s="118" t="str">
        <f t="shared" si="837"/>
        <v/>
      </c>
      <c r="CC572" s="118" t="str">
        <f t="shared" si="838"/>
        <v/>
      </c>
      <c r="CD572" s="119" t="str">
        <f t="shared" si="795"/>
        <v/>
      </c>
      <c r="CE572" s="66" t="str">
        <f>+IF($W572="","",ROUND((VLOOKUP(ROUNDDOWN($D572-1/frec,0),cob_adi,BO$40,FALSE)*(1+i/frec)^-0.5*(1+Parámetros!$D$103)*(1+rec_fracc)/frec*'TABLAS ADI'!$BC$17),2))</f>
        <v/>
      </c>
      <c r="CF572" s="119" t="str">
        <f t="shared" si="796"/>
        <v/>
      </c>
      <c r="CG572" s="66" t="str">
        <f>+IF($W572="","",ROUND(IF($B572&gt;Parámetros!$D$107,'Tablas Servicio'!CE572+('Tablas Servicio'!CG571-'Tablas Servicio'!CE571),CE572/(1-IF(B572&lt;=10,Parámetros!$D$100,0))),2))</f>
        <v/>
      </c>
      <c r="CH572" s="66" t="str">
        <f t="shared" si="797"/>
        <v/>
      </c>
      <c r="CI572" s="66" t="str">
        <f t="shared" si="797"/>
        <v/>
      </c>
      <c r="CJ572" s="66" t="str">
        <f>+IF($W572="","",ROUND((CG572*Parámetros!$G$85),2))</f>
        <v/>
      </c>
      <c r="CK572" s="66" t="str">
        <f>+IF($W572="","",ROUND((CG572*(Parámetros!$G$86)),2))</f>
        <v/>
      </c>
      <c r="CL572" s="66" t="str">
        <f t="shared" si="798"/>
        <v/>
      </c>
      <c r="CM572" t="str">
        <f t="shared" si="839"/>
        <v/>
      </c>
      <c r="CN572" s="118" t="str">
        <f t="shared" si="840"/>
        <v/>
      </c>
      <c r="CO572" s="118" t="str">
        <f t="shared" si="841"/>
        <v/>
      </c>
      <c r="CP572" s="118" t="str">
        <f t="shared" si="842"/>
        <v/>
      </c>
      <c r="CQ572" s="119" t="str">
        <f t="shared" si="799"/>
        <v/>
      </c>
      <c r="CR572" s="66" t="str">
        <f>+IF($W572="","",ROUND((VLOOKUP(Parámetros!$F$51,'COBERTURAS ADICIONALES'!$S$4:$T$32,2,FALSE)*(1+i/frec)^-0.5*(1+Parámetros!$D$103)*(1+rec_fracc)/frec*$CO$42),2))</f>
        <v/>
      </c>
      <c r="CS572" s="119" t="str">
        <f t="shared" si="800"/>
        <v/>
      </c>
      <c r="CT572" s="66" t="str">
        <f>+IF($W572="","",ROUND(IF($B572&gt;Parámetros!$D$107,'Tablas Servicio'!CR572+('Tablas Servicio'!CT571-'Tablas Servicio'!CR571),CR572/(1-IF(B572&lt;=10,Parámetros!$D$100,0))),2))</f>
        <v/>
      </c>
      <c r="CU572" s="66" t="str">
        <f t="shared" si="801"/>
        <v/>
      </c>
      <c r="CV572" s="66" t="str">
        <f t="shared" si="801"/>
        <v/>
      </c>
      <c r="CW572" s="66" t="str">
        <f>+IF($W572="","",ROUND((CT572*Parámetros!$G$85),2))</f>
        <v/>
      </c>
      <c r="CX572" s="66" t="str">
        <f>+IF($W572="","",ROUND((CT572*(Parámetros!$G$86)),2))</f>
        <v/>
      </c>
      <c r="CY572" s="66" t="str">
        <f t="shared" si="802"/>
        <v/>
      </c>
      <c r="CZ572" t="str">
        <f t="shared" si="843"/>
        <v/>
      </c>
      <c r="DA572" s="118" t="str">
        <f t="shared" si="844"/>
        <v/>
      </c>
      <c r="DB572" s="118" t="str">
        <f t="shared" si="845"/>
        <v/>
      </c>
      <c r="DC572" s="118" t="str">
        <f t="shared" si="846"/>
        <v/>
      </c>
      <c r="DD572" s="121" t="str">
        <f>+IF(OR($W572="",DB572=0),"",ROUND((VLOOKUP(ROUNDDOWN($D572-1/frec,0),cob_adi,CO$40,FALSE)*(1+i/frec)^-0.5*(1+Parámetros!$D$103)*(1+rec_fracc)/frec),6))</f>
        <v/>
      </c>
      <c r="DE572" s="66" t="str">
        <f t="shared" si="803"/>
        <v/>
      </c>
      <c r="DF572" s="119" t="str">
        <f t="shared" si="804"/>
        <v/>
      </c>
      <c r="DG572" s="66" t="str">
        <f>+IF($W572="","",ROUND(IF($B572&gt;Parámetros!$D$107,'Tablas Servicio'!DE572+('Tablas Servicio'!DG571-'Tablas Servicio'!DE571),DE572/(1-IF(B572&lt;=10,Parámetros!$D$100,0))),2))</f>
        <v/>
      </c>
      <c r="DH572" s="66" t="str">
        <f t="shared" si="805"/>
        <v/>
      </c>
      <c r="DI572" s="66" t="str">
        <f t="shared" si="805"/>
        <v/>
      </c>
      <c r="DJ572" s="66" t="str">
        <f>+IF($W572="","",ROUND((DG572*Parámetros!$G$85),2))</f>
        <v/>
      </c>
      <c r="DK572" s="66" t="str">
        <f>+IF($W572="","",ROUND((DG572*(Parámetros!$G$86)),2))</f>
        <v/>
      </c>
      <c r="DL572" s="66" t="str">
        <f t="shared" si="806"/>
        <v/>
      </c>
      <c r="DM572" t="str">
        <f t="shared" si="847"/>
        <v/>
      </c>
      <c r="DN572" s="118" t="str">
        <f t="shared" si="848"/>
        <v/>
      </c>
      <c r="DO572" s="118" t="str">
        <f t="shared" si="849"/>
        <v/>
      </c>
      <c r="DP572" s="118" t="str">
        <f t="shared" si="850"/>
        <v/>
      </c>
      <c r="DQ572" s="122" t="str">
        <f>+IF(OR($W572="",DO572=0),"",ROUND((VLOOKUP(ROUNDDOWN($D572-1/frec,0),cob_adi,DB$40,FALSE)*(1+i/frec)^-0.5*(1+Parámetros!$D$103)*(1+rec_fracc)/frec),6))</f>
        <v/>
      </c>
      <c r="DR572" s="66" t="str">
        <f t="shared" si="807"/>
        <v/>
      </c>
      <c r="DS572" s="68" t="str">
        <f t="shared" si="808"/>
        <v/>
      </c>
      <c r="DT572" s="66" t="str">
        <f>+IF($W572="","",ROUND(IF($B572&gt;Parámetros!$D$107,'Tablas Servicio'!DR572+('Tablas Servicio'!DT571-'Tablas Servicio'!DR571),DR572/(1-IF(B572&lt;=10,Parámetros!$D$100,0))),2))</f>
        <v/>
      </c>
      <c r="DU572" s="66" t="str">
        <f t="shared" si="809"/>
        <v/>
      </c>
      <c r="DV572" s="66" t="str">
        <f t="shared" si="809"/>
        <v/>
      </c>
      <c r="DW572" s="66" t="str">
        <f>+IF($W572="","",ROUND((DT572*Parámetros!$G$85),2))</f>
        <v/>
      </c>
      <c r="DX572" s="66" t="str">
        <f>+IF($W572="","",ROUND((DT572*(Parámetros!$G$86)),2))</f>
        <v/>
      </c>
      <c r="DY572" s="66" t="str">
        <f t="shared" si="810"/>
        <v/>
      </c>
      <c r="DZ572" t="str">
        <f t="shared" si="851"/>
        <v/>
      </c>
      <c r="EA572" s="118" t="str">
        <f t="shared" si="851"/>
        <v/>
      </c>
      <c r="EB572" s="118" t="str">
        <f>+IF($W572="","",ROUND(IF(Parámetros!$D$25='TABLAS MORT'!$V$33,EB571,Z572/2),0))</f>
        <v/>
      </c>
      <c r="EC572" s="118" t="str">
        <f t="shared" si="851"/>
        <v/>
      </c>
      <c r="ED572" s="122" t="str">
        <f>+IF(OR($W572="",EB572=0),"",ROUND((VLOOKUP(ROUNDDOWN($D572-1/frec,0),cob_adi,DO$40,FALSE)*(1+i/frec)^-0.5*(1+Parámetros!$D$103)*(1+rec_fracc)/frec),6))</f>
        <v/>
      </c>
      <c r="EE572" s="66" t="str">
        <f t="shared" si="812"/>
        <v/>
      </c>
      <c r="EF572" s="68" t="str">
        <f t="shared" si="813"/>
        <v/>
      </c>
      <c r="EG572" s="66" t="str">
        <f>+IF($W572="","",ROUND(IF($B572&gt;Parámetros!$D$107,'Tablas Servicio'!EE572+('Tablas Servicio'!EG571-'Tablas Servicio'!EE571),EE572/(1-IF(B572&lt;=10,Parámetros!$D$100,0))),2))</f>
        <v/>
      </c>
      <c r="EH572" s="66" t="str">
        <f t="shared" si="814"/>
        <v/>
      </c>
      <c r="EI572" s="66" t="str">
        <f t="shared" si="814"/>
        <v/>
      </c>
      <c r="EJ572" s="66" t="str">
        <f>+IF($W572="","",ROUND((EG572*Parámetros!$G$85),2))</f>
        <v/>
      </c>
      <c r="EK572" s="66" t="str">
        <f>+IF($W572="","",ROUND((EG572*(Parámetros!$G$86)),2))</f>
        <v/>
      </c>
      <c r="EL572" s="66" t="str">
        <f t="shared" si="815"/>
        <v/>
      </c>
    </row>
    <row r="573" spans="1:142" x14ac:dyDescent="0.25">
      <c r="A573" t="str">
        <f>+IF($C573="","",ROUND(VLOOKUP('Tablas Servicio'!B573,Parámetros!$H$100:$J$159,IF(Parámetros!$E$16="F",2,3),FALSE),2))</f>
        <v/>
      </c>
      <c r="B573" t="str">
        <f t="shared" si="766"/>
        <v/>
      </c>
      <c r="C573" s="57" t="str">
        <f>+IF(D573="","",'Tablas Servicio'!C572+1)</f>
        <v/>
      </c>
      <c r="D573" s="56" t="str">
        <f>+IF(D572&lt;edadmaxtabla,D572+1/Parámetros!$E$25,"")</f>
        <v/>
      </c>
      <c r="E573" s="57" t="str">
        <f t="shared" si="776"/>
        <v/>
      </c>
      <c r="F573" s="59" t="str">
        <f t="shared" si="777"/>
        <v/>
      </c>
      <c r="G573" s="66" t="str">
        <f t="shared" si="767"/>
        <v/>
      </c>
      <c r="H573" s="66" t="str">
        <f t="shared" si="768"/>
        <v/>
      </c>
      <c r="I573" s="66" t="str">
        <f t="shared" si="816"/>
        <v/>
      </c>
      <c r="J573" s="66" t="str">
        <f t="shared" si="769"/>
        <v/>
      </c>
      <c r="K573" s="66" t="str">
        <f t="shared" si="770"/>
        <v/>
      </c>
      <c r="L573" s="66" t="str">
        <f t="shared" si="771"/>
        <v/>
      </c>
      <c r="M573" s="66" t="str">
        <f t="shared" si="772"/>
        <v/>
      </c>
      <c r="N573" s="66" t="str">
        <f>+IF(C573="","",ROUND(Parámetros!$D$23,2))</f>
        <v/>
      </c>
      <c r="O573" s="66" t="str">
        <f t="shared" si="773"/>
        <v/>
      </c>
      <c r="P573" s="66" t="str">
        <f>+IF($C573="","",ROUND(IF(B573&gt;Parámetros!$D$117,0,N573*Parámetros!$D$116-G573*Parámetros!$D$100),2))</f>
        <v/>
      </c>
      <c r="Q573" s="75" t="str">
        <f t="shared" si="817"/>
        <v/>
      </c>
      <c r="R573" s="75" t="str">
        <f t="shared" si="818"/>
        <v/>
      </c>
      <c r="S573" s="117" t="str">
        <f>+IF($C573="","",ROUND((S572+I573)*(1+Parámetros!$D$91),2))</f>
        <v/>
      </c>
      <c r="T573" s="117" t="str">
        <f>+IF($C573="","",ROUND(S573*VLOOKUP(B573,Parámetros!$C$30:$D$39,2,TRUE),2))</f>
        <v/>
      </c>
      <c r="U573" s="117" t="str">
        <f>+IF($C573="","",ROUND((U572+I573)*(1+Parámetros!$D$92),2))</f>
        <v/>
      </c>
      <c r="V573" s="117" t="str">
        <f>+IF($C573="","",ROUND(U573*VLOOKUP(B573,Parámetros!$C$30:$D$39,2,TRUE),2))</f>
        <v/>
      </c>
      <c r="W573" s="57" t="str">
        <f t="shared" si="819"/>
        <v/>
      </c>
      <c r="X573" t="str">
        <f t="shared" si="820"/>
        <v/>
      </c>
      <c r="Y573" t="str">
        <f t="shared" si="821"/>
        <v/>
      </c>
      <c r="Z573" s="118" t="str">
        <f>+IF($W573="","",ROUND(IF(Parámetros!$D$25='TABLAS MORT'!$V$33,Z572,Parámetros!$D$21-'Tablas Servicio'!T572),0))</f>
        <v/>
      </c>
      <c r="AA573" s="118" t="str">
        <f t="shared" si="822"/>
        <v/>
      </c>
      <c r="AB573" s="119" t="str">
        <f>+IF(W573="","",ROUND((VLOOKUP(ROUNDDOWN($D573-1/frec,0),qx_tabla,2,FALSE)*(1+i/frec)^-0.5*(1+Parámetros!$D$103)*(1+rec_fracc)/frec),6))</f>
        <v/>
      </c>
      <c r="AC573" s="66" t="str">
        <f t="shared" si="778"/>
        <v/>
      </c>
      <c r="AD573" s="119" t="str">
        <f t="shared" si="774"/>
        <v/>
      </c>
      <c r="AE573" s="66" t="str">
        <f>+IF($W573="","",ROUND(IF($B573&gt;Parámetros!$D$107,'Tablas Servicio'!AC573+('Tablas Servicio'!AG572-'Tablas Servicio'!AC572),AC573/(1-IF(B573&lt;=10,Parámetros!$D$104,Parámetros!$D$105))),2))</f>
        <v/>
      </c>
      <c r="AF573" s="66" t="str">
        <f>+IF($W573="","",ROUND(IF($B573&gt;Parámetros!$D$107,'Tablas Servicio'!AC573+('Tablas Servicio'!AG572-'Tablas Servicio'!AC572),(AC573+$A572/frec)/(1-IF(B573&lt;=Parámetros!$D$117,Parámetros!$D$100,0))),2))</f>
        <v/>
      </c>
      <c r="AG573" s="66" t="str">
        <f t="shared" si="779"/>
        <v/>
      </c>
      <c r="AH573" s="66" t="str">
        <f t="shared" si="780"/>
        <v/>
      </c>
      <c r="AI573" s="66" t="str">
        <f t="shared" si="781"/>
        <v/>
      </c>
      <c r="AJ573" s="66" t="str">
        <f>+IF($W573="","",ROUND((AG573*Parámetros!$G$85),2))</f>
        <v/>
      </c>
      <c r="AK573" s="66" t="str">
        <f>+IF($W573="","",ROUND((AG573*(Parámetros!$G$86)),2))</f>
        <v/>
      </c>
      <c r="AL573" s="66" t="str">
        <f t="shared" si="775"/>
        <v/>
      </c>
      <c r="AM573" t="str">
        <f t="shared" si="823"/>
        <v/>
      </c>
      <c r="AN573" t="str">
        <f t="shared" si="824"/>
        <v/>
      </c>
      <c r="AO573" s="118" t="str">
        <f t="shared" si="825"/>
        <v/>
      </c>
      <c r="AP573" s="118" t="str">
        <f t="shared" si="826"/>
        <v/>
      </c>
      <c r="AQ573" s="119" t="str">
        <f>+IF(OR($W573="",AO573=0),"",ROUND((VLOOKUP(ROUNDDOWN($D573-1/frec,0),cob_adi,Z$40,FALSE)*(1+i/frec)^-0.5*(1+Parámetros!$D$103)*(1+rec_fracc)/frec),6))</f>
        <v/>
      </c>
      <c r="AR573" s="66" t="str">
        <f t="shared" si="782"/>
        <v/>
      </c>
      <c r="AS573" s="119" t="str">
        <f t="shared" si="783"/>
        <v/>
      </c>
      <c r="AT573" s="66" t="str">
        <f>+IF($W573="","",ROUND(IF($B573&gt;Parámetros!$D$107,'Tablas Servicio'!AR573+('Tablas Servicio'!AT572-'Tablas Servicio'!AR572),AR573/(1-IF(B573&lt;=10,Parámetros!$D$100,0))),2))</f>
        <v/>
      </c>
      <c r="AU573" s="66" t="str">
        <f t="shared" si="784"/>
        <v/>
      </c>
      <c r="AV573" s="66" t="str">
        <f t="shared" si="784"/>
        <v/>
      </c>
      <c r="AW573" s="66" t="str">
        <f>+IF($W573="","",ROUND((AT573*Parámetros!$G$85),2))</f>
        <v/>
      </c>
      <c r="AX573" s="66" t="str">
        <f>+IF($W573="","",ROUND((AT573*(Parámetros!$G$86)),2))</f>
        <v/>
      </c>
      <c r="AY573" s="66" t="str">
        <f t="shared" si="785"/>
        <v/>
      </c>
      <c r="AZ573" t="str">
        <f t="shared" si="827"/>
        <v/>
      </c>
      <c r="BA573" t="str">
        <f t="shared" si="828"/>
        <v/>
      </c>
      <c r="BB573" s="118" t="str">
        <f t="shared" si="829"/>
        <v/>
      </c>
      <c r="BC573" s="118" t="str">
        <f t="shared" si="830"/>
        <v/>
      </c>
      <c r="BD573" s="119" t="str">
        <f>+IF(OR($W573="",BB573=0),"",ROUND((VLOOKUP(ROUNDDOWN($D573-1/frec,0),cob_adi,AO$40,FALSE)*(1+i/frec)^-0.5*(1+Parámetros!$D$103)*(1+rec_fracc)/frec),6))</f>
        <v/>
      </c>
      <c r="BE573" s="66" t="str">
        <f t="shared" si="786"/>
        <v/>
      </c>
      <c r="BF573" s="119" t="str">
        <f t="shared" si="787"/>
        <v/>
      </c>
      <c r="BG573" s="66" t="str">
        <f>+IF($W573="","",ROUND(IF($B573&gt;Parámetros!$D$107,'Tablas Servicio'!BE573+('Tablas Servicio'!BG572-'Tablas Servicio'!BE572),BE573/(1-IF(B573&lt;=10,Parámetros!$D$100,0))),2))</f>
        <v/>
      </c>
      <c r="BH573" s="66" t="str">
        <f t="shared" si="788"/>
        <v/>
      </c>
      <c r="BI573" s="66" t="str">
        <f t="shared" si="789"/>
        <v/>
      </c>
      <c r="BJ573" s="66" t="str">
        <f>+IF($W573="","",ROUND((BG573*Parámetros!$G$85),2))</f>
        <v/>
      </c>
      <c r="BK573" s="66" t="str">
        <f>+IF($W573="","",ROUND((BG573*(Parámetros!$G$86)),2))</f>
        <v/>
      </c>
      <c r="BL573" s="66" t="str">
        <f t="shared" si="790"/>
        <v/>
      </c>
      <c r="BM573" t="str">
        <f t="shared" si="831"/>
        <v/>
      </c>
      <c r="BN573" t="str">
        <f t="shared" si="832"/>
        <v/>
      </c>
      <c r="BO573" s="118" t="str">
        <f t="shared" si="833"/>
        <v/>
      </c>
      <c r="BP573" s="118" t="str">
        <f t="shared" si="834"/>
        <v/>
      </c>
      <c r="BQ573" s="119" t="str">
        <f>+IF(OR($W573="",BO573=0),"",ROUND((VLOOKUP(ROUNDDOWN($D573-1/frec,0),cob_adi,BB$40,FALSE)*(1+i/frec)^-0.5*(1+Parámetros!$D$103)*(1+rec_fracc)/frec),6))</f>
        <v/>
      </c>
      <c r="BR573" s="66" t="str">
        <f t="shared" si="791"/>
        <v/>
      </c>
      <c r="BS573" s="119" t="str">
        <f t="shared" si="792"/>
        <v/>
      </c>
      <c r="BT573" s="66" t="str">
        <f>+IF($W573="","",ROUND(IF($B573&gt;Parámetros!$D$107,'Tablas Servicio'!BR573+('Tablas Servicio'!BT572-'Tablas Servicio'!BR572),BR573/(1-IF(B573&lt;=10,Parámetros!$D$100,0))),2))</f>
        <v/>
      </c>
      <c r="BU573" s="66" t="str">
        <f t="shared" si="793"/>
        <v/>
      </c>
      <c r="BV573" s="66" t="str">
        <f t="shared" si="793"/>
        <v/>
      </c>
      <c r="BW573" s="66" t="str">
        <f>+IF($W573="","",ROUND((BT573*Parámetros!$G$85),2))</f>
        <v/>
      </c>
      <c r="BX573" s="66" t="str">
        <f>+IF($W573="","",ROUND((BT573*(Parámetros!$G$86)),2))</f>
        <v/>
      </c>
      <c r="BY573" s="66" t="str">
        <f t="shared" si="794"/>
        <v/>
      </c>
      <c r="BZ573" t="str">
        <f t="shared" si="835"/>
        <v/>
      </c>
      <c r="CA573" t="str">
        <f t="shared" si="836"/>
        <v/>
      </c>
      <c r="CB573" s="118" t="str">
        <f t="shared" si="837"/>
        <v/>
      </c>
      <c r="CC573" s="118" t="str">
        <f t="shared" si="838"/>
        <v/>
      </c>
      <c r="CD573" s="119" t="str">
        <f t="shared" si="795"/>
        <v/>
      </c>
      <c r="CE573" s="66" t="str">
        <f>+IF($W573="","",ROUND((VLOOKUP(ROUNDDOWN($D573-1/frec,0),cob_adi,BO$40,FALSE)*(1+i/frec)^-0.5*(1+Parámetros!$D$103)*(1+rec_fracc)/frec*'TABLAS ADI'!$BC$17),2))</f>
        <v/>
      </c>
      <c r="CF573" s="119" t="str">
        <f t="shared" si="796"/>
        <v/>
      </c>
      <c r="CG573" s="66" t="str">
        <f>+IF($W573="","",ROUND(IF($B573&gt;Parámetros!$D$107,'Tablas Servicio'!CE573+('Tablas Servicio'!CG572-'Tablas Servicio'!CE572),CE573/(1-IF(B573&lt;=10,Parámetros!$D$100,0))),2))</f>
        <v/>
      </c>
      <c r="CH573" s="66" t="str">
        <f t="shared" si="797"/>
        <v/>
      </c>
      <c r="CI573" s="66" t="str">
        <f t="shared" si="797"/>
        <v/>
      </c>
      <c r="CJ573" s="66" t="str">
        <f>+IF($W573="","",ROUND((CG573*Parámetros!$G$85),2))</f>
        <v/>
      </c>
      <c r="CK573" s="66" t="str">
        <f>+IF($W573="","",ROUND((CG573*(Parámetros!$G$86)),2))</f>
        <v/>
      </c>
      <c r="CL573" s="66" t="str">
        <f t="shared" si="798"/>
        <v/>
      </c>
      <c r="CM573" t="str">
        <f t="shared" si="839"/>
        <v/>
      </c>
      <c r="CN573" s="118" t="str">
        <f t="shared" si="840"/>
        <v/>
      </c>
      <c r="CO573" s="118" t="str">
        <f t="shared" si="841"/>
        <v/>
      </c>
      <c r="CP573" s="118" t="str">
        <f t="shared" si="842"/>
        <v/>
      </c>
      <c r="CQ573" s="119" t="str">
        <f t="shared" si="799"/>
        <v/>
      </c>
      <c r="CR573" s="66" t="str">
        <f>+IF($W573="","",ROUND((VLOOKUP(Parámetros!$F$51,'COBERTURAS ADICIONALES'!$S$4:$T$32,2,FALSE)*(1+i/frec)^-0.5*(1+Parámetros!$D$103)*(1+rec_fracc)/frec*$CO$42),2))</f>
        <v/>
      </c>
      <c r="CS573" s="119" t="str">
        <f t="shared" si="800"/>
        <v/>
      </c>
      <c r="CT573" s="66" t="str">
        <f>+IF($W573="","",ROUND(IF($B573&gt;Parámetros!$D$107,'Tablas Servicio'!CR573+('Tablas Servicio'!CT572-'Tablas Servicio'!CR572),CR573/(1-IF(B573&lt;=10,Parámetros!$D$100,0))),2))</f>
        <v/>
      </c>
      <c r="CU573" s="66" t="str">
        <f t="shared" si="801"/>
        <v/>
      </c>
      <c r="CV573" s="66" t="str">
        <f t="shared" si="801"/>
        <v/>
      </c>
      <c r="CW573" s="66" t="str">
        <f>+IF($W573="","",ROUND((CT573*Parámetros!$G$85),2))</f>
        <v/>
      </c>
      <c r="CX573" s="66" t="str">
        <f>+IF($W573="","",ROUND((CT573*(Parámetros!$G$86)),2))</f>
        <v/>
      </c>
      <c r="CY573" s="66" t="str">
        <f t="shared" si="802"/>
        <v/>
      </c>
      <c r="CZ573" t="str">
        <f t="shared" si="843"/>
        <v/>
      </c>
      <c r="DA573" s="118" t="str">
        <f t="shared" si="844"/>
        <v/>
      </c>
      <c r="DB573" s="118" t="str">
        <f t="shared" si="845"/>
        <v/>
      </c>
      <c r="DC573" s="118" t="str">
        <f t="shared" si="846"/>
        <v/>
      </c>
      <c r="DD573" s="121" t="str">
        <f>+IF(OR($W573="",DB573=0),"",ROUND((VLOOKUP(ROUNDDOWN($D573-1/frec,0),cob_adi,CO$40,FALSE)*(1+i/frec)^-0.5*(1+Parámetros!$D$103)*(1+rec_fracc)/frec),6))</f>
        <v/>
      </c>
      <c r="DE573" s="66" t="str">
        <f t="shared" si="803"/>
        <v/>
      </c>
      <c r="DF573" s="119" t="str">
        <f t="shared" si="804"/>
        <v/>
      </c>
      <c r="DG573" s="66" t="str">
        <f>+IF($W573="","",ROUND(IF($B573&gt;Parámetros!$D$107,'Tablas Servicio'!DE573+('Tablas Servicio'!DG572-'Tablas Servicio'!DE572),DE573/(1-IF(B573&lt;=10,Parámetros!$D$100,0))),2))</f>
        <v/>
      </c>
      <c r="DH573" s="66" t="str">
        <f t="shared" si="805"/>
        <v/>
      </c>
      <c r="DI573" s="66" t="str">
        <f t="shared" si="805"/>
        <v/>
      </c>
      <c r="DJ573" s="66" t="str">
        <f>+IF($W573="","",ROUND((DG573*Parámetros!$G$85),2))</f>
        <v/>
      </c>
      <c r="DK573" s="66" t="str">
        <f>+IF($W573="","",ROUND((DG573*(Parámetros!$G$86)),2))</f>
        <v/>
      </c>
      <c r="DL573" s="66" t="str">
        <f t="shared" si="806"/>
        <v/>
      </c>
      <c r="DM573" t="str">
        <f t="shared" si="847"/>
        <v/>
      </c>
      <c r="DN573" s="118" t="str">
        <f t="shared" si="848"/>
        <v/>
      </c>
      <c r="DO573" s="118" t="str">
        <f t="shared" si="849"/>
        <v/>
      </c>
      <c r="DP573" s="118" t="str">
        <f t="shared" si="850"/>
        <v/>
      </c>
      <c r="DQ573" s="122" t="str">
        <f>+IF(OR($W573="",DO573=0),"",ROUND((VLOOKUP(ROUNDDOWN($D573-1/frec,0),cob_adi,DB$40,FALSE)*(1+i/frec)^-0.5*(1+Parámetros!$D$103)*(1+rec_fracc)/frec),6))</f>
        <v/>
      </c>
      <c r="DR573" s="66" t="str">
        <f t="shared" si="807"/>
        <v/>
      </c>
      <c r="DS573" s="68" t="str">
        <f t="shared" si="808"/>
        <v/>
      </c>
      <c r="DT573" s="66" t="str">
        <f>+IF($W573="","",ROUND(IF($B573&gt;Parámetros!$D$107,'Tablas Servicio'!DR573+('Tablas Servicio'!DT572-'Tablas Servicio'!DR572),DR573/(1-IF(B573&lt;=10,Parámetros!$D$100,0))),2))</f>
        <v/>
      </c>
      <c r="DU573" s="66" t="str">
        <f t="shared" si="809"/>
        <v/>
      </c>
      <c r="DV573" s="66" t="str">
        <f t="shared" si="809"/>
        <v/>
      </c>
      <c r="DW573" s="66" t="str">
        <f>+IF($W573="","",ROUND((DT573*Parámetros!$G$85),2))</f>
        <v/>
      </c>
      <c r="DX573" s="66" t="str">
        <f>+IF($W573="","",ROUND((DT573*(Parámetros!$G$86)),2))</f>
        <v/>
      </c>
      <c r="DY573" s="66" t="str">
        <f t="shared" si="810"/>
        <v/>
      </c>
      <c r="DZ573" t="str">
        <f t="shared" si="851"/>
        <v/>
      </c>
      <c r="EA573" s="118" t="str">
        <f t="shared" si="851"/>
        <v/>
      </c>
      <c r="EB573" s="118" t="str">
        <f>+IF($W573="","",ROUND(IF(Parámetros!$D$25='TABLAS MORT'!$V$33,EB572,Z573/2),0))</f>
        <v/>
      </c>
      <c r="EC573" s="118" t="str">
        <f t="shared" si="851"/>
        <v/>
      </c>
      <c r="ED573" s="122" t="str">
        <f>+IF(OR($W573="",EB573=0),"",ROUND((VLOOKUP(ROUNDDOWN($D573-1/frec,0),cob_adi,DO$40,FALSE)*(1+i/frec)^-0.5*(1+Parámetros!$D$103)*(1+rec_fracc)/frec),6))</f>
        <v/>
      </c>
      <c r="EE573" s="66" t="str">
        <f t="shared" si="812"/>
        <v/>
      </c>
      <c r="EF573" s="68" t="str">
        <f t="shared" si="813"/>
        <v/>
      </c>
      <c r="EG573" s="66" t="str">
        <f>+IF($W573="","",ROUND(IF($B573&gt;Parámetros!$D$107,'Tablas Servicio'!EE573+('Tablas Servicio'!EG572-'Tablas Servicio'!EE572),EE573/(1-IF(B573&lt;=10,Parámetros!$D$100,0))),2))</f>
        <v/>
      </c>
      <c r="EH573" s="66" t="str">
        <f t="shared" si="814"/>
        <v/>
      </c>
      <c r="EI573" s="66" t="str">
        <f t="shared" si="814"/>
        <v/>
      </c>
      <c r="EJ573" s="66" t="str">
        <f>+IF($W573="","",ROUND((EG573*Parámetros!$G$85),2))</f>
        <v/>
      </c>
      <c r="EK573" s="66" t="str">
        <f>+IF($W573="","",ROUND((EG573*(Parámetros!$G$86)),2))</f>
        <v/>
      </c>
      <c r="EL573" s="66" t="str">
        <f t="shared" si="815"/>
        <v/>
      </c>
    </row>
    <row r="574" spans="1:142" x14ac:dyDescent="0.25">
      <c r="A574" t="str">
        <f>+IF($C574="","",ROUND(VLOOKUP('Tablas Servicio'!B574,Parámetros!$H$100:$J$159,IF(Parámetros!$E$16="F",2,3),FALSE),2))</f>
        <v/>
      </c>
      <c r="B574" t="str">
        <f t="shared" si="766"/>
        <v/>
      </c>
      <c r="C574" s="57" t="str">
        <f>+IF(D574="","",'Tablas Servicio'!C573+1)</f>
        <v/>
      </c>
      <c r="D574" s="56" t="str">
        <f>+IF(D573&lt;edadmaxtabla,D573+1/Parámetros!$E$25,"")</f>
        <v/>
      </c>
      <c r="E574" s="57" t="str">
        <f t="shared" si="776"/>
        <v/>
      </c>
      <c r="F574" s="59" t="str">
        <f t="shared" si="777"/>
        <v/>
      </c>
      <c r="G574" s="66" t="str">
        <f t="shared" si="767"/>
        <v/>
      </c>
      <c r="H574" s="66" t="str">
        <f t="shared" si="768"/>
        <v/>
      </c>
      <c r="I574" s="66" t="str">
        <f t="shared" si="816"/>
        <v/>
      </c>
      <c r="J574" s="66" t="str">
        <f t="shared" si="769"/>
        <v/>
      </c>
      <c r="K574" s="66" t="str">
        <f t="shared" si="770"/>
        <v/>
      </c>
      <c r="L574" s="66" t="str">
        <f t="shared" si="771"/>
        <v/>
      </c>
      <c r="M574" s="66" t="str">
        <f t="shared" si="772"/>
        <v/>
      </c>
      <c r="N574" s="66" t="str">
        <f>+IF(C574="","",ROUND(Parámetros!$D$23,2))</f>
        <v/>
      </c>
      <c r="O574" s="66" t="str">
        <f t="shared" si="773"/>
        <v/>
      </c>
      <c r="P574" s="66" t="str">
        <f>+IF($C574="","",ROUND(IF(B574&gt;Parámetros!$D$117,0,N574*Parámetros!$D$116-G574*Parámetros!$D$100),2))</f>
        <v/>
      </c>
      <c r="Q574" s="75" t="str">
        <f t="shared" si="817"/>
        <v/>
      </c>
      <c r="R574" s="75" t="str">
        <f t="shared" si="818"/>
        <v/>
      </c>
      <c r="S574" s="117" t="str">
        <f>+IF($C574="","",ROUND((S573+I574)*(1+Parámetros!$D$91),2))</f>
        <v/>
      </c>
      <c r="T574" s="117" t="str">
        <f>+IF($C574="","",ROUND(S574*VLOOKUP(B574,Parámetros!$C$30:$D$39,2,TRUE),2))</f>
        <v/>
      </c>
      <c r="U574" s="117" t="str">
        <f>+IF($C574="","",ROUND((U573+I574)*(1+Parámetros!$D$92),2))</f>
        <v/>
      </c>
      <c r="V574" s="117" t="str">
        <f>+IF($C574="","",ROUND(U574*VLOOKUP(B574,Parámetros!$C$30:$D$39,2,TRUE),2))</f>
        <v/>
      </c>
      <c r="W574" s="57" t="str">
        <f t="shared" si="819"/>
        <v/>
      </c>
      <c r="X574" t="str">
        <f t="shared" si="820"/>
        <v/>
      </c>
      <c r="Y574" t="str">
        <f t="shared" si="821"/>
        <v/>
      </c>
      <c r="Z574" s="118" t="str">
        <f>+IF($W574="","",ROUND(IF(Parámetros!$D$25='TABLAS MORT'!$V$33,Z573,Parámetros!$D$21-'Tablas Servicio'!T573),0))</f>
        <v/>
      </c>
      <c r="AA574" s="118" t="str">
        <f t="shared" si="822"/>
        <v/>
      </c>
      <c r="AB574" s="119" t="str">
        <f>+IF(W574="","",ROUND((VLOOKUP(ROUNDDOWN($D574-1/frec,0),qx_tabla,2,FALSE)*(1+i/frec)^-0.5*(1+Parámetros!$D$103)*(1+rec_fracc)/frec),6))</f>
        <v/>
      </c>
      <c r="AC574" s="66" t="str">
        <f t="shared" si="778"/>
        <v/>
      </c>
      <c r="AD574" s="119" t="str">
        <f t="shared" si="774"/>
        <v/>
      </c>
      <c r="AE574" s="66" t="str">
        <f>+IF($W574="","",ROUND(IF($B574&gt;Parámetros!$D$107,'Tablas Servicio'!AC574+('Tablas Servicio'!AG573-'Tablas Servicio'!AC573),AC574/(1-IF(B574&lt;=10,Parámetros!$D$104,Parámetros!$D$105))),2))</f>
        <v/>
      </c>
      <c r="AF574" s="66" t="str">
        <f>+IF($W574="","",ROUND(IF($B574&gt;Parámetros!$D$107,'Tablas Servicio'!AC574+('Tablas Servicio'!AG573-'Tablas Servicio'!AC573),(AC574+$A573/frec)/(1-IF(B574&lt;=Parámetros!$D$117,Parámetros!$D$100,0))),2))</f>
        <v/>
      </c>
      <c r="AG574" s="66" t="str">
        <f t="shared" si="779"/>
        <v/>
      </c>
      <c r="AH574" s="66" t="str">
        <f t="shared" si="780"/>
        <v/>
      </c>
      <c r="AI574" s="66" t="str">
        <f t="shared" si="781"/>
        <v/>
      </c>
      <c r="AJ574" s="66" t="str">
        <f>+IF($W574="","",ROUND((AG574*Parámetros!$G$85),2))</f>
        <v/>
      </c>
      <c r="AK574" s="66" t="str">
        <f>+IF($W574="","",ROUND((AG574*(Parámetros!$G$86)),2))</f>
        <v/>
      </c>
      <c r="AL574" s="66" t="str">
        <f t="shared" si="775"/>
        <v/>
      </c>
      <c r="AM574" t="str">
        <f t="shared" si="823"/>
        <v/>
      </c>
      <c r="AN574" t="str">
        <f t="shared" si="824"/>
        <v/>
      </c>
      <c r="AO574" s="118" t="str">
        <f t="shared" si="825"/>
        <v/>
      </c>
      <c r="AP574" s="118" t="str">
        <f t="shared" si="826"/>
        <v/>
      </c>
      <c r="AQ574" s="119" t="str">
        <f>+IF(OR($W574="",AO574=0),"",ROUND((VLOOKUP(ROUNDDOWN($D574-1/frec,0),cob_adi,Z$40,FALSE)*(1+i/frec)^-0.5*(1+Parámetros!$D$103)*(1+rec_fracc)/frec),6))</f>
        <v/>
      </c>
      <c r="AR574" s="66" t="str">
        <f t="shared" si="782"/>
        <v/>
      </c>
      <c r="AS574" s="119" t="str">
        <f t="shared" si="783"/>
        <v/>
      </c>
      <c r="AT574" s="66" t="str">
        <f>+IF($W574="","",ROUND(IF($B574&gt;Parámetros!$D$107,'Tablas Servicio'!AR574+('Tablas Servicio'!AT573-'Tablas Servicio'!AR573),AR574/(1-IF(B574&lt;=10,Parámetros!$D$100,0))),2))</f>
        <v/>
      </c>
      <c r="AU574" s="66" t="str">
        <f t="shared" si="784"/>
        <v/>
      </c>
      <c r="AV574" s="66" t="str">
        <f t="shared" si="784"/>
        <v/>
      </c>
      <c r="AW574" s="66" t="str">
        <f>+IF($W574="","",ROUND((AT574*Parámetros!$G$85),2))</f>
        <v/>
      </c>
      <c r="AX574" s="66" t="str">
        <f>+IF($W574="","",ROUND((AT574*(Parámetros!$G$86)),2))</f>
        <v/>
      </c>
      <c r="AY574" s="66" t="str">
        <f t="shared" si="785"/>
        <v/>
      </c>
      <c r="AZ574" t="str">
        <f t="shared" si="827"/>
        <v/>
      </c>
      <c r="BA574" t="str">
        <f t="shared" si="828"/>
        <v/>
      </c>
      <c r="BB574" s="118" t="str">
        <f t="shared" si="829"/>
        <v/>
      </c>
      <c r="BC574" s="118" t="str">
        <f t="shared" si="830"/>
        <v/>
      </c>
      <c r="BD574" s="119" t="str">
        <f>+IF(OR($W574="",BB574=0),"",ROUND((VLOOKUP(ROUNDDOWN($D574-1/frec,0),cob_adi,AO$40,FALSE)*(1+i/frec)^-0.5*(1+Parámetros!$D$103)*(1+rec_fracc)/frec),6))</f>
        <v/>
      </c>
      <c r="BE574" s="66" t="str">
        <f t="shared" si="786"/>
        <v/>
      </c>
      <c r="BF574" s="119" t="str">
        <f t="shared" si="787"/>
        <v/>
      </c>
      <c r="BG574" s="66" t="str">
        <f>+IF($W574="","",ROUND(IF($B574&gt;Parámetros!$D$107,'Tablas Servicio'!BE574+('Tablas Servicio'!BG573-'Tablas Servicio'!BE573),BE574/(1-IF(B574&lt;=10,Parámetros!$D$100,0))),2))</f>
        <v/>
      </c>
      <c r="BH574" s="66" t="str">
        <f t="shared" si="788"/>
        <v/>
      </c>
      <c r="BI574" s="66" t="str">
        <f t="shared" si="789"/>
        <v/>
      </c>
      <c r="BJ574" s="66" t="str">
        <f>+IF($W574="","",ROUND((BG574*Parámetros!$G$85),2))</f>
        <v/>
      </c>
      <c r="BK574" s="66" t="str">
        <f>+IF($W574="","",ROUND((BG574*(Parámetros!$G$86)),2))</f>
        <v/>
      </c>
      <c r="BL574" s="66" t="str">
        <f t="shared" si="790"/>
        <v/>
      </c>
      <c r="BM574" t="str">
        <f t="shared" si="831"/>
        <v/>
      </c>
      <c r="BN574" t="str">
        <f t="shared" si="832"/>
        <v/>
      </c>
      <c r="BO574" s="118" t="str">
        <f t="shared" si="833"/>
        <v/>
      </c>
      <c r="BP574" s="118" t="str">
        <f t="shared" si="834"/>
        <v/>
      </c>
      <c r="BQ574" s="119" t="str">
        <f>+IF(OR($W574="",BO574=0),"",ROUND((VLOOKUP(ROUNDDOWN($D574-1/frec,0),cob_adi,BB$40,FALSE)*(1+i/frec)^-0.5*(1+Parámetros!$D$103)*(1+rec_fracc)/frec),6))</f>
        <v/>
      </c>
      <c r="BR574" s="66" t="str">
        <f t="shared" si="791"/>
        <v/>
      </c>
      <c r="BS574" s="119" t="str">
        <f t="shared" si="792"/>
        <v/>
      </c>
      <c r="BT574" s="66" t="str">
        <f>+IF($W574="","",ROUND(IF($B574&gt;Parámetros!$D$107,'Tablas Servicio'!BR574+('Tablas Servicio'!BT573-'Tablas Servicio'!BR573),BR574/(1-IF(B574&lt;=10,Parámetros!$D$100,0))),2))</f>
        <v/>
      </c>
      <c r="BU574" s="66" t="str">
        <f t="shared" si="793"/>
        <v/>
      </c>
      <c r="BV574" s="66" t="str">
        <f t="shared" si="793"/>
        <v/>
      </c>
      <c r="BW574" s="66" t="str">
        <f>+IF($W574="","",ROUND((BT574*Parámetros!$G$85),2))</f>
        <v/>
      </c>
      <c r="BX574" s="66" t="str">
        <f>+IF($W574="","",ROUND((BT574*(Parámetros!$G$86)),2))</f>
        <v/>
      </c>
      <c r="BY574" s="66" t="str">
        <f t="shared" si="794"/>
        <v/>
      </c>
      <c r="BZ574" t="str">
        <f t="shared" si="835"/>
        <v/>
      </c>
      <c r="CA574" t="str">
        <f t="shared" si="836"/>
        <v/>
      </c>
      <c r="CB574" s="118" t="str">
        <f t="shared" si="837"/>
        <v/>
      </c>
      <c r="CC574" s="118" t="str">
        <f t="shared" si="838"/>
        <v/>
      </c>
      <c r="CD574" s="119" t="str">
        <f t="shared" si="795"/>
        <v/>
      </c>
      <c r="CE574" s="66" t="str">
        <f>+IF($W574="","",ROUND((VLOOKUP(ROUNDDOWN($D574-1/frec,0),cob_adi,BO$40,FALSE)*(1+i/frec)^-0.5*(1+Parámetros!$D$103)*(1+rec_fracc)/frec*'TABLAS ADI'!$BC$17),2))</f>
        <v/>
      </c>
      <c r="CF574" s="119" t="str">
        <f t="shared" si="796"/>
        <v/>
      </c>
      <c r="CG574" s="66" t="str">
        <f>+IF($W574="","",ROUND(IF($B574&gt;Parámetros!$D$107,'Tablas Servicio'!CE574+('Tablas Servicio'!CG573-'Tablas Servicio'!CE573),CE574/(1-IF(B574&lt;=10,Parámetros!$D$100,0))),2))</f>
        <v/>
      </c>
      <c r="CH574" s="66" t="str">
        <f t="shared" si="797"/>
        <v/>
      </c>
      <c r="CI574" s="66" t="str">
        <f t="shared" si="797"/>
        <v/>
      </c>
      <c r="CJ574" s="66" t="str">
        <f>+IF($W574="","",ROUND((CG574*Parámetros!$G$85),2))</f>
        <v/>
      </c>
      <c r="CK574" s="66" t="str">
        <f>+IF($W574="","",ROUND((CG574*(Parámetros!$G$86)),2))</f>
        <v/>
      </c>
      <c r="CL574" s="66" t="str">
        <f t="shared" si="798"/>
        <v/>
      </c>
      <c r="CM574" t="str">
        <f t="shared" si="839"/>
        <v/>
      </c>
      <c r="CN574" s="118" t="str">
        <f t="shared" si="840"/>
        <v/>
      </c>
      <c r="CO574" s="118" t="str">
        <f t="shared" si="841"/>
        <v/>
      </c>
      <c r="CP574" s="118" t="str">
        <f t="shared" si="842"/>
        <v/>
      </c>
      <c r="CQ574" s="119" t="str">
        <f t="shared" si="799"/>
        <v/>
      </c>
      <c r="CR574" s="66" t="str">
        <f>+IF($W574="","",ROUND((VLOOKUP(Parámetros!$F$51,'COBERTURAS ADICIONALES'!$S$4:$T$32,2,FALSE)*(1+i/frec)^-0.5*(1+Parámetros!$D$103)*(1+rec_fracc)/frec*$CO$42),2))</f>
        <v/>
      </c>
      <c r="CS574" s="119" t="str">
        <f t="shared" si="800"/>
        <v/>
      </c>
      <c r="CT574" s="66" t="str">
        <f>+IF($W574="","",ROUND(IF($B574&gt;Parámetros!$D$107,'Tablas Servicio'!CR574+('Tablas Servicio'!CT573-'Tablas Servicio'!CR573),CR574/(1-IF(B574&lt;=10,Parámetros!$D$100,0))),2))</f>
        <v/>
      </c>
      <c r="CU574" s="66" t="str">
        <f t="shared" si="801"/>
        <v/>
      </c>
      <c r="CV574" s="66" t="str">
        <f t="shared" si="801"/>
        <v/>
      </c>
      <c r="CW574" s="66" t="str">
        <f>+IF($W574="","",ROUND((CT574*Parámetros!$G$85),2))</f>
        <v/>
      </c>
      <c r="CX574" s="66" t="str">
        <f>+IF($W574="","",ROUND((CT574*(Parámetros!$G$86)),2))</f>
        <v/>
      </c>
      <c r="CY574" s="66" t="str">
        <f t="shared" si="802"/>
        <v/>
      </c>
      <c r="CZ574" t="str">
        <f t="shared" si="843"/>
        <v/>
      </c>
      <c r="DA574" s="118" t="str">
        <f t="shared" si="844"/>
        <v/>
      </c>
      <c r="DB574" s="118" t="str">
        <f t="shared" si="845"/>
        <v/>
      </c>
      <c r="DC574" s="118" t="str">
        <f t="shared" si="846"/>
        <v/>
      </c>
      <c r="DD574" s="121" t="str">
        <f>+IF(OR($W574="",DB574=0),"",ROUND((VLOOKUP(ROUNDDOWN($D574-1/frec,0),cob_adi,CO$40,FALSE)*(1+i/frec)^-0.5*(1+Parámetros!$D$103)*(1+rec_fracc)/frec),6))</f>
        <v/>
      </c>
      <c r="DE574" s="66" t="str">
        <f t="shared" si="803"/>
        <v/>
      </c>
      <c r="DF574" s="119" t="str">
        <f t="shared" si="804"/>
        <v/>
      </c>
      <c r="DG574" s="66" t="str">
        <f>+IF($W574="","",ROUND(IF($B574&gt;Parámetros!$D$107,'Tablas Servicio'!DE574+('Tablas Servicio'!DG573-'Tablas Servicio'!DE573),DE574/(1-IF(B574&lt;=10,Parámetros!$D$100,0))),2))</f>
        <v/>
      </c>
      <c r="DH574" s="66" t="str">
        <f t="shared" si="805"/>
        <v/>
      </c>
      <c r="DI574" s="66" t="str">
        <f t="shared" si="805"/>
        <v/>
      </c>
      <c r="DJ574" s="66" t="str">
        <f>+IF($W574="","",ROUND((DG574*Parámetros!$G$85),2))</f>
        <v/>
      </c>
      <c r="DK574" s="66" t="str">
        <f>+IF($W574="","",ROUND((DG574*(Parámetros!$G$86)),2))</f>
        <v/>
      </c>
      <c r="DL574" s="66" t="str">
        <f t="shared" si="806"/>
        <v/>
      </c>
      <c r="DM574" t="str">
        <f t="shared" si="847"/>
        <v/>
      </c>
      <c r="DN574" s="118" t="str">
        <f t="shared" si="848"/>
        <v/>
      </c>
      <c r="DO574" s="118" t="str">
        <f t="shared" si="849"/>
        <v/>
      </c>
      <c r="DP574" s="118" t="str">
        <f t="shared" si="850"/>
        <v/>
      </c>
      <c r="DQ574" s="122" t="str">
        <f>+IF(OR($W574="",DO574=0),"",ROUND((VLOOKUP(ROUNDDOWN($D574-1/frec,0),cob_adi,DB$40,FALSE)*(1+i/frec)^-0.5*(1+Parámetros!$D$103)*(1+rec_fracc)/frec),6))</f>
        <v/>
      </c>
      <c r="DR574" s="66" t="str">
        <f t="shared" si="807"/>
        <v/>
      </c>
      <c r="DS574" s="68" t="str">
        <f t="shared" si="808"/>
        <v/>
      </c>
      <c r="DT574" s="66" t="str">
        <f>+IF($W574="","",ROUND(IF($B574&gt;Parámetros!$D$107,'Tablas Servicio'!DR574+('Tablas Servicio'!DT573-'Tablas Servicio'!DR573),DR574/(1-IF(B574&lt;=10,Parámetros!$D$100,0))),2))</f>
        <v/>
      </c>
      <c r="DU574" s="66" t="str">
        <f t="shared" si="809"/>
        <v/>
      </c>
      <c r="DV574" s="66" t="str">
        <f t="shared" si="809"/>
        <v/>
      </c>
      <c r="DW574" s="66" t="str">
        <f>+IF($W574="","",ROUND((DT574*Parámetros!$G$85),2))</f>
        <v/>
      </c>
      <c r="DX574" s="66" t="str">
        <f>+IF($W574="","",ROUND((DT574*(Parámetros!$G$86)),2))</f>
        <v/>
      </c>
      <c r="DY574" s="66" t="str">
        <f t="shared" si="810"/>
        <v/>
      </c>
      <c r="DZ574" t="str">
        <f t="shared" si="851"/>
        <v/>
      </c>
      <c r="EA574" s="118" t="str">
        <f t="shared" si="851"/>
        <v/>
      </c>
      <c r="EB574" s="118" t="str">
        <f>+IF($W574="","",ROUND(IF(Parámetros!$D$25='TABLAS MORT'!$V$33,EB573,Z574/2),0))</f>
        <v/>
      </c>
      <c r="EC574" s="118" t="str">
        <f t="shared" si="851"/>
        <v/>
      </c>
      <c r="ED574" s="122" t="str">
        <f>+IF(OR($W574="",EB574=0),"",ROUND((VLOOKUP(ROUNDDOWN($D574-1/frec,0),cob_adi,DO$40,FALSE)*(1+i/frec)^-0.5*(1+Parámetros!$D$103)*(1+rec_fracc)/frec),6))</f>
        <v/>
      </c>
      <c r="EE574" s="66" t="str">
        <f t="shared" si="812"/>
        <v/>
      </c>
      <c r="EF574" s="68" t="str">
        <f t="shared" si="813"/>
        <v/>
      </c>
      <c r="EG574" s="66" t="str">
        <f>+IF($W574="","",ROUND(IF($B574&gt;Parámetros!$D$107,'Tablas Servicio'!EE574+('Tablas Servicio'!EG573-'Tablas Servicio'!EE573),EE574/(1-IF(B574&lt;=10,Parámetros!$D$100,0))),2))</f>
        <v/>
      </c>
      <c r="EH574" s="66" t="str">
        <f t="shared" si="814"/>
        <v/>
      </c>
      <c r="EI574" s="66" t="str">
        <f t="shared" si="814"/>
        <v/>
      </c>
      <c r="EJ574" s="66" t="str">
        <f>+IF($W574="","",ROUND((EG574*Parámetros!$G$85),2))</f>
        <v/>
      </c>
      <c r="EK574" s="66" t="str">
        <f>+IF($W574="","",ROUND((EG574*(Parámetros!$G$86)),2))</f>
        <v/>
      </c>
      <c r="EL574" s="66" t="str">
        <f t="shared" si="815"/>
        <v/>
      </c>
    </row>
    <row r="575" spans="1:142" x14ac:dyDescent="0.25">
      <c r="A575" t="str">
        <f>+IF($C575="","",ROUND(VLOOKUP('Tablas Servicio'!B575,Parámetros!$H$100:$J$159,IF(Parámetros!$E$16="F",2,3),FALSE),2))</f>
        <v/>
      </c>
      <c r="B575" t="str">
        <f t="shared" si="766"/>
        <v/>
      </c>
      <c r="C575" s="57" t="str">
        <f>+IF(D575="","",'Tablas Servicio'!C574+1)</f>
        <v/>
      </c>
      <c r="D575" s="56" t="str">
        <f>+IF(D574&lt;edadmaxtabla,D574+1/Parámetros!$E$25,"")</f>
        <v/>
      </c>
      <c r="E575" s="57" t="str">
        <f t="shared" si="776"/>
        <v/>
      </c>
      <c r="F575" s="59" t="str">
        <f t="shared" si="777"/>
        <v/>
      </c>
      <c r="G575" s="66" t="str">
        <f t="shared" si="767"/>
        <v/>
      </c>
      <c r="H575" s="66" t="str">
        <f t="shared" si="768"/>
        <v/>
      </c>
      <c r="I575" s="66" t="str">
        <f t="shared" si="816"/>
        <v/>
      </c>
      <c r="J575" s="66" t="str">
        <f t="shared" si="769"/>
        <v/>
      </c>
      <c r="K575" s="66" t="str">
        <f t="shared" si="770"/>
        <v/>
      </c>
      <c r="L575" s="66" t="str">
        <f t="shared" si="771"/>
        <v/>
      </c>
      <c r="M575" s="66" t="str">
        <f t="shared" si="772"/>
        <v/>
      </c>
      <c r="N575" s="66" t="str">
        <f>+IF(C575="","",ROUND(Parámetros!$D$23,2))</f>
        <v/>
      </c>
      <c r="O575" s="66" t="str">
        <f t="shared" si="773"/>
        <v/>
      </c>
      <c r="P575" s="66" t="str">
        <f>+IF($C575="","",ROUND(IF(B575&gt;Parámetros!$D$117,0,N575*Parámetros!$D$116-G575*Parámetros!$D$100),2))</f>
        <v/>
      </c>
      <c r="Q575" s="75" t="str">
        <f t="shared" si="817"/>
        <v/>
      </c>
      <c r="R575" s="75" t="str">
        <f t="shared" si="818"/>
        <v/>
      </c>
      <c r="S575" s="117" t="str">
        <f>+IF($C575="","",ROUND((S574+I575)*(1+Parámetros!$D$91),2))</f>
        <v/>
      </c>
      <c r="T575" s="117" t="str">
        <f>+IF($C575="","",ROUND(S575*VLOOKUP(B575,Parámetros!$C$30:$D$39,2,TRUE),2))</f>
        <v/>
      </c>
      <c r="U575" s="117" t="str">
        <f>+IF($C575="","",ROUND((U574+I575)*(1+Parámetros!$D$92),2))</f>
        <v/>
      </c>
      <c r="V575" s="117" t="str">
        <f>+IF($C575="","",ROUND(U575*VLOOKUP(B575,Parámetros!$C$30:$D$39,2,TRUE),2))</f>
        <v/>
      </c>
      <c r="W575" s="57" t="str">
        <f t="shared" si="819"/>
        <v/>
      </c>
      <c r="X575" t="str">
        <f t="shared" si="820"/>
        <v/>
      </c>
      <c r="Y575" t="str">
        <f t="shared" si="821"/>
        <v/>
      </c>
      <c r="Z575" s="118" t="str">
        <f>+IF($W575="","",ROUND(IF(Parámetros!$D$25='TABLAS MORT'!$V$33,Z574,Parámetros!$D$21-'Tablas Servicio'!T574),0))</f>
        <v/>
      </c>
      <c r="AA575" s="118" t="str">
        <f t="shared" si="822"/>
        <v/>
      </c>
      <c r="AB575" s="119" t="str">
        <f>+IF(W575="","",ROUND((VLOOKUP(ROUNDDOWN($D575-1/frec,0),qx_tabla,2,FALSE)*(1+i/frec)^-0.5*(1+Parámetros!$D$103)*(1+rec_fracc)/frec),6))</f>
        <v/>
      </c>
      <c r="AC575" s="66" t="str">
        <f t="shared" si="778"/>
        <v/>
      </c>
      <c r="AD575" s="119" t="str">
        <f t="shared" si="774"/>
        <v/>
      </c>
      <c r="AE575" s="66" t="str">
        <f>+IF($W575="","",ROUND(IF($B575&gt;Parámetros!$D$107,'Tablas Servicio'!AC575+('Tablas Servicio'!AG574-'Tablas Servicio'!AC574),AC575/(1-IF(B575&lt;=10,Parámetros!$D$104,Parámetros!$D$105))),2))</f>
        <v/>
      </c>
      <c r="AF575" s="66" t="str">
        <f>+IF($W575="","",ROUND(IF($B575&gt;Parámetros!$D$107,'Tablas Servicio'!AC575+('Tablas Servicio'!AG574-'Tablas Servicio'!AC574),(AC575+$A574/frec)/(1-IF(B575&lt;=Parámetros!$D$117,Parámetros!$D$100,0))),2))</f>
        <v/>
      </c>
      <c r="AG575" s="66" t="str">
        <f t="shared" si="779"/>
        <v/>
      </c>
      <c r="AH575" s="66" t="str">
        <f t="shared" si="780"/>
        <v/>
      </c>
      <c r="AI575" s="66" t="str">
        <f t="shared" si="781"/>
        <v/>
      </c>
      <c r="AJ575" s="66" t="str">
        <f>+IF($W575="","",ROUND((AG575*Parámetros!$G$85),2))</f>
        <v/>
      </c>
      <c r="AK575" s="66" t="str">
        <f>+IF($W575="","",ROUND((AG575*(Parámetros!$G$86)),2))</f>
        <v/>
      </c>
      <c r="AL575" s="66" t="str">
        <f t="shared" si="775"/>
        <v/>
      </c>
      <c r="AM575" t="str">
        <f t="shared" si="823"/>
        <v/>
      </c>
      <c r="AN575" t="str">
        <f t="shared" si="824"/>
        <v/>
      </c>
      <c r="AO575" s="118" t="str">
        <f t="shared" si="825"/>
        <v/>
      </c>
      <c r="AP575" s="118" t="str">
        <f t="shared" si="826"/>
        <v/>
      </c>
      <c r="AQ575" s="119" t="str">
        <f>+IF(OR($W575="",AO575=0),"",ROUND((VLOOKUP(ROUNDDOWN($D575-1/frec,0),cob_adi,Z$40,FALSE)*(1+i/frec)^-0.5*(1+Parámetros!$D$103)*(1+rec_fracc)/frec),6))</f>
        <v/>
      </c>
      <c r="AR575" s="66" t="str">
        <f t="shared" si="782"/>
        <v/>
      </c>
      <c r="AS575" s="119" t="str">
        <f t="shared" si="783"/>
        <v/>
      </c>
      <c r="AT575" s="66" t="str">
        <f>+IF($W575="","",ROUND(IF($B575&gt;Parámetros!$D$107,'Tablas Servicio'!AR575+('Tablas Servicio'!AT574-'Tablas Servicio'!AR574),AR575/(1-IF(B575&lt;=10,Parámetros!$D$100,0))),2))</f>
        <v/>
      </c>
      <c r="AU575" s="66" t="str">
        <f t="shared" si="784"/>
        <v/>
      </c>
      <c r="AV575" s="66" t="str">
        <f t="shared" si="784"/>
        <v/>
      </c>
      <c r="AW575" s="66" t="str">
        <f>+IF($W575="","",ROUND((AT575*Parámetros!$G$85),2))</f>
        <v/>
      </c>
      <c r="AX575" s="66" t="str">
        <f>+IF($W575="","",ROUND((AT575*(Parámetros!$G$86)),2))</f>
        <v/>
      </c>
      <c r="AY575" s="66" t="str">
        <f t="shared" si="785"/>
        <v/>
      </c>
      <c r="AZ575" t="str">
        <f t="shared" si="827"/>
        <v/>
      </c>
      <c r="BA575" t="str">
        <f t="shared" si="828"/>
        <v/>
      </c>
      <c r="BB575" s="118" t="str">
        <f t="shared" si="829"/>
        <v/>
      </c>
      <c r="BC575" s="118" t="str">
        <f t="shared" si="830"/>
        <v/>
      </c>
      <c r="BD575" s="119" t="str">
        <f>+IF(OR($W575="",BB575=0),"",ROUND((VLOOKUP(ROUNDDOWN($D575-1/frec,0),cob_adi,AO$40,FALSE)*(1+i/frec)^-0.5*(1+Parámetros!$D$103)*(1+rec_fracc)/frec),6))</f>
        <v/>
      </c>
      <c r="BE575" s="66" t="str">
        <f t="shared" si="786"/>
        <v/>
      </c>
      <c r="BF575" s="119" t="str">
        <f t="shared" si="787"/>
        <v/>
      </c>
      <c r="BG575" s="66" t="str">
        <f>+IF($W575="","",ROUND(IF($B575&gt;Parámetros!$D$107,'Tablas Servicio'!BE575+('Tablas Servicio'!BG574-'Tablas Servicio'!BE574),BE575/(1-IF(B575&lt;=10,Parámetros!$D$100,0))),2))</f>
        <v/>
      </c>
      <c r="BH575" s="66" t="str">
        <f t="shared" si="788"/>
        <v/>
      </c>
      <c r="BI575" s="66" t="str">
        <f t="shared" si="789"/>
        <v/>
      </c>
      <c r="BJ575" s="66" t="str">
        <f>+IF($W575="","",ROUND((BG575*Parámetros!$G$85),2))</f>
        <v/>
      </c>
      <c r="BK575" s="66" t="str">
        <f>+IF($W575="","",ROUND((BG575*(Parámetros!$G$86)),2))</f>
        <v/>
      </c>
      <c r="BL575" s="66" t="str">
        <f t="shared" si="790"/>
        <v/>
      </c>
      <c r="BM575" t="str">
        <f t="shared" si="831"/>
        <v/>
      </c>
      <c r="BN575" t="str">
        <f t="shared" si="832"/>
        <v/>
      </c>
      <c r="BO575" s="118" t="str">
        <f t="shared" si="833"/>
        <v/>
      </c>
      <c r="BP575" s="118" t="str">
        <f t="shared" si="834"/>
        <v/>
      </c>
      <c r="BQ575" s="119" t="str">
        <f>+IF(OR($W575="",BO575=0),"",ROUND((VLOOKUP(ROUNDDOWN($D575-1/frec,0),cob_adi,BB$40,FALSE)*(1+i/frec)^-0.5*(1+Parámetros!$D$103)*(1+rec_fracc)/frec),6))</f>
        <v/>
      </c>
      <c r="BR575" s="66" t="str">
        <f t="shared" si="791"/>
        <v/>
      </c>
      <c r="BS575" s="119" t="str">
        <f t="shared" si="792"/>
        <v/>
      </c>
      <c r="BT575" s="66" t="str">
        <f>+IF($W575="","",ROUND(IF($B575&gt;Parámetros!$D$107,'Tablas Servicio'!BR575+('Tablas Servicio'!BT574-'Tablas Servicio'!BR574),BR575/(1-IF(B575&lt;=10,Parámetros!$D$100,0))),2))</f>
        <v/>
      </c>
      <c r="BU575" s="66" t="str">
        <f t="shared" si="793"/>
        <v/>
      </c>
      <c r="BV575" s="66" t="str">
        <f t="shared" si="793"/>
        <v/>
      </c>
      <c r="BW575" s="66" t="str">
        <f>+IF($W575="","",ROUND((BT575*Parámetros!$G$85),2))</f>
        <v/>
      </c>
      <c r="BX575" s="66" t="str">
        <f>+IF($W575="","",ROUND((BT575*(Parámetros!$G$86)),2))</f>
        <v/>
      </c>
      <c r="BY575" s="66" t="str">
        <f t="shared" si="794"/>
        <v/>
      </c>
      <c r="BZ575" t="str">
        <f t="shared" si="835"/>
        <v/>
      </c>
      <c r="CA575" t="str">
        <f t="shared" si="836"/>
        <v/>
      </c>
      <c r="CB575" s="118" t="str">
        <f t="shared" si="837"/>
        <v/>
      </c>
      <c r="CC575" s="118" t="str">
        <f t="shared" si="838"/>
        <v/>
      </c>
      <c r="CD575" s="119" t="str">
        <f t="shared" si="795"/>
        <v/>
      </c>
      <c r="CE575" s="66" t="str">
        <f>+IF($W575="","",ROUND((VLOOKUP(ROUNDDOWN($D575-1/frec,0),cob_adi,BO$40,FALSE)*(1+i/frec)^-0.5*(1+Parámetros!$D$103)*(1+rec_fracc)/frec*'TABLAS ADI'!$BC$17),2))</f>
        <v/>
      </c>
      <c r="CF575" s="119" t="str">
        <f t="shared" si="796"/>
        <v/>
      </c>
      <c r="CG575" s="66" t="str">
        <f>+IF($W575="","",ROUND(IF($B575&gt;Parámetros!$D$107,'Tablas Servicio'!CE575+('Tablas Servicio'!CG574-'Tablas Servicio'!CE574),CE575/(1-IF(B575&lt;=10,Parámetros!$D$100,0))),2))</f>
        <v/>
      </c>
      <c r="CH575" s="66" t="str">
        <f t="shared" si="797"/>
        <v/>
      </c>
      <c r="CI575" s="66" t="str">
        <f t="shared" si="797"/>
        <v/>
      </c>
      <c r="CJ575" s="66" t="str">
        <f>+IF($W575="","",ROUND((CG575*Parámetros!$G$85),2))</f>
        <v/>
      </c>
      <c r="CK575" s="66" t="str">
        <f>+IF($W575="","",ROUND((CG575*(Parámetros!$G$86)),2))</f>
        <v/>
      </c>
      <c r="CL575" s="66" t="str">
        <f t="shared" si="798"/>
        <v/>
      </c>
      <c r="CM575" t="str">
        <f t="shared" si="839"/>
        <v/>
      </c>
      <c r="CN575" s="118" t="str">
        <f t="shared" si="840"/>
        <v/>
      </c>
      <c r="CO575" s="118" t="str">
        <f t="shared" si="841"/>
        <v/>
      </c>
      <c r="CP575" s="118" t="str">
        <f t="shared" si="842"/>
        <v/>
      </c>
      <c r="CQ575" s="119" t="str">
        <f t="shared" si="799"/>
        <v/>
      </c>
      <c r="CR575" s="66" t="str">
        <f>+IF($W575="","",ROUND((VLOOKUP(Parámetros!$F$51,'COBERTURAS ADICIONALES'!$S$4:$T$32,2,FALSE)*(1+i/frec)^-0.5*(1+Parámetros!$D$103)*(1+rec_fracc)/frec*$CO$42),2))</f>
        <v/>
      </c>
      <c r="CS575" s="119" t="str">
        <f t="shared" si="800"/>
        <v/>
      </c>
      <c r="CT575" s="66" t="str">
        <f>+IF($W575="","",ROUND(IF($B575&gt;Parámetros!$D$107,'Tablas Servicio'!CR575+('Tablas Servicio'!CT574-'Tablas Servicio'!CR574),CR575/(1-IF(B575&lt;=10,Parámetros!$D$100,0))),2))</f>
        <v/>
      </c>
      <c r="CU575" s="66" t="str">
        <f t="shared" si="801"/>
        <v/>
      </c>
      <c r="CV575" s="66" t="str">
        <f t="shared" si="801"/>
        <v/>
      </c>
      <c r="CW575" s="66" t="str">
        <f>+IF($W575="","",ROUND((CT575*Parámetros!$G$85),2))</f>
        <v/>
      </c>
      <c r="CX575" s="66" t="str">
        <f>+IF($W575="","",ROUND((CT575*(Parámetros!$G$86)),2))</f>
        <v/>
      </c>
      <c r="CY575" s="66" t="str">
        <f t="shared" si="802"/>
        <v/>
      </c>
      <c r="CZ575" t="str">
        <f t="shared" si="843"/>
        <v/>
      </c>
      <c r="DA575" s="118" t="str">
        <f t="shared" si="844"/>
        <v/>
      </c>
      <c r="DB575" s="118" t="str">
        <f t="shared" si="845"/>
        <v/>
      </c>
      <c r="DC575" s="118" t="str">
        <f t="shared" si="846"/>
        <v/>
      </c>
      <c r="DD575" s="121" t="str">
        <f>+IF(OR($W575="",DB575=0),"",ROUND((VLOOKUP(ROUNDDOWN($D575-1/frec,0),cob_adi,CO$40,FALSE)*(1+i/frec)^-0.5*(1+Parámetros!$D$103)*(1+rec_fracc)/frec),6))</f>
        <v/>
      </c>
      <c r="DE575" s="66" t="str">
        <f t="shared" si="803"/>
        <v/>
      </c>
      <c r="DF575" s="119" t="str">
        <f t="shared" si="804"/>
        <v/>
      </c>
      <c r="DG575" s="66" t="str">
        <f>+IF($W575="","",ROUND(IF($B575&gt;Parámetros!$D$107,'Tablas Servicio'!DE575+('Tablas Servicio'!DG574-'Tablas Servicio'!DE574),DE575/(1-IF(B575&lt;=10,Parámetros!$D$100,0))),2))</f>
        <v/>
      </c>
      <c r="DH575" s="66" t="str">
        <f t="shared" si="805"/>
        <v/>
      </c>
      <c r="DI575" s="66" t="str">
        <f t="shared" si="805"/>
        <v/>
      </c>
      <c r="DJ575" s="66" t="str">
        <f>+IF($W575="","",ROUND((DG575*Parámetros!$G$85),2))</f>
        <v/>
      </c>
      <c r="DK575" s="66" t="str">
        <f>+IF($W575="","",ROUND((DG575*(Parámetros!$G$86)),2))</f>
        <v/>
      </c>
      <c r="DL575" s="66" t="str">
        <f t="shared" si="806"/>
        <v/>
      </c>
      <c r="DM575" t="str">
        <f t="shared" si="847"/>
        <v/>
      </c>
      <c r="DN575" s="118" t="str">
        <f t="shared" si="848"/>
        <v/>
      </c>
      <c r="DO575" s="118" t="str">
        <f t="shared" si="849"/>
        <v/>
      </c>
      <c r="DP575" s="118" t="str">
        <f t="shared" si="850"/>
        <v/>
      </c>
      <c r="DQ575" s="122" t="str">
        <f>+IF(OR($W575="",DO575=0),"",ROUND((VLOOKUP(ROUNDDOWN($D575-1/frec,0),cob_adi,DB$40,FALSE)*(1+i/frec)^-0.5*(1+Parámetros!$D$103)*(1+rec_fracc)/frec),6))</f>
        <v/>
      </c>
      <c r="DR575" s="66" t="str">
        <f t="shared" si="807"/>
        <v/>
      </c>
      <c r="DS575" s="68" t="str">
        <f t="shared" si="808"/>
        <v/>
      </c>
      <c r="DT575" s="66" t="str">
        <f>+IF($W575="","",ROUND(IF($B575&gt;Parámetros!$D$107,'Tablas Servicio'!DR575+('Tablas Servicio'!DT574-'Tablas Servicio'!DR574),DR575/(1-IF(B575&lt;=10,Parámetros!$D$100,0))),2))</f>
        <v/>
      </c>
      <c r="DU575" s="66" t="str">
        <f t="shared" si="809"/>
        <v/>
      </c>
      <c r="DV575" s="66" t="str">
        <f t="shared" si="809"/>
        <v/>
      </c>
      <c r="DW575" s="66" t="str">
        <f>+IF($W575="","",ROUND((DT575*Parámetros!$G$85),2))</f>
        <v/>
      </c>
      <c r="DX575" s="66" t="str">
        <f>+IF($W575="","",ROUND((DT575*(Parámetros!$G$86)),2))</f>
        <v/>
      </c>
      <c r="DY575" s="66" t="str">
        <f t="shared" si="810"/>
        <v/>
      </c>
      <c r="DZ575" t="str">
        <f t="shared" si="851"/>
        <v/>
      </c>
      <c r="EA575" s="118" t="str">
        <f t="shared" si="851"/>
        <v/>
      </c>
      <c r="EB575" s="118" t="str">
        <f>+IF($W575="","",ROUND(IF(Parámetros!$D$25='TABLAS MORT'!$V$33,EB574,Z575/2),0))</f>
        <v/>
      </c>
      <c r="EC575" s="118" t="str">
        <f t="shared" si="851"/>
        <v/>
      </c>
      <c r="ED575" s="122" t="str">
        <f>+IF(OR($W575="",EB575=0),"",ROUND((VLOOKUP(ROUNDDOWN($D575-1/frec,0),cob_adi,DO$40,FALSE)*(1+i/frec)^-0.5*(1+Parámetros!$D$103)*(1+rec_fracc)/frec),6))</f>
        <v/>
      </c>
      <c r="EE575" s="66" t="str">
        <f t="shared" si="812"/>
        <v/>
      </c>
      <c r="EF575" s="68" t="str">
        <f t="shared" si="813"/>
        <v/>
      </c>
      <c r="EG575" s="66" t="str">
        <f>+IF($W575="","",ROUND(IF($B575&gt;Parámetros!$D$107,'Tablas Servicio'!EE575+('Tablas Servicio'!EG574-'Tablas Servicio'!EE574),EE575/(1-IF(B575&lt;=10,Parámetros!$D$100,0))),2))</f>
        <v/>
      </c>
      <c r="EH575" s="66" t="str">
        <f t="shared" si="814"/>
        <v/>
      </c>
      <c r="EI575" s="66" t="str">
        <f t="shared" si="814"/>
        <v/>
      </c>
      <c r="EJ575" s="66" t="str">
        <f>+IF($W575="","",ROUND((EG575*Parámetros!$G$85),2))</f>
        <v/>
      </c>
      <c r="EK575" s="66" t="str">
        <f>+IF($W575="","",ROUND((EG575*(Parámetros!$G$86)),2))</f>
        <v/>
      </c>
      <c r="EL575" s="66" t="str">
        <f t="shared" si="815"/>
        <v/>
      </c>
    </row>
    <row r="576" spans="1:142" x14ac:dyDescent="0.25">
      <c r="A576" t="str">
        <f>+IF($C576="","",ROUND(VLOOKUP('Tablas Servicio'!B576,Parámetros!$H$100:$J$159,IF(Parámetros!$E$16="F",2,3),FALSE),2))</f>
        <v/>
      </c>
      <c r="B576" t="str">
        <f t="shared" si="766"/>
        <v/>
      </c>
      <c r="C576" s="57" t="str">
        <f>+IF(D576="","",'Tablas Servicio'!C575+1)</f>
        <v/>
      </c>
      <c r="D576" s="56" t="str">
        <f>+IF(D575&lt;edadmaxtabla,D575+1/Parámetros!$E$25,"")</f>
        <v/>
      </c>
      <c r="E576" s="57" t="str">
        <f t="shared" si="776"/>
        <v/>
      </c>
      <c r="F576" s="59" t="str">
        <f t="shared" si="777"/>
        <v/>
      </c>
      <c r="G576" s="66" t="str">
        <f t="shared" si="767"/>
        <v/>
      </c>
      <c r="H576" s="66" t="str">
        <f t="shared" si="768"/>
        <v/>
      </c>
      <c r="I576" s="66" t="str">
        <f t="shared" si="816"/>
        <v/>
      </c>
      <c r="J576" s="66" t="str">
        <f t="shared" si="769"/>
        <v/>
      </c>
      <c r="K576" s="66" t="str">
        <f t="shared" si="770"/>
        <v/>
      </c>
      <c r="L576" s="66" t="str">
        <f t="shared" si="771"/>
        <v/>
      </c>
      <c r="M576" s="66" t="str">
        <f t="shared" si="772"/>
        <v/>
      </c>
      <c r="N576" s="66" t="str">
        <f>+IF(C576="","",ROUND(Parámetros!$D$23,2))</f>
        <v/>
      </c>
      <c r="O576" s="66" t="str">
        <f t="shared" si="773"/>
        <v/>
      </c>
      <c r="P576" s="66" t="str">
        <f>+IF($C576="","",ROUND(IF(B576&gt;Parámetros!$D$117,0,N576*Parámetros!$D$116-G576*Parámetros!$D$100),2))</f>
        <v/>
      </c>
      <c r="Q576" s="75" t="str">
        <f t="shared" si="817"/>
        <v/>
      </c>
      <c r="R576" s="75" t="str">
        <f t="shared" si="818"/>
        <v/>
      </c>
      <c r="S576" s="117" t="str">
        <f>+IF($C576="","",ROUND((S575+I576)*(1+Parámetros!$D$91),2))</f>
        <v/>
      </c>
      <c r="T576" s="117" t="str">
        <f>+IF($C576="","",ROUND(S576*VLOOKUP(B576,Parámetros!$C$30:$D$39,2,TRUE),2))</f>
        <v/>
      </c>
      <c r="U576" s="117" t="str">
        <f>+IF($C576="","",ROUND((U575+I576)*(1+Parámetros!$D$92),2))</f>
        <v/>
      </c>
      <c r="V576" s="117" t="str">
        <f>+IF($C576="","",ROUND(U576*VLOOKUP(B576,Parámetros!$C$30:$D$39,2,TRUE),2))</f>
        <v/>
      </c>
      <c r="W576" s="57" t="str">
        <f t="shared" si="819"/>
        <v/>
      </c>
      <c r="X576" t="str">
        <f t="shared" si="820"/>
        <v/>
      </c>
      <c r="Y576" t="str">
        <f t="shared" si="821"/>
        <v/>
      </c>
      <c r="Z576" s="118" t="str">
        <f>+IF($W576="","",ROUND(IF(Parámetros!$D$25='TABLAS MORT'!$V$33,Z575,Parámetros!$D$21-'Tablas Servicio'!T575),0))</f>
        <v/>
      </c>
      <c r="AA576" s="118" t="str">
        <f t="shared" si="822"/>
        <v/>
      </c>
      <c r="AB576" s="119" t="str">
        <f>+IF(W576="","",ROUND((VLOOKUP(ROUNDDOWN($D576-1/frec,0),qx_tabla,2,FALSE)*(1+i/frec)^-0.5*(1+Parámetros!$D$103)*(1+rec_fracc)/frec),6))</f>
        <v/>
      </c>
      <c r="AC576" s="66" t="str">
        <f t="shared" si="778"/>
        <v/>
      </c>
      <c r="AD576" s="119" t="str">
        <f t="shared" si="774"/>
        <v/>
      </c>
      <c r="AE576" s="66" t="str">
        <f>+IF($W576="","",ROUND(IF($B576&gt;Parámetros!$D$107,'Tablas Servicio'!AC576+('Tablas Servicio'!AG575-'Tablas Servicio'!AC575),AC576/(1-IF(B576&lt;=10,Parámetros!$D$104,Parámetros!$D$105))),2))</f>
        <v/>
      </c>
      <c r="AF576" s="66" t="str">
        <f>+IF($W576="","",ROUND(IF($B576&gt;Parámetros!$D$107,'Tablas Servicio'!AC576+('Tablas Servicio'!AG575-'Tablas Servicio'!AC575),(AC576+$A575/frec)/(1-IF(B576&lt;=Parámetros!$D$117,Parámetros!$D$100,0))),2))</f>
        <v/>
      </c>
      <c r="AG576" s="66" t="str">
        <f t="shared" si="779"/>
        <v/>
      </c>
      <c r="AH576" s="66" t="str">
        <f t="shared" si="780"/>
        <v/>
      </c>
      <c r="AI576" s="66" t="str">
        <f t="shared" si="781"/>
        <v/>
      </c>
      <c r="AJ576" s="66" t="str">
        <f>+IF($W576="","",ROUND((AG576*Parámetros!$G$85),2))</f>
        <v/>
      </c>
      <c r="AK576" s="66" t="str">
        <f>+IF($W576="","",ROUND((AG576*(Parámetros!$G$86)),2))</f>
        <v/>
      </c>
      <c r="AL576" s="66" t="str">
        <f t="shared" si="775"/>
        <v/>
      </c>
      <c r="AM576" t="str">
        <f t="shared" si="823"/>
        <v/>
      </c>
      <c r="AN576" t="str">
        <f t="shared" si="824"/>
        <v/>
      </c>
      <c r="AO576" s="118" t="str">
        <f t="shared" si="825"/>
        <v/>
      </c>
      <c r="AP576" s="118" t="str">
        <f t="shared" si="826"/>
        <v/>
      </c>
      <c r="AQ576" s="119" t="str">
        <f>+IF(OR($W576="",AO576=0),"",ROUND((VLOOKUP(ROUNDDOWN($D576-1/frec,0),cob_adi,Z$40,FALSE)*(1+i/frec)^-0.5*(1+Parámetros!$D$103)*(1+rec_fracc)/frec),6))</f>
        <v/>
      </c>
      <c r="AR576" s="66" t="str">
        <f t="shared" si="782"/>
        <v/>
      </c>
      <c r="AS576" s="119" t="str">
        <f t="shared" si="783"/>
        <v/>
      </c>
      <c r="AT576" s="66" t="str">
        <f>+IF($W576="","",ROUND(IF($B576&gt;Parámetros!$D$107,'Tablas Servicio'!AR576+('Tablas Servicio'!AT575-'Tablas Servicio'!AR575),AR576/(1-IF(B576&lt;=10,Parámetros!$D$100,0))),2))</f>
        <v/>
      </c>
      <c r="AU576" s="66" t="str">
        <f t="shared" si="784"/>
        <v/>
      </c>
      <c r="AV576" s="66" t="str">
        <f t="shared" si="784"/>
        <v/>
      </c>
      <c r="AW576" s="66" t="str">
        <f>+IF($W576="","",ROUND((AT576*Parámetros!$G$85),2))</f>
        <v/>
      </c>
      <c r="AX576" s="66" t="str">
        <f>+IF($W576="","",ROUND((AT576*(Parámetros!$G$86)),2))</f>
        <v/>
      </c>
      <c r="AY576" s="66" t="str">
        <f t="shared" si="785"/>
        <v/>
      </c>
      <c r="AZ576" t="str">
        <f t="shared" si="827"/>
        <v/>
      </c>
      <c r="BA576" t="str">
        <f t="shared" si="828"/>
        <v/>
      </c>
      <c r="BB576" s="118" t="str">
        <f t="shared" si="829"/>
        <v/>
      </c>
      <c r="BC576" s="118" t="str">
        <f t="shared" si="830"/>
        <v/>
      </c>
      <c r="BD576" s="119" t="str">
        <f>+IF(OR($W576="",BB576=0),"",ROUND((VLOOKUP(ROUNDDOWN($D576-1/frec,0),cob_adi,AO$40,FALSE)*(1+i/frec)^-0.5*(1+Parámetros!$D$103)*(1+rec_fracc)/frec),6))</f>
        <v/>
      </c>
      <c r="BE576" s="66" t="str">
        <f t="shared" si="786"/>
        <v/>
      </c>
      <c r="BF576" s="119" t="str">
        <f t="shared" si="787"/>
        <v/>
      </c>
      <c r="BG576" s="66" t="str">
        <f>+IF($W576="","",ROUND(IF($B576&gt;Parámetros!$D$107,'Tablas Servicio'!BE576+('Tablas Servicio'!BG575-'Tablas Servicio'!BE575),BE576/(1-IF(B576&lt;=10,Parámetros!$D$100,0))),2))</f>
        <v/>
      </c>
      <c r="BH576" s="66" t="str">
        <f t="shared" si="788"/>
        <v/>
      </c>
      <c r="BI576" s="66" t="str">
        <f t="shared" si="789"/>
        <v/>
      </c>
      <c r="BJ576" s="66" t="str">
        <f>+IF($W576="","",ROUND((BG576*Parámetros!$G$85),2))</f>
        <v/>
      </c>
      <c r="BK576" s="66" t="str">
        <f>+IF($W576="","",ROUND((BG576*(Parámetros!$G$86)),2))</f>
        <v/>
      </c>
      <c r="BL576" s="66" t="str">
        <f t="shared" si="790"/>
        <v/>
      </c>
      <c r="BM576" t="str">
        <f t="shared" si="831"/>
        <v/>
      </c>
      <c r="BN576" t="str">
        <f t="shared" si="832"/>
        <v/>
      </c>
      <c r="BO576" s="118" t="str">
        <f t="shared" si="833"/>
        <v/>
      </c>
      <c r="BP576" s="118" t="str">
        <f t="shared" si="834"/>
        <v/>
      </c>
      <c r="BQ576" s="119" t="str">
        <f>+IF(OR($W576="",BO576=0),"",ROUND((VLOOKUP(ROUNDDOWN($D576-1/frec,0),cob_adi,BB$40,FALSE)*(1+i/frec)^-0.5*(1+Parámetros!$D$103)*(1+rec_fracc)/frec),6))</f>
        <v/>
      </c>
      <c r="BR576" s="66" t="str">
        <f t="shared" si="791"/>
        <v/>
      </c>
      <c r="BS576" s="119" t="str">
        <f t="shared" si="792"/>
        <v/>
      </c>
      <c r="BT576" s="66" t="str">
        <f>+IF($W576="","",ROUND(IF($B576&gt;Parámetros!$D$107,'Tablas Servicio'!BR576+('Tablas Servicio'!BT575-'Tablas Servicio'!BR575),BR576/(1-IF(B576&lt;=10,Parámetros!$D$100,0))),2))</f>
        <v/>
      </c>
      <c r="BU576" s="66" t="str">
        <f t="shared" si="793"/>
        <v/>
      </c>
      <c r="BV576" s="66" t="str">
        <f t="shared" si="793"/>
        <v/>
      </c>
      <c r="BW576" s="66" t="str">
        <f>+IF($W576="","",ROUND((BT576*Parámetros!$G$85),2))</f>
        <v/>
      </c>
      <c r="BX576" s="66" t="str">
        <f>+IF($W576="","",ROUND((BT576*(Parámetros!$G$86)),2))</f>
        <v/>
      </c>
      <c r="BY576" s="66" t="str">
        <f t="shared" si="794"/>
        <v/>
      </c>
      <c r="BZ576" t="str">
        <f t="shared" si="835"/>
        <v/>
      </c>
      <c r="CA576" t="str">
        <f t="shared" si="836"/>
        <v/>
      </c>
      <c r="CB576" s="118" t="str">
        <f t="shared" si="837"/>
        <v/>
      </c>
      <c r="CC576" s="118" t="str">
        <f t="shared" si="838"/>
        <v/>
      </c>
      <c r="CD576" s="119" t="str">
        <f t="shared" si="795"/>
        <v/>
      </c>
      <c r="CE576" s="66" t="str">
        <f>+IF($W576="","",ROUND((VLOOKUP(ROUNDDOWN($D576-1/frec,0),cob_adi,BO$40,FALSE)*(1+i/frec)^-0.5*(1+Parámetros!$D$103)*(1+rec_fracc)/frec*'TABLAS ADI'!$BC$17),2))</f>
        <v/>
      </c>
      <c r="CF576" s="119" t="str">
        <f t="shared" si="796"/>
        <v/>
      </c>
      <c r="CG576" s="66" t="str">
        <f>+IF($W576="","",ROUND(IF($B576&gt;Parámetros!$D$107,'Tablas Servicio'!CE576+('Tablas Servicio'!CG575-'Tablas Servicio'!CE575),CE576/(1-IF(B576&lt;=10,Parámetros!$D$100,0))),2))</f>
        <v/>
      </c>
      <c r="CH576" s="66" t="str">
        <f t="shared" si="797"/>
        <v/>
      </c>
      <c r="CI576" s="66" t="str">
        <f t="shared" si="797"/>
        <v/>
      </c>
      <c r="CJ576" s="66" t="str">
        <f>+IF($W576="","",ROUND((CG576*Parámetros!$G$85),2))</f>
        <v/>
      </c>
      <c r="CK576" s="66" t="str">
        <f>+IF($W576="","",ROUND((CG576*(Parámetros!$G$86)),2))</f>
        <v/>
      </c>
      <c r="CL576" s="66" t="str">
        <f t="shared" si="798"/>
        <v/>
      </c>
      <c r="CM576" t="str">
        <f t="shared" si="839"/>
        <v/>
      </c>
      <c r="CN576" s="118" t="str">
        <f t="shared" si="840"/>
        <v/>
      </c>
      <c r="CO576" s="118" t="str">
        <f t="shared" si="841"/>
        <v/>
      </c>
      <c r="CP576" s="118" t="str">
        <f t="shared" si="842"/>
        <v/>
      </c>
      <c r="CQ576" s="119" t="str">
        <f t="shared" si="799"/>
        <v/>
      </c>
      <c r="CR576" s="66" t="str">
        <f>+IF($W576="","",ROUND((VLOOKUP(Parámetros!$F$51,'COBERTURAS ADICIONALES'!$S$4:$T$32,2,FALSE)*(1+i/frec)^-0.5*(1+Parámetros!$D$103)*(1+rec_fracc)/frec*$CO$42),2))</f>
        <v/>
      </c>
      <c r="CS576" s="119" t="str">
        <f t="shared" si="800"/>
        <v/>
      </c>
      <c r="CT576" s="66" t="str">
        <f>+IF($W576="","",ROUND(IF($B576&gt;Parámetros!$D$107,'Tablas Servicio'!CR576+('Tablas Servicio'!CT575-'Tablas Servicio'!CR575),CR576/(1-IF(B576&lt;=10,Parámetros!$D$100,0))),2))</f>
        <v/>
      </c>
      <c r="CU576" s="66" t="str">
        <f t="shared" si="801"/>
        <v/>
      </c>
      <c r="CV576" s="66" t="str">
        <f t="shared" si="801"/>
        <v/>
      </c>
      <c r="CW576" s="66" t="str">
        <f>+IF($W576="","",ROUND((CT576*Parámetros!$G$85),2))</f>
        <v/>
      </c>
      <c r="CX576" s="66" t="str">
        <f>+IF($W576="","",ROUND((CT576*(Parámetros!$G$86)),2))</f>
        <v/>
      </c>
      <c r="CY576" s="66" t="str">
        <f t="shared" si="802"/>
        <v/>
      </c>
      <c r="CZ576" t="str">
        <f t="shared" si="843"/>
        <v/>
      </c>
      <c r="DA576" s="118" t="str">
        <f t="shared" si="844"/>
        <v/>
      </c>
      <c r="DB576" s="118" t="str">
        <f t="shared" si="845"/>
        <v/>
      </c>
      <c r="DC576" s="118" t="str">
        <f t="shared" si="846"/>
        <v/>
      </c>
      <c r="DD576" s="121" t="str">
        <f>+IF(OR($W576="",DB576=0),"",ROUND((VLOOKUP(ROUNDDOWN($D576-1/frec,0),cob_adi,CO$40,FALSE)*(1+i/frec)^-0.5*(1+Parámetros!$D$103)*(1+rec_fracc)/frec),6))</f>
        <v/>
      </c>
      <c r="DE576" s="66" t="str">
        <f t="shared" si="803"/>
        <v/>
      </c>
      <c r="DF576" s="119" t="str">
        <f t="shared" si="804"/>
        <v/>
      </c>
      <c r="DG576" s="66" t="str">
        <f>+IF($W576="","",ROUND(IF($B576&gt;Parámetros!$D$107,'Tablas Servicio'!DE576+('Tablas Servicio'!DG575-'Tablas Servicio'!DE575),DE576/(1-IF(B576&lt;=10,Parámetros!$D$100,0))),2))</f>
        <v/>
      </c>
      <c r="DH576" s="66" t="str">
        <f t="shared" si="805"/>
        <v/>
      </c>
      <c r="DI576" s="66" t="str">
        <f t="shared" si="805"/>
        <v/>
      </c>
      <c r="DJ576" s="66" t="str">
        <f>+IF($W576="","",ROUND((DG576*Parámetros!$G$85),2))</f>
        <v/>
      </c>
      <c r="DK576" s="66" t="str">
        <f>+IF($W576="","",ROUND((DG576*(Parámetros!$G$86)),2))</f>
        <v/>
      </c>
      <c r="DL576" s="66" t="str">
        <f t="shared" si="806"/>
        <v/>
      </c>
      <c r="DM576" t="str">
        <f t="shared" si="847"/>
        <v/>
      </c>
      <c r="DN576" s="118" t="str">
        <f t="shared" si="848"/>
        <v/>
      </c>
      <c r="DO576" s="118" t="str">
        <f t="shared" si="849"/>
        <v/>
      </c>
      <c r="DP576" s="118" t="str">
        <f t="shared" si="850"/>
        <v/>
      </c>
      <c r="DQ576" s="122" t="str">
        <f>+IF(OR($W576="",DO576=0),"",ROUND((VLOOKUP(ROUNDDOWN($D576-1/frec,0),cob_adi,DB$40,FALSE)*(1+i/frec)^-0.5*(1+Parámetros!$D$103)*(1+rec_fracc)/frec),6))</f>
        <v/>
      </c>
      <c r="DR576" s="66" t="str">
        <f t="shared" si="807"/>
        <v/>
      </c>
      <c r="DS576" s="68" t="str">
        <f t="shared" si="808"/>
        <v/>
      </c>
      <c r="DT576" s="66" t="str">
        <f>+IF($W576="","",ROUND(IF($B576&gt;Parámetros!$D$107,'Tablas Servicio'!DR576+('Tablas Servicio'!DT575-'Tablas Servicio'!DR575),DR576/(1-IF(B576&lt;=10,Parámetros!$D$100,0))),2))</f>
        <v/>
      </c>
      <c r="DU576" s="66" t="str">
        <f t="shared" si="809"/>
        <v/>
      </c>
      <c r="DV576" s="66" t="str">
        <f t="shared" si="809"/>
        <v/>
      </c>
      <c r="DW576" s="66" t="str">
        <f>+IF($W576="","",ROUND((DT576*Parámetros!$G$85),2))</f>
        <v/>
      </c>
      <c r="DX576" s="66" t="str">
        <f>+IF($W576="","",ROUND((DT576*(Parámetros!$G$86)),2))</f>
        <v/>
      </c>
      <c r="DY576" s="66" t="str">
        <f t="shared" si="810"/>
        <v/>
      </c>
      <c r="DZ576" t="str">
        <f t="shared" si="851"/>
        <v/>
      </c>
      <c r="EA576" s="118" t="str">
        <f t="shared" si="851"/>
        <v/>
      </c>
      <c r="EB576" s="118" t="str">
        <f>+IF($W576="","",ROUND(IF(Parámetros!$D$25='TABLAS MORT'!$V$33,EB575,Z576/2),0))</f>
        <v/>
      </c>
      <c r="EC576" s="118" t="str">
        <f t="shared" si="851"/>
        <v/>
      </c>
      <c r="ED576" s="122" t="str">
        <f>+IF(OR($W576="",EB576=0),"",ROUND((VLOOKUP(ROUNDDOWN($D576-1/frec,0),cob_adi,DO$40,FALSE)*(1+i/frec)^-0.5*(1+Parámetros!$D$103)*(1+rec_fracc)/frec),6))</f>
        <v/>
      </c>
      <c r="EE576" s="66" t="str">
        <f t="shared" si="812"/>
        <v/>
      </c>
      <c r="EF576" s="68" t="str">
        <f t="shared" si="813"/>
        <v/>
      </c>
      <c r="EG576" s="66" t="str">
        <f>+IF($W576="","",ROUND(IF($B576&gt;Parámetros!$D$107,'Tablas Servicio'!EE576+('Tablas Servicio'!EG575-'Tablas Servicio'!EE575),EE576/(1-IF(B576&lt;=10,Parámetros!$D$100,0))),2))</f>
        <v/>
      </c>
      <c r="EH576" s="66" t="str">
        <f t="shared" si="814"/>
        <v/>
      </c>
      <c r="EI576" s="66" t="str">
        <f t="shared" si="814"/>
        <v/>
      </c>
      <c r="EJ576" s="66" t="str">
        <f>+IF($W576="","",ROUND((EG576*Parámetros!$G$85),2))</f>
        <v/>
      </c>
      <c r="EK576" s="66" t="str">
        <f>+IF($W576="","",ROUND((EG576*(Parámetros!$G$86)),2))</f>
        <v/>
      </c>
      <c r="EL576" s="66" t="str">
        <f t="shared" si="815"/>
        <v/>
      </c>
    </row>
    <row r="577" spans="1:142" x14ac:dyDescent="0.25">
      <c r="A577" t="str">
        <f>+IF($C577="","",ROUND(VLOOKUP('Tablas Servicio'!B577,Parámetros!$H$100:$J$159,IF(Parámetros!$E$16="F",2,3),FALSE),2))</f>
        <v/>
      </c>
      <c r="B577" t="str">
        <f t="shared" si="766"/>
        <v/>
      </c>
      <c r="C577" s="57" t="str">
        <f>+IF(D577="","",'Tablas Servicio'!C576+1)</f>
        <v/>
      </c>
      <c r="D577" s="56" t="str">
        <f>+IF(D576&lt;edadmaxtabla,D576+1/Parámetros!$E$25,"")</f>
        <v/>
      </c>
      <c r="E577" s="57" t="str">
        <f t="shared" si="776"/>
        <v/>
      </c>
      <c r="F577" s="59" t="str">
        <f t="shared" si="777"/>
        <v/>
      </c>
      <c r="G577" s="66" t="str">
        <f t="shared" si="767"/>
        <v/>
      </c>
      <c r="H577" s="66" t="str">
        <f t="shared" si="768"/>
        <v/>
      </c>
      <c r="I577" s="66" t="str">
        <f t="shared" si="816"/>
        <v/>
      </c>
      <c r="J577" s="66" t="str">
        <f t="shared" si="769"/>
        <v/>
      </c>
      <c r="K577" s="66" t="str">
        <f t="shared" si="770"/>
        <v/>
      </c>
      <c r="L577" s="66" t="str">
        <f t="shared" si="771"/>
        <v/>
      </c>
      <c r="M577" s="66" t="str">
        <f t="shared" si="772"/>
        <v/>
      </c>
      <c r="N577" s="66" t="str">
        <f>+IF(C577="","",ROUND(Parámetros!$D$23,2))</f>
        <v/>
      </c>
      <c r="O577" s="66" t="str">
        <f t="shared" si="773"/>
        <v/>
      </c>
      <c r="P577" s="66" t="str">
        <f>+IF($C577="","",ROUND(IF(B577&gt;Parámetros!$D$117,0,N577*Parámetros!$D$116-G577*Parámetros!$D$100),2))</f>
        <v/>
      </c>
      <c r="Q577" s="75" t="str">
        <f t="shared" si="817"/>
        <v/>
      </c>
      <c r="R577" s="75" t="str">
        <f t="shared" si="818"/>
        <v/>
      </c>
      <c r="S577" s="117" t="str">
        <f>+IF($C577="","",ROUND((S576+I577)*(1+Parámetros!$D$91),2))</f>
        <v/>
      </c>
      <c r="T577" s="117" t="str">
        <f>+IF($C577="","",ROUND(S577*VLOOKUP(B577,Parámetros!$C$30:$D$39,2,TRUE),2))</f>
        <v/>
      </c>
      <c r="U577" s="117" t="str">
        <f>+IF($C577="","",ROUND((U576+I577)*(1+Parámetros!$D$92),2))</f>
        <v/>
      </c>
      <c r="V577" s="117" t="str">
        <f>+IF($C577="","",ROUND(U577*VLOOKUP(B577,Parámetros!$C$30:$D$39,2,TRUE),2))</f>
        <v/>
      </c>
      <c r="W577" s="57" t="str">
        <f t="shared" si="819"/>
        <v/>
      </c>
      <c r="X577" t="str">
        <f t="shared" si="820"/>
        <v/>
      </c>
      <c r="Y577" t="str">
        <f t="shared" si="821"/>
        <v/>
      </c>
      <c r="Z577" s="118" t="str">
        <f>+IF($W577="","",ROUND(IF(Parámetros!$D$25='TABLAS MORT'!$V$33,Z576,Parámetros!$D$21-'Tablas Servicio'!T576),0))</f>
        <v/>
      </c>
      <c r="AA577" s="118" t="str">
        <f t="shared" si="822"/>
        <v/>
      </c>
      <c r="AB577" s="119" t="str">
        <f>+IF(W577="","",ROUND((VLOOKUP(ROUNDDOWN($D577-1/frec,0),qx_tabla,2,FALSE)*(1+i/frec)^-0.5*(1+Parámetros!$D$103)*(1+rec_fracc)/frec),6))</f>
        <v/>
      </c>
      <c r="AC577" s="66" t="str">
        <f t="shared" si="778"/>
        <v/>
      </c>
      <c r="AD577" s="119" t="str">
        <f t="shared" si="774"/>
        <v/>
      </c>
      <c r="AE577" s="66" t="str">
        <f>+IF($W577="","",ROUND(IF($B577&gt;Parámetros!$D$107,'Tablas Servicio'!AC577+('Tablas Servicio'!AG576-'Tablas Servicio'!AC576),AC577/(1-IF(B577&lt;=10,Parámetros!$D$104,Parámetros!$D$105))),2))</f>
        <v/>
      </c>
      <c r="AF577" s="66" t="str">
        <f>+IF($W577="","",ROUND(IF($B577&gt;Parámetros!$D$107,'Tablas Servicio'!AC577+('Tablas Servicio'!AG576-'Tablas Servicio'!AC576),(AC577+$A576/frec)/(1-IF(B577&lt;=Parámetros!$D$117,Parámetros!$D$100,0))),2))</f>
        <v/>
      </c>
      <c r="AG577" s="66" t="str">
        <f t="shared" si="779"/>
        <v/>
      </c>
      <c r="AH577" s="66" t="str">
        <f t="shared" si="780"/>
        <v/>
      </c>
      <c r="AI577" s="66" t="str">
        <f t="shared" si="781"/>
        <v/>
      </c>
      <c r="AJ577" s="66" t="str">
        <f>+IF($W577="","",ROUND((AG577*Parámetros!$G$85),2))</f>
        <v/>
      </c>
      <c r="AK577" s="66" t="str">
        <f>+IF($W577="","",ROUND((AG577*(Parámetros!$G$86)),2))</f>
        <v/>
      </c>
      <c r="AL577" s="66" t="str">
        <f t="shared" si="775"/>
        <v/>
      </c>
      <c r="AM577" t="str">
        <f t="shared" si="823"/>
        <v/>
      </c>
      <c r="AN577" t="str">
        <f t="shared" si="824"/>
        <v/>
      </c>
      <c r="AO577" s="118" t="str">
        <f t="shared" si="825"/>
        <v/>
      </c>
      <c r="AP577" s="118" t="str">
        <f t="shared" si="826"/>
        <v/>
      </c>
      <c r="AQ577" s="119" t="str">
        <f>+IF(OR($W577="",AO577=0),"",ROUND((VLOOKUP(ROUNDDOWN($D577-1/frec,0),cob_adi,Z$40,FALSE)*(1+i/frec)^-0.5*(1+Parámetros!$D$103)*(1+rec_fracc)/frec),6))</f>
        <v/>
      </c>
      <c r="AR577" s="66" t="str">
        <f t="shared" si="782"/>
        <v/>
      </c>
      <c r="AS577" s="119" t="str">
        <f t="shared" si="783"/>
        <v/>
      </c>
      <c r="AT577" s="66" t="str">
        <f>+IF($W577="","",ROUND(IF($B577&gt;Parámetros!$D$107,'Tablas Servicio'!AR577+('Tablas Servicio'!AT576-'Tablas Servicio'!AR576),AR577/(1-IF(B577&lt;=10,Parámetros!$D$100,0))),2))</f>
        <v/>
      </c>
      <c r="AU577" s="66" t="str">
        <f t="shared" si="784"/>
        <v/>
      </c>
      <c r="AV577" s="66" t="str">
        <f t="shared" si="784"/>
        <v/>
      </c>
      <c r="AW577" s="66" t="str">
        <f>+IF($W577="","",ROUND((AT577*Parámetros!$G$85),2))</f>
        <v/>
      </c>
      <c r="AX577" s="66" t="str">
        <f>+IF($W577="","",ROUND((AT577*(Parámetros!$G$86)),2))</f>
        <v/>
      </c>
      <c r="AY577" s="66" t="str">
        <f t="shared" si="785"/>
        <v/>
      </c>
      <c r="AZ577" t="str">
        <f t="shared" si="827"/>
        <v/>
      </c>
      <c r="BA577" t="str">
        <f t="shared" si="828"/>
        <v/>
      </c>
      <c r="BB577" s="118" t="str">
        <f t="shared" si="829"/>
        <v/>
      </c>
      <c r="BC577" s="118" t="str">
        <f t="shared" si="830"/>
        <v/>
      </c>
      <c r="BD577" s="119" t="str">
        <f>+IF(OR($W577="",BB577=0),"",ROUND((VLOOKUP(ROUNDDOWN($D577-1/frec,0),cob_adi,AO$40,FALSE)*(1+i/frec)^-0.5*(1+Parámetros!$D$103)*(1+rec_fracc)/frec),6))</f>
        <v/>
      </c>
      <c r="BE577" s="66" t="str">
        <f t="shared" si="786"/>
        <v/>
      </c>
      <c r="BF577" s="119" t="str">
        <f t="shared" si="787"/>
        <v/>
      </c>
      <c r="BG577" s="66" t="str">
        <f>+IF($W577="","",ROUND(IF($B577&gt;Parámetros!$D$107,'Tablas Servicio'!BE577+('Tablas Servicio'!BG576-'Tablas Servicio'!BE576),BE577/(1-IF(B577&lt;=10,Parámetros!$D$100,0))),2))</f>
        <v/>
      </c>
      <c r="BH577" s="66" t="str">
        <f t="shared" si="788"/>
        <v/>
      </c>
      <c r="BI577" s="66" t="str">
        <f t="shared" si="789"/>
        <v/>
      </c>
      <c r="BJ577" s="66" t="str">
        <f>+IF($W577="","",ROUND((BG577*Parámetros!$G$85),2))</f>
        <v/>
      </c>
      <c r="BK577" s="66" t="str">
        <f>+IF($W577="","",ROUND((BG577*(Parámetros!$G$86)),2))</f>
        <v/>
      </c>
      <c r="BL577" s="66" t="str">
        <f t="shared" si="790"/>
        <v/>
      </c>
      <c r="BM577" t="str">
        <f t="shared" si="831"/>
        <v/>
      </c>
      <c r="BN577" t="str">
        <f t="shared" si="832"/>
        <v/>
      </c>
      <c r="BO577" s="118" t="str">
        <f t="shared" si="833"/>
        <v/>
      </c>
      <c r="BP577" s="118" t="str">
        <f t="shared" si="834"/>
        <v/>
      </c>
      <c r="BQ577" s="119" t="str">
        <f>+IF(OR($W577="",BO577=0),"",ROUND((VLOOKUP(ROUNDDOWN($D577-1/frec,0),cob_adi,BB$40,FALSE)*(1+i/frec)^-0.5*(1+Parámetros!$D$103)*(1+rec_fracc)/frec),6))</f>
        <v/>
      </c>
      <c r="BR577" s="66" t="str">
        <f t="shared" si="791"/>
        <v/>
      </c>
      <c r="BS577" s="119" t="str">
        <f t="shared" si="792"/>
        <v/>
      </c>
      <c r="BT577" s="66" t="str">
        <f>+IF($W577="","",ROUND(IF($B577&gt;Parámetros!$D$107,'Tablas Servicio'!BR577+('Tablas Servicio'!BT576-'Tablas Servicio'!BR576),BR577/(1-IF(B577&lt;=10,Parámetros!$D$100,0))),2))</f>
        <v/>
      </c>
      <c r="BU577" s="66" t="str">
        <f t="shared" si="793"/>
        <v/>
      </c>
      <c r="BV577" s="66" t="str">
        <f t="shared" si="793"/>
        <v/>
      </c>
      <c r="BW577" s="66" t="str">
        <f>+IF($W577="","",ROUND((BT577*Parámetros!$G$85),2))</f>
        <v/>
      </c>
      <c r="BX577" s="66" t="str">
        <f>+IF($W577="","",ROUND((BT577*(Parámetros!$G$86)),2))</f>
        <v/>
      </c>
      <c r="BY577" s="66" t="str">
        <f t="shared" si="794"/>
        <v/>
      </c>
      <c r="BZ577" t="str">
        <f t="shared" si="835"/>
        <v/>
      </c>
      <c r="CA577" t="str">
        <f t="shared" si="836"/>
        <v/>
      </c>
      <c r="CB577" s="118" t="str">
        <f t="shared" si="837"/>
        <v/>
      </c>
      <c r="CC577" s="118" t="str">
        <f t="shared" si="838"/>
        <v/>
      </c>
      <c r="CD577" s="119" t="str">
        <f t="shared" si="795"/>
        <v/>
      </c>
      <c r="CE577" s="66" t="str">
        <f>+IF($W577="","",ROUND((VLOOKUP(ROUNDDOWN($D577-1/frec,0),cob_adi,BO$40,FALSE)*(1+i/frec)^-0.5*(1+Parámetros!$D$103)*(1+rec_fracc)/frec*'TABLAS ADI'!$BC$17),2))</f>
        <v/>
      </c>
      <c r="CF577" s="119" t="str">
        <f t="shared" si="796"/>
        <v/>
      </c>
      <c r="CG577" s="66" t="str">
        <f>+IF($W577="","",ROUND(IF($B577&gt;Parámetros!$D$107,'Tablas Servicio'!CE577+('Tablas Servicio'!CG576-'Tablas Servicio'!CE576),CE577/(1-IF(B577&lt;=10,Parámetros!$D$100,0))),2))</f>
        <v/>
      </c>
      <c r="CH577" s="66" t="str">
        <f t="shared" si="797"/>
        <v/>
      </c>
      <c r="CI577" s="66" t="str">
        <f t="shared" si="797"/>
        <v/>
      </c>
      <c r="CJ577" s="66" t="str">
        <f>+IF($W577="","",ROUND((CG577*Parámetros!$G$85),2))</f>
        <v/>
      </c>
      <c r="CK577" s="66" t="str">
        <f>+IF($W577="","",ROUND((CG577*(Parámetros!$G$86)),2))</f>
        <v/>
      </c>
      <c r="CL577" s="66" t="str">
        <f t="shared" si="798"/>
        <v/>
      </c>
      <c r="CM577" t="str">
        <f t="shared" si="839"/>
        <v/>
      </c>
      <c r="CN577" s="118" t="str">
        <f t="shared" si="840"/>
        <v/>
      </c>
      <c r="CO577" s="118" t="str">
        <f t="shared" si="841"/>
        <v/>
      </c>
      <c r="CP577" s="118" t="str">
        <f t="shared" si="842"/>
        <v/>
      </c>
      <c r="CQ577" s="119" t="str">
        <f t="shared" si="799"/>
        <v/>
      </c>
      <c r="CR577" s="66" t="str">
        <f>+IF($W577="","",ROUND((VLOOKUP(Parámetros!$F$51,'COBERTURAS ADICIONALES'!$S$4:$T$32,2,FALSE)*(1+i/frec)^-0.5*(1+Parámetros!$D$103)*(1+rec_fracc)/frec*$CO$42),2))</f>
        <v/>
      </c>
      <c r="CS577" s="119" t="str">
        <f t="shared" si="800"/>
        <v/>
      </c>
      <c r="CT577" s="66" t="str">
        <f>+IF($W577="","",ROUND(IF($B577&gt;Parámetros!$D$107,'Tablas Servicio'!CR577+('Tablas Servicio'!CT576-'Tablas Servicio'!CR576),CR577/(1-IF(B577&lt;=10,Parámetros!$D$100,0))),2))</f>
        <v/>
      </c>
      <c r="CU577" s="66" t="str">
        <f t="shared" si="801"/>
        <v/>
      </c>
      <c r="CV577" s="66" t="str">
        <f t="shared" si="801"/>
        <v/>
      </c>
      <c r="CW577" s="66" t="str">
        <f>+IF($W577="","",ROUND((CT577*Parámetros!$G$85),2))</f>
        <v/>
      </c>
      <c r="CX577" s="66" t="str">
        <f>+IF($W577="","",ROUND((CT577*(Parámetros!$G$86)),2))</f>
        <v/>
      </c>
      <c r="CY577" s="66" t="str">
        <f t="shared" si="802"/>
        <v/>
      </c>
      <c r="CZ577" t="str">
        <f t="shared" si="843"/>
        <v/>
      </c>
      <c r="DA577" s="118" t="str">
        <f t="shared" si="844"/>
        <v/>
      </c>
      <c r="DB577" s="118" t="str">
        <f t="shared" si="845"/>
        <v/>
      </c>
      <c r="DC577" s="118" t="str">
        <f t="shared" si="846"/>
        <v/>
      </c>
      <c r="DD577" s="121" t="str">
        <f>+IF(OR($W577="",DB577=0),"",ROUND((VLOOKUP(ROUNDDOWN($D577-1/frec,0),cob_adi,CO$40,FALSE)*(1+i/frec)^-0.5*(1+Parámetros!$D$103)*(1+rec_fracc)/frec),6))</f>
        <v/>
      </c>
      <c r="DE577" s="66" t="str">
        <f t="shared" si="803"/>
        <v/>
      </c>
      <c r="DF577" s="119" t="str">
        <f t="shared" si="804"/>
        <v/>
      </c>
      <c r="DG577" s="66" t="str">
        <f>+IF($W577="","",ROUND(IF($B577&gt;Parámetros!$D$107,'Tablas Servicio'!DE577+('Tablas Servicio'!DG576-'Tablas Servicio'!DE576),DE577/(1-IF(B577&lt;=10,Parámetros!$D$100,0))),2))</f>
        <v/>
      </c>
      <c r="DH577" s="66" t="str">
        <f t="shared" si="805"/>
        <v/>
      </c>
      <c r="DI577" s="66" t="str">
        <f t="shared" si="805"/>
        <v/>
      </c>
      <c r="DJ577" s="66" t="str">
        <f>+IF($W577="","",ROUND((DG577*Parámetros!$G$85),2))</f>
        <v/>
      </c>
      <c r="DK577" s="66" t="str">
        <f>+IF($W577="","",ROUND((DG577*(Parámetros!$G$86)),2))</f>
        <v/>
      </c>
      <c r="DL577" s="66" t="str">
        <f t="shared" si="806"/>
        <v/>
      </c>
      <c r="DM577" t="str">
        <f t="shared" si="847"/>
        <v/>
      </c>
      <c r="DN577" s="118" t="str">
        <f t="shared" si="848"/>
        <v/>
      </c>
      <c r="DO577" s="118" t="str">
        <f t="shared" si="849"/>
        <v/>
      </c>
      <c r="DP577" s="118" t="str">
        <f t="shared" si="850"/>
        <v/>
      </c>
      <c r="DQ577" s="122" t="str">
        <f>+IF(OR($W577="",DO577=0),"",ROUND((VLOOKUP(ROUNDDOWN($D577-1/frec,0),cob_adi,DB$40,FALSE)*(1+i/frec)^-0.5*(1+Parámetros!$D$103)*(1+rec_fracc)/frec),6))</f>
        <v/>
      </c>
      <c r="DR577" s="66" t="str">
        <f t="shared" si="807"/>
        <v/>
      </c>
      <c r="DS577" s="68" t="str">
        <f t="shared" si="808"/>
        <v/>
      </c>
      <c r="DT577" s="66" t="str">
        <f>+IF($W577="","",ROUND(IF($B577&gt;Parámetros!$D$107,'Tablas Servicio'!DR577+('Tablas Servicio'!DT576-'Tablas Servicio'!DR576),DR577/(1-IF(B577&lt;=10,Parámetros!$D$100,0))),2))</f>
        <v/>
      </c>
      <c r="DU577" s="66" t="str">
        <f t="shared" si="809"/>
        <v/>
      </c>
      <c r="DV577" s="66" t="str">
        <f t="shared" si="809"/>
        <v/>
      </c>
      <c r="DW577" s="66" t="str">
        <f>+IF($W577="","",ROUND((DT577*Parámetros!$G$85),2))</f>
        <v/>
      </c>
      <c r="DX577" s="66" t="str">
        <f>+IF($W577="","",ROUND((DT577*(Parámetros!$G$86)),2))</f>
        <v/>
      </c>
      <c r="DY577" s="66" t="str">
        <f t="shared" si="810"/>
        <v/>
      </c>
      <c r="DZ577" t="str">
        <f t="shared" si="851"/>
        <v/>
      </c>
      <c r="EA577" s="118" t="str">
        <f t="shared" si="851"/>
        <v/>
      </c>
      <c r="EB577" s="118" t="str">
        <f>+IF($W577="","",ROUND(IF(Parámetros!$D$25='TABLAS MORT'!$V$33,EB576,Z577/2),0))</f>
        <v/>
      </c>
      <c r="EC577" s="118" t="str">
        <f t="shared" si="851"/>
        <v/>
      </c>
      <c r="ED577" s="122" t="str">
        <f>+IF(OR($W577="",EB577=0),"",ROUND((VLOOKUP(ROUNDDOWN($D577-1/frec,0),cob_adi,DO$40,FALSE)*(1+i/frec)^-0.5*(1+Parámetros!$D$103)*(1+rec_fracc)/frec),6))</f>
        <v/>
      </c>
      <c r="EE577" s="66" t="str">
        <f t="shared" si="812"/>
        <v/>
      </c>
      <c r="EF577" s="68" t="str">
        <f t="shared" si="813"/>
        <v/>
      </c>
      <c r="EG577" s="66" t="str">
        <f>+IF($W577="","",ROUND(IF($B577&gt;Parámetros!$D$107,'Tablas Servicio'!EE577+('Tablas Servicio'!EG576-'Tablas Servicio'!EE576),EE577/(1-IF(B577&lt;=10,Parámetros!$D$100,0))),2))</f>
        <v/>
      </c>
      <c r="EH577" s="66" t="str">
        <f t="shared" si="814"/>
        <v/>
      </c>
      <c r="EI577" s="66" t="str">
        <f t="shared" si="814"/>
        <v/>
      </c>
      <c r="EJ577" s="66" t="str">
        <f>+IF($W577="","",ROUND((EG577*Parámetros!$G$85),2))</f>
        <v/>
      </c>
      <c r="EK577" s="66" t="str">
        <f>+IF($W577="","",ROUND((EG577*(Parámetros!$G$86)),2))</f>
        <v/>
      </c>
      <c r="EL577" s="66" t="str">
        <f t="shared" si="815"/>
        <v/>
      </c>
    </row>
    <row r="578" spans="1:142" x14ac:dyDescent="0.25">
      <c r="A578" t="str">
        <f>+IF($C578="","",ROUND(VLOOKUP('Tablas Servicio'!B578,Parámetros!$H$100:$J$159,IF(Parámetros!$E$16="F",2,3),FALSE),2))</f>
        <v/>
      </c>
      <c r="B578" t="str">
        <f t="shared" si="766"/>
        <v/>
      </c>
      <c r="C578" s="57" t="str">
        <f>+IF(D578="","",'Tablas Servicio'!C577+1)</f>
        <v/>
      </c>
      <c r="D578" s="56" t="str">
        <f>+IF(D577&lt;edadmaxtabla,D577+1/Parámetros!$E$25,"")</f>
        <v/>
      </c>
      <c r="E578" s="57" t="str">
        <f t="shared" si="776"/>
        <v/>
      </c>
      <c r="F578" s="59" t="str">
        <f t="shared" si="777"/>
        <v/>
      </c>
      <c r="G578" s="66" t="str">
        <f t="shared" si="767"/>
        <v/>
      </c>
      <c r="H578" s="66" t="str">
        <f t="shared" si="768"/>
        <v/>
      </c>
      <c r="I578" s="66" t="str">
        <f t="shared" si="816"/>
        <v/>
      </c>
      <c r="J578" s="66" t="str">
        <f t="shared" si="769"/>
        <v/>
      </c>
      <c r="K578" s="66" t="str">
        <f t="shared" si="770"/>
        <v/>
      </c>
      <c r="L578" s="66" t="str">
        <f t="shared" si="771"/>
        <v/>
      </c>
      <c r="M578" s="66" t="str">
        <f t="shared" si="772"/>
        <v/>
      </c>
      <c r="N578" s="66" t="str">
        <f>+IF(C578="","",ROUND(Parámetros!$D$23,2))</f>
        <v/>
      </c>
      <c r="O578" s="66" t="str">
        <f t="shared" si="773"/>
        <v/>
      </c>
      <c r="P578" s="66" t="str">
        <f>+IF($C578="","",ROUND(IF(B578&gt;Parámetros!$D$117,0,N578*Parámetros!$D$116-G578*Parámetros!$D$100),2))</f>
        <v/>
      </c>
      <c r="Q578" s="75" t="str">
        <f t="shared" si="817"/>
        <v/>
      </c>
      <c r="R578" s="75" t="str">
        <f t="shared" si="818"/>
        <v/>
      </c>
      <c r="S578" s="117" t="str">
        <f>+IF($C578="","",ROUND((S577+I578)*(1+Parámetros!$D$91),2))</f>
        <v/>
      </c>
      <c r="T578" s="117" t="str">
        <f>+IF($C578="","",ROUND(S578*VLOOKUP(B578,Parámetros!$C$30:$D$39,2,TRUE),2))</f>
        <v/>
      </c>
      <c r="U578" s="117" t="str">
        <f>+IF($C578="","",ROUND((U577+I578)*(1+Parámetros!$D$92),2))</f>
        <v/>
      </c>
      <c r="V578" s="117" t="str">
        <f>+IF($C578="","",ROUND(U578*VLOOKUP(B578,Parámetros!$C$30:$D$39,2,TRUE),2))</f>
        <v/>
      </c>
      <c r="W578" s="57" t="str">
        <f t="shared" si="819"/>
        <v/>
      </c>
      <c r="X578" t="str">
        <f t="shared" si="820"/>
        <v/>
      </c>
      <c r="Y578" t="str">
        <f t="shared" si="821"/>
        <v/>
      </c>
      <c r="Z578" s="118" t="str">
        <f>+IF($W578="","",ROUND(IF(Parámetros!$D$25='TABLAS MORT'!$V$33,Z577,Parámetros!$D$21-'Tablas Servicio'!T577),0))</f>
        <v/>
      </c>
      <c r="AA578" s="118" t="str">
        <f t="shared" si="822"/>
        <v/>
      </c>
      <c r="AB578" s="119" t="str">
        <f>+IF(W578="","",ROUND((VLOOKUP(ROUNDDOWN($D578-1/frec,0),qx_tabla,2,FALSE)*(1+i/frec)^-0.5*(1+Parámetros!$D$103)*(1+rec_fracc)/frec),6))</f>
        <v/>
      </c>
      <c r="AC578" s="66" t="str">
        <f t="shared" si="778"/>
        <v/>
      </c>
      <c r="AD578" s="119" t="str">
        <f t="shared" si="774"/>
        <v/>
      </c>
      <c r="AE578" s="66" t="str">
        <f>+IF($W578="","",ROUND(IF($B578&gt;Parámetros!$D$107,'Tablas Servicio'!AC578+('Tablas Servicio'!AG577-'Tablas Servicio'!AC577),AC578/(1-IF(B578&lt;=10,Parámetros!$D$104,Parámetros!$D$105))),2))</f>
        <v/>
      </c>
      <c r="AF578" s="66" t="str">
        <f>+IF($W578="","",ROUND(IF($B578&gt;Parámetros!$D$107,'Tablas Servicio'!AC578+('Tablas Servicio'!AG577-'Tablas Servicio'!AC577),(AC578+$A577/frec)/(1-IF(B578&lt;=Parámetros!$D$117,Parámetros!$D$100,0))),2))</f>
        <v/>
      </c>
      <c r="AG578" s="66" t="str">
        <f t="shared" si="779"/>
        <v/>
      </c>
      <c r="AH578" s="66" t="str">
        <f t="shared" si="780"/>
        <v/>
      </c>
      <c r="AI578" s="66" t="str">
        <f t="shared" si="781"/>
        <v/>
      </c>
      <c r="AJ578" s="66" t="str">
        <f>+IF($W578="","",ROUND((AG578*Parámetros!$G$85),2))</f>
        <v/>
      </c>
      <c r="AK578" s="66" t="str">
        <f>+IF($W578="","",ROUND((AG578*(Parámetros!$G$86)),2))</f>
        <v/>
      </c>
      <c r="AL578" s="66" t="str">
        <f t="shared" si="775"/>
        <v/>
      </c>
      <c r="AM578" t="str">
        <f t="shared" si="823"/>
        <v/>
      </c>
      <c r="AN578" t="str">
        <f t="shared" si="824"/>
        <v/>
      </c>
      <c r="AO578" s="118" t="str">
        <f t="shared" si="825"/>
        <v/>
      </c>
      <c r="AP578" s="118" t="str">
        <f t="shared" si="826"/>
        <v/>
      </c>
      <c r="AQ578" s="119" t="str">
        <f>+IF(OR($W578="",AO578=0),"",ROUND((VLOOKUP(ROUNDDOWN($D578-1/frec,0),cob_adi,Z$40,FALSE)*(1+i/frec)^-0.5*(1+Parámetros!$D$103)*(1+rec_fracc)/frec),6))</f>
        <v/>
      </c>
      <c r="AR578" s="66" t="str">
        <f t="shared" si="782"/>
        <v/>
      </c>
      <c r="AS578" s="119" t="str">
        <f t="shared" si="783"/>
        <v/>
      </c>
      <c r="AT578" s="66" t="str">
        <f>+IF($W578="","",ROUND(IF($B578&gt;Parámetros!$D$107,'Tablas Servicio'!AR578+('Tablas Servicio'!AT577-'Tablas Servicio'!AR577),AR578/(1-IF(B578&lt;=10,Parámetros!$D$100,0))),2))</f>
        <v/>
      </c>
      <c r="AU578" s="66" t="str">
        <f t="shared" si="784"/>
        <v/>
      </c>
      <c r="AV578" s="66" t="str">
        <f t="shared" si="784"/>
        <v/>
      </c>
      <c r="AW578" s="66" t="str">
        <f>+IF($W578="","",ROUND((AT578*Parámetros!$G$85),2))</f>
        <v/>
      </c>
      <c r="AX578" s="66" t="str">
        <f>+IF($W578="","",ROUND((AT578*(Parámetros!$G$86)),2))</f>
        <v/>
      </c>
      <c r="AY578" s="66" t="str">
        <f t="shared" si="785"/>
        <v/>
      </c>
      <c r="AZ578" t="str">
        <f t="shared" si="827"/>
        <v/>
      </c>
      <c r="BA578" t="str">
        <f t="shared" si="828"/>
        <v/>
      </c>
      <c r="BB578" s="118" t="str">
        <f t="shared" si="829"/>
        <v/>
      </c>
      <c r="BC578" s="118" t="str">
        <f t="shared" si="830"/>
        <v/>
      </c>
      <c r="BD578" s="119" t="str">
        <f>+IF(OR($W578="",BB578=0),"",ROUND((VLOOKUP(ROUNDDOWN($D578-1/frec,0),cob_adi,AO$40,FALSE)*(1+i/frec)^-0.5*(1+Parámetros!$D$103)*(1+rec_fracc)/frec),6))</f>
        <v/>
      </c>
      <c r="BE578" s="66" t="str">
        <f t="shared" si="786"/>
        <v/>
      </c>
      <c r="BF578" s="119" t="str">
        <f t="shared" si="787"/>
        <v/>
      </c>
      <c r="BG578" s="66" t="str">
        <f>+IF($W578="","",ROUND(IF($B578&gt;Parámetros!$D$107,'Tablas Servicio'!BE578+('Tablas Servicio'!BG577-'Tablas Servicio'!BE577),BE578/(1-IF(B578&lt;=10,Parámetros!$D$100,0))),2))</f>
        <v/>
      </c>
      <c r="BH578" s="66" t="str">
        <f t="shared" si="788"/>
        <v/>
      </c>
      <c r="BI578" s="66" t="str">
        <f t="shared" si="789"/>
        <v/>
      </c>
      <c r="BJ578" s="66" t="str">
        <f>+IF($W578="","",ROUND((BG578*Parámetros!$G$85),2))</f>
        <v/>
      </c>
      <c r="BK578" s="66" t="str">
        <f>+IF($W578="","",ROUND((BG578*(Parámetros!$G$86)),2))</f>
        <v/>
      </c>
      <c r="BL578" s="66" t="str">
        <f t="shared" si="790"/>
        <v/>
      </c>
      <c r="BM578" t="str">
        <f t="shared" si="831"/>
        <v/>
      </c>
      <c r="BN578" t="str">
        <f t="shared" si="832"/>
        <v/>
      </c>
      <c r="BO578" s="118" t="str">
        <f t="shared" si="833"/>
        <v/>
      </c>
      <c r="BP578" s="118" t="str">
        <f t="shared" si="834"/>
        <v/>
      </c>
      <c r="BQ578" s="119" t="str">
        <f>+IF(OR($W578="",BO578=0),"",ROUND((VLOOKUP(ROUNDDOWN($D578-1/frec,0),cob_adi,BB$40,FALSE)*(1+i/frec)^-0.5*(1+Parámetros!$D$103)*(1+rec_fracc)/frec),6))</f>
        <v/>
      </c>
      <c r="BR578" s="66" t="str">
        <f t="shared" si="791"/>
        <v/>
      </c>
      <c r="BS578" s="119" t="str">
        <f t="shared" si="792"/>
        <v/>
      </c>
      <c r="BT578" s="66" t="str">
        <f>+IF($W578="","",ROUND(IF($B578&gt;Parámetros!$D$107,'Tablas Servicio'!BR578+('Tablas Servicio'!BT577-'Tablas Servicio'!BR577),BR578/(1-IF(B578&lt;=10,Parámetros!$D$100,0))),2))</f>
        <v/>
      </c>
      <c r="BU578" s="66" t="str">
        <f t="shared" si="793"/>
        <v/>
      </c>
      <c r="BV578" s="66" t="str">
        <f t="shared" si="793"/>
        <v/>
      </c>
      <c r="BW578" s="66" t="str">
        <f>+IF($W578="","",ROUND((BT578*Parámetros!$G$85),2))</f>
        <v/>
      </c>
      <c r="BX578" s="66" t="str">
        <f>+IF($W578="","",ROUND((BT578*(Parámetros!$G$86)),2))</f>
        <v/>
      </c>
      <c r="BY578" s="66" t="str">
        <f t="shared" si="794"/>
        <v/>
      </c>
      <c r="BZ578" t="str">
        <f t="shared" si="835"/>
        <v/>
      </c>
      <c r="CA578" t="str">
        <f t="shared" si="836"/>
        <v/>
      </c>
      <c r="CB578" s="118" t="str">
        <f t="shared" si="837"/>
        <v/>
      </c>
      <c r="CC578" s="118" t="str">
        <f t="shared" si="838"/>
        <v/>
      </c>
      <c r="CD578" s="119" t="str">
        <f t="shared" si="795"/>
        <v/>
      </c>
      <c r="CE578" s="66" t="str">
        <f>+IF($W578="","",ROUND((VLOOKUP(ROUNDDOWN($D578-1/frec,0),cob_adi,BO$40,FALSE)*(1+i/frec)^-0.5*(1+Parámetros!$D$103)*(1+rec_fracc)/frec*'TABLAS ADI'!$BC$17),2))</f>
        <v/>
      </c>
      <c r="CF578" s="119" t="str">
        <f t="shared" si="796"/>
        <v/>
      </c>
      <c r="CG578" s="66" t="str">
        <f>+IF($W578="","",ROUND(IF($B578&gt;Parámetros!$D$107,'Tablas Servicio'!CE578+('Tablas Servicio'!CG577-'Tablas Servicio'!CE577),CE578/(1-IF(B578&lt;=10,Parámetros!$D$100,0))),2))</f>
        <v/>
      </c>
      <c r="CH578" s="66" t="str">
        <f t="shared" si="797"/>
        <v/>
      </c>
      <c r="CI578" s="66" t="str">
        <f t="shared" si="797"/>
        <v/>
      </c>
      <c r="CJ578" s="66" t="str">
        <f>+IF($W578="","",ROUND((CG578*Parámetros!$G$85),2))</f>
        <v/>
      </c>
      <c r="CK578" s="66" t="str">
        <f>+IF($W578="","",ROUND((CG578*(Parámetros!$G$86)),2))</f>
        <v/>
      </c>
      <c r="CL578" s="66" t="str">
        <f t="shared" si="798"/>
        <v/>
      </c>
      <c r="CM578" t="str">
        <f t="shared" si="839"/>
        <v/>
      </c>
      <c r="CN578" s="118" t="str">
        <f t="shared" si="840"/>
        <v/>
      </c>
      <c r="CO578" s="118" t="str">
        <f t="shared" si="841"/>
        <v/>
      </c>
      <c r="CP578" s="118" t="str">
        <f t="shared" si="842"/>
        <v/>
      </c>
      <c r="CQ578" s="119" t="str">
        <f t="shared" si="799"/>
        <v/>
      </c>
      <c r="CR578" s="66" t="str">
        <f>+IF($W578="","",ROUND((VLOOKUP(Parámetros!$F$51,'COBERTURAS ADICIONALES'!$S$4:$T$32,2,FALSE)*(1+i/frec)^-0.5*(1+Parámetros!$D$103)*(1+rec_fracc)/frec*$CO$42),2))</f>
        <v/>
      </c>
      <c r="CS578" s="119" t="str">
        <f t="shared" si="800"/>
        <v/>
      </c>
      <c r="CT578" s="66" t="str">
        <f>+IF($W578="","",ROUND(IF($B578&gt;Parámetros!$D$107,'Tablas Servicio'!CR578+('Tablas Servicio'!CT577-'Tablas Servicio'!CR577),CR578/(1-IF(B578&lt;=10,Parámetros!$D$100,0))),2))</f>
        <v/>
      </c>
      <c r="CU578" s="66" t="str">
        <f t="shared" si="801"/>
        <v/>
      </c>
      <c r="CV578" s="66" t="str">
        <f t="shared" si="801"/>
        <v/>
      </c>
      <c r="CW578" s="66" t="str">
        <f>+IF($W578="","",ROUND((CT578*Parámetros!$G$85),2))</f>
        <v/>
      </c>
      <c r="CX578" s="66" t="str">
        <f>+IF($W578="","",ROUND((CT578*(Parámetros!$G$86)),2))</f>
        <v/>
      </c>
      <c r="CY578" s="66" t="str">
        <f t="shared" si="802"/>
        <v/>
      </c>
      <c r="CZ578" t="str">
        <f t="shared" si="843"/>
        <v/>
      </c>
      <c r="DA578" s="118" t="str">
        <f t="shared" si="844"/>
        <v/>
      </c>
      <c r="DB578" s="118" t="str">
        <f t="shared" si="845"/>
        <v/>
      </c>
      <c r="DC578" s="118" t="str">
        <f t="shared" si="846"/>
        <v/>
      </c>
      <c r="DD578" s="121" t="str">
        <f>+IF(OR($W578="",DB578=0),"",ROUND((VLOOKUP(ROUNDDOWN($D578-1/frec,0),cob_adi,CO$40,FALSE)*(1+i/frec)^-0.5*(1+Parámetros!$D$103)*(1+rec_fracc)/frec),6))</f>
        <v/>
      </c>
      <c r="DE578" s="66" t="str">
        <f t="shared" si="803"/>
        <v/>
      </c>
      <c r="DF578" s="119" t="str">
        <f t="shared" si="804"/>
        <v/>
      </c>
      <c r="DG578" s="66" t="str">
        <f>+IF($W578="","",ROUND(IF($B578&gt;Parámetros!$D$107,'Tablas Servicio'!DE578+('Tablas Servicio'!DG577-'Tablas Servicio'!DE577),DE578/(1-IF(B578&lt;=10,Parámetros!$D$100,0))),2))</f>
        <v/>
      </c>
      <c r="DH578" s="66" t="str">
        <f t="shared" si="805"/>
        <v/>
      </c>
      <c r="DI578" s="66" t="str">
        <f t="shared" si="805"/>
        <v/>
      </c>
      <c r="DJ578" s="66" t="str">
        <f>+IF($W578="","",ROUND((DG578*Parámetros!$G$85),2))</f>
        <v/>
      </c>
      <c r="DK578" s="66" t="str">
        <f>+IF($W578="","",ROUND((DG578*(Parámetros!$G$86)),2))</f>
        <v/>
      </c>
      <c r="DL578" s="66" t="str">
        <f t="shared" si="806"/>
        <v/>
      </c>
      <c r="DM578" t="str">
        <f t="shared" si="847"/>
        <v/>
      </c>
      <c r="DN578" s="118" t="str">
        <f t="shared" si="848"/>
        <v/>
      </c>
      <c r="DO578" s="118" t="str">
        <f t="shared" si="849"/>
        <v/>
      </c>
      <c r="DP578" s="118" t="str">
        <f t="shared" si="850"/>
        <v/>
      </c>
      <c r="DQ578" s="122" t="str">
        <f>+IF(OR($W578="",DO578=0),"",ROUND((VLOOKUP(ROUNDDOWN($D578-1/frec,0),cob_adi,DB$40,FALSE)*(1+i/frec)^-0.5*(1+Parámetros!$D$103)*(1+rec_fracc)/frec),6))</f>
        <v/>
      </c>
      <c r="DR578" s="66" t="str">
        <f t="shared" si="807"/>
        <v/>
      </c>
      <c r="DS578" s="68" t="str">
        <f t="shared" si="808"/>
        <v/>
      </c>
      <c r="DT578" s="66" t="str">
        <f>+IF($W578="","",ROUND(IF($B578&gt;Parámetros!$D$107,'Tablas Servicio'!DR578+('Tablas Servicio'!DT577-'Tablas Servicio'!DR577),DR578/(1-IF(B578&lt;=10,Parámetros!$D$100,0))),2))</f>
        <v/>
      </c>
      <c r="DU578" s="66" t="str">
        <f t="shared" si="809"/>
        <v/>
      </c>
      <c r="DV578" s="66" t="str">
        <f t="shared" si="809"/>
        <v/>
      </c>
      <c r="DW578" s="66" t="str">
        <f>+IF($W578="","",ROUND((DT578*Parámetros!$G$85),2))</f>
        <v/>
      </c>
      <c r="DX578" s="66" t="str">
        <f>+IF($W578="","",ROUND((DT578*(Parámetros!$G$86)),2))</f>
        <v/>
      </c>
      <c r="DY578" s="66" t="str">
        <f t="shared" si="810"/>
        <v/>
      </c>
      <c r="DZ578" t="str">
        <f t="shared" si="851"/>
        <v/>
      </c>
      <c r="EA578" s="118" t="str">
        <f t="shared" si="851"/>
        <v/>
      </c>
      <c r="EB578" s="118" t="str">
        <f>+IF($W578="","",ROUND(IF(Parámetros!$D$25='TABLAS MORT'!$V$33,EB577,Z578/2),0))</f>
        <v/>
      </c>
      <c r="EC578" s="118" t="str">
        <f t="shared" si="851"/>
        <v/>
      </c>
      <c r="ED578" s="122" t="str">
        <f>+IF(OR($W578="",EB578=0),"",ROUND((VLOOKUP(ROUNDDOWN($D578-1/frec,0),cob_adi,DO$40,FALSE)*(1+i/frec)^-0.5*(1+Parámetros!$D$103)*(1+rec_fracc)/frec),6))</f>
        <v/>
      </c>
      <c r="EE578" s="66" t="str">
        <f t="shared" si="812"/>
        <v/>
      </c>
      <c r="EF578" s="68" t="str">
        <f t="shared" si="813"/>
        <v/>
      </c>
      <c r="EG578" s="66" t="str">
        <f>+IF($W578="","",ROUND(IF($B578&gt;Parámetros!$D$107,'Tablas Servicio'!EE578+('Tablas Servicio'!EG577-'Tablas Servicio'!EE577),EE578/(1-IF(B578&lt;=10,Parámetros!$D$100,0))),2))</f>
        <v/>
      </c>
      <c r="EH578" s="66" t="str">
        <f t="shared" si="814"/>
        <v/>
      </c>
      <c r="EI578" s="66" t="str">
        <f t="shared" si="814"/>
        <v/>
      </c>
      <c r="EJ578" s="66" t="str">
        <f>+IF($W578="","",ROUND((EG578*Parámetros!$G$85),2))</f>
        <v/>
      </c>
      <c r="EK578" s="66" t="str">
        <f>+IF($W578="","",ROUND((EG578*(Parámetros!$G$86)),2))</f>
        <v/>
      </c>
      <c r="EL578" s="66" t="str">
        <f t="shared" si="815"/>
        <v/>
      </c>
    </row>
    <row r="579" spans="1:142" x14ac:dyDescent="0.25">
      <c r="A579" t="str">
        <f>+IF($C579="","",ROUND(VLOOKUP('Tablas Servicio'!B579,Parámetros!$H$100:$J$159,IF(Parámetros!$E$16="F",2,3),FALSE),2))</f>
        <v/>
      </c>
      <c r="B579" t="str">
        <f t="shared" si="766"/>
        <v/>
      </c>
      <c r="C579" s="57" t="str">
        <f>+IF(D579="","",'Tablas Servicio'!C578+1)</f>
        <v/>
      </c>
      <c r="D579" s="56" t="str">
        <f>+IF(D578&lt;edadmaxtabla,D578+1/Parámetros!$E$25,"")</f>
        <v/>
      </c>
      <c r="E579" s="57" t="str">
        <f t="shared" si="776"/>
        <v/>
      </c>
      <c r="F579" s="59" t="str">
        <f t="shared" si="777"/>
        <v/>
      </c>
      <c r="G579" s="66" t="str">
        <f t="shared" si="767"/>
        <v/>
      </c>
      <c r="H579" s="66" t="str">
        <f t="shared" si="768"/>
        <v/>
      </c>
      <c r="I579" s="66" t="str">
        <f t="shared" si="816"/>
        <v/>
      </c>
      <c r="J579" s="66" t="str">
        <f t="shared" si="769"/>
        <v/>
      </c>
      <c r="K579" s="66" t="str">
        <f t="shared" si="770"/>
        <v/>
      </c>
      <c r="L579" s="66" t="str">
        <f t="shared" si="771"/>
        <v/>
      </c>
      <c r="M579" s="66" t="str">
        <f t="shared" si="772"/>
        <v/>
      </c>
      <c r="N579" s="66" t="str">
        <f>+IF(C579="","",ROUND(Parámetros!$D$23,2))</f>
        <v/>
      </c>
      <c r="O579" s="66" t="str">
        <f t="shared" si="773"/>
        <v/>
      </c>
      <c r="P579" s="66" t="str">
        <f>+IF($C579="","",ROUND(IF(B579&gt;Parámetros!$D$117,0,N579*Parámetros!$D$116-G579*Parámetros!$D$100),2))</f>
        <v/>
      </c>
      <c r="Q579" s="75" t="str">
        <f t="shared" si="817"/>
        <v/>
      </c>
      <c r="R579" s="75" t="str">
        <f t="shared" si="818"/>
        <v/>
      </c>
      <c r="S579" s="117" t="str">
        <f>+IF($C579="","",ROUND((S578+I579)*(1+Parámetros!$D$91),2))</f>
        <v/>
      </c>
      <c r="T579" s="117" t="str">
        <f>+IF($C579="","",ROUND(S579*VLOOKUP(B579,Parámetros!$C$30:$D$39,2,TRUE),2))</f>
        <v/>
      </c>
      <c r="U579" s="117" t="str">
        <f>+IF($C579="","",ROUND((U578+I579)*(1+Parámetros!$D$92),2))</f>
        <v/>
      </c>
      <c r="V579" s="117" t="str">
        <f>+IF($C579="","",ROUND(U579*VLOOKUP(B579,Parámetros!$C$30:$D$39,2,TRUE),2))</f>
        <v/>
      </c>
      <c r="W579" s="57" t="str">
        <f t="shared" si="819"/>
        <v/>
      </c>
      <c r="X579" t="str">
        <f t="shared" si="820"/>
        <v/>
      </c>
      <c r="Y579" t="str">
        <f t="shared" si="821"/>
        <v/>
      </c>
      <c r="Z579" s="118" t="str">
        <f>+IF($W579="","",ROUND(IF(Parámetros!$D$25='TABLAS MORT'!$V$33,Z578,Parámetros!$D$21-'Tablas Servicio'!T578),0))</f>
        <v/>
      </c>
      <c r="AA579" s="118" t="str">
        <f t="shared" si="822"/>
        <v/>
      </c>
      <c r="AB579" s="119" t="str">
        <f>+IF(W579="","",ROUND((VLOOKUP(ROUNDDOWN($D579-1/frec,0),qx_tabla,2,FALSE)*(1+i/frec)^-0.5*(1+Parámetros!$D$103)*(1+rec_fracc)/frec),6))</f>
        <v/>
      </c>
      <c r="AC579" s="66" t="str">
        <f t="shared" si="778"/>
        <v/>
      </c>
      <c r="AD579" s="119" t="str">
        <f t="shared" si="774"/>
        <v/>
      </c>
      <c r="AE579" s="66" t="str">
        <f>+IF($W579="","",ROUND(IF($B579&gt;Parámetros!$D$107,'Tablas Servicio'!AC579+('Tablas Servicio'!AG578-'Tablas Servicio'!AC578),AC579/(1-IF(B579&lt;=10,Parámetros!$D$104,Parámetros!$D$105))),2))</f>
        <v/>
      </c>
      <c r="AF579" s="66" t="str">
        <f>+IF($W579="","",ROUND(IF($B579&gt;Parámetros!$D$107,'Tablas Servicio'!AC579+('Tablas Servicio'!AG578-'Tablas Servicio'!AC578),(AC579+$A578/frec)/(1-IF(B579&lt;=Parámetros!$D$117,Parámetros!$D$100,0))),2))</f>
        <v/>
      </c>
      <c r="AG579" s="66" t="str">
        <f t="shared" si="779"/>
        <v/>
      </c>
      <c r="AH579" s="66" t="str">
        <f t="shared" si="780"/>
        <v/>
      </c>
      <c r="AI579" s="66" t="str">
        <f t="shared" si="781"/>
        <v/>
      </c>
      <c r="AJ579" s="66" t="str">
        <f>+IF($W579="","",ROUND((AG579*Parámetros!$G$85),2))</f>
        <v/>
      </c>
      <c r="AK579" s="66" t="str">
        <f>+IF($W579="","",ROUND((AG579*(Parámetros!$G$86)),2))</f>
        <v/>
      </c>
      <c r="AL579" s="66" t="str">
        <f t="shared" si="775"/>
        <v/>
      </c>
      <c r="AM579" t="str">
        <f t="shared" si="823"/>
        <v/>
      </c>
      <c r="AN579" t="str">
        <f t="shared" si="824"/>
        <v/>
      </c>
      <c r="AO579" s="118" t="str">
        <f t="shared" si="825"/>
        <v/>
      </c>
      <c r="AP579" s="118" t="str">
        <f t="shared" si="826"/>
        <v/>
      </c>
      <c r="AQ579" s="119" t="str">
        <f>+IF(OR($W579="",AO579=0),"",ROUND((VLOOKUP(ROUNDDOWN($D579-1/frec,0),cob_adi,Z$40,FALSE)*(1+i/frec)^-0.5*(1+Parámetros!$D$103)*(1+rec_fracc)/frec),6))</f>
        <v/>
      </c>
      <c r="AR579" s="66" t="str">
        <f t="shared" si="782"/>
        <v/>
      </c>
      <c r="AS579" s="119" t="str">
        <f t="shared" si="783"/>
        <v/>
      </c>
      <c r="AT579" s="66" t="str">
        <f>+IF($W579="","",ROUND(IF($B579&gt;Parámetros!$D$107,'Tablas Servicio'!AR579+('Tablas Servicio'!AT578-'Tablas Servicio'!AR578),AR579/(1-IF(B579&lt;=10,Parámetros!$D$100,0))),2))</f>
        <v/>
      </c>
      <c r="AU579" s="66" t="str">
        <f t="shared" si="784"/>
        <v/>
      </c>
      <c r="AV579" s="66" t="str">
        <f t="shared" si="784"/>
        <v/>
      </c>
      <c r="AW579" s="66" t="str">
        <f>+IF($W579="","",ROUND((AT579*Parámetros!$G$85),2))</f>
        <v/>
      </c>
      <c r="AX579" s="66" t="str">
        <f>+IF($W579="","",ROUND((AT579*(Parámetros!$G$86)),2))</f>
        <v/>
      </c>
      <c r="AY579" s="66" t="str">
        <f t="shared" si="785"/>
        <v/>
      </c>
      <c r="AZ579" t="str">
        <f t="shared" si="827"/>
        <v/>
      </c>
      <c r="BA579" t="str">
        <f t="shared" si="828"/>
        <v/>
      </c>
      <c r="BB579" s="118" t="str">
        <f t="shared" si="829"/>
        <v/>
      </c>
      <c r="BC579" s="118" t="str">
        <f t="shared" si="830"/>
        <v/>
      </c>
      <c r="BD579" s="119" t="str">
        <f>+IF(OR($W579="",BB579=0),"",ROUND((VLOOKUP(ROUNDDOWN($D579-1/frec,0),cob_adi,AO$40,FALSE)*(1+i/frec)^-0.5*(1+Parámetros!$D$103)*(1+rec_fracc)/frec),6))</f>
        <v/>
      </c>
      <c r="BE579" s="66" t="str">
        <f t="shared" si="786"/>
        <v/>
      </c>
      <c r="BF579" s="119" t="str">
        <f t="shared" si="787"/>
        <v/>
      </c>
      <c r="BG579" s="66" t="str">
        <f>+IF($W579="","",ROUND(IF($B579&gt;Parámetros!$D$107,'Tablas Servicio'!BE579+('Tablas Servicio'!BG578-'Tablas Servicio'!BE578),BE579/(1-IF(B579&lt;=10,Parámetros!$D$100,0))),2))</f>
        <v/>
      </c>
      <c r="BH579" s="66" t="str">
        <f t="shared" si="788"/>
        <v/>
      </c>
      <c r="BI579" s="66" t="str">
        <f t="shared" si="789"/>
        <v/>
      </c>
      <c r="BJ579" s="66" t="str">
        <f>+IF($W579="","",ROUND((BG579*Parámetros!$G$85),2))</f>
        <v/>
      </c>
      <c r="BK579" s="66" t="str">
        <f>+IF($W579="","",ROUND((BG579*(Parámetros!$G$86)),2))</f>
        <v/>
      </c>
      <c r="BL579" s="66" t="str">
        <f t="shared" si="790"/>
        <v/>
      </c>
      <c r="BM579" t="str">
        <f t="shared" si="831"/>
        <v/>
      </c>
      <c r="BN579" t="str">
        <f t="shared" si="832"/>
        <v/>
      </c>
      <c r="BO579" s="118" t="str">
        <f t="shared" si="833"/>
        <v/>
      </c>
      <c r="BP579" s="118" t="str">
        <f t="shared" si="834"/>
        <v/>
      </c>
      <c r="BQ579" s="119" t="str">
        <f>+IF(OR($W579="",BO579=0),"",ROUND((VLOOKUP(ROUNDDOWN($D579-1/frec,0),cob_adi,BB$40,FALSE)*(1+i/frec)^-0.5*(1+Parámetros!$D$103)*(1+rec_fracc)/frec),6))</f>
        <v/>
      </c>
      <c r="BR579" s="66" t="str">
        <f t="shared" si="791"/>
        <v/>
      </c>
      <c r="BS579" s="119" t="str">
        <f t="shared" si="792"/>
        <v/>
      </c>
      <c r="BT579" s="66" t="str">
        <f>+IF($W579="","",ROUND(IF($B579&gt;Parámetros!$D$107,'Tablas Servicio'!BR579+('Tablas Servicio'!BT578-'Tablas Servicio'!BR578),BR579/(1-IF(B579&lt;=10,Parámetros!$D$100,0))),2))</f>
        <v/>
      </c>
      <c r="BU579" s="66" t="str">
        <f t="shared" si="793"/>
        <v/>
      </c>
      <c r="BV579" s="66" t="str">
        <f t="shared" si="793"/>
        <v/>
      </c>
      <c r="BW579" s="66" t="str">
        <f>+IF($W579="","",ROUND((BT579*Parámetros!$G$85),2))</f>
        <v/>
      </c>
      <c r="BX579" s="66" t="str">
        <f>+IF($W579="","",ROUND((BT579*(Parámetros!$G$86)),2))</f>
        <v/>
      </c>
      <c r="BY579" s="66" t="str">
        <f t="shared" si="794"/>
        <v/>
      </c>
      <c r="BZ579" t="str">
        <f t="shared" si="835"/>
        <v/>
      </c>
      <c r="CA579" t="str">
        <f t="shared" si="836"/>
        <v/>
      </c>
      <c r="CB579" s="118" t="str">
        <f t="shared" si="837"/>
        <v/>
      </c>
      <c r="CC579" s="118" t="str">
        <f t="shared" si="838"/>
        <v/>
      </c>
      <c r="CD579" s="119" t="str">
        <f t="shared" si="795"/>
        <v/>
      </c>
      <c r="CE579" s="66" t="str">
        <f>+IF($W579="","",ROUND((VLOOKUP(ROUNDDOWN($D579-1/frec,0),cob_adi,BO$40,FALSE)*(1+i/frec)^-0.5*(1+Parámetros!$D$103)*(1+rec_fracc)/frec*'TABLAS ADI'!$BC$17),2))</f>
        <v/>
      </c>
      <c r="CF579" s="119" t="str">
        <f t="shared" si="796"/>
        <v/>
      </c>
      <c r="CG579" s="66" t="str">
        <f>+IF($W579="","",ROUND(IF($B579&gt;Parámetros!$D$107,'Tablas Servicio'!CE579+('Tablas Servicio'!CG578-'Tablas Servicio'!CE578),CE579/(1-IF(B579&lt;=10,Parámetros!$D$100,0))),2))</f>
        <v/>
      </c>
      <c r="CH579" s="66" t="str">
        <f t="shared" si="797"/>
        <v/>
      </c>
      <c r="CI579" s="66" t="str">
        <f t="shared" si="797"/>
        <v/>
      </c>
      <c r="CJ579" s="66" t="str">
        <f>+IF($W579="","",ROUND((CG579*Parámetros!$G$85),2))</f>
        <v/>
      </c>
      <c r="CK579" s="66" t="str">
        <f>+IF($W579="","",ROUND((CG579*(Parámetros!$G$86)),2))</f>
        <v/>
      </c>
      <c r="CL579" s="66" t="str">
        <f t="shared" si="798"/>
        <v/>
      </c>
      <c r="CM579" t="str">
        <f t="shared" si="839"/>
        <v/>
      </c>
      <c r="CN579" s="118" t="str">
        <f t="shared" si="840"/>
        <v/>
      </c>
      <c r="CO579" s="118" t="str">
        <f t="shared" si="841"/>
        <v/>
      </c>
      <c r="CP579" s="118" t="str">
        <f t="shared" si="842"/>
        <v/>
      </c>
      <c r="CQ579" s="119" t="str">
        <f t="shared" si="799"/>
        <v/>
      </c>
      <c r="CR579" s="66" t="str">
        <f>+IF($W579="","",ROUND((VLOOKUP(Parámetros!$F$51,'COBERTURAS ADICIONALES'!$S$4:$T$32,2,FALSE)*(1+i/frec)^-0.5*(1+Parámetros!$D$103)*(1+rec_fracc)/frec*$CO$42),2))</f>
        <v/>
      </c>
      <c r="CS579" s="119" t="str">
        <f t="shared" si="800"/>
        <v/>
      </c>
      <c r="CT579" s="66" t="str">
        <f>+IF($W579="","",ROUND(IF($B579&gt;Parámetros!$D$107,'Tablas Servicio'!CR579+('Tablas Servicio'!CT578-'Tablas Servicio'!CR578),CR579/(1-IF(B579&lt;=10,Parámetros!$D$100,0))),2))</f>
        <v/>
      </c>
      <c r="CU579" s="66" t="str">
        <f t="shared" si="801"/>
        <v/>
      </c>
      <c r="CV579" s="66" t="str">
        <f t="shared" si="801"/>
        <v/>
      </c>
      <c r="CW579" s="66" t="str">
        <f>+IF($W579="","",ROUND((CT579*Parámetros!$G$85),2))</f>
        <v/>
      </c>
      <c r="CX579" s="66" t="str">
        <f>+IF($W579="","",ROUND((CT579*(Parámetros!$G$86)),2))</f>
        <v/>
      </c>
      <c r="CY579" s="66" t="str">
        <f t="shared" si="802"/>
        <v/>
      </c>
      <c r="CZ579" t="str">
        <f t="shared" si="843"/>
        <v/>
      </c>
      <c r="DA579" s="118" t="str">
        <f t="shared" si="844"/>
        <v/>
      </c>
      <c r="DB579" s="118" t="str">
        <f t="shared" si="845"/>
        <v/>
      </c>
      <c r="DC579" s="118" t="str">
        <f t="shared" si="846"/>
        <v/>
      </c>
      <c r="DD579" s="121" t="str">
        <f>+IF(OR($W579="",DB579=0),"",ROUND((VLOOKUP(ROUNDDOWN($D579-1/frec,0),cob_adi,CO$40,FALSE)*(1+i/frec)^-0.5*(1+Parámetros!$D$103)*(1+rec_fracc)/frec),6))</f>
        <v/>
      </c>
      <c r="DE579" s="66" t="str">
        <f t="shared" si="803"/>
        <v/>
      </c>
      <c r="DF579" s="119" t="str">
        <f t="shared" si="804"/>
        <v/>
      </c>
      <c r="DG579" s="66" t="str">
        <f>+IF($W579="","",ROUND(IF($B579&gt;Parámetros!$D$107,'Tablas Servicio'!DE579+('Tablas Servicio'!DG578-'Tablas Servicio'!DE578),DE579/(1-IF(B579&lt;=10,Parámetros!$D$100,0))),2))</f>
        <v/>
      </c>
      <c r="DH579" s="66" t="str">
        <f t="shared" si="805"/>
        <v/>
      </c>
      <c r="DI579" s="66" t="str">
        <f t="shared" si="805"/>
        <v/>
      </c>
      <c r="DJ579" s="66" t="str">
        <f>+IF($W579="","",ROUND((DG579*Parámetros!$G$85),2))</f>
        <v/>
      </c>
      <c r="DK579" s="66" t="str">
        <f>+IF($W579="","",ROUND((DG579*(Parámetros!$G$86)),2))</f>
        <v/>
      </c>
      <c r="DL579" s="66" t="str">
        <f t="shared" si="806"/>
        <v/>
      </c>
      <c r="DM579" t="str">
        <f t="shared" si="847"/>
        <v/>
      </c>
      <c r="DN579" s="118" t="str">
        <f t="shared" si="848"/>
        <v/>
      </c>
      <c r="DO579" s="118" t="str">
        <f t="shared" si="849"/>
        <v/>
      </c>
      <c r="DP579" s="118" t="str">
        <f t="shared" si="850"/>
        <v/>
      </c>
      <c r="DQ579" s="122" t="str">
        <f>+IF(OR($W579="",DO579=0),"",ROUND((VLOOKUP(ROUNDDOWN($D579-1/frec,0),cob_adi,DB$40,FALSE)*(1+i/frec)^-0.5*(1+Parámetros!$D$103)*(1+rec_fracc)/frec),6))</f>
        <v/>
      </c>
      <c r="DR579" s="66" t="str">
        <f t="shared" si="807"/>
        <v/>
      </c>
      <c r="DS579" s="68" t="str">
        <f t="shared" si="808"/>
        <v/>
      </c>
      <c r="DT579" s="66" t="str">
        <f>+IF($W579="","",ROUND(IF($B579&gt;Parámetros!$D$107,'Tablas Servicio'!DR579+('Tablas Servicio'!DT578-'Tablas Servicio'!DR578),DR579/(1-IF(B579&lt;=10,Parámetros!$D$100,0))),2))</f>
        <v/>
      </c>
      <c r="DU579" s="66" t="str">
        <f t="shared" si="809"/>
        <v/>
      </c>
      <c r="DV579" s="66" t="str">
        <f t="shared" si="809"/>
        <v/>
      </c>
      <c r="DW579" s="66" t="str">
        <f>+IF($W579="","",ROUND((DT579*Parámetros!$G$85),2))</f>
        <v/>
      </c>
      <c r="DX579" s="66" t="str">
        <f>+IF($W579="","",ROUND((DT579*(Parámetros!$G$86)),2))</f>
        <v/>
      </c>
      <c r="DY579" s="66" t="str">
        <f t="shared" si="810"/>
        <v/>
      </c>
      <c r="DZ579" t="str">
        <f t="shared" si="851"/>
        <v/>
      </c>
      <c r="EA579" s="118" t="str">
        <f t="shared" si="851"/>
        <v/>
      </c>
      <c r="EB579" s="118" t="str">
        <f>+IF($W579="","",ROUND(IF(Parámetros!$D$25='TABLAS MORT'!$V$33,EB578,Z579/2),0))</f>
        <v/>
      </c>
      <c r="EC579" s="118" t="str">
        <f t="shared" si="851"/>
        <v/>
      </c>
      <c r="ED579" s="122" t="str">
        <f>+IF(OR($W579="",EB579=0),"",ROUND((VLOOKUP(ROUNDDOWN($D579-1/frec,0),cob_adi,DO$40,FALSE)*(1+i/frec)^-0.5*(1+Parámetros!$D$103)*(1+rec_fracc)/frec),6))</f>
        <v/>
      </c>
      <c r="EE579" s="66" t="str">
        <f t="shared" si="812"/>
        <v/>
      </c>
      <c r="EF579" s="68" t="str">
        <f t="shared" si="813"/>
        <v/>
      </c>
      <c r="EG579" s="66" t="str">
        <f>+IF($W579="","",ROUND(IF($B579&gt;Parámetros!$D$107,'Tablas Servicio'!EE579+('Tablas Servicio'!EG578-'Tablas Servicio'!EE578),EE579/(1-IF(B579&lt;=10,Parámetros!$D$100,0))),2))</f>
        <v/>
      </c>
      <c r="EH579" s="66" t="str">
        <f t="shared" si="814"/>
        <v/>
      </c>
      <c r="EI579" s="66" t="str">
        <f t="shared" si="814"/>
        <v/>
      </c>
      <c r="EJ579" s="66" t="str">
        <f>+IF($W579="","",ROUND((EG579*Parámetros!$G$85),2))</f>
        <v/>
      </c>
      <c r="EK579" s="66" t="str">
        <f>+IF($W579="","",ROUND((EG579*(Parámetros!$G$86)),2))</f>
        <v/>
      </c>
      <c r="EL579" s="66" t="str">
        <f t="shared" si="815"/>
        <v/>
      </c>
    </row>
    <row r="580" spans="1:142" x14ac:dyDescent="0.25">
      <c r="A580" t="str">
        <f>+IF($C580="","",ROUND(VLOOKUP('Tablas Servicio'!B580,Parámetros!$H$100:$J$159,IF(Parámetros!$E$16="F",2,3),FALSE),2))</f>
        <v/>
      </c>
      <c r="B580" t="str">
        <f t="shared" si="766"/>
        <v/>
      </c>
      <c r="C580" s="57" t="str">
        <f>+IF(D580="","",'Tablas Servicio'!C579+1)</f>
        <v/>
      </c>
      <c r="D580" s="56" t="str">
        <f>+IF(D579&lt;edadmaxtabla,D579+1/Parámetros!$E$25,"")</f>
        <v/>
      </c>
      <c r="E580" s="57" t="str">
        <f t="shared" si="776"/>
        <v/>
      </c>
      <c r="F580" s="59" t="str">
        <f t="shared" si="777"/>
        <v/>
      </c>
      <c r="G580" s="66" t="str">
        <f t="shared" si="767"/>
        <v/>
      </c>
      <c r="H580" s="66" t="str">
        <f t="shared" si="768"/>
        <v/>
      </c>
      <c r="I580" s="66" t="str">
        <f t="shared" si="816"/>
        <v/>
      </c>
      <c r="J580" s="66" t="str">
        <f t="shared" si="769"/>
        <v/>
      </c>
      <c r="K580" s="66" t="str">
        <f t="shared" si="770"/>
        <v/>
      </c>
      <c r="L580" s="66" t="str">
        <f t="shared" si="771"/>
        <v/>
      </c>
      <c r="M580" s="66" t="str">
        <f t="shared" si="772"/>
        <v/>
      </c>
      <c r="N580" s="66" t="str">
        <f>+IF(C580="","",ROUND(Parámetros!$D$23,2))</f>
        <v/>
      </c>
      <c r="O580" s="66" t="str">
        <f t="shared" si="773"/>
        <v/>
      </c>
      <c r="P580" s="66" t="str">
        <f>+IF($C580="","",ROUND(IF(B580&gt;Parámetros!$D$117,0,N580*Parámetros!$D$116-G580*Parámetros!$D$100),2))</f>
        <v/>
      </c>
      <c r="Q580" s="75" t="str">
        <f t="shared" si="817"/>
        <v/>
      </c>
      <c r="R580" s="75" t="str">
        <f t="shared" si="818"/>
        <v/>
      </c>
      <c r="S580" s="117" t="str">
        <f>+IF($C580="","",ROUND((S579+I580)*(1+Parámetros!$D$91),2))</f>
        <v/>
      </c>
      <c r="T580" s="117" t="str">
        <f>+IF($C580="","",ROUND(S580*VLOOKUP(B580,Parámetros!$C$30:$D$39,2,TRUE),2))</f>
        <v/>
      </c>
      <c r="U580" s="117" t="str">
        <f>+IF($C580="","",ROUND((U579+I580)*(1+Parámetros!$D$92),2))</f>
        <v/>
      </c>
      <c r="V580" s="117" t="str">
        <f>+IF($C580="","",ROUND(U580*VLOOKUP(B580,Parámetros!$C$30:$D$39,2,TRUE),2))</f>
        <v/>
      </c>
      <c r="W580" s="57" t="str">
        <f t="shared" si="819"/>
        <v/>
      </c>
      <c r="X580" t="str">
        <f t="shared" si="820"/>
        <v/>
      </c>
      <c r="Y580" t="str">
        <f t="shared" si="821"/>
        <v/>
      </c>
      <c r="Z580" s="118" t="str">
        <f>+IF($W580="","",ROUND(IF(Parámetros!$D$25='TABLAS MORT'!$V$33,Z579,Parámetros!$D$21-'Tablas Servicio'!T579),0))</f>
        <v/>
      </c>
      <c r="AA580" s="118" t="str">
        <f t="shared" si="822"/>
        <v/>
      </c>
      <c r="AB580" s="119" t="str">
        <f>+IF(W580="","",ROUND((VLOOKUP(ROUNDDOWN($D580-1/frec,0),qx_tabla,2,FALSE)*(1+i/frec)^-0.5*(1+Parámetros!$D$103)*(1+rec_fracc)/frec),6))</f>
        <v/>
      </c>
      <c r="AC580" s="66" t="str">
        <f t="shared" si="778"/>
        <v/>
      </c>
      <c r="AD580" s="119" t="str">
        <f t="shared" si="774"/>
        <v/>
      </c>
      <c r="AE580" s="66" t="str">
        <f>+IF($W580="","",ROUND(IF($B580&gt;Parámetros!$D$107,'Tablas Servicio'!AC580+('Tablas Servicio'!AG579-'Tablas Servicio'!AC579),AC580/(1-IF(B580&lt;=10,Parámetros!$D$104,Parámetros!$D$105))),2))</f>
        <v/>
      </c>
      <c r="AF580" s="66" t="str">
        <f>+IF($W580="","",ROUND(IF($B580&gt;Parámetros!$D$107,'Tablas Servicio'!AC580+('Tablas Servicio'!AG579-'Tablas Servicio'!AC579),(AC580+$A579/frec)/(1-IF(B580&lt;=Parámetros!$D$117,Parámetros!$D$100,0))),2))</f>
        <v/>
      </c>
      <c r="AG580" s="66" t="str">
        <f t="shared" si="779"/>
        <v/>
      </c>
      <c r="AH580" s="66" t="str">
        <f t="shared" si="780"/>
        <v/>
      </c>
      <c r="AI580" s="66" t="str">
        <f t="shared" si="781"/>
        <v/>
      </c>
      <c r="AJ580" s="66" t="str">
        <f>+IF($W580="","",ROUND((AG580*Parámetros!$G$85),2))</f>
        <v/>
      </c>
      <c r="AK580" s="66" t="str">
        <f>+IF($W580="","",ROUND((AG580*(Parámetros!$G$86)),2))</f>
        <v/>
      </c>
      <c r="AL580" s="66" t="str">
        <f t="shared" si="775"/>
        <v/>
      </c>
      <c r="AM580" t="str">
        <f t="shared" si="823"/>
        <v/>
      </c>
      <c r="AN580" t="str">
        <f t="shared" si="824"/>
        <v/>
      </c>
      <c r="AO580" s="118" t="str">
        <f t="shared" si="825"/>
        <v/>
      </c>
      <c r="AP580" s="118" t="str">
        <f t="shared" si="826"/>
        <v/>
      </c>
      <c r="AQ580" s="119" t="str">
        <f>+IF(OR($W580="",AO580=0),"",ROUND((VLOOKUP(ROUNDDOWN($D580-1/frec,0),cob_adi,Z$40,FALSE)*(1+i/frec)^-0.5*(1+Parámetros!$D$103)*(1+rec_fracc)/frec),6))</f>
        <v/>
      </c>
      <c r="AR580" s="66" t="str">
        <f t="shared" si="782"/>
        <v/>
      </c>
      <c r="AS580" s="119" t="str">
        <f t="shared" si="783"/>
        <v/>
      </c>
      <c r="AT580" s="66" t="str">
        <f>+IF($W580="","",ROUND(IF($B580&gt;Parámetros!$D$107,'Tablas Servicio'!AR580+('Tablas Servicio'!AT579-'Tablas Servicio'!AR579),AR580/(1-IF(B580&lt;=10,Parámetros!$D$100,0))),2))</f>
        <v/>
      </c>
      <c r="AU580" s="66" t="str">
        <f t="shared" si="784"/>
        <v/>
      </c>
      <c r="AV580" s="66" t="str">
        <f t="shared" si="784"/>
        <v/>
      </c>
      <c r="AW580" s="66" t="str">
        <f>+IF($W580="","",ROUND((AT580*Parámetros!$G$85),2))</f>
        <v/>
      </c>
      <c r="AX580" s="66" t="str">
        <f>+IF($W580="","",ROUND((AT580*(Parámetros!$G$86)),2))</f>
        <v/>
      </c>
      <c r="AY580" s="66" t="str">
        <f t="shared" si="785"/>
        <v/>
      </c>
      <c r="AZ580" t="str">
        <f t="shared" si="827"/>
        <v/>
      </c>
      <c r="BA580" t="str">
        <f t="shared" si="828"/>
        <v/>
      </c>
      <c r="BB580" s="118" t="str">
        <f t="shared" si="829"/>
        <v/>
      </c>
      <c r="BC580" s="118" t="str">
        <f t="shared" si="830"/>
        <v/>
      </c>
      <c r="BD580" s="119" t="str">
        <f>+IF(OR($W580="",BB580=0),"",ROUND((VLOOKUP(ROUNDDOWN($D580-1/frec,0),cob_adi,AO$40,FALSE)*(1+i/frec)^-0.5*(1+Parámetros!$D$103)*(1+rec_fracc)/frec),6))</f>
        <v/>
      </c>
      <c r="BE580" s="66" t="str">
        <f t="shared" si="786"/>
        <v/>
      </c>
      <c r="BF580" s="119" t="str">
        <f t="shared" si="787"/>
        <v/>
      </c>
      <c r="BG580" s="66" t="str">
        <f>+IF($W580="","",ROUND(IF($B580&gt;Parámetros!$D$107,'Tablas Servicio'!BE580+('Tablas Servicio'!BG579-'Tablas Servicio'!BE579),BE580/(1-IF(B580&lt;=10,Parámetros!$D$100,0))),2))</f>
        <v/>
      </c>
      <c r="BH580" s="66" t="str">
        <f t="shared" si="788"/>
        <v/>
      </c>
      <c r="BI580" s="66" t="str">
        <f t="shared" si="789"/>
        <v/>
      </c>
      <c r="BJ580" s="66" t="str">
        <f>+IF($W580="","",ROUND((BG580*Parámetros!$G$85),2))</f>
        <v/>
      </c>
      <c r="BK580" s="66" t="str">
        <f>+IF($W580="","",ROUND((BG580*(Parámetros!$G$86)),2))</f>
        <v/>
      </c>
      <c r="BL580" s="66" t="str">
        <f t="shared" si="790"/>
        <v/>
      </c>
      <c r="BM580" t="str">
        <f t="shared" si="831"/>
        <v/>
      </c>
      <c r="BN580" t="str">
        <f t="shared" si="832"/>
        <v/>
      </c>
      <c r="BO580" s="118" t="str">
        <f t="shared" si="833"/>
        <v/>
      </c>
      <c r="BP580" s="118" t="str">
        <f t="shared" si="834"/>
        <v/>
      </c>
      <c r="BQ580" s="119" t="str">
        <f>+IF(OR($W580="",BO580=0),"",ROUND((VLOOKUP(ROUNDDOWN($D580-1/frec,0),cob_adi,BB$40,FALSE)*(1+i/frec)^-0.5*(1+Parámetros!$D$103)*(1+rec_fracc)/frec),6))</f>
        <v/>
      </c>
      <c r="BR580" s="66" t="str">
        <f t="shared" si="791"/>
        <v/>
      </c>
      <c r="BS580" s="119" t="str">
        <f t="shared" si="792"/>
        <v/>
      </c>
      <c r="BT580" s="66" t="str">
        <f>+IF($W580="","",ROUND(IF($B580&gt;Parámetros!$D$107,'Tablas Servicio'!BR580+('Tablas Servicio'!BT579-'Tablas Servicio'!BR579),BR580/(1-IF(B580&lt;=10,Parámetros!$D$100,0))),2))</f>
        <v/>
      </c>
      <c r="BU580" s="66" t="str">
        <f t="shared" si="793"/>
        <v/>
      </c>
      <c r="BV580" s="66" t="str">
        <f t="shared" si="793"/>
        <v/>
      </c>
      <c r="BW580" s="66" t="str">
        <f>+IF($W580="","",ROUND((BT580*Parámetros!$G$85),2))</f>
        <v/>
      </c>
      <c r="BX580" s="66" t="str">
        <f>+IF($W580="","",ROUND((BT580*(Parámetros!$G$86)),2))</f>
        <v/>
      </c>
      <c r="BY580" s="66" t="str">
        <f t="shared" si="794"/>
        <v/>
      </c>
      <c r="BZ580" t="str">
        <f t="shared" si="835"/>
        <v/>
      </c>
      <c r="CA580" t="str">
        <f t="shared" si="836"/>
        <v/>
      </c>
      <c r="CB580" s="118" t="str">
        <f t="shared" si="837"/>
        <v/>
      </c>
      <c r="CC580" s="118" t="str">
        <f t="shared" si="838"/>
        <v/>
      </c>
      <c r="CD580" s="119" t="str">
        <f t="shared" si="795"/>
        <v/>
      </c>
      <c r="CE580" s="66" t="str">
        <f>+IF($W580="","",ROUND((VLOOKUP(ROUNDDOWN($D580-1/frec,0),cob_adi,BO$40,FALSE)*(1+i/frec)^-0.5*(1+Parámetros!$D$103)*(1+rec_fracc)/frec*'TABLAS ADI'!$BC$17),2))</f>
        <v/>
      </c>
      <c r="CF580" s="119" t="str">
        <f t="shared" si="796"/>
        <v/>
      </c>
      <c r="CG580" s="66" t="str">
        <f>+IF($W580="","",ROUND(IF($B580&gt;Parámetros!$D$107,'Tablas Servicio'!CE580+('Tablas Servicio'!CG579-'Tablas Servicio'!CE579),CE580/(1-IF(B580&lt;=10,Parámetros!$D$100,0))),2))</f>
        <v/>
      </c>
      <c r="CH580" s="66" t="str">
        <f t="shared" si="797"/>
        <v/>
      </c>
      <c r="CI580" s="66" t="str">
        <f t="shared" si="797"/>
        <v/>
      </c>
      <c r="CJ580" s="66" t="str">
        <f>+IF($W580="","",ROUND((CG580*Parámetros!$G$85),2))</f>
        <v/>
      </c>
      <c r="CK580" s="66" t="str">
        <f>+IF($W580="","",ROUND((CG580*(Parámetros!$G$86)),2))</f>
        <v/>
      </c>
      <c r="CL580" s="66" t="str">
        <f t="shared" si="798"/>
        <v/>
      </c>
      <c r="CM580" t="str">
        <f t="shared" si="839"/>
        <v/>
      </c>
      <c r="CN580" s="118" t="str">
        <f t="shared" si="840"/>
        <v/>
      </c>
      <c r="CO580" s="118" t="str">
        <f t="shared" si="841"/>
        <v/>
      </c>
      <c r="CP580" s="118" t="str">
        <f t="shared" si="842"/>
        <v/>
      </c>
      <c r="CQ580" s="119" t="str">
        <f t="shared" si="799"/>
        <v/>
      </c>
      <c r="CR580" s="66" t="str">
        <f>+IF($W580="","",ROUND((VLOOKUP(Parámetros!$F$51,'COBERTURAS ADICIONALES'!$S$4:$T$32,2,FALSE)*(1+i/frec)^-0.5*(1+Parámetros!$D$103)*(1+rec_fracc)/frec*$CO$42),2))</f>
        <v/>
      </c>
      <c r="CS580" s="119" t="str">
        <f t="shared" si="800"/>
        <v/>
      </c>
      <c r="CT580" s="66" t="str">
        <f>+IF($W580="","",ROUND(IF($B580&gt;Parámetros!$D$107,'Tablas Servicio'!CR580+('Tablas Servicio'!CT579-'Tablas Servicio'!CR579),CR580/(1-IF(B580&lt;=10,Parámetros!$D$100,0))),2))</f>
        <v/>
      </c>
      <c r="CU580" s="66" t="str">
        <f t="shared" si="801"/>
        <v/>
      </c>
      <c r="CV580" s="66" t="str">
        <f t="shared" si="801"/>
        <v/>
      </c>
      <c r="CW580" s="66" t="str">
        <f>+IF($W580="","",ROUND((CT580*Parámetros!$G$85),2))</f>
        <v/>
      </c>
      <c r="CX580" s="66" t="str">
        <f>+IF($W580="","",ROUND((CT580*(Parámetros!$G$86)),2))</f>
        <v/>
      </c>
      <c r="CY580" s="66" t="str">
        <f t="shared" si="802"/>
        <v/>
      </c>
      <c r="CZ580" t="str">
        <f t="shared" si="843"/>
        <v/>
      </c>
      <c r="DA580" s="118" t="str">
        <f t="shared" si="844"/>
        <v/>
      </c>
      <c r="DB580" s="118" t="str">
        <f t="shared" si="845"/>
        <v/>
      </c>
      <c r="DC580" s="118" t="str">
        <f t="shared" si="846"/>
        <v/>
      </c>
      <c r="DD580" s="121" t="str">
        <f>+IF(OR($W580="",DB580=0),"",ROUND((VLOOKUP(ROUNDDOWN($D580-1/frec,0),cob_adi,CO$40,FALSE)*(1+i/frec)^-0.5*(1+Parámetros!$D$103)*(1+rec_fracc)/frec),6))</f>
        <v/>
      </c>
      <c r="DE580" s="66" t="str">
        <f t="shared" si="803"/>
        <v/>
      </c>
      <c r="DF580" s="119" t="str">
        <f t="shared" si="804"/>
        <v/>
      </c>
      <c r="DG580" s="66" t="str">
        <f>+IF($W580="","",ROUND(IF($B580&gt;Parámetros!$D$107,'Tablas Servicio'!DE580+('Tablas Servicio'!DG579-'Tablas Servicio'!DE579),DE580/(1-IF(B580&lt;=10,Parámetros!$D$100,0))),2))</f>
        <v/>
      </c>
      <c r="DH580" s="66" t="str">
        <f t="shared" si="805"/>
        <v/>
      </c>
      <c r="DI580" s="66" t="str">
        <f t="shared" si="805"/>
        <v/>
      </c>
      <c r="DJ580" s="66" t="str">
        <f>+IF($W580="","",ROUND((DG580*Parámetros!$G$85),2))</f>
        <v/>
      </c>
      <c r="DK580" s="66" t="str">
        <f>+IF($W580="","",ROUND((DG580*(Parámetros!$G$86)),2))</f>
        <v/>
      </c>
      <c r="DL580" s="66" t="str">
        <f t="shared" si="806"/>
        <v/>
      </c>
      <c r="DM580" t="str">
        <f t="shared" si="847"/>
        <v/>
      </c>
      <c r="DN580" s="118" t="str">
        <f t="shared" si="848"/>
        <v/>
      </c>
      <c r="DO580" s="118" t="str">
        <f t="shared" si="849"/>
        <v/>
      </c>
      <c r="DP580" s="118" t="str">
        <f t="shared" si="850"/>
        <v/>
      </c>
      <c r="DQ580" s="122" t="str">
        <f>+IF(OR($W580="",DO580=0),"",ROUND((VLOOKUP(ROUNDDOWN($D580-1/frec,0),cob_adi,DB$40,FALSE)*(1+i/frec)^-0.5*(1+Parámetros!$D$103)*(1+rec_fracc)/frec),6))</f>
        <v/>
      </c>
      <c r="DR580" s="66" t="str">
        <f t="shared" si="807"/>
        <v/>
      </c>
      <c r="DS580" s="68" t="str">
        <f t="shared" si="808"/>
        <v/>
      </c>
      <c r="DT580" s="66" t="str">
        <f>+IF($W580="","",ROUND(IF($B580&gt;Parámetros!$D$107,'Tablas Servicio'!DR580+('Tablas Servicio'!DT579-'Tablas Servicio'!DR579),DR580/(1-IF(B580&lt;=10,Parámetros!$D$100,0))),2))</f>
        <v/>
      </c>
      <c r="DU580" s="66" t="str">
        <f t="shared" si="809"/>
        <v/>
      </c>
      <c r="DV580" s="66" t="str">
        <f t="shared" si="809"/>
        <v/>
      </c>
      <c r="DW580" s="66" t="str">
        <f>+IF($W580="","",ROUND((DT580*Parámetros!$G$85),2))</f>
        <v/>
      </c>
      <c r="DX580" s="66" t="str">
        <f>+IF($W580="","",ROUND((DT580*(Parámetros!$G$86)),2))</f>
        <v/>
      </c>
      <c r="DY580" s="66" t="str">
        <f t="shared" si="810"/>
        <v/>
      </c>
      <c r="DZ580" t="str">
        <f t="shared" si="851"/>
        <v/>
      </c>
      <c r="EA580" s="118" t="str">
        <f t="shared" si="851"/>
        <v/>
      </c>
      <c r="EB580" s="118" t="str">
        <f>+IF($W580="","",ROUND(IF(Parámetros!$D$25='TABLAS MORT'!$V$33,EB579,Z580/2),0))</f>
        <v/>
      </c>
      <c r="EC580" s="118" t="str">
        <f t="shared" si="851"/>
        <v/>
      </c>
      <c r="ED580" s="122" t="str">
        <f>+IF(OR($W580="",EB580=0),"",ROUND((VLOOKUP(ROUNDDOWN($D580-1/frec,0),cob_adi,DO$40,FALSE)*(1+i/frec)^-0.5*(1+Parámetros!$D$103)*(1+rec_fracc)/frec),6))</f>
        <v/>
      </c>
      <c r="EE580" s="66" t="str">
        <f t="shared" si="812"/>
        <v/>
      </c>
      <c r="EF580" s="68" t="str">
        <f t="shared" si="813"/>
        <v/>
      </c>
      <c r="EG580" s="66" t="str">
        <f>+IF($W580="","",ROUND(IF($B580&gt;Parámetros!$D$107,'Tablas Servicio'!EE580+('Tablas Servicio'!EG579-'Tablas Servicio'!EE579),EE580/(1-IF(B580&lt;=10,Parámetros!$D$100,0))),2))</f>
        <v/>
      </c>
      <c r="EH580" s="66" t="str">
        <f t="shared" si="814"/>
        <v/>
      </c>
      <c r="EI580" s="66" t="str">
        <f t="shared" si="814"/>
        <v/>
      </c>
      <c r="EJ580" s="66" t="str">
        <f>+IF($W580="","",ROUND((EG580*Parámetros!$G$85),2))</f>
        <v/>
      </c>
      <c r="EK580" s="66" t="str">
        <f>+IF($W580="","",ROUND((EG580*(Parámetros!$G$86)),2))</f>
        <v/>
      </c>
      <c r="EL580" s="66" t="str">
        <f t="shared" si="815"/>
        <v/>
      </c>
    </row>
    <row r="581" spans="1:142" x14ac:dyDescent="0.25">
      <c r="A581" t="str">
        <f>+IF($C581="","",ROUND(VLOOKUP('Tablas Servicio'!B581,Parámetros!$H$100:$J$159,IF(Parámetros!$E$16="F",2,3),FALSE),2))</f>
        <v/>
      </c>
      <c r="B581" t="str">
        <f t="shared" si="766"/>
        <v/>
      </c>
      <c r="C581" s="57" t="str">
        <f>+IF(D581="","",'Tablas Servicio'!C580+1)</f>
        <v/>
      </c>
      <c r="D581" s="56" t="str">
        <f>+IF(D580&lt;edadmaxtabla,D580+1/Parámetros!$E$25,"")</f>
        <v/>
      </c>
      <c r="E581" s="57" t="str">
        <f t="shared" si="776"/>
        <v/>
      </c>
      <c r="F581" s="59" t="str">
        <f t="shared" si="777"/>
        <v/>
      </c>
      <c r="G581" s="66" t="str">
        <f t="shared" si="767"/>
        <v/>
      </c>
      <c r="H581" s="66" t="str">
        <f t="shared" si="768"/>
        <v/>
      </c>
      <c r="I581" s="66" t="str">
        <f t="shared" si="816"/>
        <v/>
      </c>
      <c r="J581" s="66" t="str">
        <f t="shared" si="769"/>
        <v/>
      </c>
      <c r="K581" s="66" t="str">
        <f t="shared" si="770"/>
        <v/>
      </c>
      <c r="L581" s="66" t="str">
        <f t="shared" si="771"/>
        <v/>
      </c>
      <c r="M581" s="66" t="str">
        <f t="shared" si="772"/>
        <v/>
      </c>
      <c r="N581" s="66" t="str">
        <f>+IF(C581="","",ROUND(Parámetros!$D$23,2))</f>
        <v/>
      </c>
      <c r="O581" s="66" t="str">
        <f t="shared" si="773"/>
        <v/>
      </c>
      <c r="P581" s="66" t="str">
        <f>+IF($C581="","",ROUND(IF(B581&gt;Parámetros!$D$117,0,N581*Parámetros!$D$116-G581*Parámetros!$D$100),2))</f>
        <v/>
      </c>
      <c r="Q581" s="75" t="str">
        <f t="shared" si="817"/>
        <v/>
      </c>
      <c r="R581" s="75" t="str">
        <f t="shared" si="818"/>
        <v/>
      </c>
      <c r="S581" s="117" t="str">
        <f>+IF($C581="","",ROUND((S580+I581)*(1+Parámetros!$D$91),2))</f>
        <v/>
      </c>
      <c r="T581" s="117" t="str">
        <f>+IF($C581="","",ROUND(S581*VLOOKUP(B581,Parámetros!$C$30:$D$39,2,TRUE),2))</f>
        <v/>
      </c>
      <c r="U581" s="117" t="str">
        <f>+IF($C581="","",ROUND((U580+I581)*(1+Parámetros!$D$92),2))</f>
        <v/>
      </c>
      <c r="V581" s="117" t="str">
        <f>+IF($C581="","",ROUND(U581*VLOOKUP(B581,Parámetros!$C$30:$D$39,2,TRUE),2))</f>
        <v/>
      </c>
      <c r="W581" s="57" t="str">
        <f t="shared" si="819"/>
        <v/>
      </c>
      <c r="X581" t="str">
        <f t="shared" si="820"/>
        <v/>
      </c>
      <c r="Y581" t="str">
        <f t="shared" si="821"/>
        <v/>
      </c>
      <c r="Z581" s="118" t="str">
        <f>+IF($W581="","",ROUND(IF(Parámetros!$D$25='TABLAS MORT'!$V$33,Z580,Parámetros!$D$21-'Tablas Servicio'!T580),0))</f>
        <v/>
      </c>
      <c r="AA581" s="118" t="str">
        <f t="shared" si="822"/>
        <v/>
      </c>
      <c r="AB581" s="119" t="str">
        <f>+IF(W581="","",ROUND((VLOOKUP(ROUNDDOWN($D581-1/frec,0),qx_tabla,2,FALSE)*(1+i/frec)^-0.5*(1+Parámetros!$D$103)*(1+rec_fracc)/frec),6))</f>
        <v/>
      </c>
      <c r="AC581" s="66" t="str">
        <f t="shared" si="778"/>
        <v/>
      </c>
      <c r="AD581" s="119" t="str">
        <f t="shared" si="774"/>
        <v/>
      </c>
      <c r="AE581" s="66" t="str">
        <f>+IF($W581="","",ROUND(IF($B581&gt;Parámetros!$D$107,'Tablas Servicio'!AC581+('Tablas Servicio'!AG580-'Tablas Servicio'!AC580),AC581/(1-IF(B581&lt;=10,Parámetros!$D$104,Parámetros!$D$105))),2))</f>
        <v/>
      </c>
      <c r="AF581" s="66" t="str">
        <f>+IF($W581="","",ROUND(IF($B581&gt;Parámetros!$D$107,'Tablas Servicio'!AC581+('Tablas Servicio'!AG580-'Tablas Servicio'!AC580),(AC581+$A580/frec)/(1-IF(B581&lt;=Parámetros!$D$117,Parámetros!$D$100,0))),2))</f>
        <v/>
      </c>
      <c r="AG581" s="66" t="str">
        <f t="shared" si="779"/>
        <v/>
      </c>
      <c r="AH581" s="66" t="str">
        <f t="shared" si="780"/>
        <v/>
      </c>
      <c r="AI581" s="66" t="str">
        <f t="shared" si="781"/>
        <v/>
      </c>
      <c r="AJ581" s="66" t="str">
        <f>+IF($W581="","",ROUND((AG581*Parámetros!$G$85),2))</f>
        <v/>
      </c>
      <c r="AK581" s="66" t="str">
        <f>+IF($W581="","",ROUND((AG581*(Parámetros!$G$86)),2))</f>
        <v/>
      </c>
      <c r="AL581" s="66" t="str">
        <f t="shared" si="775"/>
        <v/>
      </c>
      <c r="AM581" t="str">
        <f t="shared" si="823"/>
        <v/>
      </c>
      <c r="AN581" t="str">
        <f t="shared" si="824"/>
        <v/>
      </c>
      <c r="AO581" s="118" t="str">
        <f t="shared" si="825"/>
        <v/>
      </c>
      <c r="AP581" s="118" t="str">
        <f t="shared" si="826"/>
        <v/>
      </c>
      <c r="AQ581" s="119" t="str">
        <f>+IF(OR($W581="",AO581=0),"",ROUND((VLOOKUP(ROUNDDOWN($D581-1/frec,0),cob_adi,Z$40,FALSE)*(1+i/frec)^-0.5*(1+Parámetros!$D$103)*(1+rec_fracc)/frec),6))</f>
        <v/>
      </c>
      <c r="AR581" s="66" t="str">
        <f t="shared" si="782"/>
        <v/>
      </c>
      <c r="AS581" s="119" t="str">
        <f t="shared" si="783"/>
        <v/>
      </c>
      <c r="AT581" s="66" t="str">
        <f>+IF($W581="","",ROUND(IF($B581&gt;Parámetros!$D$107,'Tablas Servicio'!AR581+('Tablas Servicio'!AT580-'Tablas Servicio'!AR580),AR581/(1-IF(B581&lt;=10,Parámetros!$D$100,0))),2))</f>
        <v/>
      </c>
      <c r="AU581" s="66" t="str">
        <f t="shared" si="784"/>
        <v/>
      </c>
      <c r="AV581" s="66" t="str">
        <f t="shared" si="784"/>
        <v/>
      </c>
      <c r="AW581" s="66" t="str">
        <f>+IF($W581="","",ROUND((AT581*Parámetros!$G$85),2))</f>
        <v/>
      </c>
      <c r="AX581" s="66" t="str">
        <f>+IF($W581="","",ROUND((AT581*(Parámetros!$G$86)),2))</f>
        <v/>
      </c>
      <c r="AY581" s="66" t="str">
        <f t="shared" si="785"/>
        <v/>
      </c>
      <c r="AZ581" t="str">
        <f t="shared" si="827"/>
        <v/>
      </c>
      <c r="BA581" t="str">
        <f t="shared" si="828"/>
        <v/>
      </c>
      <c r="BB581" s="118" t="str">
        <f t="shared" si="829"/>
        <v/>
      </c>
      <c r="BC581" s="118" t="str">
        <f t="shared" si="830"/>
        <v/>
      </c>
      <c r="BD581" s="119" t="str">
        <f>+IF(OR($W581="",BB581=0),"",ROUND((VLOOKUP(ROUNDDOWN($D581-1/frec,0),cob_adi,AO$40,FALSE)*(1+i/frec)^-0.5*(1+Parámetros!$D$103)*(1+rec_fracc)/frec),6))</f>
        <v/>
      </c>
      <c r="BE581" s="66" t="str">
        <f t="shared" si="786"/>
        <v/>
      </c>
      <c r="BF581" s="119" t="str">
        <f t="shared" si="787"/>
        <v/>
      </c>
      <c r="BG581" s="66" t="str">
        <f>+IF($W581="","",ROUND(IF($B581&gt;Parámetros!$D$107,'Tablas Servicio'!BE581+('Tablas Servicio'!BG580-'Tablas Servicio'!BE580),BE581/(1-IF(B581&lt;=10,Parámetros!$D$100,0))),2))</f>
        <v/>
      </c>
      <c r="BH581" s="66" t="str">
        <f t="shared" si="788"/>
        <v/>
      </c>
      <c r="BI581" s="66" t="str">
        <f t="shared" si="789"/>
        <v/>
      </c>
      <c r="BJ581" s="66" t="str">
        <f>+IF($W581="","",ROUND((BG581*Parámetros!$G$85),2))</f>
        <v/>
      </c>
      <c r="BK581" s="66" t="str">
        <f>+IF($W581="","",ROUND((BG581*(Parámetros!$G$86)),2))</f>
        <v/>
      </c>
      <c r="BL581" s="66" t="str">
        <f t="shared" si="790"/>
        <v/>
      </c>
      <c r="BM581" t="str">
        <f t="shared" si="831"/>
        <v/>
      </c>
      <c r="BN581" t="str">
        <f t="shared" si="832"/>
        <v/>
      </c>
      <c r="BO581" s="118" t="str">
        <f t="shared" si="833"/>
        <v/>
      </c>
      <c r="BP581" s="118" t="str">
        <f t="shared" si="834"/>
        <v/>
      </c>
      <c r="BQ581" s="119" t="str">
        <f>+IF(OR($W581="",BO581=0),"",ROUND((VLOOKUP(ROUNDDOWN($D581-1/frec,0),cob_adi,BB$40,FALSE)*(1+i/frec)^-0.5*(1+Parámetros!$D$103)*(1+rec_fracc)/frec),6))</f>
        <v/>
      </c>
      <c r="BR581" s="66" t="str">
        <f t="shared" si="791"/>
        <v/>
      </c>
      <c r="BS581" s="119" t="str">
        <f t="shared" si="792"/>
        <v/>
      </c>
      <c r="BT581" s="66" t="str">
        <f>+IF($W581="","",ROUND(IF($B581&gt;Parámetros!$D$107,'Tablas Servicio'!BR581+('Tablas Servicio'!BT580-'Tablas Servicio'!BR580),BR581/(1-IF(B581&lt;=10,Parámetros!$D$100,0))),2))</f>
        <v/>
      </c>
      <c r="BU581" s="66" t="str">
        <f t="shared" si="793"/>
        <v/>
      </c>
      <c r="BV581" s="66" t="str">
        <f t="shared" si="793"/>
        <v/>
      </c>
      <c r="BW581" s="66" t="str">
        <f>+IF($W581="","",ROUND((BT581*Parámetros!$G$85),2))</f>
        <v/>
      </c>
      <c r="BX581" s="66" t="str">
        <f>+IF($W581="","",ROUND((BT581*(Parámetros!$G$86)),2))</f>
        <v/>
      </c>
      <c r="BY581" s="66" t="str">
        <f t="shared" si="794"/>
        <v/>
      </c>
      <c r="BZ581" t="str">
        <f t="shared" si="835"/>
        <v/>
      </c>
      <c r="CA581" t="str">
        <f t="shared" si="836"/>
        <v/>
      </c>
      <c r="CB581" s="118" t="str">
        <f t="shared" si="837"/>
        <v/>
      </c>
      <c r="CC581" s="118" t="str">
        <f t="shared" si="838"/>
        <v/>
      </c>
      <c r="CD581" s="119" t="str">
        <f t="shared" si="795"/>
        <v/>
      </c>
      <c r="CE581" s="66" t="str">
        <f>+IF($W581="","",ROUND((VLOOKUP(ROUNDDOWN($D581-1/frec,0),cob_adi,BO$40,FALSE)*(1+i/frec)^-0.5*(1+Parámetros!$D$103)*(1+rec_fracc)/frec*'TABLAS ADI'!$BC$17),2))</f>
        <v/>
      </c>
      <c r="CF581" s="119" t="str">
        <f t="shared" si="796"/>
        <v/>
      </c>
      <c r="CG581" s="66" t="str">
        <f>+IF($W581="","",ROUND(IF($B581&gt;Parámetros!$D$107,'Tablas Servicio'!CE581+('Tablas Servicio'!CG580-'Tablas Servicio'!CE580),CE581/(1-IF(B581&lt;=10,Parámetros!$D$100,0))),2))</f>
        <v/>
      </c>
      <c r="CH581" s="66" t="str">
        <f t="shared" si="797"/>
        <v/>
      </c>
      <c r="CI581" s="66" t="str">
        <f t="shared" si="797"/>
        <v/>
      </c>
      <c r="CJ581" s="66" t="str">
        <f>+IF($W581="","",ROUND((CG581*Parámetros!$G$85),2))</f>
        <v/>
      </c>
      <c r="CK581" s="66" t="str">
        <f>+IF($W581="","",ROUND((CG581*(Parámetros!$G$86)),2))</f>
        <v/>
      </c>
      <c r="CL581" s="66" t="str">
        <f t="shared" si="798"/>
        <v/>
      </c>
      <c r="CM581" t="str">
        <f t="shared" si="839"/>
        <v/>
      </c>
      <c r="CN581" s="118" t="str">
        <f t="shared" si="840"/>
        <v/>
      </c>
      <c r="CO581" s="118" t="str">
        <f t="shared" si="841"/>
        <v/>
      </c>
      <c r="CP581" s="118" t="str">
        <f t="shared" si="842"/>
        <v/>
      </c>
      <c r="CQ581" s="119" t="str">
        <f t="shared" si="799"/>
        <v/>
      </c>
      <c r="CR581" s="66" t="str">
        <f>+IF($W581="","",ROUND((VLOOKUP(Parámetros!$F$51,'COBERTURAS ADICIONALES'!$S$4:$T$32,2,FALSE)*(1+i/frec)^-0.5*(1+Parámetros!$D$103)*(1+rec_fracc)/frec*$CO$42),2))</f>
        <v/>
      </c>
      <c r="CS581" s="119" t="str">
        <f t="shared" si="800"/>
        <v/>
      </c>
      <c r="CT581" s="66" t="str">
        <f>+IF($W581="","",ROUND(IF($B581&gt;Parámetros!$D$107,'Tablas Servicio'!CR581+('Tablas Servicio'!CT580-'Tablas Servicio'!CR580),CR581/(1-IF(B581&lt;=10,Parámetros!$D$100,0))),2))</f>
        <v/>
      </c>
      <c r="CU581" s="66" t="str">
        <f t="shared" si="801"/>
        <v/>
      </c>
      <c r="CV581" s="66" t="str">
        <f t="shared" si="801"/>
        <v/>
      </c>
      <c r="CW581" s="66" t="str">
        <f>+IF($W581="","",ROUND((CT581*Parámetros!$G$85),2))</f>
        <v/>
      </c>
      <c r="CX581" s="66" t="str">
        <f>+IF($W581="","",ROUND((CT581*(Parámetros!$G$86)),2))</f>
        <v/>
      </c>
      <c r="CY581" s="66" t="str">
        <f t="shared" si="802"/>
        <v/>
      </c>
      <c r="CZ581" t="str">
        <f t="shared" si="843"/>
        <v/>
      </c>
      <c r="DA581" s="118" t="str">
        <f t="shared" si="844"/>
        <v/>
      </c>
      <c r="DB581" s="118" t="str">
        <f t="shared" si="845"/>
        <v/>
      </c>
      <c r="DC581" s="118" t="str">
        <f t="shared" si="846"/>
        <v/>
      </c>
      <c r="DD581" s="121" t="str">
        <f>+IF(OR($W581="",DB581=0),"",ROUND((VLOOKUP(ROUNDDOWN($D581-1/frec,0),cob_adi,CO$40,FALSE)*(1+i/frec)^-0.5*(1+Parámetros!$D$103)*(1+rec_fracc)/frec),6))</f>
        <v/>
      </c>
      <c r="DE581" s="66" t="str">
        <f t="shared" si="803"/>
        <v/>
      </c>
      <c r="DF581" s="119" t="str">
        <f t="shared" si="804"/>
        <v/>
      </c>
      <c r="DG581" s="66" t="str">
        <f>+IF($W581="","",ROUND(IF($B581&gt;Parámetros!$D$107,'Tablas Servicio'!DE581+('Tablas Servicio'!DG580-'Tablas Servicio'!DE580),DE581/(1-IF(B581&lt;=10,Parámetros!$D$100,0))),2))</f>
        <v/>
      </c>
      <c r="DH581" s="66" t="str">
        <f t="shared" si="805"/>
        <v/>
      </c>
      <c r="DI581" s="66" t="str">
        <f t="shared" si="805"/>
        <v/>
      </c>
      <c r="DJ581" s="66" t="str">
        <f>+IF($W581="","",ROUND((DG581*Parámetros!$G$85),2))</f>
        <v/>
      </c>
      <c r="DK581" s="66" t="str">
        <f>+IF($W581="","",ROUND((DG581*(Parámetros!$G$86)),2))</f>
        <v/>
      </c>
      <c r="DL581" s="66" t="str">
        <f t="shared" si="806"/>
        <v/>
      </c>
      <c r="DM581" t="str">
        <f t="shared" si="847"/>
        <v/>
      </c>
      <c r="DN581" s="118" t="str">
        <f t="shared" si="848"/>
        <v/>
      </c>
      <c r="DO581" s="118" t="str">
        <f t="shared" si="849"/>
        <v/>
      </c>
      <c r="DP581" s="118" t="str">
        <f t="shared" si="850"/>
        <v/>
      </c>
      <c r="DQ581" s="122" t="str">
        <f>+IF(OR($W581="",DO581=0),"",ROUND((VLOOKUP(ROUNDDOWN($D581-1/frec,0),cob_adi,DB$40,FALSE)*(1+i/frec)^-0.5*(1+Parámetros!$D$103)*(1+rec_fracc)/frec),6))</f>
        <v/>
      </c>
      <c r="DR581" s="66" t="str">
        <f t="shared" si="807"/>
        <v/>
      </c>
      <c r="DS581" s="68" t="str">
        <f t="shared" si="808"/>
        <v/>
      </c>
      <c r="DT581" s="66" t="str">
        <f>+IF($W581="","",ROUND(IF($B581&gt;Parámetros!$D$107,'Tablas Servicio'!DR581+('Tablas Servicio'!DT580-'Tablas Servicio'!DR580),DR581/(1-IF(B581&lt;=10,Parámetros!$D$100,0))),2))</f>
        <v/>
      </c>
      <c r="DU581" s="66" t="str">
        <f t="shared" si="809"/>
        <v/>
      </c>
      <c r="DV581" s="66" t="str">
        <f t="shared" si="809"/>
        <v/>
      </c>
      <c r="DW581" s="66" t="str">
        <f>+IF($W581="","",ROUND((DT581*Parámetros!$G$85),2))</f>
        <v/>
      </c>
      <c r="DX581" s="66" t="str">
        <f>+IF($W581="","",ROUND((DT581*(Parámetros!$G$86)),2))</f>
        <v/>
      </c>
      <c r="DY581" s="66" t="str">
        <f t="shared" si="810"/>
        <v/>
      </c>
      <c r="DZ581" t="str">
        <f t="shared" si="851"/>
        <v/>
      </c>
      <c r="EA581" s="118" t="str">
        <f t="shared" si="851"/>
        <v/>
      </c>
      <c r="EB581" s="118" t="str">
        <f>+IF($W581="","",ROUND(IF(Parámetros!$D$25='TABLAS MORT'!$V$33,EB580,Z581/2),0))</f>
        <v/>
      </c>
      <c r="EC581" s="118" t="str">
        <f t="shared" si="851"/>
        <v/>
      </c>
      <c r="ED581" s="122" t="str">
        <f>+IF(OR($W581="",EB581=0),"",ROUND((VLOOKUP(ROUNDDOWN($D581-1/frec,0),cob_adi,DO$40,FALSE)*(1+i/frec)^-0.5*(1+Parámetros!$D$103)*(1+rec_fracc)/frec),6))</f>
        <v/>
      </c>
      <c r="EE581" s="66" t="str">
        <f t="shared" si="812"/>
        <v/>
      </c>
      <c r="EF581" s="68" t="str">
        <f t="shared" si="813"/>
        <v/>
      </c>
      <c r="EG581" s="66" t="str">
        <f>+IF($W581="","",ROUND(IF($B581&gt;Parámetros!$D$107,'Tablas Servicio'!EE581+('Tablas Servicio'!EG580-'Tablas Servicio'!EE580),EE581/(1-IF(B581&lt;=10,Parámetros!$D$100,0))),2))</f>
        <v/>
      </c>
      <c r="EH581" s="66" t="str">
        <f t="shared" si="814"/>
        <v/>
      </c>
      <c r="EI581" s="66" t="str">
        <f t="shared" si="814"/>
        <v/>
      </c>
      <c r="EJ581" s="66" t="str">
        <f>+IF($W581="","",ROUND((EG581*Parámetros!$G$85),2))</f>
        <v/>
      </c>
      <c r="EK581" s="66" t="str">
        <f>+IF($W581="","",ROUND((EG581*(Parámetros!$G$86)),2))</f>
        <v/>
      </c>
      <c r="EL581" s="66" t="str">
        <f t="shared" si="815"/>
        <v/>
      </c>
    </row>
    <row r="582" spans="1:142" x14ac:dyDescent="0.25">
      <c r="A582" t="str">
        <f>+IF($C582="","",ROUND(VLOOKUP('Tablas Servicio'!B582,Parámetros!$H$100:$J$159,IF(Parámetros!$E$16="F",2,3),FALSE),2))</f>
        <v/>
      </c>
      <c r="B582" t="str">
        <f t="shared" si="766"/>
        <v/>
      </c>
      <c r="C582" s="57" t="str">
        <f>+IF(D582="","",'Tablas Servicio'!C581+1)</f>
        <v/>
      </c>
      <c r="D582" s="56" t="str">
        <f>+IF(D581&lt;edadmaxtabla,D581+1/Parámetros!$E$25,"")</f>
        <v/>
      </c>
      <c r="E582" s="57" t="str">
        <f t="shared" si="776"/>
        <v/>
      </c>
      <c r="F582" s="59" t="str">
        <f t="shared" si="777"/>
        <v/>
      </c>
      <c r="G582" s="66" t="str">
        <f t="shared" si="767"/>
        <v/>
      </c>
      <c r="H582" s="66" t="str">
        <f t="shared" si="768"/>
        <v/>
      </c>
      <c r="I582" s="66" t="str">
        <f t="shared" si="816"/>
        <v/>
      </c>
      <c r="J582" s="66" t="str">
        <f t="shared" si="769"/>
        <v/>
      </c>
      <c r="K582" s="66" t="str">
        <f t="shared" si="770"/>
        <v/>
      </c>
      <c r="L582" s="66" t="str">
        <f t="shared" si="771"/>
        <v/>
      </c>
      <c r="M582" s="66" t="str">
        <f t="shared" si="772"/>
        <v/>
      </c>
      <c r="N582" s="66" t="str">
        <f>+IF(C582="","",ROUND(Parámetros!$D$23,2))</f>
        <v/>
      </c>
      <c r="O582" s="66" t="str">
        <f t="shared" si="773"/>
        <v/>
      </c>
      <c r="P582" s="66" t="str">
        <f>+IF($C582="","",ROUND(IF(B582&gt;Parámetros!$D$117,0,N582*Parámetros!$D$116-G582*Parámetros!$D$100),2))</f>
        <v/>
      </c>
      <c r="Q582" s="75" t="str">
        <f t="shared" si="817"/>
        <v/>
      </c>
      <c r="R582" s="75" t="str">
        <f t="shared" si="818"/>
        <v/>
      </c>
      <c r="S582" s="117" t="str">
        <f>+IF($C582="","",ROUND((S581+I582)*(1+Parámetros!$D$91),2))</f>
        <v/>
      </c>
      <c r="T582" s="117" t="str">
        <f>+IF($C582="","",ROUND(S582*VLOOKUP(B582,Parámetros!$C$30:$D$39,2,TRUE),2))</f>
        <v/>
      </c>
      <c r="U582" s="117" t="str">
        <f>+IF($C582="","",ROUND((U581+I582)*(1+Parámetros!$D$92),2))</f>
        <v/>
      </c>
      <c r="V582" s="117" t="str">
        <f>+IF($C582="","",ROUND(U582*VLOOKUP(B582,Parámetros!$C$30:$D$39,2,TRUE),2))</f>
        <v/>
      </c>
      <c r="W582" s="57" t="str">
        <f t="shared" si="819"/>
        <v/>
      </c>
      <c r="X582" t="str">
        <f t="shared" si="820"/>
        <v/>
      </c>
      <c r="Y582" t="str">
        <f t="shared" si="821"/>
        <v/>
      </c>
      <c r="Z582" s="118" t="str">
        <f>+IF($W582="","",ROUND(IF(Parámetros!$D$25='TABLAS MORT'!$V$33,Z581,Parámetros!$D$21-'Tablas Servicio'!T581),0))</f>
        <v/>
      </c>
      <c r="AA582" s="118" t="str">
        <f t="shared" si="822"/>
        <v/>
      </c>
      <c r="AB582" s="119" t="str">
        <f>+IF(W582="","",ROUND((VLOOKUP(ROUNDDOWN($D582-1/frec,0),qx_tabla,2,FALSE)*(1+i/frec)^-0.5*(1+Parámetros!$D$103)*(1+rec_fracc)/frec),6))</f>
        <v/>
      </c>
      <c r="AC582" s="66" t="str">
        <f t="shared" si="778"/>
        <v/>
      </c>
      <c r="AD582" s="119" t="str">
        <f t="shared" si="774"/>
        <v/>
      </c>
      <c r="AE582" s="66" t="str">
        <f>+IF($W582="","",ROUND(IF($B582&gt;Parámetros!$D$107,'Tablas Servicio'!AC582+('Tablas Servicio'!AG581-'Tablas Servicio'!AC581),AC582/(1-IF(B582&lt;=10,Parámetros!$D$104,Parámetros!$D$105))),2))</f>
        <v/>
      </c>
      <c r="AF582" s="66" t="str">
        <f>+IF($W582="","",ROUND(IF($B582&gt;Parámetros!$D$107,'Tablas Servicio'!AC582+('Tablas Servicio'!AG581-'Tablas Servicio'!AC581),(AC582+$A581/frec)/(1-IF(B582&lt;=Parámetros!$D$117,Parámetros!$D$100,0))),2))</f>
        <v/>
      </c>
      <c r="AG582" s="66" t="str">
        <f t="shared" si="779"/>
        <v/>
      </c>
      <c r="AH582" s="66" t="str">
        <f t="shared" si="780"/>
        <v/>
      </c>
      <c r="AI582" s="66" t="str">
        <f t="shared" si="781"/>
        <v/>
      </c>
      <c r="AJ582" s="66" t="str">
        <f>+IF($W582="","",ROUND((AG582*Parámetros!$G$85),2))</f>
        <v/>
      </c>
      <c r="AK582" s="66" t="str">
        <f>+IF($W582="","",ROUND((AG582*(Parámetros!$G$86)),2))</f>
        <v/>
      </c>
      <c r="AL582" s="66" t="str">
        <f t="shared" si="775"/>
        <v/>
      </c>
      <c r="AM582" t="str">
        <f t="shared" si="823"/>
        <v/>
      </c>
      <c r="AN582" t="str">
        <f t="shared" si="824"/>
        <v/>
      </c>
      <c r="AO582" s="118" t="str">
        <f t="shared" si="825"/>
        <v/>
      </c>
      <c r="AP582" s="118" t="str">
        <f t="shared" si="826"/>
        <v/>
      </c>
      <c r="AQ582" s="119" t="str">
        <f>+IF(OR($W582="",AO582=0),"",ROUND((VLOOKUP(ROUNDDOWN($D582-1/frec,0),cob_adi,Z$40,FALSE)*(1+i/frec)^-0.5*(1+Parámetros!$D$103)*(1+rec_fracc)/frec),6))</f>
        <v/>
      </c>
      <c r="AR582" s="66" t="str">
        <f t="shared" si="782"/>
        <v/>
      </c>
      <c r="AS582" s="119" t="str">
        <f t="shared" si="783"/>
        <v/>
      </c>
      <c r="AT582" s="66" t="str">
        <f>+IF($W582="","",ROUND(IF($B582&gt;Parámetros!$D$107,'Tablas Servicio'!AR582+('Tablas Servicio'!AT581-'Tablas Servicio'!AR581),AR582/(1-IF(B582&lt;=10,Parámetros!$D$100,0))),2))</f>
        <v/>
      </c>
      <c r="AU582" s="66" t="str">
        <f t="shared" si="784"/>
        <v/>
      </c>
      <c r="AV582" s="66" t="str">
        <f t="shared" si="784"/>
        <v/>
      </c>
      <c r="AW582" s="66" t="str">
        <f>+IF($W582="","",ROUND((AT582*Parámetros!$G$85),2))</f>
        <v/>
      </c>
      <c r="AX582" s="66" t="str">
        <f>+IF($W582="","",ROUND((AT582*(Parámetros!$G$86)),2))</f>
        <v/>
      </c>
      <c r="AY582" s="66" t="str">
        <f t="shared" si="785"/>
        <v/>
      </c>
      <c r="AZ582" t="str">
        <f t="shared" si="827"/>
        <v/>
      </c>
      <c r="BA582" t="str">
        <f t="shared" si="828"/>
        <v/>
      </c>
      <c r="BB582" s="118" t="str">
        <f t="shared" si="829"/>
        <v/>
      </c>
      <c r="BC582" s="118" t="str">
        <f t="shared" si="830"/>
        <v/>
      </c>
      <c r="BD582" s="119" t="str">
        <f>+IF(OR($W582="",BB582=0),"",ROUND((VLOOKUP(ROUNDDOWN($D582-1/frec,0),cob_adi,AO$40,FALSE)*(1+i/frec)^-0.5*(1+Parámetros!$D$103)*(1+rec_fracc)/frec),6))</f>
        <v/>
      </c>
      <c r="BE582" s="66" t="str">
        <f t="shared" si="786"/>
        <v/>
      </c>
      <c r="BF582" s="119" t="str">
        <f t="shared" si="787"/>
        <v/>
      </c>
      <c r="BG582" s="66" t="str">
        <f>+IF($W582="","",ROUND(IF($B582&gt;Parámetros!$D$107,'Tablas Servicio'!BE582+('Tablas Servicio'!BG581-'Tablas Servicio'!BE581),BE582/(1-IF(B582&lt;=10,Parámetros!$D$100,0))),2))</f>
        <v/>
      </c>
      <c r="BH582" s="66" t="str">
        <f t="shared" si="788"/>
        <v/>
      </c>
      <c r="BI582" s="66" t="str">
        <f t="shared" si="789"/>
        <v/>
      </c>
      <c r="BJ582" s="66" t="str">
        <f>+IF($W582="","",ROUND((BG582*Parámetros!$G$85),2))</f>
        <v/>
      </c>
      <c r="BK582" s="66" t="str">
        <f>+IF($W582="","",ROUND((BG582*(Parámetros!$G$86)),2))</f>
        <v/>
      </c>
      <c r="BL582" s="66" t="str">
        <f t="shared" si="790"/>
        <v/>
      </c>
      <c r="BM582" t="str">
        <f t="shared" si="831"/>
        <v/>
      </c>
      <c r="BN582" t="str">
        <f t="shared" si="832"/>
        <v/>
      </c>
      <c r="BO582" s="118" t="str">
        <f t="shared" si="833"/>
        <v/>
      </c>
      <c r="BP582" s="118" t="str">
        <f t="shared" si="834"/>
        <v/>
      </c>
      <c r="BQ582" s="119" t="str">
        <f>+IF(OR($W582="",BO582=0),"",ROUND((VLOOKUP(ROUNDDOWN($D582-1/frec,0),cob_adi,BB$40,FALSE)*(1+i/frec)^-0.5*(1+Parámetros!$D$103)*(1+rec_fracc)/frec),6))</f>
        <v/>
      </c>
      <c r="BR582" s="66" t="str">
        <f t="shared" si="791"/>
        <v/>
      </c>
      <c r="BS582" s="119" t="str">
        <f t="shared" si="792"/>
        <v/>
      </c>
      <c r="BT582" s="66" t="str">
        <f>+IF($W582="","",ROUND(IF($B582&gt;Parámetros!$D$107,'Tablas Servicio'!BR582+('Tablas Servicio'!BT581-'Tablas Servicio'!BR581),BR582/(1-IF(B582&lt;=10,Parámetros!$D$100,0))),2))</f>
        <v/>
      </c>
      <c r="BU582" s="66" t="str">
        <f t="shared" si="793"/>
        <v/>
      </c>
      <c r="BV582" s="66" t="str">
        <f t="shared" si="793"/>
        <v/>
      </c>
      <c r="BW582" s="66" t="str">
        <f>+IF($W582="","",ROUND((BT582*Parámetros!$G$85),2))</f>
        <v/>
      </c>
      <c r="BX582" s="66" t="str">
        <f>+IF($W582="","",ROUND((BT582*(Parámetros!$G$86)),2))</f>
        <v/>
      </c>
      <c r="BY582" s="66" t="str">
        <f t="shared" si="794"/>
        <v/>
      </c>
      <c r="BZ582" t="str">
        <f t="shared" si="835"/>
        <v/>
      </c>
      <c r="CA582" t="str">
        <f t="shared" si="836"/>
        <v/>
      </c>
      <c r="CB582" s="118" t="str">
        <f t="shared" si="837"/>
        <v/>
      </c>
      <c r="CC582" s="118" t="str">
        <f t="shared" si="838"/>
        <v/>
      </c>
      <c r="CD582" s="119" t="str">
        <f t="shared" si="795"/>
        <v/>
      </c>
      <c r="CE582" s="66" t="str">
        <f>+IF($W582="","",ROUND((VLOOKUP(ROUNDDOWN($D582-1/frec,0),cob_adi,BO$40,FALSE)*(1+i/frec)^-0.5*(1+Parámetros!$D$103)*(1+rec_fracc)/frec*'TABLAS ADI'!$BC$17),2))</f>
        <v/>
      </c>
      <c r="CF582" s="119" t="str">
        <f t="shared" si="796"/>
        <v/>
      </c>
      <c r="CG582" s="66" t="str">
        <f>+IF($W582="","",ROUND(IF($B582&gt;Parámetros!$D$107,'Tablas Servicio'!CE582+('Tablas Servicio'!CG581-'Tablas Servicio'!CE581),CE582/(1-IF(B582&lt;=10,Parámetros!$D$100,0))),2))</f>
        <v/>
      </c>
      <c r="CH582" s="66" t="str">
        <f t="shared" si="797"/>
        <v/>
      </c>
      <c r="CI582" s="66" t="str">
        <f t="shared" si="797"/>
        <v/>
      </c>
      <c r="CJ582" s="66" t="str">
        <f>+IF($W582="","",ROUND((CG582*Parámetros!$G$85),2))</f>
        <v/>
      </c>
      <c r="CK582" s="66" t="str">
        <f>+IF($W582="","",ROUND((CG582*(Parámetros!$G$86)),2))</f>
        <v/>
      </c>
      <c r="CL582" s="66" t="str">
        <f t="shared" si="798"/>
        <v/>
      </c>
      <c r="CM582" t="str">
        <f t="shared" si="839"/>
        <v/>
      </c>
      <c r="CN582" s="118" t="str">
        <f t="shared" si="840"/>
        <v/>
      </c>
      <c r="CO582" s="118" t="str">
        <f t="shared" si="841"/>
        <v/>
      </c>
      <c r="CP582" s="118" t="str">
        <f t="shared" si="842"/>
        <v/>
      </c>
      <c r="CQ582" s="119" t="str">
        <f t="shared" si="799"/>
        <v/>
      </c>
      <c r="CR582" s="66" t="str">
        <f>+IF($W582="","",ROUND((VLOOKUP(Parámetros!$F$51,'COBERTURAS ADICIONALES'!$S$4:$T$32,2,FALSE)*(1+i/frec)^-0.5*(1+Parámetros!$D$103)*(1+rec_fracc)/frec*$CO$42),2))</f>
        <v/>
      </c>
      <c r="CS582" s="119" t="str">
        <f t="shared" si="800"/>
        <v/>
      </c>
      <c r="CT582" s="66" t="str">
        <f>+IF($W582="","",ROUND(IF($B582&gt;Parámetros!$D$107,'Tablas Servicio'!CR582+('Tablas Servicio'!CT581-'Tablas Servicio'!CR581),CR582/(1-IF(B582&lt;=10,Parámetros!$D$100,0))),2))</f>
        <v/>
      </c>
      <c r="CU582" s="66" t="str">
        <f t="shared" si="801"/>
        <v/>
      </c>
      <c r="CV582" s="66" t="str">
        <f t="shared" si="801"/>
        <v/>
      </c>
      <c r="CW582" s="66" t="str">
        <f>+IF($W582="","",ROUND((CT582*Parámetros!$G$85),2))</f>
        <v/>
      </c>
      <c r="CX582" s="66" t="str">
        <f>+IF($W582="","",ROUND((CT582*(Parámetros!$G$86)),2))</f>
        <v/>
      </c>
      <c r="CY582" s="66" t="str">
        <f t="shared" si="802"/>
        <v/>
      </c>
      <c r="CZ582" t="str">
        <f t="shared" si="843"/>
        <v/>
      </c>
      <c r="DA582" s="118" t="str">
        <f t="shared" si="844"/>
        <v/>
      </c>
      <c r="DB582" s="118" t="str">
        <f t="shared" si="845"/>
        <v/>
      </c>
      <c r="DC582" s="118" t="str">
        <f t="shared" si="846"/>
        <v/>
      </c>
      <c r="DD582" s="121" t="str">
        <f>+IF(OR($W582="",DB582=0),"",ROUND((VLOOKUP(ROUNDDOWN($D582-1/frec,0),cob_adi,CO$40,FALSE)*(1+i/frec)^-0.5*(1+Parámetros!$D$103)*(1+rec_fracc)/frec),6))</f>
        <v/>
      </c>
      <c r="DE582" s="66" t="str">
        <f t="shared" si="803"/>
        <v/>
      </c>
      <c r="DF582" s="119" t="str">
        <f t="shared" si="804"/>
        <v/>
      </c>
      <c r="DG582" s="66" t="str">
        <f>+IF($W582="","",ROUND(IF($B582&gt;Parámetros!$D$107,'Tablas Servicio'!DE582+('Tablas Servicio'!DG581-'Tablas Servicio'!DE581),DE582/(1-IF(B582&lt;=10,Parámetros!$D$100,0))),2))</f>
        <v/>
      </c>
      <c r="DH582" s="66" t="str">
        <f t="shared" si="805"/>
        <v/>
      </c>
      <c r="DI582" s="66" t="str">
        <f t="shared" si="805"/>
        <v/>
      </c>
      <c r="DJ582" s="66" t="str">
        <f>+IF($W582="","",ROUND((DG582*Parámetros!$G$85),2))</f>
        <v/>
      </c>
      <c r="DK582" s="66" t="str">
        <f>+IF($W582="","",ROUND((DG582*(Parámetros!$G$86)),2))</f>
        <v/>
      </c>
      <c r="DL582" s="66" t="str">
        <f t="shared" si="806"/>
        <v/>
      </c>
      <c r="DM582" t="str">
        <f t="shared" si="847"/>
        <v/>
      </c>
      <c r="DN582" s="118" t="str">
        <f t="shared" si="848"/>
        <v/>
      </c>
      <c r="DO582" s="118" t="str">
        <f t="shared" si="849"/>
        <v/>
      </c>
      <c r="DP582" s="118" t="str">
        <f t="shared" si="850"/>
        <v/>
      </c>
      <c r="DQ582" s="122" t="str">
        <f>+IF(OR($W582="",DO582=0),"",ROUND((VLOOKUP(ROUNDDOWN($D582-1/frec,0),cob_adi,DB$40,FALSE)*(1+i/frec)^-0.5*(1+Parámetros!$D$103)*(1+rec_fracc)/frec),6))</f>
        <v/>
      </c>
      <c r="DR582" s="66" t="str">
        <f t="shared" si="807"/>
        <v/>
      </c>
      <c r="DS582" s="68" t="str">
        <f t="shared" si="808"/>
        <v/>
      </c>
      <c r="DT582" s="66" t="str">
        <f>+IF($W582="","",ROUND(IF($B582&gt;Parámetros!$D$107,'Tablas Servicio'!DR582+('Tablas Servicio'!DT581-'Tablas Servicio'!DR581),DR582/(1-IF(B582&lt;=10,Parámetros!$D$100,0))),2))</f>
        <v/>
      </c>
      <c r="DU582" s="66" t="str">
        <f t="shared" si="809"/>
        <v/>
      </c>
      <c r="DV582" s="66" t="str">
        <f t="shared" si="809"/>
        <v/>
      </c>
      <c r="DW582" s="66" t="str">
        <f>+IF($W582="","",ROUND((DT582*Parámetros!$G$85),2))</f>
        <v/>
      </c>
      <c r="DX582" s="66" t="str">
        <f>+IF($W582="","",ROUND((DT582*(Parámetros!$G$86)),2))</f>
        <v/>
      </c>
      <c r="DY582" s="66" t="str">
        <f t="shared" si="810"/>
        <v/>
      </c>
      <c r="DZ582" t="str">
        <f t="shared" si="851"/>
        <v/>
      </c>
      <c r="EA582" s="118" t="str">
        <f t="shared" si="851"/>
        <v/>
      </c>
      <c r="EB582" s="118" t="str">
        <f>+IF($W582="","",ROUND(IF(Parámetros!$D$25='TABLAS MORT'!$V$33,EB581,Z582/2),0))</f>
        <v/>
      </c>
      <c r="EC582" s="118" t="str">
        <f t="shared" si="851"/>
        <v/>
      </c>
      <c r="ED582" s="122" t="str">
        <f>+IF(OR($W582="",EB582=0),"",ROUND((VLOOKUP(ROUNDDOWN($D582-1/frec,0),cob_adi,DO$40,FALSE)*(1+i/frec)^-0.5*(1+Parámetros!$D$103)*(1+rec_fracc)/frec),6))</f>
        <v/>
      </c>
      <c r="EE582" s="66" t="str">
        <f t="shared" si="812"/>
        <v/>
      </c>
      <c r="EF582" s="68" t="str">
        <f t="shared" si="813"/>
        <v/>
      </c>
      <c r="EG582" s="66" t="str">
        <f>+IF($W582="","",ROUND(IF($B582&gt;Parámetros!$D$107,'Tablas Servicio'!EE582+('Tablas Servicio'!EG581-'Tablas Servicio'!EE581),EE582/(1-IF(B582&lt;=10,Parámetros!$D$100,0))),2))</f>
        <v/>
      </c>
      <c r="EH582" s="66" t="str">
        <f t="shared" si="814"/>
        <v/>
      </c>
      <c r="EI582" s="66" t="str">
        <f t="shared" si="814"/>
        <v/>
      </c>
      <c r="EJ582" s="66" t="str">
        <f>+IF($W582="","",ROUND((EG582*Parámetros!$G$85),2))</f>
        <v/>
      </c>
      <c r="EK582" s="66" t="str">
        <f>+IF($W582="","",ROUND((EG582*(Parámetros!$G$86)),2))</f>
        <v/>
      </c>
      <c r="EL582" s="66" t="str">
        <f t="shared" si="815"/>
        <v/>
      </c>
    </row>
    <row r="583" spans="1:142" x14ac:dyDescent="0.25">
      <c r="A583" t="str">
        <f>+IF($C583="","",ROUND(VLOOKUP('Tablas Servicio'!B583,Parámetros!$H$100:$J$159,IF(Parámetros!$E$16="F",2,3),FALSE),2))</f>
        <v/>
      </c>
      <c r="B583" t="str">
        <f t="shared" si="766"/>
        <v/>
      </c>
      <c r="C583" s="57" t="str">
        <f>+IF(D583="","",'Tablas Servicio'!C582+1)</f>
        <v/>
      </c>
      <c r="D583" s="56" t="str">
        <f>+IF(D582&lt;edadmaxtabla,D582+1/Parámetros!$E$25,"")</f>
        <v/>
      </c>
      <c r="E583" s="57" t="str">
        <f t="shared" si="776"/>
        <v/>
      </c>
      <c r="F583" s="59" t="str">
        <f t="shared" si="777"/>
        <v/>
      </c>
      <c r="G583" s="66" t="str">
        <f t="shared" si="767"/>
        <v/>
      </c>
      <c r="H583" s="66" t="str">
        <f t="shared" si="768"/>
        <v/>
      </c>
      <c r="I583" s="66" t="str">
        <f t="shared" si="816"/>
        <v/>
      </c>
      <c r="J583" s="66" t="str">
        <f t="shared" si="769"/>
        <v/>
      </c>
      <c r="K583" s="66" t="str">
        <f t="shared" si="770"/>
        <v/>
      </c>
      <c r="L583" s="66" t="str">
        <f t="shared" si="771"/>
        <v/>
      </c>
      <c r="M583" s="66" t="str">
        <f t="shared" si="772"/>
        <v/>
      </c>
      <c r="N583" s="66" t="str">
        <f>+IF(C583="","",ROUND(Parámetros!$D$23,2))</f>
        <v/>
      </c>
      <c r="O583" s="66" t="str">
        <f t="shared" si="773"/>
        <v/>
      </c>
      <c r="P583" s="66" t="str">
        <f>+IF($C583="","",ROUND(IF(B583&gt;Parámetros!$D$117,0,N583*Parámetros!$D$116-G583*Parámetros!$D$100),2))</f>
        <v/>
      </c>
      <c r="Q583" s="75" t="str">
        <f t="shared" si="817"/>
        <v/>
      </c>
      <c r="R583" s="75" t="str">
        <f t="shared" si="818"/>
        <v/>
      </c>
      <c r="S583" s="117" t="str">
        <f>+IF($C583="","",ROUND((S582+I583)*(1+Parámetros!$D$91),2))</f>
        <v/>
      </c>
      <c r="T583" s="117" t="str">
        <f>+IF($C583="","",ROUND(S583*VLOOKUP(B583,Parámetros!$C$30:$D$39,2,TRUE),2))</f>
        <v/>
      </c>
      <c r="U583" s="117" t="str">
        <f>+IF($C583="","",ROUND((U582+I583)*(1+Parámetros!$D$92),2))</f>
        <v/>
      </c>
      <c r="V583" s="117" t="str">
        <f>+IF($C583="","",ROUND(U583*VLOOKUP(B583,Parámetros!$C$30:$D$39,2,TRUE),2))</f>
        <v/>
      </c>
      <c r="W583" s="57" t="str">
        <f t="shared" si="819"/>
        <v/>
      </c>
      <c r="X583" t="str">
        <f t="shared" si="820"/>
        <v/>
      </c>
      <c r="Y583" t="str">
        <f t="shared" si="821"/>
        <v/>
      </c>
      <c r="Z583" s="118" t="str">
        <f>+IF($W583="","",ROUND(IF(Parámetros!$D$25='TABLAS MORT'!$V$33,Z582,Parámetros!$D$21-'Tablas Servicio'!T582),0))</f>
        <v/>
      </c>
      <c r="AA583" s="118" t="str">
        <f t="shared" si="822"/>
        <v/>
      </c>
      <c r="AB583" s="119" t="str">
        <f>+IF(W583="","",ROUND((VLOOKUP(ROUNDDOWN($D583-1/frec,0),qx_tabla,2,FALSE)*(1+i/frec)^-0.5*(1+Parámetros!$D$103)*(1+rec_fracc)/frec),6))</f>
        <v/>
      </c>
      <c r="AC583" s="66" t="str">
        <f t="shared" si="778"/>
        <v/>
      </c>
      <c r="AD583" s="119" t="str">
        <f t="shared" si="774"/>
        <v/>
      </c>
      <c r="AE583" s="66" t="str">
        <f>+IF($W583="","",ROUND(IF($B583&gt;Parámetros!$D$107,'Tablas Servicio'!AC583+('Tablas Servicio'!AG582-'Tablas Servicio'!AC582),AC583/(1-IF(B583&lt;=10,Parámetros!$D$104,Parámetros!$D$105))),2))</f>
        <v/>
      </c>
      <c r="AF583" s="66" t="str">
        <f>+IF($W583="","",ROUND(IF($B583&gt;Parámetros!$D$107,'Tablas Servicio'!AC583+('Tablas Servicio'!AG582-'Tablas Servicio'!AC582),(AC583+$A582/frec)/(1-IF(B583&lt;=Parámetros!$D$117,Parámetros!$D$100,0))),2))</f>
        <v/>
      </c>
      <c r="AG583" s="66" t="str">
        <f t="shared" si="779"/>
        <v/>
      </c>
      <c r="AH583" s="66" t="str">
        <f t="shared" si="780"/>
        <v/>
      </c>
      <c r="AI583" s="66" t="str">
        <f t="shared" si="781"/>
        <v/>
      </c>
      <c r="AJ583" s="66" t="str">
        <f>+IF($W583="","",ROUND((AG583*Parámetros!$G$85),2))</f>
        <v/>
      </c>
      <c r="AK583" s="66" t="str">
        <f>+IF($W583="","",ROUND((AG583*(Parámetros!$G$86)),2))</f>
        <v/>
      </c>
      <c r="AL583" s="66" t="str">
        <f t="shared" si="775"/>
        <v/>
      </c>
      <c r="AM583" t="str">
        <f t="shared" si="823"/>
        <v/>
      </c>
      <c r="AN583" t="str">
        <f t="shared" si="824"/>
        <v/>
      </c>
      <c r="AO583" s="118" t="str">
        <f t="shared" si="825"/>
        <v/>
      </c>
      <c r="AP583" s="118" t="str">
        <f t="shared" si="826"/>
        <v/>
      </c>
      <c r="AQ583" s="119" t="str">
        <f>+IF(OR($W583="",AO583=0),"",ROUND((VLOOKUP(ROUNDDOWN($D583-1/frec,0),cob_adi,Z$40,FALSE)*(1+i/frec)^-0.5*(1+Parámetros!$D$103)*(1+rec_fracc)/frec),6))</f>
        <v/>
      </c>
      <c r="AR583" s="66" t="str">
        <f t="shared" si="782"/>
        <v/>
      </c>
      <c r="AS583" s="119" t="str">
        <f t="shared" si="783"/>
        <v/>
      </c>
      <c r="AT583" s="66" t="str">
        <f>+IF($W583="","",ROUND(IF($B583&gt;Parámetros!$D$107,'Tablas Servicio'!AR583+('Tablas Servicio'!AT582-'Tablas Servicio'!AR582),AR583/(1-IF(B583&lt;=10,Parámetros!$D$100,0))),2))</f>
        <v/>
      </c>
      <c r="AU583" s="66" t="str">
        <f t="shared" si="784"/>
        <v/>
      </c>
      <c r="AV583" s="66" t="str">
        <f t="shared" si="784"/>
        <v/>
      </c>
      <c r="AW583" s="66" t="str">
        <f>+IF($W583="","",ROUND((AT583*Parámetros!$G$85),2))</f>
        <v/>
      </c>
      <c r="AX583" s="66" t="str">
        <f>+IF($W583="","",ROUND((AT583*(Parámetros!$G$86)),2))</f>
        <v/>
      </c>
      <c r="AY583" s="66" t="str">
        <f t="shared" si="785"/>
        <v/>
      </c>
      <c r="AZ583" t="str">
        <f t="shared" si="827"/>
        <v/>
      </c>
      <c r="BA583" t="str">
        <f t="shared" si="828"/>
        <v/>
      </c>
      <c r="BB583" s="118" t="str">
        <f t="shared" si="829"/>
        <v/>
      </c>
      <c r="BC583" s="118" t="str">
        <f t="shared" si="830"/>
        <v/>
      </c>
      <c r="BD583" s="119" t="str">
        <f>+IF(OR($W583="",BB583=0),"",ROUND((VLOOKUP(ROUNDDOWN($D583-1/frec,0),cob_adi,AO$40,FALSE)*(1+i/frec)^-0.5*(1+Parámetros!$D$103)*(1+rec_fracc)/frec),6))</f>
        <v/>
      </c>
      <c r="BE583" s="66" t="str">
        <f t="shared" si="786"/>
        <v/>
      </c>
      <c r="BF583" s="119" t="str">
        <f t="shared" si="787"/>
        <v/>
      </c>
      <c r="BG583" s="66" t="str">
        <f>+IF($W583="","",ROUND(IF($B583&gt;Parámetros!$D$107,'Tablas Servicio'!BE583+('Tablas Servicio'!BG582-'Tablas Servicio'!BE582),BE583/(1-IF(B583&lt;=10,Parámetros!$D$100,0))),2))</f>
        <v/>
      </c>
      <c r="BH583" s="66" t="str">
        <f t="shared" si="788"/>
        <v/>
      </c>
      <c r="BI583" s="66" t="str">
        <f t="shared" si="789"/>
        <v/>
      </c>
      <c r="BJ583" s="66" t="str">
        <f>+IF($W583="","",ROUND((BG583*Parámetros!$G$85),2))</f>
        <v/>
      </c>
      <c r="BK583" s="66" t="str">
        <f>+IF($W583="","",ROUND((BG583*(Parámetros!$G$86)),2))</f>
        <v/>
      </c>
      <c r="BL583" s="66" t="str">
        <f t="shared" si="790"/>
        <v/>
      </c>
      <c r="BM583" t="str">
        <f t="shared" si="831"/>
        <v/>
      </c>
      <c r="BN583" t="str">
        <f t="shared" si="832"/>
        <v/>
      </c>
      <c r="BO583" s="118" t="str">
        <f t="shared" si="833"/>
        <v/>
      </c>
      <c r="BP583" s="118" t="str">
        <f t="shared" si="834"/>
        <v/>
      </c>
      <c r="BQ583" s="119" t="str">
        <f>+IF(OR($W583="",BO583=0),"",ROUND((VLOOKUP(ROUNDDOWN($D583-1/frec,0),cob_adi,BB$40,FALSE)*(1+i/frec)^-0.5*(1+Parámetros!$D$103)*(1+rec_fracc)/frec),6))</f>
        <v/>
      </c>
      <c r="BR583" s="66" t="str">
        <f t="shared" si="791"/>
        <v/>
      </c>
      <c r="BS583" s="119" t="str">
        <f t="shared" si="792"/>
        <v/>
      </c>
      <c r="BT583" s="66" t="str">
        <f>+IF($W583="","",ROUND(IF($B583&gt;Parámetros!$D$107,'Tablas Servicio'!BR583+('Tablas Servicio'!BT582-'Tablas Servicio'!BR582),BR583/(1-IF(B583&lt;=10,Parámetros!$D$100,0))),2))</f>
        <v/>
      </c>
      <c r="BU583" s="66" t="str">
        <f t="shared" si="793"/>
        <v/>
      </c>
      <c r="BV583" s="66" t="str">
        <f t="shared" si="793"/>
        <v/>
      </c>
      <c r="BW583" s="66" t="str">
        <f>+IF($W583="","",ROUND((BT583*Parámetros!$G$85),2))</f>
        <v/>
      </c>
      <c r="BX583" s="66" t="str">
        <f>+IF($W583="","",ROUND((BT583*(Parámetros!$G$86)),2))</f>
        <v/>
      </c>
      <c r="BY583" s="66" t="str">
        <f t="shared" si="794"/>
        <v/>
      </c>
      <c r="BZ583" t="str">
        <f t="shared" si="835"/>
        <v/>
      </c>
      <c r="CA583" t="str">
        <f t="shared" si="836"/>
        <v/>
      </c>
      <c r="CB583" s="118" t="str">
        <f t="shared" si="837"/>
        <v/>
      </c>
      <c r="CC583" s="118" t="str">
        <f t="shared" si="838"/>
        <v/>
      </c>
      <c r="CD583" s="119" t="str">
        <f t="shared" si="795"/>
        <v/>
      </c>
      <c r="CE583" s="66" t="str">
        <f>+IF($W583="","",ROUND((VLOOKUP(ROUNDDOWN($D583-1/frec,0),cob_adi,BO$40,FALSE)*(1+i/frec)^-0.5*(1+Parámetros!$D$103)*(1+rec_fracc)/frec*'TABLAS ADI'!$BC$17),2))</f>
        <v/>
      </c>
      <c r="CF583" s="119" t="str">
        <f t="shared" si="796"/>
        <v/>
      </c>
      <c r="CG583" s="66" t="str">
        <f>+IF($W583="","",ROUND(IF($B583&gt;Parámetros!$D$107,'Tablas Servicio'!CE583+('Tablas Servicio'!CG582-'Tablas Servicio'!CE582),CE583/(1-IF(B583&lt;=10,Parámetros!$D$100,0))),2))</f>
        <v/>
      </c>
      <c r="CH583" s="66" t="str">
        <f t="shared" si="797"/>
        <v/>
      </c>
      <c r="CI583" s="66" t="str">
        <f t="shared" si="797"/>
        <v/>
      </c>
      <c r="CJ583" s="66" t="str">
        <f>+IF($W583="","",ROUND((CG583*Parámetros!$G$85),2))</f>
        <v/>
      </c>
      <c r="CK583" s="66" t="str">
        <f>+IF($W583="","",ROUND((CG583*(Parámetros!$G$86)),2))</f>
        <v/>
      </c>
      <c r="CL583" s="66" t="str">
        <f t="shared" si="798"/>
        <v/>
      </c>
      <c r="CM583" t="str">
        <f t="shared" si="839"/>
        <v/>
      </c>
      <c r="CN583" s="118" t="str">
        <f t="shared" si="840"/>
        <v/>
      </c>
      <c r="CO583" s="118" t="str">
        <f t="shared" si="841"/>
        <v/>
      </c>
      <c r="CP583" s="118" t="str">
        <f t="shared" si="842"/>
        <v/>
      </c>
      <c r="CQ583" s="119" t="str">
        <f t="shared" si="799"/>
        <v/>
      </c>
      <c r="CR583" s="66" t="str">
        <f>+IF($W583="","",ROUND((VLOOKUP(Parámetros!$F$51,'COBERTURAS ADICIONALES'!$S$4:$T$32,2,FALSE)*(1+i/frec)^-0.5*(1+Parámetros!$D$103)*(1+rec_fracc)/frec*$CO$42),2))</f>
        <v/>
      </c>
      <c r="CS583" s="119" t="str">
        <f t="shared" si="800"/>
        <v/>
      </c>
      <c r="CT583" s="66" t="str">
        <f>+IF($W583="","",ROUND(IF($B583&gt;Parámetros!$D$107,'Tablas Servicio'!CR583+('Tablas Servicio'!CT582-'Tablas Servicio'!CR582),CR583/(1-IF(B583&lt;=10,Parámetros!$D$100,0))),2))</f>
        <v/>
      </c>
      <c r="CU583" s="66" t="str">
        <f t="shared" si="801"/>
        <v/>
      </c>
      <c r="CV583" s="66" t="str">
        <f t="shared" si="801"/>
        <v/>
      </c>
      <c r="CW583" s="66" t="str">
        <f>+IF($W583="","",ROUND((CT583*Parámetros!$G$85),2))</f>
        <v/>
      </c>
      <c r="CX583" s="66" t="str">
        <f>+IF($W583="","",ROUND((CT583*(Parámetros!$G$86)),2))</f>
        <v/>
      </c>
      <c r="CY583" s="66" t="str">
        <f t="shared" si="802"/>
        <v/>
      </c>
      <c r="CZ583" t="str">
        <f t="shared" si="843"/>
        <v/>
      </c>
      <c r="DA583" s="118" t="str">
        <f t="shared" si="844"/>
        <v/>
      </c>
      <c r="DB583" s="118" t="str">
        <f t="shared" si="845"/>
        <v/>
      </c>
      <c r="DC583" s="118" t="str">
        <f t="shared" si="846"/>
        <v/>
      </c>
      <c r="DD583" s="121" t="str">
        <f>+IF(OR($W583="",DB583=0),"",ROUND((VLOOKUP(ROUNDDOWN($D583-1/frec,0),cob_adi,CO$40,FALSE)*(1+i/frec)^-0.5*(1+Parámetros!$D$103)*(1+rec_fracc)/frec),6))</f>
        <v/>
      </c>
      <c r="DE583" s="66" t="str">
        <f t="shared" si="803"/>
        <v/>
      </c>
      <c r="DF583" s="119" t="str">
        <f t="shared" si="804"/>
        <v/>
      </c>
      <c r="DG583" s="66" t="str">
        <f>+IF($W583="","",ROUND(IF($B583&gt;Parámetros!$D$107,'Tablas Servicio'!DE583+('Tablas Servicio'!DG582-'Tablas Servicio'!DE582),DE583/(1-IF(B583&lt;=10,Parámetros!$D$100,0))),2))</f>
        <v/>
      </c>
      <c r="DH583" s="66" t="str">
        <f t="shared" si="805"/>
        <v/>
      </c>
      <c r="DI583" s="66" t="str">
        <f t="shared" si="805"/>
        <v/>
      </c>
      <c r="DJ583" s="66" t="str">
        <f>+IF($W583="","",ROUND((DG583*Parámetros!$G$85),2))</f>
        <v/>
      </c>
      <c r="DK583" s="66" t="str">
        <f>+IF($W583="","",ROUND((DG583*(Parámetros!$G$86)),2))</f>
        <v/>
      </c>
      <c r="DL583" s="66" t="str">
        <f t="shared" si="806"/>
        <v/>
      </c>
      <c r="DM583" t="str">
        <f t="shared" si="847"/>
        <v/>
      </c>
      <c r="DN583" s="118" t="str">
        <f t="shared" si="848"/>
        <v/>
      </c>
      <c r="DO583" s="118" t="str">
        <f t="shared" si="849"/>
        <v/>
      </c>
      <c r="DP583" s="118" t="str">
        <f t="shared" si="850"/>
        <v/>
      </c>
      <c r="DQ583" s="122" t="str">
        <f>+IF(OR($W583="",DO583=0),"",ROUND((VLOOKUP(ROUNDDOWN($D583-1/frec,0),cob_adi,DB$40,FALSE)*(1+i/frec)^-0.5*(1+Parámetros!$D$103)*(1+rec_fracc)/frec),6))</f>
        <v/>
      </c>
      <c r="DR583" s="66" t="str">
        <f t="shared" si="807"/>
        <v/>
      </c>
      <c r="DS583" s="68" t="str">
        <f t="shared" si="808"/>
        <v/>
      </c>
      <c r="DT583" s="66" t="str">
        <f>+IF($W583="","",ROUND(IF($B583&gt;Parámetros!$D$107,'Tablas Servicio'!DR583+('Tablas Servicio'!DT582-'Tablas Servicio'!DR582),DR583/(1-IF(B583&lt;=10,Parámetros!$D$100,0))),2))</f>
        <v/>
      </c>
      <c r="DU583" s="66" t="str">
        <f t="shared" si="809"/>
        <v/>
      </c>
      <c r="DV583" s="66" t="str">
        <f t="shared" si="809"/>
        <v/>
      </c>
      <c r="DW583" s="66" t="str">
        <f>+IF($W583="","",ROUND((DT583*Parámetros!$G$85),2))</f>
        <v/>
      </c>
      <c r="DX583" s="66" t="str">
        <f>+IF($W583="","",ROUND((DT583*(Parámetros!$G$86)),2))</f>
        <v/>
      </c>
      <c r="DY583" s="66" t="str">
        <f t="shared" si="810"/>
        <v/>
      </c>
      <c r="DZ583" t="str">
        <f t="shared" si="851"/>
        <v/>
      </c>
      <c r="EA583" s="118" t="str">
        <f t="shared" si="851"/>
        <v/>
      </c>
      <c r="EB583" s="118" t="str">
        <f>+IF($W583="","",ROUND(IF(Parámetros!$D$25='TABLAS MORT'!$V$33,EB582,Z583/2),0))</f>
        <v/>
      </c>
      <c r="EC583" s="118" t="str">
        <f t="shared" si="851"/>
        <v/>
      </c>
      <c r="ED583" s="122" t="str">
        <f>+IF(OR($W583="",EB583=0),"",ROUND((VLOOKUP(ROUNDDOWN($D583-1/frec,0),cob_adi,DO$40,FALSE)*(1+i/frec)^-0.5*(1+Parámetros!$D$103)*(1+rec_fracc)/frec),6))</f>
        <v/>
      </c>
      <c r="EE583" s="66" t="str">
        <f t="shared" si="812"/>
        <v/>
      </c>
      <c r="EF583" s="68" t="str">
        <f t="shared" si="813"/>
        <v/>
      </c>
      <c r="EG583" s="66" t="str">
        <f>+IF($W583="","",ROUND(IF($B583&gt;Parámetros!$D$107,'Tablas Servicio'!EE583+('Tablas Servicio'!EG582-'Tablas Servicio'!EE582),EE583/(1-IF(B583&lt;=10,Parámetros!$D$100,0))),2))</f>
        <v/>
      </c>
      <c r="EH583" s="66" t="str">
        <f t="shared" si="814"/>
        <v/>
      </c>
      <c r="EI583" s="66" t="str">
        <f t="shared" si="814"/>
        <v/>
      </c>
      <c r="EJ583" s="66" t="str">
        <f>+IF($W583="","",ROUND((EG583*Parámetros!$G$85),2))</f>
        <v/>
      </c>
      <c r="EK583" s="66" t="str">
        <f>+IF($W583="","",ROUND((EG583*(Parámetros!$G$86)),2))</f>
        <v/>
      </c>
      <c r="EL583" s="66" t="str">
        <f t="shared" si="815"/>
        <v/>
      </c>
    </row>
    <row r="584" spans="1:142" x14ac:dyDescent="0.25">
      <c r="A584" t="str">
        <f>+IF($C584="","",ROUND(VLOOKUP('Tablas Servicio'!B584,Parámetros!$H$100:$J$159,IF(Parámetros!$E$16="F",2,3),FALSE),2))</f>
        <v/>
      </c>
      <c r="B584" t="str">
        <f t="shared" si="766"/>
        <v/>
      </c>
      <c r="C584" s="57" t="str">
        <f>+IF(D584="","",'Tablas Servicio'!C583+1)</f>
        <v/>
      </c>
      <c r="D584" s="56" t="str">
        <f>+IF(D583&lt;edadmaxtabla,D583+1/Parámetros!$E$25,"")</f>
        <v/>
      </c>
      <c r="E584" s="57" t="str">
        <f t="shared" si="776"/>
        <v/>
      </c>
      <c r="F584" s="59" t="str">
        <f t="shared" si="777"/>
        <v/>
      </c>
      <c r="G584" s="66" t="str">
        <f t="shared" si="767"/>
        <v/>
      </c>
      <c r="H584" s="66" t="str">
        <f t="shared" si="768"/>
        <v/>
      </c>
      <c r="I584" s="66" t="str">
        <f t="shared" si="816"/>
        <v/>
      </c>
      <c r="J584" s="66" t="str">
        <f t="shared" si="769"/>
        <v/>
      </c>
      <c r="K584" s="66" t="str">
        <f t="shared" si="770"/>
        <v/>
      </c>
      <c r="L584" s="66" t="str">
        <f t="shared" si="771"/>
        <v/>
      </c>
      <c r="M584" s="66" t="str">
        <f t="shared" si="772"/>
        <v/>
      </c>
      <c r="N584" s="66" t="str">
        <f>+IF(C584="","",ROUND(Parámetros!$D$23,2))</f>
        <v/>
      </c>
      <c r="O584" s="66" t="str">
        <f t="shared" si="773"/>
        <v/>
      </c>
      <c r="P584" s="66" t="str">
        <f>+IF($C584="","",ROUND(IF(B584&gt;Parámetros!$D$117,0,N584*Parámetros!$D$116-G584*Parámetros!$D$100),2))</f>
        <v/>
      </c>
      <c r="Q584" s="75" t="str">
        <f t="shared" si="817"/>
        <v/>
      </c>
      <c r="R584" s="75" t="str">
        <f t="shared" si="818"/>
        <v/>
      </c>
      <c r="S584" s="117" t="str">
        <f>+IF($C584="","",ROUND((S583+I584)*(1+Parámetros!$D$91),2))</f>
        <v/>
      </c>
      <c r="T584" s="117" t="str">
        <f>+IF($C584="","",ROUND(S584*VLOOKUP(B584,Parámetros!$C$30:$D$39,2,TRUE),2))</f>
        <v/>
      </c>
      <c r="U584" s="117" t="str">
        <f>+IF($C584="","",ROUND((U583+I584)*(1+Parámetros!$D$92),2))</f>
        <v/>
      </c>
      <c r="V584" s="117" t="str">
        <f>+IF($C584="","",ROUND(U584*VLOOKUP(B584,Parámetros!$C$30:$D$39,2,TRUE),2))</f>
        <v/>
      </c>
      <c r="W584" s="57" t="str">
        <f t="shared" si="819"/>
        <v/>
      </c>
      <c r="X584" t="str">
        <f t="shared" si="820"/>
        <v/>
      </c>
      <c r="Y584" t="str">
        <f t="shared" si="821"/>
        <v/>
      </c>
      <c r="Z584" s="118" t="str">
        <f>+IF($W584="","",ROUND(IF(Parámetros!$D$25='TABLAS MORT'!$V$33,Z583,Parámetros!$D$21-'Tablas Servicio'!T583),0))</f>
        <v/>
      </c>
      <c r="AA584" s="118" t="str">
        <f t="shared" si="822"/>
        <v/>
      </c>
      <c r="AB584" s="119" t="str">
        <f>+IF(W584="","",ROUND((VLOOKUP(ROUNDDOWN($D584-1/frec,0),qx_tabla,2,FALSE)*(1+i/frec)^-0.5*(1+Parámetros!$D$103)*(1+rec_fracc)/frec),6))</f>
        <v/>
      </c>
      <c r="AC584" s="66" t="str">
        <f t="shared" si="778"/>
        <v/>
      </c>
      <c r="AD584" s="119" t="str">
        <f t="shared" si="774"/>
        <v/>
      </c>
      <c r="AE584" s="66" t="str">
        <f>+IF($W584="","",ROUND(IF($B584&gt;Parámetros!$D$107,'Tablas Servicio'!AC584+('Tablas Servicio'!AG583-'Tablas Servicio'!AC583),AC584/(1-IF(B584&lt;=10,Parámetros!$D$104,Parámetros!$D$105))),2))</f>
        <v/>
      </c>
      <c r="AF584" s="66" t="str">
        <f>+IF($W584="","",ROUND(IF($B584&gt;Parámetros!$D$107,'Tablas Servicio'!AC584+('Tablas Servicio'!AG583-'Tablas Servicio'!AC583),(AC584+$A583/frec)/(1-IF(B584&lt;=Parámetros!$D$117,Parámetros!$D$100,0))),2))</f>
        <v/>
      </c>
      <c r="AG584" s="66" t="str">
        <f t="shared" si="779"/>
        <v/>
      </c>
      <c r="AH584" s="66" t="str">
        <f t="shared" si="780"/>
        <v/>
      </c>
      <c r="AI584" s="66" t="str">
        <f t="shared" si="781"/>
        <v/>
      </c>
      <c r="AJ584" s="66" t="str">
        <f>+IF($W584="","",ROUND((AG584*Parámetros!$G$85),2))</f>
        <v/>
      </c>
      <c r="AK584" s="66" t="str">
        <f>+IF($W584="","",ROUND((AG584*(Parámetros!$G$86)),2))</f>
        <v/>
      </c>
      <c r="AL584" s="66" t="str">
        <f t="shared" si="775"/>
        <v/>
      </c>
      <c r="AM584" t="str">
        <f t="shared" si="823"/>
        <v/>
      </c>
      <c r="AN584" t="str">
        <f t="shared" si="824"/>
        <v/>
      </c>
      <c r="AO584" s="118" t="str">
        <f t="shared" si="825"/>
        <v/>
      </c>
      <c r="AP584" s="118" t="str">
        <f t="shared" si="826"/>
        <v/>
      </c>
      <c r="AQ584" s="119" t="str">
        <f>+IF(OR($W584="",AO584=0),"",ROUND((VLOOKUP(ROUNDDOWN($D584-1/frec,0),cob_adi,Z$40,FALSE)*(1+i/frec)^-0.5*(1+Parámetros!$D$103)*(1+rec_fracc)/frec),6))</f>
        <v/>
      </c>
      <c r="AR584" s="66" t="str">
        <f t="shared" si="782"/>
        <v/>
      </c>
      <c r="AS584" s="119" t="str">
        <f t="shared" si="783"/>
        <v/>
      </c>
      <c r="AT584" s="66" t="str">
        <f>+IF($W584="","",ROUND(IF($B584&gt;Parámetros!$D$107,'Tablas Servicio'!AR584+('Tablas Servicio'!AT583-'Tablas Servicio'!AR583),AR584/(1-IF(B584&lt;=10,Parámetros!$D$100,0))),2))</f>
        <v/>
      </c>
      <c r="AU584" s="66" t="str">
        <f t="shared" si="784"/>
        <v/>
      </c>
      <c r="AV584" s="66" t="str">
        <f t="shared" si="784"/>
        <v/>
      </c>
      <c r="AW584" s="66" t="str">
        <f>+IF($W584="","",ROUND((AT584*Parámetros!$G$85),2))</f>
        <v/>
      </c>
      <c r="AX584" s="66" t="str">
        <f>+IF($W584="","",ROUND((AT584*(Parámetros!$G$86)),2))</f>
        <v/>
      </c>
      <c r="AY584" s="66" t="str">
        <f t="shared" si="785"/>
        <v/>
      </c>
      <c r="AZ584" t="str">
        <f t="shared" si="827"/>
        <v/>
      </c>
      <c r="BA584" t="str">
        <f t="shared" si="828"/>
        <v/>
      </c>
      <c r="BB584" s="118" t="str">
        <f t="shared" si="829"/>
        <v/>
      </c>
      <c r="BC584" s="118" t="str">
        <f t="shared" si="830"/>
        <v/>
      </c>
      <c r="BD584" s="119" t="str">
        <f>+IF(OR($W584="",BB584=0),"",ROUND((VLOOKUP(ROUNDDOWN($D584-1/frec,0),cob_adi,AO$40,FALSE)*(1+i/frec)^-0.5*(1+Parámetros!$D$103)*(1+rec_fracc)/frec),6))</f>
        <v/>
      </c>
      <c r="BE584" s="66" t="str">
        <f t="shared" si="786"/>
        <v/>
      </c>
      <c r="BF584" s="119" t="str">
        <f t="shared" si="787"/>
        <v/>
      </c>
      <c r="BG584" s="66" t="str">
        <f>+IF($W584="","",ROUND(IF($B584&gt;Parámetros!$D$107,'Tablas Servicio'!BE584+('Tablas Servicio'!BG583-'Tablas Servicio'!BE583),BE584/(1-IF(B584&lt;=10,Parámetros!$D$100,0))),2))</f>
        <v/>
      </c>
      <c r="BH584" s="66" t="str">
        <f t="shared" si="788"/>
        <v/>
      </c>
      <c r="BI584" s="66" t="str">
        <f t="shared" si="789"/>
        <v/>
      </c>
      <c r="BJ584" s="66" t="str">
        <f>+IF($W584="","",ROUND((BG584*Parámetros!$G$85),2))</f>
        <v/>
      </c>
      <c r="BK584" s="66" t="str">
        <f>+IF($W584="","",ROUND((BG584*(Parámetros!$G$86)),2))</f>
        <v/>
      </c>
      <c r="BL584" s="66" t="str">
        <f t="shared" si="790"/>
        <v/>
      </c>
      <c r="BM584" t="str">
        <f t="shared" si="831"/>
        <v/>
      </c>
      <c r="BN584" t="str">
        <f t="shared" si="832"/>
        <v/>
      </c>
      <c r="BO584" s="118" t="str">
        <f t="shared" si="833"/>
        <v/>
      </c>
      <c r="BP584" s="118" t="str">
        <f t="shared" si="834"/>
        <v/>
      </c>
      <c r="BQ584" s="119" t="str">
        <f>+IF(OR($W584="",BO584=0),"",ROUND((VLOOKUP(ROUNDDOWN($D584-1/frec,0),cob_adi,BB$40,FALSE)*(1+i/frec)^-0.5*(1+Parámetros!$D$103)*(1+rec_fracc)/frec),6))</f>
        <v/>
      </c>
      <c r="BR584" s="66" t="str">
        <f t="shared" si="791"/>
        <v/>
      </c>
      <c r="BS584" s="119" t="str">
        <f t="shared" si="792"/>
        <v/>
      </c>
      <c r="BT584" s="66" t="str">
        <f>+IF($W584="","",ROUND(IF($B584&gt;Parámetros!$D$107,'Tablas Servicio'!BR584+('Tablas Servicio'!BT583-'Tablas Servicio'!BR583),BR584/(1-IF(B584&lt;=10,Parámetros!$D$100,0))),2))</f>
        <v/>
      </c>
      <c r="BU584" s="66" t="str">
        <f t="shared" si="793"/>
        <v/>
      </c>
      <c r="BV584" s="66" t="str">
        <f t="shared" si="793"/>
        <v/>
      </c>
      <c r="BW584" s="66" t="str">
        <f>+IF($W584="","",ROUND((BT584*Parámetros!$G$85),2))</f>
        <v/>
      </c>
      <c r="BX584" s="66" t="str">
        <f>+IF($W584="","",ROUND((BT584*(Parámetros!$G$86)),2))</f>
        <v/>
      </c>
      <c r="BY584" s="66" t="str">
        <f t="shared" si="794"/>
        <v/>
      </c>
      <c r="BZ584" t="str">
        <f t="shared" si="835"/>
        <v/>
      </c>
      <c r="CA584" t="str">
        <f t="shared" si="836"/>
        <v/>
      </c>
      <c r="CB584" s="118" t="str">
        <f t="shared" si="837"/>
        <v/>
      </c>
      <c r="CC584" s="118" t="str">
        <f t="shared" si="838"/>
        <v/>
      </c>
      <c r="CD584" s="119" t="str">
        <f t="shared" si="795"/>
        <v/>
      </c>
      <c r="CE584" s="66" t="str">
        <f>+IF($W584="","",ROUND((VLOOKUP(ROUNDDOWN($D584-1/frec,0),cob_adi,BO$40,FALSE)*(1+i/frec)^-0.5*(1+Parámetros!$D$103)*(1+rec_fracc)/frec*'TABLAS ADI'!$BC$17),2))</f>
        <v/>
      </c>
      <c r="CF584" s="119" t="str">
        <f t="shared" si="796"/>
        <v/>
      </c>
      <c r="CG584" s="66" t="str">
        <f>+IF($W584="","",ROUND(IF($B584&gt;Parámetros!$D$107,'Tablas Servicio'!CE584+('Tablas Servicio'!CG583-'Tablas Servicio'!CE583),CE584/(1-IF(B584&lt;=10,Parámetros!$D$100,0))),2))</f>
        <v/>
      </c>
      <c r="CH584" s="66" t="str">
        <f t="shared" si="797"/>
        <v/>
      </c>
      <c r="CI584" s="66" t="str">
        <f t="shared" si="797"/>
        <v/>
      </c>
      <c r="CJ584" s="66" t="str">
        <f>+IF($W584="","",ROUND((CG584*Parámetros!$G$85),2))</f>
        <v/>
      </c>
      <c r="CK584" s="66" t="str">
        <f>+IF($W584="","",ROUND((CG584*(Parámetros!$G$86)),2))</f>
        <v/>
      </c>
      <c r="CL584" s="66" t="str">
        <f t="shared" si="798"/>
        <v/>
      </c>
      <c r="CM584" t="str">
        <f t="shared" si="839"/>
        <v/>
      </c>
      <c r="CN584" s="118" t="str">
        <f t="shared" si="840"/>
        <v/>
      </c>
      <c r="CO584" s="118" t="str">
        <f t="shared" si="841"/>
        <v/>
      </c>
      <c r="CP584" s="118" t="str">
        <f t="shared" si="842"/>
        <v/>
      </c>
      <c r="CQ584" s="119" t="str">
        <f t="shared" si="799"/>
        <v/>
      </c>
      <c r="CR584" s="66" t="str">
        <f>+IF($W584="","",ROUND((VLOOKUP(Parámetros!$F$51,'COBERTURAS ADICIONALES'!$S$4:$T$32,2,FALSE)*(1+i/frec)^-0.5*(1+Parámetros!$D$103)*(1+rec_fracc)/frec*$CO$42),2))</f>
        <v/>
      </c>
      <c r="CS584" s="119" t="str">
        <f t="shared" si="800"/>
        <v/>
      </c>
      <c r="CT584" s="66" t="str">
        <f>+IF($W584="","",ROUND(IF($B584&gt;Parámetros!$D$107,'Tablas Servicio'!CR584+('Tablas Servicio'!CT583-'Tablas Servicio'!CR583),CR584/(1-IF(B584&lt;=10,Parámetros!$D$100,0))),2))</f>
        <v/>
      </c>
      <c r="CU584" s="66" t="str">
        <f t="shared" si="801"/>
        <v/>
      </c>
      <c r="CV584" s="66" t="str">
        <f t="shared" si="801"/>
        <v/>
      </c>
      <c r="CW584" s="66" t="str">
        <f>+IF($W584="","",ROUND((CT584*Parámetros!$G$85),2))</f>
        <v/>
      </c>
      <c r="CX584" s="66" t="str">
        <f>+IF($W584="","",ROUND((CT584*(Parámetros!$G$86)),2))</f>
        <v/>
      </c>
      <c r="CY584" s="66" t="str">
        <f t="shared" si="802"/>
        <v/>
      </c>
      <c r="CZ584" t="str">
        <f t="shared" si="843"/>
        <v/>
      </c>
      <c r="DA584" s="118" t="str">
        <f t="shared" si="844"/>
        <v/>
      </c>
      <c r="DB584" s="118" t="str">
        <f t="shared" si="845"/>
        <v/>
      </c>
      <c r="DC584" s="118" t="str">
        <f t="shared" si="846"/>
        <v/>
      </c>
      <c r="DD584" s="121" t="str">
        <f>+IF(OR($W584="",DB584=0),"",ROUND((VLOOKUP(ROUNDDOWN($D584-1/frec,0),cob_adi,CO$40,FALSE)*(1+i/frec)^-0.5*(1+Parámetros!$D$103)*(1+rec_fracc)/frec),6))</f>
        <v/>
      </c>
      <c r="DE584" s="66" t="str">
        <f t="shared" si="803"/>
        <v/>
      </c>
      <c r="DF584" s="119" t="str">
        <f t="shared" si="804"/>
        <v/>
      </c>
      <c r="DG584" s="66" t="str">
        <f>+IF($W584="","",ROUND(IF($B584&gt;Parámetros!$D$107,'Tablas Servicio'!DE584+('Tablas Servicio'!DG583-'Tablas Servicio'!DE583),DE584/(1-IF(B584&lt;=10,Parámetros!$D$100,0))),2))</f>
        <v/>
      </c>
      <c r="DH584" s="66" t="str">
        <f t="shared" si="805"/>
        <v/>
      </c>
      <c r="DI584" s="66" t="str">
        <f t="shared" si="805"/>
        <v/>
      </c>
      <c r="DJ584" s="66" t="str">
        <f>+IF($W584="","",ROUND((DG584*Parámetros!$G$85),2))</f>
        <v/>
      </c>
      <c r="DK584" s="66" t="str">
        <f>+IF($W584="","",ROUND((DG584*(Parámetros!$G$86)),2))</f>
        <v/>
      </c>
      <c r="DL584" s="66" t="str">
        <f t="shared" si="806"/>
        <v/>
      </c>
      <c r="DM584" t="str">
        <f t="shared" si="847"/>
        <v/>
      </c>
      <c r="DN584" s="118" t="str">
        <f t="shared" si="848"/>
        <v/>
      </c>
      <c r="DO584" s="118" t="str">
        <f t="shared" si="849"/>
        <v/>
      </c>
      <c r="DP584" s="118" t="str">
        <f t="shared" si="850"/>
        <v/>
      </c>
      <c r="DQ584" s="122" t="str">
        <f>+IF(OR($W584="",DO584=0),"",ROUND((VLOOKUP(ROUNDDOWN($D584-1/frec,0),cob_adi,DB$40,FALSE)*(1+i/frec)^-0.5*(1+Parámetros!$D$103)*(1+rec_fracc)/frec),6))</f>
        <v/>
      </c>
      <c r="DR584" s="66" t="str">
        <f t="shared" si="807"/>
        <v/>
      </c>
      <c r="DS584" s="68" t="str">
        <f t="shared" si="808"/>
        <v/>
      </c>
      <c r="DT584" s="66" t="str">
        <f>+IF($W584="","",ROUND(IF($B584&gt;Parámetros!$D$107,'Tablas Servicio'!DR584+('Tablas Servicio'!DT583-'Tablas Servicio'!DR583),DR584/(1-IF(B584&lt;=10,Parámetros!$D$100,0))),2))</f>
        <v/>
      </c>
      <c r="DU584" s="66" t="str">
        <f t="shared" si="809"/>
        <v/>
      </c>
      <c r="DV584" s="66" t="str">
        <f t="shared" si="809"/>
        <v/>
      </c>
      <c r="DW584" s="66" t="str">
        <f>+IF($W584="","",ROUND((DT584*Parámetros!$G$85),2))</f>
        <v/>
      </c>
      <c r="DX584" s="66" t="str">
        <f>+IF($W584="","",ROUND((DT584*(Parámetros!$G$86)),2))</f>
        <v/>
      </c>
      <c r="DY584" s="66" t="str">
        <f t="shared" si="810"/>
        <v/>
      </c>
      <c r="DZ584" t="str">
        <f t="shared" si="851"/>
        <v/>
      </c>
      <c r="EA584" s="118" t="str">
        <f t="shared" si="851"/>
        <v/>
      </c>
      <c r="EB584" s="118" t="str">
        <f>+IF($W584="","",ROUND(IF(Parámetros!$D$25='TABLAS MORT'!$V$33,EB583,Z584/2),0))</f>
        <v/>
      </c>
      <c r="EC584" s="118" t="str">
        <f t="shared" si="851"/>
        <v/>
      </c>
      <c r="ED584" s="122" t="str">
        <f>+IF(OR($W584="",EB584=0),"",ROUND((VLOOKUP(ROUNDDOWN($D584-1/frec,0),cob_adi,DO$40,FALSE)*(1+i/frec)^-0.5*(1+Parámetros!$D$103)*(1+rec_fracc)/frec),6))</f>
        <v/>
      </c>
      <c r="EE584" s="66" t="str">
        <f t="shared" si="812"/>
        <v/>
      </c>
      <c r="EF584" s="68" t="str">
        <f t="shared" si="813"/>
        <v/>
      </c>
      <c r="EG584" s="66" t="str">
        <f>+IF($W584="","",ROUND(IF($B584&gt;Parámetros!$D$107,'Tablas Servicio'!EE584+('Tablas Servicio'!EG583-'Tablas Servicio'!EE583),EE584/(1-IF(B584&lt;=10,Parámetros!$D$100,0))),2))</f>
        <v/>
      </c>
      <c r="EH584" s="66" t="str">
        <f t="shared" si="814"/>
        <v/>
      </c>
      <c r="EI584" s="66" t="str">
        <f t="shared" si="814"/>
        <v/>
      </c>
      <c r="EJ584" s="66" t="str">
        <f>+IF($W584="","",ROUND((EG584*Parámetros!$G$85),2))</f>
        <v/>
      </c>
      <c r="EK584" s="66" t="str">
        <f>+IF($W584="","",ROUND((EG584*(Parámetros!$G$86)),2))</f>
        <v/>
      </c>
      <c r="EL584" s="66" t="str">
        <f t="shared" si="815"/>
        <v/>
      </c>
    </row>
    <row r="585" spans="1:142" x14ac:dyDescent="0.25">
      <c r="A585" t="str">
        <f>+IF($C585="","",ROUND(VLOOKUP('Tablas Servicio'!B585,Parámetros!$H$100:$J$159,IF(Parámetros!$E$16="F",2,3),FALSE),2))</f>
        <v/>
      </c>
      <c r="B585" t="str">
        <f t="shared" si="766"/>
        <v/>
      </c>
      <c r="C585" s="57" t="str">
        <f>+IF(D585="","",'Tablas Servicio'!C584+1)</f>
        <v/>
      </c>
      <c r="D585" s="56" t="str">
        <f>+IF(D584&lt;edadmaxtabla,D584+1/Parámetros!$E$25,"")</f>
        <v/>
      </c>
      <c r="E585" s="57" t="str">
        <f t="shared" si="776"/>
        <v/>
      </c>
      <c r="F585" s="59" t="str">
        <f t="shared" si="777"/>
        <v/>
      </c>
      <c r="G585" s="66" t="str">
        <f t="shared" si="767"/>
        <v/>
      </c>
      <c r="H585" s="66" t="str">
        <f t="shared" si="768"/>
        <v/>
      </c>
      <c r="I585" s="66" t="str">
        <f t="shared" si="816"/>
        <v/>
      </c>
      <c r="J585" s="66" t="str">
        <f t="shared" si="769"/>
        <v/>
      </c>
      <c r="K585" s="66" t="str">
        <f t="shared" si="770"/>
        <v/>
      </c>
      <c r="L585" s="66" t="str">
        <f t="shared" si="771"/>
        <v/>
      </c>
      <c r="M585" s="66" t="str">
        <f t="shared" si="772"/>
        <v/>
      </c>
      <c r="N585" s="66" t="str">
        <f>+IF(C585="","",ROUND(Parámetros!$D$23,2))</f>
        <v/>
      </c>
      <c r="O585" s="66" t="str">
        <f t="shared" si="773"/>
        <v/>
      </c>
      <c r="P585" s="66" t="str">
        <f>+IF($C585="","",ROUND(IF(B585&gt;Parámetros!$D$117,0,N585*Parámetros!$D$116-G585*Parámetros!$D$100),2))</f>
        <v/>
      </c>
      <c r="Q585" s="75" t="str">
        <f t="shared" si="817"/>
        <v/>
      </c>
      <c r="R585" s="75" t="str">
        <f t="shared" si="818"/>
        <v/>
      </c>
      <c r="S585" s="117" t="str">
        <f>+IF($C585="","",ROUND((S584+I585)*(1+Parámetros!$D$91),2))</f>
        <v/>
      </c>
      <c r="T585" s="117" t="str">
        <f>+IF($C585="","",ROUND(S585*VLOOKUP(B585,Parámetros!$C$30:$D$39,2,TRUE),2))</f>
        <v/>
      </c>
      <c r="U585" s="117" t="str">
        <f>+IF($C585="","",ROUND((U584+I585)*(1+Parámetros!$D$92),2))</f>
        <v/>
      </c>
      <c r="V585" s="117" t="str">
        <f>+IF($C585="","",ROUND(U585*VLOOKUP(B585,Parámetros!$C$30:$D$39,2,TRUE),2))</f>
        <v/>
      </c>
      <c r="W585" s="57" t="str">
        <f t="shared" si="819"/>
        <v/>
      </c>
      <c r="X585" t="str">
        <f t="shared" si="820"/>
        <v/>
      </c>
      <c r="Y585" t="str">
        <f t="shared" si="821"/>
        <v/>
      </c>
      <c r="Z585" s="118" t="str">
        <f>+IF($W585="","",ROUND(IF(Parámetros!$D$25='TABLAS MORT'!$V$33,Z584,Parámetros!$D$21-'Tablas Servicio'!T584),0))</f>
        <v/>
      </c>
      <c r="AA585" s="118" t="str">
        <f t="shared" si="822"/>
        <v/>
      </c>
      <c r="AB585" s="119" t="str">
        <f>+IF(W585="","",ROUND((VLOOKUP(ROUNDDOWN($D585-1/frec,0),qx_tabla,2,FALSE)*(1+i/frec)^-0.5*(1+Parámetros!$D$103)*(1+rec_fracc)/frec),6))</f>
        <v/>
      </c>
      <c r="AC585" s="66" t="str">
        <f t="shared" si="778"/>
        <v/>
      </c>
      <c r="AD585" s="119" t="str">
        <f t="shared" si="774"/>
        <v/>
      </c>
      <c r="AE585" s="66" t="str">
        <f>+IF($W585="","",ROUND(IF($B585&gt;Parámetros!$D$107,'Tablas Servicio'!AC585+('Tablas Servicio'!AG584-'Tablas Servicio'!AC584),AC585/(1-IF(B585&lt;=10,Parámetros!$D$104,Parámetros!$D$105))),2))</f>
        <v/>
      </c>
      <c r="AF585" s="66" t="str">
        <f>+IF($W585="","",ROUND(IF($B585&gt;Parámetros!$D$107,'Tablas Servicio'!AC585+('Tablas Servicio'!AG584-'Tablas Servicio'!AC584),(AC585+$A584/frec)/(1-IF(B585&lt;=Parámetros!$D$117,Parámetros!$D$100,0))),2))</f>
        <v/>
      </c>
      <c r="AG585" s="66" t="str">
        <f t="shared" si="779"/>
        <v/>
      </c>
      <c r="AH585" s="66" t="str">
        <f t="shared" si="780"/>
        <v/>
      </c>
      <c r="AI585" s="66" t="str">
        <f t="shared" si="781"/>
        <v/>
      </c>
      <c r="AJ585" s="66" t="str">
        <f>+IF($W585="","",ROUND((AG585*Parámetros!$G$85),2))</f>
        <v/>
      </c>
      <c r="AK585" s="66" t="str">
        <f>+IF($W585="","",ROUND((AG585*(Parámetros!$G$86)),2))</f>
        <v/>
      </c>
      <c r="AL585" s="66" t="str">
        <f t="shared" si="775"/>
        <v/>
      </c>
      <c r="AM585" t="str">
        <f t="shared" si="823"/>
        <v/>
      </c>
      <c r="AN585" t="str">
        <f t="shared" si="824"/>
        <v/>
      </c>
      <c r="AO585" s="118" t="str">
        <f t="shared" si="825"/>
        <v/>
      </c>
      <c r="AP585" s="118" t="str">
        <f t="shared" si="826"/>
        <v/>
      </c>
      <c r="AQ585" s="119" t="str">
        <f>+IF(OR($W585="",AO585=0),"",ROUND((VLOOKUP(ROUNDDOWN($D585-1/frec,0),cob_adi,Z$40,FALSE)*(1+i/frec)^-0.5*(1+Parámetros!$D$103)*(1+rec_fracc)/frec),6))</f>
        <v/>
      </c>
      <c r="AR585" s="66" t="str">
        <f t="shared" si="782"/>
        <v/>
      </c>
      <c r="AS585" s="119" t="str">
        <f t="shared" si="783"/>
        <v/>
      </c>
      <c r="AT585" s="66" t="str">
        <f>+IF($W585="","",ROUND(IF($B585&gt;Parámetros!$D$107,'Tablas Servicio'!AR585+('Tablas Servicio'!AT584-'Tablas Servicio'!AR584),AR585/(1-IF(B585&lt;=10,Parámetros!$D$100,0))),2))</f>
        <v/>
      </c>
      <c r="AU585" s="66" t="str">
        <f t="shared" si="784"/>
        <v/>
      </c>
      <c r="AV585" s="66" t="str">
        <f t="shared" si="784"/>
        <v/>
      </c>
      <c r="AW585" s="66" t="str">
        <f>+IF($W585="","",ROUND((AT585*Parámetros!$G$85),2))</f>
        <v/>
      </c>
      <c r="AX585" s="66" t="str">
        <f>+IF($W585="","",ROUND((AT585*(Parámetros!$G$86)),2))</f>
        <v/>
      </c>
      <c r="AY585" s="66" t="str">
        <f t="shared" si="785"/>
        <v/>
      </c>
      <c r="AZ585" t="str">
        <f t="shared" si="827"/>
        <v/>
      </c>
      <c r="BA585" t="str">
        <f t="shared" si="828"/>
        <v/>
      </c>
      <c r="BB585" s="118" t="str">
        <f t="shared" si="829"/>
        <v/>
      </c>
      <c r="BC585" s="118" t="str">
        <f t="shared" si="830"/>
        <v/>
      </c>
      <c r="BD585" s="119" t="str">
        <f>+IF(OR($W585="",BB585=0),"",ROUND((VLOOKUP(ROUNDDOWN($D585-1/frec,0),cob_adi,AO$40,FALSE)*(1+i/frec)^-0.5*(1+Parámetros!$D$103)*(1+rec_fracc)/frec),6))</f>
        <v/>
      </c>
      <c r="BE585" s="66" t="str">
        <f t="shared" si="786"/>
        <v/>
      </c>
      <c r="BF585" s="119" t="str">
        <f t="shared" si="787"/>
        <v/>
      </c>
      <c r="BG585" s="66" t="str">
        <f>+IF($W585="","",ROUND(IF($B585&gt;Parámetros!$D$107,'Tablas Servicio'!BE585+('Tablas Servicio'!BG584-'Tablas Servicio'!BE584),BE585/(1-IF(B585&lt;=10,Parámetros!$D$100,0))),2))</f>
        <v/>
      </c>
      <c r="BH585" s="66" t="str">
        <f t="shared" si="788"/>
        <v/>
      </c>
      <c r="BI585" s="66" t="str">
        <f t="shared" si="789"/>
        <v/>
      </c>
      <c r="BJ585" s="66" t="str">
        <f>+IF($W585="","",ROUND((BG585*Parámetros!$G$85),2))</f>
        <v/>
      </c>
      <c r="BK585" s="66" t="str">
        <f>+IF($W585="","",ROUND((BG585*(Parámetros!$G$86)),2))</f>
        <v/>
      </c>
      <c r="BL585" s="66" t="str">
        <f t="shared" si="790"/>
        <v/>
      </c>
      <c r="BM585" t="str">
        <f t="shared" si="831"/>
        <v/>
      </c>
      <c r="BN585" t="str">
        <f t="shared" si="832"/>
        <v/>
      </c>
      <c r="BO585" s="118" t="str">
        <f t="shared" si="833"/>
        <v/>
      </c>
      <c r="BP585" s="118" t="str">
        <f t="shared" si="834"/>
        <v/>
      </c>
      <c r="BQ585" s="119" t="str">
        <f>+IF(OR($W585="",BO585=0),"",ROUND((VLOOKUP(ROUNDDOWN($D585-1/frec,0),cob_adi,BB$40,FALSE)*(1+i/frec)^-0.5*(1+Parámetros!$D$103)*(1+rec_fracc)/frec),6))</f>
        <v/>
      </c>
      <c r="BR585" s="66" t="str">
        <f t="shared" si="791"/>
        <v/>
      </c>
      <c r="BS585" s="119" t="str">
        <f t="shared" si="792"/>
        <v/>
      </c>
      <c r="BT585" s="66" t="str">
        <f>+IF($W585="","",ROUND(IF($B585&gt;Parámetros!$D$107,'Tablas Servicio'!BR585+('Tablas Servicio'!BT584-'Tablas Servicio'!BR584),BR585/(1-IF(B585&lt;=10,Parámetros!$D$100,0))),2))</f>
        <v/>
      </c>
      <c r="BU585" s="66" t="str">
        <f t="shared" si="793"/>
        <v/>
      </c>
      <c r="BV585" s="66" t="str">
        <f t="shared" si="793"/>
        <v/>
      </c>
      <c r="BW585" s="66" t="str">
        <f>+IF($W585="","",ROUND((BT585*Parámetros!$G$85),2))</f>
        <v/>
      </c>
      <c r="BX585" s="66" t="str">
        <f>+IF($W585="","",ROUND((BT585*(Parámetros!$G$86)),2))</f>
        <v/>
      </c>
      <c r="BY585" s="66" t="str">
        <f t="shared" si="794"/>
        <v/>
      </c>
      <c r="BZ585" t="str">
        <f t="shared" si="835"/>
        <v/>
      </c>
      <c r="CA585" t="str">
        <f t="shared" si="836"/>
        <v/>
      </c>
      <c r="CB585" s="118" t="str">
        <f t="shared" si="837"/>
        <v/>
      </c>
      <c r="CC585" s="118" t="str">
        <f t="shared" si="838"/>
        <v/>
      </c>
      <c r="CD585" s="119" t="str">
        <f t="shared" si="795"/>
        <v/>
      </c>
      <c r="CE585" s="66" t="str">
        <f>+IF($W585="","",ROUND((VLOOKUP(ROUNDDOWN($D585-1/frec,0),cob_adi,BO$40,FALSE)*(1+i/frec)^-0.5*(1+Parámetros!$D$103)*(1+rec_fracc)/frec*'TABLAS ADI'!$BC$17),2))</f>
        <v/>
      </c>
      <c r="CF585" s="119" t="str">
        <f t="shared" si="796"/>
        <v/>
      </c>
      <c r="CG585" s="66" t="str">
        <f>+IF($W585="","",ROUND(IF($B585&gt;Parámetros!$D$107,'Tablas Servicio'!CE585+('Tablas Servicio'!CG584-'Tablas Servicio'!CE584),CE585/(1-IF(B585&lt;=10,Parámetros!$D$100,0))),2))</f>
        <v/>
      </c>
      <c r="CH585" s="66" t="str">
        <f t="shared" si="797"/>
        <v/>
      </c>
      <c r="CI585" s="66" t="str">
        <f t="shared" si="797"/>
        <v/>
      </c>
      <c r="CJ585" s="66" t="str">
        <f>+IF($W585="","",ROUND((CG585*Parámetros!$G$85),2))</f>
        <v/>
      </c>
      <c r="CK585" s="66" t="str">
        <f>+IF($W585="","",ROUND((CG585*(Parámetros!$G$86)),2))</f>
        <v/>
      </c>
      <c r="CL585" s="66" t="str">
        <f t="shared" si="798"/>
        <v/>
      </c>
      <c r="CM585" t="str">
        <f t="shared" si="839"/>
        <v/>
      </c>
      <c r="CN585" s="118" t="str">
        <f t="shared" si="840"/>
        <v/>
      </c>
      <c r="CO585" s="118" t="str">
        <f t="shared" si="841"/>
        <v/>
      </c>
      <c r="CP585" s="118" t="str">
        <f t="shared" si="842"/>
        <v/>
      </c>
      <c r="CQ585" s="119" t="str">
        <f t="shared" si="799"/>
        <v/>
      </c>
      <c r="CR585" s="66" t="str">
        <f>+IF($W585="","",ROUND((VLOOKUP(Parámetros!$F$51,'COBERTURAS ADICIONALES'!$S$4:$T$32,2,FALSE)*(1+i/frec)^-0.5*(1+Parámetros!$D$103)*(1+rec_fracc)/frec*$CO$42),2))</f>
        <v/>
      </c>
      <c r="CS585" s="119" t="str">
        <f t="shared" si="800"/>
        <v/>
      </c>
      <c r="CT585" s="66" t="str">
        <f>+IF($W585="","",ROUND(IF($B585&gt;Parámetros!$D$107,'Tablas Servicio'!CR585+('Tablas Servicio'!CT584-'Tablas Servicio'!CR584),CR585/(1-IF(B585&lt;=10,Parámetros!$D$100,0))),2))</f>
        <v/>
      </c>
      <c r="CU585" s="66" t="str">
        <f t="shared" si="801"/>
        <v/>
      </c>
      <c r="CV585" s="66" t="str">
        <f t="shared" si="801"/>
        <v/>
      </c>
      <c r="CW585" s="66" t="str">
        <f>+IF($W585="","",ROUND((CT585*Parámetros!$G$85),2))</f>
        <v/>
      </c>
      <c r="CX585" s="66" t="str">
        <f>+IF($W585="","",ROUND((CT585*(Parámetros!$G$86)),2))</f>
        <v/>
      </c>
      <c r="CY585" s="66" t="str">
        <f t="shared" si="802"/>
        <v/>
      </c>
      <c r="CZ585" t="str">
        <f t="shared" si="843"/>
        <v/>
      </c>
      <c r="DA585" s="118" t="str">
        <f t="shared" si="844"/>
        <v/>
      </c>
      <c r="DB585" s="118" t="str">
        <f t="shared" si="845"/>
        <v/>
      </c>
      <c r="DC585" s="118" t="str">
        <f t="shared" si="846"/>
        <v/>
      </c>
      <c r="DD585" s="121" t="str">
        <f>+IF(OR($W585="",DB585=0),"",ROUND((VLOOKUP(ROUNDDOWN($D585-1/frec,0),cob_adi,CO$40,FALSE)*(1+i/frec)^-0.5*(1+Parámetros!$D$103)*(1+rec_fracc)/frec),6))</f>
        <v/>
      </c>
      <c r="DE585" s="66" t="str">
        <f t="shared" si="803"/>
        <v/>
      </c>
      <c r="DF585" s="119" t="str">
        <f t="shared" si="804"/>
        <v/>
      </c>
      <c r="DG585" s="66" t="str">
        <f>+IF($W585="","",ROUND(IF($B585&gt;Parámetros!$D$107,'Tablas Servicio'!DE585+('Tablas Servicio'!DG584-'Tablas Servicio'!DE584),DE585/(1-IF(B585&lt;=10,Parámetros!$D$100,0))),2))</f>
        <v/>
      </c>
      <c r="DH585" s="66" t="str">
        <f t="shared" si="805"/>
        <v/>
      </c>
      <c r="DI585" s="66" t="str">
        <f t="shared" si="805"/>
        <v/>
      </c>
      <c r="DJ585" s="66" t="str">
        <f>+IF($W585="","",ROUND((DG585*Parámetros!$G$85),2))</f>
        <v/>
      </c>
      <c r="DK585" s="66" t="str">
        <f>+IF($W585="","",ROUND((DG585*(Parámetros!$G$86)),2))</f>
        <v/>
      </c>
      <c r="DL585" s="66" t="str">
        <f t="shared" si="806"/>
        <v/>
      </c>
      <c r="DM585" t="str">
        <f t="shared" si="847"/>
        <v/>
      </c>
      <c r="DN585" s="118" t="str">
        <f t="shared" si="848"/>
        <v/>
      </c>
      <c r="DO585" s="118" t="str">
        <f t="shared" si="849"/>
        <v/>
      </c>
      <c r="DP585" s="118" t="str">
        <f t="shared" si="850"/>
        <v/>
      </c>
      <c r="DQ585" s="122" t="str">
        <f>+IF(OR($W585="",DO585=0),"",ROUND((VLOOKUP(ROUNDDOWN($D585-1/frec,0),cob_adi,DB$40,FALSE)*(1+i/frec)^-0.5*(1+Parámetros!$D$103)*(1+rec_fracc)/frec),6))</f>
        <v/>
      </c>
      <c r="DR585" s="66" t="str">
        <f t="shared" si="807"/>
        <v/>
      </c>
      <c r="DS585" s="68" t="str">
        <f t="shared" si="808"/>
        <v/>
      </c>
      <c r="DT585" s="66" t="str">
        <f>+IF($W585="","",ROUND(IF($B585&gt;Parámetros!$D$107,'Tablas Servicio'!DR585+('Tablas Servicio'!DT584-'Tablas Servicio'!DR584),DR585/(1-IF(B585&lt;=10,Parámetros!$D$100,0))),2))</f>
        <v/>
      </c>
      <c r="DU585" s="66" t="str">
        <f t="shared" si="809"/>
        <v/>
      </c>
      <c r="DV585" s="66" t="str">
        <f t="shared" si="809"/>
        <v/>
      </c>
      <c r="DW585" s="66" t="str">
        <f>+IF($W585="","",ROUND((DT585*Parámetros!$G$85),2))</f>
        <v/>
      </c>
      <c r="DX585" s="66" t="str">
        <f>+IF($W585="","",ROUND((DT585*(Parámetros!$G$86)),2))</f>
        <v/>
      </c>
      <c r="DY585" s="66" t="str">
        <f t="shared" si="810"/>
        <v/>
      </c>
      <c r="DZ585" t="str">
        <f t="shared" si="851"/>
        <v/>
      </c>
      <c r="EA585" s="118" t="str">
        <f t="shared" si="851"/>
        <v/>
      </c>
      <c r="EB585" s="118" t="str">
        <f>+IF($W585="","",ROUND(IF(Parámetros!$D$25='TABLAS MORT'!$V$33,EB584,Z585/2),0))</f>
        <v/>
      </c>
      <c r="EC585" s="118" t="str">
        <f t="shared" si="851"/>
        <v/>
      </c>
      <c r="ED585" s="122" t="str">
        <f>+IF(OR($W585="",EB585=0),"",ROUND((VLOOKUP(ROUNDDOWN($D585-1/frec,0),cob_adi,DO$40,FALSE)*(1+i/frec)^-0.5*(1+Parámetros!$D$103)*(1+rec_fracc)/frec),6))</f>
        <v/>
      </c>
      <c r="EE585" s="66" t="str">
        <f t="shared" si="812"/>
        <v/>
      </c>
      <c r="EF585" s="68" t="str">
        <f t="shared" si="813"/>
        <v/>
      </c>
      <c r="EG585" s="66" t="str">
        <f>+IF($W585="","",ROUND(IF($B585&gt;Parámetros!$D$107,'Tablas Servicio'!EE585+('Tablas Servicio'!EG584-'Tablas Servicio'!EE584),EE585/(1-IF(B585&lt;=10,Parámetros!$D$100,0))),2))</f>
        <v/>
      </c>
      <c r="EH585" s="66" t="str">
        <f t="shared" si="814"/>
        <v/>
      </c>
      <c r="EI585" s="66" t="str">
        <f t="shared" si="814"/>
        <v/>
      </c>
      <c r="EJ585" s="66" t="str">
        <f>+IF($W585="","",ROUND((EG585*Parámetros!$G$85),2))</f>
        <v/>
      </c>
      <c r="EK585" s="66" t="str">
        <f>+IF($W585="","",ROUND((EG585*(Parámetros!$G$86)),2))</f>
        <v/>
      </c>
      <c r="EL585" s="66" t="str">
        <f t="shared" si="815"/>
        <v/>
      </c>
    </row>
    <row r="586" spans="1:142" x14ac:dyDescent="0.25">
      <c r="A586" t="str">
        <f>+IF($C586="","",ROUND(VLOOKUP('Tablas Servicio'!B586,Parámetros!$H$100:$J$159,IF(Parámetros!$E$16="F",2,3),FALSE),2))</f>
        <v/>
      </c>
      <c r="B586" t="str">
        <f t="shared" si="766"/>
        <v/>
      </c>
      <c r="C586" s="57" t="str">
        <f>+IF(D586="","",'Tablas Servicio'!C585+1)</f>
        <v/>
      </c>
      <c r="D586" s="56" t="str">
        <f>+IF(D585&lt;edadmaxtabla,D585+1/Parámetros!$E$25,"")</f>
        <v/>
      </c>
      <c r="E586" s="57" t="str">
        <f t="shared" si="776"/>
        <v/>
      </c>
      <c r="F586" s="59" t="str">
        <f t="shared" si="777"/>
        <v/>
      </c>
      <c r="G586" s="66" t="str">
        <f t="shared" si="767"/>
        <v/>
      </c>
      <c r="H586" s="66" t="str">
        <f t="shared" si="768"/>
        <v/>
      </c>
      <c r="I586" s="66" t="str">
        <f t="shared" si="816"/>
        <v/>
      </c>
      <c r="J586" s="66" t="str">
        <f t="shared" si="769"/>
        <v/>
      </c>
      <c r="K586" s="66" t="str">
        <f t="shared" si="770"/>
        <v/>
      </c>
      <c r="L586" s="66" t="str">
        <f t="shared" si="771"/>
        <v/>
      </c>
      <c r="M586" s="66" t="str">
        <f t="shared" si="772"/>
        <v/>
      </c>
      <c r="N586" s="66" t="str">
        <f>+IF(C586="","",ROUND(Parámetros!$D$23,2))</f>
        <v/>
      </c>
      <c r="O586" s="66" t="str">
        <f t="shared" si="773"/>
        <v/>
      </c>
      <c r="P586" s="66" t="str">
        <f>+IF($C586="","",ROUND(IF(B586&gt;Parámetros!$D$117,0,N586*Parámetros!$D$116-G586*Parámetros!$D$100),2))</f>
        <v/>
      </c>
      <c r="Q586" s="75" t="str">
        <f t="shared" si="817"/>
        <v/>
      </c>
      <c r="R586" s="75" t="str">
        <f t="shared" si="818"/>
        <v/>
      </c>
      <c r="S586" s="117" t="str">
        <f>+IF($C586="","",ROUND((S585+I586)*(1+Parámetros!$D$91),2))</f>
        <v/>
      </c>
      <c r="T586" s="117" t="str">
        <f>+IF($C586="","",ROUND(S586*VLOOKUP(B586,Parámetros!$C$30:$D$39,2,TRUE),2))</f>
        <v/>
      </c>
      <c r="U586" s="117" t="str">
        <f>+IF($C586="","",ROUND((U585+I586)*(1+Parámetros!$D$92),2))</f>
        <v/>
      </c>
      <c r="V586" s="117" t="str">
        <f>+IF($C586="","",ROUND(U586*VLOOKUP(B586,Parámetros!$C$30:$D$39,2,TRUE),2))</f>
        <v/>
      </c>
      <c r="W586" s="57" t="str">
        <f t="shared" si="819"/>
        <v/>
      </c>
      <c r="X586" t="str">
        <f t="shared" si="820"/>
        <v/>
      </c>
      <c r="Y586" t="str">
        <f t="shared" si="821"/>
        <v/>
      </c>
      <c r="Z586" s="118" t="str">
        <f>+IF($W586="","",ROUND(IF(Parámetros!$D$25='TABLAS MORT'!$V$33,Z585,Parámetros!$D$21-'Tablas Servicio'!T585),0))</f>
        <v/>
      </c>
      <c r="AA586" s="118" t="str">
        <f t="shared" si="822"/>
        <v/>
      </c>
      <c r="AB586" s="119" t="str">
        <f>+IF(W586="","",ROUND((VLOOKUP(ROUNDDOWN($D586-1/frec,0),qx_tabla,2,FALSE)*(1+i/frec)^-0.5*(1+Parámetros!$D$103)*(1+rec_fracc)/frec),6))</f>
        <v/>
      </c>
      <c r="AC586" s="66" t="str">
        <f t="shared" si="778"/>
        <v/>
      </c>
      <c r="AD586" s="119" t="str">
        <f t="shared" si="774"/>
        <v/>
      </c>
      <c r="AE586" s="66" t="str">
        <f>+IF($W586="","",ROUND(IF($B586&gt;Parámetros!$D$107,'Tablas Servicio'!AC586+('Tablas Servicio'!AG585-'Tablas Servicio'!AC585),AC586/(1-IF(B586&lt;=10,Parámetros!$D$104,Parámetros!$D$105))),2))</f>
        <v/>
      </c>
      <c r="AF586" s="66" t="str">
        <f>+IF($W586="","",ROUND(IF($B586&gt;Parámetros!$D$107,'Tablas Servicio'!AC586+('Tablas Servicio'!AG585-'Tablas Servicio'!AC585),(AC586+$A585/frec)/(1-IF(B586&lt;=Parámetros!$D$117,Parámetros!$D$100,0))),2))</f>
        <v/>
      </c>
      <c r="AG586" s="66" t="str">
        <f t="shared" si="779"/>
        <v/>
      </c>
      <c r="AH586" s="66" t="str">
        <f t="shared" si="780"/>
        <v/>
      </c>
      <c r="AI586" s="66" t="str">
        <f t="shared" si="781"/>
        <v/>
      </c>
      <c r="AJ586" s="66" t="str">
        <f>+IF($W586="","",ROUND((AG586*Parámetros!$G$85),2))</f>
        <v/>
      </c>
      <c r="AK586" s="66" t="str">
        <f>+IF($W586="","",ROUND((AG586*(Parámetros!$G$86)),2))</f>
        <v/>
      </c>
      <c r="AL586" s="66" t="str">
        <f t="shared" si="775"/>
        <v/>
      </c>
      <c r="AM586" t="str">
        <f t="shared" si="823"/>
        <v/>
      </c>
      <c r="AN586" t="str">
        <f t="shared" si="824"/>
        <v/>
      </c>
      <c r="AO586" s="118" t="str">
        <f t="shared" si="825"/>
        <v/>
      </c>
      <c r="AP586" s="118" t="str">
        <f t="shared" si="826"/>
        <v/>
      </c>
      <c r="AQ586" s="119" t="str">
        <f>+IF(OR($W586="",AO586=0),"",ROUND((VLOOKUP(ROUNDDOWN($D586-1/frec,0),cob_adi,Z$40,FALSE)*(1+i/frec)^-0.5*(1+Parámetros!$D$103)*(1+rec_fracc)/frec),6))</f>
        <v/>
      </c>
      <c r="AR586" s="66" t="str">
        <f t="shared" si="782"/>
        <v/>
      </c>
      <c r="AS586" s="119" t="str">
        <f t="shared" si="783"/>
        <v/>
      </c>
      <c r="AT586" s="66" t="str">
        <f>+IF($W586="","",ROUND(IF($B586&gt;Parámetros!$D$107,'Tablas Servicio'!AR586+('Tablas Servicio'!AT585-'Tablas Servicio'!AR585),AR586/(1-IF(B586&lt;=10,Parámetros!$D$100,0))),2))</f>
        <v/>
      </c>
      <c r="AU586" s="66" t="str">
        <f t="shared" si="784"/>
        <v/>
      </c>
      <c r="AV586" s="66" t="str">
        <f t="shared" si="784"/>
        <v/>
      </c>
      <c r="AW586" s="66" t="str">
        <f>+IF($W586="","",ROUND((AT586*Parámetros!$G$85),2))</f>
        <v/>
      </c>
      <c r="AX586" s="66" t="str">
        <f>+IF($W586="","",ROUND((AT586*(Parámetros!$G$86)),2))</f>
        <v/>
      </c>
      <c r="AY586" s="66" t="str">
        <f t="shared" si="785"/>
        <v/>
      </c>
      <c r="AZ586" t="str">
        <f t="shared" si="827"/>
        <v/>
      </c>
      <c r="BA586" t="str">
        <f t="shared" si="828"/>
        <v/>
      </c>
      <c r="BB586" s="118" t="str">
        <f t="shared" si="829"/>
        <v/>
      </c>
      <c r="BC586" s="118" t="str">
        <f t="shared" si="830"/>
        <v/>
      </c>
      <c r="BD586" s="119" t="str">
        <f>+IF(OR($W586="",BB586=0),"",ROUND((VLOOKUP(ROUNDDOWN($D586-1/frec,0),cob_adi,AO$40,FALSE)*(1+i/frec)^-0.5*(1+Parámetros!$D$103)*(1+rec_fracc)/frec),6))</f>
        <v/>
      </c>
      <c r="BE586" s="66" t="str">
        <f t="shared" si="786"/>
        <v/>
      </c>
      <c r="BF586" s="119" t="str">
        <f t="shared" si="787"/>
        <v/>
      </c>
      <c r="BG586" s="66" t="str">
        <f>+IF($W586="","",ROUND(IF($B586&gt;Parámetros!$D$107,'Tablas Servicio'!BE586+('Tablas Servicio'!BG585-'Tablas Servicio'!BE585),BE586/(1-IF(B586&lt;=10,Parámetros!$D$100,0))),2))</f>
        <v/>
      </c>
      <c r="BH586" s="66" t="str">
        <f t="shared" si="788"/>
        <v/>
      </c>
      <c r="BI586" s="66" t="str">
        <f t="shared" si="789"/>
        <v/>
      </c>
      <c r="BJ586" s="66" t="str">
        <f>+IF($W586="","",ROUND((BG586*Parámetros!$G$85),2))</f>
        <v/>
      </c>
      <c r="BK586" s="66" t="str">
        <f>+IF($W586="","",ROUND((BG586*(Parámetros!$G$86)),2))</f>
        <v/>
      </c>
      <c r="BL586" s="66" t="str">
        <f t="shared" si="790"/>
        <v/>
      </c>
      <c r="BM586" t="str">
        <f t="shared" si="831"/>
        <v/>
      </c>
      <c r="BN586" t="str">
        <f t="shared" si="832"/>
        <v/>
      </c>
      <c r="BO586" s="118" t="str">
        <f t="shared" si="833"/>
        <v/>
      </c>
      <c r="BP586" s="118" t="str">
        <f t="shared" si="834"/>
        <v/>
      </c>
      <c r="BQ586" s="119" t="str">
        <f>+IF(OR($W586="",BO586=0),"",ROUND((VLOOKUP(ROUNDDOWN($D586-1/frec,0),cob_adi,BB$40,FALSE)*(1+i/frec)^-0.5*(1+Parámetros!$D$103)*(1+rec_fracc)/frec),6))</f>
        <v/>
      </c>
      <c r="BR586" s="66" t="str">
        <f t="shared" si="791"/>
        <v/>
      </c>
      <c r="BS586" s="119" t="str">
        <f t="shared" si="792"/>
        <v/>
      </c>
      <c r="BT586" s="66" t="str">
        <f>+IF($W586="","",ROUND(IF($B586&gt;Parámetros!$D$107,'Tablas Servicio'!BR586+('Tablas Servicio'!BT585-'Tablas Servicio'!BR585),BR586/(1-IF(B586&lt;=10,Parámetros!$D$100,0))),2))</f>
        <v/>
      </c>
      <c r="BU586" s="66" t="str">
        <f t="shared" si="793"/>
        <v/>
      </c>
      <c r="BV586" s="66" t="str">
        <f t="shared" si="793"/>
        <v/>
      </c>
      <c r="BW586" s="66" t="str">
        <f>+IF($W586="","",ROUND((BT586*Parámetros!$G$85),2))</f>
        <v/>
      </c>
      <c r="BX586" s="66" t="str">
        <f>+IF($W586="","",ROUND((BT586*(Parámetros!$G$86)),2))</f>
        <v/>
      </c>
      <c r="BY586" s="66" t="str">
        <f t="shared" si="794"/>
        <v/>
      </c>
      <c r="BZ586" t="str">
        <f t="shared" si="835"/>
        <v/>
      </c>
      <c r="CA586" t="str">
        <f t="shared" si="836"/>
        <v/>
      </c>
      <c r="CB586" s="118" t="str">
        <f t="shared" si="837"/>
        <v/>
      </c>
      <c r="CC586" s="118" t="str">
        <f t="shared" si="838"/>
        <v/>
      </c>
      <c r="CD586" s="119" t="str">
        <f t="shared" si="795"/>
        <v/>
      </c>
      <c r="CE586" s="66" t="str">
        <f>+IF($W586="","",ROUND((VLOOKUP(ROUNDDOWN($D586-1/frec,0),cob_adi,BO$40,FALSE)*(1+i/frec)^-0.5*(1+Parámetros!$D$103)*(1+rec_fracc)/frec*'TABLAS ADI'!$BC$17),2))</f>
        <v/>
      </c>
      <c r="CF586" s="119" t="str">
        <f t="shared" si="796"/>
        <v/>
      </c>
      <c r="CG586" s="66" t="str">
        <f>+IF($W586="","",ROUND(IF($B586&gt;Parámetros!$D$107,'Tablas Servicio'!CE586+('Tablas Servicio'!CG585-'Tablas Servicio'!CE585),CE586/(1-IF(B586&lt;=10,Parámetros!$D$100,0))),2))</f>
        <v/>
      </c>
      <c r="CH586" s="66" t="str">
        <f t="shared" si="797"/>
        <v/>
      </c>
      <c r="CI586" s="66" t="str">
        <f t="shared" si="797"/>
        <v/>
      </c>
      <c r="CJ586" s="66" t="str">
        <f>+IF($W586="","",ROUND((CG586*Parámetros!$G$85),2))</f>
        <v/>
      </c>
      <c r="CK586" s="66" t="str">
        <f>+IF($W586="","",ROUND((CG586*(Parámetros!$G$86)),2))</f>
        <v/>
      </c>
      <c r="CL586" s="66" t="str">
        <f t="shared" si="798"/>
        <v/>
      </c>
      <c r="CM586" t="str">
        <f t="shared" si="839"/>
        <v/>
      </c>
      <c r="CN586" s="118" t="str">
        <f t="shared" si="840"/>
        <v/>
      </c>
      <c r="CO586" s="118" t="str">
        <f t="shared" si="841"/>
        <v/>
      </c>
      <c r="CP586" s="118" t="str">
        <f t="shared" si="842"/>
        <v/>
      </c>
      <c r="CQ586" s="119" t="str">
        <f t="shared" si="799"/>
        <v/>
      </c>
      <c r="CR586" s="66" t="str">
        <f>+IF($W586="","",ROUND((VLOOKUP(Parámetros!$F$51,'COBERTURAS ADICIONALES'!$S$4:$T$32,2,FALSE)*(1+i/frec)^-0.5*(1+Parámetros!$D$103)*(1+rec_fracc)/frec*$CO$42),2))</f>
        <v/>
      </c>
      <c r="CS586" s="119" t="str">
        <f t="shared" si="800"/>
        <v/>
      </c>
      <c r="CT586" s="66" t="str">
        <f>+IF($W586="","",ROUND(IF($B586&gt;Parámetros!$D$107,'Tablas Servicio'!CR586+('Tablas Servicio'!CT585-'Tablas Servicio'!CR585),CR586/(1-IF(B586&lt;=10,Parámetros!$D$100,0))),2))</f>
        <v/>
      </c>
      <c r="CU586" s="66" t="str">
        <f t="shared" si="801"/>
        <v/>
      </c>
      <c r="CV586" s="66" t="str">
        <f t="shared" si="801"/>
        <v/>
      </c>
      <c r="CW586" s="66" t="str">
        <f>+IF($W586="","",ROUND((CT586*Parámetros!$G$85),2))</f>
        <v/>
      </c>
      <c r="CX586" s="66" t="str">
        <f>+IF($W586="","",ROUND((CT586*(Parámetros!$G$86)),2))</f>
        <v/>
      </c>
      <c r="CY586" s="66" t="str">
        <f t="shared" si="802"/>
        <v/>
      </c>
      <c r="CZ586" t="str">
        <f t="shared" si="843"/>
        <v/>
      </c>
      <c r="DA586" s="118" t="str">
        <f t="shared" si="844"/>
        <v/>
      </c>
      <c r="DB586" s="118" t="str">
        <f t="shared" si="845"/>
        <v/>
      </c>
      <c r="DC586" s="118" t="str">
        <f t="shared" si="846"/>
        <v/>
      </c>
      <c r="DD586" s="121" t="str">
        <f>+IF(OR($W586="",DB586=0),"",ROUND((VLOOKUP(ROUNDDOWN($D586-1/frec,0),cob_adi,CO$40,FALSE)*(1+i/frec)^-0.5*(1+Parámetros!$D$103)*(1+rec_fracc)/frec),6))</f>
        <v/>
      </c>
      <c r="DE586" s="66" t="str">
        <f t="shared" si="803"/>
        <v/>
      </c>
      <c r="DF586" s="119" t="str">
        <f t="shared" si="804"/>
        <v/>
      </c>
      <c r="DG586" s="66" t="str">
        <f>+IF($W586="","",ROUND(IF($B586&gt;Parámetros!$D$107,'Tablas Servicio'!DE586+('Tablas Servicio'!DG585-'Tablas Servicio'!DE585),DE586/(1-IF(B586&lt;=10,Parámetros!$D$100,0))),2))</f>
        <v/>
      </c>
      <c r="DH586" s="66" t="str">
        <f t="shared" si="805"/>
        <v/>
      </c>
      <c r="DI586" s="66" t="str">
        <f t="shared" si="805"/>
        <v/>
      </c>
      <c r="DJ586" s="66" t="str">
        <f>+IF($W586="","",ROUND((DG586*Parámetros!$G$85),2))</f>
        <v/>
      </c>
      <c r="DK586" s="66" t="str">
        <f>+IF($W586="","",ROUND((DG586*(Parámetros!$G$86)),2))</f>
        <v/>
      </c>
      <c r="DL586" s="66" t="str">
        <f t="shared" si="806"/>
        <v/>
      </c>
      <c r="DM586" t="str">
        <f t="shared" si="847"/>
        <v/>
      </c>
      <c r="DN586" s="118" t="str">
        <f t="shared" si="848"/>
        <v/>
      </c>
      <c r="DO586" s="118" t="str">
        <f t="shared" si="849"/>
        <v/>
      </c>
      <c r="DP586" s="118" t="str">
        <f t="shared" si="850"/>
        <v/>
      </c>
      <c r="DQ586" s="122" t="str">
        <f>+IF(OR($W586="",DO586=0),"",ROUND((VLOOKUP(ROUNDDOWN($D586-1/frec,0),cob_adi,DB$40,FALSE)*(1+i/frec)^-0.5*(1+Parámetros!$D$103)*(1+rec_fracc)/frec),6))</f>
        <v/>
      </c>
      <c r="DR586" s="66" t="str">
        <f t="shared" si="807"/>
        <v/>
      </c>
      <c r="DS586" s="68" t="str">
        <f t="shared" si="808"/>
        <v/>
      </c>
      <c r="DT586" s="66" t="str">
        <f>+IF($W586="","",ROUND(IF($B586&gt;Parámetros!$D$107,'Tablas Servicio'!DR586+('Tablas Servicio'!DT585-'Tablas Servicio'!DR585),DR586/(1-IF(B586&lt;=10,Parámetros!$D$100,0))),2))</f>
        <v/>
      </c>
      <c r="DU586" s="66" t="str">
        <f t="shared" si="809"/>
        <v/>
      </c>
      <c r="DV586" s="66" t="str">
        <f t="shared" si="809"/>
        <v/>
      </c>
      <c r="DW586" s="66" t="str">
        <f>+IF($W586="","",ROUND((DT586*Parámetros!$G$85),2))</f>
        <v/>
      </c>
      <c r="DX586" s="66" t="str">
        <f>+IF($W586="","",ROUND((DT586*(Parámetros!$G$86)),2))</f>
        <v/>
      </c>
      <c r="DY586" s="66" t="str">
        <f t="shared" si="810"/>
        <v/>
      </c>
      <c r="DZ586" t="str">
        <f t="shared" si="851"/>
        <v/>
      </c>
      <c r="EA586" s="118" t="str">
        <f t="shared" si="851"/>
        <v/>
      </c>
      <c r="EB586" s="118" t="str">
        <f>+IF($W586="","",ROUND(IF(Parámetros!$D$25='TABLAS MORT'!$V$33,EB585,Z586/2),0))</f>
        <v/>
      </c>
      <c r="EC586" s="118" t="str">
        <f t="shared" si="851"/>
        <v/>
      </c>
      <c r="ED586" s="122" t="str">
        <f>+IF(OR($W586="",EB586=0),"",ROUND((VLOOKUP(ROUNDDOWN($D586-1/frec,0),cob_adi,DO$40,FALSE)*(1+i/frec)^-0.5*(1+Parámetros!$D$103)*(1+rec_fracc)/frec),6))</f>
        <v/>
      </c>
      <c r="EE586" s="66" t="str">
        <f t="shared" si="812"/>
        <v/>
      </c>
      <c r="EF586" s="68" t="str">
        <f t="shared" si="813"/>
        <v/>
      </c>
      <c r="EG586" s="66" t="str">
        <f>+IF($W586="","",ROUND(IF($B586&gt;Parámetros!$D$107,'Tablas Servicio'!EE586+('Tablas Servicio'!EG585-'Tablas Servicio'!EE585),EE586/(1-IF(B586&lt;=10,Parámetros!$D$100,0))),2))</f>
        <v/>
      </c>
      <c r="EH586" s="66" t="str">
        <f t="shared" si="814"/>
        <v/>
      </c>
      <c r="EI586" s="66" t="str">
        <f t="shared" si="814"/>
        <v/>
      </c>
      <c r="EJ586" s="66" t="str">
        <f>+IF($W586="","",ROUND((EG586*Parámetros!$G$85),2))</f>
        <v/>
      </c>
      <c r="EK586" s="66" t="str">
        <f>+IF($W586="","",ROUND((EG586*(Parámetros!$G$86)),2))</f>
        <v/>
      </c>
      <c r="EL586" s="66" t="str">
        <f t="shared" si="815"/>
        <v/>
      </c>
    </row>
    <row r="587" spans="1:142" x14ac:dyDescent="0.25">
      <c r="A587" t="str">
        <f>+IF($C587="","",ROUND(VLOOKUP('Tablas Servicio'!B587,Parámetros!$H$100:$J$159,IF(Parámetros!$E$16="F",2,3),FALSE),2))</f>
        <v/>
      </c>
      <c r="B587" t="str">
        <f t="shared" si="766"/>
        <v/>
      </c>
      <c r="C587" s="57" t="str">
        <f>+IF(D587="","",'Tablas Servicio'!C586+1)</f>
        <v/>
      </c>
      <c r="D587" s="56" t="str">
        <f>+IF(D586&lt;edadmaxtabla,D586+1/Parámetros!$E$25,"")</f>
        <v/>
      </c>
      <c r="E587" s="57" t="str">
        <f t="shared" si="776"/>
        <v/>
      </c>
      <c r="F587" s="59" t="str">
        <f t="shared" si="777"/>
        <v/>
      </c>
      <c r="G587" s="66" t="str">
        <f t="shared" si="767"/>
        <v/>
      </c>
      <c r="H587" s="66" t="str">
        <f t="shared" si="768"/>
        <v/>
      </c>
      <c r="I587" s="66" t="str">
        <f t="shared" si="816"/>
        <v/>
      </c>
      <c r="J587" s="66" t="str">
        <f t="shared" si="769"/>
        <v/>
      </c>
      <c r="K587" s="66" t="str">
        <f t="shared" si="770"/>
        <v/>
      </c>
      <c r="L587" s="66" t="str">
        <f t="shared" si="771"/>
        <v/>
      </c>
      <c r="M587" s="66" t="str">
        <f t="shared" si="772"/>
        <v/>
      </c>
      <c r="N587" s="66" t="str">
        <f>+IF(C587="","",ROUND(Parámetros!$D$23,2))</f>
        <v/>
      </c>
      <c r="O587" s="66" t="str">
        <f t="shared" si="773"/>
        <v/>
      </c>
      <c r="P587" s="66" t="str">
        <f>+IF($C587="","",ROUND(IF(B587&gt;Parámetros!$D$117,0,N587*Parámetros!$D$116-G587*Parámetros!$D$100),2))</f>
        <v/>
      </c>
      <c r="Q587" s="75" t="str">
        <f t="shared" si="817"/>
        <v/>
      </c>
      <c r="R587" s="75" t="str">
        <f t="shared" si="818"/>
        <v/>
      </c>
      <c r="S587" s="117" t="str">
        <f>+IF($C587="","",ROUND((S586+I587)*(1+Parámetros!$D$91),2))</f>
        <v/>
      </c>
      <c r="T587" s="117" t="str">
        <f>+IF($C587="","",ROUND(S587*VLOOKUP(B587,Parámetros!$C$30:$D$39,2,TRUE),2))</f>
        <v/>
      </c>
      <c r="U587" s="117" t="str">
        <f>+IF($C587="","",ROUND((U586+I587)*(1+Parámetros!$D$92),2))</f>
        <v/>
      </c>
      <c r="V587" s="117" t="str">
        <f>+IF($C587="","",ROUND(U587*VLOOKUP(B587,Parámetros!$C$30:$D$39,2,TRUE),2))</f>
        <v/>
      </c>
      <c r="W587" s="57" t="str">
        <f t="shared" si="819"/>
        <v/>
      </c>
      <c r="X587" t="str">
        <f t="shared" si="820"/>
        <v/>
      </c>
      <c r="Y587" t="str">
        <f t="shared" si="821"/>
        <v/>
      </c>
      <c r="Z587" s="118" t="str">
        <f>+IF($W587="","",ROUND(IF(Parámetros!$D$25='TABLAS MORT'!$V$33,Z586,Parámetros!$D$21-'Tablas Servicio'!T586),0))</f>
        <v/>
      </c>
      <c r="AA587" s="118" t="str">
        <f t="shared" si="822"/>
        <v/>
      </c>
      <c r="AB587" s="119" t="str">
        <f>+IF(W587="","",ROUND((VLOOKUP(ROUNDDOWN($D587-1/frec,0),qx_tabla,2,FALSE)*(1+i/frec)^-0.5*(1+Parámetros!$D$103)*(1+rec_fracc)/frec),6))</f>
        <v/>
      </c>
      <c r="AC587" s="66" t="str">
        <f t="shared" si="778"/>
        <v/>
      </c>
      <c r="AD587" s="119" t="str">
        <f t="shared" si="774"/>
        <v/>
      </c>
      <c r="AE587" s="66" t="str">
        <f>+IF($W587="","",ROUND(IF($B587&gt;Parámetros!$D$107,'Tablas Servicio'!AC587+('Tablas Servicio'!AG586-'Tablas Servicio'!AC586),AC587/(1-IF(B587&lt;=10,Parámetros!$D$104,Parámetros!$D$105))),2))</f>
        <v/>
      </c>
      <c r="AF587" s="66" t="str">
        <f>+IF($W587="","",ROUND(IF($B587&gt;Parámetros!$D$107,'Tablas Servicio'!AC587+('Tablas Servicio'!AG586-'Tablas Servicio'!AC586),(AC587+$A586/frec)/(1-IF(B587&lt;=Parámetros!$D$117,Parámetros!$D$100,0))),2))</f>
        <v/>
      </c>
      <c r="AG587" s="66" t="str">
        <f t="shared" si="779"/>
        <v/>
      </c>
      <c r="AH587" s="66" t="str">
        <f t="shared" si="780"/>
        <v/>
      </c>
      <c r="AI587" s="66" t="str">
        <f t="shared" si="781"/>
        <v/>
      </c>
      <c r="AJ587" s="66" t="str">
        <f>+IF($W587="","",ROUND((AG587*Parámetros!$G$85),2))</f>
        <v/>
      </c>
      <c r="AK587" s="66" t="str">
        <f>+IF($W587="","",ROUND((AG587*(Parámetros!$G$86)),2))</f>
        <v/>
      </c>
      <c r="AL587" s="66" t="str">
        <f t="shared" si="775"/>
        <v/>
      </c>
      <c r="AM587" t="str">
        <f t="shared" si="823"/>
        <v/>
      </c>
      <c r="AN587" t="str">
        <f t="shared" si="824"/>
        <v/>
      </c>
      <c r="AO587" s="118" t="str">
        <f t="shared" si="825"/>
        <v/>
      </c>
      <c r="AP587" s="118" t="str">
        <f t="shared" si="826"/>
        <v/>
      </c>
      <c r="AQ587" s="119" t="str">
        <f>+IF(OR($W587="",AO587=0),"",ROUND((VLOOKUP(ROUNDDOWN($D587-1/frec,0),cob_adi,Z$40,FALSE)*(1+i/frec)^-0.5*(1+Parámetros!$D$103)*(1+rec_fracc)/frec),6))</f>
        <v/>
      </c>
      <c r="AR587" s="66" t="str">
        <f t="shared" si="782"/>
        <v/>
      </c>
      <c r="AS587" s="119" t="str">
        <f t="shared" si="783"/>
        <v/>
      </c>
      <c r="AT587" s="66" t="str">
        <f>+IF($W587="","",ROUND(IF($B587&gt;Parámetros!$D$107,'Tablas Servicio'!AR587+('Tablas Servicio'!AT586-'Tablas Servicio'!AR586),AR587/(1-IF(B587&lt;=10,Parámetros!$D$100,0))),2))</f>
        <v/>
      </c>
      <c r="AU587" s="66" t="str">
        <f t="shared" si="784"/>
        <v/>
      </c>
      <c r="AV587" s="66" t="str">
        <f t="shared" si="784"/>
        <v/>
      </c>
      <c r="AW587" s="66" t="str">
        <f>+IF($W587="","",ROUND((AT587*Parámetros!$G$85),2))</f>
        <v/>
      </c>
      <c r="AX587" s="66" t="str">
        <f>+IF($W587="","",ROUND((AT587*(Parámetros!$G$86)),2))</f>
        <v/>
      </c>
      <c r="AY587" s="66" t="str">
        <f t="shared" si="785"/>
        <v/>
      </c>
      <c r="AZ587" t="str">
        <f t="shared" si="827"/>
        <v/>
      </c>
      <c r="BA587" t="str">
        <f t="shared" si="828"/>
        <v/>
      </c>
      <c r="BB587" s="118" t="str">
        <f t="shared" si="829"/>
        <v/>
      </c>
      <c r="BC587" s="118" t="str">
        <f t="shared" si="830"/>
        <v/>
      </c>
      <c r="BD587" s="119" t="str">
        <f>+IF(OR($W587="",BB587=0),"",ROUND((VLOOKUP(ROUNDDOWN($D587-1/frec,0),cob_adi,AO$40,FALSE)*(1+i/frec)^-0.5*(1+Parámetros!$D$103)*(1+rec_fracc)/frec),6))</f>
        <v/>
      </c>
      <c r="BE587" s="66" t="str">
        <f t="shared" si="786"/>
        <v/>
      </c>
      <c r="BF587" s="119" t="str">
        <f t="shared" si="787"/>
        <v/>
      </c>
      <c r="BG587" s="66" t="str">
        <f>+IF($W587="","",ROUND(IF($B587&gt;Parámetros!$D$107,'Tablas Servicio'!BE587+('Tablas Servicio'!BG586-'Tablas Servicio'!BE586),BE587/(1-IF(B587&lt;=10,Parámetros!$D$100,0))),2))</f>
        <v/>
      </c>
      <c r="BH587" s="66" t="str">
        <f t="shared" si="788"/>
        <v/>
      </c>
      <c r="BI587" s="66" t="str">
        <f t="shared" si="789"/>
        <v/>
      </c>
      <c r="BJ587" s="66" t="str">
        <f>+IF($W587="","",ROUND((BG587*Parámetros!$G$85),2))</f>
        <v/>
      </c>
      <c r="BK587" s="66" t="str">
        <f>+IF($W587="","",ROUND((BG587*(Parámetros!$G$86)),2))</f>
        <v/>
      </c>
      <c r="BL587" s="66" t="str">
        <f t="shared" si="790"/>
        <v/>
      </c>
      <c r="BM587" t="str">
        <f t="shared" si="831"/>
        <v/>
      </c>
      <c r="BN587" t="str">
        <f t="shared" si="832"/>
        <v/>
      </c>
      <c r="BO587" s="118" t="str">
        <f t="shared" si="833"/>
        <v/>
      </c>
      <c r="BP587" s="118" t="str">
        <f t="shared" si="834"/>
        <v/>
      </c>
      <c r="BQ587" s="119" t="str">
        <f>+IF(OR($W587="",BO587=0),"",ROUND((VLOOKUP(ROUNDDOWN($D587-1/frec,0),cob_adi,BB$40,FALSE)*(1+i/frec)^-0.5*(1+Parámetros!$D$103)*(1+rec_fracc)/frec),6))</f>
        <v/>
      </c>
      <c r="BR587" s="66" t="str">
        <f t="shared" si="791"/>
        <v/>
      </c>
      <c r="BS587" s="119" t="str">
        <f t="shared" si="792"/>
        <v/>
      </c>
      <c r="BT587" s="66" t="str">
        <f>+IF($W587="","",ROUND(IF($B587&gt;Parámetros!$D$107,'Tablas Servicio'!BR587+('Tablas Servicio'!BT586-'Tablas Servicio'!BR586),BR587/(1-IF(B587&lt;=10,Parámetros!$D$100,0))),2))</f>
        <v/>
      </c>
      <c r="BU587" s="66" t="str">
        <f t="shared" si="793"/>
        <v/>
      </c>
      <c r="BV587" s="66" t="str">
        <f t="shared" si="793"/>
        <v/>
      </c>
      <c r="BW587" s="66" t="str">
        <f>+IF($W587="","",ROUND((BT587*Parámetros!$G$85),2))</f>
        <v/>
      </c>
      <c r="BX587" s="66" t="str">
        <f>+IF($W587="","",ROUND((BT587*(Parámetros!$G$86)),2))</f>
        <v/>
      </c>
      <c r="BY587" s="66" t="str">
        <f t="shared" si="794"/>
        <v/>
      </c>
      <c r="BZ587" t="str">
        <f t="shared" si="835"/>
        <v/>
      </c>
      <c r="CA587" t="str">
        <f t="shared" si="836"/>
        <v/>
      </c>
      <c r="CB587" s="118" t="str">
        <f t="shared" si="837"/>
        <v/>
      </c>
      <c r="CC587" s="118" t="str">
        <f t="shared" si="838"/>
        <v/>
      </c>
      <c r="CD587" s="119" t="str">
        <f t="shared" si="795"/>
        <v/>
      </c>
      <c r="CE587" s="66" t="str">
        <f>+IF($W587="","",ROUND((VLOOKUP(ROUNDDOWN($D587-1/frec,0),cob_adi,BO$40,FALSE)*(1+i/frec)^-0.5*(1+Parámetros!$D$103)*(1+rec_fracc)/frec*'TABLAS ADI'!$BC$17),2))</f>
        <v/>
      </c>
      <c r="CF587" s="119" t="str">
        <f t="shared" si="796"/>
        <v/>
      </c>
      <c r="CG587" s="66" t="str">
        <f>+IF($W587="","",ROUND(IF($B587&gt;Parámetros!$D$107,'Tablas Servicio'!CE587+('Tablas Servicio'!CG586-'Tablas Servicio'!CE586),CE587/(1-IF(B587&lt;=10,Parámetros!$D$100,0))),2))</f>
        <v/>
      </c>
      <c r="CH587" s="66" t="str">
        <f t="shared" si="797"/>
        <v/>
      </c>
      <c r="CI587" s="66" t="str">
        <f t="shared" si="797"/>
        <v/>
      </c>
      <c r="CJ587" s="66" t="str">
        <f>+IF($W587="","",ROUND((CG587*Parámetros!$G$85),2))</f>
        <v/>
      </c>
      <c r="CK587" s="66" t="str">
        <f>+IF($W587="","",ROUND((CG587*(Parámetros!$G$86)),2))</f>
        <v/>
      </c>
      <c r="CL587" s="66" t="str">
        <f t="shared" si="798"/>
        <v/>
      </c>
      <c r="CM587" t="str">
        <f t="shared" si="839"/>
        <v/>
      </c>
      <c r="CN587" s="118" t="str">
        <f t="shared" si="840"/>
        <v/>
      </c>
      <c r="CO587" s="118" t="str">
        <f t="shared" si="841"/>
        <v/>
      </c>
      <c r="CP587" s="118" t="str">
        <f t="shared" si="842"/>
        <v/>
      </c>
      <c r="CQ587" s="119" t="str">
        <f t="shared" si="799"/>
        <v/>
      </c>
      <c r="CR587" s="66" t="str">
        <f>+IF($W587="","",ROUND((VLOOKUP(Parámetros!$F$51,'COBERTURAS ADICIONALES'!$S$4:$T$32,2,FALSE)*(1+i/frec)^-0.5*(1+Parámetros!$D$103)*(1+rec_fracc)/frec*$CO$42),2))</f>
        <v/>
      </c>
      <c r="CS587" s="119" t="str">
        <f t="shared" si="800"/>
        <v/>
      </c>
      <c r="CT587" s="66" t="str">
        <f>+IF($W587="","",ROUND(IF($B587&gt;Parámetros!$D$107,'Tablas Servicio'!CR587+('Tablas Servicio'!CT586-'Tablas Servicio'!CR586),CR587/(1-IF(B587&lt;=10,Parámetros!$D$100,0))),2))</f>
        <v/>
      </c>
      <c r="CU587" s="66" t="str">
        <f t="shared" si="801"/>
        <v/>
      </c>
      <c r="CV587" s="66" t="str">
        <f t="shared" si="801"/>
        <v/>
      </c>
      <c r="CW587" s="66" t="str">
        <f>+IF($W587="","",ROUND((CT587*Parámetros!$G$85),2))</f>
        <v/>
      </c>
      <c r="CX587" s="66" t="str">
        <f>+IF($W587="","",ROUND((CT587*(Parámetros!$G$86)),2))</f>
        <v/>
      </c>
      <c r="CY587" s="66" t="str">
        <f t="shared" si="802"/>
        <v/>
      </c>
      <c r="CZ587" t="str">
        <f t="shared" si="843"/>
        <v/>
      </c>
      <c r="DA587" s="118" t="str">
        <f t="shared" si="844"/>
        <v/>
      </c>
      <c r="DB587" s="118" t="str">
        <f t="shared" si="845"/>
        <v/>
      </c>
      <c r="DC587" s="118" t="str">
        <f t="shared" si="846"/>
        <v/>
      </c>
      <c r="DD587" s="121" t="str">
        <f>+IF(OR($W587="",DB587=0),"",ROUND((VLOOKUP(ROUNDDOWN($D587-1/frec,0),cob_adi,CO$40,FALSE)*(1+i/frec)^-0.5*(1+Parámetros!$D$103)*(1+rec_fracc)/frec),6))</f>
        <v/>
      </c>
      <c r="DE587" s="66" t="str">
        <f t="shared" si="803"/>
        <v/>
      </c>
      <c r="DF587" s="119" t="str">
        <f t="shared" si="804"/>
        <v/>
      </c>
      <c r="DG587" s="66" t="str">
        <f>+IF($W587="","",ROUND(IF($B587&gt;Parámetros!$D$107,'Tablas Servicio'!DE587+('Tablas Servicio'!DG586-'Tablas Servicio'!DE586),DE587/(1-IF(B587&lt;=10,Parámetros!$D$100,0))),2))</f>
        <v/>
      </c>
      <c r="DH587" s="66" t="str">
        <f t="shared" si="805"/>
        <v/>
      </c>
      <c r="DI587" s="66" t="str">
        <f t="shared" si="805"/>
        <v/>
      </c>
      <c r="DJ587" s="66" t="str">
        <f>+IF($W587="","",ROUND((DG587*Parámetros!$G$85),2))</f>
        <v/>
      </c>
      <c r="DK587" s="66" t="str">
        <f>+IF($W587="","",ROUND((DG587*(Parámetros!$G$86)),2))</f>
        <v/>
      </c>
      <c r="DL587" s="66" t="str">
        <f t="shared" si="806"/>
        <v/>
      </c>
      <c r="DM587" t="str">
        <f t="shared" si="847"/>
        <v/>
      </c>
      <c r="DN587" s="118" t="str">
        <f t="shared" si="848"/>
        <v/>
      </c>
      <c r="DO587" s="118" t="str">
        <f t="shared" si="849"/>
        <v/>
      </c>
      <c r="DP587" s="118" t="str">
        <f t="shared" si="850"/>
        <v/>
      </c>
      <c r="DQ587" s="122" t="str">
        <f>+IF(OR($W587="",DO587=0),"",ROUND((VLOOKUP(ROUNDDOWN($D587-1/frec,0),cob_adi,DB$40,FALSE)*(1+i/frec)^-0.5*(1+Parámetros!$D$103)*(1+rec_fracc)/frec),6))</f>
        <v/>
      </c>
      <c r="DR587" s="66" t="str">
        <f t="shared" si="807"/>
        <v/>
      </c>
      <c r="DS587" s="68" t="str">
        <f t="shared" si="808"/>
        <v/>
      </c>
      <c r="DT587" s="66" t="str">
        <f>+IF($W587="","",ROUND(IF($B587&gt;Parámetros!$D$107,'Tablas Servicio'!DR587+('Tablas Servicio'!DT586-'Tablas Servicio'!DR586),DR587/(1-IF(B587&lt;=10,Parámetros!$D$100,0))),2))</f>
        <v/>
      </c>
      <c r="DU587" s="66" t="str">
        <f t="shared" si="809"/>
        <v/>
      </c>
      <c r="DV587" s="66" t="str">
        <f t="shared" si="809"/>
        <v/>
      </c>
      <c r="DW587" s="66" t="str">
        <f>+IF($W587="","",ROUND((DT587*Parámetros!$G$85),2))</f>
        <v/>
      </c>
      <c r="DX587" s="66" t="str">
        <f>+IF($W587="","",ROUND((DT587*(Parámetros!$G$86)),2))</f>
        <v/>
      </c>
      <c r="DY587" s="66" t="str">
        <f t="shared" si="810"/>
        <v/>
      </c>
      <c r="DZ587" t="str">
        <f t="shared" ref="DZ587:EC602" si="852">+IF($W587="","",DZ586)</f>
        <v/>
      </c>
      <c r="EA587" s="118" t="str">
        <f t="shared" si="852"/>
        <v/>
      </c>
      <c r="EB587" s="118" t="str">
        <f>+IF($W587="","",ROUND(IF(Parámetros!$D$25='TABLAS MORT'!$V$33,EB586,Z587/2),0))</f>
        <v/>
      </c>
      <c r="EC587" s="118" t="str">
        <f t="shared" si="852"/>
        <v/>
      </c>
      <c r="ED587" s="122" t="str">
        <f>+IF(OR($W587="",EB587=0),"",ROUND((VLOOKUP(ROUNDDOWN($D587-1/frec,0),cob_adi,DO$40,FALSE)*(1+i/frec)^-0.5*(1+Parámetros!$D$103)*(1+rec_fracc)/frec),6))</f>
        <v/>
      </c>
      <c r="EE587" s="66" t="str">
        <f t="shared" si="812"/>
        <v/>
      </c>
      <c r="EF587" s="68" t="str">
        <f t="shared" si="813"/>
        <v/>
      </c>
      <c r="EG587" s="66" t="str">
        <f>+IF($W587="","",ROUND(IF($B587&gt;Parámetros!$D$107,'Tablas Servicio'!EE587+('Tablas Servicio'!EG586-'Tablas Servicio'!EE586),EE587/(1-IF(B587&lt;=10,Parámetros!$D$100,0))),2))</f>
        <v/>
      </c>
      <c r="EH587" s="66" t="str">
        <f t="shared" si="814"/>
        <v/>
      </c>
      <c r="EI587" s="66" t="str">
        <f t="shared" si="814"/>
        <v/>
      </c>
      <c r="EJ587" s="66" t="str">
        <f>+IF($W587="","",ROUND((EG587*Parámetros!$G$85),2))</f>
        <v/>
      </c>
      <c r="EK587" s="66" t="str">
        <f>+IF($W587="","",ROUND((EG587*(Parámetros!$G$86)),2))</f>
        <v/>
      </c>
      <c r="EL587" s="66" t="str">
        <f t="shared" si="815"/>
        <v/>
      </c>
    </row>
    <row r="588" spans="1:142" x14ac:dyDescent="0.25">
      <c r="A588" t="str">
        <f>+IF($C588="","",ROUND(VLOOKUP('Tablas Servicio'!B588,Parámetros!$H$100:$J$159,IF(Parámetros!$E$16="F",2,3),FALSE),2))</f>
        <v/>
      </c>
      <c r="B588" t="str">
        <f t="shared" si="766"/>
        <v/>
      </c>
      <c r="C588" s="57" t="str">
        <f>+IF(D588="","",'Tablas Servicio'!C587+1)</f>
        <v/>
      </c>
      <c r="D588" s="56" t="str">
        <f>+IF(D587&lt;edadmaxtabla,D587+1/Parámetros!$E$25,"")</f>
        <v/>
      </c>
      <c r="E588" s="57" t="str">
        <f t="shared" si="776"/>
        <v/>
      </c>
      <c r="F588" s="59" t="str">
        <f t="shared" si="777"/>
        <v/>
      </c>
      <c r="G588" s="66" t="str">
        <f t="shared" si="767"/>
        <v/>
      </c>
      <c r="H588" s="66" t="str">
        <f t="shared" si="768"/>
        <v/>
      </c>
      <c r="I588" s="66" t="str">
        <f t="shared" si="816"/>
        <v/>
      </c>
      <c r="J588" s="66" t="str">
        <f t="shared" si="769"/>
        <v/>
      </c>
      <c r="K588" s="66" t="str">
        <f t="shared" si="770"/>
        <v/>
      </c>
      <c r="L588" s="66" t="str">
        <f t="shared" si="771"/>
        <v/>
      </c>
      <c r="M588" s="66" t="str">
        <f t="shared" si="772"/>
        <v/>
      </c>
      <c r="N588" s="66" t="str">
        <f>+IF(C588="","",ROUND(Parámetros!$D$23,2))</f>
        <v/>
      </c>
      <c r="O588" s="66" t="str">
        <f t="shared" si="773"/>
        <v/>
      </c>
      <c r="P588" s="66" t="str">
        <f>+IF($C588="","",ROUND(IF(B588&gt;Parámetros!$D$117,0,N588*Parámetros!$D$116-G588*Parámetros!$D$100),2))</f>
        <v/>
      </c>
      <c r="Q588" s="75" t="str">
        <f t="shared" si="817"/>
        <v/>
      </c>
      <c r="R588" s="75" t="str">
        <f t="shared" si="818"/>
        <v/>
      </c>
      <c r="S588" s="117" t="str">
        <f>+IF($C588="","",ROUND((S587+I588)*(1+Parámetros!$D$91),2))</f>
        <v/>
      </c>
      <c r="T588" s="117" t="str">
        <f>+IF($C588="","",ROUND(S588*VLOOKUP(B588,Parámetros!$C$30:$D$39,2,TRUE),2))</f>
        <v/>
      </c>
      <c r="U588" s="117" t="str">
        <f>+IF($C588="","",ROUND((U587+I588)*(1+Parámetros!$D$92),2))</f>
        <v/>
      </c>
      <c r="V588" s="117" t="str">
        <f>+IF($C588="","",ROUND(U588*VLOOKUP(B588,Parámetros!$C$30:$D$39,2,TRUE),2))</f>
        <v/>
      </c>
      <c r="W588" s="57" t="str">
        <f t="shared" si="819"/>
        <v/>
      </c>
      <c r="X588" t="str">
        <f t="shared" si="820"/>
        <v/>
      </c>
      <c r="Y588" t="str">
        <f t="shared" si="821"/>
        <v/>
      </c>
      <c r="Z588" s="118" t="str">
        <f>+IF($W588="","",ROUND(IF(Parámetros!$D$25='TABLAS MORT'!$V$33,Z587,Parámetros!$D$21-'Tablas Servicio'!T587),0))</f>
        <v/>
      </c>
      <c r="AA588" s="118" t="str">
        <f t="shared" si="822"/>
        <v/>
      </c>
      <c r="AB588" s="119" t="str">
        <f>+IF(W588="","",ROUND((VLOOKUP(ROUNDDOWN($D588-1/frec,0),qx_tabla,2,FALSE)*(1+i/frec)^-0.5*(1+Parámetros!$D$103)*(1+rec_fracc)/frec),6))</f>
        <v/>
      </c>
      <c r="AC588" s="66" t="str">
        <f t="shared" si="778"/>
        <v/>
      </c>
      <c r="AD588" s="119" t="str">
        <f t="shared" si="774"/>
        <v/>
      </c>
      <c r="AE588" s="66" t="str">
        <f>+IF($W588="","",ROUND(IF($B588&gt;Parámetros!$D$107,'Tablas Servicio'!AC588+('Tablas Servicio'!AG587-'Tablas Servicio'!AC587),AC588/(1-IF(B588&lt;=10,Parámetros!$D$104,Parámetros!$D$105))),2))</f>
        <v/>
      </c>
      <c r="AF588" s="66" t="str">
        <f>+IF($W588="","",ROUND(IF($B588&gt;Parámetros!$D$107,'Tablas Servicio'!AC588+('Tablas Servicio'!AG587-'Tablas Servicio'!AC587),(AC588+$A587/frec)/(1-IF(B588&lt;=Parámetros!$D$117,Parámetros!$D$100,0))),2))</f>
        <v/>
      </c>
      <c r="AG588" s="66" t="str">
        <f t="shared" si="779"/>
        <v/>
      </c>
      <c r="AH588" s="66" t="str">
        <f t="shared" si="780"/>
        <v/>
      </c>
      <c r="AI588" s="66" t="str">
        <f t="shared" si="781"/>
        <v/>
      </c>
      <c r="AJ588" s="66" t="str">
        <f>+IF($W588="","",ROUND((AG588*Parámetros!$G$85),2))</f>
        <v/>
      </c>
      <c r="AK588" s="66" t="str">
        <f>+IF($W588="","",ROUND((AG588*(Parámetros!$G$86)),2))</f>
        <v/>
      </c>
      <c r="AL588" s="66" t="str">
        <f t="shared" si="775"/>
        <v/>
      </c>
      <c r="AM588" t="str">
        <f t="shared" si="823"/>
        <v/>
      </c>
      <c r="AN588" t="str">
        <f t="shared" si="824"/>
        <v/>
      </c>
      <c r="AO588" s="118" t="str">
        <f t="shared" si="825"/>
        <v/>
      </c>
      <c r="AP588" s="118" t="str">
        <f t="shared" si="826"/>
        <v/>
      </c>
      <c r="AQ588" s="119" t="str">
        <f>+IF(OR($W588="",AO588=0),"",ROUND((VLOOKUP(ROUNDDOWN($D588-1/frec,0),cob_adi,Z$40,FALSE)*(1+i/frec)^-0.5*(1+Parámetros!$D$103)*(1+rec_fracc)/frec),6))</f>
        <v/>
      </c>
      <c r="AR588" s="66" t="str">
        <f t="shared" si="782"/>
        <v/>
      </c>
      <c r="AS588" s="119" t="str">
        <f t="shared" si="783"/>
        <v/>
      </c>
      <c r="AT588" s="66" t="str">
        <f>+IF($W588="","",ROUND(IF($B588&gt;Parámetros!$D$107,'Tablas Servicio'!AR588+('Tablas Servicio'!AT587-'Tablas Servicio'!AR587),AR588/(1-IF(B588&lt;=10,Parámetros!$D$100,0))),2))</f>
        <v/>
      </c>
      <c r="AU588" s="66" t="str">
        <f t="shared" si="784"/>
        <v/>
      </c>
      <c r="AV588" s="66" t="str">
        <f t="shared" si="784"/>
        <v/>
      </c>
      <c r="AW588" s="66" t="str">
        <f>+IF($W588="","",ROUND((AT588*Parámetros!$G$85),2))</f>
        <v/>
      </c>
      <c r="AX588" s="66" t="str">
        <f>+IF($W588="","",ROUND((AT588*(Parámetros!$G$86)),2))</f>
        <v/>
      </c>
      <c r="AY588" s="66" t="str">
        <f t="shared" si="785"/>
        <v/>
      </c>
      <c r="AZ588" t="str">
        <f t="shared" si="827"/>
        <v/>
      </c>
      <c r="BA588" t="str">
        <f t="shared" si="828"/>
        <v/>
      </c>
      <c r="BB588" s="118" t="str">
        <f t="shared" si="829"/>
        <v/>
      </c>
      <c r="BC588" s="118" t="str">
        <f t="shared" si="830"/>
        <v/>
      </c>
      <c r="BD588" s="119" t="str">
        <f>+IF(OR($W588="",BB588=0),"",ROUND((VLOOKUP(ROUNDDOWN($D588-1/frec,0),cob_adi,AO$40,FALSE)*(1+i/frec)^-0.5*(1+Parámetros!$D$103)*(1+rec_fracc)/frec),6))</f>
        <v/>
      </c>
      <c r="BE588" s="66" t="str">
        <f t="shared" si="786"/>
        <v/>
      </c>
      <c r="BF588" s="119" t="str">
        <f t="shared" si="787"/>
        <v/>
      </c>
      <c r="BG588" s="66" t="str">
        <f>+IF($W588="","",ROUND(IF($B588&gt;Parámetros!$D$107,'Tablas Servicio'!BE588+('Tablas Servicio'!BG587-'Tablas Servicio'!BE587),BE588/(1-IF(B588&lt;=10,Parámetros!$D$100,0))),2))</f>
        <v/>
      </c>
      <c r="BH588" s="66" t="str">
        <f t="shared" si="788"/>
        <v/>
      </c>
      <c r="BI588" s="66" t="str">
        <f t="shared" si="789"/>
        <v/>
      </c>
      <c r="BJ588" s="66" t="str">
        <f>+IF($W588="","",ROUND((BG588*Parámetros!$G$85),2))</f>
        <v/>
      </c>
      <c r="BK588" s="66" t="str">
        <f>+IF($W588="","",ROUND((BG588*(Parámetros!$G$86)),2))</f>
        <v/>
      </c>
      <c r="BL588" s="66" t="str">
        <f t="shared" si="790"/>
        <v/>
      </c>
      <c r="BM588" t="str">
        <f t="shared" si="831"/>
        <v/>
      </c>
      <c r="BN588" t="str">
        <f t="shared" si="832"/>
        <v/>
      </c>
      <c r="BO588" s="118" t="str">
        <f t="shared" si="833"/>
        <v/>
      </c>
      <c r="BP588" s="118" t="str">
        <f t="shared" si="834"/>
        <v/>
      </c>
      <c r="BQ588" s="119" t="str">
        <f>+IF(OR($W588="",BO588=0),"",ROUND((VLOOKUP(ROUNDDOWN($D588-1/frec,0),cob_adi,BB$40,FALSE)*(1+i/frec)^-0.5*(1+Parámetros!$D$103)*(1+rec_fracc)/frec),6))</f>
        <v/>
      </c>
      <c r="BR588" s="66" t="str">
        <f t="shared" si="791"/>
        <v/>
      </c>
      <c r="BS588" s="119" t="str">
        <f t="shared" si="792"/>
        <v/>
      </c>
      <c r="BT588" s="66" t="str">
        <f>+IF($W588="","",ROUND(IF($B588&gt;Parámetros!$D$107,'Tablas Servicio'!BR588+('Tablas Servicio'!BT587-'Tablas Servicio'!BR587),BR588/(1-IF(B588&lt;=10,Parámetros!$D$100,0))),2))</f>
        <v/>
      </c>
      <c r="BU588" s="66" t="str">
        <f t="shared" si="793"/>
        <v/>
      </c>
      <c r="BV588" s="66" t="str">
        <f t="shared" si="793"/>
        <v/>
      </c>
      <c r="BW588" s="66" t="str">
        <f>+IF($W588="","",ROUND((BT588*Parámetros!$G$85),2))</f>
        <v/>
      </c>
      <c r="BX588" s="66" t="str">
        <f>+IF($W588="","",ROUND((BT588*(Parámetros!$G$86)),2))</f>
        <v/>
      </c>
      <c r="BY588" s="66" t="str">
        <f t="shared" si="794"/>
        <v/>
      </c>
      <c r="BZ588" t="str">
        <f t="shared" si="835"/>
        <v/>
      </c>
      <c r="CA588" t="str">
        <f t="shared" si="836"/>
        <v/>
      </c>
      <c r="CB588" s="118" t="str">
        <f t="shared" si="837"/>
        <v/>
      </c>
      <c r="CC588" s="118" t="str">
        <f t="shared" si="838"/>
        <v/>
      </c>
      <c r="CD588" s="119" t="str">
        <f t="shared" si="795"/>
        <v/>
      </c>
      <c r="CE588" s="66" t="str">
        <f>+IF($W588="","",ROUND((VLOOKUP(ROUNDDOWN($D588-1/frec,0),cob_adi,BO$40,FALSE)*(1+i/frec)^-0.5*(1+Parámetros!$D$103)*(1+rec_fracc)/frec*'TABLAS ADI'!$BC$17),2))</f>
        <v/>
      </c>
      <c r="CF588" s="119" t="str">
        <f t="shared" si="796"/>
        <v/>
      </c>
      <c r="CG588" s="66" t="str">
        <f>+IF($W588="","",ROUND(IF($B588&gt;Parámetros!$D$107,'Tablas Servicio'!CE588+('Tablas Servicio'!CG587-'Tablas Servicio'!CE587),CE588/(1-IF(B588&lt;=10,Parámetros!$D$100,0))),2))</f>
        <v/>
      </c>
      <c r="CH588" s="66" t="str">
        <f t="shared" si="797"/>
        <v/>
      </c>
      <c r="CI588" s="66" t="str">
        <f t="shared" si="797"/>
        <v/>
      </c>
      <c r="CJ588" s="66" t="str">
        <f>+IF($W588="","",ROUND((CG588*Parámetros!$G$85),2))</f>
        <v/>
      </c>
      <c r="CK588" s="66" t="str">
        <f>+IF($W588="","",ROUND((CG588*(Parámetros!$G$86)),2))</f>
        <v/>
      </c>
      <c r="CL588" s="66" t="str">
        <f t="shared" si="798"/>
        <v/>
      </c>
      <c r="CM588" t="str">
        <f t="shared" si="839"/>
        <v/>
      </c>
      <c r="CN588" s="118" t="str">
        <f t="shared" si="840"/>
        <v/>
      </c>
      <c r="CO588" s="118" t="str">
        <f t="shared" si="841"/>
        <v/>
      </c>
      <c r="CP588" s="118" t="str">
        <f t="shared" si="842"/>
        <v/>
      </c>
      <c r="CQ588" s="119" t="str">
        <f t="shared" si="799"/>
        <v/>
      </c>
      <c r="CR588" s="66" t="str">
        <f>+IF($W588="","",ROUND((VLOOKUP(Parámetros!$F$51,'COBERTURAS ADICIONALES'!$S$4:$T$32,2,FALSE)*(1+i/frec)^-0.5*(1+Parámetros!$D$103)*(1+rec_fracc)/frec*$CO$42),2))</f>
        <v/>
      </c>
      <c r="CS588" s="119" t="str">
        <f t="shared" si="800"/>
        <v/>
      </c>
      <c r="CT588" s="66" t="str">
        <f>+IF($W588="","",ROUND(IF($B588&gt;Parámetros!$D$107,'Tablas Servicio'!CR588+('Tablas Servicio'!CT587-'Tablas Servicio'!CR587),CR588/(1-IF(B588&lt;=10,Parámetros!$D$100,0))),2))</f>
        <v/>
      </c>
      <c r="CU588" s="66" t="str">
        <f t="shared" si="801"/>
        <v/>
      </c>
      <c r="CV588" s="66" t="str">
        <f t="shared" si="801"/>
        <v/>
      </c>
      <c r="CW588" s="66" t="str">
        <f>+IF($W588="","",ROUND((CT588*Parámetros!$G$85),2))</f>
        <v/>
      </c>
      <c r="CX588" s="66" t="str">
        <f>+IF($W588="","",ROUND((CT588*(Parámetros!$G$86)),2))</f>
        <v/>
      </c>
      <c r="CY588" s="66" t="str">
        <f t="shared" si="802"/>
        <v/>
      </c>
      <c r="CZ588" t="str">
        <f t="shared" si="843"/>
        <v/>
      </c>
      <c r="DA588" s="118" t="str">
        <f t="shared" si="844"/>
        <v/>
      </c>
      <c r="DB588" s="118" t="str">
        <f t="shared" si="845"/>
        <v/>
      </c>
      <c r="DC588" s="118" t="str">
        <f t="shared" si="846"/>
        <v/>
      </c>
      <c r="DD588" s="121" t="str">
        <f>+IF(OR($W588="",DB588=0),"",ROUND((VLOOKUP(ROUNDDOWN($D588-1/frec,0),cob_adi,CO$40,FALSE)*(1+i/frec)^-0.5*(1+Parámetros!$D$103)*(1+rec_fracc)/frec),6))</f>
        <v/>
      </c>
      <c r="DE588" s="66" t="str">
        <f t="shared" si="803"/>
        <v/>
      </c>
      <c r="DF588" s="119" t="str">
        <f t="shared" si="804"/>
        <v/>
      </c>
      <c r="DG588" s="66" t="str">
        <f>+IF($W588="","",ROUND(IF($B588&gt;Parámetros!$D$107,'Tablas Servicio'!DE588+('Tablas Servicio'!DG587-'Tablas Servicio'!DE587),DE588/(1-IF(B588&lt;=10,Parámetros!$D$100,0))),2))</f>
        <v/>
      </c>
      <c r="DH588" s="66" t="str">
        <f t="shared" si="805"/>
        <v/>
      </c>
      <c r="DI588" s="66" t="str">
        <f t="shared" si="805"/>
        <v/>
      </c>
      <c r="DJ588" s="66" t="str">
        <f>+IF($W588="","",ROUND((DG588*Parámetros!$G$85),2))</f>
        <v/>
      </c>
      <c r="DK588" s="66" t="str">
        <f>+IF($W588="","",ROUND((DG588*(Parámetros!$G$86)),2))</f>
        <v/>
      </c>
      <c r="DL588" s="66" t="str">
        <f t="shared" si="806"/>
        <v/>
      </c>
      <c r="DM588" t="str">
        <f t="shared" si="847"/>
        <v/>
      </c>
      <c r="DN588" s="118" t="str">
        <f t="shared" si="848"/>
        <v/>
      </c>
      <c r="DO588" s="118" t="str">
        <f t="shared" si="849"/>
        <v/>
      </c>
      <c r="DP588" s="118" t="str">
        <f t="shared" si="850"/>
        <v/>
      </c>
      <c r="DQ588" s="122" t="str">
        <f>+IF(OR($W588="",DO588=0),"",ROUND((VLOOKUP(ROUNDDOWN($D588-1/frec,0),cob_adi,DB$40,FALSE)*(1+i/frec)^-0.5*(1+Parámetros!$D$103)*(1+rec_fracc)/frec),6))</f>
        <v/>
      </c>
      <c r="DR588" s="66" t="str">
        <f t="shared" si="807"/>
        <v/>
      </c>
      <c r="DS588" s="68" t="str">
        <f t="shared" si="808"/>
        <v/>
      </c>
      <c r="DT588" s="66" t="str">
        <f>+IF($W588="","",ROUND(IF($B588&gt;Parámetros!$D$107,'Tablas Servicio'!DR588+('Tablas Servicio'!DT587-'Tablas Servicio'!DR587),DR588/(1-IF(B588&lt;=10,Parámetros!$D$100,0))),2))</f>
        <v/>
      </c>
      <c r="DU588" s="66" t="str">
        <f t="shared" si="809"/>
        <v/>
      </c>
      <c r="DV588" s="66" t="str">
        <f t="shared" si="809"/>
        <v/>
      </c>
      <c r="DW588" s="66" t="str">
        <f>+IF($W588="","",ROUND((DT588*Parámetros!$G$85),2))</f>
        <v/>
      </c>
      <c r="DX588" s="66" t="str">
        <f>+IF($W588="","",ROUND((DT588*(Parámetros!$G$86)),2))</f>
        <v/>
      </c>
      <c r="DY588" s="66" t="str">
        <f t="shared" si="810"/>
        <v/>
      </c>
      <c r="DZ588" t="str">
        <f t="shared" si="852"/>
        <v/>
      </c>
      <c r="EA588" s="118" t="str">
        <f t="shared" si="852"/>
        <v/>
      </c>
      <c r="EB588" s="118" t="str">
        <f>+IF($W588="","",ROUND(IF(Parámetros!$D$25='TABLAS MORT'!$V$33,EB587,Z588/2),0))</f>
        <v/>
      </c>
      <c r="EC588" s="118" t="str">
        <f t="shared" si="852"/>
        <v/>
      </c>
      <c r="ED588" s="122" t="str">
        <f>+IF(OR($W588="",EB588=0),"",ROUND((VLOOKUP(ROUNDDOWN($D588-1/frec,0),cob_adi,DO$40,FALSE)*(1+i/frec)^-0.5*(1+Parámetros!$D$103)*(1+rec_fracc)/frec),6))</f>
        <v/>
      </c>
      <c r="EE588" s="66" t="str">
        <f t="shared" si="812"/>
        <v/>
      </c>
      <c r="EF588" s="68" t="str">
        <f t="shared" si="813"/>
        <v/>
      </c>
      <c r="EG588" s="66" t="str">
        <f>+IF($W588="","",ROUND(IF($B588&gt;Parámetros!$D$107,'Tablas Servicio'!EE588+('Tablas Servicio'!EG587-'Tablas Servicio'!EE587),EE588/(1-IF(B588&lt;=10,Parámetros!$D$100,0))),2))</f>
        <v/>
      </c>
      <c r="EH588" s="66" t="str">
        <f t="shared" si="814"/>
        <v/>
      </c>
      <c r="EI588" s="66" t="str">
        <f t="shared" si="814"/>
        <v/>
      </c>
      <c r="EJ588" s="66" t="str">
        <f>+IF($W588="","",ROUND((EG588*Parámetros!$G$85),2))</f>
        <v/>
      </c>
      <c r="EK588" s="66" t="str">
        <f>+IF($W588="","",ROUND((EG588*(Parámetros!$G$86)),2))</f>
        <v/>
      </c>
      <c r="EL588" s="66" t="str">
        <f t="shared" si="815"/>
        <v/>
      </c>
    </row>
    <row r="589" spans="1:142" x14ac:dyDescent="0.25">
      <c r="A589" t="str">
        <f>+IF($C589="","",ROUND(VLOOKUP('Tablas Servicio'!B589,Parámetros!$H$100:$J$159,IF(Parámetros!$E$16="F",2,3),FALSE),2))</f>
        <v/>
      </c>
      <c r="B589" t="str">
        <f t="shared" si="766"/>
        <v/>
      </c>
      <c r="C589" s="57" t="str">
        <f>+IF(D589="","",'Tablas Servicio'!C588+1)</f>
        <v/>
      </c>
      <c r="D589" s="56" t="str">
        <f>+IF(D588&lt;edadmaxtabla,D588+1/Parámetros!$E$25,"")</f>
        <v/>
      </c>
      <c r="E589" s="57" t="str">
        <f t="shared" si="776"/>
        <v/>
      </c>
      <c r="F589" s="59" t="str">
        <f t="shared" si="777"/>
        <v/>
      </c>
      <c r="G589" s="66" t="str">
        <f t="shared" si="767"/>
        <v/>
      </c>
      <c r="H589" s="66" t="str">
        <f t="shared" si="768"/>
        <v/>
      </c>
      <c r="I589" s="66" t="str">
        <f t="shared" si="816"/>
        <v/>
      </c>
      <c r="J589" s="66" t="str">
        <f t="shared" si="769"/>
        <v/>
      </c>
      <c r="K589" s="66" t="str">
        <f t="shared" si="770"/>
        <v/>
      </c>
      <c r="L589" s="66" t="str">
        <f t="shared" si="771"/>
        <v/>
      </c>
      <c r="M589" s="66" t="str">
        <f t="shared" si="772"/>
        <v/>
      </c>
      <c r="N589" s="66" t="str">
        <f>+IF(C589="","",ROUND(Parámetros!$D$23,2))</f>
        <v/>
      </c>
      <c r="O589" s="66" t="str">
        <f t="shared" si="773"/>
        <v/>
      </c>
      <c r="P589" s="66" t="str">
        <f>+IF($C589="","",ROUND(IF(B589&gt;Parámetros!$D$117,0,N589*Parámetros!$D$116-G589*Parámetros!$D$100),2))</f>
        <v/>
      </c>
      <c r="Q589" s="75" t="str">
        <f t="shared" si="817"/>
        <v/>
      </c>
      <c r="R589" s="75" t="str">
        <f t="shared" si="818"/>
        <v/>
      </c>
      <c r="S589" s="117" t="str">
        <f>+IF($C589="","",ROUND((S588+I589)*(1+Parámetros!$D$91),2))</f>
        <v/>
      </c>
      <c r="T589" s="117" t="str">
        <f>+IF($C589="","",ROUND(S589*VLOOKUP(B589,Parámetros!$C$30:$D$39,2,TRUE),2))</f>
        <v/>
      </c>
      <c r="U589" s="117" t="str">
        <f>+IF($C589="","",ROUND((U588+I589)*(1+Parámetros!$D$92),2))</f>
        <v/>
      </c>
      <c r="V589" s="117" t="str">
        <f>+IF($C589="","",ROUND(U589*VLOOKUP(B589,Parámetros!$C$30:$D$39,2,TRUE),2))</f>
        <v/>
      </c>
      <c r="W589" s="57" t="str">
        <f t="shared" si="819"/>
        <v/>
      </c>
      <c r="X589" t="str">
        <f t="shared" si="820"/>
        <v/>
      </c>
      <c r="Y589" t="str">
        <f t="shared" si="821"/>
        <v/>
      </c>
      <c r="Z589" s="118" t="str">
        <f>+IF($W589="","",ROUND(IF(Parámetros!$D$25='TABLAS MORT'!$V$33,Z588,Parámetros!$D$21-'Tablas Servicio'!T588),0))</f>
        <v/>
      </c>
      <c r="AA589" s="118" t="str">
        <f t="shared" si="822"/>
        <v/>
      </c>
      <c r="AB589" s="119" t="str">
        <f>+IF(W589="","",ROUND((VLOOKUP(ROUNDDOWN($D589-1/frec,0),qx_tabla,2,FALSE)*(1+i/frec)^-0.5*(1+Parámetros!$D$103)*(1+rec_fracc)/frec),6))</f>
        <v/>
      </c>
      <c r="AC589" s="66" t="str">
        <f t="shared" si="778"/>
        <v/>
      </c>
      <c r="AD589" s="119" t="str">
        <f t="shared" si="774"/>
        <v/>
      </c>
      <c r="AE589" s="66" t="str">
        <f>+IF($W589="","",ROUND(IF($B589&gt;Parámetros!$D$107,'Tablas Servicio'!AC589+('Tablas Servicio'!AG588-'Tablas Servicio'!AC588),AC589/(1-IF(B589&lt;=10,Parámetros!$D$104,Parámetros!$D$105))),2))</f>
        <v/>
      </c>
      <c r="AF589" s="66" t="str">
        <f>+IF($W589="","",ROUND(IF($B589&gt;Parámetros!$D$107,'Tablas Servicio'!AC589+('Tablas Servicio'!AG588-'Tablas Servicio'!AC588),(AC589+$A588/frec)/(1-IF(B589&lt;=Parámetros!$D$117,Parámetros!$D$100,0))),2))</f>
        <v/>
      </c>
      <c r="AG589" s="66" t="str">
        <f t="shared" si="779"/>
        <v/>
      </c>
      <c r="AH589" s="66" t="str">
        <f t="shared" si="780"/>
        <v/>
      </c>
      <c r="AI589" s="66" t="str">
        <f t="shared" si="781"/>
        <v/>
      </c>
      <c r="AJ589" s="66" t="str">
        <f>+IF($W589="","",ROUND((AG589*Parámetros!$G$85),2))</f>
        <v/>
      </c>
      <c r="AK589" s="66" t="str">
        <f>+IF($W589="","",ROUND((AG589*(Parámetros!$G$86)),2))</f>
        <v/>
      </c>
      <c r="AL589" s="66" t="str">
        <f t="shared" si="775"/>
        <v/>
      </c>
      <c r="AM589" t="str">
        <f t="shared" si="823"/>
        <v/>
      </c>
      <c r="AN589" t="str">
        <f t="shared" si="824"/>
        <v/>
      </c>
      <c r="AO589" s="118" t="str">
        <f t="shared" si="825"/>
        <v/>
      </c>
      <c r="AP589" s="118" t="str">
        <f t="shared" si="826"/>
        <v/>
      </c>
      <c r="AQ589" s="119" t="str">
        <f>+IF(OR($W589="",AO589=0),"",ROUND((VLOOKUP(ROUNDDOWN($D589-1/frec,0),cob_adi,Z$40,FALSE)*(1+i/frec)^-0.5*(1+Parámetros!$D$103)*(1+rec_fracc)/frec),6))</f>
        <v/>
      </c>
      <c r="AR589" s="66" t="str">
        <f t="shared" si="782"/>
        <v/>
      </c>
      <c r="AS589" s="119" t="str">
        <f t="shared" si="783"/>
        <v/>
      </c>
      <c r="AT589" s="66" t="str">
        <f>+IF($W589="","",ROUND(IF($B589&gt;Parámetros!$D$107,'Tablas Servicio'!AR589+('Tablas Servicio'!AT588-'Tablas Servicio'!AR588),AR589/(1-IF(B589&lt;=10,Parámetros!$D$100,0))),2))</f>
        <v/>
      </c>
      <c r="AU589" s="66" t="str">
        <f t="shared" si="784"/>
        <v/>
      </c>
      <c r="AV589" s="66" t="str">
        <f t="shared" si="784"/>
        <v/>
      </c>
      <c r="AW589" s="66" t="str">
        <f>+IF($W589="","",ROUND((AT589*Parámetros!$G$85),2))</f>
        <v/>
      </c>
      <c r="AX589" s="66" t="str">
        <f>+IF($W589="","",ROUND((AT589*(Parámetros!$G$86)),2))</f>
        <v/>
      </c>
      <c r="AY589" s="66" t="str">
        <f t="shared" si="785"/>
        <v/>
      </c>
      <c r="AZ589" t="str">
        <f t="shared" si="827"/>
        <v/>
      </c>
      <c r="BA589" t="str">
        <f t="shared" si="828"/>
        <v/>
      </c>
      <c r="BB589" s="118" t="str">
        <f t="shared" si="829"/>
        <v/>
      </c>
      <c r="BC589" s="118" t="str">
        <f t="shared" si="830"/>
        <v/>
      </c>
      <c r="BD589" s="119" t="str">
        <f>+IF(OR($W589="",BB589=0),"",ROUND((VLOOKUP(ROUNDDOWN($D589-1/frec,0),cob_adi,AO$40,FALSE)*(1+i/frec)^-0.5*(1+Parámetros!$D$103)*(1+rec_fracc)/frec),6))</f>
        <v/>
      </c>
      <c r="BE589" s="66" t="str">
        <f t="shared" si="786"/>
        <v/>
      </c>
      <c r="BF589" s="119" t="str">
        <f t="shared" si="787"/>
        <v/>
      </c>
      <c r="BG589" s="66" t="str">
        <f>+IF($W589="","",ROUND(IF($B589&gt;Parámetros!$D$107,'Tablas Servicio'!BE589+('Tablas Servicio'!BG588-'Tablas Servicio'!BE588),BE589/(1-IF(B589&lt;=10,Parámetros!$D$100,0))),2))</f>
        <v/>
      </c>
      <c r="BH589" s="66" t="str">
        <f t="shared" si="788"/>
        <v/>
      </c>
      <c r="BI589" s="66" t="str">
        <f t="shared" si="789"/>
        <v/>
      </c>
      <c r="BJ589" s="66" t="str">
        <f>+IF($W589="","",ROUND((BG589*Parámetros!$G$85),2))</f>
        <v/>
      </c>
      <c r="BK589" s="66" t="str">
        <f>+IF($W589="","",ROUND((BG589*(Parámetros!$G$86)),2))</f>
        <v/>
      </c>
      <c r="BL589" s="66" t="str">
        <f t="shared" si="790"/>
        <v/>
      </c>
      <c r="BM589" t="str">
        <f t="shared" si="831"/>
        <v/>
      </c>
      <c r="BN589" t="str">
        <f t="shared" si="832"/>
        <v/>
      </c>
      <c r="BO589" s="118" t="str">
        <f t="shared" si="833"/>
        <v/>
      </c>
      <c r="BP589" s="118" t="str">
        <f t="shared" si="834"/>
        <v/>
      </c>
      <c r="BQ589" s="119" t="str">
        <f>+IF(OR($W589="",BO589=0),"",ROUND((VLOOKUP(ROUNDDOWN($D589-1/frec,0),cob_adi,BB$40,FALSE)*(1+i/frec)^-0.5*(1+Parámetros!$D$103)*(1+rec_fracc)/frec),6))</f>
        <v/>
      </c>
      <c r="BR589" s="66" t="str">
        <f t="shared" si="791"/>
        <v/>
      </c>
      <c r="BS589" s="119" t="str">
        <f t="shared" si="792"/>
        <v/>
      </c>
      <c r="BT589" s="66" t="str">
        <f>+IF($W589="","",ROUND(IF($B589&gt;Parámetros!$D$107,'Tablas Servicio'!BR589+('Tablas Servicio'!BT588-'Tablas Servicio'!BR588),BR589/(1-IF(B589&lt;=10,Parámetros!$D$100,0))),2))</f>
        <v/>
      </c>
      <c r="BU589" s="66" t="str">
        <f t="shared" si="793"/>
        <v/>
      </c>
      <c r="BV589" s="66" t="str">
        <f t="shared" si="793"/>
        <v/>
      </c>
      <c r="BW589" s="66" t="str">
        <f>+IF($W589="","",ROUND((BT589*Parámetros!$G$85),2))</f>
        <v/>
      </c>
      <c r="BX589" s="66" t="str">
        <f>+IF($W589="","",ROUND((BT589*(Parámetros!$G$86)),2))</f>
        <v/>
      </c>
      <c r="BY589" s="66" t="str">
        <f t="shared" si="794"/>
        <v/>
      </c>
      <c r="BZ589" t="str">
        <f t="shared" si="835"/>
        <v/>
      </c>
      <c r="CA589" t="str">
        <f t="shared" si="836"/>
        <v/>
      </c>
      <c r="CB589" s="118" t="str">
        <f t="shared" si="837"/>
        <v/>
      </c>
      <c r="CC589" s="118" t="str">
        <f t="shared" si="838"/>
        <v/>
      </c>
      <c r="CD589" s="119" t="str">
        <f t="shared" si="795"/>
        <v/>
      </c>
      <c r="CE589" s="66" t="str">
        <f>+IF($W589="","",ROUND((VLOOKUP(ROUNDDOWN($D589-1/frec,0),cob_adi,BO$40,FALSE)*(1+i/frec)^-0.5*(1+Parámetros!$D$103)*(1+rec_fracc)/frec*'TABLAS ADI'!$BC$17),2))</f>
        <v/>
      </c>
      <c r="CF589" s="119" t="str">
        <f t="shared" si="796"/>
        <v/>
      </c>
      <c r="CG589" s="66" t="str">
        <f>+IF($W589="","",ROUND(IF($B589&gt;Parámetros!$D$107,'Tablas Servicio'!CE589+('Tablas Servicio'!CG588-'Tablas Servicio'!CE588),CE589/(1-IF(B589&lt;=10,Parámetros!$D$100,0))),2))</f>
        <v/>
      </c>
      <c r="CH589" s="66" t="str">
        <f t="shared" si="797"/>
        <v/>
      </c>
      <c r="CI589" s="66" t="str">
        <f t="shared" si="797"/>
        <v/>
      </c>
      <c r="CJ589" s="66" t="str">
        <f>+IF($W589="","",ROUND((CG589*Parámetros!$G$85),2))</f>
        <v/>
      </c>
      <c r="CK589" s="66" t="str">
        <f>+IF($W589="","",ROUND((CG589*(Parámetros!$G$86)),2))</f>
        <v/>
      </c>
      <c r="CL589" s="66" t="str">
        <f t="shared" si="798"/>
        <v/>
      </c>
      <c r="CM589" t="str">
        <f t="shared" si="839"/>
        <v/>
      </c>
      <c r="CN589" s="118" t="str">
        <f t="shared" si="840"/>
        <v/>
      </c>
      <c r="CO589" s="118" t="str">
        <f t="shared" si="841"/>
        <v/>
      </c>
      <c r="CP589" s="118" t="str">
        <f t="shared" si="842"/>
        <v/>
      </c>
      <c r="CQ589" s="119" t="str">
        <f t="shared" si="799"/>
        <v/>
      </c>
      <c r="CR589" s="66" t="str">
        <f>+IF($W589="","",ROUND((VLOOKUP(Parámetros!$F$51,'COBERTURAS ADICIONALES'!$S$4:$T$32,2,FALSE)*(1+i/frec)^-0.5*(1+Parámetros!$D$103)*(1+rec_fracc)/frec*$CO$42),2))</f>
        <v/>
      </c>
      <c r="CS589" s="119" t="str">
        <f t="shared" si="800"/>
        <v/>
      </c>
      <c r="CT589" s="66" t="str">
        <f>+IF($W589="","",ROUND(IF($B589&gt;Parámetros!$D$107,'Tablas Servicio'!CR589+('Tablas Servicio'!CT588-'Tablas Servicio'!CR588),CR589/(1-IF(B589&lt;=10,Parámetros!$D$100,0))),2))</f>
        <v/>
      </c>
      <c r="CU589" s="66" t="str">
        <f t="shared" si="801"/>
        <v/>
      </c>
      <c r="CV589" s="66" t="str">
        <f t="shared" si="801"/>
        <v/>
      </c>
      <c r="CW589" s="66" t="str">
        <f>+IF($W589="","",ROUND((CT589*Parámetros!$G$85),2))</f>
        <v/>
      </c>
      <c r="CX589" s="66" t="str">
        <f>+IF($W589="","",ROUND((CT589*(Parámetros!$G$86)),2))</f>
        <v/>
      </c>
      <c r="CY589" s="66" t="str">
        <f t="shared" si="802"/>
        <v/>
      </c>
      <c r="CZ589" t="str">
        <f t="shared" si="843"/>
        <v/>
      </c>
      <c r="DA589" s="118" t="str">
        <f t="shared" si="844"/>
        <v/>
      </c>
      <c r="DB589" s="118" t="str">
        <f t="shared" si="845"/>
        <v/>
      </c>
      <c r="DC589" s="118" t="str">
        <f t="shared" si="846"/>
        <v/>
      </c>
      <c r="DD589" s="121" t="str">
        <f>+IF(OR($W589="",DB589=0),"",ROUND((VLOOKUP(ROUNDDOWN($D589-1/frec,0),cob_adi,CO$40,FALSE)*(1+i/frec)^-0.5*(1+Parámetros!$D$103)*(1+rec_fracc)/frec),6))</f>
        <v/>
      </c>
      <c r="DE589" s="66" t="str">
        <f t="shared" si="803"/>
        <v/>
      </c>
      <c r="DF589" s="119" t="str">
        <f t="shared" si="804"/>
        <v/>
      </c>
      <c r="DG589" s="66" t="str">
        <f>+IF($W589="","",ROUND(IF($B589&gt;Parámetros!$D$107,'Tablas Servicio'!DE589+('Tablas Servicio'!DG588-'Tablas Servicio'!DE588),DE589/(1-IF(B589&lt;=10,Parámetros!$D$100,0))),2))</f>
        <v/>
      </c>
      <c r="DH589" s="66" t="str">
        <f t="shared" si="805"/>
        <v/>
      </c>
      <c r="DI589" s="66" t="str">
        <f t="shared" si="805"/>
        <v/>
      </c>
      <c r="DJ589" s="66" t="str">
        <f>+IF($W589="","",ROUND((DG589*Parámetros!$G$85),2))</f>
        <v/>
      </c>
      <c r="DK589" s="66" t="str">
        <f>+IF($W589="","",ROUND((DG589*(Parámetros!$G$86)),2))</f>
        <v/>
      </c>
      <c r="DL589" s="66" t="str">
        <f t="shared" si="806"/>
        <v/>
      </c>
      <c r="DM589" t="str">
        <f t="shared" si="847"/>
        <v/>
      </c>
      <c r="DN589" s="118" t="str">
        <f t="shared" si="848"/>
        <v/>
      </c>
      <c r="DO589" s="118" t="str">
        <f t="shared" si="849"/>
        <v/>
      </c>
      <c r="DP589" s="118" t="str">
        <f t="shared" si="850"/>
        <v/>
      </c>
      <c r="DQ589" s="122" t="str">
        <f>+IF(OR($W589="",DO589=0),"",ROUND((VLOOKUP(ROUNDDOWN($D589-1/frec,0),cob_adi,DB$40,FALSE)*(1+i/frec)^-0.5*(1+Parámetros!$D$103)*(1+rec_fracc)/frec),6))</f>
        <v/>
      </c>
      <c r="DR589" s="66" t="str">
        <f t="shared" si="807"/>
        <v/>
      </c>
      <c r="DS589" s="68" t="str">
        <f t="shared" si="808"/>
        <v/>
      </c>
      <c r="DT589" s="66" t="str">
        <f>+IF($W589="","",ROUND(IF($B589&gt;Parámetros!$D$107,'Tablas Servicio'!DR589+('Tablas Servicio'!DT588-'Tablas Servicio'!DR588),DR589/(1-IF(B589&lt;=10,Parámetros!$D$100,0))),2))</f>
        <v/>
      </c>
      <c r="DU589" s="66" t="str">
        <f t="shared" si="809"/>
        <v/>
      </c>
      <c r="DV589" s="66" t="str">
        <f t="shared" si="809"/>
        <v/>
      </c>
      <c r="DW589" s="66" t="str">
        <f>+IF($W589="","",ROUND((DT589*Parámetros!$G$85),2))</f>
        <v/>
      </c>
      <c r="DX589" s="66" t="str">
        <f>+IF($W589="","",ROUND((DT589*(Parámetros!$G$86)),2))</f>
        <v/>
      </c>
      <c r="DY589" s="66" t="str">
        <f t="shared" si="810"/>
        <v/>
      </c>
      <c r="DZ589" t="str">
        <f t="shared" si="852"/>
        <v/>
      </c>
      <c r="EA589" s="118" t="str">
        <f t="shared" si="852"/>
        <v/>
      </c>
      <c r="EB589" s="118" t="str">
        <f>+IF($W589="","",ROUND(IF(Parámetros!$D$25='TABLAS MORT'!$V$33,EB588,Z589/2),0))</f>
        <v/>
      </c>
      <c r="EC589" s="118" t="str">
        <f t="shared" si="852"/>
        <v/>
      </c>
      <c r="ED589" s="122" t="str">
        <f>+IF(OR($W589="",EB589=0),"",ROUND((VLOOKUP(ROUNDDOWN($D589-1/frec,0),cob_adi,DO$40,FALSE)*(1+i/frec)^-0.5*(1+Parámetros!$D$103)*(1+rec_fracc)/frec),6))</f>
        <v/>
      </c>
      <c r="EE589" s="66" t="str">
        <f t="shared" si="812"/>
        <v/>
      </c>
      <c r="EF589" s="68" t="str">
        <f t="shared" si="813"/>
        <v/>
      </c>
      <c r="EG589" s="66" t="str">
        <f>+IF($W589="","",ROUND(IF($B589&gt;Parámetros!$D$107,'Tablas Servicio'!EE589+('Tablas Servicio'!EG588-'Tablas Servicio'!EE588),EE589/(1-IF(B589&lt;=10,Parámetros!$D$100,0))),2))</f>
        <v/>
      </c>
      <c r="EH589" s="66" t="str">
        <f t="shared" si="814"/>
        <v/>
      </c>
      <c r="EI589" s="66" t="str">
        <f t="shared" si="814"/>
        <v/>
      </c>
      <c r="EJ589" s="66" t="str">
        <f>+IF($W589="","",ROUND((EG589*Parámetros!$G$85),2))</f>
        <v/>
      </c>
      <c r="EK589" s="66" t="str">
        <f>+IF($W589="","",ROUND((EG589*(Parámetros!$G$86)),2))</f>
        <v/>
      </c>
      <c r="EL589" s="66" t="str">
        <f t="shared" si="815"/>
        <v/>
      </c>
    </row>
    <row r="590" spans="1:142" x14ac:dyDescent="0.25">
      <c r="A590" t="str">
        <f>+IF($C590="","",ROUND(VLOOKUP('Tablas Servicio'!B590,Parámetros!$H$100:$J$159,IF(Parámetros!$E$16="F",2,3),FALSE),2))</f>
        <v/>
      </c>
      <c r="B590" t="str">
        <f t="shared" si="766"/>
        <v/>
      </c>
      <c r="C590" s="57" t="str">
        <f>+IF(D590="","",'Tablas Servicio'!C589+1)</f>
        <v/>
      </c>
      <c r="D590" s="56" t="str">
        <f>+IF(D589&lt;edadmaxtabla,D589+1/Parámetros!$E$25,"")</f>
        <v/>
      </c>
      <c r="E590" s="57" t="str">
        <f t="shared" si="776"/>
        <v/>
      </c>
      <c r="F590" s="59" t="str">
        <f t="shared" si="777"/>
        <v/>
      </c>
      <c r="G590" s="66" t="str">
        <f t="shared" si="767"/>
        <v/>
      </c>
      <c r="H590" s="66" t="str">
        <f t="shared" si="768"/>
        <v/>
      </c>
      <c r="I590" s="66" t="str">
        <f t="shared" si="816"/>
        <v/>
      </c>
      <c r="J590" s="66" t="str">
        <f t="shared" si="769"/>
        <v/>
      </c>
      <c r="K590" s="66" t="str">
        <f t="shared" si="770"/>
        <v/>
      </c>
      <c r="L590" s="66" t="str">
        <f t="shared" si="771"/>
        <v/>
      </c>
      <c r="M590" s="66" t="str">
        <f t="shared" si="772"/>
        <v/>
      </c>
      <c r="N590" s="66" t="str">
        <f>+IF(C590="","",ROUND(Parámetros!$D$23,2))</f>
        <v/>
      </c>
      <c r="O590" s="66" t="str">
        <f t="shared" si="773"/>
        <v/>
      </c>
      <c r="P590" s="66" t="str">
        <f>+IF($C590="","",ROUND(IF(B590&gt;Parámetros!$D$117,0,N590*Parámetros!$D$116-G590*Parámetros!$D$100),2))</f>
        <v/>
      </c>
      <c r="Q590" s="75" t="str">
        <f t="shared" si="817"/>
        <v/>
      </c>
      <c r="R590" s="75" t="str">
        <f t="shared" si="818"/>
        <v/>
      </c>
      <c r="S590" s="117" t="str">
        <f>+IF($C590="","",ROUND((S589+I590)*(1+Parámetros!$D$91),2))</f>
        <v/>
      </c>
      <c r="T590" s="117" t="str">
        <f>+IF($C590="","",ROUND(S590*VLOOKUP(B590,Parámetros!$C$30:$D$39,2,TRUE),2))</f>
        <v/>
      </c>
      <c r="U590" s="117" t="str">
        <f>+IF($C590="","",ROUND((U589+I590)*(1+Parámetros!$D$92),2))</f>
        <v/>
      </c>
      <c r="V590" s="117" t="str">
        <f>+IF($C590="","",ROUND(U590*VLOOKUP(B590,Parámetros!$C$30:$D$39,2,TRUE),2))</f>
        <v/>
      </c>
      <c r="W590" s="57" t="str">
        <f t="shared" si="819"/>
        <v/>
      </c>
      <c r="X590" t="str">
        <f t="shared" si="820"/>
        <v/>
      </c>
      <c r="Y590" t="str">
        <f t="shared" si="821"/>
        <v/>
      </c>
      <c r="Z590" s="118" t="str">
        <f>+IF($W590="","",ROUND(IF(Parámetros!$D$25='TABLAS MORT'!$V$33,Z589,Parámetros!$D$21-'Tablas Servicio'!T589),0))</f>
        <v/>
      </c>
      <c r="AA590" s="118" t="str">
        <f t="shared" si="822"/>
        <v/>
      </c>
      <c r="AB590" s="119" t="str">
        <f>+IF(W590="","",ROUND((VLOOKUP(ROUNDDOWN($D590-1/frec,0),qx_tabla,2,FALSE)*(1+i/frec)^-0.5*(1+Parámetros!$D$103)*(1+rec_fracc)/frec),6))</f>
        <v/>
      </c>
      <c r="AC590" s="66" t="str">
        <f t="shared" si="778"/>
        <v/>
      </c>
      <c r="AD590" s="119" t="str">
        <f t="shared" si="774"/>
        <v/>
      </c>
      <c r="AE590" s="66" t="str">
        <f>+IF($W590="","",ROUND(IF($B590&gt;Parámetros!$D$107,'Tablas Servicio'!AC590+('Tablas Servicio'!AG589-'Tablas Servicio'!AC589),AC590/(1-IF(B590&lt;=10,Parámetros!$D$104,Parámetros!$D$105))),2))</f>
        <v/>
      </c>
      <c r="AF590" s="66" t="str">
        <f>+IF($W590="","",ROUND(IF($B590&gt;Parámetros!$D$107,'Tablas Servicio'!AC590+('Tablas Servicio'!AG589-'Tablas Servicio'!AC589),(AC590+$A589/frec)/(1-IF(B590&lt;=Parámetros!$D$117,Parámetros!$D$100,0))),2))</f>
        <v/>
      </c>
      <c r="AG590" s="66" t="str">
        <f t="shared" si="779"/>
        <v/>
      </c>
      <c r="AH590" s="66" t="str">
        <f t="shared" si="780"/>
        <v/>
      </c>
      <c r="AI590" s="66" t="str">
        <f t="shared" si="781"/>
        <v/>
      </c>
      <c r="AJ590" s="66" t="str">
        <f>+IF($W590="","",ROUND((AG590*Parámetros!$G$85),2))</f>
        <v/>
      </c>
      <c r="AK590" s="66" t="str">
        <f>+IF($W590="","",ROUND((AG590*(Parámetros!$G$86)),2))</f>
        <v/>
      </c>
      <c r="AL590" s="66" t="str">
        <f t="shared" si="775"/>
        <v/>
      </c>
      <c r="AM590" t="str">
        <f t="shared" si="823"/>
        <v/>
      </c>
      <c r="AN590" t="str">
        <f t="shared" si="824"/>
        <v/>
      </c>
      <c r="AO590" s="118" t="str">
        <f t="shared" si="825"/>
        <v/>
      </c>
      <c r="AP590" s="118" t="str">
        <f t="shared" si="826"/>
        <v/>
      </c>
      <c r="AQ590" s="119" t="str">
        <f>+IF(OR($W590="",AO590=0),"",ROUND((VLOOKUP(ROUNDDOWN($D590-1/frec,0),cob_adi,Z$40,FALSE)*(1+i/frec)^-0.5*(1+Parámetros!$D$103)*(1+rec_fracc)/frec),6))</f>
        <v/>
      </c>
      <c r="AR590" s="66" t="str">
        <f t="shared" si="782"/>
        <v/>
      </c>
      <c r="AS590" s="119" t="str">
        <f t="shared" si="783"/>
        <v/>
      </c>
      <c r="AT590" s="66" t="str">
        <f>+IF($W590="","",ROUND(IF($B590&gt;Parámetros!$D$107,'Tablas Servicio'!AR590+('Tablas Servicio'!AT589-'Tablas Servicio'!AR589),AR590/(1-IF(B590&lt;=10,Parámetros!$D$100,0))),2))</f>
        <v/>
      </c>
      <c r="AU590" s="66" t="str">
        <f t="shared" si="784"/>
        <v/>
      </c>
      <c r="AV590" s="66" t="str">
        <f t="shared" si="784"/>
        <v/>
      </c>
      <c r="AW590" s="66" t="str">
        <f>+IF($W590="","",ROUND((AT590*Parámetros!$G$85),2))</f>
        <v/>
      </c>
      <c r="AX590" s="66" t="str">
        <f>+IF($W590="","",ROUND((AT590*(Parámetros!$G$86)),2))</f>
        <v/>
      </c>
      <c r="AY590" s="66" t="str">
        <f t="shared" si="785"/>
        <v/>
      </c>
      <c r="AZ590" t="str">
        <f t="shared" si="827"/>
        <v/>
      </c>
      <c r="BA590" t="str">
        <f t="shared" si="828"/>
        <v/>
      </c>
      <c r="BB590" s="118" t="str">
        <f t="shared" si="829"/>
        <v/>
      </c>
      <c r="BC590" s="118" t="str">
        <f t="shared" si="830"/>
        <v/>
      </c>
      <c r="BD590" s="119" t="str">
        <f>+IF(OR($W590="",BB590=0),"",ROUND((VLOOKUP(ROUNDDOWN($D590-1/frec,0),cob_adi,AO$40,FALSE)*(1+i/frec)^-0.5*(1+Parámetros!$D$103)*(1+rec_fracc)/frec),6))</f>
        <v/>
      </c>
      <c r="BE590" s="66" t="str">
        <f t="shared" si="786"/>
        <v/>
      </c>
      <c r="BF590" s="119" t="str">
        <f t="shared" si="787"/>
        <v/>
      </c>
      <c r="BG590" s="66" t="str">
        <f>+IF($W590="","",ROUND(IF($B590&gt;Parámetros!$D$107,'Tablas Servicio'!BE590+('Tablas Servicio'!BG589-'Tablas Servicio'!BE589),BE590/(1-IF(B590&lt;=10,Parámetros!$D$100,0))),2))</f>
        <v/>
      </c>
      <c r="BH590" s="66" t="str">
        <f t="shared" si="788"/>
        <v/>
      </c>
      <c r="BI590" s="66" t="str">
        <f t="shared" si="789"/>
        <v/>
      </c>
      <c r="BJ590" s="66" t="str">
        <f>+IF($W590="","",ROUND((BG590*Parámetros!$G$85),2))</f>
        <v/>
      </c>
      <c r="BK590" s="66" t="str">
        <f>+IF($W590="","",ROUND((BG590*(Parámetros!$G$86)),2))</f>
        <v/>
      </c>
      <c r="BL590" s="66" t="str">
        <f t="shared" si="790"/>
        <v/>
      </c>
      <c r="BM590" t="str">
        <f t="shared" si="831"/>
        <v/>
      </c>
      <c r="BN590" t="str">
        <f t="shared" si="832"/>
        <v/>
      </c>
      <c r="BO590" s="118" t="str">
        <f t="shared" si="833"/>
        <v/>
      </c>
      <c r="BP590" s="118" t="str">
        <f t="shared" si="834"/>
        <v/>
      </c>
      <c r="BQ590" s="119" t="str">
        <f>+IF(OR($W590="",BO590=0),"",ROUND((VLOOKUP(ROUNDDOWN($D590-1/frec,0),cob_adi,BB$40,FALSE)*(1+i/frec)^-0.5*(1+Parámetros!$D$103)*(1+rec_fracc)/frec),6))</f>
        <v/>
      </c>
      <c r="BR590" s="66" t="str">
        <f t="shared" si="791"/>
        <v/>
      </c>
      <c r="BS590" s="119" t="str">
        <f t="shared" si="792"/>
        <v/>
      </c>
      <c r="BT590" s="66" t="str">
        <f>+IF($W590="","",ROUND(IF($B590&gt;Parámetros!$D$107,'Tablas Servicio'!BR590+('Tablas Servicio'!BT589-'Tablas Servicio'!BR589),BR590/(1-IF(B590&lt;=10,Parámetros!$D$100,0))),2))</f>
        <v/>
      </c>
      <c r="BU590" s="66" t="str">
        <f t="shared" si="793"/>
        <v/>
      </c>
      <c r="BV590" s="66" t="str">
        <f t="shared" si="793"/>
        <v/>
      </c>
      <c r="BW590" s="66" t="str">
        <f>+IF($W590="","",ROUND((BT590*Parámetros!$G$85),2))</f>
        <v/>
      </c>
      <c r="BX590" s="66" t="str">
        <f>+IF($W590="","",ROUND((BT590*(Parámetros!$G$86)),2))</f>
        <v/>
      </c>
      <c r="BY590" s="66" t="str">
        <f t="shared" si="794"/>
        <v/>
      </c>
      <c r="BZ590" t="str">
        <f t="shared" si="835"/>
        <v/>
      </c>
      <c r="CA590" t="str">
        <f t="shared" si="836"/>
        <v/>
      </c>
      <c r="CB590" s="118" t="str">
        <f t="shared" si="837"/>
        <v/>
      </c>
      <c r="CC590" s="118" t="str">
        <f t="shared" si="838"/>
        <v/>
      </c>
      <c r="CD590" s="119" t="str">
        <f t="shared" si="795"/>
        <v/>
      </c>
      <c r="CE590" s="66" t="str">
        <f>+IF($W590="","",ROUND((VLOOKUP(ROUNDDOWN($D590-1/frec,0),cob_adi,BO$40,FALSE)*(1+i/frec)^-0.5*(1+Parámetros!$D$103)*(1+rec_fracc)/frec*'TABLAS ADI'!$BC$17),2))</f>
        <v/>
      </c>
      <c r="CF590" s="119" t="str">
        <f t="shared" si="796"/>
        <v/>
      </c>
      <c r="CG590" s="66" t="str">
        <f>+IF($W590="","",ROUND(IF($B590&gt;Parámetros!$D$107,'Tablas Servicio'!CE590+('Tablas Servicio'!CG589-'Tablas Servicio'!CE589),CE590/(1-IF(B590&lt;=10,Parámetros!$D$100,0))),2))</f>
        <v/>
      </c>
      <c r="CH590" s="66" t="str">
        <f t="shared" si="797"/>
        <v/>
      </c>
      <c r="CI590" s="66" t="str">
        <f t="shared" si="797"/>
        <v/>
      </c>
      <c r="CJ590" s="66" t="str">
        <f>+IF($W590="","",ROUND((CG590*Parámetros!$G$85),2))</f>
        <v/>
      </c>
      <c r="CK590" s="66" t="str">
        <f>+IF($W590="","",ROUND((CG590*(Parámetros!$G$86)),2))</f>
        <v/>
      </c>
      <c r="CL590" s="66" t="str">
        <f t="shared" si="798"/>
        <v/>
      </c>
      <c r="CM590" t="str">
        <f t="shared" si="839"/>
        <v/>
      </c>
      <c r="CN590" s="118" t="str">
        <f t="shared" si="840"/>
        <v/>
      </c>
      <c r="CO590" s="118" t="str">
        <f t="shared" si="841"/>
        <v/>
      </c>
      <c r="CP590" s="118" t="str">
        <f t="shared" si="842"/>
        <v/>
      </c>
      <c r="CQ590" s="119" t="str">
        <f t="shared" si="799"/>
        <v/>
      </c>
      <c r="CR590" s="66" t="str">
        <f>+IF($W590="","",ROUND((VLOOKUP(Parámetros!$F$51,'COBERTURAS ADICIONALES'!$S$4:$T$32,2,FALSE)*(1+i/frec)^-0.5*(1+Parámetros!$D$103)*(1+rec_fracc)/frec*$CO$42),2))</f>
        <v/>
      </c>
      <c r="CS590" s="119" t="str">
        <f t="shared" si="800"/>
        <v/>
      </c>
      <c r="CT590" s="66" t="str">
        <f>+IF($W590="","",ROUND(IF($B590&gt;Parámetros!$D$107,'Tablas Servicio'!CR590+('Tablas Servicio'!CT589-'Tablas Servicio'!CR589),CR590/(1-IF(B590&lt;=10,Parámetros!$D$100,0))),2))</f>
        <v/>
      </c>
      <c r="CU590" s="66" t="str">
        <f t="shared" si="801"/>
        <v/>
      </c>
      <c r="CV590" s="66" t="str">
        <f t="shared" si="801"/>
        <v/>
      </c>
      <c r="CW590" s="66" t="str">
        <f>+IF($W590="","",ROUND((CT590*Parámetros!$G$85),2))</f>
        <v/>
      </c>
      <c r="CX590" s="66" t="str">
        <f>+IF($W590="","",ROUND((CT590*(Parámetros!$G$86)),2))</f>
        <v/>
      </c>
      <c r="CY590" s="66" t="str">
        <f t="shared" si="802"/>
        <v/>
      </c>
      <c r="CZ590" t="str">
        <f t="shared" si="843"/>
        <v/>
      </c>
      <c r="DA590" s="118" t="str">
        <f t="shared" si="844"/>
        <v/>
      </c>
      <c r="DB590" s="118" t="str">
        <f t="shared" si="845"/>
        <v/>
      </c>
      <c r="DC590" s="118" t="str">
        <f t="shared" si="846"/>
        <v/>
      </c>
      <c r="DD590" s="121" t="str">
        <f>+IF(OR($W590="",DB590=0),"",ROUND((VLOOKUP(ROUNDDOWN($D590-1/frec,0),cob_adi,CO$40,FALSE)*(1+i/frec)^-0.5*(1+Parámetros!$D$103)*(1+rec_fracc)/frec),6))</f>
        <v/>
      </c>
      <c r="DE590" s="66" t="str">
        <f t="shared" si="803"/>
        <v/>
      </c>
      <c r="DF590" s="119" t="str">
        <f t="shared" si="804"/>
        <v/>
      </c>
      <c r="DG590" s="66" t="str">
        <f>+IF($W590="","",ROUND(IF($B590&gt;Parámetros!$D$107,'Tablas Servicio'!DE590+('Tablas Servicio'!DG589-'Tablas Servicio'!DE589),DE590/(1-IF(B590&lt;=10,Parámetros!$D$100,0))),2))</f>
        <v/>
      </c>
      <c r="DH590" s="66" t="str">
        <f t="shared" si="805"/>
        <v/>
      </c>
      <c r="DI590" s="66" t="str">
        <f t="shared" si="805"/>
        <v/>
      </c>
      <c r="DJ590" s="66" t="str">
        <f>+IF($W590="","",ROUND((DG590*Parámetros!$G$85),2))</f>
        <v/>
      </c>
      <c r="DK590" s="66" t="str">
        <f>+IF($W590="","",ROUND((DG590*(Parámetros!$G$86)),2))</f>
        <v/>
      </c>
      <c r="DL590" s="66" t="str">
        <f t="shared" si="806"/>
        <v/>
      </c>
      <c r="DM590" t="str">
        <f t="shared" si="847"/>
        <v/>
      </c>
      <c r="DN590" s="118" t="str">
        <f t="shared" si="848"/>
        <v/>
      </c>
      <c r="DO590" s="118" t="str">
        <f t="shared" si="849"/>
        <v/>
      </c>
      <c r="DP590" s="118" t="str">
        <f t="shared" si="850"/>
        <v/>
      </c>
      <c r="DQ590" s="122" t="str">
        <f>+IF(OR($W590="",DO590=0),"",ROUND((VLOOKUP(ROUNDDOWN($D590-1/frec,0),cob_adi,DB$40,FALSE)*(1+i/frec)^-0.5*(1+Parámetros!$D$103)*(1+rec_fracc)/frec),6))</f>
        <v/>
      </c>
      <c r="DR590" s="66" t="str">
        <f t="shared" si="807"/>
        <v/>
      </c>
      <c r="DS590" s="68" t="str">
        <f t="shared" si="808"/>
        <v/>
      </c>
      <c r="DT590" s="66" t="str">
        <f>+IF($W590="","",ROUND(IF($B590&gt;Parámetros!$D$107,'Tablas Servicio'!DR590+('Tablas Servicio'!DT589-'Tablas Servicio'!DR589),DR590/(1-IF(B590&lt;=10,Parámetros!$D$100,0))),2))</f>
        <v/>
      </c>
      <c r="DU590" s="66" t="str">
        <f t="shared" si="809"/>
        <v/>
      </c>
      <c r="DV590" s="66" t="str">
        <f t="shared" si="809"/>
        <v/>
      </c>
      <c r="DW590" s="66" t="str">
        <f>+IF($W590="","",ROUND((DT590*Parámetros!$G$85),2))</f>
        <v/>
      </c>
      <c r="DX590" s="66" t="str">
        <f>+IF($W590="","",ROUND((DT590*(Parámetros!$G$86)),2))</f>
        <v/>
      </c>
      <c r="DY590" s="66" t="str">
        <f t="shared" si="810"/>
        <v/>
      </c>
      <c r="DZ590" t="str">
        <f t="shared" si="852"/>
        <v/>
      </c>
      <c r="EA590" s="118" t="str">
        <f t="shared" si="852"/>
        <v/>
      </c>
      <c r="EB590" s="118" t="str">
        <f>+IF($W590="","",ROUND(IF(Parámetros!$D$25='TABLAS MORT'!$V$33,EB589,Z590/2),0))</f>
        <v/>
      </c>
      <c r="EC590" s="118" t="str">
        <f t="shared" si="852"/>
        <v/>
      </c>
      <c r="ED590" s="122" t="str">
        <f>+IF(OR($W590="",EB590=0),"",ROUND((VLOOKUP(ROUNDDOWN($D590-1/frec,0),cob_adi,DO$40,FALSE)*(1+i/frec)^-0.5*(1+Parámetros!$D$103)*(1+rec_fracc)/frec),6))</f>
        <v/>
      </c>
      <c r="EE590" s="66" t="str">
        <f t="shared" si="812"/>
        <v/>
      </c>
      <c r="EF590" s="68" t="str">
        <f t="shared" si="813"/>
        <v/>
      </c>
      <c r="EG590" s="66" t="str">
        <f>+IF($W590="","",ROUND(IF($B590&gt;Parámetros!$D$107,'Tablas Servicio'!EE590+('Tablas Servicio'!EG589-'Tablas Servicio'!EE589),EE590/(1-IF(B590&lt;=10,Parámetros!$D$100,0))),2))</f>
        <v/>
      </c>
      <c r="EH590" s="66" t="str">
        <f t="shared" si="814"/>
        <v/>
      </c>
      <c r="EI590" s="66" t="str">
        <f t="shared" si="814"/>
        <v/>
      </c>
      <c r="EJ590" s="66" t="str">
        <f>+IF($W590="","",ROUND((EG590*Parámetros!$G$85),2))</f>
        <v/>
      </c>
      <c r="EK590" s="66" t="str">
        <f>+IF($W590="","",ROUND((EG590*(Parámetros!$G$86)),2))</f>
        <v/>
      </c>
      <c r="EL590" s="66" t="str">
        <f t="shared" si="815"/>
        <v/>
      </c>
    </row>
    <row r="591" spans="1:142" x14ac:dyDescent="0.25">
      <c r="A591" t="str">
        <f>+IF($C591="","",ROUND(VLOOKUP('Tablas Servicio'!B591,Parámetros!$H$100:$J$159,IF(Parámetros!$E$16="F",2,3),FALSE),2))</f>
        <v/>
      </c>
      <c r="B591" t="str">
        <f t="shared" si="766"/>
        <v/>
      </c>
      <c r="C591" s="57" t="str">
        <f>+IF(D591="","",'Tablas Servicio'!C590+1)</f>
        <v/>
      </c>
      <c r="D591" s="56" t="str">
        <f>+IF(D590&lt;edadmaxtabla,D590+1/Parámetros!$E$25,"")</f>
        <v/>
      </c>
      <c r="E591" s="57" t="str">
        <f t="shared" si="776"/>
        <v/>
      </c>
      <c r="F591" s="59" t="str">
        <f t="shared" si="777"/>
        <v/>
      </c>
      <c r="G591" s="66" t="str">
        <f t="shared" si="767"/>
        <v/>
      </c>
      <c r="H591" s="66" t="str">
        <f t="shared" si="768"/>
        <v/>
      </c>
      <c r="I591" s="66" t="str">
        <f t="shared" si="816"/>
        <v/>
      </c>
      <c r="J591" s="66" t="str">
        <f t="shared" si="769"/>
        <v/>
      </c>
      <c r="K591" s="66" t="str">
        <f t="shared" si="770"/>
        <v/>
      </c>
      <c r="L591" s="66" t="str">
        <f t="shared" si="771"/>
        <v/>
      </c>
      <c r="M591" s="66" t="str">
        <f t="shared" si="772"/>
        <v/>
      </c>
      <c r="N591" s="66" t="str">
        <f>+IF(C591="","",ROUND(Parámetros!$D$23,2))</f>
        <v/>
      </c>
      <c r="O591" s="66" t="str">
        <f t="shared" si="773"/>
        <v/>
      </c>
      <c r="P591" s="66" t="str">
        <f>+IF($C591="","",ROUND(IF(B591&gt;Parámetros!$D$117,0,N591*Parámetros!$D$116-G591*Parámetros!$D$100),2))</f>
        <v/>
      </c>
      <c r="Q591" s="75" t="str">
        <f t="shared" si="817"/>
        <v/>
      </c>
      <c r="R591" s="75" t="str">
        <f t="shared" si="818"/>
        <v/>
      </c>
      <c r="S591" s="117" t="str">
        <f>+IF($C591="","",ROUND((S590+I591)*(1+Parámetros!$D$91),2))</f>
        <v/>
      </c>
      <c r="T591" s="117" t="str">
        <f>+IF($C591="","",ROUND(S591*VLOOKUP(B591,Parámetros!$C$30:$D$39,2,TRUE),2))</f>
        <v/>
      </c>
      <c r="U591" s="117" t="str">
        <f>+IF($C591="","",ROUND((U590+I591)*(1+Parámetros!$D$92),2))</f>
        <v/>
      </c>
      <c r="V591" s="117" t="str">
        <f>+IF($C591="","",ROUND(U591*VLOOKUP(B591,Parámetros!$C$30:$D$39,2,TRUE),2))</f>
        <v/>
      </c>
      <c r="W591" s="57" t="str">
        <f t="shared" si="819"/>
        <v/>
      </c>
      <c r="X591" t="str">
        <f t="shared" si="820"/>
        <v/>
      </c>
      <c r="Y591" t="str">
        <f t="shared" si="821"/>
        <v/>
      </c>
      <c r="Z591" s="118" t="str">
        <f>+IF($W591="","",ROUND(IF(Parámetros!$D$25='TABLAS MORT'!$V$33,Z590,Parámetros!$D$21-'Tablas Servicio'!T590),0))</f>
        <v/>
      </c>
      <c r="AA591" s="118" t="str">
        <f t="shared" si="822"/>
        <v/>
      </c>
      <c r="AB591" s="119" t="str">
        <f>+IF(W591="","",ROUND((VLOOKUP(ROUNDDOWN($D591-1/frec,0),qx_tabla,2,FALSE)*(1+i/frec)^-0.5*(1+Parámetros!$D$103)*(1+rec_fracc)/frec),6))</f>
        <v/>
      </c>
      <c r="AC591" s="66" t="str">
        <f t="shared" si="778"/>
        <v/>
      </c>
      <c r="AD591" s="119" t="str">
        <f t="shared" si="774"/>
        <v/>
      </c>
      <c r="AE591" s="66" t="str">
        <f>+IF($W591="","",ROUND(IF($B591&gt;Parámetros!$D$107,'Tablas Servicio'!AC591+('Tablas Servicio'!AG590-'Tablas Servicio'!AC590),AC591/(1-IF(B591&lt;=10,Parámetros!$D$104,Parámetros!$D$105))),2))</f>
        <v/>
      </c>
      <c r="AF591" s="66" t="str">
        <f>+IF($W591="","",ROUND(IF($B591&gt;Parámetros!$D$107,'Tablas Servicio'!AC591+('Tablas Servicio'!AG590-'Tablas Servicio'!AC590),(AC591+$A590/frec)/(1-IF(B591&lt;=Parámetros!$D$117,Parámetros!$D$100,0))),2))</f>
        <v/>
      </c>
      <c r="AG591" s="66" t="str">
        <f t="shared" si="779"/>
        <v/>
      </c>
      <c r="AH591" s="66" t="str">
        <f t="shared" si="780"/>
        <v/>
      </c>
      <c r="AI591" s="66" t="str">
        <f t="shared" si="781"/>
        <v/>
      </c>
      <c r="AJ591" s="66" t="str">
        <f>+IF($W591="","",ROUND((AG591*Parámetros!$G$85),2))</f>
        <v/>
      </c>
      <c r="AK591" s="66" t="str">
        <f>+IF($W591="","",ROUND((AG591*(Parámetros!$G$86)),2))</f>
        <v/>
      </c>
      <c r="AL591" s="66" t="str">
        <f t="shared" si="775"/>
        <v/>
      </c>
      <c r="AM591" t="str">
        <f t="shared" si="823"/>
        <v/>
      </c>
      <c r="AN591" t="str">
        <f t="shared" si="824"/>
        <v/>
      </c>
      <c r="AO591" s="118" t="str">
        <f t="shared" si="825"/>
        <v/>
      </c>
      <c r="AP591" s="118" t="str">
        <f t="shared" si="826"/>
        <v/>
      </c>
      <c r="AQ591" s="119" t="str">
        <f>+IF(OR($W591="",AO591=0),"",ROUND((VLOOKUP(ROUNDDOWN($D591-1/frec,0),cob_adi,Z$40,FALSE)*(1+i/frec)^-0.5*(1+Parámetros!$D$103)*(1+rec_fracc)/frec),6))</f>
        <v/>
      </c>
      <c r="AR591" s="66" t="str">
        <f t="shared" si="782"/>
        <v/>
      </c>
      <c r="AS591" s="119" t="str">
        <f t="shared" si="783"/>
        <v/>
      </c>
      <c r="AT591" s="66" t="str">
        <f>+IF($W591="","",ROUND(IF($B591&gt;Parámetros!$D$107,'Tablas Servicio'!AR591+('Tablas Servicio'!AT590-'Tablas Servicio'!AR590),AR591/(1-IF(B591&lt;=10,Parámetros!$D$100,0))),2))</f>
        <v/>
      </c>
      <c r="AU591" s="66" t="str">
        <f t="shared" si="784"/>
        <v/>
      </c>
      <c r="AV591" s="66" t="str">
        <f t="shared" si="784"/>
        <v/>
      </c>
      <c r="AW591" s="66" t="str">
        <f>+IF($W591="","",ROUND((AT591*Parámetros!$G$85),2))</f>
        <v/>
      </c>
      <c r="AX591" s="66" t="str">
        <f>+IF($W591="","",ROUND((AT591*(Parámetros!$G$86)),2))</f>
        <v/>
      </c>
      <c r="AY591" s="66" t="str">
        <f t="shared" si="785"/>
        <v/>
      </c>
      <c r="AZ591" t="str">
        <f t="shared" si="827"/>
        <v/>
      </c>
      <c r="BA591" t="str">
        <f t="shared" si="828"/>
        <v/>
      </c>
      <c r="BB591" s="118" t="str">
        <f t="shared" si="829"/>
        <v/>
      </c>
      <c r="BC591" s="118" t="str">
        <f t="shared" si="830"/>
        <v/>
      </c>
      <c r="BD591" s="119" t="str">
        <f>+IF(OR($W591="",BB591=0),"",ROUND((VLOOKUP(ROUNDDOWN($D591-1/frec,0),cob_adi,AO$40,FALSE)*(1+i/frec)^-0.5*(1+Parámetros!$D$103)*(1+rec_fracc)/frec),6))</f>
        <v/>
      </c>
      <c r="BE591" s="66" t="str">
        <f t="shared" si="786"/>
        <v/>
      </c>
      <c r="BF591" s="119" t="str">
        <f t="shared" si="787"/>
        <v/>
      </c>
      <c r="BG591" s="66" t="str">
        <f>+IF($W591="","",ROUND(IF($B591&gt;Parámetros!$D$107,'Tablas Servicio'!BE591+('Tablas Servicio'!BG590-'Tablas Servicio'!BE590),BE591/(1-IF(B591&lt;=10,Parámetros!$D$100,0))),2))</f>
        <v/>
      </c>
      <c r="BH591" s="66" t="str">
        <f t="shared" si="788"/>
        <v/>
      </c>
      <c r="BI591" s="66" t="str">
        <f t="shared" si="789"/>
        <v/>
      </c>
      <c r="BJ591" s="66" t="str">
        <f>+IF($W591="","",ROUND((BG591*Parámetros!$G$85),2))</f>
        <v/>
      </c>
      <c r="BK591" s="66" t="str">
        <f>+IF($W591="","",ROUND((BG591*(Parámetros!$G$86)),2))</f>
        <v/>
      </c>
      <c r="BL591" s="66" t="str">
        <f t="shared" si="790"/>
        <v/>
      </c>
      <c r="BM591" t="str">
        <f t="shared" si="831"/>
        <v/>
      </c>
      <c r="BN591" t="str">
        <f t="shared" si="832"/>
        <v/>
      </c>
      <c r="BO591" s="118" t="str">
        <f t="shared" si="833"/>
        <v/>
      </c>
      <c r="BP591" s="118" t="str">
        <f t="shared" si="834"/>
        <v/>
      </c>
      <c r="BQ591" s="119" t="str">
        <f>+IF(OR($W591="",BO591=0),"",ROUND((VLOOKUP(ROUNDDOWN($D591-1/frec,0),cob_adi,BB$40,FALSE)*(1+i/frec)^-0.5*(1+Parámetros!$D$103)*(1+rec_fracc)/frec),6))</f>
        <v/>
      </c>
      <c r="BR591" s="66" t="str">
        <f t="shared" si="791"/>
        <v/>
      </c>
      <c r="BS591" s="119" t="str">
        <f t="shared" si="792"/>
        <v/>
      </c>
      <c r="BT591" s="66" t="str">
        <f>+IF($W591="","",ROUND(IF($B591&gt;Parámetros!$D$107,'Tablas Servicio'!BR591+('Tablas Servicio'!BT590-'Tablas Servicio'!BR590),BR591/(1-IF(B591&lt;=10,Parámetros!$D$100,0))),2))</f>
        <v/>
      </c>
      <c r="BU591" s="66" t="str">
        <f t="shared" si="793"/>
        <v/>
      </c>
      <c r="BV591" s="66" t="str">
        <f t="shared" si="793"/>
        <v/>
      </c>
      <c r="BW591" s="66" t="str">
        <f>+IF($W591="","",ROUND((BT591*Parámetros!$G$85),2))</f>
        <v/>
      </c>
      <c r="BX591" s="66" t="str">
        <f>+IF($W591="","",ROUND((BT591*(Parámetros!$G$86)),2))</f>
        <v/>
      </c>
      <c r="BY591" s="66" t="str">
        <f t="shared" si="794"/>
        <v/>
      </c>
      <c r="BZ591" t="str">
        <f t="shared" si="835"/>
        <v/>
      </c>
      <c r="CA591" t="str">
        <f t="shared" si="836"/>
        <v/>
      </c>
      <c r="CB591" s="118" t="str">
        <f t="shared" si="837"/>
        <v/>
      </c>
      <c r="CC591" s="118" t="str">
        <f t="shared" si="838"/>
        <v/>
      </c>
      <c r="CD591" s="119" t="str">
        <f t="shared" si="795"/>
        <v/>
      </c>
      <c r="CE591" s="66" t="str">
        <f>+IF($W591="","",ROUND((VLOOKUP(ROUNDDOWN($D591-1/frec,0),cob_adi,BO$40,FALSE)*(1+i/frec)^-0.5*(1+Parámetros!$D$103)*(1+rec_fracc)/frec*'TABLAS ADI'!$BC$17),2))</f>
        <v/>
      </c>
      <c r="CF591" s="119" t="str">
        <f t="shared" si="796"/>
        <v/>
      </c>
      <c r="CG591" s="66" t="str">
        <f>+IF($W591="","",ROUND(IF($B591&gt;Parámetros!$D$107,'Tablas Servicio'!CE591+('Tablas Servicio'!CG590-'Tablas Servicio'!CE590),CE591/(1-IF(B591&lt;=10,Parámetros!$D$100,0))),2))</f>
        <v/>
      </c>
      <c r="CH591" s="66" t="str">
        <f t="shared" si="797"/>
        <v/>
      </c>
      <c r="CI591" s="66" t="str">
        <f t="shared" si="797"/>
        <v/>
      </c>
      <c r="CJ591" s="66" t="str">
        <f>+IF($W591="","",ROUND((CG591*Parámetros!$G$85),2))</f>
        <v/>
      </c>
      <c r="CK591" s="66" t="str">
        <f>+IF($W591="","",ROUND((CG591*(Parámetros!$G$86)),2))</f>
        <v/>
      </c>
      <c r="CL591" s="66" t="str">
        <f t="shared" si="798"/>
        <v/>
      </c>
      <c r="CM591" t="str">
        <f t="shared" si="839"/>
        <v/>
      </c>
      <c r="CN591" s="118" t="str">
        <f t="shared" si="840"/>
        <v/>
      </c>
      <c r="CO591" s="118" t="str">
        <f t="shared" si="841"/>
        <v/>
      </c>
      <c r="CP591" s="118" t="str">
        <f t="shared" si="842"/>
        <v/>
      </c>
      <c r="CQ591" s="119" t="str">
        <f t="shared" si="799"/>
        <v/>
      </c>
      <c r="CR591" s="66" t="str">
        <f>+IF($W591="","",ROUND((VLOOKUP(Parámetros!$F$51,'COBERTURAS ADICIONALES'!$S$4:$T$32,2,FALSE)*(1+i/frec)^-0.5*(1+Parámetros!$D$103)*(1+rec_fracc)/frec*$CO$42),2))</f>
        <v/>
      </c>
      <c r="CS591" s="119" t="str">
        <f t="shared" si="800"/>
        <v/>
      </c>
      <c r="CT591" s="66" t="str">
        <f>+IF($W591="","",ROUND(IF($B591&gt;Parámetros!$D$107,'Tablas Servicio'!CR591+('Tablas Servicio'!CT590-'Tablas Servicio'!CR590),CR591/(1-IF(B591&lt;=10,Parámetros!$D$100,0))),2))</f>
        <v/>
      </c>
      <c r="CU591" s="66" t="str">
        <f t="shared" si="801"/>
        <v/>
      </c>
      <c r="CV591" s="66" t="str">
        <f t="shared" si="801"/>
        <v/>
      </c>
      <c r="CW591" s="66" t="str">
        <f>+IF($W591="","",ROUND((CT591*Parámetros!$G$85),2))</f>
        <v/>
      </c>
      <c r="CX591" s="66" t="str">
        <f>+IF($W591="","",ROUND((CT591*(Parámetros!$G$86)),2))</f>
        <v/>
      </c>
      <c r="CY591" s="66" t="str">
        <f t="shared" si="802"/>
        <v/>
      </c>
      <c r="CZ591" t="str">
        <f t="shared" si="843"/>
        <v/>
      </c>
      <c r="DA591" s="118" t="str">
        <f t="shared" si="844"/>
        <v/>
      </c>
      <c r="DB591" s="118" t="str">
        <f t="shared" si="845"/>
        <v/>
      </c>
      <c r="DC591" s="118" t="str">
        <f t="shared" si="846"/>
        <v/>
      </c>
      <c r="DD591" s="121" t="str">
        <f>+IF(OR($W591="",DB591=0),"",ROUND((VLOOKUP(ROUNDDOWN($D591-1/frec,0),cob_adi,CO$40,FALSE)*(1+i/frec)^-0.5*(1+Parámetros!$D$103)*(1+rec_fracc)/frec),6))</f>
        <v/>
      </c>
      <c r="DE591" s="66" t="str">
        <f t="shared" si="803"/>
        <v/>
      </c>
      <c r="DF591" s="119" t="str">
        <f t="shared" si="804"/>
        <v/>
      </c>
      <c r="DG591" s="66" t="str">
        <f>+IF($W591="","",ROUND(IF($B591&gt;Parámetros!$D$107,'Tablas Servicio'!DE591+('Tablas Servicio'!DG590-'Tablas Servicio'!DE590),DE591/(1-IF(B591&lt;=10,Parámetros!$D$100,0))),2))</f>
        <v/>
      </c>
      <c r="DH591" s="66" t="str">
        <f t="shared" si="805"/>
        <v/>
      </c>
      <c r="DI591" s="66" t="str">
        <f t="shared" si="805"/>
        <v/>
      </c>
      <c r="DJ591" s="66" t="str">
        <f>+IF($W591="","",ROUND((DG591*Parámetros!$G$85),2))</f>
        <v/>
      </c>
      <c r="DK591" s="66" t="str">
        <f>+IF($W591="","",ROUND((DG591*(Parámetros!$G$86)),2))</f>
        <v/>
      </c>
      <c r="DL591" s="66" t="str">
        <f t="shared" si="806"/>
        <v/>
      </c>
      <c r="DM591" t="str">
        <f t="shared" si="847"/>
        <v/>
      </c>
      <c r="DN591" s="118" t="str">
        <f t="shared" si="848"/>
        <v/>
      </c>
      <c r="DO591" s="118" t="str">
        <f t="shared" si="849"/>
        <v/>
      </c>
      <c r="DP591" s="118" t="str">
        <f t="shared" si="850"/>
        <v/>
      </c>
      <c r="DQ591" s="122" t="str">
        <f>+IF(OR($W591="",DO591=0),"",ROUND((VLOOKUP(ROUNDDOWN($D591-1/frec,0),cob_adi,DB$40,FALSE)*(1+i/frec)^-0.5*(1+Parámetros!$D$103)*(1+rec_fracc)/frec),6))</f>
        <v/>
      </c>
      <c r="DR591" s="66" t="str">
        <f t="shared" si="807"/>
        <v/>
      </c>
      <c r="DS591" s="68" t="str">
        <f t="shared" si="808"/>
        <v/>
      </c>
      <c r="DT591" s="66" t="str">
        <f>+IF($W591="","",ROUND(IF($B591&gt;Parámetros!$D$107,'Tablas Servicio'!DR591+('Tablas Servicio'!DT590-'Tablas Servicio'!DR590),DR591/(1-IF(B591&lt;=10,Parámetros!$D$100,0))),2))</f>
        <v/>
      </c>
      <c r="DU591" s="66" t="str">
        <f t="shared" si="809"/>
        <v/>
      </c>
      <c r="DV591" s="66" t="str">
        <f t="shared" si="809"/>
        <v/>
      </c>
      <c r="DW591" s="66" t="str">
        <f>+IF($W591="","",ROUND((DT591*Parámetros!$G$85),2))</f>
        <v/>
      </c>
      <c r="DX591" s="66" t="str">
        <f>+IF($W591="","",ROUND((DT591*(Parámetros!$G$86)),2))</f>
        <v/>
      </c>
      <c r="DY591" s="66" t="str">
        <f t="shared" si="810"/>
        <v/>
      </c>
      <c r="DZ591" t="str">
        <f t="shared" si="852"/>
        <v/>
      </c>
      <c r="EA591" s="118" t="str">
        <f t="shared" si="852"/>
        <v/>
      </c>
      <c r="EB591" s="118" t="str">
        <f>+IF($W591="","",ROUND(IF(Parámetros!$D$25='TABLAS MORT'!$V$33,EB590,Z591/2),0))</f>
        <v/>
      </c>
      <c r="EC591" s="118" t="str">
        <f t="shared" si="852"/>
        <v/>
      </c>
      <c r="ED591" s="122" t="str">
        <f>+IF(OR($W591="",EB591=0),"",ROUND((VLOOKUP(ROUNDDOWN($D591-1/frec,0),cob_adi,DO$40,FALSE)*(1+i/frec)^-0.5*(1+Parámetros!$D$103)*(1+rec_fracc)/frec),6))</f>
        <v/>
      </c>
      <c r="EE591" s="66" t="str">
        <f t="shared" si="812"/>
        <v/>
      </c>
      <c r="EF591" s="68" t="str">
        <f t="shared" si="813"/>
        <v/>
      </c>
      <c r="EG591" s="66" t="str">
        <f>+IF($W591="","",ROUND(IF($B591&gt;Parámetros!$D$107,'Tablas Servicio'!EE591+('Tablas Servicio'!EG590-'Tablas Servicio'!EE590),EE591/(1-IF(B591&lt;=10,Parámetros!$D$100,0))),2))</f>
        <v/>
      </c>
      <c r="EH591" s="66" t="str">
        <f t="shared" si="814"/>
        <v/>
      </c>
      <c r="EI591" s="66" t="str">
        <f t="shared" si="814"/>
        <v/>
      </c>
      <c r="EJ591" s="66" t="str">
        <f>+IF($W591="","",ROUND((EG591*Parámetros!$G$85),2))</f>
        <v/>
      </c>
      <c r="EK591" s="66" t="str">
        <f>+IF($W591="","",ROUND((EG591*(Parámetros!$G$86)),2))</f>
        <v/>
      </c>
      <c r="EL591" s="66" t="str">
        <f t="shared" si="815"/>
        <v/>
      </c>
    </row>
    <row r="592" spans="1:142" x14ac:dyDescent="0.25">
      <c r="A592" t="str">
        <f>+IF($C592="","",ROUND(VLOOKUP('Tablas Servicio'!B592,Parámetros!$H$100:$J$159,IF(Parámetros!$E$16="F",2,3),FALSE),2))</f>
        <v/>
      </c>
      <c r="B592" t="str">
        <f t="shared" si="766"/>
        <v/>
      </c>
      <c r="C592" s="57" t="str">
        <f>+IF(D592="","",'Tablas Servicio'!C591+1)</f>
        <v/>
      </c>
      <c r="D592" s="56" t="str">
        <f>+IF(D591&lt;edadmaxtabla,D591+1/Parámetros!$E$25,"")</f>
        <v/>
      </c>
      <c r="E592" s="57" t="str">
        <f t="shared" si="776"/>
        <v/>
      </c>
      <c r="F592" s="59" t="str">
        <f t="shared" si="777"/>
        <v/>
      </c>
      <c r="G592" s="66" t="str">
        <f t="shared" si="767"/>
        <v/>
      </c>
      <c r="H592" s="66" t="str">
        <f t="shared" si="768"/>
        <v/>
      </c>
      <c r="I592" s="66" t="str">
        <f t="shared" si="816"/>
        <v/>
      </c>
      <c r="J592" s="66" t="str">
        <f t="shared" si="769"/>
        <v/>
      </c>
      <c r="K592" s="66" t="str">
        <f t="shared" si="770"/>
        <v/>
      </c>
      <c r="L592" s="66" t="str">
        <f t="shared" si="771"/>
        <v/>
      </c>
      <c r="M592" s="66" t="str">
        <f t="shared" si="772"/>
        <v/>
      </c>
      <c r="N592" s="66" t="str">
        <f>+IF(C592="","",ROUND(Parámetros!$D$23,2))</f>
        <v/>
      </c>
      <c r="O592" s="66" t="str">
        <f t="shared" si="773"/>
        <v/>
      </c>
      <c r="P592" s="66" t="str">
        <f>+IF($C592="","",ROUND(IF(B592&gt;Parámetros!$D$117,0,N592*Parámetros!$D$116-G592*Parámetros!$D$100),2))</f>
        <v/>
      </c>
      <c r="Q592" s="75" t="str">
        <f t="shared" si="817"/>
        <v/>
      </c>
      <c r="R592" s="75" t="str">
        <f t="shared" si="818"/>
        <v/>
      </c>
      <c r="S592" s="117" t="str">
        <f>+IF($C592="","",ROUND((S591+I592)*(1+Parámetros!$D$91),2))</f>
        <v/>
      </c>
      <c r="T592" s="117" t="str">
        <f>+IF($C592="","",ROUND(S592*VLOOKUP(B592,Parámetros!$C$30:$D$39,2,TRUE),2))</f>
        <v/>
      </c>
      <c r="U592" s="117" t="str">
        <f>+IF($C592="","",ROUND((U591+I592)*(1+Parámetros!$D$92),2))</f>
        <v/>
      </c>
      <c r="V592" s="117" t="str">
        <f>+IF($C592="","",ROUND(U592*VLOOKUP(B592,Parámetros!$C$30:$D$39,2,TRUE),2))</f>
        <v/>
      </c>
      <c r="W592" s="57" t="str">
        <f t="shared" si="819"/>
        <v/>
      </c>
      <c r="X592" t="str">
        <f t="shared" si="820"/>
        <v/>
      </c>
      <c r="Y592" t="str">
        <f t="shared" si="821"/>
        <v/>
      </c>
      <c r="Z592" s="118" t="str">
        <f>+IF($W592="","",ROUND(IF(Parámetros!$D$25='TABLAS MORT'!$V$33,Z591,Parámetros!$D$21-'Tablas Servicio'!T591),0))</f>
        <v/>
      </c>
      <c r="AA592" s="118" t="str">
        <f t="shared" si="822"/>
        <v/>
      </c>
      <c r="AB592" s="119" t="str">
        <f>+IF(W592="","",ROUND((VLOOKUP(ROUNDDOWN($D592-1/frec,0),qx_tabla,2,FALSE)*(1+i/frec)^-0.5*(1+Parámetros!$D$103)*(1+rec_fracc)/frec),6))</f>
        <v/>
      </c>
      <c r="AC592" s="66" t="str">
        <f t="shared" si="778"/>
        <v/>
      </c>
      <c r="AD592" s="119" t="str">
        <f t="shared" si="774"/>
        <v/>
      </c>
      <c r="AE592" s="66" t="str">
        <f>+IF($W592="","",ROUND(IF($B592&gt;Parámetros!$D$107,'Tablas Servicio'!AC592+('Tablas Servicio'!AG591-'Tablas Servicio'!AC591),AC592/(1-IF(B592&lt;=10,Parámetros!$D$104,Parámetros!$D$105))),2))</f>
        <v/>
      </c>
      <c r="AF592" s="66" t="str">
        <f>+IF($W592="","",ROUND(IF($B592&gt;Parámetros!$D$107,'Tablas Servicio'!AC592+('Tablas Servicio'!AG591-'Tablas Servicio'!AC591),(AC592+$A591/frec)/(1-IF(B592&lt;=Parámetros!$D$117,Parámetros!$D$100,0))),2))</f>
        <v/>
      </c>
      <c r="AG592" s="66" t="str">
        <f t="shared" si="779"/>
        <v/>
      </c>
      <c r="AH592" s="66" t="str">
        <f t="shared" si="780"/>
        <v/>
      </c>
      <c r="AI592" s="66" t="str">
        <f t="shared" si="781"/>
        <v/>
      </c>
      <c r="AJ592" s="66" t="str">
        <f>+IF($W592="","",ROUND((AG592*Parámetros!$G$85),2))</f>
        <v/>
      </c>
      <c r="AK592" s="66" t="str">
        <f>+IF($W592="","",ROUND((AG592*(Parámetros!$G$86)),2))</f>
        <v/>
      </c>
      <c r="AL592" s="66" t="str">
        <f t="shared" si="775"/>
        <v/>
      </c>
      <c r="AM592" t="str">
        <f t="shared" si="823"/>
        <v/>
      </c>
      <c r="AN592" t="str">
        <f t="shared" si="824"/>
        <v/>
      </c>
      <c r="AO592" s="118" t="str">
        <f t="shared" si="825"/>
        <v/>
      </c>
      <c r="AP592" s="118" t="str">
        <f t="shared" si="826"/>
        <v/>
      </c>
      <c r="AQ592" s="119" t="str">
        <f>+IF(OR($W592="",AO592=0),"",ROUND((VLOOKUP(ROUNDDOWN($D592-1/frec,0),cob_adi,Z$40,FALSE)*(1+i/frec)^-0.5*(1+Parámetros!$D$103)*(1+rec_fracc)/frec),6))</f>
        <v/>
      </c>
      <c r="AR592" s="66" t="str">
        <f t="shared" si="782"/>
        <v/>
      </c>
      <c r="AS592" s="119" t="str">
        <f t="shared" si="783"/>
        <v/>
      </c>
      <c r="AT592" s="66" t="str">
        <f>+IF($W592="","",ROUND(IF($B592&gt;Parámetros!$D$107,'Tablas Servicio'!AR592+('Tablas Servicio'!AT591-'Tablas Servicio'!AR591),AR592/(1-IF(B592&lt;=10,Parámetros!$D$100,0))),2))</f>
        <v/>
      </c>
      <c r="AU592" s="66" t="str">
        <f t="shared" si="784"/>
        <v/>
      </c>
      <c r="AV592" s="66" t="str">
        <f t="shared" si="784"/>
        <v/>
      </c>
      <c r="AW592" s="66" t="str">
        <f>+IF($W592="","",ROUND((AT592*Parámetros!$G$85),2))</f>
        <v/>
      </c>
      <c r="AX592" s="66" t="str">
        <f>+IF($W592="","",ROUND((AT592*(Parámetros!$G$86)),2))</f>
        <v/>
      </c>
      <c r="AY592" s="66" t="str">
        <f t="shared" si="785"/>
        <v/>
      </c>
      <c r="AZ592" t="str">
        <f t="shared" si="827"/>
        <v/>
      </c>
      <c r="BA592" t="str">
        <f t="shared" si="828"/>
        <v/>
      </c>
      <c r="BB592" s="118" t="str">
        <f t="shared" si="829"/>
        <v/>
      </c>
      <c r="BC592" s="118" t="str">
        <f t="shared" si="830"/>
        <v/>
      </c>
      <c r="BD592" s="119" t="str">
        <f>+IF(OR($W592="",BB592=0),"",ROUND((VLOOKUP(ROUNDDOWN($D592-1/frec,0),cob_adi,AO$40,FALSE)*(1+i/frec)^-0.5*(1+Parámetros!$D$103)*(1+rec_fracc)/frec),6))</f>
        <v/>
      </c>
      <c r="BE592" s="66" t="str">
        <f t="shared" si="786"/>
        <v/>
      </c>
      <c r="BF592" s="119" t="str">
        <f t="shared" si="787"/>
        <v/>
      </c>
      <c r="BG592" s="66" t="str">
        <f>+IF($W592="","",ROUND(IF($B592&gt;Parámetros!$D$107,'Tablas Servicio'!BE592+('Tablas Servicio'!BG591-'Tablas Servicio'!BE591),BE592/(1-IF(B592&lt;=10,Parámetros!$D$100,0))),2))</f>
        <v/>
      </c>
      <c r="BH592" s="66" t="str">
        <f t="shared" si="788"/>
        <v/>
      </c>
      <c r="BI592" s="66" t="str">
        <f t="shared" si="789"/>
        <v/>
      </c>
      <c r="BJ592" s="66" t="str">
        <f>+IF($W592="","",ROUND((BG592*Parámetros!$G$85),2))</f>
        <v/>
      </c>
      <c r="BK592" s="66" t="str">
        <f>+IF($W592="","",ROUND((BG592*(Parámetros!$G$86)),2))</f>
        <v/>
      </c>
      <c r="BL592" s="66" t="str">
        <f t="shared" si="790"/>
        <v/>
      </c>
      <c r="BM592" t="str">
        <f t="shared" si="831"/>
        <v/>
      </c>
      <c r="BN592" t="str">
        <f t="shared" si="832"/>
        <v/>
      </c>
      <c r="BO592" s="118" t="str">
        <f t="shared" si="833"/>
        <v/>
      </c>
      <c r="BP592" s="118" t="str">
        <f t="shared" si="834"/>
        <v/>
      </c>
      <c r="BQ592" s="119" t="str">
        <f>+IF(OR($W592="",BO592=0),"",ROUND((VLOOKUP(ROUNDDOWN($D592-1/frec,0),cob_adi,BB$40,FALSE)*(1+i/frec)^-0.5*(1+Parámetros!$D$103)*(1+rec_fracc)/frec),6))</f>
        <v/>
      </c>
      <c r="BR592" s="66" t="str">
        <f t="shared" si="791"/>
        <v/>
      </c>
      <c r="BS592" s="119" t="str">
        <f t="shared" si="792"/>
        <v/>
      </c>
      <c r="BT592" s="66" t="str">
        <f>+IF($W592="","",ROUND(IF($B592&gt;Parámetros!$D$107,'Tablas Servicio'!BR592+('Tablas Servicio'!BT591-'Tablas Servicio'!BR591),BR592/(1-IF(B592&lt;=10,Parámetros!$D$100,0))),2))</f>
        <v/>
      </c>
      <c r="BU592" s="66" t="str">
        <f t="shared" si="793"/>
        <v/>
      </c>
      <c r="BV592" s="66" t="str">
        <f t="shared" si="793"/>
        <v/>
      </c>
      <c r="BW592" s="66" t="str">
        <f>+IF($W592="","",ROUND((BT592*Parámetros!$G$85),2))</f>
        <v/>
      </c>
      <c r="BX592" s="66" t="str">
        <f>+IF($W592="","",ROUND((BT592*(Parámetros!$G$86)),2))</f>
        <v/>
      </c>
      <c r="BY592" s="66" t="str">
        <f t="shared" si="794"/>
        <v/>
      </c>
      <c r="BZ592" t="str">
        <f t="shared" si="835"/>
        <v/>
      </c>
      <c r="CA592" t="str">
        <f t="shared" si="836"/>
        <v/>
      </c>
      <c r="CB592" s="118" t="str">
        <f t="shared" si="837"/>
        <v/>
      </c>
      <c r="CC592" s="118" t="str">
        <f t="shared" si="838"/>
        <v/>
      </c>
      <c r="CD592" s="119" t="str">
        <f t="shared" si="795"/>
        <v/>
      </c>
      <c r="CE592" s="66" t="str">
        <f>+IF($W592="","",ROUND((VLOOKUP(ROUNDDOWN($D592-1/frec,0),cob_adi,BO$40,FALSE)*(1+i/frec)^-0.5*(1+Parámetros!$D$103)*(1+rec_fracc)/frec*'TABLAS ADI'!$BC$17),2))</f>
        <v/>
      </c>
      <c r="CF592" s="119" t="str">
        <f t="shared" si="796"/>
        <v/>
      </c>
      <c r="CG592" s="66" t="str">
        <f>+IF($W592="","",ROUND(IF($B592&gt;Parámetros!$D$107,'Tablas Servicio'!CE592+('Tablas Servicio'!CG591-'Tablas Servicio'!CE591),CE592/(1-IF(B592&lt;=10,Parámetros!$D$100,0))),2))</f>
        <v/>
      </c>
      <c r="CH592" s="66" t="str">
        <f t="shared" si="797"/>
        <v/>
      </c>
      <c r="CI592" s="66" t="str">
        <f t="shared" si="797"/>
        <v/>
      </c>
      <c r="CJ592" s="66" t="str">
        <f>+IF($W592="","",ROUND((CG592*Parámetros!$G$85),2))</f>
        <v/>
      </c>
      <c r="CK592" s="66" t="str">
        <f>+IF($W592="","",ROUND((CG592*(Parámetros!$G$86)),2))</f>
        <v/>
      </c>
      <c r="CL592" s="66" t="str">
        <f t="shared" si="798"/>
        <v/>
      </c>
      <c r="CM592" t="str">
        <f t="shared" si="839"/>
        <v/>
      </c>
      <c r="CN592" s="118" t="str">
        <f t="shared" si="840"/>
        <v/>
      </c>
      <c r="CO592" s="118" t="str">
        <f t="shared" si="841"/>
        <v/>
      </c>
      <c r="CP592" s="118" t="str">
        <f t="shared" si="842"/>
        <v/>
      </c>
      <c r="CQ592" s="119" t="str">
        <f t="shared" si="799"/>
        <v/>
      </c>
      <c r="CR592" s="66" t="str">
        <f>+IF($W592="","",ROUND((VLOOKUP(Parámetros!$F$51,'COBERTURAS ADICIONALES'!$S$4:$T$32,2,FALSE)*(1+i/frec)^-0.5*(1+Parámetros!$D$103)*(1+rec_fracc)/frec*$CO$42),2))</f>
        <v/>
      </c>
      <c r="CS592" s="119" t="str">
        <f t="shared" si="800"/>
        <v/>
      </c>
      <c r="CT592" s="66" t="str">
        <f>+IF($W592="","",ROUND(IF($B592&gt;Parámetros!$D$107,'Tablas Servicio'!CR592+('Tablas Servicio'!CT591-'Tablas Servicio'!CR591),CR592/(1-IF(B592&lt;=10,Parámetros!$D$100,0))),2))</f>
        <v/>
      </c>
      <c r="CU592" s="66" t="str">
        <f t="shared" si="801"/>
        <v/>
      </c>
      <c r="CV592" s="66" t="str">
        <f t="shared" si="801"/>
        <v/>
      </c>
      <c r="CW592" s="66" t="str">
        <f>+IF($W592="","",ROUND((CT592*Parámetros!$G$85),2))</f>
        <v/>
      </c>
      <c r="CX592" s="66" t="str">
        <f>+IF($W592="","",ROUND((CT592*(Parámetros!$G$86)),2))</f>
        <v/>
      </c>
      <c r="CY592" s="66" t="str">
        <f t="shared" si="802"/>
        <v/>
      </c>
      <c r="CZ592" t="str">
        <f t="shared" si="843"/>
        <v/>
      </c>
      <c r="DA592" s="118" t="str">
        <f t="shared" si="844"/>
        <v/>
      </c>
      <c r="DB592" s="118" t="str">
        <f t="shared" si="845"/>
        <v/>
      </c>
      <c r="DC592" s="118" t="str">
        <f t="shared" si="846"/>
        <v/>
      </c>
      <c r="DD592" s="121" t="str">
        <f>+IF(OR($W592="",DB592=0),"",ROUND((VLOOKUP(ROUNDDOWN($D592-1/frec,0),cob_adi,CO$40,FALSE)*(1+i/frec)^-0.5*(1+Parámetros!$D$103)*(1+rec_fracc)/frec),6))</f>
        <v/>
      </c>
      <c r="DE592" s="66" t="str">
        <f t="shared" si="803"/>
        <v/>
      </c>
      <c r="DF592" s="119" t="str">
        <f t="shared" si="804"/>
        <v/>
      </c>
      <c r="DG592" s="66" t="str">
        <f>+IF($W592="","",ROUND(IF($B592&gt;Parámetros!$D$107,'Tablas Servicio'!DE592+('Tablas Servicio'!DG591-'Tablas Servicio'!DE591),DE592/(1-IF(B592&lt;=10,Parámetros!$D$100,0))),2))</f>
        <v/>
      </c>
      <c r="DH592" s="66" t="str">
        <f t="shared" si="805"/>
        <v/>
      </c>
      <c r="DI592" s="66" t="str">
        <f t="shared" si="805"/>
        <v/>
      </c>
      <c r="DJ592" s="66" t="str">
        <f>+IF($W592="","",ROUND((DG592*Parámetros!$G$85),2))</f>
        <v/>
      </c>
      <c r="DK592" s="66" t="str">
        <f>+IF($W592="","",ROUND((DG592*(Parámetros!$G$86)),2))</f>
        <v/>
      </c>
      <c r="DL592" s="66" t="str">
        <f t="shared" si="806"/>
        <v/>
      </c>
      <c r="DM592" t="str">
        <f t="shared" si="847"/>
        <v/>
      </c>
      <c r="DN592" s="118" t="str">
        <f t="shared" si="848"/>
        <v/>
      </c>
      <c r="DO592" s="118" t="str">
        <f t="shared" si="849"/>
        <v/>
      </c>
      <c r="DP592" s="118" t="str">
        <f t="shared" si="850"/>
        <v/>
      </c>
      <c r="DQ592" s="122" t="str">
        <f>+IF(OR($W592="",DO592=0),"",ROUND((VLOOKUP(ROUNDDOWN($D592-1/frec,0),cob_adi,DB$40,FALSE)*(1+i/frec)^-0.5*(1+Parámetros!$D$103)*(1+rec_fracc)/frec),6))</f>
        <v/>
      </c>
      <c r="DR592" s="66" t="str">
        <f t="shared" si="807"/>
        <v/>
      </c>
      <c r="DS592" s="68" t="str">
        <f t="shared" si="808"/>
        <v/>
      </c>
      <c r="DT592" s="66" t="str">
        <f>+IF($W592="","",ROUND(IF($B592&gt;Parámetros!$D$107,'Tablas Servicio'!DR592+('Tablas Servicio'!DT591-'Tablas Servicio'!DR591),DR592/(1-IF(B592&lt;=10,Parámetros!$D$100,0))),2))</f>
        <v/>
      </c>
      <c r="DU592" s="66" t="str">
        <f t="shared" si="809"/>
        <v/>
      </c>
      <c r="DV592" s="66" t="str">
        <f t="shared" si="809"/>
        <v/>
      </c>
      <c r="DW592" s="66" t="str">
        <f>+IF($W592="","",ROUND((DT592*Parámetros!$G$85),2))</f>
        <v/>
      </c>
      <c r="DX592" s="66" t="str">
        <f>+IF($W592="","",ROUND((DT592*(Parámetros!$G$86)),2))</f>
        <v/>
      </c>
      <c r="DY592" s="66" t="str">
        <f t="shared" si="810"/>
        <v/>
      </c>
      <c r="DZ592" t="str">
        <f t="shared" si="852"/>
        <v/>
      </c>
      <c r="EA592" s="118" t="str">
        <f t="shared" si="852"/>
        <v/>
      </c>
      <c r="EB592" s="118" t="str">
        <f>+IF($W592="","",ROUND(IF(Parámetros!$D$25='TABLAS MORT'!$V$33,EB591,Z592/2),0))</f>
        <v/>
      </c>
      <c r="EC592" s="118" t="str">
        <f t="shared" si="852"/>
        <v/>
      </c>
      <c r="ED592" s="122" t="str">
        <f>+IF(OR($W592="",EB592=0),"",ROUND((VLOOKUP(ROUNDDOWN($D592-1/frec,0),cob_adi,DO$40,FALSE)*(1+i/frec)^-0.5*(1+Parámetros!$D$103)*(1+rec_fracc)/frec),6))</f>
        <v/>
      </c>
      <c r="EE592" s="66" t="str">
        <f t="shared" si="812"/>
        <v/>
      </c>
      <c r="EF592" s="68" t="str">
        <f t="shared" si="813"/>
        <v/>
      </c>
      <c r="EG592" s="66" t="str">
        <f>+IF($W592="","",ROUND(IF($B592&gt;Parámetros!$D$107,'Tablas Servicio'!EE592+('Tablas Servicio'!EG591-'Tablas Servicio'!EE591),EE592/(1-IF(B592&lt;=10,Parámetros!$D$100,0))),2))</f>
        <v/>
      </c>
      <c r="EH592" s="66" t="str">
        <f t="shared" si="814"/>
        <v/>
      </c>
      <c r="EI592" s="66" t="str">
        <f t="shared" si="814"/>
        <v/>
      </c>
      <c r="EJ592" s="66" t="str">
        <f>+IF($W592="","",ROUND((EG592*Parámetros!$G$85),2))</f>
        <v/>
      </c>
      <c r="EK592" s="66" t="str">
        <f>+IF($W592="","",ROUND((EG592*(Parámetros!$G$86)),2))</f>
        <v/>
      </c>
      <c r="EL592" s="66" t="str">
        <f t="shared" si="815"/>
        <v/>
      </c>
    </row>
    <row r="593" spans="1:142" x14ac:dyDescent="0.25">
      <c r="A593" t="str">
        <f>+IF($C593="","",ROUND(VLOOKUP('Tablas Servicio'!B593,Parámetros!$H$100:$J$159,IF(Parámetros!$E$16="F",2,3),FALSE),2))</f>
        <v/>
      </c>
      <c r="B593" t="str">
        <f t="shared" si="766"/>
        <v/>
      </c>
      <c r="C593" s="57" t="str">
        <f>+IF(D593="","",'Tablas Servicio'!C592+1)</f>
        <v/>
      </c>
      <c r="D593" s="56" t="str">
        <f>+IF(D592&lt;edadmaxtabla,D592+1/Parámetros!$E$25,"")</f>
        <v/>
      </c>
      <c r="E593" s="57" t="str">
        <f t="shared" si="776"/>
        <v/>
      </c>
      <c r="F593" s="59" t="str">
        <f t="shared" si="777"/>
        <v/>
      </c>
      <c r="G593" s="66" t="str">
        <f t="shared" si="767"/>
        <v/>
      </c>
      <c r="H593" s="66" t="str">
        <f t="shared" si="768"/>
        <v/>
      </c>
      <c r="I593" s="66" t="str">
        <f t="shared" si="816"/>
        <v/>
      </c>
      <c r="J593" s="66" t="str">
        <f t="shared" si="769"/>
        <v/>
      </c>
      <c r="K593" s="66" t="str">
        <f t="shared" si="770"/>
        <v/>
      </c>
      <c r="L593" s="66" t="str">
        <f t="shared" si="771"/>
        <v/>
      </c>
      <c r="M593" s="66" t="str">
        <f t="shared" si="772"/>
        <v/>
      </c>
      <c r="N593" s="66" t="str">
        <f>+IF(C593="","",ROUND(Parámetros!$D$23,2))</f>
        <v/>
      </c>
      <c r="O593" s="66" t="str">
        <f t="shared" si="773"/>
        <v/>
      </c>
      <c r="P593" s="66" t="str">
        <f>+IF($C593="","",ROUND(IF(B593&gt;Parámetros!$D$117,0,N593*Parámetros!$D$116-G593*Parámetros!$D$100),2))</f>
        <v/>
      </c>
      <c r="Q593" s="75" t="str">
        <f t="shared" si="817"/>
        <v/>
      </c>
      <c r="R593" s="75" t="str">
        <f t="shared" si="818"/>
        <v/>
      </c>
      <c r="S593" s="117" t="str">
        <f>+IF($C593="","",ROUND((S592+I593)*(1+Parámetros!$D$91),2))</f>
        <v/>
      </c>
      <c r="T593" s="117" t="str">
        <f>+IF($C593="","",ROUND(S593*VLOOKUP(B593,Parámetros!$C$30:$D$39,2,TRUE),2))</f>
        <v/>
      </c>
      <c r="U593" s="117" t="str">
        <f>+IF($C593="","",ROUND((U592+I593)*(1+Parámetros!$D$92),2))</f>
        <v/>
      </c>
      <c r="V593" s="117" t="str">
        <f>+IF($C593="","",ROUND(U593*VLOOKUP(B593,Parámetros!$C$30:$D$39,2,TRUE),2))</f>
        <v/>
      </c>
      <c r="W593" s="57" t="str">
        <f t="shared" si="819"/>
        <v/>
      </c>
      <c r="X593" t="str">
        <f t="shared" si="820"/>
        <v/>
      </c>
      <c r="Y593" t="str">
        <f t="shared" si="821"/>
        <v/>
      </c>
      <c r="Z593" s="118" t="str">
        <f>+IF($W593="","",ROUND(IF(Parámetros!$D$25='TABLAS MORT'!$V$33,Z592,Parámetros!$D$21-'Tablas Servicio'!T592),0))</f>
        <v/>
      </c>
      <c r="AA593" s="118" t="str">
        <f t="shared" si="822"/>
        <v/>
      </c>
      <c r="AB593" s="119" t="str">
        <f>+IF(W593="","",ROUND((VLOOKUP(ROUNDDOWN($D593-1/frec,0),qx_tabla,2,FALSE)*(1+i/frec)^-0.5*(1+Parámetros!$D$103)*(1+rec_fracc)/frec),6))</f>
        <v/>
      </c>
      <c r="AC593" s="66" t="str">
        <f t="shared" si="778"/>
        <v/>
      </c>
      <c r="AD593" s="119" t="str">
        <f t="shared" si="774"/>
        <v/>
      </c>
      <c r="AE593" s="66" t="str">
        <f>+IF($W593="","",ROUND(IF($B593&gt;Parámetros!$D$107,'Tablas Servicio'!AC593+('Tablas Servicio'!AG592-'Tablas Servicio'!AC592),AC593/(1-IF(B593&lt;=10,Parámetros!$D$104,Parámetros!$D$105))),2))</f>
        <v/>
      </c>
      <c r="AF593" s="66" t="str">
        <f>+IF($W593="","",ROUND(IF($B593&gt;Parámetros!$D$107,'Tablas Servicio'!AC593+('Tablas Servicio'!AG592-'Tablas Servicio'!AC592),(AC593+$A592/frec)/(1-IF(B593&lt;=Parámetros!$D$117,Parámetros!$D$100,0))),2))</f>
        <v/>
      </c>
      <c r="AG593" s="66" t="str">
        <f t="shared" si="779"/>
        <v/>
      </c>
      <c r="AH593" s="66" t="str">
        <f t="shared" si="780"/>
        <v/>
      </c>
      <c r="AI593" s="66" t="str">
        <f t="shared" si="781"/>
        <v/>
      </c>
      <c r="AJ593" s="66" t="str">
        <f>+IF($W593="","",ROUND((AG593*Parámetros!$G$85),2))</f>
        <v/>
      </c>
      <c r="AK593" s="66" t="str">
        <f>+IF($W593="","",ROUND((AG593*(Parámetros!$G$86)),2))</f>
        <v/>
      </c>
      <c r="AL593" s="66" t="str">
        <f t="shared" si="775"/>
        <v/>
      </c>
      <c r="AM593" t="str">
        <f t="shared" si="823"/>
        <v/>
      </c>
      <c r="AN593" t="str">
        <f t="shared" si="824"/>
        <v/>
      </c>
      <c r="AO593" s="118" t="str">
        <f t="shared" si="825"/>
        <v/>
      </c>
      <c r="AP593" s="118" t="str">
        <f t="shared" si="826"/>
        <v/>
      </c>
      <c r="AQ593" s="119" t="str">
        <f>+IF(OR($W593="",AO593=0),"",ROUND((VLOOKUP(ROUNDDOWN($D593-1/frec,0),cob_adi,Z$40,FALSE)*(1+i/frec)^-0.5*(1+Parámetros!$D$103)*(1+rec_fracc)/frec),6))</f>
        <v/>
      </c>
      <c r="AR593" s="66" t="str">
        <f t="shared" si="782"/>
        <v/>
      </c>
      <c r="AS593" s="119" t="str">
        <f t="shared" si="783"/>
        <v/>
      </c>
      <c r="AT593" s="66" t="str">
        <f>+IF($W593="","",ROUND(IF($B593&gt;Parámetros!$D$107,'Tablas Servicio'!AR593+('Tablas Servicio'!AT592-'Tablas Servicio'!AR592),AR593/(1-IF(B593&lt;=10,Parámetros!$D$100,0))),2))</f>
        <v/>
      </c>
      <c r="AU593" s="66" t="str">
        <f t="shared" si="784"/>
        <v/>
      </c>
      <c r="AV593" s="66" t="str">
        <f t="shared" si="784"/>
        <v/>
      </c>
      <c r="AW593" s="66" t="str">
        <f>+IF($W593="","",ROUND((AT593*Parámetros!$G$85),2))</f>
        <v/>
      </c>
      <c r="AX593" s="66" t="str">
        <f>+IF($W593="","",ROUND((AT593*(Parámetros!$G$86)),2))</f>
        <v/>
      </c>
      <c r="AY593" s="66" t="str">
        <f t="shared" si="785"/>
        <v/>
      </c>
      <c r="AZ593" t="str">
        <f t="shared" si="827"/>
        <v/>
      </c>
      <c r="BA593" t="str">
        <f t="shared" si="828"/>
        <v/>
      </c>
      <c r="BB593" s="118" t="str">
        <f t="shared" si="829"/>
        <v/>
      </c>
      <c r="BC593" s="118" t="str">
        <f t="shared" si="830"/>
        <v/>
      </c>
      <c r="BD593" s="119" t="str">
        <f>+IF(OR($W593="",BB593=0),"",ROUND((VLOOKUP(ROUNDDOWN($D593-1/frec,0),cob_adi,AO$40,FALSE)*(1+i/frec)^-0.5*(1+Parámetros!$D$103)*(1+rec_fracc)/frec),6))</f>
        <v/>
      </c>
      <c r="BE593" s="66" t="str">
        <f t="shared" si="786"/>
        <v/>
      </c>
      <c r="BF593" s="119" t="str">
        <f t="shared" si="787"/>
        <v/>
      </c>
      <c r="BG593" s="66" t="str">
        <f>+IF($W593="","",ROUND(IF($B593&gt;Parámetros!$D$107,'Tablas Servicio'!BE593+('Tablas Servicio'!BG592-'Tablas Servicio'!BE592),BE593/(1-IF(B593&lt;=10,Parámetros!$D$100,0))),2))</f>
        <v/>
      </c>
      <c r="BH593" s="66" t="str">
        <f t="shared" si="788"/>
        <v/>
      </c>
      <c r="BI593" s="66" t="str">
        <f t="shared" si="789"/>
        <v/>
      </c>
      <c r="BJ593" s="66" t="str">
        <f>+IF($W593="","",ROUND((BG593*Parámetros!$G$85),2))</f>
        <v/>
      </c>
      <c r="BK593" s="66" t="str">
        <f>+IF($W593="","",ROUND((BG593*(Parámetros!$G$86)),2))</f>
        <v/>
      </c>
      <c r="BL593" s="66" t="str">
        <f t="shared" si="790"/>
        <v/>
      </c>
      <c r="BM593" t="str">
        <f t="shared" si="831"/>
        <v/>
      </c>
      <c r="BN593" t="str">
        <f t="shared" si="832"/>
        <v/>
      </c>
      <c r="BO593" s="118" t="str">
        <f t="shared" si="833"/>
        <v/>
      </c>
      <c r="BP593" s="118" t="str">
        <f t="shared" si="834"/>
        <v/>
      </c>
      <c r="BQ593" s="119" t="str">
        <f>+IF(OR($W593="",BO593=0),"",ROUND((VLOOKUP(ROUNDDOWN($D593-1/frec,0),cob_adi,BB$40,FALSE)*(1+i/frec)^-0.5*(1+Parámetros!$D$103)*(1+rec_fracc)/frec),6))</f>
        <v/>
      </c>
      <c r="BR593" s="66" t="str">
        <f t="shared" si="791"/>
        <v/>
      </c>
      <c r="BS593" s="119" t="str">
        <f t="shared" si="792"/>
        <v/>
      </c>
      <c r="BT593" s="66" t="str">
        <f>+IF($W593="","",ROUND(IF($B593&gt;Parámetros!$D$107,'Tablas Servicio'!BR593+('Tablas Servicio'!BT592-'Tablas Servicio'!BR592),BR593/(1-IF(B593&lt;=10,Parámetros!$D$100,0))),2))</f>
        <v/>
      </c>
      <c r="BU593" s="66" t="str">
        <f t="shared" si="793"/>
        <v/>
      </c>
      <c r="BV593" s="66" t="str">
        <f t="shared" si="793"/>
        <v/>
      </c>
      <c r="BW593" s="66" t="str">
        <f>+IF($W593="","",ROUND((BT593*Parámetros!$G$85),2))</f>
        <v/>
      </c>
      <c r="BX593" s="66" t="str">
        <f>+IF($W593="","",ROUND((BT593*(Parámetros!$G$86)),2))</f>
        <v/>
      </c>
      <c r="BY593" s="66" t="str">
        <f t="shared" si="794"/>
        <v/>
      </c>
      <c r="BZ593" t="str">
        <f t="shared" si="835"/>
        <v/>
      </c>
      <c r="CA593" t="str">
        <f t="shared" si="836"/>
        <v/>
      </c>
      <c r="CB593" s="118" t="str">
        <f t="shared" si="837"/>
        <v/>
      </c>
      <c r="CC593" s="118" t="str">
        <f t="shared" si="838"/>
        <v/>
      </c>
      <c r="CD593" s="119" t="str">
        <f t="shared" si="795"/>
        <v/>
      </c>
      <c r="CE593" s="66" t="str">
        <f>+IF($W593="","",ROUND((VLOOKUP(ROUNDDOWN($D593-1/frec,0),cob_adi,BO$40,FALSE)*(1+i/frec)^-0.5*(1+Parámetros!$D$103)*(1+rec_fracc)/frec*'TABLAS ADI'!$BC$17),2))</f>
        <v/>
      </c>
      <c r="CF593" s="119" t="str">
        <f t="shared" si="796"/>
        <v/>
      </c>
      <c r="CG593" s="66" t="str">
        <f>+IF($W593="","",ROUND(IF($B593&gt;Parámetros!$D$107,'Tablas Servicio'!CE593+('Tablas Servicio'!CG592-'Tablas Servicio'!CE592),CE593/(1-IF(B593&lt;=10,Parámetros!$D$100,0))),2))</f>
        <v/>
      </c>
      <c r="CH593" s="66" t="str">
        <f t="shared" si="797"/>
        <v/>
      </c>
      <c r="CI593" s="66" t="str">
        <f t="shared" si="797"/>
        <v/>
      </c>
      <c r="CJ593" s="66" t="str">
        <f>+IF($W593="","",ROUND((CG593*Parámetros!$G$85),2))</f>
        <v/>
      </c>
      <c r="CK593" s="66" t="str">
        <f>+IF($W593="","",ROUND((CG593*(Parámetros!$G$86)),2))</f>
        <v/>
      </c>
      <c r="CL593" s="66" t="str">
        <f t="shared" si="798"/>
        <v/>
      </c>
      <c r="CM593" t="str">
        <f t="shared" si="839"/>
        <v/>
      </c>
      <c r="CN593" s="118" t="str">
        <f t="shared" si="840"/>
        <v/>
      </c>
      <c r="CO593" s="118" t="str">
        <f t="shared" si="841"/>
        <v/>
      </c>
      <c r="CP593" s="118" t="str">
        <f t="shared" si="842"/>
        <v/>
      </c>
      <c r="CQ593" s="119" t="str">
        <f t="shared" si="799"/>
        <v/>
      </c>
      <c r="CR593" s="66" t="str">
        <f>+IF($W593="","",ROUND((VLOOKUP(Parámetros!$F$51,'COBERTURAS ADICIONALES'!$S$4:$T$32,2,FALSE)*(1+i/frec)^-0.5*(1+Parámetros!$D$103)*(1+rec_fracc)/frec*$CO$42),2))</f>
        <v/>
      </c>
      <c r="CS593" s="119" t="str">
        <f t="shared" si="800"/>
        <v/>
      </c>
      <c r="CT593" s="66" t="str">
        <f>+IF($W593="","",ROUND(IF($B593&gt;Parámetros!$D$107,'Tablas Servicio'!CR593+('Tablas Servicio'!CT592-'Tablas Servicio'!CR592),CR593/(1-IF(B593&lt;=10,Parámetros!$D$100,0))),2))</f>
        <v/>
      </c>
      <c r="CU593" s="66" t="str">
        <f t="shared" si="801"/>
        <v/>
      </c>
      <c r="CV593" s="66" t="str">
        <f t="shared" si="801"/>
        <v/>
      </c>
      <c r="CW593" s="66" t="str">
        <f>+IF($W593="","",ROUND((CT593*Parámetros!$G$85),2))</f>
        <v/>
      </c>
      <c r="CX593" s="66" t="str">
        <f>+IF($W593="","",ROUND((CT593*(Parámetros!$G$86)),2))</f>
        <v/>
      </c>
      <c r="CY593" s="66" t="str">
        <f t="shared" si="802"/>
        <v/>
      </c>
      <c r="CZ593" t="str">
        <f t="shared" si="843"/>
        <v/>
      </c>
      <c r="DA593" s="118" t="str">
        <f t="shared" si="844"/>
        <v/>
      </c>
      <c r="DB593" s="118" t="str">
        <f t="shared" si="845"/>
        <v/>
      </c>
      <c r="DC593" s="118" t="str">
        <f t="shared" si="846"/>
        <v/>
      </c>
      <c r="DD593" s="121" t="str">
        <f>+IF(OR($W593="",DB593=0),"",ROUND((VLOOKUP(ROUNDDOWN($D593-1/frec,0),cob_adi,CO$40,FALSE)*(1+i/frec)^-0.5*(1+Parámetros!$D$103)*(1+rec_fracc)/frec),6))</f>
        <v/>
      </c>
      <c r="DE593" s="66" t="str">
        <f t="shared" si="803"/>
        <v/>
      </c>
      <c r="DF593" s="119" t="str">
        <f t="shared" si="804"/>
        <v/>
      </c>
      <c r="DG593" s="66" t="str">
        <f>+IF($W593="","",ROUND(IF($B593&gt;Parámetros!$D$107,'Tablas Servicio'!DE593+('Tablas Servicio'!DG592-'Tablas Servicio'!DE592),DE593/(1-IF(B593&lt;=10,Parámetros!$D$100,0))),2))</f>
        <v/>
      </c>
      <c r="DH593" s="66" t="str">
        <f t="shared" si="805"/>
        <v/>
      </c>
      <c r="DI593" s="66" t="str">
        <f t="shared" si="805"/>
        <v/>
      </c>
      <c r="DJ593" s="66" t="str">
        <f>+IF($W593="","",ROUND((DG593*Parámetros!$G$85),2))</f>
        <v/>
      </c>
      <c r="DK593" s="66" t="str">
        <f>+IF($W593="","",ROUND((DG593*(Parámetros!$G$86)),2))</f>
        <v/>
      </c>
      <c r="DL593" s="66" t="str">
        <f t="shared" si="806"/>
        <v/>
      </c>
      <c r="DM593" t="str">
        <f t="shared" si="847"/>
        <v/>
      </c>
      <c r="DN593" s="118" t="str">
        <f t="shared" si="848"/>
        <v/>
      </c>
      <c r="DO593" s="118" t="str">
        <f t="shared" si="849"/>
        <v/>
      </c>
      <c r="DP593" s="118" t="str">
        <f t="shared" si="850"/>
        <v/>
      </c>
      <c r="DQ593" s="122" t="str">
        <f>+IF(OR($W593="",DO593=0),"",ROUND((VLOOKUP(ROUNDDOWN($D593-1/frec,0),cob_adi,DB$40,FALSE)*(1+i/frec)^-0.5*(1+Parámetros!$D$103)*(1+rec_fracc)/frec),6))</f>
        <v/>
      </c>
      <c r="DR593" s="66" t="str">
        <f t="shared" si="807"/>
        <v/>
      </c>
      <c r="DS593" s="68" t="str">
        <f t="shared" si="808"/>
        <v/>
      </c>
      <c r="DT593" s="66" t="str">
        <f>+IF($W593="","",ROUND(IF($B593&gt;Parámetros!$D$107,'Tablas Servicio'!DR593+('Tablas Servicio'!DT592-'Tablas Servicio'!DR592),DR593/(1-IF(B593&lt;=10,Parámetros!$D$100,0))),2))</f>
        <v/>
      </c>
      <c r="DU593" s="66" t="str">
        <f t="shared" si="809"/>
        <v/>
      </c>
      <c r="DV593" s="66" t="str">
        <f t="shared" si="809"/>
        <v/>
      </c>
      <c r="DW593" s="66" t="str">
        <f>+IF($W593="","",ROUND((DT593*Parámetros!$G$85),2))</f>
        <v/>
      </c>
      <c r="DX593" s="66" t="str">
        <f>+IF($W593="","",ROUND((DT593*(Parámetros!$G$86)),2))</f>
        <v/>
      </c>
      <c r="DY593" s="66" t="str">
        <f t="shared" si="810"/>
        <v/>
      </c>
      <c r="DZ593" t="str">
        <f t="shared" si="852"/>
        <v/>
      </c>
      <c r="EA593" s="118" t="str">
        <f t="shared" si="852"/>
        <v/>
      </c>
      <c r="EB593" s="118" t="str">
        <f>+IF($W593="","",ROUND(IF(Parámetros!$D$25='TABLAS MORT'!$V$33,EB592,Z593/2),0))</f>
        <v/>
      </c>
      <c r="EC593" s="118" t="str">
        <f t="shared" si="852"/>
        <v/>
      </c>
      <c r="ED593" s="122" t="str">
        <f>+IF(OR($W593="",EB593=0),"",ROUND((VLOOKUP(ROUNDDOWN($D593-1/frec,0),cob_adi,DO$40,FALSE)*(1+i/frec)^-0.5*(1+Parámetros!$D$103)*(1+rec_fracc)/frec),6))</f>
        <v/>
      </c>
      <c r="EE593" s="66" t="str">
        <f t="shared" si="812"/>
        <v/>
      </c>
      <c r="EF593" s="68" t="str">
        <f t="shared" si="813"/>
        <v/>
      </c>
      <c r="EG593" s="66" t="str">
        <f>+IF($W593="","",ROUND(IF($B593&gt;Parámetros!$D$107,'Tablas Servicio'!EE593+('Tablas Servicio'!EG592-'Tablas Servicio'!EE592),EE593/(1-IF(B593&lt;=10,Parámetros!$D$100,0))),2))</f>
        <v/>
      </c>
      <c r="EH593" s="66" t="str">
        <f t="shared" si="814"/>
        <v/>
      </c>
      <c r="EI593" s="66" t="str">
        <f t="shared" si="814"/>
        <v/>
      </c>
      <c r="EJ593" s="66" t="str">
        <f>+IF($W593="","",ROUND((EG593*Parámetros!$G$85),2))</f>
        <v/>
      </c>
      <c r="EK593" s="66" t="str">
        <f>+IF($W593="","",ROUND((EG593*(Parámetros!$G$86)),2))</f>
        <v/>
      </c>
      <c r="EL593" s="66" t="str">
        <f t="shared" si="815"/>
        <v/>
      </c>
    </row>
    <row r="594" spans="1:142" x14ac:dyDescent="0.25">
      <c r="A594" t="str">
        <f>+IF($C594="","",ROUND(VLOOKUP('Tablas Servicio'!B594,Parámetros!$H$100:$J$159,IF(Parámetros!$E$16="F",2,3),FALSE),2))</f>
        <v/>
      </c>
      <c r="B594" t="str">
        <f t="shared" si="766"/>
        <v/>
      </c>
      <c r="C594" s="57" t="str">
        <f>+IF(D594="","",'Tablas Servicio'!C593+1)</f>
        <v/>
      </c>
      <c r="D594" s="56" t="str">
        <f>+IF(D593&lt;edadmaxtabla,D593+1/Parámetros!$E$25,"")</f>
        <v/>
      </c>
      <c r="E594" s="57" t="str">
        <f t="shared" si="776"/>
        <v/>
      </c>
      <c r="F594" s="59" t="str">
        <f t="shared" si="777"/>
        <v/>
      </c>
      <c r="G594" s="66" t="str">
        <f t="shared" si="767"/>
        <v/>
      </c>
      <c r="H594" s="66" t="str">
        <f t="shared" si="768"/>
        <v/>
      </c>
      <c r="I594" s="66" t="str">
        <f t="shared" si="816"/>
        <v/>
      </c>
      <c r="J594" s="66" t="str">
        <f t="shared" si="769"/>
        <v/>
      </c>
      <c r="K594" s="66" t="str">
        <f t="shared" si="770"/>
        <v/>
      </c>
      <c r="L594" s="66" t="str">
        <f t="shared" si="771"/>
        <v/>
      </c>
      <c r="M594" s="66" t="str">
        <f t="shared" si="772"/>
        <v/>
      </c>
      <c r="N594" s="66" t="str">
        <f>+IF(C594="","",ROUND(Parámetros!$D$23,2))</f>
        <v/>
      </c>
      <c r="O594" s="66" t="str">
        <f t="shared" si="773"/>
        <v/>
      </c>
      <c r="P594" s="66" t="str">
        <f>+IF($C594="","",ROUND(IF(B594&gt;Parámetros!$D$117,0,N594*Parámetros!$D$116-G594*Parámetros!$D$100),2))</f>
        <v/>
      </c>
      <c r="Q594" s="75" t="str">
        <f t="shared" si="817"/>
        <v/>
      </c>
      <c r="R594" s="75" t="str">
        <f t="shared" si="818"/>
        <v/>
      </c>
      <c r="S594" s="117" t="str">
        <f>+IF($C594="","",ROUND((S593+I594)*(1+Parámetros!$D$91),2))</f>
        <v/>
      </c>
      <c r="T594" s="117" t="str">
        <f>+IF($C594="","",ROUND(S594*VLOOKUP(B594,Parámetros!$C$30:$D$39,2,TRUE),2))</f>
        <v/>
      </c>
      <c r="U594" s="117" t="str">
        <f>+IF($C594="","",ROUND((U593+I594)*(1+Parámetros!$D$92),2))</f>
        <v/>
      </c>
      <c r="V594" s="117" t="str">
        <f>+IF($C594="","",ROUND(U594*VLOOKUP(B594,Parámetros!$C$30:$D$39,2,TRUE),2))</f>
        <v/>
      </c>
      <c r="W594" s="57" t="str">
        <f t="shared" si="819"/>
        <v/>
      </c>
      <c r="X594" t="str">
        <f t="shared" si="820"/>
        <v/>
      </c>
      <c r="Y594" t="str">
        <f t="shared" si="821"/>
        <v/>
      </c>
      <c r="Z594" s="118" t="str">
        <f>+IF($W594="","",ROUND(IF(Parámetros!$D$25='TABLAS MORT'!$V$33,Z593,Parámetros!$D$21-'Tablas Servicio'!T593),0))</f>
        <v/>
      </c>
      <c r="AA594" s="118" t="str">
        <f t="shared" si="822"/>
        <v/>
      </c>
      <c r="AB594" s="119" t="str">
        <f>+IF(W594="","",ROUND((VLOOKUP(ROUNDDOWN($D594-1/frec,0),qx_tabla,2,FALSE)*(1+i/frec)^-0.5*(1+Parámetros!$D$103)*(1+rec_fracc)/frec),6))</f>
        <v/>
      </c>
      <c r="AC594" s="66" t="str">
        <f t="shared" si="778"/>
        <v/>
      </c>
      <c r="AD594" s="119" t="str">
        <f t="shared" si="774"/>
        <v/>
      </c>
      <c r="AE594" s="66" t="str">
        <f>+IF($W594="","",ROUND(IF($B594&gt;Parámetros!$D$107,'Tablas Servicio'!AC594+('Tablas Servicio'!AG593-'Tablas Servicio'!AC593),AC594/(1-IF(B594&lt;=10,Parámetros!$D$104,Parámetros!$D$105))),2))</f>
        <v/>
      </c>
      <c r="AF594" s="66" t="str">
        <f>+IF($W594="","",ROUND(IF($B594&gt;Parámetros!$D$107,'Tablas Servicio'!AC594+('Tablas Servicio'!AG593-'Tablas Servicio'!AC593),(AC594+$A593/frec)/(1-IF(B594&lt;=Parámetros!$D$117,Parámetros!$D$100,0))),2))</f>
        <v/>
      </c>
      <c r="AG594" s="66" t="str">
        <f t="shared" si="779"/>
        <v/>
      </c>
      <c r="AH594" s="66" t="str">
        <f t="shared" si="780"/>
        <v/>
      </c>
      <c r="AI594" s="66" t="str">
        <f t="shared" si="781"/>
        <v/>
      </c>
      <c r="AJ594" s="66" t="str">
        <f>+IF($W594="","",ROUND((AG594*Parámetros!$G$85),2))</f>
        <v/>
      </c>
      <c r="AK594" s="66" t="str">
        <f>+IF($W594="","",ROUND((AG594*(Parámetros!$G$86)),2))</f>
        <v/>
      </c>
      <c r="AL594" s="66" t="str">
        <f t="shared" si="775"/>
        <v/>
      </c>
      <c r="AM594" t="str">
        <f t="shared" si="823"/>
        <v/>
      </c>
      <c r="AN594" t="str">
        <f t="shared" si="824"/>
        <v/>
      </c>
      <c r="AO594" s="118" t="str">
        <f t="shared" si="825"/>
        <v/>
      </c>
      <c r="AP594" s="118" t="str">
        <f t="shared" si="826"/>
        <v/>
      </c>
      <c r="AQ594" s="119" t="str">
        <f>+IF(OR($W594="",AO594=0),"",ROUND((VLOOKUP(ROUNDDOWN($D594-1/frec,0),cob_adi,Z$40,FALSE)*(1+i/frec)^-0.5*(1+Parámetros!$D$103)*(1+rec_fracc)/frec),6))</f>
        <v/>
      </c>
      <c r="AR594" s="66" t="str">
        <f t="shared" si="782"/>
        <v/>
      </c>
      <c r="AS594" s="119" t="str">
        <f t="shared" si="783"/>
        <v/>
      </c>
      <c r="AT594" s="66" t="str">
        <f>+IF($W594="","",ROUND(IF($B594&gt;Parámetros!$D$107,'Tablas Servicio'!AR594+('Tablas Servicio'!AT593-'Tablas Servicio'!AR593),AR594/(1-IF(B594&lt;=10,Parámetros!$D$100,0))),2))</f>
        <v/>
      </c>
      <c r="AU594" s="66" t="str">
        <f t="shared" si="784"/>
        <v/>
      </c>
      <c r="AV594" s="66" t="str">
        <f t="shared" si="784"/>
        <v/>
      </c>
      <c r="AW594" s="66" t="str">
        <f>+IF($W594="","",ROUND((AT594*Parámetros!$G$85),2))</f>
        <v/>
      </c>
      <c r="AX594" s="66" t="str">
        <f>+IF($W594="","",ROUND((AT594*(Parámetros!$G$86)),2))</f>
        <v/>
      </c>
      <c r="AY594" s="66" t="str">
        <f t="shared" si="785"/>
        <v/>
      </c>
      <c r="AZ594" t="str">
        <f t="shared" si="827"/>
        <v/>
      </c>
      <c r="BA594" t="str">
        <f t="shared" si="828"/>
        <v/>
      </c>
      <c r="BB594" s="118" t="str">
        <f t="shared" si="829"/>
        <v/>
      </c>
      <c r="BC594" s="118" t="str">
        <f t="shared" si="830"/>
        <v/>
      </c>
      <c r="BD594" s="119" t="str">
        <f>+IF(OR($W594="",BB594=0),"",ROUND((VLOOKUP(ROUNDDOWN($D594-1/frec,0),cob_adi,AO$40,FALSE)*(1+i/frec)^-0.5*(1+Parámetros!$D$103)*(1+rec_fracc)/frec),6))</f>
        <v/>
      </c>
      <c r="BE594" s="66" t="str">
        <f t="shared" si="786"/>
        <v/>
      </c>
      <c r="BF594" s="119" t="str">
        <f t="shared" si="787"/>
        <v/>
      </c>
      <c r="BG594" s="66" t="str">
        <f>+IF($W594="","",ROUND(IF($B594&gt;Parámetros!$D$107,'Tablas Servicio'!BE594+('Tablas Servicio'!BG593-'Tablas Servicio'!BE593),BE594/(1-IF(B594&lt;=10,Parámetros!$D$100,0))),2))</f>
        <v/>
      </c>
      <c r="BH594" s="66" t="str">
        <f t="shared" si="788"/>
        <v/>
      </c>
      <c r="BI594" s="66" t="str">
        <f t="shared" si="789"/>
        <v/>
      </c>
      <c r="BJ594" s="66" t="str">
        <f>+IF($W594="","",ROUND((BG594*Parámetros!$G$85),2))</f>
        <v/>
      </c>
      <c r="BK594" s="66" t="str">
        <f>+IF($W594="","",ROUND((BG594*(Parámetros!$G$86)),2))</f>
        <v/>
      </c>
      <c r="BL594" s="66" t="str">
        <f t="shared" si="790"/>
        <v/>
      </c>
      <c r="BM594" t="str">
        <f t="shared" si="831"/>
        <v/>
      </c>
      <c r="BN594" t="str">
        <f t="shared" si="832"/>
        <v/>
      </c>
      <c r="BO594" s="118" t="str">
        <f t="shared" si="833"/>
        <v/>
      </c>
      <c r="BP594" s="118" t="str">
        <f t="shared" si="834"/>
        <v/>
      </c>
      <c r="BQ594" s="119" t="str">
        <f>+IF(OR($W594="",BO594=0),"",ROUND((VLOOKUP(ROUNDDOWN($D594-1/frec,0),cob_adi,BB$40,FALSE)*(1+i/frec)^-0.5*(1+Parámetros!$D$103)*(1+rec_fracc)/frec),6))</f>
        <v/>
      </c>
      <c r="BR594" s="66" t="str">
        <f t="shared" si="791"/>
        <v/>
      </c>
      <c r="BS594" s="119" t="str">
        <f t="shared" si="792"/>
        <v/>
      </c>
      <c r="BT594" s="66" t="str">
        <f>+IF($W594="","",ROUND(IF($B594&gt;Parámetros!$D$107,'Tablas Servicio'!BR594+('Tablas Servicio'!BT593-'Tablas Servicio'!BR593),BR594/(1-IF(B594&lt;=10,Parámetros!$D$100,0))),2))</f>
        <v/>
      </c>
      <c r="BU594" s="66" t="str">
        <f t="shared" si="793"/>
        <v/>
      </c>
      <c r="BV594" s="66" t="str">
        <f t="shared" si="793"/>
        <v/>
      </c>
      <c r="BW594" s="66" t="str">
        <f>+IF($W594="","",ROUND((BT594*Parámetros!$G$85),2))</f>
        <v/>
      </c>
      <c r="BX594" s="66" t="str">
        <f>+IF($W594="","",ROUND((BT594*(Parámetros!$G$86)),2))</f>
        <v/>
      </c>
      <c r="BY594" s="66" t="str">
        <f t="shared" si="794"/>
        <v/>
      </c>
      <c r="BZ594" t="str">
        <f t="shared" si="835"/>
        <v/>
      </c>
      <c r="CA594" t="str">
        <f t="shared" si="836"/>
        <v/>
      </c>
      <c r="CB594" s="118" t="str">
        <f t="shared" si="837"/>
        <v/>
      </c>
      <c r="CC594" s="118" t="str">
        <f t="shared" si="838"/>
        <v/>
      </c>
      <c r="CD594" s="119" t="str">
        <f t="shared" si="795"/>
        <v/>
      </c>
      <c r="CE594" s="66" t="str">
        <f>+IF($W594="","",ROUND((VLOOKUP(ROUNDDOWN($D594-1/frec,0),cob_adi,BO$40,FALSE)*(1+i/frec)^-0.5*(1+Parámetros!$D$103)*(1+rec_fracc)/frec*'TABLAS ADI'!$BC$17),2))</f>
        <v/>
      </c>
      <c r="CF594" s="119" t="str">
        <f t="shared" si="796"/>
        <v/>
      </c>
      <c r="CG594" s="66" t="str">
        <f>+IF($W594="","",ROUND(IF($B594&gt;Parámetros!$D$107,'Tablas Servicio'!CE594+('Tablas Servicio'!CG593-'Tablas Servicio'!CE593),CE594/(1-IF(B594&lt;=10,Parámetros!$D$100,0))),2))</f>
        <v/>
      </c>
      <c r="CH594" s="66" t="str">
        <f t="shared" si="797"/>
        <v/>
      </c>
      <c r="CI594" s="66" t="str">
        <f t="shared" si="797"/>
        <v/>
      </c>
      <c r="CJ594" s="66" t="str">
        <f>+IF($W594="","",ROUND((CG594*Parámetros!$G$85),2))</f>
        <v/>
      </c>
      <c r="CK594" s="66" t="str">
        <f>+IF($W594="","",ROUND((CG594*(Parámetros!$G$86)),2))</f>
        <v/>
      </c>
      <c r="CL594" s="66" t="str">
        <f t="shared" si="798"/>
        <v/>
      </c>
      <c r="CM594" t="str">
        <f t="shared" si="839"/>
        <v/>
      </c>
      <c r="CN594" s="118" t="str">
        <f t="shared" si="840"/>
        <v/>
      </c>
      <c r="CO594" s="118" t="str">
        <f t="shared" si="841"/>
        <v/>
      </c>
      <c r="CP594" s="118" t="str">
        <f t="shared" si="842"/>
        <v/>
      </c>
      <c r="CQ594" s="119" t="str">
        <f t="shared" si="799"/>
        <v/>
      </c>
      <c r="CR594" s="66" t="str">
        <f>+IF($W594="","",ROUND((VLOOKUP(Parámetros!$F$51,'COBERTURAS ADICIONALES'!$S$4:$T$32,2,FALSE)*(1+i/frec)^-0.5*(1+Parámetros!$D$103)*(1+rec_fracc)/frec*$CO$42),2))</f>
        <v/>
      </c>
      <c r="CS594" s="119" t="str">
        <f t="shared" si="800"/>
        <v/>
      </c>
      <c r="CT594" s="66" t="str">
        <f>+IF($W594="","",ROUND(IF($B594&gt;Parámetros!$D$107,'Tablas Servicio'!CR594+('Tablas Servicio'!CT593-'Tablas Servicio'!CR593),CR594/(1-IF(B594&lt;=10,Parámetros!$D$100,0))),2))</f>
        <v/>
      </c>
      <c r="CU594" s="66" t="str">
        <f t="shared" si="801"/>
        <v/>
      </c>
      <c r="CV594" s="66" t="str">
        <f t="shared" si="801"/>
        <v/>
      </c>
      <c r="CW594" s="66" t="str">
        <f>+IF($W594="","",ROUND((CT594*Parámetros!$G$85),2))</f>
        <v/>
      </c>
      <c r="CX594" s="66" t="str">
        <f>+IF($W594="","",ROUND((CT594*(Parámetros!$G$86)),2))</f>
        <v/>
      </c>
      <c r="CY594" s="66" t="str">
        <f t="shared" si="802"/>
        <v/>
      </c>
      <c r="CZ594" t="str">
        <f t="shared" si="843"/>
        <v/>
      </c>
      <c r="DA594" s="118" t="str">
        <f t="shared" si="844"/>
        <v/>
      </c>
      <c r="DB594" s="118" t="str">
        <f t="shared" si="845"/>
        <v/>
      </c>
      <c r="DC594" s="118" t="str">
        <f t="shared" si="846"/>
        <v/>
      </c>
      <c r="DD594" s="121" t="str">
        <f>+IF(OR($W594="",DB594=0),"",ROUND((VLOOKUP(ROUNDDOWN($D594-1/frec,0),cob_adi,CO$40,FALSE)*(1+i/frec)^-0.5*(1+Parámetros!$D$103)*(1+rec_fracc)/frec),6))</f>
        <v/>
      </c>
      <c r="DE594" s="66" t="str">
        <f t="shared" si="803"/>
        <v/>
      </c>
      <c r="DF594" s="119" t="str">
        <f t="shared" si="804"/>
        <v/>
      </c>
      <c r="DG594" s="66" t="str">
        <f>+IF($W594="","",ROUND(IF($B594&gt;Parámetros!$D$107,'Tablas Servicio'!DE594+('Tablas Servicio'!DG593-'Tablas Servicio'!DE593),DE594/(1-IF(B594&lt;=10,Parámetros!$D$100,0))),2))</f>
        <v/>
      </c>
      <c r="DH594" s="66" t="str">
        <f t="shared" si="805"/>
        <v/>
      </c>
      <c r="DI594" s="66" t="str">
        <f t="shared" si="805"/>
        <v/>
      </c>
      <c r="DJ594" s="66" t="str">
        <f>+IF($W594="","",ROUND((DG594*Parámetros!$G$85),2))</f>
        <v/>
      </c>
      <c r="DK594" s="66" t="str">
        <f>+IF($W594="","",ROUND((DG594*(Parámetros!$G$86)),2))</f>
        <v/>
      </c>
      <c r="DL594" s="66" t="str">
        <f t="shared" si="806"/>
        <v/>
      </c>
      <c r="DM594" t="str">
        <f t="shared" si="847"/>
        <v/>
      </c>
      <c r="DN594" s="118" t="str">
        <f t="shared" si="848"/>
        <v/>
      </c>
      <c r="DO594" s="118" t="str">
        <f t="shared" si="849"/>
        <v/>
      </c>
      <c r="DP594" s="118" t="str">
        <f t="shared" si="850"/>
        <v/>
      </c>
      <c r="DQ594" s="122" t="str">
        <f>+IF(OR($W594="",DO594=0),"",ROUND((VLOOKUP(ROUNDDOWN($D594-1/frec,0),cob_adi,DB$40,FALSE)*(1+i/frec)^-0.5*(1+Parámetros!$D$103)*(1+rec_fracc)/frec),6))</f>
        <v/>
      </c>
      <c r="DR594" s="66" t="str">
        <f t="shared" si="807"/>
        <v/>
      </c>
      <c r="DS594" s="68" t="str">
        <f t="shared" si="808"/>
        <v/>
      </c>
      <c r="DT594" s="66" t="str">
        <f>+IF($W594="","",ROUND(IF($B594&gt;Parámetros!$D$107,'Tablas Servicio'!DR594+('Tablas Servicio'!DT593-'Tablas Servicio'!DR593),DR594/(1-IF(B594&lt;=10,Parámetros!$D$100,0))),2))</f>
        <v/>
      </c>
      <c r="DU594" s="66" t="str">
        <f t="shared" si="809"/>
        <v/>
      </c>
      <c r="DV594" s="66" t="str">
        <f t="shared" si="809"/>
        <v/>
      </c>
      <c r="DW594" s="66" t="str">
        <f>+IF($W594="","",ROUND((DT594*Parámetros!$G$85),2))</f>
        <v/>
      </c>
      <c r="DX594" s="66" t="str">
        <f>+IF($W594="","",ROUND((DT594*(Parámetros!$G$86)),2))</f>
        <v/>
      </c>
      <c r="DY594" s="66" t="str">
        <f t="shared" si="810"/>
        <v/>
      </c>
      <c r="DZ594" t="str">
        <f t="shared" si="852"/>
        <v/>
      </c>
      <c r="EA594" s="118" t="str">
        <f t="shared" si="852"/>
        <v/>
      </c>
      <c r="EB594" s="118" t="str">
        <f>+IF($W594="","",ROUND(IF(Parámetros!$D$25='TABLAS MORT'!$V$33,EB593,Z594/2),0))</f>
        <v/>
      </c>
      <c r="EC594" s="118" t="str">
        <f t="shared" si="852"/>
        <v/>
      </c>
      <c r="ED594" s="122" t="str">
        <f>+IF(OR($W594="",EB594=0),"",ROUND((VLOOKUP(ROUNDDOWN($D594-1/frec,0),cob_adi,DO$40,FALSE)*(1+i/frec)^-0.5*(1+Parámetros!$D$103)*(1+rec_fracc)/frec),6))</f>
        <v/>
      </c>
      <c r="EE594" s="66" t="str">
        <f t="shared" si="812"/>
        <v/>
      </c>
      <c r="EF594" s="68" t="str">
        <f t="shared" si="813"/>
        <v/>
      </c>
      <c r="EG594" s="66" t="str">
        <f>+IF($W594="","",ROUND(IF($B594&gt;Parámetros!$D$107,'Tablas Servicio'!EE594+('Tablas Servicio'!EG593-'Tablas Servicio'!EE593),EE594/(1-IF(B594&lt;=10,Parámetros!$D$100,0))),2))</f>
        <v/>
      </c>
      <c r="EH594" s="66" t="str">
        <f t="shared" si="814"/>
        <v/>
      </c>
      <c r="EI594" s="66" t="str">
        <f t="shared" si="814"/>
        <v/>
      </c>
      <c r="EJ594" s="66" t="str">
        <f>+IF($W594="","",ROUND((EG594*Parámetros!$G$85),2))</f>
        <v/>
      </c>
      <c r="EK594" s="66" t="str">
        <f>+IF($W594="","",ROUND((EG594*(Parámetros!$G$86)),2))</f>
        <v/>
      </c>
      <c r="EL594" s="66" t="str">
        <f t="shared" si="815"/>
        <v/>
      </c>
    </row>
    <row r="595" spans="1:142" x14ac:dyDescent="0.25">
      <c r="A595" t="str">
        <f>+IF($C595="","",ROUND(VLOOKUP('Tablas Servicio'!B595,Parámetros!$H$100:$J$159,IF(Parámetros!$E$16="F",2,3),FALSE),2))</f>
        <v/>
      </c>
      <c r="B595" t="str">
        <f t="shared" si="766"/>
        <v/>
      </c>
      <c r="C595" s="57" t="str">
        <f>+IF(D595="","",'Tablas Servicio'!C594+1)</f>
        <v/>
      </c>
      <c r="D595" s="56" t="str">
        <f>+IF(D594&lt;edadmaxtabla,D594+1/Parámetros!$E$25,"")</f>
        <v/>
      </c>
      <c r="E595" s="57" t="str">
        <f t="shared" si="776"/>
        <v/>
      </c>
      <c r="F595" s="59" t="str">
        <f t="shared" si="777"/>
        <v/>
      </c>
      <c r="G595" s="66" t="str">
        <f t="shared" si="767"/>
        <v/>
      </c>
      <c r="H595" s="66" t="str">
        <f t="shared" si="768"/>
        <v/>
      </c>
      <c r="I595" s="66" t="str">
        <f t="shared" si="816"/>
        <v/>
      </c>
      <c r="J595" s="66" t="str">
        <f t="shared" si="769"/>
        <v/>
      </c>
      <c r="K595" s="66" t="str">
        <f t="shared" si="770"/>
        <v/>
      </c>
      <c r="L595" s="66" t="str">
        <f t="shared" si="771"/>
        <v/>
      </c>
      <c r="M595" s="66" t="str">
        <f t="shared" si="772"/>
        <v/>
      </c>
      <c r="N595" s="66" t="str">
        <f>+IF(C595="","",ROUND(Parámetros!$D$23,2))</f>
        <v/>
      </c>
      <c r="O595" s="66" t="str">
        <f t="shared" si="773"/>
        <v/>
      </c>
      <c r="P595" s="66" t="str">
        <f>+IF($C595="","",ROUND(IF(B595&gt;Parámetros!$D$117,0,N595*Parámetros!$D$116-G595*Parámetros!$D$100),2))</f>
        <v/>
      </c>
      <c r="Q595" s="75" t="str">
        <f t="shared" si="817"/>
        <v/>
      </c>
      <c r="R595" s="75" t="str">
        <f t="shared" si="818"/>
        <v/>
      </c>
      <c r="S595" s="117" t="str">
        <f>+IF($C595="","",ROUND((S594+I595)*(1+Parámetros!$D$91),2))</f>
        <v/>
      </c>
      <c r="T595" s="117" t="str">
        <f>+IF($C595="","",ROUND(S595*VLOOKUP(B595,Parámetros!$C$30:$D$39,2,TRUE),2))</f>
        <v/>
      </c>
      <c r="U595" s="117" t="str">
        <f>+IF($C595="","",ROUND((U594+I595)*(1+Parámetros!$D$92),2))</f>
        <v/>
      </c>
      <c r="V595" s="117" t="str">
        <f>+IF($C595="","",ROUND(U595*VLOOKUP(B595,Parámetros!$C$30:$D$39,2,TRUE),2))</f>
        <v/>
      </c>
      <c r="W595" s="57" t="str">
        <f t="shared" si="819"/>
        <v/>
      </c>
      <c r="X595" t="str">
        <f t="shared" si="820"/>
        <v/>
      </c>
      <c r="Y595" t="str">
        <f t="shared" si="821"/>
        <v/>
      </c>
      <c r="Z595" s="118" t="str">
        <f>+IF($W595="","",ROUND(IF(Parámetros!$D$25='TABLAS MORT'!$V$33,Z594,Parámetros!$D$21-'Tablas Servicio'!T594),0))</f>
        <v/>
      </c>
      <c r="AA595" s="118" t="str">
        <f t="shared" si="822"/>
        <v/>
      </c>
      <c r="AB595" s="119" t="str">
        <f>+IF(W595="","",ROUND((VLOOKUP(ROUNDDOWN($D595-1/frec,0),qx_tabla,2,FALSE)*(1+i/frec)^-0.5*(1+Parámetros!$D$103)*(1+rec_fracc)/frec),6))</f>
        <v/>
      </c>
      <c r="AC595" s="66" t="str">
        <f t="shared" si="778"/>
        <v/>
      </c>
      <c r="AD595" s="119" t="str">
        <f t="shared" si="774"/>
        <v/>
      </c>
      <c r="AE595" s="66" t="str">
        <f>+IF($W595="","",ROUND(IF($B595&gt;Parámetros!$D$107,'Tablas Servicio'!AC595+('Tablas Servicio'!AG594-'Tablas Servicio'!AC594),AC595/(1-IF(B595&lt;=10,Parámetros!$D$104,Parámetros!$D$105))),2))</f>
        <v/>
      </c>
      <c r="AF595" s="66" t="str">
        <f>+IF($W595="","",ROUND(IF($B595&gt;Parámetros!$D$107,'Tablas Servicio'!AC595+('Tablas Servicio'!AG594-'Tablas Servicio'!AC594),(AC595+$A594/frec)/(1-IF(B595&lt;=Parámetros!$D$117,Parámetros!$D$100,0))),2))</f>
        <v/>
      </c>
      <c r="AG595" s="66" t="str">
        <f t="shared" si="779"/>
        <v/>
      </c>
      <c r="AH595" s="66" t="str">
        <f t="shared" si="780"/>
        <v/>
      </c>
      <c r="AI595" s="66" t="str">
        <f t="shared" si="781"/>
        <v/>
      </c>
      <c r="AJ595" s="66" t="str">
        <f>+IF($W595="","",ROUND((AG595*Parámetros!$G$85),2))</f>
        <v/>
      </c>
      <c r="AK595" s="66" t="str">
        <f>+IF($W595="","",ROUND((AG595*(Parámetros!$G$86)),2))</f>
        <v/>
      </c>
      <c r="AL595" s="66" t="str">
        <f t="shared" si="775"/>
        <v/>
      </c>
      <c r="AM595" t="str">
        <f t="shared" si="823"/>
        <v/>
      </c>
      <c r="AN595" t="str">
        <f t="shared" si="824"/>
        <v/>
      </c>
      <c r="AO595" s="118" t="str">
        <f t="shared" si="825"/>
        <v/>
      </c>
      <c r="AP595" s="118" t="str">
        <f t="shared" si="826"/>
        <v/>
      </c>
      <c r="AQ595" s="119" t="str">
        <f>+IF(OR($W595="",AO595=0),"",ROUND((VLOOKUP(ROUNDDOWN($D595-1/frec,0),cob_adi,Z$40,FALSE)*(1+i/frec)^-0.5*(1+Parámetros!$D$103)*(1+rec_fracc)/frec),6))</f>
        <v/>
      </c>
      <c r="AR595" s="66" t="str">
        <f t="shared" si="782"/>
        <v/>
      </c>
      <c r="AS595" s="119" t="str">
        <f t="shared" si="783"/>
        <v/>
      </c>
      <c r="AT595" s="66" t="str">
        <f>+IF($W595="","",ROUND(IF($B595&gt;Parámetros!$D$107,'Tablas Servicio'!AR595+('Tablas Servicio'!AT594-'Tablas Servicio'!AR594),AR595/(1-IF(B595&lt;=10,Parámetros!$D$100,0))),2))</f>
        <v/>
      </c>
      <c r="AU595" s="66" t="str">
        <f t="shared" si="784"/>
        <v/>
      </c>
      <c r="AV595" s="66" t="str">
        <f t="shared" si="784"/>
        <v/>
      </c>
      <c r="AW595" s="66" t="str">
        <f>+IF($W595="","",ROUND((AT595*Parámetros!$G$85),2))</f>
        <v/>
      </c>
      <c r="AX595" s="66" t="str">
        <f>+IF($W595="","",ROUND((AT595*(Parámetros!$G$86)),2))</f>
        <v/>
      </c>
      <c r="AY595" s="66" t="str">
        <f t="shared" si="785"/>
        <v/>
      </c>
      <c r="AZ595" t="str">
        <f t="shared" si="827"/>
        <v/>
      </c>
      <c r="BA595" t="str">
        <f t="shared" si="828"/>
        <v/>
      </c>
      <c r="BB595" s="118" t="str">
        <f t="shared" si="829"/>
        <v/>
      </c>
      <c r="BC595" s="118" t="str">
        <f t="shared" si="830"/>
        <v/>
      </c>
      <c r="BD595" s="119" t="str">
        <f>+IF(OR($W595="",BB595=0),"",ROUND((VLOOKUP(ROUNDDOWN($D595-1/frec,0),cob_adi,AO$40,FALSE)*(1+i/frec)^-0.5*(1+Parámetros!$D$103)*(1+rec_fracc)/frec),6))</f>
        <v/>
      </c>
      <c r="BE595" s="66" t="str">
        <f t="shared" si="786"/>
        <v/>
      </c>
      <c r="BF595" s="119" t="str">
        <f t="shared" si="787"/>
        <v/>
      </c>
      <c r="BG595" s="66" t="str">
        <f>+IF($W595="","",ROUND(IF($B595&gt;Parámetros!$D$107,'Tablas Servicio'!BE595+('Tablas Servicio'!BG594-'Tablas Servicio'!BE594),BE595/(1-IF(B595&lt;=10,Parámetros!$D$100,0))),2))</f>
        <v/>
      </c>
      <c r="BH595" s="66" t="str">
        <f t="shared" si="788"/>
        <v/>
      </c>
      <c r="BI595" s="66" t="str">
        <f t="shared" si="789"/>
        <v/>
      </c>
      <c r="BJ595" s="66" t="str">
        <f>+IF($W595="","",ROUND((BG595*Parámetros!$G$85),2))</f>
        <v/>
      </c>
      <c r="BK595" s="66" t="str">
        <f>+IF($W595="","",ROUND((BG595*(Parámetros!$G$86)),2))</f>
        <v/>
      </c>
      <c r="BL595" s="66" t="str">
        <f t="shared" si="790"/>
        <v/>
      </c>
      <c r="BM595" t="str">
        <f t="shared" si="831"/>
        <v/>
      </c>
      <c r="BN595" t="str">
        <f t="shared" si="832"/>
        <v/>
      </c>
      <c r="BO595" s="118" t="str">
        <f t="shared" si="833"/>
        <v/>
      </c>
      <c r="BP595" s="118" t="str">
        <f t="shared" si="834"/>
        <v/>
      </c>
      <c r="BQ595" s="119" t="str">
        <f>+IF(OR($W595="",BO595=0),"",ROUND((VLOOKUP(ROUNDDOWN($D595-1/frec,0),cob_adi,BB$40,FALSE)*(1+i/frec)^-0.5*(1+Parámetros!$D$103)*(1+rec_fracc)/frec),6))</f>
        <v/>
      </c>
      <c r="BR595" s="66" t="str">
        <f t="shared" si="791"/>
        <v/>
      </c>
      <c r="BS595" s="119" t="str">
        <f t="shared" si="792"/>
        <v/>
      </c>
      <c r="BT595" s="66" t="str">
        <f>+IF($W595="","",ROUND(IF($B595&gt;Parámetros!$D$107,'Tablas Servicio'!BR595+('Tablas Servicio'!BT594-'Tablas Servicio'!BR594),BR595/(1-IF(B595&lt;=10,Parámetros!$D$100,0))),2))</f>
        <v/>
      </c>
      <c r="BU595" s="66" t="str">
        <f t="shared" si="793"/>
        <v/>
      </c>
      <c r="BV595" s="66" t="str">
        <f t="shared" si="793"/>
        <v/>
      </c>
      <c r="BW595" s="66" t="str">
        <f>+IF($W595="","",ROUND((BT595*Parámetros!$G$85),2))</f>
        <v/>
      </c>
      <c r="BX595" s="66" t="str">
        <f>+IF($W595="","",ROUND((BT595*(Parámetros!$G$86)),2))</f>
        <v/>
      </c>
      <c r="BY595" s="66" t="str">
        <f t="shared" si="794"/>
        <v/>
      </c>
      <c r="BZ595" t="str">
        <f t="shared" si="835"/>
        <v/>
      </c>
      <c r="CA595" t="str">
        <f t="shared" si="836"/>
        <v/>
      </c>
      <c r="CB595" s="118" t="str">
        <f t="shared" si="837"/>
        <v/>
      </c>
      <c r="CC595" s="118" t="str">
        <f t="shared" si="838"/>
        <v/>
      </c>
      <c r="CD595" s="119" t="str">
        <f t="shared" si="795"/>
        <v/>
      </c>
      <c r="CE595" s="66" t="str">
        <f>+IF($W595="","",ROUND((VLOOKUP(ROUNDDOWN($D595-1/frec,0),cob_adi,BO$40,FALSE)*(1+i/frec)^-0.5*(1+Parámetros!$D$103)*(1+rec_fracc)/frec*'TABLAS ADI'!$BC$17),2))</f>
        <v/>
      </c>
      <c r="CF595" s="119" t="str">
        <f t="shared" si="796"/>
        <v/>
      </c>
      <c r="CG595" s="66" t="str">
        <f>+IF($W595="","",ROUND(IF($B595&gt;Parámetros!$D$107,'Tablas Servicio'!CE595+('Tablas Servicio'!CG594-'Tablas Servicio'!CE594),CE595/(1-IF(B595&lt;=10,Parámetros!$D$100,0))),2))</f>
        <v/>
      </c>
      <c r="CH595" s="66" t="str">
        <f t="shared" si="797"/>
        <v/>
      </c>
      <c r="CI595" s="66" t="str">
        <f t="shared" si="797"/>
        <v/>
      </c>
      <c r="CJ595" s="66" t="str">
        <f>+IF($W595="","",ROUND((CG595*Parámetros!$G$85),2))</f>
        <v/>
      </c>
      <c r="CK595" s="66" t="str">
        <f>+IF($W595="","",ROUND((CG595*(Parámetros!$G$86)),2))</f>
        <v/>
      </c>
      <c r="CL595" s="66" t="str">
        <f t="shared" si="798"/>
        <v/>
      </c>
      <c r="CM595" t="str">
        <f t="shared" si="839"/>
        <v/>
      </c>
      <c r="CN595" s="118" t="str">
        <f t="shared" si="840"/>
        <v/>
      </c>
      <c r="CO595" s="118" t="str">
        <f t="shared" si="841"/>
        <v/>
      </c>
      <c r="CP595" s="118" t="str">
        <f t="shared" si="842"/>
        <v/>
      </c>
      <c r="CQ595" s="119" t="str">
        <f t="shared" si="799"/>
        <v/>
      </c>
      <c r="CR595" s="66" t="str">
        <f>+IF($W595="","",ROUND((VLOOKUP(Parámetros!$F$51,'COBERTURAS ADICIONALES'!$S$4:$T$32,2,FALSE)*(1+i/frec)^-0.5*(1+Parámetros!$D$103)*(1+rec_fracc)/frec*$CO$42),2))</f>
        <v/>
      </c>
      <c r="CS595" s="119" t="str">
        <f t="shared" si="800"/>
        <v/>
      </c>
      <c r="CT595" s="66" t="str">
        <f>+IF($W595="","",ROUND(IF($B595&gt;Parámetros!$D$107,'Tablas Servicio'!CR595+('Tablas Servicio'!CT594-'Tablas Servicio'!CR594),CR595/(1-IF(B595&lt;=10,Parámetros!$D$100,0))),2))</f>
        <v/>
      </c>
      <c r="CU595" s="66" t="str">
        <f t="shared" si="801"/>
        <v/>
      </c>
      <c r="CV595" s="66" t="str">
        <f t="shared" si="801"/>
        <v/>
      </c>
      <c r="CW595" s="66" t="str">
        <f>+IF($W595="","",ROUND((CT595*Parámetros!$G$85),2))</f>
        <v/>
      </c>
      <c r="CX595" s="66" t="str">
        <f>+IF($W595="","",ROUND((CT595*(Parámetros!$G$86)),2))</f>
        <v/>
      </c>
      <c r="CY595" s="66" t="str">
        <f t="shared" si="802"/>
        <v/>
      </c>
      <c r="CZ595" t="str">
        <f t="shared" si="843"/>
        <v/>
      </c>
      <c r="DA595" s="118" t="str">
        <f t="shared" si="844"/>
        <v/>
      </c>
      <c r="DB595" s="118" t="str">
        <f t="shared" si="845"/>
        <v/>
      </c>
      <c r="DC595" s="118" t="str">
        <f t="shared" si="846"/>
        <v/>
      </c>
      <c r="DD595" s="121" t="str">
        <f>+IF(OR($W595="",DB595=0),"",ROUND((VLOOKUP(ROUNDDOWN($D595-1/frec,0),cob_adi,CO$40,FALSE)*(1+i/frec)^-0.5*(1+Parámetros!$D$103)*(1+rec_fracc)/frec),6))</f>
        <v/>
      </c>
      <c r="DE595" s="66" t="str">
        <f t="shared" si="803"/>
        <v/>
      </c>
      <c r="DF595" s="119" t="str">
        <f t="shared" si="804"/>
        <v/>
      </c>
      <c r="DG595" s="66" t="str">
        <f>+IF($W595="","",ROUND(IF($B595&gt;Parámetros!$D$107,'Tablas Servicio'!DE595+('Tablas Servicio'!DG594-'Tablas Servicio'!DE594),DE595/(1-IF(B595&lt;=10,Parámetros!$D$100,0))),2))</f>
        <v/>
      </c>
      <c r="DH595" s="66" t="str">
        <f t="shared" si="805"/>
        <v/>
      </c>
      <c r="DI595" s="66" t="str">
        <f t="shared" si="805"/>
        <v/>
      </c>
      <c r="DJ595" s="66" t="str">
        <f>+IF($W595="","",ROUND((DG595*Parámetros!$G$85),2))</f>
        <v/>
      </c>
      <c r="DK595" s="66" t="str">
        <f>+IF($W595="","",ROUND((DG595*(Parámetros!$G$86)),2))</f>
        <v/>
      </c>
      <c r="DL595" s="66" t="str">
        <f t="shared" si="806"/>
        <v/>
      </c>
      <c r="DM595" t="str">
        <f t="shared" si="847"/>
        <v/>
      </c>
      <c r="DN595" s="118" t="str">
        <f t="shared" si="848"/>
        <v/>
      </c>
      <c r="DO595" s="118" t="str">
        <f t="shared" si="849"/>
        <v/>
      </c>
      <c r="DP595" s="118" t="str">
        <f t="shared" si="850"/>
        <v/>
      </c>
      <c r="DQ595" s="122" t="str">
        <f>+IF(OR($W595="",DO595=0),"",ROUND((VLOOKUP(ROUNDDOWN($D595-1/frec,0),cob_adi,DB$40,FALSE)*(1+i/frec)^-0.5*(1+Parámetros!$D$103)*(1+rec_fracc)/frec),6))</f>
        <v/>
      </c>
      <c r="DR595" s="66" t="str">
        <f t="shared" si="807"/>
        <v/>
      </c>
      <c r="DS595" s="68" t="str">
        <f t="shared" si="808"/>
        <v/>
      </c>
      <c r="DT595" s="66" t="str">
        <f>+IF($W595="","",ROUND(IF($B595&gt;Parámetros!$D$107,'Tablas Servicio'!DR595+('Tablas Servicio'!DT594-'Tablas Servicio'!DR594),DR595/(1-IF(B595&lt;=10,Parámetros!$D$100,0))),2))</f>
        <v/>
      </c>
      <c r="DU595" s="66" t="str">
        <f t="shared" si="809"/>
        <v/>
      </c>
      <c r="DV595" s="66" t="str">
        <f t="shared" si="809"/>
        <v/>
      </c>
      <c r="DW595" s="66" t="str">
        <f>+IF($W595="","",ROUND((DT595*Parámetros!$G$85),2))</f>
        <v/>
      </c>
      <c r="DX595" s="66" t="str">
        <f>+IF($W595="","",ROUND((DT595*(Parámetros!$G$86)),2))</f>
        <v/>
      </c>
      <c r="DY595" s="66" t="str">
        <f t="shared" si="810"/>
        <v/>
      </c>
      <c r="DZ595" t="str">
        <f t="shared" si="852"/>
        <v/>
      </c>
      <c r="EA595" s="118" t="str">
        <f t="shared" si="852"/>
        <v/>
      </c>
      <c r="EB595" s="118" t="str">
        <f>+IF($W595="","",ROUND(IF(Parámetros!$D$25='TABLAS MORT'!$V$33,EB594,Z595/2),0))</f>
        <v/>
      </c>
      <c r="EC595" s="118" t="str">
        <f t="shared" si="852"/>
        <v/>
      </c>
      <c r="ED595" s="122" t="str">
        <f>+IF(OR($W595="",EB595=0),"",ROUND((VLOOKUP(ROUNDDOWN($D595-1/frec,0),cob_adi,DO$40,FALSE)*(1+i/frec)^-0.5*(1+Parámetros!$D$103)*(1+rec_fracc)/frec),6))</f>
        <v/>
      </c>
      <c r="EE595" s="66" t="str">
        <f t="shared" si="812"/>
        <v/>
      </c>
      <c r="EF595" s="68" t="str">
        <f t="shared" si="813"/>
        <v/>
      </c>
      <c r="EG595" s="66" t="str">
        <f>+IF($W595="","",ROUND(IF($B595&gt;Parámetros!$D$107,'Tablas Servicio'!EE595+('Tablas Servicio'!EG594-'Tablas Servicio'!EE594),EE595/(1-IF(B595&lt;=10,Parámetros!$D$100,0))),2))</f>
        <v/>
      </c>
      <c r="EH595" s="66" t="str">
        <f t="shared" si="814"/>
        <v/>
      </c>
      <c r="EI595" s="66" t="str">
        <f t="shared" si="814"/>
        <v/>
      </c>
      <c r="EJ595" s="66" t="str">
        <f>+IF($W595="","",ROUND((EG595*Parámetros!$G$85),2))</f>
        <v/>
      </c>
      <c r="EK595" s="66" t="str">
        <f>+IF($W595="","",ROUND((EG595*(Parámetros!$G$86)),2))</f>
        <v/>
      </c>
      <c r="EL595" s="66" t="str">
        <f t="shared" si="815"/>
        <v/>
      </c>
    </row>
    <row r="596" spans="1:142" x14ac:dyDescent="0.25">
      <c r="A596" t="str">
        <f>+IF($C596="","",ROUND(VLOOKUP('Tablas Servicio'!B596,Parámetros!$H$100:$J$159,IF(Parámetros!$E$16="F",2,3),FALSE),2))</f>
        <v/>
      </c>
      <c r="B596" t="str">
        <f t="shared" si="766"/>
        <v/>
      </c>
      <c r="C596" s="57" t="str">
        <f>+IF(D596="","",'Tablas Servicio'!C595+1)</f>
        <v/>
      </c>
      <c r="D596" s="56" t="str">
        <f>+IF(D595&lt;edadmaxtabla,D595+1/Parámetros!$E$25,"")</f>
        <v/>
      </c>
      <c r="E596" s="57" t="str">
        <f t="shared" si="776"/>
        <v/>
      </c>
      <c r="F596" s="59" t="str">
        <f t="shared" si="777"/>
        <v/>
      </c>
      <c r="G596" s="66" t="str">
        <f t="shared" si="767"/>
        <v/>
      </c>
      <c r="H596" s="66" t="str">
        <f t="shared" si="768"/>
        <v/>
      </c>
      <c r="I596" s="66" t="str">
        <f t="shared" si="816"/>
        <v/>
      </c>
      <c r="J596" s="66" t="str">
        <f t="shared" si="769"/>
        <v/>
      </c>
      <c r="K596" s="66" t="str">
        <f t="shared" si="770"/>
        <v/>
      </c>
      <c r="L596" s="66" t="str">
        <f t="shared" si="771"/>
        <v/>
      </c>
      <c r="M596" s="66" t="str">
        <f t="shared" si="772"/>
        <v/>
      </c>
      <c r="N596" s="66" t="str">
        <f>+IF(C596="","",ROUND(Parámetros!$D$23,2))</f>
        <v/>
      </c>
      <c r="O596" s="66" t="str">
        <f t="shared" si="773"/>
        <v/>
      </c>
      <c r="P596" s="66" t="str">
        <f>+IF($C596="","",ROUND(IF(B596&gt;Parámetros!$D$117,0,N596*Parámetros!$D$116-G596*Parámetros!$D$100),2))</f>
        <v/>
      </c>
      <c r="Q596" s="75" t="str">
        <f t="shared" si="817"/>
        <v/>
      </c>
      <c r="R596" s="75" t="str">
        <f t="shared" si="818"/>
        <v/>
      </c>
      <c r="S596" s="117" t="str">
        <f>+IF($C596="","",ROUND((S595+I596)*(1+Parámetros!$D$91),2))</f>
        <v/>
      </c>
      <c r="T596" s="117" t="str">
        <f>+IF($C596="","",ROUND(S596*VLOOKUP(B596,Parámetros!$C$30:$D$39,2,TRUE),2))</f>
        <v/>
      </c>
      <c r="U596" s="117" t="str">
        <f>+IF($C596="","",ROUND((U595+I596)*(1+Parámetros!$D$92),2))</f>
        <v/>
      </c>
      <c r="V596" s="117" t="str">
        <f>+IF($C596="","",ROUND(U596*VLOOKUP(B596,Parámetros!$C$30:$D$39,2,TRUE),2))</f>
        <v/>
      </c>
      <c r="W596" s="57" t="str">
        <f t="shared" si="819"/>
        <v/>
      </c>
      <c r="X596" t="str">
        <f t="shared" si="820"/>
        <v/>
      </c>
      <c r="Y596" t="str">
        <f t="shared" si="821"/>
        <v/>
      </c>
      <c r="Z596" s="118" t="str">
        <f>+IF($W596="","",ROUND(IF(Parámetros!$D$25='TABLAS MORT'!$V$33,Z595,Parámetros!$D$21-'Tablas Servicio'!T595),0))</f>
        <v/>
      </c>
      <c r="AA596" s="118" t="str">
        <f t="shared" si="822"/>
        <v/>
      </c>
      <c r="AB596" s="119" t="str">
        <f>+IF(W596="","",ROUND((VLOOKUP(ROUNDDOWN($D596-1/frec,0),qx_tabla,2,FALSE)*(1+i/frec)^-0.5*(1+Parámetros!$D$103)*(1+rec_fracc)/frec),6))</f>
        <v/>
      </c>
      <c r="AC596" s="66" t="str">
        <f t="shared" si="778"/>
        <v/>
      </c>
      <c r="AD596" s="119" t="str">
        <f t="shared" si="774"/>
        <v/>
      </c>
      <c r="AE596" s="66" t="str">
        <f>+IF($W596="","",ROUND(IF($B596&gt;Parámetros!$D$107,'Tablas Servicio'!AC596+('Tablas Servicio'!AG595-'Tablas Servicio'!AC595),AC596/(1-IF(B596&lt;=10,Parámetros!$D$104,Parámetros!$D$105))),2))</f>
        <v/>
      </c>
      <c r="AF596" s="66" t="str">
        <f>+IF($W596="","",ROUND(IF($B596&gt;Parámetros!$D$107,'Tablas Servicio'!AC596+('Tablas Servicio'!AG595-'Tablas Servicio'!AC595),(AC596+$A595/frec)/(1-IF(B596&lt;=Parámetros!$D$117,Parámetros!$D$100,0))),2))</f>
        <v/>
      </c>
      <c r="AG596" s="66" t="str">
        <f t="shared" si="779"/>
        <v/>
      </c>
      <c r="AH596" s="66" t="str">
        <f t="shared" si="780"/>
        <v/>
      </c>
      <c r="AI596" s="66" t="str">
        <f t="shared" si="781"/>
        <v/>
      </c>
      <c r="AJ596" s="66" t="str">
        <f>+IF($W596="","",ROUND((AG596*Parámetros!$G$85),2))</f>
        <v/>
      </c>
      <c r="AK596" s="66" t="str">
        <f>+IF($W596="","",ROUND((AG596*(Parámetros!$G$86)),2))</f>
        <v/>
      </c>
      <c r="AL596" s="66" t="str">
        <f t="shared" si="775"/>
        <v/>
      </c>
      <c r="AM596" t="str">
        <f t="shared" si="823"/>
        <v/>
      </c>
      <c r="AN596" t="str">
        <f t="shared" si="824"/>
        <v/>
      </c>
      <c r="AO596" s="118" t="str">
        <f t="shared" si="825"/>
        <v/>
      </c>
      <c r="AP596" s="118" t="str">
        <f t="shared" si="826"/>
        <v/>
      </c>
      <c r="AQ596" s="119" t="str">
        <f>+IF(OR($W596="",AO596=0),"",ROUND((VLOOKUP(ROUNDDOWN($D596-1/frec,0),cob_adi,Z$40,FALSE)*(1+i/frec)^-0.5*(1+Parámetros!$D$103)*(1+rec_fracc)/frec),6))</f>
        <v/>
      </c>
      <c r="AR596" s="66" t="str">
        <f t="shared" si="782"/>
        <v/>
      </c>
      <c r="AS596" s="119" t="str">
        <f t="shared" si="783"/>
        <v/>
      </c>
      <c r="AT596" s="66" t="str">
        <f>+IF($W596="","",ROUND(IF($B596&gt;Parámetros!$D$107,'Tablas Servicio'!AR596+('Tablas Servicio'!AT595-'Tablas Servicio'!AR595),AR596/(1-IF(B596&lt;=10,Parámetros!$D$100,0))),2))</f>
        <v/>
      </c>
      <c r="AU596" s="66" t="str">
        <f t="shared" si="784"/>
        <v/>
      </c>
      <c r="AV596" s="66" t="str">
        <f t="shared" si="784"/>
        <v/>
      </c>
      <c r="AW596" s="66" t="str">
        <f>+IF($W596="","",ROUND((AT596*Parámetros!$G$85),2))</f>
        <v/>
      </c>
      <c r="AX596" s="66" t="str">
        <f>+IF($W596="","",ROUND((AT596*(Parámetros!$G$86)),2))</f>
        <v/>
      </c>
      <c r="AY596" s="66" t="str">
        <f t="shared" si="785"/>
        <v/>
      </c>
      <c r="AZ596" t="str">
        <f t="shared" si="827"/>
        <v/>
      </c>
      <c r="BA596" t="str">
        <f t="shared" si="828"/>
        <v/>
      </c>
      <c r="BB596" s="118" t="str">
        <f t="shared" si="829"/>
        <v/>
      </c>
      <c r="BC596" s="118" t="str">
        <f t="shared" si="830"/>
        <v/>
      </c>
      <c r="BD596" s="119" t="str">
        <f>+IF(OR($W596="",BB596=0),"",ROUND((VLOOKUP(ROUNDDOWN($D596-1/frec,0),cob_adi,AO$40,FALSE)*(1+i/frec)^-0.5*(1+Parámetros!$D$103)*(1+rec_fracc)/frec),6))</f>
        <v/>
      </c>
      <c r="BE596" s="66" t="str">
        <f t="shared" si="786"/>
        <v/>
      </c>
      <c r="BF596" s="119" t="str">
        <f t="shared" si="787"/>
        <v/>
      </c>
      <c r="BG596" s="66" t="str">
        <f>+IF($W596="","",ROUND(IF($B596&gt;Parámetros!$D$107,'Tablas Servicio'!BE596+('Tablas Servicio'!BG595-'Tablas Servicio'!BE595),BE596/(1-IF(B596&lt;=10,Parámetros!$D$100,0))),2))</f>
        <v/>
      </c>
      <c r="BH596" s="66" t="str">
        <f t="shared" si="788"/>
        <v/>
      </c>
      <c r="BI596" s="66" t="str">
        <f t="shared" si="789"/>
        <v/>
      </c>
      <c r="BJ596" s="66" t="str">
        <f>+IF($W596="","",ROUND((BG596*Parámetros!$G$85),2))</f>
        <v/>
      </c>
      <c r="BK596" s="66" t="str">
        <f>+IF($W596="","",ROUND((BG596*(Parámetros!$G$86)),2))</f>
        <v/>
      </c>
      <c r="BL596" s="66" t="str">
        <f t="shared" si="790"/>
        <v/>
      </c>
      <c r="BM596" t="str">
        <f t="shared" si="831"/>
        <v/>
      </c>
      <c r="BN596" t="str">
        <f t="shared" si="832"/>
        <v/>
      </c>
      <c r="BO596" s="118" t="str">
        <f t="shared" si="833"/>
        <v/>
      </c>
      <c r="BP596" s="118" t="str">
        <f t="shared" si="834"/>
        <v/>
      </c>
      <c r="BQ596" s="119" t="str">
        <f>+IF(OR($W596="",BO596=0),"",ROUND((VLOOKUP(ROUNDDOWN($D596-1/frec,0),cob_adi,BB$40,FALSE)*(1+i/frec)^-0.5*(1+Parámetros!$D$103)*(1+rec_fracc)/frec),6))</f>
        <v/>
      </c>
      <c r="BR596" s="66" t="str">
        <f t="shared" si="791"/>
        <v/>
      </c>
      <c r="BS596" s="119" t="str">
        <f t="shared" si="792"/>
        <v/>
      </c>
      <c r="BT596" s="66" t="str">
        <f>+IF($W596="","",ROUND(IF($B596&gt;Parámetros!$D$107,'Tablas Servicio'!BR596+('Tablas Servicio'!BT595-'Tablas Servicio'!BR595),BR596/(1-IF(B596&lt;=10,Parámetros!$D$100,0))),2))</f>
        <v/>
      </c>
      <c r="BU596" s="66" t="str">
        <f t="shared" si="793"/>
        <v/>
      </c>
      <c r="BV596" s="66" t="str">
        <f t="shared" si="793"/>
        <v/>
      </c>
      <c r="BW596" s="66" t="str">
        <f>+IF($W596="","",ROUND((BT596*Parámetros!$G$85),2))</f>
        <v/>
      </c>
      <c r="BX596" s="66" t="str">
        <f>+IF($W596="","",ROUND((BT596*(Parámetros!$G$86)),2))</f>
        <v/>
      </c>
      <c r="BY596" s="66" t="str">
        <f t="shared" si="794"/>
        <v/>
      </c>
      <c r="BZ596" t="str">
        <f t="shared" si="835"/>
        <v/>
      </c>
      <c r="CA596" t="str">
        <f t="shared" si="836"/>
        <v/>
      </c>
      <c r="CB596" s="118" t="str">
        <f t="shared" si="837"/>
        <v/>
      </c>
      <c r="CC596" s="118" t="str">
        <f t="shared" si="838"/>
        <v/>
      </c>
      <c r="CD596" s="119" t="str">
        <f t="shared" si="795"/>
        <v/>
      </c>
      <c r="CE596" s="66" t="str">
        <f>+IF($W596="","",ROUND((VLOOKUP(ROUNDDOWN($D596-1/frec,0),cob_adi,BO$40,FALSE)*(1+i/frec)^-0.5*(1+Parámetros!$D$103)*(1+rec_fracc)/frec*'TABLAS ADI'!$BC$17),2))</f>
        <v/>
      </c>
      <c r="CF596" s="119" t="str">
        <f t="shared" si="796"/>
        <v/>
      </c>
      <c r="CG596" s="66" t="str">
        <f>+IF($W596="","",ROUND(IF($B596&gt;Parámetros!$D$107,'Tablas Servicio'!CE596+('Tablas Servicio'!CG595-'Tablas Servicio'!CE595),CE596/(1-IF(B596&lt;=10,Parámetros!$D$100,0))),2))</f>
        <v/>
      </c>
      <c r="CH596" s="66" t="str">
        <f t="shared" si="797"/>
        <v/>
      </c>
      <c r="CI596" s="66" t="str">
        <f t="shared" si="797"/>
        <v/>
      </c>
      <c r="CJ596" s="66" t="str">
        <f>+IF($W596="","",ROUND((CG596*Parámetros!$G$85),2))</f>
        <v/>
      </c>
      <c r="CK596" s="66" t="str">
        <f>+IF($W596="","",ROUND((CG596*(Parámetros!$G$86)),2))</f>
        <v/>
      </c>
      <c r="CL596" s="66" t="str">
        <f t="shared" si="798"/>
        <v/>
      </c>
      <c r="CM596" t="str">
        <f t="shared" si="839"/>
        <v/>
      </c>
      <c r="CN596" s="118" t="str">
        <f t="shared" si="840"/>
        <v/>
      </c>
      <c r="CO596" s="118" t="str">
        <f t="shared" si="841"/>
        <v/>
      </c>
      <c r="CP596" s="118" t="str">
        <f t="shared" si="842"/>
        <v/>
      </c>
      <c r="CQ596" s="119" t="str">
        <f t="shared" si="799"/>
        <v/>
      </c>
      <c r="CR596" s="66" t="str">
        <f>+IF($W596="","",ROUND((VLOOKUP(Parámetros!$F$51,'COBERTURAS ADICIONALES'!$S$4:$T$32,2,FALSE)*(1+i/frec)^-0.5*(1+Parámetros!$D$103)*(1+rec_fracc)/frec*$CO$42),2))</f>
        <v/>
      </c>
      <c r="CS596" s="119" t="str">
        <f t="shared" si="800"/>
        <v/>
      </c>
      <c r="CT596" s="66" t="str">
        <f>+IF($W596="","",ROUND(IF($B596&gt;Parámetros!$D$107,'Tablas Servicio'!CR596+('Tablas Servicio'!CT595-'Tablas Servicio'!CR595),CR596/(1-IF(B596&lt;=10,Parámetros!$D$100,0))),2))</f>
        <v/>
      </c>
      <c r="CU596" s="66" t="str">
        <f t="shared" si="801"/>
        <v/>
      </c>
      <c r="CV596" s="66" t="str">
        <f t="shared" si="801"/>
        <v/>
      </c>
      <c r="CW596" s="66" t="str">
        <f>+IF($W596="","",ROUND((CT596*Parámetros!$G$85),2))</f>
        <v/>
      </c>
      <c r="CX596" s="66" t="str">
        <f>+IF($W596="","",ROUND((CT596*(Parámetros!$G$86)),2))</f>
        <v/>
      </c>
      <c r="CY596" s="66" t="str">
        <f t="shared" si="802"/>
        <v/>
      </c>
      <c r="CZ596" t="str">
        <f t="shared" si="843"/>
        <v/>
      </c>
      <c r="DA596" s="118" t="str">
        <f t="shared" si="844"/>
        <v/>
      </c>
      <c r="DB596" s="118" t="str">
        <f t="shared" si="845"/>
        <v/>
      </c>
      <c r="DC596" s="118" t="str">
        <f t="shared" si="846"/>
        <v/>
      </c>
      <c r="DD596" s="121" t="str">
        <f>+IF(OR($W596="",DB596=0),"",ROUND((VLOOKUP(ROUNDDOWN($D596-1/frec,0),cob_adi,CO$40,FALSE)*(1+i/frec)^-0.5*(1+Parámetros!$D$103)*(1+rec_fracc)/frec),6))</f>
        <v/>
      </c>
      <c r="DE596" s="66" t="str">
        <f t="shared" si="803"/>
        <v/>
      </c>
      <c r="DF596" s="119" t="str">
        <f t="shared" si="804"/>
        <v/>
      </c>
      <c r="DG596" s="66" t="str">
        <f>+IF($W596="","",ROUND(IF($B596&gt;Parámetros!$D$107,'Tablas Servicio'!DE596+('Tablas Servicio'!DG595-'Tablas Servicio'!DE595),DE596/(1-IF(B596&lt;=10,Parámetros!$D$100,0))),2))</f>
        <v/>
      </c>
      <c r="DH596" s="66" t="str">
        <f t="shared" si="805"/>
        <v/>
      </c>
      <c r="DI596" s="66" t="str">
        <f t="shared" si="805"/>
        <v/>
      </c>
      <c r="DJ596" s="66" t="str">
        <f>+IF($W596="","",ROUND((DG596*Parámetros!$G$85),2))</f>
        <v/>
      </c>
      <c r="DK596" s="66" t="str">
        <f>+IF($W596="","",ROUND((DG596*(Parámetros!$G$86)),2))</f>
        <v/>
      </c>
      <c r="DL596" s="66" t="str">
        <f t="shared" si="806"/>
        <v/>
      </c>
      <c r="DM596" t="str">
        <f t="shared" si="847"/>
        <v/>
      </c>
      <c r="DN596" s="118" t="str">
        <f t="shared" si="848"/>
        <v/>
      </c>
      <c r="DO596" s="118" t="str">
        <f t="shared" si="849"/>
        <v/>
      </c>
      <c r="DP596" s="118" t="str">
        <f t="shared" si="850"/>
        <v/>
      </c>
      <c r="DQ596" s="122" t="str">
        <f>+IF(OR($W596="",DO596=0),"",ROUND((VLOOKUP(ROUNDDOWN($D596-1/frec,0),cob_adi,DB$40,FALSE)*(1+i/frec)^-0.5*(1+Parámetros!$D$103)*(1+rec_fracc)/frec),6))</f>
        <v/>
      </c>
      <c r="DR596" s="66" t="str">
        <f t="shared" si="807"/>
        <v/>
      </c>
      <c r="DS596" s="68" t="str">
        <f t="shared" si="808"/>
        <v/>
      </c>
      <c r="DT596" s="66" t="str">
        <f>+IF($W596="","",ROUND(IF($B596&gt;Parámetros!$D$107,'Tablas Servicio'!DR596+('Tablas Servicio'!DT595-'Tablas Servicio'!DR595),DR596/(1-IF(B596&lt;=10,Parámetros!$D$100,0))),2))</f>
        <v/>
      </c>
      <c r="DU596" s="66" t="str">
        <f t="shared" si="809"/>
        <v/>
      </c>
      <c r="DV596" s="66" t="str">
        <f t="shared" si="809"/>
        <v/>
      </c>
      <c r="DW596" s="66" t="str">
        <f>+IF($W596="","",ROUND((DT596*Parámetros!$G$85),2))</f>
        <v/>
      </c>
      <c r="DX596" s="66" t="str">
        <f>+IF($W596="","",ROUND((DT596*(Parámetros!$G$86)),2))</f>
        <v/>
      </c>
      <c r="DY596" s="66" t="str">
        <f t="shared" si="810"/>
        <v/>
      </c>
      <c r="DZ596" t="str">
        <f t="shared" si="852"/>
        <v/>
      </c>
      <c r="EA596" s="118" t="str">
        <f t="shared" si="852"/>
        <v/>
      </c>
      <c r="EB596" s="118" t="str">
        <f>+IF($W596="","",ROUND(IF(Parámetros!$D$25='TABLAS MORT'!$V$33,EB595,Z596/2),0))</f>
        <v/>
      </c>
      <c r="EC596" s="118" t="str">
        <f t="shared" si="852"/>
        <v/>
      </c>
      <c r="ED596" s="122" t="str">
        <f>+IF(OR($W596="",EB596=0),"",ROUND((VLOOKUP(ROUNDDOWN($D596-1/frec,0),cob_adi,DO$40,FALSE)*(1+i/frec)^-0.5*(1+Parámetros!$D$103)*(1+rec_fracc)/frec),6))</f>
        <v/>
      </c>
      <c r="EE596" s="66" t="str">
        <f t="shared" si="812"/>
        <v/>
      </c>
      <c r="EF596" s="68" t="str">
        <f t="shared" si="813"/>
        <v/>
      </c>
      <c r="EG596" s="66" t="str">
        <f>+IF($W596="","",ROUND(IF($B596&gt;Parámetros!$D$107,'Tablas Servicio'!EE596+('Tablas Servicio'!EG595-'Tablas Servicio'!EE595),EE596/(1-IF(B596&lt;=10,Parámetros!$D$100,0))),2))</f>
        <v/>
      </c>
      <c r="EH596" s="66" t="str">
        <f t="shared" si="814"/>
        <v/>
      </c>
      <c r="EI596" s="66" t="str">
        <f t="shared" si="814"/>
        <v/>
      </c>
      <c r="EJ596" s="66" t="str">
        <f>+IF($W596="","",ROUND((EG596*Parámetros!$G$85),2))</f>
        <v/>
      </c>
      <c r="EK596" s="66" t="str">
        <f>+IF($W596="","",ROUND((EG596*(Parámetros!$G$86)),2))</f>
        <v/>
      </c>
      <c r="EL596" s="66" t="str">
        <f t="shared" si="815"/>
        <v/>
      </c>
    </row>
    <row r="597" spans="1:142" x14ac:dyDescent="0.25">
      <c r="A597" t="str">
        <f>+IF($C597="","",ROUND(VLOOKUP('Tablas Servicio'!B597,Parámetros!$H$100:$J$159,IF(Parámetros!$E$16="F",2,3),FALSE),2))</f>
        <v/>
      </c>
      <c r="B597" t="str">
        <f t="shared" si="766"/>
        <v/>
      </c>
      <c r="C597" s="57" t="str">
        <f>+IF(D597="","",'Tablas Servicio'!C596+1)</f>
        <v/>
      </c>
      <c r="D597" s="56" t="str">
        <f>+IF(D596&lt;edadmaxtabla,D596+1/Parámetros!$E$25,"")</f>
        <v/>
      </c>
      <c r="E597" s="57" t="str">
        <f t="shared" si="776"/>
        <v/>
      </c>
      <c r="F597" s="59" t="str">
        <f t="shared" si="777"/>
        <v/>
      </c>
      <c r="G597" s="66" t="str">
        <f t="shared" si="767"/>
        <v/>
      </c>
      <c r="H597" s="66" t="str">
        <f t="shared" si="768"/>
        <v/>
      </c>
      <c r="I597" s="66" t="str">
        <f t="shared" si="816"/>
        <v/>
      </c>
      <c r="J597" s="66" t="str">
        <f t="shared" si="769"/>
        <v/>
      </c>
      <c r="K597" s="66" t="str">
        <f t="shared" si="770"/>
        <v/>
      </c>
      <c r="L597" s="66" t="str">
        <f t="shared" si="771"/>
        <v/>
      </c>
      <c r="M597" s="66" t="str">
        <f t="shared" si="772"/>
        <v/>
      </c>
      <c r="N597" s="66" t="str">
        <f>+IF(C597="","",ROUND(Parámetros!$D$23,2))</f>
        <v/>
      </c>
      <c r="O597" s="66" t="str">
        <f t="shared" si="773"/>
        <v/>
      </c>
      <c r="P597" s="66" t="str">
        <f>+IF($C597="","",ROUND(IF(B597&gt;Parámetros!$D$117,0,N597*Parámetros!$D$116-G597*Parámetros!$D$100),2))</f>
        <v/>
      </c>
      <c r="Q597" s="75" t="str">
        <f t="shared" si="817"/>
        <v/>
      </c>
      <c r="R597" s="75" t="str">
        <f t="shared" si="818"/>
        <v/>
      </c>
      <c r="S597" s="117" t="str">
        <f>+IF($C597="","",ROUND((S596+I597)*(1+Parámetros!$D$91),2))</f>
        <v/>
      </c>
      <c r="T597" s="117" t="str">
        <f>+IF($C597="","",ROUND(S597*VLOOKUP(B597,Parámetros!$C$30:$D$39,2,TRUE),2))</f>
        <v/>
      </c>
      <c r="U597" s="117" t="str">
        <f>+IF($C597="","",ROUND((U596+I597)*(1+Parámetros!$D$92),2))</f>
        <v/>
      </c>
      <c r="V597" s="117" t="str">
        <f>+IF($C597="","",ROUND(U597*VLOOKUP(B597,Parámetros!$C$30:$D$39,2,TRUE),2))</f>
        <v/>
      </c>
      <c r="W597" s="57" t="str">
        <f t="shared" si="819"/>
        <v/>
      </c>
      <c r="X597" t="str">
        <f t="shared" si="820"/>
        <v/>
      </c>
      <c r="Y597" t="str">
        <f t="shared" si="821"/>
        <v/>
      </c>
      <c r="Z597" s="118" t="str">
        <f>+IF($W597="","",ROUND(IF(Parámetros!$D$25='TABLAS MORT'!$V$33,Z596,Parámetros!$D$21-'Tablas Servicio'!T596),0))</f>
        <v/>
      </c>
      <c r="AA597" s="118" t="str">
        <f t="shared" si="822"/>
        <v/>
      </c>
      <c r="AB597" s="119" t="str">
        <f>+IF(W597="","",ROUND((VLOOKUP(ROUNDDOWN($D597-1/frec,0),qx_tabla,2,FALSE)*(1+i/frec)^-0.5*(1+Parámetros!$D$103)*(1+rec_fracc)/frec),6))</f>
        <v/>
      </c>
      <c r="AC597" s="66" t="str">
        <f t="shared" si="778"/>
        <v/>
      </c>
      <c r="AD597" s="119" t="str">
        <f t="shared" si="774"/>
        <v/>
      </c>
      <c r="AE597" s="66" t="str">
        <f>+IF($W597="","",ROUND(IF($B597&gt;Parámetros!$D$107,'Tablas Servicio'!AC597+('Tablas Servicio'!AG596-'Tablas Servicio'!AC596),AC597/(1-IF(B597&lt;=10,Parámetros!$D$104,Parámetros!$D$105))),2))</f>
        <v/>
      </c>
      <c r="AF597" s="66" t="str">
        <f>+IF($W597="","",ROUND(IF($B597&gt;Parámetros!$D$107,'Tablas Servicio'!AC597+('Tablas Servicio'!AG596-'Tablas Servicio'!AC596),(AC597+$A596/frec)/(1-IF(B597&lt;=Parámetros!$D$117,Parámetros!$D$100,0))),2))</f>
        <v/>
      </c>
      <c r="AG597" s="66" t="str">
        <f t="shared" si="779"/>
        <v/>
      </c>
      <c r="AH597" s="66" t="str">
        <f t="shared" si="780"/>
        <v/>
      </c>
      <c r="AI597" s="66" t="str">
        <f t="shared" si="781"/>
        <v/>
      </c>
      <c r="AJ597" s="66" t="str">
        <f>+IF($W597="","",ROUND((AG597*Parámetros!$G$85),2))</f>
        <v/>
      </c>
      <c r="AK597" s="66" t="str">
        <f>+IF($W597="","",ROUND((AG597*(Parámetros!$G$86)),2))</f>
        <v/>
      </c>
      <c r="AL597" s="66" t="str">
        <f t="shared" si="775"/>
        <v/>
      </c>
      <c r="AM597" t="str">
        <f t="shared" si="823"/>
        <v/>
      </c>
      <c r="AN597" t="str">
        <f t="shared" si="824"/>
        <v/>
      </c>
      <c r="AO597" s="118" t="str">
        <f t="shared" si="825"/>
        <v/>
      </c>
      <c r="AP597" s="118" t="str">
        <f t="shared" si="826"/>
        <v/>
      </c>
      <c r="AQ597" s="119" t="str">
        <f>+IF(OR($W597="",AO597=0),"",ROUND((VLOOKUP(ROUNDDOWN($D597-1/frec,0),cob_adi,Z$40,FALSE)*(1+i/frec)^-0.5*(1+Parámetros!$D$103)*(1+rec_fracc)/frec),6))</f>
        <v/>
      </c>
      <c r="AR597" s="66" t="str">
        <f t="shared" si="782"/>
        <v/>
      </c>
      <c r="AS597" s="119" t="str">
        <f t="shared" si="783"/>
        <v/>
      </c>
      <c r="AT597" s="66" t="str">
        <f>+IF($W597="","",ROUND(IF($B597&gt;Parámetros!$D$107,'Tablas Servicio'!AR597+('Tablas Servicio'!AT596-'Tablas Servicio'!AR596),AR597/(1-IF(B597&lt;=10,Parámetros!$D$100,0))),2))</f>
        <v/>
      </c>
      <c r="AU597" s="66" t="str">
        <f t="shared" si="784"/>
        <v/>
      </c>
      <c r="AV597" s="66" t="str">
        <f t="shared" si="784"/>
        <v/>
      </c>
      <c r="AW597" s="66" t="str">
        <f>+IF($W597="","",ROUND((AT597*Parámetros!$G$85),2))</f>
        <v/>
      </c>
      <c r="AX597" s="66" t="str">
        <f>+IF($W597="","",ROUND((AT597*(Parámetros!$G$86)),2))</f>
        <v/>
      </c>
      <c r="AY597" s="66" t="str">
        <f t="shared" si="785"/>
        <v/>
      </c>
      <c r="AZ597" t="str">
        <f t="shared" si="827"/>
        <v/>
      </c>
      <c r="BA597" t="str">
        <f t="shared" si="828"/>
        <v/>
      </c>
      <c r="BB597" s="118" t="str">
        <f t="shared" si="829"/>
        <v/>
      </c>
      <c r="BC597" s="118" t="str">
        <f t="shared" si="830"/>
        <v/>
      </c>
      <c r="BD597" s="119" t="str">
        <f>+IF(OR($W597="",BB597=0),"",ROUND((VLOOKUP(ROUNDDOWN($D597-1/frec,0),cob_adi,AO$40,FALSE)*(1+i/frec)^-0.5*(1+Parámetros!$D$103)*(1+rec_fracc)/frec),6))</f>
        <v/>
      </c>
      <c r="BE597" s="66" t="str">
        <f t="shared" si="786"/>
        <v/>
      </c>
      <c r="BF597" s="119" t="str">
        <f t="shared" si="787"/>
        <v/>
      </c>
      <c r="BG597" s="66" t="str">
        <f>+IF($W597="","",ROUND(IF($B597&gt;Parámetros!$D$107,'Tablas Servicio'!BE597+('Tablas Servicio'!BG596-'Tablas Servicio'!BE596),BE597/(1-IF(B597&lt;=10,Parámetros!$D$100,0))),2))</f>
        <v/>
      </c>
      <c r="BH597" s="66" t="str">
        <f t="shared" si="788"/>
        <v/>
      </c>
      <c r="BI597" s="66" t="str">
        <f t="shared" si="789"/>
        <v/>
      </c>
      <c r="BJ597" s="66" t="str">
        <f>+IF($W597="","",ROUND((BG597*Parámetros!$G$85),2))</f>
        <v/>
      </c>
      <c r="BK597" s="66" t="str">
        <f>+IF($W597="","",ROUND((BG597*(Parámetros!$G$86)),2))</f>
        <v/>
      </c>
      <c r="BL597" s="66" t="str">
        <f t="shared" si="790"/>
        <v/>
      </c>
      <c r="BM597" t="str">
        <f t="shared" si="831"/>
        <v/>
      </c>
      <c r="BN597" t="str">
        <f t="shared" si="832"/>
        <v/>
      </c>
      <c r="BO597" s="118" t="str">
        <f t="shared" si="833"/>
        <v/>
      </c>
      <c r="BP597" s="118" t="str">
        <f t="shared" si="834"/>
        <v/>
      </c>
      <c r="BQ597" s="119" t="str">
        <f>+IF(OR($W597="",BO597=0),"",ROUND((VLOOKUP(ROUNDDOWN($D597-1/frec,0),cob_adi,BB$40,FALSE)*(1+i/frec)^-0.5*(1+Parámetros!$D$103)*(1+rec_fracc)/frec),6))</f>
        <v/>
      </c>
      <c r="BR597" s="66" t="str">
        <f t="shared" si="791"/>
        <v/>
      </c>
      <c r="BS597" s="119" t="str">
        <f t="shared" si="792"/>
        <v/>
      </c>
      <c r="BT597" s="66" t="str">
        <f>+IF($W597="","",ROUND(IF($B597&gt;Parámetros!$D$107,'Tablas Servicio'!BR597+('Tablas Servicio'!BT596-'Tablas Servicio'!BR596),BR597/(1-IF(B597&lt;=10,Parámetros!$D$100,0))),2))</f>
        <v/>
      </c>
      <c r="BU597" s="66" t="str">
        <f t="shared" si="793"/>
        <v/>
      </c>
      <c r="BV597" s="66" t="str">
        <f t="shared" si="793"/>
        <v/>
      </c>
      <c r="BW597" s="66" t="str">
        <f>+IF($W597="","",ROUND((BT597*Parámetros!$G$85),2))</f>
        <v/>
      </c>
      <c r="BX597" s="66" t="str">
        <f>+IF($W597="","",ROUND((BT597*(Parámetros!$G$86)),2))</f>
        <v/>
      </c>
      <c r="BY597" s="66" t="str">
        <f t="shared" si="794"/>
        <v/>
      </c>
      <c r="BZ597" t="str">
        <f t="shared" si="835"/>
        <v/>
      </c>
      <c r="CA597" t="str">
        <f t="shared" si="836"/>
        <v/>
      </c>
      <c r="CB597" s="118" t="str">
        <f t="shared" si="837"/>
        <v/>
      </c>
      <c r="CC597" s="118" t="str">
        <f t="shared" si="838"/>
        <v/>
      </c>
      <c r="CD597" s="119" t="str">
        <f t="shared" si="795"/>
        <v/>
      </c>
      <c r="CE597" s="66" t="str">
        <f>+IF($W597="","",ROUND((VLOOKUP(ROUNDDOWN($D597-1/frec,0),cob_adi,BO$40,FALSE)*(1+i/frec)^-0.5*(1+Parámetros!$D$103)*(1+rec_fracc)/frec*'TABLAS ADI'!$BC$17),2))</f>
        <v/>
      </c>
      <c r="CF597" s="119" t="str">
        <f t="shared" si="796"/>
        <v/>
      </c>
      <c r="CG597" s="66" t="str">
        <f>+IF($W597="","",ROUND(IF($B597&gt;Parámetros!$D$107,'Tablas Servicio'!CE597+('Tablas Servicio'!CG596-'Tablas Servicio'!CE596),CE597/(1-IF(B597&lt;=10,Parámetros!$D$100,0))),2))</f>
        <v/>
      </c>
      <c r="CH597" s="66" t="str">
        <f t="shared" si="797"/>
        <v/>
      </c>
      <c r="CI597" s="66" t="str">
        <f t="shared" si="797"/>
        <v/>
      </c>
      <c r="CJ597" s="66" t="str">
        <f>+IF($W597="","",ROUND((CG597*Parámetros!$G$85),2))</f>
        <v/>
      </c>
      <c r="CK597" s="66" t="str">
        <f>+IF($W597="","",ROUND((CG597*(Parámetros!$G$86)),2))</f>
        <v/>
      </c>
      <c r="CL597" s="66" t="str">
        <f t="shared" si="798"/>
        <v/>
      </c>
      <c r="CM597" t="str">
        <f t="shared" si="839"/>
        <v/>
      </c>
      <c r="CN597" s="118" t="str">
        <f t="shared" si="840"/>
        <v/>
      </c>
      <c r="CO597" s="118" t="str">
        <f t="shared" si="841"/>
        <v/>
      </c>
      <c r="CP597" s="118" t="str">
        <f t="shared" si="842"/>
        <v/>
      </c>
      <c r="CQ597" s="119" t="str">
        <f t="shared" si="799"/>
        <v/>
      </c>
      <c r="CR597" s="66" t="str">
        <f>+IF($W597="","",ROUND((VLOOKUP(Parámetros!$F$51,'COBERTURAS ADICIONALES'!$S$4:$T$32,2,FALSE)*(1+i/frec)^-0.5*(1+Parámetros!$D$103)*(1+rec_fracc)/frec*$CO$42),2))</f>
        <v/>
      </c>
      <c r="CS597" s="119" t="str">
        <f t="shared" si="800"/>
        <v/>
      </c>
      <c r="CT597" s="66" t="str">
        <f>+IF($W597="","",ROUND(IF($B597&gt;Parámetros!$D$107,'Tablas Servicio'!CR597+('Tablas Servicio'!CT596-'Tablas Servicio'!CR596),CR597/(1-IF(B597&lt;=10,Parámetros!$D$100,0))),2))</f>
        <v/>
      </c>
      <c r="CU597" s="66" t="str">
        <f t="shared" si="801"/>
        <v/>
      </c>
      <c r="CV597" s="66" t="str">
        <f t="shared" si="801"/>
        <v/>
      </c>
      <c r="CW597" s="66" t="str">
        <f>+IF($W597="","",ROUND((CT597*Parámetros!$G$85),2))</f>
        <v/>
      </c>
      <c r="CX597" s="66" t="str">
        <f>+IF($W597="","",ROUND((CT597*(Parámetros!$G$86)),2))</f>
        <v/>
      </c>
      <c r="CY597" s="66" t="str">
        <f t="shared" si="802"/>
        <v/>
      </c>
      <c r="CZ597" t="str">
        <f t="shared" si="843"/>
        <v/>
      </c>
      <c r="DA597" s="118" t="str">
        <f t="shared" si="844"/>
        <v/>
      </c>
      <c r="DB597" s="118" t="str">
        <f t="shared" si="845"/>
        <v/>
      </c>
      <c r="DC597" s="118" t="str">
        <f t="shared" si="846"/>
        <v/>
      </c>
      <c r="DD597" s="121" t="str">
        <f>+IF(OR($W597="",DB597=0),"",ROUND((VLOOKUP(ROUNDDOWN($D597-1/frec,0),cob_adi,CO$40,FALSE)*(1+i/frec)^-0.5*(1+Parámetros!$D$103)*(1+rec_fracc)/frec),6))</f>
        <v/>
      </c>
      <c r="DE597" s="66" t="str">
        <f t="shared" si="803"/>
        <v/>
      </c>
      <c r="DF597" s="119" t="str">
        <f t="shared" si="804"/>
        <v/>
      </c>
      <c r="DG597" s="66" t="str">
        <f>+IF($W597="","",ROUND(IF($B597&gt;Parámetros!$D$107,'Tablas Servicio'!DE597+('Tablas Servicio'!DG596-'Tablas Servicio'!DE596),DE597/(1-IF(B597&lt;=10,Parámetros!$D$100,0))),2))</f>
        <v/>
      </c>
      <c r="DH597" s="66" t="str">
        <f t="shared" si="805"/>
        <v/>
      </c>
      <c r="DI597" s="66" t="str">
        <f t="shared" si="805"/>
        <v/>
      </c>
      <c r="DJ597" s="66" t="str">
        <f>+IF($W597="","",ROUND((DG597*Parámetros!$G$85),2))</f>
        <v/>
      </c>
      <c r="DK597" s="66" t="str">
        <f>+IF($W597="","",ROUND((DG597*(Parámetros!$G$86)),2))</f>
        <v/>
      </c>
      <c r="DL597" s="66" t="str">
        <f t="shared" si="806"/>
        <v/>
      </c>
      <c r="DM597" t="str">
        <f t="shared" si="847"/>
        <v/>
      </c>
      <c r="DN597" s="118" t="str">
        <f t="shared" si="848"/>
        <v/>
      </c>
      <c r="DO597" s="118" t="str">
        <f t="shared" si="849"/>
        <v/>
      </c>
      <c r="DP597" s="118" t="str">
        <f t="shared" si="850"/>
        <v/>
      </c>
      <c r="DQ597" s="122" t="str">
        <f>+IF(OR($W597="",DO597=0),"",ROUND((VLOOKUP(ROUNDDOWN($D597-1/frec,0),cob_adi,DB$40,FALSE)*(1+i/frec)^-0.5*(1+Parámetros!$D$103)*(1+rec_fracc)/frec),6))</f>
        <v/>
      </c>
      <c r="DR597" s="66" t="str">
        <f t="shared" si="807"/>
        <v/>
      </c>
      <c r="DS597" s="68" t="str">
        <f t="shared" si="808"/>
        <v/>
      </c>
      <c r="DT597" s="66" t="str">
        <f>+IF($W597="","",ROUND(IF($B597&gt;Parámetros!$D$107,'Tablas Servicio'!DR597+('Tablas Servicio'!DT596-'Tablas Servicio'!DR596),DR597/(1-IF(B597&lt;=10,Parámetros!$D$100,0))),2))</f>
        <v/>
      </c>
      <c r="DU597" s="66" t="str">
        <f t="shared" si="809"/>
        <v/>
      </c>
      <c r="DV597" s="66" t="str">
        <f t="shared" si="809"/>
        <v/>
      </c>
      <c r="DW597" s="66" t="str">
        <f>+IF($W597="","",ROUND((DT597*Parámetros!$G$85),2))</f>
        <v/>
      </c>
      <c r="DX597" s="66" t="str">
        <f>+IF($W597="","",ROUND((DT597*(Parámetros!$G$86)),2))</f>
        <v/>
      </c>
      <c r="DY597" s="66" t="str">
        <f t="shared" si="810"/>
        <v/>
      </c>
      <c r="DZ597" t="str">
        <f t="shared" si="852"/>
        <v/>
      </c>
      <c r="EA597" s="118" t="str">
        <f t="shared" si="852"/>
        <v/>
      </c>
      <c r="EB597" s="118" t="str">
        <f>+IF($W597="","",ROUND(IF(Parámetros!$D$25='TABLAS MORT'!$V$33,EB596,Z597/2),0))</f>
        <v/>
      </c>
      <c r="EC597" s="118" t="str">
        <f t="shared" si="852"/>
        <v/>
      </c>
      <c r="ED597" s="122" t="str">
        <f>+IF(OR($W597="",EB597=0),"",ROUND((VLOOKUP(ROUNDDOWN($D597-1/frec,0),cob_adi,DO$40,FALSE)*(1+i/frec)^-0.5*(1+Parámetros!$D$103)*(1+rec_fracc)/frec),6))</f>
        <v/>
      </c>
      <c r="EE597" s="66" t="str">
        <f t="shared" si="812"/>
        <v/>
      </c>
      <c r="EF597" s="68" t="str">
        <f t="shared" si="813"/>
        <v/>
      </c>
      <c r="EG597" s="66" t="str">
        <f>+IF($W597="","",ROUND(IF($B597&gt;Parámetros!$D$107,'Tablas Servicio'!EE597+('Tablas Servicio'!EG596-'Tablas Servicio'!EE596),EE597/(1-IF(B597&lt;=10,Parámetros!$D$100,0))),2))</f>
        <v/>
      </c>
      <c r="EH597" s="66" t="str">
        <f t="shared" si="814"/>
        <v/>
      </c>
      <c r="EI597" s="66" t="str">
        <f t="shared" si="814"/>
        <v/>
      </c>
      <c r="EJ597" s="66" t="str">
        <f>+IF($W597="","",ROUND((EG597*Parámetros!$G$85),2))</f>
        <v/>
      </c>
      <c r="EK597" s="66" t="str">
        <f>+IF($W597="","",ROUND((EG597*(Parámetros!$G$86)),2))</f>
        <v/>
      </c>
      <c r="EL597" s="66" t="str">
        <f t="shared" si="815"/>
        <v/>
      </c>
    </row>
    <row r="598" spans="1:142" x14ac:dyDescent="0.25">
      <c r="A598" t="str">
        <f>+IF($C598="","",ROUND(VLOOKUP('Tablas Servicio'!B598,Parámetros!$H$100:$J$159,IF(Parámetros!$E$16="F",2,3),FALSE),2))</f>
        <v/>
      </c>
      <c r="B598" t="str">
        <f t="shared" si="766"/>
        <v/>
      </c>
      <c r="C598" s="57" t="str">
        <f>+IF(D598="","",'Tablas Servicio'!C597+1)</f>
        <v/>
      </c>
      <c r="D598" s="56" t="str">
        <f>+IF(D597&lt;edadmaxtabla,D597+1/Parámetros!$E$25,"")</f>
        <v/>
      </c>
      <c r="E598" s="57" t="str">
        <f t="shared" si="776"/>
        <v/>
      </c>
      <c r="F598" s="59" t="str">
        <f t="shared" si="777"/>
        <v/>
      </c>
      <c r="G598" s="66" t="str">
        <f t="shared" si="767"/>
        <v/>
      </c>
      <c r="H598" s="66" t="str">
        <f t="shared" si="768"/>
        <v/>
      </c>
      <c r="I598" s="66" t="str">
        <f t="shared" si="816"/>
        <v/>
      </c>
      <c r="J598" s="66" t="str">
        <f t="shared" si="769"/>
        <v/>
      </c>
      <c r="K598" s="66" t="str">
        <f t="shared" si="770"/>
        <v/>
      </c>
      <c r="L598" s="66" t="str">
        <f t="shared" si="771"/>
        <v/>
      </c>
      <c r="M598" s="66" t="str">
        <f t="shared" si="772"/>
        <v/>
      </c>
      <c r="N598" s="66" t="str">
        <f>+IF(C598="","",ROUND(Parámetros!$D$23,2))</f>
        <v/>
      </c>
      <c r="O598" s="66" t="str">
        <f t="shared" si="773"/>
        <v/>
      </c>
      <c r="P598" s="66" t="str">
        <f>+IF($C598="","",ROUND(IF(B598&gt;Parámetros!$D$117,0,N598*Parámetros!$D$116-G598*Parámetros!$D$100),2))</f>
        <v/>
      </c>
      <c r="Q598" s="75" t="str">
        <f t="shared" si="817"/>
        <v/>
      </c>
      <c r="R598" s="75" t="str">
        <f t="shared" si="818"/>
        <v/>
      </c>
      <c r="S598" s="117" t="str">
        <f>+IF($C598="","",ROUND((S597+I598)*(1+Parámetros!$D$91),2))</f>
        <v/>
      </c>
      <c r="T598" s="117" t="str">
        <f>+IF($C598="","",ROUND(S598*VLOOKUP(B598,Parámetros!$C$30:$D$39,2,TRUE),2))</f>
        <v/>
      </c>
      <c r="U598" s="117" t="str">
        <f>+IF($C598="","",ROUND((U597+I598)*(1+Parámetros!$D$92),2))</f>
        <v/>
      </c>
      <c r="V598" s="117" t="str">
        <f>+IF($C598="","",ROUND(U598*VLOOKUP(B598,Parámetros!$C$30:$D$39,2,TRUE),2))</f>
        <v/>
      </c>
      <c r="W598" s="57" t="str">
        <f t="shared" si="819"/>
        <v/>
      </c>
      <c r="X598" t="str">
        <f t="shared" si="820"/>
        <v/>
      </c>
      <c r="Y598" t="str">
        <f t="shared" si="821"/>
        <v/>
      </c>
      <c r="Z598" s="118" t="str">
        <f>+IF($W598="","",ROUND(IF(Parámetros!$D$25='TABLAS MORT'!$V$33,Z597,Parámetros!$D$21-'Tablas Servicio'!T597),0))</f>
        <v/>
      </c>
      <c r="AA598" s="118" t="str">
        <f t="shared" si="822"/>
        <v/>
      </c>
      <c r="AB598" s="119" t="str">
        <f>+IF(W598="","",ROUND((VLOOKUP(ROUNDDOWN($D598-1/frec,0),qx_tabla,2,FALSE)*(1+i/frec)^-0.5*(1+Parámetros!$D$103)*(1+rec_fracc)/frec),6))</f>
        <v/>
      </c>
      <c r="AC598" s="66" t="str">
        <f t="shared" si="778"/>
        <v/>
      </c>
      <c r="AD598" s="119" t="str">
        <f t="shared" si="774"/>
        <v/>
      </c>
      <c r="AE598" s="66" t="str">
        <f>+IF($W598="","",ROUND(IF($B598&gt;Parámetros!$D$107,'Tablas Servicio'!AC598+('Tablas Servicio'!AG597-'Tablas Servicio'!AC597),AC598/(1-IF(B598&lt;=10,Parámetros!$D$104,Parámetros!$D$105))),2))</f>
        <v/>
      </c>
      <c r="AF598" s="66" t="str">
        <f>+IF($W598="","",ROUND(IF($B598&gt;Parámetros!$D$107,'Tablas Servicio'!AC598+('Tablas Servicio'!AG597-'Tablas Servicio'!AC597),(AC598+$A597/frec)/(1-IF(B598&lt;=Parámetros!$D$117,Parámetros!$D$100,0))),2))</f>
        <v/>
      </c>
      <c r="AG598" s="66" t="str">
        <f t="shared" si="779"/>
        <v/>
      </c>
      <c r="AH598" s="66" t="str">
        <f t="shared" si="780"/>
        <v/>
      </c>
      <c r="AI598" s="66" t="str">
        <f t="shared" si="781"/>
        <v/>
      </c>
      <c r="AJ598" s="66" t="str">
        <f>+IF($W598="","",ROUND((AG598*Parámetros!$G$85),2))</f>
        <v/>
      </c>
      <c r="AK598" s="66" t="str">
        <f>+IF($W598="","",ROUND((AG598*(Parámetros!$G$86)),2))</f>
        <v/>
      </c>
      <c r="AL598" s="66" t="str">
        <f t="shared" si="775"/>
        <v/>
      </c>
      <c r="AM598" t="str">
        <f t="shared" si="823"/>
        <v/>
      </c>
      <c r="AN598" t="str">
        <f t="shared" si="824"/>
        <v/>
      </c>
      <c r="AO598" s="118" t="str">
        <f t="shared" si="825"/>
        <v/>
      </c>
      <c r="AP598" s="118" t="str">
        <f t="shared" si="826"/>
        <v/>
      </c>
      <c r="AQ598" s="119" t="str">
        <f>+IF(OR($W598="",AO598=0),"",ROUND((VLOOKUP(ROUNDDOWN($D598-1/frec,0),cob_adi,Z$40,FALSE)*(1+i/frec)^-0.5*(1+Parámetros!$D$103)*(1+rec_fracc)/frec),6))</f>
        <v/>
      </c>
      <c r="AR598" s="66" t="str">
        <f t="shared" si="782"/>
        <v/>
      </c>
      <c r="AS598" s="119" t="str">
        <f t="shared" si="783"/>
        <v/>
      </c>
      <c r="AT598" s="66" t="str">
        <f>+IF($W598="","",ROUND(IF($B598&gt;Parámetros!$D$107,'Tablas Servicio'!AR598+('Tablas Servicio'!AT597-'Tablas Servicio'!AR597),AR598/(1-IF(B598&lt;=10,Parámetros!$D$100,0))),2))</f>
        <v/>
      </c>
      <c r="AU598" s="66" t="str">
        <f t="shared" si="784"/>
        <v/>
      </c>
      <c r="AV598" s="66" t="str">
        <f t="shared" si="784"/>
        <v/>
      </c>
      <c r="AW598" s="66" t="str">
        <f>+IF($W598="","",ROUND((AT598*Parámetros!$G$85),2))</f>
        <v/>
      </c>
      <c r="AX598" s="66" t="str">
        <f>+IF($W598="","",ROUND((AT598*(Parámetros!$G$86)),2))</f>
        <v/>
      </c>
      <c r="AY598" s="66" t="str">
        <f t="shared" si="785"/>
        <v/>
      </c>
      <c r="AZ598" t="str">
        <f t="shared" si="827"/>
        <v/>
      </c>
      <c r="BA598" t="str">
        <f t="shared" si="828"/>
        <v/>
      </c>
      <c r="BB598" s="118" t="str">
        <f t="shared" si="829"/>
        <v/>
      </c>
      <c r="BC598" s="118" t="str">
        <f t="shared" si="830"/>
        <v/>
      </c>
      <c r="BD598" s="119" t="str">
        <f>+IF(OR($W598="",BB598=0),"",ROUND((VLOOKUP(ROUNDDOWN($D598-1/frec,0),cob_adi,AO$40,FALSE)*(1+i/frec)^-0.5*(1+Parámetros!$D$103)*(1+rec_fracc)/frec),6))</f>
        <v/>
      </c>
      <c r="BE598" s="66" t="str">
        <f t="shared" si="786"/>
        <v/>
      </c>
      <c r="BF598" s="119" t="str">
        <f t="shared" si="787"/>
        <v/>
      </c>
      <c r="BG598" s="66" t="str">
        <f>+IF($W598="","",ROUND(IF($B598&gt;Parámetros!$D$107,'Tablas Servicio'!BE598+('Tablas Servicio'!BG597-'Tablas Servicio'!BE597),BE598/(1-IF(B598&lt;=10,Parámetros!$D$100,0))),2))</f>
        <v/>
      </c>
      <c r="BH598" s="66" t="str">
        <f t="shared" si="788"/>
        <v/>
      </c>
      <c r="BI598" s="66" t="str">
        <f t="shared" si="789"/>
        <v/>
      </c>
      <c r="BJ598" s="66" t="str">
        <f>+IF($W598="","",ROUND((BG598*Parámetros!$G$85),2))</f>
        <v/>
      </c>
      <c r="BK598" s="66" t="str">
        <f>+IF($W598="","",ROUND((BG598*(Parámetros!$G$86)),2))</f>
        <v/>
      </c>
      <c r="BL598" s="66" t="str">
        <f t="shared" si="790"/>
        <v/>
      </c>
      <c r="BM598" t="str">
        <f t="shared" si="831"/>
        <v/>
      </c>
      <c r="BN598" t="str">
        <f t="shared" si="832"/>
        <v/>
      </c>
      <c r="BO598" s="118" t="str">
        <f t="shared" si="833"/>
        <v/>
      </c>
      <c r="BP598" s="118" t="str">
        <f t="shared" si="834"/>
        <v/>
      </c>
      <c r="BQ598" s="119" t="str">
        <f>+IF(OR($W598="",BO598=0),"",ROUND((VLOOKUP(ROUNDDOWN($D598-1/frec,0),cob_adi,BB$40,FALSE)*(1+i/frec)^-0.5*(1+Parámetros!$D$103)*(1+rec_fracc)/frec),6))</f>
        <v/>
      </c>
      <c r="BR598" s="66" t="str">
        <f t="shared" si="791"/>
        <v/>
      </c>
      <c r="BS598" s="119" t="str">
        <f t="shared" si="792"/>
        <v/>
      </c>
      <c r="BT598" s="66" t="str">
        <f>+IF($W598="","",ROUND(IF($B598&gt;Parámetros!$D$107,'Tablas Servicio'!BR598+('Tablas Servicio'!BT597-'Tablas Servicio'!BR597),BR598/(1-IF(B598&lt;=10,Parámetros!$D$100,0))),2))</f>
        <v/>
      </c>
      <c r="BU598" s="66" t="str">
        <f t="shared" si="793"/>
        <v/>
      </c>
      <c r="BV598" s="66" t="str">
        <f t="shared" si="793"/>
        <v/>
      </c>
      <c r="BW598" s="66" t="str">
        <f>+IF($W598="","",ROUND((BT598*Parámetros!$G$85),2))</f>
        <v/>
      </c>
      <c r="BX598" s="66" t="str">
        <f>+IF($W598="","",ROUND((BT598*(Parámetros!$G$86)),2))</f>
        <v/>
      </c>
      <c r="BY598" s="66" t="str">
        <f t="shared" si="794"/>
        <v/>
      </c>
      <c r="BZ598" t="str">
        <f t="shared" si="835"/>
        <v/>
      </c>
      <c r="CA598" t="str">
        <f t="shared" si="836"/>
        <v/>
      </c>
      <c r="CB598" s="118" t="str">
        <f t="shared" si="837"/>
        <v/>
      </c>
      <c r="CC598" s="118" t="str">
        <f t="shared" si="838"/>
        <v/>
      </c>
      <c r="CD598" s="119" t="str">
        <f t="shared" si="795"/>
        <v/>
      </c>
      <c r="CE598" s="66" t="str">
        <f>+IF($W598="","",ROUND((VLOOKUP(ROUNDDOWN($D598-1/frec,0),cob_adi,BO$40,FALSE)*(1+i/frec)^-0.5*(1+Parámetros!$D$103)*(1+rec_fracc)/frec*'TABLAS ADI'!$BC$17),2))</f>
        <v/>
      </c>
      <c r="CF598" s="119" t="str">
        <f t="shared" si="796"/>
        <v/>
      </c>
      <c r="CG598" s="66" t="str">
        <f>+IF($W598="","",ROUND(IF($B598&gt;Parámetros!$D$107,'Tablas Servicio'!CE598+('Tablas Servicio'!CG597-'Tablas Servicio'!CE597),CE598/(1-IF(B598&lt;=10,Parámetros!$D$100,0))),2))</f>
        <v/>
      </c>
      <c r="CH598" s="66" t="str">
        <f t="shared" si="797"/>
        <v/>
      </c>
      <c r="CI598" s="66" t="str">
        <f t="shared" si="797"/>
        <v/>
      </c>
      <c r="CJ598" s="66" t="str">
        <f>+IF($W598="","",ROUND((CG598*Parámetros!$G$85),2))</f>
        <v/>
      </c>
      <c r="CK598" s="66" t="str">
        <f>+IF($W598="","",ROUND((CG598*(Parámetros!$G$86)),2))</f>
        <v/>
      </c>
      <c r="CL598" s="66" t="str">
        <f t="shared" si="798"/>
        <v/>
      </c>
      <c r="CM598" t="str">
        <f t="shared" si="839"/>
        <v/>
      </c>
      <c r="CN598" s="118" t="str">
        <f t="shared" si="840"/>
        <v/>
      </c>
      <c r="CO598" s="118" t="str">
        <f t="shared" si="841"/>
        <v/>
      </c>
      <c r="CP598" s="118" t="str">
        <f t="shared" si="842"/>
        <v/>
      </c>
      <c r="CQ598" s="119" t="str">
        <f t="shared" si="799"/>
        <v/>
      </c>
      <c r="CR598" s="66" t="str">
        <f>+IF($W598="","",ROUND((VLOOKUP(Parámetros!$F$51,'COBERTURAS ADICIONALES'!$S$4:$T$32,2,FALSE)*(1+i/frec)^-0.5*(1+Parámetros!$D$103)*(1+rec_fracc)/frec*$CO$42),2))</f>
        <v/>
      </c>
      <c r="CS598" s="119" t="str">
        <f t="shared" si="800"/>
        <v/>
      </c>
      <c r="CT598" s="66" t="str">
        <f>+IF($W598="","",ROUND(IF($B598&gt;Parámetros!$D$107,'Tablas Servicio'!CR598+('Tablas Servicio'!CT597-'Tablas Servicio'!CR597),CR598/(1-IF(B598&lt;=10,Parámetros!$D$100,0))),2))</f>
        <v/>
      </c>
      <c r="CU598" s="66" t="str">
        <f t="shared" si="801"/>
        <v/>
      </c>
      <c r="CV598" s="66" t="str">
        <f t="shared" si="801"/>
        <v/>
      </c>
      <c r="CW598" s="66" t="str">
        <f>+IF($W598="","",ROUND((CT598*Parámetros!$G$85),2))</f>
        <v/>
      </c>
      <c r="CX598" s="66" t="str">
        <f>+IF($W598="","",ROUND((CT598*(Parámetros!$G$86)),2))</f>
        <v/>
      </c>
      <c r="CY598" s="66" t="str">
        <f t="shared" si="802"/>
        <v/>
      </c>
      <c r="CZ598" t="str">
        <f t="shared" si="843"/>
        <v/>
      </c>
      <c r="DA598" s="118" t="str">
        <f t="shared" si="844"/>
        <v/>
      </c>
      <c r="DB598" s="118" t="str">
        <f t="shared" si="845"/>
        <v/>
      </c>
      <c r="DC598" s="118" t="str">
        <f t="shared" si="846"/>
        <v/>
      </c>
      <c r="DD598" s="121" t="str">
        <f>+IF(OR($W598="",DB598=0),"",ROUND((VLOOKUP(ROUNDDOWN($D598-1/frec,0),cob_adi,CO$40,FALSE)*(1+i/frec)^-0.5*(1+Parámetros!$D$103)*(1+rec_fracc)/frec),6))</f>
        <v/>
      </c>
      <c r="DE598" s="66" t="str">
        <f t="shared" si="803"/>
        <v/>
      </c>
      <c r="DF598" s="119" t="str">
        <f t="shared" si="804"/>
        <v/>
      </c>
      <c r="DG598" s="66" t="str">
        <f>+IF($W598="","",ROUND(IF($B598&gt;Parámetros!$D$107,'Tablas Servicio'!DE598+('Tablas Servicio'!DG597-'Tablas Servicio'!DE597),DE598/(1-IF(B598&lt;=10,Parámetros!$D$100,0))),2))</f>
        <v/>
      </c>
      <c r="DH598" s="66" t="str">
        <f t="shared" si="805"/>
        <v/>
      </c>
      <c r="DI598" s="66" t="str">
        <f t="shared" si="805"/>
        <v/>
      </c>
      <c r="DJ598" s="66" t="str">
        <f>+IF($W598="","",ROUND((DG598*Parámetros!$G$85),2))</f>
        <v/>
      </c>
      <c r="DK598" s="66" t="str">
        <f>+IF($W598="","",ROUND((DG598*(Parámetros!$G$86)),2))</f>
        <v/>
      </c>
      <c r="DL598" s="66" t="str">
        <f t="shared" si="806"/>
        <v/>
      </c>
      <c r="DM598" t="str">
        <f t="shared" si="847"/>
        <v/>
      </c>
      <c r="DN598" s="118" t="str">
        <f t="shared" si="848"/>
        <v/>
      </c>
      <c r="DO598" s="118" t="str">
        <f t="shared" si="849"/>
        <v/>
      </c>
      <c r="DP598" s="118" t="str">
        <f t="shared" si="850"/>
        <v/>
      </c>
      <c r="DQ598" s="122" t="str">
        <f>+IF(OR($W598="",DO598=0),"",ROUND((VLOOKUP(ROUNDDOWN($D598-1/frec,0),cob_adi,DB$40,FALSE)*(1+i/frec)^-0.5*(1+Parámetros!$D$103)*(1+rec_fracc)/frec),6))</f>
        <v/>
      </c>
      <c r="DR598" s="66" t="str">
        <f t="shared" si="807"/>
        <v/>
      </c>
      <c r="DS598" s="68" t="str">
        <f t="shared" si="808"/>
        <v/>
      </c>
      <c r="DT598" s="66" t="str">
        <f>+IF($W598="","",ROUND(IF($B598&gt;Parámetros!$D$107,'Tablas Servicio'!DR598+('Tablas Servicio'!DT597-'Tablas Servicio'!DR597),DR598/(1-IF(B598&lt;=10,Parámetros!$D$100,0))),2))</f>
        <v/>
      </c>
      <c r="DU598" s="66" t="str">
        <f t="shared" si="809"/>
        <v/>
      </c>
      <c r="DV598" s="66" t="str">
        <f t="shared" si="809"/>
        <v/>
      </c>
      <c r="DW598" s="66" t="str">
        <f>+IF($W598="","",ROUND((DT598*Parámetros!$G$85),2))</f>
        <v/>
      </c>
      <c r="DX598" s="66" t="str">
        <f>+IF($W598="","",ROUND((DT598*(Parámetros!$G$86)),2))</f>
        <v/>
      </c>
      <c r="DY598" s="66" t="str">
        <f t="shared" si="810"/>
        <v/>
      </c>
      <c r="DZ598" t="str">
        <f t="shared" si="852"/>
        <v/>
      </c>
      <c r="EA598" s="118" t="str">
        <f t="shared" si="852"/>
        <v/>
      </c>
      <c r="EB598" s="118" t="str">
        <f>+IF($W598="","",ROUND(IF(Parámetros!$D$25='TABLAS MORT'!$V$33,EB597,Z598/2),0))</f>
        <v/>
      </c>
      <c r="EC598" s="118" t="str">
        <f t="shared" si="852"/>
        <v/>
      </c>
      <c r="ED598" s="122" t="str">
        <f>+IF(OR($W598="",EB598=0),"",ROUND((VLOOKUP(ROUNDDOWN($D598-1/frec,0),cob_adi,DO$40,FALSE)*(1+i/frec)^-0.5*(1+Parámetros!$D$103)*(1+rec_fracc)/frec),6))</f>
        <v/>
      </c>
      <c r="EE598" s="66" t="str">
        <f t="shared" si="812"/>
        <v/>
      </c>
      <c r="EF598" s="68" t="str">
        <f t="shared" si="813"/>
        <v/>
      </c>
      <c r="EG598" s="66" t="str">
        <f>+IF($W598="","",ROUND(IF($B598&gt;Parámetros!$D$107,'Tablas Servicio'!EE598+('Tablas Servicio'!EG597-'Tablas Servicio'!EE597),EE598/(1-IF(B598&lt;=10,Parámetros!$D$100,0))),2))</f>
        <v/>
      </c>
      <c r="EH598" s="66" t="str">
        <f t="shared" si="814"/>
        <v/>
      </c>
      <c r="EI598" s="66" t="str">
        <f t="shared" si="814"/>
        <v/>
      </c>
      <c r="EJ598" s="66" t="str">
        <f>+IF($W598="","",ROUND((EG598*Parámetros!$G$85),2))</f>
        <v/>
      </c>
      <c r="EK598" s="66" t="str">
        <f>+IF($W598="","",ROUND((EG598*(Parámetros!$G$86)),2))</f>
        <v/>
      </c>
      <c r="EL598" s="66" t="str">
        <f t="shared" si="815"/>
        <v/>
      </c>
    </row>
    <row r="599" spans="1:142" x14ac:dyDescent="0.25">
      <c r="A599" t="str">
        <f>+IF($C599="","",ROUND(VLOOKUP('Tablas Servicio'!B599,Parámetros!$H$100:$J$159,IF(Parámetros!$E$16="F",2,3),FALSE),2))</f>
        <v/>
      </c>
      <c r="B599" t="str">
        <f t="shared" si="766"/>
        <v/>
      </c>
      <c r="C599" s="57" t="str">
        <f>+IF(D599="","",'Tablas Servicio'!C598+1)</f>
        <v/>
      </c>
      <c r="D599" s="56" t="str">
        <f>+IF(D598&lt;edadmaxtabla,D598+1/Parámetros!$E$25,"")</f>
        <v/>
      </c>
      <c r="E599" s="57" t="str">
        <f t="shared" si="776"/>
        <v/>
      </c>
      <c r="F599" s="59" t="str">
        <f t="shared" si="777"/>
        <v/>
      </c>
      <c r="G599" s="66" t="str">
        <f t="shared" si="767"/>
        <v/>
      </c>
      <c r="H599" s="66" t="str">
        <f t="shared" si="768"/>
        <v/>
      </c>
      <c r="I599" s="66" t="str">
        <f t="shared" si="816"/>
        <v/>
      </c>
      <c r="J599" s="66" t="str">
        <f t="shared" si="769"/>
        <v/>
      </c>
      <c r="K599" s="66" t="str">
        <f t="shared" si="770"/>
        <v/>
      </c>
      <c r="L599" s="66" t="str">
        <f t="shared" si="771"/>
        <v/>
      </c>
      <c r="M599" s="66" t="str">
        <f t="shared" si="772"/>
        <v/>
      </c>
      <c r="N599" s="66" t="str">
        <f>+IF(C599="","",ROUND(Parámetros!$D$23,2))</f>
        <v/>
      </c>
      <c r="O599" s="66" t="str">
        <f t="shared" si="773"/>
        <v/>
      </c>
      <c r="P599" s="66" t="str">
        <f>+IF($C599="","",ROUND(IF(B599&gt;Parámetros!$D$117,0,N599*Parámetros!$D$116-G599*Parámetros!$D$100),2))</f>
        <v/>
      </c>
      <c r="Q599" s="75" t="str">
        <f t="shared" si="817"/>
        <v/>
      </c>
      <c r="R599" s="75" t="str">
        <f t="shared" si="818"/>
        <v/>
      </c>
      <c r="S599" s="117" t="str">
        <f>+IF($C599="","",ROUND((S598+I599)*(1+Parámetros!$D$91),2))</f>
        <v/>
      </c>
      <c r="T599" s="117" t="str">
        <f>+IF($C599="","",ROUND(S599*VLOOKUP(B599,Parámetros!$C$30:$D$39,2,TRUE),2))</f>
        <v/>
      </c>
      <c r="U599" s="117" t="str">
        <f>+IF($C599="","",ROUND((U598+I599)*(1+Parámetros!$D$92),2))</f>
        <v/>
      </c>
      <c r="V599" s="117" t="str">
        <f>+IF($C599="","",ROUND(U599*VLOOKUP(B599,Parámetros!$C$30:$D$39,2,TRUE),2))</f>
        <v/>
      </c>
      <c r="W599" s="57" t="str">
        <f t="shared" si="819"/>
        <v/>
      </c>
      <c r="X599" t="str">
        <f t="shared" si="820"/>
        <v/>
      </c>
      <c r="Y599" t="str">
        <f t="shared" si="821"/>
        <v/>
      </c>
      <c r="Z599" s="118" t="str">
        <f>+IF($W599="","",ROUND(IF(Parámetros!$D$25='TABLAS MORT'!$V$33,Z598,Parámetros!$D$21-'Tablas Servicio'!T598),0))</f>
        <v/>
      </c>
      <c r="AA599" s="118" t="str">
        <f t="shared" si="822"/>
        <v/>
      </c>
      <c r="AB599" s="119" t="str">
        <f>+IF(W599="","",ROUND((VLOOKUP(ROUNDDOWN($D599-1/frec,0),qx_tabla,2,FALSE)*(1+i/frec)^-0.5*(1+Parámetros!$D$103)*(1+rec_fracc)/frec),6))</f>
        <v/>
      </c>
      <c r="AC599" s="66" t="str">
        <f t="shared" si="778"/>
        <v/>
      </c>
      <c r="AD599" s="119" t="str">
        <f t="shared" si="774"/>
        <v/>
      </c>
      <c r="AE599" s="66" t="str">
        <f>+IF($W599="","",ROUND(IF($B599&gt;Parámetros!$D$107,'Tablas Servicio'!AC599+('Tablas Servicio'!AG598-'Tablas Servicio'!AC598),AC599/(1-IF(B599&lt;=10,Parámetros!$D$104,Parámetros!$D$105))),2))</f>
        <v/>
      </c>
      <c r="AF599" s="66" t="str">
        <f>+IF($W599="","",ROUND(IF($B599&gt;Parámetros!$D$107,'Tablas Servicio'!AC599+('Tablas Servicio'!AG598-'Tablas Servicio'!AC598),(AC599+$A598/frec)/(1-IF(B599&lt;=Parámetros!$D$117,Parámetros!$D$100,0))),2))</f>
        <v/>
      </c>
      <c r="AG599" s="66" t="str">
        <f t="shared" si="779"/>
        <v/>
      </c>
      <c r="AH599" s="66" t="str">
        <f t="shared" si="780"/>
        <v/>
      </c>
      <c r="AI599" s="66" t="str">
        <f t="shared" si="781"/>
        <v/>
      </c>
      <c r="AJ599" s="66" t="str">
        <f>+IF($W599="","",ROUND((AG599*Parámetros!$G$85),2))</f>
        <v/>
      </c>
      <c r="AK599" s="66" t="str">
        <f>+IF($W599="","",ROUND((AG599*(Parámetros!$G$86)),2))</f>
        <v/>
      </c>
      <c r="AL599" s="66" t="str">
        <f t="shared" si="775"/>
        <v/>
      </c>
      <c r="AM599" t="str">
        <f t="shared" si="823"/>
        <v/>
      </c>
      <c r="AN599" t="str">
        <f t="shared" si="824"/>
        <v/>
      </c>
      <c r="AO599" s="118" t="str">
        <f t="shared" si="825"/>
        <v/>
      </c>
      <c r="AP599" s="118" t="str">
        <f t="shared" si="826"/>
        <v/>
      </c>
      <c r="AQ599" s="119" t="str">
        <f>+IF(OR($W599="",AO599=0),"",ROUND((VLOOKUP(ROUNDDOWN($D599-1/frec,0),cob_adi,Z$40,FALSE)*(1+i/frec)^-0.5*(1+Parámetros!$D$103)*(1+rec_fracc)/frec),6))</f>
        <v/>
      </c>
      <c r="AR599" s="66" t="str">
        <f t="shared" si="782"/>
        <v/>
      </c>
      <c r="AS599" s="119" t="str">
        <f t="shared" si="783"/>
        <v/>
      </c>
      <c r="AT599" s="66" t="str">
        <f>+IF($W599="","",ROUND(IF($B599&gt;Parámetros!$D$107,'Tablas Servicio'!AR599+('Tablas Servicio'!AT598-'Tablas Servicio'!AR598),AR599/(1-IF(B599&lt;=10,Parámetros!$D$100,0))),2))</f>
        <v/>
      </c>
      <c r="AU599" s="66" t="str">
        <f t="shared" si="784"/>
        <v/>
      </c>
      <c r="AV599" s="66" t="str">
        <f t="shared" si="784"/>
        <v/>
      </c>
      <c r="AW599" s="66" t="str">
        <f>+IF($W599="","",ROUND((AT599*Parámetros!$G$85),2))</f>
        <v/>
      </c>
      <c r="AX599" s="66" t="str">
        <f>+IF($W599="","",ROUND((AT599*(Parámetros!$G$86)),2))</f>
        <v/>
      </c>
      <c r="AY599" s="66" t="str">
        <f t="shared" si="785"/>
        <v/>
      </c>
      <c r="AZ599" t="str">
        <f t="shared" si="827"/>
        <v/>
      </c>
      <c r="BA599" t="str">
        <f t="shared" si="828"/>
        <v/>
      </c>
      <c r="BB599" s="118" t="str">
        <f t="shared" si="829"/>
        <v/>
      </c>
      <c r="BC599" s="118" t="str">
        <f t="shared" si="830"/>
        <v/>
      </c>
      <c r="BD599" s="119" t="str">
        <f>+IF(OR($W599="",BB599=0),"",ROUND((VLOOKUP(ROUNDDOWN($D599-1/frec,0),cob_adi,AO$40,FALSE)*(1+i/frec)^-0.5*(1+Parámetros!$D$103)*(1+rec_fracc)/frec),6))</f>
        <v/>
      </c>
      <c r="BE599" s="66" t="str">
        <f t="shared" si="786"/>
        <v/>
      </c>
      <c r="BF599" s="119" t="str">
        <f t="shared" si="787"/>
        <v/>
      </c>
      <c r="BG599" s="66" t="str">
        <f>+IF($W599="","",ROUND(IF($B599&gt;Parámetros!$D$107,'Tablas Servicio'!BE599+('Tablas Servicio'!BG598-'Tablas Servicio'!BE598),BE599/(1-IF(B599&lt;=10,Parámetros!$D$100,0))),2))</f>
        <v/>
      </c>
      <c r="BH599" s="66" t="str">
        <f t="shared" si="788"/>
        <v/>
      </c>
      <c r="BI599" s="66" t="str">
        <f t="shared" si="789"/>
        <v/>
      </c>
      <c r="BJ599" s="66" t="str">
        <f>+IF($W599="","",ROUND((BG599*Parámetros!$G$85),2))</f>
        <v/>
      </c>
      <c r="BK599" s="66" t="str">
        <f>+IF($W599="","",ROUND((BG599*(Parámetros!$G$86)),2))</f>
        <v/>
      </c>
      <c r="BL599" s="66" t="str">
        <f t="shared" si="790"/>
        <v/>
      </c>
      <c r="BM599" t="str">
        <f t="shared" si="831"/>
        <v/>
      </c>
      <c r="BN599" t="str">
        <f t="shared" si="832"/>
        <v/>
      </c>
      <c r="BO599" s="118" t="str">
        <f t="shared" si="833"/>
        <v/>
      </c>
      <c r="BP599" s="118" t="str">
        <f t="shared" si="834"/>
        <v/>
      </c>
      <c r="BQ599" s="119" t="str">
        <f>+IF(OR($W599="",BO599=0),"",ROUND((VLOOKUP(ROUNDDOWN($D599-1/frec,0),cob_adi,BB$40,FALSE)*(1+i/frec)^-0.5*(1+Parámetros!$D$103)*(1+rec_fracc)/frec),6))</f>
        <v/>
      </c>
      <c r="BR599" s="66" t="str">
        <f t="shared" si="791"/>
        <v/>
      </c>
      <c r="BS599" s="119" t="str">
        <f t="shared" si="792"/>
        <v/>
      </c>
      <c r="BT599" s="66" t="str">
        <f>+IF($W599="","",ROUND(IF($B599&gt;Parámetros!$D$107,'Tablas Servicio'!BR599+('Tablas Servicio'!BT598-'Tablas Servicio'!BR598),BR599/(1-IF(B599&lt;=10,Parámetros!$D$100,0))),2))</f>
        <v/>
      </c>
      <c r="BU599" s="66" t="str">
        <f t="shared" si="793"/>
        <v/>
      </c>
      <c r="BV599" s="66" t="str">
        <f t="shared" si="793"/>
        <v/>
      </c>
      <c r="BW599" s="66" t="str">
        <f>+IF($W599="","",ROUND((BT599*Parámetros!$G$85),2))</f>
        <v/>
      </c>
      <c r="BX599" s="66" t="str">
        <f>+IF($W599="","",ROUND((BT599*(Parámetros!$G$86)),2))</f>
        <v/>
      </c>
      <c r="BY599" s="66" t="str">
        <f t="shared" si="794"/>
        <v/>
      </c>
      <c r="BZ599" t="str">
        <f t="shared" si="835"/>
        <v/>
      </c>
      <c r="CA599" t="str">
        <f t="shared" si="836"/>
        <v/>
      </c>
      <c r="CB599" s="118" t="str">
        <f t="shared" si="837"/>
        <v/>
      </c>
      <c r="CC599" s="118" t="str">
        <f t="shared" si="838"/>
        <v/>
      </c>
      <c r="CD599" s="119" t="str">
        <f t="shared" si="795"/>
        <v/>
      </c>
      <c r="CE599" s="66" t="str">
        <f>+IF($W599="","",ROUND((VLOOKUP(ROUNDDOWN($D599-1/frec,0),cob_adi,BO$40,FALSE)*(1+i/frec)^-0.5*(1+Parámetros!$D$103)*(1+rec_fracc)/frec*'TABLAS ADI'!$BC$17),2))</f>
        <v/>
      </c>
      <c r="CF599" s="119" t="str">
        <f t="shared" si="796"/>
        <v/>
      </c>
      <c r="CG599" s="66" t="str">
        <f>+IF($W599="","",ROUND(IF($B599&gt;Parámetros!$D$107,'Tablas Servicio'!CE599+('Tablas Servicio'!CG598-'Tablas Servicio'!CE598),CE599/(1-IF(B599&lt;=10,Parámetros!$D$100,0))),2))</f>
        <v/>
      </c>
      <c r="CH599" s="66" t="str">
        <f t="shared" si="797"/>
        <v/>
      </c>
      <c r="CI599" s="66" t="str">
        <f t="shared" si="797"/>
        <v/>
      </c>
      <c r="CJ599" s="66" t="str">
        <f>+IF($W599="","",ROUND((CG599*Parámetros!$G$85),2))</f>
        <v/>
      </c>
      <c r="CK599" s="66" t="str">
        <f>+IF($W599="","",ROUND((CG599*(Parámetros!$G$86)),2))</f>
        <v/>
      </c>
      <c r="CL599" s="66" t="str">
        <f t="shared" si="798"/>
        <v/>
      </c>
      <c r="CM599" t="str">
        <f t="shared" si="839"/>
        <v/>
      </c>
      <c r="CN599" s="118" t="str">
        <f t="shared" si="840"/>
        <v/>
      </c>
      <c r="CO599" s="118" t="str">
        <f t="shared" si="841"/>
        <v/>
      </c>
      <c r="CP599" s="118" t="str">
        <f t="shared" si="842"/>
        <v/>
      </c>
      <c r="CQ599" s="119" t="str">
        <f t="shared" si="799"/>
        <v/>
      </c>
      <c r="CR599" s="66" t="str">
        <f>+IF($W599="","",ROUND((VLOOKUP(Parámetros!$F$51,'COBERTURAS ADICIONALES'!$S$4:$T$32,2,FALSE)*(1+i/frec)^-0.5*(1+Parámetros!$D$103)*(1+rec_fracc)/frec*$CO$42),2))</f>
        <v/>
      </c>
      <c r="CS599" s="119" t="str">
        <f t="shared" si="800"/>
        <v/>
      </c>
      <c r="CT599" s="66" t="str">
        <f>+IF($W599="","",ROUND(IF($B599&gt;Parámetros!$D$107,'Tablas Servicio'!CR599+('Tablas Servicio'!CT598-'Tablas Servicio'!CR598),CR599/(1-IF(B599&lt;=10,Parámetros!$D$100,0))),2))</f>
        <v/>
      </c>
      <c r="CU599" s="66" t="str">
        <f t="shared" si="801"/>
        <v/>
      </c>
      <c r="CV599" s="66" t="str">
        <f t="shared" si="801"/>
        <v/>
      </c>
      <c r="CW599" s="66" t="str">
        <f>+IF($W599="","",ROUND((CT599*Parámetros!$G$85),2))</f>
        <v/>
      </c>
      <c r="CX599" s="66" t="str">
        <f>+IF($W599="","",ROUND((CT599*(Parámetros!$G$86)),2))</f>
        <v/>
      </c>
      <c r="CY599" s="66" t="str">
        <f t="shared" si="802"/>
        <v/>
      </c>
      <c r="CZ599" t="str">
        <f t="shared" si="843"/>
        <v/>
      </c>
      <c r="DA599" s="118" t="str">
        <f t="shared" si="844"/>
        <v/>
      </c>
      <c r="DB599" s="118" t="str">
        <f t="shared" si="845"/>
        <v/>
      </c>
      <c r="DC599" s="118" t="str">
        <f t="shared" si="846"/>
        <v/>
      </c>
      <c r="DD599" s="121" t="str">
        <f>+IF(OR($W599="",DB599=0),"",ROUND((VLOOKUP(ROUNDDOWN($D599-1/frec,0),cob_adi,CO$40,FALSE)*(1+i/frec)^-0.5*(1+Parámetros!$D$103)*(1+rec_fracc)/frec),6))</f>
        <v/>
      </c>
      <c r="DE599" s="66" t="str">
        <f t="shared" si="803"/>
        <v/>
      </c>
      <c r="DF599" s="119" t="str">
        <f t="shared" si="804"/>
        <v/>
      </c>
      <c r="DG599" s="66" t="str">
        <f>+IF($W599="","",ROUND(IF($B599&gt;Parámetros!$D$107,'Tablas Servicio'!DE599+('Tablas Servicio'!DG598-'Tablas Servicio'!DE598),DE599/(1-IF(B599&lt;=10,Parámetros!$D$100,0))),2))</f>
        <v/>
      </c>
      <c r="DH599" s="66" t="str">
        <f t="shared" si="805"/>
        <v/>
      </c>
      <c r="DI599" s="66" t="str">
        <f t="shared" si="805"/>
        <v/>
      </c>
      <c r="DJ599" s="66" t="str">
        <f>+IF($W599="","",ROUND((DG599*Parámetros!$G$85),2))</f>
        <v/>
      </c>
      <c r="DK599" s="66" t="str">
        <f>+IF($W599="","",ROUND((DG599*(Parámetros!$G$86)),2))</f>
        <v/>
      </c>
      <c r="DL599" s="66" t="str">
        <f t="shared" si="806"/>
        <v/>
      </c>
      <c r="DM599" t="str">
        <f t="shared" si="847"/>
        <v/>
      </c>
      <c r="DN599" s="118" t="str">
        <f t="shared" si="848"/>
        <v/>
      </c>
      <c r="DO599" s="118" t="str">
        <f t="shared" si="849"/>
        <v/>
      </c>
      <c r="DP599" s="118" t="str">
        <f t="shared" si="850"/>
        <v/>
      </c>
      <c r="DQ599" s="122" t="str">
        <f>+IF(OR($W599="",DO599=0),"",ROUND((VLOOKUP(ROUNDDOWN($D599-1/frec,0),cob_adi,DB$40,FALSE)*(1+i/frec)^-0.5*(1+Parámetros!$D$103)*(1+rec_fracc)/frec),6))</f>
        <v/>
      </c>
      <c r="DR599" s="66" t="str">
        <f t="shared" si="807"/>
        <v/>
      </c>
      <c r="DS599" s="68" t="str">
        <f t="shared" si="808"/>
        <v/>
      </c>
      <c r="DT599" s="66" t="str">
        <f>+IF($W599="","",ROUND(IF($B599&gt;Parámetros!$D$107,'Tablas Servicio'!DR599+('Tablas Servicio'!DT598-'Tablas Servicio'!DR598),DR599/(1-IF(B599&lt;=10,Parámetros!$D$100,0))),2))</f>
        <v/>
      </c>
      <c r="DU599" s="66" t="str">
        <f t="shared" si="809"/>
        <v/>
      </c>
      <c r="DV599" s="66" t="str">
        <f t="shared" si="809"/>
        <v/>
      </c>
      <c r="DW599" s="66" t="str">
        <f>+IF($W599="","",ROUND((DT599*Parámetros!$G$85),2))</f>
        <v/>
      </c>
      <c r="DX599" s="66" t="str">
        <f>+IF($W599="","",ROUND((DT599*(Parámetros!$G$86)),2))</f>
        <v/>
      </c>
      <c r="DY599" s="66" t="str">
        <f t="shared" si="810"/>
        <v/>
      </c>
      <c r="DZ599" t="str">
        <f t="shared" si="852"/>
        <v/>
      </c>
      <c r="EA599" s="118" t="str">
        <f t="shared" si="852"/>
        <v/>
      </c>
      <c r="EB599" s="118" t="str">
        <f>+IF($W599="","",ROUND(IF(Parámetros!$D$25='TABLAS MORT'!$V$33,EB598,Z599/2),0))</f>
        <v/>
      </c>
      <c r="EC599" s="118" t="str">
        <f t="shared" si="852"/>
        <v/>
      </c>
      <c r="ED599" s="122" t="str">
        <f>+IF(OR($W599="",EB599=0),"",ROUND((VLOOKUP(ROUNDDOWN($D599-1/frec,0),cob_adi,DO$40,FALSE)*(1+i/frec)^-0.5*(1+Parámetros!$D$103)*(1+rec_fracc)/frec),6))</f>
        <v/>
      </c>
      <c r="EE599" s="66" t="str">
        <f t="shared" si="812"/>
        <v/>
      </c>
      <c r="EF599" s="68" t="str">
        <f t="shared" si="813"/>
        <v/>
      </c>
      <c r="EG599" s="66" t="str">
        <f>+IF($W599="","",ROUND(IF($B599&gt;Parámetros!$D$107,'Tablas Servicio'!EE599+('Tablas Servicio'!EG598-'Tablas Servicio'!EE598),EE599/(1-IF(B599&lt;=10,Parámetros!$D$100,0))),2))</f>
        <v/>
      </c>
      <c r="EH599" s="66" t="str">
        <f t="shared" si="814"/>
        <v/>
      </c>
      <c r="EI599" s="66" t="str">
        <f t="shared" si="814"/>
        <v/>
      </c>
      <c r="EJ599" s="66" t="str">
        <f>+IF($W599="","",ROUND((EG599*Parámetros!$G$85),2))</f>
        <v/>
      </c>
      <c r="EK599" s="66" t="str">
        <f>+IF($W599="","",ROUND((EG599*(Parámetros!$G$86)),2))</f>
        <v/>
      </c>
      <c r="EL599" s="66" t="str">
        <f t="shared" si="815"/>
        <v/>
      </c>
    </row>
    <row r="600" spans="1:142" x14ac:dyDescent="0.25">
      <c r="A600" t="str">
        <f>+IF($C600="","",ROUND(VLOOKUP('Tablas Servicio'!B600,Parámetros!$H$100:$J$159,IF(Parámetros!$E$16="F",2,3),FALSE),2))</f>
        <v/>
      </c>
      <c r="B600" t="str">
        <f t="shared" si="766"/>
        <v/>
      </c>
      <c r="C600" s="57" t="str">
        <f>+IF(D600="","",'Tablas Servicio'!C599+1)</f>
        <v/>
      </c>
      <c r="D600" s="56" t="str">
        <f>+IF(D599&lt;edadmaxtabla,D599+1/Parámetros!$E$25,"")</f>
        <v/>
      </c>
      <c r="E600" s="57" t="str">
        <f t="shared" si="776"/>
        <v/>
      </c>
      <c r="F600" s="59" t="str">
        <f t="shared" si="777"/>
        <v/>
      </c>
      <c r="G600" s="66" t="str">
        <f t="shared" si="767"/>
        <v/>
      </c>
      <c r="H600" s="66" t="str">
        <f t="shared" si="768"/>
        <v/>
      </c>
      <c r="I600" s="66" t="str">
        <f t="shared" si="816"/>
        <v/>
      </c>
      <c r="J600" s="66" t="str">
        <f t="shared" si="769"/>
        <v/>
      </c>
      <c r="K600" s="66" t="str">
        <f t="shared" si="770"/>
        <v/>
      </c>
      <c r="L600" s="66" t="str">
        <f t="shared" si="771"/>
        <v/>
      </c>
      <c r="M600" s="66" t="str">
        <f t="shared" si="772"/>
        <v/>
      </c>
      <c r="N600" s="66" t="str">
        <f>+IF(C600="","",ROUND(Parámetros!$D$23,2))</f>
        <v/>
      </c>
      <c r="O600" s="66" t="str">
        <f t="shared" si="773"/>
        <v/>
      </c>
      <c r="P600" s="66" t="str">
        <f>+IF($C600="","",ROUND(IF(B600&gt;Parámetros!$D$117,0,N600*Parámetros!$D$116-G600*Parámetros!$D$100),2))</f>
        <v/>
      </c>
      <c r="Q600" s="75" t="str">
        <f t="shared" si="817"/>
        <v/>
      </c>
      <c r="R600" s="75" t="str">
        <f t="shared" si="818"/>
        <v/>
      </c>
      <c r="S600" s="117" t="str">
        <f>+IF($C600="","",ROUND((S599+I600)*(1+Parámetros!$D$91),2))</f>
        <v/>
      </c>
      <c r="T600" s="117" t="str">
        <f>+IF($C600="","",ROUND(S600*VLOOKUP(B600,Parámetros!$C$30:$D$39,2,TRUE),2))</f>
        <v/>
      </c>
      <c r="U600" s="117" t="str">
        <f>+IF($C600="","",ROUND((U599+I600)*(1+Parámetros!$D$92),2))</f>
        <v/>
      </c>
      <c r="V600" s="117" t="str">
        <f>+IF($C600="","",ROUND(U600*VLOOKUP(B600,Parámetros!$C$30:$D$39,2,TRUE),2))</f>
        <v/>
      </c>
      <c r="W600" s="57" t="str">
        <f t="shared" si="819"/>
        <v/>
      </c>
      <c r="X600" t="str">
        <f t="shared" si="820"/>
        <v/>
      </c>
      <c r="Y600" t="str">
        <f t="shared" si="821"/>
        <v/>
      </c>
      <c r="Z600" s="118" t="str">
        <f>+IF($W600="","",ROUND(IF(Parámetros!$D$25='TABLAS MORT'!$V$33,Z599,Parámetros!$D$21-'Tablas Servicio'!T599),0))</f>
        <v/>
      </c>
      <c r="AA600" s="118" t="str">
        <f t="shared" si="822"/>
        <v/>
      </c>
      <c r="AB600" s="119" t="str">
        <f>+IF(W600="","",ROUND((VLOOKUP(ROUNDDOWN($D600-1/frec,0),qx_tabla,2,FALSE)*(1+i/frec)^-0.5*(1+Parámetros!$D$103)*(1+rec_fracc)/frec),6))</f>
        <v/>
      </c>
      <c r="AC600" s="66" t="str">
        <f t="shared" si="778"/>
        <v/>
      </c>
      <c r="AD600" s="119" t="str">
        <f t="shared" si="774"/>
        <v/>
      </c>
      <c r="AE600" s="66" t="str">
        <f>+IF($W600="","",ROUND(IF($B600&gt;Parámetros!$D$107,'Tablas Servicio'!AC600+('Tablas Servicio'!AG599-'Tablas Servicio'!AC599),AC600/(1-IF(B600&lt;=10,Parámetros!$D$104,Parámetros!$D$105))),2))</f>
        <v/>
      </c>
      <c r="AF600" s="66" t="str">
        <f>+IF($W600="","",ROUND(IF($B600&gt;Parámetros!$D$107,'Tablas Servicio'!AC600+('Tablas Servicio'!AG599-'Tablas Servicio'!AC599),(AC600+$A599/frec)/(1-IF(B600&lt;=Parámetros!$D$117,Parámetros!$D$100,0))),2))</f>
        <v/>
      </c>
      <c r="AG600" s="66" t="str">
        <f t="shared" si="779"/>
        <v/>
      </c>
      <c r="AH600" s="66" t="str">
        <f t="shared" si="780"/>
        <v/>
      </c>
      <c r="AI600" s="66" t="str">
        <f t="shared" si="781"/>
        <v/>
      </c>
      <c r="AJ600" s="66" t="str">
        <f>+IF($W600="","",ROUND((AG600*Parámetros!$G$85),2))</f>
        <v/>
      </c>
      <c r="AK600" s="66" t="str">
        <f>+IF($W600="","",ROUND((AG600*(Parámetros!$G$86)),2))</f>
        <v/>
      </c>
      <c r="AL600" s="66" t="str">
        <f t="shared" si="775"/>
        <v/>
      </c>
      <c r="AM600" t="str">
        <f t="shared" si="823"/>
        <v/>
      </c>
      <c r="AN600" t="str">
        <f t="shared" si="824"/>
        <v/>
      </c>
      <c r="AO600" s="118" t="str">
        <f t="shared" si="825"/>
        <v/>
      </c>
      <c r="AP600" s="118" t="str">
        <f t="shared" si="826"/>
        <v/>
      </c>
      <c r="AQ600" s="119" t="str">
        <f>+IF(OR($W600="",AO600=0),"",ROUND((VLOOKUP(ROUNDDOWN($D600-1/frec,0),cob_adi,Z$40,FALSE)*(1+i/frec)^-0.5*(1+Parámetros!$D$103)*(1+rec_fracc)/frec),6))</f>
        <v/>
      </c>
      <c r="AR600" s="66" t="str">
        <f t="shared" si="782"/>
        <v/>
      </c>
      <c r="AS600" s="119" t="str">
        <f t="shared" si="783"/>
        <v/>
      </c>
      <c r="AT600" s="66" t="str">
        <f>+IF($W600="","",ROUND(IF($B600&gt;Parámetros!$D$107,'Tablas Servicio'!AR600+('Tablas Servicio'!AT599-'Tablas Servicio'!AR599),AR600/(1-IF(B600&lt;=10,Parámetros!$D$100,0))),2))</f>
        <v/>
      </c>
      <c r="AU600" s="66" t="str">
        <f t="shared" si="784"/>
        <v/>
      </c>
      <c r="AV600" s="66" t="str">
        <f t="shared" si="784"/>
        <v/>
      </c>
      <c r="AW600" s="66" t="str">
        <f>+IF($W600="","",ROUND((AT600*Parámetros!$G$85),2))</f>
        <v/>
      </c>
      <c r="AX600" s="66" t="str">
        <f>+IF($W600="","",ROUND((AT600*(Parámetros!$G$86)),2))</f>
        <v/>
      </c>
      <c r="AY600" s="66" t="str">
        <f t="shared" si="785"/>
        <v/>
      </c>
      <c r="AZ600" t="str">
        <f t="shared" si="827"/>
        <v/>
      </c>
      <c r="BA600" t="str">
        <f t="shared" si="828"/>
        <v/>
      </c>
      <c r="BB600" s="118" t="str">
        <f t="shared" si="829"/>
        <v/>
      </c>
      <c r="BC600" s="118" t="str">
        <f t="shared" si="830"/>
        <v/>
      </c>
      <c r="BD600" s="119" t="str">
        <f>+IF(OR($W600="",BB600=0),"",ROUND((VLOOKUP(ROUNDDOWN($D600-1/frec,0),cob_adi,AO$40,FALSE)*(1+i/frec)^-0.5*(1+Parámetros!$D$103)*(1+rec_fracc)/frec),6))</f>
        <v/>
      </c>
      <c r="BE600" s="66" t="str">
        <f t="shared" si="786"/>
        <v/>
      </c>
      <c r="BF600" s="119" t="str">
        <f t="shared" si="787"/>
        <v/>
      </c>
      <c r="BG600" s="66" t="str">
        <f>+IF($W600="","",ROUND(IF($B600&gt;Parámetros!$D$107,'Tablas Servicio'!BE600+('Tablas Servicio'!BG599-'Tablas Servicio'!BE599),BE600/(1-IF(B600&lt;=10,Parámetros!$D$100,0))),2))</f>
        <v/>
      </c>
      <c r="BH600" s="66" t="str">
        <f t="shared" si="788"/>
        <v/>
      </c>
      <c r="BI600" s="66" t="str">
        <f t="shared" si="789"/>
        <v/>
      </c>
      <c r="BJ600" s="66" t="str">
        <f>+IF($W600="","",ROUND((BG600*Parámetros!$G$85),2))</f>
        <v/>
      </c>
      <c r="BK600" s="66" t="str">
        <f>+IF($W600="","",ROUND((BG600*(Parámetros!$G$86)),2))</f>
        <v/>
      </c>
      <c r="BL600" s="66" t="str">
        <f t="shared" si="790"/>
        <v/>
      </c>
      <c r="BM600" t="str">
        <f t="shared" si="831"/>
        <v/>
      </c>
      <c r="BN600" t="str">
        <f t="shared" si="832"/>
        <v/>
      </c>
      <c r="BO600" s="118" t="str">
        <f t="shared" si="833"/>
        <v/>
      </c>
      <c r="BP600" s="118" t="str">
        <f t="shared" si="834"/>
        <v/>
      </c>
      <c r="BQ600" s="119" t="str">
        <f>+IF(OR($W600="",BO600=0),"",ROUND((VLOOKUP(ROUNDDOWN($D600-1/frec,0),cob_adi,BB$40,FALSE)*(1+i/frec)^-0.5*(1+Parámetros!$D$103)*(1+rec_fracc)/frec),6))</f>
        <v/>
      </c>
      <c r="BR600" s="66" t="str">
        <f t="shared" si="791"/>
        <v/>
      </c>
      <c r="BS600" s="119" t="str">
        <f t="shared" si="792"/>
        <v/>
      </c>
      <c r="BT600" s="66" t="str">
        <f>+IF($W600="","",ROUND(IF($B600&gt;Parámetros!$D$107,'Tablas Servicio'!BR600+('Tablas Servicio'!BT599-'Tablas Servicio'!BR599),BR600/(1-IF(B600&lt;=10,Parámetros!$D$100,0))),2))</f>
        <v/>
      </c>
      <c r="BU600" s="66" t="str">
        <f t="shared" si="793"/>
        <v/>
      </c>
      <c r="BV600" s="66" t="str">
        <f t="shared" si="793"/>
        <v/>
      </c>
      <c r="BW600" s="66" t="str">
        <f>+IF($W600="","",ROUND((BT600*Parámetros!$G$85),2))</f>
        <v/>
      </c>
      <c r="BX600" s="66" t="str">
        <f>+IF($W600="","",ROUND((BT600*(Parámetros!$G$86)),2))</f>
        <v/>
      </c>
      <c r="BY600" s="66" t="str">
        <f t="shared" si="794"/>
        <v/>
      </c>
      <c r="BZ600" t="str">
        <f t="shared" si="835"/>
        <v/>
      </c>
      <c r="CA600" t="str">
        <f t="shared" si="836"/>
        <v/>
      </c>
      <c r="CB600" s="118" t="str">
        <f t="shared" si="837"/>
        <v/>
      </c>
      <c r="CC600" s="118" t="str">
        <f t="shared" si="838"/>
        <v/>
      </c>
      <c r="CD600" s="119" t="str">
        <f t="shared" si="795"/>
        <v/>
      </c>
      <c r="CE600" s="66" t="str">
        <f>+IF($W600="","",ROUND((VLOOKUP(ROUNDDOWN($D600-1/frec,0),cob_adi,BO$40,FALSE)*(1+i/frec)^-0.5*(1+Parámetros!$D$103)*(1+rec_fracc)/frec*'TABLAS ADI'!$BC$17),2))</f>
        <v/>
      </c>
      <c r="CF600" s="119" t="str">
        <f t="shared" si="796"/>
        <v/>
      </c>
      <c r="CG600" s="66" t="str">
        <f>+IF($W600="","",ROUND(IF($B600&gt;Parámetros!$D$107,'Tablas Servicio'!CE600+('Tablas Servicio'!CG599-'Tablas Servicio'!CE599),CE600/(1-IF(B600&lt;=10,Parámetros!$D$100,0))),2))</f>
        <v/>
      </c>
      <c r="CH600" s="66" t="str">
        <f t="shared" si="797"/>
        <v/>
      </c>
      <c r="CI600" s="66" t="str">
        <f t="shared" si="797"/>
        <v/>
      </c>
      <c r="CJ600" s="66" t="str">
        <f>+IF($W600="","",ROUND((CG600*Parámetros!$G$85),2))</f>
        <v/>
      </c>
      <c r="CK600" s="66" t="str">
        <f>+IF($W600="","",ROUND((CG600*(Parámetros!$G$86)),2))</f>
        <v/>
      </c>
      <c r="CL600" s="66" t="str">
        <f t="shared" si="798"/>
        <v/>
      </c>
      <c r="CM600" t="str">
        <f t="shared" si="839"/>
        <v/>
      </c>
      <c r="CN600" s="118" t="str">
        <f t="shared" si="840"/>
        <v/>
      </c>
      <c r="CO600" s="118" t="str">
        <f t="shared" si="841"/>
        <v/>
      </c>
      <c r="CP600" s="118" t="str">
        <f t="shared" si="842"/>
        <v/>
      </c>
      <c r="CQ600" s="119" t="str">
        <f t="shared" si="799"/>
        <v/>
      </c>
      <c r="CR600" s="66" t="str">
        <f>+IF($W600="","",ROUND((VLOOKUP(Parámetros!$F$51,'COBERTURAS ADICIONALES'!$S$4:$T$32,2,FALSE)*(1+i/frec)^-0.5*(1+Parámetros!$D$103)*(1+rec_fracc)/frec*$CO$42),2))</f>
        <v/>
      </c>
      <c r="CS600" s="119" t="str">
        <f t="shared" si="800"/>
        <v/>
      </c>
      <c r="CT600" s="66" t="str">
        <f>+IF($W600="","",ROUND(IF($B600&gt;Parámetros!$D$107,'Tablas Servicio'!CR600+('Tablas Servicio'!CT599-'Tablas Servicio'!CR599),CR600/(1-IF(B600&lt;=10,Parámetros!$D$100,0))),2))</f>
        <v/>
      </c>
      <c r="CU600" s="66" t="str">
        <f t="shared" si="801"/>
        <v/>
      </c>
      <c r="CV600" s="66" t="str">
        <f t="shared" si="801"/>
        <v/>
      </c>
      <c r="CW600" s="66" t="str">
        <f>+IF($W600="","",ROUND((CT600*Parámetros!$G$85),2))</f>
        <v/>
      </c>
      <c r="CX600" s="66" t="str">
        <f>+IF($W600="","",ROUND((CT600*(Parámetros!$G$86)),2))</f>
        <v/>
      </c>
      <c r="CY600" s="66" t="str">
        <f t="shared" si="802"/>
        <v/>
      </c>
      <c r="CZ600" t="str">
        <f t="shared" si="843"/>
        <v/>
      </c>
      <c r="DA600" s="118" t="str">
        <f t="shared" si="844"/>
        <v/>
      </c>
      <c r="DB600" s="118" t="str">
        <f t="shared" si="845"/>
        <v/>
      </c>
      <c r="DC600" s="118" t="str">
        <f t="shared" si="846"/>
        <v/>
      </c>
      <c r="DD600" s="121" t="str">
        <f>+IF(OR($W600="",DB600=0),"",ROUND((VLOOKUP(ROUNDDOWN($D600-1/frec,0),cob_adi,CO$40,FALSE)*(1+i/frec)^-0.5*(1+Parámetros!$D$103)*(1+rec_fracc)/frec),6))</f>
        <v/>
      </c>
      <c r="DE600" s="66" t="str">
        <f t="shared" si="803"/>
        <v/>
      </c>
      <c r="DF600" s="119" t="str">
        <f t="shared" si="804"/>
        <v/>
      </c>
      <c r="DG600" s="66" t="str">
        <f>+IF($W600="","",ROUND(IF($B600&gt;Parámetros!$D$107,'Tablas Servicio'!DE600+('Tablas Servicio'!DG599-'Tablas Servicio'!DE599),DE600/(1-IF(B600&lt;=10,Parámetros!$D$100,0))),2))</f>
        <v/>
      </c>
      <c r="DH600" s="66" t="str">
        <f t="shared" si="805"/>
        <v/>
      </c>
      <c r="DI600" s="66" t="str">
        <f t="shared" si="805"/>
        <v/>
      </c>
      <c r="DJ600" s="66" t="str">
        <f>+IF($W600="","",ROUND((DG600*Parámetros!$G$85),2))</f>
        <v/>
      </c>
      <c r="DK600" s="66" t="str">
        <f>+IF($W600="","",ROUND((DG600*(Parámetros!$G$86)),2))</f>
        <v/>
      </c>
      <c r="DL600" s="66" t="str">
        <f t="shared" si="806"/>
        <v/>
      </c>
      <c r="DM600" t="str">
        <f t="shared" si="847"/>
        <v/>
      </c>
      <c r="DN600" s="118" t="str">
        <f t="shared" si="848"/>
        <v/>
      </c>
      <c r="DO600" s="118" t="str">
        <f t="shared" si="849"/>
        <v/>
      </c>
      <c r="DP600" s="118" t="str">
        <f t="shared" si="850"/>
        <v/>
      </c>
      <c r="DQ600" s="122" t="str">
        <f>+IF(OR($W600="",DO600=0),"",ROUND((VLOOKUP(ROUNDDOWN($D600-1/frec,0),cob_adi,DB$40,FALSE)*(1+i/frec)^-0.5*(1+Parámetros!$D$103)*(1+rec_fracc)/frec),6))</f>
        <v/>
      </c>
      <c r="DR600" s="66" t="str">
        <f t="shared" si="807"/>
        <v/>
      </c>
      <c r="DS600" s="68" t="str">
        <f t="shared" si="808"/>
        <v/>
      </c>
      <c r="DT600" s="66" t="str">
        <f>+IF($W600="","",ROUND(IF($B600&gt;Parámetros!$D$107,'Tablas Servicio'!DR600+('Tablas Servicio'!DT599-'Tablas Servicio'!DR599),DR600/(1-IF(B600&lt;=10,Parámetros!$D$100,0))),2))</f>
        <v/>
      </c>
      <c r="DU600" s="66" t="str">
        <f t="shared" si="809"/>
        <v/>
      </c>
      <c r="DV600" s="66" t="str">
        <f t="shared" si="809"/>
        <v/>
      </c>
      <c r="DW600" s="66" t="str">
        <f>+IF($W600="","",ROUND((DT600*Parámetros!$G$85),2))</f>
        <v/>
      </c>
      <c r="DX600" s="66" t="str">
        <f>+IF($W600="","",ROUND((DT600*(Parámetros!$G$86)),2))</f>
        <v/>
      </c>
      <c r="DY600" s="66" t="str">
        <f t="shared" si="810"/>
        <v/>
      </c>
      <c r="DZ600" t="str">
        <f t="shared" si="852"/>
        <v/>
      </c>
      <c r="EA600" s="118" t="str">
        <f t="shared" si="852"/>
        <v/>
      </c>
      <c r="EB600" s="118" t="str">
        <f>+IF($W600="","",ROUND(IF(Parámetros!$D$25='TABLAS MORT'!$V$33,EB599,Z600/2),0))</f>
        <v/>
      </c>
      <c r="EC600" s="118" t="str">
        <f t="shared" si="852"/>
        <v/>
      </c>
      <c r="ED600" s="122" t="str">
        <f>+IF(OR($W600="",EB600=0),"",ROUND((VLOOKUP(ROUNDDOWN($D600-1/frec,0),cob_adi,DO$40,FALSE)*(1+i/frec)^-0.5*(1+Parámetros!$D$103)*(1+rec_fracc)/frec),6))</f>
        <v/>
      </c>
      <c r="EE600" s="66" t="str">
        <f t="shared" si="812"/>
        <v/>
      </c>
      <c r="EF600" s="68" t="str">
        <f t="shared" si="813"/>
        <v/>
      </c>
      <c r="EG600" s="66" t="str">
        <f>+IF($W600="","",ROUND(IF($B600&gt;Parámetros!$D$107,'Tablas Servicio'!EE600+('Tablas Servicio'!EG599-'Tablas Servicio'!EE599),EE600/(1-IF(B600&lt;=10,Parámetros!$D$100,0))),2))</f>
        <v/>
      </c>
      <c r="EH600" s="66" t="str">
        <f t="shared" si="814"/>
        <v/>
      </c>
      <c r="EI600" s="66" t="str">
        <f t="shared" si="814"/>
        <v/>
      </c>
      <c r="EJ600" s="66" t="str">
        <f>+IF($W600="","",ROUND((EG600*Parámetros!$G$85),2))</f>
        <v/>
      </c>
      <c r="EK600" s="66" t="str">
        <f>+IF($W600="","",ROUND((EG600*(Parámetros!$G$86)),2))</f>
        <v/>
      </c>
      <c r="EL600" s="66" t="str">
        <f t="shared" si="815"/>
        <v/>
      </c>
    </row>
    <row r="601" spans="1:142" x14ac:dyDescent="0.25">
      <c r="A601" t="str">
        <f>+IF($C601="","",ROUND(VLOOKUP('Tablas Servicio'!B601,Parámetros!$H$100:$J$159,IF(Parámetros!$E$16="F",2,3),FALSE),2))</f>
        <v/>
      </c>
      <c r="B601" t="str">
        <f t="shared" si="766"/>
        <v/>
      </c>
      <c r="C601" s="57" t="str">
        <f>+IF(D601="","",'Tablas Servicio'!C600+1)</f>
        <v/>
      </c>
      <c r="D601" s="56" t="str">
        <f>+IF(D600&lt;edadmaxtabla,D600+1/Parámetros!$E$25,"")</f>
        <v/>
      </c>
      <c r="E601" s="57" t="str">
        <f t="shared" si="776"/>
        <v/>
      </c>
      <c r="F601" s="59" t="str">
        <f t="shared" si="777"/>
        <v/>
      </c>
      <c r="G601" s="66" t="str">
        <f t="shared" si="767"/>
        <v/>
      </c>
      <c r="H601" s="66" t="str">
        <f t="shared" si="768"/>
        <v/>
      </c>
      <c r="I601" s="66" t="str">
        <f t="shared" si="816"/>
        <v/>
      </c>
      <c r="J601" s="66" t="str">
        <f t="shared" si="769"/>
        <v/>
      </c>
      <c r="K601" s="66" t="str">
        <f t="shared" si="770"/>
        <v/>
      </c>
      <c r="L601" s="66" t="str">
        <f t="shared" si="771"/>
        <v/>
      </c>
      <c r="M601" s="66" t="str">
        <f t="shared" si="772"/>
        <v/>
      </c>
      <c r="N601" s="66" t="str">
        <f>+IF(C601="","",ROUND(Parámetros!$D$23,2))</f>
        <v/>
      </c>
      <c r="O601" s="66" t="str">
        <f t="shared" si="773"/>
        <v/>
      </c>
      <c r="P601" s="66" t="str">
        <f>+IF($C601="","",ROUND(IF(B601&gt;Parámetros!$D$117,0,N601*Parámetros!$D$116-G601*Parámetros!$D$100),2))</f>
        <v/>
      </c>
      <c r="Q601" s="75" t="str">
        <f t="shared" si="817"/>
        <v/>
      </c>
      <c r="R601" s="75" t="str">
        <f t="shared" si="818"/>
        <v/>
      </c>
      <c r="S601" s="117" t="str">
        <f>+IF($C601="","",ROUND((S600+I601)*(1+Parámetros!$D$91),2))</f>
        <v/>
      </c>
      <c r="T601" s="117" t="str">
        <f>+IF($C601="","",ROUND(S601*VLOOKUP(B601,Parámetros!$C$30:$D$39,2,TRUE),2))</f>
        <v/>
      </c>
      <c r="U601" s="117" t="str">
        <f>+IF($C601="","",ROUND((U600+I601)*(1+Parámetros!$D$92),2))</f>
        <v/>
      </c>
      <c r="V601" s="117" t="str">
        <f>+IF($C601="","",ROUND(U601*VLOOKUP(B601,Parámetros!$C$30:$D$39,2,TRUE),2))</f>
        <v/>
      </c>
      <c r="W601" s="57" t="str">
        <f t="shared" si="819"/>
        <v/>
      </c>
      <c r="X601" t="str">
        <f t="shared" si="820"/>
        <v/>
      </c>
      <c r="Y601" t="str">
        <f t="shared" si="821"/>
        <v/>
      </c>
      <c r="Z601" s="118" t="str">
        <f>+IF($W601="","",ROUND(IF(Parámetros!$D$25='TABLAS MORT'!$V$33,Z600,Parámetros!$D$21-'Tablas Servicio'!T600),0))</f>
        <v/>
      </c>
      <c r="AA601" s="118" t="str">
        <f t="shared" si="822"/>
        <v/>
      </c>
      <c r="AB601" s="119" t="str">
        <f>+IF(W601="","",ROUND((VLOOKUP(ROUNDDOWN($D601-1/frec,0),qx_tabla,2,FALSE)*(1+i/frec)^-0.5*(1+Parámetros!$D$103)*(1+rec_fracc)/frec),6))</f>
        <v/>
      </c>
      <c r="AC601" s="66" t="str">
        <f t="shared" si="778"/>
        <v/>
      </c>
      <c r="AD601" s="119" t="str">
        <f t="shared" si="774"/>
        <v/>
      </c>
      <c r="AE601" s="66" t="str">
        <f>+IF($W601="","",ROUND(IF($B601&gt;Parámetros!$D$107,'Tablas Servicio'!AC601+('Tablas Servicio'!AG600-'Tablas Servicio'!AC600),AC601/(1-IF(B601&lt;=10,Parámetros!$D$104,Parámetros!$D$105))),2))</f>
        <v/>
      </c>
      <c r="AF601" s="66" t="str">
        <f>+IF($W601="","",ROUND(IF($B601&gt;Parámetros!$D$107,'Tablas Servicio'!AC601+('Tablas Servicio'!AG600-'Tablas Servicio'!AC600),(AC601+$A600/frec)/(1-IF(B601&lt;=Parámetros!$D$117,Parámetros!$D$100,0))),2))</f>
        <v/>
      </c>
      <c r="AG601" s="66" t="str">
        <f t="shared" si="779"/>
        <v/>
      </c>
      <c r="AH601" s="66" t="str">
        <f t="shared" si="780"/>
        <v/>
      </c>
      <c r="AI601" s="66" t="str">
        <f t="shared" si="781"/>
        <v/>
      </c>
      <c r="AJ601" s="66" t="str">
        <f>+IF($W601="","",ROUND((AG601*Parámetros!$G$85),2))</f>
        <v/>
      </c>
      <c r="AK601" s="66" t="str">
        <f>+IF($W601="","",ROUND((AG601*(Parámetros!$G$86)),2))</f>
        <v/>
      </c>
      <c r="AL601" s="66" t="str">
        <f t="shared" si="775"/>
        <v/>
      </c>
      <c r="AM601" t="str">
        <f t="shared" si="823"/>
        <v/>
      </c>
      <c r="AN601" t="str">
        <f t="shared" si="824"/>
        <v/>
      </c>
      <c r="AO601" s="118" t="str">
        <f t="shared" si="825"/>
        <v/>
      </c>
      <c r="AP601" s="118" t="str">
        <f t="shared" si="826"/>
        <v/>
      </c>
      <c r="AQ601" s="119" t="str">
        <f>+IF(OR($W601="",AO601=0),"",ROUND((VLOOKUP(ROUNDDOWN($D601-1/frec,0),cob_adi,Z$40,FALSE)*(1+i/frec)^-0.5*(1+Parámetros!$D$103)*(1+rec_fracc)/frec),6))</f>
        <v/>
      </c>
      <c r="AR601" s="66" t="str">
        <f t="shared" si="782"/>
        <v/>
      </c>
      <c r="AS601" s="119" t="str">
        <f t="shared" si="783"/>
        <v/>
      </c>
      <c r="AT601" s="66" t="str">
        <f>+IF($W601="","",ROUND(IF($B601&gt;Parámetros!$D$107,'Tablas Servicio'!AR601+('Tablas Servicio'!AT600-'Tablas Servicio'!AR600),AR601/(1-IF(B601&lt;=10,Parámetros!$D$100,0))),2))</f>
        <v/>
      </c>
      <c r="AU601" s="66" t="str">
        <f t="shared" si="784"/>
        <v/>
      </c>
      <c r="AV601" s="66" t="str">
        <f t="shared" si="784"/>
        <v/>
      </c>
      <c r="AW601" s="66" t="str">
        <f>+IF($W601="","",ROUND((AT601*Parámetros!$G$85),2))</f>
        <v/>
      </c>
      <c r="AX601" s="66" t="str">
        <f>+IF($W601="","",ROUND((AT601*(Parámetros!$G$86)),2))</f>
        <v/>
      </c>
      <c r="AY601" s="66" t="str">
        <f t="shared" si="785"/>
        <v/>
      </c>
      <c r="AZ601" t="str">
        <f t="shared" si="827"/>
        <v/>
      </c>
      <c r="BA601" t="str">
        <f t="shared" si="828"/>
        <v/>
      </c>
      <c r="BB601" s="118" t="str">
        <f t="shared" si="829"/>
        <v/>
      </c>
      <c r="BC601" s="118" t="str">
        <f t="shared" si="830"/>
        <v/>
      </c>
      <c r="BD601" s="119" t="str">
        <f>+IF(OR($W601="",BB601=0),"",ROUND((VLOOKUP(ROUNDDOWN($D601-1/frec,0),cob_adi,AO$40,FALSE)*(1+i/frec)^-0.5*(1+Parámetros!$D$103)*(1+rec_fracc)/frec),6))</f>
        <v/>
      </c>
      <c r="BE601" s="66" t="str">
        <f t="shared" si="786"/>
        <v/>
      </c>
      <c r="BF601" s="119" t="str">
        <f t="shared" si="787"/>
        <v/>
      </c>
      <c r="BG601" s="66" t="str">
        <f>+IF($W601="","",ROUND(IF($B601&gt;Parámetros!$D$107,'Tablas Servicio'!BE601+('Tablas Servicio'!BG600-'Tablas Servicio'!BE600),BE601/(1-IF(B601&lt;=10,Parámetros!$D$100,0))),2))</f>
        <v/>
      </c>
      <c r="BH601" s="66" t="str">
        <f t="shared" si="788"/>
        <v/>
      </c>
      <c r="BI601" s="66" t="str">
        <f t="shared" si="789"/>
        <v/>
      </c>
      <c r="BJ601" s="66" t="str">
        <f>+IF($W601="","",ROUND((BG601*Parámetros!$G$85),2))</f>
        <v/>
      </c>
      <c r="BK601" s="66" t="str">
        <f>+IF($W601="","",ROUND((BG601*(Parámetros!$G$86)),2))</f>
        <v/>
      </c>
      <c r="BL601" s="66" t="str">
        <f t="shared" si="790"/>
        <v/>
      </c>
      <c r="BM601" t="str">
        <f t="shared" si="831"/>
        <v/>
      </c>
      <c r="BN601" t="str">
        <f t="shared" si="832"/>
        <v/>
      </c>
      <c r="BO601" s="118" t="str">
        <f t="shared" si="833"/>
        <v/>
      </c>
      <c r="BP601" s="118" t="str">
        <f t="shared" si="834"/>
        <v/>
      </c>
      <c r="BQ601" s="119" t="str">
        <f>+IF(OR($W601="",BO601=0),"",ROUND((VLOOKUP(ROUNDDOWN($D601-1/frec,0),cob_adi,BB$40,FALSE)*(1+i/frec)^-0.5*(1+Parámetros!$D$103)*(1+rec_fracc)/frec),6))</f>
        <v/>
      </c>
      <c r="BR601" s="66" t="str">
        <f t="shared" si="791"/>
        <v/>
      </c>
      <c r="BS601" s="119" t="str">
        <f t="shared" si="792"/>
        <v/>
      </c>
      <c r="BT601" s="66" t="str">
        <f>+IF($W601="","",ROUND(IF($B601&gt;Parámetros!$D$107,'Tablas Servicio'!BR601+('Tablas Servicio'!BT600-'Tablas Servicio'!BR600),BR601/(1-IF(B601&lt;=10,Parámetros!$D$100,0))),2))</f>
        <v/>
      </c>
      <c r="BU601" s="66" t="str">
        <f t="shared" si="793"/>
        <v/>
      </c>
      <c r="BV601" s="66" t="str">
        <f t="shared" si="793"/>
        <v/>
      </c>
      <c r="BW601" s="66" t="str">
        <f>+IF($W601="","",ROUND((BT601*Parámetros!$G$85),2))</f>
        <v/>
      </c>
      <c r="BX601" s="66" t="str">
        <f>+IF($W601="","",ROUND((BT601*(Parámetros!$G$86)),2))</f>
        <v/>
      </c>
      <c r="BY601" s="66" t="str">
        <f t="shared" si="794"/>
        <v/>
      </c>
      <c r="BZ601" t="str">
        <f t="shared" si="835"/>
        <v/>
      </c>
      <c r="CA601" t="str">
        <f t="shared" si="836"/>
        <v/>
      </c>
      <c r="CB601" s="118" t="str">
        <f t="shared" si="837"/>
        <v/>
      </c>
      <c r="CC601" s="118" t="str">
        <f t="shared" si="838"/>
        <v/>
      </c>
      <c r="CD601" s="119" t="str">
        <f t="shared" si="795"/>
        <v/>
      </c>
      <c r="CE601" s="66" t="str">
        <f>+IF($W601="","",ROUND((VLOOKUP(ROUNDDOWN($D601-1/frec,0),cob_adi,BO$40,FALSE)*(1+i/frec)^-0.5*(1+Parámetros!$D$103)*(1+rec_fracc)/frec*'TABLAS ADI'!$BC$17),2))</f>
        <v/>
      </c>
      <c r="CF601" s="119" t="str">
        <f t="shared" si="796"/>
        <v/>
      </c>
      <c r="CG601" s="66" t="str">
        <f>+IF($W601="","",ROUND(IF($B601&gt;Parámetros!$D$107,'Tablas Servicio'!CE601+('Tablas Servicio'!CG600-'Tablas Servicio'!CE600),CE601/(1-IF(B601&lt;=10,Parámetros!$D$100,0))),2))</f>
        <v/>
      </c>
      <c r="CH601" s="66" t="str">
        <f t="shared" si="797"/>
        <v/>
      </c>
      <c r="CI601" s="66" t="str">
        <f t="shared" si="797"/>
        <v/>
      </c>
      <c r="CJ601" s="66" t="str">
        <f>+IF($W601="","",ROUND((CG601*Parámetros!$G$85),2))</f>
        <v/>
      </c>
      <c r="CK601" s="66" t="str">
        <f>+IF($W601="","",ROUND((CG601*(Parámetros!$G$86)),2))</f>
        <v/>
      </c>
      <c r="CL601" s="66" t="str">
        <f t="shared" si="798"/>
        <v/>
      </c>
      <c r="CM601" t="str">
        <f t="shared" si="839"/>
        <v/>
      </c>
      <c r="CN601" s="118" t="str">
        <f t="shared" si="840"/>
        <v/>
      </c>
      <c r="CO601" s="118" t="str">
        <f t="shared" si="841"/>
        <v/>
      </c>
      <c r="CP601" s="118" t="str">
        <f t="shared" si="842"/>
        <v/>
      </c>
      <c r="CQ601" s="119" t="str">
        <f t="shared" si="799"/>
        <v/>
      </c>
      <c r="CR601" s="66" t="str">
        <f>+IF($W601="","",ROUND((VLOOKUP(Parámetros!$F$51,'COBERTURAS ADICIONALES'!$S$4:$T$32,2,FALSE)*(1+i/frec)^-0.5*(1+Parámetros!$D$103)*(1+rec_fracc)/frec*$CO$42),2))</f>
        <v/>
      </c>
      <c r="CS601" s="119" t="str">
        <f t="shared" si="800"/>
        <v/>
      </c>
      <c r="CT601" s="66" t="str">
        <f>+IF($W601="","",ROUND(IF($B601&gt;Parámetros!$D$107,'Tablas Servicio'!CR601+('Tablas Servicio'!CT600-'Tablas Servicio'!CR600),CR601/(1-IF(B601&lt;=10,Parámetros!$D$100,0))),2))</f>
        <v/>
      </c>
      <c r="CU601" s="66" t="str">
        <f t="shared" si="801"/>
        <v/>
      </c>
      <c r="CV601" s="66" t="str">
        <f t="shared" si="801"/>
        <v/>
      </c>
      <c r="CW601" s="66" t="str">
        <f>+IF($W601="","",ROUND((CT601*Parámetros!$G$85),2))</f>
        <v/>
      </c>
      <c r="CX601" s="66" t="str">
        <f>+IF($W601="","",ROUND((CT601*(Parámetros!$G$86)),2))</f>
        <v/>
      </c>
      <c r="CY601" s="66" t="str">
        <f t="shared" si="802"/>
        <v/>
      </c>
      <c r="CZ601" t="str">
        <f t="shared" si="843"/>
        <v/>
      </c>
      <c r="DA601" s="118" t="str">
        <f t="shared" si="844"/>
        <v/>
      </c>
      <c r="DB601" s="118" t="str">
        <f t="shared" si="845"/>
        <v/>
      </c>
      <c r="DC601" s="118" t="str">
        <f t="shared" si="846"/>
        <v/>
      </c>
      <c r="DD601" s="121" t="str">
        <f>+IF(OR($W601="",DB601=0),"",ROUND((VLOOKUP(ROUNDDOWN($D601-1/frec,0),cob_adi,CO$40,FALSE)*(1+i/frec)^-0.5*(1+Parámetros!$D$103)*(1+rec_fracc)/frec),6))</f>
        <v/>
      </c>
      <c r="DE601" s="66" t="str">
        <f t="shared" si="803"/>
        <v/>
      </c>
      <c r="DF601" s="119" t="str">
        <f t="shared" si="804"/>
        <v/>
      </c>
      <c r="DG601" s="66" t="str">
        <f>+IF($W601="","",ROUND(IF($B601&gt;Parámetros!$D$107,'Tablas Servicio'!DE601+('Tablas Servicio'!DG600-'Tablas Servicio'!DE600),DE601/(1-IF(B601&lt;=10,Parámetros!$D$100,0))),2))</f>
        <v/>
      </c>
      <c r="DH601" s="66" t="str">
        <f t="shared" si="805"/>
        <v/>
      </c>
      <c r="DI601" s="66" t="str">
        <f t="shared" si="805"/>
        <v/>
      </c>
      <c r="DJ601" s="66" t="str">
        <f>+IF($W601="","",ROUND((DG601*Parámetros!$G$85),2))</f>
        <v/>
      </c>
      <c r="DK601" s="66" t="str">
        <f>+IF($W601="","",ROUND((DG601*(Parámetros!$G$86)),2))</f>
        <v/>
      </c>
      <c r="DL601" s="66" t="str">
        <f t="shared" si="806"/>
        <v/>
      </c>
      <c r="DM601" t="str">
        <f t="shared" si="847"/>
        <v/>
      </c>
      <c r="DN601" s="118" t="str">
        <f t="shared" si="848"/>
        <v/>
      </c>
      <c r="DO601" s="118" t="str">
        <f t="shared" si="849"/>
        <v/>
      </c>
      <c r="DP601" s="118" t="str">
        <f t="shared" si="850"/>
        <v/>
      </c>
      <c r="DQ601" s="122" t="str">
        <f>+IF(OR($W601="",DO601=0),"",ROUND((VLOOKUP(ROUNDDOWN($D601-1/frec,0),cob_adi,DB$40,FALSE)*(1+i/frec)^-0.5*(1+Parámetros!$D$103)*(1+rec_fracc)/frec),6))</f>
        <v/>
      </c>
      <c r="DR601" s="66" t="str">
        <f t="shared" si="807"/>
        <v/>
      </c>
      <c r="DS601" s="68" t="str">
        <f t="shared" si="808"/>
        <v/>
      </c>
      <c r="DT601" s="66" t="str">
        <f>+IF($W601="","",ROUND(IF($B601&gt;Parámetros!$D$107,'Tablas Servicio'!DR601+('Tablas Servicio'!DT600-'Tablas Servicio'!DR600),DR601/(1-IF(B601&lt;=10,Parámetros!$D$100,0))),2))</f>
        <v/>
      </c>
      <c r="DU601" s="66" t="str">
        <f t="shared" si="809"/>
        <v/>
      </c>
      <c r="DV601" s="66" t="str">
        <f t="shared" si="809"/>
        <v/>
      </c>
      <c r="DW601" s="66" t="str">
        <f>+IF($W601="","",ROUND((DT601*Parámetros!$G$85),2))</f>
        <v/>
      </c>
      <c r="DX601" s="66" t="str">
        <f>+IF($W601="","",ROUND((DT601*(Parámetros!$G$86)),2))</f>
        <v/>
      </c>
      <c r="DY601" s="66" t="str">
        <f t="shared" si="810"/>
        <v/>
      </c>
      <c r="DZ601" t="str">
        <f t="shared" si="852"/>
        <v/>
      </c>
      <c r="EA601" s="118" t="str">
        <f t="shared" si="852"/>
        <v/>
      </c>
      <c r="EB601" s="118" t="str">
        <f>+IF($W601="","",ROUND(IF(Parámetros!$D$25='TABLAS MORT'!$V$33,EB600,Z601/2),0))</f>
        <v/>
      </c>
      <c r="EC601" s="118" t="str">
        <f t="shared" si="852"/>
        <v/>
      </c>
      <c r="ED601" s="122" t="str">
        <f>+IF(OR($W601="",EB601=0),"",ROUND((VLOOKUP(ROUNDDOWN($D601-1/frec,0),cob_adi,DO$40,FALSE)*(1+i/frec)^-0.5*(1+Parámetros!$D$103)*(1+rec_fracc)/frec),6))</f>
        <v/>
      </c>
      <c r="EE601" s="66" t="str">
        <f t="shared" si="812"/>
        <v/>
      </c>
      <c r="EF601" s="68" t="str">
        <f t="shared" si="813"/>
        <v/>
      </c>
      <c r="EG601" s="66" t="str">
        <f>+IF($W601="","",ROUND(IF($B601&gt;Parámetros!$D$107,'Tablas Servicio'!EE601+('Tablas Servicio'!EG600-'Tablas Servicio'!EE600),EE601/(1-IF(B601&lt;=10,Parámetros!$D$100,0))),2))</f>
        <v/>
      </c>
      <c r="EH601" s="66" t="str">
        <f t="shared" si="814"/>
        <v/>
      </c>
      <c r="EI601" s="66" t="str">
        <f t="shared" si="814"/>
        <v/>
      </c>
      <c r="EJ601" s="66" t="str">
        <f>+IF($W601="","",ROUND((EG601*Parámetros!$G$85),2))</f>
        <v/>
      </c>
      <c r="EK601" s="66" t="str">
        <f>+IF($W601="","",ROUND((EG601*(Parámetros!$G$86)),2))</f>
        <v/>
      </c>
      <c r="EL601" s="66" t="str">
        <f t="shared" si="815"/>
        <v/>
      </c>
    </row>
    <row r="602" spans="1:142" x14ac:dyDescent="0.25">
      <c r="A602" t="str">
        <f>+IF($C602="","",ROUND(VLOOKUP('Tablas Servicio'!B602,Parámetros!$H$100:$J$159,IF(Parámetros!$E$16="F",2,3),FALSE),2))</f>
        <v/>
      </c>
      <c r="B602" t="str">
        <f t="shared" si="766"/>
        <v/>
      </c>
      <c r="C602" s="57" t="str">
        <f>+IF(D602="","",'Tablas Servicio'!C601+1)</f>
        <v/>
      </c>
      <c r="D602" s="56" t="str">
        <f>+IF(D601&lt;edadmaxtabla,D601+1/Parámetros!$E$25,"")</f>
        <v/>
      </c>
      <c r="E602" s="57" t="str">
        <f t="shared" si="776"/>
        <v/>
      </c>
      <c r="F602" s="59" t="str">
        <f t="shared" si="777"/>
        <v/>
      </c>
      <c r="G602" s="66" t="str">
        <f t="shared" si="767"/>
        <v/>
      </c>
      <c r="H602" s="66" t="str">
        <f t="shared" si="768"/>
        <v/>
      </c>
      <c r="I602" s="66" t="str">
        <f t="shared" si="816"/>
        <v/>
      </c>
      <c r="J602" s="66" t="str">
        <f t="shared" si="769"/>
        <v/>
      </c>
      <c r="K602" s="66" t="str">
        <f t="shared" si="770"/>
        <v/>
      </c>
      <c r="L602" s="66" t="str">
        <f t="shared" si="771"/>
        <v/>
      </c>
      <c r="M602" s="66" t="str">
        <f t="shared" si="772"/>
        <v/>
      </c>
      <c r="N602" s="66" t="str">
        <f>+IF(C602="","",ROUND(Parámetros!$D$23,2))</f>
        <v/>
      </c>
      <c r="O602" s="66" t="str">
        <f t="shared" si="773"/>
        <v/>
      </c>
      <c r="P602" s="66" t="str">
        <f>+IF($C602="","",ROUND(IF(B602&gt;Parámetros!$D$117,0,N602*Parámetros!$D$116-G602*Parámetros!$D$100),2))</f>
        <v/>
      </c>
      <c r="Q602" s="75" t="str">
        <f t="shared" si="817"/>
        <v/>
      </c>
      <c r="R602" s="75" t="str">
        <f t="shared" si="818"/>
        <v/>
      </c>
      <c r="S602" s="117" t="str">
        <f>+IF($C602="","",ROUND((S601+I602)*(1+Parámetros!$D$91),2))</f>
        <v/>
      </c>
      <c r="T602" s="117" t="str">
        <f>+IF($C602="","",ROUND(S602*VLOOKUP(B602,Parámetros!$C$30:$D$39,2,TRUE),2))</f>
        <v/>
      </c>
      <c r="U602" s="117" t="str">
        <f>+IF($C602="","",ROUND((U601+I602)*(1+Parámetros!$D$92),2))</f>
        <v/>
      </c>
      <c r="V602" s="117" t="str">
        <f>+IF($C602="","",ROUND(U602*VLOOKUP(B602,Parámetros!$C$30:$D$39,2,TRUE),2))</f>
        <v/>
      </c>
      <c r="W602" s="57" t="str">
        <f t="shared" si="819"/>
        <v/>
      </c>
      <c r="X602" t="str">
        <f t="shared" si="820"/>
        <v/>
      </c>
      <c r="Y602" t="str">
        <f t="shared" si="821"/>
        <v/>
      </c>
      <c r="Z602" s="118" t="str">
        <f>+IF($W602="","",ROUND(IF(Parámetros!$D$25='TABLAS MORT'!$V$33,Z601,Parámetros!$D$21-'Tablas Servicio'!T601),0))</f>
        <v/>
      </c>
      <c r="AA602" s="118" t="str">
        <f t="shared" si="822"/>
        <v/>
      </c>
      <c r="AB602" s="119" t="str">
        <f>+IF(W602="","",ROUND((VLOOKUP(ROUNDDOWN($D602-1/frec,0),qx_tabla,2,FALSE)*(1+i/frec)^-0.5*(1+Parámetros!$D$103)*(1+rec_fracc)/frec),6))</f>
        <v/>
      </c>
      <c r="AC602" s="66" t="str">
        <f t="shared" si="778"/>
        <v/>
      </c>
      <c r="AD602" s="119" t="str">
        <f t="shared" si="774"/>
        <v/>
      </c>
      <c r="AE602" s="66" t="str">
        <f>+IF($W602="","",ROUND(IF($B602&gt;Parámetros!$D$107,'Tablas Servicio'!AC602+('Tablas Servicio'!AG601-'Tablas Servicio'!AC601),AC602/(1-IF(B602&lt;=10,Parámetros!$D$104,Parámetros!$D$105))),2))</f>
        <v/>
      </c>
      <c r="AF602" s="66" t="str">
        <f>+IF($W602="","",ROUND(IF($B602&gt;Parámetros!$D$107,'Tablas Servicio'!AC602+('Tablas Servicio'!AG601-'Tablas Servicio'!AC601),(AC602+$A601/frec)/(1-IF(B602&lt;=Parámetros!$D$117,Parámetros!$D$100,0))),2))</f>
        <v/>
      </c>
      <c r="AG602" s="66" t="str">
        <f t="shared" si="779"/>
        <v/>
      </c>
      <c r="AH602" s="66" t="str">
        <f t="shared" si="780"/>
        <v/>
      </c>
      <c r="AI602" s="66" t="str">
        <f t="shared" si="781"/>
        <v/>
      </c>
      <c r="AJ602" s="66" t="str">
        <f>+IF($W602="","",ROUND((AG602*Parámetros!$G$85),2))</f>
        <v/>
      </c>
      <c r="AK602" s="66" t="str">
        <f>+IF($W602="","",ROUND((AG602*(Parámetros!$G$86)),2))</f>
        <v/>
      </c>
      <c r="AL602" s="66" t="str">
        <f t="shared" si="775"/>
        <v/>
      </c>
      <c r="AM602" t="str">
        <f t="shared" si="823"/>
        <v/>
      </c>
      <c r="AN602" t="str">
        <f t="shared" si="824"/>
        <v/>
      </c>
      <c r="AO602" s="118" t="str">
        <f t="shared" si="825"/>
        <v/>
      </c>
      <c r="AP602" s="118" t="str">
        <f t="shared" si="826"/>
        <v/>
      </c>
      <c r="AQ602" s="119" t="str">
        <f>+IF(OR($W602="",AO602=0),"",ROUND((VLOOKUP(ROUNDDOWN($D602-1/frec,0),cob_adi,Z$40,FALSE)*(1+i/frec)^-0.5*(1+Parámetros!$D$103)*(1+rec_fracc)/frec),6))</f>
        <v/>
      </c>
      <c r="AR602" s="66" t="str">
        <f t="shared" si="782"/>
        <v/>
      </c>
      <c r="AS602" s="119" t="str">
        <f t="shared" si="783"/>
        <v/>
      </c>
      <c r="AT602" s="66" t="str">
        <f>+IF($W602="","",ROUND(IF($B602&gt;Parámetros!$D$107,'Tablas Servicio'!AR602+('Tablas Servicio'!AT601-'Tablas Servicio'!AR601),AR602/(1-IF(B602&lt;=10,Parámetros!$D$100,0))),2))</f>
        <v/>
      </c>
      <c r="AU602" s="66" t="str">
        <f t="shared" si="784"/>
        <v/>
      </c>
      <c r="AV602" s="66" t="str">
        <f t="shared" si="784"/>
        <v/>
      </c>
      <c r="AW602" s="66" t="str">
        <f>+IF($W602="","",ROUND((AT602*Parámetros!$G$85),2))</f>
        <v/>
      </c>
      <c r="AX602" s="66" t="str">
        <f>+IF($W602="","",ROUND((AT602*(Parámetros!$G$86)),2))</f>
        <v/>
      </c>
      <c r="AY602" s="66" t="str">
        <f t="shared" si="785"/>
        <v/>
      </c>
      <c r="AZ602" t="str">
        <f t="shared" si="827"/>
        <v/>
      </c>
      <c r="BA602" t="str">
        <f t="shared" si="828"/>
        <v/>
      </c>
      <c r="BB602" s="118" t="str">
        <f t="shared" si="829"/>
        <v/>
      </c>
      <c r="BC602" s="118" t="str">
        <f t="shared" si="830"/>
        <v/>
      </c>
      <c r="BD602" s="119" t="str">
        <f>+IF(OR($W602="",BB602=0),"",ROUND((VLOOKUP(ROUNDDOWN($D602-1/frec,0),cob_adi,AO$40,FALSE)*(1+i/frec)^-0.5*(1+Parámetros!$D$103)*(1+rec_fracc)/frec),6))</f>
        <v/>
      </c>
      <c r="BE602" s="66" t="str">
        <f t="shared" si="786"/>
        <v/>
      </c>
      <c r="BF602" s="119" t="str">
        <f t="shared" si="787"/>
        <v/>
      </c>
      <c r="BG602" s="66" t="str">
        <f>+IF($W602="","",ROUND(IF($B602&gt;Parámetros!$D$107,'Tablas Servicio'!BE602+('Tablas Servicio'!BG601-'Tablas Servicio'!BE601),BE602/(1-IF(B602&lt;=10,Parámetros!$D$100,0))),2))</f>
        <v/>
      </c>
      <c r="BH602" s="66" t="str">
        <f t="shared" si="788"/>
        <v/>
      </c>
      <c r="BI602" s="66" t="str">
        <f t="shared" si="789"/>
        <v/>
      </c>
      <c r="BJ602" s="66" t="str">
        <f>+IF($W602="","",ROUND((BG602*Parámetros!$G$85),2))</f>
        <v/>
      </c>
      <c r="BK602" s="66" t="str">
        <f>+IF($W602="","",ROUND((BG602*(Parámetros!$G$86)),2))</f>
        <v/>
      </c>
      <c r="BL602" s="66" t="str">
        <f t="shared" si="790"/>
        <v/>
      </c>
      <c r="BM602" t="str">
        <f t="shared" si="831"/>
        <v/>
      </c>
      <c r="BN602" t="str">
        <f t="shared" si="832"/>
        <v/>
      </c>
      <c r="BO602" s="118" t="str">
        <f t="shared" si="833"/>
        <v/>
      </c>
      <c r="BP602" s="118" t="str">
        <f t="shared" si="834"/>
        <v/>
      </c>
      <c r="BQ602" s="119" t="str">
        <f>+IF(OR($W602="",BO602=0),"",ROUND((VLOOKUP(ROUNDDOWN($D602-1/frec,0),cob_adi,BB$40,FALSE)*(1+i/frec)^-0.5*(1+Parámetros!$D$103)*(1+rec_fracc)/frec),6))</f>
        <v/>
      </c>
      <c r="BR602" s="66" t="str">
        <f t="shared" si="791"/>
        <v/>
      </c>
      <c r="BS602" s="119" t="str">
        <f t="shared" si="792"/>
        <v/>
      </c>
      <c r="BT602" s="66" t="str">
        <f>+IF($W602="","",ROUND(IF($B602&gt;Parámetros!$D$107,'Tablas Servicio'!BR602+('Tablas Servicio'!BT601-'Tablas Servicio'!BR601),BR602/(1-IF(B602&lt;=10,Parámetros!$D$100,0))),2))</f>
        <v/>
      </c>
      <c r="BU602" s="66" t="str">
        <f t="shared" si="793"/>
        <v/>
      </c>
      <c r="BV602" s="66" t="str">
        <f t="shared" si="793"/>
        <v/>
      </c>
      <c r="BW602" s="66" t="str">
        <f>+IF($W602="","",ROUND((BT602*Parámetros!$G$85),2))</f>
        <v/>
      </c>
      <c r="BX602" s="66" t="str">
        <f>+IF($W602="","",ROUND((BT602*(Parámetros!$G$86)),2))</f>
        <v/>
      </c>
      <c r="BY602" s="66" t="str">
        <f t="shared" si="794"/>
        <v/>
      </c>
      <c r="BZ602" t="str">
        <f t="shared" si="835"/>
        <v/>
      </c>
      <c r="CA602" t="str">
        <f t="shared" si="836"/>
        <v/>
      </c>
      <c r="CB602" s="118" t="str">
        <f t="shared" si="837"/>
        <v/>
      </c>
      <c r="CC602" s="118" t="str">
        <f t="shared" si="838"/>
        <v/>
      </c>
      <c r="CD602" s="119" t="str">
        <f t="shared" si="795"/>
        <v/>
      </c>
      <c r="CE602" s="66" t="str">
        <f>+IF($W602="","",ROUND((VLOOKUP(ROUNDDOWN($D602-1/frec,0),cob_adi,BO$40,FALSE)*(1+i/frec)^-0.5*(1+Parámetros!$D$103)*(1+rec_fracc)/frec*'TABLAS ADI'!$BC$17),2))</f>
        <v/>
      </c>
      <c r="CF602" s="119" t="str">
        <f t="shared" si="796"/>
        <v/>
      </c>
      <c r="CG602" s="66" t="str">
        <f>+IF($W602="","",ROUND(IF($B602&gt;Parámetros!$D$107,'Tablas Servicio'!CE602+('Tablas Servicio'!CG601-'Tablas Servicio'!CE601),CE602/(1-IF(B602&lt;=10,Parámetros!$D$100,0))),2))</f>
        <v/>
      </c>
      <c r="CH602" s="66" t="str">
        <f t="shared" si="797"/>
        <v/>
      </c>
      <c r="CI602" s="66" t="str">
        <f t="shared" si="797"/>
        <v/>
      </c>
      <c r="CJ602" s="66" t="str">
        <f>+IF($W602="","",ROUND((CG602*Parámetros!$G$85),2))</f>
        <v/>
      </c>
      <c r="CK602" s="66" t="str">
        <f>+IF($W602="","",ROUND((CG602*(Parámetros!$G$86)),2))</f>
        <v/>
      </c>
      <c r="CL602" s="66" t="str">
        <f t="shared" si="798"/>
        <v/>
      </c>
      <c r="CM602" t="str">
        <f t="shared" si="839"/>
        <v/>
      </c>
      <c r="CN602" s="118" t="str">
        <f t="shared" si="840"/>
        <v/>
      </c>
      <c r="CO602" s="118" t="str">
        <f t="shared" si="841"/>
        <v/>
      </c>
      <c r="CP602" s="118" t="str">
        <f t="shared" si="842"/>
        <v/>
      </c>
      <c r="CQ602" s="119" t="str">
        <f t="shared" si="799"/>
        <v/>
      </c>
      <c r="CR602" s="66" t="str">
        <f>+IF($W602="","",ROUND((VLOOKUP(Parámetros!$F$51,'COBERTURAS ADICIONALES'!$S$4:$T$32,2,FALSE)*(1+i/frec)^-0.5*(1+Parámetros!$D$103)*(1+rec_fracc)/frec*$CO$42),2))</f>
        <v/>
      </c>
      <c r="CS602" s="119" t="str">
        <f t="shared" si="800"/>
        <v/>
      </c>
      <c r="CT602" s="66" t="str">
        <f>+IF($W602="","",ROUND(IF($B602&gt;Parámetros!$D$107,'Tablas Servicio'!CR602+('Tablas Servicio'!CT601-'Tablas Servicio'!CR601),CR602/(1-IF(B602&lt;=10,Parámetros!$D$100,0))),2))</f>
        <v/>
      </c>
      <c r="CU602" s="66" t="str">
        <f t="shared" si="801"/>
        <v/>
      </c>
      <c r="CV602" s="66" t="str">
        <f t="shared" si="801"/>
        <v/>
      </c>
      <c r="CW602" s="66" t="str">
        <f>+IF($W602="","",ROUND((CT602*Parámetros!$G$85),2))</f>
        <v/>
      </c>
      <c r="CX602" s="66" t="str">
        <f>+IF($W602="","",ROUND((CT602*(Parámetros!$G$86)),2))</f>
        <v/>
      </c>
      <c r="CY602" s="66" t="str">
        <f t="shared" si="802"/>
        <v/>
      </c>
      <c r="CZ602" t="str">
        <f t="shared" si="843"/>
        <v/>
      </c>
      <c r="DA602" s="118" t="str">
        <f t="shared" si="844"/>
        <v/>
      </c>
      <c r="DB602" s="118" t="str">
        <f t="shared" si="845"/>
        <v/>
      </c>
      <c r="DC602" s="118" t="str">
        <f t="shared" si="846"/>
        <v/>
      </c>
      <c r="DD602" s="121" t="str">
        <f>+IF(OR($W602="",DB602=0),"",ROUND((VLOOKUP(ROUNDDOWN($D602-1/frec,0),cob_adi,CO$40,FALSE)*(1+i/frec)^-0.5*(1+Parámetros!$D$103)*(1+rec_fracc)/frec),6))</f>
        <v/>
      </c>
      <c r="DE602" s="66" t="str">
        <f t="shared" si="803"/>
        <v/>
      </c>
      <c r="DF602" s="119" t="str">
        <f t="shared" si="804"/>
        <v/>
      </c>
      <c r="DG602" s="66" t="str">
        <f>+IF($W602="","",ROUND(IF($B602&gt;Parámetros!$D$107,'Tablas Servicio'!DE602+('Tablas Servicio'!DG601-'Tablas Servicio'!DE601),DE602/(1-IF(B602&lt;=10,Parámetros!$D$100,0))),2))</f>
        <v/>
      </c>
      <c r="DH602" s="66" t="str">
        <f t="shared" si="805"/>
        <v/>
      </c>
      <c r="DI602" s="66" t="str">
        <f t="shared" si="805"/>
        <v/>
      </c>
      <c r="DJ602" s="66" t="str">
        <f>+IF($W602="","",ROUND((DG602*Parámetros!$G$85),2))</f>
        <v/>
      </c>
      <c r="DK602" s="66" t="str">
        <f>+IF($W602="","",ROUND((DG602*(Parámetros!$G$86)),2))</f>
        <v/>
      </c>
      <c r="DL602" s="66" t="str">
        <f t="shared" si="806"/>
        <v/>
      </c>
      <c r="DM602" t="str">
        <f t="shared" si="847"/>
        <v/>
      </c>
      <c r="DN602" s="118" t="str">
        <f t="shared" si="848"/>
        <v/>
      </c>
      <c r="DO602" s="118" t="str">
        <f t="shared" si="849"/>
        <v/>
      </c>
      <c r="DP602" s="118" t="str">
        <f t="shared" si="850"/>
        <v/>
      </c>
      <c r="DQ602" s="122" t="str">
        <f>+IF(OR($W602="",DO602=0),"",ROUND((VLOOKUP(ROUNDDOWN($D602-1/frec,0),cob_adi,DB$40,FALSE)*(1+i/frec)^-0.5*(1+Parámetros!$D$103)*(1+rec_fracc)/frec),6))</f>
        <v/>
      </c>
      <c r="DR602" s="66" t="str">
        <f t="shared" si="807"/>
        <v/>
      </c>
      <c r="DS602" s="68" t="str">
        <f t="shared" si="808"/>
        <v/>
      </c>
      <c r="DT602" s="66" t="str">
        <f>+IF($W602="","",ROUND(IF($B602&gt;Parámetros!$D$107,'Tablas Servicio'!DR602+('Tablas Servicio'!DT601-'Tablas Servicio'!DR601),DR602/(1-IF(B602&lt;=10,Parámetros!$D$100,0))),2))</f>
        <v/>
      </c>
      <c r="DU602" s="66" t="str">
        <f t="shared" si="809"/>
        <v/>
      </c>
      <c r="DV602" s="66" t="str">
        <f t="shared" si="809"/>
        <v/>
      </c>
      <c r="DW602" s="66" t="str">
        <f>+IF($W602="","",ROUND((DT602*Parámetros!$G$85),2))</f>
        <v/>
      </c>
      <c r="DX602" s="66" t="str">
        <f>+IF($W602="","",ROUND((DT602*(Parámetros!$G$86)),2))</f>
        <v/>
      </c>
      <c r="DY602" s="66" t="str">
        <f t="shared" si="810"/>
        <v/>
      </c>
      <c r="DZ602" t="str">
        <f t="shared" si="852"/>
        <v/>
      </c>
      <c r="EA602" s="118" t="str">
        <f t="shared" si="852"/>
        <v/>
      </c>
      <c r="EB602" s="118" t="str">
        <f>+IF($W602="","",ROUND(IF(Parámetros!$D$25='TABLAS MORT'!$V$33,EB601,Z602/2),0))</f>
        <v/>
      </c>
      <c r="EC602" s="118" t="str">
        <f t="shared" si="852"/>
        <v/>
      </c>
      <c r="ED602" s="122" t="str">
        <f>+IF(OR($W602="",EB602=0),"",ROUND((VLOOKUP(ROUNDDOWN($D602-1/frec,0),cob_adi,DO$40,FALSE)*(1+i/frec)^-0.5*(1+Parámetros!$D$103)*(1+rec_fracc)/frec),6))</f>
        <v/>
      </c>
      <c r="EE602" s="66" t="str">
        <f t="shared" si="812"/>
        <v/>
      </c>
      <c r="EF602" s="68" t="str">
        <f t="shared" si="813"/>
        <v/>
      </c>
      <c r="EG602" s="66" t="str">
        <f>+IF($W602="","",ROUND(IF($B602&gt;Parámetros!$D$107,'Tablas Servicio'!EE602+('Tablas Servicio'!EG601-'Tablas Servicio'!EE601),EE602/(1-IF(B602&lt;=10,Parámetros!$D$100,0))),2))</f>
        <v/>
      </c>
      <c r="EH602" s="66" t="str">
        <f t="shared" si="814"/>
        <v/>
      </c>
      <c r="EI602" s="66" t="str">
        <f t="shared" si="814"/>
        <v/>
      </c>
      <c r="EJ602" s="66" t="str">
        <f>+IF($W602="","",ROUND((EG602*Parámetros!$G$85),2))</f>
        <v/>
      </c>
      <c r="EK602" s="66" t="str">
        <f>+IF($W602="","",ROUND((EG602*(Parámetros!$G$86)),2))</f>
        <v/>
      </c>
      <c r="EL602" s="66" t="str">
        <f t="shared" si="815"/>
        <v/>
      </c>
    </row>
    <row r="603" spans="1:142" x14ac:dyDescent="0.25">
      <c r="A603" t="str">
        <f>+IF($C603="","",ROUND(VLOOKUP('Tablas Servicio'!B603,Parámetros!$H$100:$J$159,IF(Parámetros!$E$16="F",2,3),FALSE),2))</f>
        <v/>
      </c>
      <c r="B603" t="str">
        <f t="shared" si="766"/>
        <v/>
      </c>
      <c r="C603" s="57" t="str">
        <f>+IF(D603="","",'Tablas Servicio'!C602+1)</f>
        <v/>
      </c>
      <c r="D603" s="56" t="str">
        <f>+IF(D602&lt;edadmaxtabla,D602+1/Parámetros!$E$25,"")</f>
        <v/>
      </c>
      <c r="E603" s="57" t="str">
        <f t="shared" si="776"/>
        <v/>
      </c>
      <c r="F603" s="59" t="str">
        <f t="shared" si="777"/>
        <v/>
      </c>
      <c r="G603" s="66" t="str">
        <f t="shared" si="767"/>
        <v/>
      </c>
      <c r="H603" s="66" t="str">
        <f t="shared" si="768"/>
        <v/>
      </c>
      <c r="I603" s="66" t="str">
        <f t="shared" si="816"/>
        <v/>
      </c>
      <c r="J603" s="66" t="str">
        <f t="shared" si="769"/>
        <v/>
      </c>
      <c r="K603" s="66" t="str">
        <f t="shared" si="770"/>
        <v/>
      </c>
      <c r="L603" s="66" t="str">
        <f t="shared" si="771"/>
        <v/>
      </c>
      <c r="M603" s="66" t="str">
        <f t="shared" si="772"/>
        <v/>
      </c>
      <c r="N603" s="66" t="str">
        <f>+IF(C603="","",ROUND(Parámetros!$D$23,2))</f>
        <v/>
      </c>
      <c r="O603" s="66" t="str">
        <f t="shared" si="773"/>
        <v/>
      </c>
      <c r="P603" s="66" t="str">
        <f>+IF($C603="","",ROUND(IF(B603&gt;Parámetros!$D$117,0,N603*Parámetros!$D$116-G603*Parámetros!$D$100),2))</f>
        <v/>
      </c>
      <c r="Q603" s="75" t="str">
        <f t="shared" si="817"/>
        <v/>
      </c>
      <c r="R603" s="75" t="str">
        <f t="shared" si="818"/>
        <v/>
      </c>
      <c r="S603" s="117" t="str">
        <f>+IF($C603="","",ROUND((S602+I603)*(1+Parámetros!$D$91),2))</f>
        <v/>
      </c>
      <c r="T603" s="117" t="str">
        <f>+IF($C603="","",ROUND(S603*VLOOKUP(B603,Parámetros!$C$30:$D$39,2,TRUE),2))</f>
        <v/>
      </c>
      <c r="U603" s="117" t="str">
        <f>+IF($C603="","",ROUND((U602+I603)*(1+Parámetros!$D$92),2))</f>
        <v/>
      </c>
      <c r="V603" s="117" t="str">
        <f>+IF($C603="","",ROUND(U603*VLOOKUP(B603,Parámetros!$C$30:$D$39,2,TRUE),2))</f>
        <v/>
      </c>
      <c r="W603" s="57" t="str">
        <f t="shared" si="819"/>
        <v/>
      </c>
      <c r="X603" t="str">
        <f t="shared" si="820"/>
        <v/>
      </c>
      <c r="Y603" t="str">
        <f t="shared" si="821"/>
        <v/>
      </c>
      <c r="Z603" s="118" t="str">
        <f>+IF($W603="","",ROUND(IF(Parámetros!$D$25='TABLAS MORT'!$V$33,Z602,Parámetros!$D$21-'Tablas Servicio'!T602),0))</f>
        <v/>
      </c>
      <c r="AA603" s="118" t="str">
        <f t="shared" si="822"/>
        <v/>
      </c>
      <c r="AB603" s="119" t="str">
        <f>+IF(W603="","",ROUND((VLOOKUP(ROUNDDOWN($D603-1/frec,0),qx_tabla,2,FALSE)*(1+i/frec)^-0.5*(1+Parámetros!$D$103)*(1+rec_fracc)/frec),6))</f>
        <v/>
      </c>
      <c r="AC603" s="66" t="str">
        <f t="shared" si="778"/>
        <v/>
      </c>
      <c r="AD603" s="119" t="str">
        <f t="shared" si="774"/>
        <v/>
      </c>
      <c r="AE603" s="66" t="str">
        <f>+IF($W603="","",ROUND(IF($B603&gt;Parámetros!$D$107,'Tablas Servicio'!AC603+('Tablas Servicio'!AG602-'Tablas Servicio'!AC602),AC603/(1-IF(B603&lt;=10,Parámetros!$D$104,Parámetros!$D$105))),2))</f>
        <v/>
      </c>
      <c r="AF603" s="66" t="str">
        <f>+IF($W603="","",ROUND(IF($B603&gt;Parámetros!$D$107,'Tablas Servicio'!AC603+('Tablas Servicio'!AG602-'Tablas Servicio'!AC602),(AC603+$A602/frec)/(1-IF(B603&lt;=Parámetros!$D$117,Parámetros!$D$100,0))),2))</f>
        <v/>
      </c>
      <c r="AG603" s="66" t="str">
        <f t="shared" si="779"/>
        <v/>
      </c>
      <c r="AH603" s="66" t="str">
        <f t="shared" si="780"/>
        <v/>
      </c>
      <c r="AI603" s="66" t="str">
        <f t="shared" si="781"/>
        <v/>
      </c>
      <c r="AJ603" s="66" t="str">
        <f>+IF($W603="","",ROUND((AG603*Parámetros!$G$85),2))</f>
        <v/>
      </c>
      <c r="AK603" s="66" t="str">
        <f>+IF($W603="","",ROUND((AG603*(Parámetros!$G$86)),2))</f>
        <v/>
      </c>
      <c r="AL603" s="66" t="str">
        <f t="shared" si="775"/>
        <v/>
      </c>
      <c r="AM603" t="str">
        <f t="shared" si="823"/>
        <v/>
      </c>
      <c r="AN603" t="str">
        <f t="shared" si="824"/>
        <v/>
      </c>
      <c r="AO603" s="118" t="str">
        <f t="shared" si="825"/>
        <v/>
      </c>
      <c r="AP603" s="118" t="str">
        <f t="shared" si="826"/>
        <v/>
      </c>
      <c r="AQ603" s="119" t="str">
        <f>+IF(OR($W603="",AO603=0),"",ROUND((VLOOKUP(ROUNDDOWN($D603-1/frec,0),cob_adi,Z$40,FALSE)*(1+i/frec)^-0.5*(1+Parámetros!$D$103)*(1+rec_fracc)/frec),6))</f>
        <v/>
      </c>
      <c r="AR603" s="66" t="str">
        <f t="shared" si="782"/>
        <v/>
      </c>
      <c r="AS603" s="119" t="str">
        <f t="shared" si="783"/>
        <v/>
      </c>
      <c r="AT603" s="66" t="str">
        <f>+IF($W603="","",ROUND(IF($B603&gt;Parámetros!$D$107,'Tablas Servicio'!AR603+('Tablas Servicio'!AT602-'Tablas Servicio'!AR602),AR603/(1-IF(B603&lt;=10,Parámetros!$D$100,0))),2))</f>
        <v/>
      </c>
      <c r="AU603" s="66" t="str">
        <f t="shared" si="784"/>
        <v/>
      </c>
      <c r="AV603" s="66" t="str">
        <f t="shared" si="784"/>
        <v/>
      </c>
      <c r="AW603" s="66" t="str">
        <f>+IF($W603="","",ROUND((AT603*Parámetros!$G$85),2))</f>
        <v/>
      </c>
      <c r="AX603" s="66" t="str">
        <f>+IF($W603="","",ROUND((AT603*(Parámetros!$G$86)),2))</f>
        <v/>
      </c>
      <c r="AY603" s="66" t="str">
        <f t="shared" si="785"/>
        <v/>
      </c>
      <c r="AZ603" t="str">
        <f t="shared" si="827"/>
        <v/>
      </c>
      <c r="BA603" t="str">
        <f t="shared" si="828"/>
        <v/>
      </c>
      <c r="BB603" s="118" t="str">
        <f t="shared" si="829"/>
        <v/>
      </c>
      <c r="BC603" s="118" t="str">
        <f t="shared" si="830"/>
        <v/>
      </c>
      <c r="BD603" s="119" t="str">
        <f>+IF(OR($W603="",BB603=0),"",ROUND((VLOOKUP(ROUNDDOWN($D603-1/frec,0),cob_adi,AO$40,FALSE)*(1+i/frec)^-0.5*(1+Parámetros!$D$103)*(1+rec_fracc)/frec),6))</f>
        <v/>
      </c>
      <c r="BE603" s="66" t="str">
        <f t="shared" si="786"/>
        <v/>
      </c>
      <c r="BF603" s="119" t="str">
        <f t="shared" si="787"/>
        <v/>
      </c>
      <c r="BG603" s="66" t="str">
        <f>+IF($W603="","",ROUND(IF($B603&gt;Parámetros!$D$107,'Tablas Servicio'!BE603+('Tablas Servicio'!BG602-'Tablas Servicio'!BE602),BE603/(1-IF(B603&lt;=10,Parámetros!$D$100,0))),2))</f>
        <v/>
      </c>
      <c r="BH603" s="66" t="str">
        <f t="shared" si="788"/>
        <v/>
      </c>
      <c r="BI603" s="66" t="str">
        <f t="shared" si="789"/>
        <v/>
      </c>
      <c r="BJ603" s="66" t="str">
        <f>+IF($W603="","",ROUND((BG603*Parámetros!$G$85),2))</f>
        <v/>
      </c>
      <c r="BK603" s="66" t="str">
        <f>+IF($W603="","",ROUND((BG603*(Parámetros!$G$86)),2))</f>
        <v/>
      </c>
      <c r="BL603" s="66" t="str">
        <f t="shared" si="790"/>
        <v/>
      </c>
      <c r="BM603" t="str">
        <f t="shared" si="831"/>
        <v/>
      </c>
      <c r="BN603" t="str">
        <f t="shared" si="832"/>
        <v/>
      </c>
      <c r="BO603" s="118" t="str">
        <f t="shared" si="833"/>
        <v/>
      </c>
      <c r="BP603" s="118" t="str">
        <f t="shared" si="834"/>
        <v/>
      </c>
      <c r="BQ603" s="119" t="str">
        <f>+IF(OR($W603="",BO603=0),"",ROUND((VLOOKUP(ROUNDDOWN($D603-1/frec,0),cob_adi,BB$40,FALSE)*(1+i/frec)^-0.5*(1+Parámetros!$D$103)*(1+rec_fracc)/frec),6))</f>
        <v/>
      </c>
      <c r="BR603" s="66" t="str">
        <f t="shared" si="791"/>
        <v/>
      </c>
      <c r="BS603" s="119" t="str">
        <f t="shared" si="792"/>
        <v/>
      </c>
      <c r="BT603" s="66" t="str">
        <f>+IF($W603="","",ROUND(IF($B603&gt;Parámetros!$D$107,'Tablas Servicio'!BR603+('Tablas Servicio'!BT602-'Tablas Servicio'!BR602),BR603/(1-IF(B603&lt;=10,Parámetros!$D$100,0))),2))</f>
        <v/>
      </c>
      <c r="BU603" s="66" t="str">
        <f t="shared" si="793"/>
        <v/>
      </c>
      <c r="BV603" s="66" t="str">
        <f t="shared" si="793"/>
        <v/>
      </c>
      <c r="BW603" s="66" t="str">
        <f>+IF($W603="","",ROUND((BT603*Parámetros!$G$85),2))</f>
        <v/>
      </c>
      <c r="BX603" s="66" t="str">
        <f>+IF($W603="","",ROUND((BT603*(Parámetros!$G$86)),2))</f>
        <v/>
      </c>
      <c r="BY603" s="66" t="str">
        <f t="shared" si="794"/>
        <v/>
      </c>
      <c r="BZ603" t="str">
        <f t="shared" si="835"/>
        <v/>
      </c>
      <c r="CA603" t="str">
        <f t="shared" si="836"/>
        <v/>
      </c>
      <c r="CB603" s="118" t="str">
        <f t="shared" si="837"/>
        <v/>
      </c>
      <c r="CC603" s="118" t="str">
        <f t="shared" si="838"/>
        <v/>
      </c>
      <c r="CD603" s="119" t="str">
        <f t="shared" si="795"/>
        <v/>
      </c>
      <c r="CE603" s="66" t="str">
        <f>+IF($W603="","",ROUND((VLOOKUP(ROUNDDOWN($D603-1/frec,0),cob_adi,BO$40,FALSE)*(1+i/frec)^-0.5*(1+Parámetros!$D$103)*(1+rec_fracc)/frec*'TABLAS ADI'!$BC$17),2))</f>
        <v/>
      </c>
      <c r="CF603" s="119" t="str">
        <f t="shared" si="796"/>
        <v/>
      </c>
      <c r="CG603" s="66" t="str">
        <f>+IF($W603="","",ROUND(IF($B603&gt;Parámetros!$D$107,'Tablas Servicio'!CE603+('Tablas Servicio'!CG602-'Tablas Servicio'!CE602),CE603/(1-IF(B603&lt;=10,Parámetros!$D$100,0))),2))</f>
        <v/>
      </c>
      <c r="CH603" s="66" t="str">
        <f t="shared" si="797"/>
        <v/>
      </c>
      <c r="CI603" s="66" t="str">
        <f t="shared" si="797"/>
        <v/>
      </c>
      <c r="CJ603" s="66" t="str">
        <f>+IF($W603="","",ROUND((CG603*Parámetros!$G$85),2))</f>
        <v/>
      </c>
      <c r="CK603" s="66" t="str">
        <f>+IF($W603="","",ROUND((CG603*(Parámetros!$G$86)),2))</f>
        <v/>
      </c>
      <c r="CL603" s="66" t="str">
        <f t="shared" si="798"/>
        <v/>
      </c>
      <c r="CM603" t="str">
        <f t="shared" si="839"/>
        <v/>
      </c>
      <c r="CN603" s="118" t="str">
        <f t="shared" si="840"/>
        <v/>
      </c>
      <c r="CO603" s="118" t="str">
        <f t="shared" si="841"/>
        <v/>
      </c>
      <c r="CP603" s="118" t="str">
        <f t="shared" si="842"/>
        <v/>
      </c>
      <c r="CQ603" s="119" t="str">
        <f t="shared" si="799"/>
        <v/>
      </c>
      <c r="CR603" s="66" t="str">
        <f>+IF($W603="","",ROUND((VLOOKUP(Parámetros!$F$51,'COBERTURAS ADICIONALES'!$S$4:$T$32,2,FALSE)*(1+i/frec)^-0.5*(1+Parámetros!$D$103)*(1+rec_fracc)/frec*$CO$42),2))</f>
        <v/>
      </c>
      <c r="CS603" s="119" t="str">
        <f t="shared" si="800"/>
        <v/>
      </c>
      <c r="CT603" s="66" t="str">
        <f>+IF($W603="","",ROUND(IF($B603&gt;Parámetros!$D$107,'Tablas Servicio'!CR603+('Tablas Servicio'!CT602-'Tablas Servicio'!CR602),CR603/(1-IF(B603&lt;=10,Parámetros!$D$100,0))),2))</f>
        <v/>
      </c>
      <c r="CU603" s="66" t="str">
        <f t="shared" si="801"/>
        <v/>
      </c>
      <c r="CV603" s="66" t="str">
        <f t="shared" si="801"/>
        <v/>
      </c>
      <c r="CW603" s="66" t="str">
        <f>+IF($W603="","",ROUND((CT603*Parámetros!$G$85),2))</f>
        <v/>
      </c>
      <c r="CX603" s="66" t="str">
        <f>+IF($W603="","",ROUND((CT603*(Parámetros!$G$86)),2))</f>
        <v/>
      </c>
      <c r="CY603" s="66" t="str">
        <f t="shared" si="802"/>
        <v/>
      </c>
      <c r="CZ603" t="str">
        <f t="shared" si="843"/>
        <v/>
      </c>
      <c r="DA603" s="118" t="str">
        <f t="shared" si="844"/>
        <v/>
      </c>
      <c r="DB603" s="118" t="str">
        <f t="shared" si="845"/>
        <v/>
      </c>
      <c r="DC603" s="118" t="str">
        <f t="shared" si="846"/>
        <v/>
      </c>
      <c r="DD603" s="121" t="str">
        <f>+IF(OR($W603="",DB603=0),"",ROUND((VLOOKUP(ROUNDDOWN($D603-1/frec,0),cob_adi,CO$40,FALSE)*(1+i/frec)^-0.5*(1+Parámetros!$D$103)*(1+rec_fracc)/frec),6))</f>
        <v/>
      </c>
      <c r="DE603" s="66" t="str">
        <f t="shared" si="803"/>
        <v/>
      </c>
      <c r="DF603" s="119" t="str">
        <f t="shared" si="804"/>
        <v/>
      </c>
      <c r="DG603" s="66" t="str">
        <f>+IF($W603="","",ROUND(IF($B603&gt;Parámetros!$D$107,'Tablas Servicio'!DE603+('Tablas Servicio'!DG602-'Tablas Servicio'!DE602),DE603/(1-IF(B603&lt;=10,Parámetros!$D$100,0))),2))</f>
        <v/>
      </c>
      <c r="DH603" s="66" t="str">
        <f t="shared" si="805"/>
        <v/>
      </c>
      <c r="DI603" s="66" t="str">
        <f t="shared" si="805"/>
        <v/>
      </c>
      <c r="DJ603" s="66" t="str">
        <f>+IF($W603="","",ROUND((DG603*Parámetros!$G$85),2))</f>
        <v/>
      </c>
      <c r="DK603" s="66" t="str">
        <f>+IF($W603="","",ROUND((DG603*(Parámetros!$G$86)),2))</f>
        <v/>
      </c>
      <c r="DL603" s="66" t="str">
        <f t="shared" si="806"/>
        <v/>
      </c>
      <c r="DM603" t="str">
        <f t="shared" si="847"/>
        <v/>
      </c>
      <c r="DN603" s="118" t="str">
        <f t="shared" si="848"/>
        <v/>
      </c>
      <c r="DO603" s="118" t="str">
        <f t="shared" si="849"/>
        <v/>
      </c>
      <c r="DP603" s="118" t="str">
        <f t="shared" si="850"/>
        <v/>
      </c>
      <c r="DQ603" s="122" t="str">
        <f>+IF(OR($W603="",DO603=0),"",ROUND((VLOOKUP(ROUNDDOWN($D603-1/frec,0),cob_adi,DB$40,FALSE)*(1+i/frec)^-0.5*(1+Parámetros!$D$103)*(1+rec_fracc)/frec),6))</f>
        <v/>
      </c>
      <c r="DR603" s="66" t="str">
        <f t="shared" si="807"/>
        <v/>
      </c>
      <c r="DS603" s="68" t="str">
        <f t="shared" si="808"/>
        <v/>
      </c>
      <c r="DT603" s="66" t="str">
        <f>+IF($W603="","",ROUND(IF($B603&gt;Parámetros!$D$107,'Tablas Servicio'!DR603+('Tablas Servicio'!DT602-'Tablas Servicio'!DR602),DR603/(1-IF(B603&lt;=10,Parámetros!$D$100,0))),2))</f>
        <v/>
      </c>
      <c r="DU603" s="66" t="str">
        <f t="shared" si="809"/>
        <v/>
      </c>
      <c r="DV603" s="66" t="str">
        <f t="shared" si="809"/>
        <v/>
      </c>
      <c r="DW603" s="66" t="str">
        <f>+IF($W603="","",ROUND((DT603*Parámetros!$G$85),2))</f>
        <v/>
      </c>
      <c r="DX603" s="66" t="str">
        <f>+IF($W603="","",ROUND((DT603*(Parámetros!$G$86)),2))</f>
        <v/>
      </c>
      <c r="DY603" s="66" t="str">
        <f t="shared" si="810"/>
        <v/>
      </c>
      <c r="DZ603" t="str">
        <f t="shared" ref="DZ603:EC618" si="853">+IF($W603="","",DZ602)</f>
        <v/>
      </c>
      <c r="EA603" s="118" t="str">
        <f t="shared" si="853"/>
        <v/>
      </c>
      <c r="EB603" s="118" t="str">
        <f>+IF($W603="","",ROUND(IF(Parámetros!$D$25='TABLAS MORT'!$V$33,EB602,Z603/2),0))</f>
        <v/>
      </c>
      <c r="EC603" s="118" t="str">
        <f t="shared" si="853"/>
        <v/>
      </c>
      <c r="ED603" s="122" t="str">
        <f>+IF(OR($W603="",EB603=0),"",ROUND((VLOOKUP(ROUNDDOWN($D603-1/frec,0),cob_adi,DO$40,FALSE)*(1+i/frec)^-0.5*(1+Parámetros!$D$103)*(1+rec_fracc)/frec),6))</f>
        <v/>
      </c>
      <c r="EE603" s="66" t="str">
        <f t="shared" si="812"/>
        <v/>
      </c>
      <c r="EF603" s="68" t="str">
        <f t="shared" si="813"/>
        <v/>
      </c>
      <c r="EG603" s="66" t="str">
        <f>+IF($W603="","",ROUND(IF($B603&gt;Parámetros!$D$107,'Tablas Servicio'!EE603+('Tablas Servicio'!EG602-'Tablas Servicio'!EE602),EE603/(1-IF(B603&lt;=10,Parámetros!$D$100,0))),2))</f>
        <v/>
      </c>
      <c r="EH603" s="66" t="str">
        <f t="shared" si="814"/>
        <v/>
      </c>
      <c r="EI603" s="66" t="str">
        <f t="shared" si="814"/>
        <v/>
      </c>
      <c r="EJ603" s="66" t="str">
        <f>+IF($W603="","",ROUND((EG603*Parámetros!$G$85),2))</f>
        <v/>
      </c>
      <c r="EK603" s="66" t="str">
        <f>+IF($W603="","",ROUND((EG603*(Parámetros!$G$86)),2))</f>
        <v/>
      </c>
      <c r="EL603" s="66" t="str">
        <f t="shared" si="815"/>
        <v/>
      </c>
    </row>
    <row r="604" spans="1:142" x14ac:dyDescent="0.25">
      <c r="A604" t="str">
        <f>+IF($C604="","",ROUND(VLOOKUP('Tablas Servicio'!B604,Parámetros!$H$100:$J$159,IF(Parámetros!$E$16="F",2,3),FALSE),2))</f>
        <v/>
      </c>
      <c r="B604" t="str">
        <f t="shared" si="766"/>
        <v/>
      </c>
      <c r="C604" s="57" t="str">
        <f>+IF(D604="","",'Tablas Servicio'!C603+1)</f>
        <v/>
      </c>
      <c r="D604" s="56" t="str">
        <f>+IF(D603&lt;edadmaxtabla,D603+1/Parámetros!$E$25,"")</f>
        <v/>
      </c>
      <c r="E604" s="57" t="str">
        <f t="shared" si="776"/>
        <v/>
      </c>
      <c r="F604" s="59" t="str">
        <f t="shared" si="777"/>
        <v/>
      </c>
      <c r="G604" s="66" t="str">
        <f t="shared" si="767"/>
        <v/>
      </c>
      <c r="H604" s="66" t="str">
        <f t="shared" si="768"/>
        <v/>
      </c>
      <c r="I604" s="66" t="str">
        <f t="shared" si="816"/>
        <v/>
      </c>
      <c r="J604" s="66" t="str">
        <f t="shared" si="769"/>
        <v/>
      </c>
      <c r="K604" s="66" t="str">
        <f t="shared" si="770"/>
        <v/>
      </c>
      <c r="L604" s="66" t="str">
        <f t="shared" si="771"/>
        <v/>
      </c>
      <c r="M604" s="66" t="str">
        <f t="shared" si="772"/>
        <v/>
      </c>
      <c r="N604" s="66" t="str">
        <f>+IF(C604="","",ROUND(Parámetros!$D$23,2))</f>
        <v/>
      </c>
      <c r="O604" s="66" t="str">
        <f t="shared" si="773"/>
        <v/>
      </c>
      <c r="P604" s="66" t="str">
        <f>+IF($C604="","",ROUND(IF(B604&gt;Parámetros!$D$117,0,N604*Parámetros!$D$116-G604*Parámetros!$D$100),2))</f>
        <v/>
      </c>
      <c r="Q604" s="75" t="str">
        <f t="shared" si="817"/>
        <v/>
      </c>
      <c r="R604" s="75" t="str">
        <f t="shared" si="818"/>
        <v/>
      </c>
      <c r="S604" s="117" t="str">
        <f>+IF($C604="","",ROUND((S603+I604)*(1+Parámetros!$D$91),2))</f>
        <v/>
      </c>
      <c r="T604" s="117" t="str">
        <f>+IF($C604="","",ROUND(S604*VLOOKUP(B604,Parámetros!$C$30:$D$39,2,TRUE),2))</f>
        <v/>
      </c>
      <c r="U604" s="117" t="str">
        <f>+IF($C604="","",ROUND((U603+I604)*(1+Parámetros!$D$92),2))</f>
        <v/>
      </c>
      <c r="V604" s="117" t="str">
        <f>+IF($C604="","",ROUND(U604*VLOOKUP(B604,Parámetros!$C$30:$D$39,2,TRUE),2))</f>
        <v/>
      </c>
      <c r="W604" s="57" t="str">
        <f t="shared" si="819"/>
        <v/>
      </c>
      <c r="X604" t="str">
        <f t="shared" si="820"/>
        <v/>
      </c>
      <c r="Y604" t="str">
        <f t="shared" si="821"/>
        <v/>
      </c>
      <c r="Z604" s="118" t="str">
        <f>+IF($W604="","",ROUND(IF(Parámetros!$D$25='TABLAS MORT'!$V$33,Z603,Parámetros!$D$21-'Tablas Servicio'!T603),0))</f>
        <v/>
      </c>
      <c r="AA604" s="118" t="str">
        <f t="shared" si="822"/>
        <v/>
      </c>
      <c r="AB604" s="119" t="str">
        <f>+IF(W604="","",ROUND((VLOOKUP(ROUNDDOWN($D604-1/frec,0),qx_tabla,2,FALSE)*(1+i/frec)^-0.5*(1+Parámetros!$D$103)*(1+rec_fracc)/frec),6))</f>
        <v/>
      </c>
      <c r="AC604" s="66" t="str">
        <f t="shared" si="778"/>
        <v/>
      </c>
      <c r="AD604" s="119" t="str">
        <f t="shared" si="774"/>
        <v/>
      </c>
      <c r="AE604" s="66" t="str">
        <f>+IF($W604="","",ROUND(IF($B604&gt;Parámetros!$D$107,'Tablas Servicio'!AC604+('Tablas Servicio'!AG603-'Tablas Servicio'!AC603),AC604/(1-IF(B604&lt;=10,Parámetros!$D$104,Parámetros!$D$105))),2))</f>
        <v/>
      </c>
      <c r="AF604" s="66" t="str">
        <f>+IF($W604="","",ROUND(IF($B604&gt;Parámetros!$D$107,'Tablas Servicio'!AC604+('Tablas Servicio'!AG603-'Tablas Servicio'!AC603),(AC604+$A603/frec)/(1-IF(B604&lt;=Parámetros!$D$117,Parámetros!$D$100,0))),2))</f>
        <v/>
      </c>
      <c r="AG604" s="66" t="str">
        <f t="shared" si="779"/>
        <v/>
      </c>
      <c r="AH604" s="66" t="str">
        <f t="shared" si="780"/>
        <v/>
      </c>
      <c r="AI604" s="66" t="str">
        <f t="shared" si="781"/>
        <v/>
      </c>
      <c r="AJ604" s="66" t="str">
        <f>+IF($W604="","",ROUND((AG604*Parámetros!$G$85),2))</f>
        <v/>
      </c>
      <c r="AK604" s="66" t="str">
        <f>+IF($W604="","",ROUND((AG604*(Parámetros!$G$86)),2))</f>
        <v/>
      </c>
      <c r="AL604" s="66" t="str">
        <f t="shared" si="775"/>
        <v/>
      </c>
      <c r="AM604" t="str">
        <f t="shared" si="823"/>
        <v/>
      </c>
      <c r="AN604" t="str">
        <f t="shared" si="824"/>
        <v/>
      </c>
      <c r="AO604" s="118" t="str">
        <f t="shared" si="825"/>
        <v/>
      </c>
      <c r="AP604" s="118" t="str">
        <f t="shared" si="826"/>
        <v/>
      </c>
      <c r="AQ604" s="119" t="str">
        <f>+IF(OR($W604="",AO604=0),"",ROUND((VLOOKUP(ROUNDDOWN($D604-1/frec,0),cob_adi,Z$40,FALSE)*(1+i/frec)^-0.5*(1+Parámetros!$D$103)*(1+rec_fracc)/frec),6))</f>
        <v/>
      </c>
      <c r="AR604" s="66" t="str">
        <f t="shared" si="782"/>
        <v/>
      </c>
      <c r="AS604" s="119" t="str">
        <f t="shared" si="783"/>
        <v/>
      </c>
      <c r="AT604" s="66" t="str">
        <f>+IF($W604="","",ROUND(IF($B604&gt;Parámetros!$D$107,'Tablas Servicio'!AR604+('Tablas Servicio'!AT603-'Tablas Servicio'!AR603),AR604/(1-IF(B604&lt;=10,Parámetros!$D$100,0))),2))</f>
        <v/>
      </c>
      <c r="AU604" s="66" t="str">
        <f t="shared" si="784"/>
        <v/>
      </c>
      <c r="AV604" s="66" t="str">
        <f t="shared" si="784"/>
        <v/>
      </c>
      <c r="AW604" s="66" t="str">
        <f>+IF($W604="","",ROUND((AT604*Parámetros!$G$85),2))</f>
        <v/>
      </c>
      <c r="AX604" s="66" t="str">
        <f>+IF($W604="","",ROUND((AT604*(Parámetros!$G$86)),2))</f>
        <v/>
      </c>
      <c r="AY604" s="66" t="str">
        <f t="shared" si="785"/>
        <v/>
      </c>
      <c r="AZ604" t="str">
        <f t="shared" si="827"/>
        <v/>
      </c>
      <c r="BA604" t="str">
        <f t="shared" si="828"/>
        <v/>
      </c>
      <c r="BB604" s="118" t="str">
        <f t="shared" si="829"/>
        <v/>
      </c>
      <c r="BC604" s="118" t="str">
        <f t="shared" si="830"/>
        <v/>
      </c>
      <c r="BD604" s="119" t="str">
        <f>+IF(OR($W604="",BB604=0),"",ROUND((VLOOKUP(ROUNDDOWN($D604-1/frec,0),cob_adi,AO$40,FALSE)*(1+i/frec)^-0.5*(1+Parámetros!$D$103)*(1+rec_fracc)/frec),6))</f>
        <v/>
      </c>
      <c r="BE604" s="66" t="str">
        <f t="shared" si="786"/>
        <v/>
      </c>
      <c r="BF604" s="119" t="str">
        <f t="shared" si="787"/>
        <v/>
      </c>
      <c r="BG604" s="66" t="str">
        <f>+IF($W604="","",ROUND(IF($B604&gt;Parámetros!$D$107,'Tablas Servicio'!BE604+('Tablas Servicio'!BG603-'Tablas Servicio'!BE603),BE604/(1-IF(B604&lt;=10,Parámetros!$D$100,0))),2))</f>
        <v/>
      </c>
      <c r="BH604" s="66" t="str">
        <f t="shared" si="788"/>
        <v/>
      </c>
      <c r="BI604" s="66" t="str">
        <f t="shared" si="789"/>
        <v/>
      </c>
      <c r="BJ604" s="66" t="str">
        <f>+IF($W604="","",ROUND((BG604*Parámetros!$G$85),2))</f>
        <v/>
      </c>
      <c r="BK604" s="66" t="str">
        <f>+IF($W604="","",ROUND((BG604*(Parámetros!$G$86)),2))</f>
        <v/>
      </c>
      <c r="BL604" s="66" t="str">
        <f t="shared" si="790"/>
        <v/>
      </c>
      <c r="BM604" t="str">
        <f t="shared" si="831"/>
        <v/>
      </c>
      <c r="BN604" t="str">
        <f t="shared" si="832"/>
        <v/>
      </c>
      <c r="BO604" s="118" t="str">
        <f t="shared" si="833"/>
        <v/>
      </c>
      <c r="BP604" s="118" t="str">
        <f t="shared" si="834"/>
        <v/>
      </c>
      <c r="BQ604" s="119" t="str">
        <f>+IF(OR($W604="",BO604=0),"",ROUND((VLOOKUP(ROUNDDOWN($D604-1/frec,0),cob_adi,BB$40,FALSE)*(1+i/frec)^-0.5*(1+Parámetros!$D$103)*(1+rec_fracc)/frec),6))</f>
        <v/>
      </c>
      <c r="BR604" s="66" t="str">
        <f t="shared" si="791"/>
        <v/>
      </c>
      <c r="BS604" s="119" t="str">
        <f t="shared" si="792"/>
        <v/>
      </c>
      <c r="BT604" s="66" t="str">
        <f>+IF($W604="","",ROUND(IF($B604&gt;Parámetros!$D$107,'Tablas Servicio'!BR604+('Tablas Servicio'!BT603-'Tablas Servicio'!BR603),BR604/(1-IF(B604&lt;=10,Parámetros!$D$100,0))),2))</f>
        <v/>
      </c>
      <c r="BU604" s="66" t="str">
        <f t="shared" si="793"/>
        <v/>
      </c>
      <c r="BV604" s="66" t="str">
        <f t="shared" si="793"/>
        <v/>
      </c>
      <c r="BW604" s="66" t="str">
        <f>+IF($W604="","",ROUND((BT604*Parámetros!$G$85),2))</f>
        <v/>
      </c>
      <c r="BX604" s="66" t="str">
        <f>+IF($W604="","",ROUND((BT604*(Parámetros!$G$86)),2))</f>
        <v/>
      </c>
      <c r="BY604" s="66" t="str">
        <f t="shared" si="794"/>
        <v/>
      </c>
      <c r="BZ604" t="str">
        <f t="shared" si="835"/>
        <v/>
      </c>
      <c r="CA604" t="str">
        <f t="shared" si="836"/>
        <v/>
      </c>
      <c r="CB604" s="118" t="str">
        <f t="shared" si="837"/>
        <v/>
      </c>
      <c r="CC604" s="118" t="str">
        <f t="shared" si="838"/>
        <v/>
      </c>
      <c r="CD604" s="119" t="str">
        <f t="shared" si="795"/>
        <v/>
      </c>
      <c r="CE604" s="66" t="str">
        <f>+IF($W604="","",ROUND((VLOOKUP(ROUNDDOWN($D604-1/frec,0),cob_adi,BO$40,FALSE)*(1+i/frec)^-0.5*(1+Parámetros!$D$103)*(1+rec_fracc)/frec*'TABLAS ADI'!$BC$17),2))</f>
        <v/>
      </c>
      <c r="CF604" s="119" t="str">
        <f t="shared" si="796"/>
        <v/>
      </c>
      <c r="CG604" s="66" t="str">
        <f>+IF($W604="","",ROUND(IF($B604&gt;Parámetros!$D$107,'Tablas Servicio'!CE604+('Tablas Servicio'!CG603-'Tablas Servicio'!CE603),CE604/(1-IF(B604&lt;=10,Parámetros!$D$100,0))),2))</f>
        <v/>
      </c>
      <c r="CH604" s="66" t="str">
        <f t="shared" si="797"/>
        <v/>
      </c>
      <c r="CI604" s="66" t="str">
        <f t="shared" si="797"/>
        <v/>
      </c>
      <c r="CJ604" s="66" t="str">
        <f>+IF($W604="","",ROUND((CG604*Parámetros!$G$85),2))</f>
        <v/>
      </c>
      <c r="CK604" s="66" t="str">
        <f>+IF($W604="","",ROUND((CG604*(Parámetros!$G$86)),2))</f>
        <v/>
      </c>
      <c r="CL604" s="66" t="str">
        <f t="shared" si="798"/>
        <v/>
      </c>
      <c r="CM604" t="str">
        <f t="shared" si="839"/>
        <v/>
      </c>
      <c r="CN604" s="118" t="str">
        <f t="shared" si="840"/>
        <v/>
      </c>
      <c r="CO604" s="118" t="str">
        <f t="shared" si="841"/>
        <v/>
      </c>
      <c r="CP604" s="118" t="str">
        <f t="shared" si="842"/>
        <v/>
      </c>
      <c r="CQ604" s="119" t="str">
        <f t="shared" si="799"/>
        <v/>
      </c>
      <c r="CR604" s="66" t="str">
        <f>+IF($W604="","",ROUND((VLOOKUP(Parámetros!$F$51,'COBERTURAS ADICIONALES'!$S$4:$T$32,2,FALSE)*(1+i/frec)^-0.5*(1+Parámetros!$D$103)*(1+rec_fracc)/frec*$CO$42),2))</f>
        <v/>
      </c>
      <c r="CS604" s="119" t="str">
        <f t="shared" si="800"/>
        <v/>
      </c>
      <c r="CT604" s="66" t="str">
        <f>+IF($W604="","",ROUND(IF($B604&gt;Parámetros!$D$107,'Tablas Servicio'!CR604+('Tablas Servicio'!CT603-'Tablas Servicio'!CR603),CR604/(1-IF(B604&lt;=10,Parámetros!$D$100,0))),2))</f>
        <v/>
      </c>
      <c r="CU604" s="66" t="str">
        <f t="shared" si="801"/>
        <v/>
      </c>
      <c r="CV604" s="66" t="str">
        <f t="shared" si="801"/>
        <v/>
      </c>
      <c r="CW604" s="66" t="str">
        <f>+IF($W604="","",ROUND((CT604*Parámetros!$G$85),2))</f>
        <v/>
      </c>
      <c r="CX604" s="66" t="str">
        <f>+IF($W604="","",ROUND((CT604*(Parámetros!$G$86)),2))</f>
        <v/>
      </c>
      <c r="CY604" s="66" t="str">
        <f t="shared" si="802"/>
        <v/>
      </c>
      <c r="CZ604" t="str">
        <f t="shared" si="843"/>
        <v/>
      </c>
      <c r="DA604" s="118" t="str">
        <f t="shared" si="844"/>
        <v/>
      </c>
      <c r="DB604" s="118" t="str">
        <f t="shared" si="845"/>
        <v/>
      </c>
      <c r="DC604" s="118" t="str">
        <f t="shared" si="846"/>
        <v/>
      </c>
      <c r="DD604" s="121" t="str">
        <f>+IF(OR($W604="",DB604=0),"",ROUND((VLOOKUP(ROUNDDOWN($D604-1/frec,0),cob_adi,CO$40,FALSE)*(1+i/frec)^-0.5*(1+Parámetros!$D$103)*(1+rec_fracc)/frec),6))</f>
        <v/>
      </c>
      <c r="DE604" s="66" t="str">
        <f t="shared" si="803"/>
        <v/>
      </c>
      <c r="DF604" s="119" t="str">
        <f t="shared" si="804"/>
        <v/>
      </c>
      <c r="DG604" s="66" t="str">
        <f>+IF($W604="","",ROUND(IF($B604&gt;Parámetros!$D$107,'Tablas Servicio'!DE604+('Tablas Servicio'!DG603-'Tablas Servicio'!DE603),DE604/(1-IF(B604&lt;=10,Parámetros!$D$100,0))),2))</f>
        <v/>
      </c>
      <c r="DH604" s="66" t="str">
        <f t="shared" si="805"/>
        <v/>
      </c>
      <c r="DI604" s="66" t="str">
        <f t="shared" si="805"/>
        <v/>
      </c>
      <c r="DJ604" s="66" t="str">
        <f>+IF($W604="","",ROUND((DG604*Parámetros!$G$85),2))</f>
        <v/>
      </c>
      <c r="DK604" s="66" t="str">
        <f>+IF($W604="","",ROUND((DG604*(Parámetros!$G$86)),2))</f>
        <v/>
      </c>
      <c r="DL604" s="66" t="str">
        <f t="shared" si="806"/>
        <v/>
      </c>
      <c r="DM604" t="str">
        <f t="shared" si="847"/>
        <v/>
      </c>
      <c r="DN604" s="118" t="str">
        <f t="shared" si="848"/>
        <v/>
      </c>
      <c r="DO604" s="118" t="str">
        <f t="shared" si="849"/>
        <v/>
      </c>
      <c r="DP604" s="118" t="str">
        <f t="shared" si="850"/>
        <v/>
      </c>
      <c r="DQ604" s="122" t="str">
        <f>+IF(OR($W604="",DO604=0),"",ROUND((VLOOKUP(ROUNDDOWN($D604-1/frec,0),cob_adi,DB$40,FALSE)*(1+i/frec)^-0.5*(1+Parámetros!$D$103)*(1+rec_fracc)/frec),6))</f>
        <v/>
      </c>
      <c r="DR604" s="66" t="str">
        <f t="shared" si="807"/>
        <v/>
      </c>
      <c r="DS604" s="68" t="str">
        <f t="shared" si="808"/>
        <v/>
      </c>
      <c r="DT604" s="66" t="str">
        <f>+IF($W604="","",ROUND(IF($B604&gt;Parámetros!$D$107,'Tablas Servicio'!DR604+('Tablas Servicio'!DT603-'Tablas Servicio'!DR603),DR604/(1-IF(B604&lt;=10,Parámetros!$D$100,0))),2))</f>
        <v/>
      </c>
      <c r="DU604" s="66" t="str">
        <f t="shared" si="809"/>
        <v/>
      </c>
      <c r="DV604" s="66" t="str">
        <f t="shared" si="809"/>
        <v/>
      </c>
      <c r="DW604" s="66" t="str">
        <f>+IF($W604="","",ROUND((DT604*Parámetros!$G$85),2))</f>
        <v/>
      </c>
      <c r="DX604" s="66" t="str">
        <f>+IF($W604="","",ROUND((DT604*(Parámetros!$G$86)),2))</f>
        <v/>
      </c>
      <c r="DY604" s="66" t="str">
        <f t="shared" si="810"/>
        <v/>
      </c>
      <c r="DZ604" t="str">
        <f t="shared" si="853"/>
        <v/>
      </c>
      <c r="EA604" s="118" t="str">
        <f t="shared" si="853"/>
        <v/>
      </c>
      <c r="EB604" s="118" t="str">
        <f>+IF($W604="","",ROUND(IF(Parámetros!$D$25='TABLAS MORT'!$V$33,EB603,Z604/2),0))</f>
        <v/>
      </c>
      <c r="EC604" s="118" t="str">
        <f t="shared" si="853"/>
        <v/>
      </c>
      <c r="ED604" s="122" t="str">
        <f>+IF(OR($W604="",EB604=0),"",ROUND((VLOOKUP(ROUNDDOWN($D604-1/frec,0),cob_adi,DO$40,FALSE)*(1+i/frec)^-0.5*(1+Parámetros!$D$103)*(1+rec_fracc)/frec),6))</f>
        <v/>
      </c>
      <c r="EE604" s="66" t="str">
        <f t="shared" si="812"/>
        <v/>
      </c>
      <c r="EF604" s="68" t="str">
        <f t="shared" si="813"/>
        <v/>
      </c>
      <c r="EG604" s="66" t="str">
        <f>+IF($W604="","",ROUND(IF($B604&gt;Parámetros!$D$107,'Tablas Servicio'!EE604+('Tablas Servicio'!EG603-'Tablas Servicio'!EE603),EE604/(1-IF(B604&lt;=10,Parámetros!$D$100,0))),2))</f>
        <v/>
      </c>
      <c r="EH604" s="66" t="str">
        <f t="shared" si="814"/>
        <v/>
      </c>
      <c r="EI604" s="66" t="str">
        <f t="shared" si="814"/>
        <v/>
      </c>
      <c r="EJ604" s="66" t="str">
        <f>+IF($W604="","",ROUND((EG604*Parámetros!$G$85),2))</f>
        <v/>
      </c>
      <c r="EK604" s="66" t="str">
        <f>+IF($W604="","",ROUND((EG604*(Parámetros!$G$86)),2))</f>
        <v/>
      </c>
      <c r="EL604" s="66" t="str">
        <f t="shared" si="815"/>
        <v/>
      </c>
    </row>
    <row r="605" spans="1:142" x14ac:dyDescent="0.25">
      <c r="A605" t="str">
        <f>+IF($C605="","",ROUND(VLOOKUP('Tablas Servicio'!B605,Parámetros!$H$100:$J$159,IF(Parámetros!$E$16="F",2,3),FALSE),2))</f>
        <v/>
      </c>
      <c r="B605" t="str">
        <f t="shared" si="766"/>
        <v/>
      </c>
      <c r="C605" s="57" t="str">
        <f>+IF(D605="","",'Tablas Servicio'!C604+1)</f>
        <v/>
      </c>
      <c r="D605" s="56" t="str">
        <f>+IF(D604&lt;edadmaxtabla,D604+1/Parámetros!$E$25,"")</f>
        <v/>
      </c>
      <c r="E605" s="57" t="str">
        <f t="shared" si="776"/>
        <v/>
      </c>
      <c r="F605" s="59" t="str">
        <f t="shared" si="777"/>
        <v/>
      </c>
      <c r="G605" s="66" t="str">
        <f t="shared" si="767"/>
        <v/>
      </c>
      <c r="H605" s="66" t="str">
        <f t="shared" si="768"/>
        <v/>
      </c>
      <c r="I605" s="66" t="str">
        <f t="shared" si="816"/>
        <v/>
      </c>
      <c r="J605" s="66" t="str">
        <f t="shared" si="769"/>
        <v/>
      </c>
      <c r="K605" s="66" t="str">
        <f t="shared" si="770"/>
        <v/>
      </c>
      <c r="L605" s="66" t="str">
        <f t="shared" si="771"/>
        <v/>
      </c>
      <c r="M605" s="66" t="str">
        <f t="shared" si="772"/>
        <v/>
      </c>
      <c r="N605" s="66" t="str">
        <f>+IF(C605="","",ROUND(Parámetros!$D$23,2))</f>
        <v/>
      </c>
      <c r="O605" s="66" t="str">
        <f t="shared" si="773"/>
        <v/>
      </c>
      <c r="P605" s="66" t="str">
        <f>+IF($C605="","",ROUND(IF(B605&gt;Parámetros!$D$117,0,N605*Parámetros!$D$116-G605*Parámetros!$D$100),2))</f>
        <v/>
      </c>
      <c r="Q605" s="75" t="str">
        <f t="shared" si="817"/>
        <v/>
      </c>
      <c r="R605" s="75" t="str">
        <f t="shared" si="818"/>
        <v/>
      </c>
      <c r="S605" s="117" t="str">
        <f>+IF($C605="","",ROUND((S604+I605)*(1+Parámetros!$D$91),2))</f>
        <v/>
      </c>
      <c r="T605" s="117" t="str">
        <f>+IF($C605="","",ROUND(S605*VLOOKUP(B605,Parámetros!$C$30:$D$39,2,TRUE),2))</f>
        <v/>
      </c>
      <c r="U605" s="117" t="str">
        <f>+IF($C605="","",ROUND((U604+I605)*(1+Parámetros!$D$92),2))</f>
        <v/>
      </c>
      <c r="V605" s="117" t="str">
        <f>+IF($C605="","",ROUND(U605*VLOOKUP(B605,Parámetros!$C$30:$D$39,2,TRUE),2))</f>
        <v/>
      </c>
      <c r="W605" s="57" t="str">
        <f t="shared" si="819"/>
        <v/>
      </c>
      <c r="X605" t="str">
        <f t="shared" si="820"/>
        <v/>
      </c>
      <c r="Y605" t="str">
        <f t="shared" si="821"/>
        <v/>
      </c>
      <c r="Z605" s="118" t="str">
        <f>+IF($W605="","",ROUND(IF(Parámetros!$D$25='TABLAS MORT'!$V$33,Z604,Parámetros!$D$21-'Tablas Servicio'!T604),0))</f>
        <v/>
      </c>
      <c r="AA605" s="118" t="str">
        <f t="shared" si="822"/>
        <v/>
      </c>
      <c r="AB605" s="119" t="str">
        <f>+IF(W605="","",ROUND((VLOOKUP(ROUNDDOWN($D605-1/frec,0),qx_tabla,2,FALSE)*(1+i/frec)^-0.5*(1+Parámetros!$D$103)*(1+rec_fracc)/frec),6))</f>
        <v/>
      </c>
      <c r="AC605" s="66" t="str">
        <f t="shared" si="778"/>
        <v/>
      </c>
      <c r="AD605" s="119" t="str">
        <f t="shared" si="774"/>
        <v/>
      </c>
      <c r="AE605" s="66" t="str">
        <f>+IF($W605="","",ROUND(IF($B605&gt;Parámetros!$D$107,'Tablas Servicio'!AC605+('Tablas Servicio'!AG604-'Tablas Servicio'!AC604),AC605/(1-IF(B605&lt;=10,Parámetros!$D$104,Parámetros!$D$105))),2))</f>
        <v/>
      </c>
      <c r="AF605" s="66" t="str">
        <f>+IF($W605="","",ROUND(IF($B605&gt;Parámetros!$D$107,'Tablas Servicio'!AC605+('Tablas Servicio'!AG604-'Tablas Servicio'!AC604),(AC605+$A604/frec)/(1-IF(B605&lt;=Parámetros!$D$117,Parámetros!$D$100,0))),2))</f>
        <v/>
      </c>
      <c r="AG605" s="66" t="str">
        <f t="shared" si="779"/>
        <v/>
      </c>
      <c r="AH605" s="66" t="str">
        <f t="shared" si="780"/>
        <v/>
      </c>
      <c r="AI605" s="66" t="str">
        <f t="shared" si="781"/>
        <v/>
      </c>
      <c r="AJ605" s="66" t="str">
        <f>+IF($W605="","",ROUND((AG605*Parámetros!$G$85),2))</f>
        <v/>
      </c>
      <c r="AK605" s="66" t="str">
        <f>+IF($W605="","",ROUND((AG605*(Parámetros!$G$86)),2))</f>
        <v/>
      </c>
      <c r="AL605" s="66" t="str">
        <f t="shared" si="775"/>
        <v/>
      </c>
      <c r="AM605" t="str">
        <f t="shared" si="823"/>
        <v/>
      </c>
      <c r="AN605" t="str">
        <f t="shared" si="824"/>
        <v/>
      </c>
      <c r="AO605" s="118" t="str">
        <f t="shared" si="825"/>
        <v/>
      </c>
      <c r="AP605" s="118" t="str">
        <f t="shared" si="826"/>
        <v/>
      </c>
      <c r="AQ605" s="119" t="str">
        <f>+IF(OR($W605="",AO605=0),"",ROUND((VLOOKUP(ROUNDDOWN($D605-1/frec,0),cob_adi,Z$40,FALSE)*(1+i/frec)^-0.5*(1+Parámetros!$D$103)*(1+rec_fracc)/frec),6))</f>
        <v/>
      </c>
      <c r="AR605" s="66" t="str">
        <f t="shared" si="782"/>
        <v/>
      </c>
      <c r="AS605" s="119" t="str">
        <f t="shared" si="783"/>
        <v/>
      </c>
      <c r="AT605" s="66" t="str">
        <f>+IF($W605="","",ROUND(IF($B605&gt;Parámetros!$D$107,'Tablas Servicio'!AR605+('Tablas Servicio'!AT604-'Tablas Servicio'!AR604),AR605/(1-IF(B605&lt;=10,Parámetros!$D$100,0))),2))</f>
        <v/>
      </c>
      <c r="AU605" s="66" t="str">
        <f t="shared" si="784"/>
        <v/>
      </c>
      <c r="AV605" s="66" t="str">
        <f t="shared" si="784"/>
        <v/>
      </c>
      <c r="AW605" s="66" t="str">
        <f>+IF($W605="","",ROUND((AT605*Parámetros!$G$85),2))</f>
        <v/>
      </c>
      <c r="AX605" s="66" t="str">
        <f>+IF($W605="","",ROUND((AT605*(Parámetros!$G$86)),2))</f>
        <v/>
      </c>
      <c r="AY605" s="66" t="str">
        <f t="shared" si="785"/>
        <v/>
      </c>
      <c r="AZ605" t="str">
        <f t="shared" si="827"/>
        <v/>
      </c>
      <c r="BA605" t="str">
        <f t="shared" si="828"/>
        <v/>
      </c>
      <c r="BB605" s="118" t="str">
        <f t="shared" si="829"/>
        <v/>
      </c>
      <c r="BC605" s="118" t="str">
        <f t="shared" si="830"/>
        <v/>
      </c>
      <c r="BD605" s="119" t="str">
        <f>+IF(OR($W605="",BB605=0),"",ROUND((VLOOKUP(ROUNDDOWN($D605-1/frec,0),cob_adi,AO$40,FALSE)*(1+i/frec)^-0.5*(1+Parámetros!$D$103)*(1+rec_fracc)/frec),6))</f>
        <v/>
      </c>
      <c r="BE605" s="66" t="str">
        <f t="shared" si="786"/>
        <v/>
      </c>
      <c r="BF605" s="119" t="str">
        <f t="shared" si="787"/>
        <v/>
      </c>
      <c r="BG605" s="66" t="str">
        <f>+IF($W605="","",ROUND(IF($B605&gt;Parámetros!$D$107,'Tablas Servicio'!BE605+('Tablas Servicio'!BG604-'Tablas Servicio'!BE604),BE605/(1-IF(B605&lt;=10,Parámetros!$D$100,0))),2))</f>
        <v/>
      </c>
      <c r="BH605" s="66" t="str">
        <f t="shared" si="788"/>
        <v/>
      </c>
      <c r="BI605" s="66" t="str">
        <f t="shared" si="789"/>
        <v/>
      </c>
      <c r="BJ605" s="66" t="str">
        <f>+IF($W605="","",ROUND((BG605*Parámetros!$G$85),2))</f>
        <v/>
      </c>
      <c r="BK605" s="66" t="str">
        <f>+IF($W605="","",ROUND((BG605*(Parámetros!$G$86)),2))</f>
        <v/>
      </c>
      <c r="BL605" s="66" t="str">
        <f t="shared" si="790"/>
        <v/>
      </c>
      <c r="BM605" t="str">
        <f t="shared" si="831"/>
        <v/>
      </c>
      <c r="BN605" t="str">
        <f t="shared" si="832"/>
        <v/>
      </c>
      <c r="BO605" s="118" t="str">
        <f t="shared" si="833"/>
        <v/>
      </c>
      <c r="BP605" s="118" t="str">
        <f t="shared" si="834"/>
        <v/>
      </c>
      <c r="BQ605" s="119" t="str">
        <f>+IF(OR($W605="",BO605=0),"",ROUND((VLOOKUP(ROUNDDOWN($D605-1/frec,0),cob_adi,BB$40,FALSE)*(1+i/frec)^-0.5*(1+Parámetros!$D$103)*(1+rec_fracc)/frec),6))</f>
        <v/>
      </c>
      <c r="BR605" s="66" t="str">
        <f t="shared" si="791"/>
        <v/>
      </c>
      <c r="BS605" s="119" t="str">
        <f t="shared" si="792"/>
        <v/>
      </c>
      <c r="BT605" s="66" t="str">
        <f>+IF($W605="","",ROUND(IF($B605&gt;Parámetros!$D$107,'Tablas Servicio'!BR605+('Tablas Servicio'!BT604-'Tablas Servicio'!BR604),BR605/(1-IF(B605&lt;=10,Parámetros!$D$100,0))),2))</f>
        <v/>
      </c>
      <c r="BU605" s="66" t="str">
        <f t="shared" si="793"/>
        <v/>
      </c>
      <c r="BV605" s="66" t="str">
        <f t="shared" si="793"/>
        <v/>
      </c>
      <c r="BW605" s="66" t="str">
        <f>+IF($W605="","",ROUND((BT605*Parámetros!$G$85),2))</f>
        <v/>
      </c>
      <c r="BX605" s="66" t="str">
        <f>+IF($W605="","",ROUND((BT605*(Parámetros!$G$86)),2))</f>
        <v/>
      </c>
      <c r="BY605" s="66" t="str">
        <f t="shared" si="794"/>
        <v/>
      </c>
      <c r="BZ605" t="str">
        <f t="shared" si="835"/>
        <v/>
      </c>
      <c r="CA605" t="str">
        <f t="shared" si="836"/>
        <v/>
      </c>
      <c r="CB605" s="118" t="str">
        <f t="shared" si="837"/>
        <v/>
      </c>
      <c r="CC605" s="118" t="str">
        <f t="shared" si="838"/>
        <v/>
      </c>
      <c r="CD605" s="119" t="str">
        <f t="shared" si="795"/>
        <v/>
      </c>
      <c r="CE605" s="66" t="str">
        <f>+IF($W605="","",ROUND((VLOOKUP(ROUNDDOWN($D605-1/frec,0),cob_adi,BO$40,FALSE)*(1+i/frec)^-0.5*(1+Parámetros!$D$103)*(1+rec_fracc)/frec*'TABLAS ADI'!$BC$17),2))</f>
        <v/>
      </c>
      <c r="CF605" s="119" t="str">
        <f t="shared" si="796"/>
        <v/>
      </c>
      <c r="CG605" s="66" t="str">
        <f>+IF($W605="","",ROUND(IF($B605&gt;Parámetros!$D$107,'Tablas Servicio'!CE605+('Tablas Servicio'!CG604-'Tablas Servicio'!CE604),CE605/(1-IF(B605&lt;=10,Parámetros!$D$100,0))),2))</f>
        <v/>
      </c>
      <c r="CH605" s="66" t="str">
        <f t="shared" si="797"/>
        <v/>
      </c>
      <c r="CI605" s="66" t="str">
        <f t="shared" si="797"/>
        <v/>
      </c>
      <c r="CJ605" s="66" t="str">
        <f>+IF($W605="","",ROUND((CG605*Parámetros!$G$85),2))</f>
        <v/>
      </c>
      <c r="CK605" s="66" t="str">
        <f>+IF($W605="","",ROUND((CG605*(Parámetros!$G$86)),2))</f>
        <v/>
      </c>
      <c r="CL605" s="66" t="str">
        <f t="shared" si="798"/>
        <v/>
      </c>
      <c r="CM605" t="str">
        <f t="shared" si="839"/>
        <v/>
      </c>
      <c r="CN605" s="118" t="str">
        <f t="shared" si="840"/>
        <v/>
      </c>
      <c r="CO605" s="118" t="str">
        <f t="shared" si="841"/>
        <v/>
      </c>
      <c r="CP605" s="118" t="str">
        <f t="shared" si="842"/>
        <v/>
      </c>
      <c r="CQ605" s="119" t="str">
        <f t="shared" si="799"/>
        <v/>
      </c>
      <c r="CR605" s="66" t="str">
        <f>+IF($W605="","",ROUND((VLOOKUP(Parámetros!$F$51,'COBERTURAS ADICIONALES'!$S$4:$T$32,2,FALSE)*(1+i/frec)^-0.5*(1+Parámetros!$D$103)*(1+rec_fracc)/frec*$CO$42),2))</f>
        <v/>
      </c>
      <c r="CS605" s="119" t="str">
        <f t="shared" si="800"/>
        <v/>
      </c>
      <c r="CT605" s="66" t="str">
        <f>+IF($W605="","",ROUND(IF($B605&gt;Parámetros!$D$107,'Tablas Servicio'!CR605+('Tablas Servicio'!CT604-'Tablas Servicio'!CR604),CR605/(1-IF(B605&lt;=10,Parámetros!$D$100,0))),2))</f>
        <v/>
      </c>
      <c r="CU605" s="66" t="str">
        <f t="shared" si="801"/>
        <v/>
      </c>
      <c r="CV605" s="66" t="str">
        <f t="shared" si="801"/>
        <v/>
      </c>
      <c r="CW605" s="66" t="str">
        <f>+IF($W605="","",ROUND((CT605*Parámetros!$G$85),2))</f>
        <v/>
      </c>
      <c r="CX605" s="66" t="str">
        <f>+IF($W605="","",ROUND((CT605*(Parámetros!$G$86)),2))</f>
        <v/>
      </c>
      <c r="CY605" s="66" t="str">
        <f t="shared" si="802"/>
        <v/>
      </c>
      <c r="CZ605" t="str">
        <f t="shared" si="843"/>
        <v/>
      </c>
      <c r="DA605" s="118" t="str">
        <f t="shared" si="844"/>
        <v/>
      </c>
      <c r="DB605" s="118" t="str">
        <f t="shared" si="845"/>
        <v/>
      </c>
      <c r="DC605" s="118" t="str">
        <f t="shared" si="846"/>
        <v/>
      </c>
      <c r="DD605" s="121" t="str">
        <f>+IF(OR($W605="",DB605=0),"",ROUND((VLOOKUP(ROUNDDOWN($D605-1/frec,0),cob_adi,CO$40,FALSE)*(1+i/frec)^-0.5*(1+Parámetros!$D$103)*(1+rec_fracc)/frec),6))</f>
        <v/>
      </c>
      <c r="DE605" s="66" t="str">
        <f t="shared" si="803"/>
        <v/>
      </c>
      <c r="DF605" s="119" t="str">
        <f t="shared" si="804"/>
        <v/>
      </c>
      <c r="DG605" s="66" t="str">
        <f>+IF($W605="","",ROUND(IF($B605&gt;Parámetros!$D$107,'Tablas Servicio'!DE605+('Tablas Servicio'!DG604-'Tablas Servicio'!DE604),DE605/(1-IF(B605&lt;=10,Parámetros!$D$100,0))),2))</f>
        <v/>
      </c>
      <c r="DH605" s="66" t="str">
        <f t="shared" si="805"/>
        <v/>
      </c>
      <c r="DI605" s="66" t="str">
        <f t="shared" si="805"/>
        <v/>
      </c>
      <c r="DJ605" s="66" t="str">
        <f>+IF($W605="","",ROUND((DG605*Parámetros!$G$85),2))</f>
        <v/>
      </c>
      <c r="DK605" s="66" t="str">
        <f>+IF($W605="","",ROUND((DG605*(Parámetros!$G$86)),2))</f>
        <v/>
      </c>
      <c r="DL605" s="66" t="str">
        <f t="shared" si="806"/>
        <v/>
      </c>
      <c r="DM605" t="str">
        <f t="shared" si="847"/>
        <v/>
      </c>
      <c r="DN605" s="118" t="str">
        <f t="shared" si="848"/>
        <v/>
      </c>
      <c r="DO605" s="118" t="str">
        <f t="shared" si="849"/>
        <v/>
      </c>
      <c r="DP605" s="118" t="str">
        <f t="shared" si="850"/>
        <v/>
      </c>
      <c r="DQ605" s="122" t="str">
        <f>+IF(OR($W605="",DO605=0),"",ROUND((VLOOKUP(ROUNDDOWN($D605-1/frec,0),cob_adi,DB$40,FALSE)*(1+i/frec)^-0.5*(1+Parámetros!$D$103)*(1+rec_fracc)/frec),6))</f>
        <v/>
      </c>
      <c r="DR605" s="66" t="str">
        <f t="shared" si="807"/>
        <v/>
      </c>
      <c r="DS605" s="68" t="str">
        <f t="shared" si="808"/>
        <v/>
      </c>
      <c r="DT605" s="66" t="str">
        <f>+IF($W605="","",ROUND(IF($B605&gt;Parámetros!$D$107,'Tablas Servicio'!DR605+('Tablas Servicio'!DT604-'Tablas Servicio'!DR604),DR605/(1-IF(B605&lt;=10,Parámetros!$D$100,0))),2))</f>
        <v/>
      </c>
      <c r="DU605" s="66" t="str">
        <f t="shared" si="809"/>
        <v/>
      </c>
      <c r="DV605" s="66" t="str">
        <f t="shared" si="809"/>
        <v/>
      </c>
      <c r="DW605" s="66" t="str">
        <f>+IF($W605="","",ROUND((DT605*Parámetros!$G$85),2))</f>
        <v/>
      </c>
      <c r="DX605" s="66" t="str">
        <f>+IF($W605="","",ROUND((DT605*(Parámetros!$G$86)),2))</f>
        <v/>
      </c>
      <c r="DY605" s="66" t="str">
        <f t="shared" si="810"/>
        <v/>
      </c>
      <c r="DZ605" t="str">
        <f t="shared" si="853"/>
        <v/>
      </c>
      <c r="EA605" s="118" t="str">
        <f t="shared" si="853"/>
        <v/>
      </c>
      <c r="EB605" s="118" t="str">
        <f>+IF($W605="","",ROUND(IF(Parámetros!$D$25='TABLAS MORT'!$V$33,EB604,Z605/2),0))</f>
        <v/>
      </c>
      <c r="EC605" s="118" t="str">
        <f t="shared" si="853"/>
        <v/>
      </c>
      <c r="ED605" s="122" t="str">
        <f>+IF(OR($W605="",EB605=0),"",ROUND((VLOOKUP(ROUNDDOWN($D605-1/frec,0),cob_adi,DO$40,FALSE)*(1+i/frec)^-0.5*(1+Parámetros!$D$103)*(1+rec_fracc)/frec),6))</f>
        <v/>
      </c>
      <c r="EE605" s="66" t="str">
        <f t="shared" si="812"/>
        <v/>
      </c>
      <c r="EF605" s="68" t="str">
        <f t="shared" si="813"/>
        <v/>
      </c>
      <c r="EG605" s="66" t="str">
        <f>+IF($W605="","",ROUND(IF($B605&gt;Parámetros!$D$107,'Tablas Servicio'!EE605+('Tablas Servicio'!EG604-'Tablas Servicio'!EE604),EE605/(1-IF(B605&lt;=10,Parámetros!$D$100,0))),2))</f>
        <v/>
      </c>
      <c r="EH605" s="66" t="str">
        <f t="shared" si="814"/>
        <v/>
      </c>
      <c r="EI605" s="66" t="str">
        <f t="shared" si="814"/>
        <v/>
      </c>
      <c r="EJ605" s="66" t="str">
        <f>+IF($W605="","",ROUND((EG605*Parámetros!$G$85),2))</f>
        <v/>
      </c>
      <c r="EK605" s="66" t="str">
        <f>+IF($W605="","",ROUND((EG605*(Parámetros!$G$86)),2))</f>
        <v/>
      </c>
      <c r="EL605" s="66" t="str">
        <f t="shared" si="815"/>
        <v/>
      </c>
    </row>
    <row r="606" spans="1:142" x14ac:dyDescent="0.25">
      <c r="A606" t="str">
        <f>+IF($C606="","",ROUND(VLOOKUP('Tablas Servicio'!B606,Parámetros!$H$100:$J$159,IF(Parámetros!$E$16="F",2,3),FALSE),2))</f>
        <v/>
      </c>
      <c r="B606" t="str">
        <f t="shared" si="766"/>
        <v/>
      </c>
      <c r="C606" s="57" t="str">
        <f>+IF(D606="","",'Tablas Servicio'!C605+1)</f>
        <v/>
      </c>
      <c r="D606" s="56" t="str">
        <f>+IF(D605&lt;edadmaxtabla,D605+1/Parámetros!$E$25,"")</f>
        <v/>
      </c>
      <c r="E606" s="57" t="str">
        <f t="shared" si="776"/>
        <v/>
      </c>
      <c r="F606" s="59" t="str">
        <f t="shared" si="777"/>
        <v/>
      </c>
      <c r="G606" s="66" t="str">
        <f t="shared" si="767"/>
        <v/>
      </c>
      <c r="H606" s="66" t="str">
        <f t="shared" si="768"/>
        <v/>
      </c>
      <c r="I606" s="66" t="str">
        <f t="shared" si="816"/>
        <v/>
      </c>
      <c r="J606" s="66" t="str">
        <f t="shared" si="769"/>
        <v/>
      </c>
      <c r="K606" s="66" t="str">
        <f t="shared" si="770"/>
        <v/>
      </c>
      <c r="L606" s="66" t="str">
        <f t="shared" si="771"/>
        <v/>
      </c>
      <c r="M606" s="66" t="str">
        <f t="shared" si="772"/>
        <v/>
      </c>
      <c r="N606" s="66" t="str">
        <f>+IF(C606="","",ROUND(Parámetros!$D$23,2))</f>
        <v/>
      </c>
      <c r="O606" s="66" t="str">
        <f t="shared" si="773"/>
        <v/>
      </c>
      <c r="P606" s="66" t="str">
        <f>+IF($C606="","",ROUND(IF(B606&gt;Parámetros!$D$117,0,N606*Parámetros!$D$116-G606*Parámetros!$D$100),2))</f>
        <v/>
      </c>
      <c r="Q606" s="75" t="str">
        <f t="shared" si="817"/>
        <v/>
      </c>
      <c r="R606" s="75" t="str">
        <f t="shared" si="818"/>
        <v/>
      </c>
      <c r="S606" s="117" t="str">
        <f>+IF($C606="","",ROUND((S605+I606)*(1+Parámetros!$D$91),2))</f>
        <v/>
      </c>
      <c r="T606" s="117" t="str">
        <f>+IF($C606="","",ROUND(S606*VLOOKUP(B606,Parámetros!$C$30:$D$39,2,TRUE),2))</f>
        <v/>
      </c>
      <c r="U606" s="117" t="str">
        <f>+IF($C606="","",ROUND((U605+I606)*(1+Parámetros!$D$92),2))</f>
        <v/>
      </c>
      <c r="V606" s="117" t="str">
        <f>+IF($C606="","",ROUND(U606*VLOOKUP(B606,Parámetros!$C$30:$D$39,2,TRUE),2))</f>
        <v/>
      </c>
      <c r="W606" s="57" t="str">
        <f t="shared" si="819"/>
        <v/>
      </c>
      <c r="X606" t="str">
        <f t="shared" si="820"/>
        <v/>
      </c>
      <c r="Y606" t="str">
        <f t="shared" si="821"/>
        <v/>
      </c>
      <c r="Z606" s="118" t="str">
        <f>+IF($W606="","",ROUND(IF(Parámetros!$D$25='TABLAS MORT'!$V$33,Z605,Parámetros!$D$21-'Tablas Servicio'!T605),0))</f>
        <v/>
      </c>
      <c r="AA606" s="118" t="str">
        <f t="shared" si="822"/>
        <v/>
      </c>
      <c r="AB606" s="119" t="str">
        <f>+IF(W606="","",ROUND((VLOOKUP(ROUNDDOWN($D606-1/frec,0),qx_tabla,2,FALSE)*(1+i/frec)^-0.5*(1+Parámetros!$D$103)*(1+rec_fracc)/frec),6))</f>
        <v/>
      </c>
      <c r="AC606" s="66" t="str">
        <f t="shared" si="778"/>
        <v/>
      </c>
      <c r="AD606" s="119" t="str">
        <f t="shared" si="774"/>
        <v/>
      </c>
      <c r="AE606" s="66" t="str">
        <f>+IF($W606="","",ROUND(IF($B606&gt;Parámetros!$D$107,'Tablas Servicio'!AC606+('Tablas Servicio'!AG605-'Tablas Servicio'!AC605),AC606/(1-IF(B606&lt;=10,Parámetros!$D$104,Parámetros!$D$105))),2))</f>
        <v/>
      </c>
      <c r="AF606" s="66" t="str">
        <f>+IF($W606="","",ROUND(IF($B606&gt;Parámetros!$D$107,'Tablas Servicio'!AC606+('Tablas Servicio'!AG605-'Tablas Servicio'!AC605),(AC606+$A605/frec)/(1-IF(B606&lt;=Parámetros!$D$117,Parámetros!$D$100,0))),2))</f>
        <v/>
      </c>
      <c r="AG606" s="66" t="str">
        <f t="shared" si="779"/>
        <v/>
      </c>
      <c r="AH606" s="66" t="str">
        <f t="shared" si="780"/>
        <v/>
      </c>
      <c r="AI606" s="66" t="str">
        <f t="shared" si="781"/>
        <v/>
      </c>
      <c r="AJ606" s="66" t="str">
        <f>+IF($W606="","",ROUND((AG606*Parámetros!$G$85),2))</f>
        <v/>
      </c>
      <c r="AK606" s="66" t="str">
        <f>+IF($W606="","",ROUND((AG606*(Parámetros!$G$86)),2))</f>
        <v/>
      </c>
      <c r="AL606" s="66" t="str">
        <f t="shared" si="775"/>
        <v/>
      </c>
      <c r="AM606" t="str">
        <f t="shared" si="823"/>
        <v/>
      </c>
      <c r="AN606" t="str">
        <f t="shared" si="824"/>
        <v/>
      </c>
      <c r="AO606" s="118" t="str">
        <f t="shared" si="825"/>
        <v/>
      </c>
      <c r="AP606" s="118" t="str">
        <f t="shared" si="826"/>
        <v/>
      </c>
      <c r="AQ606" s="119" t="str">
        <f>+IF(OR($W606="",AO606=0),"",ROUND((VLOOKUP(ROUNDDOWN($D606-1/frec,0),cob_adi,Z$40,FALSE)*(1+i/frec)^-0.5*(1+Parámetros!$D$103)*(1+rec_fracc)/frec),6))</f>
        <v/>
      </c>
      <c r="AR606" s="66" t="str">
        <f t="shared" si="782"/>
        <v/>
      </c>
      <c r="AS606" s="119" t="str">
        <f t="shared" si="783"/>
        <v/>
      </c>
      <c r="AT606" s="66" t="str">
        <f>+IF($W606="","",ROUND(IF($B606&gt;Parámetros!$D$107,'Tablas Servicio'!AR606+('Tablas Servicio'!AT605-'Tablas Servicio'!AR605),AR606/(1-IF(B606&lt;=10,Parámetros!$D$100,0))),2))</f>
        <v/>
      </c>
      <c r="AU606" s="66" t="str">
        <f t="shared" si="784"/>
        <v/>
      </c>
      <c r="AV606" s="66" t="str">
        <f t="shared" si="784"/>
        <v/>
      </c>
      <c r="AW606" s="66" t="str">
        <f>+IF($W606="","",ROUND((AT606*Parámetros!$G$85),2))</f>
        <v/>
      </c>
      <c r="AX606" s="66" t="str">
        <f>+IF($W606="","",ROUND((AT606*(Parámetros!$G$86)),2))</f>
        <v/>
      </c>
      <c r="AY606" s="66" t="str">
        <f t="shared" si="785"/>
        <v/>
      </c>
      <c r="AZ606" t="str">
        <f t="shared" si="827"/>
        <v/>
      </c>
      <c r="BA606" t="str">
        <f t="shared" si="828"/>
        <v/>
      </c>
      <c r="BB606" s="118" t="str">
        <f t="shared" si="829"/>
        <v/>
      </c>
      <c r="BC606" s="118" t="str">
        <f t="shared" si="830"/>
        <v/>
      </c>
      <c r="BD606" s="119" t="str">
        <f>+IF(OR($W606="",BB606=0),"",ROUND((VLOOKUP(ROUNDDOWN($D606-1/frec,0),cob_adi,AO$40,FALSE)*(1+i/frec)^-0.5*(1+Parámetros!$D$103)*(1+rec_fracc)/frec),6))</f>
        <v/>
      </c>
      <c r="BE606" s="66" t="str">
        <f t="shared" si="786"/>
        <v/>
      </c>
      <c r="BF606" s="119" t="str">
        <f t="shared" si="787"/>
        <v/>
      </c>
      <c r="BG606" s="66" t="str">
        <f>+IF($W606="","",ROUND(IF($B606&gt;Parámetros!$D$107,'Tablas Servicio'!BE606+('Tablas Servicio'!BG605-'Tablas Servicio'!BE605),BE606/(1-IF(B606&lt;=10,Parámetros!$D$100,0))),2))</f>
        <v/>
      </c>
      <c r="BH606" s="66" t="str">
        <f t="shared" si="788"/>
        <v/>
      </c>
      <c r="BI606" s="66" t="str">
        <f t="shared" si="789"/>
        <v/>
      </c>
      <c r="BJ606" s="66" t="str">
        <f>+IF($W606="","",ROUND((BG606*Parámetros!$G$85),2))</f>
        <v/>
      </c>
      <c r="BK606" s="66" t="str">
        <f>+IF($W606="","",ROUND((BG606*(Parámetros!$G$86)),2))</f>
        <v/>
      </c>
      <c r="BL606" s="66" t="str">
        <f t="shared" si="790"/>
        <v/>
      </c>
      <c r="BM606" t="str">
        <f t="shared" si="831"/>
        <v/>
      </c>
      <c r="BN606" t="str">
        <f t="shared" si="832"/>
        <v/>
      </c>
      <c r="BO606" s="118" t="str">
        <f t="shared" si="833"/>
        <v/>
      </c>
      <c r="BP606" s="118" t="str">
        <f t="shared" si="834"/>
        <v/>
      </c>
      <c r="BQ606" s="119" t="str">
        <f>+IF(OR($W606="",BO606=0),"",ROUND((VLOOKUP(ROUNDDOWN($D606-1/frec,0),cob_adi,BB$40,FALSE)*(1+i/frec)^-0.5*(1+Parámetros!$D$103)*(1+rec_fracc)/frec),6))</f>
        <v/>
      </c>
      <c r="BR606" s="66" t="str">
        <f t="shared" si="791"/>
        <v/>
      </c>
      <c r="BS606" s="119" t="str">
        <f t="shared" si="792"/>
        <v/>
      </c>
      <c r="BT606" s="66" t="str">
        <f>+IF($W606="","",ROUND(IF($B606&gt;Parámetros!$D$107,'Tablas Servicio'!BR606+('Tablas Servicio'!BT605-'Tablas Servicio'!BR605),BR606/(1-IF(B606&lt;=10,Parámetros!$D$100,0))),2))</f>
        <v/>
      </c>
      <c r="BU606" s="66" t="str">
        <f t="shared" si="793"/>
        <v/>
      </c>
      <c r="BV606" s="66" t="str">
        <f t="shared" si="793"/>
        <v/>
      </c>
      <c r="BW606" s="66" t="str">
        <f>+IF($W606="","",ROUND((BT606*Parámetros!$G$85),2))</f>
        <v/>
      </c>
      <c r="BX606" s="66" t="str">
        <f>+IF($W606="","",ROUND((BT606*(Parámetros!$G$86)),2))</f>
        <v/>
      </c>
      <c r="BY606" s="66" t="str">
        <f t="shared" si="794"/>
        <v/>
      </c>
      <c r="BZ606" t="str">
        <f t="shared" si="835"/>
        <v/>
      </c>
      <c r="CA606" t="str">
        <f t="shared" si="836"/>
        <v/>
      </c>
      <c r="CB606" s="118" t="str">
        <f t="shared" si="837"/>
        <v/>
      </c>
      <c r="CC606" s="118" t="str">
        <f t="shared" si="838"/>
        <v/>
      </c>
      <c r="CD606" s="119" t="str">
        <f t="shared" si="795"/>
        <v/>
      </c>
      <c r="CE606" s="66" t="str">
        <f>+IF($W606="","",ROUND((VLOOKUP(ROUNDDOWN($D606-1/frec,0),cob_adi,BO$40,FALSE)*(1+i/frec)^-0.5*(1+Parámetros!$D$103)*(1+rec_fracc)/frec*'TABLAS ADI'!$BC$17),2))</f>
        <v/>
      </c>
      <c r="CF606" s="119" t="str">
        <f t="shared" si="796"/>
        <v/>
      </c>
      <c r="CG606" s="66" t="str">
        <f>+IF($W606="","",ROUND(IF($B606&gt;Parámetros!$D$107,'Tablas Servicio'!CE606+('Tablas Servicio'!CG605-'Tablas Servicio'!CE605),CE606/(1-IF(B606&lt;=10,Parámetros!$D$100,0))),2))</f>
        <v/>
      </c>
      <c r="CH606" s="66" t="str">
        <f t="shared" si="797"/>
        <v/>
      </c>
      <c r="CI606" s="66" t="str">
        <f t="shared" si="797"/>
        <v/>
      </c>
      <c r="CJ606" s="66" t="str">
        <f>+IF($W606="","",ROUND((CG606*Parámetros!$G$85),2))</f>
        <v/>
      </c>
      <c r="CK606" s="66" t="str">
        <f>+IF($W606="","",ROUND((CG606*(Parámetros!$G$86)),2))</f>
        <v/>
      </c>
      <c r="CL606" s="66" t="str">
        <f t="shared" si="798"/>
        <v/>
      </c>
      <c r="CM606" t="str">
        <f t="shared" si="839"/>
        <v/>
      </c>
      <c r="CN606" s="118" t="str">
        <f t="shared" si="840"/>
        <v/>
      </c>
      <c r="CO606" s="118" t="str">
        <f t="shared" si="841"/>
        <v/>
      </c>
      <c r="CP606" s="118" t="str">
        <f t="shared" si="842"/>
        <v/>
      </c>
      <c r="CQ606" s="119" t="str">
        <f t="shared" si="799"/>
        <v/>
      </c>
      <c r="CR606" s="66" t="str">
        <f>+IF($W606="","",ROUND((VLOOKUP(Parámetros!$F$51,'COBERTURAS ADICIONALES'!$S$4:$T$32,2,FALSE)*(1+i/frec)^-0.5*(1+Parámetros!$D$103)*(1+rec_fracc)/frec*$CO$42),2))</f>
        <v/>
      </c>
      <c r="CS606" s="119" t="str">
        <f t="shared" si="800"/>
        <v/>
      </c>
      <c r="CT606" s="66" t="str">
        <f>+IF($W606="","",ROUND(IF($B606&gt;Parámetros!$D$107,'Tablas Servicio'!CR606+('Tablas Servicio'!CT605-'Tablas Servicio'!CR605),CR606/(1-IF(B606&lt;=10,Parámetros!$D$100,0))),2))</f>
        <v/>
      </c>
      <c r="CU606" s="66" t="str">
        <f t="shared" si="801"/>
        <v/>
      </c>
      <c r="CV606" s="66" t="str">
        <f t="shared" si="801"/>
        <v/>
      </c>
      <c r="CW606" s="66" t="str">
        <f>+IF($W606="","",ROUND((CT606*Parámetros!$G$85),2))</f>
        <v/>
      </c>
      <c r="CX606" s="66" t="str">
        <f>+IF($W606="","",ROUND((CT606*(Parámetros!$G$86)),2))</f>
        <v/>
      </c>
      <c r="CY606" s="66" t="str">
        <f t="shared" si="802"/>
        <v/>
      </c>
      <c r="CZ606" t="str">
        <f t="shared" si="843"/>
        <v/>
      </c>
      <c r="DA606" s="118" t="str">
        <f t="shared" si="844"/>
        <v/>
      </c>
      <c r="DB606" s="118" t="str">
        <f t="shared" si="845"/>
        <v/>
      </c>
      <c r="DC606" s="118" t="str">
        <f t="shared" si="846"/>
        <v/>
      </c>
      <c r="DD606" s="121" t="str">
        <f>+IF(OR($W606="",DB606=0),"",ROUND((VLOOKUP(ROUNDDOWN($D606-1/frec,0),cob_adi,CO$40,FALSE)*(1+i/frec)^-0.5*(1+Parámetros!$D$103)*(1+rec_fracc)/frec),6))</f>
        <v/>
      </c>
      <c r="DE606" s="66" t="str">
        <f t="shared" si="803"/>
        <v/>
      </c>
      <c r="DF606" s="119" t="str">
        <f t="shared" si="804"/>
        <v/>
      </c>
      <c r="DG606" s="66" t="str">
        <f>+IF($W606="","",ROUND(IF($B606&gt;Parámetros!$D$107,'Tablas Servicio'!DE606+('Tablas Servicio'!DG605-'Tablas Servicio'!DE605),DE606/(1-IF(B606&lt;=10,Parámetros!$D$100,0))),2))</f>
        <v/>
      </c>
      <c r="DH606" s="66" t="str">
        <f t="shared" si="805"/>
        <v/>
      </c>
      <c r="DI606" s="66" t="str">
        <f t="shared" si="805"/>
        <v/>
      </c>
      <c r="DJ606" s="66" t="str">
        <f>+IF($W606="","",ROUND((DG606*Parámetros!$G$85),2))</f>
        <v/>
      </c>
      <c r="DK606" s="66" t="str">
        <f>+IF($W606="","",ROUND((DG606*(Parámetros!$G$86)),2))</f>
        <v/>
      </c>
      <c r="DL606" s="66" t="str">
        <f t="shared" si="806"/>
        <v/>
      </c>
      <c r="DM606" t="str">
        <f t="shared" si="847"/>
        <v/>
      </c>
      <c r="DN606" s="118" t="str">
        <f t="shared" si="848"/>
        <v/>
      </c>
      <c r="DO606" s="118" t="str">
        <f t="shared" si="849"/>
        <v/>
      </c>
      <c r="DP606" s="118" t="str">
        <f t="shared" si="850"/>
        <v/>
      </c>
      <c r="DQ606" s="122" t="str">
        <f>+IF(OR($W606="",DO606=0),"",ROUND((VLOOKUP(ROUNDDOWN($D606-1/frec,0),cob_adi,DB$40,FALSE)*(1+i/frec)^-0.5*(1+Parámetros!$D$103)*(1+rec_fracc)/frec),6))</f>
        <v/>
      </c>
      <c r="DR606" s="66" t="str">
        <f t="shared" si="807"/>
        <v/>
      </c>
      <c r="DS606" s="68" t="str">
        <f t="shared" si="808"/>
        <v/>
      </c>
      <c r="DT606" s="66" t="str">
        <f>+IF($W606="","",ROUND(IF($B606&gt;Parámetros!$D$107,'Tablas Servicio'!DR606+('Tablas Servicio'!DT605-'Tablas Servicio'!DR605),DR606/(1-IF(B606&lt;=10,Parámetros!$D$100,0))),2))</f>
        <v/>
      </c>
      <c r="DU606" s="66" t="str">
        <f t="shared" si="809"/>
        <v/>
      </c>
      <c r="DV606" s="66" t="str">
        <f t="shared" si="809"/>
        <v/>
      </c>
      <c r="DW606" s="66" t="str">
        <f>+IF($W606="","",ROUND((DT606*Parámetros!$G$85),2))</f>
        <v/>
      </c>
      <c r="DX606" s="66" t="str">
        <f>+IF($W606="","",ROUND((DT606*(Parámetros!$G$86)),2))</f>
        <v/>
      </c>
      <c r="DY606" s="66" t="str">
        <f t="shared" si="810"/>
        <v/>
      </c>
      <c r="DZ606" t="str">
        <f t="shared" si="853"/>
        <v/>
      </c>
      <c r="EA606" s="118" t="str">
        <f t="shared" si="853"/>
        <v/>
      </c>
      <c r="EB606" s="118" t="str">
        <f>+IF($W606="","",ROUND(IF(Parámetros!$D$25='TABLAS MORT'!$V$33,EB605,Z606/2),0))</f>
        <v/>
      </c>
      <c r="EC606" s="118" t="str">
        <f t="shared" si="853"/>
        <v/>
      </c>
      <c r="ED606" s="122" t="str">
        <f>+IF(OR($W606="",EB606=0),"",ROUND((VLOOKUP(ROUNDDOWN($D606-1/frec,0),cob_adi,DO$40,FALSE)*(1+i/frec)^-0.5*(1+Parámetros!$D$103)*(1+rec_fracc)/frec),6))</f>
        <v/>
      </c>
      <c r="EE606" s="66" t="str">
        <f t="shared" si="812"/>
        <v/>
      </c>
      <c r="EF606" s="68" t="str">
        <f t="shared" si="813"/>
        <v/>
      </c>
      <c r="EG606" s="66" t="str">
        <f>+IF($W606="","",ROUND(IF($B606&gt;Parámetros!$D$107,'Tablas Servicio'!EE606+('Tablas Servicio'!EG605-'Tablas Servicio'!EE605),EE606/(1-IF(B606&lt;=10,Parámetros!$D$100,0))),2))</f>
        <v/>
      </c>
      <c r="EH606" s="66" t="str">
        <f t="shared" si="814"/>
        <v/>
      </c>
      <c r="EI606" s="66" t="str">
        <f t="shared" si="814"/>
        <v/>
      </c>
      <c r="EJ606" s="66" t="str">
        <f>+IF($W606="","",ROUND((EG606*Parámetros!$G$85),2))</f>
        <v/>
      </c>
      <c r="EK606" s="66" t="str">
        <f>+IF($W606="","",ROUND((EG606*(Parámetros!$G$86)),2))</f>
        <v/>
      </c>
      <c r="EL606" s="66" t="str">
        <f t="shared" si="815"/>
        <v/>
      </c>
    </row>
    <row r="607" spans="1:142" x14ac:dyDescent="0.25">
      <c r="A607" t="str">
        <f>+IF($C607="","",ROUND(VLOOKUP('Tablas Servicio'!B607,Parámetros!$H$100:$J$159,IF(Parámetros!$E$16="F",2,3),FALSE),2))</f>
        <v/>
      </c>
      <c r="B607" t="str">
        <f t="shared" si="766"/>
        <v/>
      </c>
      <c r="C607" s="57" t="str">
        <f>+IF(D607="","",'Tablas Servicio'!C606+1)</f>
        <v/>
      </c>
      <c r="D607" s="56" t="str">
        <f>+IF(D606&lt;edadmaxtabla,D606+1/Parámetros!$E$25,"")</f>
        <v/>
      </c>
      <c r="E607" s="57" t="str">
        <f t="shared" si="776"/>
        <v/>
      </c>
      <c r="F607" s="59" t="str">
        <f t="shared" si="777"/>
        <v/>
      </c>
      <c r="G607" s="66" t="str">
        <f t="shared" si="767"/>
        <v/>
      </c>
      <c r="H607" s="66" t="str">
        <f t="shared" si="768"/>
        <v/>
      </c>
      <c r="I607" s="66" t="str">
        <f t="shared" si="816"/>
        <v/>
      </c>
      <c r="J607" s="66" t="str">
        <f t="shared" si="769"/>
        <v/>
      </c>
      <c r="K607" s="66" t="str">
        <f t="shared" si="770"/>
        <v/>
      </c>
      <c r="L607" s="66" t="str">
        <f t="shared" si="771"/>
        <v/>
      </c>
      <c r="M607" s="66" t="str">
        <f t="shared" si="772"/>
        <v/>
      </c>
      <c r="N607" s="66" t="str">
        <f>+IF(C607="","",ROUND(Parámetros!$D$23,2))</f>
        <v/>
      </c>
      <c r="O607" s="66" t="str">
        <f t="shared" si="773"/>
        <v/>
      </c>
      <c r="P607" s="66" t="str">
        <f>+IF($C607="","",ROUND(IF(B607&gt;Parámetros!$D$117,0,N607*Parámetros!$D$116-G607*Parámetros!$D$100),2))</f>
        <v/>
      </c>
      <c r="Q607" s="75" t="str">
        <f t="shared" si="817"/>
        <v/>
      </c>
      <c r="R607" s="75" t="str">
        <f t="shared" si="818"/>
        <v/>
      </c>
      <c r="S607" s="117" t="str">
        <f>+IF($C607="","",ROUND((S606+I607)*(1+Parámetros!$D$91),2))</f>
        <v/>
      </c>
      <c r="T607" s="117" t="str">
        <f>+IF($C607="","",ROUND(S607*VLOOKUP(B607,Parámetros!$C$30:$D$39,2,TRUE),2))</f>
        <v/>
      </c>
      <c r="U607" s="117" t="str">
        <f>+IF($C607="","",ROUND((U606+I607)*(1+Parámetros!$D$92),2))</f>
        <v/>
      </c>
      <c r="V607" s="117" t="str">
        <f>+IF($C607="","",ROUND(U607*VLOOKUP(B607,Parámetros!$C$30:$D$39,2,TRUE),2))</f>
        <v/>
      </c>
      <c r="W607" s="57" t="str">
        <f t="shared" si="819"/>
        <v/>
      </c>
      <c r="X607" t="str">
        <f t="shared" si="820"/>
        <v/>
      </c>
      <c r="Y607" t="str">
        <f t="shared" si="821"/>
        <v/>
      </c>
      <c r="Z607" s="118" t="str">
        <f>+IF($W607="","",ROUND(IF(Parámetros!$D$25='TABLAS MORT'!$V$33,Z606,Parámetros!$D$21-'Tablas Servicio'!T606),0))</f>
        <v/>
      </c>
      <c r="AA607" s="118" t="str">
        <f t="shared" si="822"/>
        <v/>
      </c>
      <c r="AB607" s="119" t="str">
        <f>+IF(W607="","",ROUND((VLOOKUP(ROUNDDOWN($D607-1/frec,0),qx_tabla,2,FALSE)*(1+i/frec)^-0.5*(1+Parámetros!$D$103)*(1+rec_fracc)/frec),6))</f>
        <v/>
      </c>
      <c r="AC607" s="66" t="str">
        <f t="shared" si="778"/>
        <v/>
      </c>
      <c r="AD607" s="119" t="str">
        <f t="shared" si="774"/>
        <v/>
      </c>
      <c r="AE607" s="66" t="str">
        <f>+IF($W607="","",ROUND(IF($B607&gt;Parámetros!$D$107,'Tablas Servicio'!AC607+('Tablas Servicio'!AG606-'Tablas Servicio'!AC606),AC607/(1-IF(B607&lt;=10,Parámetros!$D$104,Parámetros!$D$105))),2))</f>
        <v/>
      </c>
      <c r="AF607" s="66" t="str">
        <f>+IF($W607="","",ROUND(IF($B607&gt;Parámetros!$D$107,'Tablas Servicio'!AC607+('Tablas Servicio'!AG606-'Tablas Servicio'!AC606),(AC607+$A606/frec)/(1-IF(B607&lt;=Parámetros!$D$117,Parámetros!$D$100,0))),2))</f>
        <v/>
      </c>
      <c r="AG607" s="66" t="str">
        <f t="shared" si="779"/>
        <v/>
      </c>
      <c r="AH607" s="66" t="str">
        <f t="shared" si="780"/>
        <v/>
      </c>
      <c r="AI607" s="66" t="str">
        <f t="shared" si="781"/>
        <v/>
      </c>
      <c r="AJ607" s="66" t="str">
        <f>+IF($W607="","",ROUND((AG607*Parámetros!$G$85),2))</f>
        <v/>
      </c>
      <c r="AK607" s="66" t="str">
        <f>+IF($W607="","",ROUND((AG607*(Parámetros!$G$86)),2))</f>
        <v/>
      </c>
      <c r="AL607" s="66" t="str">
        <f t="shared" si="775"/>
        <v/>
      </c>
      <c r="AM607" t="str">
        <f t="shared" si="823"/>
        <v/>
      </c>
      <c r="AN607" t="str">
        <f t="shared" si="824"/>
        <v/>
      </c>
      <c r="AO607" s="118" t="str">
        <f t="shared" si="825"/>
        <v/>
      </c>
      <c r="AP607" s="118" t="str">
        <f t="shared" si="826"/>
        <v/>
      </c>
      <c r="AQ607" s="119" t="str">
        <f>+IF(OR($W607="",AO607=0),"",ROUND((VLOOKUP(ROUNDDOWN($D607-1/frec,0),cob_adi,Z$40,FALSE)*(1+i/frec)^-0.5*(1+Parámetros!$D$103)*(1+rec_fracc)/frec),6))</f>
        <v/>
      </c>
      <c r="AR607" s="66" t="str">
        <f t="shared" si="782"/>
        <v/>
      </c>
      <c r="AS607" s="119" t="str">
        <f t="shared" si="783"/>
        <v/>
      </c>
      <c r="AT607" s="66" t="str">
        <f>+IF($W607="","",ROUND(IF($B607&gt;Parámetros!$D$107,'Tablas Servicio'!AR607+('Tablas Servicio'!AT606-'Tablas Servicio'!AR606),AR607/(1-IF(B607&lt;=10,Parámetros!$D$100,0))),2))</f>
        <v/>
      </c>
      <c r="AU607" s="66" t="str">
        <f t="shared" si="784"/>
        <v/>
      </c>
      <c r="AV607" s="66" t="str">
        <f t="shared" si="784"/>
        <v/>
      </c>
      <c r="AW607" s="66" t="str">
        <f>+IF($W607="","",ROUND((AT607*Parámetros!$G$85),2))</f>
        <v/>
      </c>
      <c r="AX607" s="66" t="str">
        <f>+IF($W607="","",ROUND((AT607*(Parámetros!$G$86)),2))</f>
        <v/>
      </c>
      <c r="AY607" s="66" t="str">
        <f t="shared" si="785"/>
        <v/>
      </c>
      <c r="AZ607" t="str">
        <f t="shared" si="827"/>
        <v/>
      </c>
      <c r="BA607" t="str">
        <f t="shared" si="828"/>
        <v/>
      </c>
      <c r="BB607" s="118" t="str">
        <f t="shared" si="829"/>
        <v/>
      </c>
      <c r="BC607" s="118" t="str">
        <f t="shared" si="830"/>
        <v/>
      </c>
      <c r="BD607" s="119" t="str">
        <f>+IF(OR($W607="",BB607=0),"",ROUND((VLOOKUP(ROUNDDOWN($D607-1/frec,0),cob_adi,AO$40,FALSE)*(1+i/frec)^-0.5*(1+Parámetros!$D$103)*(1+rec_fracc)/frec),6))</f>
        <v/>
      </c>
      <c r="BE607" s="66" t="str">
        <f t="shared" si="786"/>
        <v/>
      </c>
      <c r="BF607" s="119" t="str">
        <f t="shared" si="787"/>
        <v/>
      </c>
      <c r="BG607" s="66" t="str">
        <f>+IF($W607="","",ROUND(IF($B607&gt;Parámetros!$D$107,'Tablas Servicio'!BE607+('Tablas Servicio'!BG606-'Tablas Servicio'!BE606),BE607/(1-IF(B607&lt;=10,Parámetros!$D$100,0))),2))</f>
        <v/>
      </c>
      <c r="BH607" s="66" t="str">
        <f t="shared" si="788"/>
        <v/>
      </c>
      <c r="BI607" s="66" t="str">
        <f t="shared" si="789"/>
        <v/>
      </c>
      <c r="BJ607" s="66" t="str">
        <f>+IF($W607="","",ROUND((BG607*Parámetros!$G$85),2))</f>
        <v/>
      </c>
      <c r="BK607" s="66" t="str">
        <f>+IF($W607="","",ROUND((BG607*(Parámetros!$G$86)),2))</f>
        <v/>
      </c>
      <c r="BL607" s="66" t="str">
        <f t="shared" si="790"/>
        <v/>
      </c>
      <c r="BM607" t="str">
        <f t="shared" si="831"/>
        <v/>
      </c>
      <c r="BN607" t="str">
        <f t="shared" si="832"/>
        <v/>
      </c>
      <c r="BO607" s="118" t="str">
        <f t="shared" si="833"/>
        <v/>
      </c>
      <c r="BP607" s="118" t="str">
        <f t="shared" si="834"/>
        <v/>
      </c>
      <c r="BQ607" s="119" t="str">
        <f>+IF(OR($W607="",BO607=0),"",ROUND((VLOOKUP(ROUNDDOWN($D607-1/frec,0),cob_adi,BB$40,FALSE)*(1+i/frec)^-0.5*(1+Parámetros!$D$103)*(1+rec_fracc)/frec),6))</f>
        <v/>
      </c>
      <c r="BR607" s="66" t="str">
        <f t="shared" si="791"/>
        <v/>
      </c>
      <c r="BS607" s="119" t="str">
        <f t="shared" si="792"/>
        <v/>
      </c>
      <c r="BT607" s="66" t="str">
        <f>+IF($W607="","",ROUND(IF($B607&gt;Parámetros!$D$107,'Tablas Servicio'!BR607+('Tablas Servicio'!BT606-'Tablas Servicio'!BR606),BR607/(1-IF(B607&lt;=10,Parámetros!$D$100,0))),2))</f>
        <v/>
      </c>
      <c r="BU607" s="66" t="str">
        <f t="shared" si="793"/>
        <v/>
      </c>
      <c r="BV607" s="66" t="str">
        <f t="shared" si="793"/>
        <v/>
      </c>
      <c r="BW607" s="66" t="str">
        <f>+IF($W607="","",ROUND((BT607*Parámetros!$G$85),2))</f>
        <v/>
      </c>
      <c r="BX607" s="66" t="str">
        <f>+IF($W607="","",ROUND((BT607*(Parámetros!$G$86)),2))</f>
        <v/>
      </c>
      <c r="BY607" s="66" t="str">
        <f t="shared" si="794"/>
        <v/>
      </c>
      <c r="BZ607" t="str">
        <f t="shared" si="835"/>
        <v/>
      </c>
      <c r="CA607" t="str">
        <f t="shared" si="836"/>
        <v/>
      </c>
      <c r="CB607" s="118" t="str">
        <f t="shared" si="837"/>
        <v/>
      </c>
      <c r="CC607" s="118" t="str">
        <f t="shared" si="838"/>
        <v/>
      </c>
      <c r="CD607" s="119" t="str">
        <f t="shared" si="795"/>
        <v/>
      </c>
      <c r="CE607" s="66" t="str">
        <f>+IF($W607="","",ROUND((VLOOKUP(ROUNDDOWN($D607-1/frec,0),cob_adi,BO$40,FALSE)*(1+i/frec)^-0.5*(1+Parámetros!$D$103)*(1+rec_fracc)/frec*'TABLAS ADI'!$BC$17),2))</f>
        <v/>
      </c>
      <c r="CF607" s="119" t="str">
        <f t="shared" si="796"/>
        <v/>
      </c>
      <c r="CG607" s="66" t="str">
        <f>+IF($W607="","",ROUND(IF($B607&gt;Parámetros!$D$107,'Tablas Servicio'!CE607+('Tablas Servicio'!CG606-'Tablas Servicio'!CE606),CE607/(1-IF(B607&lt;=10,Parámetros!$D$100,0))),2))</f>
        <v/>
      </c>
      <c r="CH607" s="66" t="str">
        <f t="shared" si="797"/>
        <v/>
      </c>
      <c r="CI607" s="66" t="str">
        <f t="shared" si="797"/>
        <v/>
      </c>
      <c r="CJ607" s="66" t="str">
        <f>+IF($W607="","",ROUND((CG607*Parámetros!$G$85),2))</f>
        <v/>
      </c>
      <c r="CK607" s="66" t="str">
        <f>+IF($W607="","",ROUND((CG607*(Parámetros!$G$86)),2))</f>
        <v/>
      </c>
      <c r="CL607" s="66" t="str">
        <f t="shared" si="798"/>
        <v/>
      </c>
      <c r="CM607" t="str">
        <f t="shared" si="839"/>
        <v/>
      </c>
      <c r="CN607" s="118" t="str">
        <f t="shared" si="840"/>
        <v/>
      </c>
      <c r="CO607" s="118" t="str">
        <f t="shared" si="841"/>
        <v/>
      </c>
      <c r="CP607" s="118" t="str">
        <f t="shared" si="842"/>
        <v/>
      </c>
      <c r="CQ607" s="119" t="str">
        <f t="shared" si="799"/>
        <v/>
      </c>
      <c r="CR607" s="66" t="str">
        <f>+IF($W607="","",ROUND((VLOOKUP(Parámetros!$F$51,'COBERTURAS ADICIONALES'!$S$4:$T$32,2,FALSE)*(1+i/frec)^-0.5*(1+Parámetros!$D$103)*(1+rec_fracc)/frec*$CO$42),2))</f>
        <v/>
      </c>
      <c r="CS607" s="119" t="str">
        <f t="shared" si="800"/>
        <v/>
      </c>
      <c r="CT607" s="66" t="str">
        <f>+IF($W607="","",ROUND(IF($B607&gt;Parámetros!$D$107,'Tablas Servicio'!CR607+('Tablas Servicio'!CT606-'Tablas Servicio'!CR606),CR607/(1-IF(B607&lt;=10,Parámetros!$D$100,0))),2))</f>
        <v/>
      </c>
      <c r="CU607" s="66" t="str">
        <f t="shared" si="801"/>
        <v/>
      </c>
      <c r="CV607" s="66" t="str">
        <f t="shared" si="801"/>
        <v/>
      </c>
      <c r="CW607" s="66" t="str">
        <f>+IF($W607="","",ROUND((CT607*Parámetros!$G$85),2))</f>
        <v/>
      </c>
      <c r="CX607" s="66" t="str">
        <f>+IF($W607="","",ROUND((CT607*(Parámetros!$G$86)),2))</f>
        <v/>
      </c>
      <c r="CY607" s="66" t="str">
        <f t="shared" si="802"/>
        <v/>
      </c>
      <c r="CZ607" t="str">
        <f t="shared" si="843"/>
        <v/>
      </c>
      <c r="DA607" s="118" t="str">
        <f t="shared" si="844"/>
        <v/>
      </c>
      <c r="DB607" s="118" t="str">
        <f t="shared" si="845"/>
        <v/>
      </c>
      <c r="DC607" s="118" t="str">
        <f t="shared" si="846"/>
        <v/>
      </c>
      <c r="DD607" s="121" t="str">
        <f>+IF(OR($W607="",DB607=0),"",ROUND((VLOOKUP(ROUNDDOWN($D607-1/frec,0),cob_adi,CO$40,FALSE)*(1+i/frec)^-0.5*(1+Parámetros!$D$103)*(1+rec_fracc)/frec),6))</f>
        <v/>
      </c>
      <c r="DE607" s="66" t="str">
        <f t="shared" si="803"/>
        <v/>
      </c>
      <c r="DF607" s="119" t="str">
        <f t="shared" si="804"/>
        <v/>
      </c>
      <c r="DG607" s="66" t="str">
        <f>+IF($W607="","",ROUND(IF($B607&gt;Parámetros!$D$107,'Tablas Servicio'!DE607+('Tablas Servicio'!DG606-'Tablas Servicio'!DE606),DE607/(1-IF(B607&lt;=10,Parámetros!$D$100,0))),2))</f>
        <v/>
      </c>
      <c r="DH607" s="66" t="str">
        <f t="shared" si="805"/>
        <v/>
      </c>
      <c r="DI607" s="66" t="str">
        <f t="shared" si="805"/>
        <v/>
      </c>
      <c r="DJ607" s="66" t="str">
        <f>+IF($W607="","",ROUND((DG607*Parámetros!$G$85),2))</f>
        <v/>
      </c>
      <c r="DK607" s="66" t="str">
        <f>+IF($W607="","",ROUND((DG607*(Parámetros!$G$86)),2))</f>
        <v/>
      </c>
      <c r="DL607" s="66" t="str">
        <f t="shared" si="806"/>
        <v/>
      </c>
      <c r="DM607" t="str">
        <f t="shared" si="847"/>
        <v/>
      </c>
      <c r="DN607" s="118" t="str">
        <f t="shared" si="848"/>
        <v/>
      </c>
      <c r="DO607" s="118" t="str">
        <f t="shared" si="849"/>
        <v/>
      </c>
      <c r="DP607" s="118" t="str">
        <f t="shared" si="850"/>
        <v/>
      </c>
      <c r="DQ607" s="122" t="str">
        <f>+IF(OR($W607="",DO607=0),"",ROUND((VLOOKUP(ROUNDDOWN($D607-1/frec,0),cob_adi,DB$40,FALSE)*(1+i/frec)^-0.5*(1+Parámetros!$D$103)*(1+rec_fracc)/frec),6))</f>
        <v/>
      </c>
      <c r="DR607" s="66" t="str">
        <f t="shared" si="807"/>
        <v/>
      </c>
      <c r="DS607" s="68" t="str">
        <f t="shared" si="808"/>
        <v/>
      </c>
      <c r="DT607" s="66" t="str">
        <f>+IF($W607="","",ROUND(IF($B607&gt;Parámetros!$D$107,'Tablas Servicio'!DR607+('Tablas Servicio'!DT606-'Tablas Servicio'!DR606),DR607/(1-IF(B607&lt;=10,Parámetros!$D$100,0))),2))</f>
        <v/>
      </c>
      <c r="DU607" s="66" t="str">
        <f t="shared" si="809"/>
        <v/>
      </c>
      <c r="DV607" s="66" t="str">
        <f t="shared" si="809"/>
        <v/>
      </c>
      <c r="DW607" s="66" t="str">
        <f>+IF($W607="","",ROUND((DT607*Parámetros!$G$85),2))</f>
        <v/>
      </c>
      <c r="DX607" s="66" t="str">
        <f>+IF($W607="","",ROUND((DT607*(Parámetros!$G$86)),2))</f>
        <v/>
      </c>
      <c r="DY607" s="66" t="str">
        <f t="shared" si="810"/>
        <v/>
      </c>
      <c r="DZ607" t="str">
        <f t="shared" si="853"/>
        <v/>
      </c>
      <c r="EA607" s="118" t="str">
        <f t="shared" si="853"/>
        <v/>
      </c>
      <c r="EB607" s="118" t="str">
        <f>+IF($W607="","",ROUND(IF(Parámetros!$D$25='TABLAS MORT'!$V$33,EB606,Z607/2),0))</f>
        <v/>
      </c>
      <c r="EC607" s="118" t="str">
        <f t="shared" si="853"/>
        <v/>
      </c>
      <c r="ED607" s="122" t="str">
        <f>+IF(OR($W607="",EB607=0),"",ROUND((VLOOKUP(ROUNDDOWN($D607-1/frec,0),cob_adi,DO$40,FALSE)*(1+i/frec)^-0.5*(1+Parámetros!$D$103)*(1+rec_fracc)/frec),6))</f>
        <v/>
      </c>
      <c r="EE607" s="66" t="str">
        <f t="shared" si="812"/>
        <v/>
      </c>
      <c r="EF607" s="68" t="str">
        <f t="shared" si="813"/>
        <v/>
      </c>
      <c r="EG607" s="66" t="str">
        <f>+IF($W607="","",ROUND(IF($B607&gt;Parámetros!$D$107,'Tablas Servicio'!EE607+('Tablas Servicio'!EG606-'Tablas Servicio'!EE606),EE607/(1-IF(B607&lt;=10,Parámetros!$D$100,0))),2))</f>
        <v/>
      </c>
      <c r="EH607" s="66" t="str">
        <f t="shared" si="814"/>
        <v/>
      </c>
      <c r="EI607" s="66" t="str">
        <f t="shared" si="814"/>
        <v/>
      </c>
      <c r="EJ607" s="66" t="str">
        <f>+IF($W607="","",ROUND((EG607*Parámetros!$G$85),2))</f>
        <v/>
      </c>
      <c r="EK607" s="66" t="str">
        <f>+IF($W607="","",ROUND((EG607*(Parámetros!$G$86)),2))</f>
        <v/>
      </c>
      <c r="EL607" s="66" t="str">
        <f t="shared" si="815"/>
        <v/>
      </c>
    </row>
    <row r="608" spans="1:142" x14ac:dyDescent="0.25">
      <c r="A608" t="str">
        <f>+IF($C608="","",ROUND(VLOOKUP('Tablas Servicio'!B608,Parámetros!$H$100:$J$159,IF(Parámetros!$E$16="F",2,3),FALSE),2))</f>
        <v/>
      </c>
      <c r="B608" t="str">
        <f t="shared" si="766"/>
        <v/>
      </c>
      <c r="C608" s="57" t="str">
        <f>+IF(D608="","",'Tablas Servicio'!C607+1)</f>
        <v/>
      </c>
      <c r="D608" s="56" t="str">
        <f>+IF(D607&lt;edadmaxtabla,D607+1/Parámetros!$E$25,"")</f>
        <v/>
      </c>
      <c r="E608" s="57" t="str">
        <f t="shared" si="776"/>
        <v/>
      </c>
      <c r="F608" s="59" t="str">
        <f t="shared" si="777"/>
        <v/>
      </c>
      <c r="G608" s="66" t="str">
        <f t="shared" si="767"/>
        <v/>
      </c>
      <c r="H608" s="66" t="str">
        <f t="shared" si="768"/>
        <v/>
      </c>
      <c r="I608" s="66" t="str">
        <f t="shared" si="816"/>
        <v/>
      </c>
      <c r="J608" s="66" t="str">
        <f t="shared" si="769"/>
        <v/>
      </c>
      <c r="K608" s="66" t="str">
        <f t="shared" si="770"/>
        <v/>
      </c>
      <c r="L608" s="66" t="str">
        <f t="shared" si="771"/>
        <v/>
      </c>
      <c r="M608" s="66" t="str">
        <f t="shared" si="772"/>
        <v/>
      </c>
      <c r="N608" s="66" t="str">
        <f>+IF(C608="","",ROUND(Parámetros!$D$23,2))</f>
        <v/>
      </c>
      <c r="O608" s="66" t="str">
        <f t="shared" si="773"/>
        <v/>
      </c>
      <c r="P608" s="66" t="str">
        <f>+IF($C608="","",ROUND(IF(B608&gt;Parámetros!$D$117,0,N608*Parámetros!$D$116-G608*Parámetros!$D$100),2))</f>
        <v/>
      </c>
      <c r="Q608" s="75" t="str">
        <f t="shared" si="817"/>
        <v/>
      </c>
      <c r="R608" s="75" t="str">
        <f t="shared" si="818"/>
        <v/>
      </c>
      <c r="S608" s="117" t="str">
        <f>+IF($C608="","",ROUND((S607+I608)*(1+Parámetros!$D$91),2))</f>
        <v/>
      </c>
      <c r="T608" s="117" t="str">
        <f>+IF($C608="","",ROUND(S608*VLOOKUP(B608,Parámetros!$C$30:$D$39,2,TRUE),2))</f>
        <v/>
      </c>
      <c r="U608" s="117" t="str">
        <f>+IF($C608="","",ROUND((U607+I608)*(1+Parámetros!$D$92),2))</f>
        <v/>
      </c>
      <c r="V608" s="117" t="str">
        <f>+IF($C608="","",ROUND(U608*VLOOKUP(B608,Parámetros!$C$30:$D$39,2,TRUE),2))</f>
        <v/>
      </c>
      <c r="W608" s="57" t="str">
        <f t="shared" si="819"/>
        <v/>
      </c>
      <c r="X608" t="str">
        <f t="shared" si="820"/>
        <v/>
      </c>
      <c r="Y608" t="str">
        <f t="shared" si="821"/>
        <v/>
      </c>
      <c r="Z608" s="118" t="str">
        <f>+IF($W608="","",ROUND(IF(Parámetros!$D$25='TABLAS MORT'!$V$33,Z607,Parámetros!$D$21-'Tablas Servicio'!T607),0))</f>
        <v/>
      </c>
      <c r="AA608" s="118" t="str">
        <f t="shared" si="822"/>
        <v/>
      </c>
      <c r="AB608" s="119" t="str">
        <f>+IF(W608="","",ROUND((VLOOKUP(ROUNDDOWN($D608-1/frec,0),qx_tabla,2,FALSE)*(1+i/frec)^-0.5*(1+Parámetros!$D$103)*(1+rec_fracc)/frec),6))</f>
        <v/>
      </c>
      <c r="AC608" s="66" t="str">
        <f t="shared" si="778"/>
        <v/>
      </c>
      <c r="AD608" s="119" t="str">
        <f t="shared" si="774"/>
        <v/>
      </c>
      <c r="AE608" s="66" t="str">
        <f>+IF($W608="","",ROUND(IF($B608&gt;Parámetros!$D$107,'Tablas Servicio'!AC608+('Tablas Servicio'!AG607-'Tablas Servicio'!AC607),AC608/(1-IF(B608&lt;=10,Parámetros!$D$104,Parámetros!$D$105))),2))</f>
        <v/>
      </c>
      <c r="AF608" s="66" t="str">
        <f>+IF($W608="","",ROUND(IF($B608&gt;Parámetros!$D$107,'Tablas Servicio'!AC608+('Tablas Servicio'!AG607-'Tablas Servicio'!AC607),(AC608+$A607/frec)/(1-IF(B608&lt;=Parámetros!$D$117,Parámetros!$D$100,0))),2))</f>
        <v/>
      </c>
      <c r="AG608" s="66" t="str">
        <f t="shared" si="779"/>
        <v/>
      </c>
      <c r="AH608" s="66" t="str">
        <f t="shared" si="780"/>
        <v/>
      </c>
      <c r="AI608" s="66" t="str">
        <f t="shared" si="781"/>
        <v/>
      </c>
      <c r="AJ608" s="66" t="str">
        <f>+IF($W608="","",ROUND((AG608*Parámetros!$G$85),2))</f>
        <v/>
      </c>
      <c r="AK608" s="66" t="str">
        <f>+IF($W608="","",ROUND((AG608*(Parámetros!$G$86)),2))</f>
        <v/>
      </c>
      <c r="AL608" s="66" t="str">
        <f t="shared" si="775"/>
        <v/>
      </c>
      <c r="AM608" t="str">
        <f t="shared" si="823"/>
        <v/>
      </c>
      <c r="AN608" t="str">
        <f t="shared" si="824"/>
        <v/>
      </c>
      <c r="AO608" s="118" t="str">
        <f t="shared" si="825"/>
        <v/>
      </c>
      <c r="AP608" s="118" t="str">
        <f t="shared" si="826"/>
        <v/>
      </c>
      <c r="AQ608" s="119" t="str">
        <f>+IF(OR($W608="",AO608=0),"",ROUND((VLOOKUP(ROUNDDOWN($D608-1/frec,0),cob_adi,Z$40,FALSE)*(1+i/frec)^-0.5*(1+Parámetros!$D$103)*(1+rec_fracc)/frec),6))</f>
        <v/>
      </c>
      <c r="AR608" s="66" t="str">
        <f t="shared" si="782"/>
        <v/>
      </c>
      <c r="AS608" s="119" t="str">
        <f t="shared" si="783"/>
        <v/>
      </c>
      <c r="AT608" s="66" t="str">
        <f>+IF($W608="","",ROUND(IF($B608&gt;Parámetros!$D$107,'Tablas Servicio'!AR608+('Tablas Servicio'!AT607-'Tablas Servicio'!AR607),AR608/(1-IF(B608&lt;=10,Parámetros!$D$100,0))),2))</f>
        <v/>
      </c>
      <c r="AU608" s="66" t="str">
        <f t="shared" si="784"/>
        <v/>
      </c>
      <c r="AV608" s="66" t="str">
        <f t="shared" si="784"/>
        <v/>
      </c>
      <c r="AW608" s="66" t="str">
        <f>+IF($W608="","",ROUND((AT608*Parámetros!$G$85),2))</f>
        <v/>
      </c>
      <c r="AX608" s="66" t="str">
        <f>+IF($W608="","",ROUND((AT608*(Parámetros!$G$86)),2))</f>
        <v/>
      </c>
      <c r="AY608" s="66" t="str">
        <f t="shared" si="785"/>
        <v/>
      </c>
      <c r="AZ608" t="str">
        <f t="shared" si="827"/>
        <v/>
      </c>
      <c r="BA608" t="str">
        <f t="shared" si="828"/>
        <v/>
      </c>
      <c r="BB608" s="118" t="str">
        <f t="shared" si="829"/>
        <v/>
      </c>
      <c r="BC608" s="118" t="str">
        <f t="shared" si="830"/>
        <v/>
      </c>
      <c r="BD608" s="119" t="str">
        <f>+IF(OR($W608="",BB608=0),"",ROUND((VLOOKUP(ROUNDDOWN($D608-1/frec,0),cob_adi,AO$40,FALSE)*(1+i/frec)^-0.5*(1+Parámetros!$D$103)*(1+rec_fracc)/frec),6))</f>
        <v/>
      </c>
      <c r="BE608" s="66" t="str">
        <f t="shared" si="786"/>
        <v/>
      </c>
      <c r="BF608" s="119" t="str">
        <f t="shared" si="787"/>
        <v/>
      </c>
      <c r="BG608" s="66" t="str">
        <f>+IF($W608="","",ROUND(IF($B608&gt;Parámetros!$D$107,'Tablas Servicio'!BE608+('Tablas Servicio'!BG607-'Tablas Servicio'!BE607),BE608/(1-IF(B608&lt;=10,Parámetros!$D$100,0))),2))</f>
        <v/>
      </c>
      <c r="BH608" s="66" t="str">
        <f t="shared" si="788"/>
        <v/>
      </c>
      <c r="BI608" s="66" t="str">
        <f t="shared" si="789"/>
        <v/>
      </c>
      <c r="BJ608" s="66" t="str">
        <f>+IF($W608="","",ROUND((BG608*Parámetros!$G$85),2))</f>
        <v/>
      </c>
      <c r="BK608" s="66" t="str">
        <f>+IF($W608="","",ROUND((BG608*(Parámetros!$G$86)),2))</f>
        <v/>
      </c>
      <c r="BL608" s="66" t="str">
        <f t="shared" si="790"/>
        <v/>
      </c>
      <c r="BM608" t="str">
        <f t="shared" si="831"/>
        <v/>
      </c>
      <c r="BN608" t="str">
        <f t="shared" si="832"/>
        <v/>
      </c>
      <c r="BO608" s="118" t="str">
        <f t="shared" si="833"/>
        <v/>
      </c>
      <c r="BP608" s="118" t="str">
        <f t="shared" si="834"/>
        <v/>
      </c>
      <c r="BQ608" s="119" t="str">
        <f>+IF(OR($W608="",BO608=0),"",ROUND((VLOOKUP(ROUNDDOWN($D608-1/frec,0),cob_adi,BB$40,FALSE)*(1+i/frec)^-0.5*(1+Parámetros!$D$103)*(1+rec_fracc)/frec),6))</f>
        <v/>
      </c>
      <c r="BR608" s="66" t="str">
        <f t="shared" si="791"/>
        <v/>
      </c>
      <c r="BS608" s="119" t="str">
        <f t="shared" si="792"/>
        <v/>
      </c>
      <c r="BT608" s="66" t="str">
        <f>+IF($W608="","",ROUND(IF($B608&gt;Parámetros!$D$107,'Tablas Servicio'!BR608+('Tablas Servicio'!BT607-'Tablas Servicio'!BR607),BR608/(1-IF(B608&lt;=10,Parámetros!$D$100,0))),2))</f>
        <v/>
      </c>
      <c r="BU608" s="66" t="str">
        <f t="shared" si="793"/>
        <v/>
      </c>
      <c r="BV608" s="66" t="str">
        <f t="shared" si="793"/>
        <v/>
      </c>
      <c r="BW608" s="66" t="str">
        <f>+IF($W608="","",ROUND((BT608*Parámetros!$G$85),2))</f>
        <v/>
      </c>
      <c r="BX608" s="66" t="str">
        <f>+IF($W608="","",ROUND((BT608*(Parámetros!$G$86)),2))</f>
        <v/>
      </c>
      <c r="BY608" s="66" t="str">
        <f t="shared" si="794"/>
        <v/>
      </c>
      <c r="BZ608" t="str">
        <f t="shared" si="835"/>
        <v/>
      </c>
      <c r="CA608" t="str">
        <f t="shared" si="836"/>
        <v/>
      </c>
      <c r="CB608" s="118" t="str">
        <f t="shared" si="837"/>
        <v/>
      </c>
      <c r="CC608" s="118" t="str">
        <f t="shared" si="838"/>
        <v/>
      </c>
      <c r="CD608" s="119" t="str">
        <f t="shared" si="795"/>
        <v/>
      </c>
      <c r="CE608" s="66" t="str">
        <f>+IF($W608="","",ROUND((VLOOKUP(ROUNDDOWN($D608-1/frec,0),cob_adi,BO$40,FALSE)*(1+i/frec)^-0.5*(1+Parámetros!$D$103)*(1+rec_fracc)/frec*'TABLAS ADI'!$BC$17),2))</f>
        <v/>
      </c>
      <c r="CF608" s="119" t="str">
        <f t="shared" si="796"/>
        <v/>
      </c>
      <c r="CG608" s="66" t="str">
        <f>+IF($W608="","",ROUND(IF($B608&gt;Parámetros!$D$107,'Tablas Servicio'!CE608+('Tablas Servicio'!CG607-'Tablas Servicio'!CE607),CE608/(1-IF(B608&lt;=10,Parámetros!$D$100,0))),2))</f>
        <v/>
      </c>
      <c r="CH608" s="66" t="str">
        <f t="shared" si="797"/>
        <v/>
      </c>
      <c r="CI608" s="66" t="str">
        <f t="shared" si="797"/>
        <v/>
      </c>
      <c r="CJ608" s="66" t="str">
        <f>+IF($W608="","",ROUND((CG608*Parámetros!$G$85),2))</f>
        <v/>
      </c>
      <c r="CK608" s="66" t="str">
        <f>+IF($W608="","",ROUND((CG608*(Parámetros!$G$86)),2))</f>
        <v/>
      </c>
      <c r="CL608" s="66" t="str">
        <f t="shared" si="798"/>
        <v/>
      </c>
      <c r="CM608" t="str">
        <f t="shared" si="839"/>
        <v/>
      </c>
      <c r="CN608" s="118" t="str">
        <f t="shared" si="840"/>
        <v/>
      </c>
      <c r="CO608" s="118" t="str">
        <f t="shared" si="841"/>
        <v/>
      </c>
      <c r="CP608" s="118" t="str">
        <f t="shared" si="842"/>
        <v/>
      </c>
      <c r="CQ608" s="119" t="str">
        <f t="shared" si="799"/>
        <v/>
      </c>
      <c r="CR608" s="66" t="str">
        <f>+IF($W608="","",ROUND((VLOOKUP(Parámetros!$F$51,'COBERTURAS ADICIONALES'!$S$4:$T$32,2,FALSE)*(1+i/frec)^-0.5*(1+Parámetros!$D$103)*(1+rec_fracc)/frec*$CO$42),2))</f>
        <v/>
      </c>
      <c r="CS608" s="119" t="str">
        <f t="shared" si="800"/>
        <v/>
      </c>
      <c r="CT608" s="66" t="str">
        <f>+IF($W608="","",ROUND(IF($B608&gt;Parámetros!$D$107,'Tablas Servicio'!CR608+('Tablas Servicio'!CT607-'Tablas Servicio'!CR607),CR608/(1-IF(B608&lt;=10,Parámetros!$D$100,0))),2))</f>
        <v/>
      </c>
      <c r="CU608" s="66" t="str">
        <f t="shared" si="801"/>
        <v/>
      </c>
      <c r="CV608" s="66" t="str">
        <f t="shared" si="801"/>
        <v/>
      </c>
      <c r="CW608" s="66" t="str">
        <f>+IF($W608="","",ROUND((CT608*Parámetros!$G$85),2))</f>
        <v/>
      </c>
      <c r="CX608" s="66" t="str">
        <f>+IF($W608="","",ROUND((CT608*(Parámetros!$G$86)),2))</f>
        <v/>
      </c>
      <c r="CY608" s="66" t="str">
        <f t="shared" si="802"/>
        <v/>
      </c>
      <c r="CZ608" t="str">
        <f t="shared" si="843"/>
        <v/>
      </c>
      <c r="DA608" s="118" t="str">
        <f t="shared" si="844"/>
        <v/>
      </c>
      <c r="DB608" s="118" t="str">
        <f t="shared" si="845"/>
        <v/>
      </c>
      <c r="DC608" s="118" t="str">
        <f t="shared" si="846"/>
        <v/>
      </c>
      <c r="DD608" s="121" t="str">
        <f>+IF(OR($W608="",DB608=0),"",ROUND((VLOOKUP(ROUNDDOWN($D608-1/frec,0),cob_adi,CO$40,FALSE)*(1+i/frec)^-0.5*(1+Parámetros!$D$103)*(1+rec_fracc)/frec),6))</f>
        <v/>
      </c>
      <c r="DE608" s="66" t="str">
        <f t="shared" si="803"/>
        <v/>
      </c>
      <c r="DF608" s="119" t="str">
        <f t="shared" si="804"/>
        <v/>
      </c>
      <c r="DG608" s="66" t="str">
        <f>+IF($W608="","",ROUND(IF($B608&gt;Parámetros!$D$107,'Tablas Servicio'!DE608+('Tablas Servicio'!DG607-'Tablas Servicio'!DE607),DE608/(1-IF(B608&lt;=10,Parámetros!$D$100,0))),2))</f>
        <v/>
      </c>
      <c r="DH608" s="66" t="str">
        <f t="shared" si="805"/>
        <v/>
      </c>
      <c r="DI608" s="66" t="str">
        <f t="shared" si="805"/>
        <v/>
      </c>
      <c r="DJ608" s="66" t="str">
        <f>+IF($W608="","",ROUND((DG608*Parámetros!$G$85),2))</f>
        <v/>
      </c>
      <c r="DK608" s="66" t="str">
        <f>+IF($W608="","",ROUND((DG608*(Parámetros!$G$86)),2))</f>
        <v/>
      </c>
      <c r="DL608" s="66" t="str">
        <f t="shared" si="806"/>
        <v/>
      </c>
      <c r="DM608" t="str">
        <f t="shared" si="847"/>
        <v/>
      </c>
      <c r="DN608" s="118" t="str">
        <f t="shared" si="848"/>
        <v/>
      </c>
      <c r="DO608" s="118" t="str">
        <f t="shared" si="849"/>
        <v/>
      </c>
      <c r="DP608" s="118" t="str">
        <f t="shared" si="850"/>
        <v/>
      </c>
      <c r="DQ608" s="122" t="str">
        <f>+IF(OR($W608="",DO608=0),"",ROUND((VLOOKUP(ROUNDDOWN($D608-1/frec,0),cob_adi,DB$40,FALSE)*(1+i/frec)^-0.5*(1+Parámetros!$D$103)*(1+rec_fracc)/frec),6))</f>
        <v/>
      </c>
      <c r="DR608" s="66" t="str">
        <f t="shared" si="807"/>
        <v/>
      </c>
      <c r="DS608" s="68" t="str">
        <f t="shared" si="808"/>
        <v/>
      </c>
      <c r="DT608" s="66" t="str">
        <f>+IF($W608="","",ROUND(IF($B608&gt;Parámetros!$D$107,'Tablas Servicio'!DR608+('Tablas Servicio'!DT607-'Tablas Servicio'!DR607),DR608/(1-IF(B608&lt;=10,Parámetros!$D$100,0))),2))</f>
        <v/>
      </c>
      <c r="DU608" s="66" t="str">
        <f t="shared" si="809"/>
        <v/>
      </c>
      <c r="DV608" s="66" t="str">
        <f t="shared" si="809"/>
        <v/>
      </c>
      <c r="DW608" s="66" t="str">
        <f>+IF($W608="","",ROUND((DT608*Parámetros!$G$85),2))</f>
        <v/>
      </c>
      <c r="DX608" s="66" t="str">
        <f>+IF($W608="","",ROUND((DT608*(Parámetros!$G$86)),2))</f>
        <v/>
      </c>
      <c r="DY608" s="66" t="str">
        <f t="shared" si="810"/>
        <v/>
      </c>
      <c r="DZ608" t="str">
        <f t="shared" si="853"/>
        <v/>
      </c>
      <c r="EA608" s="118" t="str">
        <f t="shared" si="853"/>
        <v/>
      </c>
      <c r="EB608" s="118" t="str">
        <f>+IF($W608="","",ROUND(IF(Parámetros!$D$25='TABLAS MORT'!$V$33,EB607,Z608/2),0))</f>
        <v/>
      </c>
      <c r="EC608" s="118" t="str">
        <f t="shared" si="853"/>
        <v/>
      </c>
      <c r="ED608" s="122" t="str">
        <f>+IF(OR($W608="",EB608=0),"",ROUND((VLOOKUP(ROUNDDOWN($D608-1/frec,0),cob_adi,DO$40,FALSE)*(1+i/frec)^-0.5*(1+Parámetros!$D$103)*(1+rec_fracc)/frec),6))</f>
        <v/>
      </c>
      <c r="EE608" s="66" t="str">
        <f t="shared" si="812"/>
        <v/>
      </c>
      <c r="EF608" s="68" t="str">
        <f t="shared" si="813"/>
        <v/>
      </c>
      <c r="EG608" s="66" t="str">
        <f>+IF($W608="","",ROUND(IF($B608&gt;Parámetros!$D$107,'Tablas Servicio'!EE608+('Tablas Servicio'!EG607-'Tablas Servicio'!EE607),EE608/(1-IF(B608&lt;=10,Parámetros!$D$100,0))),2))</f>
        <v/>
      </c>
      <c r="EH608" s="66" t="str">
        <f t="shared" si="814"/>
        <v/>
      </c>
      <c r="EI608" s="66" t="str">
        <f t="shared" si="814"/>
        <v/>
      </c>
      <c r="EJ608" s="66" t="str">
        <f>+IF($W608="","",ROUND((EG608*Parámetros!$G$85),2))</f>
        <v/>
      </c>
      <c r="EK608" s="66" t="str">
        <f>+IF($W608="","",ROUND((EG608*(Parámetros!$G$86)),2))</f>
        <v/>
      </c>
      <c r="EL608" s="66" t="str">
        <f t="shared" si="815"/>
        <v/>
      </c>
    </row>
    <row r="609" spans="1:142" x14ac:dyDescent="0.25">
      <c r="A609" t="str">
        <f>+IF($C609="","",ROUND(VLOOKUP('Tablas Servicio'!B609,Parámetros!$H$100:$J$159,IF(Parámetros!$E$16="F",2,3),FALSE),2))</f>
        <v/>
      </c>
      <c r="B609" t="str">
        <f t="shared" si="766"/>
        <v/>
      </c>
      <c r="C609" s="57" t="str">
        <f>+IF(D609="","",'Tablas Servicio'!C608+1)</f>
        <v/>
      </c>
      <c r="D609" s="56" t="str">
        <f>+IF(D608&lt;edadmaxtabla,D608+1/Parámetros!$E$25,"")</f>
        <v/>
      </c>
      <c r="E609" s="57" t="str">
        <f t="shared" si="776"/>
        <v/>
      </c>
      <c r="F609" s="59" t="str">
        <f t="shared" si="777"/>
        <v/>
      </c>
      <c r="G609" s="66" t="str">
        <f t="shared" si="767"/>
        <v/>
      </c>
      <c r="H609" s="66" t="str">
        <f t="shared" si="768"/>
        <v/>
      </c>
      <c r="I609" s="66" t="str">
        <f t="shared" si="816"/>
        <v/>
      </c>
      <c r="J609" s="66" t="str">
        <f t="shared" si="769"/>
        <v/>
      </c>
      <c r="K609" s="66" t="str">
        <f t="shared" si="770"/>
        <v/>
      </c>
      <c r="L609" s="66" t="str">
        <f t="shared" si="771"/>
        <v/>
      </c>
      <c r="M609" s="66" t="str">
        <f t="shared" si="772"/>
        <v/>
      </c>
      <c r="N609" s="66" t="str">
        <f>+IF(C609="","",ROUND(Parámetros!$D$23,2))</f>
        <v/>
      </c>
      <c r="O609" s="66" t="str">
        <f t="shared" si="773"/>
        <v/>
      </c>
      <c r="P609" s="66" t="str">
        <f>+IF($C609="","",ROUND(IF(B609&gt;Parámetros!$D$117,0,N609*Parámetros!$D$116-G609*Parámetros!$D$100),2))</f>
        <v/>
      </c>
      <c r="Q609" s="75" t="str">
        <f t="shared" si="817"/>
        <v/>
      </c>
      <c r="R609" s="75" t="str">
        <f t="shared" si="818"/>
        <v/>
      </c>
      <c r="S609" s="117" t="str">
        <f>+IF($C609="","",ROUND((S608+I609)*(1+Parámetros!$D$91),2))</f>
        <v/>
      </c>
      <c r="T609" s="117" t="str">
        <f>+IF($C609="","",ROUND(S609*VLOOKUP(B609,Parámetros!$C$30:$D$39,2,TRUE),2))</f>
        <v/>
      </c>
      <c r="U609" s="117" t="str">
        <f>+IF($C609="","",ROUND((U608+I609)*(1+Parámetros!$D$92),2))</f>
        <v/>
      </c>
      <c r="V609" s="117" t="str">
        <f>+IF($C609="","",ROUND(U609*VLOOKUP(B609,Parámetros!$C$30:$D$39,2,TRUE),2))</f>
        <v/>
      </c>
      <c r="W609" s="57" t="str">
        <f t="shared" si="819"/>
        <v/>
      </c>
      <c r="X609" t="str">
        <f t="shared" si="820"/>
        <v/>
      </c>
      <c r="Y609" t="str">
        <f t="shared" si="821"/>
        <v/>
      </c>
      <c r="Z609" s="118" t="str">
        <f>+IF($W609="","",ROUND(IF(Parámetros!$D$25='TABLAS MORT'!$V$33,Z608,Parámetros!$D$21-'Tablas Servicio'!T608),0))</f>
        <v/>
      </c>
      <c r="AA609" s="118" t="str">
        <f t="shared" si="822"/>
        <v/>
      </c>
      <c r="AB609" s="119" t="str">
        <f>+IF(W609="","",ROUND((VLOOKUP(ROUNDDOWN($D609-1/frec,0),qx_tabla,2,FALSE)*(1+i/frec)^-0.5*(1+Parámetros!$D$103)*(1+rec_fracc)/frec),6))</f>
        <v/>
      </c>
      <c r="AC609" s="66" t="str">
        <f t="shared" si="778"/>
        <v/>
      </c>
      <c r="AD609" s="119" t="str">
        <f t="shared" si="774"/>
        <v/>
      </c>
      <c r="AE609" s="66" t="str">
        <f>+IF($W609="","",ROUND(IF($B609&gt;Parámetros!$D$107,'Tablas Servicio'!AC609+('Tablas Servicio'!AG608-'Tablas Servicio'!AC608),AC609/(1-IF(B609&lt;=10,Parámetros!$D$104,Parámetros!$D$105))),2))</f>
        <v/>
      </c>
      <c r="AF609" s="66" t="str">
        <f>+IF($W609="","",ROUND(IF($B609&gt;Parámetros!$D$107,'Tablas Servicio'!AC609+('Tablas Servicio'!AG608-'Tablas Servicio'!AC608),(AC609+$A608/frec)/(1-IF(B609&lt;=Parámetros!$D$117,Parámetros!$D$100,0))),2))</f>
        <v/>
      </c>
      <c r="AG609" s="66" t="str">
        <f t="shared" si="779"/>
        <v/>
      </c>
      <c r="AH609" s="66" t="str">
        <f t="shared" si="780"/>
        <v/>
      </c>
      <c r="AI609" s="66" t="str">
        <f t="shared" si="781"/>
        <v/>
      </c>
      <c r="AJ609" s="66" t="str">
        <f>+IF($W609="","",ROUND((AG609*Parámetros!$G$85),2))</f>
        <v/>
      </c>
      <c r="AK609" s="66" t="str">
        <f>+IF($W609="","",ROUND((AG609*(Parámetros!$G$86)),2))</f>
        <v/>
      </c>
      <c r="AL609" s="66" t="str">
        <f t="shared" si="775"/>
        <v/>
      </c>
      <c r="AM609" t="str">
        <f t="shared" si="823"/>
        <v/>
      </c>
      <c r="AN609" t="str">
        <f t="shared" si="824"/>
        <v/>
      </c>
      <c r="AO609" s="118" t="str">
        <f t="shared" si="825"/>
        <v/>
      </c>
      <c r="AP609" s="118" t="str">
        <f t="shared" si="826"/>
        <v/>
      </c>
      <c r="AQ609" s="119" t="str">
        <f>+IF(OR($W609="",AO609=0),"",ROUND((VLOOKUP(ROUNDDOWN($D609-1/frec,0),cob_adi,Z$40,FALSE)*(1+i/frec)^-0.5*(1+Parámetros!$D$103)*(1+rec_fracc)/frec),6))</f>
        <v/>
      </c>
      <c r="AR609" s="66" t="str">
        <f t="shared" si="782"/>
        <v/>
      </c>
      <c r="AS609" s="119" t="str">
        <f t="shared" si="783"/>
        <v/>
      </c>
      <c r="AT609" s="66" t="str">
        <f>+IF($W609="","",ROUND(IF($B609&gt;Parámetros!$D$107,'Tablas Servicio'!AR609+('Tablas Servicio'!AT608-'Tablas Servicio'!AR608),AR609/(1-IF(B609&lt;=10,Parámetros!$D$100,0))),2))</f>
        <v/>
      </c>
      <c r="AU609" s="66" t="str">
        <f t="shared" si="784"/>
        <v/>
      </c>
      <c r="AV609" s="66" t="str">
        <f t="shared" si="784"/>
        <v/>
      </c>
      <c r="AW609" s="66" t="str">
        <f>+IF($W609="","",ROUND((AT609*Parámetros!$G$85),2))</f>
        <v/>
      </c>
      <c r="AX609" s="66" t="str">
        <f>+IF($W609="","",ROUND((AT609*(Parámetros!$G$86)),2))</f>
        <v/>
      </c>
      <c r="AY609" s="66" t="str">
        <f t="shared" si="785"/>
        <v/>
      </c>
      <c r="AZ609" t="str">
        <f t="shared" si="827"/>
        <v/>
      </c>
      <c r="BA609" t="str">
        <f t="shared" si="828"/>
        <v/>
      </c>
      <c r="BB609" s="118" t="str">
        <f t="shared" si="829"/>
        <v/>
      </c>
      <c r="BC609" s="118" t="str">
        <f t="shared" si="830"/>
        <v/>
      </c>
      <c r="BD609" s="119" t="str">
        <f>+IF(OR($W609="",BB609=0),"",ROUND((VLOOKUP(ROUNDDOWN($D609-1/frec,0),cob_adi,AO$40,FALSE)*(1+i/frec)^-0.5*(1+Parámetros!$D$103)*(1+rec_fracc)/frec),6))</f>
        <v/>
      </c>
      <c r="BE609" s="66" t="str">
        <f t="shared" si="786"/>
        <v/>
      </c>
      <c r="BF609" s="119" t="str">
        <f t="shared" si="787"/>
        <v/>
      </c>
      <c r="BG609" s="66" t="str">
        <f>+IF($W609="","",ROUND(IF($B609&gt;Parámetros!$D$107,'Tablas Servicio'!BE609+('Tablas Servicio'!BG608-'Tablas Servicio'!BE608),BE609/(1-IF(B609&lt;=10,Parámetros!$D$100,0))),2))</f>
        <v/>
      </c>
      <c r="BH609" s="66" t="str">
        <f t="shared" si="788"/>
        <v/>
      </c>
      <c r="BI609" s="66" t="str">
        <f t="shared" si="789"/>
        <v/>
      </c>
      <c r="BJ609" s="66" t="str">
        <f>+IF($W609="","",ROUND((BG609*Parámetros!$G$85),2))</f>
        <v/>
      </c>
      <c r="BK609" s="66" t="str">
        <f>+IF($W609="","",ROUND((BG609*(Parámetros!$G$86)),2))</f>
        <v/>
      </c>
      <c r="BL609" s="66" t="str">
        <f t="shared" si="790"/>
        <v/>
      </c>
      <c r="BM609" t="str">
        <f t="shared" si="831"/>
        <v/>
      </c>
      <c r="BN609" t="str">
        <f t="shared" si="832"/>
        <v/>
      </c>
      <c r="BO609" s="118" t="str">
        <f t="shared" si="833"/>
        <v/>
      </c>
      <c r="BP609" s="118" t="str">
        <f t="shared" si="834"/>
        <v/>
      </c>
      <c r="BQ609" s="119" t="str">
        <f>+IF(OR($W609="",BO609=0),"",ROUND((VLOOKUP(ROUNDDOWN($D609-1/frec,0),cob_adi,BB$40,FALSE)*(1+i/frec)^-0.5*(1+Parámetros!$D$103)*(1+rec_fracc)/frec),6))</f>
        <v/>
      </c>
      <c r="BR609" s="66" t="str">
        <f t="shared" si="791"/>
        <v/>
      </c>
      <c r="BS609" s="119" t="str">
        <f t="shared" si="792"/>
        <v/>
      </c>
      <c r="BT609" s="66" t="str">
        <f>+IF($W609="","",ROUND(IF($B609&gt;Parámetros!$D$107,'Tablas Servicio'!BR609+('Tablas Servicio'!BT608-'Tablas Servicio'!BR608),BR609/(1-IF(B609&lt;=10,Parámetros!$D$100,0))),2))</f>
        <v/>
      </c>
      <c r="BU609" s="66" t="str">
        <f t="shared" si="793"/>
        <v/>
      </c>
      <c r="BV609" s="66" t="str">
        <f t="shared" si="793"/>
        <v/>
      </c>
      <c r="BW609" s="66" t="str">
        <f>+IF($W609="","",ROUND((BT609*Parámetros!$G$85),2))</f>
        <v/>
      </c>
      <c r="BX609" s="66" t="str">
        <f>+IF($W609="","",ROUND((BT609*(Parámetros!$G$86)),2))</f>
        <v/>
      </c>
      <c r="BY609" s="66" t="str">
        <f t="shared" si="794"/>
        <v/>
      </c>
      <c r="BZ609" t="str">
        <f t="shared" si="835"/>
        <v/>
      </c>
      <c r="CA609" t="str">
        <f t="shared" si="836"/>
        <v/>
      </c>
      <c r="CB609" s="118" t="str">
        <f t="shared" si="837"/>
        <v/>
      </c>
      <c r="CC609" s="118" t="str">
        <f t="shared" si="838"/>
        <v/>
      </c>
      <c r="CD609" s="119" t="str">
        <f t="shared" si="795"/>
        <v/>
      </c>
      <c r="CE609" s="66" t="str">
        <f>+IF($W609="","",ROUND((VLOOKUP(ROUNDDOWN($D609-1/frec,0),cob_adi,BO$40,FALSE)*(1+i/frec)^-0.5*(1+Parámetros!$D$103)*(1+rec_fracc)/frec*'TABLAS ADI'!$BC$17),2))</f>
        <v/>
      </c>
      <c r="CF609" s="119" t="str">
        <f t="shared" si="796"/>
        <v/>
      </c>
      <c r="CG609" s="66" t="str">
        <f>+IF($W609="","",ROUND(IF($B609&gt;Parámetros!$D$107,'Tablas Servicio'!CE609+('Tablas Servicio'!CG608-'Tablas Servicio'!CE608),CE609/(1-IF(B609&lt;=10,Parámetros!$D$100,0))),2))</f>
        <v/>
      </c>
      <c r="CH609" s="66" t="str">
        <f t="shared" si="797"/>
        <v/>
      </c>
      <c r="CI609" s="66" t="str">
        <f t="shared" si="797"/>
        <v/>
      </c>
      <c r="CJ609" s="66" t="str">
        <f>+IF($W609="","",ROUND((CG609*Parámetros!$G$85),2))</f>
        <v/>
      </c>
      <c r="CK609" s="66" t="str">
        <f>+IF($W609="","",ROUND((CG609*(Parámetros!$G$86)),2))</f>
        <v/>
      </c>
      <c r="CL609" s="66" t="str">
        <f t="shared" si="798"/>
        <v/>
      </c>
      <c r="CM609" t="str">
        <f t="shared" si="839"/>
        <v/>
      </c>
      <c r="CN609" s="118" t="str">
        <f t="shared" si="840"/>
        <v/>
      </c>
      <c r="CO609" s="118" t="str">
        <f t="shared" si="841"/>
        <v/>
      </c>
      <c r="CP609" s="118" t="str">
        <f t="shared" si="842"/>
        <v/>
      </c>
      <c r="CQ609" s="119" t="str">
        <f t="shared" si="799"/>
        <v/>
      </c>
      <c r="CR609" s="66" t="str">
        <f>+IF($W609="","",ROUND((VLOOKUP(Parámetros!$F$51,'COBERTURAS ADICIONALES'!$S$4:$T$32,2,FALSE)*(1+i/frec)^-0.5*(1+Parámetros!$D$103)*(1+rec_fracc)/frec*$CO$42),2))</f>
        <v/>
      </c>
      <c r="CS609" s="119" t="str">
        <f t="shared" si="800"/>
        <v/>
      </c>
      <c r="CT609" s="66" t="str">
        <f>+IF($W609="","",ROUND(IF($B609&gt;Parámetros!$D$107,'Tablas Servicio'!CR609+('Tablas Servicio'!CT608-'Tablas Servicio'!CR608),CR609/(1-IF(B609&lt;=10,Parámetros!$D$100,0))),2))</f>
        <v/>
      </c>
      <c r="CU609" s="66" t="str">
        <f t="shared" si="801"/>
        <v/>
      </c>
      <c r="CV609" s="66" t="str">
        <f t="shared" si="801"/>
        <v/>
      </c>
      <c r="CW609" s="66" t="str">
        <f>+IF($W609="","",ROUND((CT609*Parámetros!$G$85),2))</f>
        <v/>
      </c>
      <c r="CX609" s="66" t="str">
        <f>+IF($W609="","",ROUND((CT609*(Parámetros!$G$86)),2))</f>
        <v/>
      </c>
      <c r="CY609" s="66" t="str">
        <f t="shared" si="802"/>
        <v/>
      </c>
      <c r="CZ609" t="str">
        <f t="shared" si="843"/>
        <v/>
      </c>
      <c r="DA609" s="118" t="str">
        <f t="shared" si="844"/>
        <v/>
      </c>
      <c r="DB609" s="118" t="str">
        <f t="shared" si="845"/>
        <v/>
      </c>
      <c r="DC609" s="118" t="str">
        <f t="shared" si="846"/>
        <v/>
      </c>
      <c r="DD609" s="121" t="str">
        <f>+IF(OR($W609="",DB609=0),"",ROUND((VLOOKUP(ROUNDDOWN($D609-1/frec,0),cob_adi,CO$40,FALSE)*(1+i/frec)^-0.5*(1+Parámetros!$D$103)*(1+rec_fracc)/frec),6))</f>
        <v/>
      </c>
      <c r="DE609" s="66" t="str">
        <f t="shared" si="803"/>
        <v/>
      </c>
      <c r="DF609" s="119" t="str">
        <f t="shared" si="804"/>
        <v/>
      </c>
      <c r="DG609" s="66" t="str">
        <f>+IF($W609="","",ROUND(IF($B609&gt;Parámetros!$D$107,'Tablas Servicio'!DE609+('Tablas Servicio'!DG608-'Tablas Servicio'!DE608),DE609/(1-IF(B609&lt;=10,Parámetros!$D$100,0))),2))</f>
        <v/>
      </c>
      <c r="DH609" s="66" t="str">
        <f t="shared" si="805"/>
        <v/>
      </c>
      <c r="DI609" s="66" t="str">
        <f t="shared" si="805"/>
        <v/>
      </c>
      <c r="DJ609" s="66" t="str">
        <f>+IF($W609="","",ROUND((DG609*Parámetros!$G$85),2))</f>
        <v/>
      </c>
      <c r="DK609" s="66" t="str">
        <f>+IF($W609="","",ROUND((DG609*(Parámetros!$G$86)),2))</f>
        <v/>
      </c>
      <c r="DL609" s="66" t="str">
        <f t="shared" si="806"/>
        <v/>
      </c>
      <c r="DM609" t="str">
        <f t="shared" si="847"/>
        <v/>
      </c>
      <c r="DN609" s="118" t="str">
        <f t="shared" si="848"/>
        <v/>
      </c>
      <c r="DO609" s="118" t="str">
        <f t="shared" si="849"/>
        <v/>
      </c>
      <c r="DP609" s="118" t="str">
        <f t="shared" si="850"/>
        <v/>
      </c>
      <c r="DQ609" s="122" t="str">
        <f>+IF(OR($W609="",DO609=0),"",ROUND((VLOOKUP(ROUNDDOWN($D609-1/frec,0),cob_adi,DB$40,FALSE)*(1+i/frec)^-0.5*(1+Parámetros!$D$103)*(1+rec_fracc)/frec),6))</f>
        <v/>
      </c>
      <c r="DR609" s="66" t="str">
        <f t="shared" si="807"/>
        <v/>
      </c>
      <c r="DS609" s="68" t="str">
        <f t="shared" si="808"/>
        <v/>
      </c>
      <c r="DT609" s="66" t="str">
        <f>+IF($W609="","",ROUND(IF($B609&gt;Parámetros!$D$107,'Tablas Servicio'!DR609+('Tablas Servicio'!DT608-'Tablas Servicio'!DR608),DR609/(1-IF(B609&lt;=10,Parámetros!$D$100,0))),2))</f>
        <v/>
      </c>
      <c r="DU609" s="66" t="str">
        <f t="shared" si="809"/>
        <v/>
      </c>
      <c r="DV609" s="66" t="str">
        <f t="shared" si="809"/>
        <v/>
      </c>
      <c r="DW609" s="66" t="str">
        <f>+IF($W609="","",ROUND((DT609*Parámetros!$G$85),2))</f>
        <v/>
      </c>
      <c r="DX609" s="66" t="str">
        <f>+IF($W609="","",ROUND((DT609*(Parámetros!$G$86)),2))</f>
        <v/>
      </c>
      <c r="DY609" s="66" t="str">
        <f t="shared" si="810"/>
        <v/>
      </c>
      <c r="DZ609" t="str">
        <f t="shared" si="853"/>
        <v/>
      </c>
      <c r="EA609" s="118" t="str">
        <f t="shared" si="853"/>
        <v/>
      </c>
      <c r="EB609" s="118" t="str">
        <f>+IF($W609="","",ROUND(IF(Parámetros!$D$25='TABLAS MORT'!$V$33,EB608,Z609/2),0))</f>
        <v/>
      </c>
      <c r="EC609" s="118" t="str">
        <f t="shared" si="853"/>
        <v/>
      </c>
      <c r="ED609" s="122" t="str">
        <f>+IF(OR($W609="",EB609=0),"",ROUND((VLOOKUP(ROUNDDOWN($D609-1/frec,0),cob_adi,DO$40,FALSE)*(1+i/frec)^-0.5*(1+Parámetros!$D$103)*(1+rec_fracc)/frec),6))</f>
        <v/>
      </c>
      <c r="EE609" s="66" t="str">
        <f t="shared" si="812"/>
        <v/>
      </c>
      <c r="EF609" s="68" t="str">
        <f t="shared" si="813"/>
        <v/>
      </c>
      <c r="EG609" s="66" t="str">
        <f>+IF($W609="","",ROUND(IF($B609&gt;Parámetros!$D$107,'Tablas Servicio'!EE609+('Tablas Servicio'!EG608-'Tablas Servicio'!EE608),EE609/(1-IF(B609&lt;=10,Parámetros!$D$100,0))),2))</f>
        <v/>
      </c>
      <c r="EH609" s="66" t="str">
        <f t="shared" si="814"/>
        <v/>
      </c>
      <c r="EI609" s="66" t="str">
        <f t="shared" si="814"/>
        <v/>
      </c>
      <c r="EJ609" s="66" t="str">
        <f>+IF($W609="","",ROUND((EG609*Parámetros!$G$85),2))</f>
        <v/>
      </c>
      <c r="EK609" s="66" t="str">
        <f>+IF($W609="","",ROUND((EG609*(Parámetros!$G$86)),2))</f>
        <v/>
      </c>
      <c r="EL609" s="66" t="str">
        <f t="shared" si="815"/>
        <v/>
      </c>
    </row>
    <row r="610" spans="1:142" x14ac:dyDescent="0.25">
      <c r="A610" t="str">
        <f>+IF($C610="","",ROUND(VLOOKUP('Tablas Servicio'!B610,Parámetros!$H$100:$J$159,IF(Parámetros!$E$16="F",2,3),FALSE),2))</f>
        <v/>
      </c>
      <c r="B610" t="str">
        <f t="shared" si="766"/>
        <v/>
      </c>
      <c r="C610" s="57" t="str">
        <f>+IF(D610="","",'Tablas Servicio'!C609+1)</f>
        <v/>
      </c>
      <c r="D610" s="56" t="str">
        <f>+IF(D609&lt;edadmaxtabla,D609+1/Parámetros!$E$25,"")</f>
        <v/>
      </c>
      <c r="E610" s="57" t="str">
        <f t="shared" si="776"/>
        <v/>
      </c>
      <c r="F610" s="59" t="str">
        <f t="shared" si="777"/>
        <v/>
      </c>
      <c r="G610" s="66" t="str">
        <f t="shared" si="767"/>
        <v/>
      </c>
      <c r="H610" s="66" t="str">
        <f t="shared" si="768"/>
        <v/>
      </c>
      <c r="I610" s="66" t="str">
        <f t="shared" si="816"/>
        <v/>
      </c>
      <c r="J610" s="66" t="str">
        <f t="shared" si="769"/>
        <v/>
      </c>
      <c r="K610" s="66" t="str">
        <f t="shared" si="770"/>
        <v/>
      </c>
      <c r="L610" s="66" t="str">
        <f t="shared" si="771"/>
        <v/>
      </c>
      <c r="M610" s="66" t="str">
        <f t="shared" si="772"/>
        <v/>
      </c>
      <c r="N610" s="66" t="str">
        <f>+IF(C610="","",ROUND(Parámetros!$D$23,2))</f>
        <v/>
      </c>
      <c r="O610" s="66" t="str">
        <f t="shared" si="773"/>
        <v/>
      </c>
      <c r="P610" s="66" t="str">
        <f>+IF($C610="","",ROUND(IF(B610&gt;Parámetros!$D$117,0,N610*Parámetros!$D$116-G610*Parámetros!$D$100),2))</f>
        <v/>
      </c>
      <c r="Q610" s="75" t="str">
        <f t="shared" si="817"/>
        <v/>
      </c>
      <c r="R610" s="75" t="str">
        <f t="shared" si="818"/>
        <v/>
      </c>
      <c r="S610" s="117" t="str">
        <f>+IF($C610="","",ROUND((S609+I610)*(1+Parámetros!$D$91),2))</f>
        <v/>
      </c>
      <c r="T610" s="117" t="str">
        <f>+IF($C610="","",ROUND(S610*VLOOKUP(B610,Parámetros!$C$30:$D$39,2,TRUE),2))</f>
        <v/>
      </c>
      <c r="U610" s="117" t="str">
        <f>+IF($C610="","",ROUND((U609+I610)*(1+Parámetros!$D$92),2))</f>
        <v/>
      </c>
      <c r="V610" s="117" t="str">
        <f>+IF($C610="","",ROUND(U610*VLOOKUP(B610,Parámetros!$C$30:$D$39,2,TRUE),2))</f>
        <v/>
      </c>
      <c r="W610" s="57" t="str">
        <f t="shared" si="819"/>
        <v/>
      </c>
      <c r="X610" t="str">
        <f t="shared" si="820"/>
        <v/>
      </c>
      <c r="Y610" t="str">
        <f t="shared" si="821"/>
        <v/>
      </c>
      <c r="Z610" s="118" t="str">
        <f>+IF($W610="","",ROUND(IF(Parámetros!$D$25='TABLAS MORT'!$V$33,Z609,Parámetros!$D$21-'Tablas Servicio'!T609),0))</f>
        <v/>
      </c>
      <c r="AA610" s="118" t="str">
        <f t="shared" si="822"/>
        <v/>
      </c>
      <c r="AB610" s="119" t="str">
        <f>+IF(W610="","",ROUND((VLOOKUP(ROUNDDOWN($D610-1/frec,0),qx_tabla,2,FALSE)*(1+i/frec)^-0.5*(1+Parámetros!$D$103)*(1+rec_fracc)/frec),6))</f>
        <v/>
      </c>
      <c r="AC610" s="66" t="str">
        <f t="shared" si="778"/>
        <v/>
      </c>
      <c r="AD610" s="119" t="str">
        <f t="shared" si="774"/>
        <v/>
      </c>
      <c r="AE610" s="66" t="str">
        <f>+IF($W610="","",ROUND(IF($B610&gt;Parámetros!$D$107,'Tablas Servicio'!AC610+('Tablas Servicio'!AG609-'Tablas Servicio'!AC609),AC610/(1-IF(B610&lt;=10,Parámetros!$D$104,Parámetros!$D$105))),2))</f>
        <v/>
      </c>
      <c r="AF610" s="66" t="str">
        <f>+IF($W610="","",ROUND(IF($B610&gt;Parámetros!$D$107,'Tablas Servicio'!AC610+('Tablas Servicio'!AG609-'Tablas Servicio'!AC609),(AC610+$A609/frec)/(1-IF(B610&lt;=Parámetros!$D$117,Parámetros!$D$100,0))),2))</f>
        <v/>
      </c>
      <c r="AG610" s="66" t="str">
        <f t="shared" si="779"/>
        <v/>
      </c>
      <c r="AH610" s="66" t="str">
        <f t="shared" si="780"/>
        <v/>
      </c>
      <c r="AI610" s="66" t="str">
        <f t="shared" si="781"/>
        <v/>
      </c>
      <c r="AJ610" s="66" t="str">
        <f>+IF($W610="","",ROUND((AG610*Parámetros!$G$85),2))</f>
        <v/>
      </c>
      <c r="AK610" s="66" t="str">
        <f>+IF($W610="","",ROUND((AG610*(Parámetros!$G$86)),2))</f>
        <v/>
      </c>
      <c r="AL610" s="66" t="str">
        <f t="shared" si="775"/>
        <v/>
      </c>
      <c r="AM610" t="str">
        <f t="shared" si="823"/>
        <v/>
      </c>
      <c r="AN610" t="str">
        <f t="shared" si="824"/>
        <v/>
      </c>
      <c r="AO610" s="118" t="str">
        <f t="shared" si="825"/>
        <v/>
      </c>
      <c r="AP610" s="118" t="str">
        <f t="shared" si="826"/>
        <v/>
      </c>
      <c r="AQ610" s="119" t="str">
        <f>+IF(OR($W610="",AO610=0),"",ROUND((VLOOKUP(ROUNDDOWN($D610-1/frec,0),cob_adi,Z$40,FALSE)*(1+i/frec)^-0.5*(1+Parámetros!$D$103)*(1+rec_fracc)/frec),6))</f>
        <v/>
      </c>
      <c r="AR610" s="66" t="str">
        <f t="shared" si="782"/>
        <v/>
      </c>
      <c r="AS610" s="119" t="str">
        <f t="shared" si="783"/>
        <v/>
      </c>
      <c r="AT610" s="66" t="str">
        <f>+IF($W610="","",ROUND(IF($B610&gt;Parámetros!$D$107,'Tablas Servicio'!AR610+('Tablas Servicio'!AT609-'Tablas Servicio'!AR609),AR610/(1-IF(B610&lt;=10,Parámetros!$D$100,0))),2))</f>
        <v/>
      </c>
      <c r="AU610" s="66" t="str">
        <f t="shared" si="784"/>
        <v/>
      </c>
      <c r="AV610" s="66" t="str">
        <f t="shared" si="784"/>
        <v/>
      </c>
      <c r="AW610" s="66" t="str">
        <f>+IF($W610="","",ROUND((AT610*Parámetros!$G$85),2))</f>
        <v/>
      </c>
      <c r="AX610" s="66" t="str">
        <f>+IF($W610="","",ROUND((AT610*(Parámetros!$G$86)),2))</f>
        <v/>
      </c>
      <c r="AY610" s="66" t="str">
        <f t="shared" si="785"/>
        <v/>
      </c>
      <c r="AZ610" t="str">
        <f t="shared" si="827"/>
        <v/>
      </c>
      <c r="BA610" t="str">
        <f t="shared" si="828"/>
        <v/>
      </c>
      <c r="BB610" s="118" t="str">
        <f t="shared" si="829"/>
        <v/>
      </c>
      <c r="BC610" s="118" t="str">
        <f t="shared" si="830"/>
        <v/>
      </c>
      <c r="BD610" s="119" t="str">
        <f>+IF(OR($W610="",BB610=0),"",ROUND((VLOOKUP(ROUNDDOWN($D610-1/frec,0),cob_adi,AO$40,FALSE)*(1+i/frec)^-0.5*(1+Parámetros!$D$103)*(1+rec_fracc)/frec),6))</f>
        <v/>
      </c>
      <c r="BE610" s="66" t="str">
        <f t="shared" si="786"/>
        <v/>
      </c>
      <c r="BF610" s="119" t="str">
        <f t="shared" si="787"/>
        <v/>
      </c>
      <c r="BG610" s="66" t="str">
        <f>+IF($W610="","",ROUND(IF($B610&gt;Parámetros!$D$107,'Tablas Servicio'!BE610+('Tablas Servicio'!BG609-'Tablas Servicio'!BE609),BE610/(1-IF(B610&lt;=10,Parámetros!$D$100,0))),2))</f>
        <v/>
      </c>
      <c r="BH610" s="66" t="str">
        <f t="shared" si="788"/>
        <v/>
      </c>
      <c r="BI610" s="66" t="str">
        <f t="shared" si="789"/>
        <v/>
      </c>
      <c r="BJ610" s="66" t="str">
        <f>+IF($W610="","",ROUND((BG610*Parámetros!$G$85),2))</f>
        <v/>
      </c>
      <c r="BK610" s="66" t="str">
        <f>+IF($W610="","",ROUND((BG610*(Parámetros!$G$86)),2))</f>
        <v/>
      </c>
      <c r="BL610" s="66" t="str">
        <f t="shared" si="790"/>
        <v/>
      </c>
      <c r="BM610" t="str">
        <f t="shared" si="831"/>
        <v/>
      </c>
      <c r="BN610" t="str">
        <f t="shared" si="832"/>
        <v/>
      </c>
      <c r="BO610" s="118" t="str">
        <f t="shared" si="833"/>
        <v/>
      </c>
      <c r="BP610" s="118" t="str">
        <f t="shared" si="834"/>
        <v/>
      </c>
      <c r="BQ610" s="119" t="str">
        <f>+IF(OR($W610="",BO610=0),"",ROUND((VLOOKUP(ROUNDDOWN($D610-1/frec,0),cob_adi,BB$40,FALSE)*(1+i/frec)^-0.5*(1+Parámetros!$D$103)*(1+rec_fracc)/frec),6))</f>
        <v/>
      </c>
      <c r="BR610" s="66" t="str">
        <f t="shared" si="791"/>
        <v/>
      </c>
      <c r="BS610" s="119" t="str">
        <f t="shared" si="792"/>
        <v/>
      </c>
      <c r="BT610" s="66" t="str">
        <f>+IF($W610="","",ROUND(IF($B610&gt;Parámetros!$D$107,'Tablas Servicio'!BR610+('Tablas Servicio'!BT609-'Tablas Servicio'!BR609),BR610/(1-IF(B610&lt;=10,Parámetros!$D$100,0))),2))</f>
        <v/>
      </c>
      <c r="BU610" s="66" t="str">
        <f t="shared" si="793"/>
        <v/>
      </c>
      <c r="BV610" s="66" t="str">
        <f t="shared" si="793"/>
        <v/>
      </c>
      <c r="BW610" s="66" t="str">
        <f>+IF($W610="","",ROUND((BT610*Parámetros!$G$85),2))</f>
        <v/>
      </c>
      <c r="BX610" s="66" t="str">
        <f>+IF($W610="","",ROUND((BT610*(Parámetros!$G$86)),2))</f>
        <v/>
      </c>
      <c r="BY610" s="66" t="str">
        <f t="shared" si="794"/>
        <v/>
      </c>
      <c r="BZ610" t="str">
        <f t="shared" si="835"/>
        <v/>
      </c>
      <c r="CA610" t="str">
        <f t="shared" si="836"/>
        <v/>
      </c>
      <c r="CB610" s="118" t="str">
        <f t="shared" si="837"/>
        <v/>
      </c>
      <c r="CC610" s="118" t="str">
        <f t="shared" si="838"/>
        <v/>
      </c>
      <c r="CD610" s="119" t="str">
        <f t="shared" si="795"/>
        <v/>
      </c>
      <c r="CE610" s="66" t="str">
        <f>+IF($W610="","",ROUND((VLOOKUP(ROUNDDOWN($D610-1/frec,0),cob_adi,BO$40,FALSE)*(1+i/frec)^-0.5*(1+Parámetros!$D$103)*(1+rec_fracc)/frec*'TABLAS ADI'!$BC$17),2))</f>
        <v/>
      </c>
      <c r="CF610" s="119" t="str">
        <f t="shared" si="796"/>
        <v/>
      </c>
      <c r="CG610" s="66" t="str">
        <f>+IF($W610="","",ROUND(IF($B610&gt;Parámetros!$D$107,'Tablas Servicio'!CE610+('Tablas Servicio'!CG609-'Tablas Servicio'!CE609),CE610/(1-IF(B610&lt;=10,Parámetros!$D$100,0))),2))</f>
        <v/>
      </c>
      <c r="CH610" s="66" t="str">
        <f t="shared" si="797"/>
        <v/>
      </c>
      <c r="CI610" s="66" t="str">
        <f t="shared" si="797"/>
        <v/>
      </c>
      <c r="CJ610" s="66" t="str">
        <f>+IF($W610="","",ROUND((CG610*Parámetros!$G$85),2))</f>
        <v/>
      </c>
      <c r="CK610" s="66" t="str">
        <f>+IF($W610="","",ROUND((CG610*(Parámetros!$G$86)),2))</f>
        <v/>
      </c>
      <c r="CL610" s="66" t="str">
        <f t="shared" si="798"/>
        <v/>
      </c>
      <c r="CM610" t="str">
        <f t="shared" si="839"/>
        <v/>
      </c>
      <c r="CN610" s="118" t="str">
        <f t="shared" si="840"/>
        <v/>
      </c>
      <c r="CO610" s="118" t="str">
        <f t="shared" si="841"/>
        <v/>
      </c>
      <c r="CP610" s="118" t="str">
        <f t="shared" si="842"/>
        <v/>
      </c>
      <c r="CQ610" s="119" t="str">
        <f t="shared" si="799"/>
        <v/>
      </c>
      <c r="CR610" s="66" t="str">
        <f>+IF($W610="","",ROUND((VLOOKUP(Parámetros!$F$51,'COBERTURAS ADICIONALES'!$S$4:$T$32,2,FALSE)*(1+i/frec)^-0.5*(1+Parámetros!$D$103)*(1+rec_fracc)/frec*$CO$42),2))</f>
        <v/>
      </c>
      <c r="CS610" s="119" t="str">
        <f t="shared" si="800"/>
        <v/>
      </c>
      <c r="CT610" s="66" t="str">
        <f>+IF($W610="","",ROUND(IF($B610&gt;Parámetros!$D$107,'Tablas Servicio'!CR610+('Tablas Servicio'!CT609-'Tablas Servicio'!CR609),CR610/(1-IF(B610&lt;=10,Parámetros!$D$100,0))),2))</f>
        <v/>
      </c>
      <c r="CU610" s="66" t="str">
        <f t="shared" si="801"/>
        <v/>
      </c>
      <c r="CV610" s="66" t="str">
        <f t="shared" si="801"/>
        <v/>
      </c>
      <c r="CW610" s="66" t="str">
        <f>+IF($W610="","",ROUND((CT610*Parámetros!$G$85),2))</f>
        <v/>
      </c>
      <c r="CX610" s="66" t="str">
        <f>+IF($W610="","",ROUND((CT610*(Parámetros!$G$86)),2))</f>
        <v/>
      </c>
      <c r="CY610" s="66" t="str">
        <f t="shared" si="802"/>
        <v/>
      </c>
      <c r="CZ610" t="str">
        <f t="shared" si="843"/>
        <v/>
      </c>
      <c r="DA610" s="118" t="str">
        <f t="shared" si="844"/>
        <v/>
      </c>
      <c r="DB610" s="118" t="str">
        <f t="shared" si="845"/>
        <v/>
      </c>
      <c r="DC610" s="118" t="str">
        <f t="shared" si="846"/>
        <v/>
      </c>
      <c r="DD610" s="121" t="str">
        <f>+IF(OR($W610="",DB610=0),"",ROUND((VLOOKUP(ROUNDDOWN($D610-1/frec,0),cob_adi,CO$40,FALSE)*(1+i/frec)^-0.5*(1+Parámetros!$D$103)*(1+rec_fracc)/frec),6))</f>
        <v/>
      </c>
      <c r="DE610" s="66" t="str">
        <f t="shared" si="803"/>
        <v/>
      </c>
      <c r="DF610" s="119" t="str">
        <f t="shared" si="804"/>
        <v/>
      </c>
      <c r="DG610" s="66" t="str">
        <f>+IF($W610="","",ROUND(IF($B610&gt;Parámetros!$D$107,'Tablas Servicio'!DE610+('Tablas Servicio'!DG609-'Tablas Servicio'!DE609),DE610/(1-IF(B610&lt;=10,Parámetros!$D$100,0))),2))</f>
        <v/>
      </c>
      <c r="DH610" s="66" t="str">
        <f t="shared" si="805"/>
        <v/>
      </c>
      <c r="DI610" s="66" t="str">
        <f t="shared" si="805"/>
        <v/>
      </c>
      <c r="DJ610" s="66" t="str">
        <f>+IF($W610="","",ROUND((DG610*Parámetros!$G$85),2))</f>
        <v/>
      </c>
      <c r="DK610" s="66" t="str">
        <f>+IF($W610="","",ROUND((DG610*(Parámetros!$G$86)),2))</f>
        <v/>
      </c>
      <c r="DL610" s="66" t="str">
        <f t="shared" si="806"/>
        <v/>
      </c>
      <c r="DM610" t="str">
        <f t="shared" si="847"/>
        <v/>
      </c>
      <c r="DN610" s="118" t="str">
        <f t="shared" si="848"/>
        <v/>
      </c>
      <c r="DO610" s="118" t="str">
        <f t="shared" si="849"/>
        <v/>
      </c>
      <c r="DP610" s="118" t="str">
        <f t="shared" si="850"/>
        <v/>
      </c>
      <c r="DQ610" s="122" t="str">
        <f>+IF(OR($W610="",DO610=0),"",ROUND((VLOOKUP(ROUNDDOWN($D610-1/frec,0),cob_adi,DB$40,FALSE)*(1+i/frec)^-0.5*(1+Parámetros!$D$103)*(1+rec_fracc)/frec),6))</f>
        <v/>
      </c>
      <c r="DR610" s="66" t="str">
        <f t="shared" si="807"/>
        <v/>
      </c>
      <c r="DS610" s="68" t="str">
        <f t="shared" si="808"/>
        <v/>
      </c>
      <c r="DT610" s="66" t="str">
        <f>+IF($W610="","",ROUND(IF($B610&gt;Parámetros!$D$107,'Tablas Servicio'!DR610+('Tablas Servicio'!DT609-'Tablas Servicio'!DR609),DR610/(1-IF(B610&lt;=10,Parámetros!$D$100,0))),2))</f>
        <v/>
      </c>
      <c r="DU610" s="66" t="str">
        <f t="shared" si="809"/>
        <v/>
      </c>
      <c r="DV610" s="66" t="str">
        <f t="shared" si="809"/>
        <v/>
      </c>
      <c r="DW610" s="66" t="str">
        <f>+IF($W610="","",ROUND((DT610*Parámetros!$G$85),2))</f>
        <v/>
      </c>
      <c r="DX610" s="66" t="str">
        <f>+IF($W610="","",ROUND((DT610*(Parámetros!$G$86)),2))</f>
        <v/>
      </c>
      <c r="DY610" s="66" t="str">
        <f t="shared" si="810"/>
        <v/>
      </c>
      <c r="DZ610" t="str">
        <f t="shared" si="853"/>
        <v/>
      </c>
      <c r="EA610" s="118" t="str">
        <f t="shared" si="853"/>
        <v/>
      </c>
      <c r="EB610" s="118" t="str">
        <f>+IF($W610="","",ROUND(IF(Parámetros!$D$25='TABLAS MORT'!$V$33,EB609,Z610/2),0))</f>
        <v/>
      </c>
      <c r="EC610" s="118" t="str">
        <f t="shared" si="853"/>
        <v/>
      </c>
      <c r="ED610" s="122" t="str">
        <f>+IF(OR($W610="",EB610=0),"",ROUND((VLOOKUP(ROUNDDOWN($D610-1/frec,0),cob_adi,DO$40,FALSE)*(1+i/frec)^-0.5*(1+Parámetros!$D$103)*(1+rec_fracc)/frec),6))</f>
        <v/>
      </c>
      <c r="EE610" s="66" t="str">
        <f t="shared" si="812"/>
        <v/>
      </c>
      <c r="EF610" s="68" t="str">
        <f t="shared" si="813"/>
        <v/>
      </c>
      <c r="EG610" s="66" t="str">
        <f>+IF($W610="","",ROUND(IF($B610&gt;Parámetros!$D$107,'Tablas Servicio'!EE610+('Tablas Servicio'!EG609-'Tablas Servicio'!EE609),EE610/(1-IF(B610&lt;=10,Parámetros!$D$100,0))),2))</f>
        <v/>
      </c>
      <c r="EH610" s="66" t="str">
        <f t="shared" si="814"/>
        <v/>
      </c>
      <c r="EI610" s="66" t="str">
        <f t="shared" si="814"/>
        <v/>
      </c>
      <c r="EJ610" s="66" t="str">
        <f>+IF($W610="","",ROUND((EG610*Parámetros!$G$85),2))</f>
        <v/>
      </c>
      <c r="EK610" s="66" t="str">
        <f>+IF($W610="","",ROUND((EG610*(Parámetros!$G$86)),2))</f>
        <v/>
      </c>
      <c r="EL610" s="66" t="str">
        <f t="shared" si="815"/>
        <v/>
      </c>
    </row>
    <row r="611" spans="1:142" x14ac:dyDescent="0.25">
      <c r="A611" t="str">
        <f>+IF($C611="","",ROUND(VLOOKUP('Tablas Servicio'!B611,Parámetros!$H$100:$J$159,IF(Parámetros!$E$16="F",2,3),FALSE),2))</f>
        <v/>
      </c>
      <c r="B611" t="str">
        <f t="shared" si="766"/>
        <v/>
      </c>
      <c r="C611" s="57" t="str">
        <f>+IF(D611="","",'Tablas Servicio'!C610+1)</f>
        <v/>
      </c>
      <c r="D611" s="56" t="str">
        <f>+IF(D610&lt;edadmaxtabla,D610+1/Parámetros!$E$25,"")</f>
        <v/>
      </c>
      <c r="E611" s="57" t="str">
        <f t="shared" si="776"/>
        <v/>
      </c>
      <c r="F611" s="59" t="str">
        <f t="shared" si="777"/>
        <v/>
      </c>
      <c r="G611" s="66" t="str">
        <f t="shared" si="767"/>
        <v/>
      </c>
      <c r="H611" s="66" t="str">
        <f t="shared" si="768"/>
        <v/>
      </c>
      <c r="I611" s="66" t="str">
        <f t="shared" si="816"/>
        <v/>
      </c>
      <c r="J611" s="66" t="str">
        <f t="shared" si="769"/>
        <v/>
      </c>
      <c r="K611" s="66" t="str">
        <f t="shared" si="770"/>
        <v/>
      </c>
      <c r="L611" s="66" t="str">
        <f t="shared" si="771"/>
        <v/>
      </c>
      <c r="M611" s="66" t="str">
        <f t="shared" si="772"/>
        <v/>
      </c>
      <c r="N611" s="66" t="str">
        <f>+IF(C611="","",ROUND(Parámetros!$D$23,2))</f>
        <v/>
      </c>
      <c r="O611" s="66" t="str">
        <f t="shared" si="773"/>
        <v/>
      </c>
      <c r="P611" s="66" t="str">
        <f>+IF($C611="","",ROUND(IF(B611&gt;Parámetros!$D$117,0,N611*Parámetros!$D$116-G611*Parámetros!$D$100),2))</f>
        <v/>
      </c>
      <c r="Q611" s="75" t="str">
        <f t="shared" si="817"/>
        <v/>
      </c>
      <c r="R611" s="75" t="str">
        <f t="shared" si="818"/>
        <v/>
      </c>
      <c r="S611" s="117" t="str">
        <f>+IF($C611="","",ROUND((S610+I611)*(1+Parámetros!$D$91),2))</f>
        <v/>
      </c>
      <c r="T611" s="117" t="str">
        <f>+IF($C611="","",ROUND(S611*VLOOKUP(B611,Parámetros!$C$30:$D$39,2,TRUE),2))</f>
        <v/>
      </c>
      <c r="U611" s="117" t="str">
        <f>+IF($C611="","",ROUND((U610+I611)*(1+Parámetros!$D$92),2))</f>
        <v/>
      </c>
      <c r="V611" s="117" t="str">
        <f>+IF($C611="","",ROUND(U611*VLOOKUP(B611,Parámetros!$C$30:$D$39,2,TRUE),2))</f>
        <v/>
      </c>
      <c r="W611" s="57" t="str">
        <f t="shared" si="819"/>
        <v/>
      </c>
      <c r="X611" t="str">
        <f t="shared" si="820"/>
        <v/>
      </c>
      <c r="Y611" t="str">
        <f t="shared" si="821"/>
        <v/>
      </c>
      <c r="Z611" s="118" t="str">
        <f>+IF($W611="","",ROUND(IF(Parámetros!$D$25='TABLAS MORT'!$V$33,Z610,Parámetros!$D$21-'Tablas Servicio'!T610),0))</f>
        <v/>
      </c>
      <c r="AA611" s="118" t="str">
        <f t="shared" si="822"/>
        <v/>
      </c>
      <c r="AB611" s="119" t="str">
        <f>+IF(W611="","",ROUND((VLOOKUP(ROUNDDOWN($D611-1/frec,0),qx_tabla,2,FALSE)*(1+i/frec)^-0.5*(1+Parámetros!$D$103)*(1+rec_fracc)/frec),6))</f>
        <v/>
      </c>
      <c r="AC611" s="66" t="str">
        <f t="shared" si="778"/>
        <v/>
      </c>
      <c r="AD611" s="119" t="str">
        <f t="shared" si="774"/>
        <v/>
      </c>
      <c r="AE611" s="66" t="str">
        <f>+IF($W611="","",ROUND(IF($B611&gt;Parámetros!$D$107,'Tablas Servicio'!AC611+('Tablas Servicio'!AG610-'Tablas Servicio'!AC610),AC611/(1-IF(B611&lt;=10,Parámetros!$D$104,Parámetros!$D$105))),2))</f>
        <v/>
      </c>
      <c r="AF611" s="66" t="str">
        <f>+IF($W611="","",ROUND(IF($B611&gt;Parámetros!$D$107,'Tablas Servicio'!AC611+('Tablas Servicio'!AG610-'Tablas Servicio'!AC610),(AC611+$A610/frec)/(1-IF(B611&lt;=Parámetros!$D$117,Parámetros!$D$100,0))),2))</f>
        <v/>
      </c>
      <c r="AG611" s="66" t="str">
        <f t="shared" si="779"/>
        <v/>
      </c>
      <c r="AH611" s="66" t="str">
        <f t="shared" si="780"/>
        <v/>
      </c>
      <c r="AI611" s="66" t="str">
        <f t="shared" si="781"/>
        <v/>
      </c>
      <c r="AJ611" s="66" t="str">
        <f>+IF($W611="","",ROUND((AG611*Parámetros!$G$85),2))</f>
        <v/>
      </c>
      <c r="AK611" s="66" t="str">
        <f>+IF($W611="","",ROUND((AG611*(Parámetros!$G$86)),2))</f>
        <v/>
      </c>
      <c r="AL611" s="66" t="str">
        <f t="shared" si="775"/>
        <v/>
      </c>
      <c r="AM611" t="str">
        <f t="shared" si="823"/>
        <v/>
      </c>
      <c r="AN611" t="str">
        <f t="shared" si="824"/>
        <v/>
      </c>
      <c r="AO611" s="118" t="str">
        <f t="shared" si="825"/>
        <v/>
      </c>
      <c r="AP611" s="118" t="str">
        <f t="shared" si="826"/>
        <v/>
      </c>
      <c r="AQ611" s="119" t="str">
        <f>+IF(OR($W611="",AO611=0),"",ROUND((VLOOKUP(ROUNDDOWN($D611-1/frec,0),cob_adi,Z$40,FALSE)*(1+i/frec)^-0.5*(1+Parámetros!$D$103)*(1+rec_fracc)/frec),6))</f>
        <v/>
      </c>
      <c r="AR611" s="66" t="str">
        <f t="shared" si="782"/>
        <v/>
      </c>
      <c r="AS611" s="119" t="str">
        <f t="shared" si="783"/>
        <v/>
      </c>
      <c r="AT611" s="66" t="str">
        <f>+IF($W611="","",ROUND(IF($B611&gt;Parámetros!$D$107,'Tablas Servicio'!AR611+('Tablas Servicio'!AT610-'Tablas Servicio'!AR610),AR611/(1-IF(B611&lt;=10,Parámetros!$D$100,0))),2))</f>
        <v/>
      </c>
      <c r="AU611" s="66" t="str">
        <f t="shared" si="784"/>
        <v/>
      </c>
      <c r="AV611" s="66" t="str">
        <f t="shared" si="784"/>
        <v/>
      </c>
      <c r="AW611" s="66" t="str">
        <f>+IF($W611="","",ROUND((AT611*Parámetros!$G$85),2))</f>
        <v/>
      </c>
      <c r="AX611" s="66" t="str">
        <f>+IF($W611="","",ROUND((AT611*(Parámetros!$G$86)),2))</f>
        <v/>
      </c>
      <c r="AY611" s="66" t="str">
        <f t="shared" si="785"/>
        <v/>
      </c>
      <c r="AZ611" t="str">
        <f t="shared" si="827"/>
        <v/>
      </c>
      <c r="BA611" t="str">
        <f t="shared" si="828"/>
        <v/>
      </c>
      <c r="BB611" s="118" t="str">
        <f t="shared" si="829"/>
        <v/>
      </c>
      <c r="BC611" s="118" t="str">
        <f t="shared" si="830"/>
        <v/>
      </c>
      <c r="BD611" s="119" t="str">
        <f>+IF(OR($W611="",BB611=0),"",ROUND((VLOOKUP(ROUNDDOWN($D611-1/frec,0),cob_adi,AO$40,FALSE)*(1+i/frec)^-0.5*(1+Parámetros!$D$103)*(1+rec_fracc)/frec),6))</f>
        <v/>
      </c>
      <c r="BE611" s="66" t="str">
        <f t="shared" si="786"/>
        <v/>
      </c>
      <c r="BF611" s="119" t="str">
        <f t="shared" si="787"/>
        <v/>
      </c>
      <c r="BG611" s="66" t="str">
        <f>+IF($W611="","",ROUND(IF($B611&gt;Parámetros!$D$107,'Tablas Servicio'!BE611+('Tablas Servicio'!BG610-'Tablas Servicio'!BE610),BE611/(1-IF(B611&lt;=10,Parámetros!$D$100,0))),2))</f>
        <v/>
      </c>
      <c r="BH611" s="66" t="str">
        <f t="shared" si="788"/>
        <v/>
      </c>
      <c r="BI611" s="66" t="str">
        <f t="shared" si="789"/>
        <v/>
      </c>
      <c r="BJ611" s="66" t="str">
        <f>+IF($W611="","",ROUND((BG611*Parámetros!$G$85),2))</f>
        <v/>
      </c>
      <c r="BK611" s="66" t="str">
        <f>+IF($W611="","",ROUND((BG611*(Parámetros!$G$86)),2))</f>
        <v/>
      </c>
      <c r="BL611" s="66" t="str">
        <f t="shared" si="790"/>
        <v/>
      </c>
      <c r="BM611" t="str">
        <f t="shared" si="831"/>
        <v/>
      </c>
      <c r="BN611" t="str">
        <f t="shared" si="832"/>
        <v/>
      </c>
      <c r="BO611" s="118" t="str">
        <f t="shared" si="833"/>
        <v/>
      </c>
      <c r="BP611" s="118" t="str">
        <f t="shared" si="834"/>
        <v/>
      </c>
      <c r="BQ611" s="119" t="str">
        <f>+IF(OR($W611="",BO611=0),"",ROUND((VLOOKUP(ROUNDDOWN($D611-1/frec,0),cob_adi,BB$40,FALSE)*(1+i/frec)^-0.5*(1+Parámetros!$D$103)*(1+rec_fracc)/frec),6))</f>
        <v/>
      </c>
      <c r="BR611" s="66" t="str">
        <f t="shared" si="791"/>
        <v/>
      </c>
      <c r="BS611" s="119" t="str">
        <f t="shared" si="792"/>
        <v/>
      </c>
      <c r="BT611" s="66" t="str">
        <f>+IF($W611="","",ROUND(IF($B611&gt;Parámetros!$D$107,'Tablas Servicio'!BR611+('Tablas Servicio'!BT610-'Tablas Servicio'!BR610),BR611/(1-IF(B611&lt;=10,Parámetros!$D$100,0))),2))</f>
        <v/>
      </c>
      <c r="BU611" s="66" t="str">
        <f t="shared" si="793"/>
        <v/>
      </c>
      <c r="BV611" s="66" t="str">
        <f t="shared" si="793"/>
        <v/>
      </c>
      <c r="BW611" s="66" t="str">
        <f>+IF($W611="","",ROUND((BT611*Parámetros!$G$85),2))</f>
        <v/>
      </c>
      <c r="BX611" s="66" t="str">
        <f>+IF($W611="","",ROUND((BT611*(Parámetros!$G$86)),2))</f>
        <v/>
      </c>
      <c r="BY611" s="66" t="str">
        <f t="shared" si="794"/>
        <v/>
      </c>
      <c r="BZ611" t="str">
        <f t="shared" si="835"/>
        <v/>
      </c>
      <c r="CA611" t="str">
        <f t="shared" si="836"/>
        <v/>
      </c>
      <c r="CB611" s="118" t="str">
        <f t="shared" si="837"/>
        <v/>
      </c>
      <c r="CC611" s="118" t="str">
        <f t="shared" si="838"/>
        <v/>
      </c>
      <c r="CD611" s="119" t="str">
        <f t="shared" si="795"/>
        <v/>
      </c>
      <c r="CE611" s="66" t="str">
        <f>+IF($W611="","",ROUND((VLOOKUP(ROUNDDOWN($D611-1/frec,0),cob_adi,BO$40,FALSE)*(1+i/frec)^-0.5*(1+Parámetros!$D$103)*(1+rec_fracc)/frec*'TABLAS ADI'!$BC$17),2))</f>
        <v/>
      </c>
      <c r="CF611" s="119" t="str">
        <f t="shared" si="796"/>
        <v/>
      </c>
      <c r="CG611" s="66" t="str">
        <f>+IF($W611="","",ROUND(IF($B611&gt;Parámetros!$D$107,'Tablas Servicio'!CE611+('Tablas Servicio'!CG610-'Tablas Servicio'!CE610),CE611/(1-IF(B611&lt;=10,Parámetros!$D$100,0))),2))</f>
        <v/>
      </c>
      <c r="CH611" s="66" t="str">
        <f t="shared" si="797"/>
        <v/>
      </c>
      <c r="CI611" s="66" t="str">
        <f t="shared" si="797"/>
        <v/>
      </c>
      <c r="CJ611" s="66" t="str">
        <f>+IF($W611="","",ROUND((CG611*Parámetros!$G$85),2))</f>
        <v/>
      </c>
      <c r="CK611" s="66" t="str">
        <f>+IF($W611="","",ROUND((CG611*(Parámetros!$G$86)),2))</f>
        <v/>
      </c>
      <c r="CL611" s="66" t="str">
        <f t="shared" si="798"/>
        <v/>
      </c>
      <c r="CM611" t="str">
        <f t="shared" si="839"/>
        <v/>
      </c>
      <c r="CN611" s="118" t="str">
        <f t="shared" si="840"/>
        <v/>
      </c>
      <c r="CO611" s="118" t="str">
        <f t="shared" si="841"/>
        <v/>
      </c>
      <c r="CP611" s="118" t="str">
        <f t="shared" si="842"/>
        <v/>
      </c>
      <c r="CQ611" s="119" t="str">
        <f t="shared" si="799"/>
        <v/>
      </c>
      <c r="CR611" s="66" t="str">
        <f>+IF($W611="","",ROUND((VLOOKUP(Parámetros!$F$51,'COBERTURAS ADICIONALES'!$S$4:$T$32,2,FALSE)*(1+i/frec)^-0.5*(1+Parámetros!$D$103)*(1+rec_fracc)/frec*$CO$42),2))</f>
        <v/>
      </c>
      <c r="CS611" s="119" t="str">
        <f t="shared" si="800"/>
        <v/>
      </c>
      <c r="CT611" s="66" t="str">
        <f>+IF($W611="","",ROUND(IF($B611&gt;Parámetros!$D$107,'Tablas Servicio'!CR611+('Tablas Servicio'!CT610-'Tablas Servicio'!CR610),CR611/(1-IF(B611&lt;=10,Parámetros!$D$100,0))),2))</f>
        <v/>
      </c>
      <c r="CU611" s="66" t="str">
        <f t="shared" si="801"/>
        <v/>
      </c>
      <c r="CV611" s="66" t="str">
        <f t="shared" si="801"/>
        <v/>
      </c>
      <c r="CW611" s="66" t="str">
        <f>+IF($W611="","",ROUND((CT611*Parámetros!$G$85),2))</f>
        <v/>
      </c>
      <c r="CX611" s="66" t="str">
        <f>+IF($W611="","",ROUND((CT611*(Parámetros!$G$86)),2))</f>
        <v/>
      </c>
      <c r="CY611" s="66" t="str">
        <f t="shared" si="802"/>
        <v/>
      </c>
      <c r="CZ611" t="str">
        <f t="shared" si="843"/>
        <v/>
      </c>
      <c r="DA611" s="118" t="str">
        <f t="shared" si="844"/>
        <v/>
      </c>
      <c r="DB611" s="118" t="str">
        <f t="shared" si="845"/>
        <v/>
      </c>
      <c r="DC611" s="118" t="str">
        <f t="shared" si="846"/>
        <v/>
      </c>
      <c r="DD611" s="121" t="str">
        <f>+IF(OR($W611="",DB611=0),"",ROUND((VLOOKUP(ROUNDDOWN($D611-1/frec,0),cob_adi,CO$40,FALSE)*(1+i/frec)^-0.5*(1+Parámetros!$D$103)*(1+rec_fracc)/frec),6))</f>
        <v/>
      </c>
      <c r="DE611" s="66" t="str">
        <f t="shared" si="803"/>
        <v/>
      </c>
      <c r="DF611" s="119" t="str">
        <f t="shared" si="804"/>
        <v/>
      </c>
      <c r="DG611" s="66" t="str">
        <f>+IF($W611="","",ROUND(IF($B611&gt;Parámetros!$D$107,'Tablas Servicio'!DE611+('Tablas Servicio'!DG610-'Tablas Servicio'!DE610),DE611/(1-IF(B611&lt;=10,Parámetros!$D$100,0))),2))</f>
        <v/>
      </c>
      <c r="DH611" s="66" t="str">
        <f t="shared" si="805"/>
        <v/>
      </c>
      <c r="DI611" s="66" t="str">
        <f t="shared" si="805"/>
        <v/>
      </c>
      <c r="DJ611" s="66" t="str">
        <f>+IF($W611="","",ROUND((DG611*Parámetros!$G$85),2))</f>
        <v/>
      </c>
      <c r="DK611" s="66" t="str">
        <f>+IF($W611="","",ROUND((DG611*(Parámetros!$G$86)),2))</f>
        <v/>
      </c>
      <c r="DL611" s="66" t="str">
        <f t="shared" si="806"/>
        <v/>
      </c>
      <c r="DM611" t="str">
        <f t="shared" si="847"/>
        <v/>
      </c>
      <c r="DN611" s="118" t="str">
        <f t="shared" si="848"/>
        <v/>
      </c>
      <c r="DO611" s="118" t="str">
        <f t="shared" si="849"/>
        <v/>
      </c>
      <c r="DP611" s="118" t="str">
        <f t="shared" si="850"/>
        <v/>
      </c>
      <c r="DQ611" s="122" t="str">
        <f>+IF(OR($W611="",DO611=0),"",ROUND((VLOOKUP(ROUNDDOWN($D611-1/frec,0),cob_adi,DB$40,FALSE)*(1+i/frec)^-0.5*(1+Parámetros!$D$103)*(1+rec_fracc)/frec),6))</f>
        <v/>
      </c>
      <c r="DR611" s="66" t="str">
        <f t="shared" si="807"/>
        <v/>
      </c>
      <c r="DS611" s="68" t="str">
        <f t="shared" si="808"/>
        <v/>
      </c>
      <c r="DT611" s="66" t="str">
        <f>+IF($W611="","",ROUND(IF($B611&gt;Parámetros!$D$107,'Tablas Servicio'!DR611+('Tablas Servicio'!DT610-'Tablas Servicio'!DR610),DR611/(1-IF(B611&lt;=10,Parámetros!$D$100,0))),2))</f>
        <v/>
      </c>
      <c r="DU611" s="66" t="str">
        <f t="shared" si="809"/>
        <v/>
      </c>
      <c r="DV611" s="66" t="str">
        <f t="shared" si="809"/>
        <v/>
      </c>
      <c r="DW611" s="66" t="str">
        <f>+IF($W611="","",ROUND((DT611*Parámetros!$G$85),2))</f>
        <v/>
      </c>
      <c r="DX611" s="66" t="str">
        <f>+IF($W611="","",ROUND((DT611*(Parámetros!$G$86)),2))</f>
        <v/>
      </c>
      <c r="DY611" s="66" t="str">
        <f t="shared" si="810"/>
        <v/>
      </c>
      <c r="DZ611" t="str">
        <f t="shared" si="853"/>
        <v/>
      </c>
      <c r="EA611" s="118" t="str">
        <f t="shared" si="853"/>
        <v/>
      </c>
      <c r="EB611" s="118" t="str">
        <f>+IF($W611="","",ROUND(IF(Parámetros!$D$25='TABLAS MORT'!$V$33,EB610,Z611/2),0))</f>
        <v/>
      </c>
      <c r="EC611" s="118" t="str">
        <f t="shared" si="853"/>
        <v/>
      </c>
      <c r="ED611" s="122" t="str">
        <f>+IF(OR($W611="",EB611=0),"",ROUND((VLOOKUP(ROUNDDOWN($D611-1/frec,0),cob_adi,DO$40,FALSE)*(1+i/frec)^-0.5*(1+Parámetros!$D$103)*(1+rec_fracc)/frec),6))</f>
        <v/>
      </c>
      <c r="EE611" s="66" t="str">
        <f t="shared" si="812"/>
        <v/>
      </c>
      <c r="EF611" s="68" t="str">
        <f t="shared" si="813"/>
        <v/>
      </c>
      <c r="EG611" s="66" t="str">
        <f>+IF($W611="","",ROUND(IF($B611&gt;Parámetros!$D$107,'Tablas Servicio'!EE611+('Tablas Servicio'!EG610-'Tablas Servicio'!EE610),EE611/(1-IF(B611&lt;=10,Parámetros!$D$100,0))),2))</f>
        <v/>
      </c>
      <c r="EH611" s="66" t="str">
        <f t="shared" si="814"/>
        <v/>
      </c>
      <c r="EI611" s="66" t="str">
        <f t="shared" si="814"/>
        <v/>
      </c>
      <c r="EJ611" s="66" t="str">
        <f>+IF($W611="","",ROUND((EG611*Parámetros!$G$85),2))</f>
        <v/>
      </c>
      <c r="EK611" s="66" t="str">
        <f>+IF($W611="","",ROUND((EG611*(Parámetros!$G$86)),2))</f>
        <v/>
      </c>
      <c r="EL611" s="66" t="str">
        <f t="shared" si="815"/>
        <v/>
      </c>
    </row>
    <row r="612" spans="1:142" x14ac:dyDescent="0.25">
      <c r="A612" t="str">
        <f>+IF($C612="","",ROUND(VLOOKUP('Tablas Servicio'!B612,Parámetros!$H$100:$J$159,IF(Parámetros!$E$16="F",2,3),FALSE),2))</f>
        <v/>
      </c>
      <c r="B612" t="str">
        <f t="shared" si="766"/>
        <v/>
      </c>
      <c r="C612" s="57" t="str">
        <f>+IF(D612="","",'Tablas Servicio'!C611+1)</f>
        <v/>
      </c>
      <c r="D612" s="56" t="str">
        <f>+IF(D611&lt;edadmaxtabla,D611+1/Parámetros!$E$25,"")</f>
        <v/>
      </c>
      <c r="E612" s="57" t="str">
        <f t="shared" si="776"/>
        <v/>
      </c>
      <c r="F612" s="59" t="str">
        <f t="shared" si="777"/>
        <v/>
      </c>
      <c r="G612" s="66" t="str">
        <f t="shared" si="767"/>
        <v/>
      </c>
      <c r="H612" s="66" t="str">
        <f t="shared" si="768"/>
        <v/>
      </c>
      <c r="I612" s="66" t="str">
        <f t="shared" si="816"/>
        <v/>
      </c>
      <c r="J612" s="66" t="str">
        <f t="shared" si="769"/>
        <v/>
      </c>
      <c r="K612" s="66" t="str">
        <f t="shared" si="770"/>
        <v/>
      </c>
      <c r="L612" s="66" t="str">
        <f t="shared" si="771"/>
        <v/>
      </c>
      <c r="M612" s="66" t="str">
        <f t="shared" si="772"/>
        <v/>
      </c>
      <c r="N612" s="66" t="str">
        <f>+IF(C612="","",ROUND(Parámetros!$D$23,2))</f>
        <v/>
      </c>
      <c r="O612" s="66" t="str">
        <f t="shared" si="773"/>
        <v/>
      </c>
      <c r="P612" s="66" t="str">
        <f>+IF($C612="","",ROUND(IF(B612&gt;Parámetros!$D$117,0,N612*Parámetros!$D$116-G612*Parámetros!$D$100),2))</f>
        <v/>
      </c>
      <c r="Q612" s="75" t="str">
        <f t="shared" si="817"/>
        <v/>
      </c>
      <c r="R612" s="75" t="str">
        <f t="shared" si="818"/>
        <v/>
      </c>
      <c r="S612" s="117" t="str">
        <f>+IF($C612="","",ROUND((S611+I612)*(1+Parámetros!$D$91),2))</f>
        <v/>
      </c>
      <c r="T612" s="117" t="str">
        <f>+IF($C612="","",ROUND(S612*VLOOKUP(B612,Parámetros!$C$30:$D$39,2,TRUE),2))</f>
        <v/>
      </c>
      <c r="U612" s="117" t="str">
        <f>+IF($C612="","",ROUND((U611+I612)*(1+Parámetros!$D$92),2))</f>
        <v/>
      </c>
      <c r="V612" s="117" t="str">
        <f>+IF($C612="","",ROUND(U612*VLOOKUP(B612,Parámetros!$C$30:$D$39,2,TRUE),2))</f>
        <v/>
      </c>
      <c r="W612" s="57" t="str">
        <f t="shared" si="819"/>
        <v/>
      </c>
      <c r="X612" t="str">
        <f t="shared" si="820"/>
        <v/>
      </c>
      <c r="Y612" t="str">
        <f t="shared" si="821"/>
        <v/>
      </c>
      <c r="Z612" s="118" t="str">
        <f>+IF($W612="","",ROUND(IF(Parámetros!$D$25='TABLAS MORT'!$V$33,Z611,Parámetros!$D$21-'Tablas Servicio'!T611),0))</f>
        <v/>
      </c>
      <c r="AA612" s="118" t="str">
        <f t="shared" si="822"/>
        <v/>
      </c>
      <c r="AB612" s="119" t="str">
        <f>+IF(W612="","",ROUND((VLOOKUP(ROUNDDOWN($D612-1/frec,0),qx_tabla,2,FALSE)*(1+i/frec)^-0.5*(1+Parámetros!$D$103)*(1+rec_fracc)/frec),6))</f>
        <v/>
      </c>
      <c r="AC612" s="66" t="str">
        <f t="shared" si="778"/>
        <v/>
      </c>
      <c r="AD612" s="119" t="str">
        <f t="shared" si="774"/>
        <v/>
      </c>
      <c r="AE612" s="66" t="str">
        <f>+IF($W612="","",ROUND(IF($B612&gt;Parámetros!$D$107,'Tablas Servicio'!AC612+('Tablas Servicio'!AG611-'Tablas Servicio'!AC611),AC612/(1-IF(B612&lt;=10,Parámetros!$D$104,Parámetros!$D$105))),2))</f>
        <v/>
      </c>
      <c r="AF612" s="66" t="str">
        <f>+IF($W612="","",ROUND(IF($B612&gt;Parámetros!$D$107,'Tablas Servicio'!AC612+('Tablas Servicio'!AG611-'Tablas Servicio'!AC611),(AC612+$A611/frec)/(1-IF(B612&lt;=Parámetros!$D$117,Parámetros!$D$100,0))),2))</f>
        <v/>
      </c>
      <c r="AG612" s="66" t="str">
        <f t="shared" si="779"/>
        <v/>
      </c>
      <c r="AH612" s="66" t="str">
        <f t="shared" si="780"/>
        <v/>
      </c>
      <c r="AI612" s="66" t="str">
        <f t="shared" si="781"/>
        <v/>
      </c>
      <c r="AJ612" s="66" t="str">
        <f>+IF($W612="","",ROUND((AG612*Parámetros!$G$85),2))</f>
        <v/>
      </c>
      <c r="AK612" s="66" t="str">
        <f>+IF($W612="","",ROUND((AG612*(Parámetros!$G$86)),2))</f>
        <v/>
      </c>
      <c r="AL612" s="66" t="str">
        <f t="shared" si="775"/>
        <v/>
      </c>
      <c r="AM612" t="str">
        <f t="shared" si="823"/>
        <v/>
      </c>
      <c r="AN612" t="str">
        <f t="shared" si="824"/>
        <v/>
      </c>
      <c r="AO612" s="118" t="str">
        <f t="shared" si="825"/>
        <v/>
      </c>
      <c r="AP612" s="118" t="str">
        <f t="shared" si="826"/>
        <v/>
      </c>
      <c r="AQ612" s="119" t="str">
        <f>+IF(OR($W612="",AO612=0),"",ROUND((VLOOKUP(ROUNDDOWN($D612-1/frec,0),cob_adi,Z$40,FALSE)*(1+i/frec)^-0.5*(1+Parámetros!$D$103)*(1+rec_fracc)/frec),6))</f>
        <v/>
      </c>
      <c r="AR612" s="66" t="str">
        <f t="shared" si="782"/>
        <v/>
      </c>
      <c r="AS612" s="119" t="str">
        <f t="shared" si="783"/>
        <v/>
      </c>
      <c r="AT612" s="66" t="str">
        <f>+IF($W612="","",ROUND(IF($B612&gt;Parámetros!$D$107,'Tablas Servicio'!AR612+('Tablas Servicio'!AT611-'Tablas Servicio'!AR611),AR612/(1-IF(B612&lt;=10,Parámetros!$D$100,0))),2))</f>
        <v/>
      </c>
      <c r="AU612" s="66" t="str">
        <f t="shared" si="784"/>
        <v/>
      </c>
      <c r="AV612" s="66" t="str">
        <f t="shared" si="784"/>
        <v/>
      </c>
      <c r="AW612" s="66" t="str">
        <f>+IF($W612="","",ROUND((AT612*Parámetros!$G$85),2))</f>
        <v/>
      </c>
      <c r="AX612" s="66" t="str">
        <f>+IF($W612="","",ROUND((AT612*(Parámetros!$G$86)),2))</f>
        <v/>
      </c>
      <c r="AY612" s="66" t="str">
        <f t="shared" si="785"/>
        <v/>
      </c>
      <c r="AZ612" t="str">
        <f t="shared" si="827"/>
        <v/>
      </c>
      <c r="BA612" t="str">
        <f t="shared" si="828"/>
        <v/>
      </c>
      <c r="BB612" s="118" t="str">
        <f t="shared" si="829"/>
        <v/>
      </c>
      <c r="BC612" s="118" t="str">
        <f t="shared" si="830"/>
        <v/>
      </c>
      <c r="BD612" s="119" t="str">
        <f>+IF(OR($W612="",BB612=0),"",ROUND((VLOOKUP(ROUNDDOWN($D612-1/frec,0),cob_adi,AO$40,FALSE)*(1+i/frec)^-0.5*(1+Parámetros!$D$103)*(1+rec_fracc)/frec),6))</f>
        <v/>
      </c>
      <c r="BE612" s="66" t="str">
        <f t="shared" si="786"/>
        <v/>
      </c>
      <c r="BF612" s="119" t="str">
        <f t="shared" si="787"/>
        <v/>
      </c>
      <c r="BG612" s="66" t="str">
        <f>+IF($W612="","",ROUND(IF($B612&gt;Parámetros!$D$107,'Tablas Servicio'!BE612+('Tablas Servicio'!BG611-'Tablas Servicio'!BE611),BE612/(1-IF(B612&lt;=10,Parámetros!$D$100,0))),2))</f>
        <v/>
      </c>
      <c r="BH612" s="66" t="str">
        <f t="shared" si="788"/>
        <v/>
      </c>
      <c r="BI612" s="66" t="str">
        <f t="shared" si="789"/>
        <v/>
      </c>
      <c r="BJ612" s="66" t="str">
        <f>+IF($W612="","",ROUND((BG612*Parámetros!$G$85),2))</f>
        <v/>
      </c>
      <c r="BK612" s="66" t="str">
        <f>+IF($W612="","",ROUND((BG612*(Parámetros!$G$86)),2))</f>
        <v/>
      </c>
      <c r="BL612" s="66" t="str">
        <f t="shared" si="790"/>
        <v/>
      </c>
      <c r="BM612" t="str">
        <f t="shared" si="831"/>
        <v/>
      </c>
      <c r="BN612" t="str">
        <f t="shared" si="832"/>
        <v/>
      </c>
      <c r="BO612" s="118" t="str">
        <f t="shared" si="833"/>
        <v/>
      </c>
      <c r="BP612" s="118" t="str">
        <f t="shared" si="834"/>
        <v/>
      </c>
      <c r="BQ612" s="119" t="str">
        <f>+IF(OR($W612="",BO612=0),"",ROUND((VLOOKUP(ROUNDDOWN($D612-1/frec,0),cob_adi,BB$40,FALSE)*(1+i/frec)^-0.5*(1+Parámetros!$D$103)*(1+rec_fracc)/frec),6))</f>
        <v/>
      </c>
      <c r="BR612" s="66" t="str">
        <f t="shared" si="791"/>
        <v/>
      </c>
      <c r="BS612" s="119" t="str">
        <f t="shared" si="792"/>
        <v/>
      </c>
      <c r="BT612" s="66" t="str">
        <f>+IF($W612="","",ROUND(IF($B612&gt;Parámetros!$D$107,'Tablas Servicio'!BR612+('Tablas Servicio'!BT611-'Tablas Servicio'!BR611),BR612/(1-IF(B612&lt;=10,Parámetros!$D$100,0))),2))</f>
        <v/>
      </c>
      <c r="BU612" s="66" t="str">
        <f t="shared" si="793"/>
        <v/>
      </c>
      <c r="BV612" s="66" t="str">
        <f t="shared" si="793"/>
        <v/>
      </c>
      <c r="BW612" s="66" t="str">
        <f>+IF($W612="","",ROUND((BT612*Parámetros!$G$85),2))</f>
        <v/>
      </c>
      <c r="BX612" s="66" t="str">
        <f>+IF($W612="","",ROUND((BT612*(Parámetros!$G$86)),2))</f>
        <v/>
      </c>
      <c r="BY612" s="66" t="str">
        <f t="shared" si="794"/>
        <v/>
      </c>
      <c r="BZ612" t="str">
        <f t="shared" si="835"/>
        <v/>
      </c>
      <c r="CA612" t="str">
        <f t="shared" si="836"/>
        <v/>
      </c>
      <c r="CB612" s="118" t="str">
        <f t="shared" si="837"/>
        <v/>
      </c>
      <c r="CC612" s="118" t="str">
        <f t="shared" si="838"/>
        <v/>
      </c>
      <c r="CD612" s="119" t="str">
        <f t="shared" si="795"/>
        <v/>
      </c>
      <c r="CE612" s="66" t="str">
        <f>+IF($W612="","",ROUND((VLOOKUP(ROUNDDOWN($D612-1/frec,0),cob_adi,BO$40,FALSE)*(1+i/frec)^-0.5*(1+Parámetros!$D$103)*(1+rec_fracc)/frec*'TABLAS ADI'!$BC$17),2))</f>
        <v/>
      </c>
      <c r="CF612" s="119" t="str">
        <f t="shared" si="796"/>
        <v/>
      </c>
      <c r="CG612" s="66" t="str">
        <f>+IF($W612="","",ROUND(IF($B612&gt;Parámetros!$D$107,'Tablas Servicio'!CE612+('Tablas Servicio'!CG611-'Tablas Servicio'!CE611),CE612/(1-IF(B612&lt;=10,Parámetros!$D$100,0))),2))</f>
        <v/>
      </c>
      <c r="CH612" s="66" t="str">
        <f t="shared" si="797"/>
        <v/>
      </c>
      <c r="CI612" s="66" t="str">
        <f t="shared" si="797"/>
        <v/>
      </c>
      <c r="CJ612" s="66" t="str">
        <f>+IF($W612="","",ROUND((CG612*Parámetros!$G$85),2))</f>
        <v/>
      </c>
      <c r="CK612" s="66" t="str">
        <f>+IF($W612="","",ROUND((CG612*(Parámetros!$G$86)),2))</f>
        <v/>
      </c>
      <c r="CL612" s="66" t="str">
        <f t="shared" si="798"/>
        <v/>
      </c>
      <c r="CM612" t="str">
        <f t="shared" si="839"/>
        <v/>
      </c>
      <c r="CN612" s="118" t="str">
        <f t="shared" si="840"/>
        <v/>
      </c>
      <c r="CO612" s="118" t="str">
        <f t="shared" si="841"/>
        <v/>
      </c>
      <c r="CP612" s="118" t="str">
        <f t="shared" si="842"/>
        <v/>
      </c>
      <c r="CQ612" s="119" t="str">
        <f t="shared" si="799"/>
        <v/>
      </c>
      <c r="CR612" s="66" t="str">
        <f>+IF($W612="","",ROUND((VLOOKUP(Parámetros!$F$51,'COBERTURAS ADICIONALES'!$S$4:$T$32,2,FALSE)*(1+i/frec)^-0.5*(1+Parámetros!$D$103)*(1+rec_fracc)/frec*$CO$42),2))</f>
        <v/>
      </c>
      <c r="CS612" s="119" t="str">
        <f t="shared" si="800"/>
        <v/>
      </c>
      <c r="CT612" s="66" t="str">
        <f>+IF($W612="","",ROUND(IF($B612&gt;Parámetros!$D$107,'Tablas Servicio'!CR612+('Tablas Servicio'!CT611-'Tablas Servicio'!CR611),CR612/(1-IF(B612&lt;=10,Parámetros!$D$100,0))),2))</f>
        <v/>
      </c>
      <c r="CU612" s="66" t="str">
        <f t="shared" si="801"/>
        <v/>
      </c>
      <c r="CV612" s="66" t="str">
        <f t="shared" si="801"/>
        <v/>
      </c>
      <c r="CW612" s="66" t="str">
        <f>+IF($W612="","",ROUND((CT612*Parámetros!$G$85),2))</f>
        <v/>
      </c>
      <c r="CX612" s="66" t="str">
        <f>+IF($W612="","",ROUND((CT612*(Parámetros!$G$86)),2))</f>
        <v/>
      </c>
      <c r="CY612" s="66" t="str">
        <f t="shared" si="802"/>
        <v/>
      </c>
      <c r="CZ612" t="str">
        <f t="shared" si="843"/>
        <v/>
      </c>
      <c r="DA612" s="118" t="str">
        <f t="shared" si="844"/>
        <v/>
      </c>
      <c r="DB612" s="118" t="str">
        <f t="shared" si="845"/>
        <v/>
      </c>
      <c r="DC612" s="118" t="str">
        <f t="shared" si="846"/>
        <v/>
      </c>
      <c r="DD612" s="121" t="str">
        <f>+IF(OR($W612="",DB612=0),"",ROUND((VLOOKUP(ROUNDDOWN($D612-1/frec,0),cob_adi,CO$40,FALSE)*(1+i/frec)^-0.5*(1+Parámetros!$D$103)*(1+rec_fracc)/frec),6))</f>
        <v/>
      </c>
      <c r="DE612" s="66" t="str">
        <f t="shared" si="803"/>
        <v/>
      </c>
      <c r="DF612" s="119" t="str">
        <f t="shared" si="804"/>
        <v/>
      </c>
      <c r="DG612" s="66" t="str">
        <f>+IF($W612="","",ROUND(IF($B612&gt;Parámetros!$D$107,'Tablas Servicio'!DE612+('Tablas Servicio'!DG611-'Tablas Servicio'!DE611),DE612/(1-IF(B612&lt;=10,Parámetros!$D$100,0))),2))</f>
        <v/>
      </c>
      <c r="DH612" s="66" t="str">
        <f t="shared" si="805"/>
        <v/>
      </c>
      <c r="DI612" s="66" t="str">
        <f t="shared" si="805"/>
        <v/>
      </c>
      <c r="DJ612" s="66" t="str">
        <f>+IF($W612="","",ROUND((DG612*Parámetros!$G$85),2))</f>
        <v/>
      </c>
      <c r="DK612" s="66" t="str">
        <f>+IF($W612="","",ROUND((DG612*(Parámetros!$G$86)),2))</f>
        <v/>
      </c>
      <c r="DL612" s="66" t="str">
        <f t="shared" si="806"/>
        <v/>
      </c>
      <c r="DM612" t="str">
        <f t="shared" si="847"/>
        <v/>
      </c>
      <c r="DN612" s="118" t="str">
        <f t="shared" si="848"/>
        <v/>
      </c>
      <c r="DO612" s="118" t="str">
        <f t="shared" si="849"/>
        <v/>
      </c>
      <c r="DP612" s="118" t="str">
        <f t="shared" si="850"/>
        <v/>
      </c>
      <c r="DQ612" s="122" t="str">
        <f>+IF(OR($W612="",DO612=0),"",ROUND((VLOOKUP(ROUNDDOWN($D612-1/frec,0),cob_adi,DB$40,FALSE)*(1+i/frec)^-0.5*(1+Parámetros!$D$103)*(1+rec_fracc)/frec),6))</f>
        <v/>
      </c>
      <c r="DR612" s="66" t="str">
        <f t="shared" si="807"/>
        <v/>
      </c>
      <c r="DS612" s="68" t="str">
        <f t="shared" si="808"/>
        <v/>
      </c>
      <c r="DT612" s="66" t="str">
        <f>+IF($W612="","",ROUND(IF($B612&gt;Parámetros!$D$107,'Tablas Servicio'!DR612+('Tablas Servicio'!DT611-'Tablas Servicio'!DR611),DR612/(1-IF(B612&lt;=10,Parámetros!$D$100,0))),2))</f>
        <v/>
      </c>
      <c r="DU612" s="66" t="str">
        <f t="shared" si="809"/>
        <v/>
      </c>
      <c r="DV612" s="66" t="str">
        <f t="shared" si="809"/>
        <v/>
      </c>
      <c r="DW612" s="66" t="str">
        <f>+IF($W612="","",ROUND((DT612*Parámetros!$G$85),2))</f>
        <v/>
      </c>
      <c r="DX612" s="66" t="str">
        <f>+IF($W612="","",ROUND((DT612*(Parámetros!$G$86)),2))</f>
        <v/>
      </c>
      <c r="DY612" s="66" t="str">
        <f t="shared" si="810"/>
        <v/>
      </c>
      <c r="DZ612" t="str">
        <f t="shared" si="853"/>
        <v/>
      </c>
      <c r="EA612" s="118" t="str">
        <f t="shared" si="853"/>
        <v/>
      </c>
      <c r="EB612" s="118" t="str">
        <f>+IF($W612="","",ROUND(IF(Parámetros!$D$25='TABLAS MORT'!$V$33,EB611,Z612/2),0))</f>
        <v/>
      </c>
      <c r="EC612" s="118" t="str">
        <f t="shared" si="853"/>
        <v/>
      </c>
      <c r="ED612" s="122" t="str">
        <f>+IF(OR($W612="",EB612=0),"",ROUND((VLOOKUP(ROUNDDOWN($D612-1/frec,0),cob_adi,DO$40,FALSE)*(1+i/frec)^-0.5*(1+Parámetros!$D$103)*(1+rec_fracc)/frec),6))</f>
        <v/>
      </c>
      <c r="EE612" s="66" t="str">
        <f t="shared" si="812"/>
        <v/>
      </c>
      <c r="EF612" s="68" t="str">
        <f t="shared" si="813"/>
        <v/>
      </c>
      <c r="EG612" s="66" t="str">
        <f>+IF($W612="","",ROUND(IF($B612&gt;Parámetros!$D$107,'Tablas Servicio'!EE612+('Tablas Servicio'!EG611-'Tablas Servicio'!EE611),EE612/(1-IF(B612&lt;=10,Parámetros!$D$100,0))),2))</f>
        <v/>
      </c>
      <c r="EH612" s="66" t="str">
        <f t="shared" si="814"/>
        <v/>
      </c>
      <c r="EI612" s="66" t="str">
        <f t="shared" si="814"/>
        <v/>
      </c>
      <c r="EJ612" s="66" t="str">
        <f>+IF($W612="","",ROUND((EG612*Parámetros!$G$85),2))</f>
        <v/>
      </c>
      <c r="EK612" s="66" t="str">
        <f>+IF($W612="","",ROUND((EG612*(Parámetros!$G$86)),2))</f>
        <v/>
      </c>
      <c r="EL612" s="66" t="str">
        <f t="shared" si="815"/>
        <v/>
      </c>
    </row>
    <row r="613" spans="1:142" x14ac:dyDescent="0.25">
      <c r="A613" t="str">
        <f>+IF($C613="","",ROUND(VLOOKUP('Tablas Servicio'!B613,Parámetros!$H$100:$J$159,IF(Parámetros!$E$16="F",2,3),FALSE),2))</f>
        <v/>
      </c>
      <c r="B613" t="str">
        <f t="shared" si="766"/>
        <v/>
      </c>
      <c r="C613" s="57" t="str">
        <f>+IF(D613="","",'Tablas Servicio'!C612+1)</f>
        <v/>
      </c>
      <c r="D613" s="56" t="str">
        <f>+IF(D612&lt;edadmaxtabla,D612+1/Parámetros!$E$25,"")</f>
        <v/>
      </c>
      <c r="E613" s="57" t="str">
        <f t="shared" si="776"/>
        <v/>
      </c>
      <c r="F613" s="59" t="str">
        <f t="shared" si="777"/>
        <v/>
      </c>
      <c r="G613" s="66" t="str">
        <f t="shared" si="767"/>
        <v/>
      </c>
      <c r="H613" s="66" t="str">
        <f t="shared" si="768"/>
        <v/>
      </c>
      <c r="I613" s="66" t="str">
        <f t="shared" si="816"/>
        <v/>
      </c>
      <c r="J613" s="66" t="str">
        <f t="shared" si="769"/>
        <v/>
      </c>
      <c r="K613" s="66" t="str">
        <f t="shared" si="770"/>
        <v/>
      </c>
      <c r="L613" s="66" t="str">
        <f t="shared" si="771"/>
        <v/>
      </c>
      <c r="M613" s="66" t="str">
        <f t="shared" si="772"/>
        <v/>
      </c>
      <c r="N613" s="66" t="str">
        <f>+IF(C613="","",ROUND(Parámetros!$D$23,2))</f>
        <v/>
      </c>
      <c r="O613" s="66" t="str">
        <f t="shared" si="773"/>
        <v/>
      </c>
      <c r="P613" s="66" t="str">
        <f>+IF($C613="","",ROUND(IF(B613&gt;Parámetros!$D$117,0,N613*Parámetros!$D$116-G613*Parámetros!$D$100),2))</f>
        <v/>
      </c>
      <c r="Q613" s="75" t="str">
        <f t="shared" si="817"/>
        <v/>
      </c>
      <c r="R613" s="75" t="str">
        <f t="shared" si="818"/>
        <v/>
      </c>
      <c r="S613" s="117" t="str">
        <f>+IF($C613="","",ROUND((S612+I613)*(1+Parámetros!$D$91),2))</f>
        <v/>
      </c>
      <c r="T613" s="117" t="str">
        <f>+IF($C613="","",ROUND(S613*VLOOKUP(B613,Parámetros!$C$30:$D$39,2,TRUE),2))</f>
        <v/>
      </c>
      <c r="U613" s="117" t="str">
        <f>+IF($C613="","",ROUND((U612+I613)*(1+Parámetros!$D$92),2))</f>
        <v/>
      </c>
      <c r="V613" s="117" t="str">
        <f>+IF($C613="","",ROUND(U613*VLOOKUP(B613,Parámetros!$C$30:$D$39,2,TRUE),2))</f>
        <v/>
      </c>
      <c r="W613" s="57" t="str">
        <f t="shared" si="819"/>
        <v/>
      </c>
      <c r="X613" t="str">
        <f t="shared" si="820"/>
        <v/>
      </c>
      <c r="Y613" t="str">
        <f t="shared" si="821"/>
        <v/>
      </c>
      <c r="Z613" s="118" t="str">
        <f>+IF($W613="","",ROUND(IF(Parámetros!$D$25='TABLAS MORT'!$V$33,Z612,Parámetros!$D$21-'Tablas Servicio'!T612),0))</f>
        <v/>
      </c>
      <c r="AA613" s="118" t="str">
        <f t="shared" si="822"/>
        <v/>
      </c>
      <c r="AB613" s="119" t="str">
        <f>+IF(W613="","",ROUND((VLOOKUP(ROUNDDOWN($D613-1/frec,0),qx_tabla,2,FALSE)*(1+i/frec)^-0.5*(1+Parámetros!$D$103)*(1+rec_fracc)/frec),6))</f>
        <v/>
      </c>
      <c r="AC613" s="66" t="str">
        <f t="shared" si="778"/>
        <v/>
      </c>
      <c r="AD613" s="119" t="str">
        <f t="shared" si="774"/>
        <v/>
      </c>
      <c r="AE613" s="66" t="str">
        <f>+IF($W613="","",ROUND(IF($B613&gt;Parámetros!$D$107,'Tablas Servicio'!AC613+('Tablas Servicio'!AG612-'Tablas Servicio'!AC612),AC613/(1-IF(B613&lt;=10,Parámetros!$D$104,Parámetros!$D$105))),2))</f>
        <v/>
      </c>
      <c r="AF613" s="66" t="str">
        <f>+IF($W613="","",ROUND(IF($B613&gt;Parámetros!$D$107,'Tablas Servicio'!AC613+('Tablas Servicio'!AG612-'Tablas Servicio'!AC612),(AC613+$A612/frec)/(1-IF(B613&lt;=Parámetros!$D$117,Parámetros!$D$100,0))),2))</f>
        <v/>
      </c>
      <c r="AG613" s="66" t="str">
        <f t="shared" si="779"/>
        <v/>
      </c>
      <c r="AH613" s="66" t="str">
        <f t="shared" si="780"/>
        <v/>
      </c>
      <c r="AI613" s="66" t="str">
        <f t="shared" si="781"/>
        <v/>
      </c>
      <c r="AJ613" s="66" t="str">
        <f>+IF($W613="","",ROUND((AG613*Parámetros!$G$85),2))</f>
        <v/>
      </c>
      <c r="AK613" s="66" t="str">
        <f>+IF($W613="","",ROUND((AG613*(Parámetros!$G$86)),2))</f>
        <v/>
      </c>
      <c r="AL613" s="66" t="str">
        <f t="shared" si="775"/>
        <v/>
      </c>
      <c r="AM613" t="str">
        <f t="shared" si="823"/>
        <v/>
      </c>
      <c r="AN613" t="str">
        <f t="shared" si="824"/>
        <v/>
      </c>
      <c r="AO613" s="118" t="str">
        <f t="shared" si="825"/>
        <v/>
      </c>
      <c r="AP613" s="118" t="str">
        <f t="shared" si="826"/>
        <v/>
      </c>
      <c r="AQ613" s="119" t="str">
        <f>+IF(OR($W613="",AO613=0),"",ROUND((VLOOKUP(ROUNDDOWN($D613-1/frec,0),cob_adi,Z$40,FALSE)*(1+i/frec)^-0.5*(1+Parámetros!$D$103)*(1+rec_fracc)/frec),6))</f>
        <v/>
      </c>
      <c r="AR613" s="66" t="str">
        <f t="shared" si="782"/>
        <v/>
      </c>
      <c r="AS613" s="119" t="str">
        <f t="shared" si="783"/>
        <v/>
      </c>
      <c r="AT613" s="66" t="str">
        <f>+IF($W613="","",ROUND(IF($B613&gt;Parámetros!$D$107,'Tablas Servicio'!AR613+('Tablas Servicio'!AT612-'Tablas Servicio'!AR612),AR613/(1-IF(B613&lt;=10,Parámetros!$D$100,0))),2))</f>
        <v/>
      </c>
      <c r="AU613" s="66" t="str">
        <f t="shared" si="784"/>
        <v/>
      </c>
      <c r="AV613" s="66" t="str">
        <f t="shared" si="784"/>
        <v/>
      </c>
      <c r="AW613" s="66" t="str">
        <f>+IF($W613="","",ROUND((AT613*Parámetros!$G$85),2))</f>
        <v/>
      </c>
      <c r="AX613" s="66" t="str">
        <f>+IF($W613="","",ROUND((AT613*(Parámetros!$G$86)),2))</f>
        <v/>
      </c>
      <c r="AY613" s="66" t="str">
        <f t="shared" si="785"/>
        <v/>
      </c>
      <c r="AZ613" t="str">
        <f t="shared" si="827"/>
        <v/>
      </c>
      <c r="BA613" t="str">
        <f t="shared" si="828"/>
        <v/>
      </c>
      <c r="BB613" s="118" t="str">
        <f t="shared" si="829"/>
        <v/>
      </c>
      <c r="BC613" s="118" t="str">
        <f t="shared" si="830"/>
        <v/>
      </c>
      <c r="BD613" s="119" t="str">
        <f>+IF(OR($W613="",BB613=0),"",ROUND((VLOOKUP(ROUNDDOWN($D613-1/frec,0),cob_adi,AO$40,FALSE)*(1+i/frec)^-0.5*(1+Parámetros!$D$103)*(1+rec_fracc)/frec),6))</f>
        <v/>
      </c>
      <c r="BE613" s="66" t="str">
        <f t="shared" si="786"/>
        <v/>
      </c>
      <c r="BF613" s="119" t="str">
        <f t="shared" si="787"/>
        <v/>
      </c>
      <c r="BG613" s="66" t="str">
        <f>+IF($W613="","",ROUND(IF($B613&gt;Parámetros!$D$107,'Tablas Servicio'!BE613+('Tablas Servicio'!BG612-'Tablas Servicio'!BE612),BE613/(1-IF(B613&lt;=10,Parámetros!$D$100,0))),2))</f>
        <v/>
      </c>
      <c r="BH613" s="66" t="str">
        <f t="shared" si="788"/>
        <v/>
      </c>
      <c r="BI613" s="66" t="str">
        <f t="shared" si="789"/>
        <v/>
      </c>
      <c r="BJ613" s="66" t="str">
        <f>+IF($W613="","",ROUND((BG613*Parámetros!$G$85),2))</f>
        <v/>
      </c>
      <c r="BK613" s="66" t="str">
        <f>+IF($W613="","",ROUND((BG613*(Parámetros!$G$86)),2))</f>
        <v/>
      </c>
      <c r="BL613" s="66" t="str">
        <f t="shared" si="790"/>
        <v/>
      </c>
      <c r="BM613" t="str">
        <f t="shared" si="831"/>
        <v/>
      </c>
      <c r="BN613" t="str">
        <f t="shared" si="832"/>
        <v/>
      </c>
      <c r="BO613" s="118" t="str">
        <f t="shared" si="833"/>
        <v/>
      </c>
      <c r="BP613" s="118" t="str">
        <f t="shared" si="834"/>
        <v/>
      </c>
      <c r="BQ613" s="119" t="str">
        <f>+IF(OR($W613="",BO613=0),"",ROUND((VLOOKUP(ROUNDDOWN($D613-1/frec,0),cob_adi,BB$40,FALSE)*(1+i/frec)^-0.5*(1+Parámetros!$D$103)*(1+rec_fracc)/frec),6))</f>
        <v/>
      </c>
      <c r="BR613" s="66" t="str">
        <f t="shared" si="791"/>
        <v/>
      </c>
      <c r="BS613" s="119" t="str">
        <f t="shared" si="792"/>
        <v/>
      </c>
      <c r="BT613" s="66" t="str">
        <f>+IF($W613="","",ROUND(IF($B613&gt;Parámetros!$D$107,'Tablas Servicio'!BR613+('Tablas Servicio'!BT612-'Tablas Servicio'!BR612),BR613/(1-IF(B613&lt;=10,Parámetros!$D$100,0))),2))</f>
        <v/>
      </c>
      <c r="BU613" s="66" t="str">
        <f t="shared" si="793"/>
        <v/>
      </c>
      <c r="BV613" s="66" t="str">
        <f t="shared" si="793"/>
        <v/>
      </c>
      <c r="BW613" s="66" t="str">
        <f>+IF($W613="","",ROUND((BT613*Parámetros!$G$85),2))</f>
        <v/>
      </c>
      <c r="BX613" s="66" t="str">
        <f>+IF($W613="","",ROUND((BT613*(Parámetros!$G$86)),2))</f>
        <v/>
      </c>
      <c r="BY613" s="66" t="str">
        <f t="shared" si="794"/>
        <v/>
      </c>
      <c r="BZ613" t="str">
        <f t="shared" si="835"/>
        <v/>
      </c>
      <c r="CA613" t="str">
        <f t="shared" si="836"/>
        <v/>
      </c>
      <c r="CB613" s="118" t="str">
        <f t="shared" si="837"/>
        <v/>
      </c>
      <c r="CC613" s="118" t="str">
        <f t="shared" si="838"/>
        <v/>
      </c>
      <c r="CD613" s="119" t="str">
        <f t="shared" si="795"/>
        <v/>
      </c>
      <c r="CE613" s="66" t="str">
        <f>+IF($W613="","",ROUND((VLOOKUP(ROUNDDOWN($D613-1/frec,0),cob_adi,BO$40,FALSE)*(1+i/frec)^-0.5*(1+Parámetros!$D$103)*(1+rec_fracc)/frec*'TABLAS ADI'!$BC$17),2))</f>
        <v/>
      </c>
      <c r="CF613" s="119" t="str">
        <f t="shared" si="796"/>
        <v/>
      </c>
      <c r="CG613" s="66" t="str">
        <f>+IF($W613="","",ROUND(IF($B613&gt;Parámetros!$D$107,'Tablas Servicio'!CE613+('Tablas Servicio'!CG612-'Tablas Servicio'!CE612),CE613/(1-IF(B613&lt;=10,Parámetros!$D$100,0))),2))</f>
        <v/>
      </c>
      <c r="CH613" s="66" t="str">
        <f t="shared" si="797"/>
        <v/>
      </c>
      <c r="CI613" s="66" t="str">
        <f t="shared" si="797"/>
        <v/>
      </c>
      <c r="CJ613" s="66" t="str">
        <f>+IF($W613="","",ROUND((CG613*Parámetros!$G$85),2))</f>
        <v/>
      </c>
      <c r="CK613" s="66" t="str">
        <f>+IF($W613="","",ROUND((CG613*(Parámetros!$G$86)),2))</f>
        <v/>
      </c>
      <c r="CL613" s="66" t="str">
        <f t="shared" si="798"/>
        <v/>
      </c>
      <c r="CM613" t="str">
        <f t="shared" si="839"/>
        <v/>
      </c>
      <c r="CN613" s="118" t="str">
        <f t="shared" si="840"/>
        <v/>
      </c>
      <c r="CO613" s="118" t="str">
        <f t="shared" si="841"/>
        <v/>
      </c>
      <c r="CP613" s="118" t="str">
        <f t="shared" si="842"/>
        <v/>
      </c>
      <c r="CQ613" s="119" t="str">
        <f t="shared" si="799"/>
        <v/>
      </c>
      <c r="CR613" s="66" t="str">
        <f>+IF($W613="","",ROUND((VLOOKUP(Parámetros!$F$51,'COBERTURAS ADICIONALES'!$S$4:$T$32,2,FALSE)*(1+i/frec)^-0.5*(1+Parámetros!$D$103)*(1+rec_fracc)/frec*$CO$42),2))</f>
        <v/>
      </c>
      <c r="CS613" s="119" t="str">
        <f t="shared" si="800"/>
        <v/>
      </c>
      <c r="CT613" s="66" t="str">
        <f>+IF($W613="","",ROUND(IF($B613&gt;Parámetros!$D$107,'Tablas Servicio'!CR613+('Tablas Servicio'!CT612-'Tablas Servicio'!CR612),CR613/(1-IF(B613&lt;=10,Parámetros!$D$100,0))),2))</f>
        <v/>
      </c>
      <c r="CU613" s="66" t="str">
        <f t="shared" si="801"/>
        <v/>
      </c>
      <c r="CV613" s="66" t="str">
        <f t="shared" si="801"/>
        <v/>
      </c>
      <c r="CW613" s="66" t="str">
        <f>+IF($W613="","",ROUND((CT613*Parámetros!$G$85),2))</f>
        <v/>
      </c>
      <c r="CX613" s="66" t="str">
        <f>+IF($W613="","",ROUND((CT613*(Parámetros!$G$86)),2))</f>
        <v/>
      </c>
      <c r="CY613" s="66" t="str">
        <f t="shared" si="802"/>
        <v/>
      </c>
      <c r="CZ613" t="str">
        <f t="shared" si="843"/>
        <v/>
      </c>
      <c r="DA613" s="118" t="str">
        <f t="shared" si="844"/>
        <v/>
      </c>
      <c r="DB613" s="118" t="str">
        <f t="shared" si="845"/>
        <v/>
      </c>
      <c r="DC613" s="118" t="str">
        <f t="shared" si="846"/>
        <v/>
      </c>
      <c r="DD613" s="121" t="str">
        <f>+IF(OR($W613="",DB613=0),"",ROUND((VLOOKUP(ROUNDDOWN($D613-1/frec,0),cob_adi,CO$40,FALSE)*(1+i/frec)^-0.5*(1+Parámetros!$D$103)*(1+rec_fracc)/frec),6))</f>
        <v/>
      </c>
      <c r="DE613" s="66" t="str">
        <f t="shared" si="803"/>
        <v/>
      </c>
      <c r="DF613" s="119" t="str">
        <f t="shared" si="804"/>
        <v/>
      </c>
      <c r="DG613" s="66" t="str">
        <f>+IF($W613="","",ROUND(IF($B613&gt;Parámetros!$D$107,'Tablas Servicio'!DE613+('Tablas Servicio'!DG612-'Tablas Servicio'!DE612),DE613/(1-IF(B613&lt;=10,Parámetros!$D$100,0))),2))</f>
        <v/>
      </c>
      <c r="DH613" s="66" t="str">
        <f t="shared" si="805"/>
        <v/>
      </c>
      <c r="DI613" s="66" t="str">
        <f t="shared" si="805"/>
        <v/>
      </c>
      <c r="DJ613" s="66" t="str">
        <f>+IF($W613="","",ROUND((DG613*Parámetros!$G$85),2))</f>
        <v/>
      </c>
      <c r="DK613" s="66" t="str">
        <f>+IF($W613="","",ROUND((DG613*(Parámetros!$G$86)),2))</f>
        <v/>
      </c>
      <c r="DL613" s="66" t="str">
        <f t="shared" si="806"/>
        <v/>
      </c>
      <c r="DM613" t="str">
        <f t="shared" si="847"/>
        <v/>
      </c>
      <c r="DN613" s="118" t="str">
        <f t="shared" si="848"/>
        <v/>
      </c>
      <c r="DO613" s="118" t="str">
        <f t="shared" si="849"/>
        <v/>
      </c>
      <c r="DP613" s="118" t="str">
        <f t="shared" si="850"/>
        <v/>
      </c>
      <c r="DQ613" s="122" t="str">
        <f>+IF(OR($W613="",DO613=0),"",ROUND((VLOOKUP(ROUNDDOWN($D613-1/frec,0),cob_adi,DB$40,FALSE)*(1+i/frec)^-0.5*(1+Parámetros!$D$103)*(1+rec_fracc)/frec),6))</f>
        <v/>
      </c>
      <c r="DR613" s="66" t="str">
        <f t="shared" si="807"/>
        <v/>
      </c>
      <c r="DS613" s="68" t="str">
        <f t="shared" si="808"/>
        <v/>
      </c>
      <c r="DT613" s="66" t="str">
        <f>+IF($W613="","",ROUND(IF($B613&gt;Parámetros!$D$107,'Tablas Servicio'!DR613+('Tablas Servicio'!DT612-'Tablas Servicio'!DR612),DR613/(1-IF(B613&lt;=10,Parámetros!$D$100,0))),2))</f>
        <v/>
      </c>
      <c r="DU613" s="66" t="str">
        <f t="shared" si="809"/>
        <v/>
      </c>
      <c r="DV613" s="66" t="str">
        <f t="shared" si="809"/>
        <v/>
      </c>
      <c r="DW613" s="66" t="str">
        <f>+IF($W613="","",ROUND((DT613*Parámetros!$G$85),2))</f>
        <v/>
      </c>
      <c r="DX613" s="66" t="str">
        <f>+IF($W613="","",ROUND((DT613*(Parámetros!$G$86)),2))</f>
        <v/>
      </c>
      <c r="DY613" s="66" t="str">
        <f t="shared" si="810"/>
        <v/>
      </c>
      <c r="DZ613" t="str">
        <f t="shared" si="853"/>
        <v/>
      </c>
      <c r="EA613" s="118" t="str">
        <f t="shared" si="853"/>
        <v/>
      </c>
      <c r="EB613" s="118" t="str">
        <f>+IF($W613="","",ROUND(IF(Parámetros!$D$25='TABLAS MORT'!$V$33,EB612,Z613/2),0))</f>
        <v/>
      </c>
      <c r="EC613" s="118" t="str">
        <f t="shared" si="853"/>
        <v/>
      </c>
      <c r="ED613" s="122" t="str">
        <f>+IF(OR($W613="",EB613=0),"",ROUND((VLOOKUP(ROUNDDOWN($D613-1/frec,0),cob_adi,DO$40,FALSE)*(1+i/frec)^-0.5*(1+Parámetros!$D$103)*(1+rec_fracc)/frec),6))</f>
        <v/>
      </c>
      <c r="EE613" s="66" t="str">
        <f t="shared" si="812"/>
        <v/>
      </c>
      <c r="EF613" s="68" t="str">
        <f t="shared" si="813"/>
        <v/>
      </c>
      <c r="EG613" s="66" t="str">
        <f>+IF($W613="","",ROUND(IF($B613&gt;Parámetros!$D$107,'Tablas Servicio'!EE613+('Tablas Servicio'!EG612-'Tablas Servicio'!EE612),EE613/(1-IF(B613&lt;=10,Parámetros!$D$100,0))),2))</f>
        <v/>
      </c>
      <c r="EH613" s="66" t="str">
        <f t="shared" si="814"/>
        <v/>
      </c>
      <c r="EI613" s="66" t="str">
        <f t="shared" si="814"/>
        <v/>
      </c>
      <c r="EJ613" s="66" t="str">
        <f>+IF($W613="","",ROUND((EG613*Parámetros!$G$85),2))</f>
        <v/>
      </c>
      <c r="EK613" s="66" t="str">
        <f>+IF($W613="","",ROUND((EG613*(Parámetros!$G$86)),2))</f>
        <v/>
      </c>
      <c r="EL613" s="66" t="str">
        <f t="shared" si="815"/>
        <v/>
      </c>
    </row>
    <row r="614" spans="1:142" x14ac:dyDescent="0.25">
      <c r="A614" t="str">
        <f>+IF($C614="","",ROUND(VLOOKUP('Tablas Servicio'!B614,Parámetros!$H$100:$J$159,IF(Parámetros!$E$16="F",2,3),FALSE),2))</f>
        <v/>
      </c>
      <c r="B614" t="str">
        <f t="shared" si="766"/>
        <v/>
      </c>
      <c r="C614" s="57" t="str">
        <f>+IF(D614="","",'Tablas Servicio'!C613+1)</f>
        <v/>
      </c>
      <c r="D614" s="56" t="str">
        <f>+IF(D613&lt;edadmaxtabla,D613+1/Parámetros!$E$25,"")</f>
        <v/>
      </c>
      <c r="E614" s="57" t="str">
        <f t="shared" si="776"/>
        <v/>
      </c>
      <c r="F614" s="59" t="str">
        <f t="shared" si="777"/>
        <v/>
      </c>
      <c r="G614" s="66" t="str">
        <f t="shared" si="767"/>
        <v/>
      </c>
      <c r="H614" s="66" t="str">
        <f t="shared" si="768"/>
        <v/>
      </c>
      <c r="I614" s="66" t="str">
        <f t="shared" si="816"/>
        <v/>
      </c>
      <c r="J614" s="66" t="str">
        <f t="shared" si="769"/>
        <v/>
      </c>
      <c r="K614" s="66" t="str">
        <f t="shared" si="770"/>
        <v/>
      </c>
      <c r="L614" s="66" t="str">
        <f t="shared" si="771"/>
        <v/>
      </c>
      <c r="M614" s="66" t="str">
        <f t="shared" si="772"/>
        <v/>
      </c>
      <c r="N614" s="66" t="str">
        <f>+IF(C614="","",ROUND(Parámetros!$D$23,2))</f>
        <v/>
      </c>
      <c r="O614" s="66" t="str">
        <f t="shared" si="773"/>
        <v/>
      </c>
      <c r="P614" s="66" t="str">
        <f>+IF($C614="","",ROUND(IF(B614&gt;Parámetros!$D$117,0,N614*Parámetros!$D$116-G614*Parámetros!$D$100),2))</f>
        <v/>
      </c>
      <c r="Q614" s="75" t="str">
        <f t="shared" si="817"/>
        <v/>
      </c>
      <c r="R614" s="75" t="str">
        <f t="shared" si="818"/>
        <v/>
      </c>
      <c r="S614" s="117" t="str">
        <f>+IF($C614="","",ROUND((S613+I614)*(1+Parámetros!$D$91),2))</f>
        <v/>
      </c>
      <c r="T614" s="117" t="str">
        <f>+IF($C614="","",ROUND(S614*VLOOKUP(B614,Parámetros!$C$30:$D$39,2,TRUE),2))</f>
        <v/>
      </c>
      <c r="U614" s="117" t="str">
        <f>+IF($C614="","",ROUND((U613+I614)*(1+Parámetros!$D$92),2))</f>
        <v/>
      </c>
      <c r="V614" s="117" t="str">
        <f>+IF($C614="","",ROUND(U614*VLOOKUP(B614,Parámetros!$C$30:$D$39,2,TRUE),2))</f>
        <v/>
      </c>
      <c r="W614" s="57" t="str">
        <f t="shared" si="819"/>
        <v/>
      </c>
      <c r="X614" t="str">
        <f t="shared" si="820"/>
        <v/>
      </c>
      <c r="Y614" t="str">
        <f t="shared" si="821"/>
        <v/>
      </c>
      <c r="Z614" s="118" t="str">
        <f>+IF($W614="","",ROUND(IF(Parámetros!$D$25='TABLAS MORT'!$V$33,Z613,Parámetros!$D$21-'Tablas Servicio'!T613),0))</f>
        <v/>
      </c>
      <c r="AA614" s="118" t="str">
        <f t="shared" si="822"/>
        <v/>
      </c>
      <c r="AB614" s="119" t="str">
        <f>+IF(W614="","",ROUND((VLOOKUP(ROUNDDOWN($D614-1/frec,0),qx_tabla,2,FALSE)*(1+i/frec)^-0.5*(1+Parámetros!$D$103)*(1+rec_fracc)/frec),6))</f>
        <v/>
      </c>
      <c r="AC614" s="66" t="str">
        <f t="shared" si="778"/>
        <v/>
      </c>
      <c r="AD614" s="119" t="str">
        <f t="shared" si="774"/>
        <v/>
      </c>
      <c r="AE614" s="66" t="str">
        <f>+IF($W614="","",ROUND(IF($B614&gt;Parámetros!$D$107,'Tablas Servicio'!AC614+('Tablas Servicio'!AG613-'Tablas Servicio'!AC613),AC614/(1-IF(B614&lt;=10,Parámetros!$D$104,Parámetros!$D$105))),2))</f>
        <v/>
      </c>
      <c r="AF614" s="66" t="str">
        <f>+IF($W614="","",ROUND(IF($B614&gt;Parámetros!$D$107,'Tablas Servicio'!AC614+('Tablas Servicio'!AG613-'Tablas Servicio'!AC613),(AC614+$A613/frec)/(1-IF(B614&lt;=Parámetros!$D$117,Parámetros!$D$100,0))),2))</f>
        <v/>
      </c>
      <c r="AG614" s="66" t="str">
        <f t="shared" si="779"/>
        <v/>
      </c>
      <c r="AH614" s="66" t="str">
        <f t="shared" si="780"/>
        <v/>
      </c>
      <c r="AI614" s="66" t="str">
        <f t="shared" si="781"/>
        <v/>
      </c>
      <c r="AJ614" s="66" t="str">
        <f>+IF($W614="","",ROUND((AG614*Parámetros!$G$85),2))</f>
        <v/>
      </c>
      <c r="AK614" s="66" t="str">
        <f>+IF($W614="","",ROUND((AG614*(Parámetros!$G$86)),2))</f>
        <v/>
      </c>
      <c r="AL614" s="66" t="str">
        <f t="shared" si="775"/>
        <v/>
      </c>
      <c r="AM614" t="str">
        <f t="shared" si="823"/>
        <v/>
      </c>
      <c r="AN614" t="str">
        <f t="shared" si="824"/>
        <v/>
      </c>
      <c r="AO614" s="118" t="str">
        <f t="shared" si="825"/>
        <v/>
      </c>
      <c r="AP614" s="118" t="str">
        <f t="shared" si="826"/>
        <v/>
      </c>
      <c r="AQ614" s="119" t="str">
        <f>+IF(OR($W614="",AO614=0),"",ROUND((VLOOKUP(ROUNDDOWN($D614-1/frec,0),cob_adi,Z$40,FALSE)*(1+i/frec)^-0.5*(1+Parámetros!$D$103)*(1+rec_fracc)/frec),6))</f>
        <v/>
      </c>
      <c r="AR614" s="66" t="str">
        <f t="shared" si="782"/>
        <v/>
      </c>
      <c r="AS614" s="119" t="str">
        <f t="shared" si="783"/>
        <v/>
      </c>
      <c r="AT614" s="66" t="str">
        <f>+IF($W614="","",ROUND(IF($B614&gt;Parámetros!$D$107,'Tablas Servicio'!AR614+('Tablas Servicio'!AT613-'Tablas Servicio'!AR613),AR614/(1-IF(B614&lt;=10,Parámetros!$D$100,0))),2))</f>
        <v/>
      </c>
      <c r="AU614" s="66" t="str">
        <f t="shared" si="784"/>
        <v/>
      </c>
      <c r="AV614" s="66" t="str">
        <f t="shared" si="784"/>
        <v/>
      </c>
      <c r="AW614" s="66" t="str">
        <f>+IF($W614="","",ROUND((AT614*Parámetros!$G$85),2))</f>
        <v/>
      </c>
      <c r="AX614" s="66" t="str">
        <f>+IF($W614="","",ROUND((AT614*(Parámetros!$G$86)),2))</f>
        <v/>
      </c>
      <c r="AY614" s="66" t="str">
        <f t="shared" si="785"/>
        <v/>
      </c>
      <c r="AZ614" t="str">
        <f t="shared" si="827"/>
        <v/>
      </c>
      <c r="BA614" t="str">
        <f t="shared" si="828"/>
        <v/>
      </c>
      <c r="BB614" s="118" t="str">
        <f t="shared" si="829"/>
        <v/>
      </c>
      <c r="BC614" s="118" t="str">
        <f t="shared" si="830"/>
        <v/>
      </c>
      <c r="BD614" s="119" t="str">
        <f>+IF(OR($W614="",BB614=0),"",ROUND((VLOOKUP(ROUNDDOWN($D614-1/frec,0),cob_adi,AO$40,FALSE)*(1+i/frec)^-0.5*(1+Parámetros!$D$103)*(1+rec_fracc)/frec),6))</f>
        <v/>
      </c>
      <c r="BE614" s="66" t="str">
        <f t="shared" si="786"/>
        <v/>
      </c>
      <c r="BF614" s="119" t="str">
        <f t="shared" si="787"/>
        <v/>
      </c>
      <c r="BG614" s="66" t="str">
        <f>+IF($W614="","",ROUND(IF($B614&gt;Parámetros!$D$107,'Tablas Servicio'!BE614+('Tablas Servicio'!BG613-'Tablas Servicio'!BE613),BE614/(1-IF(B614&lt;=10,Parámetros!$D$100,0))),2))</f>
        <v/>
      </c>
      <c r="BH614" s="66" t="str">
        <f t="shared" si="788"/>
        <v/>
      </c>
      <c r="BI614" s="66" t="str">
        <f t="shared" si="789"/>
        <v/>
      </c>
      <c r="BJ614" s="66" t="str">
        <f>+IF($W614="","",ROUND((BG614*Parámetros!$G$85),2))</f>
        <v/>
      </c>
      <c r="BK614" s="66" t="str">
        <f>+IF($W614="","",ROUND((BG614*(Parámetros!$G$86)),2))</f>
        <v/>
      </c>
      <c r="BL614" s="66" t="str">
        <f t="shared" si="790"/>
        <v/>
      </c>
      <c r="BM614" t="str">
        <f t="shared" si="831"/>
        <v/>
      </c>
      <c r="BN614" t="str">
        <f t="shared" si="832"/>
        <v/>
      </c>
      <c r="BO614" s="118" t="str">
        <f t="shared" si="833"/>
        <v/>
      </c>
      <c r="BP614" s="118" t="str">
        <f t="shared" si="834"/>
        <v/>
      </c>
      <c r="BQ614" s="119" t="str">
        <f>+IF(OR($W614="",BO614=0),"",ROUND((VLOOKUP(ROUNDDOWN($D614-1/frec,0),cob_adi,BB$40,FALSE)*(1+i/frec)^-0.5*(1+Parámetros!$D$103)*(1+rec_fracc)/frec),6))</f>
        <v/>
      </c>
      <c r="BR614" s="66" t="str">
        <f t="shared" si="791"/>
        <v/>
      </c>
      <c r="BS614" s="119" t="str">
        <f t="shared" si="792"/>
        <v/>
      </c>
      <c r="BT614" s="66" t="str">
        <f>+IF($W614="","",ROUND(IF($B614&gt;Parámetros!$D$107,'Tablas Servicio'!BR614+('Tablas Servicio'!BT613-'Tablas Servicio'!BR613),BR614/(1-IF(B614&lt;=10,Parámetros!$D$100,0))),2))</f>
        <v/>
      </c>
      <c r="BU614" s="66" t="str">
        <f t="shared" si="793"/>
        <v/>
      </c>
      <c r="BV614" s="66" t="str">
        <f t="shared" si="793"/>
        <v/>
      </c>
      <c r="BW614" s="66" t="str">
        <f>+IF($W614="","",ROUND((BT614*Parámetros!$G$85),2))</f>
        <v/>
      </c>
      <c r="BX614" s="66" t="str">
        <f>+IF($W614="","",ROUND((BT614*(Parámetros!$G$86)),2))</f>
        <v/>
      </c>
      <c r="BY614" s="66" t="str">
        <f t="shared" si="794"/>
        <v/>
      </c>
      <c r="BZ614" t="str">
        <f t="shared" si="835"/>
        <v/>
      </c>
      <c r="CA614" t="str">
        <f t="shared" si="836"/>
        <v/>
      </c>
      <c r="CB614" s="118" t="str">
        <f t="shared" si="837"/>
        <v/>
      </c>
      <c r="CC614" s="118" t="str">
        <f t="shared" si="838"/>
        <v/>
      </c>
      <c r="CD614" s="119" t="str">
        <f t="shared" si="795"/>
        <v/>
      </c>
      <c r="CE614" s="66" t="str">
        <f>+IF($W614="","",ROUND((VLOOKUP(ROUNDDOWN($D614-1/frec,0),cob_adi,BO$40,FALSE)*(1+i/frec)^-0.5*(1+Parámetros!$D$103)*(1+rec_fracc)/frec*'TABLAS ADI'!$BC$17),2))</f>
        <v/>
      </c>
      <c r="CF614" s="119" t="str">
        <f t="shared" si="796"/>
        <v/>
      </c>
      <c r="CG614" s="66" t="str">
        <f>+IF($W614="","",ROUND(IF($B614&gt;Parámetros!$D$107,'Tablas Servicio'!CE614+('Tablas Servicio'!CG613-'Tablas Servicio'!CE613),CE614/(1-IF(B614&lt;=10,Parámetros!$D$100,0))),2))</f>
        <v/>
      </c>
      <c r="CH614" s="66" t="str">
        <f t="shared" si="797"/>
        <v/>
      </c>
      <c r="CI614" s="66" t="str">
        <f t="shared" si="797"/>
        <v/>
      </c>
      <c r="CJ614" s="66" t="str">
        <f>+IF($W614="","",ROUND((CG614*Parámetros!$G$85),2))</f>
        <v/>
      </c>
      <c r="CK614" s="66" t="str">
        <f>+IF($W614="","",ROUND((CG614*(Parámetros!$G$86)),2))</f>
        <v/>
      </c>
      <c r="CL614" s="66" t="str">
        <f t="shared" si="798"/>
        <v/>
      </c>
      <c r="CM614" t="str">
        <f t="shared" si="839"/>
        <v/>
      </c>
      <c r="CN614" s="118" t="str">
        <f t="shared" si="840"/>
        <v/>
      </c>
      <c r="CO614" s="118" t="str">
        <f t="shared" si="841"/>
        <v/>
      </c>
      <c r="CP614" s="118" t="str">
        <f t="shared" si="842"/>
        <v/>
      </c>
      <c r="CQ614" s="119" t="str">
        <f t="shared" si="799"/>
        <v/>
      </c>
      <c r="CR614" s="66" t="str">
        <f>+IF($W614="","",ROUND((VLOOKUP(Parámetros!$F$51,'COBERTURAS ADICIONALES'!$S$4:$T$32,2,FALSE)*(1+i/frec)^-0.5*(1+Parámetros!$D$103)*(1+rec_fracc)/frec*$CO$42),2))</f>
        <v/>
      </c>
      <c r="CS614" s="119" t="str">
        <f t="shared" si="800"/>
        <v/>
      </c>
      <c r="CT614" s="66" t="str">
        <f>+IF($W614="","",ROUND(IF($B614&gt;Parámetros!$D$107,'Tablas Servicio'!CR614+('Tablas Servicio'!CT613-'Tablas Servicio'!CR613),CR614/(1-IF(B614&lt;=10,Parámetros!$D$100,0))),2))</f>
        <v/>
      </c>
      <c r="CU614" s="66" t="str">
        <f t="shared" si="801"/>
        <v/>
      </c>
      <c r="CV614" s="66" t="str">
        <f t="shared" si="801"/>
        <v/>
      </c>
      <c r="CW614" s="66" t="str">
        <f>+IF($W614="","",ROUND((CT614*Parámetros!$G$85),2))</f>
        <v/>
      </c>
      <c r="CX614" s="66" t="str">
        <f>+IF($W614="","",ROUND((CT614*(Parámetros!$G$86)),2))</f>
        <v/>
      </c>
      <c r="CY614" s="66" t="str">
        <f t="shared" si="802"/>
        <v/>
      </c>
      <c r="CZ614" t="str">
        <f t="shared" si="843"/>
        <v/>
      </c>
      <c r="DA614" s="118" t="str">
        <f t="shared" si="844"/>
        <v/>
      </c>
      <c r="DB614" s="118" t="str">
        <f t="shared" si="845"/>
        <v/>
      </c>
      <c r="DC614" s="118" t="str">
        <f t="shared" si="846"/>
        <v/>
      </c>
      <c r="DD614" s="121" t="str">
        <f>+IF(OR($W614="",DB614=0),"",ROUND((VLOOKUP(ROUNDDOWN($D614-1/frec,0),cob_adi,CO$40,FALSE)*(1+i/frec)^-0.5*(1+Parámetros!$D$103)*(1+rec_fracc)/frec),6))</f>
        <v/>
      </c>
      <c r="DE614" s="66" t="str">
        <f t="shared" si="803"/>
        <v/>
      </c>
      <c r="DF614" s="119" t="str">
        <f t="shared" si="804"/>
        <v/>
      </c>
      <c r="DG614" s="66" t="str">
        <f>+IF($W614="","",ROUND(IF($B614&gt;Parámetros!$D$107,'Tablas Servicio'!DE614+('Tablas Servicio'!DG613-'Tablas Servicio'!DE613),DE614/(1-IF(B614&lt;=10,Parámetros!$D$100,0))),2))</f>
        <v/>
      </c>
      <c r="DH614" s="66" t="str">
        <f t="shared" si="805"/>
        <v/>
      </c>
      <c r="DI614" s="66" t="str">
        <f t="shared" si="805"/>
        <v/>
      </c>
      <c r="DJ614" s="66" t="str">
        <f>+IF($W614="","",ROUND((DG614*Parámetros!$G$85),2))</f>
        <v/>
      </c>
      <c r="DK614" s="66" t="str">
        <f>+IF($W614="","",ROUND((DG614*(Parámetros!$G$86)),2))</f>
        <v/>
      </c>
      <c r="DL614" s="66" t="str">
        <f t="shared" si="806"/>
        <v/>
      </c>
      <c r="DM614" t="str">
        <f t="shared" si="847"/>
        <v/>
      </c>
      <c r="DN614" s="118" t="str">
        <f t="shared" si="848"/>
        <v/>
      </c>
      <c r="DO614" s="118" t="str">
        <f t="shared" si="849"/>
        <v/>
      </c>
      <c r="DP614" s="118" t="str">
        <f t="shared" si="850"/>
        <v/>
      </c>
      <c r="DQ614" s="122" t="str">
        <f>+IF(OR($W614="",DO614=0),"",ROUND((VLOOKUP(ROUNDDOWN($D614-1/frec,0),cob_adi,DB$40,FALSE)*(1+i/frec)^-0.5*(1+Parámetros!$D$103)*(1+rec_fracc)/frec),6))</f>
        <v/>
      </c>
      <c r="DR614" s="66" t="str">
        <f t="shared" si="807"/>
        <v/>
      </c>
      <c r="DS614" s="68" t="str">
        <f t="shared" si="808"/>
        <v/>
      </c>
      <c r="DT614" s="66" t="str">
        <f>+IF($W614="","",ROUND(IF($B614&gt;Parámetros!$D$107,'Tablas Servicio'!DR614+('Tablas Servicio'!DT613-'Tablas Servicio'!DR613),DR614/(1-IF(B614&lt;=10,Parámetros!$D$100,0))),2))</f>
        <v/>
      </c>
      <c r="DU614" s="66" t="str">
        <f t="shared" si="809"/>
        <v/>
      </c>
      <c r="DV614" s="66" t="str">
        <f t="shared" si="809"/>
        <v/>
      </c>
      <c r="DW614" s="66" t="str">
        <f>+IF($W614="","",ROUND((DT614*Parámetros!$G$85),2))</f>
        <v/>
      </c>
      <c r="DX614" s="66" t="str">
        <f>+IF($W614="","",ROUND((DT614*(Parámetros!$G$86)),2))</f>
        <v/>
      </c>
      <c r="DY614" s="66" t="str">
        <f t="shared" si="810"/>
        <v/>
      </c>
      <c r="DZ614" t="str">
        <f t="shared" si="853"/>
        <v/>
      </c>
      <c r="EA614" s="118" t="str">
        <f t="shared" si="853"/>
        <v/>
      </c>
      <c r="EB614" s="118" t="str">
        <f>+IF($W614="","",ROUND(IF(Parámetros!$D$25='TABLAS MORT'!$V$33,EB613,Z614/2),0))</f>
        <v/>
      </c>
      <c r="EC614" s="118" t="str">
        <f t="shared" si="853"/>
        <v/>
      </c>
      <c r="ED614" s="122" t="str">
        <f>+IF(OR($W614="",EB614=0),"",ROUND((VLOOKUP(ROUNDDOWN($D614-1/frec,0),cob_adi,DO$40,FALSE)*(1+i/frec)^-0.5*(1+Parámetros!$D$103)*(1+rec_fracc)/frec),6))</f>
        <v/>
      </c>
      <c r="EE614" s="66" t="str">
        <f t="shared" si="812"/>
        <v/>
      </c>
      <c r="EF614" s="68" t="str">
        <f t="shared" si="813"/>
        <v/>
      </c>
      <c r="EG614" s="66" t="str">
        <f>+IF($W614="","",ROUND(IF($B614&gt;Parámetros!$D$107,'Tablas Servicio'!EE614+('Tablas Servicio'!EG613-'Tablas Servicio'!EE613),EE614/(1-IF(B614&lt;=10,Parámetros!$D$100,0))),2))</f>
        <v/>
      </c>
      <c r="EH614" s="66" t="str">
        <f t="shared" si="814"/>
        <v/>
      </c>
      <c r="EI614" s="66" t="str">
        <f t="shared" si="814"/>
        <v/>
      </c>
      <c r="EJ614" s="66" t="str">
        <f>+IF($W614="","",ROUND((EG614*Parámetros!$G$85),2))</f>
        <v/>
      </c>
      <c r="EK614" s="66" t="str">
        <f>+IF($W614="","",ROUND((EG614*(Parámetros!$G$86)),2))</f>
        <v/>
      </c>
      <c r="EL614" s="66" t="str">
        <f t="shared" si="815"/>
        <v/>
      </c>
    </row>
    <row r="615" spans="1:142" x14ac:dyDescent="0.25">
      <c r="A615" t="str">
        <f>+IF($C615="","",ROUND(VLOOKUP('Tablas Servicio'!B615,Parámetros!$H$100:$J$159,IF(Parámetros!$E$16="F",2,3),FALSE),2))</f>
        <v/>
      </c>
      <c r="B615" t="str">
        <f t="shared" si="766"/>
        <v/>
      </c>
      <c r="C615" s="57" t="str">
        <f>+IF(D615="","",'Tablas Servicio'!C614+1)</f>
        <v/>
      </c>
      <c r="D615" s="56" t="str">
        <f>+IF(D614&lt;edadmaxtabla,D614+1/Parámetros!$E$25,"")</f>
        <v/>
      </c>
      <c r="E615" s="57" t="str">
        <f t="shared" si="776"/>
        <v/>
      </c>
      <c r="F615" s="59" t="str">
        <f t="shared" si="777"/>
        <v/>
      </c>
      <c r="G615" s="66" t="str">
        <f t="shared" si="767"/>
        <v/>
      </c>
      <c r="H615" s="66" t="str">
        <f t="shared" si="768"/>
        <v/>
      </c>
      <c r="I615" s="66" t="str">
        <f t="shared" si="816"/>
        <v/>
      </c>
      <c r="J615" s="66" t="str">
        <f t="shared" si="769"/>
        <v/>
      </c>
      <c r="K615" s="66" t="str">
        <f t="shared" si="770"/>
        <v/>
      </c>
      <c r="L615" s="66" t="str">
        <f t="shared" si="771"/>
        <v/>
      </c>
      <c r="M615" s="66" t="str">
        <f t="shared" si="772"/>
        <v/>
      </c>
      <c r="N615" s="66" t="str">
        <f>+IF(C615="","",ROUND(Parámetros!$D$23,2))</f>
        <v/>
      </c>
      <c r="O615" s="66" t="str">
        <f t="shared" si="773"/>
        <v/>
      </c>
      <c r="P615" s="66" t="str">
        <f>+IF($C615="","",ROUND(IF(B615&gt;Parámetros!$D$117,0,N615*Parámetros!$D$116-G615*Parámetros!$D$100),2))</f>
        <v/>
      </c>
      <c r="Q615" s="75" t="str">
        <f t="shared" si="817"/>
        <v/>
      </c>
      <c r="R615" s="75" t="str">
        <f t="shared" si="818"/>
        <v/>
      </c>
      <c r="S615" s="117" t="str">
        <f>+IF($C615="","",ROUND((S614+I615)*(1+Parámetros!$D$91),2))</f>
        <v/>
      </c>
      <c r="T615" s="117" t="str">
        <f>+IF($C615="","",ROUND(S615*VLOOKUP(B615,Parámetros!$C$30:$D$39,2,TRUE),2))</f>
        <v/>
      </c>
      <c r="U615" s="117" t="str">
        <f>+IF($C615="","",ROUND((U614+I615)*(1+Parámetros!$D$92),2))</f>
        <v/>
      </c>
      <c r="V615" s="117" t="str">
        <f>+IF($C615="","",ROUND(U615*VLOOKUP(B615,Parámetros!$C$30:$D$39,2,TRUE),2))</f>
        <v/>
      </c>
      <c r="W615" s="57" t="str">
        <f t="shared" si="819"/>
        <v/>
      </c>
      <c r="X615" t="str">
        <f t="shared" si="820"/>
        <v/>
      </c>
      <c r="Y615" t="str">
        <f t="shared" si="821"/>
        <v/>
      </c>
      <c r="Z615" s="118" t="str">
        <f>+IF($W615="","",ROUND(IF(Parámetros!$D$25='TABLAS MORT'!$V$33,Z614,Parámetros!$D$21-'Tablas Servicio'!T614),0))</f>
        <v/>
      </c>
      <c r="AA615" s="118" t="str">
        <f t="shared" si="822"/>
        <v/>
      </c>
      <c r="AB615" s="119" t="str">
        <f>+IF(W615="","",ROUND((VLOOKUP(ROUNDDOWN($D615-1/frec,0),qx_tabla,2,FALSE)*(1+i/frec)^-0.5*(1+Parámetros!$D$103)*(1+rec_fracc)/frec),6))</f>
        <v/>
      </c>
      <c r="AC615" s="66" t="str">
        <f t="shared" si="778"/>
        <v/>
      </c>
      <c r="AD615" s="119" t="str">
        <f t="shared" si="774"/>
        <v/>
      </c>
      <c r="AE615" s="66" t="str">
        <f>+IF($W615="","",ROUND(IF($B615&gt;Parámetros!$D$107,'Tablas Servicio'!AC615+('Tablas Servicio'!AG614-'Tablas Servicio'!AC614),AC615/(1-IF(B615&lt;=10,Parámetros!$D$104,Parámetros!$D$105))),2))</f>
        <v/>
      </c>
      <c r="AF615" s="66" t="str">
        <f>+IF($W615="","",ROUND(IF($B615&gt;Parámetros!$D$107,'Tablas Servicio'!AC615+('Tablas Servicio'!AG614-'Tablas Servicio'!AC614),(AC615+$A614/frec)/(1-IF(B615&lt;=Parámetros!$D$117,Parámetros!$D$100,0))),2))</f>
        <v/>
      </c>
      <c r="AG615" s="66" t="str">
        <f t="shared" si="779"/>
        <v/>
      </c>
      <c r="AH615" s="66" t="str">
        <f t="shared" si="780"/>
        <v/>
      </c>
      <c r="AI615" s="66" t="str">
        <f t="shared" si="781"/>
        <v/>
      </c>
      <c r="AJ615" s="66" t="str">
        <f>+IF($W615="","",ROUND((AG615*Parámetros!$G$85),2))</f>
        <v/>
      </c>
      <c r="AK615" s="66" t="str">
        <f>+IF($W615="","",ROUND((AG615*(Parámetros!$G$86)),2))</f>
        <v/>
      </c>
      <c r="AL615" s="66" t="str">
        <f t="shared" si="775"/>
        <v/>
      </c>
      <c r="AM615" t="str">
        <f t="shared" si="823"/>
        <v/>
      </c>
      <c r="AN615" t="str">
        <f t="shared" si="824"/>
        <v/>
      </c>
      <c r="AO615" s="118" t="str">
        <f t="shared" si="825"/>
        <v/>
      </c>
      <c r="AP615" s="118" t="str">
        <f t="shared" si="826"/>
        <v/>
      </c>
      <c r="AQ615" s="119" t="str">
        <f>+IF(OR($W615="",AO615=0),"",ROUND((VLOOKUP(ROUNDDOWN($D615-1/frec,0),cob_adi,Z$40,FALSE)*(1+i/frec)^-0.5*(1+Parámetros!$D$103)*(1+rec_fracc)/frec),6))</f>
        <v/>
      </c>
      <c r="AR615" s="66" t="str">
        <f t="shared" si="782"/>
        <v/>
      </c>
      <c r="AS615" s="119" t="str">
        <f t="shared" si="783"/>
        <v/>
      </c>
      <c r="AT615" s="66" t="str">
        <f>+IF($W615="","",ROUND(IF($B615&gt;Parámetros!$D$107,'Tablas Servicio'!AR615+('Tablas Servicio'!AT614-'Tablas Servicio'!AR614),AR615/(1-IF(B615&lt;=10,Parámetros!$D$100,0))),2))</f>
        <v/>
      </c>
      <c r="AU615" s="66" t="str">
        <f t="shared" si="784"/>
        <v/>
      </c>
      <c r="AV615" s="66" t="str">
        <f t="shared" si="784"/>
        <v/>
      </c>
      <c r="AW615" s="66" t="str">
        <f>+IF($W615="","",ROUND((AT615*Parámetros!$G$85),2))</f>
        <v/>
      </c>
      <c r="AX615" s="66" t="str">
        <f>+IF($W615="","",ROUND((AT615*(Parámetros!$G$86)),2))</f>
        <v/>
      </c>
      <c r="AY615" s="66" t="str">
        <f t="shared" si="785"/>
        <v/>
      </c>
      <c r="AZ615" t="str">
        <f t="shared" si="827"/>
        <v/>
      </c>
      <c r="BA615" t="str">
        <f t="shared" si="828"/>
        <v/>
      </c>
      <c r="BB615" s="118" t="str">
        <f t="shared" si="829"/>
        <v/>
      </c>
      <c r="BC615" s="118" t="str">
        <f t="shared" si="830"/>
        <v/>
      </c>
      <c r="BD615" s="119" t="str">
        <f>+IF(OR($W615="",BB615=0),"",ROUND((VLOOKUP(ROUNDDOWN($D615-1/frec,0),cob_adi,AO$40,FALSE)*(1+i/frec)^-0.5*(1+Parámetros!$D$103)*(1+rec_fracc)/frec),6))</f>
        <v/>
      </c>
      <c r="BE615" s="66" t="str">
        <f t="shared" si="786"/>
        <v/>
      </c>
      <c r="BF615" s="119" t="str">
        <f t="shared" si="787"/>
        <v/>
      </c>
      <c r="BG615" s="66" t="str">
        <f>+IF($W615="","",ROUND(IF($B615&gt;Parámetros!$D$107,'Tablas Servicio'!BE615+('Tablas Servicio'!BG614-'Tablas Servicio'!BE614),BE615/(1-IF(B615&lt;=10,Parámetros!$D$100,0))),2))</f>
        <v/>
      </c>
      <c r="BH615" s="66" t="str">
        <f t="shared" si="788"/>
        <v/>
      </c>
      <c r="BI615" s="66" t="str">
        <f t="shared" si="789"/>
        <v/>
      </c>
      <c r="BJ615" s="66" t="str">
        <f>+IF($W615="","",ROUND((BG615*Parámetros!$G$85),2))</f>
        <v/>
      </c>
      <c r="BK615" s="66" t="str">
        <f>+IF($W615="","",ROUND((BG615*(Parámetros!$G$86)),2))</f>
        <v/>
      </c>
      <c r="BL615" s="66" t="str">
        <f t="shared" si="790"/>
        <v/>
      </c>
      <c r="BM615" t="str">
        <f t="shared" si="831"/>
        <v/>
      </c>
      <c r="BN615" t="str">
        <f t="shared" si="832"/>
        <v/>
      </c>
      <c r="BO615" s="118" t="str">
        <f t="shared" si="833"/>
        <v/>
      </c>
      <c r="BP615" s="118" t="str">
        <f t="shared" si="834"/>
        <v/>
      </c>
      <c r="BQ615" s="119" t="str">
        <f>+IF(OR($W615="",BO615=0),"",ROUND((VLOOKUP(ROUNDDOWN($D615-1/frec,0),cob_adi,BB$40,FALSE)*(1+i/frec)^-0.5*(1+Parámetros!$D$103)*(1+rec_fracc)/frec),6))</f>
        <v/>
      </c>
      <c r="BR615" s="66" t="str">
        <f t="shared" si="791"/>
        <v/>
      </c>
      <c r="BS615" s="119" t="str">
        <f t="shared" si="792"/>
        <v/>
      </c>
      <c r="BT615" s="66" t="str">
        <f>+IF($W615="","",ROUND(IF($B615&gt;Parámetros!$D$107,'Tablas Servicio'!BR615+('Tablas Servicio'!BT614-'Tablas Servicio'!BR614),BR615/(1-IF(B615&lt;=10,Parámetros!$D$100,0))),2))</f>
        <v/>
      </c>
      <c r="BU615" s="66" t="str">
        <f t="shared" si="793"/>
        <v/>
      </c>
      <c r="BV615" s="66" t="str">
        <f t="shared" si="793"/>
        <v/>
      </c>
      <c r="BW615" s="66" t="str">
        <f>+IF($W615="","",ROUND((BT615*Parámetros!$G$85),2))</f>
        <v/>
      </c>
      <c r="BX615" s="66" t="str">
        <f>+IF($W615="","",ROUND((BT615*(Parámetros!$G$86)),2))</f>
        <v/>
      </c>
      <c r="BY615" s="66" t="str">
        <f t="shared" si="794"/>
        <v/>
      </c>
      <c r="BZ615" t="str">
        <f t="shared" si="835"/>
        <v/>
      </c>
      <c r="CA615" t="str">
        <f t="shared" si="836"/>
        <v/>
      </c>
      <c r="CB615" s="118" t="str">
        <f t="shared" si="837"/>
        <v/>
      </c>
      <c r="CC615" s="118" t="str">
        <f t="shared" si="838"/>
        <v/>
      </c>
      <c r="CD615" s="119" t="str">
        <f t="shared" si="795"/>
        <v/>
      </c>
      <c r="CE615" s="66" t="str">
        <f>+IF($W615="","",ROUND((VLOOKUP(ROUNDDOWN($D615-1/frec,0),cob_adi,BO$40,FALSE)*(1+i/frec)^-0.5*(1+Parámetros!$D$103)*(1+rec_fracc)/frec*'TABLAS ADI'!$BC$17),2))</f>
        <v/>
      </c>
      <c r="CF615" s="119" t="str">
        <f t="shared" si="796"/>
        <v/>
      </c>
      <c r="CG615" s="66" t="str">
        <f>+IF($W615="","",ROUND(IF($B615&gt;Parámetros!$D$107,'Tablas Servicio'!CE615+('Tablas Servicio'!CG614-'Tablas Servicio'!CE614),CE615/(1-IF(B615&lt;=10,Parámetros!$D$100,0))),2))</f>
        <v/>
      </c>
      <c r="CH615" s="66" t="str">
        <f t="shared" si="797"/>
        <v/>
      </c>
      <c r="CI615" s="66" t="str">
        <f t="shared" si="797"/>
        <v/>
      </c>
      <c r="CJ615" s="66" t="str">
        <f>+IF($W615="","",ROUND((CG615*Parámetros!$G$85),2))</f>
        <v/>
      </c>
      <c r="CK615" s="66" t="str">
        <f>+IF($W615="","",ROUND((CG615*(Parámetros!$G$86)),2))</f>
        <v/>
      </c>
      <c r="CL615" s="66" t="str">
        <f t="shared" si="798"/>
        <v/>
      </c>
      <c r="CM615" t="str">
        <f t="shared" si="839"/>
        <v/>
      </c>
      <c r="CN615" s="118" t="str">
        <f t="shared" si="840"/>
        <v/>
      </c>
      <c r="CO615" s="118" t="str">
        <f t="shared" si="841"/>
        <v/>
      </c>
      <c r="CP615" s="118" t="str">
        <f t="shared" si="842"/>
        <v/>
      </c>
      <c r="CQ615" s="119" t="str">
        <f t="shared" si="799"/>
        <v/>
      </c>
      <c r="CR615" s="66" t="str">
        <f>+IF($W615="","",ROUND((VLOOKUP(Parámetros!$F$51,'COBERTURAS ADICIONALES'!$S$4:$T$32,2,FALSE)*(1+i/frec)^-0.5*(1+Parámetros!$D$103)*(1+rec_fracc)/frec*$CO$42),2))</f>
        <v/>
      </c>
      <c r="CS615" s="119" t="str">
        <f t="shared" si="800"/>
        <v/>
      </c>
      <c r="CT615" s="66" t="str">
        <f>+IF($W615="","",ROUND(IF($B615&gt;Parámetros!$D$107,'Tablas Servicio'!CR615+('Tablas Servicio'!CT614-'Tablas Servicio'!CR614),CR615/(1-IF(B615&lt;=10,Parámetros!$D$100,0))),2))</f>
        <v/>
      </c>
      <c r="CU615" s="66" t="str">
        <f t="shared" si="801"/>
        <v/>
      </c>
      <c r="CV615" s="66" t="str">
        <f t="shared" si="801"/>
        <v/>
      </c>
      <c r="CW615" s="66" t="str">
        <f>+IF($W615="","",ROUND((CT615*Parámetros!$G$85),2))</f>
        <v/>
      </c>
      <c r="CX615" s="66" t="str">
        <f>+IF($W615="","",ROUND((CT615*(Parámetros!$G$86)),2))</f>
        <v/>
      </c>
      <c r="CY615" s="66" t="str">
        <f t="shared" si="802"/>
        <v/>
      </c>
      <c r="CZ615" t="str">
        <f t="shared" si="843"/>
        <v/>
      </c>
      <c r="DA615" s="118" t="str">
        <f t="shared" si="844"/>
        <v/>
      </c>
      <c r="DB615" s="118" t="str">
        <f t="shared" si="845"/>
        <v/>
      </c>
      <c r="DC615" s="118" t="str">
        <f t="shared" si="846"/>
        <v/>
      </c>
      <c r="DD615" s="121" t="str">
        <f>+IF(OR($W615="",DB615=0),"",ROUND((VLOOKUP(ROUNDDOWN($D615-1/frec,0),cob_adi,CO$40,FALSE)*(1+i/frec)^-0.5*(1+Parámetros!$D$103)*(1+rec_fracc)/frec),6))</f>
        <v/>
      </c>
      <c r="DE615" s="66" t="str">
        <f t="shared" si="803"/>
        <v/>
      </c>
      <c r="DF615" s="119" t="str">
        <f t="shared" si="804"/>
        <v/>
      </c>
      <c r="DG615" s="66" t="str">
        <f>+IF($W615="","",ROUND(IF($B615&gt;Parámetros!$D$107,'Tablas Servicio'!DE615+('Tablas Servicio'!DG614-'Tablas Servicio'!DE614),DE615/(1-IF(B615&lt;=10,Parámetros!$D$100,0))),2))</f>
        <v/>
      </c>
      <c r="DH615" s="66" t="str">
        <f t="shared" si="805"/>
        <v/>
      </c>
      <c r="DI615" s="66" t="str">
        <f t="shared" si="805"/>
        <v/>
      </c>
      <c r="DJ615" s="66" t="str">
        <f>+IF($W615="","",ROUND((DG615*Parámetros!$G$85),2))</f>
        <v/>
      </c>
      <c r="DK615" s="66" t="str">
        <f>+IF($W615="","",ROUND((DG615*(Parámetros!$G$86)),2))</f>
        <v/>
      </c>
      <c r="DL615" s="66" t="str">
        <f t="shared" si="806"/>
        <v/>
      </c>
      <c r="DM615" t="str">
        <f t="shared" si="847"/>
        <v/>
      </c>
      <c r="DN615" s="118" t="str">
        <f t="shared" si="848"/>
        <v/>
      </c>
      <c r="DO615" s="118" t="str">
        <f t="shared" si="849"/>
        <v/>
      </c>
      <c r="DP615" s="118" t="str">
        <f t="shared" si="850"/>
        <v/>
      </c>
      <c r="DQ615" s="122" t="str">
        <f>+IF(OR($W615="",DO615=0),"",ROUND((VLOOKUP(ROUNDDOWN($D615-1/frec,0),cob_adi,DB$40,FALSE)*(1+i/frec)^-0.5*(1+Parámetros!$D$103)*(1+rec_fracc)/frec),6))</f>
        <v/>
      </c>
      <c r="DR615" s="66" t="str">
        <f t="shared" si="807"/>
        <v/>
      </c>
      <c r="DS615" s="68" t="str">
        <f t="shared" si="808"/>
        <v/>
      </c>
      <c r="DT615" s="66" t="str">
        <f>+IF($W615="","",ROUND(IF($B615&gt;Parámetros!$D$107,'Tablas Servicio'!DR615+('Tablas Servicio'!DT614-'Tablas Servicio'!DR614),DR615/(1-IF(B615&lt;=10,Parámetros!$D$100,0))),2))</f>
        <v/>
      </c>
      <c r="DU615" s="66" t="str">
        <f t="shared" si="809"/>
        <v/>
      </c>
      <c r="DV615" s="66" t="str">
        <f t="shared" si="809"/>
        <v/>
      </c>
      <c r="DW615" s="66" t="str">
        <f>+IF($W615="","",ROUND((DT615*Parámetros!$G$85),2))</f>
        <v/>
      </c>
      <c r="DX615" s="66" t="str">
        <f>+IF($W615="","",ROUND((DT615*(Parámetros!$G$86)),2))</f>
        <v/>
      </c>
      <c r="DY615" s="66" t="str">
        <f t="shared" si="810"/>
        <v/>
      </c>
      <c r="DZ615" t="str">
        <f t="shared" si="853"/>
        <v/>
      </c>
      <c r="EA615" s="118" t="str">
        <f t="shared" si="853"/>
        <v/>
      </c>
      <c r="EB615" s="118" t="str">
        <f>+IF($W615="","",ROUND(IF(Parámetros!$D$25='TABLAS MORT'!$V$33,EB614,Z615/2),0))</f>
        <v/>
      </c>
      <c r="EC615" s="118" t="str">
        <f t="shared" si="853"/>
        <v/>
      </c>
      <c r="ED615" s="122" t="str">
        <f>+IF(OR($W615="",EB615=0),"",ROUND((VLOOKUP(ROUNDDOWN($D615-1/frec,0),cob_adi,DO$40,FALSE)*(1+i/frec)^-0.5*(1+Parámetros!$D$103)*(1+rec_fracc)/frec),6))</f>
        <v/>
      </c>
      <c r="EE615" s="66" t="str">
        <f t="shared" si="812"/>
        <v/>
      </c>
      <c r="EF615" s="68" t="str">
        <f t="shared" si="813"/>
        <v/>
      </c>
      <c r="EG615" s="66" t="str">
        <f>+IF($W615="","",ROUND(IF($B615&gt;Parámetros!$D$107,'Tablas Servicio'!EE615+('Tablas Servicio'!EG614-'Tablas Servicio'!EE614),EE615/(1-IF(B615&lt;=10,Parámetros!$D$100,0))),2))</f>
        <v/>
      </c>
      <c r="EH615" s="66" t="str">
        <f t="shared" si="814"/>
        <v/>
      </c>
      <c r="EI615" s="66" t="str">
        <f t="shared" si="814"/>
        <v/>
      </c>
      <c r="EJ615" s="66" t="str">
        <f>+IF($W615="","",ROUND((EG615*Parámetros!$G$85),2))</f>
        <v/>
      </c>
      <c r="EK615" s="66" t="str">
        <f>+IF($W615="","",ROUND((EG615*(Parámetros!$G$86)),2))</f>
        <v/>
      </c>
      <c r="EL615" s="66" t="str">
        <f t="shared" si="815"/>
        <v/>
      </c>
    </row>
    <row r="616" spans="1:142" x14ac:dyDescent="0.25">
      <c r="A616" t="str">
        <f>+IF($C616="","",ROUND(VLOOKUP('Tablas Servicio'!B616,Parámetros!$H$100:$J$159,IF(Parámetros!$E$16="F",2,3),FALSE),2))</f>
        <v/>
      </c>
      <c r="B616" t="str">
        <f t="shared" si="766"/>
        <v/>
      </c>
      <c r="C616" s="57" t="str">
        <f>+IF(D616="","",'Tablas Servicio'!C615+1)</f>
        <v/>
      </c>
      <c r="D616" s="56" t="str">
        <f>+IF(D615&lt;edadmaxtabla,D615+1/Parámetros!$E$25,"")</f>
        <v/>
      </c>
      <c r="E616" s="57" t="str">
        <f t="shared" si="776"/>
        <v/>
      </c>
      <c r="F616" s="59" t="str">
        <f t="shared" si="777"/>
        <v/>
      </c>
      <c r="G616" s="66" t="str">
        <f t="shared" si="767"/>
        <v/>
      </c>
      <c r="H616" s="66" t="str">
        <f t="shared" si="768"/>
        <v/>
      </c>
      <c r="I616" s="66" t="str">
        <f t="shared" si="816"/>
        <v/>
      </c>
      <c r="J616" s="66" t="str">
        <f t="shared" si="769"/>
        <v/>
      </c>
      <c r="K616" s="66" t="str">
        <f t="shared" si="770"/>
        <v/>
      </c>
      <c r="L616" s="66" t="str">
        <f t="shared" si="771"/>
        <v/>
      </c>
      <c r="M616" s="66" t="str">
        <f t="shared" si="772"/>
        <v/>
      </c>
      <c r="N616" s="66" t="str">
        <f>+IF(C616="","",ROUND(Parámetros!$D$23,2))</f>
        <v/>
      </c>
      <c r="O616" s="66" t="str">
        <f t="shared" si="773"/>
        <v/>
      </c>
      <c r="P616" s="66" t="str">
        <f>+IF($C616="","",ROUND(IF(B616&gt;Parámetros!$D$117,0,N616*Parámetros!$D$116-G616*Parámetros!$D$100),2))</f>
        <v/>
      </c>
      <c r="Q616" s="75" t="str">
        <f t="shared" si="817"/>
        <v/>
      </c>
      <c r="R616" s="75" t="str">
        <f t="shared" si="818"/>
        <v/>
      </c>
      <c r="S616" s="117" t="str">
        <f>+IF($C616="","",ROUND((S615+I616)*(1+Parámetros!$D$91),2))</f>
        <v/>
      </c>
      <c r="T616" s="117" t="str">
        <f>+IF($C616="","",ROUND(S616*VLOOKUP(B616,Parámetros!$C$30:$D$39,2,TRUE),2))</f>
        <v/>
      </c>
      <c r="U616" s="117" t="str">
        <f>+IF($C616="","",ROUND((U615+I616)*(1+Parámetros!$D$92),2))</f>
        <v/>
      </c>
      <c r="V616" s="117" t="str">
        <f>+IF($C616="","",ROUND(U616*VLOOKUP(B616,Parámetros!$C$30:$D$39,2,TRUE),2))</f>
        <v/>
      </c>
      <c r="W616" s="57" t="str">
        <f t="shared" si="819"/>
        <v/>
      </c>
      <c r="X616" t="str">
        <f t="shared" si="820"/>
        <v/>
      </c>
      <c r="Y616" t="str">
        <f t="shared" si="821"/>
        <v/>
      </c>
      <c r="Z616" s="118" t="str">
        <f>+IF($W616="","",ROUND(IF(Parámetros!$D$25='TABLAS MORT'!$V$33,Z615,Parámetros!$D$21-'Tablas Servicio'!T615),0))</f>
        <v/>
      </c>
      <c r="AA616" s="118" t="str">
        <f t="shared" si="822"/>
        <v/>
      </c>
      <c r="AB616" s="119" t="str">
        <f>+IF(W616="","",ROUND((VLOOKUP(ROUNDDOWN($D616-1/frec,0),qx_tabla,2,FALSE)*(1+i/frec)^-0.5*(1+Parámetros!$D$103)*(1+rec_fracc)/frec),6))</f>
        <v/>
      </c>
      <c r="AC616" s="66" t="str">
        <f t="shared" si="778"/>
        <v/>
      </c>
      <c r="AD616" s="119" t="str">
        <f t="shared" si="774"/>
        <v/>
      </c>
      <c r="AE616" s="66" t="str">
        <f>+IF($W616="","",ROUND(IF($B616&gt;Parámetros!$D$107,'Tablas Servicio'!AC616+('Tablas Servicio'!AG615-'Tablas Servicio'!AC615),AC616/(1-IF(B616&lt;=10,Parámetros!$D$104,Parámetros!$D$105))),2))</f>
        <v/>
      </c>
      <c r="AF616" s="66" t="str">
        <f>+IF($W616="","",ROUND(IF($B616&gt;Parámetros!$D$107,'Tablas Servicio'!AC616+('Tablas Servicio'!AG615-'Tablas Servicio'!AC615),(AC616+$A615/frec)/(1-IF(B616&lt;=Parámetros!$D$117,Parámetros!$D$100,0))),2))</f>
        <v/>
      </c>
      <c r="AG616" s="66" t="str">
        <f t="shared" si="779"/>
        <v/>
      </c>
      <c r="AH616" s="66" t="str">
        <f t="shared" si="780"/>
        <v/>
      </c>
      <c r="AI616" s="66" t="str">
        <f t="shared" si="781"/>
        <v/>
      </c>
      <c r="AJ616" s="66" t="str">
        <f>+IF($W616="","",ROUND((AG616*Parámetros!$G$85),2))</f>
        <v/>
      </c>
      <c r="AK616" s="66" t="str">
        <f>+IF($W616="","",ROUND((AG616*(Parámetros!$G$86)),2))</f>
        <v/>
      </c>
      <c r="AL616" s="66" t="str">
        <f t="shared" si="775"/>
        <v/>
      </c>
      <c r="AM616" t="str">
        <f t="shared" si="823"/>
        <v/>
      </c>
      <c r="AN616" t="str">
        <f t="shared" si="824"/>
        <v/>
      </c>
      <c r="AO616" s="118" t="str">
        <f t="shared" si="825"/>
        <v/>
      </c>
      <c r="AP616" s="118" t="str">
        <f t="shared" si="826"/>
        <v/>
      </c>
      <c r="AQ616" s="119" t="str">
        <f>+IF(OR($W616="",AO616=0),"",ROUND((VLOOKUP(ROUNDDOWN($D616-1/frec,0),cob_adi,Z$40,FALSE)*(1+i/frec)^-0.5*(1+Parámetros!$D$103)*(1+rec_fracc)/frec),6))</f>
        <v/>
      </c>
      <c r="AR616" s="66" t="str">
        <f t="shared" si="782"/>
        <v/>
      </c>
      <c r="AS616" s="119" t="str">
        <f t="shared" si="783"/>
        <v/>
      </c>
      <c r="AT616" s="66" t="str">
        <f>+IF($W616="","",ROUND(IF($B616&gt;Parámetros!$D$107,'Tablas Servicio'!AR616+('Tablas Servicio'!AT615-'Tablas Servicio'!AR615),AR616/(1-IF(B616&lt;=10,Parámetros!$D$100,0))),2))</f>
        <v/>
      </c>
      <c r="AU616" s="66" t="str">
        <f t="shared" si="784"/>
        <v/>
      </c>
      <c r="AV616" s="66" t="str">
        <f t="shared" si="784"/>
        <v/>
      </c>
      <c r="AW616" s="66" t="str">
        <f>+IF($W616="","",ROUND((AT616*Parámetros!$G$85),2))</f>
        <v/>
      </c>
      <c r="AX616" s="66" t="str">
        <f>+IF($W616="","",ROUND((AT616*(Parámetros!$G$86)),2))</f>
        <v/>
      </c>
      <c r="AY616" s="66" t="str">
        <f t="shared" si="785"/>
        <v/>
      </c>
      <c r="AZ616" t="str">
        <f t="shared" si="827"/>
        <v/>
      </c>
      <c r="BA616" t="str">
        <f t="shared" si="828"/>
        <v/>
      </c>
      <c r="BB616" s="118" t="str">
        <f t="shared" si="829"/>
        <v/>
      </c>
      <c r="BC616" s="118" t="str">
        <f t="shared" si="830"/>
        <v/>
      </c>
      <c r="BD616" s="119" t="str">
        <f>+IF(OR($W616="",BB616=0),"",ROUND((VLOOKUP(ROUNDDOWN($D616-1/frec,0),cob_adi,AO$40,FALSE)*(1+i/frec)^-0.5*(1+Parámetros!$D$103)*(1+rec_fracc)/frec),6))</f>
        <v/>
      </c>
      <c r="BE616" s="66" t="str">
        <f t="shared" si="786"/>
        <v/>
      </c>
      <c r="BF616" s="119" t="str">
        <f t="shared" si="787"/>
        <v/>
      </c>
      <c r="BG616" s="66" t="str">
        <f>+IF($W616="","",ROUND(IF($B616&gt;Parámetros!$D$107,'Tablas Servicio'!BE616+('Tablas Servicio'!BG615-'Tablas Servicio'!BE615),BE616/(1-IF(B616&lt;=10,Parámetros!$D$100,0))),2))</f>
        <v/>
      </c>
      <c r="BH616" s="66" t="str">
        <f t="shared" si="788"/>
        <v/>
      </c>
      <c r="BI616" s="66" t="str">
        <f t="shared" si="789"/>
        <v/>
      </c>
      <c r="BJ616" s="66" t="str">
        <f>+IF($W616="","",ROUND((BG616*Parámetros!$G$85),2))</f>
        <v/>
      </c>
      <c r="BK616" s="66" t="str">
        <f>+IF($W616="","",ROUND((BG616*(Parámetros!$G$86)),2))</f>
        <v/>
      </c>
      <c r="BL616" s="66" t="str">
        <f t="shared" si="790"/>
        <v/>
      </c>
      <c r="BM616" t="str">
        <f t="shared" si="831"/>
        <v/>
      </c>
      <c r="BN616" t="str">
        <f t="shared" si="832"/>
        <v/>
      </c>
      <c r="BO616" s="118" t="str">
        <f t="shared" si="833"/>
        <v/>
      </c>
      <c r="BP616" s="118" t="str">
        <f t="shared" si="834"/>
        <v/>
      </c>
      <c r="BQ616" s="119" t="str">
        <f>+IF(OR($W616="",BO616=0),"",ROUND((VLOOKUP(ROUNDDOWN($D616-1/frec,0),cob_adi,BB$40,FALSE)*(1+i/frec)^-0.5*(1+Parámetros!$D$103)*(1+rec_fracc)/frec),6))</f>
        <v/>
      </c>
      <c r="BR616" s="66" t="str">
        <f t="shared" si="791"/>
        <v/>
      </c>
      <c r="BS616" s="119" t="str">
        <f t="shared" si="792"/>
        <v/>
      </c>
      <c r="BT616" s="66" t="str">
        <f>+IF($W616="","",ROUND(IF($B616&gt;Parámetros!$D$107,'Tablas Servicio'!BR616+('Tablas Servicio'!BT615-'Tablas Servicio'!BR615),BR616/(1-IF(B616&lt;=10,Parámetros!$D$100,0))),2))</f>
        <v/>
      </c>
      <c r="BU616" s="66" t="str">
        <f t="shared" si="793"/>
        <v/>
      </c>
      <c r="BV616" s="66" t="str">
        <f t="shared" si="793"/>
        <v/>
      </c>
      <c r="BW616" s="66" t="str">
        <f>+IF($W616="","",ROUND((BT616*Parámetros!$G$85),2))</f>
        <v/>
      </c>
      <c r="BX616" s="66" t="str">
        <f>+IF($W616="","",ROUND((BT616*(Parámetros!$G$86)),2))</f>
        <v/>
      </c>
      <c r="BY616" s="66" t="str">
        <f t="shared" si="794"/>
        <v/>
      </c>
      <c r="BZ616" t="str">
        <f t="shared" si="835"/>
        <v/>
      </c>
      <c r="CA616" t="str">
        <f t="shared" si="836"/>
        <v/>
      </c>
      <c r="CB616" s="118" t="str">
        <f t="shared" si="837"/>
        <v/>
      </c>
      <c r="CC616" s="118" t="str">
        <f t="shared" si="838"/>
        <v/>
      </c>
      <c r="CD616" s="119" t="str">
        <f t="shared" si="795"/>
        <v/>
      </c>
      <c r="CE616" s="66" t="str">
        <f>+IF($W616="","",ROUND((VLOOKUP(ROUNDDOWN($D616-1/frec,0),cob_adi,BO$40,FALSE)*(1+i/frec)^-0.5*(1+Parámetros!$D$103)*(1+rec_fracc)/frec*'TABLAS ADI'!$BC$17),2))</f>
        <v/>
      </c>
      <c r="CF616" s="119" t="str">
        <f t="shared" si="796"/>
        <v/>
      </c>
      <c r="CG616" s="66" t="str">
        <f>+IF($W616="","",ROUND(IF($B616&gt;Parámetros!$D$107,'Tablas Servicio'!CE616+('Tablas Servicio'!CG615-'Tablas Servicio'!CE615),CE616/(1-IF(B616&lt;=10,Parámetros!$D$100,0))),2))</f>
        <v/>
      </c>
      <c r="CH616" s="66" t="str">
        <f t="shared" si="797"/>
        <v/>
      </c>
      <c r="CI616" s="66" t="str">
        <f t="shared" si="797"/>
        <v/>
      </c>
      <c r="CJ616" s="66" t="str">
        <f>+IF($W616="","",ROUND((CG616*Parámetros!$G$85),2))</f>
        <v/>
      </c>
      <c r="CK616" s="66" t="str">
        <f>+IF($W616="","",ROUND((CG616*(Parámetros!$G$86)),2))</f>
        <v/>
      </c>
      <c r="CL616" s="66" t="str">
        <f t="shared" si="798"/>
        <v/>
      </c>
      <c r="CM616" t="str">
        <f t="shared" si="839"/>
        <v/>
      </c>
      <c r="CN616" s="118" t="str">
        <f t="shared" si="840"/>
        <v/>
      </c>
      <c r="CO616" s="118" t="str">
        <f t="shared" si="841"/>
        <v/>
      </c>
      <c r="CP616" s="118" t="str">
        <f t="shared" si="842"/>
        <v/>
      </c>
      <c r="CQ616" s="119" t="str">
        <f t="shared" si="799"/>
        <v/>
      </c>
      <c r="CR616" s="66" t="str">
        <f>+IF($W616="","",ROUND((VLOOKUP(Parámetros!$F$51,'COBERTURAS ADICIONALES'!$S$4:$T$32,2,FALSE)*(1+i/frec)^-0.5*(1+Parámetros!$D$103)*(1+rec_fracc)/frec*$CO$42),2))</f>
        <v/>
      </c>
      <c r="CS616" s="119" t="str">
        <f t="shared" si="800"/>
        <v/>
      </c>
      <c r="CT616" s="66" t="str">
        <f>+IF($W616="","",ROUND(IF($B616&gt;Parámetros!$D$107,'Tablas Servicio'!CR616+('Tablas Servicio'!CT615-'Tablas Servicio'!CR615),CR616/(1-IF(B616&lt;=10,Parámetros!$D$100,0))),2))</f>
        <v/>
      </c>
      <c r="CU616" s="66" t="str">
        <f t="shared" si="801"/>
        <v/>
      </c>
      <c r="CV616" s="66" t="str">
        <f t="shared" si="801"/>
        <v/>
      </c>
      <c r="CW616" s="66" t="str">
        <f>+IF($W616="","",ROUND((CT616*Parámetros!$G$85),2))</f>
        <v/>
      </c>
      <c r="CX616" s="66" t="str">
        <f>+IF($W616="","",ROUND((CT616*(Parámetros!$G$86)),2))</f>
        <v/>
      </c>
      <c r="CY616" s="66" t="str">
        <f t="shared" si="802"/>
        <v/>
      </c>
      <c r="CZ616" t="str">
        <f t="shared" si="843"/>
        <v/>
      </c>
      <c r="DA616" s="118" t="str">
        <f t="shared" si="844"/>
        <v/>
      </c>
      <c r="DB616" s="118" t="str">
        <f t="shared" si="845"/>
        <v/>
      </c>
      <c r="DC616" s="118" t="str">
        <f t="shared" si="846"/>
        <v/>
      </c>
      <c r="DD616" s="121" t="str">
        <f>+IF(OR($W616="",DB616=0),"",ROUND((VLOOKUP(ROUNDDOWN($D616-1/frec,0),cob_adi,CO$40,FALSE)*(1+i/frec)^-0.5*(1+Parámetros!$D$103)*(1+rec_fracc)/frec),6))</f>
        <v/>
      </c>
      <c r="DE616" s="66" t="str">
        <f t="shared" si="803"/>
        <v/>
      </c>
      <c r="DF616" s="119" t="str">
        <f t="shared" si="804"/>
        <v/>
      </c>
      <c r="DG616" s="66" t="str">
        <f>+IF($W616="","",ROUND(IF($B616&gt;Parámetros!$D$107,'Tablas Servicio'!DE616+('Tablas Servicio'!DG615-'Tablas Servicio'!DE615),DE616/(1-IF(B616&lt;=10,Parámetros!$D$100,0))),2))</f>
        <v/>
      </c>
      <c r="DH616" s="66" t="str">
        <f t="shared" si="805"/>
        <v/>
      </c>
      <c r="DI616" s="66" t="str">
        <f t="shared" si="805"/>
        <v/>
      </c>
      <c r="DJ616" s="66" t="str">
        <f>+IF($W616="","",ROUND((DG616*Parámetros!$G$85),2))</f>
        <v/>
      </c>
      <c r="DK616" s="66" t="str">
        <f>+IF($W616="","",ROUND((DG616*(Parámetros!$G$86)),2))</f>
        <v/>
      </c>
      <c r="DL616" s="66" t="str">
        <f t="shared" si="806"/>
        <v/>
      </c>
      <c r="DM616" t="str">
        <f t="shared" si="847"/>
        <v/>
      </c>
      <c r="DN616" s="118" t="str">
        <f t="shared" si="848"/>
        <v/>
      </c>
      <c r="DO616" s="118" t="str">
        <f t="shared" si="849"/>
        <v/>
      </c>
      <c r="DP616" s="118" t="str">
        <f t="shared" si="850"/>
        <v/>
      </c>
      <c r="DQ616" s="122" t="str">
        <f>+IF(OR($W616="",DO616=0),"",ROUND((VLOOKUP(ROUNDDOWN($D616-1/frec,0),cob_adi,DB$40,FALSE)*(1+i/frec)^-0.5*(1+Parámetros!$D$103)*(1+rec_fracc)/frec),6))</f>
        <v/>
      </c>
      <c r="DR616" s="66" t="str">
        <f t="shared" si="807"/>
        <v/>
      </c>
      <c r="DS616" s="68" t="str">
        <f t="shared" si="808"/>
        <v/>
      </c>
      <c r="DT616" s="66" t="str">
        <f>+IF($W616="","",ROUND(IF($B616&gt;Parámetros!$D$107,'Tablas Servicio'!DR616+('Tablas Servicio'!DT615-'Tablas Servicio'!DR615),DR616/(1-IF(B616&lt;=10,Parámetros!$D$100,0))),2))</f>
        <v/>
      </c>
      <c r="DU616" s="66" t="str">
        <f t="shared" si="809"/>
        <v/>
      </c>
      <c r="DV616" s="66" t="str">
        <f t="shared" si="809"/>
        <v/>
      </c>
      <c r="DW616" s="66" t="str">
        <f>+IF($W616="","",ROUND((DT616*Parámetros!$G$85),2))</f>
        <v/>
      </c>
      <c r="DX616" s="66" t="str">
        <f>+IF($W616="","",ROUND((DT616*(Parámetros!$G$86)),2))</f>
        <v/>
      </c>
      <c r="DY616" s="66" t="str">
        <f t="shared" si="810"/>
        <v/>
      </c>
      <c r="DZ616" t="str">
        <f t="shared" si="853"/>
        <v/>
      </c>
      <c r="EA616" s="118" t="str">
        <f t="shared" si="853"/>
        <v/>
      </c>
      <c r="EB616" s="118" t="str">
        <f>+IF($W616="","",ROUND(IF(Parámetros!$D$25='TABLAS MORT'!$V$33,EB615,Z616/2),0))</f>
        <v/>
      </c>
      <c r="EC616" s="118" t="str">
        <f t="shared" si="853"/>
        <v/>
      </c>
      <c r="ED616" s="122" t="str">
        <f>+IF(OR($W616="",EB616=0),"",ROUND((VLOOKUP(ROUNDDOWN($D616-1/frec,0),cob_adi,DO$40,FALSE)*(1+i/frec)^-0.5*(1+Parámetros!$D$103)*(1+rec_fracc)/frec),6))</f>
        <v/>
      </c>
      <c r="EE616" s="66" t="str">
        <f t="shared" si="812"/>
        <v/>
      </c>
      <c r="EF616" s="68" t="str">
        <f t="shared" si="813"/>
        <v/>
      </c>
      <c r="EG616" s="66" t="str">
        <f>+IF($W616="","",ROUND(IF($B616&gt;Parámetros!$D$107,'Tablas Servicio'!EE616+('Tablas Servicio'!EG615-'Tablas Servicio'!EE615),EE616/(1-IF(B616&lt;=10,Parámetros!$D$100,0))),2))</f>
        <v/>
      </c>
      <c r="EH616" s="66" t="str">
        <f t="shared" si="814"/>
        <v/>
      </c>
      <c r="EI616" s="66" t="str">
        <f t="shared" si="814"/>
        <v/>
      </c>
      <c r="EJ616" s="66" t="str">
        <f>+IF($W616="","",ROUND((EG616*Parámetros!$G$85),2))</f>
        <v/>
      </c>
      <c r="EK616" s="66" t="str">
        <f>+IF($W616="","",ROUND((EG616*(Parámetros!$G$86)),2))</f>
        <v/>
      </c>
      <c r="EL616" s="66" t="str">
        <f t="shared" si="815"/>
        <v/>
      </c>
    </row>
    <row r="617" spans="1:142" x14ac:dyDescent="0.25">
      <c r="A617" t="str">
        <f>+IF($C617="","",ROUND(VLOOKUP('Tablas Servicio'!B617,Parámetros!$H$100:$J$159,IF(Parámetros!$E$16="F",2,3),FALSE),2))</f>
        <v/>
      </c>
      <c r="B617" t="str">
        <f t="shared" si="766"/>
        <v/>
      </c>
      <c r="C617" s="57" t="str">
        <f>+IF(D617="","",'Tablas Servicio'!C616+1)</f>
        <v/>
      </c>
      <c r="D617" s="56" t="str">
        <f>+IF(D616&lt;edadmaxtabla,D616+1/Parámetros!$E$25,"")</f>
        <v/>
      </c>
      <c r="E617" s="57" t="str">
        <f t="shared" si="776"/>
        <v/>
      </c>
      <c r="F617" s="59" t="str">
        <f t="shared" si="777"/>
        <v/>
      </c>
      <c r="G617" s="66" t="str">
        <f t="shared" si="767"/>
        <v/>
      </c>
      <c r="H617" s="66" t="str">
        <f t="shared" si="768"/>
        <v/>
      </c>
      <c r="I617" s="66" t="str">
        <f t="shared" si="816"/>
        <v/>
      </c>
      <c r="J617" s="66" t="str">
        <f t="shared" si="769"/>
        <v/>
      </c>
      <c r="K617" s="66" t="str">
        <f t="shared" si="770"/>
        <v/>
      </c>
      <c r="L617" s="66" t="str">
        <f t="shared" si="771"/>
        <v/>
      </c>
      <c r="M617" s="66" t="str">
        <f t="shared" si="772"/>
        <v/>
      </c>
      <c r="N617" s="66" t="str">
        <f>+IF(C617="","",ROUND(Parámetros!$D$23,2))</f>
        <v/>
      </c>
      <c r="O617" s="66" t="str">
        <f t="shared" si="773"/>
        <v/>
      </c>
      <c r="P617" s="66" t="str">
        <f>+IF($C617="","",ROUND(IF(B617&gt;Parámetros!$D$117,0,N617*Parámetros!$D$116-G617*Parámetros!$D$100),2))</f>
        <v/>
      </c>
      <c r="Q617" s="75" t="str">
        <f t="shared" si="817"/>
        <v/>
      </c>
      <c r="R617" s="75" t="str">
        <f t="shared" si="818"/>
        <v/>
      </c>
      <c r="S617" s="117" t="str">
        <f>+IF($C617="","",ROUND((S616+I617)*(1+Parámetros!$D$91),2))</f>
        <v/>
      </c>
      <c r="T617" s="117" t="str">
        <f>+IF($C617="","",ROUND(S617*VLOOKUP(B617,Parámetros!$C$30:$D$39,2,TRUE),2))</f>
        <v/>
      </c>
      <c r="U617" s="117" t="str">
        <f>+IF($C617="","",ROUND((U616+I617)*(1+Parámetros!$D$92),2))</f>
        <v/>
      </c>
      <c r="V617" s="117" t="str">
        <f>+IF($C617="","",ROUND(U617*VLOOKUP(B617,Parámetros!$C$30:$D$39,2,TRUE),2))</f>
        <v/>
      </c>
      <c r="W617" s="57" t="str">
        <f t="shared" si="819"/>
        <v/>
      </c>
      <c r="X617" t="str">
        <f t="shared" si="820"/>
        <v/>
      </c>
      <c r="Y617" t="str">
        <f t="shared" si="821"/>
        <v/>
      </c>
      <c r="Z617" s="118" t="str">
        <f>+IF($W617="","",ROUND(IF(Parámetros!$D$25='TABLAS MORT'!$V$33,Z616,Parámetros!$D$21-'Tablas Servicio'!T616),0))</f>
        <v/>
      </c>
      <c r="AA617" s="118" t="str">
        <f t="shared" si="822"/>
        <v/>
      </c>
      <c r="AB617" s="119" t="str">
        <f>+IF(W617="","",ROUND((VLOOKUP(ROUNDDOWN($D617-1/frec,0),qx_tabla,2,FALSE)*(1+i/frec)^-0.5*(1+Parámetros!$D$103)*(1+rec_fracc)/frec),6))</f>
        <v/>
      </c>
      <c r="AC617" s="66" t="str">
        <f t="shared" si="778"/>
        <v/>
      </c>
      <c r="AD617" s="119" t="str">
        <f t="shared" si="774"/>
        <v/>
      </c>
      <c r="AE617" s="66" t="str">
        <f>+IF($W617="","",ROUND(IF($B617&gt;Parámetros!$D$107,'Tablas Servicio'!AC617+('Tablas Servicio'!AG616-'Tablas Servicio'!AC616),AC617/(1-IF(B617&lt;=10,Parámetros!$D$104,Parámetros!$D$105))),2))</f>
        <v/>
      </c>
      <c r="AF617" s="66" t="str">
        <f>+IF($W617="","",ROUND(IF($B617&gt;Parámetros!$D$107,'Tablas Servicio'!AC617+('Tablas Servicio'!AG616-'Tablas Servicio'!AC616),(AC617+$A616/frec)/(1-IF(B617&lt;=Parámetros!$D$117,Parámetros!$D$100,0))),2))</f>
        <v/>
      </c>
      <c r="AG617" s="66" t="str">
        <f t="shared" si="779"/>
        <v/>
      </c>
      <c r="AH617" s="66" t="str">
        <f t="shared" si="780"/>
        <v/>
      </c>
      <c r="AI617" s="66" t="str">
        <f t="shared" si="781"/>
        <v/>
      </c>
      <c r="AJ617" s="66" t="str">
        <f>+IF($W617="","",ROUND((AG617*Parámetros!$G$85),2))</f>
        <v/>
      </c>
      <c r="AK617" s="66" t="str">
        <f>+IF($W617="","",ROUND((AG617*(Parámetros!$G$86)),2))</f>
        <v/>
      </c>
      <c r="AL617" s="66" t="str">
        <f t="shared" si="775"/>
        <v/>
      </c>
      <c r="AM617" t="str">
        <f t="shared" si="823"/>
        <v/>
      </c>
      <c r="AN617" t="str">
        <f t="shared" si="824"/>
        <v/>
      </c>
      <c r="AO617" s="118" t="str">
        <f t="shared" si="825"/>
        <v/>
      </c>
      <c r="AP617" s="118" t="str">
        <f t="shared" si="826"/>
        <v/>
      </c>
      <c r="AQ617" s="119" t="str">
        <f>+IF(OR($W617="",AO617=0),"",ROUND((VLOOKUP(ROUNDDOWN($D617-1/frec,0),cob_adi,Z$40,FALSE)*(1+i/frec)^-0.5*(1+Parámetros!$D$103)*(1+rec_fracc)/frec),6))</f>
        <v/>
      </c>
      <c r="AR617" s="66" t="str">
        <f t="shared" si="782"/>
        <v/>
      </c>
      <c r="AS617" s="119" t="str">
        <f t="shared" si="783"/>
        <v/>
      </c>
      <c r="AT617" s="66" t="str">
        <f>+IF($W617="","",ROUND(IF($B617&gt;Parámetros!$D$107,'Tablas Servicio'!AR617+('Tablas Servicio'!AT616-'Tablas Servicio'!AR616),AR617/(1-IF(B617&lt;=10,Parámetros!$D$100,0))),2))</f>
        <v/>
      </c>
      <c r="AU617" s="66" t="str">
        <f t="shared" si="784"/>
        <v/>
      </c>
      <c r="AV617" s="66" t="str">
        <f t="shared" si="784"/>
        <v/>
      </c>
      <c r="AW617" s="66" t="str">
        <f>+IF($W617="","",ROUND((AT617*Parámetros!$G$85),2))</f>
        <v/>
      </c>
      <c r="AX617" s="66" t="str">
        <f>+IF($W617="","",ROUND((AT617*(Parámetros!$G$86)),2))</f>
        <v/>
      </c>
      <c r="AY617" s="66" t="str">
        <f t="shared" si="785"/>
        <v/>
      </c>
      <c r="AZ617" t="str">
        <f t="shared" si="827"/>
        <v/>
      </c>
      <c r="BA617" t="str">
        <f t="shared" si="828"/>
        <v/>
      </c>
      <c r="BB617" s="118" t="str">
        <f t="shared" si="829"/>
        <v/>
      </c>
      <c r="BC617" s="118" t="str">
        <f t="shared" si="830"/>
        <v/>
      </c>
      <c r="BD617" s="119" t="str">
        <f>+IF(OR($W617="",BB617=0),"",ROUND((VLOOKUP(ROUNDDOWN($D617-1/frec,0),cob_adi,AO$40,FALSE)*(1+i/frec)^-0.5*(1+Parámetros!$D$103)*(1+rec_fracc)/frec),6))</f>
        <v/>
      </c>
      <c r="BE617" s="66" t="str">
        <f t="shared" si="786"/>
        <v/>
      </c>
      <c r="BF617" s="119" t="str">
        <f t="shared" si="787"/>
        <v/>
      </c>
      <c r="BG617" s="66" t="str">
        <f>+IF($W617="","",ROUND(IF($B617&gt;Parámetros!$D$107,'Tablas Servicio'!BE617+('Tablas Servicio'!BG616-'Tablas Servicio'!BE616),BE617/(1-IF(B617&lt;=10,Parámetros!$D$100,0))),2))</f>
        <v/>
      </c>
      <c r="BH617" s="66" t="str">
        <f t="shared" si="788"/>
        <v/>
      </c>
      <c r="BI617" s="66" t="str">
        <f t="shared" si="789"/>
        <v/>
      </c>
      <c r="BJ617" s="66" t="str">
        <f>+IF($W617="","",ROUND((BG617*Parámetros!$G$85),2))</f>
        <v/>
      </c>
      <c r="BK617" s="66" t="str">
        <f>+IF($W617="","",ROUND((BG617*(Parámetros!$G$86)),2))</f>
        <v/>
      </c>
      <c r="BL617" s="66" t="str">
        <f t="shared" si="790"/>
        <v/>
      </c>
      <c r="BM617" t="str">
        <f t="shared" si="831"/>
        <v/>
      </c>
      <c r="BN617" t="str">
        <f t="shared" si="832"/>
        <v/>
      </c>
      <c r="BO617" s="118" t="str">
        <f t="shared" si="833"/>
        <v/>
      </c>
      <c r="BP617" s="118" t="str">
        <f t="shared" si="834"/>
        <v/>
      </c>
      <c r="BQ617" s="119" t="str">
        <f>+IF(OR($W617="",BO617=0),"",ROUND((VLOOKUP(ROUNDDOWN($D617-1/frec,0),cob_adi,BB$40,FALSE)*(1+i/frec)^-0.5*(1+Parámetros!$D$103)*(1+rec_fracc)/frec),6))</f>
        <v/>
      </c>
      <c r="BR617" s="66" t="str">
        <f t="shared" si="791"/>
        <v/>
      </c>
      <c r="BS617" s="119" t="str">
        <f t="shared" si="792"/>
        <v/>
      </c>
      <c r="BT617" s="66" t="str">
        <f>+IF($W617="","",ROUND(IF($B617&gt;Parámetros!$D$107,'Tablas Servicio'!BR617+('Tablas Servicio'!BT616-'Tablas Servicio'!BR616),BR617/(1-IF(B617&lt;=10,Parámetros!$D$100,0))),2))</f>
        <v/>
      </c>
      <c r="BU617" s="66" t="str">
        <f t="shared" si="793"/>
        <v/>
      </c>
      <c r="BV617" s="66" t="str">
        <f t="shared" si="793"/>
        <v/>
      </c>
      <c r="BW617" s="66" t="str">
        <f>+IF($W617="","",ROUND((BT617*Parámetros!$G$85),2))</f>
        <v/>
      </c>
      <c r="BX617" s="66" t="str">
        <f>+IF($W617="","",ROUND((BT617*(Parámetros!$G$86)),2))</f>
        <v/>
      </c>
      <c r="BY617" s="66" t="str">
        <f t="shared" si="794"/>
        <v/>
      </c>
      <c r="BZ617" t="str">
        <f t="shared" si="835"/>
        <v/>
      </c>
      <c r="CA617" t="str">
        <f t="shared" si="836"/>
        <v/>
      </c>
      <c r="CB617" s="118" t="str">
        <f t="shared" si="837"/>
        <v/>
      </c>
      <c r="CC617" s="118" t="str">
        <f t="shared" si="838"/>
        <v/>
      </c>
      <c r="CD617" s="119" t="str">
        <f t="shared" si="795"/>
        <v/>
      </c>
      <c r="CE617" s="66" t="str">
        <f>+IF($W617="","",ROUND((VLOOKUP(ROUNDDOWN($D617-1/frec,0),cob_adi,BO$40,FALSE)*(1+i/frec)^-0.5*(1+Parámetros!$D$103)*(1+rec_fracc)/frec*'TABLAS ADI'!$BC$17),2))</f>
        <v/>
      </c>
      <c r="CF617" s="119" t="str">
        <f t="shared" si="796"/>
        <v/>
      </c>
      <c r="CG617" s="66" t="str">
        <f>+IF($W617="","",ROUND(IF($B617&gt;Parámetros!$D$107,'Tablas Servicio'!CE617+('Tablas Servicio'!CG616-'Tablas Servicio'!CE616),CE617/(1-IF(B617&lt;=10,Parámetros!$D$100,0))),2))</f>
        <v/>
      </c>
      <c r="CH617" s="66" t="str">
        <f t="shared" si="797"/>
        <v/>
      </c>
      <c r="CI617" s="66" t="str">
        <f t="shared" si="797"/>
        <v/>
      </c>
      <c r="CJ617" s="66" t="str">
        <f>+IF($W617="","",ROUND((CG617*Parámetros!$G$85),2))</f>
        <v/>
      </c>
      <c r="CK617" s="66" t="str">
        <f>+IF($W617="","",ROUND((CG617*(Parámetros!$G$86)),2))</f>
        <v/>
      </c>
      <c r="CL617" s="66" t="str">
        <f t="shared" si="798"/>
        <v/>
      </c>
      <c r="CM617" t="str">
        <f t="shared" si="839"/>
        <v/>
      </c>
      <c r="CN617" s="118" t="str">
        <f t="shared" si="840"/>
        <v/>
      </c>
      <c r="CO617" s="118" t="str">
        <f t="shared" si="841"/>
        <v/>
      </c>
      <c r="CP617" s="118" t="str">
        <f t="shared" si="842"/>
        <v/>
      </c>
      <c r="CQ617" s="119" t="str">
        <f t="shared" si="799"/>
        <v/>
      </c>
      <c r="CR617" s="66" t="str">
        <f>+IF($W617="","",ROUND((VLOOKUP(Parámetros!$F$51,'COBERTURAS ADICIONALES'!$S$4:$T$32,2,FALSE)*(1+i/frec)^-0.5*(1+Parámetros!$D$103)*(1+rec_fracc)/frec*$CO$42),2))</f>
        <v/>
      </c>
      <c r="CS617" s="119" t="str">
        <f t="shared" si="800"/>
        <v/>
      </c>
      <c r="CT617" s="66" t="str">
        <f>+IF($W617="","",ROUND(IF($B617&gt;Parámetros!$D$107,'Tablas Servicio'!CR617+('Tablas Servicio'!CT616-'Tablas Servicio'!CR616),CR617/(1-IF(B617&lt;=10,Parámetros!$D$100,0))),2))</f>
        <v/>
      </c>
      <c r="CU617" s="66" t="str">
        <f t="shared" si="801"/>
        <v/>
      </c>
      <c r="CV617" s="66" t="str">
        <f t="shared" si="801"/>
        <v/>
      </c>
      <c r="CW617" s="66" t="str">
        <f>+IF($W617="","",ROUND((CT617*Parámetros!$G$85),2))</f>
        <v/>
      </c>
      <c r="CX617" s="66" t="str">
        <f>+IF($W617="","",ROUND((CT617*(Parámetros!$G$86)),2))</f>
        <v/>
      </c>
      <c r="CY617" s="66" t="str">
        <f t="shared" si="802"/>
        <v/>
      </c>
      <c r="CZ617" t="str">
        <f t="shared" si="843"/>
        <v/>
      </c>
      <c r="DA617" s="118" t="str">
        <f t="shared" si="844"/>
        <v/>
      </c>
      <c r="DB617" s="118" t="str">
        <f t="shared" si="845"/>
        <v/>
      </c>
      <c r="DC617" s="118" t="str">
        <f t="shared" si="846"/>
        <v/>
      </c>
      <c r="DD617" s="121" t="str">
        <f>+IF(OR($W617="",DB617=0),"",ROUND((VLOOKUP(ROUNDDOWN($D617-1/frec,0),cob_adi,CO$40,FALSE)*(1+i/frec)^-0.5*(1+Parámetros!$D$103)*(1+rec_fracc)/frec),6))</f>
        <v/>
      </c>
      <c r="DE617" s="66" t="str">
        <f t="shared" si="803"/>
        <v/>
      </c>
      <c r="DF617" s="119" t="str">
        <f t="shared" si="804"/>
        <v/>
      </c>
      <c r="DG617" s="66" t="str">
        <f>+IF($W617="","",ROUND(IF($B617&gt;Parámetros!$D$107,'Tablas Servicio'!DE617+('Tablas Servicio'!DG616-'Tablas Servicio'!DE616),DE617/(1-IF(B617&lt;=10,Parámetros!$D$100,0))),2))</f>
        <v/>
      </c>
      <c r="DH617" s="66" t="str">
        <f t="shared" si="805"/>
        <v/>
      </c>
      <c r="DI617" s="66" t="str">
        <f t="shared" si="805"/>
        <v/>
      </c>
      <c r="DJ617" s="66" t="str">
        <f>+IF($W617="","",ROUND((DG617*Parámetros!$G$85),2))</f>
        <v/>
      </c>
      <c r="DK617" s="66" t="str">
        <f>+IF($W617="","",ROUND((DG617*(Parámetros!$G$86)),2))</f>
        <v/>
      </c>
      <c r="DL617" s="66" t="str">
        <f t="shared" si="806"/>
        <v/>
      </c>
      <c r="DM617" t="str">
        <f t="shared" si="847"/>
        <v/>
      </c>
      <c r="DN617" s="118" t="str">
        <f t="shared" si="848"/>
        <v/>
      </c>
      <c r="DO617" s="118" t="str">
        <f t="shared" si="849"/>
        <v/>
      </c>
      <c r="DP617" s="118" t="str">
        <f t="shared" si="850"/>
        <v/>
      </c>
      <c r="DQ617" s="122" t="str">
        <f>+IF(OR($W617="",DO617=0),"",ROUND((VLOOKUP(ROUNDDOWN($D617-1/frec,0),cob_adi,DB$40,FALSE)*(1+i/frec)^-0.5*(1+Parámetros!$D$103)*(1+rec_fracc)/frec),6))</f>
        <v/>
      </c>
      <c r="DR617" s="66" t="str">
        <f t="shared" si="807"/>
        <v/>
      </c>
      <c r="DS617" s="68" t="str">
        <f t="shared" si="808"/>
        <v/>
      </c>
      <c r="DT617" s="66" t="str">
        <f>+IF($W617="","",ROUND(IF($B617&gt;Parámetros!$D$107,'Tablas Servicio'!DR617+('Tablas Servicio'!DT616-'Tablas Servicio'!DR616),DR617/(1-IF(B617&lt;=10,Parámetros!$D$100,0))),2))</f>
        <v/>
      </c>
      <c r="DU617" s="66" t="str">
        <f t="shared" si="809"/>
        <v/>
      </c>
      <c r="DV617" s="66" t="str">
        <f t="shared" si="809"/>
        <v/>
      </c>
      <c r="DW617" s="66" t="str">
        <f>+IF($W617="","",ROUND((DT617*Parámetros!$G$85),2))</f>
        <v/>
      </c>
      <c r="DX617" s="66" t="str">
        <f>+IF($W617="","",ROUND((DT617*(Parámetros!$G$86)),2))</f>
        <v/>
      </c>
      <c r="DY617" s="66" t="str">
        <f t="shared" si="810"/>
        <v/>
      </c>
      <c r="DZ617" t="str">
        <f t="shared" si="853"/>
        <v/>
      </c>
      <c r="EA617" s="118" t="str">
        <f t="shared" si="853"/>
        <v/>
      </c>
      <c r="EB617" s="118" t="str">
        <f>+IF($W617="","",ROUND(IF(Parámetros!$D$25='TABLAS MORT'!$V$33,EB616,Z617/2),0))</f>
        <v/>
      </c>
      <c r="EC617" s="118" t="str">
        <f t="shared" si="853"/>
        <v/>
      </c>
      <c r="ED617" s="122" t="str">
        <f>+IF(OR($W617="",EB617=0),"",ROUND((VLOOKUP(ROUNDDOWN($D617-1/frec,0),cob_adi,DO$40,FALSE)*(1+i/frec)^-0.5*(1+Parámetros!$D$103)*(1+rec_fracc)/frec),6))</f>
        <v/>
      </c>
      <c r="EE617" s="66" t="str">
        <f t="shared" si="812"/>
        <v/>
      </c>
      <c r="EF617" s="68" t="str">
        <f t="shared" si="813"/>
        <v/>
      </c>
      <c r="EG617" s="66" t="str">
        <f>+IF($W617="","",ROUND(IF($B617&gt;Parámetros!$D$107,'Tablas Servicio'!EE617+('Tablas Servicio'!EG616-'Tablas Servicio'!EE616),EE617/(1-IF(B617&lt;=10,Parámetros!$D$100,0))),2))</f>
        <v/>
      </c>
      <c r="EH617" s="66" t="str">
        <f t="shared" si="814"/>
        <v/>
      </c>
      <c r="EI617" s="66" t="str">
        <f t="shared" si="814"/>
        <v/>
      </c>
      <c r="EJ617" s="66" t="str">
        <f>+IF($W617="","",ROUND((EG617*Parámetros!$G$85),2))</f>
        <v/>
      </c>
      <c r="EK617" s="66" t="str">
        <f>+IF($W617="","",ROUND((EG617*(Parámetros!$G$86)),2))</f>
        <v/>
      </c>
      <c r="EL617" s="66" t="str">
        <f t="shared" si="815"/>
        <v/>
      </c>
    </row>
    <row r="618" spans="1:142" x14ac:dyDescent="0.25">
      <c r="A618" t="str">
        <f>+IF($C618="","",ROUND(VLOOKUP('Tablas Servicio'!B618,Parámetros!$H$100:$J$159,IF(Parámetros!$E$16="F",2,3),FALSE),2))</f>
        <v/>
      </c>
      <c r="B618" t="str">
        <f t="shared" ref="B618:B681" si="854">+IF(D618="","",ROUNDUP(C618/frec,0))</f>
        <v/>
      </c>
      <c r="C618" s="57" t="str">
        <f>+IF(D618="","",'Tablas Servicio'!C617+1)</f>
        <v/>
      </c>
      <c r="D618" s="56" t="str">
        <f>+IF(D617&lt;edadmaxtabla,D617+1/Parámetros!$E$25,"")</f>
        <v/>
      </c>
      <c r="E618" s="57" t="str">
        <f t="shared" si="776"/>
        <v/>
      </c>
      <c r="F618" s="59" t="str">
        <f t="shared" si="777"/>
        <v/>
      </c>
      <c r="G618" s="66" t="str">
        <f t="shared" ref="G618:G681" si="855">+IF($C618="","",AG618+AT618+BG618+BT618+CG618+CT618+DG618+DT618+EG618)</f>
        <v/>
      </c>
      <c r="H618" s="66" t="str">
        <f t="shared" ref="H618:H681" si="856">+IF($C618="","",AL618+AY618+BL618+BY618+CL618+CY618+DL618+DY618+EL618)</f>
        <v/>
      </c>
      <c r="I618" s="66" t="str">
        <f t="shared" si="816"/>
        <v/>
      </c>
      <c r="J618" s="66" t="str">
        <f t="shared" ref="J618:J681" si="857">+IF($C618="","",AJ618+AW618+BJ618+BW618+CJ618+CW618+DJ618+DW618+EJ618)</f>
        <v/>
      </c>
      <c r="K618" s="66" t="str">
        <f t="shared" ref="K618:K681" si="858">+IF($C618="","",AK618+AX618+BK618+BX618+CK618+CX618+DK618+DX618+EK618)</f>
        <v/>
      </c>
      <c r="L618" s="66" t="str">
        <f t="shared" ref="L618:L681" si="859">+IF($C618="","",AH618+AU618+BH618+BU618+CH618+CU618+DH618+DU618+EH618)</f>
        <v/>
      </c>
      <c r="M618" s="66" t="str">
        <f t="shared" ref="M618:M681" si="860">+IF($C618="","",AI618+AV618+BI618+BV618+CI618+CV618+DI618+DV618+EI618)</f>
        <v/>
      </c>
      <c r="N618" s="66" t="str">
        <f>+IF(C618="","",ROUND(Parámetros!$D$23,2))</f>
        <v/>
      </c>
      <c r="O618" s="66" t="str">
        <f t="shared" ref="O618:O681" si="861">+IF($C618="","",AC618+AR618+BE618+BR618+CE618+CR618+DE618+DR618+EE618)</f>
        <v/>
      </c>
      <c r="P618" s="66" t="str">
        <f>+IF($C618="","",ROUND(IF(B618&gt;Parámetros!$D$117,0,N618*Parámetros!$D$116-G618*Parámetros!$D$100),2))</f>
        <v/>
      </c>
      <c r="Q618" s="75" t="str">
        <f t="shared" si="817"/>
        <v/>
      </c>
      <c r="R618" s="75" t="str">
        <f t="shared" si="818"/>
        <v/>
      </c>
      <c r="S618" s="117" t="str">
        <f>+IF($C618="","",ROUND((S617+I618)*(1+Parámetros!$D$91),2))</f>
        <v/>
      </c>
      <c r="T618" s="117" t="str">
        <f>+IF($C618="","",ROUND(S618*VLOOKUP(B618,Parámetros!$C$30:$D$39,2,TRUE),2))</f>
        <v/>
      </c>
      <c r="U618" s="117" t="str">
        <f>+IF($C618="","",ROUND((U617+I618)*(1+Parámetros!$D$92),2))</f>
        <v/>
      </c>
      <c r="V618" s="117" t="str">
        <f>+IF($C618="","",ROUND(U618*VLOOKUP(B618,Parámetros!$C$30:$D$39,2,TRUE),2))</f>
        <v/>
      </c>
      <c r="W618" s="57" t="str">
        <f t="shared" si="819"/>
        <v/>
      </c>
      <c r="X618" t="str">
        <f t="shared" si="820"/>
        <v/>
      </c>
      <c r="Y618" t="str">
        <f t="shared" si="821"/>
        <v/>
      </c>
      <c r="Z618" s="118" t="str">
        <f>+IF($W618="","",ROUND(IF(Parámetros!$D$25='TABLAS MORT'!$V$33,Z617,Parámetros!$D$21-'Tablas Servicio'!T617),0))</f>
        <v/>
      </c>
      <c r="AA618" s="118" t="str">
        <f t="shared" si="822"/>
        <v/>
      </c>
      <c r="AB618" s="119" t="str">
        <f>+IF(W618="","",ROUND((VLOOKUP(ROUNDDOWN($D618-1/frec,0),qx_tabla,2,FALSE)*(1+i/frec)^-0.5*(1+Parámetros!$D$103)*(1+rec_fracc)/frec),6))</f>
        <v/>
      </c>
      <c r="AC618" s="66" t="str">
        <f t="shared" si="778"/>
        <v/>
      </c>
      <c r="AD618" s="119" t="str">
        <f t="shared" ref="AD618:AD681" si="862">+IF($W618="","",ROUND((AG618/Z618),6))</f>
        <v/>
      </c>
      <c r="AE618" s="66" t="str">
        <f>+IF($W618="","",ROUND(IF($B618&gt;Parámetros!$D$107,'Tablas Servicio'!AC618+('Tablas Servicio'!AG617-'Tablas Servicio'!AC617),AC618/(1-IF(B618&lt;=10,Parámetros!$D$104,Parámetros!$D$105))),2))</f>
        <v/>
      </c>
      <c r="AF618" s="66" t="str">
        <f>+IF($W618="","",ROUND(IF($B618&gt;Parámetros!$D$107,'Tablas Servicio'!AC618+('Tablas Servicio'!AG617-'Tablas Servicio'!AC617),(AC618+$A617/frec)/(1-IF(B618&lt;=Parámetros!$D$117,Parámetros!$D$100,0))),2))</f>
        <v/>
      </c>
      <c r="AG618" s="66" t="str">
        <f t="shared" si="779"/>
        <v/>
      </c>
      <c r="AH618" s="66" t="str">
        <f t="shared" si="780"/>
        <v/>
      </c>
      <c r="AI618" s="66" t="str">
        <f t="shared" si="781"/>
        <v/>
      </c>
      <c r="AJ618" s="66" t="str">
        <f>+IF($W618="","",ROUND((AG618*Parámetros!$G$85),2))</f>
        <v/>
      </c>
      <c r="AK618" s="66" t="str">
        <f>+IF($W618="","",ROUND((AG618*(Parámetros!$G$86)),2))</f>
        <v/>
      </c>
      <c r="AL618" s="66" t="str">
        <f t="shared" ref="AL618:AL681" si="863">+IF($W618="","",ROUND((AG618+AJ618+AK618),2))</f>
        <v/>
      </c>
      <c r="AM618" t="str">
        <f t="shared" si="823"/>
        <v/>
      </c>
      <c r="AN618" t="str">
        <f t="shared" si="824"/>
        <v/>
      </c>
      <c r="AO618" s="118" t="str">
        <f t="shared" si="825"/>
        <v/>
      </c>
      <c r="AP618" s="118" t="str">
        <f t="shared" si="826"/>
        <v/>
      </c>
      <c r="AQ618" s="119" t="str">
        <f>+IF(OR($W618="",AO618=0),"",ROUND((VLOOKUP(ROUNDDOWN($D618-1/frec,0),cob_adi,Z$40,FALSE)*(1+i/frec)^-0.5*(1+Parámetros!$D$103)*(1+rec_fracc)/frec),6))</f>
        <v/>
      </c>
      <c r="AR618" s="66" t="str">
        <f t="shared" si="782"/>
        <v/>
      </c>
      <c r="AS618" s="119" t="str">
        <f t="shared" si="783"/>
        <v/>
      </c>
      <c r="AT618" s="66" t="str">
        <f>+IF($W618="","",ROUND(IF($B618&gt;Parámetros!$D$107,'Tablas Servicio'!AR618+('Tablas Servicio'!AT617-'Tablas Servicio'!AR617),AR618/(1-IF(B618&lt;=10,Parámetros!$D$100,0))),2))</f>
        <v/>
      </c>
      <c r="AU618" s="66" t="str">
        <f t="shared" si="784"/>
        <v/>
      </c>
      <c r="AV618" s="66" t="str">
        <f t="shared" si="784"/>
        <v/>
      </c>
      <c r="AW618" s="66" t="str">
        <f>+IF($W618="","",ROUND((AT618*Parámetros!$G$85),2))</f>
        <v/>
      </c>
      <c r="AX618" s="66" t="str">
        <f>+IF($W618="","",ROUND((AT618*(Parámetros!$G$86)),2))</f>
        <v/>
      </c>
      <c r="AY618" s="66" t="str">
        <f t="shared" si="785"/>
        <v/>
      </c>
      <c r="AZ618" t="str">
        <f t="shared" si="827"/>
        <v/>
      </c>
      <c r="BA618" t="str">
        <f t="shared" si="828"/>
        <v/>
      </c>
      <c r="BB618" s="118" t="str">
        <f t="shared" si="829"/>
        <v/>
      </c>
      <c r="BC618" s="118" t="str">
        <f t="shared" si="830"/>
        <v/>
      </c>
      <c r="BD618" s="119" t="str">
        <f>+IF(OR($W618="",BB618=0),"",ROUND((VLOOKUP(ROUNDDOWN($D618-1/frec,0),cob_adi,AO$40,FALSE)*(1+i/frec)^-0.5*(1+Parámetros!$D$103)*(1+rec_fracc)/frec),6))</f>
        <v/>
      </c>
      <c r="BE618" s="66" t="str">
        <f t="shared" si="786"/>
        <v/>
      </c>
      <c r="BF618" s="119" t="str">
        <f t="shared" si="787"/>
        <v/>
      </c>
      <c r="BG618" s="66" t="str">
        <f>+IF($W618="","",ROUND(IF($B618&gt;Parámetros!$D$107,'Tablas Servicio'!BE618+('Tablas Servicio'!BG617-'Tablas Servicio'!BE617),BE618/(1-IF(B618&lt;=10,Parámetros!$D$100,0))),2))</f>
        <v/>
      </c>
      <c r="BH618" s="66" t="str">
        <f t="shared" si="788"/>
        <v/>
      </c>
      <c r="BI618" s="66" t="str">
        <f t="shared" si="789"/>
        <v/>
      </c>
      <c r="BJ618" s="66" t="str">
        <f>+IF($W618="","",ROUND((BG618*Parámetros!$G$85),2))</f>
        <v/>
      </c>
      <c r="BK618" s="66" t="str">
        <f>+IF($W618="","",ROUND((BG618*(Parámetros!$G$86)),2))</f>
        <v/>
      </c>
      <c r="BL618" s="66" t="str">
        <f t="shared" si="790"/>
        <v/>
      </c>
      <c r="BM618" t="str">
        <f t="shared" si="831"/>
        <v/>
      </c>
      <c r="BN618" t="str">
        <f t="shared" si="832"/>
        <v/>
      </c>
      <c r="BO618" s="118" t="str">
        <f t="shared" si="833"/>
        <v/>
      </c>
      <c r="BP618" s="118" t="str">
        <f t="shared" si="834"/>
        <v/>
      </c>
      <c r="BQ618" s="119" t="str">
        <f>+IF(OR($W618="",BO618=0),"",ROUND((VLOOKUP(ROUNDDOWN($D618-1/frec,0),cob_adi,BB$40,FALSE)*(1+i/frec)^-0.5*(1+Parámetros!$D$103)*(1+rec_fracc)/frec),6))</f>
        <v/>
      </c>
      <c r="BR618" s="66" t="str">
        <f t="shared" si="791"/>
        <v/>
      </c>
      <c r="BS618" s="119" t="str">
        <f t="shared" si="792"/>
        <v/>
      </c>
      <c r="BT618" s="66" t="str">
        <f>+IF($W618="","",ROUND(IF($B618&gt;Parámetros!$D$107,'Tablas Servicio'!BR618+('Tablas Servicio'!BT617-'Tablas Servicio'!BR617),BR618/(1-IF(B618&lt;=10,Parámetros!$D$100,0))),2))</f>
        <v/>
      </c>
      <c r="BU618" s="66" t="str">
        <f t="shared" si="793"/>
        <v/>
      </c>
      <c r="BV618" s="66" t="str">
        <f t="shared" si="793"/>
        <v/>
      </c>
      <c r="BW618" s="66" t="str">
        <f>+IF($W618="","",ROUND((BT618*Parámetros!$G$85),2))</f>
        <v/>
      </c>
      <c r="BX618" s="66" t="str">
        <f>+IF($W618="","",ROUND((BT618*(Parámetros!$G$86)),2))</f>
        <v/>
      </c>
      <c r="BY618" s="66" t="str">
        <f t="shared" si="794"/>
        <v/>
      </c>
      <c r="BZ618" t="str">
        <f t="shared" si="835"/>
        <v/>
      </c>
      <c r="CA618" t="str">
        <f t="shared" si="836"/>
        <v/>
      </c>
      <c r="CB618" s="118" t="str">
        <f t="shared" si="837"/>
        <v/>
      </c>
      <c r="CC618" s="118" t="str">
        <f t="shared" si="838"/>
        <v/>
      </c>
      <c r="CD618" s="119" t="str">
        <f t="shared" si="795"/>
        <v/>
      </c>
      <c r="CE618" s="66" t="str">
        <f>+IF($W618="","",ROUND((VLOOKUP(ROUNDDOWN($D618-1/frec,0),cob_adi,BO$40,FALSE)*(1+i/frec)^-0.5*(1+Parámetros!$D$103)*(1+rec_fracc)/frec*'TABLAS ADI'!$BC$17),2))</f>
        <v/>
      </c>
      <c r="CF618" s="119" t="str">
        <f t="shared" si="796"/>
        <v/>
      </c>
      <c r="CG618" s="66" t="str">
        <f>+IF($W618="","",ROUND(IF($B618&gt;Parámetros!$D$107,'Tablas Servicio'!CE618+('Tablas Servicio'!CG617-'Tablas Servicio'!CE617),CE618/(1-IF(B618&lt;=10,Parámetros!$D$100,0))),2))</f>
        <v/>
      </c>
      <c r="CH618" s="66" t="str">
        <f t="shared" si="797"/>
        <v/>
      </c>
      <c r="CI618" s="66" t="str">
        <f t="shared" si="797"/>
        <v/>
      </c>
      <c r="CJ618" s="66" t="str">
        <f>+IF($W618="","",ROUND((CG618*Parámetros!$G$85),2))</f>
        <v/>
      </c>
      <c r="CK618" s="66" t="str">
        <f>+IF($W618="","",ROUND((CG618*(Parámetros!$G$86)),2))</f>
        <v/>
      </c>
      <c r="CL618" s="66" t="str">
        <f t="shared" si="798"/>
        <v/>
      </c>
      <c r="CM618" t="str">
        <f t="shared" si="839"/>
        <v/>
      </c>
      <c r="CN618" s="118" t="str">
        <f t="shared" si="840"/>
        <v/>
      </c>
      <c r="CO618" s="118" t="str">
        <f t="shared" si="841"/>
        <v/>
      </c>
      <c r="CP618" s="118" t="str">
        <f t="shared" si="842"/>
        <v/>
      </c>
      <c r="CQ618" s="119" t="str">
        <f t="shared" si="799"/>
        <v/>
      </c>
      <c r="CR618" s="66" t="str">
        <f>+IF($W618="","",ROUND((VLOOKUP(Parámetros!$F$51,'COBERTURAS ADICIONALES'!$S$4:$T$32,2,FALSE)*(1+i/frec)^-0.5*(1+Parámetros!$D$103)*(1+rec_fracc)/frec*$CO$42),2))</f>
        <v/>
      </c>
      <c r="CS618" s="119" t="str">
        <f t="shared" si="800"/>
        <v/>
      </c>
      <c r="CT618" s="66" t="str">
        <f>+IF($W618="","",ROUND(IF($B618&gt;Parámetros!$D$107,'Tablas Servicio'!CR618+('Tablas Servicio'!CT617-'Tablas Servicio'!CR617),CR618/(1-IF(B618&lt;=10,Parámetros!$D$100,0))),2))</f>
        <v/>
      </c>
      <c r="CU618" s="66" t="str">
        <f t="shared" si="801"/>
        <v/>
      </c>
      <c r="CV618" s="66" t="str">
        <f t="shared" si="801"/>
        <v/>
      </c>
      <c r="CW618" s="66" t="str">
        <f>+IF($W618="","",ROUND((CT618*Parámetros!$G$85),2))</f>
        <v/>
      </c>
      <c r="CX618" s="66" t="str">
        <f>+IF($W618="","",ROUND((CT618*(Parámetros!$G$86)),2))</f>
        <v/>
      </c>
      <c r="CY618" s="66" t="str">
        <f t="shared" si="802"/>
        <v/>
      </c>
      <c r="CZ618" t="str">
        <f t="shared" si="843"/>
        <v/>
      </c>
      <c r="DA618" s="118" t="str">
        <f t="shared" si="844"/>
        <v/>
      </c>
      <c r="DB618" s="118" t="str">
        <f t="shared" si="845"/>
        <v/>
      </c>
      <c r="DC618" s="118" t="str">
        <f t="shared" si="846"/>
        <v/>
      </c>
      <c r="DD618" s="121" t="str">
        <f>+IF(OR($W618="",DB618=0),"",ROUND((VLOOKUP(ROUNDDOWN($D618-1/frec,0),cob_adi,CO$40,FALSE)*(1+i/frec)^-0.5*(1+Parámetros!$D$103)*(1+rec_fracc)/frec),6))</f>
        <v/>
      </c>
      <c r="DE618" s="66" t="str">
        <f t="shared" si="803"/>
        <v/>
      </c>
      <c r="DF618" s="119" t="str">
        <f t="shared" si="804"/>
        <v/>
      </c>
      <c r="DG618" s="66" t="str">
        <f>+IF($W618="","",ROUND(IF($B618&gt;Parámetros!$D$107,'Tablas Servicio'!DE618+('Tablas Servicio'!DG617-'Tablas Servicio'!DE617),DE618/(1-IF(B618&lt;=10,Parámetros!$D$100,0))),2))</f>
        <v/>
      </c>
      <c r="DH618" s="66" t="str">
        <f t="shared" si="805"/>
        <v/>
      </c>
      <c r="DI618" s="66" t="str">
        <f t="shared" si="805"/>
        <v/>
      </c>
      <c r="DJ618" s="66" t="str">
        <f>+IF($W618="","",ROUND((DG618*Parámetros!$G$85),2))</f>
        <v/>
      </c>
      <c r="DK618" s="66" t="str">
        <f>+IF($W618="","",ROUND((DG618*(Parámetros!$G$86)),2))</f>
        <v/>
      </c>
      <c r="DL618" s="66" t="str">
        <f t="shared" si="806"/>
        <v/>
      </c>
      <c r="DM618" t="str">
        <f t="shared" si="847"/>
        <v/>
      </c>
      <c r="DN618" s="118" t="str">
        <f t="shared" si="848"/>
        <v/>
      </c>
      <c r="DO618" s="118" t="str">
        <f t="shared" si="849"/>
        <v/>
      </c>
      <c r="DP618" s="118" t="str">
        <f t="shared" si="850"/>
        <v/>
      </c>
      <c r="DQ618" s="122" t="str">
        <f>+IF(OR($W618="",DO618=0),"",ROUND((VLOOKUP(ROUNDDOWN($D618-1/frec,0),cob_adi,DB$40,FALSE)*(1+i/frec)^-0.5*(1+Parámetros!$D$103)*(1+rec_fracc)/frec),6))</f>
        <v/>
      </c>
      <c r="DR618" s="66" t="str">
        <f t="shared" si="807"/>
        <v/>
      </c>
      <c r="DS618" s="68" t="str">
        <f t="shared" si="808"/>
        <v/>
      </c>
      <c r="DT618" s="66" t="str">
        <f>+IF($W618="","",ROUND(IF($B618&gt;Parámetros!$D$107,'Tablas Servicio'!DR618+('Tablas Servicio'!DT617-'Tablas Servicio'!DR617),DR618/(1-IF(B618&lt;=10,Parámetros!$D$100,0))),2))</f>
        <v/>
      </c>
      <c r="DU618" s="66" t="str">
        <f t="shared" si="809"/>
        <v/>
      </c>
      <c r="DV618" s="66" t="str">
        <f t="shared" si="809"/>
        <v/>
      </c>
      <c r="DW618" s="66" t="str">
        <f>+IF($W618="","",ROUND((DT618*Parámetros!$G$85),2))</f>
        <v/>
      </c>
      <c r="DX618" s="66" t="str">
        <f>+IF($W618="","",ROUND((DT618*(Parámetros!$G$86)),2))</f>
        <v/>
      </c>
      <c r="DY618" s="66" t="str">
        <f t="shared" si="810"/>
        <v/>
      </c>
      <c r="DZ618" t="str">
        <f t="shared" si="853"/>
        <v/>
      </c>
      <c r="EA618" s="118" t="str">
        <f t="shared" si="853"/>
        <v/>
      </c>
      <c r="EB618" s="118" t="str">
        <f>+IF($W618="","",ROUND(IF(Parámetros!$D$25='TABLAS MORT'!$V$33,EB617,Z618/2),0))</f>
        <v/>
      </c>
      <c r="EC618" s="118" t="str">
        <f t="shared" si="853"/>
        <v/>
      </c>
      <c r="ED618" s="122" t="str">
        <f>+IF(OR($W618="",EB618=0),"",ROUND((VLOOKUP(ROUNDDOWN($D618-1/frec,0),cob_adi,DO$40,FALSE)*(1+i/frec)^-0.5*(1+Parámetros!$D$103)*(1+rec_fracc)/frec),6))</f>
        <v/>
      </c>
      <c r="EE618" s="66" t="str">
        <f t="shared" si="812"/>
        <v/>
      </c>
      <c r="EF618" s="68" t="str">
        <f t="shared" si="813"/>
        <v/>
      </c>
      <c r="EG618" s="66" t="str">
        <f>+IF($W618="","",ROUND(IF($B618&gt;Parámetros!$D$107,'Tablas Servicio'!EE618+('Tablas Servicio'!EG617-'Tablas Servicio'!EE617),EE618/(1-IF(B618&lt;=10,Parámetros!$D$100,0))),2))</f>
        <v/>
      </c>
      <c r="EH618" s="66" t="str">
        <f t="shared" si="814"/>
        <v/>
      </c>
      <c r="EI618" s="66" t="str">
        <f t="shared" si="814"/>
        <v/>
      </c>
      <c r="EJ618" s="66" t="str">
        <f>+IF($W618="","",ROUND((EG618*Parámetros!$G$85),2))</f>
        <v/>
      </c>
      <c r="EK618" s="66" t="str">
        <f>+IF($W618="","",ROUND((EG618*(Parámetros!$G$86)),2))</f>
        <v/>
      </c>
      <c r="EL618" s="66" t="str">
        <f t="shared" si="815"/>
        <v/>
      </c>
    </row>
    <row r="619" spans="1:142" x14ac:dyDescent="0.25">
      <c r="A619" t="str">
        <f>+IF($C619="","",ROUND(VLOOKUP('Tablas Servicio'!B619,Parámetros!$H$100:$J$159,IF(Parámetros!$E$16="F",2,3),FALSE),2))</f>
        <v/>
      </c>
      <c r="B619" t="str">
        <f t="shared" si="854"/>
        <v/>
      </c>
      <c r="C619" s="57" t="str">
        <f>+IF(D619="","",'Tablas Servicio'!C618+1)</f>
        <v/>
      </c>
      <c r="D619" s="56" t="str">
        <f>+IF(D618&lt;edadmaxtabla,D618+1/Parámetros!$E$25,"")</f>
        <v/>
      </c>
      <c r="E619" s="57" t="str">
        <f t="shared" ref="E619:E682" si="864">+IF(D619="","",ROUNDDOWN(D619,0))</f>
        <v/>
      </c>
      <c r="F619" s="59" t="str">
        <f t="shared" ref="F619:F682" si="865">+Z619</f>
        <v/>
      </c>
      <c r="G619" s="66" t="str">
        <f t="shared" si="855"/>
        <v/>
      </c>
      <c r="H619" s="66" t="str">
        <f t="shared" si="856"/>
        <v/>
      </c>
      <c r="I619" s="66" t="str">
        <f t="shared" si="816"/>
        <v/>
      </c>
      <c r="J619" s="66" t="str">
        <f t="shared" si="857"/>
        <v/>
      </c>
      <c r="K619" s="66" t="str">
        <f t="shared" si="858"/>
        <v/>
      </c>
      <c r="L619" s="66" t="str">
        <f t="shared" si="859"/>
        <v/>
      </c>
      <c r="M619" s="66" t="str">
        <f t="shared" si="860"/>
        <v/>
      </c>
      <c r="N619" s="66" t="str">
        <f>+IF(C619="","",ROUND(Parámetros!$D$23,2))</f>
        <v/>
      </c>
      <c r="O619" s="66" t="str">
        <f t="shared" si="861"/>
        <v/>
      </c>
      <c r="P619" s="66" t="str">
        <f>+IF($C619="","",ROUND(IF(B619&gt;Parámetros!$D$117,0,N619*Parámetros!$D$116-G619*Parámetros!$D$100),2))</f>
        <v/>
      </c>
      <c r="Q619" s="75" t="str">
        <f t="shared" si="817"/>
        <v/>
      </c>
      <c r="R619" s="75" t="str">
        <f t="shared" si="818"/>
        <v/>
      </c>
      <c r="S619" s="117" t="str">
        <f>+IF($C619="","",ROUND((S618+I619)*(1+Parámetros!$D$91),2))</f>
        <v/>
      </c>
      <c r="T619" s="117" t="str">
        <f>+IF($C619="","",ROUND(S619*VLOOKUP(B619,Parámetros!$C$30:$D$39,2,TRUE),2))</f>
        <v/>
      </c>
      <c r="U619" s="117" t="str">
        <f>+IF($C619="","",ROUND((U618+I619)*(1+Parámetros!$D$92),2))</f>
        <v/>
      </c>
      <c r="V619" s="117" t="str">
        <f>+IF($C619="","",ROUND(U619*VLOOKUP(B619,Parámetros!$C$30:$D$39,2,TRUE),2))</f>
        <v/>
      </c>
      <c r="W619" s="57" t="str">
        <f t="shared" si="819"/>
        <v/>
      </c>
      <c r="X619" t="str">
        <f t="shared" si="820"/>
        <v/>
      </c>
      <c r="Y619" t="str">
        <f t="shared" si="821"/>
        <v/>
      </c>
      <c r="Z619" s="118" t="str">
        <f>+IF($W619="","",ROUND(IF(Parámetros!$D$25='TABLAS MORT'!$V$33,Z618,Parámetros!$D$21-'Tablas Servicio'!T618),0))</f>
        <v/>
      </c>
      <c r="AA619" s="118" t="str">
        <f t="shared" si="822"/>
        <v/>
      </c>
      <c r="AB619" s="119" t="str">
        <f>+IF(W619="","",ROUND((VLOOKUP(ROUNDDOWN($D619-1/frec,0),qx_tabla,2,FALSE)*(1+i/frec)^-0.5*(1+Parámetros!$D$103)*(1+rec_fracc)/frec),6))</f>
        <v/>
      </c>
      <c r="AC619" s="66" t="str">
        <f t="shared" ref="AC619:AC682" si="866">+IF($W619="","",ROUND((AB619*Z619),2))</f>
        <v/>
      </c>
      <c r="AD619" s="119" t="str">
        <f t="shared" si="862"/>
        <v/>
      </c>
      <c r="AE619" s="66" t="str">
        <f>+IF($W619="","",ROUND(IF($B619&gt;Parámetros!$D$107,'Tablas Servicio'!AC619+('Tablas Servicio'!AG618-'Tablas Servicio'!AC618),AC619/(1-IF(B619&lt;=10,Parámetros!$D$104,Parámetros!$D$105))),2))</f>
        <v/>
      </c>
      <c r="AF619" s="66" t="str">
        <f>+IF($W619="","",ROUND(IF($B619&gt;Parámetros!$D$107,'Tablas Servicio'!AC619+('Tablas Servicio'!AG618-'Tablas Servicio'!AC618),(AC619+$A618/frec)/(1-IF(B619&lt;=Parámetros!$D$117,Parámetros!$D$100,0))),2))</f>
        <v/>
      </c>
      <c r="AG619" s="66" t="str">
        <f t="shared" ref="AG619:AG682" si="867">+IF($W619="","",MIN(AE619,AF619))</f>
        <v/>
      </c>
      <c r="AH619" s="66" t="str">
        <f t="shared" ref="AH619:AH682" si="868">+IF($W619="","",0)</f>
        <v/>
      </c>
      <c r="AI619" s="66" t="str">
        <f t="shared" ref="AI619:AI682" si="869">IF($W619="","",0)</f>
        <v/>
      </c>
      <c r="AJ619" s="66" t="str">
        <f>+IF($W619="","",ROUND((AG619*Parámetros!$G$85),2))</f>
        <v/>
      </c>
      <c r="AK619" s="66" t="str">
        <f>+IF($W619="","",ROUND((AG619*(Parámetros!$G$86)),2))</f>
        <v/>
      </c>
      <c r="AL619" s="66" t="str">
        <f t="shared" si="863"/>
        <v/>
      </c>
      <c r="AM619" t="str">
        <f t="shared" si="823"/>
        <v/>
      </c>
      <c r="AN619" t="str">
        <f t="shared" si="824"/>
        <v/>
      </c>
      <c r="AO619" s="118" t="str">
        <f t="shared" si="825"/>
        <v/>
      </c>
      <c r="AP619" s="118" t="str">
        <f t="shared" si="826"/>
        <v/>
      </c>
      <c r="AQ619" s="119" t="str">
        <f>+IF(OR($W619="",AO619=0),"",ROUND((VLOOKUP(ROUNDDOWN($D619-1/frec,0),cob_adi,Z$40,FALSE)*(1+i/frec)^-0.5*(1+Parámetros!$D$103)*(1+rec_fracc)/frec),6))</f>
        <v/>
      </c>
      <c r="AR619" s="66" t="str">
        <f t="shared" ref="AR619:AR682" si="870">+IF(AO619=0,0,IF($W619="","",ROUND((AQ619*AO619),2)))</f>
        <v/>
      </c>
      <c r="AS619" s="119" t="str">
        <f t="shared" ref="AS619:AS682" si="871">+IF(OR($W619="",AO619=0),"",ROUND((AT619/AO619),6))</f>
        <v/>
      </c>
      <c r="AT619" s="66" t="str">
        <f>+IF($W619="","",ROUND(IF($B619&gt;Parámetros!$D$107,'Tablas Servicio'!AR619+('Tablas Servicio'!AT618-'Tablas Servicio'!AR618),AR619/(1-IF(B619&lt;=10,Parámetros!$D$100,0))),2))</f>
        <v/>
      </c>
      <c r="AU619" s="66" t="str">
        <f t="shared" ref="AU619:AV682" si="872">+IF($W619="","",0)</f>
        <v/>
      </c>
      <c r="AV619" s="66" t="str">
        <f t="shared" si="872"/>
        <v/>
      </c>
      <c r="AW619" s="66" t="str">
        <f>+IF($W619="","",ROUND((AT619*Parámetros!$G$85),2))</f>
        <v/>
      </c>
      <c r="AX619" s="66" t="str">
        <f>+IF($W619="","",ROUND((AT619*(Parámetros!$G$86)),2))</f>
        <v/>
      </c>
      <c r="AY619" s="66" t="str">
        <f t="shared" ref="AY619:AY682" si="873">+IF($W619="","",ROUND((AT619+AW619+AX619),2))</f>
        <v/>
      </c>
      <c r="AZ619" t="str">
        <f t="shared" si="827"/>
        <v/>
      </c>
      <c r="BA619" t="str">
        <f t="shared" si="828"/>
        <v/>
      </c>
      <c r="BB619" s="118" t="str">
        <f t="shared" si="829"/>
        <v/>
      </c>
      <c r="BC619" s="118" t="str">
        <f t="shared" si="830"/>
        <v/>
      </c>
      <c r="BD619" s="119" t="str">
        <f>+IF(OR($W619="",BB619=0),"",ROUND((VLOOKUP(ROUNDDOWN($D619-1/frec,0),cob_adi,AO$40,FALSE)*(1+i/frec)^-0.5*(1+Parámetros!$D$103)*(1+rec_fracc)/frec),6))</f>
        <v/>
      </c>
      <c r="BE619" s="66" t="str">
        <f t="shared" ref="BE619:BE682" si="874">+IF(BB619=0,0,IF($W619="","",ROUND(((BD619*BB619)),2)))</f>
        <v/>
      </c>
      <c r="BF619" s="119" t="str">
        <f t="shared" ref="BF619:BF682" si="875">+IF(OR($W619="",BB619=0),"",ROUND((BG619/BB619),6))</f>
        <v/>
      </c>
      <c r="BG619" s="66" t="str">
        <f>+IF($W619="","",ROUND(IF($B619&gt;Parámetros!$D$107,'Tablas Servicio'!BE619+('Tablas Servicio'!BG618-'Tablas Servicio'!BE618),BE619/(1-IF(B619&lt;=10,Parámetros!$D$100,0))),2))</f>
        <v/>
      </c>
      <c r="BH619" s="66" t="str">
        <f t="shared" ref="BH619:BH682" si="876">IF($W619="","",0)</f>
        <v/>
      </c>
      <c r="BI619" s="66" t="str">
        <f t="shared" ref="BI619:BI682" si="877">+IF($W619="","",0)</f>
        <v/>
      </c>
      <c r="BJ619" s="66" t="str">
        <f>+IF($W619="","",ROUND((BG619*Parámetros!$G$85),2))</f>
        <v/>
      </c>
      <c r="BK619" s="66" t="str">
        <f>+IF($W619="","",ROUND((BG619*(Parámetros!$G$86)),2))</f>
        <v/>
      </c>
      <c r="BL619" s="66" t="str">
        <f t="shared" ref="BL619:BL682" si="878">+IF($W619="","",ROUND((BG619+BJ619+BK619),2))</f>
        <v/>
      </c>
      <c r="BM619" t="str">
        <f t="shared" si="831"/>
        <v/>
      </c>
      <c r="BN619" t="str">
        <f t="shared" si="832"/>
        <v/>
      </c>
      <c r="BO619" s="118" t="str">
        <f t="shared" si="833"/>
        <v/>
      </c>
      <c r="BP619" s="118" t="str">
        <f t="shared" si="834"/>
        <v/>
      </c>
      <c r="BQ619" s="119" t="str">
        <f>+IF(OR($W619="",BO619=0),"",ROUND((VLOOKUP(ROUNDDOWN($D619-1/frec,0),cob_adi,BB$40,FALSE)*(1+i/frec)^-0.5*(1+Parámetros!$D$103)*(1+rec_fracc)/frec),6))</f>
        <v/>
      </c>
      <c r="BR619" s="66" t="str">
        <f t="shared" ref="BR619:BR682" si="879">+IF(BO619=0,0,IF($W619="","",ROUND(((BQ619*BO619)),2)))</f>
        <v/>
      </c>
      <c r="BS619" s="119" t="str">
        <f t="shared" ref="BS619:BS682" si="880">+IF(OR($W619="",BO619=0),"",ROUND((BT619/BO619),6))</f>
        <v/>
      </c>
      <c r="BT619" s="66" t="str">
        <f>+IF($W619="","",ROUND(IF($B619&gt;Parámetros!$D$107,'Tablas Servicio'!BR619+('Tablas Servicio'!BT618-'Tablas Servicio'!BR618),BR619/(1-IF(B619&lt;=10,Parámetros!$D$100,0))),2))</f>
        <v/>
      </c>
      <c r="BU619" s="66" t="str">
        <f t="shared" ref="BU619:BV682" si="881">+IF($W619="","",0)</f>
        <v/>
      </c>
      <c r="BV619" s="66" t="str">
        <f t="shared" si="881"/>
        <v/>
      </c>
      <c r="BW619" s="66" t="str">
        <f>+IF($W619="","",ROUND((BT619*Parámetros!$G$85),2))</f>
        <v/>
      </c>
      <c r="BX619" s="66" t="str">
        <f>+IF($W619="","",ROUND((BT619*(Parámetros!$G$86)),2))</f>
        <v/>
      </c>
      <c r="BY619" s="66" t="str">
        <f t="shared" ref="BY619:BY682" si="882">+IF($W619="","",ROUND((BT619+BW619+BX619),2))</f>
        <v/>
      </c>
      <c r="BZ619" t="str">
        <f t="shared" si="835"/>
        <v/>
      </c>
      <c r="CA619" t="str">
        <f t="shared" si="836"/>
        <v/>
      </c>
      <c r="CB619" s="118" t="str">
        <f t="shared" si="837"/>
        <v/>
      </c>
      <c r="CC619" s="118" t="str">
        <f t="shared" si="838"/>
        <v/>
      </c>
      <c r="CD619" s="119" t="str">
        <f t="shared" ref="CD619:CD682" si="883">+IF(OR($W619="",CB619=0),"",ROUND((CE619/CB619),6))</f>
        <v/>
      </c>
      <c r="CE619" s="66" t="str">
        <f>+IF($W619="","",ROUND((VLOOKUP(ROUNDDOWN($D619-1/frec,0),cob_adi,BO$40,FALSE)*(1+i/frec)^-0.5*(1+Parámetros!$D$103)*(1+rec_fracc)/frec*'TABLAS ADI'!$BC$17),2))</f>
        <v/>
      </c>
      <c r="CF619" s="119" t="str">
        <f t="shared" ref="CF619:CF682" si="884">+IF(OR($W619="",CB619=0),"",ROUND((CG619/CB619),6))</f>
        <v/>
      </c>
      <c r="CG619" s="66" t="str">
        <f>+IF($W619="","",ROUND(IF($B619&gt;Parámetros!$D$107,'Tablas Servicio'!CE619+('Tablas Servicio'!CG618-'Tablas Servicio'!CE618),CE619/(1-IF(B619&lt;=10,Parámetros!$D$100,0))),2))</f>
        <v/>
      </c>
      <c r="CH619" s="66" t="str">
        <f t="shared" ref="CH619:CI682" si="885">+IF($W619="","",0)</f>
        <v/>
      </c>
      <c r="CI619" s="66" t="str">
        <f t="shared" si="885"/>
        <v/>
      </c>
      <c r="CJ619" s="66" t="str">
        <f>+IF($W619="","",ROUND((CG619*Parámetros!$G$85),2))</f>
        <v/>
      </c>
      <c r="CK619" s="66" t="str">
        <f>+IF($W619="","",ROUND((CG619*(Parámetros!$G$86)),2))</f>
        <v/>
      </c>
      <c r="CL619" s="66" t="str">
        <f t="shared" ref="CL619:CL682" si="886">+IF($W619="","",ROUND((CG619+CJ619+CK619),2))</f>
        <v/>
      </c>
      <c r="CM619" t="str">
        <f t="shared" si="839"/>
        <v/>
      </c>
      <c r="CN619" s="118" t="str">
        <f t="shared" si="840"/>
        <v/>
      </c>
      <c r="CO619" s="118" t="str">
        <f t="shared" si="841"/>
        <v/>
      </c>
      <c r="CP619" s="118" t="str">
        <f t="shared" si="842"/>
        <v/>
      </c>
      <c r="CQ619" s="119" t="str">
        <f t="shared" ref="CQ619:CQ682" si="887">+IF(OR($W619="",CO619=0),"",ROUND((CR619/CO619),6))</f>
        <v/>
      </c>
      <c r="CR619" s="66" t="str">
        <f>+IF($W619="","",ROUND((VLOOKUP(Parámetros!$F$51,'COBERTURAS ADICIONALES'!$S$4:$T$32,2,FALSE)*(1+i/frec)^-0.5*(1+Parámetros!$D$103)*(1+rec_fracc)/frec*$CO$42),2))</f>
        <v/>
      </c>
      <c r="CS619" s="119" t="str">
        <f t="shared" ref="CS619:CS682" si="888">+IF(OR($W619="",CO619=0),"",ROUND((CT619/CO619),6))</f>
        <v/>
      </c>
      <c r="CT619" s="66" t="str">
        <f>+IF($W619="","",ROUND(IF($B619&gt;Parámetros!$D$107,'Tablas Servicio'!CR619+('Tablas Servicio'!CT618-'Tablas Servicio'!CR618),CR619/(1-IF(B619&lt;=10,Parámetros!$D$100,0))),2))</f>
        <v/>
      </c>
      <c r="CU619" s="66" t="str">
        <f t="shared" ref="CU619:CV682" si="889">+IF($W619="","",0)</f>
        <v/>
      </c>
      <c r="CV619" s="66" t="str">
        <f t="shared" si="889"/>
        <v/>
      </c>
      <c r="CW619" s="66" t="str">
        <f>+IF($W619="","",ROUND((CT619*Parámetros!$G$85),2))</f>
        <v/>
      </c>
      <c r="CX619" s="66" t="str">
        <f>+IF($W619="","",ROUND((CT619*(Parámetros!$G$86)),2))</f>
        <v/>
      </c>
      <c r="CY619" s="66" t="str">
        <f t="shared" ref="CY619:CY682" si="890">+IF($W619="","",ROUND((CT619+CW619+CX619),2))</f>
        <v/>
      </c>
      <c r="CZ619" t="str">
        <f t="shared" si="843"/>
        <v/>
      </c>
      <c r="DA619" s="118" t="str">
        <f t="shared" si="844"/>
        <v/>
      </c>
      <c r="DB619" s="118" t="str">
        <f t="shared" si="845"/>
        <v/>
      </c>
      <c r="DC619" s="118" t="str">
        <f t="shared" si="846"/>
        <v/>
      </c>
      <c r="DD619" s="121" t="str">
        <f>+IF(OR($W619="",DB619=0),"",ROUND((VLOOKUP(ROUNDDOWN($D619-1/frec,0),cob_adi,CO$40,FALSE)*(1+i/frec)^-0.5*(1+Parámetros!$D$103)*(1+rec_fracc)/frec),6))</f>
        <v/>
      </c>
      <c r="DE619" s="66" t="str">
        <f t="shared" ref="DE619:DE682" si="891">+IF(DB619=0,0,IF($W619="","",ROUND(((DD619*DB619)),2)))</f>
        <v/>
      </c>
      <c r="DF619" s="119" t="str">
        <f t="shared" ref="DF619:DF682" si="892">+IF(OR($W619="",DB619=0),"",ROUND((DG619/DB619),6))</f>
        <v/>
      </c>
      <c r="DG619" s="66" t="str">
        <f>+IF($W619="","",ROUND(IF($B619&gt;Parámetros!$D$107,'Tablas Servicio'!DE619+('Tablas Servicio'!DG618-'Tablas Servicio'!DE618),DE619/(1-IF(B619&lt;=10,Parámetros!$D$100,0))),2))</f>
        <v/>
      </c>
      <c r="DH619" s="66" t="str">
        <f t="shared" ref="DH619:DI682" si="893">+IF($W619="","",0)</f>
        <v/>
      </c>
      <c r="DI619" s="66" t="str">
        <f t="shared" si="893"/>
        <v/>
      </c>
      <c r="DJ619" s="66" t="str">
        <f>+IF($W619="","",ROUND((DG619*Parámetros!$G$85),2))</f>
        <v/>
      </c>
      <c r="DK619" s="66" t="str">
        <f>+IF($W619="","",ROUND((DG619*(Parámetros!$G$86)),2))</f>
        <v/>
      </c>
      <c r="DL619" s="66" t="str">
        <f t="shared" ref="DL619:DL682" si="894">+IF($W619="","",ROUND((DG619+DJ619+DK619),2))</f>
        <v/>
      </c>
      <c r="DM619" t="str">
        <f t="shared" si="847"/>
        <v/>
      </c>
      <c r="DN619" s="118" t="str">
        <f t="shared" si="848"/>
        <v/>
      </c>
      <c r="DO619" s="118" t="str">
        <f t="shared" si="849"/>
        <v/>
      </c>
      <c r="DP619" s="118" t="str">
        <f t="shared" si="850"/>
        <v/>
      </c>
      <c r="DQ619" s="122" t="str">
        <f>+IF(OR($W619="",DO619=0),"",ROUND((VLOOKUP(ROUNDDOWN($D619-1/frec,0),cob_adi,DB$40,FALSE)*(1+i/frec)^-0.5*(1+Parámetros!$D$103)*(1+rec_fracc)/frec),6))</f>
        <v/>
      </c>
      <c r="DR619" s="66" t="str">
        <f t="shared" ref="DR619:DR682" si="895">+IF(DO619=0,0,IF($W619="","",ROUND(((DQ619*DO619)),2)))</f>
        <v/>
      </c>
      <c r="DS619" s="68" t="str">
        <f t="shared" ref="DS619:DS682" si="896">+IF(OR($W619="",DO619=0),"",ROUND((DT619/DO619),6))</f>
        <v/>
      </c>
      <c r="DT619" s="66" t="str">
        <f>+IF($W619="","",ROUND(IF($B619&gt;Parámetros!$D$107,'Tablas Servicio'!DR619+('Tablas Servicio'!DT618-'Tablas Servicio'!DR618),DR619/(1-IF(B619&lt;=10,Parámetros!$D$100,0))),2))</f>
        <v/>
      </c>
      <c r="DU619" s="66" t="str">
        <f t="shared" ref="DU619:DV682" si="897">+IF($W619="","",0)</f>
        <v/>
      </c>
      <c r="DV619" s="66" t="str">
        <f t="shared" si="897"/>
        <v/>
      </c>
      <c r="DW619" s="66" t="str">
        <f>+IF($W619="","",ROUND((DT619*Parámetros!$G$85),2))</f>
        <v/>
      </c>
      <c r="DX619" s="66" t="str">
        <f>+IF($W619="","",ROUND((DT619*(Parámetros!$G$86)),2))</f>
        <v/>
      </c>
      <c r="DY619" s="66" t="str">
        <f t="shared" ref="DY619:DY682" si="898">+IF($W619="","",ROUND((DT619+DW619+DX619),2))</f>
        <v/>
      </c>
      <c r="DZ619" t="str">
        <f t="shared" ref="DZ619:EC634" si="899">+IF($W619="","",DZ618)</f>
        <v/>
      </c>
      <c r="EA619" s="118" t="str">
        <f t="shared" si="899"/>
        <v/>
      </c>
      <c r="EB619" s="118" t="str">
        <f>+IF($W619="","",ROUND(IF(Parámetros!$D$25='TABLAS MORT'!$V$33,EB618,Z619/2),0))</f>
        <v/>
      </c>
      <c r="EC619" s="118" t="str">
        <f t="shared" si="899"/>
        <v/>
      </c>
      <c r="ED619" s="122" t="str">
        <f>+IF(OR($W619="",EB619=0),"",ROUND((VLOOKUP(ROUNDDOWN($D619-1/frec,0),cob_adi,DO$40,FALSE)*(1+i/frec)^-0.5*(1+Parámetros!$D$103)*(1+rec_fracc)/frec),6))</f>
        <v/>
      </c>
      <c r="EE619" s="66" t="str">
        <f t="shared" ref="EE619:EE682" si="900">+IF(EB619=0,0,IF($W619="","",ROUND(((ED619*EB619)),2)))</f>
        <v/>
      </c>
      <c r="EF619" s="68" t="str">
        <f t="shared" ref="EF619:EF682" si="901">+IF(OR($W619="",EB619=0),"",ROUND((EG619/EB619),6))</f>
        <v/>
      </c>
      <c r="EG619" s="66" t="str">
        <f>+IF($W619="","",ROUND(IF($B619&gt;Parámetros!$D$107,'Tablas Servicio'!EE619+('Tablas Servicio'!EG618-'Tablas Servicio'!EE618),EE619/(1-IF(B619&lt;=10,Parámetros!$D$100,0))),2))</f>
        <v/>
      </c>
      <c r="EH619" s="66" t="str">
        <f t="shared" ref="EH619:EI682" si="902">+IF($W619="","",0)</f>
        <v/>
      </c>
      <c r="EI619" s="66" t="str">
        <f t="shared" si="902"/>
        <v/>
      </c>
      <c r="EJ619" s="66" t="str">
        <f>+IF($W619="","",ROUND((EG619*Parámetros!$G$85),2))</f>
        <v/>
      </c>
      <c r="EK619" s="66" t="str">
        <f>+IF($W619="","",ROUND((EG619*(Parámetros!$G$86)),2))</f>
        <v/>
      </c>
      <c r="EL619" s="66" t="str">
        <f t="shared" ref="EL619:EL682" si="903">+IF($W619="","",ROUND((EG619+EJ619+EK619),2))</f>
        <v/>
      </c>
    </row>
    <row r="620" spans="1:142" x14ac:dyDescent="0.25">
      <c r="A620" t="str">
        <f>+IF($C620="","",ROUND(VLOOKUP('Tablas Servicio'!B620,Parámetros!$H$100:$J$159,IF(Parámetros!$E$16="F",2,3),FALSE),2))</f>
        <v/>
      </c>
      <c r="B620" t="str">
        <f t="shared" si="854"/>
        <v/>
      </c>
      <c r="C620" s="57" t="str">
        <f>+IF(D620="","",'Tablas Servicio'!C619+1)</f>
        <v/>
      </c>
      <c r="D620" s="56" t="str">
        <f>+IF(D619&lt;edadmaxtabla,D619+1/Parámetros!$E$25,"")</f>
        <v/>
      </c>
      <c r="E620" s="57" t="str">
        <f t="shared" si="864"/>
        <v/>
      </c>
      <c r="F620" s="59" t="str">
        <f t="shared" si="865"/>
        <v/>
      </c>
      <c r="G620" s="66" t="str">
        <f t="shared" si="855"/>
        <v/>
      </c>
      <c r="H620" s="66" t="str">
        <f t="shared" si="856"/>
        <v/>
      </c>
      <c r="I620" s="66" t="str">
        <f t="shared" si="816"/>
        <v/>
      </c>
      <c r="J620" s="66" t="str">
        <f t="shared" si="857"/>
        <v/>
      </c>
      <c r="K620" s="66" t="str">
        <f t="shared" si="858"/>
        <v/>
      </c>
      <c r="L620" s="66" t="str">
        <f t="shared" si="859"/>
        <v/>
      </c>
      <c r="M620" s="66" t="str">
        <f t="shared" si="860"/>
        <v/>
      </c>
      <c r="N620" s="66" t="str">
        <f>+IF(C620="","",ROUND(Parámetros!$D$23,2))</f>
        <v/>
      </c>
      <c r="O620" s="66" t="str">
        <f t="shared" si="861"/>
        <v/>
      </c>
      <c r="P620" s="66" t="str">
        <f>+IF($C620="","",ROUND(IF(B620&gt;Parámetros!$D$117,0,N620*Parámetros!$D$116-G620*Parámetros!$D$100),2))</f>
        <v/>
      </c>
      <c r="Q620" s="75" t="str">
        <f t="shared" si="817"/>
        <v/>
      </c>
      <c r="R620" s="75" t="str">
        <f t="shared" si="818"/>
        <v/>
      </c>
      <c r="S620" s="117" t="str">
        <f>+IF($C620="","",ROUND((S619+I620)*(1+Parámetros!$D$91),2))</f>
        <v/>
      </c>
      <c r="T620" s="117" t="str">
        <f>+IF($C620="","",ROUND(S620*VLOOKUP(B620,Parámetros!$C$30:$D$39,2,TRUE),2))</f>
        <v/>
      </c>
      <c r="U620" s="117" t="str">
        <f>+IF($C620="","",ROUND((U619+I620)*(1+Parámetros!$D$92),2))</f>
        <v/>
      </c>
      <c r="V620" s="117" t="str">
        <f>+IF($C620="","",ROUND(U620*VLOOKUP(B620,Parámetros!$C$30:$D$39,2,TRUE),2))</f>
        <v/>
      </c>
      <c r="W620" s="57" t="str">
        <f t="shared" si="819"/>
        <v/>
      </c>
      <c r="X620" t="str">
        <f t="shared" si="820"/>
        <v/>
      </c>
      <c r="Y620" t="str">
        <f t="shared" si="821"/>
        <v/>
      </c>
      <c r="Z620" s="118" t="str">
        <f>+IF($W620="","",ROUND(IF(Parámetros!$D$25='TABLAS MORT'!$V$33,Z619,Parámetros!$D$21-'Tablas Servicio'!T619),0))</f>
        <v/>
      </c>
      <c r="AA620" s="118" t="str">
        <f t="shared" si="822"/>
        <v/>
      </c>
      <c r="AB620" s="119" t="str">
        <f>+IF(W620="","",ROUND((VLOOKUP(ROUNDDOWN($D620-1/frec,0),qx_tabla,2,FALSE)*(1+i/frec)^-0.5*(1+Parámetros!$D$103)*(1+rec_fracc)/frec),6))</f>
        <v/>
      </c>
      <c r="AC620" s="66" t="str">
        <f t="shared" si="866"/>
        <v/>
      </c>
      <c r="AD620" s="119" t="str">
        <f t="shared" si="862"/>
        <v/>
      </c>
      <c r="AE620" s="66" t="str">
        <f>+IF($W620="","",ROUND(IF($B620&gt;Parámetros!$D$107,'Tablas Servicio'!AC620+('Tablas Servicio'!AG619-'Tablas Servicio'!AC619),AC620/(1-IF(B620&lt;=10,Parámetros!$D$104,Parámetros!$D$105))),2))</f>
        <v/>
      </c>
      <c r="AF620" s="66" t="str">
        <f>+IF($W620="","",ROUND(IF($B620&gt;Parámetros!$D$107,'Tablas Servicio'!AC620+('Tablas Servicio'!AG619-'Tablas Servicio'!AC619),(AC620+$A619/frec)/(1-IF(B620&lt;=Parámetros!$D$117,Parámetros!$D$100,0))),2))</f>
        <v/>
      </c>
      <c r="AG620" s="66" t="str">
        <f t="shared" si="867"/>
        <v/>
      </c>
      <c r="AH620" s="66" t="str">
        <f t="shared" si="868"/>
        <v/>
      </c>
      <c r="AI620" s="66" t="str">
        <f t="shared" si="869"/>
        <v/>
      </c>
      <c r="AJ620" s="66" t="str">
        <f>+IF($W620="","",ROUND((AG620*Parámetros!$G$85),2))</f>
        <v/>
      </c>
      <c r="AK620" s="66" t="str">
        <f>+IF($W620="","",ROUND((AG620*(Parámetros!$G$86)),2))</f>
        <v/>
      </c>
      <c r="AL620" s="66" t="str">
        <f t="shared" si="863"/>
        <v/>
      </c>
      <c r="AM620" t="str">
        <f t="shared" si="823"/>
        <v/>
      </c>
      <c r="AN620" t="str">
        <f t="shared" si="824"/>
        <v/>
      </c>
      <c r="AO620" s="118" t="str">
        <f t="shared" si="825"/>
        <v/>
      </c>
      <c r="AP620" s="118" t="str">
        <f t="shared" si="826"/>
        <v/>
      </c>
      <c r="AQ620" s="119" t="str">
        <f>+IF(OR($W620="",AO620=0),"",ROUND((VLOOKUP(ROUNDDOWN($D620-1/frec,0),cob_adi,Z$40,FALSE)*(1+i/frec)^-0.5*(1+Parámetros!$D$103)*(1+rec_fracc)/frec),6))</f>
        <v/>
      </c>
      <c r="AR620" s="66" t="str">
        <f t="shared" si="870"/>
        <v/>
      </c>
      <c r="AS620" s="119" t="str">
        <f t="shared" si="871"/>
        <v/>
      </c>
      <c r="AT620" s="66" t="str">
        <f>+IF($W620="","",ROUND(IF($B620&gt;Parámetros!$D$107,'Tablas Servicio'!AR620+('Tablas Servicio'!AT619-'Tablas Servicio'!AR619),AR620/(1-IF(B620&lt;=10,Parámetros!$D$100,0))),2))</f>
        <v/>
      </c>
      <c r="AU620" s="66" t="str">
        <f t="shared" si="872"/>
        <v/>
      </c>
      <c r="AV620" s="66" t="str">
        <f t="shared" si="872"/>
        <v/>
      </c>
      <c r="AW620" s="66" t="str">
        <f>+IF($W620="","",ROUND((AT620*Parámetros!$G$85),2))</f>
        <v/>
      </c>
      <c r="AX620" s="66" t="str">
        <f>+IF($W620="","",ROUND((AT620*(Parámetros!$G$86)),2))</f>
        <v/>
      </c>
      <c r="AY620" s="66" t="str">
        <f t="shared" si="873"/>
        <v/>
      </c>
      <c r="AZ620" t="str">
        <f t="shared" si="827"/>
        <v/>
      </c>
      <c r="BA620" t="str">
        <f t="shared" si="828"/>
        <v/>
      </c>
      <c r="BB620" s="118" t="str">
        <f t="shared" si="829"/>
        <v/>
      </c>
      <c r="BC620" s="118" t="str">
        <f t="shared" si="830"/>
        <v/>
      </c>
      <c r="BD620" s="119" t="str">
        <f>+IF(OR($W620="",BB620=0),"",ROUND((VLOOKUP(ROUNDDOWN($D620-1/frec,0),cob_adi,AO$40,FALSE)*(1+i/frec)^-0.5*(1+Parámetros!$D$103)*(1+rec_fracc)/frec),6))</f>
        <v/>
      </c>
      <c r="BE620" s="66" t="str">
        <f t="shared" si="874"/>
        <v/>
      </c>
      <c r="BF620" s="119" t="str">
        <f t="shared" si="875"/>
        <v/>
      </c>
      <c r="BG620" s="66" t="str">
        <f>+IF($W620="","",ROUND(IF($B620&gt;Parámetros!$D$107,'Tablas Servicio'!BE620+('Tablas Servicio'!BG619-'Tablas Servicio'!BE619),BE620/(1-IF(B620&lt;=10,Parámetros!$D$100,0))),2))</f>
        <v/>
      </c>
      <c r="BH620" s="66" t="str">
        <f t="shared" si="876"/>
        <v/>
      </c>
      <c r="BI620" s="66" t="str">
        <f t="shared" si="877"/>
        <v/>
      </c>
      <c r="BJ620" s="66" t="str">
        <f>+IF($W620="","",ROUND((BG620*Parámetros!$G$85),2))</f>
        <v/>
      </c>
      <c r="BK620" s="66" t="str">
        <f>+IF($W620="","",ROUND((BG620*(Parámetros!$G$86)),2))</f>
        <v/>
      </c>
      <c r="BL620" s="66" t="str">
        <f t="shared" si="878"/>
        <v/>
      </c>
      <c r="BM620" t="str">
        <f t="shared" si="831"/>
        <v/>
      </c>
      <c r="BN620" t="str">
        <f t="shared" si="832"/>
        <v/>
      </c>
      <c r="BO620" s="118" t="str">
        <f t="shared" si="833"/>
        <v/>
      </c>
      <c r="BP620" s="118" t="str">
        <f t="shared" si="834"/>
        <v/>
      </c>
      <c r="BQ620" s="119" t="str">
        <f>+IF(OR($W620="",BO620=0),"",ROUND((VLOOKUP(ROUNDDOWN($D620-1/frec,0),cob_adi,BB$40,FALSE)*(1+i/frec)^-0.5*(1+Parámetros!$D$103)*(1+rec_fracc)/frec),6))</f>
        <v/>
      </c>
      <c r="BR620" s="66" t="str">
        <f t="shared" si="879"/>
        <v/>
      </c>
      <c r="BS620" s="119" t="str">
        <f t="shared" si="880"/>
        <v/>
      </c>
      <c r="BT620" s="66" t="str">
        <f>+IF($W620="","",ROUND(IF($B620&gt;Parámetros!$D$107,'Tablas Servicio'!BR620+('Tablas Servicio'!BT619-'Tablas Servicio'!BR619),BR620/(1-IF(B620&lt;=10,Parámetros!$D$100,0))),2))</f>
        <v/>
      </c>
      <c r="BU620" s="66" t="str">
        <f t="shared" si="881"/>
        <v/>
      </c>
      <c r="BV620" s="66" t="str">
        <f t="shared" si="881"/>
        <v/>
      </c>
      <c r="BW620" s="66" t="str">
        <f>+IF($W620="","",ROUND((BT620*Parámetros!$G$85),2))</f>
        <v/>
      </c>
      <c r="BX620" s="66" t="str">
        <f>+IF($W620="","",ROUND((BT620*(Parámetros!$G$86)),2))</f>
        <v/>
      </c>
      <c r="BY620" s="66" t="str">
        <f t="shared" si="882"/>
        <v/>
      </c>
      <c r="BZ620" t="str">
        <f t="shared" si="835"/>
        <v/>
      </c>
      <c r="CA620" t="str">
        <f t="shared" si="836"/>
        <v/>
      </c>
      <c r="CB620" s="118" t="str">
        <f t="shared" si="837"/>
        <v/>
      </c>
      <c r="CC620" s="118" t="str">
        <f t="shared" si="838"/>
        <v/>
      </c>
      <c r="CD620" s="119" t="str">
        <f t="shared" si="883"/>
        <v/>
      </c>
      <c r="CE620" s="66" t="str">
        <f>+IF($W620="","",ROUND((VLOOKUP(ROUNDDOWN($D620-1/frec,0),cob_adi,BO$40,FALSE)*(1+i/frec)^-0.5*(1+Parámetros!$D$103)*(1+rec_fracc)/frec*'TABLAS ADI'!$BC$17),2))</f>
        <v/>
      </c>
      <c r="CF620" s="119" t="str">
        <f t="shared" si="884"/>
        <v/>
      </c>
      <c r="CG620" s="66" t="str">
        <f>+IF($W620="","",ROUND(IF($B620&gt;Parámetros!$D$107,'Tablas Servicio'!CE620+('Tablas Servicio'!CG619-'Tablas Servicio'!CE619),CE620/(1-IF(B620&lt;=10,Parámetros!$D$100,0))),2))</f>
        <v/>
      </c>
      <c r="CH620" s="66" t="str">
        <f t="shared" si="885"/>
        <v/>
      </c>
      <c r="CI620" s="66" t="str">
        <f t="shared" si="885"/>
        <v/>
      </c>
      <c r="CJ620" s="66" t="str">
        <f>+IF($W620="","",ROUND((CG620*Parámetros!$G$85),2))</f>
        <v/>
      </c>
      <c r="CK620" s="66" t="str">
        <f>+IF($W620="","",ROUND((CG620*(Parámetros!$G$86)),2))</f>
        <v/>
      </c>
      <c r="CL620" s="66" t="str">
        <f t="shared" si="886"/>
        <v/>
      </c>
      <c r="CM620" t="str">
        <f t="shared" si="839"/>
        <v/>
      </c>
      <c r="CN620" s="118" t="str">
        <f t="shared" si="840"/>
        <v/>
      </c>
      <c r="CO620" s="118" t="str">
        <f t="shared" si="841"/>
        <v/>
      </c>
      <c r="CP620" s="118" t="str">
        <f t="shared" si="842"/>
        <v/>
      </c>
      <c r="CQ620" s="119" t="str">
        <f t="shared" si="887"/>
        <v/>
      </c>
      <c r="CR620" s="66" t="str">
        <f>+IF($W620="","",ROUND((VLOOKUP(Parámetros!$F$51,'COBERTURAS ADICIONALES'!$S$4:$T$32,2,FALSE)*(1+i/frec)^-0.5*(1+Parámetros!$D$103)*(1+rec_fracc)/frec*$CO$42),2))</f>
        <v/>
      </c>
      <c r="CS620" s="119" t="str">
        <f t="shared" si="888"/>
        <v/>
      </c>
      <c r="CT620" s="66" t="str">
        <f>+IF($W620="","",ROUND(IF($B620&gt;Parámetros!$D$107,'Tablas Servicio'!CR620+('Tablas Servicio'!CT619-'Tablas Servicio'!CR619),CR620/(1-IF(B620&lt;=10,Parámetros!$D$100,0))),2))</f>
        <v/>
      </c>
      <c r="CU620" s="66" t="str">
        <f t="shared" si="889"/>
        <v/>
      </c>
      <c r="CV620" s="66" t="str">
        <f t="shared" si="889"/>
        <v/>
      </c>
      <c r="CW620" s="66" t="str">
        <f>+IF($W620="","",ROUND((CT620*Parámetros!$G$85),2))</f>
        <v/>
      </c>
      <c r="CX620" s="66" t="str">
        <f>+IF($W620="","",ROUND((CT620*(Parámetros!$G$86)),2))</f>
        <v/>
      </c>
      <c r="CY620" s="66" t="str">
        <f t="shared" si="890"/>
        <v/>
      </c>
      <c r="CZ620" t="str">
        <f t="shared" si="843"/>
        <v/>
      </c>
      <c r="DA620" s="118" t="str">
        <f t="shared" si="844"/>
        <v/>
      </c>
      <c r="DB620" s="118" t="str">
        <f t="shared" si="845"/>
        <v/>
      </c>
      <c r="DC620" s="118" t="str">
        <f t="shared" si="846"/>
        <v/>
      </c>
      <c r="DD620" s="121" t="str">
        <f>+IF(OR($W620="",DB620=0),"",ROUND((VLOOKUP(ROUNDDOWN($D620-1/frec,0),cob_adi,CO$40,FALSE)*(1+i/frec)^-0.5*(1+Parámetros!$D$103)*(1+rec_fracc)/frec),6))</f>
        <v/>
      </c>
      <c r="DE620" s="66" t="str">
        <f t="shared" si="891"/>
        <v/>
      </c>
      <c r="DF620" s="119" t="str">
        <f t="shared" si="892"/>
        <v/>
      </c>
      <c r="DG620" s="66" t="str">
        <f>+IF($W620="","",ROUND(IF($B620&gt;Parámetros!$D$107,'Tablas Servicio'!DE620+('Tablas Servicio'!DG619-'Tablas Servicio'!DE619),DE620/(1-IF(B620&lt;=10,Parámetros!$D$100,0))),2))</f>
        <v/>
      </c>
      <c r="DH620" s="66" t="str">
        <f t="shared" si="893"/>
        <v/>
      </c>
      <c r="DI620" s="66" t="str">
        <f t="shared" si="893"/>
        <v/>
      </c>
      <c r="DJ620" s="66" t="str">
        <f>+IF($W620="","",ROUND((DG620*Parámetros!$G$85),2))</f>
        <v/>
      </c>
      <c r="DK620" s="66" t="str">
        <f>+IF($W620="","",ROUND((DG620*(Parámetros!$G$86)),2))</f>
        <v/>
      </c>
      <c r="DL620" s="66" t="str">
        <f t="shared" si="894"/>
        <v/>
      </c>
      <c r="DM620" t="str">
        <f t="shared" si="847"/>
        <v/>
      </c>
      <c r="DN620" s="118" t="str">
        <f t="shared" si="848"/>
        <v/>
      </c>
      <c r="DO620" s="118" t="str">
        <f t="shared" si="849"/>
        <v/>
      </c>
      <c r="DP620" s="118" t="str">
        <f t="shared" si="850"/>
        <v/>
      </c>
      <c r="DQ620" s="122" t="str">
        <f>+IF(OR($W620="",DO620=0),"",ROUND((VLOOKUP(ROUNDDOWN($D620-1/frec,0),cob_adi,DB$40,FALSE)*(1+i/frec)^-0.5*(1+Parámetros!$D$103)*(1+rec_fracc)/frec),6))</f>
        <v/>
      </c>
      <c r="DR620" s="66" t="str">
        <f t="shared" si="895"/>
        <v/>
      </c>
      <c r="DS620" s="68" t="str">
        <f t="shared" si="896"/>
        <v/>
      </c>
      <c r="DT620" s="66" t="str">
        <f>+IF($W620="","",ROUND(IF($B620&gt;Parámetros!$D$107,'Tablas Servicio'!DR620+('Tablas Servicio'!DT619-'Tablas Servicio'!DR619),DR620/(1-IF(B620&lt;=10,Parámetros!$D$100,0))),2))</f>
        <v/>
      </c>
      <c r="DU620" s="66" t="str">
        <f t="shared" si="897"/>
        <v/>
      </c>
      <c r="DV620" s="66" t="str">
        <f t="shared" si="897"/>
        <v/>
      </c>
      <c r="DW620" s="66" t="str">
        <f>+IF($W620="","",ROUND((DT620*Parámetros!$G$85),2))</f>
        <v/>
      </c>
      <c r="DX620" s="66" t="str">
        <f>+IF($W620="","",ROUND((DT620*(Parámetros!$G$86)),2))</f>
        <v/>
      </c>
      <c r="DY620" s="66" t="str">
        <f t="shared" si="898"/>
        <v/>
      </c>
      <c r="DZ620" t="str">
        <f t="shared" si="899"/>
        <v/>
      </c>
      <c r="EA620" s="118" t="str">
        <f t="shared" si="899"/>
        <v/>
      </c>
      <c r="EB620" s="118" t="str">
        <f>+IF($W620="","",ROUND(IF(Parámetros!$D$25='TABLAS MORT'!$V$33,EB619,Z620/2),0))</f>
        <v/>
      </c>
      <c r="EC620" s="118" t="str">
        <f t="shared" si="899"/>
        <v/>
      </c>
      <c r="ED620" s="122" t="str">
        <f>+IF(OR($W620="",EB620=0),"",ROUND((VLOOKUP(ROUNDDOWN($D620-1/frec,0),cob_adi,DO$40,FALSE)*(1+i/frec)^-0.5*(1+Parámetros!$D$103)*(1+rec_fracc)/frec),6))</f>
        <v/>
      </c>
      <c r="EE620" s="66" t="str">
        <f t="shared" si="900"/>
        <v/>
      </c>
      <c r="EF620" s="68" t="str">
        <f t="shared" si="901"/>
        <v/>
      </c>
      <c r="EG620" s="66" t="str">
        <f>+IF($W620="","",ROUND(IF($B620&gt;Parámetros!$D$107,'Tablas Servicio'!EE620+('Tablas Servicio'!EG619-'Tablas Servicio'!EE619),EE620/(1-IF(B620&lt;=10,Parámetros!$D$100,0))),2))</f>
        <v/>
      </c>
      <c r="EH620" s="66" t="str">
        <f t="shared" si="902"/>
        <v/>
      </c>
      <c r="EI620" s="66" t="str">
        <f t="shared" si="902"/>
        <v/>
      </c>
      <c r="EJ620" s="66" t="str">
        <f>+IF($W620="","",ROUND((EG620*Parámetros!$G$85),2))</f>
        <v/>
      </c>
      <c r="EK620" s="66" t="str">
        <f>+IF($W620="","",ROUND((EG620*(Parámetros!$G$86)),2))</f>
        <v/>
      </c>
      <c r="EL620" s="66" t="str">
        <f t="shared" si="903"/>
        <v/>
      </c>
    </row>
    <row r="621" spans="1:142" x14ac:dyDescent="0.25">
      <c r="A621" t="str">
        <f>+IF($C621="","",ROUND(VLOOKUP('Tablas Servicio'!B621,Parámetros!$H$100:$J$159,IF(Parámetros!$E$16="F",2,3),FALSE),2))</f>
        <v/>
      </c>
      <c r="B621" t="str">
        <f t="shared" si="854"/>
        <v/>
      </c>
      <c r="C621" s="57" t="str">
        <f>+IF(D621="","",'Tablas Servicio'!C620+1)</f>
        <v/>
      </c>
      <c r="D621" s="56" t="str">
        <f>+IF(D620&lt;edadmaxtabla,D620+1/Parámetros!$E$25,"")</f>
        <v/>
      </c>
      <c r="E621" s="57" t="str">
        <f t="shared" si="864"/>
        <v/>
      </c>
      <c r="F621" s="59" t="str">
        <f t="shared" si="865"/>
        <v/>
      </c>
      <c r="G621" s="66" t="str">
        <f t="shared" si="855"/>
        <v/>
      </c>
      <c r="H621" s="66" t="str">
        <f t="shared" si="856"/>
        <v/>
      </c>
      <c r="I621" s="66" t="str">
        <f t="shared" si="816"/>
        <v/>
      </c>
      <c r="J621" s="66" t="str">
        <f t="shared" si="857"/>
        <v/>
      </c>
      <c r="K621" s="66" t="str">
        <f t="shared" si="858"/>
        <v/>
      </c>
      <c r="L621" s="66" t="str">
        <f t="shared" si="859"/>
        <v/>
      </c>
      <c r="M621" s="66" t="str">
        <f t="shared" si="860"/>
        <v/>
      </c>
      <c r="N621" s="66" t="str">
        <f>+IF(C621="","",ROUND(Parámetros!$D$23,2))</f>
        <v/>
      </c>
      <c r="O621" s="66" t="str">
        <f t="shared" si="861"/>
        <v/>
      </c>
      <c r="P621" s="66" t="str">
        <f>+IF($C621="","",ROUND(IF(B621&gt;Parámetros!$D$117,0,N621*Parámetros!$D$116-G621*Parámetros!$D$100),2))</f>
        <v/>
      </c>
      <c r="Q621" s="75" t="str">
        <f t="shared" si="817"/>
        <v/>
      </c>
      <c r="R621" s="75" t="str">
        <f t="shared" si="818"/>
        <v/>
      </c>
      <c r="S621" s="117" t="str">
        <f>+IF($C621="","",ROUND((S620+I621)*(1+Parámetros!$D$91),2))</f>
        <v/>
      </c>
      <c r="T621" s="117" t="str">
        <f>+IF($C621="","",ROUND(S621*VLOOKUP(B621,Parámetros!$C$30:$D$39,2,TRUE),2))</f>
        <v/>
      </c>
      <c r="U621" s="117" t="str">
        <f>+IF($C621="","",ROUND((U620+I621)*(1+Parámetros!$D$92),2))</f>
        <v/>
      </c>
      <c r="V621" s="117" t="str">
        <f>+IF($C621="","",ROUND(U621*VLOOKUP(B621,Parámetros!$C$30:$D$39,2,TRUE),2))</f>
        <v/>
      </c>
      <c r="W621" s="57" t="str">
        <f t="shared" si="819"/>
        <v/>
      </c>
      <c r="X621" t="str">
        <f t="shared" si="820"/>
        <v/>
      </c>
      <c r="Y621" t="str">
        <f t="shared" si="821"/>
        <v/>
      </c>
      <c r="Z621" s="118" t="str">
        <f>+IF($W621="","",ROUND(IF(Parámetros!$D$25='TABLAS MORT'!$V$33,Z620,Parámetros!$D$21-'Tablas Servicio'!T620),0))</f>
        <v/>
      </c>
      <c r="AA621" s="118" t="str">
        <f t="shared" si="822"/>
        <v/>
      </c>
      <c r="AB621" s="119" t="str">
        <f>+IF(W621="","",ROUND((VLOOKUP(ROUNDDOWN($D621-1/frec,0),qx_tabla,2,FALSE)*(1+i/frec)^-0.5*(1+Parámetros!$D$103)*(1+rec_fracc)/frec),6))</f>
        <v/>
      </c>
      <c r="AC621" s="66" t="str">
        <f t="shared" si="866"/>
        <v/>
      </c>
      <c r="AD621" s="119" t="str">
        <f t="shared" si="862"/>
        <v/>
      </c>
      <c r="AE621" s="66" t="str">
        <f>+IF($W621="","",ROUND(IF($B621&gt;Parámetros!$D$107,'Tablas Servicio'!AC621+('Tablas Servicio'!AG620-'Tablas Servicio'!AC620),AC621/(1-IF(B621&lt;=10,Parámetros!$D$104,Parámetros!$D$105))),2))</f>
        <v/>
      </c>
      <c r="AF621" s="66" t="str">
        <f>+IF($W621="","",ROUND(IF($B621&gt;Parámetros!$D$107,'Tablas Servicio'!AC621+('Tablas Servicio'!AG620-'Tablas Servicio'!AC620),(AC621+$A620/frec)/(1-IF(B621&lt;=Parámetros!$D$117,Parámetros!$D$100,0))),2))</f>
        <v/>
      </c>
      <c r="AG621" s="66" t="str">
        <f t="shared" si="867"/>
        <v/>
      </c>
      <c r="AH621" s="66" t="str">
        <f t="shared" si="868"/>
        <v/>
      </c>
      <c r="AI621" s="66" t="str">
        <f t="shared" si="869"/>
        <v/>
      </c>
      <c r="AJ621" s="66" t="str">
        <f>+IF($W621="","",ROUND((AG621*Parámetros!$G$85),2))</f>
        <v/>
      </c>
      <c r="AK621" s="66" t="str">
        <f>+IF($W621="","",ROUND((AG621*(Parámetros!$G$86)),2))</f>
        <v/>
      </c>
      <c r="AL621" s="66" t="str">
        <f t="shared" si="863"/>
        <v/>
      </c>
      <c r="AM621" t="str">
        <f t="shared" si="823"/>
        <v/>
      </c>
      <c r="AN621" t="str">
        <f t="shared" si="824"/>
        <v/>
      </c>
      <c r="AO621" s="118" t="str">
        <f t="shared" si="825"/>
        <v/>
      </c>
      <c r="AP621" s="118" t="str">
        <f t="shared" si="826"/>
        <v/>
      </c>
      <c r="AQ621" s="119" t="str">
        <f>+IF(OR($W621="",AO621=0),"",ROUND((VLOOKUP(ROUNDDOWN($D621-1/frec,0),cob_adi,Z$40,FALSE)*(1+i/frec)^-0.5*(1+Parámetros!$D$103)*(1+rec_fracc)/frec),6))</f>
        <v/>
      </c>
      <c r="AR621" s="66" t="str">
        <f t="shared" si="870"/>
        <v/>
      </c>
      <c r="AS621" s="119" t="str">
        <f t="shared" si="871"/>
        <v/>
      </c>
      <c r="AT621" s="66" t="str">
        <f>+IF($W621="","",ROUND(IF($B621&gt;Parámetros!$D$107,'Tablas Servicio'!AR621+('Tablas Servicio'!AT620-'Tablas Servicio'!AR620),AR621/(1-IF(B621&lt;=10,Parámetros!$D$100,0))),2))</f>
        <v/>
      </c>
      <c r="AU621" s="66" t="str">
        <f t="shared" si="872"/>
        <v/>
      </c>
      <c r="AV621" s="66" t="str">
        <f t="shared" si="872"/>
        <v/>
      </c>
      <c r="AW621" s="66" t="str">
        <f>+IF($W621="","",ROUND((AT621*Parámetros!$G$85),2))</f>
        <v/>
      </c>
      <c r="AX621" s="66" t="str">
        <f>+IF($W621="","",ROUND((AT621*(Parámetros!$G$86)),2))</f>
        <v/>
      </c>
      <c r="AY621" s="66" t="str">
        <f t="shared" si="873"/>
        <v/>
      </c>
      <c r="AZ621" t="str">
        <f t="shared" si="827"/>
        <v/>
      </c>
      <c r="BA621" t="str">
        <f t="shared" si="828"/>
        <v/>
      </c>
      <c r="BB621" s="118" t="str">
        <f t="shared" si="829"/>
        <v/>
      </c>
      <c r="BC621" s="118" t="str">
        <f t="shared" si="830"/>
        <v/>
      </c>
      <c r="BD621" s="119" t="str">
        <f>+IF(OR($W621="",BB621=0),"",ROUND((VLOOKUP(ROUNDDOWN($D621-1/frec,0),cob_adi,AO$40,FALSE)*(1+i/frec)^-0.5*(1+Parámetros!$D$103)*(1+rec_fracc)/frec),6))</f>
        <v/>
      </c>
      <c r="BE621" s="66" t="str">
        <f t="shared" si="874"/>
        <v/>
      </c>
      <c r="BF621" s="119" t="str">
        <f t="shared" si="875"/>
        <v/>
      </c>
      <c r="BG621" s="66" t="str">
        <f>+IF($W621="","",ROUND(IF($B621&gt;Parámetros!$D$107,'Tablas Servicio'!BE621+('Tablas Servicio'!BG620-'Tablas Servicio'!BE620),BE621/(1-IF(B621&lt;=10,Parámetros!$D$100,0))),2))</f>
        <v/>
      </c>
      <c r="BH621" s="66" t="str">
        <f t="shared" si="876"/>
        <v/>
      </c>
      <c r="BI621" s="66" t="str">
        <f t="shared" si="877"/>
        <v/>
      </c>
      <c r="BJ621" s="66" t="str">
        <f>+IF($W621="","",ROUND((BG621*Parámetros!$G$85),2))</f>
        <v/>
      </c>
      <c r="BK621" s="66" t="str">
        <f>+IF($W621="","",ROUND((BG621*(Parámetros!$G$86)),2))</f>
        <v/>
      </c>
      <c r="BL621" s="66" t="str">
        <f t="shared" si="878"/>
        <v/>
      </c>
      <c r="BM621" t="str">
        <f t="shared" si="831"/>
        <v/>
      </c>
      <c r="BN621" t="str">
        <f t="shared" si="832"/>
        <v/>
      </c>
      <c r="BO621" s="118" t="str">
        <f t="shared" si="833"/>
        <v/>
      </c>
      <c r="BP621" s="118" t="str">
        <f t="shared" si="834"/>
        <v/>
      </c>
      <c r="BQ621" s="119" t="str">
        <f>+IF(OR($W621="",BO621=0),"",ROUND((VLOOKUP(ROUNDDOWN($D621-1/frec,0),cob_adi,BB$40,FALSE)*(1+i/frec)^-0.5*(1+Parámetros!$D$103)*(1+rec_fracc)/frec),6))</f>
        <v/>
      </c>
      <c r="BR621" s="66" t="str">
        <f t="shared" si="879"/>
        <v/>
      </c>
      <c r="BS621" s="119" t="str">
        <f t="shared" si="880"/>
        <v/>
      </c>
      <c r="BT621" s="66" t="str">
        <f>+IF($W621="","",ROUND(IF($B621&gt;Parámetros!$D$107,'Tablas Servicio'!BR621+('Tablas Servicio'!BT620-'Tablas Servicio'!BR620),BR621/(1-IF(B621&lt;=10,Parámetros!$D$100,0))),2))</f>
        <v/>
      </c>
      <c r="BU621" s="66" t="str">
        <f t="shared" si="881"/>
        <v/>
      </c>
      <c r="BV621" s="66" t="str">
        <f t="shared" si="881"/>
        <v/>
      </c>
      <c r="BW621" s="66" t="str">
        <f>+IF($W621="","",ROUND((BT621*Parámetros!$G$85),2))</f>
        <v/>
      </c>
      <c r="BX621" s="66" t="str">
        <f>+IF($W621="","",ROUND((BT621*(Parámetros!$G$86)),2))</f>
        <v/>
      </c>
      <c r="BY621" s="66" t="str">
        <f t="shared" si="882"/>
        <v/>
      </c>
      <c r="BZ621" t="str">
        <f t="shared" si="835"/>
        <v/>
      </c>
      <c r="CA621" t="str">
        <f t="shared" si="836"/>
        <v/>
      </c>
      <c r="CB621" s="118" t="str">
        <f t="shared" si="837"/>
        <v/>
      </c>
      <c r="CC621" s="118" t="str">
        <f t="shared" si="838"/>
        <v/>
      </c>
      <c r="CD621" s="119" t="str">
        <f t="shared" si="883"/>
        <v/>
      </c>
      <c r="CE621" s="66" t="str">
        <f>+IF($W621="","",ROUND((VLOOKUP(ROUNDDOWN($D621-1/frec,0),cob_adi,BO$40,FALSE)*(1+i/frec)^-0.5*(1+Parámetros!$D$103)*(1+rec_fracc)/frec*'TABLAS ADI'!$BC$17),2))</f>
        <v/>
      </c>
      <c r="CF621" s="119" t="str">
        <f t="shared" si="884"/>
        <v/>
      </c>
      <c r="CG621" s="66" t="str">
        <f>+IF($W621="","",ROUND(IF($B621&gt;Parámetros!$D$107,'Tablas Servicio'!CE621+('Tablas Servicio'!CG620-'Tablas Servicio'!CE620),CE621/(1-IF(B621&lt;=10,Parámetros!$D$100,0))),2))</f>
        <v/>
      </c>
      <c r="CH621" s="66" t="str">
        <f t="shared" si="885"/>
        <v/>
      </c>
      <c r="CI621" s="66" t="str">
        <f t="shared" si="885"/>
        <v/>
      </c>
      <c r="CJ621" s="66" t="str">
        <f>+IF($W621="","",ROUND((CG621*Parámetros!$G$85),2))</f>
        <v/>
      </c>
      <c r="CK621" s="66" t="str">
        <f>+IF($W621="","",ROUND((CG621*(Parámetros!$G$86)),2))</f>
        <v/>
      </c>
      <c r="CL621" s="66" t="str">
        <f t="shared" si="886"/>
        <v/>
      </c>
      <c r="CM621" t="str">
        <f t="shared" si="839"/>
        <v/>
      </c>
      <c r="CN621" s="118" t="str">
        <f t="shared" si="840"/>
        <v/>
      </c>
      <c r="CO621" s="118" t="str">
        <f t="shared" si="841"/>
        <v/>
      </c>
      <c r="CP621" s="118" t="str">
        <f t="shared" si="842"/>
        <v/>
      </c>
      <c r="CQ621" s="119" t="str">
        <f t="shared" si="887"/>
        <v/>
      </c>
      <c r="CR621" s="66" t="str">
        <f>+IF($W621="","",ROUND((VLOOKUP(Parámetros!$F$51,'COBERTURAS ADICIONALES'!$S$4:$T$32,2,FALSE)*(1+i/frec)^-0.5*(1+Parámetros!$D$103)*(1+rec_fracc)/frec*$CO$42),2))</f>
        <v/>
      </c>
      <c r="CS621" s="119" t="str">
        <f t="shared" si="888"/>
        <v/>
      </c>
      <c r="CT621" s="66" t="str">
        <f>+IF($W621="","",ROUND(IF($B621&gt;Parámetros!$D$107,'Tablas Servicio'!CR621+('Tablas Servicio'!CT620-'Tablas Servicio'!CR620),CR621/(1-IF(B621&lt;=10,Parámetros!$D$100,0))),2))</f>
        <v/>
      </c>
      <c r="CU621" s="66" t="str">
        <f t="shared" si="889"/>
        <v/>
      </c>
      <c r="CV621" s="66" t="str">
        <f t="shared" si="889"/>
        <v/>
      </c>
      <c r="CW621" s="66" t="str">
        <f>+IF($W621="","",ROUND((CT621*Parámetros!$G$85),2))</f>
        <v/>
      </c>
      <c r="CX621" s="66" t="str">
        <f>+IF($W621="","",ROUND((CT621*(Parámetros!$G$86)),2))</f>
        <v/>
      </c>
      <c r="CY621" s="66" t="str">
        <f t="shared" si="890"/>
        <v/>
      </c>
      <c r="CZ621" t="str">
        <f t="shared" si="843"/>
        <v/>
      </c>
      <c r="DA621" s="118" t="str">
        <f t="shared" si="844"/>
        <v/>
      </c>
      <c r="DB621" s="118" t="str">
        <f t="shared" si="845"/>
        <v/>
      </c>
      <c r="DC621" s="118" t="str">
        <f t="shared" si="846"/>
        <v/>
      </c>
      <c r="DD621" s="121" t="str">
        <f>+IF(OR($W621="",DB621=0),"",ROUND((VLOOKUP(ROUNDDOWN($D621-1/frec,0),cob_adi,CO$40,FALSE)*(1+i/frec)^-0.5*(1+Parámetros!$D$103)*(1+rec_fracc)/frec),6))</f>
        <v/>
      </c>
      <c r="DE621" s="66" t="str">
        <f t="shared" si="891"/>
        <v/>
      </c>
      <c r="DF621" s="119" t="str">
        <f t="shared" si="892"/>
        <v/>
      </c>
      <c r="DG621" s="66" t="str">
        <f>+IF($W621="","",ROUND(IF($B621&gt;Parámetros!$D$107,'Tablas Servicio'!DE621+('Tablas Servicio'!DG620-'Tablas Servicio'!DE620),DE621/(1-IF(B621&lt;=10,Parámetros!$D$100,0))),2))</f>
        <v/>
      </c>
      <c r="DH621" s="66" t="str">
        <f t="shared" si="893"/>
        <v/>
      </c>
      <c r="DI621" s="66" t="str">
        <f t="shared" si="893"/>
        <v/>
      </c>
      <c r="DJ621" s="66" t="str">
        <f>+IF($W621="","",ROUND((DG621*Parámetros!$G$85),2))</f>
        <v/>
      </c>
      <c r="DK621" s="66" t="str">
        <f>+IF($W621="","",ROUND((DG621*(Parámetros!$G$86)),2))</f>
        <v/>
      </c>
      <c r="DL621" s="66" t="str">
        <f t="shared" si="894"/>
        <v/>
      </c>
      <c r="DM621" t="str">
        <f t="shared" si="847"/>
        <v/>
      </c>
      <c r="DN621" s="118" t="str">
        <f t="shared" si="848"/>
        <v/>
      </c>
      <c r="DO621" s="118" t="str">
        <f t="shared" si="849"/>
        <v/>
      </c>
      <c r="DP621" s="118" t="str">
        <f t="shared" si="850"/>
        <v/>
      </c>
      <c r="DQ621" s="122" t="str">
        <f>+IF(OR($W621="",DO621=0),"",ROUND((VLOOKUP(ROUNDDOWN($D621-1/frec,0),cob_adi,DB$40,FALSE)*(1+i/frec)^-0.5*(1+Parámetros!$D$103)*(1+rec_fracc)/frec),6))</f>
        <v/>
      </c>
      <c r="DR621" s="66" t="str">
        <f t="shared" si="895"/>
        <v/>
      </c>
      <c r="DS621" s="68" t="str">
        <f t="shared" si="896"/>
        <v/>
      </c>
      <c r="DT621" s="66" t="str">
        <f>+IF($W621="","",ROUND(IF($B621&gt;Parámetros!$D$107,'Tablas Servicio'!DR621+('Tablas Servicio'!DT620-'Tablas Servicio'!DR620),DR621/(1-IF(B621&lt;=10,Parámetros!$D$100,0))),2))</f>
        <v/>
      </c>
      <c r="DU621" s="66" t="str">
        <f t="shared" si="897"/>
        <v/>
      </c>
      <c r="DV621" s="66" t="str">
        <f t="shared" si="897"/>
        <v/>
      </c>
      <c r="DW621" s="66" t="str">
        <f>+IF($W621="","",ROUND((DT621*Parámetros!$G$85),2))</f>
        <v/>
      </c>
      <c r="DX621" s="66" t="str">
        <f>+IF($W621="","",ROUND((DT621*(Parámetros!$G$86)),2))</f>
        <v/>
      </c>
      <c r="DY621" s="66" t="str">
        <f t="shared" si="898"/>
        <v/>
      </c>
      <c r="DZ621" t="str">
        <f t="shared" si="899"/>
        <v/>
      </c>
      <c r="EA621" s="118" t="str">
        <f t="shared" si="899"/>
        <v/>
      </c>
      <c r="EB621" s="118" t="str">
        <f>+IF($W621="","",ROUND(IF(Parámetros!$D$25='TABLAS MORT'!$V$33,EB620,Z621/2),0))</f>
        <v/>
      </c>
      <c r="EC621" s="118" t="str">
        <f t="shared" si="899"/>
        <v/>
      </c>
      <c r="ED621" s="122" t="str">
        <f>+IF(OR($W621="",EB621=0),"",ROUND((VLOOKUP(ROUNDDOWN($D621-1/frec,0),cob_adi,DO$40,FALSE)*(1+i/frec)^-0.5*(1+Parámetros!$D$103)*(1+rec_fracc)/frec),6))</f>
        <v/>
      </c>
      <c r="EE621" s="66" t="str">
        <f t="shared" si="900"/>
        <v/>
      </c>
      <c r="EF621" s="68" t="str">
        <f t="shared" si="901"/>
        <v/>
      </c>
      <c r="EG621" s="66" t="str">
        <f>+IF($W621="","",ROUND(IF($B621&gt;Parámetros!$D$107,'Tablas Servicio'!EE621+('Tablas Servicio'!EG620-'Tablas Servicio'!EE620),EE621/(1-IF(B621&lt;=10,Parámetros!$D$100,0))),2))</f>
        <v/>
      </c>
      <c r="EH621" s="66" t="str">
        <f t="shared" si="902"/>
        <v/>
      </c>
      <c r="EI621" s="66" t="str">
        <f t="shared" si="902"/>
        <v/>
      </c>
      <c r="EJ621" s="66" t="str">
        <f>+IF($W621="","",ROUND((EG621*Parámetros!$G$85),2))</f>
        <v/>
      </c>
      <c r="EK621" s="66" t="str">
        <f>+IF($W621="","",ROUND((EG621*(Parámetros!$G$86)),2))</f>
        <v/>
      </c>
      <c r="EL621" s="66" t="str">
        <f t="shared" si="903"/>
        <v/>
      </c>
    </row>
    <row r="622" spans="1:142" x14ac:dyDescent="0.25">
      <c r="A622" t="str">
        <f>+IF($C622="","",ROUND(VLOOKUP('Tablas Servicio'!B622,Parámetros!$H$100:$J$159,IF(Parámetros!$E$16="F",2,3),FALSE),2))</f>
        <v/>
      </c>
      <c r="B622" t="str">
        <f t="shared" si="854"/>
        <v/>
      </c>
      <c r="C622" s="57" t="str">
        <f>+IF(D622="","",'Tablas Servicio'!C621+1)</f>
        <v/>
      </c>
      <c r="D622" s="56" t="str">
        <f>+IF(D621&lt;edadmaxtabla,D621+1/Parámetros!$E$25,"")</f>
        <v/>
      </c>
      <c r="E622" s="57" t="str">
        <f t="shared" si="864"/>
        <v/>
      </c>
      <c r="F622" s="59" t="str">
        <f t="shared" si="865"/>
        <v/>
      </c>
      <c r="G622" s="66" t="str">
        <f t="shared" si="855"/>
        <v/>
      </c>
      <c r="H622" s="66" t="str">
        <f t="shared" si="856"/>
        <v/>
      </c>
      <c r="I622" s="66" t="str">
        <f t="shared" si="816"/>
        <v/>
      </c>
      <c r="J622" s="66" t="str">
        <f t="shared" si="857"/>
        <v/>
      </c>
      <c r="K622" s="66" t="str">
        <f t="shared" si="858"/>
        <v/>
      </c>
      <c r="L622" s="66" t="str">
        <f t="shared" si="859"/>
        <v/>
      </c>
      <c r="M622" s="66" t="str">
        <f t="shared" si="860"/>
        <v/>
      </c>
      <c r="N622" s="66" t="str">
        <f>+IF(C622="","",ROUND(Parámetros!$D$23,2))</f>
        <v/>
      </c>
      <c r="O622" s="66" t="str">
        <f t="shared" si="861"/>
        <v/>
      </c>
      <c r="P622" s="66" t="str">
        <f>+IF($C622="","",ROUND(IF(B622&gt;Parámetros!$D$117,0,N622*Parámetros!$D$116-G622*Parámetros!$D$100),2))</f>
        <v/>
      </c>
      <c r="Q622" s="75" t="str">
        <f t="shared" si="817"/>
        <v/>
      </c>
      <c r="R622" s="75" t="str">
        <f t="shared" si="818"/>
        <v/>
      </c>
      <c r="S622" s="117" t="str">
        <f>+IF($C622="","",ROUND((S621+I622)*(1+Parámetros!$D$91),2))</f>
        <v/>
      </c>
      <c r="T622" s="117" t="str">
        <f>+IF($C622="","",ROUND(S622*VLOOKUP(B622,Parámetros!$C$30:$D$39,2,TRUE),2))</f>
        <v/>
      </c>
      <c r="U622" s="117" t="str">
        <f>+IF($C622="","",ROUND((U621+I622)*(1+Parámetros!$D$92),2))</f>
        <v/>
      </c>
      <c r="V622" s="117" t="str">
        <f>+IF($C622="","",ROUND(U622*VLOOKUP(B622,Parámetros!$C$30:$D$39,2,TRUE),2))</f>
        <v/>
      </c>
      <c r="W622" s="57" t="str">
        <f t="shared" si="819"/>
        <v/>
      </c>
      <c r="X622" t="str">
        <f t="shared" si="820"/>
        <v/>
      </c>
      <c r="Y622" t="str">
        <f t="shared" si="821"/>
        <v/>
      </c>
      <c r="Z622" s="118" t="str">
        <f>+IF($W622="","",ROUND(IF(Parámetros!$D$25='TABLAS MORT'!$V$33,Z621,Parámetros!$D$21-'Tablas Servicio'!T621),0))</f>
        <v/>
      </c>
      <c r="AA622" s="118" t="str">
        <f t="shared" si="822"/>
        <v/>
      </c>
      <c r="AB622" s="119" t="str">
        <f>+IF(W622="","",ROUND((VLOOKUP(ROUNDDOWN($D622-1/frec,0),qx_tabla,2,FALSE)*(1+i/frec)^-0.5*(1+Parámetros!$D$103)*(1+rec_fracc)/frec),6))</f>
        <v/>
      </c>
      <c r="AC622" s="66" t="str">
        <f t="shared" si="866"/>
        <v/>
      </c>
      <c r="AD622" s="119" t="str">
        <f t="shared" si="862"/>
        <v/>
      </c>
      <c r="AE622" s="66" t="str">
        <f>+IF($W622="","",ROUND(IF($B622&gt;Parámetros!$D$107,'Tablas Servicio'!AC622+('Tablas Servicio'!AG621-'Tablas Servicio'!AC621),AC622/(1-IF(B622&lt;=10,Parámetros!$D$104,Parámetros!$D$105))),2))</f>
        <v/>
      </c>
      <c r="AF622" s="66" t="str">
        <f>+IF($W622="","",ROUND(IF($B622&gt;Parámetros!$D$107,'Tablas Servicio'!AC622+('Tablas Servicio'!AG621-'Tablas Servicio'!AC621),(AC622+$A621/frec)/(1-IF(B622&lt;=Parámetros!$D$117,Parámetros!$D$100,0))),2))</f>
        <v/>
      </c>
      <c r="AG622" s="66" t="str">
        <f t="shared" si="867"/>
        <v/>
      </c>
      <c r="AH622" s="66" t="str">
        <f t="shared" si="868"/>
        <v/>
      </c>
      <c r="AI622" s="66" t="str">
        <f t="shared" si="869"/>
        <v/>
      </c>
      <c r="AJ622" s="66" t="str">
        <f>+IF($W622="","",ROUND((AG622*Parámetros!$G$85),2))</f>
        <v/>
      </c>
      <c r="AK622" s="66" t="str">
        <f>+IF($W622="","",ROUND((AG622*(Parámetros!$G$86)),2))</f>
        <v/>
      </c>
      <c r="AL622" s="66" t="str">
        <f t="shared" si="863"/>
        <v/>
      </c>
      <c r="AM622" t="str">
        <f t="shared" si="823"/>
        <v/>
      </c>
      <c r="AN622" t="str">
        <f t="shared" si="824"/>
        <v/>
      </c>
      <c r="AO622" s="118" t="str">
        <f t="shared" si="825"/>
        <v/>
      </c>
      <c r="AP622" s="118" t="str">
        <f t="shared" si="826"/>
        <v/>
      </c>
      <c r="AQ622" s="119" t="str">
        <f>+IF(OR($W622="",AO622=0),"",ROUND((VLOOKUP(ROUNDDOWN($D622-1/frec,0),cob_adi,Z$40,FALSE)*(1+i/frec)^-0.5*(1+Parámetros!$D$103)*(1+rec_fracc)/frec),6))</f>
        <v/>
      </c>
      <c r="AR622" s="66" t="str">
        <f t="shared" si="870"/>
        <v/>
      </c>
      <c r="AS622" s="119" t="str">
        <f t="shared" si="871"/>
        <v/>
      </c>
      <c r="AT622" s="66" t="str">
        <f>+IF($W622="","",ROUND(IF($B622&gt;Parámetros!$D$107,'Tablas Servicio'!AR622+('Tablas Servicio'!AT621-'Tablas Servicio'!AR621),AR622/(1-IF(B622&lt;=10,Parámetros!$D$100,0))),2))</f>
        <v/>
      </c>
      <c r="AU622" s="66" t="str">
        <f t="shared" si="872"/>
        <v/>
      </c>
      <c r="AV622" s="66" t="str">
        <f t="shared" si="872"/>
        <v/>
      </c>
      <c r="AW622" s="66" t="str">
        <f>+IF($W622="","",ROUND((AT622*Parámetros!$G$85),2))</f>
        <v/>
      </c>
      <c r="AX622" s="66" t="str">
        <f>+IF($W622="","",ROUND((AT622*(Parámetros!$G$86)),2))</f>
        <v/>
      </c>
      <c r="AY622" s="66" t="str">
        <f t="shared" si="873"/>
        <v/>
      </c>
      <c r="AZ622" t="str">
        <f t="shared" si="827"/>
        <v/>
      </c>
      <c r="BA622" t="str">
        <f t="shared" si="828"/>
        <v/>
      </c>
      <c r="BB622" s="118" t="str">
        <f t="shared" si="829"/>
        <v/>
      </c>
      <c r="BC622" s="118" t="str">
        <f t="shared" si="830"/>
        <v/>
      </c>
      <c r="BD622" s="119" t="str">
        <f>+IF(OR($W622="",BB622=0),"",ROUND((VLOOKUP(ROUNDDOWN($D622-1/frec,0),cob_adi,AO$40,FALSE)*(1+i/frec)^-0.5*(1+Parámetros!$D$103)*(1+rec_fracc)/frec),6))</f>
        <v/>
      </c>
      <c r="BE622" s="66" t="str">
        <f t="shared" si="874"/>
        <v/>
      </c>
      <c r="BF622" s="119" t="str">
        <f t="shared" si="875"/>
        <v/>
      </c>
      <c r="BG622" s="66" t="str">
        <f>+IF($W622="","",ROUND(IF($B622&gt;Parámetros!$D$107,'Tablas Servicio'!BE622+('Tablas Servicio'!BG621-'Tablas Servicio'!BE621),BE622/(1-IF(B622&lt;=10,Parámetros!$D$100,0))),2))</f>
        <v/>
      </c>
      <c r="BH622" s="66" t="str">
        <f t="shared" si="876"/>
        <v/>
      </c>
      <c r="BI622" s="66" t="str">
        <f t="shared" si="877"/>
        <v/>
      </c>
      <c r="BJ622" s="66" t="str">
        <f>+IF($W622="","",ROUND((BG622*Parámetros!$G$85),2))</f>
        <v/>
      </c>
      <c r="BK622" s="66" t="str">
        <f>+IF($W622="","",ROUND((BG622*(Parámetros!$G$86)),2))</f>
        <v/>
      </c>
      <c r="BL622" s="66" t="str">
        <f t="shared" si="878"/>
        <v/>
      </c>
      <c r="BM622" t="str">
        <f t="shared" si="831"/>
        <v/>
      </c>
      <c r="BN622" t="str">
        <f t="shared" si="832"/>
        <v/>
      </c>
      <c r="BO622" s="118" t="str">
        <f t="shared" si="833"/>
        <v/>
      </c>
      <c r="BP622" s="118" t="str">
        <f t="shared" si="834"/>
        <v/>
      </c>
      <c r="BQ622" s="119" t="str">
        <f>+IF(OR($W622="",BO622=0),"",ROUND((VLOOKUP(ROUNDDOWN($D622-1/frec,0),cob_adi,BB$40,FALSE)*(1+i/frec)^-0.5*(1+Parámetros!$D$103)*(1+rec_fracc)/frec),6))</f>
        <v/>
      </c>
      <c r="BR622" s="66" t="str">
        <f t="shared" si="879"/>
        <v/>
      </c>
      <c r="BS622" s="119" t="str">
        <f t="shared" si="880"/>
        <v/>
      </c>
      <c r="BT622" s="66" t="str">
        <f>+IF($W622="","",ROUND(IF($B622&gt;Parámetros!$D$107,'Tablas Servicio'!BR622+('Tablas Servicio'!BT621-'Tablas Servicio'!BR621),BR622/(1-IF(B622&lt;=10,Parámetros!$D$100,0))),2))</f>
        <v/>
      </c>
      <c r="BU622" s="66" t="str">
        <f t="shared" si="881"/>
        <v/>
      </c>
      <c r="BV622" s="66" t="str">
        <f t="shared" si="881"/>
        <v/>
      </c>
      <c r="BW622" s="66" t="str">
        <f>+IF($W622="","",ROUND((BT622*Parámetros!$G$85),2))</f>
        <v/>
      </c>
      <c r="BX622" s="66" t="str">
        <f>+IF($W622="","",ROUND((BT622*(Parámetros!$G$86)),2))</f>
        <v/>
      </c>
      <c r="BY622" s="66" t="str">
        <f t="shared" si="882"/>
        <v/>
      </c>
      <c r="BZ622" t="str">
        <f t="shared" si="835"/>
        <v/>
      </c>
      <c r="CA622" t="str">
        <f t="shared" si="836"/>
        <v/>
      </c>
      <c r="CB622" s="118" t="str">
        <f t="shared" si="837"/>
        <v/>
      </c>
      <c r="CC622" s="118" t="str">
        <f t="shared" si="838"/>
        <v/>
      </c>
      <c r="CD622" s="119" t="str">
        <f t="shared" si="883"/>
        <v/>
      </c>
      <c r="CE622" s="66" t="str">
        <f>+IF($W622="","",ROUND((VLOOKUP(ROUNDDOWN($D622-1/frec,0),cob_adi,BO$40,FALSE)*(1+i/frec)^-0.5*(1+Parámetros!$D$103)*(1+rec_fracc)/frec*'TABLAS ADI'!$BC$17),2))</f>
        <v/>
      </c>
      <c r="CF622" s="119" t="str">
        <f t="shared" si="884"/>
        <v/>
      </c>
      <c r="CG622" s="66" t="str">
        <f>+IF($W622="","",ROUND(IF($B622&gt;Parámetros!$D$107,'Tablas Servicio'!CE622+('Tablas Servicio'!CG621-'Tablas Servicio'!CE621),CE622/(1-IF(B622&lt;=10,Parámetros!$D$100,0))),2))</f>
        <v/>
      </c>
      <c r="CH622" s="66" t="str">
        <f t="shared" si="885"/>
        <v/>
      </c>
      <c r="CI622" s="66" t="str">
        <f t="shared" si="885"/>
        <v/>
      </c>
      <c r="CJ622" s="66" t="str">
        <f>+IF($W622="","",ROUND((CG622*Parámetros!$G$85),2))</f>
        <v/>
      </c>
      <c r="CK622" s="66" t="str">
        <f>+IF($W622="","",ROUND((CG622*(Parámetros!$G$86)),2))</f>
        <v/>
      </c>
      <c r="CL622" s="66" t="str">
        <f t="shared" si="886"/>
        <v/>
      </c>
      <c r="CM622" t="str">
        <f t="shared" si="839"/>
        <v/>
      </c>
      <c r="CN622" s="118" t="str">
        <f t="shared" si="840"/>
        <v/>
      </c>
      <c r="CO622" s="118" t="str">
        <f t="shared" si="841"/>
        <v/>
      </c>
      <c r="CP622" s="118" t="str">
        <f t="shared" si="842"/>
        <v/>
      </c>
      <c r="CQ622" s="119" t="str">
        <f t="shared" si="887"/>
        <v/>
      </c>
      <c r="CR622" s="66" t="str">
        <f>+IF($W622="","",ROUND((VLOOKUP(Parámetros!$F$51,'COBERTURAS ADICIONALES'!$S$4:$T$32,2,FALSE)*(1+i/frec)^-0.5*(1+Parámetros!$D$103)*(1+rec_fracc)/frec*$CO$42),2))</f>
        <v/>
      </c>
      <c r="CS622" s="119" t="str">
        <f t="shared" si="888"/>
        <v/>
      </c>
      <c r="CT622" s="66" t="str">
        <f>+IF($W622="","",ROUND(IF($B622&gt;Parámetros!$D$107,'Tablas Servicio'!CR622+('Tablas Servicio'!CT621-'Tablas Servicio'!CR621),CR622/(1-IF(B622&lt;=10,Parámetros!$D$100,0))),2))</f>
        <v/>
      </c>
      <c r="CU622" s="66" t="str">
        <f t="shared" si="889"/>
        <v/>
      </c>
      <c r="CV622" s="66" t="str">
        <f t="shared" si="889"/>
        <v/>
      </c>
      <c r="CW622" s="66" t="str">
        <f>+IF($W622="","",ROUND((CT622*Parámetros!$G$85),2))</f>
        <v/>
      </c>
      <c r="CX622" s="66" t="str">
        <f>+IF($W622="","",ROUND((CT622*(Parámetros!$G$86)),2))</f>
        <v/>
      </c>
      <c r="CY622" s="66" t="str">
        <f t="shared" si="890"/>
        <v/>
      </c>
      <c r="CZ622" t="str">
        <f t="shared" si="843"/>
        <v/>
      </c>
      <c r="DA622" s="118" t="str">
        <f t="shared" si="844"/>
        <v/>
      </c>
      <c r="DB622" s="118" t="str">
        <f t="shared" si="845"/>
        <v/>
      </c>
      <c r="DC622" s="118" t="str">
        <f t="shared" si="846"/>
        <v/>
      </c>
      <c r="DD622" s="121" t="str">
        <f>+IF(OR($W622="",DB622=0),"",ROUND((VLOOKUP(ROUNDDOWN($D622-1/frec,0),cob_adi,CO$40,FALSE)*(1+i/frec)^-0.5*(1+Parámetros!$D$103)*(1+rec_fracc)/frec),6))</f>
        <v/>
      </c>
      <c r="DE622" s="66" t="str">
        <f t="shared" si="891"/>
        <v/>
      </c>
      <c r="DF622" s="119" t="str">
        <f t="shared" si="892"/>
        <v/>
      </c>
      <c r="DG622" s="66" t="str">
        <f>+IF($W622="","",ROUND(IF($B622&gt;Parámetros!$D$107,'Tablas Servicio'!DE622+('Tablas Servicio'!DG621-'Tablas Servicio'!DE621),DE622/(1-IF(B622&lt;=10,Parámetros!$D$100,0))),2))</f>
        <v/>
      </c>
      <c r="DH622" s="66" t="str">
        <f t="shared" si="893"/>
        <v/>
      </c>
      <c r="DI622" s="66" t="str">
        <f t="shared" si="893"/>
        <v/>
      </c>
      <c r="DJ622" s="66" t="str">
        <f>+IF($W622="","",ROUND((DG622*Parámetros!$G$85),2))</f>
        <v/>
      </c>
      <c r="DK622" s="66" t="str">
        <f>+IF($W622="","",ROUND((DG622*(Parámetros!$G$86)),2))</f>
        <v/>
      </c>
      <c r="DL622" s="66" t="str">
        <f t="shared" si="894"/>
        <v/>
      </c>
      <c r="DM622" t="str">
        <f t="shared" si="847"/>
        <v/>
      </c>
      <c r="DN622" s="118" t="str">
        <f t="shared" si="848"/>
        <v/>
      </c>
      <c r="DO622" s="118" t="str">
        <f t="shared" si="849"/>
        <v/>
      </c>
      <c r="DP622" s="118" t="str">
        <f t="shared" si="850"/>
        <v/>
      </c>
      <c r="DQ622" s="122" t="str">
        <f>+IF(OR($W622="",DO622=0),"",ROUND((VLOOKUP(ROUNDDOWN($D622-1/frec,0),cob_adi,DB$40,FALSE)*(1+i/frec)^-0.5*(1+Parámetros!$D$103)*(1+rec_fracc)/frec),6))</f>
        <v/>
      </c>
      <c r="DR622" s="66" t="str">
        <f t="shared" si="895"/>
        <v/>
      </c>
      <c r="DS622" s="68" t="str">
        <f t="shared" si="896"/>
        <v/>
      </c>
      <c r="DT622" s="66" t="str">
        <f>+IF($W622="","",ROUND(IF($B622&gt;Parámetros!$D$107,'Tablas Servicio'!DR622+('Tablas Servicio'!DT621-'Tablas Servicio'!DR621),DR622/(1-IF(B622&lt;=10,Parámetros!$D$100,0))),2))</f>
        <v/>
      </c>
      <c r="DU622" s="66" t="str">
        <f t="shared" si="897"/>
        <v/>
      </c>
      <c r="DV622" s="66" t="str">
        <f t="shared" si="897"/>
        <v/>
      </c>
      <c r="DW622" s="66" t="str">
        <f>+IF($W622="","",ROUND((DT622*Parámetros!$G$85),2))</f>
        <v/>
      </c>
      <c r="DX622" s="66" t="str">
        <f>+IF($W622="","",ROUND((DT622*(Parámetros!$G$86)),2))</f>
        <v/>
      </c>
      <c r="DY622" s="66" t="str">
        <f t="shared" si="898"/>
        <v/>
      </c>
      <c r="DZ622" t="str">
        <f t="shared" si="899"/>
        <v/>
      </c>
      <c r="EA622" s="118" t="str">
        <f t="shared" si="899"/>
        <v/>
      </c>
      <c r="EB622" s="118" t="str">
        <f>+IF($W622="","",ROUND(IF(Parámetros!$D$25='TABLAS MORT'!$V$33,EB621,Z622/2),0))</f>
        <v/>
      </c>
      <c r="EC622" s="118" t="str">
        <f t="shared" si="899"/>
        <v/>
      </c>
      <c r="ED622" s="122" t="str">
        <f>+IF(OR($W622="",EB622=0),"",ROUND((VLOOKUP(ROUNDDOWN($D622-1/frec,0),cob_adi,DO$40,FALSE)*(1+i/frec)^-0.5*(1+Parámetros!$D$103)*(1+rec_fracc)/frec),6))</f>
        <v/>
      </c>
      <c r="EE622" s="66" t="str">
        <f t="shared" si="900"/>
        <v/>
      </c>
      <c r="EF622" s="68" t="str">
        <f t="shared" si="901"/>
        <v/>
      </c>
      <c r="EG622" s="66" t="str">
        <f>+IF($W622="","",ROUND(IF($B622&gt;Parámetros!$D$107,'Tablas Servicio'!EE622+('Tablas Servicio'!EG621-'Tablas Servicio'!EE621),EE622/(1-IF(B622&lt;=10,Parámetros!$D$100,0))),2))</f>
        <v/>
      </c>
      <c r="EH622" s="66" t="str">
        <f t="shared" si="902"/>
        <v/>
      </c>
      <c r="EI622" s="66" t="str">
        <f t="shared" si="902"/>
        <v/>
      </c>
      <c r="EJ622" s="66" t="str">
        <f>+IF($W622="","",ROUND((EG622*Parámetros!$G$85),2))</f>
        <v/>
      </c>
      <c r="EK622" s="66" t="str">
        <f>+IF($W622="","",ROUND((EG622*(Parámetros!$G$86)),2))</f>
        <v/>
      </c>
      <c r="EL622" s="66" t="str">
        <f t="shared" si="903"/>
        <v/>
      </c>
    </row>
    <row r="623" spans="1:142" x14ac:dyDescent="0.25">
      <c r="A623" t="str">
        <f>+IF($C623="","",ROUND(VLOOKUP('Tablas Servicio'!B623,Parámetros!$H$100:$J$159,IF(Parámetros!$E$16="F",2,3),FALSE),2))</f>
        <v/>
      </c>
      <c r="B623" t="str">
        <f t="shared" si="854"/>
        <v/>
      </c>
      <c r="C623" s="57" t="str">
        <f>+IF(D623="","",'Tablas Servicio'!C622+1)</f>
        <v/>
      </c>
      <c r="D623" s="56" t="str">
        <f>+IF(D622&lt;edadmaxtabla,D622+1/Parámetros!$E$25,"")</f>
        <v/>
      </c>
      <c r="E623" s="57" t="str">
        <f t="shared" si="864"/>
        <v/>
      </c>
      <c r="F623" s="59" t="str">
        <f t="shared" si="865"/>
        <v/>
      </c>
      <c r="G623" s="66" t="str">
        <f t="shared" si="855"/>
        <v/>
      </c>
      <c r="H623" s="66" t="str">
        <f t="shared" si="856"/>
        <v/>
      </c>
      <c r="I623" s="66" t="str">
        <f t="shared" si="816"/>
        <v/>
      </c>
      <c r="J623" s="66" t="str">
        <f t="shared" si="857"/>
        <v/>
      </c>
      <c r="K623" s="66" t="str">
        <f t="shared" si="858"/>
        <v/>
      </c>
      <c r="L623" s="66" t="str">
        <f t="shared" si="859"/>
        <v/>
      </c>
      <c r="M623" s="66" t="str">
        <f t="shared" si="860"/>
        <v/>
      </c>
      <c r="N623" s="66" t="str">
        <f>+IF(C623="","",ROUND(Parámetros!$D$23,2))</f>
        <v/>
      </c>
      <c r="O623" s="66" t="str">
        <f t="shared" si="861"/>
        <v/>
      </c>
      <c r="P623" s="66" t="str">
        <f>+IF($C623="","",ROUND(IF(B623&gt;Parámetros!$D$117,0,N623*Parámetros!$D$116-G623*Parámetros!$D$100),2))</f>
        <v/>
      </c>
      <c r="Q623" s="75" t="str">
        <f t="shared" si="817"/>
        <v/>
      </c>
      <c r="R623" s="75" t="str">
        <f t="shared" si="818"/>
        <v/>
      </c>
      <c r="S623" s="117" t="str">
        <f>+IF($C623="","",ROUND((S622+I623)*(1+Parámetros!$D$91),2))</f>
        <v/>
      </c>
      <c r="T623" s="117" t="str">
        <f>+IF($C623="","",ROUND(S623*VLOOKUP(B623,Parámetros!$C$30:$D$39,2,TRUE),2))</f>
        <v/>
      </c>
      <c r="U623" s="117" t="str">
        <f>+IF($C623="","",ROUND((U622+I623)*(1+Parámetros!$D$92),2))</f>
        <v/>
      </c>
      <c r="V623" s="117" t="str">
        <f>+IF($C623="","",ROUND(U623*VLOOKUP(B623,Parámetros!$C$30:$D$39,2,TRUE),2))</f>
        <v/>
      </c>
      <c r="W623" s="57" t="str">
        <f t="shared" si="819"/>
        <v/>
      </c>
      <c r="X623" t="str">
        <f t="shared" si="820"/>
        <v/>
      </c>
      <c r="Y623" t="str">
        <f t="shared" si="821"/>
        <v/>
      </c>
      <c r="Z623" s="118" t="str">
        <f>+IF($W623="","",ROUND(IF(Parámetros!$D$25='TABLAS MORT'!$V$33,Z622,Parámetros!$D$21-'Tablas Servicio'!T622),0))</f>
        <v/>
      </c>
      <c r="AA623" s="118" t="str">
        <f t="shared" si="822"/>
        <v/>
      </c>
      <c r="AB623" s="119" t="str">
        <f>+IF(W623="","",ROUND((VLOOKUP(ROUNDDOWN($D623-1/frec,0),qx_tabla,2,FALSE)*(1+i/frec)^-0.5*(1+Parámetros!$D$103)*(1+rec_fracc)/frec),6))</f>
        <v/>
      </c>
      <c r="AC623" s="66" t="str">
        <f t="shared" si="866"/>
        <v/>
      </c>
      <c r="AD623" s="119" t="str">
        <f t="shared" si="862"/>
        <v/>
      </c>
      <c r="AE623" s="66" t="str">
        <f>+IF($W623="","",ROUND(IF($B623&gt;Parámetros!$D$107,'Tablas Servicio'!AC623+('Tablas Servicio'!AG622-'Tablas Servicio'!AC622),AC623/(1-IF(B623&lt;=10,Parámetros!$D$104,Parámetros!$D$105))),2))</f>
        <v/>
      </c>
      <c r="AF623" s="66" t="str">
        <f>+IF($W623="","",ROUND(IF($B623&gt;Parámetros!$D$107,'Tablas Servicio'!AC623+('Tablas Servicio'!AG622-'Tablas Servicio'!AC622),(AC623+$A622/frec)/(1-IF(B623&lt;=Parámetros!$D$117,Parámetros!$D$100,0))),2))</f>
        <v/>
      </c>
      <c r="AG623" s="66" t="str">
        <f t="shared" si="867"/>
        <v/>
      </c>
      <c r="AH623" s="66" t="str">
        <f t="shared" si="868"/>
        <v/>
      </c>
      <c r="AI623" s="66" t="str">
        <f t="shared" si="869"/>
        <v/>
      </c>
      <c r="AJ623" s="66" t="str">
        <f>+IF($W623="","",ROUND((AG623*Parámetros!$G$85),2))</f>
        <v/>
      </c>
      <c r="AK623" s="66" t="str">
        <f>+IF($W623="","",ROUND((AG623*(Parámetros!$G$86)),2))</f>
        <v/>
      </c>
      <c r="AL623" s="66" t="str">
        <f t="shared" si="863"/>
        <v/>
      </c>
      <c r="AM623" t="str">
        <f t="shared" si="823"/>
        <v/>
      </c>
      <c r="AN623" t="str">
        <f t="shared" si="824"/>
        <v/>
      </c>
      <c r="AO623" s="118" t="str">
        <f t="shared" si="825"/>
        <v/>
      </c>
      <c r="AP623" s="118" t="str">
        <f t="shared" si="826"/>
        <v/>
      </c>
      <c r="AQ623" s="119" t="str">
        <f>+IF(OR($W623="",AO623=0),"",ROUND((VLOOKUP(ROUNDDOWN($D623-1/frec,0),cob_adi,Z$40,FALSE)*(1+i/frec)^-0.5*(1+Parámetros!$D$103)*(1+rec_fracc)/frec),6))</f>
        <v/>
      </c>
      <c r="AR623" s="66" t="str">
        <f t="shared" si="870"/>
        <v/>
      </c>
      <c r="AS623" s="119" t="str">
        <f t="shared" si="871"/>
        <v/>
      </c>
      <c r="AT623" s="66" t="str">
        <f>+IF($W623="","",ROUND(IF($B623&gt;Parámetros!$D$107,'Tablas Servicio'!AR623+('Tablas Servicio'!AT622-'Tablas Servicio'!AR622),AR623/(1-IF(B623&lt;=10,Parámetros!$D$100,0))),2))</f>
        <v/>
      </c>
      <c r="AU623" s="66" t="str">
        <f t="shared" si="872"/>
        <v/>
      </c>
      <c r="AV623" s="66" t="str">
        <f t="shared" si="872"/>
        <v/>
      </c>
      <c r="AW623" s="66" t="str">
        <f>+IF($W623="","",ROUND((AT623*Parámetros!$G$85),2))</f>
        <v/>
      </c>
      <c r="AX623" s="66" t="str">
        <f>+IF($W623="","",ROUND((AT623*(Parámetros!$G$86)),2))</f>
        <v/>
      </c>
      <c r="AY623" s="66" t="str">
        <f t="shared" si="873"/>
        <v/>
      </c>
      <c r="AZ623" t="str">
        <f t="shared" si="827"/>
        <v/>
      </c>
      <c r="BA623" t="str">
        <f t="shared" si="828"/>
        <v/>
      </c>
      <c r="BB623" s="118" t="str">
        <f t="shared" si="829"/>
        <v/>
      </c>
      <c r="BC623" s="118" t="str">
        <f t="shared" si="830"/>
        <v/>
      </c>
      <c r="BD623" s="119" t="str">
        <f>+IF(OR($W623="",BB623=0),"",ROUND((VLOOKUP(ROUNDDOWN($D623-1/frec,0),cob_adi,AO$40,FALSE)*(1+i/frec)^-0.5*(1+Parámetros!$D$103)*(1+rec_fracc)/frec),6))</f>
        <v/>
      </c>
      <c r="BE623" s="66" t="str">
        <f t="shared" si="874"/>
        <v/>
      </c>
      <c r="BF623" s="119" t="str">
        <f t="shared" si="875"/>
        <v/>
      </c>
      <c r="BG623" s="66" t="str">
        <f>+IF($W623="","",ROUND(IF($B623&gt;Parámetros!$D$107,'Tablas Servicio'!BE623+('Tablas Servicio'!BG622-'Tablas Servicio'!BE622),BE623/(1-IF(B623&lt;=10,Parámetros!$D$100,0))),2))</f>
        <v/>
      </c>
      <c r="BH623" s="66" t="str">
        <f t="shared" si="876"/>
        <v/>
      </c>
      <c r="BI623" s="66" t="str">
        <f t="shared" si="877"/>
        <v/>
      </c>
      <c r="BJ623" s="66" t="str">
        <f>+IF($W623="","",ROUND((BG623*Parámetros!$G$85),2))</f>
        <v/>
      </c>
      <c r="BK623" s="66" t="str">
        <f>+IF($W623="","",ROUND((BG623*(Parámetros!$G$86)),2))</f>
        <v/>
      </c>
      <c r="BL623" s="66" t="str">
        <f t="shared" si="878"/>
        <v/>
      </c>
      <c r="BM623" t="str">
        <f t="shared" si="831"/>
        <v/>
      </c>
      <c r="BN623" t="str">
        <f t="shared" si="832"/>
        <v/>
      </c>
      <c r="BO623" s="118" t="str">
        <f t="shared" si="833"/>
        <v/>
      </c>
      <c r="BP623" s="118" t="str">
        <f t="shared" si="834"/>
        <v/>
      </c>
      <c r="BQ623" s="119" t="str">
        <f>+IF(OR($W623="",BO623=0),"",ROUND((VLOOKUP(ROUNDDOWN($D623-1/frec,0),cob_adi,BB$40,FALSE)*(1+i/frec)^-0.5*(1+Parámetros!$D$103)*(1+rec_fracc)/frec),6))</f>
        <v/>
      </c>
      <c r="BR623" s="66" t="str">
        <f t="shared" si="879"/>
        <v/>
      </c>
      <c r="BS623" s="119" t="str">
        <f t="shared" si="880"/>
        <v/>
      </c>
      <c r="BT623" s="66" t="str">
        <f>+IF($W623="","",ROUND(IF($B623&gt;Parámetros!$D$107,'Tablas Servicio'!BR623+('Tablas Servicio'!BT622-'Tablas Servicio'!BR622),BR623/(1-IF(B623&lt;=10,Parámetros!$D$100,0))),2))</f>
        <v/>
      </c>
      <c r="BU623" s="66" t="str">
        <f t="shared" si="881"/>
        <v/>
      </c>
      <c r="BV623" s="66" t="str">
        <f t="shared" si="881"/>
        <v/>
      </c>
      <c r="BW623" s="66" t="str">
        <f>+IF($W623="","",ROUND((BT623*Parámetros!$G$85),2))</f>
        <v/>
      </c>
      <c r="BX623" s="66" t="str">
        <f>+IF($W623="","",ROUND((BT623*(Parámetros!$G$86)),2))</f>
        <v/>
      </c>
      <c r="BY623" s="66" t="str">
        <f t="shared" si="882"/>
        <v/>
      </c>
      <c r="BZ623" t="str">
        <f t="shared" si="835"/>
        <v/>
      </c>
      <c r="CA623" t="str">
        <f t="shared" si="836"/>
        <v/>
      </c>
      <c r="CB623" s="118" t="str">
        <f t="shared" si="837"/>
        <v/>
      </c>
      <c r="CC623" s="118" t="str">
        <f t="shared" si="838"/>
        <v/>
      </c>
      <c r="CD623" s="119" t="str">
        <f t="shared" si="883"/>
        <v/>
      </c>
      <c r="CE623" s="66" t="str">
        <f>+IF($W623="","",ROUND((VLOOKUP(ROUNDDOWN($D623-1/frec,0),cob_adi,BO$40,FALSE)*(1+i/frec)^-0.5*(1+Parámetros!$D$103)*(1+rec_fracc)/frec*'TABLAS ADI'!$BC$17),2))</f>
        <v/>
      </c>
      <c r="CF623" s="119" t="str">
        <f t="shared" si="884"/>
        <v/>
      </c>
      <c r="CG623" s="66" t="str">
        <f>+IF($W623="","",ROUND(IF($B623&gt;Parámetros!$D$107,'Tablas Servicio'!CE623+('Tablas Servicio'!CG622-'Tablas Servicio'!CE622),CE623/(1-IF(B623&lt;=10,Parámetros!$D$100,0))),2))</f>
        <v/>
      </c>
      <c r="CH623" s="66" t="str">
        <f t="shared" si="885"/>
        <v/>
      </c>
      <c r="CI623" s="66" t="str">
        <f t="shared" si="885"/>
        <v/>
      </c>
      <c r="CJ623" s="66" t="str">
        <f>+IF($W623="","",ROUND((CG623*Parámetros!$G$85),2))</f>
        <v/>
      </c>
      <c r="CK623" s="66" t="str">
        <f>+IF($W623="","",ROUND((CG623*(Parámetros!$G$86)),2))</f>
        <v/>
      </c>
      <c r="CL623" s="66" t="str">
        <f t="shared" si="886"/>
        <v/>
      </c>
      <c r="CM623" t="str">
        <f t="shared" si="839"/>
        <v/>
      </c>
      <c r="CN623" s="118" t="str">
        <f t="shared" si="840"/>
        <v/>
      </c>
      <c r="CO623" s="118" t="str">
        <f t="shared" si="841"/>
        <v/>
      </c>
      <c r="CP623" s="118" t="str">
        <f t="shared" si="842"/>
        <v/>
      </c>
      <c r="CQ623" s="119" t="str">
        <f t="shared" si="887"/>
        <v/>
      </c>
      <c r="CR623" s="66" t="str">
        <f>+IF($W623="","",ROUND((VLOOKUP(Parámetros!$F$51,'COBERTURAS ADICIONALES'!$S$4:$T$32,2,FALSE)*(1+i/frec)^-0.5*(1+Parámetros!$D$103)*(1+rec_fracc)/frec*$CO$42),2))</f>
        <v/>
      </c>
      <c r="CS623" s="119" t="str">
        <f t="shared" si="888"/>
        <v/>
      </c>
      <c r="CT623" s="66" t="str">
        <f>+IF($W623="","",ROUND(IF($B623&gt;Parámetros!$D$107,'Tablas Servicio'!CR623+('Tablas Servicio'!CT622-'Tablas Servicio'!CR622),CR623/(1-IF(B623&lt;=10,Parámetros!$D$100,0))),2))</f>
        <v/>
      </c>
      <c r="CU623" s="66" t="str">
        <f t="shared" si="889"/>
        <v/>
      </c>
      <c r="CV623" s="66" t="str">
        <f t="shared" si="889"/>
        <v/>
      </c>
      <c r="CW623" s="66" t="str">
        <f>+IF($W623="","",ROUND((CT623*Parámetros!$G$85),2))</f>
        <v/>
      </c>
      <c r="CX623" s="66" t="str">
        <f>+IF($W623="","",ROUND((CT623*(Parámetros!$G$86)),2))</f>
        <v/>
      </c>
      <c r="CY623" s="66" t="str">
        <f t="shared" si="890"/>
        <v/>
      </c>
      <c r="CZ623" t="str">
        <f t="shared" si="843"/>
        <v/>
      </c>
      <c r="DA623" s="118" t="str">
        <f t="shared" si="844"/>
        <v/>
      </c>
      <c r="DB623" s="118" t="str">
        <f t="shared" si="845"/>
        <v/>
      </c>
      <c r="DC623" s="118" t="str">
        <f t="shared" si="846"/>
        <v/>
      </c>
      <c r="DD623" s="121" t="str">
        <f>+IF(OR($W623="",DB623=0),"",ROUND((VLOOKUP(ROUNDDOWN($D623-1/frec,0),cob_adi,CO$40,FALSE)*(1+i/frec)^-0.5*(1+Parámetros!$D$103)*(1+rec_fracc)/frec),6))</f>
        <v/>
      </c>
      <c r="DE623" s="66" t="str">
        <f t="shared" si="891"/>
        <v/>
      </c>
      <c r="DF623" s="119" t="str">
        <f t="shared" si="892"/>
        <v/>
      </c>
      <c r="DG623" s="66" t="str">
        <f>+IF($W623="","",ROUND(IF($B623&gt;Parámetros!$D$107,'Tablas Servicio'!DE623+('Tablas Servicio'!DG622-'Tablas Servicio'!DE622),DE623/(1-IF(B623&lt;=10,Parámetros!$D$100,0))),2))</f>
        <v/>
      </c>
      <c r="DH623" s="66" t="str">
        <f t="shared" si="893"/>
        <v/>
      </c>
      <c r="DI623" s="66" t="str">
        <f t="shared" si="893"/>
        <v/>
      </c>
      <c r="DJ623" s="66" t="str">
        <f>+IF($W623="","",ROUND((DG623*Parámetros!$G$85),2))</f>
        <v/>
      </c>
      <c r="DK623" s="66" t="str">
        <f>+IF($W623="","",ROUND((DG623*(Parámetros!$G$86)),2))</f>
        <v/>
      </c>
      <c r="DL623" s="66" t="str">
        <f t="shared" si="894"/>
        <v/>
      </c>
      <c r="DM623" t="str">
        <f t="shared" si="847"/>
        <v/>
      </c>
      <c r="DN623" s="118" t="str">
        <f t="shared" si="848"/>
        <v/>
      </c>
      <c r="DO623" s="118" t="str">
        <f t="shared" si="849"/>
        <v/>
      </c>
      <c r="DP623" s="118" t="str">
        <f t="shared" si="850"/>
        <v/>
      </c>
      <c r="DQ623" s="122" t="str">
        <f>+IF(OR($W623="",DO623=0),"",ROUND((VLOOKUP(ROUNDDOWN($D623-1/frec,0),cob_adi,DB$40,FALSE)*(1+i/frec)^-0.5*(1+Parámetros!$D$103)*(1+rec_fracc)/frec),6))</f>
        <v/>
      </c>
      <c r="DR623" s="66" t="str">
        <f t="shared" si="895"/>
        <v/>
      </c>
      <c r="DS623" s="68" t="str">
        <f t="shared" si="896"/>
        <v/>
      </c>
      <c r="DT623" s="66" t="str">
        <f>+IF($W623="","",ROUND(IF($B623&gt;Parámetros!$D$107,'Tablas Servicio'!DR623+('Tablas Servicio'!DT622-'Tablas Servicio'!DR622),DR623/(1-IF(B623&lt;=10,Parámetros!$D$100,0))),2))</f>
        <v/>
      </c>
      <c r="DU623" s="66" t="str">
        <f t="shared" si="897"/>
        <v/>
      </c>
      <c r="DV623" s="66" t="str">
        <f t="shared" si="897"/>
        <v/>
      </c>
      <c r="DW623" s="66" t="str">
        <f>+IF($W623="","",ROUND((DT623*Parámetros!$G$85),2))</f>
        <v/>
      </c>
      <c r="DX623" s="66" t="str">
        <f>+IF($W623="","",ROUND((DT623*(Parámetros!$G$86)),2))</f>
        <v/>
      </c>
      <c r="DY623" s="66" t="str">
        <f t="shared" si="898"/>
        <v/>
      </c>
      <c r="DZ623" t="str">
        <f t="shared" si="899"/>
        <v/>
      </c>
      <c r="EA623" s="118" t="str">
        <f t="shared" si="899"/>
        <v/>
      </c>
      <c r="EB623" s="118" t="str">
        <f>+IF($W623="","",ROUND(IF(Parámetros!$D$25='TABLAS MORT'!$V$33,EB622,Z623/2),0))</f>
        <v/>
      </c>
      <c r="EC623" s="118" t="str">
        <f t="shared" si="899"/>
        <v/>
      </c>
      <c r="ED623" s="122" t="str">
        <f>+IF(OR($W623="",EB623=0),"",ROUND((VLOOKUP(ROUNDDOWN($D623-1/frec,0),cob_adi,DO$40,FALSE)*(1+i/frec)^-0.5*(1+Parámetros!$D$103)*(1+rec_fracc)/frec),6))</f>
        <v/>
      </c>
      <c r="EE623" s="66" t="str">
        <f t="shared" si="900"/>
        <v/>
      </c>
      <c r="EF623" s="68" t="str">
        <f t="shared" si="901"/>
        <v/>
      </c>
      <c r="EG623" s="66" t="str">
        <f>+IF($W623="","",ROUND(IF($B623&gt;Parámetros!$D$107,'Tablas Servicio'!EE623+('Tablas Servicio'!EG622-'Tablas Servicio'!EE622),EE623/(1-IF(B623&lt;=10,Parámetros!$D$100,0))),2))</f>
        <v/>
      </c>
      <c r="EH623" s="66" t="str">
        <f t="shared" si="902"/>
        <v/>
      </c>
      <c r="EI623" s="66" t="str">
        <f t="shared" si="902"/>
        <v/>
      </c>
      <c r="EJ623" s="66" t="str">
        <f>+IF($W623="","",ROUND((EG623*Parámetros!$G$85),2))</f>
        <v/>
      </c>
      <c r="EK623" s="66" t="str">
        <f>+IF($W623="","",ROUND((EG623*(Parámetros!$G$86)),2))</f>
        <v/>
      </c>
      <c r="EL623" s="66" t="str">
        <f t="shared" si="903"/>
        <v/>
      </c>
    </row>
    <row r="624" spans="1:142" x14ac:dyDescent="0.25">
      <c r="A624" t="str">
        <f>+IF($C624="","",ROUND(VLOOKUP('Tablas Servicio'!B624,Parámetros!$H$100:$J$159,IF(Parámetros!$E$16="F",2,3),FALSE),2))</f>
        <v/>
      </c>
      <c r="B624" t="str">
        <f t="shared" si="854"/>
        <v/>
      </c>
      <c r="C624" s="57" t="str">
        <f>+IF(D624="","",'Tablas Servicio'!C623+1)</f>
        <v/>
      </c>
      <c r="D624" s="56" t="str">
        <f>+IF(D623&lt;edadmaxtabla,D623+1/Parámetros!$E$25,"")</f>
        <v/>
      </c>
      <c r="E624" s="57" t="str">
        <f t="shared" si="864"/>
        <v/>
      </c>
      <c r="F624" s="59" t="str">
        <f t="shared" si="865"/>
        <v/>
      </c>
      <c r="G624" s="66" t="str">
        <f t="shared" si="855"/>
        <v/>
      </c>
      <c r="H624" s="66" t="str">
        <f t="shared" si="856"/>
        <v/>
      </c>
      <c r="I624" s="66" t="str">
        <f t="shared" si="816"/>
        <v/>
      </c>
      <c r="J624" s="66" t="str">
        <f t="shared" si="857"/>
        <v/>
      </c>
      <c r="K624" s="66" t="str">
        <f t="shared" si="858"/>
        <v/>
      </c>
      <c r="L624" s="66" t="str">
        <f t="shared" si="859"/>
        <v/>
      </c>
      <c r="M624" s="66" t="str">
        <f t="shared" si="860"/>
        <v/>
      </c>
      <c r="N624" s="66" t="str">
        <f>+IF(C624="","",ROUND(Parámetros!$D$23,2))</f>
        <v/>
      </c>
      <c r="O624" s="66" t="str">
        <f t="shared" si="861"/>
        <v/>
      </c>
      <c r="P624" s="66" t="str">
        <f>+IF($C624="","",ROUND(IF(B624&gt;Parámetros!$D$117,0,N624*Parámetros!$D$116-G624*Parámetros!$D$100),2))</f>
        <v/>
      </c>
      <c r="Q624" s="75" t="str">
        <f t="shared" si="817"/>
        <v/>
      </c>
      <c r="R624" s="75" t="str">
        <f t="shared" si="818"/>
        <v/>
      </c>
      <c r="S624" s="117" t="str">
        <f>+IF($C624="","",ROUND((S623+I624)*(1+Parámetros!$D$91),2))</f>
        <v/>
      </c>
      <c r="T624" s="117" t="str">
        <f>+IF($C624="","",ROUND(S624*VLOOKUP(B624,Parámetros!$C$30:$D$39,2,TRUE),2))</f>
        <v/>
      </c>
      <c r="U624" s="117" t="str">
        <f>+IF($C624="","",ROUND((U623+I624)*(1+Parámetros!$D$92),2))</f>
        <v/>
      </c>
      <c r="V624" s="117" t="str">
        <f>+IF($C624="","",ROUND(U624*VLOOKUP(B624,Parámetros!$C$30:$D$39,2,TRUE),2))</f>
        <v/>
      </c>
      <c r="W624" s="57" t="str">
        <f t="shared" si="819"/>
        <v/>
      </c>
      <c r="X624" t="str">
        <f t="shared" si="820"/>
        <v/>
      </c>
      <c r="Y624" t="str">
        <f t="shared" si="821"/>
        <v/>
      </c>
      <c r="Z624" s="118" t="str">
        <f>+IF($W624="","",ROUND(IF(Parámetros!$D$25='TABLAS MORT'!$V$33,Z623,Parámetros!$D$21-'Tablas Servicio'!T623),0))</f>
        <v/>
      </c>
      <c r="AA624" s="118" t="str">
        <f t="shared" si="822"/>
        <v/>
      </c>
      <c r="AB624" s="119" t="str">
        <f>+IF(W624="","",ROUND((VLOOKUP(ROUNDDOWN($D624-1/frec,0),qx_tabla,2,FALSE)*(1+i/frec)^-0.5*(1+Parámetros!$D$103)*(1+rec_fracc)/frec),6))</f>
        <v/>
      </c>
      <c r="AC624" s="66" t="str">
        <f t="shared" si="866"/>
        <v/>
      </c>
      <c r="AD624" s="119" t="str">
        <f t="shared" si="862"/>
        <v/>
      </c>
      <c r="AE624" s="66" t="str">
        <f>+IF($W624="","",ROUND(IF($B624&gt;Parámetros!$D$107,'Tablas Servicio'!AC624+('Tablas Servicio'!AG623-'Tablas Servicio'!AC623),AC624/(1-IF(B624&lt;=10,Parámetros!$D$104,Parámetros!$D$105))),2))</f>
        <v/>
      </c>
      <c r="AF624" s="66" t="str">
        <f>+IF($W624="","",ROUND(IF($B624&gt;Parámetros!$D$107,'Tablas Servicio'!AC624+('Tablas Servicio'!AG623-'Tablas Servicio'!AC623),(AC624+$A623/frec)/(1-IF(B624&lt;=Parámetros!$D$117,Parámetros!$D$100,0))),2))</f>
        <v/>
      </c>
      <c r="AG624" s="66" t="str">
        <f t="shared" si="867"/>
        <v/>
      </c>
      <c r="AH624" s="66" t="str">
        <f t="shared" si="868"/>
        <v/>
      </c>
      <c r="AI624" s="66" t="str">
        <f t="shared" si="869"/>
        <v/>
      </c>
      <c r="AJ624" s="66" t="str">
        <f>+IF($W624="","",ROUND((AG624*Parámetros!$G$85),2))</f>
        <v/>
      </c>
      <c r="AK624" s="66" t="str">
        <f>+IF($W624="","",ROUND((AG624*(Parámetros!$G$86)),2))</f>
        <v/>
      </c>
      <c r="AL624" s="66" t="str">
        <f t="shared" si="863"/>
        <v/>
      </c>
      <c r="AM624" t="str">
        <f t="shared" si="823"/>
        <v/>
      </c>
      <c r="AN624" t="str">
        <f t="shared" si="824"/>
        <v/>
      </c>
      <c r="AO624" s="118" t="str">
        <f t="shared" si="825"/>
        <v/>
      </c>
      <c r="AP624" s="118" t="str">
        <f t="shared" si="826"/>
        <v/>
      </c>
      <c r="AQ624" s="119" t="str">
        <f>+IF(OR($W624="",AO624=0),"",ROUND((VLOOKUP(ROUNDDOWN($D624-1/frec,0),cob_adi,Z$40,FALSE)*(1+i/frec)^-0.5*(1+Parámetros!$D$103)*(1+rec_fracc)/frec),6))</f>
        <v/>
      </c>
      <c r="AR624" s="66" t="str">
        <f t="shared" si="870"/>
        <v/>
      </c>
      <c r="AS624" s="119" t="str">
        <f t="shared" si="871"/>
        <v/>
      </c>
      <c r="AT624" s="66" t="str">
        <f>+IF($W624="","",ROUND(IF($B624&gt;Parámetros!$D$107,'Tablas Servicio'!AR624+('Tablas Servicio'!AT623-'Tablas Servicio'!AR623),AR624/(1-IF(B624&lt;=10,Parámetros!$D$100,0))),2))</f>
        <v/>
      </c>
      <c r="AU624" s="66" t="str">
        <f t="shared" si="872"/>
        <v/>
      </c>
      <c r="AV624" s="66" t="str">
        <f t="shared" si="872"/>
        <v/>
      </c>
      <c r="AW624" s="66" t="str">
        <f>+IF($W624="","",ROUND((AT624*Parámetros!$G$85),2))</f>
        <v/>
      </c>
      <c r="AX624" s="66" t="str">
        <f>+IF($W624="","",ROUND((AT624*(Parámetros!$G$86)),2))</f>
        <v/>
      </c>
      <c r="AY624" s="66" t="str">
        <f t="shared" si="873"/>
        <v/>
      </c>
      <c r="AZ624" t="str">
        <f t="shared" si="827"/>
        <v/>
      </c>
      <c r="BA624" t="str">
        <f t="shared" si="828"/>
        <v/>
      </c>
      <c r="BB624" s="118" t="str">
        <f t="shared" si="829"/>
        <v/>
      </c>
      <c r="BC624" s="118" t="str">
        <f t="shared" si="830"/>
        <v/>
      </c>
      <c r="BD624" s="119" t="str">
        <f>+IF(OR($W624="",BB624=0),"",ROUND((VLOOKUP(ROUNDDOWN($D624-1/frec,0),cob_adi,AO$40,FALSE)*(1+i/frec)^-0.5*(1+Parámetros!$D$103)*(1+rec_fracc)/frec),6))</f>
        <v/>
      </c>
      <c r="BE624" s="66" t="str">
        <f t="shared" si="874"/>
        <v/>
      </c>
      <c r="BF624" s="119" t="str">
        <f t="shared" si="875"/>
        <v/>
      </c>
      <c r="BG624" s="66" t="str">
        <f>+IF($W624="","",ROUND(IF($B624&gt;Parámetros!$D$107,'Tablas Servicio'!BE624+('Tablas Servicio'!BG623-'Tablas Servicio'!BE623),BE624/(1-IF(B624&lt;=10,Parámetros!$D$100,0))),2))</f>
        <v/>
      </c>
      <c r="BH624" s="66" t="str">
        <f t="shared" si="876"/>
        <v/>
      </c>
      <c r="BI624" s="66" t="str">
        <f t="shared" si="877"/>
        <v/>
      </c>
      <c r="BJ624" s="66" t="str">
        <f>+IF($W624="","",ROUND((BG624*Parámetros!$G$85),2))</f>
        <v/>
      </c>
      <c r="BK624" s="66" t="str">
        <f>+IF($W624="","",ROUND((BG624*(Parámetros!$G$86)),2))</f>
        <v/>
      </c>
      <c r="BL624" s="66" t="str">
        <f t="shared" si="878"/>
        <v/>
      </c>
      <c r="BM624" t="str">
        <f t="shared" si="831"/>
        <v/>
      </c>
      <c r="BN624" t="str">
        <f t="shared" si="832"/>
        <v/>
      </c>
      <c r="BO624" s="118" t="str">
        <f t="shared" si="833"/>
        <v/>
      </c>
      <c r="BP624" s="118" t="str">
        <f t="shared" si="834"/>
        <v/>
      </c>
      <c r="BQ624" s="119" t="str">
        <f>+IF(OR($W624="",BO624=0),"",ROUND((VLOOKUP(ROUNDDOWN($D624-1/frec,0),cob_adi,BB$40,FALSE)*(1+i/frec)^-0.5*(1+Parámetros!$D$103)*(1+rec_fracc)/frec),6))</f>
        <v/>
      </c>
      <c r="BR624" s="66" t="str">
        <f t="shared" si="879"/>
        <v/>
      </c>
      <c r="BS624" s="119" t="str">
        <f t="shared" si="880"/>
        <v/>
      </c>
      <c r="BT624" s="66" t="str">
        <f>+IF($W624="","",ROUND(IF($B624&gt;Parámetros!$D$107,'Tablas Servicio'!BR624+('Tablas Servicio'!BT623-'Tablas Servicio'!BR623),BR624/(1-IF(B624&lt;=10,Parámetros!$D$100,0))),2))</f>
        <v/>
      </c>
      <c r="BU624" s="66" t="str">
        <f t="shared" si="881"/>
        <v/>
      </c>
      <c r="BV624" s="66" t="str">
        <f t="shared" si="881"/>
        <v/>
      </c>
      <c r="BW624" s="66" t="str">
        <f>+IF($W624="","",ROUND((BT624*Parámetros!$G$85),2))</f>
        <v/>
      </c>
      <c r="BX624" s="66" t="str">
        <f>+IF($W624="","",ROUND((BT624*(Parámetros!$G$86)),2))</f>
        <v/>
      </c>
      <c r="BY624" s="66" t="str">
        <f t="shared" si="882"/>
        <v/>
      </c>
      <c r="BZ624" t="str">
        <f t="shared" si="835"/>
        <v/>
      </c>
      <c r="CA624" t="str">
        <f t="shared" si="836"/>
        <v/>
      </c>
      <c r="CB624" s="118" t="str">
        <f t="shared" si="837"/>
        <v/>
      </c>
      <c r="CC624" s="118" t="str">
        <f t="shared" si="838"/>
        <v/>
      </c>
      <c r="CD624" s="119" t="str">
        <f t="shared" si="883"/>
        <v/>
      </c>
      <c r="CE624" s="66" t="str">
        <f>+IF($W624="","",ROUND((VLOOKUP(ROUNDDOWN($D624-1/frec,0),cob_adi,BO$40,FALSE)*(1+i/frec)^-0.5*(1+Parámetros!$D$103)*(1+rec_fracc)/frec*'TABLAS ADI'!$BC$17),2))</f>
        <v/>
      </c>
      <c r="CF624" s="119" t="str">
        <f t="shared" si="884"/>
        <v/>
      </c>
      <c r="CG624" s="66" t="str">
        <f>+IF($W624="","",ROUND(IF($B624&gt;Parámetros!$D$107,'Tablas Servicio'!CE624+('Tablas Servicio'!CG623-'Tablas Servicio'!CE623),CE624/(1-IF(B624&lt;=10,Parámetros!$D$100,0))),2))</f>
        <v/>
      </c>
      <c r="CH624" s="66" t="str">
        <f t="shared" si="885"/>
        <v/>
      </c>
      <c r="CI624" s="66" t="str">
        <f t="shared" si="885"/>
        <v/>
      </c>
      <c r="CJ624" s="66" t="str">
        <f>+IF($W624="","",ROUND((CG624*Parámetros!$G$85),2))</f>
        <v/>
      </c>
      <c r="CK624" s="66" t="str">
        <f>+IF($W624="","",ROUND((CG624*(Parámetros!$G$86)),2))</f>
        <v/>
      </c>
      <c r="CL624" s="66" t="str">
        <f t="shared" si="886"/>
        <v/>
      </c>
      <c r="CM624" t="str">
        <f t="shared" si="839"/>
        <v/>
      </c>
      <c r="CN624" s="118" t="str">
        <f t="shared" si="840"/>
        <v/>
      </c>
      <c r="CO624" s="118" t="str">
        <f t="shared" si="841"/>
        <v/>
      </c>
      <c r="CP624" s="118" t="str">
        <f t="shared" si="842"/>
        <v/>
      </c>
      <c r="CQ624" s="119" t="str">
        <f t="shared" si="887"/>
        <v/>
      </c>
      <c r="CR624" s="66" t="str">
        <f>+IF($W624="","",ROUND((VLOOKUP(Parámetros!$F$51,'COBERTURAS ADICIONALES'!$S$4:$T$32,2,FALSE)*(1+i/frec)^-0.5*(1+Parámetros!$D$103)*(1+rec_fracc)/frec*$CO$42),2))</f>
        <v/>
      </c>
      <c r="CS624" s="119" t="str">
        <f t="shared" si="888"/>
        <v/>
      </c>
      <c r="CT624" s="66" t="str">
        <f>+IF($W624="","",ROUND(IF($B624&gt;Parámetros!$D$107,'Tablas Servicio'!CR624+('Tablas Servicio'!CT623-'Tablas Servicio'!CR623),CR624/(1-IF(B624&lt;=10,Parámetros!$D$100,0))),2))</f>
        <v/>
      </c>
      <c r="CU624" s="66" t="str">
        <f t="shared" si="889"/>
        <v/>
      </c>
      <c r="CV624" s="66" t="str">
        <f t="shared" si="889"/>
        <v/>
      </c>
      <c r="CW624" s="66" t="str">
        <f>+IF($W624="","",ROUND((CT624*Parámetros!$G$85),2))</f>
        <v/>
      </c>
      <c r="CX624" s="66" t="str">
        <f>+IF($W624="","",ROUND((CT624*(Parámetros!$G$86)),2))</f>
        <v/>
      </c>
      <c r="CY624" s="66" t="str">
        <f t="shared" si="890"/>
        <v/>
      </c>
      <c r="CZ624" t="str">
        <f t="shared" si="843"/>
        <v/>
      </c>
      <c r="DA624" s="118" t="str">
        <f t="shared" si="844"/>
        <v/>
      </c>
      <c r="DB624" s="118" t="str">
        <f t="shared" si="845"/>
        <v/>
      </c>
      <c r="DC624" s="118" t="str">
        <f t="shared" si="846"/>
        <v/>
      </c>
      <c r="DD624" s="121" t="str">
        <f>+IF(OR($W624="",DB624=0),"",ROUND((VLOOKUP(ROUNDDOWN($D624-1/frec,0),cob_adi,CO$40,FALSE)*(1+i/frec)^-0.5*(1+Parámetros!$D$103)*(1+rec_fracc)/frec),6))</f>
        <v/>
      </c>
      <c r="DE624" s="66" t="str">
        <f t="shared" si="891"/>
        <v/>
      </c>
      <c r="DF624" s="119" t="str">
        <f t="shared" si="892"/>
        <v/>
      </c>
      <c r="DG624" s="66" t="str">
        <f>+IF($W624="","",ROUND(IF($B624&gt;Parámetros!$D$107,'Tablas Servicio'!DE624+('Tablas Servicio'!DG623-'Tablas Servicio'!DE623),DE624/(1-IF(B624&lt;=10,Parámetros!$D$100,0))),2))</f>
        <v/>
      </c>
      <c r="DH624" s="66" t="str">
        <f t="shared" si="893"/>
        <v/>
      </c>
      <c r="DI624" s="66" t="str">
        <f t="shared" si="893"/>
        <v/>
      </c>
      <c r="DJ624" s="66" t="str">
        <f>+IF($W624="","",ROUND((DG624*Parámetros!$G$85),2))</f>
        <v/>
      </c>
      <c r="DK624" s="66" t="str">
        <f>+IF($W624="","",ROUND((DG624*(Parámetros!$G$86)),2))</f>
        <v/>
      </c>
      <c r="DL624" s="66" t="str">
        <f t="shared" si="894"/>
        <v/>
      </c>
      <c r="DM624" t="str">
        <f t="shared" si="847"/>
        <v/>
      </c>
      <c r="DN624" s="118" t="str">
        <f t="shared" si="848"/>
        <v/>
      </c>
      <c r="DO624" s="118" t="str">
        <f t="shared" si="849"/>
        <v/>
      </c>
      <c r="DP624" s="118" t="str">
        <f t="shared" si="850"/>
        <v/>
      </c>
      <c r="DQ624" s="122" t="str">
        <f>+IF(OR($W624="",DO624=0),"",ROUND((VLOOKUP(ROUNDDOWN($D624-1/frec,0),cob_adi,DB$40,FALSE)*(1+i/frec)^-0.5*(1+Parámetros!$D$103)*(1+rec_fracc)/frec),6))</f>
        <v/>
      </c>
      <c r="DR624" s="66" t="str">
        <f t="shared" si="895"/>
        <v/>
      </c>
      <c r="DS624" s="68" t="str">
        <f t="shared" si="896"/>
        <v/>
      </c>
      <c r="DT624" s="66" t="str">
        <f>+IF($W624="","",ROUND(IF($B624&gt;Parámetros!$D$107,'Tablas Servicio'!DR624+('Tablas Servicio'!DT623-'Tablas Servicio'!DR623),DR624/(1-IF(B624&lt;=10,Parámetros!$D$100,0))),2))</f>
        <v/>
      </c>
      <c r="DU624" s="66" t="str">
        <f t="shared" si="897"/>
        <v/>
      </c>
      <c r="DV624" s="66" t="str">
        <f t="shared" si="897"/>
        <v/>
      </c>
      <c r="DW624" s="66" t="str">
        <f>+IF($W624="","",ROUND((DT624*Parámetros!$G$85),2))</f>
        <v/>
      </c>
      <c r="DX624" s="66" t="str">
        <f>+IF($W624="","",ROUND((DT624*(Parámetros!$G$86)),2))</f>
        <v/>
      </c>
      <c r="DY624" s="66" t="str">
        <f t="shared" si="898"/>
        <v/>
      </c>
      <c r="DZ624" t="str">
        <f t="shared" si="899"/>
        <v/>
      </c>
      <c r="EA624" s="118" t="str">
        <f t="shared" si="899"/>
        <v/>
      </c>
      <c r="EB624" s="118" t="str">
        <f>+IF($W624="","",ROUND(IF(Parámetros!$D$25='TABLAS MORT'!$V$33,EB623,Z624/2),0))</f>
        <v/>
      </c>
      <c r="EC624" s="118" t="str">
        <f t="shared" si="899"/>
        <v/>
      </c>
      <c r="ED624" s="122" t="str">
        <f>+IF(OR($W624="",EB624=0),"",ROUND((VLOOKUP(ROUNDDOWN($D624-1/frec,0),cob_adi,DO$40,FALSE)*(1+i/frec)^-0.5*(1+Parámetros!$D$103)*(1+rec_fracc)/frec),6))</f>
        <v/>
      </c>
      <c r="EE624" s="66" t="str">
        <f t="shared" si="900"/>
        <v/>
      </c>
      <c r="EF624" s="68" t="str">
        <f t="shared" si="901"/>
        <v/>
      </c>
      <c r="EG624" s="66" t="str">
        <f>+IF($W624="","",ROUND(IF($B624&gt;Parámetros!$D$107,'Tablas Servicio'!EE624+('Tablas Servicio'!EG623-'Tablas Servicio'!EE623),EE624/(1-IF(B624&lt;=10,Parámetros!$D$100,0))),2))</f>
        <v/>
      </c>
      <c r="EH624" s="66" t="str">
        <f t="shared" si="902"/>
        <v/>
      </c>
      <c r="EI624" s="66" t="str">
        <f t="shared" si="902"/>
        <v/>
      </c>
      <c r="EJ624" s="66" t="str">
        <f>+IF($W624="","",ROUND((EG624*Parámetros!$G$85),2))</f>
        <v/>
      </c>
      <c r="EK624" s="66" t="str">
        <f>+IF($W624="","",ROUND((EG624*(Parámetros!$G$86)),2))</f>
        <v/>
      </c>
      <c r="EL624" s="66" t="str">
        <f t="shared" si="903"/>
        <v/>
      </c>
    </row>
    <row r="625" spans="1:142" x14ac:dyDescent="0.25">
      <c r="A625" t="str">
        <f>+IF($C625="","",ROUND(VLOOKUP('Tablas Servicio'!B625,Parámetros!$H$100:$J$159,IF(Parámetros!$E$16="F",2,3),FALSE),2))</f>
        <v/>
      </c>
      <c r="B625" t="str">
        <f t="shared" si="854"/>
        <v/>
      </c>
      <c r="C625" s="57" t="str">
        <f>+IF(D625="","",'Tablas Servicio'!C624+1)</f>
        <v/>
      </c>
      <c r="D625" s="56" t="str">
        <f>+IF(D624&lt;edadmaxtabla,D624+1/Parámetros!$E$25,"")</f>
        <v/>
      </c>
      <c r="E625" s="57" t="str">
        <f t="shared" si="864"/>
        <v/>
      </c>
      <c r="F625" s="59" t="str">
        <f t="shared" si="865"/>
        <v/>
      </c>
      <c r="G625" s="66" t="str">
        <f t="shared" si="855"/>
        <v/>
      </c>
      <c r="H625" s="66" t="str">
        <f t="shared" si="856"/>
        <v/>
      </c>
      <c r="I625" s="66" t="str">
        <f t="shared" si="816"/>
        <v/>
      </c>
      <c r="J625" s="66" t="str">
        <f t="shared" si="857"/>
        <v/>
      </c>
      <c r="K625" s="66" t="str">
        <f t="shared" si="858"/>
        <v/>
      </c>
      <c r="L625" s="66" t="str">
        <f t="shared" si="859"/>
        <v/>
      </c>
      <c r="M625" s="66" t="str">
        <f t="shared" si="860"/>
        <v/>
      </c>
      <c r="N625" s="66" t="str">
        <f>+IF(C625="","",ROUND(Parámetros!$D$23,2))</f>
        <v/>
      </c>
      <c r="O625" s="66" t="str">
        <f t="shared" si="861"/>
        <v/>
      </c>
      <c r="P625" s="66" t="str">
        <f>+IF($C625="","",ROUND(IF(B625&gt;Parámetros!$D$117,0,N625*Parámetros!$D$116-G625*Parámetros!$D$100),2))</f>
        <v/>
      </c>
      <c r="Q625" s="75" t="str">
        <f t="shared" si="817"/>
        <v/>
      </c>
      <c r="R625" s="75" t="str">
        <f t="shared" si="818"/>
        <v/>
      </c>
      <c r="S625" s="117" t="str">
        <f>+IF($C625="","",ROUND((S624+I625)*(1+Parámetros!$D$91),2))</f>
        <v/>
      </c>
      <c r="T625" s="117" t="str">
        <f>+IF($C625="","",ROUND(S625*VLOOKUP(B625,Parámetros!$C$30:$D$39,2,TRUE),2))</f>
        <v/>
      </c>
      <c r="U625" s="117" t="str">
        <f>+IF($C625="","",ROUND((U624+I625)*(1+Parámetros!$D$92),2))</f>
        <v/>
      </c>
      <c r="V625" s="117" t="str">
        <f>+IF($C625="","",ROUND(U625*VLOOKUP(B625,Parámetros!$C$30:$D$39,2,TRUE),2))</f>
        <v/>
      </c>
      <c r="W625" s="57" t="str">
        <f t="shared" si="819"/>
        <v/>
      </c>
      <c r="X625" t="str">
        <f t="shared" si="820"/>
        <v/>
      </c>
      <c r="Y625" t="str">
        <f t="shared" si="821"/>
        <v/>
      </c>
      <c r="Z625" s="118" t="str">
        <f>+IF($W625="","",ROUND(IF(Parámetros!$D$25='TABLAS MORT'!$V$33,Z624,Parámetros!$D$21-'Tablas Servicio'!T624),0))</f>
        <v/>
      </c>
      <c r="AA625" s="118" t="str">
        <f t="shared" si="822"/>
        <v/>
      </c>
      <c r="AB625" s="119" t="str">
        <f>+IF(W625="","",ROUND((VLOOKUP(ROUNDDOWN($D625-1/frec,0),qx_tabla,2,FALSE)*(1+i/frec)^-0.5*(1+Parámetros!$D$103)*(1+rec_fracc)/frec),6))</f>
        <v/>
      </c>
      <c r="AC625" s="66" t="str">
        <f t="shared" si="866"/>
        <v/>
      </c>
      <c r="AD625" s="119" t="str">
        <f t="shared" si="862"/>
        <v/>
      </c>
      <c r="AE625" s="66" t="str">
        <f>+IF($W625="","",ROUND(IF($B625&gt;Parámetros!$D$107,'Tablas Servicio'!AC625+('Tablas Servicio'!AG624-'Tablas Servicio'!AC624),AC625/(1-IF(B625&lt;=10,Parámetros!$D$104,Parámetros!$D$105))),2))</f>
        <v/>
      </c>
      <c r="AF625" s="66" t="str">
        <f>+IF($W625="","",ROUND(IF($B625&gt;Parámetros!$D$107,'Tablas Servicio'!AC625+('Tablas Servicio'!AG624-'Tablas Servicio'!AC624),(AC625+$A624/frec)/(1-IF(B625&lt;=Parámetros!$D$117,Parámetros!$D$100,0))),2))</f>
        <v/>
      </c>
      <c r="AG625" s="66" t="str">
        <f t="shared" si="867"/>
        <v/>
      </c>
      <c r="AH625" s="66" t="str">
        <f t="shared" si="868"/>
        <v/>
      </c>
      <c r="AI625" s="66" t="str">
        <f t="shared" si="869"/>
        <v/>
      </c>
      <c r="AJ625" s="66" t="str">
        <f>+IF($W625="","",ROUND((AG625*Parámetros!$G$85),2))</f>
        <v/>
      </c>
      <c r="AK625" s="66" t="str">
        <f>+IF($W625="","",ROUND((AG625*(Parámetros!$G$86)),2))</f>
        <v/>
      </c>
      <c r="AL625" s="66" t="str">
        <f t="shared" si="863"/>
        <v/>
      </c>
      <c r="AM625" t="str">
        <f t="shared" si="823"/>
        <v/>
      </c>
      <c r="AN625" t="str">
        <f t="shared" si="824"/>
        <v/>
      </c>
      <c r="AO625" s="118" t="str">
        <f t="shared" si="825"/>
        <v/>
      </c>
      <c r="AP625" s="118" t="str">
        <f t="shared" si="826"/>
        <v/>
      </c>
      <c r="AQ625" s="119" t="str">
        <f>+IF(OR($W625="",AO625=0),"",ROUND((VLOOKUP(ROUNDDOWN($D625-1/frec,0),cob_adi,Z$40,FALSE)*(1+i/frec)^-0.5*(1+Parámetros!$D$103)*(1+rec_fracc)/frec),6))</f>
        <v/>
      </c>
      <c r="AR625" s="66" t="str">
        <f t="shared" si="870"/>
        <v/>
      </c>
      <c r="AS625" s="119" t="str">
        <f t="shared" si="871"/>
        <v/>
      </c>
      <c r="AT625" s="66" t="str">
        <f>+IF($W625="","",ROUND(IF($B625&gt;Parámetros!$D$107,'Tablas Servicio'!AR625+('Tablas Servicio'!AT624-'Tablas Servicio'!AR624),AR625/(1-IF(B625&lt;=10,Parámetros!$D$100,0))),2))</f>
        <v/>
      </c>
      <c r="AU625" s="66" t="str">
        <f t="shared" si="872"/>
        <v/>
      </c>
      <c r="AV625" s="66" t="str">
        <f t="shared" si="872"/>
        <v/>
      </c>
      <c r="AW625" s="66" t="str">
        <f>+IF($W625="","",ROUND((AT625*Parámetros!$G$85),2))</f>
        <v/>
      </c>
      <c r="AX625" s="66" t="str">
        <f>+IF($W625="","",ROUND((AT625*(Parámetros!$G$86)),2))</f>
        <v/>
      </c>
      <c r="AY625" s="66" t="str">
        <f t="shared" si="873"/>
        <v/>
      </c>
      <c r="AZ625" t="str">
        <f t="shared" si="827"/>
        <v/>
      </c>
      <c r="BA625" t="str">
        <f t="shared" si="828"/>
        <v/>
      </c>
      <c r="BB625" s="118" t="str">
        <f t="shared" si="829"/>
        <v/>
      </c>
      <c r="BC625" s="118" t="str">
        <f t="shared" si="830"/>
        <v/>
      </c>
      <c r="BD625" s="119" t="str">
        <f>+IF(OR($W625="",BB625=0),"",ROUND((VLOOKUP(ROUNDDOWN($D625-1/frec,0),cob_adi,AO$40,FALSE)*(1+i/frec)^-0.5*(1+Parámetros!$D$103)*(1+rec_fracc)/frec),6))</f>
        <v/>
      </c>
      <c r="BE625" s="66" t="str">
        <f t="shared" si="874"/>
        <v/>
      </c>
      <c r="BF625" s="119" t="str">
        <f t="shared" si="875"/>
        <v/>
      </c>
      <c r="BG625" s="66" t="str">
        <f>+IF($W625="","",ROUND(IF($B625&gt;Parámetros!$D$107,'Tablas Servicio'!BE625+('Tablas Servicio'!BG624-'Tablas Servicio'!BE624),BE625/(1-IF(B625&lt;=10,Parámetros!$D$100,0))),2))</f>
        <v/>
      </c>
      <c r="BH625" s="66" t="str">
        <f t="shared" si="876"/>
        <v/>
      </c>
      <c r="BI625" s="66" t="str">
        <f t="shared" si="877"/>
        <v/>
      </c>
      <c r="BJ625" s="66" t="str">
        <f>+IF($W625="","",ROUND((BG625*Parámetros!$G$85),2))</f>
        <v/>
      </c>
      <c r="BK625" s="66" t="str">
        <f>+IF($W625="","",ROUND((BG625*(Parámetros!$G$86)),2))</f>
        <v/>
      </c>
      <c r="BL625" s="66" t="str">
        <f t="shared" si="878"/>
        <v/>
      </c>
      <c r="BM625" t="str">
        <f t="shared" si="831"/>
        <v/>
      </c>
      <c r="BN625" t="str">
        <f t="shared" si="832"/>
        <v/>
      </c>
      <c r="BO625" s="118" t="str">
        <f t="shared" si="833"/>
        <v/>
      </c>
      <c r="BP625" s="118" t="str">
        <f t="shared" si="834"/>
        <v/>
      </c>
      <c r="BQ625" s="119" t="str">
        <f>+IF(OR($W625="",BO625=0),"",ROUND((VLOOKUP(ROUNDDOWN($D625-1/frec,0),cob_adi,BB$40,FALSE)*(1+i/frec)^-0.5*(1+Parámetros!$D$103)*(1+rec_fracc)/frec),6))</f>
        <v/>
      </c>
      <c r="BR625" s="66" t="str">
        <f t="shared" si="879"/>
        <v/>
      </c>
      <c r="BS625" s="119" t="str">
        <f t="shared" si="880"/>
        <v/>
      </c>
      <c r="BT625" s="66" t="str">
        <f>+IF($W625="","",ROUND(IF($B625&gt;Parámetros!$D$107,'Tablas Servicio'!BR625+('Tablas Servicio'!BT624-'Tablas Servicio'!BR624),BR625/(1-IF(B625&lt;=10,Parámetros!$D$100,0))),2))</f>
        <v/>
      </c>
      <c r="BU625" s="66" t="str">
        <f t="shared" si="881"/>
        <v/>
      </c>
      <c r="BV625" s="66" t="str">
        <f t="shared" si="881"/>
        <v/>
      </c>
      <c r="BW625" s="66" t="str">
        <f>+IF($W625="","",ROUND((BT625*Parámetros!$G$85),2))</f>
        <v/>
      </c>
      <c r="BX625" s="66" t="str">
        <f>+IF($W625="","",ROUND((BT625*(Parámetros!$G$86)),2))</f>
        <v/>
      </c>
      <c r="BY625" s="66" t="str">
        <f t="shared" si="882"/>
        <v/>
      </c>
      <c r="BZ625" t="str">
        <f t="shared" si="835"/>
        <v/>
      </c>
      <c r="CA625" t="str">
        <f t="shared" si="836"/>
        <v/>
      </c>
      <c r="CB625" s="118" t="str">
        <f t="shared" si="837"/>
        <v/>
      </c>
      <c r="CC625" s="118" t="str">
        <f t="shared" si="838"/>
        <v/>
      </c>
      <c r="CD625" s="119" t="str">
        <f t="shared" si="883"/>
        <v/>
      </c>
      <c r="CE625" s="66" t="str">
        <f>+IF($W625="","",ROUND((VLOOKUP(ROUNDDOWN($D625-1/frec,0),cob_adi,BO$40,FALSE)*(1+i/frec)^-0.5*(1+Parámetros!$D$103)*(1+rec_fracc)/frec*'TABLAS ADI'!$BC$17),2))</f>
        <v/>
      </c>
      <c r="CF625" s="119" t="str">
        <f t="shared" si="884"/>
        <v/>
      </c>
      <c r="CG625" s="66" t="str">
        <f>+IF($W625="","",ROUND(IF($B625&gt;Parámetros!$D$107,'Tablas Servicio'!CE625+('Tablas Servicio'!CG624-'Tablas Servicio'!CE624),CE625/(1-IF(B625&lt;=10,Parámetros!$D$100,0))),2))</f>
        <v/>
      </c>
      <c r="CH625" s="66" t="str">
        <f t="shared" si="885"/>
        <v/>
      </c>
      <c r="CI625" s="66" t="str">
        <f t="shared" si="885"/>
        <v/>
      </c>
      <c r="CJ625" s="66" t="str">
        <f>+IF($W625="","",ROUND((CG625*Parámetros!$G$85),2))</f>
        <v/>
      </c>
      <c r="CK625" s="66" t="str">
        <f>+IF($W625="","",ROUND((CG625*(Parámetros!$G$86)),2))</f>
        <v/>
      </c>
      <c r="CL625" s="66" t="str">
        <f t="shared" si="886"/>
        <v/>
      </c>
      <c r="CM625" t="str">
        <f t="shared" si="839"/>
        <v/>
      </c>
      <c r="CN625" s="118" t="str">
        <f t="shared" si="840"/>
        <v/>
      </c>
      <c r="CO625" s="118" t="str">
        <f t="shared" si="841"/>
        <v/>
      </c>
      <c r="CP625" s="118" t="str">
        <f t="shared" si="842"/>
        <v/>
      </c>
      <c r="CQ625" s="119" t="str">
        <f t="shared" si="887"/>
        <v/>
      </c>
      <c r="CR625" s="66" t="str">
        <f>+IF($W625="","",ROUND((VLOOKUP(Parámetros!$F$51,'COBERTURAS ADICIONALES'!$S$4:$T$32,2,FALSE)*(1+i/frec)^-0.5*(1+Parámetros!$D$103)*(1+rec_fracc)/frec*$CO$42),2))</f>
        <v/>
      </c>
      <c r="CS625" s="119" t="str">
        <f t="shared" si="888"/>
        <v/>
      </c>
      <c r="CT625" s="66" t="str">
        <f>+IF($W625="","",ROUND(IF($B625&gt;Parámetros!$D$107,'Tablas Servicio'!CR625+('Tablas Servicio'!CT624-'Tablas Servicio'!CR624),CR625/(1-IF(B625&lt;=10,Parámetros!$D$100,0))),2))</f>
        <v/>
      </c>
      <c r="CU625" s="66" t="str">
        <f t="shared" si="889"/>
        <v/>
      </c>
      <c r="CV625" s="66" t="str">
        <f t="shared" si="889"/>
        <v/>
      </c>
      <c r="CW625" s="66" t="str">
        <f>+IF($W625="","",ROUND((CT625*Parámetros!$G$85),2))</f>
        <v/>
      </c>
      <c r="CX625" s="66" t="str">
        <f>+IF($W625="","",ROUND((CT625*(Parámetros!$G$86)),2))</f>
        <v/>
      </c>
      <c r="CY625" s="66" t="str">
        <f t="shared" si="890"/>
        <v/>
      </c>
      <c r="CZ625" t="str">
        <f t="shared" si="843"/>
        <v/>
      </c>
      <c r="DA625" s="118" t="str">
        <f t="shared" si="844"/>
        <v/>
      </c>
      <c r="DB625" s="118" t="str">
        <f t="shared" si="845"/>
        <v/>
      </c>
      <c r="DC625" s="118" t="str">
        <f t="shared" si="846"/>
        <v/>
      </c>
      <c r="DD625" s="121" t="str">
        <f>+IF(OR($W625="",DB625=0),"",ROUND((VLOOKUP(ROUNDDOWN($D625-1/frec,0),cob_adi,CO$40,FALSE)*(1+i/frec)^-0.5*(1+Parámetros!$D$103)*(1+rec_fracc)/frec),6))</f>
        <v/>
      </c>
      <c r="DE625" s="66" t="str">
        <f t="shared" si="891"/>
        <v/>
      </c>
      <c r="DF625" s="119" t="str">
        <f t="shared" si="892"/>
        <v/>
      </c>
      <c r="DG625" s="66" t="str">
        <f>+IF($W625="","",ROUND(IF($B625&gt;Parámetros!$D$107,'Tablas Servicio'!DE625+('Tablas Servicio'!DG624-'Tablas Servicio'!DE624),DE625/(1-IF(B625&lt;=10,Parámetros!$D$100,0))),2))</f>
        <v/>
      </c>
      <c r="DH625" s="66" t="str">
        <f t="shared" si="893"/>
        <v/>
      </c>
      <c r="DI625" s="66" t="str">
        <f t="shared" si="893"/>
        <v/>
      </c>
      <c r="DJ625" s="66" t="str">
        <f>+IF($W625="","",ROUND((DG625*Parámetros!$G$85),2))</f>
        <v/>
      </c>
      <c r="DK625" s="66" t="str">
        <f>+IF($W625="","",ROUND((DG625*(Parámetros!$G$86)),2))</f>
        <v/>
      </c>
      <c r="DL625" s="66" t="str">
        <f t="shared" si="894"/>
        <v/>
      </c>
      <c r="DM625" t="str">
        <f t="shared" si="847"/>
        <v/>
      </c>
      <c r="DN625" s="118" t="str">
        <f t="shared" si="848"/>
        <v/>
      </c>
      <c r="DO625" s="118" t="str">
        <f t="shared" si="849"/>
        <v/>
      </c>
      <c r="DP625" s="118" t="str">
        <f t="shared" si="850"/>
        <v/>
      </c>
      <c r="DQ625" s="122" t="str">
        <f>+IF(OR($W625="",DO625=0),"",ROUND((VLOOKUP(ROUNDDOWN($D625-1/frec,0),cob_adi,DB$40,FALSE)*(1+i/frec)^-0.5*(1+Parámetros!$D$103)*(1+rec_fracc)/frec),6))</f>
        <v/>
      </c>
      <c r="DR625" s="66" t="str">
        <f t="shared" si="895"/>
        <v/>
      </c>
      <c r="DS625" s="68" t="str">
        <f t="shared" si="896"/>
        <v/>
      </c>
      <c r="DT625" s="66" t="str">
        <f>+IF($W625="","",ROUND(IF($B625&gt;Parámetros!$D$107,'Tablas Servicio'!DR625+('Tablas Servicio'!DT624-'Tablas Servicio'!DR624),DR625/(1-IF(B625&lt;=10,Parámetros!$D$100,0))),2))</f>
        <v/>
      </c>
      <c r="DU625" s="66" t="str">
        <f t="shared" si="897"/>
        <v/>
      </c>
      <c r="DV625" s="66" t="str">
        <f t="shared" si="897"/>
        <v/>
      </c>
      <c r="DW625" s="66" t="str">
        <f>+IF($W625="","",ROUND((DT625*Parámetros!$G$85),2))</f>
        <v/>
      </c>
      <c r="DX625" s="66" t="str">
        <f>+IF($W625="","",ROUND((DT625*(Parámetros!$G$86)),2))</f>
        <v/>
      </c>
      <c r="DY625" s="66" t="str">
        <f t="shared" si="898"/>
        <v/>
      </c>
      <c r="DZ625" t="str">
        <f t="shared" si="899"/>
        <v/>
      </c>
      <c r="EA625" s="118" t="str">
        <f t="shared" si="899"/>
        <v/>
      </c>
      <c r="EB625" s="118" t="str">
        <f>+IF($W625="","",ROUND(IF(Parámetros!$D$25='TABLAS MORT'!$V$33,EB624,Z625/2),0))</f>
        <v/>
      </c>
      <c r="EC625" s="118" t="str">
        <f t="shared" si="899"/>
        <v/>
      </c>
      <c r="ED625" s="122" t="str">
        <f>+IF(OR($W625="",EB625=0),"",ROUND((VLOOKUP(ROUNDDOWN($D625-1/frec,0),cob_adi,DO$40,FALSE)*(1+i/frec)^-0.5*(1+Parámetros!$D$103)*(1+rec_fracc)/frec),6))</f>
        <v/>
      </c>
      <c r="EE625" s="66" t="str">
        <f t="shared" si="900"/>
        <v/>
      </c>
      <c r="EF625" s="68" t="str">
        <f t="shared" si="901"/>
        <v/>
      </c>
      <c r="EG625" s="66" t="str">
        <f>+IF($W625="","",ROUND(IF($B625&gt;Parámetros!$D$107,'Tablas Servicio'!EE625+('Tablas Servicio'!EG624-'Tablas Servicio'!EE624),EE625/(1-IF(B625&lt;=10,Parámetros!$D$100,0))),2))</f>
        <v/>
      </c>
      <c r="EH625" s="66" t="str">
        <f t="shared" si="902"/>
        <v/>
      </c>
      <c r="EI625" s="66" t="str">
        <f t="shared" si="902"/>
        <v/>
      </c>
      <c r="EJ625" s="66" t="str">
        <f>+IF($W625="","",ROUND((EG625*Parámetros!$G$85),2))</f>
        <v/>
      </c>
      <c r="EK625" s="66" t="str">
        <f>+IF($W625="","",ROUND((EG625*(Parámetros!$G$86)),2))</f>
        <v/>
      </c>
      <c r="EL625" s="66" t="str">
        <f t="shared" si="903"/>
        <v/>
      </c>
    </row>
    <row r="626" spans="1:142" x14ac:dyDescent="0.25">
      <c r="A626" t="str">
        <f>+IF($C626="","",ROUND(VLOOKUP('Tablas Servicio'!B626,Parámetros!$H$100:$J$159,IF(Parámetros!$E$16="F",2,3),FALSE),2))</f>
        <v/>
      </c>
      <c r="B626" t="str">
        <f t="shared" si="854"/>
        <v/>
      </c>
      <c r="C626" s="57" t="str">
        <f>+IF(D626="","",'Tablas Servicio'!C625+1)</f>
        <v/>
      </c>
      <c r="D626" s="56" t="str">
        <f>+IF(D625&lt;edadmaxtabla,D625+1/Parámetros!$E$25,"")</f>
        <v/>
      </c>
      <c r="E626" s="57" t="str">
        <f t="shared" si="864"/>
        <v/>
      </c>
      <c r="F626" s="59" t="str">
        <f t="shared" si="865"/>
        <v/>
      </c>
      <c r="G626" s="66" t="str">
        <f t="shared" si="855"/>
        <v/>
      </c>
      <c r="H626" s="66" t="str">
        <f t="shared" si="856"/>
        <v/>
      </c>
      <c r="I626" s="66" t="str">
        <f t="shared" si="816"/>
        <v/>
      </c>
      <c r="J626" s="66" t="str">
        <f t="shared" si="857"/>
        <v/>
      </c>
      <c r="K626" s="66" t="str">
        <f t="shared" si="858"/>
        <v/>
      </c>
      <c r="L626" s="66" t="str">
        <f t="shared" si="859"/>
        <v/>
      </c>
      <c r="M626" s="66" t="str">
        <f t="shared" si="860"/>
        <v/>
      </c>
      <c r="N626" s="66" t="str">
        <f>+IF(C626="","",ROUND(Parámetros!$D$23,2))</f>
        <v/>
      </c>
      <c r="O626" s="66" t="str">
        <f t="shared" si="861"/>
        <v/>
      </c>
      <c r="P626" s="66" t="str">
        <f>+IF($C626="","",ROUND(IF(B626&gt;Parámetros!$D$117,0,N626*Parámetros!$D$116-G626*Parámetros!$D$100),2))</f>
        <v/>
      </c>
      <c r="Q626" s="75" t="str">
        <f t="shared" si="817"/>
        <v/>
      </c>
      <c r="R626" s="75" t="str">
        <f t="shared" si="818"/>
        <v/>
      </c>
      <c r="S626" s="117" t="str">
        <f>+IF($C626="","",ROUND((S625+I626)*(1+Parámetros!$D$91),2))</f>
        <v/>
      </c>
      <c r="T626" s="117" t="str">
        <f>+IF($C626="","",ROUND(S626*VLOOKUP(B626,Parámetros!$C$30:$D$39,2,TRUE),2))</f>
        <v/>
      </c>
      <c r="U626" s="117" t="str">
        <f>+IF($C626="","",ROUND((U625+I626)*(1+Parámetros!$D$92),2))</f>
        <v/>
      </c>
      <c r="V626" s="117" t="str">
        <f>+IF($C626="","",ROUND(U626*VLOOKUP(B626,Parámetros!$C$30:$D$39,2,TRUE),2))</f>
        <v/>
      </c>
      <c r="W626" s="57" t="str">
        <f t="shared" si="819"/>
        <v/>
      </c>
      <c r="X626" t="str">
        <f t="shared" si="820"/>
        <v/>
      </c>
      <c r="Y626" t="str">
        <f t="shared" si="821"/>
        <v/>
      </c>
      <c r="Z626" s="118" t="str">
        <f>+IF($W626="","",ROUND(IF(Parámetros!$D$25='TABLAS MORT'!$V$33,Z625,Parámetros!$D$21-'Tablas Servicio'!T625),0))</f>
        <v/>
      </c>
      <c r="AA626" s="118" t="str">
        <f t="shared" si="822"/>
        <v/>
      </c>
      <c r="AB626" s="119" t="str">
        <f>+IF(W626="","",ROUND((VLOOKUP(ROUNDDOWN($D626-1/frec,0),qx_tabla,2,FALSE)*(1+i/frec)^-0.5*(1+Parámetros!$D$103)*(1+rec_fracc)/frec),6))</f>
        <v/>
      </c>
      <c r="AC626" s="66" t="str">
        <f t="shared" si="866"/>
        <v/>
      </c>
      <c r="AD626" s="119" t="str">
        <f t="shared" si="862"/>
        <v/>
      </c>
      <c r="AE626" s="66" t="str">
        <f>+IF($W626="","",ROUND(IF($B626&gt;Parámetros!$D$107,'Tablas Servicio'!AC626+('Tablas Servicio'!AG625-'Tablas Servicio'!AC625),AC626/(1-IF(B626&lt;=10,Parámetros!$D$104,Parámetros!$D$105))),2))</f>
        <v/>
      </c>
      <c r="AF626" s="66" t="str">
        <f>+IF($W626="","",ROUND(IF($B626&gt;Parámetros!$D$107,'Tablas Servicio'!AC626+('Tablas Servicio'!AG625-'Tablas Servicio'!AC625),(AC626+$A625/frec)/(1-IF(B626&lt;=Parámetros!$D$117,Parámetros!$D$100,0))),2))</f>
        <v/>
      </c>
      <c r="AG626" s="66" t="str">
        <f t="shared" si="867"/>
        <v/>
      </c>
      <c r="AH626" s="66" t="str">
        <f t="shared" si="868"/>
        <v/>
      </c>
      <c r="AI626" s="66" t="str">
        <f t="shared" si="869"/>
        <v/>
      </c>
      <c r="AJ626" s="66" t="str">
        <f>+IF($W626="","",ROUND((AG626*Parámetros!$G$85),2))</f>
        <v/>
      </c>
      <c r="AK626" s="66" t="str">
        <f>+IF($W626="","",ROUND((AG626*(Parámetros!$G$86)),2))</f>
        <v/>
      </c>
      <c r="AL626" s="66" t="str">
        <f t="shared" si="863"/>
        <v/>
      </c>
      <c r="AM626" t="str">
        <f t="shared" si="823"/>
        <v/>
      </c>
      <c r="AN626" t="str">
        <f t="shared" si="824"/>
        <v/>
      </c>
      <c r="AO626" s="118" t="str">
        <f t="shared" si="825"/>
        <v/>
      </c>
      <c r="AP626" s="118" t="str">
        <f t="shared" si="826"/>
        <v/>
      </c>
      <c r="AQ626" s="119" t="str">
        <f>+IF(OR($W626="",AO626=0),"",ROUND((VLOOKUP(ROUNDDOWN($D626-1/frec,0),cob_adi,Z$40,FALSE)*(1+i/frec)^-0.5*(1+Parámetros!$D$103)*(1+rec_fracc)/frec),6))</f>
        <v/>
      </c>
      <c r="AR626" s="66" t="str">
        <f t="shared" si="870"/>
        <v/>
      </c>
      <c r="AS626" s="119" t="str">
        <f t="shared" si="871"/>
        <v/>
      </c>
      <c r="AT626" s="66" t="str">
        <f>+IF($W626="","",ROUND(IF($B626&gt;Parámetros!$D$107,'Tablas Servicio'!AR626+('Tablas Servicio'!AT625-'Tablas Servicio'!AR625),AR626/(1-IF(B626&lt;=10,Parámetros!$D$100,0))),2))</f>
        <v/>
      </c>
      <c r="AU626" s="66" t="str">
        <f t="shared" si="872"/>
        <v/>
      </c>
      <c r="AV626" s="66" t="str">
        <f t="shared" si="872"/>
        <v/>
      </c>
      <c r="AW626" s="66" t="str">
        <f>+IF($W626="","",ROUND((AT626*Parámetros!$G$85),2))</f>
        <v/>
      </c>
      <c r="AX626" s="66" t="str">
        <f>+IF($W626="","",ROUND((AT626*(Parámetros!$G$86)),2))</f>
        <v/>
      </c>
      <c r="AY626" s="66" t="str">
        <f t="shared" si="873"/>
        <v/>
      </c>
      <c r="AZ626" t="str">
        <f t="shared" si="827"/>
        <v/>
      </c>
      <c r="BA626" t="str">
        <f t="shared" si="828"/>
        <v/>
      </c>
      <c r="BB626" s="118" t="str">
        <f t="shared" si="829"/>
        <v/>
      </c>
      <c r="BC626" s="118" t="str">
        <f t="shared" si="830"/>
        <v/>
      </c>
      <c r="BD626" s="119" t="str">
        <f>+IF(OR($W626="",BB626=0),"",ROUND((VLOOKUP(ROUNDDOWN($D626-1/frec,0),cob_adi,AO$40,FALSE)*(1+i/frec)^-0.5*(1+Parámetros!$D$103)*(1+rec_fracc)/frec),6))</f>
        <v/>
      </c>
      <c r="BE626" s="66" t="str">
        <f t="shared" si="874"/>
        <v/>
      </c>
      <c r="BF626" s="119" t="str">
        <f t="shared" si="875"/>
        <v/>
      </c>
      <c r="BG626" s="66" t="str">
        <f>+IF($W626="","",ROUND(IF($B626&gt;Parámetros!$D$107,'Tablas Servicio'!BE626+('Tablas Servicio'!BG625-'Tablas Servicio'!BE625),BE626/(1-IF(B626&lt;=10,Parámetros!$D$100,0))),2))</f>
        <v/>
      </c>
      <c r="BH626" s="66" t="str">
        <f t="shared" si="876"/>
        <v/>
      </c>
      <c r="BI626" s="66" t="str">
        <f t="shared" si="877"/>
        <v/>
      </c>
      <c r="BJ626" s="66" t="str">
        <f>+IF($W626="","",ROUND((BG626*Parámetros!$G$85),2))</f>
        <v/>
      </c>
      <c r="BK626" s="66" t="str">
        <f>+IF($W626="","",ROUND((BG626*(Parámetros!$G$86)),2))</f>
        <v/>
      </c>
      <c r="BL626" s="66" t="str">
        <f t="shared" si="878"/>
        <v/>
      </c>
      <c r="BM626" t="str">
        <f t="shared" si="831"/>
        <v/>
      </c>
      <c r="BN626" t="str">
        <f t="shared" si="832"/>
        <v/>
      </c>
      <c r="BO626" s="118" t="str">
        <f t="shared" si="833"/>
        <v/>
      </c>
      <c r="BP626" s="118" t="str">
        <f t="shared" si="834"/>
        <v/>
      </c>
      <c r="BQ626" s="119" t="str">
        <f>+IF(OR($W626="",BO626=0),"",ROUND((VLOOKUP(ROUNDDOWN($D626-1/frec,0),cob_adi,BB$40,FALSE)*(1+i/frec)^-0.5*(1+Parámetros!$D$103)*(1+rec_fracc)/frec),6))</f>
        <v/>
      </c>
      <c r="BR626" s="66" t="str">
        <f t="shared" si="879"/>
        <v/>
      </c>
      <c r="BS626" s="119" t="str">
        <f t="shared" si="880"/>
        <v/>
      </c>
      <c r="BT626" s="66" t="str">
        <f>+IF($W626="","",ROUND(IF($B626&gt;Parámetros!$D$107,'Tablas Servicio'!BR626+('Tablas Servicio'!BT625-'Tablas Servicio'!BR625),BR626/(1-IF(B626&lt;=10,Parámetros!$D$100,0))),2))</f>
        <v/>
      </c>
      <c r="BU626" s="66" t="str">
        <f t="shared" si="881"/>
        <v/>
      </c>
      <c r="BV626" s="66" t="str">
        <f t="shared" si="881"/>
        <v/>
      </c>
      <c r="BW626" s="66" t="str">
        <f>+IF($W626="","",ROUND((BT626*Parámetros!$G$85),2))</f>
        <v/>
      </c>
      <c r="BX626" s="66" t="str">
        <f>+IF($W626="","",ROUND((BT626*(Parámetros!$G$86)),2))</f>
        <v/>
      </c>
      <c r="BY626" s="66" t="str">
        <f t="shared" si="882"/>
        <v/>
      </c>
      <c r="BZ626" t="str">
        <f t="shared" si="835"/>
        <v/>
      </c>
      <c r="CA626" t="str">
        <f t="shared" si="836"/>
        <v/>
      </c>
      <c r="CB626" s="118" t="str">
        <f t="shared" si="837"/>
        <v/>
      </c>
      <c r="CC626" s="118" t="str">
        <f t="shared" si="838"/>
        <v/>
      </c>
      <c r="CD626" s="119" t="str">
        <f t="shared" si="883"/>
        <v/>
      </c>
      <c r="CE626" s="66" t="str">
        <f>+IF($W626="","",ROUND((VLOOKUP(ROUNDDOWN($D626-1/frec,0),cob_adi,BO$40,FALSE)*(1+i/frec)^-0.5*(1+Parámetros!$D$103)*(1+rec_fracc)/frec*'TABLAS ADI'!$BC$17),2))</f>
        <v/>
      </c>
      <c r="CF626" s="119" t="str">
        <f t="shared" si="884"/>
        <v/>
      </c>
      <c r="CG626" s="66" t="str">
        <f>+IF($W626="","",ROUND(IF($B626&gt;Parámetros!$D$107,'Tablas Servicio'!CE626+('Tablas Servicio'!CG625-'Tablas Servicio'!CE625),CE626/(1-IF(B626&lt;=10,Parámetros!$D$100,0))),2))</f>
        <v/>
      </c>
      <c r="CH626" s="66" t="str">
        <f t="shared" si="885"/>
        <v/>
      </c>
      <c r="CI626" s="66" t="str">
        <f t="shared" si="885"/>
        <v/>
      </c>
      <c r="CJ626" s="66" t="str">
        <f>+IF($W626="","",ROUND((CG626*Parámetros!$G$85),2))</f>
        <v/>
      </c>
      <c r="CK626" s="66" t="str">
        <f>+IF($W626="","",ROUND((CG626*(Parámetros!$G$86)),2))</f>
        <v/>
      </c>
      <c r="CL626" s="66" t="str">
        <f t="shared" si="886"/>
        <v/>
      </c>
      <c r="CM626" t="str">
        <f t="shared" si="839"/>
        <v/>
      </c>
      <c r="CN626" s="118" t="str">
        <f t="shared" si="840"/>
        <v/>
      </c>
      <c r="CO626" s="118" t="str">
        <f t="shared" si="841"/>
        <v/>
      </c>
      <c r="CP626" s="118" t="str">
        <f t="shared" si="842"/>
        <v/>
      </c>
      <c r="CQ626" s="119" t="str">
        <f t="shared" si="887"/>
        <v/>
      </c>
      <c r="CR626" s="66" t="str">
        <f>+IF($W626="","",ROUND((VLOOKUP(Parámetros!$F$51,'COBERTURAS ADICIONALES'!$S$4:$T$32,2,FALSE)*(1+i/frec)^-0.5*(1+Parámetros!$D$103)*(1+rec_fracc)/frec*$CO$42),2))</f>
        <v/>
      </c>
      <c r="CS626" s="119" t="str">
        <f t="shared" si="888"/>
        <v/>
      </c>
      <c r="CT626" s="66" t="str">
        <f>+IF($W626="","",ROUND(IF($B626&gt;Parámetros!$D$107,'Tablas Servicio'!CR626+('Tablas Servicio'!CT625-'Tablas Servicio'!CR625),CR626/(1-IF(B626&lt;=10,Parámetros!$D$100,0))),2))</f>
        <v/>
      </c>
      <c r="CU626" s="66" t="str">
        <f t="shared" si="889"/>
        <v/>
      </c>
      <c r="CV626" s="66" t="str">
        <f t="shared" si="889"/>
        <v/>
      </c>
      <c r="CW626" s="66" t="str">
        <f>+IF($W626="","",ROUND((CT626*Parámetros!$G$85),2))</f>
        <v/>
      </c>
      <c r="CX626" s="66" t="str">
        <f>+IF($W626="","",ROUND((CT626*(Parámetros!$G$86)),2))</f>
        <v/>
      </c>
      <c r="CY626" s="66" t="str">
        <f t="shared" si="890"/>
        <v/>
      </c>
      <c r="CZ626" t="str">
        <f t="shared" si="843"/>
        <v/>
      </c>
      <c r="DA626" s="118" t="str">
        <f t="shared" si="844"/>
        <v/>
      </c>
      <c r="DB626" s="118" t="str">
        <f t="shared" si="845"/>
        <v/>
      </c>
      <c r="DC626" s="118" t="str">
        <f t="shared" si="846"/>
        <v/>
      </c>
      <c r="DD626" s="121" t="str">
        <f>+IF(OR($W626="",DB626=0),"",ROUND((VLOOKUP(ROUNDDOWN($D626-1/frec,0),cob_adi,CO$40,FALSE)*(1+i/frec)^-0.5*(1+Parámetros!$D$103)*(1+rec_fracc)/frec),6))</f>
        <v/>
      </c>
      <c r="DE626" s="66" t="str">
        <f t="shared" si="891"/>
        <v/>
      </c>
      <c r="DF626" s="119" t="str">
        <f t="shared" si="892"/>
        <v/>
      </c>
      <c r="DG626" s="66" t="str">
        <f>+IF($W626="","",ROUND(IF($B626&gt;Parámetros!$D$107,'Tablas Servicio'!DE626+('Tablas Servicio'!DG625-'Tablas Servicio'!DE625),DE626/(1-IF(B626&lt;=10,Parámetros!$D$100,0))),2))</f>
        <v/>
      </c>
      <c r="DH626" s="66" t="str">
        <f t="shared" si="893"/>
        <v/>
      </c>
      <c r="DI626" s="66" t="str">
        <f t="shared" si="893"/>
        <v/>
      </c>
      <c r="DJ626" s="66" t="str">
        <f>+IF($W626="","",ROUND((DG626*Parámetros!$G$85),2))</f>
        <v/>
      </c>
      <c r="DK626" s="66" t="str">
        <f>+IF($W626="","",ROUND((DG626*(Parámetros!$G$86)),2))</f>
        <v/>
      </c>
      <c r="DL626" s="66" t="str">
        <f t="shared" si="894"/>
        <v/>
      </c>
      <c r="DM626" t="str">
        <f t="shared" si="847"/>
        <v/>
      </c>
      <c r="DN626" s="118" t="str">
        <f t="shared" si="848"/>
        <v/>
      </c>
      <c r="DO626" s="118" t="str">
        <f t="shared" si="849"/>
        <v/>
      </c>
      <c r="DP626" s="118" t="str">
        <f t="shared" si="850"/>
        <v/>
      </c>
      <c r="DQ626" s="122" t="str">
        <f>+IF(OR($W626="",DO626=0),"",ROUND((VLOOKUP(ROUNDDOWN($D626-1/frec,0),cob_adi,DB$40,FALSE)*(1+i/frec)^-0.5*(1+Parámetros!$D$103)*(1+rec_fracc)/frec),6))</f>
        <v/>
      </c>
      <c r="DR626" s="66" t="str">
        <f t="shared" si="895"/>
        <v/>
      </c>
      <c r="DS626" s="68" t="str">
        <f t="shared" si="896"/>
        <v/>
      </c>
      <c r="DT626" s="66" t="str">
        <f>+IF($W626="","",ROUND(IF($B626&gt;Parámetros!$D$107,'Tablas Servicio'!DR626+('Tablas Servicio'!DT625-'Tablas Servicio'!DR625),DR626/(1-IF(B626&lt;=10,Parámetros!$D$100,0))),2))</f>
        <v/>
      </c>
      <c r="DU626" s="66" t="str">
        <f t="shared" si="897"/>
        <v/>
      </c>
      <c r="DV626" s="66" t="str">
        <f t="shared" si="897"/>
        <v/>
      </c>
      <c r="DW626" s="66" t="str">
        <f>+IF($W626="","",ROUND((DT626*Parámetros!$G$85),2))</f>
        <v/>
      </c>
      <c r="DX626" s="66" t="str">
        <f>+IF($W626="","",ROUND((DT626*(Parámetros!$G$86)),2))</f>
        <v/>
      </c>
      <c r="DY626" s="66" t="str">
        <f t="shared" si="898"/>
        <v/>
      </c>
      <c r="DZ626" t="str">
        <f t="shared" si="899"/>
        <v/>
      </c>
      <c r="EA626" s="118" t="str">
        <f t="shared" si="899"/>
        <v/>
      </c>
      <c r="EB626" s="118" t="str">
        <f>+IF($W626="","",ROUND(IF(Parámetros!$D$25='TABLAS MORT'!$V$33,EB625,Z626/2),0))</f>
        <v/>
      </c>
      <c r="EC626" s="118" t="str">
        <f t="shared" si="899"/>
        <v/>
      </c>
      <c r="ED626" s="122" t="str">
        <f>+IF(OR($W626="",EB626=0),"",ROUND((VLOOKUP(ROUNDDOWN($D626-1/frec,0),cob_adi,DO$40,FALSE)*(1+i/frec)^-0.5*(1+Parámetros!$D$103)*(1+rec_fracc)/frec),6))</f>
        <v/>
      </c>
      <c r="EE626" s="66" t="str">
        <f t="shared" si="900"/>
        <v/>
      </c>
      <c r="EF626" s="68" t="str">
        <f t="shared" si="901"/>
        <v/>
      </c>
      <c r="EG626" s="66" t="str">
        <f>+IF($W626="","",ROUND(IF($B626&gt;Parámetros!$D$107,'Tablas Servicio'!EE626+('Tablas Servicio'!EG625-'Tablas Servicio'!EE625),EE626/(1-IF(B626&lt;=10,Parámetros!$D$100,0))),2))</f>
        <v/>
      </c>
      <c r="EH626" s="66" t="str">
        <f t="shared" si="902"/>
        <v/>
      </c>
      <c r="EI626" s="66" t="str">
        <f t="shared" si="902"/>
        <v/>
      </c>
      <c r="EJ626" s="66" t="str">
        <f>+IF($W626="","",ROUND((EG626*Parámetros!$G$85),2))</f>
        <v/>
      </c>
      <c r="EK626" s="66" t="str">
        <f>+IF($W626="","",ROUND((EG626*(Parámetros!$G$86)),2))</f>
        <v/>
      </c>
      <c r="EL626" s="66" t="str">
        <f t="shared" si="903"/>
        <v/>
      </c>
    </row>
    <row r="627" spans="1:142" x14ac:dyDescent="0.25">
      <c r="A627" t="str">
        <f>+IF($C627="","",ROUND(VLOOKUP('Tablas Servicio'!B627,Parámetros!$H$100:$J$159,IF(Parámetros!$E$16="F",2,3),FALSE),2))</f>
        <v/>
      </c>
      <c r="B627" t="str">
        <f t="shared" si="854"/>
        <v/>
      </c>
      <c r="C627" s="57" t="str">
        <f>+IF(D627="","",'Tablas Servicio'!C626+1)</f>
        <v/>
      </c>
      <c r="D627" s="56" t="str">
        <f>+IF(D626&lt;edadmaxtabla,D626+1/Parámetros!$E$25,"")</f>
        <v/>
      </c>
      <c r="E627" s="57" t="str">
        <f t="shared" si="864"/>
        <v/>
      </c>
      <c r="F627" s="59" t="str">
        <f t="shared" si="865"/>
        <v/>
      </c>
      <c r="G627" s="66" t="str">
        <f t="shared" si="855"/>
        <v/>
      </c>
      <c r="H627" s="66" t="str">
        <f t="shared" si="856"/>
        <v/>
      </c>
      <c r="I627" s="66" t="str">
        <f t="shared" si="816"/>
        <v/>
      </c>
      <c r="J627" s="66" t="str">
        <f t="shared" si="857"/>
        <v/>
      </c>
      <c r="K627" s="66" t="str">
        <f t="shared" si="858"/>
        <v/>
      </c>
      <c r="L627" s="66" t="str">
        <f t="shared" si="859"/>
        <v/>
      </c>
      <c r="M627" s="66" t="str">
        <f t="shared" si="860"/>
        <v/>
      </c>
      <c r="N627" s="66" t="str">
        <f>+IF(C627="","",ROUND(Parámetros!$D$23,2))</f>
        <v/>
      </c>
      <c r="O627" s="66" t="str">
        <f t="shared" si="861"/>
        <v/>
      </c>
      <c r="P627" s="66" t="str">
        <f>+IF($C627="","",ROUND(IF(B627&gt;Parámetros!$D$117,0,N627*Parámetros!$D$116-G627*Parámetros!$D$100),2))</f>
        <v/>
      </c>
      <c r="Q627" s="75" t="str">
        <f t="shared" si="817"/>
        <v/>
      </c>
      <c r="R627" s="75" t="str">
        <f t="shared" si="818"/>
        <v/>
      </c>
      <c r="S627" s="117" t="str">
        <f>+IF($C627="","",ROUND((S626+I627)*(1+Parámetros!$D$91),2))</f>
        <v/>
      </c>
      <c r="T627" s="117" t="str">
        <f>+IF($C627="","",ROUND(S627*VLOOKUP(B627,Parámetros!$C$30:$D$39,2,TRUE),2))</f>
        <v/>
      </c>
      <c r="U627" s="117" t="str">
        <f>+IF($C627="","",ROUND((U626+I627)*(1+Parámetros!$D$92),2))</f>
        <v/>
      </c>
      <c r="V627" s="117" t="str">
        <f>+IF($C627="","",ROUND(U627*VLOOKUP(B627,Parámetros!$C$30:$D$39,2,TRUE),2))</f>
        <v/>
      </c>
      <c r="W627" s="57" t="str">
        <f t="shared" si="819"/>
        <v/>
      </c>
      <c r="X627" t="str">
        <f t="shared" si="820"/>
        <v/>
      </c>
      <c r="Y627" t="str">
        <f t="shared" si="821"/>
        <v/>
      </c>
      <c r="Z627" s="118" t="str">
        <f>+IF($W627="","",ROUND(IF(Parámetros!$D$25='TABLAS MORT'!$V$33,Z626,Parámetros!$D$21-'Tablas Servicio'!T626),0))</f>
        <v/>
      </c>
      <c r="AA627" s="118" t="str">
        <f t="shared" si="822"/>
        <v/>
      </c>
      <c r="AB627" s="119" t="str">
        <f>+IF(W627="","",ROUND((VLOOKUP(ROUNDDOWN($D627-1/frec,0),qx_tabla,2,FALSE)*(1+i/frec)^-0.5*(1+Parámetros!$D$103)*(1+rec_fracc)/frec),6))</f>
        <v/>
      </c>
      <c r="AC627" s="66" t="str">
        <f t="shared" si="866"/>
        <v/>
      </c>
      <c r="AD627" s="119" t="str">
        <f t="shared" si="862"/>
        <v/>
      </c>
      <c r="AE627" s="66" t="str">
        <f>+IF($W627="","",ROUND(IF($B627&gt;Parámetros!$D$107,'Tablas Servicio'!AC627+('Tablas Servicio'!AG626-'Tablas Servicio'!AC626),AC627/(1-IF(B627&lt;=10,Parámetros!$D$104,Parámetros!$D$105))),2))</f>
        <v/>
      </c>
      <c r="AF627" s="66" t="str">
        <f>+IF($W627="","",ROUND(IF($B627&gt;Parámetros!$D$107,'Tablas Servicio'!AC627+('Tablas Servicio'!AG626-'Tablas Servicio'!AC626),(AC627+$A626/frec)/(1-IF(B627&lt;=Parámetros!$D$117,Parámetros!$D$100,0))),2))</f>
        <v/>
      </c>
      <c r="AG627" s="66" t="str">
        <f t="shared" si="867"/>
        <v/>
      </c>
      <c r="AH627" s="66" t="str">
        <f t="shared" si="868"/>
        <v/>
      </c>
      <c r="AI627" s="66" t="str">
        <f t="shared" si="869"/>
        <v/>
      </c>
      <c r="AJ627" s="66" t="str">
        <f>+IF($W627="","",ROUND((AG627*Parámetros!$G$85),2))</f>
        <v/>
      </c>
      <c r="AK627" s="66" t="str">
        <f>+IF($W627="","",ROUND((AG627*(Parámetros!$G$86)),2))</f>
        <v/>
      </c>
      <c r="AL627" s="66" t="str">
        <f t="shared" si="863"/>
        <v/>
      </c>
      <c r="AM627" t="str">
        <f t="shared" si="823"/>
        <v/>
      </c>
      <c r="AN627" t="str">
        <f t="shared" si="824"/>
        <v/>
      </c>
      <c r="AO627" s="118" t="str">
        <f t="shared" si="825"/>
        <v/>
      </c>
      <c r="AP627" s="118" t="str">
        <f t="shared" si="826"/>
        <v/>
      </c>
      <c r="AQ627" s="119" t="str">
        <f>+IF(OR($W627="",AO627=0),"",ROUND((VLOOKUP(ROUNDDOWN($D627-1/frec,0),cob_adi,Z$40,FALSE)*(1+i/frec)^-0.5*(1+Parámetros!$D$103)*(1+rec_fracc)/frec),6))</f>
        <v/>
      </c>
      <c r="AR627" s="66" t="str">
        <f t="shared" si="870"/>
        <v/>
      </c>
      <c r="AS627" s="119" t="str">
        <f t="shared" si="871"/>
        <v/>
      </c>
      <c r="AT627" s="66" t="str">
        <f>+IF($W627="","",ROUND(IF($B627&gt;Parámetros!$D$107,'Tablas Servicio'!AR627+('Tablas Servicio'!AT626-'Tablas Servicio'!AR626),AR627/(1-IF(B627&lt;=10,Parámetros!$D$100,0))),2))</f>
        <v/>
      </c>
      <c r="AU627" s="66" t="str">
        <f t="shared" si="872"/>
        <v/>
      </c>
      <c r="AV627" s="66" t="str">
        <f t="shared" si="872"/>
        <v/>
      </c>
      <c r="AW627" s="66" t="str">
        <f>+IF($W627="","",ROUND((AT627*Parámetros!$G$85),2))</f>
        <v/>
      </c>
      <c r="AX627" s="66" t="str">
        <f>+IF($W627="","",ROUND((AT627*(Parámetros!$G$86)),2))</f>
        <v/>
      </c>
      <c r="AY627" s="66" t="str">
        <f t="shared" si="873"/>
        <v/>
      </c>
      <c r="AZ627" t="str">
        <f t="shared" si="827"/>
        <v/>
      </c>
      <c r="BA627" t="str">
        <f t="shared" si="828"/>
        <v/>
      </c>
      <c r="BB627" s="118" t="str">
        <f t="shared" si="829"/>
        <v/>
      </c>
      <c r="BC627" s="118" t="str">
        <f t="shared" si="830"/>
        <v/>
      </c>
      <c r="BD627" s="119" t="str">
        <f>+IF(OR($W627="",BB627=0),"",ROUND((VLOOKUP(ROUNDDOWN($D627-1/frec,0),cob_adi,AO$40,FALSE)*(1+i/frec)^-0.5*(1+Parámetros!$D$103)*(1+rec_fracc)/frec),6))</f>
        <v/>
      </c>
      <c r="BE627" s="66" t="str">
        <f t="shared" si="874"/>
        <v/>
      </c>
      <c r="BF627" s="119" t="str">
        <f t="shared" si="875"/>
        <v/>
      </c>
      <c r="BG627" s="66" t="str">
        <f>+IF($W627="","",ROUND(IF($B627&gt;Parámetros!$D$107,'Tablas Servicio'!BE627+('Tablas Servicio'!BG626-'Tablas Servicio'!BE626),BE627/(1-IF(B627&lt;=10,Parámetros!$D$100,0))),2))</f>
        <v/>
      </c>
      <c r="BH627" s="66" t="str">
        <f t="shared" si="876"/>
        <v/>
      </c>
      <c r="BI627" s="66" t="str">
        <f t="shared" si="877"/>
        <v/>
      </c>
      <c r="BJ627" s="66" t="str">
        <f>+IF($W627="","",ROUND((BG627*Parámetros!$G$85),2))</f>
        <v/>
      </c>
      <c r="BK627" s="66" t="str">
        <f>+IF($W627="","",ROUND((BG627*(Parámetros!$G$86)),2))</f>
        <v/>
      </c>
      <c r="BL627" s="66" t="str">
        <f t="shared" si="878"/>
        <v/>
      </c>
      <c r="BM627" t="str">
        <f t="shared" si="831"/>
        <v/>
      </c>
      <c r="BN627" t="str">
        <f t="shared" si="832"/>
        <v/>
      </c>
      <c r="BO627" s="118" t="str">
        <f t="shared" si="833"/>
        <v/>
      </c>
      <c r="BP627" s="118" t="str">
        <f t="shared" si="834"/>
        <v/>
      </c>
      <c r="BQ627" s="119" t="str">
        <f>+IF(OR($W627="",BO627=0),"",ROUND((VLOOKUP(ROUNDDOWN($D627-1/frec,0),cob_adi,BB$40,FALSE)*(1+i/frec)^-0.5*(1+Parámetros!$D$103)*(1+rec_fracc)/frec),6))</f>
        <v/>
      </c>
      <c r="BR627" s="66" t="str">
        <f t="shared" si="879"/>
        <v/>
      </c>
      <c r="BS627" s="119" t="str">
        <f t="shared" si="880"/>
        <v/>
      </c>
      <c r="BT627" s="66" t="str">
        <f>+IF($W627="","",ROUND(IF($B627&gt;Parámetros!$D$107,'Tablas Servicio'!BR627+('Tablas Servicio'!BT626-'Tablas Servicio'!BR626),BR627/(1-IF(B627&lt;=10,Parámetros!$D$100,0))),2))</f>
        <v/>
      </c>
      <c r="BU627" s="66" t="str">
        <f t="shared" si="881"/>
        <v/>
      </c>
      <c r="BV627" s="66" t="str">
        <f t="shared" si="881"/>
        <v/>
      </c>
      <c r="BW627" s="66" t="str">
        <f>+IF($W627="","",ROUND((BT627*Parámetros!$G$85),2))</f>
        <v/>
      </c>
      <c r="BX627" s="66" t="str">
        <f>+IF($W627="","",ROUND((BT627*(Parámetros!$G$86)),2))</f>
        <v/>
      </c>
      <c r="BY627" s="66" t="str">
        <f t="shared" si="882"/>
        <v/>
      </c>
      <c r="BZ627" t="str">
        <f t="shared" si="835"/>
        <v/>
      </c>
      <c r="CA627" t="str">
        <f t="shared" si="836"/>
        <v/>
      </c>
      <c r="CB627" s="118" t="str">
        <f t="shared" si="837"/>
        <v/>
      </c>
      <c r="CC627" s="118" t="str">
        <f t="shared" si="838"/>
        <v/>
      </c>
      <c r="CD627" s="119" t="str">
        <f t="shared" si="883"/>
        <v/>
      </c>
      <c r="CE627" s="66" t="str">
        <f>+IF($W627="","",ROUND((VLOOKUP(ROUNDDOWN($D627-1/frec,0),cob_adi,BO$40,FALSE)*(1+i/frec)^-0.5*(1+Parámetros!$D$103)*(1+rec_fracc)/frec*'TABLAS ADI'!$BC$17),2))</f>
        <v/>
      </c>
      <c r="CF627" s="119" t="str">
        <f t="shared" si="884"/>
        <v/>
      </c>
      <c r="CG627" s="66" t="str">
        <f>+IF($W627="","",ROUND(IF($B627&gt;Parámetros!$D$107,'Tablas Servicio'!CE627+('Tablas Servicio'!CG626-'Tablas Servicio'!CE626),CE627/(1-IF(B627&lt;=10,Parámetros!$D$100,0))),2))</f>
        <v/>
      </c>
      <c r="CH627" s="66" t="str">
        <f t="shared" si="885"/>
        <v/>
      </c>
      <c r="CI627" s="66" t="str">
        <f t="shared" si="885"/>
        <v/>
      </c>
      <c r="CJ627" s="66" t="str">
        <f>+IF($W627="","",ROUND((CG627*Parámetros!$G$85),2))</f>
        <v/>
      </c>
      <c r="CK627" s="66" t="str">
        <f>+IF($W627="","",ROUND((CG627*(Parámetros!$G$86)),2))</f>
        <v/>
      </c>
      <c r="CL627" s="66" t="str">
        <f t="shared" si="886"/>
        <v/>
      </c>
      <c r="CM627" t="str">
        <f t="shared" si="839"/>
        <v/>
      </c>
      <c r="CN627" s="118" t="str">
        <f t="shared" si="840"/>
        <v/>
      </c>
      <c r="CO627" s="118" t="str">
        <f t="shared" si="841"/>
        <v/>
      </c>
      <c r="CP627" s="118" t="str">
        <f t="shared" si="842"/>
        <v/>
      </c>
      <c r="CQ627" s="119" t="str">
        <f t="shared" si="887"/>
        <v/>
      </c>
      <c r="CR627" s="66" t="str">
        <f>+IF($W627="","",ROUND((VLOOKUP(Parámetros!$F$51,'COBERTURAS ADICIONALES'!$S$4:$T$32,2,FALSE)*(1+i/frec)^-0.5*(1+Parámetros!$D$103)*(1+rec_fracc)/frec*$CO$42),2))</f>
        <v/>
      </c>
      <c r="CS627" s="119" t="str">
        <f t="shared" si="888"/>
        <v/>
      </c>
      <c r="CT627" s="66" t="str">
        <f>+IF($W627="","",ROUND(IF($B627&gt;Parámetros!$D$107,'Tablas Servicio'!CR627+('Tablas Servicio'!CT626-'Tablas Servicio'!CR626),CR627/(1-IF(B627&lt;=10,Parámetros!$D$100,0))),2))</f>
        <v/>
      </c>
      <c r="CU627" s="66" t="str">
        <f t="shared" si="889"/>
        <v/>
      </c>
      <c r="CV627" s="66" t="str">
        <f t="shared" si="889"/>
        <v/>
      </c>
      <c r="CW627" s="66" t="str">
        <f>+IF($W627="","",ROUND((CT627*Parámetros!$G$85),2))</f>
        <v/>
      </c>
      <c r="CX627" s="66" t="str">
        <f>+IF($W627="","",ROUND((CT627*(Parámetros!$G$86)),2))</f>
        <v/>
      </c>
      <c r="CY627" s="66" t="str">
        <f t="shared" si="890"/>
        <v/>
      </c>
      <c r="CZ627" t="str">
        <f t="shared" si="843"/>
        <v/>
      </c>
      <c r="DA627" s="118" t="str">
        <f t="shared" si="844"/>
        <v/>
      </c>
      <c r="DB627" s="118" t="str">
        <f t="shared" si="845"/>
        <v/>
      </c>
      <c r="DC627" s="118" t="str">
        <f t="shared" si="846"/>
        <v/>
      </c>
      <c r="DD627" s="121" t="str">
        <f>+IF(OR($W627="",DB627=0),"",ROUND((VLOOKUP(ROUNDDOWN($D627-1/frec,0),cob_adi,CO$40,FALSE)*(1+i/frec)^-0.5*(1+Parámetros!$D$103)*(1+rec_fracc)/frec),6))</f>
        <v/>
      </c>
      <c r="DE627" s="66" t="str">
        <f t="shared" si="891"/>
        <v/>
      </c>
      <c r="DF627" s="119" t="str">
        <f t="shared" si="892"/>
        <v/>
      </c>
      <c r="DG627" s="66" t="str">
        <f>+IF($W627="","",ROUND(IF($B627&gt;Parámetros!$D$107,'Tablas Servicio'!DE627+('Tablas Servicio'!DG626-'Tablas Servicio'!DE626),DE627/(1-IF(B627&lt;=10,Parámetros!$D$100,0))),2))</f>
        <v/>
      </c>
      <c r="DH627" s="66" t="str">
        <f t="shared" si="893"/>
        <v/>
      </c>
      <c r="DI627" s="66" t="str">
        <f t="shared" si="893"/>
        <v/>
      </c>
      <c r="DJ627" s="66" t="str">
        <f>+IF($W627="","",ROUND((DG627*Parámetros!$G$85),2))</f>
        <v/>
      </c>
      <c r="DK627" s="66" t="str">
        <f>+IF($W627="","",ROUND((DG627*(Parámetros!$G$86)),2))</f>
        <v/>
      </c>
      <c r="DL627" s="66" t="str">
        <f t="shared" si="894"/>
        <v/>
      </c>
      <c r="DM627" t="str">
        <f t="shared" si="847"/>
        <v/>
      </c>
      <c r="DN627" s="118" t="str">
        <f t="shared" si="848"/>
        <v/>
      </c>
      <c r="DO627" s="118" t="str">
        <f t="shared" si="849"/>
        <v/>
      </c>
      <c r="DP627" s="118" t="str">
        <f t="shared" si="850"/>
        <v/>
      </c>
      <c r="DQ627" s="122" t="str">
        <f>+IF(OR($W627="",DO627=0),"",ROUND((VLOOKUP(ROUNDDOWN($D627-1/frec,0),cob_adi,DB$40,FALSE)*(1+i/frec)^-0.5*(1+Parámetros!$D$103)*(1+rec_fracc)/frec),6))</f>
        <v/>
      </c>
      <c r="DR627" s="66" t="str">
        <f t="shared" si="895"/>
        <v/>
      </c>
      <c r="DS627" s="68" t="str">
        <f t="shared" si="896"/>
        <v/>
      </c>
      <c r="DT627" s="66" t="str">
        <f>+IF($W627="","",ROUND(IF($B627&gt;Parámetros!$D$107,'Tablas Servicio'!DR627+('Tablas Servicio'!DT626-'Tablas Servicio'!DR626),DR627/(1-IF(B627&lt;=10,Parámetros!$D$100,0))),2))</f>
        <v/>
      </c>
      <c r="DU627" s="66" t="str">
        <f t="shared" si="897"/>
        <v/>
      </c>
      <c r="DV627" s="66" t="str">
        <f t="shared" si="897"/>
        <v/>
      </c>
      <c r="DW627" s="66" t="str">
        <f>+IF($W627="","",ROUND((DT627*Parámetros!$G$85),2))</f>
        <v/>
      </c>
      <c r="DX627" s="66" t="str">
        <f>+IF($W627="","",ROUND((DT627*(Parámetros!$G$86)),2))</f>
        <v/>
      </c>
      <c r="DY627" s="66" t="str">
        <f t="shared" si="898"/>
        <v/>
      </c>
      <c r="DZ627" t="str">
        <f t="shared" si="899"/>
        <v/>
      </c>
      <c r="EA627" s="118" t="str">
        <f t="shared" si="899"/>
        <v/>
      </c>
      <c r="EB627" s="118" t="str">
        <f>+IF($W627="","",ROUND(IF(Parámetros!$D$25='TABLAS MORT'!$V$33,EB626,Z627/2),0))</f>
        <v/>
      </c>
      <c r="EC627" s="118" t="str">
        <f t="shared" si="899"/>
        <v/>
      </c>
      <c r="ED627" s="122" t="str">
        <f>+IF(OR($W627="",EB627=0),"",ROUND((VLOOKUP(ROUNDDOWN($D627-1/frec,0),cob_adi,DO$40,FALSE)*(1+i/frec)^-0.5*(1+Parámetros!$D$103)*(1+rec_fracc)/frec),6))</f>
        <v/>
      </c>
      <c r="EE627" s="66" t="str">
        <f t="shared" si="900"/>
        <v/>
      </c>
      <c r="EF627" s="68" t="str">
        <f t="shared" si="901"/>
        <v/>
      </c>
      <c r="EG627" s="66" t="str">
        <f>+IF($W627="","",ROUND(IF($B627&gt;Parámetros!$D$107,'Tablas Servicio'!EE627+('Tablas Servicio'!EG626-'Tablas Servicio'!EE626),EE627/(1-IF(B627&lt;=10,Parámetros!$D$100,0))),2))</f>
        <v/>
      </c>
      <c r="EH627" s="66" t="str">
        <f t="shared" si="902"/>
        <v/>
      </c>
      <c r="EI627" s="66" t="str">
        <f t="shared" si="902"/>
        <v/>
      </c>
      <c r="EJ627" s="66" t="str">
        <f>+IF($W627="","",ROUND((EG627*Parámetros!$G$85),2))</f>
        <v/>
      </c>
      <c r="EK627" s="66" t="str">
        <f>+IF($W627="","",ROUND((EG627*(Parámetros!$G$86)),2))</f>
        <v/>
      </c>
      <c r="EL627" s="66" t="str">
        <f t="shared" si="903"/>
        <v/>
      </c>
    </row>
    <row r="628" spans="1:142" x14ac:dyDescent="0.25">
      <c r="A628" t="str">
        <f>+IF($C628="","",ROUND(VLOOKUP('Tablas Servicio'!B628,Parámetros!$H$100:$J$159,IF(Parámetros!$E$16="F",2,3),FALSE),2))</f>
        <v/>
      </c>
      <c r="B628" t="str">
        <f t="shared" si="854"/>
        <v/>
      </c>
      <c r="C628" s="57" t="str">
        <f>+IF(D628="","",'Tablas Servicio'!C627+1)</f>
        <v/>
      </c>
      <c r="D628" s="56" t="str">
        <f>+IF(D627&lt;edadmaxtabla,D627+1/Parámetros!$E$25,"")</f>
        <v/>
      </c>
      <c r="E628" s="57" t="str">
        <f t="shared" si="864"/>
        <v/>
      </c>
      <c r="F628" s="59" t="str">
        <f t="shared" si="865"/>
        <v/>
      </c>
      <c r="G628" s="66" t="str">
        <f t="shared" si="855"/>
        <v/>
      </c>
      <c r="H628" s="66" t="str">
        <f t="shared" si="856"/>
        <v/>
      </c>
      <c r="I628" s="66" t="str">
        <f t="shared" si="816"/>
        <v/>
      </c>
      <c r="J628" s="66" t="str">
        <f t="shared" si="857"/>
        <v/>
      </c>
      <c r="K628" s="66" t="str">
        <f t="shared" si="858"/>
        <v/>
      </c>
      <c r="L628" s="66" t="str">
        <f t="shared" si="859"/>
        <v/>
      </c>
      <c r="M628" s="66" t="str">
        <f t="shared" si="860"/>
        <v/>
      </c>
      <c r="N628" s="66" t="str">
        <f>+IF(C628="","",ROUND(Parámetros!$D$23,2))</f>
        <v/>
      </c>
      <c r="O628" s="66" t="str">
        <f t="shared" si="861"/>
        <v/>
      </c>
      <c r="P628" s="66" t="str">
        <f>+IF($C628="","",ROUND(IF(B628&gt;Parámetros!$D$117,0,N628*Parámetros!$D$116-G628*Parámetros!$D$100),2))</f>
        <v/>
      </c>
      <c r="Q628" s="75" t="str">
        <f t="shared" si="817"/>
        <v/>
      </c>
      <c r="R628" s="75" t="str">
        <f t="shared" si="818"/>
        <v/>
      </c>
      <c r="S628" s="117" t="str">
        <f>+IF($C628="","",ROUND((S627+I628)*(1+Parámetros!$D$91),2))</f>
        <v/>
      </c>
      <c r="T628" s="117" t="str">
        <f>+IF($C628="","",ROUND(S628*VLOOKUP(B628,Parámetros!$C$30:$D$39,2,TRUE),2))</f>
        <v/>
      </c>
      <c r="U628" s="117" t="str">
        <f>+IF($C628="","",ROUND((U627+I628)*(1+Parámetros!$D$92),2))</f>
        <v/>
      </c>
      <c r="V628" s="117" t="str">
        <f>+IF($C628="","",ROUND(U628*VLOOKUP(B628,Parámetros!$C$30:$D$39,2,TRUE),2))</f>
        <v/>
      </c>
      <c r="W628" s="57" t="str">
        <f t="shared" si="819"/>
        <v/>
      </c>
      <c r="X628" t="str">
        <f t="shared" si="820"/>
        <v/>
      </c>
      <c r="Y628" t="str">
        <f t="shared" si="821"/>
        <v/>
      </c>
      <c r="Z628" s="118" t="str">
        <f>+IF($W628="","",ROUND(IF(Parámetros!$D$25='TABLAS MORT'!$V$33,Z627,Parámetros!$D$21-'Tablas Servicio'!T627),0))</f>
        <v/>
      </c>
      <c r="AA628" s="118" t="str">
        <f t="shared" si="822"/>
        <v/>
      </c>
      <c r="AB628" s="119" t="str">
        <f>+IF(W628="","",ROUND((VLOOKUP(ROUNDDOWN($D628-1/frec,0),qx_tabla,2,FALSE)*(1+i/frec)^-0.5*(1+Parámetros!$D$103)*(1+rec_fracc)/frec),6))</f>
        <v/>
      </c>
      <c r="AC628" s="66" t="str">
        <f t="shared" si="866"/>
        <v/>
      </c>
      <c r="AD628" s="119" t="str">
        <f t="shared" si="862"/>
        <v/>
      </c>
      <c r="AE628" s="66" t="str">
        <f>+IF($W628="","",ROUND(IF($B628&gt;Parámetros!$D$107,'Tablas Servicio'!AC628+('Tablas Servicio'!AG627-'Tablas Servicio'!AC627),AC628/(1-IF(B628&lt;=10,Parámetros!$D$104,Parámetros!$D$105))),2))</f>
        <v/>
      </c>
      <c r="AF628" s="66" t="str">
        <f>+IF($W628="","",ROUND(IF($B628&gt;Parámetros!$D$107,'Tablas Servicio'!AC628+('Tablas Servicio'!AG627-'Tablas Servicio'!AC627),(AC628+$A627/frec)/(1-IF(B628&lt;=Parámetros!$D$117,Parámetros!$D$100,0))),2))</f>
        <v/>
      </c>
      <c r="AG628" s="66" t="str">
        <f t="shared" si="867"/>
        <v/>
      </c>
      <c r="AH628" s="66" t="str">
        <f t="shared" si="868"/>
        <v/>
      </c>
      <c r="AI628" s="66" t="str">
        <f t="shared" si="869"/>
        <v/>
      </c>
      <c r="AJ628" s="66" t="str">
        <f>+IF($W628="","",ROUND((AG628*Parámetros!$G$85),2))</f>
        <v/>
      </c>
      <c r="AK628" s="66" t="str">
        <f>+IF($W628="","",ROUND((AG628*(Parámetros!$G$86)),2))</f>
        <v/>
      </c>
      <c r="AL628" s="66" t="str">
        <f t="shared" si="863"/>
        <v/>
      </c>
      <c r="AM628" t="str">
        <f t="shared" si="823"/>
        <v/>
      </c>
      <c r="AN628" t="str">
        <f t="shared" si="824"/>
        <v/>
      </c>
      <c r="AO628" s="118" t="str">
        <f t="shared" si="825"/>
        <v/>
      </c>
      <c r="AP628" s="118" t="str">
        <f t="shared" si="826"/>
        <v/>
      </c>
      <c r="AQ628" s="119" t="str">
        <f>+IF(OR($W628="",AO628=0),"",ROUND((VLOOKUP(ROUNDDOWN($D628-1/frec,0),cob_adi,Z$40,FALSE)*(1+i/frec)^-0.5*(1+Parámetros!$D$103)*(1+rec_fracc)/frec),6))</f>
        <v/>
      </c>
      <c r="AR628" s="66" t="str">
        <f t="shared" si="870"/>
        <v/>
      </c>
      <c r="AS628" s="119" t="str">
        <f t="shared" si="871"/>
        <v/>
      </c>
      <c r="AT628" s="66" t="str">
        <f>+IF($W628="","",ROUND(IF($B628&gt;Parámetros!$D$107,'Tablas Servicio'!AR628+('Tablas Servicio'!AT627-'Tablas Servicio'!AR627),AR628/(1-IF(B628&lt;=10,Parámetros!$D$100,0))),2))</f>
        <v/>
      </c>
      <c r="AU628" s="66" t="str">
        <f t="shared" si="872"/>
        <v/>
      </c>
      <c r="AV628" s="66" t="str">
        <f t="shared" si="872"/>
        <v/>
      </c>
      <c r="AW628" s="66" t="str">
        <f>+IF($W628="","",ROUND((AT628*Parámetros!$G$85),2))</f>
        <v/>
      </c>
      <c r="AX628" s="66" t="str">
        <f>+IF($W628="","",ROUND((AT628*(Parámetros!$G$86)),2))</f>
        <v/>
      </c>
      <c r="AY628" s="66" t="str">
        <f t="shared" si="873"/>
        <v/>
      </c>
      <c r="AZ628" t="str">
        <f t="shared" si="827"/>
        <v/>
      </c>
      <c r="BA628" t="str">
        <f t="shared" si="828"/>
        <v/>
      </c>
      <c r="BB628" s="118" t="str">
        <f t="shared" si="829"/>
        <v/>
      </c>
      <c r="BC628" s="118" t="str">
        <f t="shared" si="830"/>
        <v/>
      </c>
      <c r="BD628" s="119" t="str">
        <f>+IF(OR($W628="",BB628=0),"",ROUND((VLOOKUP(ROUNDDOWN($D628-1/frec,0),cob_adi,AO$40,FALSE)*(1+i/frec)^-0.5*(1+Parámetros!$D$103)*(1+rec_fracc)/frec),6))</f>
        <v/>
      </c>
      <c r="BE628" s="66" t="str">
        <f t="shared" si="874"/>
        <v/>
      </c>
      <c r="BF628" s="119" t="str">
        <f t="shared" si="875"/>
        <v/>
      </c>
      <c r="BG628" s="66" t="str">
        <f>+IF($W628="","",ROUND(IF($B628&gt;Parámetros!$D$107,'Tablas Servicio'!BE628+('Tablas Servicio'!BG627-'Tablas Servicio'!BE627),BE628/(1-IF(B628&lt;=10,Parámetros!$D$100,0))),2))</f>
        <v/>
      </c>
      <c r="BH628" s="66" t="str">
        <f t="shared" si="876"/>
        <v/>
      </c>
      <c r="BI628" s="66" t="str">
        <f t="shared" si="877"/>
        <v/>
      </c>
      <c r="BJ628" s="66" t="str">
        <f>+IF($W628="","",ROUND((BG628*Parámetros!$G$85),2))</f>
        <v/>
      </c>
      <c r="BK628" s="66" t="str">
        <f>+IF($W628="","",ROUND((BG628*(Parámetros!$G$86)),2))</f>
        <v/>
      </c>
      <c r="BL628" s="66" t="str">
        <f t="shared" si="878"/>
        <v/>
      </c>
      <c r="BM628" t="str">
        <f t="shared" si="831"/>
        <v/>
      </c>
      <c r="BN628" t="str">
        <f t="shared" si="832"/>
        <v/>
      </c>
      <c r="BO628" s="118" t="str">
        <f t="shared" si="833"/>
        <v/>
      </c>
      <c r="BP628" s="118" t="str">
        <f t="shared" si="834"/>
        <v/>
      </c>
      <c r="BQ628" s="119" t="str">
        <f>+IF(OR($W628="",BO628=0),"",ROUND((VLOOKUP(ROUNDDOWN($D628-1/frec,0),cob_adi,BB$40,FALSE)*(1+i/frec)^-0.5*(1+Parámetros!$D$103)*(1+rec_fracc)/frec),6))</f>
        <v/>
      </c>
      <c r="BR628" s="66" t="str">
        <f t="shared" si="879"/>
        <v/>
      </c>
      <c r="BS628" s="119" t="str">
        <f t="shared" si="880"/>
        <v/>
      </c>
      <c r="BT628" s="66" t="str">
        <f>+IF($W628="","",ROUND(IF($B628&gt;Parámetros!$D$107,'Tablas Servicio'!BR628+('Tablas Servicio'!BT627-'Tablas Servicio'!BR627),BR628/(1-IF(B628&lt;=10,Parámetros!$D$100,0))),2))</f>
        <v/>
      </c>
      <c r="BU628" s="66" t="str">
        <f t="shared" si="881"/>
        <v/>
      </c>
      <c r="BV628" s="66" t="str">
        <f t="shared" si="881"/>
        <v/>
      </c>
      <c r="BW628" s="66" t="str">
        <f>+IF($W628="","",ROUND((BT628*Parámetros!$G$85),2))</f>
        <v/>
      </c>
      <c r="BX628" s="66" t="str">
        <f>+IF($W628="","",ROUND((BT628*(Parámetros!$G$86)),2))</f>
        <v/>
      </c>
      <c r="BY628" s="66" t="str">
        <f t="shared" si="882"/>
        <v/>
      </c>
      <c r="BZ628" t="str">
        <f t="shared" si="835"/>
        <v/>
      </c>
      <c r="CA628" t="str">
        <f t="shared" si="836"/>
        <v/>
      </c>
      <c r="CB628" s="118" t="str">
        <f t="shared" si="837"/>
        <v/>
      </c>
      <c r="CC628" s="118" t="str">
        <f t="shared" si="838"/>
        <v/>
      </c>
      <c r="CD628" s="119" t="str">
        <f t="shared" si="883"/>
        <v/>
      </c>
      <c r="CE628" s="66" t="str">
        <f>+IF($W628="","",ROUND((VLOOKUP(ROUNDDOWN($D628-1/frec,0),cob_adi,BO$40,FALSE)*(1+i/frec)^-0.5*(1+Parámetros!$D$103)*(1+rec_fracc)/frec*'TABLAS ADI'!$BC$17),2))</f>
        <v/>
      </c>
      <c r="CF628" s="119" t="str">
        <f t="shared" si="884"/>
        <v/>
      </c>
      <c r="CG628" s="66" t="str">
        <f>+IF($W628="","",ROUND(IF($B628&gt;Parámetros!$D$107,'Tablas Servicio'!CE628+('Tablas Servicio'!CG627-'Tablas Servicio'!CE627),CE628/(1-IF(B628&lt;=10,Parámetros!$D$100,0))),2))</f>
        <v/>
      </c>
      <c r="CH628" s="66" t="str">
        <f t="shared" si="885"/>
        <v/>
      </c>
      <c r="CI628" s="66" t="str">
        <f t="shared" si="885"/>
        <v/>
      </c>
      <c r="CJ628" s="66" t="str">
        <f>+IF($W628="","",ROUND((CG628*Parámetros!$G$85),2))</f>
        <v/>
      </c>
      <c r="CK628" s="66" t="str">
        <f>+IF($W628="","",ROUND((CG628*(Parámetros!$G$86)),2))</f>
        <v/>
      </c>
      <c r="CL628" s="66" t="str">
        <f t="shared" si="886"/>
        <v/>
      </c>
      <c r="CM628" t="str">
        <f t="shared" si="839"/>
        <v/>
      </c>
      <c r="CN628" s="118" t="str">
        <f t="shared" si="840"/>
        <v/>
      </c>
      <c r="CO628" s="118" t="str">
        <f t="shared" si="841"/>
        <v/>
      </c>
      <c r="CP628" s="118" t="str">
        <f t="shared" si="842"/>
        <v/>
      </c>
      <c r="CQ628" s="119" t="str">
        <f t="shared" si="887"/>
        <v/>
      </c>
      <c r="CR628" s="66" t="str">
        <f>+IF($W628="","",ROUND((VLOOKUP(Parámetros!$F$51,'COBERTURAS ADICIONALES'!$S$4:$T$32,2,FALSE)*(1+i/frec)^-0.5*(1+Parámetros!$D$103)*(1+rec_fracc)/frec*$CO$42),2))</f>
        <v/>
      </c>
      <c r="CS628" s="119" t="str">
        <f t="shared" si="888"/>
        <v/>
      </c>
      <c r="CT628" s="66" t="str">
        <f>+IF($W628="","",ROUND(IF($B628&gt;Parámetros!$D$107,'Tablas Servicio'!CR628+('Tablas Servicio'!CT627-'Tablas Servicio'!CR627),CR628/(1-IF(B628&lt;=10,Parámetros!$D$100,0))),2))</f>
        <v/>
      </c>
      <c r="CU628" s="66" t="str">
        <f t="shared" si="889"/>
        <v/>
      </c>
      <c r="CV628" s="66" t="str">
        <f t="shared" si="889"/>
        <v/>
      </c>
      <c r="CW628" s="66" t="str">
        <f>+IF($W628="","",ROUND((CT628*Parámetros!$G$85),2))</f>
        <v/>
      </c>
      <c r="CX628" s="66" t="str">
        <f>+IF($W628="","",ROUND((CT628*(Parámetros!$G$86)),2))</f>
        <v/>
      </c>
      <c r="CY628" s="66" t="str">
        <f t="shared" si="890"/>
        <v/>
      </c>
      <c r="CZ628" t="str">
        <f t="shared" si="843"/>
        <v/>
      </c>
      <c r="DA628" s="118" t="str">
        <f t="shared" si="844"/>
        <v/>
      </c>
      <c r="DB628" s="118" t="str">
        <f t="shared" si="845"/>
        <v/>
      </c>
      <c r="DC628" s="118" t="str">
        <f t="shared" si="846"/>
        <v/>
      </c>
      <c r="DD628" s="121" t="str">
        <f>+IF(OR($W628="",DB628=0),"",ROUND((VLOOKUP(ROUNDDOWN($D628-1/frec,0),cob_adi,CO$40,FALSE)*(1+i/frec)^-0.5*(1+Parámetros!$D$103)*(1+rec_fracc)/frec),6))</f>
        <v/>
      </c>
      <c r="DE628" s="66" t="str">
        <f t="shared" si="891"/>
        <v/>
      </c>
      <c r="DF628" s="119" t="str">
        <f t="shared" si="892"/>
        <v/>
      </c>
      <c r="DG628" s="66" t="str">
        <f>+IF($W628="","",ROUND(IF($B628&gt;Parámetros!$D$107,'Tablas Servicio'!DE628+('Tablas Servicio'!DG627-'Tablas Servicio'!DE627),DE628/(1-IF(B628&lt;=10,Parámetros!$D$100,0))),2))</f>
        <v/>
      </c>
      <c r="DH628" s="66" t="str">
        <f t="shared" si="893"/>
        <v/>
      </c>
      <c r="DI628" s="66" t="str">
        <f t="shared" si="893"/>
        <v/>
      </c>
      <c r="DJ628" s="66" t="str">
        <f>+IF($W628="","",ROUND((DG628*Parámetros!$G$85),2))</f>
        <v/>
      </c>
      <c r="DK628" s="66" t="str">
        <f>+IF($W628="","",ROUND((DG628*(Parámetros!$G$86)),2))</f>
        <v/>
      </c>
      <c r="DL628" s="66" t="str">
        <f t="shared" si="894"/>
        <v/>
      </c>
      <c r="DM628" t="str">
        <f t="shared" si="847"/>
        <v/>
      </c>
      <c r="DN628" s="118" t="str">
        <f t="shared" si="848"/>
        <v/>
      </c>
      <c r="DO628" s="118" t="str">
        <f t="shared" si="849"/>
        <v/>
      </c>
      <c r="DP628" s="118" t="str">
        <f t="shared" si="850"/>
        <v/>
      </c>
      <c r="DQ628" s="122" t="str">
        <f>+IF(OR($W628="",DO628=0),"",ROUND((VLOOKUP(ROUNDDOWN($D628-1/frec,0),cob_adi,DB$40,FALSE)*(1+i/frec)^-0.5*(1+Parámetros!$D$103)*(1+rec_fracc)/frec),6))</f>
        <v/>
      </c>
      <c r="DR628" s="66" t="str">
        <f t="shared" si="895"/>
        <v/>
      </c>
      <c r="DS628" s="68" t="str">
        <f t="shared" si="896"/>
        <v/>
      </c>
      <c r="DT628" s="66" t="str">
        <f>+IF($W628="","",ROUND(IF($B628&gt;Parámetros!$D$107,'Tablas Servicio'!DR628+('Tablas Servicio'!DT627-'Tablas Servicio'!DR627),DR628/(1-IF(B628&lt;=10,Parámetros!$D$100,0))),2))</f>
        <v/>
      </c>
      <c r="DU628" s="66" t="str">
        <f t="shared" si="897"/>
        <v/>
      </c>
      <c r="DV628" s="66" t="str">
        <f t="shared" si="897"/>
        <v/>
      </c>
      <c r="DW628" s="66" t="str">
        <f>+IF($W628="","",ROUND((DT628*Parámetros!$G$85),2))</f>
        <v/>
      </c>
      <c r="DX628" s="66" t="str">
        <f>+IF($W628="","",ROUND((DT628*(Parámetros!$G$86)),2))</f>
        <v/>
      </c>
      <c r="DY628" s="66" t="str">
        <f t="shared" si="898"/>
        <v/>
      </c>
      <c r="DZ628" t="str">
        <f t="shared" si="899"/>
        <v/>
      </c>
      <c r="EA628" s="118" t="str">
        <f t="shared" si="899"/>
        <v/>
      </c>
      <c r="EB628" s="118" t="str">
        <f>+IF($W628="","",ROUND(IF(Parámetros!$D$25='TABLAS MORT'!$V$33,EB627,Z628/2),0))</f>
        <v/>
      </c>
      <c r="EC628" s="118" t="str">
        <f t="shared" si="899"/>
        <v/>
      </c>
      <c r="ED628" s="122" t="str">
        <f>+IF(OR($W628="",EB628=0),"",ROUND((VLOOKUP(ROUNDDOWN($D628-1/frec,0),cob_adi,DO$40,FALSE)*(1+i/frec)^-0.5*(1+Parámetros!$D$103)*(1+rec_fracc)/frec),6))</f>
        <v/>
      </c>
      <c r="EE628" s="66" t="str">
        <f t="shared" si="900"/>
        <v/>
      </c>
      <c r="EF628" s="68" t="str">
        <f t="shared" si="901"/>
        <v/>
      </c>
      <c r="EG628" s="66" t="str">
        <f>+IF($W628="","",ROUND(IF($B628&gt;Parámetros!$D$107,'Tablas Servicio'!EE628+('Tablas Servicio'!EG627-'Tablas Servicio'!EE627),EE628/(1-IF(B628&lt;=10,Parámetros!$D$100,0))),2))</f>
        <v/>
      </c>
      <c r="EH628" s="66" t="str">
        <f t="shared" si="902"/>
        <v/>
      </c>
      <c r="EI628" s="66" t="str">
        <f t="shared" si="902"/>
        <v/>
      </c>
      <c r="EJ628" s="66" t="str">
        <f>+IF($W628="","",ROUND((EG628*Parámetros!$G$85),2))</f>
        <v/>
      </c>
      <c r="EK628" s="66" t="str">
        <f>+IF($W628="","",ROUND((EG628*(Parámetros!$G$86)),2))</f>
        <v/>
      </c>
      <c r="EL628" s="66" t="str">
        <f t="shared" si="903"/>
        <v/>
      </c>
    </row>
    <row r="629" spans="1:142" x14ac:dyDescent="0.25">
      <c r="A629" t="str">
        <f>+IF($C629="","",ROUND(VLOOKUP('Tablas Servicio'!B629,Parámetros!$H$100:$J$159,IF(Parámetros!$E$16="F",2,3),FALSE),2))</f>
        <v/>
      </c>
      <c r="B629" t="str">
        <f t="shared" si="854"/>
        <v/>
      </c>
      <c r="C629" s="57" t="str">
        <f>+IF(D629="","",'Tablas Servicio'!C628+1)</f>
        <v/>
      </c>
      <c r="D629" s="56" t="str">
        <f>+IF(D628&lt;edadmaxtabla,D628+1/Parámetros!$E$25,"")</f>
        <v/>
      </c>
      <c r="E629" s="57" t="str">
        <f t="shared" si="864"/>
        <v/>
      </c>
      <c r="F629" s="59" t="str">
        <f t="shared" si="865"/>
        <v/>
      </c>
      <c r="G629" s="66" t="str">
        <f t="shared" si="855"/>
        <v/>
      </c>
      <c r="H629" s="66" t="str">
        <f t="shared" si="856"/>
        <v/>
      </c>
      <c r="I629" s="66" t="str">
        <f t="shared" si="816"/>
        <v/>
      </c>
      <c r="J629" s="66" t="str">
        <f t="shared" si="857"/>
        <v/>
      </c>
      <c r="K629" s="66" t="str">
        <f t="shared" si="858"/>
        <v/>
      </c>
      <c r="L629" s="66" t="str">
        <f t="shared" si="859"/>
        <v/>
      </c>
      <c r="M629" s="66" t="str">
        <f t="shared" si="860"/>
        <v/>
      </c>
      <c r="N629" s="66" t="str">
        <f>+IF(C629="","",ROUND(Parámetros!$D$23,2))</f>
        <v/>
      </c>
      <c r="O629" s="66" t="str">
        <f t="shared" si="861"/>
        <v/>
      </c>
      <c r="P629" s="66" t="str">
        <f>+IF($C629="","",ROUND(IF(B629&gt;Parámetros!$D$117,0,N629*Parámetros!$D$116-G629*Parámetros!$D$100),2))</f>
        <v/>
      </c>
      <c r="Q629" s="75" t="str">
        <f t="shared" si="817"/>
        <v/>
      </c>
      <c r="R629" s="75" t="str">
        <f t="shared" si="818"/>
        <v/>
      </c>
      <c r="S629" s="117" t="str">
        <f>+IF($C629="","",ROUND((S628+I629)*(1+Parámetros!$D$91),2))</f>
        <v/>
      </c>
      <c r="T629" s="117" t="str">
        <f>+IF($C629="","",ROUND(S629*VLOOKUP(B629,Parámetros!$C$30:$D$39,2,TRUE),2))</f>
        <v/>
      </c>
      <c r="U629" s="117" t="str">
        <f>+IF($C629="","",ROUND((U628+I629)*(1+Parámetros!$D$92),2))</f>
        <v/>
      </c>
      <c r="V629" s="117" t="str">
        <f>+IF($C629="","",ROUND(U629*VLOOKUP(B629,Parámetros!$C$30:$D$39,2,TRUE),2))</f>
        <v/>
      </c>
      <c r="W629" s="57" t="str">
        <f t="shared" si="819"/>
        <v/>
      </c>
      <c r="X629" t="str">
        <f t="shared" si="820"/>
        <v/>
      </c>
      <c r="Y629" t="str">
        <f t="shared" si="821"/>
        <v/>
      </c>
      <c r="Z629" s="118" t="str">
        <f>+IF($W629="","",ROUND(IF(Parámetros!$D$25='TABLAS MORT'!$V$33,Z628,Parámetros!$D$21-'Tablas Servicio'!T628),0))</f>
        <v/>
      </c>
      <c r="AA629" s="118" t="str">
        <f t="shared" si="822"/>
        <v/>
      </c>
      <c r="AB629" s="119" t="str">
        <f>+IF(W629="","",ROUND((VLOOKUP(ROUNDDOWN($D629-1/frec,0),qx_tabla,2,FALSE)*(1+i/frec)^-0.5*(1+Parámetros!$D$103)*(1+rec_fracc)/frec),6))</f>
        <v/>
      </c>
      <c r="AC629" s="66" t="str">
        <f t="shared" si="866"/>
        <v/>
      </c>
      <c r="AD629" s="119" t="str">
        <f t="shared" si="862"/>
        <v/>
      </c>
      <c r="AE629" s="66" t="str">
        <f>+IF($W629="","",ROUND(IF($B629&gt;Parámetros!$D$107,'Tablas Servicio'!AC629+('Tablas Servicio'!AG628-'Tablas Servicio'!AC628),AC629/(1-IF(B629&lt;=10,Parámetros!$D$104,Parámetros!$D$105))),2))</f>
        <v/>
      </c>
      <c r="AF629" s="66" t="str">
        <f>+IF($W629="","",ROUND(IF($B629&gt;Parámetros!$D$107,'Tablas Servicio'!AC629+('Tablas Servicio'!AG628-'Tablas Servicio'!AC628),(AC629+$A628/frec)/(1-IF(B629&lt;=Parámetros!$D$117,Parámetros!$D$100,0))),2))</f>
        <v/>
      </c>
      <c r="AG629" s="66" t="str">
        <f t="shared" si="867"/>
        <v/>
      </c>
      <c r="AH629" s="66" t="str">
        <f t="shared" si="868"/>
        <v/>
      </c>
      <c r="AI629" s="66" t="str">
        <f t="shared" si="869"/>
        <v/>
      </c>
      <c r="AJ629" s="66" t="str">
        <f>+IF($W629="","",ROUND((AG629*Parámetros!$G$85),2))</f>
        <v/>
      </c>
      <c r="AK629" s="66" t="str">
        <f>+IF($W629="","",ROUND((AG629*(Parámetros!$G$86)),2))</f>
        <v/>
      </c>
      <c r="AL629" s="66" t="str">
        <f t="shared" si="863"/>
        <v/>
      </c>
      <c r="AM629" t="str">
        <f t="shared" si="823"/>
        <v/>
      </c>
      <c r="AN629" t="str">
        <f t="shared" si="824"/>
        <v/>
      </c>
      <c r="AO629" s="118" t="str">
        <f t="shared" si="825"/>
        <v/>
      </c>
      <c r="AP629" s="118" t="str">
        <f t="shared" si="826"/>
        <v/>
      </c>
      <c r="AQ629" s="119" t="str">
        <f>+IF(OR($W629="",AO629=0),"",ROUND((VLOOKUP(ROUNDDOWN($D629-1/frec,0),cob_adi,Z$40,FALSE)*(1+i/frec)^-0.5*(1+Parámetros!$D$103)*(1+rec_fracc)/frec),6))</f>
        <v/>
      </c>
      <c r="AR629" s="66" t="str">
        <f t="shared" si="870"/>
        <v/>
      </c>
      <c r="AS629" s="119" t="str">
        <f t="shared" si="871"/>
        <v/>
      </c>
      <c r="AT629" s="66" t="str">
        <f>+IF($W629="","",ROUND(IF($B629&gt;Parámetros!$D$107,'Tablas Servicio'!AR629+('Tablas Servicio'!AT628-'Tablas Servicio'!AR628),AR629/(1-IF(B629&lt;=10,Parámetros!$D$100,0))),2))</f>
        <v/>
      </c>
      <c r="AU629" s="66" t="str">
        <f t="shared" si="872"/>
        <v/>
      </c>
      <c r="AV629" s="66" t="str">
        <f t="shared" si="872"/>
        <v/>
      </c>
      <c r="AW629" s="66" t="str">
        <f>+IF($W629="","",ROUND((AT629*Parámetros!$G$85),2))</f>
        <v/>
      </c>
      <c r="AX629" s="66" t="str">
        <f>+IF($W629="","",ROUND((AT629*(Parámetros!$G$86)),2))</f>
        <v/>
      </c>
      <c r="AY629" s="66" t="str">
        <f t="shared" si="873"/>
        <v/>
      </c>
      <c r="AZ629" t="str">
        <f t="shared" si="827"/>
        <v/>
      </c>
      <c r="BA629" t="str">
        <f t="shared" si="828"/>
        <v/>
      </c>
      <c r="BB629" s="118" t="str">
        <f t="shared" si="829"/>
        <v/>
      </c>
      <c r="BC629" s="118" t="str">
        <f t="shared" si="830"/>
        <v/>
      </c>
      <c r="BD629" s="119" t="str">
        <f>+IF(OR($W629="",BB629=0),"",ROUND((VLOOKUP(ROUNDDOWN($D629-1/frec,0),cob_adi,AO$40,FALSE)*(1+i/frec)^-0.5*(1+Parámetros!$D$103)*(1+rec_fracc)/frec),6))</f>
        <v/>
      </c>
      <c r="BE629" s="66" t="str">
        <f t="shared" si="874"/>
        <v/>
      </c>
      <c r="BF629" s="119" t="str">
        <f t="shared" si="875"/>
        <v/>
      </c>
      <c r="BG629" s="66" t="str">
        <f>+IF($W629="","",ROUND(IF($B629&gt;Parámetros!$D$107,'Tablas Servicio'!BE629+('Tablas Servicio'!BG628-'Tablas Servicio'!BE628),BE629/(1-IF(B629&lt;=10,Parámetros!$D$100,0))),2))</f>
        <v/>
      </c>
      <c r="BH629" s="66" t="str">
        <f t="shared" si="876"/>
        <v/>
      </c>
      <c r="BI629" s="66" t="str">
        <f t="shared" si="877"/>
        <v/>
      </c>
      <c r="BJ629" s="66" t="str">
        <f>+IF($W629="","",ROUND((BG629*Parámetros!$G$85),2))</f>
        <v/>
      </c>
      <c r="BK629" s="66" t="str">
        <f>+IF($W629="","",ROUND((BG629*(Parámetros!$G$86)),2))</f>
        <v/>
      </c>
      <c r="BL629" s="66" t="str">
        <f t="shared" si="878"/>
        <v/>
      </c>
      <c r="BM629" t="str">
        <f t="shared" si="831"/>
        <v/>
      </c>
      <c r="BN629" t="str">
        <f t="shared" si="832"/>
        <v/>
      </c>
      <c r="BO629" s="118" t="str">
        <f t="shared" si="833"/>
        <v/>
      </c>
      <c r="BP629" s="118" t="str">
        <f t="shared" si="834"/>
        <v/>
      </c>
      <c r="BQ629" s="119" t="str">
        <f>+IF(OR($W629="",BO629=0),"",ROUND((VLOOKUP(ROUNDDOWN($D629-1/frec,0),cob_adi,BB$40,FALSE)*(1+i/frec)^-0.5*(1+Parámetros!$D$103)*(1+rec_fracc)/frec),6))</f>
        <v/>
      </c>
      <c r="BR629" s="66" t="str">
        <f t="shared" si="879"/>
        <v/>
      </c>
      <c r="BS629" s="119" t="str">
        <f t="shared" si="880"/>
        <v/>
      </c>
      <c r="BT629" s="66" t="str">
        <f>+IF($W629="","",ROUND(IF($B629&gt;Parámetros!$D$107,'Tablas Servicio'!BR629+('Tablas Servicio'!BT628-'Tablas Servicio'!BR628),BR629/(1-IF(B629&lt;=10,Parámetros!$D$100,0))),2))</f>
        <v/>
      </c>
      <c r="BU629" s="66" t="str">
        <f t="shared" si="881"/>
        <v/>
      </c>
      <c r="BV629" s="66" t="str">
        <f t="shared" si="881"/>
        <v/>
      </c>
      <c r="BW629" s="66" t="str">
        <f>+IF($W629="","",ROUND((BT629*Parámetros!$G$85),2))</f>
        <v/>
      </c>
      <c r="BX629" s="66" t="str">
        <f>+IF($W629="","",ROUND((BT629*(Parámetros!$G$86)),2))</f>
        <v/>
      </c>
      <c r="BY629" s="66" t="str">
        <f t="shared" si="882"/>
        <v/>
      </c>
      <c r="BZ629" t="str">
        <f t="shared" si="835"/>
        <v/>
      </c>
      <c r="CA629" t="str">
        <f t="shared" si="836"/>
        <v/>
      </c>
      <c r="CB629" s="118" t="str">
        <f t="shared" si="837"/>
        <v/>
      </c>
      <c r="CC629" s="118" t="str">
        <f t="shared" si="838"/>
        <v/>
      </c>
      <c r="CD629" s="119" t="str">
        <f t="shared" si="883"/>
        <v/>
      </c>
      <c r="CE629" s="66" t="str">
        <f>+IF($W629="","",ROUND((VLOOKUP(ROUNDDOWN($D629-1/frec,0),cob_adi,BO$40,FALSE)*(1+i/frec)^-0.5*(1+Parámetros!$D$103)*(1+rec_fracc)/frec*'TABLAS ADI'!$BC$17),2))</f>
        <v/>
      </c>
      <c r="CF629" s="119" t="str">
        <f t="shared" si="884"/>
        <v/>
      </c>
      <c r="CG629" s="66" t="str">
        <f>+IF($W629="","",ROUND(IF($B629&gt;Parámetros!$D$107,'Tablas Servicio'!CE629+('Tablas Servicio'!CG628-'Tablas Servicio'!CE628),CE629/(1-IF(B629&lt;=10,Parámetros!$D$100,0))),2))</f>
        <v/>
      </c>
      <c r="CH629" s="66" t="str">
        <f t="shared" si="885"/>
        <v/>
      </c>
      <c r="CI629" s="66" t="str">
        <f t="shared" si="885"/>
        <v/>
      </c>
      <c r="CJ629" s="66" t="str">
        <f>+IF($W629="","",ROUND((CG629*Parámetros!$G$85),2))</f>
        <v/>
      </c>
      <c r="CK629" s="66" t="str">
        <f>+IF($W629="","",ROUND((CG629*(Parámetros!$G$86)),2))</f>
        <v/>
      </c>
      <c r="CL629" s="66" t="str">
        <f t="shared" si="886"/>
        <v/>
      </c>
      <c r="CM629" t="str">
        <f t="shared" si="839"/>
        <v/>
      </c>
      <c r="CN629" s="118" t="str">
        <f t="shared" si="840"/>
        <v/>
      </c>
      <c r="CO629" s="118" t="str">
        <f t="shared" si="841"/>
        <v/>
      </c>
      <c r="CP629" s="118" t="str">
        <f t="shared" si="842"/>
        <v/>
      </c>
      <c r="CQ629" s="119" t="str">
        <f t="shared" si="887"/>
        <v/>
      </c>
      <c r="CR629" s="66" t="str">
        <f>+IF($W629="","",ROUND((VLOOKUP(Parámetros!$F$51,'COBERTURAS ADICIONALES'!$S$4:$T$32,2,FALSE)*(1+i/frec)^-0.5*(1+Parámetros!$D$103)*(1+rec_fracc)/frec*$CO$42),2))</f>
        <v/>
      </c>
      <c r="CS629" s="119" t="str">
        <f t="shared" si="888"/>
        <v/>
      </c>
      <c r="CT629" s="66" t="str">
        <f>+IF($W629="","",ROUND(IF($B629&gt;Parámetros!$D$107,'Tablas Servicio'!CR629+('Tablas Servicio'!CT628-'Tablas Servicio'!CR628),CR629/(1-IF(B629&lt;=10,Parámetros!$D$100,0))),2))</f>
        <v/>
      </c>
      <c r="CU629" s="66" t="str">
        <f t="shared" si="889"/>
        <v/>
      </c>
      <c r="CV629" s="66" t="str">
        <f t="shared" si="889"/>
        <v/>
      </c>
      <c r="CW629" s="66" t="str">
        <f>+IF($W629="","",ROUND((CT629*Parámetros!$G$85),2))</f>
        <v/>
      </c>
      <c r="CX629" s="66" t="str">
        <f>+IF($W629="","",ROUND((CT629*(Parámetros!$G$86)),2))</f>
        <v/>
      </c>
      <c r="CY629" s="66" t="str">
        <f t="shared" si="890"/>
        <v/>
      </c>
      <c r="CZ629" t="str">
        <f t="shared" si="843"/>
        <v/>
      </c>
      <c r="DA629" s="118" t="str">
        <f t="shared" si="844"/>
        <v/>
      </c>
      <c r="DB629" s="118" t="str">
        <f t="shared" si="845"/>
        <v/>
      </c>
      <c r="DC629" s="118" t="str">
        <f t="shared" si="846"/>
        <v/>
      </c>
      <c r="DD629" s="121" t="str">
        <f>+IF(OR($W629="",DB629=0),"",ROUND((VLOOKUP(ROUNDDOWN($D629-1/frec,0),cob_adi,CO$40,FALSE)*(1+i/frec)^-0.5*(1+Parámetros!$D$103)*(1+rec_fracc)/frec),6))</f>
        <v/>
      </c>
      <c r="DE629" s="66" t="str">
        <f t="shared" si="891"/>
        <v/>
      </c>
      <c r="DF629" s="119" t="str">
        <f t="shared" si="892"/>
        <v/>
      </c>
      <c r="DG629" s="66" t="str">
        <f>+IF($W629="","",ROUND(IF($B629&gt;Parámetros!$D$107,'Tablas Servicio'!DE629+('Tablas Servicio'!DG628-'Tablas Servicio'!DE628),DE629/(1-IF(B629&lt;=10,Parámetros!$D$100,0))),2))</f>
        <v/>
      </c>
      <c r="DH629" s="66" t="str">
        <f t="shared" si="893"/>
        <v/>
      </c>
      <c r="DI629" s="66" t="str">
        <f t="shared" si="893"/>
        <v/>
      </c>
      <c r="DJ629" s="66" t="str">
        <f>+IF($W629="","",ROUND((DG629*Parámetros!$G$85),2))</f>
        <v/>
      </c>
      <c r="DK629" s="66" t="str">
        <f>+IF($W629="","",ROUND((DG629*(Parámetros!$G$86)),2))</f>
        <v/>
      </c>
      <c r="DL629" s="66" t="str">
        <f t="shared" si="894"/>
        <v/>
      </c>
      <c r="DM629" t="str">
        <f t="shared" si="847"/>
        <v/>
      </c>
      <c r="DN629" s="118" t="str">
        <f t="shared" si="848"/>
        <v/>
      </c>
      <c r="DO629" s="118" t="str">
        <f t="shared" si="849"/>
        <v/>
      </c>
      <c r="DP629" s="118" t="str">
        <f t="shared" si="850"/>
        <v/>
      </c>
      <c r="DQ629" s="122" t="str">
        <f>+IF(OR($W629="",DO629=0),"",ROUND((VLOOKUP(ROUNDDOWN($D629-1/frec,0),cob_adi,DB$40,FALSE)*(1+i/frec)^-0.5*(1+Parámetros!$D$103)*(1+rec_fracc)/frec),6))</f>
        <v/>
      </c>
      <c r="DR629" s="66" t="str">
        <f t="shared" si="895"/>
        <v/>
      </c>
      <c r="DS629" s="68" t="str">
        <f t="shared" si="896"/>
        <v/>
      </c>
      <c r="DT629" s="66" t="str">
        <f>+IF($W629="","",ROUND(IF($B629&gt;Parámetros!$D$107,'Tablas Servicio'!DR629+('Tablas Servicio'!DT628-'Tablas Servicio'!DR628),DR629/(1-IF(B629&lt;=10,Parámetros!$D$100,0))),2))</f>
        <v/>
      </c>
      <c r="DU629" s="66" t="str">
        <f t="shared" si="897"/>
        <v/>
      </c>
      <c r="DV629" s="66" t="str">
        <f t="shared" si="897"/>
        <v/>
      </c>
      <c r="DW629" s="66" t="str">
        <f>+IF($W629="","",ROUND((DT629*Parámetros!$G$85),2))</f>
        <v/>
      </c>
      <c r="DX629" s="66" t="str">
        <f>+IF($W629="","",ROUND((DT629*(Parámetros!$G$86)),2))</f>
        <v/>
      </c>
      <c r="DY629" s="66" t="str">
        <f t="shared" si="898"/>
        <v/>
      </c>
      <c r="DZ629" t="str">
        <f t="shared" si="899"/>
        <v/>
      </c>
      <c r="EA629" s="118" t="str">
        <f t="shared" si="899"/>
        <v/>
      </c>
      <c r="EB629" s="118" t="str">
        <f>+IF($W629="","",ROUND(IF(Parámetros!$D$25='TABLAS MORT'!$V$33,EB628,Z629/2),0))</f>
        <v/>
      </c>
      <c r="EC629" s="118" t="str">
        <f t="shared" si="899"/>
        <v/>
      </c>
      <c r="ED629" s="122" t="str">
        <f>+IF(OR($W629="",EB629=0),"",ROUND((VLOOKUP(ROUNDDOWN($D629-1/frec,0),cob_adi,DO$40,FALSE)*(1+i/frec)^-0.5*(1+Parámetros!$D$103)*(1+rec_fracc)/frec),6))</f>
        <v/>
      </c>
      <c r="EE629" s="66" t="str">
        <f t="shared" si="900"/>
        <v/>
      </c>
      <c r="EF629" s="68" t="str">
        <f t="shared" si="901"/>
        <v/>
      </c>
      <c r="EG629" s="66" t="str">
        <f>+IF($W629="","",ROUND(IF($B629&gt;Parámetros!$D$107,'Tablas Servicio'!EE629+('Tablas Servicio'!EG628-'Tablas Servicio'!EE628),EE629/(1-IF(B629&lt;=10,Parámetros!$D$100,0))),2))</f>
        <v/>
      </c>
      <c r="EH629" s="66" t="str">
        <f t="shared" si="902"/>
        <v/>
      </c>
      <c r="EI629" s="66" t="str">
        <f t="shared" si="902"/>
        <v/>
      </c>
      <c r="EJ629" s="66" t="str">
        <f>+IF($W629="","",ROUND((EG629*Parámetros!$G$85),2))</f>
        <v/>
      </c>
      <c r="EK629" s="66" t="str">
        <f>+IF($W629="","",ROUND((EG629*(Parámetros!$G$86)),2))</f>
        <v/>
      </c>
      <c r="EL629" s="66" t="str">
        <f t="shared" si="903"/>
        <v/>
      </c>
    </row>
    <row r="630" spans="1:142" x14ac:dyDescent="0.25">
      <c r="A630" t="str">
        <f>+IF($C630="","",ROUND(VLOOKUP('Tablas Servicio'!B630,Parámetros!$H$100:$J$159,IF(Parámetros!$E$16="F",2,3),FALSE),2))</f>
        <v/>
      </c>
      <c r="B630" t="str">
        <f t="shared" si="854"/>
        <v/>
      </c>
      <c r="C630" s="57" t="str">
        <f>+IF(D630="","",'Tablas Servicio'!C629+1)</f>
        <v/>
      </c>
      <c r="D630" s="56" t="str">
        <f>+IF(D629&lt;edadmaxtabla,D629+1/Parámetros!$E$25,"")</f>
        <v/>
      </c>
      <c r="E630" s="57" t="str">
        <f t="shared" si="864"/>
        <v/>
      </c>
      <c r="F630" s="59" t="str">
        <f t="shared" si="865"/>
        <v/>
      </c>
      <c r="G630" s="66" t="str">
        <f t="shared" si="855"/>
        <v/>
      </c>
      <c r="H630" s="66" t="str">
        <f t="shared" si="856"/>
        <v/>
      </c>
      <c r="I630" s="66" t="str">
        <f t="shared" ref="I630:I693" si="904">+IF($C630="","",N630-H630-P630)</f>
        <v/>
      </c>
      <c r="J630" s="66" t="str">
        <f t="shared" si="857"/>
        <v/>
      </c>
      <c r="K630" s="66" t="str">
        <f t="shared" si="858"/>
        <v/>
      </c>
      <c r="L630" s="66" t="str">
        <f t="shared" si="859"/>
        <v/>
      </c>
      <c r="M630" s="66" t="str">
        <f t="shared" si="860"/>
        <v/>
      </c>
      <c r="N630" s="66" t="str">
        <f>+IF(C630="","",ROUND(Parámetros!$D$23,2))</f>
        <v/>
      </c>
      <c r="O630" s="66" t="str">
        <f t="shared" si="861"/>
        <v/>
      </c>
      <c r="P630" s="66" t="str">
        <f>+IF($C630="","",ROUND(IF(B630&gt;Parámetros!$D$117,0,N630*Parámetros!$D$116-G630*Parámetros!$D$100),2))</f>
        <v/>
      </c>
      <c r="Q630" s="75" t="str">
        <f t="shared" ref="Q630:Q693" si="905">+IF($C630="","",J630/$G630)</f>
        <v/>
      </c>
      <c r="R630" s="75" t="str">
        <f t="shared" ref="R630:R693" si="906">+IF($C630="","",K630/$G630)</f>
        <v/>
      </c>
      <c r="S630" s="117" t="str">
        <f>+IF($C630="","",ROUND((S629+I630)*(1+Parámetros!$D$91),2))</f>
        <v/>
      </c>
      <c r="T630" s="117" t="str">
        <f>+IF($C630="","",ROUND(S630*VLOOKUP(B630,Parámetros!$C$30:$D$39,2,TRUE),2))</f>
        <v/>
      </c>
      <c r="U630" s="117" t="str">
        <f>+IF($C630="","",ROUND((U629+I630)*(1+Parámetros!$D$92),2))</f>
        <v/>
      </c>
      <c r="V630" s="117" t="str">
        <f>+IF($C630="","",ROUND(U630*VLOOKUP(B630,Parámetros!$C$30:$D$39,2,TRUE),2))</f>
        <v/>
      </c>
      <c r="W630" s="57" t="str">
        <f t="shared" ref="W630:W693" si="907">+C630</f>
        <v/>
      </c>
      <c r="X630" t="str">
        <f t="shared" ref="X630:X693" si="908">+IF($W630="","",X629)</f>
        <v/>
      </c>
      <c r="Y630" t="str">
        <f t="shared" ref="Y630:Y693" si="909">+IF($W630="","",Y629)</f>
        <v/>
      </c>
      <c r="Z630" s="118" t="str">
        <f>+IF($W630="","",ROUND(IF(Parámetros!$D$25='TABLAS MORT'!$V$33,Z629,Parámetros!$D$21-'Tablas Servicio'!T629),0))</f>
        <v/>
      </c>
      <c r="AA630" s="118" t="str">
        <f t="shared" ref="AA630:AA693" si="910">+IF($W630="","",AA629)</f>
        <v/>
      </c>
      <c r="AB630" s="119" t="str">
        <f>+IF(W630="","",ROUND((VLOOKUP(ROUNDDOWN($D630-1/frec,0),qx_tabla,2,FALSE)*(1+i/frec)^-0.5*(1+Parámetros!$D$103)*(1+rec_fracc)/frec),6))</f>
        <v/>
      </c>
      <c r="AC630" s="66" t="str">
        <f t="shared" si="866"/>
        <v/>
      </c>
      <c r="AD630" s="119" t="str">
        <f t="shared" si="862"/>
        <v/>
      </c>
      <c r="AE630" s="66" t="str">
        <f>+IF($W630="","",ROUND(IF($B630&gt;Parámetros!$D$107,'Tablas Servicio'!AC630+('Tablas Servicio'!AG629-'Tablas Servicio'!AC629),AC630/(1-IF(B630&lt;=10,Parámetros!$D$104,Parámetros!$D$105))),2))</f>
        <v/>
      </c>
      <c r="AF630" s="66" t="str">
        <f>+IF($W630="","",ROUND(IF($B630&gt;Parámetros!$D$107,'Tablas Servicio'!AC630+('Tablas Servicio'!AG629-'Tablas Servicio'!AC629),(AC630+$A629/frec)/(1-IF(B630&lt;=Parámetros!$D$117,Parámetros!$D$100,0))),2))</f>
        <v/>
      </c>
      <c r="AG630" s="66" t="str">
        <f t="shared" si="867"/>
        <v/>
      </c>
      <c r="AH630" s="66" t="str">
        <f t="shared" si="868"/>
        <v/>
      </c>
      <c r="AI630" s="66" t="str">
        <f t="shared" si="869"/>
        <v/>
      </c>
      <c r="AJ630" s="66" t="str">
        <f>+IF($W630="","",ROUND((AG630*Parámetros!$G$85),2))</f>
        <v/>
      </c>
      <c r="AK630" s="66" t="str">
        <f>+IF($W630="","",ROUND((AG630*(Parámetros!$G$86)),2))</f>
        <v/>
      </c>
      <c r="AL630" s="66" t="str">
        <f t="shared" si="863"/>
        <v/>
      </c>
      <c r="AM630" t="str">
        <f t="shared" ref="AM630:AM693" si="911">+IF($W630="","",AM629)</f>
        <v/>
      </c>
      <c r="AN630" t="str">
        <f t="shared" ref="AN630:AN693" si="912">+IF($W630="","",AN629)</f>
        <v/>
      </c>
      <c r="AO630" s="118" t="str">
        <f t="shared" ref="AO630:AO693" si="913">+IF($W630="","",AO629)</f>
        <v/>
      </c>
      <c r="AP630" s="118" t="str">
        <f t="shared" ref="AP630:AP693" si="914">+IF($W630="","",AP629)</f>
        <v/>
      </c>
      <c r="AQ630" s="119" t="str">
        <f>+IF(OR($W630="",AO630=0),"",ROUND((VLOOKUP(ROUNDDOWN($D630-1/frec,0),cob_adi,Z$40,FALSE)*(1+i/frec)^-0.5*(1+Parámetros!$D$103)*(1+rec_fracc)/frec),6))</f>
        <v/>
      </c>
      <c r="AR630" s="66" t="str">
        <f t="shared" si="870"/>
        <v/>
      </c>
      <c r="AS630" s="119" t="str">
        <f t="shared" si="871"/>
        <v/>
      </c>
      <c r="AT630" s="66" t="str">
        <f>+IF($W630="","",ROUND(IF($B630&gt;Parámetros!$D$107,'Tablas Servicio'!AR630+('Tablas Servicio'!AT629-'Tablas Servicio'!AR629),AR630/(1-IF(B630&lt;=10,Parámetros!$D$100,0))),2))</f>
        <v/>
      </c>
      <c r="AU630" s="66" t="str">
        <f t="shared" si="872"/>
        <v/>
      </c>
      <c r="AV630" s="66" t="str">
        <f t="shared" si="872"/>
        <v/>
      </c>
      <c r="AW630" s="66" t="str">
        <f>+IF($W630="","",ROUND((AT630*Parámetros!$G$85),2))</f>
        <v/>
      </c>
      <c r="AX630" s="66" t="str">
        <f>+IF($W630="","",ROUND((AT630*(Parámetros!$G$86)),2))</f>
        <v/>
      </c>
      <c r="AY630" s="66" t="str">
        <f t="shared" si="873"/>
        <v/>
      </c>
      <c r="AZ630" t="str">
        <f t="shared" ref="AZ630:AZ693" si="915">+IF($W630="","",AZ629)</f>
        <v/>
      </c>
      <c r="BA630" t="str">
        <f t="shared" ref="BA630:BA693" si="916">+IF($W630="","",BA629)</f>
        <v/>
      </c>
      <c r="BB630" s="118" t="str">
        <f t="shared" ref="BB630:BB693" si="917">+IF($W630="","",BB629)</f>
        <v/>
      </c>
      <c r="BC630" s="118" t="str">
        <f t="shared" ref="BC630:BC693" si="918">+IF($W630="","",BC629)</f>
        <v/>
      </c>
      <c r="BD630" s="119" t="str">
        <f>+IF(OR($W630="",BB630=0),"",ROUND((VLOOKUP(ROUNDDOWN($D630-1/frec,0),cob_adi,AO$40,FALSE)*(1+i/frec)^-0.5*(1+Parámetros!$D$103)*(1+rec_fracc)/frec),6))</f>
        <v/>
      </c>
      <c r="BE630" s="66" t="str">
        <f t="shared" si="874"/>
        <v/>
      </c>
      <c r="BF630" s="119" t="str">
        <f t="shared" si="875"/>
        <v/>
      </c>
      <c r="BG630" s="66" t="str">
        <f>+IF($W630="","",ROUND(IF($B630&gt;Parámetros!$D$107,'Tablas Servicio'!BE630+('Tablas Servicio'!BG629-'Tablas Servicio'!BE629),BE630/(1-IF(B630&lt;=10,Parámetros!$D$100,0))),2))</f>
        <v/>
      </c>
      <c r="BH630" s="66" t="str">
        <f t="shared" si="876"/>
        <v/>
      </c>
      <c r="BI630" s="66" t="str">
        <f t="shared" si="877"/>
        <v/>
      </c>
      <c r="BJ630" s="66" t="str">
        <f>+IF($W630="","",ROUND((BG630*Parámetros!$G$85),2))</f>
        <v/>
      </c>
      <c r="BK630" s="66" t="str">
        <f>+IF($W630="","",ROUND((BG630*(Parámetros!$G$86)),2))</f>
        <v/>
      </c>
      <c r="BL630" s="66" t="str">
        <f t="shared" si="878"/>
        <v/>
      </c>
      <c r="BM630" t="str">
        <f t="shared" ref="BM630:BM693" si="919">+IF($W630="","",BM629)</f>
        <v/>
      </c>
      <c r="BN630" t="str">
        <f t="shared" ref="BN630:BN693" si="920">+IF($W630="","",BN629)</f>
        <v/>
      </c>
      <c r="BO630" s="118" t="str">
        <f t="shared" ref="BO630:BO693" si="921">+IF($W630="","",BO629)</f>
        <v/>
      </c>
      <c r="BP630" s="118" t="str">
        <f t="shared" ref="BP630:BP693" si="922">+IF($W630="","",BP629)</f>
        <v/>
      </c>
      <c r="BQ630" s="119" t="str">
        <f>+IF(OR($W630="",BO630=0),"",ROUND((VLOOKUP(ROUNDDOWN($D630-1/frec,0),cob_adi,BB$40,FALSE)*(1+i/frec)^-0.5*(1+Parámetros!$D$103)*(1+rec_fracc)/frec),6))</f>
        <v/>
      </c>
      <c r="BR630" s="66" t="str">
        <f t="shared" si="879"/>
        <v/>
      </c>
      <c r="BS630" s="119" t="str">
        <f t="shared" si="880"/>
        <v/>
      </c>
      <c r="BT630" s="66" t="str">
        <f>+IF($W630="","",ROUND(IF($B630&gt;Parámetros!$D$107,'Tablas Servicio'!BR630+('Tablas Servicio'!BT629-'Tablas Servicio'!BR629),BR630/(1-IF(B630&lt;=10,Parámetros!$D$100,0))),2))</f>
        <v/>
      </c>
      <c r="BU630" s="66" t="str">
        <f t="shared" si="881"/>
        <v/>
      </c>
      <c r="BV630" s="66" t="str">
        <f t="shared" si="881"/>
        <v/>
      </c>
      <c r="BW630" s="66" t="str">
        <f>+IF($W630="","",ROUND((BT630*Parámetros!$G$85),2))</f>
        <v/>
      </c>
      <c r="BX630" s="66" t="str">
        <f>+IF($W630="","",ROUND((BT630*(Parámetros!$G$86)),2))</f>
        <v/>
      </c>
      <c r="BY630" s="66" t="str">
        <f t="shared" si="882"/>
        <v/>
      </c>
      <c r="BZ630" t="str">
        <f t="shared" ref="BZ630:BZ693" si="923">+IF($W630="","",BZ629)</f>
        <v/>
      </c>
      <c r="CA630" t="str">
        <f t="shared" ref="CA630:CA693" si="924">+IF($W630="","",CA629)</f>
        <v/>
      </c>
      <c r="CB630" s="118" t="str">
        <f t="shared" ref="CB630:CB693" si="925">+IF($W630="","",CB629)</f>
        <v/>
      </c>
      <c r="CC630" s="118" t="str">
        <f t="shared" ref="CC630:CC693" si="926">+IF($W630="","",CC629)</f>
        <v/>
      </c>
      <c r="CD630" s="119" t="str">
        <f t="shared" si="883"/>
        <v/>
      </c>
      <c r="CE630" s="66" t="str">
        <f>+IF($W630="","",ROUND((VLOOKUP(ROUNDDOWN($D630-1/frec,0),cob_adi,BO$40,FALSE)*(1+i/frec)^-0.5*(1+Parámetros!$D$103)*(1+rec_fracc)/frec*'TABLAS ADI'!$BC$17),2))</f>
        <v/>
      </c>
      <c r="CF630" s="119" t="str">
        <f t="shared" si="884"/>
        <v/>
      </c>
      <c r="CG630" s="66" t="str">
        <f>+IF($W630="","",ROUND(IF($B630&gt;Parámetros!$D$107,'Tablas Servicio'!CE630+('Tablas Servicio'!CG629-'Tablas Servicio'!CE629),CE630/(1-IF(B630&lt;=10,Parámetros!$D$100,0))),2))</f>
        <v/>
      </c>
      <c r="CH630" s="66" t="str">
        <f t="shared" si="885"/>
        <v/>
      </c>
      <c r="CI630" s="66" t="str">
        <f t="shared" si="885"/>
        <v/>
      </c>
      <c r="CJ630" s="66" t="str">
        <f>+IF($W630="","",ROUND((CG630*Parámetros!$G$85),2))</f>
        <v/>
      </c>
      <c r="CK630" s="66" t="str">
        <f>+IF($W630="","",ROUND((CG630*(Parámetros!$G$86)),2))</f>
        <v/>
      </c>
      <c r="CL630" s="66" t="str">
        <f t="shared" si="886"/>
        <v/>
      </c>
      <c r="CM630" t="str">
        <f t="shared" ref="CM630:CM693" si="927">+IF($W630="","",CM629)</f>
        <v/>
      </c>
      <c r="CN630" s="118" t="str">
        <f t="shared" ref="CN630:CN693" si="928">+IF($W630="","",CN629)</f>
        <v/>
      </c>
      <c r="CO630" s="118" t="str">
        <f t="shared" ref="CO630:CO693" si="929">+IF($W630="","",CO629)</f>
        <v/>
      </c>
      <c r="CP630" s="118" t="str">
        <f t="shared" ref="CP630:CP693" si="930">+IF($W630="","",CP629)</f>
        <v/>
      </c>
      <c r="CQ630" s="119" t="str">
        <f t="shared" si="887"/>
        <v/>
      </c>
      <c r="CR630" s="66" t="str">
        <f>+IF($W630="","",ROUND((VLOOKUP(Parámetros!$F$51,'COBERTURAS ADICIONALES'!$S$4:$T$32,2,FALSE)*(1+i/frec)^-0.5*(1+Parámetros!$D$103)*(1+rec_fracc)/frec*$CO$42),2))</f>
        <v/>
      </c>
      <c r="CS630" s="119" t="str">
        <f t="shared" si="888"/>
        <v/>
      </c>
      <c r="CT630" s="66" t="str">
        <f>+IF($W630="","",ROUND(IF($B630&gt;Parámetros!$D$107,'Tablas Servicio'!CR630+('Tablas Servicio'!CT629-'Tablas Servicio'!CR629),CR630/(1-IF(B630&lt;=10,Parámetros!$D$100,0))),2))</f>
        <v/>
      </c>
      <c r="CU630" s="66" t="str">
        <f t="shared" si="889"/>
        <v/>
      </c>
      <c r="CV630" s="66" t="str">
        <f t="shared" si="889"/>
        <v/>
      </c>
      <c r="CW630" s="66" t="str">
        <f>+IF($W630="","",ROUND((CT630*Parámetros!$G$85),2))</f>
        <v/>
      </c>
      <c r="CX630" s="66" t="str">
        <f>+IF($W630="","",ROUND((CT630*(Parámetros!$G$86)),2))</f>
        <v/>
      </c>
      <c r="CY630" s="66" t="str">
        <f t="shared" si="890"/>
        <v/>
      </c>
      <c r="CZ630" t="str">
        <f t="shared" ref="CZ630:CZ693" si="931">+IF($W630="","",CZ629)</f>
        <v/>
      </c>
      <c r="DA630" s="118" t="str">
        <f t="shared" ref="DA630:DA693" si="932">+IF($W630="","",DA629)</f>
        <v/>
      </c>
      <c r="DB630" s="118" t="str">
        <f t="shared" ref="DB630:DB693" si="933">+IF($W630="","",DB629)</f>
        <v/>
      </c>
      <c r="DC630" s="118" t="str">
        <f t="shared" ref="DC630:DC693" si="934">+IF($W630="","",DC629)</f>
        <v/>
      </c>
      <c r="DD630" s="121" t="str">
        <f>+IF(OR($W630="",DB630=0),"",ROUND((VLOOKUP(ROUNDDOWN($D630-1/frec,0),cob_adi,CO$40,FALSE)*(1+i/frec)^-0.5*(1+Parámetros!$D$103)*(1+rec_fracc)/frec),6))</f>
        <v/>
      </c>
      <c r="DE630" s="66" t="str">
        <f t="shared" si="891"/>
        <v/>
      </c>
      <c r="DF630" s="119" t="str">
        <f t="shared" si="892"/>
        <v/>
      </c>
      <c r="DG630" s="66" t="str">
        <f>+IF($W630="","",ROUND(IF($B630&gt;Parámetros!$D$107,'Tablas Servicio'!DE630+('Tablas Servicio'!DG629-'Tablas Servicio'!DE629),DE630/(1-IF(B630&lt;=10,Parámetros!$D$100,0))),2))</f>
        <v/>
      </c>
      <c r="DH630" s="66" t="str">
        <f t="shared" si="893"/>
        <v/>
      </c>
      <c r="DI630" s="66" t="str">
        <f t="shared" si="893"/>
        <v/>
      </c>
      <c r="DJ630" s="66" t="str">
        <f>+IF($W630="","",ROUND((DG630*Parámetros!$G$85),2))</f>
        <v/>
      </c>
      <c r="DK630" s="66" t="str">
        <f>+IF($W630="","",ROUND((DG630*(Parámetros!$G$86)),2))</f>
        <v/>
      </c>
      <c r="DL630" s="66" t="str">
        <f t="shared" si="894"/>
        <v/>
      </c>
      <c r="DM630" t="str">
        <f t="shared" ref="DM630:DM693" si="935">+IF($W630="","",DM629)</f>
        <v/>
      </c>
      <c r="DN630" s="118" t="str">
        <f t="shared" ref="DN630:DN693" si="936">+IF($W630="","",DN629)</f>
        <v/>
      </c>
      <c r="DO630" s="118" t="str">
        <f t="shared" ref="DO630:DO693" si="937">+IF($W630="","",DO629)</f>
        <v/>
      </c>
      <c r="DP630" s="118" t="str">
        <f t="shared" ref="DP630:DP693" si="938">+IF($W630="","",DP629)</f>
        <v/>
      </c>
      <c r="DQ630" s="122" t="str">
        <f>+IF(OR($W630="",DO630=0),"",ROUND((VLOOKUP(ROUNDDOWN($D630-1/frec,0),cob_adi,DB$40,FALSE)*(1+i/frec)^-0.5*(1+Parámetros!$D$103)*(1+rec_fracc)/frec),6))</f>
        <v/>
      </c>
      <c r="DR630" s="66" t="str">
        <f t="shared" si="895"/>
        <v/>
      </c>
      <c r="DS630" s="68" t="str">
        <f t="shared" si="896"/>
        <v/>
      </c>
      <c r="DT630" s="66" t="str">
        <f>+IF($W630="","",ROUND(IF($B630&gt;Parámetros!$D$107,'Tablas Servicio'!DR630+('Tablas Servicio'!DT629-'Tablas Servicio'!DR629),DR630/(1-IF(B630&lt;=10,Parámetros!$D$100,0))),2))</f>
        <v/>
      </c>
      <c r="DU630" s="66" t="str">
        <f t="shared" si="897"/>
        <v/>
      </c>
      <c r="DV630" s="66" t="str">
        <f t="shared" si="897"/>
        <v/>
      </c>
      <c r="DW630" s="66" t="str">
        <f>+IF($W630="","",ROUND((DT630*Parámetros!$G$85),2))</f>
        <v/>
      </c>
      <c r="DX630" s="66" t="str">
        <f>+IF($W630="","",ROUND((DT630*(Parámetros!$G$86)),2))</f>
        <v/>
      </c>
      <c r="DY630" s="66" t="str">
        <f t="shared" si="898"/>
        <v/>
      </c>
      <c r="DZ630" t="str">
        <f t="shared" si="899"/>
        <v/>
      </c>
      <c r="EA630" s="118" t="str">
        <f t="shared" si="899"/>
        <v/>
      </c>
      <c r="EB630" s="118" t="str">
        <f>+IF($W630="","",ROUND(IF(Parámetros!$D$25='TABLAS MORT'!$V$33,EB629,Z630/2),0))</f>
        <v/>
      </c>
      <c r="EC630" s="118" t="str">
        <f t="shared" si="899"/>
        <v/>
      </c>
      <c r="ED630" s="122" t="str">
        <f>+IF(OR($W630="",EB630=0),"",ROUND((VLOOKUP(ROUNDDOWN($D630-1/frec,0),cob_adi,DO$40,FALSE)*(1+i/frec)^-0.5*(1+Parámetros!$D$103)*(1+rec_fracc)/frec),6))</f>
        <v/>
      </c>
      <c r="EE630" s="66" t="str">
        <f t="shared" si="900"/>
        <v/>
      </c>
      <c r="EF630" s="68" t="str">
        <f t="shared" si="901"/>
        <v/>
      </c>
      <c r="EG630" s="66" t="str">
        <f>+IF($W630="","",ROUND(IF($B630&gt;Parámetros!$D$107,'Tablas Servicio'!EE630+('Tablas Servicio'!EG629-'Tablas Servicio'!EE629),EE630/(1-IF(B630&lt;=10,Parámetros!$D$100,0))),2))</f>
        <v/>
      </c>
      <c r="EH630" s="66" t="str">
        <f t="shared" si="902"/>
        <v/>
      </c>
      <c r="EI630" s="66" t="str">
        <f t="shared" si="902"/>
        <v/>
      </c>
      <c r="EJ630" s="66" t="str">
        <f>+IF($W630="","",ROUND((EG630*Parámetros!$G$85),2))</f>
        <v/>
      </c>
      <c r="EK630" s="66" t="str">
        <f>+IF($W630="","",ROUND((EG630*(Parámetros!$G$86)),2))</f>
        <v/>
      </c>
      <c r="EL630" s="66" t="str">
        <f t="shared" si="903"/>
        <v/>
      </c>
    </row>
    <row r="631" spans="1:142" x14ac:dyDescent="0.25">
      <c r="A631" t="str">
        <f>+IF($C631="","",ROUND(VLOOKUP('Tablas Servicio'!B631,Parámetros!$H$100:$J$159,IF(Parámetros!$E$16="F",2,3),FALSE),2))</f>
        <v/>
      </c>
      <c r="B631" t="str">
        <f t="shared" si="854"/>
        <v/>
      </c>
      <c r="C631" s="57" t="str">
        <f>+IF(D631="","",'Tablas Servicio'!C630+1)</f>
        <v/>
      </c>
      <c r="D631" s="56" t="str">
        <f>+IF(D630&lt;edadmaxtabla,D630+1/Parámetros!$E$25,"")</f>
        <v/>
      </c>
      <c r="E631" s="57" t="str">
        <f t="shared" si="864"/>
        <v/>
      </c>
      <c r="F631" s="59" t="str">
        <f t="shared" si="865"/>
        <v/>
      </c>
      <c r="G631" s="66" t="str">
        <f t="shared" si="855"/>
        <v/>
      </c>
      <c r="H631" s="66" t="str">
        <f t="shared" si="856"/>
        <v/>
      </c>
      <c r="I631" s="66" t="str">
        <f t="shared" si="904"/>
        <v/>
      </c>
      <c r="J631" s="66" t="str">
        <f t="shared" si="857"/>
        <v/>
      </c>
      <c r="K631" s="66" t="str">
        <f t="shared" si="858"/>
        <v/>
      </c>
      <c r="L631" s="66" t="str">
        <f t="shared" si="859"/>
        <v/>
      </c>
      <c r="M631" s="66" t="str">
        <f t="shared" si="860"/>
        <v/>
      </c>
      <c r="N631" s="66" t="str">
        <f>+IF(C631="","",ROUND(Parámetros!$D$23,2))</f>
        <v/>
      </c>
      <c r="O631" s="66" t="str">
        <f t="shared" si="861"/>
        <v/>
      </c>
      <c r="P631" s="66" t="str">
        <f>+IF($C631="","",ROUND(IF(B631&gt;Parámetros!$D$117,0,N631*Parámetros!$D$116-G631*Parámetros!$D$100),2))</f>
        <v/>
      </c>
      <c r="Q631" s="75" t="str">
        <f t="shared" si="905"/>
        <v/>
      </c>
      <c r="R631" s="75" t="str">
        <f t="shared" si="906"/>
        <v/>
      </c>
      <c r="S631" s="117" t="str">
        <f>+IF($C631="","",ROUND((S630+I631)*(1+Parámetros!$D$91),2))</f>
        <v/>
      </c>
      <c r="T631" s="117" t="str">
        <f>+IF($C631="","",ROUND(S631*VLOOKUP(B631,Parámetros!$C$30:$D$39,2,TRUE),2))</f>
        <v/>
      </c>
      <c r="U631" s="117" t="str">
        <f>+IF($C631="","",ROUND((U630+I631)*(1+Parámetros!$D$92),2))</f>
        <v/>
      </c>
      <c r="V631" s="117" t="str">
        <f>+IF($C631="","",ROUND(U631*VLOOKUP(B631,Parámetros!$C$30:$D$39,2,TRUE),2))</f>
        <v/>
      </c>
      <c r="W631" s="57" t="str">
        <f t="shared" si="907"/>
        <v/>
      </c>
      <c r="X631" t="str">
        <f t="shared" si="908"/>
        <v/>
      </c>
      <c r="Y631" t="str">
        <f t="shared" si="909"/>
        <v/>
      </c>
      <c r="Z631" s="118" t="str">
        <f>+IF($W631="","",ROUND(IF(Parámetros!$D$25='TABLAS MORT'!$V$33,Z630,Parámetros!$D$21-'Tablas Servicio'!T630),0))</f>
        <v/>
      </c>
      <c r="AA631" s="118" t="str">
        <f t="shared" si="910"/>
        <v/>
      </c>
      <c r="AB631" s="119" t="str">
        <f>+IF(W631="","",ROUND((VLOOKUP(ROUNDDOWN($D631-1/frec,0),qx_tabla,2,FALSE)*(1+i/frec)^-0.5*(1+Parámetros!$D$103)*(1+rec_fracc)/frec),6))</f>
        <v/>
      </c>
      <c r="AC631" s="66" t="str">
        <f t="shared" si="866"/>
        <v/>
      </c>
      <c r="AD631" s="119" t="str">
        <f t="shared" si="862"/>
        <v/>
      </c>
      <c r="AE631" s="66" t="str">
        <f>+IF($W631="","",ROUND(IF($B631&gt;Parámetros!$D$107,'Tablas Servicio'!AC631+('Tablas Servicio'!AG630-'Tablas Servicio'!AC630),AC631/(1-IF(B631&lt;=10,Parámetros!$D$104,Parámetros!$D$105))),2))</f>
        <v/>
      </c>
      <c r="AF631" s="66" t="str">
        <f>+IF($W631="","",ROUND(IF($B631&gt;Parámetros!$D$107,'Tablas Servicio'!AC631+('Tablas Servicio'!AG630-'Tablas Servicio'!AC630),(AC631+$A630/frec)/(1-IF(B631&lt;=Parámetros!$D$117,Parámetros!$D$100,0))),2))</f>
        <v/>
      </c>
      <c r="AG631" s="66" t="str">
        <f t="shared" si="867"/>
        <v/>
      </c>
      <c r="AH631" s="66" t="str">
        <f t="shared" si="868"/>
        <v/>
      </c>
      <c r="AI631" s="66" t="str">
        <f t="shared" si="869"/>
        <v/>
      </c>
      <c r="AJ631" s="66" t="str">
        <f>+IF($W631="","",ROUND((AG631*Parámetros!$G$85),2))</f>
        <v/>
      </c>
      <c r="AK631" s="66" t="str">
        <f>+IF($W631="","",ROUND((AG631*(Parámetros!$G$86)),2))</f>
        <v/>
      </c>
      <c r="AL631" s="66" t="str">
        <f t="shared" si="863"/>
        <v/>
      </c>
      <c r="AM631" t="str">
        <f t="shared" si="911"/>
        <v/>
      </c>
      <c r="AN631" t="str">
        <f t="shared" si="912"/>
        <v/>
      </c>
      <c r="AO631" s="118" t="str">
        <f t="shared" si="913"/>
        <v/>
      </c>
      <c r="AP631" s="118" t="str">
        <f t="shared" si="914"/>
        <v/>
      </c>
      <c r="AQ631" s="119" t="str">
        <f>+IF(OR($W631="",AO631=0),"",ROUND((VLOOKUP(ROUNDDOWN($D631-1/frec,0),cob_adi,Z$40,FALSE)*(1+i/frec)^-0.5*(1+Parámetros!$D$103)*(1+rec_fracc)/frec),6))</f>
        <v/>
      </c>
      <c r="AR631" s="66" t="str">
        <f t="shared" si="870"/>
        <v/>
      </c>
      <c r="AS631" s="119" t="str">
        <f t="shared" si="871"/>
        <v/>
      </c>
      <c r="AT631" s="66" t="str">
        <f>+IF($W631="","",ROUND(IF($B631&gt;Parámetros!$D$107,'Tablas Servicio'!AR631+('Tablas Servicio'!AT630-'Tablas Servicio'!AR630),AR631/(1-IF(B631&lt;=10,Parámetros!$D$100,0))),2))</f>
        <v/>
      </c>
      <c r="AU631" s="66" t="str">
        <f t="shared" si="872"/>
        <v/>
      </c>
      <c r="AV631" s="66" t="str">
        <f t="shared" si="872"/>
        <v/>
      </c>
      <c r="AW631" s="66" t="str">
        <f>+IF($W631="","",ROUND((AT631*Parámetros!$G$85),2))</f>
        <v/>
      </c>
      <c r="AX631" s="66" t="str">
        <f>+IF($W631="","",ROUND((AT631*(Parámetros!$G$86)),2))</f>
        <v/>
      </c>
      <c r="AY631" s="66" t="str">
        <f t="shared" si="873"/>
        <v/>
      </c>
      <c r="AZ631" t="str">
        <f t="shared" si="915"/>
        <v/>
      </c>
      <c r="BA631" t="str">
        <f t="shared" si="916"/>
        <v/>
      </c>
      <c r="BB631" s="118" t="str">
        <f t="shared" si="917"/>
        <v/>
      </c>
      <c r="BC631" s="118" t="str">
        <f t="shared" si="918"/>
        <v/>
      </c>
      <c r="BD631" s="119" t="str">
        <f>+IF(OR($W631="",BB631=0),"",ROUND((VLOOKUP(ROUNDDOWN($D631-1/frec,0),cob_adi,AO$40,FALSE)*(1+i/frec)^-0.5*(1+Parámetros!$D$103)*(1+rec_fracc)/frec),6))</f>
        <v/>
      </c>
      <c r="BE631" s="66" t="str">
        <f t="shared" si="874"/>
        <v/>
      </c>
      <c r="BF631" s="119" t="str">
        <f t="shared" si="875"/>
        <v/>
      </c>
      <c r="BG631" s="66" t="str">
        <f>+IF($W631="","",ROUND(IF($B631&gt;Parámetros!$D$107,'Tablas Servicio'!BE631+('Tablas Servicio'!BG630-'Tablas Servicio'!BE630),BE631/(1-IF(B631&lt;=10,Parámetros!$D$100,0))),2))</f>
        <v/>
      </c>
      <c r="BH631" s="66" t="str">
        <f t="shared" si="876"/>
        <v/>
      </c>
      <c r="BI631" s="66" t="str">
        <f t="shared" si="877"/>
        <v/>
      </c>
      <c r="BJ631" s="66" t="str">
        <f>+IF($W631="","",ROUND((BG631*Parámetros!$G$85),2))</f>
        <v/>
      </c>
      <c r="BK631" s="66" t="str">
        <f>+IF($W631="","",ROUND((BG631*(Parámetros!$G$86)),2))</f>
        <v/>
      </c>
      <c r="BL631" s="66" t="str">
        <f t="shared" si="878"/>
        <v/>
      </c>
      <c r="BM631" t="str">
        <f t="shared" si="919"/>
        <v/>
      </c>
      <c r="BN631" t="str">
        <f t="shared" si="920"/>
        <v/>
      </c>
      <c r="BO631" s="118" t="str">
        <f t="shared" si="921"/>
        <v/>
      </c>
      <c r="BP631" s="118" t="str">
        <f t="shared" si="922"/>
        <v/>
      </c>
      <c r="BQ631" s="119" t="str">
        <f>+IF(OR($W631="",BO631=0),"",ROUND((VLOOKUP(ROUNDDOWN($D631-1/frec,0),cob_adi,BB$40,FALSE)*(1+i/frec)^-0.5*(1+Parámetros!$D$103)*(1+rec_fracc)/frec),6))</f>
        <v/>
      </c>
      <c r="BR631" s="66" t="str">
        <f t="shared" si="879"/>
        <v/>
      </c>
      <c r="BS631" s="119" t="str">
        <f t="shared" si="880"/>
        <v/>
      </c>
      <c r="BT631" s="66" t="str">
        <f>+IF($W631="","",ROUND(IF($B631&gt;Parámetros!$D$107,'Tablas Servicio'!BR631+('Tablas Servicio'!BT630-'Tablas Servicio'!BR630),BR631/(1-IF(B631&lt;=10,Parámetros!$D$100,0))),2))</f>
        <v/>
      </c>
      <c r="BU631" s="66" t="str">
        <f t="shared" si="881"/>
        <v/>
      </c>
      <c r="BV631" s="66" t="str">
        <f t="shared" si="881"/>
        <v/>
      </c>
      <c r="BW631" s="66" t="str">
        <f>+IF($W631="","",ROUND((BT631*Parámetros!$G$85),2))</f>
        <v/>
      </c>
      <c r="BX631" s="66" t="str">
        <f>+IF($W631="","",ROUND((BT631*(Parámetros!$G$86)),2))</f>
        <v/>
      </c>
      <c r="BY631" s="66" t="str">
        <f t="shared" si="882"/>
        <v/>
      </c>
      <c r="BZ631" t="str">
        <f t="shared" si="923"/>
        <v/>
      </c>
      <c r="CA631" t="str">
        <f t="shared" si="924"/>
        <v/>
      </c>
      <c r="CB631" s="118" t="str">
        <f t="shared" si="925"/>
        <v/>
      </c>
      <c r="CC631" s="118" t="str">
        <f t="shared" si="926"/>
        <v/>
      </c>
      <c r="CD631" s="119" t="str">
        <f t="shared" si="883"/>
        <v/>
      </c>
      <c r="CE631" s="66" t="str">
        <f>+IF($W631="","",ROUND((VLOOKUP(ROUNDDOWN($D631-1/frec,0),cob_adi,BO$40,FALSE)*(1+i/frec)^-0.5*(1+Parámetros!$D$103)*(1+rec_fracc)/frec*'TABLAS ADI'!$BC$17),2))</f>
        <v/>
      </c>
      <c r="CF631" s="119" t="str">
        <f t="shared" si="884"/>
        <v/>
      </c>
      <c r="CG631" s="66" t="str">
        <f>+IF($W631="","",ROUND(IF($B631&gt;Parámetros!$D$107,'Tablas Servicio'!CE631+('Tablas Servicio'!CG630-'Tablas Servicio'!CE630),CE631/(1-IF(B631&lt;=10,Parámetros!$D$100,0))),2))</f>
        <v/>
      </c>
      <c r="CH631" s="66" t="str">
        <f t="shared" si="885"/>
        <v/>
      </c>
      <c r="CI631" s="66" t="str">
        <f t="shared" si="885"/>
        <v/>
      </c>
      <c r="CJ631" s="66" t="str">
        <f>+IF($W631="","",ROUND((CG631*Parámetros!$G$85),2))</f>
        <v/>
      </c>
      <c r="CK631" s="66" t="str">
        <f>+IF($W631="","",ROUND((CG631*(Parámetros!$G$86)),2))</f>
        <v/>
      </c>
      <c r="CL631" s="66" t="str">
        <f t="shared" si="886"/>
        <v/>
      </c>
      <c r="CM631" t="str">
        <f t="shared" si="927"/>
        <v/>
      </c>
      <c r="CN631" s="118" t="str">
        <f t="shared" si="928"/>
        <v/>
      </c>
      <c r="CO631" s="118" t="str">
        <f t="shared" si="929"/>
        <v/>
      </c>
      <c r="CP631" s="118" t="str">
        <f t="shared" si="930"/>
        <v/>
      </c>
      <c r="CQ631" s="119" t="str">
        <f t="shared" si="887"/>
        <v/>
      </c>
      <c r="CR631" s="66" t="str">
        <f>+IF($W631="","",ROUND((VLOOKUP(Parámetros!$F$51,'COBERTURAS ADICIONALES'!$S$4:$T$32,2,FALSE)*(1+i/frec)^-0.5*(1+Parámetros!$D$103)*(1+rec_fracc)/frec*$CO$42),2))</f>
        <v/>
      </c>
      <c r="CS631" s="119" t="str">
        <f t="shared" si="888"/>
        <v/>
      </c>
      <c r="CT631" s="66" t="str">
        <f>+IF($W631="","",ROUND(IF($B631&gt;Parámetros!$D$107,'Tablas Servicio'!CR631+('Tablas Servicio'!CT630-'Tablas Servicio'!CR630),CR631/(1-IF(B631&lt;=10,Parámetros!$D$100,0))),2))</f>
        <v/>
      </c>
      <c r="CU631" s="66" t="str">
        <f t="shared" si="889"/>
        <v/>
      </c>
      <c r="CV631" s="66" t="str">
        <f t="shared" si="889"/>
        <v/>
      </c>
      <c r="CW631" s="66" t="str">
        <f>+IF($W631="","",ROUND((CT631*Parámetros!$G$85),2))</f>
        <v/>
      </c>
      <c r="CX631" s="66" t="str">
        <f>+IF($W631="","",ROUND((CT631*(Parámetros!$G$86)),2))</f>
        <v/>
      </c>
      <c r="CY631" s="66" t="str">
        <f t="shared" si="890"/>
        <v/>
      </c>
      <c r="CZ631" t="str">
        <f t="shared" si="931"/>
        <v/>
      </c>
      <c r="DA631" s="118" t="str">
        <f t="shared" si="932"/>
        <v/>
      </c>
      <c r="DB631" s="118" t="str">
        <f t="shared" si="933"/>
        <v/>
      </c>
      <c r="DC631" s="118" t="str">
        <f t="shared" si="934"/>
        <v/>
      </c>
      <c r="DD631" s="121" t="str">
        <f>+IF(OR($W631="",DB631=0),"",ROUND((VLOOKUP(ROUNDDOWN($D631-1/frec,0),cob_adi,CO$40,FALSE)*(1+i/frec)^-0.5*(1+Parámetros!$D$103)*(1+rec_fracc)/frec),6))</f>
        <v/>
      </c>
      <c r="DE631" s="66" t="str">
        <f t="shared" si="891"/>
        <v/>
      </c>
      <c r="DF631" s="119" t="str">
        <f t="shared" si="892"/>
        <v/>
      </c>
      <c r="DG631" s="66" t="str">
        <f>+IF($W631="","",ROUND(IF($B631&gt;Parámetros!$D$107,'Tablas Servicio'!DE631+('Tablas Servicio'!DG630-'Tablas Servicio'!DE630),DE631/(1-IF(B631&lt;=10,Parámetros!$D$100,0))),2))</f>
        <v/>
      </c>
      <c r="DH631" s="66" t="str">
        <f t="shared" si="893"/>
        <v/>
      </c>
      <c r="DI631" s="66" t="str">
        <f t="shared" si="893"/>
        <v/>
      </c>
      <c r="DJ631" s="66" t="str">
        <f>+IF($W631="","",ROUND((DG631*Parámetros!$G$85),2))</f>
        <v/>
      </c>
      <c r="DK631" s="66" t="str">
        <f>+IF($W631="","",ROUND((DG631*(Parámetros!$G$86)),2))</f>
        <v/>
      </c>
      <c r="DL631" s="66" t="str">
        <f t="shared" si="894"/>
        <v/>
      </c>
      <c r="DM631" t="str">
        <f t="shared" si="935"/>
        <v/>
      </c>
      <c r="DN631" s="118" t="str">
        <f t="shared" si="936"/>
        <v/>
      </c>
      <c r="DO631" s="118" t="str">
        <f t="shared" si="937"/>
        <v/>
      </c>
      <c r="DP631" s="118" t="str">
        <f t="shared" si="938"/>
        <v/>
      </c>
      <c r="DQ631" s="122" t="str">
        <f>+IF(OR($W631="",DO631=0),"",ROUND((VLOOKUP(ROUNDDOWN($D631-1/frec,0),cob_adi,DB$40,FALSE)*(1+i/frec)^-0.5*(1+Parámetros!$D$103)*(1+rec_fracc)/frec),6))</f>
        <v/>
      </c>
      <c r="DR631" s="66" t="str">
        <f t="shared" si="895"/>
        <v/>
      </c>
      <c r="DS631" s="68" t="str">
        <f t="shared" si="896"/>
        <v/>
      </c>
      <c r="DT631" s="66" t="str">
        <f>+IF($W631="","",ROUND(IF($B631&gt;Parámetros!$D$107,'Tablas Servicio'!DR631+('Tablas Servicio'!DT630-'Tablas Servicio'!DR630),DR631/(1-IF(B631&lt;=10,Parámetros!$D$100,0))),2))</f>
        <v/>
      </c>
      <c r="DU631" s="66" t="str">
        <f t="shared" si="897"/>
        <v/>
      </c>
      <c r="DV631" s="66" t="str">
        <f t="shared" si="897"/>
        <v/>
      </c>
      <c r="DW631" s="66" t="str">
        <f>+IF($W631="","",ROUND((DT631*Parámetros!$G$85),2))</f>
        <v/>
      </c>
      <c r="DX631" s="66" t="str">
        <f>+IF($W631="","",ROUND((DT631*(Parámetros!$G$86)),2))</f>
        <v/>
      </c>
      <c r="DY631" s="66" t="str">
        <f t="shared" si="898"/>
        <v/>
      </c>
      <c r="DZ631" t="str">
        <f t="shared" si="899"/>
        <v/>
      </c>
      <c r="EA631" s="118" t="str">
        <f t="shared" si="899"/>
        <v/>
      </c>
      <c r="EB631" s="118" t="str">
        <f>+IF($W631="","",ROUND(IF(Parámetros!$D$25='TABLAS MORT'!$V$33,EB630,Z631/2),0))</f>
        <v/>
      </c>
      <c r="EC631" s="118" t="str">
        <f t="shared" si="899"/>
        <v/>
      </c>
      <c r="ED631" s="122" t="str">
        <f>+IF(OR($W631="",EB631=0),"",ROUND((VLOOKUP(ROUNDDOWN($D631-1/frec,0),cob_adi,DO$40,FALSE)*(1+i/frec)^-0.5*(1+Parámetros!$D$103)*(1+rec_fracc)/frec),6))</f>
        <v/>
      </c>
      <c r="EE631" s="66" t="str">
        <f t="shared" si="900"/>
        <v/>
      </c>
      <c r="EF631" s="68" t="str">
        <f t="shared" si="901"/>
        <v/>
      </c>
      <c r="EG631" s="66" t="str">
        <f>+IF($W631="","",ROUND(IF($B631&gt;Parámetros!$D$107,'Tablas Servicio'!EE631+('Tablas Servicio'!EG630-'Tablas Servicio'!EE630),EE631/(1-IF(B631&lt;=10,Parámetros!$D$100,0))),2))</f>
        <v/>
      </c>
      <c r="EH631" s="66" t="str">
        <f t="shared" si="902"/>
        <v/>
      </c>
      <c r="EI631" s="66" t="str">
        <f t="shared" si="902"/>
        <v/>
      </c>
      <c r="EJ631" s="66" t="str">
        <f>+IF($W631="","",ROUND((EG631*Parámetros!$G$85),2))</f>
        <v/>
      </c>
      <c r="EK631" s="66" t="str">
        <f>+IF($W631="","",ROUND((EG631*(Parámetros!$G$86)),2))</f>
        <v/>
      </c>
      <c r="EL631" s="66" t="str">
        <f t="shared" si="903"/>
        <v/>
      </c>
    </row>
    <row r="632" spans="1:142" x14ac:dyDescent="0.25">
      <c r="A632" t="str">
        <f>+IF($C632="","",ROUND(VLOOKUP('Tablas Servicio'!B632,Parámetros!$H$100:$J$159,IF(Parámetros!$E$16="F",2,3),FALSE),2))</f>
        <v/>
      </c>
      <c r="B632" t="str">
        <f t="shared" si="854"/>
        <v/>
      </c>
      <c r="C632" s="57" t="str">
        <f>+IF(D632="","",'Tablas Servicio'!C631+1)</f>
        <v/>
      </c>
      <c r="D632" s="56" t="str">
        <f>+IF(D631&lt;edadmaxtabla,D631+1/Parámetros!$E$25,"")</f>
        <v/>
      </c>
      <c r="E632" s="57" t="str">
        <f t="shared" si="864"/>
        <v/>
      </c>
      <c r="F632" s="59" t="str">
        <f t="shared" si="865"/>
        <v/>
      </c>
      <c r="G632" s="66" t="str">
        <f t="shared" si="855"/>
        <v/>
      </c>
      <c r="H632" s="66" t="str">
        <f t="shared" si="856"/>
        <v/>
      </c>
      <c r="I632" s="66" t="str">
        <f t="shared" si="904"/>
        <v/>
      </c>
      <c r="J632" s="66" t="str">
        <f t="shared" si="857"/>
        <v/>
      </c>
      <c r="K632" s="66" t="str">
        <f t="shared" si="858"/>
        <v/>
      </c>
      <c r="L632" s="66" t="str">
        <f t="shared" si="859"/>
        <v/>
      </c>
      <c r="M632" s="66" t="str">
        <f t="shared" si="860"/>
        <v/>
      </c>
      <c r="N632" s="66" t="str">
        <f>+IF(C632="","",ROUND(Parámetros!$D$23,2))</f>
        <v/>
      </c>
      <c r="O632" s="66" t="str">
        <f t="shared" si="861"/>
        <v/>
      </c>
      <c r="P632" s="66" t="str">
        <f>+IF($C632="","",ROUND(IF(B632&gt;Parámetros!$D$117,0,N632*Parámetros!$D$116-G632*Parámetros!$D$100),2))</f>
        <v/>
      </c>
      <c r="Q632" s="75" t="str">
        <f t="shared" si="905"/>
        <v/>
      </c>
      <c r="R632" s="75" t="str">
        <f t="shared" si="906"/>
        <v/>
      </c>
      <c r="S632" s="117" t="str">
        <f>+IF($C632="","",ROUND((S631+I632)*(1+Parámetros!$D$91),2))</f>
        <v/>
      </c>
      <c r="T632" s="117" t="str">
        <f>+IF($C632="","",ROUND(S632*VLOOKUP(B632,Parámetros!$C$30:$D$39,2,TRUE),2))</f>
        <v/>
      </c>
      <c r="U632" s="117" t="str">
        <f>+IF($C632="","",ROUND((U631+I632)*(1+Parámetros!$D$92),2))</f>
        <v/>
      </c>
      <c r="V632" s="117" t="str">
        <f>+IF($C632="","",ROUND(U632*VLOOKUP(B632,Parámetros!$C$30:$D$39,2,TRUE),2))</f>
        <v/>
      </c>
      <c r="W632" s="57" t="str">
        <f t="shared" si="907"/>
        <v/>
      </c>
      <c r="X632" t="str">
        <f t="shared" si="908"/>
        <v/>
      </c>
      <c r="Y632" t="str">
        <f t="shared" si="909"/>
        <v/>
      </c>
      <c r="Z632" s="118" t="str">
        <f>+IF($W632="","",ROUND(IF(Parámetros!$D$25='TABLAS MORT'!$V$33,Z631,Parámetros!$D$21-'Tablas Servicio'!T631),0))</f>
        <v/>
      </c>
      <c r="AA632" s="118" t="str">
        <f t="shared" si="910"/>
        <v/>
      </c>
      <c r="AB632" s="119" t="str">
        <f>+IF(W632="","",ROUND((VLOOKUP(ROUNDDOWN($D632-1/frec,0),qx_tabla,2,FALSE)*(1+i/frec)^-0.5*(1+Parámetros!$D$103)*(1+rec_fracc)/frec),6))</f>
        <v/>
      </c>
      <c r="AC632" s="66" t="str">
        <f t="shared" si="866"/>
        <v/>
      </c>
      <c r="AD632" s="119" t="str">
        <f t="shared" si="862"/>
        <v/>
      </c>
      <c r="AE632" s="66" t="str">
        <f>+IF($W632="","",ROUND(IF($B632&gt;Parámetros!$D$107,'Tablas Servicio'!AC632+('Tablas Servicio'!AG631-'Tablas Servicio'!AC631),AC632/(1-IF(B632&lt;=10,Parámetros!$D$104,Parámetros!$D$105))),2))</f>
        <v/>
      </c>
      <c r="AF632" s="66" t="str">
        <f>+IF($W632="","",ROUND(IF($B632&gt;Parámetros!$D$107,'Tablas Servicio'!AC632+('Tablas Servicio'!AG631-'Tablas Servicio'!AC631),(AC632+$A631/frec)/(1-IF(B632&lt;=Parámetros!$D$117,Parámetros!$D$100,0))),2))</f>
        <v/>
      </c>
      <c r="AG632" s="66" t="str">
        <f t="shared" si="867"/>
        <v/>
      </c>
      <c r="AH632" s="66" t="str">
        <f t="shared" si="868"/>
        <v/>
      </c>
      <c r="AI632" s="66" t="str">
        <f t="shared" si="869"/>
        <v/>
      </c>
      <c r="AJ632" s="66" t="str">
        <f>+IF($W632="","",ROUND((AG632*Parámetros!$G$85),2))</f>
        <v/>
      </c>
      <c r="AK632" s="66" t="str">
        <f>+IF($W632="","",ROUND((AG632*(Parámetros!$G$86)),2))</f>
        <v/>
      </c>
      <c r="AL632" s="66" t="str">
        <f t="shared" si="863"/>
        <v/>
      </c>
      <c r="AM632" t="str">
        <f t="shared" si="911"/>
        <v/>
      </c>
      <c r="AN632" t="str">
        <f t="shared" si="912"/>
        <v/>
      </c>
      <c r="AO632" s="118" t="str">
        <f t="shared" si="913"/>
        <v/>
      </c>
      <c r="AP632" s="118" t="str">
        <f t="shared" si="914"/>
        <v/>
      </c>
      <c r="AQ632" s="119" t="str">
        <f>+IF(OR($W632="",AO632=0),"",ROUND((VLOOKUP(ROUNDDOWN($D632-1/frec,0),cob_adi,Z$40,FALSE)*(1+i/frec)^-0.5*(1+Parámetros!$D$103)*(1+rec_fracc)/frec),6))</f>
        <v/>
      </c>
      <c r="AR632" s="66" t="str">
        <f t="shared" si="870"/>
        <v/>
      </c>
      <c r="AS632" s="119" t="str">
        <f t="shared" si="871"/>
        <v/>
      </c>
      <c r="AT632" s="66" t="str">
        <f>+IF($W632="","",ROUND(IF($B632&gt;Parámetros!$D$107,'Tablas Servicio'!AR632+('Tablas Servicio'!AT631-'Tablas Servicio'!AR631),AR632/(1-IF(B632&lt;=10,Parámetros!$D$100,0))),2))</f>
        <v/>
      </c>
      <c r="AU632" s="66" t="str">
        <f t="shared" si="872"/>
        <v/>
      </c>
      <c r="AV632" s="66" t="str">
        <f t="shared" si="872"/>
        <v/>
      </c>
      <c r="AW632" s="66" t="str">
        <f>+IF($W632="","",ROUND((AT632*Parámetros!$G$85),2))</f>
        <v/>
      </c>
      <c r="AX632" s="66" t="str">
        <f>+IF($W632="","",ROUND((AT632*(Parámetros!$G$86)),2))</f>
        <v/>
      </c>
      <c r="AY632" s="66" t="str">
        <f t="shared" si="873"/>
        <v/>
      </c>
      <c r="AZ632" t="str">
        <f t="shared" si="915"/>
        <v/>
      </c>
      <c r="BA632" t="str">
        <f t="shared" si="916"/>
        <v/>
      </c>
      <c r="BB632" s="118" t="str">
        <f t="shared" si="917"/>
        <v/>
      </c>
      <c r="BC632" s="118" t="str">
        <f t="shared" si="918"/>
        <v/>
      </c>
      <c r="BD632" s="119" t="str">
        <f>+IF(OR($W632="",BB632=0),"",ROUND((VLOOKUP(ROUNDDOWN($D632-1/frec,0),cob_adi,AO$40,FALSE)*(1+i/frec)^-0.5*(1+Parámetros!$D$103)*(1+rec_fracc)/frec),6))</f>
        <v/>
      </c>
      <c r="BE632" s="66" t="str">
        <f t="shared" si="874"/>
        <v/>
      </c>
      <c r="BF632" s="119" t="str">
        <f t="shared" si="875"/>
        <v/>
      </c>
      <c r="BG632" s="66" t="str">
        <f>+IF($W632="","",ROUND(IF($B632&gt;Parámetros!$D$107,'Tablas Servicio'!BE632+('Tablas Servicio'!BG631-'Tablas Servicio'!BE631),BE632/(1-IF(B632&lt;=10,Parámetros!$D$100,0))),2))</f>
        <v/>
      </c>
      <c r="BH632" s="66" t="str">
        <f t="shared" si="876"/>
        <v/>
      </c>
      <c r="BI632" s="66" t="str">
        <f t="shared" si="877"/>
        <v/>
      </c>
      <c r="BJ632" s="66" t="str">
        <f>+IF($W632="","",ROUND((BG632*Parámetros!$G$85),2))</f>
        <v/>
      </c>
      <c r="BK632" s="66" t="str">
        <f>+IF($W632="","",ROUND((BG632*(Parámetros!$G$86)),2))</f>
        <v/>
      </c>
      <c r="BL632" s="66" t="str">
        <f t="shared" si="878"/>
        <v/>
      </c>
      <c r="BM632" t="str">
        <f t="shared" si="919"/>
        <v/>
      </c>
      <c r="BN632" t="str">
        <f t="shared" si="920"/>
        <v/>
      </c>
      <c r="BO632" s="118" t="str">
        <f t="shared" si="921"/>
        <v/>
      </c>
      <c r="BP632" s="118" t="str">
        <f t="shared" si="922"/>
        <v/>
      </c>
      <c r="BQ632" s="119" t="str">
        <f>+IF(OR($W632="",BO632=0),"",ROUND((VLOOKUP(ROUNDDOWN($D632-1/frec,0),cob_adi,BB$40,FALSE)*(1+i/frec)^-0.5*(1+Parámetros!$D$103)*(1+rec_fracc)/frec),6))</f>
        <v/>
      </c>
      <c r="BR632" s="66" t="str">
        <f t="shared" si="879"/>
        <v/>
      </c>
      <c r="BS632" s="119" t="str">
        <f t="shared" si="880"/>
        <v/>
      </c>
      <c r="BT632" s="66" t="str">
        <f>+IF($W632="","",ROUND(IF($B632&gt;Parámetros!$D$107,'Tablas Servicio'!BR632+('Tablas Servicio'!BT631-'Tablas Servicio'!BR631),BR632/(1-IF(B632&lt;=10,Parámetros!$D$100,0))),2))</f>
        <v/>
      </c>
      <c r="BU632" s="66" t="str">
        <f t="shared" si="881"/>
        <v/>
      </c>
      <c r="BV632" s="66" t="str">
        <f t="shared" si="881"/>
        <v/>
      </c>
      <c r="BW632" s="66" t="str">
        <f>+IF($W632="","",ROUND((BT632*Parámetros!$G$85),2))</f>
        <v/>
      </c>
      <c r="BX632" s="66" t="str">
        <f>+IF($W632="","",ROUND((BT632*(Parámetros!$G$86)),2))</f>
        <v/>
      </c>
      <c r="BY632" s="66" t="str">
        <f t="shared" si="882"/>
        <v/>
      </c>
      <c r="BZ632" t="str">
        <f t="shared" si="923"/>
        <v/>
      </c>
      <c r="CA632" t="str">
        <f t="shared" si="924"/>
        <v/>
      </c>
      <c r="CB632" s="118" t="str">
        <f t="shared" si="925"/>
        <v/>
      </c>
      <c r="CC632" s="118" t="str">
        <f t="shared" si="926"/>
        <v/>
      </c>
      <c r="CD632" s="119" t="str">
        <f t="shared" si="883"/>
        <v/>
      </c>
      <c r="CE632" s="66" t="str">
        <f>+IF($W632="","",ROUND((VLOOKUP(ROUNDDOWN($D632-1/frec,0),cob_adi,BO$40,FALSE)*(1+i/frec)^-0.5*(1+Parámetros!$D$103)*(1+rec_fracc)/frec*'TABLAS ADI'!$BC$17),2))</f>
        <v/>
      </c>
      <c r="CF632" s="119" t="str">
        <f t="shared" si="884"/>
        <v/>
      </c>
      <c r="CG632" s="66" t="str">
        <f>+IF($W632="","",ROUND(IF($B632&gt;Parámetros!$D$107,'Tablas Servicio'!CE632+('Tablas Servicio'!CG631-'Tablas Servicio'!CE631),CE632/(1-IF(B632&lt;=10,Parámetros!$D$100,0))),2))</f>
        <v/>
      </c>
      <c r="CH632" s="66" t="str">
        <f t="shared" si="885"/>
        <v/>
      </c>
      <c r="CI632" s="66" t="str">
        <f t="shared" si="885"/>
        <v/>
      </c>
      <c r="CJ632" s="66" t="str">
        <f>+IF($W632="","",ROUND((CG632*Parámetros!$G$85),2))</f>
        <v/>
      </c>
      <c r="CK632" s="66" t="str">
        <f>+IF($W632="","",ROUND((CG632*(Parámetros!$G$86)),2))</f>
        <v/>
      </c>
      <c r="CL632" s="66" t="str">
        <f t="shared" si="886"/>
        <v/>
      </c>
      <c r="CM632" t="str">
        <f t="shared" si="927"/>
        <v/>
      </c>
      <c r="CN632" s="118" t="str">
        <f t="shared" si="928"/>
        <v/>
      </c>
      <c r="CO632" s="118" t="str">
        <f t="shared" si="929"/>
        <v/>
      </c>
      <c r="CP632" s="118" t="str">
        <f t="shared" si="930"/>
        <v/>
      </c>
      <c r="CQ632" s="119" t="str">
        <f t="shared" si="887"/>
        <v/>
      </c>
      <c r="CR632" s="66" t="str">
        <f>+IF($W632="","",ROUND((VLOOKUP(Parámetros!$F$51,'COBERTURAS ADICIONALES'!$S$4:$T$32,2,FALSE)*(1+i/frec)^-0.5*(1+Parámetros!$D$103)*(1+rec_fracc)/frec*$CO$42),2))</f>
        <v/>
      </c>
      <c r="CS632" s="119" t="str">
        <f t="shared" si="888"/>
        <v/>
      </c>
      <c r="CT632" s="66" t="str">
        <f>+IF($W632="","",ROUND(IF($B632&gt;Parámetros!$D$107,'Tablas Servicio'!CR632+('Tablas Servicio'!CT631-'Tablas Servicio'!CR631),CR632/(1-IF(B632&lt;=10,Parámetros!$D$100,0))),2))</f>
        <v/>
      </c>
      <c r="CU632" s="66" t="str">
        <f t="shared" si="889"/>
        <v/>
      </c>
      <c r="CV632" s="66" t="str">
        <f t="shared" si="889"/>
        <v/>
      </c>
      <c r="CW632" s="66" t="str">
        <f>+IF($W632="","",ROUND((CT632*Parámetros!$G$85),2))</f>
        <v/>
      </c>
      <c r="CX632" s="66" t="str">
        <f>+IF($W632="","",ROUND((CT632*(Parámetros!$G$86)),2))</f>
        <v/>
      </c>
      <c r="CY632" s="66" t="str">
        <f t="shared" si="890"/>
        <v/>
      </c>
      <c r="CZ632" t="str">
        <f t="shared" si="931"/>
        <v/>
      </c>
      <c r="DA632" s="118" t="str">
        <f t="shared" si="932"/>
        <v/>
      </c>
      <c r="DB632" s="118" t="str">
        <f t="shared" si="933"/>
        <v/>
      </c>
      <c r="DC632" s="118" t="str">
        <f t="shared" si="934"/>
        <v/>
      </c>
      <c r="DD632" s="121" t="str">
        <f>+IF(OR($W632="",DB632=0),"",ROUND((VLOOKUP(ROUNDDOWN($D632-1/frec,0),cob_adi,CO$40,FALSE)*(1+i/frec)^-0.5*(1+Parámetros!$D$103)*(1+rec_fracc)/frec),6))</f>
        <v/>
      </c>
      <c r="DE632" s="66" t="str">
        <f t="shared" si="891"/>
        <v/>
      </c>
      <c r="DF632" s="119" t="str">
        <f t="shared" si="892"/>
        <v/>
      </c>
      <c r="DG632" s="66" t="str">
        <f>+IF($W632="","",ROUND(IF($B632&gt;Parámetros!$D$107,'Tablas Servicio'!DE632+('Tablas Servicio'!DG631-'Tablas Servicio'!DE631),DE632/(1-IF(B632&lt;=10,Parámetros!$D$100,0))),2))</f>
        <v/>
      </c>
      <c r="DH632" s="66" t="str">
        <f t="shared" si="893"/>
        <v/>
      </c>
      <c r="DI632" s="66" t="str">
        <f t="shared" si="893"/>
        <v/>
      </c>
      <c r="DJ632" s="66" t="str">
        <f>+IF($W632="","",ROUND((DG632*Parámetros!$G$85),2))</f>
        <v/>
      </c>
      <c r="DK632" s="66" t="str">
        <f>+IF($W632="","",ROUND((DG632*(Parámetros!$G$86)),2))</f>
        <v/>
      </c>
      <c r="DL632" s="66" t="str">
        <f t="shared" si="894"/>
        <v/>
      </c>
      <c r="DM632" t="str">
        <f t="shared" si="935"/>
        <v/>
      </c>
      <c r="DN632" s="118" t="str">
        <f t="shared" si="936"/>
        <v/>
      </c>
      <c r="DO632" s="118" t="str">
        <f t="shared" si="937"/>
        <v/>
      </c>
      <c r="DP632" s="118" t="str">
        <f t="shared" si="938"/>
        <v/>
      </c>
      <c r="DQ632" s="122" t="str">
        <f>+IF(OR($W632="",DO632=0),"",ROUND((VLOOKUP(ROUNDDOWN($D632-1/frec,0),cob_adi,DB$40,FALSE)*(1+i/frec)^-0.5*(1+Parámetros!$D$103)*(1+rec_fracc)/frec),6))</f>
        <v/>
      </c>
      <c r="DR632" s="66" t="str">
        <f t="shared" si="895"/>
        <v/>
      </c>
      <c r="DS632" s="68" t="str">
        <f t="shared" si="896"/>
        <v/>
      </c>
      <c r="DT632" s="66" t="str">
        <f>+IF($W632="","",ROUND(IF($B632&gt;Parámetros!$D$107,'Tablas Servicio'!DR632+('Tablas Servicio'!DT631-'Tablas Servicio'!DR631),DR632/(1-IF(B632&lt;=10,Parámetros!$D$100,0))),2))</f>
        <v/>
      </c>
      <c r="DU632" s="66" t="str">
        <f t="shared" si="897"/>
        <v/>
      </c>
      <c r="DV632" s="66" t="str">
        <f t="shared" si="897"/>
        <v/>
      </c>
      <c r="DW632" s="66" t="str">
        <f>+IF($W632="","",ROUND((DT632*Parámetros!$G$85),2))</f>
        <v/>
      </c>
      <c r="DX632" s="66" t="str">
        <f>+IF($W632="","",ROUND((DT632*(Parámetros!$G$86)),2))</f>
        <v/>
      </c>
      <c r="DY632" s="66" t="str">
        <f t="shared" si="898"/>
        <v/>
      </c>
      <c r="DZ632" t="str">
        <f t="shared" si="899"/>
        <v/>
      </c>
      <c r="EA632" s="118" t="str">
        <f t="shared" si="899"/>
        <v/>
      </c>
      <c r="EB632" s="118" t="str">
        <f>+IF($W632="","",ROUND(IF(Parámetros!$D$25='TABLAS MORT'!$V$33,EB631,Z632/2),0))</f>
        <v/>
      </c>
      <c r="EC632" s="118" t="str">
        <f t="shared" si="899"/>
        <v/>
      </c>
      <c r="ED632" s="122" t="str">
        <f>+IF(OR($W632="",EB632=0),"",ROUND((VLOOKUP(ROUNDDOWN($D632-1/frec,0),cob_adi,DO$40,FALSE)*(1+i/frec)^-0.5*(1+Parámetros!$D$103)*(1+rec_fracc)/frec),6))</f>
        <v/>
      </c>
      <c r="EE632" s="66" t="str">
        <f t="shared" si="900"/>
        <v/>
      </c>
      <c r="EF632" s="68" t="str">
        <f t="shared" si="901"/>
        <v/>
      </c>
      <c r="EG632" s="66" t="str">
        <f>+IF($W632="","",ROUND(IF($B632&gt;Parámetros!$D$107,'Tablas Servicio'!EE632+('Tablas Servicio'!EG631-'Tablas Servicio'!EE631),EE632/(1-IF(B632&lt;=10,Parámetros!$D$100,0))),2))</f>
        <v/>
      </c>
      <c r="EH632" s="66" t="str">
        <f t="shared" si="902"/>
        <v/>
      </c>
      <c r="EI632" s="66" t="str">
        <f t="shared" si="902"/>
        <v/>
      </c>
      <c r="EJ632" s="66" t="str">
        <f>+IF($W632="","",ROUND((EG632*Parámetros!$G$85),2))</f>
        <v/>
      </c>
      <c r="EK632" s="66" t="str">
        <f>+IF($W632="","",ROUND((EG632*(Parámetros!$G$86)),2))</f>
        <v/>
      </c>
      <c r="EL632" s="66" t="str">
        <f t="shared" si="903"/>
        <v/>
      </c>
    </row>
    <row r="633" spans="1:142" x14ac:dyDescent="0.25">
      <c r="A633" t="str">
        <f>+IF($C633="","",ROUND(VLOOKUP('Tablas Servicio'!B633,Parámetros!$H$100:$J$159,IF(Parámetros!$E$16="F",2,3),FALSE),2))</f>
        <v/>
      </c>
      <c r="B633" t="str">
        <f t="shared" si="854"/>
        <v/>
      </c>
      <c r="C633" s="57" t="str">
        <f>+IF(D633="","",'Tablas Servicio'!C632+1)</f>
        <v/>
      </c>
      <c r="D633" s="56" t="str">
        <f>+IF(D632&lt;edadmaxtabla,D632+1/Parámetros!$E$25,"")</f>
        <v/>
      </c>
      <c r="E633" s="57" t="str">
        <f t="shared" si="864"/>
        <v/>
      </c>
      <c r="F633" s="59" t="str">
        <f t="shared" si="865"/>
        <v/>
      </c>
      <c r="G633" s="66" t="str">
        <f t="shared" si="855"/>
        <v/>
      </c>
      <c r="H633" s="66" t="str">
        <f t="shared" si="856"/>
        <v/>
      </c>
      <c r="I633" s="66" t="str">
        <f t="shared" si="904"/>
        <v/>
      </c>
      <c r="J633" s="66" t="str">
        <f t="shared" si="857"/>
        <v/>
      </c>
      <c r="K633" s="66" t="str">
        <f t="shared" si="858"/>
        <v/>
      </c>
      <c r="L633" s="66" t="str">
        <f t="shared" si="859"/>
        <v/>
      </c>
      <c r="M633" s="66" t="str">
        <f t="shared" si="860"/>
        <v/>
      </c>
      <c r="N633" s="66" t="str">
        <f>+IF(C633="","",ROUND(Parámetros!$D$23,2))</f>
        <v/>
      </c>
      <c r="O633" s="66" t="str">
        <f t="shared" si="861"/>
        <v/>
      </c>
      <c r="P633" s="66" t="str">
        <f>+IF($C633="","",ROUND(IF(B633&gt;Parámetros!$D$117,0,N633*Parámetros!$D$116-G633*Parámetros!$D$100),2))</f>
        <v/>
      </c>
      <c r="Q633" s="75" t="str">
        <f t="shared" si="905"/>
        <v/>
      </c>
      <c r="R633" s="75" t="str">
        <f t="shared" si="906"/>
        <v/>
      </c>
      <c r="S633" s="117" t="str">
        <f>+IF($C633="","",ROUND((S632+I633)*(1+Parámetros!$D$91),2))</f>
        <v/>
      </c>
      <c r="T633" s="117" t="str">
        <f>+IF($C633="","",ROUND(S633*VLOOKUP(B633,Parámetros!$C$30:$D$39,2,TRUE),2))</f>
        <v/>
      </c>
      <c r="U633" s="117" t="str">
        <f>+IF($C633="","",ROUND((U632+I633)*(1+Parámetros!$D$92),2))</f>
        <v/>
      </c>
      <c r="V633" s="117" t="str">
        <f>+IF($C633="","",ROUND(U633*VLOOKUP(B633,Parámetros!$C$30:$D$39,2,TRUE),2))</f>
        <v/>
      </c>
      <c r="W633" s="57" t="str">
        <f t="shared" si="907"/>
        <v/>
      </c>
      <c r="X633" t="str">
        <f t="shared" si="908"/>
        <v/>
      </c>
      <c r="Y633" t="str">
        <f t="shared" si="909"/>
        <v/>
      </c>
      <c r="Z633" s="118" t="str">
        <f>+IF($W633="","",ROUND(IF(Parámetros!$D$25='TABLAS MORT'!$V$33,Z632,Parámetros!$D$21-'Tablas Servicio'!T632),0))</f>
        <v/>
      </c>
      <c r="AA633" s="118" t="str">
        <f t="shared" si="910"/>
        <v/>
      </c>
      <c r="AB633" s="119" t="str">
        <f>+IF(W633="","",ROUND((VLOOKUP(ROUNDDOWN($D633-1/frec,0),qx_tabla,2,FALSE)*(1+i/frec)^-0.5*(1+Parámetros!$D$103)*(1+rec_fracc)/frec),6))</f>
        <v/>
      </c>
      <c r="AC633" s="66" t="str">
        <f t="shared" si="866"/>
        <v/>
      </c>
      <c r="AD633" s="119" t="str">
        <f t="shared" si="862"/>
        <v/>
      </c>
      <c r="AE633" s="66" t="str">
        <f>+IF($W633="","",ROUND(IF($B633&gt;Parámetros!$D$107,'Tablas Servicio'!AC633+('Tablas Servicio'!AG632-'Tablas Servicio'!AC632),AC633/(1-IF(B633&lt;=10,Parámetros!$D$104,Parámetros!$D$105))),2))</f>
        <v/>
      </c>
      <c r="AF633" s="66" t="str">
        <f>+IF($W633="","",ROUND(IF($B633&gt;Parámetros!$D$107,'Tablas Servicio'!AC633+('Tablas Servicio'!AG632-'Tablas Servicio'!AC632),(AC633+$A632/frec)/(1-IF(B633&lt;=Parámetros!$D$117,Parámetros!$D$100,0))),2))</f>
        <v/>
      </c>
      <c r="AG633" s="66" t="str">
        <f t="shared" si="867"/>
        <v/>
      </c>
      <c r="AH633" s="66" t="str">
        <f t="shared" si="868"/>
        <v/>
      </c>
      <c r="AI633" s="66" t="str">
        <f t="shared" si="869"/>
        <v/>
      </c>
      <c r="AJ633" s="66" t="str">
        <f>+IF($W633="","",ROUND((AG633*Parámetros!$G$85),2))</f>
        <v/>
      </c>
      <c r="AK633" s="66" t="str">
        <f>+IF($W633="","",ROUND((AG633*(Parámetros!$G$86)),2))</f>
        <v/>
      </c>
      <c r="AL633" s="66" t="str">
        <f t="shared" si="863"/>
        <v/>
      </c>
      <c r="AM633" t="str">
        <f t="shared" si="911"/>
        <v/>
      </c>
      <c r="AN633" t="str">
        <f t="shared" si="912"/>
        <v/>
      </c>
      <c r="AO633" s="118" t="str">
        <f t="shared" si="913"/>
        <v/>
      </c>
      <c r="AP633" s="118" t="str">
        <f t="shared" si="914"/>
        <v/>
      </c>
      <c r="AQ633" s="119" t="str">
        <f>+IF(OR($W633="",AO633=0),"",ROUND((VLOOKUP(ROUNDDOWN($D633-1/frec,0),cob_adi,Z$40,FALSE)*(1+i/frec)^-0.5*(1+Parámetros!$D$103)*(1+rec_fracc)/frec),6))</f>
        <v/>
      </c>
      <c r="AR633" s="66" t="str">
        <f t="shared" si="870"/>
        <v/>
      </c>
      <c r="AS633" s="119" t="str">
        <f t="shared" si="871"/>
        <v/>
      </c>
      <c r="AT633" s="66" t="str">
        <f>+IF($W633="","",ROUND(IF($B633&gt;Parámetros!$D$107,'Tablas Servicio'!AR633+('Tablas Servicio'!AT632-'Tablas Servicio'!AR632),AR633/(1-IF(B633&lt;=10,Parámetros!$D$100,0))),2))</f>
        <v/>
      </c>
      <c r="AU633" s="66" t="str">
        <f t="shared" si="872"/>
        <v/>
      </c>
      <c r="AV633" s="66" t="str">
        <f t="shared" si="872"/>
        <v/>
      </c>
      <c r="AW633" s="66" t="str">
        <f>+IF($W633="","",ROUND((AT633*Parámetros!$G$85),2))</f>
        <v/>
      </c>
      <c r="AX633" s="66" t="str">
        <f>+IF($W633="","",ROUND((AT633*(Parámetros!$G$86)),2))</f>
        <v/>
      </c>
      <c r="AY633" s="66" t="str">
        <f t="shared" si="873"/>
        <v/>
      </c>
      <c r="AZ633" t="str">
        <f t="shared" si="915"/>
        <v/>
      </c>
      <c r="BA633" t="str">
        <f t="shared" si="916"/>
        <v/>
      </c>
      <c r="BB633" s="118" t="str">
        <f t="shared" si="917"/>
        <v/>
      </c>
      <c r="BC633" s="118" t="str">
        <f t="shared" si="918"/>
        <v/>
      </c>
      <c r="BD633" s="119" t="str">
        <f>+IF(OR($W633="",BB633=0),"",ROUND((VLOOKUP(ROUNDDOWN($D633-1/frec,0),cob_adi,AO$40,FALSE)*(1+i/frec)^-0.5*(1+Parámetros!$D$103)*(1+rec_fracc)/frec),6))</f>
        <v/>
      </c>
      <c r="BE633" s="66" t="str">
        <f t="shared" si="874"/>
        <v/>
      </c>
      <c r="BF633" s="119" t="str">
        <f t="shared" si="875"/>
        <v/>
      </c>
      <c r="BG633" s="66" t="str">
        <f>+IF($W633="","",ROUND(IF($B633&gt;Parámetros!$D$107,'Tablas Servicio'!BE633+('Tablas Servicio'!BG632-'Tablas Servicio'!BE632),BE633/(1-IF(B633&lt;=10,Parámetros!$D$100,0))),2))</f>
        <v/>
      </c>
      <c r="BH633" s="66" t="str">
        <f t="shared" si="876"/>
        <v/>
      </c>
      <c r="BI633" s="66" t="str">
        <f t="shared" si="877"/>
        <v/>
      </c>
      <c r="BJ633" s="66" t="str">
        <f>+IF($W633="","",ROUND((BG633*Parámetros!$G$85),2))</f>
        <v/>
      </c>
      <c r="BK633" s="66" t="str">
        <f>+IF($W633="","",ROUND((BG633*(Parámetros!$G$86)),2))</f>
        <v/>
      </c>
      <c r="BL633" s="66" t="str">
        <f t="shared" si="878"/>
        <v/>
      </c>
      <c r="BM633" t="str">
        <f t="shared" si="919"/>
        <v/>
      </c>
      <c r="BN633" t="str">
        <f t="shared" si="920"/>
        <v/>
      </c>
      <c r="BO633" s="118" t="str">
        <f t="shared" si="921"/>
        <v/>
      </c>
      <c r="BP633" s="118" t="str">
        <f t="shared" si="922"/>
        <v/>
      </c>
      <c r="BQ633" s="119" t="str">
        <f>+IF(OR($W633="",BO633=0),"",ROUND((VLOOKUP(ROUNDDOWN($D633-1/frec,0),cob_adi,BB$40,FALSE)*(1+i/frec)^-0.5*(1+Parámetros!$D$103)*(1+rec_fracc)/frec),6))</f>
        <v/>
      </c>
      <c r="BR633" s="66" t="str">
        <f t="shared" si="879"/>
        <v/>
      </c>
      <c r="BS633" s="119" t="str">
        <f t="shared" si="880"/>
        <v/>
      </c>
      <c r="BT633" s="66" t="str">
        <f>+IF($W633="","",ROUND(IF($B633&gt;Parámetros!$D$107,'Tablas Servicio'!BR633+('Tablas Servicio'!BT632-'Tablas Servicio'!BR632),BR633/(1-IF(B633&lt;=10,Parámetros!$D$100,0))),2))</f>
        <v/>
      </c>
      <c r="BU633" s="66" t="str">
        <f t="shared" si="881"/>
        <v/>
      </c>
      <c r="BV633" s="66" t="str">
        <f t="shared" si="881"/>
        <v/>
      </c>
      <c r="BW633" s="66" t="str">
        <f>+IF($W633="","",ROUND((BT633*Parámetros!$G$85),2))</f>
        <v/>
      </c>
      <c r="BX633" s="66" t="str">
        <f>+IF($W633="","",ROUND((BT633*(Parámetros!$G$86)),2))</f>
        <v/>
      </c>
      <c r="BY633" s="66" t="str">
        <f t="shared" si="882"/>
        <v/>
      </c>
      <c r="BZ633" t="str">
        <f t="shared" si="923"/>
        <v/>
      </c>
      <c r="CA633" t="str">
        <f t="shared" si="924"/>
        <v/>
      </c>
      <c r="CB633" s="118" t="str">
        <f t="shared" si="925"/>
        <v/>
      </c>
      <c r="CC633" s="118" t="str">
        <f t="shared" si="926"/>
        <v/>
      </c>
      <c r="CD633" s="119" t="str">
        <f t="shared" si="883"/>
        <v/>
      </c>
      <c r="CE633" s="66" t="str">
        <f>+IF($W633="","",ROUND((VLOOKUP(ROUNDDOWN($D633-1/frec,0),cob_adi,BO$40,FALSE)*(1+i/frec)^-0.5*(1+Parámetros!$D$103)*(1+rec_fracc)/frec*'TABLAS ADI'!$BC$17),2))</f>
        <v/>
      </c>
      <c r="CF633" s="119" t="str">
        <f t="shared" si="884"/>
        <v/>
      </c>
      <c r="CG633" s="66" t="str">
        <f>+IF($W633="","",ROUND(IF($B633&gt;Parámetros!$D$107,'Tablas Servicio'!CE633+('Tablas Servicio'!CG632-'Tablas Servicio'!CE632),CE633/(1-IF(B633&lt;=10,Parámetros!$D$100,0))),2))</f>
        <v/>
      </c>
      <c r="CH633" s="66" t="str">
        <f t="shared" si="885"/>
        <v/>
      </c>
      <c r="CI633" s="66" t="str">
        <f t="shared" si="885"/>
        <v/>
      </c>
      <c r="CJ633" s="66" t="str">
        <f>+IF($W633="","",ROUND((CG633*Parámetros!$G$85),2))</f>
        <v/>
      </c>
      <c r="CK633" s="66" t="str">
        <f>+IF($W633="","",ROUND((CG633*(Parámetros!$G$86)),2))</f>
        <v/>
      </c>
      <c r="CL633" s="66" t="str">
        <f t="shared" si="886"/>
        <v/>
      </c>
      <c r="CM633" t="str">
        <f t="shared" si="927"/>
        <v/>
      </c>
      <c r="CN633" s="118" t="str">
        <f t="shared" si="928"/>
        <v/>
      </c>
      <c r="CO633" s="118" t="str">
        <f t="shared" si="929"/>
        <v/>
      </c>
      <c r="CP633" s="118" t="str">
        <f t="shared" si="930"/>
        <v/>
      </c>
      <c r="CQ633" s="119" t="str">
        <f t="shared" si="887"/>
        <v/>
      </c>
      <c r="CR633" s="66" t="str">
        <f>+IF($W633="","",ROUND((VLOOKUP(Parámetros!$F$51,'COBERTURAS ADICIONALES'!$S$4:$T$32,2,FALSE)*(1+i/frec)^-0.5*(1+Parámetros!$D$103)*(1+rec_fracc)/frec*$CO$42),2))</f>
        <v/>
      </c>
      <c r="CS633" s="119" t="str">
        <f t="shared" si="888"/>
        <v/>
      </c>
      <c r="CT633" s="66" t="str">
        <f>+IF($W633="","",ROUND(IF($B633&gt;Parámetros!$D$107,'Tablas Servicio'!CR633+('Tablas Servicio'!CT632-'Tablas Servicio'!CR632),CR633/(1-IF(B633&lt;=10,Parámetros!$D$100,0))),2))</f>
        <v/>
      </c>
      <c r="CU633" s="66" t="str">
        <f t="shared" si="889"/>
        <v/>
      </c>
      <c r="CV633" s="66" t="str">
        <f t="shared" si="889"/>
        <v/>
      </c>
      <c r="CW633" s="66" t="str">
        <f>+IF($W633="","",ROUND((CT633*Parámetros!$G$85),2))</f>
        <v/>
      </c>
      <c r="CX633" s="66" t="str">
        <f>+IF($W633="","",ROUND((CT633*(Parámetros!$G$86)),2))</f>
        <v/>
      </c>
      <c r="CY633" s="66" t="str">
        <f t="shared" si="890"/>
        <v/>
      </c>
      <c r="CZ633" t="str">
        <f t="shared" si="931"/>
        <v/>
      </c>
      <c r="DA633" s="118" t="str">
        <f t="shared" si="932"/>
        <v/>
      </c>
      <c r="DB633" s="118" t="str">
        <f t="shared" si="933"/>
        <v/>
      </c>
      <c r="DC633" s="118" t="str">
        <f t="shared" si="934"/>
        <v/>
      </c>
      <c r="DD633" s="121" t="str">
        <f>+IF(OR($W633="",DB633=0),"",ROUND((VLOOKUP(ROUNDDOWN($D633-1/frec,0),cob_adi,CO$40,FALSE)*(1+i/frec)^-0.5*(1+Parámetros!$D$103)*(1+rec_fracc)/frec),6))</f>
        <v/>
      </c>
      <c r="DE633" s="66" t="str">
        <f t="shared" si="891"/>
        <v/>
      </c>
      <c r="DF633" s="119" t="str">
        <f t="shared" si="892"/>
        <v/>
      </c>
      <c r="DG633" s="66" t="str">
        <f>+IF($W633="","",ROUND(IF($B633&gt;Parámetros!$D$107,'Tablas Servicio'!DE633+('Tablas Servicio'!DG632-'Tablas Servicio'!DE632),DE633/(1-IF(B633&lt;=10,Parámetros!$D$100,0))),2))</f>
        <v/>
      </c>
      <c r="DH633" s="66" t="str">
        <f t="shared" si="893"/>
        <v/>
      </c>
      <c r="DI633" s="66" t="str">
        <f t="shared" si="893"/>
        <v/>
      </c>
      <c r="DJ633" s="66" t="str">
        <f>+IF($W633="","",ROUND((DG633*Parámetros!$G$85),2))</f>
        <v/>
      </c>
      <c r="DK633" s="66" t="str">
        <f>+IF($W633="","",ROUND((DG633*(Parámetros!$G$86)),2))</f>
        <v/>
      </c>
      <c r="DL633" s="66" t="str">
        <f t="shared" si="894"/>
        <v/>
      </c>
      <c r="DM633" t="str">
        <f t="shared" si="935"/>
        <v/>
      </c>
      <c r="DN633" s="118" t="str">
        <f t="shared" si="936"/>
        <v/>
      </c>
      <c r="DO633" s="118" t="str">
        <f t="shared" si="937"/>
        <v/>
      </c>
      <c r="DP633" s="118" t="str">
        <f t="shared" si="938"/>
        <v/>
      </c>
      <c r="DQ633" s="122" t="str">
        <f>+IF(OR($W633="",DO633=0),"",ROUND((VLOOKUP(ROUNDDOWN($D633-1/frec,0),cob_adi,DB$40,FALSE)*(1+i/frec)^-0.5*(1+Parámetros!$D$103)*(1+rec_fracc)/frec),6))</f>
        <v/>
      </c>
      <c r="DR633" s="66" t="str">
        <f t="shared" si="895"/>
        <v/>
      </c>
      <c r="DS633" s="68" t="str">
        <f t="shared" si="896"/>
        <v/>
      </c>
      <c r="DT633" s="66" t="str">
        <f>+IF($W633="","",ROUND(IF($B633&gt;Parámetros!$D$107,'Tablas Servicio'!DR633+('Tablas Servicio'!DT632-'Tablas Servicio'!DR632),DR633/(1-IF(B633&lt;=10,Parámetros!$D$100,0))),2))</f>
        <v/>
      </c>
      <c r="DU633" s="66" t="str">
        <f t="shared" si="897"/>
        <v/>
      </c>
      <c r="DV633" s="66" t="str">
        <f t="shared" si="897"/>
        <v/>
      </c>
      <c r="DW633" s="66" t="str">
        <f>+IF($W633="","",ROUND((DT633*Parámetros!$G$85),2))</f>
        <v/>
      </c>
      <c r="DX633" s="66" t="str">
        <f>+IF($W633="","",ROUND((DT633*(Parámetros!$G$86)),2))</f>
        <v/>
      </c>
      <c r="DY633" s="66" t="str">
        <f t="shared" si="898"/>
        <v/>
      </c>
      <c r="DZ633" t="str">
        <f t="shared" si="899"/>
        <v/>
      </c>
      <c r="EA633" s="118" t="str">
        <f t="shared" si="899"/>
        <v/>
      </c>
      <c r="EB633" s="118" t="str">
        <f>+IF($W633="","",ROUND(IF(Parámetros!$D$25='TABLAS MORT'!$V$33,EB632,Z633/2),0))</f>
        <v/>
      </c>
      <c r="EC633" s="118" t="str">
        <f t="shared" si="899"/>
        <v/>
      </c>
      <c r="ED633" s="122" t="str">
        <f>+IF(OR($W633="",EB633=0),"",ROUND((VLOOKUP(ROUNDDOWN($D633-1/frec,0),cob_adi,DO$40,FALSE)*(1+i/frec)^-0.5*(1+Parámetros!$D$103)*(1+rec_fracc)/frec),6))</f>
        <v/>
      </c>
      <c r="EE633" s="66" t="str">
        <f t="shared" si="900"/>
        <v/>
      </c>
      <c r="EF633" s="68" t="str">
        <f t="shared" si="901"/>
        <v/>
      </c>
      <c r="EG633" s="66" t="str">
        <f>+IF($W633="","",ROUND(IF($B633&gt;Parámetros!$D$107,'Tablas Servicio'!EE633+('Tablas Servicio'!EG632-'Tablas Servicio'!EE632),EE633/(1-IF(B633&lt;=10,Parámetros!$D$100,0))),2))</f>
        <v/>
      </c>
      <c r="EH633" s="66" t="str">
        <f t="shared" si="902"/>
        <v/>
      </c>
      <c r="EI633" s="66" t="str">
        <f t="shared" si="902"/>
        <v/>
      </c>
      <c r="EJ633" s="66" t="str">
        <f>+IF($W633="","",ROUND((EG633*Parámetros!$G$85),2))</f>
        <v/>
      </c>
      <c r="EK633" s="66" t="str">
        <f>+IF($W633="","",ROUND((EG633*(Parámetros!$G$86)),2))</f>
        <v/>
      </c>
      <c r="EL633" s="66" t="str">
        <f t="shared" si="903"/>
        <v/>
      </c>
    </row>
    <row r="634" spans="1:142" x14ac:dyDescent="0.25">
      <c r="A634" t="str">
        <f>+IF($C634="","",ROUND(VLOOKUP('Tablas Servicio'!B634,Parámetros!$H$100:$J$159,IF(Parámetros!$E$16="F",2,3),FALSE),2))</f>
        <v/>
      </c>
      <c r="B634" t="str">
        <f t="shared" si="854"/>
        <v/>
      </c>
      <c r="C634" s="57" t="str">
        <f>+IF(D634="","",'Tablas Servicio'!C633+1)</f>
        <v/>
      </c>
      <c r="D634" s="56" t="str">
        <f>+IF(D633&lt;edadmaxtabla,D633+1/Parámetros!$E$25,"")</f>
        <v/>
      </c>
      <c r="E634" s="57" t="str">
        <f t="shared" si="864"/>
        <v/>
      </c>
      <c r="F634" s="59" t="str">
        <f t="shared" si="865"/>
        <v/>
      </c>
      <c r="G634" s="66" t="str">
        <f t="shared" si="855"/>
        <v/>
      </c>
      <c r="H634" s="66" t="str">
        <f t="shared" si="856"/>
        <v/>
      </c>
      <c r="I634" s="66" t="str">
        <f t="shared" si="904"/>
        <v/>
      </c>
      <c r="J634" s="66" t="str">
        <f t="shared" si="857"/>
        <v/>
      </c>
      <c r="K634" s="66" t="str">
        <f t="shared" si="858"/>
        <v/>
      </c>
      <c r="L634" s="66" t="str">
        <f t="shared" si="859"/>
        <v/>
      </c>
      <c r="M634" s="66" t="str">
        <f t="shared" si="860"/>
        <v/>
      </c>
      <c r="N634" s="66" t="str">
        <f>+IF(C634="","",ROUND(Parámetros!$D$23,2))</f>
        <v/>
      </c>
      <c r="O634" s="66" t="str">
        <f t="shared" si="861"/>
        <v/>
      </c>
      <c r="P634" s="66" t="str">
        <f>+IF($C634="","",ROUND(IF(B634&gt;Parámetros!$D$117,0,N634*Parámetros!$D$116-G634*Parámetros!$D$100),2))</f>
        <v/>
      </c>
      <c r="Q634" s="75" t="str">
        <f t="shared" si="905"/>
        <v/>
      </c>
      <c r="R634" s="75" t="str">
        <f t="shared" si="906"/>
        <v/>
      </c>
      <c r="S634" s="117" t="str">
        <f>+IF($C634="","",ROUND((S633+I634)*(1+Parámetros!$D$91),2))</f>
        <v/>
      </c>
      <c r="T634" s="117" t="str">
        <f>+IF($C634="","",ROUND(S634*VLOOKUP(B634,Parámetros!$C$30:$D$39,2,TRUE),2))</f>
        <v/>
      </c>
      <c r="U634" s="117" t="str">
        <f>+IF($C634="","",ROUND((U633+I634)*(1+Parámetros!$D$92),2))</f>
        <v/>
      </c>
      <c r="V634" s="117" t="str">
        <f>+IF($C634="","",ROUND(U634*VLOOKUP(B634,Parámetros!$C$30:$D$39,2,TRUE),2))</f>
        <v/>
      </c>
      <c r="W634" s="57" t="str">
        <f t="shared" si="907"/>
        <v/>
      </c>
      <c r="X634" t="str">
        <f t="shared" si="908"/>
        <v/>
      </c>
      <c r="Y634" t="str">
        <f t="shared" si="909"/>
        <v/>
      </c>
      <c r="Z634" s="118" t="str">
        <f>+IF($W634="","",ROUND(IF(Parámetros!$D$25='TABLAS MORT'!$V$33,Z633,Parámetros!$D$21-'Tablas Servicio'!T633),0))</f>
        <v/>
      </c>
      <c r="AA634" s="118" t="str">
        <f t="shared" si="910"/>
        <v/>
      </c>
      <c r="AB634" s="119" t="str">
        <f>+IF(W634="","",ROUND((VLOOKUP(ROUNDDOWN($D634-1/frec,0),qx_tabla,2,FALSE)*(1+i/frec)^-0.5*(1+Parámetros!$D$103)*(1+rec_fracc)/frec),6))</f>
        <v/>
      </c>
      <c r="AC634" s="66" t="str">
        <f t="shared" si="866"/>
        <v/>
      </c>
      <c r="AD634" s="119" t="str">
        <f t="shared" si="862"/>
        <v/>
      </c>
      <c r="AE634" s="66" t="str">
        <f>+IF($W634="","",ROUND(IF($B634&gt;Parámetros!$D$107,'Tablas Servicio'!AC634+('Tablas Servicio'!AG633-'Tablas Servicio'!AC633),AC634/(1-IF(B634&lt;=10,Parámetros!$D$104,Parámetros!$D$105))),2))</f>
        <v/>
      </c>
      <c r="AF634" s="66" t="str">
        <f>+IF($W634="","",ROUND(IF($B634&gt;Parámetros!$D$107,'Tablas Servicio'!AC634+('Tablas Servicio'!AG633-'Tablas Servicio'!AC633),(AC634+$A633/frec)/(1-IF(B634&lt;=Parámetros!$D$117,Parámetros!$D$100,0))),2))</f>
        <v/>
      </c>
      <c r="AG634" s="66" t="str">
        <f t="shared" si="867"/>
        <v/>
      </c>
      <c r="AH634" s="66" t="str">
        <f t="shared" si="868"/>
        <v/>
      </c>
      <c r="AI634" s="66" t="str">
        <f t="shared" si="869"/>
        <v/>
      </c>
      <c r="AJ634" s="66" t="str">
        <f>+IF($W634="","",ROUND((AG634*Parámetros!$G$85),2))</f>
        <v/>
      </c>
      <c r="AK634" s="66" t="str">
        <f>+IF($W634="","",ROUND((AG634*(Parámetros!$G$86)),2))</f>
        <v/>
      </c>
      <c r="AL634" s="66" t="str">
        <f t="shared" si="863"/>
        <v/>
      </c>
      <c r="AM634" t="str">
        <f t="shared" si="911"/>
        <v/>
      </c>
      <c r="AN634" t="str">
        <f t="shared" si="912"/>
        <v/>
      </c>
      <c r="AO634" s="118" t="str">
        <f t="shared" si="913"/>
        <v/>
      </c>
      <c r="AP634" s="118" t="str">
        <f t="shared" si="914"/>
        <v/>
      </c>
      <c r="AQ634" s="119" t="str">
        <f>+IF(OR($W634="",AO634=0),"",ROUND((VLOOKUP(ROUNDDOWN($D634-1/frec,0),cob_adi,Z$40,FALSE)*(1+i/frec)^-0.5*(1+Parámetros!$D$103)*(1+rec_fracc)/frec),6))</f>
        <v/>
      </c>
      <c r="AR634" s="66" t="str">
        <f t="shared" si="870"/>
        <v/>
      </c>
      <c r="AS634" s="119" t="str">
        <f t="shared" si="871"/>
        <v/>
      </c>
      <c r="AT634" s="66" t="str">
        <f>+IF($W634="","",ROUND(IF($B634&gt;Parámetros!$D$107,'Tablas Servicio'!AR634+('Tablas Servicio'!AT633-'Tablas Servicio'!AR633),AR634/(1-IF(B634&lt;=10,Parámetros!$D$100,0))),2))</f>
        <v/>
      </c>
      <c r="AU634" s="66" t="str">
        <f t="shared" si="872"/>
        <v/>
      </c>
      <c r="AV634" s="66" t="str">
        <f t="shared" si="872"/>
        <v/>
      </c>
      <c r="AW634" s="66" t="str">
        <f>+IF($W634="","",ROUND((AT634*Parámetros!$G$85),2))</f>
        <v/>
      </c>
      <c r="AX634" s="66" t="str">
        <f>+IF($W634="","",ROUND((AT634*(Parámetros!$G$86)),2))</f>
        <v/>
      </c>
      <c r="AY634" s="66" t="str">
        <f t="shared" si="873"/>
        <v/>
      </c>
      <c r="AZ634" t="str">
        <f t="shared" si="915"/>
        <v/>
      </c>
      <c r="BA634" t="str">
        <f t="shared" si="916"/>
        <v/>
      </c>
      <c r="BB634" s="118" t="str">
        <f t="shared" si="917"/>
        <v/>
      </c>
      <c r="BC634" s="118" t="str">
        <f t="shared" si="918"/>
        <v/>
      </c>
      <c r="BD634" s="119" t="str">
        <f>+IF(OR($W634="",BB634=0),"",ROUND((VLOOKUP(ROUNDDOWN($D634-1/frec,0),cob_adi,AO$40,FALSE)*(1+i/frec)^-0.5*(1+Parámetros!$D$103)*(1+rec_fracc)/frec),6))</f>
        <v/>
      </c>
      <c r="BE634" s="66" t="str">
        <f t="shared" si="874"/>
        <v/>
      </c>
      <c r="BF634" s="119" t="str">
        <f t="shared" si="875"/>
        <v/>
      </c>
      <c r="BG634" s="66" t="str">
        <f>+IF($W634="","",ROUND(IF($B634&gt;Parámetros!$D$107,'Tablas Servicio'!BE634+('Tablas Servicio'!BG633-'Tablas Servicio'!BE633),BE634/(1-IF(B634&lt;=10,Parámetros!$D$100,0))),2))</f>
        <v/>
      </c>
      <c r="BH634" s="66" t="str">
        <f t="shared" si="876"/>
        <v/>
      </c>
      <c r="BI634" s="66" t="str">
        <f t="shared" si="877"/>
        <v/>
      </c>
      <c r="BJ634" s="66" t="str">
        <f>+IF($W634="","",ROUND((BG634*Parámetros!$G$85),2))</f>
        <v/>
      </c>
      <c r="BK634" s="66" t="str">
        <f>+IF($W634="","",ROUND((BG634*(Parámetros!$G$86)),2))</f>
        <v/>
      </c>
      <c r="BL634" s="66" t="str">
        <f t="shared" si="878"/>
        <v/>
      </c>
      <c r="BM634" t="str">
        <f t="shared" si="919"/>
        <v/>
      </c>
      <c r="BN634" t="str">
        <f t="shared" si="920"/>
        <v/>
      </c>
      <c r="BO634" s="118" t="str">
        <f t="shared" si="921"/>
        <v/>
      </c>
      <c r="BP634" s="118" t="str">
        <f t="shared" si="922"/>
        <v/>
      </c>
      <c r="BQ634" s="119" t="str">
        <f>+IF(OR($W634="",BO634=0),"",ROUND((VLOOKUP(ROUNDDOWN($D634-1/frec,0),cob_adi,BB$40,FALSE)*(1+i/frec)^-0.5*(1+Parámetros!$D$103)*(1+rec_fracc)/frec),6))</f>
        <v/>
      </c>
      <c r="BR634" s="66" t="str">
        <f t="shared" si="879"/>
        <v/>
      </c>
      <c r="BS634" s="119" t="str">
        <f t="shared" si="880"/>
        <v/>
      </c>
      <c r="BT634" s="66" t="str">
        <f>+IF($W634="","",ROUND(IF($B634&gt;Parámetros!$D$107,'Tablas Servicio'!BR634+('Tablas Servicio'!BT633-'Tablas Servicio'!BR633),BR634/(1-IF(B634&lt;=10,Parámetros!$D$100,0))),2))</f>
        <v/>
      </c>
      <c r="BU634" s="66" t="str">
        <f t="shared" si="881"/>
        <v/>
      </c>
      <c r="BV634" s="66" t="str">
        <f t="shared" si="881"/>
        <v/>
      </c>
      <c r="BW634" s="66" t="str">
        <f>+IF($W634="","",ROUND((BT634*Parámetros!$G$85),2))</f>
        <v/>
      </c>
      <c r="BX634" s="66" t="str">
        <f>+IF($W634="","",ROUND((BT634*(Parámetros!$G$86)),2))</f>
        <v/>
      </c>
      <c r="BY634" s="66" t="str">
        <f t="shared" si="882"/>
        <v/>
      </c>
      <c r="BZ634" t="str">
        <f t="shared" si="923"/>
        <v/>
      </c>
      <c r="CA634" t="str">
        <f t="shared" si="924"/>
        <v/>
      </c>
      <c r="CB634" s="118" t="str">
        <f t="shared" si="925"/>
        <v/>
      </c>
      <c r="CC634" s="118" t="str">
        <f t="shared" si="926"/>
        <v/>
      </c>
      <c r="CD634" s="119" t="str">
        <f t="shared" si="883"/>
        <v/>
      </c>
      <c r="CE634" s="66" t="str">
        <f>+IF($W634="","",ROUND((VLOOKUP(ROUNDDOWN($D634-1/frec,0),cob_adi,BO$40,FALSE)*(1+i/frec)^-0.5*(1+Parámetros!$D$103)*(1+rec_fracc)/frec*'TABLAS ADI'!$BC$17),2))</f>
        <v/>
      </c>
      <c r="CF634" s="119" t="str">
        <f t="shared" si="884"/>
        <v/>
      </c>
      <c r="CG634" s="66" t="str">
        <f>+IF($W634="","",ROUND(IF($B634&gt;Parámetros!$D$107,'Tablas Servicio'!CE634+('Tablas Servicio'!CG633-'Tablas Servicio'!CE633),CE634/(1-IF(B634&lt;=10,Parámetros!$D$100,0))),2))</f>
        <v/>
      </c>
      <c r="CH634" s="66" t="str">
        <f t="shared" si="885"/>
        <v/>
      </c>
      <c r="CI634" s="66" t="str">
        <f t="shared" si="885"/>
        <v/>
      </c>
      <c r="CJ634" s="66" t="str">
        <f>+IF($W634="","",ROUND((CG634*Parámetros!$G$85),2))</f>
        <v/>
      </c>
      <c r="CK634" s="66" t="str">
        <f>+IF($W634="","",ROUND((CG634*(Parámetros!$G$86)),2))</f>
        <v/>
      </c>
      <c r="CL634" s="66" t="str">
        <f t="shared" si="886"/>
        <v/>
      </c>
      <c r="CM634" t="str">
        <f t="shared" si="927"/>
        <v/>
      </c>
      <c r="CN634" s="118" t="str">
        <f t="shared" si="928"/>
        <v/>
      </c>
      <c r="CO634" s="118" t="str">
        <f t="shared" si="929"/>
        <v/>
      </c>
      <c r="CP634" s="118" t="str">
        <f t="shared" si="930"/>
        <v/>
      </c>
      <c r="CQ634" s="119" t="str">
        <f t="shared" si="887"/>
        <v/>
      </c>
      <c r="CR634" s="66" t="str">
        <f>+IF($W634="","",ROUND((VLOOKUP(Parámetros!$F$51,'COBERTURAS ADICIONALES'!$S$4:$T$32,2,FALSE)*(1+i/frec)^-0.5*(1+Parámetros!$D$103)*(1+rec_fracc)/frec*$CO$42),2))</f>
        <v/>
      </c>
      <c r="CS634" s="119" t="str">
        <f t="shared" si="888"/>
        <v/>
      </c>
      <c r="CT634" s="66" t="str">
        <f>+IF($W634="","",ROUND(IF($B634&gt;Parámetros!$D$107,'Tablas Servicio'!CR634+('Tablas Servicio'!CT633-'Tablas Servicio'!CR633),CR634/(1-IF(B634&lt;=10,Parámetros!$D$100,0))),2))</f>
        <v/>
      </c>
      <c r="CU634" s="66" t="str">
        <f t="shared" si="889"/>
        <v/>
      </c>
      <c r="CV634" s="66" t="str">
        <f t="shared" si="889"/>
        <v/>
      </c>
      <c r="CW634" s="66" t="str">
        <f>+IF($W634="","",ROUND((CT634*Parámetros!$G$85),2))</f>
        <v/>
      </c>
      <c r="CX634" s="66" t="str">
        <f>+IF($W634="","",ROUND((CT634*(Parámetros!$G$86)),2))</f>
        <v/>
      </c>
      <c r="CY634" s="66" t="str">
        <f t="shared" si="890"/>
        <v/>
      </c>
      <c r="CZ634" t="str">
        <f t="shared" si="931"/>
        <v/>
      </c>
      <c r="DA634" s="118" t="str">
        <f t="shared" si="932"/>
        <v/>
      </c>
      <c r="DB634" s="118" t="str">
        <f t="shared" si="933"/>
        <v/>
      </c>
      <c r="DC634" s="118" t="str">
        <f t="shared" si="934"/>
        <v/>
      </c>
      <c r="DD634" s="121" t="str">
        <f>+IF(OR($W634="",DB634=0),"",ROUND((VLOOKUP(ROUNDDOWN($D634-1/frec,0),cob_adi,CO$40,FALSE)*(1+i/frec)^-0.5*(1+Parámetros!$D$103)*(1+rec_fracc)/frec),6))</f>
        <v/>
      </c>
      <c r="DE634" s="66" t="str">
        <f t="shared" si="891"/>
        <v/>
      </c>
      <c r="DF634" s="119" t="str">
        <f t="shared" si="892"/>
        <v/>
      </c>
      <c r="DG634" s="66" t="str">
        <f>+IF($W634="","",ROUND(IF($B634&gt;Parámetros!$D$107,'Tablas Servicio'!DE634+('Tablas Servicio'!DG633-'Tablas Servicio'!DE633),DE634/(1-IF(B634&lt;=10,Parámetros!$D$100,0))),2))</f>
        <v/>
      </c>
      <c r="DH634" s="66" t="str">
        <f t="shared" si="893"/>
        <v/>
      </c>
      <c r="DI634" s="66" t="str">
        <f t="shared" si="893"/>
        <v/>
      </c>
      <c r="DJ634" s="66" t="str">
        <f>+IF($W634="","",ROUND((DG634*Parámetros!$G$85),2))</f>
        <v/>
      </c>
      <c r="DK634" s="66" t="str">
        <f>+IF($W634="","",ROUND((DG634*(Parámetros!$G$86)),2))</f>
        <v/>
      </c>
      <c r="DL634" s="66" t="str">
        <f t="shared" si="894"/>
        <v/>
      </c>
      <c r="DM634" t="str">
        <f t="shared" si="935"/>
        <v/>
      </c>
      <c r="DN634" s="118" t="str">
        <f t="shared" si="936"/>
        <v/>
      </c>
      <c r="DO634" s="118" t="str">
        <f t="shared" si="937"/>
        <v/>
      </c>
      <c r="DP634" s="118" t="str">
        <f t="shared" si="938"/>
        <v/>
      </c>
      <c r="DQ634" s="122" t="str">
        <f>+IF(OR($W634="",DO634=0),"",ROUND((VLOOKUP(ROUNDDOWN($D634-1/frec,0),cob_adi,DB$40,FALSE)*(1+i/frec)^-0.5*(1+Parámetros!$D$103)*(1+rec_fracc)/frec),6))</f>
        <v/>
      </c>
      <c r="DR634" s="66" t="str">
        <f t="shared" si="895"/>
        <v/>
      </c>
      <c r="DS634" s="68" t="str">
        <f t="shared" si="896"/>
        <v/>
      </c>
      <c r="DT634" s="66" t="str">
        <f>+IF($W634="","",ROUND(IF($B634&gt;Parámetros!$D$107,'Tablas Servicio'!DR634+('Tablas Servicio'!DT633-'Tablas Servicio'!DR633),DR634/(1-IF(B634&lt;=10,Parámetros!$D$100,0))),2))</f>
        <v/>
      </c>
      <c r="DU634" s="66" t="str">
        <f t="shared" si="897"/>
        <v/>
      </c>
      <c r="DV634" s="66" t="str">
        <f t="shared" si="897"/>
        <v/>
      </c>
      <c r="DW634" s="66" t="str">
        <f>+IF($W634="","",ROUND((DT634*Parámetros!$G$85),2))</f>
        <v/>
      </c>
      <c r="DX634" s="66" t="str">
        <f>+IF($W634="","",ROUND((DT634*(Parámetros!$G$86)),2))</f>
        <v/>
      </c>
      <c r="DY634" s="66" t="str">
        <f t="shared" si="898"/>
        <v/>
      </c>
      <c r="DZ634" t="str">
        <f t="shared" si="899"/>
        <v/>
      </c>
      <c r="EA634" s="118" t="str">
        <f t="shared" si="899"/>
        <v/>
      </c>
      <c r="EB634" s="118" t="str">
        <f>+IF($W634="","",ROUND(IF(Parámetros!$D$25='TABLAS MORT'!$V$33,EB633,Z634/2),0))</f>
        <v/>
      </c>
      <c r="EC634" s="118" t="str">
        <f t="shared" si="899"/>
        <v/>
      </c>
      <c r="ED634" s="122" t="str">
        <f>+IF(OR($W634="",EB634=0),"",ROUND((VLOOKUP(ROUNDDOWN($D634-1/frec,0),cob_adi,DO$40,FALSE)*(1+i/frec)^-0.5*(1+Parámetros!$D$103)*(1+rec_fracc)/frec),6))</f>
        <v/>
      </c>
      <c r="EE634" s="66" t="str">
        <f t="shared" si="900"/>
        <v/>
      </c>
      <c r="EF634" s="68" t="str">
        <f t="shared" si="901"/>
        <v/>
      </c>
      <c r="EG634" s="66" t="str">
        <f>+IF($W634="","",ROUND(IF($B634&gt;Parámetros!$D$107,'Tablas Servicio'!EE634+('Tablas Servicio'!EG633-'Tablas Servicio'!EE633),EE634/(1-IF(B634&lt;=10,Parámetros!$D$100,0))),2))</f>
        <v/>
      </c>
      <c r="EH634" s="66" t="str">
        <f t="shared" si="902"/>
        <v/>
      </c>
      <c r="EI634" s="66" t="str">
        <f t="shared" si="902"/>
        <v/>
      </c>
      <c r="EJ634" s="66" t="str">
        <f>+IF($W634="","",ROUND((EG634*Parámetros!$G$85),2))</f>
        <v/>
      </c>
      <c r="EK634" s="66" t="str">
        <f>+IF($W634="","",ROUND((EG634*(Parámetros!$G$86)),2))</f>
        <v/>
      </c>
      <c r="EL634" s="66" t="str">
        <f t="shared" si="903"/>
        <v/>
      </c>
    </row>
    <row r="635" spans="1:142" x14ac:dyDescent="0.25">
      <c r="A635" t="str">
        <f>+IF($C635="","",ROUND(VLOOKUP('Tablas Servicio'!B635,Parámetros!$H$100:$J$159,IF(Parámetros!$E$16="F",2,3),FALSE),2))</f>
        <v/>
      </c>
      <c r="B635" t="str">
        <f t="shared" si="854"/>
        <v/>
      </c>
      <c r="C635" s="57" t="str">
        <f>+IF(D635="","",'Tablas Servicio'!C634+1)</f>
        <v/>
      </c>
      <c r="D635" s="56" t="str">
        <f>+IF(D634&lt;edadmaxtabla,D634+1/Parámetros!$E$25,"")</f>
        <v/>
      </c>
      <c r="E635" s="57" t="str">
        <f t="shared" si="864"/>
        <v/>
      </c>
      <c r="F635" s="59" t="str">
        <f t="shared" si="865"/>
        <v/>
      </c>
      <c r="G635" s="66" t="str">
        <f t="shared" si="855"/>
        <v/>
      </c>
      <c r="H635" s="66" t="str">
        <f t="shared" si="856"/>
        <v/>
      </c>
      <c r="I635" s="66" t="str">
        <f t="shared" si="904"/>
        <v/>
      </c>
      <c r="J635" s="66" t="str">
        <f t="shared" si="857"/>
        <v/>
      </c>
      <c r="K635" s="66" t="str">
        <f t="shared" si="858"/>
        <v/>
      </c>
      <c r="L635" s="66" t="str">
        <f t="shared" si="859"/>
        <v/>
      </c>
      <c r="M635" s="66" t="str">
        <f t="shared" si="860"/>
        <v/>
      </c>
      <c r="N635" s="66" t="str">
        <f>+IF(C635="","",ROUND(Parámetros!$D$23,2))</f>
        <v/>
      </c>
      <c r="O635" s="66" t="str">
        <f t="shared" si="861"/>
        <v/>
      </c>
      <c r="P635" s="66" t="str">
        <f>+IF($C635="","",ROUND(IF(B635&gt;Parámetros!$D$117,0,N635*Parámetros!$D$116-G635*Parámetros!$D$100),2))</f>
        <v/>
      </c>
      <c r="Q635" s="75" t="str">
        <f t="shared" si="905"/>
        <v/>
      </c>
      <c r="R635" s="75" t="str">
        <f t="shared" si="906"/>
        <v/>
      </c>
      <c r="S635" s="117" t="str">
        <f>+IF($C635="","",ROUND((S634+I635)*(1+Parámetros!$D$91),2))</f>
        <v/>
      </c>
      <c r="T635" s="117" t="str">
        <f>+IF($C635="","",ROUND(S635*VLOOKUP(B635,Parámetros!$C$30:$D$39,2,TRUE),2))</f>
        <v/>
      </c>
      <c r="U635" s="117" t="str">
        <f>+IF($C635="","",ROUND((U634+I635)*(1+Parámetros!$D$92),2))</f>
        <v/>
      </c>
      <c r="V635" s="117" t="str">
        <f>+IF($C635="","",ROUND(U635*VLOOKUP(B635,Parámetros!$C$30:$D$39,2,TRUE),2))</f>
        <v/>
      </c>
      <c r="W635" s="57" t="str">
        <f t="shared" si="907"/>
        <v/>
      </c>
      <c r="X635" t="str">
        <f t="shared" si="908"/>
        <v/>
      </c>
      <c r="Y635" t="str">
        <f t="shared" si="909"/>
        <v/>
      </c>
      <c r="Z635" s="118" t="str">
        <f>+IF($W635="","",ROUND(IF(Parámetros!$D$25='TABLAS MORT'!$V$33,Z634,Parámetros!$D$21-'Tablas Servicio'!T634),0))</f>
        <v/>
      </c>
      <c r="AA635" s="118" t="str">
        <f t="shared" si="910"/>
        <v/>
      </c>
      <c r="AB635" s="119" t="str">
        <f>+IF(W635="","",ROUND((VLOOKUP(ROUNDDOWN($D635-1/frec,0),qx_tabla,2,FALSE)*(1+i/frec)^-0.5*(1+Parámetros!$D$103)*(1+rec_fracc)/frec),6))</f>
        <v/>
      </c>
      <c r="AC635" s="66" t="str">
        <f t="shared" si="866"/>
        <v/>
      </c>
      <c r="AD635" s="119" t="str">
        <f t="shared" si="862"/>
        <v/>
      </c>
      <c r="AE635" s="66" t="str">
        <f>+IF($W635="","",ROUND(IF($B635&gt;Parámetros!$D$107,'Tablas Servicio'!AC635+('Tablas Servicio'!AG634-'Tablas Servicio'!AC634),AC635/(1-IF(B635&lt;=10,Parámetros!$D$104,Parámetros!$D$105))),2))</f>
        <v/>
      </c>
      <c r="AF635" s="66" t="str">
        <f>+IF($W635="","",ROUND(IF($B635&gt;Parámetros!$D$107,'Tablas Servicio'!AC635+('Tablas Servicio'!AG634-'Tablas Servicio'!AC634),(AC635+$A634/frec)/(1-IF(B635&lt;=Parámetros!$D$117,Parámetros!$D$100,0))),2))</f>
        <v/>
      </c>
      <c r="AG635" s="66" t="str">
        <f t="shared" si="867"/>
        <v/>
      </c>
      <c r="AH635" s="66" t="str">
        <f t="shared" si="868"/>
        <v/>
      </c>
      <c r="AI635" s="66" t="str">
        <f t="shared" si="869"/>
        <v/>
      </c>
      <c r="AJ635" s="66" t="str">
        <f>+IF($W635="","",ROUND((AG635*Parámetros!$G$85),2))</f>
        <v/>
      </c>
      <c r="AK635" s="66" t="str">
        <f>+IF($W635="","",ROUND((AG635*(Parámetros!$G$86)),2))</f>
        <v/>
      </c>
      <c r="AL635" s="66" t="str">
        <f t="shared" si="863"/>
        <v/>
      </c>
      <c r="AM635" t="str">
        <f t="shared" si="911"/>
        <v/>
      </c>
      <c r="AN635" t="str">
        <f t="shared" si="912"/>
        <v/>
      </c>
      <c r="AO635" s="118" t="str">
        <f t="shared" si="913"/>
        <v/>
      </c>
      <c r="AP635" s="118" t="str">
        <f t="shared" si="914"/>
        <v/>
      </c>
      <c r="AQ635" s="119" t="str">
        <f>+IF(OR($W635="",AO635=0),"",ROUND((VLOOKUP(ROUNDDOWN($D635-1/frec,0),cob_adi,Z$40,FALSE)*(1+i/frec)^-0.5*(1+Parámetros!$D$103)*(1+rec_fracc)/frec),6))</f>
        <v/>
      </c>
      <c r="AR635" s="66" t="str">
        <f t="shared" si="870"/>
        <v/>
      </c>
      <c r="AS635" s="119" t="str">
        <f t="shared" si="871"/>
        <v/>
      </c>
      <c r="AT635" s="66" t="str">
        <f>+IF($W635="","",ROUND(IF($B635&gt;Parámetros!$D$107,'Tablas Servicio'!AR635+('Tablas Servicio'!AT634-'Tablas Servicio'!AR634),AR635/(1-IF(B635&lt;=10,Parámetros!$D$100,0))),2))</f>
        <v/>
      </c>
      <c r="AU635" s="66" t="str">
        <f t="shared" si="872"/>
        <v/>
      </c>
      <c r="AV635" s="66" t="str">
        <f t="shared" si="872"/>
        <v/>
      </c>
      <c r="AW635" s="66" t="str">
        <f>+IF($W635="","",ROUND((AT635*Parámetros!$G$85),2))</f>
        <v/>
      </c>
      <c r="AX635" s="66" t="str">
        <f>+IF($W635="","",ROUND((AT635*(Parámetros!$G$86)),2))</f>
        <v/>
      </c>
      <c r="AY635" s="66" t="str">
        <f t="shared" si="873"/>
        <v/>
      </c>
      <c r="AZ635" t="str">
        <f t="shared" si="915"/>
        <v/>
      </c>
      <c r="BA635" t="str">
        <f t="shared" si="916"/>
        <v/>
      </c>
      <c r="BB635" s="118" t="str">
        <f t="shared" si="917"/>
        <v/>
      </c>
      <c r="BC635" s="118" t="str">
        <f t="shared" si="918"/>
        <v/>
      </c>
      <c r="BD635" s="119" t="str">
        <f>+IF(OR($W635="",BB635=0),"",ROUND((VLOOKUP(ROUNDDOWN($D635-1/frec,0),cob_adi,AO$40,FALSE)*(1+i/frec)^-0.5*(1+Parámetros!$D$103)*(1+rec_fracc)/frec),6))</f>
        <v/>
      </c>
      <c r="BE635" s="66" t="str">
        <f t="shared" si="874"/>
        <v/>
      </c>
      <c r="BF635" s="119" t="str">
        <f t="shared" si="875"/>
        <v/>
      </c>
      <c r="BG635" s="66" t="str">
        <f>+IF($W635="","",ROUND(IF($B635&gt;Parámetros!$D$107,'Tablas Servicio'!BE635+('Tablas Servicio'!BG634-'Tablas Servicio'!BE634),BE635/(1-IF(B635&lt;=10,Parámetros!$D$100,0))),2))</f>
        <v/>
      </c>
      <c r="BH635" s="66" t="str">
        <f t="shared" si="876"/>
        <v/>
      </c>
      <c r="BI635" s="66" t="str">
        <f t="shared" si="877"/>
        <v/>
      </c>
      <c r="BJ635" s="66" t="str">
        <f>+IF($W635="","",ROUND((BG635*Parámetros!$G$85),2))</f>
        <v/>
      </c>
      <c r="BK635" s="66" t="str">
        <f>+IF($W635="","",ROUND((BG635*(Parámetros!$G$86)),2))</f>
        <v/>
      </c>
      <c r="BL635" s="66" t="str">
        <f t="shared" si="878"/>
        <v/>
      </c>
      <c r="BM635" t="str">
        <f t="shared" si="919"/>
        <v/>
      </c>
      <c r="BN635" t="str">
        <f t="shared" si="920"/>
        <v/>
      </c>
      <c r="BO635" s="118" t="str">
        <f t="shared" si="921"/>
        <v/>
      </c>
      <c r="BP635" s="118" t="str">
        <f t="shared" si="922"/>
        <v/>
      </c>
      <c r="BQ635" s="119" t="str">
        <f>+IF(OR($W635="",BO635=0),"",ROUND((VLOOKUP(ROUNDDOWN($D635-1/frec,0),cob_adi,BB$40,FALSE)*(1+i/frec)^-0.5*(1+Parámetros!$D$103)*(1+rec_fracc)/frec),6))</f>
        <v/>
      </c>
      <c r="BR635" s="66" t="str">
        <f t="shared" si="879"/>
        <v/>
      </c>
      <c r="BS635" s="119" t="str">
        <f t="shared" si="880"/>
        <v/>
      </c>
      <c r="BT635" s="66" t="str">
        <f>+IF($W635="","",ROUND(IF($B635&gt;Parámetros!$D$107,'Tablas Servicio'!BR635+('Tablas Servicio'!BT634-'Tablas Servicio'!BR634),BR635/(1-IF(B635&lt;=10,Parámetros!$D$100,0))),2))</f>
        <v/>
      </c>
      <c r="BU635" s="66" t="str">
        <f t="shared" si="881"/>
        <v/>
      </c>
      <c r="BV635" s="66" t="str">
        <f t="shared" si="881"/>
        <v/>
      </c>
      <c r="BW635" s="66" t="str">
        <f>+IF($W635="","",ROUND((BT635*Parámetros!$G$85),2))</f>
        <v/>
      </c>
      <c r="BX635" s="66" t="str">
        <f>+IF($W635="","",ROUND((BT635*(Parámetros!$G$86)),2))</f>
        <v/>
      </c>
      <c r="BY635" s="66" t="str">
        <f t="shared" si="882"/>
        <v/>
      </c>
      <c r="BZ635" t="str">
        <f t="shared" si="923"/>
        <v/>
      </c>
      <c r="CA635" t="str">
        <f t="shared" si="924"/>
        <v/>
      </c>
      <c r="CB635" s="118" t="str">
        <f t="shared" si="925"/>
        <v/>
      </c>
      <c r="CC635" s="118" t="str">
        <f t="shared" si="926"/>
        <v/>
      </c>
      <c r="CD635" s="119" t="str">
        <f t="shared" si="883"/>
        <v/>
      </c>
      <c r="CE635" s="66" t="str">
        <f>+IF($W635="","",ROUND((VLOOKUP(ROUNDDOWN($D635-1/frec,0),cob_adi,BO$40,FALSE)*(1+i/frec)^-0.5*(1+Parámetros!$D$103)*(1+rec_fracc)/frec*'TABLAS ADI'!$BC$17),2))</f>
        <v/>
      </c>
      <c r="CF635" s="119" t="str">
        <f t="shared" si="884"/>
        <v/>
      </c>
      <c r="CG635" s="66" t="str">
        <f>+IF($W635="","",ROUND(IF($B635&gt;Parámetros!$D$107,'Tablas Servicio'!CE635+('Tablas Servicio'!CG634-'Tablas Servicio'!CE634),CE635/(1-IF(B635&lt;=10,Parámetros!$D$100,0))),2))</f>
        <v/>
      </c>
      <c r="CH635" s="66" t="str">
        <f t="shared" si="885"/>
        <v/>
      </c>
      <c r="CI635" s="66" t="str">
        <f t="shared" si="885"/>
        <v/>
      </c>
      <c r="CJ635" s="66" t="str">
        <f>+IF($W635="","",ROUND((CG635*Parámetros!$G$85),2))</f>
        <v/>
      </c>
      <c r="CK635" s="66" t="str">
        <f>+IF($W635="","",ROUND((CG635*(Parámetros!$G$86)),2))</f>
        <v/>
      </c>
      <c r="CL635" s="66" t="str">
        <f t="shared" si="886"/>
        <v/>
      </c>
      <c r="CM635" t="str">
        <f t="shared" si="927"/>
        <v/>
      </c>
      <c r="CN635" s="118" t="str">
        <f t="shared" si="928"/>
        <v/>
      </c>
      <c r="CO635" s="118" t="str">
        <f t="shared" si="929"/>
        <v/>
      </c>
      <c r="CP635" s="118" t="str">
        <f t="shared" si="930"/>
        <v/>
      </c>
      <c r="CQ635" s="119" t="str">
        <f t="shared" si="887"/>
        <v/>
      </c>
      <c r="CR635" s="66" t="str">
        <f>+IF($W635="","",ROUND((VLOOKUP(Parámetros!$F$51,'COBERTURAS ADICIONALES'!$S$4:$T$32,2,FALSE)*(1+i/frec)^-0.5*(1+Parámetros!$D$103)*(1+rec_fracc)/frec*$CO$42),2))</f>
        <v/>
      </c>
      <c r="CS635" s="119" t="str">
        <f t="shared" si="888"/>
        <v/>
      </c>
      <c r="CT635" s="66" t="str">
        <f>+IF($W635="","",ROUND(IF($B635&gt;Parámetros!$D$107,'Tablas Servicio'!CR635+('Tablas Servicio'!CT634-'Tablas Servicio'!CR634),CR635/(1-IF(B635&lt;=10,Parámetros!$D$100,0))),2))</f>
        <v/>
      </c>
      <c r="CU635" s="66" t="str">
        <f t="shared" si="889"/>
        <v/>
      </c>
      <c r="CV635" s="66" t="str">
        <f t="shared" si="889"/>
        <v/>
      </c>
      <c r="CW635" s="66" t="str">
        <f>+IF($W635="","",ROUND((CT635*Parámetros!$G$85),2))</f>
        <v/>
      </c>
      <c r="CX635" s="66" t="str">
        <f>+IF($W635="","",ROUND((CT635*(Parámetros!$G$86)),2))</f>
        <v/>
      </c>
      <c r="CY635" s="66" t="str">
        <f t="shared" si="890"/>
        <v/>
      </c>
      <c r="CZ635" t="str">
        <f t="shared" si="931"/>
        <v/>
      </c>
      <c r="DA635" s="118" t="str">
        <f t="shared" si="932"/>
        <v/>
      </c>
      <c r="DB635" s="118" t="str">
        <f t="shared" si="933"/>
        <v/>
      </c>
      <c r="DC635" s="118" t="str">
        <f t="shared" si="934"/>
        <v/>
      </c>
      <c r="DD635" s="121" t="str">
        <f>+IF(OR($W635="",DB635=0),"",ROUND((VLOOKUP(ROUNDDOWN($D635-1/frec,0),cob_adi,CO$40,FALSE)*(1+i/frec)^-0.5*(1+Parámetros!$D$103)*(1+rec_fracc)/frec),6))</f>
        <v/>
      </c>
      <c r="DE635" s="66" t="str">
        <f t="shared" si="891"/>
        <v/>
      </c>
      <c r="DF635" s="119" t="str">
        <f t="shared" si="892"/>
        <v/>
      </c>
      <c r="DG635" s="66" t="str">
        <f>+IF($W635="","",ROUND(IF($B635&gt;Parámetros!$D$107,'Tablas Servicio'!DE635+('Tablas Servicio'!DG634-'Tablas Servicio'!DE634),DE635/(1-IF(B635&lt;=10,Parámetros!$D$100,0))),2))</f>
        <v/>
      </c>
      <c r="DH635" s="66" t="str">
        <f t="shared" si="893"/>
        <v/>
      </c>
      <c r="DI635" s="66" t="str">
        <f t="shared" si="893"/>
        <v/>
      </c>
      <c r="DJ635" s="66" t="str">
        <f>+IF($W635="","",ROUND((DG635*Parámetros!$G$85),2))</f>
        <v/>
      </c>
      <c r="DK635" s="66" t="str">
        <f>+IF($W635="","",ROUND((DG635*(Parámetros!$G$86)),2))</f>
        <v/>
      </c>
      <c r="DL635" s="66" t="str">
        <f t="shared" si="894"/>
        <v/>
      </c>
      <c r="DM635" t="str">
        <f t="shared" si="935"/>
        <v/>
      </c>
      <c r="DN635" s="118" t="str">
        <f t="shared" si="936"/>
        <v/>
      </c>
      <c r="DO635" s="118" t="str">
        <f t="shared" si="937"/>
        <v/>
      </c>
      <c r="DP635" s="118" t="str">
        <f t="shared" si="938"/>
        <v/>
      </c>
      <c r="DQ635" s="122" t="str">
        <f>+IF(OR($W635="",DO635=0),"",ROUND((VLOOKUP(ROUNDDOWN($D635-1/frec,0),cob_adi,DB$40,FALSE)*(1+i/frec)^-0.5*(1+Parámetros!$D$103)*(1+rec_fracc)/frec),6))</f>
        <v/>
      </c>
      <c r="DR635" s="66" t="str">
        <f t="shared" si="895"/>
        <v/>
      </c>
      <c r="DS635" s="68" t="str">
        <f t="shared" si="896"/>
        <v/>
      </c>
      <c r="DT635" s="66" t="str">
        <f>+IF($W635="","",ROUND(IF($B635&gt;Parámetros!$D$107,'Tablas Servicio'!DR635+('Tablas Servicio'!DT634-'Tablas Servicio'!DR634),DR635/(1-IF(B635&lt;=10,Parámetros!$D$100,0))),2))</f>
        <v/>
      </c>
      <c r="DU635" s="66" t="str">
        <f t="shared" si="897"/>
        <v/>
      </c>
      <c r="DV635" s="66" t="str">
        <f t="shared" si="897"/>
        <v/>
      </c>
      <c r="DW635" s="66" t="str">
        <f>+IF($W635="","",ROUND((DT635*Parámetros!$G$85),2))</f>
        <v/>
      </c>
      <c r="DX635" s="66" t="str">
        <f>+IF($W635="","",ROUND((DT635*(Parámetros!$G$86)),2))</f>
        <v/>
      </c>
      <c r="DY635" s="66" t="str">
        <f t="shared" si="898"/>
        <v/>
      </c>
      <c r="DZ635" t="str">
        <f t="shared" ref="DZ635:EC650" si="939">+IF($W635="","",DZ634)</f>
        <v/>
      </c>
      <c r="EA635" s="118" t="str">
        <f t="shared" si="939"/>
        <v/>
      </c>
      <c r="EB635" s="118" t="str">
        <f>+IF($W635="","",ROUND(IF(Parámetros!$D$25='TABLAS MORT'!$V$33,EB634,Z635/2),0))</f>
        <v/>
      </c>
      <c r="EC635" s="118" t="str">
        <f t="shared" si="939"/>
        <v/>
      </c>
      <c r="ED635" s="122" t="str">
        <f>+IF(OR($W635="",EB635=0),"",ROUND((VLOOKUP(ROUNDDOWN($D635-1/frec,0),cob_adi,DO$40,FALSE)*(1+i/frec)^-0.5*(1+Parámetros!$D$103)*(1+rec_fracc)/frec),6))</f>
        <v/>
      </c>
      <c r="EE635" s="66" t="str">
        <f t="shared" si="900"/>
        <v/>
      </c>
      <c r="EF635" s="68" t="str">
        <f t="shared" si="901"/>
        <v/>
      </c>
      <c r="EG635" s="66" t="str">
        <f>+IF($W635="","",ROUND(IF($B635&gt;Parámetros!$D$107,'Tablas Servicio'!EE635+('Tablas Servicio'!EG634-'Tablas Servicio'!EE634),EE635/(1-IF(B635&lt;=10,Parámetros!$D$100,0))),2))</f>
        <v/>
      </c>
      <c r="EH635" s="66" t="str">
        <f t="shared" si="902"/>
        <v/>
      </c>
      <c r="EI635" s="66" t="str">
        <f t="shared" si="902"/>
        <v/>
      </c>
      <c r="EJ635" s="66" t="str">
        <f>+IF($W635="","",ROUND((EG635*Parámetros!$G$85),2))</f>
        <v/>
      </c>
      <c r="EK635" s="66" t="str">
        <f>+IF($W635="","",ROUND((EG635*(Parámetros!$G$86)),2))</f>
        <v/>
      </c>
      <c r="EL635" s="66" t="str">
        <f t="shared" si="903"/>
        <v/>
      </c>
    </row>
    <row r="636" spans="1:142" x14ac:dyDescent="0.25">
      <c r="A636" t="str">
        <f>+IF($C636="","",ROUND(VLOOKUP('Tablas Servicio'!B636,Parámetros!$H$100:$J$159,IF(Parámetros!$E$16="F",2,3),FALSE),2))</f>
        <v/>
      </c>
      <c r="B636" t="str">
        <f t="shared" si="854"/>
        <v/>
      </c>
      <c r="C636" s="57" t="str">
        <f>+IF(D636="","",'Tablas Servicio'!C635+1)</f>
        <v/>
      </c>
      <c r="D636" s="56" t="str">
        <f>+IF(D635&lt;edadmaxtabla,D635+1/Parámetros!$E$25,"")</f>
        <v/>
      </c>
      <c r="E636" s="57" t="str">
        <f t="shared" si="864"/>
        <v/>
      </c>
      <c r="F636" s="59" t="str">
        <f t="shared" si="865"/>
        <v/>
      </c>
      <c r="G636" s="66" t="str">
        <f t="shared" si="855"/>
        <v/>
      </c>
      <c r="H636" s="66" t="str">
        <f t="shared" si="856"/>
        <v/>
      </c>
      <c r="I636" s="66" t="str">
        <f t="shared" si="904"/>
        <v/>
      </c>
      <c r="J636" s="66" t="str">
        <f t="shared" si="857"/>
        <v/>
      </c>
      <c r="K636" s="66" t="str">
        <f t="shared" si="858"/>
        <v/>
      </c>
      <c r="L636" s="66" t="str">
        <f t="shared" si="859"/>
        <v/>
      </c>
      <c r="M636" s="66" t="str">
        <f t="shared" si="860"/>
        <v/>
      </c>
      <c r="N636" s="66" t="str">
        <f>+IF(C636="","",ROUND(Parámetros!$D$23,2))</f>
        <v/>
      </c>
      <c r="O636" s="66" t="str">
        <f t="shared" si="861"/>
        <v/>
      </c>
      <c r="P636" s="66" t="str">
        <f>+IF($C636="","",ROUND(IF(B636&gt;Parámetros!$D$117,0,N636*Parámetros!$D$116-G636*Parámetros!$D$100),2))</f>
        <v/>
      </c>
      <c r="Q636" s="75" t="str">
        <f t="shared" si="905"/>
        <v/>
      </c>
      <c r="R636" s="75" t="str">
        <f t="shared" si="906"/>
        <v/>
      </c>
      <c r="S636" s="117" t="str">
        <f>+IF($C636="","",ROUND((S635+I636)*(1+Parámetros!$D$91),2))</f>
        <v/>
      </c>
      <c r="T636" s="117" t="str">
        <f>+IF($C636="","",ROUND(S636*VLOOKUP(B636,Parámetros!$C$30:$D$39,2,TRUE),2))</f>
        <v/>
      </c>
      <c r="U636" s="117" t="str">
        <f>+IF($C636="","",ROUND((U635+I636)*(1+Parámetros!$D$92),2))</f>
        <v/>
      </c>
      <c r="V636" s="117" t="str">
        <f>+IF($C636="","",ROUND(U636*VLOOKUP(B636,Parámetros!$C$30:$D$39,2,TRUE),2))</f>
        <v/>
      </c>
      <c r="W636" s="57" t="str">
        <f t="shared" si="907"/>
        <v/>
      </c>
      <c r="X636" t="str">
        <f t="shared" si="908"/>
        <v/>
      </c>
      <c r="Y636" t="str">
        <f t="shared" si="909"/>
        <v/>
      </c>
      <c r="Z636" s="118" t="str">
        <f>+IF($W636="","",ROUND(IF(Parámetros!$D$25='TABLAS MORT'!$V$33,Z635,Parámetros!$D$21-'Tablas Servicio'!T635),0))</f>
        <v/>
      </c>
      <c r="AA636" s="118" t="str">
        <f t="shared" si="910"/>
        <v/>
      </c>
      <c r="AB636" s="119" t="str">
        <f>+IF(W636="","",ROUND((VLOOKUP(ROUNDDOWN($D636-1/frec,0),qx_tabla,2,FALSE)*(1+i/frec)^-0.5*(1+Parámetros!$D$103)*(1+rec_fracc)/frec),6))</f>
        <v/>
      </c>
      <c r="AC636" s="66" t="str">
        <f t="shared" si="866"/>
        <v/>
      </c>
      <c r="AD636" s="119" t="str">
        <f t="shared" si="862"/>
        <v/>
      </c>
      <c r="AE636" s="66" t="str">
        <f>+IF($W636="","",ROUND(IF($B636&gt;Parámetros!$D$107,'Tablas Servicio'!AC636+('Tablas Servicio'!AG635-'Tablas Servicio'!AC635),AC636/(1-IF(B636&lt;=10,Parámetros!$D$104,Parámetros!$D$105))),2))</f>
        <v/>
      </c>
      <c r="AF636" s="66" t="str">
        <f>+IF($W636="","",ROUND(IF($B636&gt;Parámetros!$D$107,'Tablas Servicio'!AC636+('Tablas Servicio'!AG635-'Tablas Servicio'!AC635),(AC636+$A635/frec)/(1-IF(B636&lt;=Parámetros!$D$117,Parámetros!$D$100,0))),2))</f>
        <v/>
      </c>
      <c r="AG636" s="66" t="str">
        <f t="shared" si="867"/>
        <v/>
      </c>
      <c r="AH636" s="66" t="str">
        <f t="shared" si="868"/>
        <v/>
      </c>
      <c r="AI636" s="66" t="str">
        <f t="shared" si="869"/>
        <v/>
      </c>
      <c r="AJ636" s="66" t="str">
        <f>+IF($W636="","",ROUND((AG636*Parámetros!$G$85),2))</f>
        <v/>
      </c>
      <c r="AK636" s="66" t="str">
        <f>+IF($W636="","",ROUND((AG636*(Parámetros!$G$86)),2))</f>
        <v/>
      </c>
      <c r="AL636" s="66" t="str">
        <f t="shared" si="863"/>
        <v/>
      </c>
      <c r="AM636" t="str">
        <f t="shared" si="911"/>
        <v/>
      </c>
      <c r="AN636" t="str">
        <f t="shared" si="912"/>
        <v/>
      </c>
      <c r="AO636" s="118" t="str">
        <f t="shared" si="913"/>
        <v/>
      </c>
      <c r="AP636" s="118" t="str">
        <f t="shared" si="914"/>
        <v/>
      </c>
      <c r="AQ636" s="119" t="str">
        <f>+IF(OR($W636="",AO636=0),"",ROUND((VLOOKUP(ROUNDDOWN($D636-1/frec,0),cob_adi,Z$40,FALSE)*(1+i/frec)^-0.5*(1+Parámetros!$D$103)*(1+rec_fracc)/frec),6))</f>
        <v/>
      </c>
      <c r="AR636" s="66" t="str">
        <f t="shared" si="870"/>
        <v/>
      </c>
      <c r="AS636" s="119" t="str">
        <f t="shared" si="871"/>
        <v/>
      </c>
      <c r="AT636" s="66" t="str">
        <f>+IF($W636="","",ROUND(IF($B636&gt;Parámetros!$D$107,'Tablas Servicio'!AR636+('Tablas Servicio'!AT635-'Tablas Servicio'!AR635),AR636/(1-IF(B636&lt;=10,Parámetros!$D$100,0))),2))</f>
        <v/>
      </c>
      <c r="AU636" s="66" t="str">
        <f t="shared" si="872"/>
        <v/>
      </c>
      <c r="AV636" s="66" t="str">
        <f t="shared" si="872"/>
        <v/>
      </c>
      <c r="AW636" s="66" t="str">
        <f>+IF($W636="","",ROUND((AT636*Parámetros!$G$85),2))</f>
        <v/>
      </c>
      <c r="AX636" s="66" t="str">
        <f>+IF($W636="","",ROUND((AT636*(Parámetros!$G$86)),2))</f>
        <v/>
      </c>
      <c r="AY636" s="66" t="str">
        <f t="shared" si="873"/>
        <v/>
      </c>
      <c r="AZ636" t="str">
        <f t="shared" si="915"/>
        <v/>
      </c>
      <c r="BA636" t="str">
        <f t="shared" si="916"/>
        <v/>
      </c>
      <c r="BB636" s="118" t="str">
        <f t="shared" si="917"/>
        <v/>
      </c>
      <c r="BC636" s="118" t="str">
        <f t="shared" si="918"/>
        <v/>
      </c>
      <c r="BD636" s="119" t="str">
        <f>+IF(OR($W636="",BB636=0),"",ROUND((VLOOKUP(ROUNDDOWN($D636-1/frec,0),cob_adi,AO$40,FALSE)*(1+i/frec)^-0.5*(1+Parámetros!$D$103)*(1+rec_fracc)/frec),6))</f>
        <v/>
      </c>
      <c r="BE636" s="66" t="str">
        <f t="shared" si="874"/>
        <v/>
      </c>
      <c r="BF636" s="119" t="str">
        <f t="shared" si="875"/>
        <v/>
      </c>
      <c r="BG636" s="66" t="str">
        <f>+IF($W636="","",ROUND(IF($B636&gt;Parámetros!$D$107,'Tablas Servicio'!BE636+('Tablas Servicio'!BG635-'Tablas Servicio'!BE635),BE636/(1-IF(B636&lt;=10,Parámetros!$D$100,0))),2))</f>
        <v/>
      </c>
      <c r="BH636" s="66" t="str">
        <f t="shared" si="876"/>
        <v/>
      </c>
      <c r="BI636" s="66" t="str">
        <f t="shared" si="877"/>
        <v/>
      </c>
      <c r="BJ636" s="66" t="str">
        <f>+IF($W636="","",ROUND((BG636*Parámetros!$G$85),2))</f>
        <v/>
      </c>
      <c r="BK636" s="66" t="str">
        <f>+IF($W636="","",ROUND((BG636*(Parámetros!$G$86)),2))</f>
        <v/>
      </c>
      <c r="BL636" s="66" t="str">
        <f t="shared" si="878"/>
        <v/>
      </c>
      <c r="BM636" t="str">
        <f t="shared" si="919"/>
        <v/>
      </c>
      <c r="BN636" t="str">
        <f t="shared" si="920"/>
        <v/>
      </c>
      <c r="BO636" s="118" t="str">
        <f t="shared" si="921"/>
        <v/>
      </c>
      <c r="BP636" s="118" t="str">
        <f t="shared" si="922"/>
        <v/>
      </c>
      <c r="BQ636" s="119" t="str">
        <f>+IF(OR($W636="",BO636=0),"",ROUND((VLOOKUP(ROUNDDOWN($D636-1/frec,0),cob_adi,BB$40,FALSE)*(1+i/frec)^-0.5*(1+Parámetros!$D$103)*(1+rec_fracc)/frec),6))</f>
        <v/>
      </c>
      <c r="BR636" s="66" t="str">
        <f t="shared" si="879"/>
        <v/>
      </c>
      <c r="BS636" s="119" t="str">
        <f t="shared" si="880"/>
        <v/>
      </c>
      <c r="BT636" s="66" t="str">
        <f>+IF($W636="","",ROUND(IF($B636&gt;Parámetros!$D$107,'Tablas Servicio'!BR636+('Tablas Servicio'!BT635-'Tablas Servicio'!BR635),BR636/(1-IF(B636&lt;=10,Parámetros!$D$100,0))),2))</f>
        <v/>
      </c>
      <c r="BU636" s="66" t="str">
        <f t="shared" si="881"/>
        <v/>
      </c>
      <c r="BV636" s="66" t="str">
        <f t="shared" si="881"/>
        <v/>
      </c>
      <c r="BW636" s="66" t="str">
        <f>+IF($W636="","",ROUND((BT636*Parámetros!$G$85),2))</f>
        <v/>
      </c>
      <c r="BX636" s="66" t="str">
        <f>+IF($W636="","",ROUND((BT636*(Parámetros!$G$86)),2))</f>
        <v/>
      </c>
      <c r="BY636" s="66" t="str">
        <f t="shared" si="882"/>
        <v/>
      </c>
      <c r="BZ636" t="str">
        <f t="shared" si="923"/>
        <v/>
      </c>
      <c r="CA636" t="str">
        <f t="shared" si="924"/>
        <v/>
      </c>
      <c r="CB636" s="118" t="str">
        <f t="shared" si="925"/>
        <v/>
      </c>
      <c r="CC636" s="118" t="str">
        <f t="shared" si="926"/>
        <v/>
      </c>
      <c r="CD636" s="119" t="str">
        <f t="shared" si="883"/>
        <v/>
      </c>
      <c r="CE636" s="66" t="str">
        <f>+IF($W636="","",ROUND((VLOOKUP(ROUNDDOWN($D636-1/frec,0),cob_adi,BO$40,FALSE)*(1+i/frec)^-0.5*(1+Parámetros!$D$103)*(1+rec_fracc)/frec*'TABLAS ADI'!$BC$17),2))</f>
        <v/>
      </c>
      <c r="CF636" s="119" t="str">
        <f t="shared" si="884"/>
        <v/>
      </c>
      <c r="CG636" s="66" t="str">
        <f>+IF($W636="","",ROUND(IF($B636&gt;Parámetros!$D$107,'Tablas Servicio'!CE636+('Tablas Servicio'!CG635-'Tablas Servicio'!CE635),CE636/(1-IF(B636&lt;=10,Parámetros!$D$100,0))),2))</f>
        <v/>
      </c>
      <c r="CH636" s="66" t="str">
        <f t="shared" si="885"/>
        <v/>
      </c>
      <c r="CI636" s="66" t="str">
        <f t="shared" si="885"/>
        <v/>
      </c>
      <c r="CJ636" s="66" t="str">
        <f>+IF($W636="","",ROUND((CG636*Parámetros!$G$85),2))</f>
        <v/>
      </c>
      <c r="CK636" s="66" t="str">
        <f>+IF($W636="","",ROUND((CG636*(Parámetros!$G$86)),2))</f>
        <v/>
      </c>
      <c r="CL636" s="66" t="str">
        <f t="shared" si="886"/>
        <v/>
      </c>
      <c r="CM636" t="str">
        <f t="shared" si="927"/>
        <v/>
      </c>
      <c r="CN636" s="118" t="str">
        <f t="shared" si="928"/>
        <v/>
      </c>
      <c r="CO636" s="118" t="str">
        <f t="shared" si="929"/>
        <v/>
      </c>
      <c r="CP636" s="118" t="str">
        <f t="shared" si="930"/>
        <v/>
      </c>
      <c r="CQ636" s="119" t="str">
        <f t="shared" si="887"/>
        <v/>
      </c>
      <c r="CR636" s="66" t="str">
        <f>+IF($W636="","",ROUND((VLOOKUP(Parámetros!$F$51,'COBERTURAS ADICIONALES'!$S$4:$T$32,2,FALSE)*(1+i/frec)^-0.5*(1+Parámetros!$D$103)*(1+rec_fracc)/frec*$CO$42),2))</f>
        <v/>
      </c>
      <c r="CS636" s="119" t="str">
        <f t="shared" si="888"/>
        <v/>
      </c>
      <c r="CT636" s="66" t="str">
        <f>+IF($W636="","",ROUND(IF($B636&gt;Parámetros!$D$107,'Tablas Servicio'!CR636+('Tablas Servicio'!CT635-'Tablas Servicio'!CR635),CR636/(1-IF(B636&lt;=10,Parámetros!$D$100,0))),2))</f>
        <v/>
      </c>
      <c r="CU636" s="66" t="str">
        <f t="shared" si="889"/>
        <v/>
      </c>
      <c r="CV636" s="66" t="str">
        <f t="shared" si="889"/>
        <v/>
      </c>
      <c r="CW636" s="66" t="str">
        <f>+IF($W636="","",ROUND((CT636*Parámetros!$G$85),2))</f>
        <v/>
      </c>
      <c r="CX636" s="66" t="str">
        <f>+IF($W636="","",ROUND((CT636*(Parámetros!$G$86)),2))</f>
        <v/>
      </c>
      <c r="CY636" s="66" t="str">
        <f t="shared" si="890"/>
        <v/>
      </c>
      <c r="CZ636" t="str">
        <f t="shared" si="931"/>
        <v/>
      </c>
      <c r="DA636" s="118" t="str">
        <f t="shared" si="932"/>
        <v/>
      </c>
      <c r="DB636" s="118" t="str">
        <f t="shared" si="933"/>
        <v/>
      </c>
      <c r="DC636" s="118" t="str">
        <f t="shared" si="934"/>
        <v/>
      </c>
      <c r="DD636" s="121" t="str">
        <f>+IF(OR($W636="",DB636=0),"",ROUND((VLOOKUP(ROUNDDOWN($D636-1/frec,0),cob_adi,CO$40,FALSE)*(1+i/frec)^-0.5*(1+Parámetros!$D$103)*(1+rec_fracc)/frec),6))</f>
        <v/>
      </c>
      <c r="DE636" s="66" t="str">
        <f t="shared" si="891"/>
        <v/>
      </c>
      <c r="DF636" s="119" t="str">
        <f t="shared" si="892"/>
        <v/>
      </c>
      <c r="DG636" s="66" t="str">
        <f>+IF($W636="","",ROUND(IF($B636&gt;Parámetros!$D$107,'Tablas Servicio'!DE636+('Tablas Servicio'!DG635-'Tablas Servicio'!DE635),DE636/(1-IF(B636&lt;=10,Parámetros!$D$100,0))),2))</f>
        <v/>
      </c>
      <c r="DH636" s="66" t="str">
        <f t="shared" si="893"/>
        <v/>
      </c>
      <c r="DI636" s="66" t="str">
        <f t="shared" si="893"/>
        <v/>
      </c>
      <c r="DJ636" s="66" t="str">
        <f>+IF($W636="","",ROUND((DG636*Parámetros!$G$85),2))</f>
        <v/>
      </c>
      <c r="DK636" s="66" t="str">
        <f>+IF($W636="","",ROUND((DG636*(Parámetros!$G$86)),2))</f>
        <v/>
      </c>
      <c r="DL636" s="66" t="str">
        <f t="shared" si="894"/>
        <v/>
      </c>
      <c r="DM636" t="str">
        <f t="shared" si="935"/>
        <v/>
      </c>
      <c r="DN636" s="118" t="str">
        <f t="shared" si="936"/>
        <v/>
      </c>
      <c r="DO636" s="118" t="str">
        <f t="shared" si="937"/>
        <v/>
      </c>
      <c r="DP636" s="118" t="str">
        <f t="shared" si="938"/>
        <v/>
      </c>
      <c r="DQ636" s="122" t="str">
        <f>+IF(OR($W636="",DO636=0),"",ROUND((VLOOKUP(ROUNDDOWN($D636-1/frec,0),cob_adi,DB$40,FALSE)*(1+i/frec)^-0.5*(1+Parámetros!$D$103)*(1+rec_fracc)/frec),6))</f>
        <v/>
      </c>
      <c r="DR636" s="66" t="str">
        <f t="shared" si="895"/>
        <v/>
      </c>
      <c r="DS636" s="68" t="str">
        <f t="shared" si="896"/>
        <v/>
      </c>
      <c r="DT636" s="66" t="str">
        <f>+IF($W636="","",ROUND(IF($B636&gt;Parámetros!$D$107,'Tablas Servicio'!DR636+('Tablas Servicio'!DT635-'Tablas Servicio'!DR635),DR636/(1-IF(B636&lt;=10,Parámetros!$D$100,0))),2))</f>
        <v/>
      </c>
      <c r="DU636" s="66" t="str">
        <f t="shared" si="897"/>
        <v/>
      </c>
      <c r="DV636" s="66" t="str">
        <f t="shared" si="897"/>
        <v/>
      </c>
      <c r="DW636" s="66" t="str">
        <f>+IF($W636="","",ROUND((DT636*Parámetros!$G$85),2))</f>
        <v/>
      </c>
      <c r="DX636" s="66" t="str">
        <f>+IF($W636="","",ROUND((DT636*(Parámetros!$G$86)),2))</f>
        <v/>
      </c>
      <c r="DY636" s="66" t="str">
        <f t="shared" si="898"/>
        <v/>
      </c>
      <c r="DZ636" t="str">
        <f t="shared" si="939"/>
        <v/>
      </c>
      <c r="EA636" s="118" t="str">
        <f t="shared" si="939"/>
        <v/>
      </c>
      <c r="EB636" s="118" t="str">
        <f>+IF($W636="","",ROUND(IF(Parámetros!$D$25='TABLAS MORT'!$V$33,EB635,Z636/2),0))</f>
        <v/>
      </c>
      <c r="EC636" s="118" t="str">
        <f t="shared" si="939"/>
        <v/>
      </c>
      <c r="ED636" s="122" t="str">
        <f>+IF(OR($W636="",EB636=0),"",ROUND((VLOOKUP(ROUNDDOWN($D636-1/frec,0),cob_adi,DO$40,FALSE)*(1+i/frec)^-0.5*(1+Parámetros!$D$103)*(1+rec_fracc)/frec),6))</f>
        <v/>
      </c>
      <c r="EE636" s="66" t="str">
        <f t="shared" si="900"/>
        <v/>
      </c>
      <c r="EF636" s="68" t="str">
        <f t="shared" si="901"/>
        <v/>
      </c>
      <c r="EG636" s="66" t="str">
        <f>+IF($W636="","",ROUND(IF($B636&gt;Parámetros!$D$107,'Tablas Servicio'!EE636+('Tablas Servicio'!EG635-'Tablas Servicio'!EE635),EE636/(1-IF(B636&lt;=10,Parámetros!$D$100,0))),2))</f>
        <v/>
      </c>
      <c r="EH636" s="66" t="str">
        <f t="shared" si="902"/>
        <v/>
      </c>
      <c r="EI636" s="66" t="str">
        <f t="shared" si="902"/>
        <v/>
      </c>
      <c r="EJ636" s="66" t="str">
        <f>+IF($W636="","",ROUND((EG636*Parámetros!$G$85),2))</f>
        <v/>
      </c>
      <c r="EK636" s="66" t="str">
        <f>+IF($W636="","",ROUND((EG636*(Parámetros!$G$86)),2))</f>
        <v/>
      </c>
      <c r="EL636" s="66" t="str">
        <f t="shared" si="903"/>
        <v/>
      </c>
    </row>
    <row r="637" spans="1:142" x14ac:dyDescent="0.25">
      <c r="A637" t="str">
        <f>+IF($C637="","",ROUND(VLOOKUP('Tablas Servicio'!B637,Parámetros!$H$100:$J$159,IF(Parámetros!$E$16="F",2,3),FALSE),2))</f>
        <v/>
      </c>
      <c r="B637" t="str">
        <f t="shared" si="854"/>
        <v/>
      </c>
      <c r="C637" s="57" t="str">
        <f>+IF(D637="","",'Tablas Servicio'!C636+1)</f>
        <v/>
      </c>
      <c r="D637" s="56" t="str">
        <f>+IF(D636&lt;edadmaxtabla,D636+1/Parámetros!$E$25,"")</f>
        <v/>
      </c>
      <c r="E637" s="57" t="str">
        <f t="shared" si="864"/>
        <v/>
      </c>
      <c r="F637" s="59" t="str">
        <f t="shared" si="865"/>
        <v/>
      </c>
      <c r="G637" s="66" t="str">
        <f t="shared" si="855"/>
        <v/>
      </c>
      <c r="H637" s="66" t="str">
        <f t="shared" si="856"/>
        <v/>
      </c>
      <c r="I637" s="66" t="str">
        <f t="shared" si="904"/>
        <v/>
      </c>
      <c r="J637" s="66" t="str">
        <f t="shared" si="857"/>
        <v/>
      </c>
      <c r="K637" s="66" t="str">
        <f t="shared" si="858"/>
        <v/>
      </c>
      <c r="L637" s="66" t="str">
        <f t="shared" si="859"/>
        <v/>
      </c>
      <c r="M637" s="66" t="str">
        <f t="shared" si="860"/>
        <v/>
      </c>
      <c r="N637" s="66" t="str">
        <f>+IF(C637="","",ROUND(Parámetros!$D$23,2))</f>
        <v/>
      </c>
      <c r="O637" s="66" t="str">
        <f t="shared" si="861"/>
        <v/>
      </c>
      <c r="P637" s="66" t="str">
        <f>+IF($C637="","",ROUND(IF(B637&gt;Parámetros!$D$117,0,N637*Parámetros!$D$116-G637*Parámetros!$D$100),2))</f>
        <v/>
      </c>
      <c r="Q637" s="75" t="str">
        <f t="shared" si="905"/>
        <v/>
      </c>
      <c r="R637" s="75" t="str">
        <f t="shared" si="906"/>
        <v/>
      </c>
      <c r="S637" s="117" t="str">
        <f>+IF($C637="","",ROUND((S636+I637)*(1+Parámetros!$D$91),2))</f>
        <v/>
      </c>
      <c r="T637" s="117" t="str">
        <f>+IF($C637="","",ROUND(S637*VLOOKUP(B637,Parámetros!$C$30:$D$39,2,TRUE),2))</f>
        <v/>
      </c>
      <c r="U637" s="117" t="str">
        <f>+IF($C637="","",ROUND((U636+I637)*(1+Parámetros!$D$92),2))</f>
        <v/>
      </c>
      <c r="V637" s="117" t="str">
        <f>+IF($C637="","",ROUND(U637*VLOOKUP(B637,Parámetros!$C$30:$D$39,2,TRUE),2))</f>
        <v/>
      </c>
      <c r="W637" s="57" t="str">
        <f t="shared" si="907"/>
        <v/>
      </c>
      <c r="X637" t="str">
        <f t="shared" si="908"/>
        <v/>
      </c>
      <c r="Y637" t="str">
        <f t="shared" si="909"/>
        <v/>
      </c>
      <c r="Z637" s="118" t="str">
        <f>+IF($W637="","",ROUND(IF(Parámetros!$D$25='TABLAS MORT'!$V$33,Z636,Parámetros!$D$21-'Tablas Servicio'!T636),0))</f>
        <v/>
      </c>
      <c r="AA637" s="118" t="str">
        <f t="shared" si="910"/>
        <v/>
      </c>
      <c r="AB637" s="119" t="str">
        <f>+IF(W637="","",ROUND((VLOOKUP(ROUNDDOWN($D637-1/frec,0),qx_tabla,2,FALSE)*(1+i/frec)^-0.5*(1+Parámetros!$D$103)*(1+rec_fracc)/frec),6))</f>
        <v/>
      </c>
      <c r="AC637" s="66" t="str">
        <f t="shared" si="866"/>
        <v/>
      </c>
      <c r="AD637" s="119" t="str">
        <f t="shared" si="862"/>
        <v/>
      </c>
      <c r="AE637" s="66" t="str">
        <f>+IF($W637="","",ROUND(IF($B637&gt;Parámetros!$D$107,'Tablas Servicio'!AC637+('Tablas Servicio'!AG636-'Tablas Servicio'!AC636),AC637/(1-IF(B637&lt;=10,Parámetros!$D$104,Parámetros!$D$105))),2))</f>
        <v/>
      </c>
      <c r="AF637" s="66" t="str">
        <f>+IF($W637="","",ROUND(IF($B637&gt;Parámetros!$D$107,'Tablas Servicio'!AC637+('Tablas Servicio'!AG636-'Tablas Servicio'!AC636),(AC637+$A636/frec)/(1-IF(B637&lt;=Parámetros!$D$117,Parámetros!$D$100,0))),2))</f>
        <v/>
      </c>
      <c r="AG637" s="66" t="str">
        <f t="shared" si="867"/>
        <v/>
      </c>
      <c r="AH637" s="66" t="str">
        <f t="shared" si="868"/>
        <v/>
      </c>
      <c r="AI637" s="66" t="str">
        <f t="shared" si="869"/>
        <v/>
      </c>
      <c r="AJ637" s="66" t="str">
        <f>+IF($W637="","",ROUND((AG637*Parámetros!$G$85),2))</f>
        <v/>
      </c>
      <c r="AK637" s="66" t="str">
        <f>+IF($W637="","",ROUND((AG637*(Parámetros!$G$86)),2))</f>
        <v/>
      </c>
      <c r="AL637" s="66" t="str">
        <f t="shared" si="863"/>
        <v/>
      </c>
      <c r="AM637" t="str">
        <f t="shared" si="911"/>
        <v/>
      </c>
      <c r="AN637" t="str">
        <f t="shared" si="912"/>
        <v/>
      </c>
      <c r="AO637" s="118" t="str">
        <f t="shared" si="913"/>
        <v/>
      </c>
      <c r="AP637" s="118" t="str">
        <f t="shared" si="914"/>
        <v/>
      </c>
      <c r="AQ637" s="119" t="str">
        <f>+IF(OR($W637="",AO637=0),"",ROUND((VLOOKUP(ROUNDDOWN($D637-1/frec,0),cob_adi,Z$40,FALSE)*(1+i/frec)^-0.5*(1+Parámetros!$D$103)*(1+rec_fracc)/frec),6))</f>
        <v/>
      </c>
      <c r="AR637" s="66" t="str">
        <f t="shared" si="870"/>
        <v/>
      </c>
      <c r="AS637" s="119" t="str">
        <f t="shared" si="871"/>
        <v/>
      </c>
      <c r="AT637" s="66" t="str">
        <f>+IF($W637="","",ROUND(IF($B637&gt;Parámetros!$D$107,'Tablas Servicio'!AR637+('Tablas Servicio'!AT636-'Tablas Servicio'!AR636),AR637/(1-IF(B637&lt;=10,Parámetros!$D$100,0))),2))</f>
        <v/>
      </c>
      <c r="AU637" s="66" t="str">
        <f t="shared" si="872"/>
        <v/>
      </c>
      <c r="AV637" s="66" t="str">
        <f t="shared" si="872"/>
        <v/>
      </c>
      <c r="AW637" s="66" t="str">
        <f>+IF($W637="","",ROUND((AT637*Parámetros!$G$85),2))</f>
        <v/>
      </c>
      <c r="AX637" s="66" t="str">
        <f>+IF($W637="","",ROUND((AT637*(Parámetros!$G$86)),2))</f>
        <v/>
      </c>
      <c r="AY637" s="66" t="str">
        <f t="shared" si="873"/>
        <v/>
      </c>
      <c r="AZ637" t="str">
        <f t="shared" si="915"/>
        <v/>
      </c>
      <c r="BA637" t="str">
        <f t="shared" si="916"/>
        <v/>
      </c>
      <c r="BB637" s="118" t="str">
        <f t="shared" si="917"/>
        <v/>
      </c>
      <c r="BC637" s="118" t="str">
        <f t="shared" si="918"/>
        <v/>
      </c>
      <c r="BD637" s="119" t="str">
        <f>+IF(OR($W637="",BB637=0),"",ROUND((VLOOKUP(ROUNDDOWN($D637-1/frec,0),cob_adi,AO$40,FALSE)*(1+i/frec)^-0.5*(1+Parámetros!$D$103)*(1+rec_fracc)/frec),6))</f>
        <v/>
      </c>
      <c r="BE637" s="66" t="str">
        <f t="shared" si="874"/>
        <v/>
      </c>
      <c r="BF637" s="119" t="str">
        <f t="shared" si="875"/>
        <v/>
      </c>
      <c r="BG637" s="66" t="str">
        <f>+IF($W637="","",ROUND(IF($B637&gt;Parámetros!$D$107,'Tablas Servicio'!BE637+('Tablas Servicio'!BG636-'Tablas Servicio'!BE636),BE637/(1-IF(B637&lt;=10,Parámetros!$D$100,0))),2))</f>
        <v/>
      </c>
      <c r="BH637" s="66" t="str">
        <f t="shared" si="876"/>
        <v/>
      </c>
      <c r="BI637" s="66" t="str">
        <f t="shared" si="877"/>
        <v/>
      </c>
      <c r="BJ637" s="66" t="str">
        <f>+IF($W637="","",ROUND((BG637*Parámetros!$G$85),2))</f>
        <v/>
      </c>
      <c r="BK637" s="66" t="str">
        <f>+IF($W637="","",ROUND((BG637*(Parámetros!$G$86)),2))</f>
        <v/>
      </c>
      <c r="BL637" s="66" t="str">
        <f t="shared" si="878"/>
        <v/>
      </c>
      <c r="BM637" t="str">
        <f t="shared" si="919"/>
        <v/>
      </c>
      <c r="BN637" t="str">
        <f t="shared" si="920"/>
        <v/>
      </c>
      <c r="BO637" s="118" t="str">
        <f t="shared" si="921"/>
        <v/>
      </c>
      <c r="BP637" s="118" t="str">
        <f t="shared" si="922"/>
        <v/>
      </c>
      <c r="BQ637" s="119" t="str">
        <f>+IF(OR($W637="",BO637=0),"",ROUND((VLOOKUP(ROUNDDOWN($D637-1/frec,0),cob_adi,BB$40,FALSE)*(1+i/frec)^-0.5*(1+Parámetros!$D$103)*(1+rec_fracc)/frec),6))</f>
        <v/>
      </c>
      <c r="BR637" s="66" t="str">
        <f t="shared" si="879"/>
        <v/>
      </c>
      <c r="BS637" s="119" t="str">
        <f t="shared" si="880"/>
        <v/>
      </c>
      <c r="BT637" s="66" t="str">
        <f>+IF($W637="","",ROUND(IF($B637&gt;Parámetros!$D$107,'Tablas Servicio'!BR637+('Tablas Servicio'!BT636-'Tablas Servicio'!BR636),BR637/(1-IF(B637&lt;=10,Parámetros!$D$100,0))),2))</f>
        <v/>
      </c>
      <c r="BU637" s="66" t="str">
        <f t="shared" si="881"/>
        <v/>
      </c>
      <c r="BV637" s="66" t="str">
        <f t="shared" si="881"/>
        <v/>
      </c>
      <c r="BW637" s="66" t="str">
        <f>+IF($W637="","",ROUND((BT637*Parámetros!$G$85),2))</f>
        <v/>
      </c>
      <c r="BX637" s="66" t="str">
        <f>+IF($W637="","",ROUND((BT637*(Parámetros!$G$86)),2))</f>
        <v/>
      </c>
      <c r="BY637" s="66" t="str">
        <f t="shared" si="882"/>
        <v/>
      </c>
      <c r="BZ637" t="str">
        <f t="shared" si="923"/>
        <v/>
      </c>
      <c r="CA637" t="str">
        <f t="shared" si="924"/>
        <v/>
      </c>
      <c r="CB637" s="118" t="str">
        <f t="shared" si="925"/>
        <v/>
      </c>
      <c r="CC637" s="118" t="str">
        <f t="shared" si="926"/>
        <v/>
      </c>
      <c r="CD637" s="119" t="str">
        <f t="shared" si="883"/>
        <v/>
      </c>
      <c r="CE637" s="66" t="str">
        <f>+IF($W637="","",ROUND((VLOOKUP(ROUNDDOWN($D637-1/frec,0),cob_adi,BO$40,FALSE)*(1+i/frec)^-0.5*(1+Parámetros!$D$103)*(1+rec_fracc)/frec*'TABLAS ADI'!$BC$17),2))</f>
        <v/>
      </c>
      <c r="CF637" s="119" t="str">
        <f t="shared" si="884"/>
        <v/>
      </c>
      <c r="CG637" s="66" t="str">
        <f>+IF($W637="","",ROUND(IF($B637&gt;Parámetros!$D$107,'Tablas Servicio'!CE637+('Tablas Servicio'!CG636-'Tablas Servicio'!CE636),CE637/(1-IF(B637&lt;=10,Parámetros!$D$100,0))),2))</f>
        <v/>
      </c>
      <c r="CH637" s="66" t="str">
        <f t="shared" si="885"/>
        <v/>
      </c>
      <c r="CI637" s="66" t="str">
        <f t="shared" si="885"/>
        <v/>
      </c>
      <c r="CJ637" s="66" t="str">
        <f>+IF($W637="","",ROUND((CG637*Parámetros!$G$85),2))</f>
        <v/>
      </c>
      <c r="CK637" s="66" t="str">
        <f>+IF($W637="","",ROUND((CG637*(Parámetros!$G$86)),2))</f>
        <v/>
      </c>
      <c r="CL637" s="66" t="str">
        <f t="shared" si="886"/>
        <v/>
      </c>
      <c r="CM637" t="str">
        <f t="shared" si="927"/>
        <v/>
      </c>
      <c r="CN637" s="118" t="str">
        <f t="shared" si="928"/>
        <v/>
      </c>
      <c r="CO637" s="118" t="str">
        <f t="shared" si="929"/>
        <v/>
      </c>
      <c r="CP637" s="118" t="str">
        <f t="shared" si="930"/>
        <v/>
      </c>
      <c r="CQ637" s="119" t="str">
        <f t="shared" si="887"/>
        <v/>
      </c>
      <c r="CR637" s="66" t="str">
        <f>+IF($W637="","",ROUND((VLOOKUP(Parámetros!$F$51,'COBERTURAS ADICIONALES'!$S$4:$T$32,2,FALSE)*(1+i/frec)^-0.5*(1+Parámetros!$D$103)*(1+rec_fracc)/frec*$CO$42),2))</f>
        <v/>
      </c>
      <c r="CS637" s="119" t="str">
        <f t="shared" si="888"/>
        <v/>
      </c>
      <c r="CT637" s="66" t="str">
        <f>+IF($W637="","",ROUND(IF($B637&gt;Parámetros!$D$107,'Tablas Servicio'!CR637+('Tablas Servicio'!CT636-'Tablas Servicio'!CR636),CR637/(1-IF(B637&lt;=10,Parámetros!$D$100,0))),2))</f>
        <v/>
      </c>
      <c r="CU637" s="66" t="str">
        <f t="shared" si="889"/>
        <v/>
      </c>
      <c r="CV637" s="66" t="str">
        <f t="shared" si="889"/>
        <v/>
      </c>
      <c r="CW637" s="66" t="str">
        <f>+IF($W637="","",ROUND((CT637*Parámetros!$G$85),2))</f>
        <v/>
      </c>
      <c r="CX637" s="66" t="str">
        <f>+IF($W637="","",ROUND((CT637*(Parámetros!$G$86)),2))</f>
        <v/>
      </c>
      <c r="CY637" s="66" t="str">
        <f t="shared" si="890"/>
        <v/>
      </c>
      <c r="CZ637" t="str">
        <f t="shared" si="931"/>
        <v/>
      </c>
      <c r="DA637" s="118" t="str">
        <f t="shared" si="932"/>
        <v/>
      </c>
      <c r="DB637" s="118" t="str">
        <f t="shared" si="933"/>
        <v/>
      </c>
      <c r="DC637" s="118" t="str">
        <f t="shared" si="934"/>
        <v/>
      </c>
      <c r="DD637" s="121" t="str">
        <f>+IF(OR($W637="",DB637=0),"",ROUND((VLOOKUP(ROUNDDOWN($D637-1/frec,0),cob_adi,CO$40,FALSE)*(1+i/frec)^-0.5*(1+Parámetros!$D$103)*(1+rec_fracc)/frec),6))</f>
        <v/>
      </c>
      <c r="DE637" s="66" t="str">
        <f t="shared" si="891"/>
        <v/>
      </c>
      <c r="DF637" s="119" t="str">
        <f t="shared" si="892"/>
        <v/>
      </c>
      <c r="DG637" s="66" t="str">
        <f>+IF($W637="","",ROUND(IF($B637&gt;Parámetros!$D$107,'Tablas Servicio'!DE637+('Tablas Servicio'!DG636-'Tablas Servicio'!DE636),DE637/(1-IF(B637&lt;=10,Parámetros!$D$100,0))),2))</f>
        <v/>
      </c>
      <c r="DH637" s="66" t="str">
        <f t="shared" si="893"/>
        <v/>
      </c>
      <c r="DI637" s="66" t="str">
        <f t="shared" si="893"/>
        <v/>
      </c>
      <c r="DJ637" s="66" t="str">
        <f>+IF($W637="","",ROUND((DG637*Parámetros!$G$85),2))</f>
        <v/>
      </c>
      <c r="DK637" s="66" t="str">
        <f>+IF($W637="","",ROUND((DG637*(Parámetros!$G$86)),2))</f>
        <v/>
      </c>
      <c r="DL637" s="66" t="str">
        <f t="shared" si="894"/>
        <v/>
      </c>
      <c r="DM637" t="str">
        <f t="shared" si="935"/>
        <v/>
      </c>
      <c r="DN637" s="118" t="str">
        <f t="shared" si="936"/>
        <v/>
      </c>
      <c r="DO637" s="118" t="str">
        <f t="shared" si="937"/>
        <v/>
      </c>
      <c r="DP637" s="118" t="str">
        <f t="shared" si="938"/>
        <v/>
      </c>
      <c r="DQ637" s="122" t="str">
        <f>+IF(OR($W637="",DO637=0),"",ROUND((VLOOKUP(ROUNDDOWN($D637-1/frec,0),cob_adi,DB$40,FALSE)*(1+i/frec)^-0.5*(1+Parámetros!$D$103)*(1+rec_fracc)/frec),6))</f>
        <v/>
      </c>
      <c r="DR637" s="66" t="str">
        <f t="shared" si="895"/>
        <v/>
      </c>
      <c r="DS637" s="68" t="str">
        <f t="shared" si="896"/>
        <v/>
      </c>
      <c r="DT637" s="66" t="str">
        <f>+IF($W637="","",ROUND(IF($B637&gt;Parámetros!$D$107,'Tablas Servicio'!DR637+('Tablas Servicio'!DT636-'Tablas Servicio'!DR636),DR637/(1-IF(B637&lt;=10,Parámetros!$D$100,0))),2))</f>
        <v/>
      </c>
      <c r="DU637" s="66" t="str">
        <f t="shared" si="897"/>
        <v/>
      </c>
      <c r="DV637" s="66" t="str">
        <f t="shared" si="897"/>
        <v/>
      </c>
      <c r="DW637" s="66" t="str">
        <f>+IF($W637="","",ROUND((DT637*Parámetros!$G$85),2))</f>
        <v/>
      </c>
      <c r="DX637" s="66" t="str">
        <f>+IF($W637="","",ROUND((DT637*(Parámetros!$G$86)),2))</f>
        <v/>
      </c>
      <c r="DY637" s="66" t="str">
        <f t="shared" si="898"/>
        <v/>
      </c>
      <c r="DZ637" t="str">
        <f t="shared" si="939"/>
        <v/>
      </c>
      <c r="EA637" s="118" t="str">
        <f t="shared" si="939"/>
        <v/>
      </c>
      <c r="EB637" s="118" t="str">
        <f>+IF($W637="","",ROUND(IF(Parámetros!$D$25='TABLAS MORT'!$V$33,EB636,Z637/2),0))</f>
        <v/>
      </c>
      <c r="EC637" s="118" t="str">
        <f t="shared" si="939"/>
        <v/>
      </c>
      <c r="ED637" s="122" t="str">
        <f>+IF(OR($W637="",EB637=0),"",ROUND((VLOOKUP(ROUNDDOWN($D637-1/frec,0),cob_adi,DO$40,FALSE)*(1+i/frec)^-0.5*(1+Parámetros!$D$103)*(1+rec_fracc)/frec),6))</f>
        <v/>
      </c>
      <c r="EE637" s="66" t="str">
        <f t="shared" si="900"/>
        <v/>
      </c>
      <c r="EF637" s="68" t="str">
        <f t="shared" si="901"/>
        <v/>
      </c>
      <c r="EG637" s="66" t="str">
        <f>+IF($W637="","",ROUND(IF($B637&gt;Parámetros!$D$107,'Tablas Servicio'!EE637+('Tablas Servicio'!EG636-'Tablas Servicio'!EE636),EE637/(1-IF(B637&lt;=10,Parámetros!$D$100,0))),2))</f>
        <v/>
      </c>
      <c r="EH637" s="66" t="str">
        <f t="shared" si="902"/>
        <v/>
      </c>
      <c r="EI637" s="66" t="str">
        <f t="shared" si="902"/>
        <v/>
      </c>
      <c r="EJ637" s="66" t="str">
        <f>+IF($W637="","",ROUND((EG637*Parámetros!$G$85),2))</f>
        <v/>
      </c>
      <c r="EK637" s="66" t="str">
        <f>+IF($W637="","",ROUND((EG637*(Parámetros!$G$86)),2))</f>
        <v/>
      </c>
      <c r="EL637" s="66" t="str">
        <f t="shared" si="903"/>
        <v/>
      </c>
    </row>
    <row r="638" spans="1:142" x14ac:dyDescent="0.25">
      <c r="A638" t="str">
        <f>+IF($C638="","",ROUND(VLOOKUP('Tablas Servicio'!B638,Parámetros!$H$100:$J$159,IF(Parámetros!$E$16="F",2,3),FALSE),2))</f>
        <v/>
      </c>
      <c r="B638" t="str">
        <f t="shared" si="854"/>
        <v/>
      </c>
      <c r="C638" s="57" t="str">
        <f>+IF(D638="","",'Tablas Servicio'!C637+1)</f>
        <v/>
      </c>
      <c r="D638" s="56" t="str">
        <f>+IF(D637&lt;edadmaxtabla,D637+1/Parámetros!$E$25,"")</f>
        <v/>
      </c>
      <c r="E638" s="57" t="str">
        <f t="shared" si="864"/>
        <v/>
      </c>
      <c r="F638" s="59" t="str">
        <f t="shared" si="865"/>
        <v/>
      </c>
      <c r="G638" s="66" t="str">
        <f t="shared" si="855"/>
        <v/>
      </c>
      <c r="H638" s="66" t="str">
        <f t="shared" si="856"/>
        <v/>
      </c>
      <c r="I638" s="66" t="str">
        <f t="shared" si="904"/>
        <v/>
      </c>
      <c r="J638" s="66" t="str">
        <f t="shared" si="857"/>
        <v/>
      </c>
      <c r="K638" s="66" t="str">
        <f t="shared" si="858"/>
        <v/>
      </c>
      <c r="L638" s="66" t="str">
        <f t="shared" si="859"/>
        <v/>
      </c>
      <c r="M638" s="66" t="str">
        <f t="shared" si="860"/>
        <v/>
      </c>
      <c r="N638" s="66" t="str">
        <f>+IF(C638="","",ROUND(Parámetros!$D$23,2))</f>
        <v/>
      </c>
      <c r="O638" s="66" t="str">
        <f t="shared" si="861"/>
        <v/>
      </c>
      <c r="P638" s="66" t="str">
        <f>+IF($C638="","",ROUND(IF(B638&gt;Parámetros!$D$117,0,N638*Parámetros!$D$116-G638*Parámetros!$D$100),2))</f>
        <v/>
      </c>
      <c r="Q638" s="75" t="str">
        <f t="shared" si="905"/>
        <v/>
      </c>
      <c r="R638" s="75" t="str">
        <f t="shared" si="906"/>
        <v/>
      </c>
      <c r="S638" s="117" t="str">
        <f>+IF($C638="","",ROUND((S637+I638)*(1+Parámetros!$D$91),2))</f>
        <v/>
      </c>
      <c r="T638" s="117" t="str">
        <f>+IF($C638="","",ROUND(S638*VLOOKUP(B638,Parámetros!$C$30:$D$39,2,TRUE),2))</f>
        <v/>
      </c>
      <c r="U638" s="117" t="str">
        <f>+IF($C638="","",ROUND((U637+I638)*(1+Parámetros!$D$92),2))</f>
        <v/>
      </c>
      <c r="V638" s="117" t="str">
        <f>+IF($C638="","",ROUND(U638*VLOOKUP(B638,Parámetros!$C$30:$D$39,2,TRUE),2))</f>
        <v/>
      </c>
      <c r="W638" s="57" t="str">
        <f t="shared" si="907"/>
        <v/>
      </c>
      <c r="X638" t="str">
        <f t="shared" si="908"/>
        <v/>
      </c>
      <c r="Y638" t="str">
        <f t="shared" si="909"/>
        <v/>
      </c>
      <c r="Z638" s="118" t="str">
        <f>+IF($W638="","",ROUND(IF(Parámetros!$D$25='TABLAS MORT'!$V$33,Z637,Parámetros!$D$21-'Tablas Servicio'!T637),0))</f>
        <v/>
      </c>
      <c r="AA638" s="118" t="str">
        <f t="shared" si="910"/>
        <v/>
      </c>
      <c r="AB638" s="119" t="str">
        <f>+IF(W638="","",ROUND((VLOOKUP(ROUNDDOWN($D638-1/frec,0),qx_tabla,2,FALSE)*(1+i/frec)^-0.5*(1+Parámetros!$D$103)*(1+rec_fracc)/frec),6))</f>
        <v/>
      </c>
      <c r="AC638" s="66" t="str">
        <f t="shared" si="866"/>
        <v/>
      </c>
      <c r="AD638" s="119" t="str">
        <f t="shared" si="862"/>
        <v/>
      </c>
      <c r="AE638" s="66" t="str">
        <f>+IF($W638="","",ROUND(IF($B638&gt;Parámetros!$D$107,'Tablas Servicio'!AC638+('Tablas Servicio'!AG637-'Tablas Servicio'!AC637),AC638/(1-IF(B638&lt;=10,Parámetros!$D$104,Parámetros!$D$105))),2))</f>
        <v/>
      </c>
      <c r="AF638" s="66" t="str">
        <f>+IF($W638="","",ROUND(IF($B638&gt;Parámetros!$D$107,'Tablas Servicio'!AC638+('Tablas Servicio'!AG637-'Tablas Servicio'!AC637),(AC638+$A637/frec)/(1-IF(B638&lt;=Parámetros!$D$117,Parámetros!$D$100,0))),2))</f>
        <v/>
      </c>
      <c r="AG638" s="66" t="str">
        <f t="shared" si="867"/>
        <v/>
      </c>
      <c r="AH638" s="66" t="str">
        <f t="shared" si="868"/>
        <v/>
      </c>
      <c r="AI638" s="66" t="str">
        <f t="shared" si="869"/>
        <v/>
      </c>
      <c r="AJ638" s="66" t="str">
        <f>+IF($W638="","",ROUND((AG638*Parámetros!$G$85),2))</f>
        <v/>
      </c>
      <c r="AK638" s="66" t="str">
        <f>+IF($W638="","",ROUND((AG638*(Parámetros!$G$86)),2))</f>
        <v/>
      </c>
      <c r="AL638" s="66" t="str">
        <f t="shared" si="863"/>
        <v/>
      </c>
      <c r="AM638" t="str">
        <f t="shared" si="911"/>
        <v/>
      </c>
      <c r="AN638" t="str">
        <f t="shared" si="912"/>
        <v/>
      </c>
      <c r="AO638" s="118" t="str">
        <f t="shared" si="913"/>
        <v/>
      </c>
      <c r="AP638" s="118" t="str">
        <f t="shared" si="914"/>
        <v/>
      </c>
      <c r="AQ638" s="119" t="str">
        <f>+IF(OR($W638="",AO638=0),"",ROUND((VLOOKUP(ROUNDDOWN($D638-1/frec,0),cob_adi,Z$40,FALSE)*(1+i/frec)^-0.5*(1+Parámetros!$D$103)*(1+rec_fracc)/frec),6))</f>
        <v/>
      </c>
      <c r="AR638" s="66" t="str">
        <f t="shared" si="870"/>
        <v/>
      </c>
      <c r="AS638" s="119" t="str">
        <f t="shared" si="871"/>
        <v/>
      </c>
      <c r="AT638" s="66" t="str">
        <f>+IF($W638="","",ROUND(IF($B638&gt;Parámetros!$D$107,'Tablas Servicio'!AR638+('Tablas Servicio'!AT637-'Tablas Servicio'!AR637),AR638/(1-IF(B638&lt;=10,Parámetros!$D$100,0))),2))</f>
        <v/>
      </c>
      <c r="AU638" s="66" t="str">
        <f t="shared" si="872"/>
        <v/>
      </c>
      <c r="AV638" s="66" t="str">
        <f t="shared" si="872"/>
        <v/>
      </c>
      <c r="AW638" s="66" t="str">
        <f>+IF($W638="","",ROUND((AT638*Parámetros!$G$85),2))</f>
        <v/>
      </c>
      <c r="AX638" s="66" t="str">
        <f>+IF($W638="","",ROUND((AT638*(Parámetros!$G$86)),2))</f>
        <v/>
      </c>
      <c r="AY638" s="66" t="str">
        <f t="shared" si="873"/>
        <v/>
      </c>
      <c r="AZ638" t="str">
        <f t="shared" si="915"/>
        <v/>
      </c>
      <c r="BA638" t="str">
        <f t="shared" si="916"/>
        <v/>
      </c>
      <c r="BB638" s="118" t="str">
        <f t="shared" si="917"/>
        <v/>
      </c>
      <c r="BC638" s="118" t="str">
        <f t="shared" si="918"/>
        <v/>
      </c>
      <c r="BD638" s="119" t="str">
        <f>+IF(OR($W638="",BB638=0),"",ROUND((VLOOKUP(ROUNDDOWN($D638-1/frec,0),cob_adi,AO$40,FALSE)*(1+i/frec)^-0.5*(1+Parámetros!$D$103)*(1+rec_fracc)/frec),6))</f>
        <v/>
      </c>
      <c r="BE638" s="66" t="str">
        <f t="shared" si="874"/>
        <v/>
      </c>
      <c r="BF638" s="119" t="str">
        <f t="shared" si="875"/>
        <v/>
      </c>
      <c r="BG638" s="66" t="str">
        <f>+IF($W638="","",ROUND(IF($B638&gt;Parámetros!$D$107,'Tablas Servicio'!BE638+('Tablas Servicio'!BG637-'Tablas Servicio'!BE637),BE638/(1-IF(B638&lt;=10,Parámetros!$D$100,0))),2))</f>
        <v/>
      </c>
      <c r="BH638" s="66" t="str">
        <f t="shared" si="876"/>
        <v/>
      </c>
      <c r="BI638" s="66" t="str">
        <f t="shared" si="877"/>
        <v/>
      </c>
      <c r="BJ638" s="66" t="str">
        <f>+IF($W638="","",ROUND((BG638*Parámetros!$G$85),2))</f>
        <v/>
      </c>
      <c r="BK638" s="66" t="str">
        <f>+IF($W638="","",ROUND((BG638*(Parámetros!$G$86)),2))</f>
        <v/>
      </c>
      <c r="BL638" s="66" t="str">
        <f t="shared" si="878"/>
        <v/>
      </c>
      <c r="BM638" t="str">
        <f t="shared" si="919"/>
        <v/>
      </c>
      <c r="BN638" t="str">
        <f t="shared" si="920"/>
        <v/>
      </c>
      <c r="BO638" s="118" t="str">
        <f t="shared" si="921"/>
        <v/>
      </c>
      <c r="BP638" s="118" t="str">
        <f t="shared" si="922"/>
        <v/>
      </c>
      <c r="BQ638" s="119" t="str">
        <f>+IF(OR($W638="",BO638=0),"",ROUND((VLOOKUP(ROUNDDOWN($D638-1/frec,0),cob_adi,BB$40,FALSE)*(1+i/frec)^-0.5*(1+Parámetros!$D$103)*(1+rec_fracc)/frec),6))</f>
        <v/>
      </c>
      <c r="BR638" s="66" t="str">
        <f t="shared" si="879"/>
        <v/>
      </c>
      <c r="BS638" s="119" t="str">
        <f t="shared" si="880"/>
        <v/>
      </c>
      <c r="BT638" s="66" t="str">
        <f>+IF($W638="","",ROUND(IF($B638&gt;Parámetros!$D$107,'Tablas Servicio'!BR638+('Tablas Servicio'!BT637-'Tablas Servicio'!BR637),BR638/(1-IF(B638&lt;=10,Parámetros!$D$100,0))),2))</f>
        <v/>
      </c>
      <c r="BU638" s="66" t="str">
        <f t="shared" si="881"/>
        <v/>
      </c>
      <c r="BV638" s="66" t="str">
        <f t="shared" si="881"/>
        <v/>
      </c>
      <c r="BW638" s="66" t="str">
        <f>+IF($W638="","",ROUND((BT638*Parámetros!$G$85),2))</f>
        <v/>
      </c>
      <c r="BX638" s="66" t="str">
        <f>+IF($W638="","",ROUND((BT638*(Parámetros!$G$86)),2))</f>
        <v/>
      </c>
      <c r="BY638" s="66" t="str">
        <f t="shared" si="882"/>
        <v/>
      </c>
      <c r="BZ638" t="str">
        <f t="shared" si="923"/>
        <v/>
      </c>
      <c r="CA638" t="str">
        <f t="shared" si="924"/>
        <v/>
      </c>
      <c r="CB638" s="118" t="str">
        <f t="shared" si="925"/>
        <v/>
      </c>
      <c r="CC638" s="118" t="str">
        <f t="shared" si="926"/>
        <v/>
      </c>
      <c r="CD638" s="119" t="str">
        <f t="shared" si="883"/>
        <v/>
      </c>
      <c r="CE638" s="66" t="str">
        <f>+IF($W638="","",ROUND((VLOOKUP(ROUNDDOWN($D638-1/frec,0),cob_adi,BO$40,FALSE)*(1+i/frec)^-0.5*(1+Parámetros!$D$103)*(1+rec_fracc)/frec*'TABLAS ADI'!$BC$17),2))</f>
        <v/>
      </c>
      <c r="CF638" s="119" t="str">
        <f t="shared" si="884"/>
        <v/>
      </c>
      <c r="CG638" s="66" t="str">
        <f>+IF($W638="","",ROUND(IF($B638&gt;Parámetros!$D$107,'Tablas Servicio'!CE638+('Tablas Servicio'!CG637-'Tablas Servicio'!CE637),CE638/(1-IF(B638&lt;=10,Parámetros!$D$100,0))),2))</f>
        <v/>
      </c>
      <c r="CH638" s="66" t="str">
        <f t="shared" si="885"/>
        <v/>
      </c>
      <c r="CI638" s="66" t="str">
        <f t="shared" si="885"/>
        <v/>
      </c>
      <c r="CJ638" s="66" t="str">
        <f>+IF($W638="","",ROUND((CG638*Parámetros!$G$85),2))</f>
        <v/>
      </c>
      <c r="CK638" s="66" t="str">
        <f>+IF($W638="","",ROUND((CG638*(Parámetros!$G$86)),2))</f>
        <v/>
      </c>
      <c r="CL638" s="66" t="str">
        <f t="shared" si="886"/>
        <v/>
      </c>
      <c r="CM638" t="str">
        <f t="shared" si="927"/>
        <v/>
      </c>
      <c r="CN638" s="118" t="str">
        <f t="shared" si="928"/>
        <v/>
      </c>
      <c r="CO638" s="118" t="str">
        <f t="shared" si="929"/>
        <v/>
      </c>
      <c r="CP638" s="118" t="str">
        <f t="shared" si="930"/>
        <v/>
      </c>
      <c r="CQ638" s="119" t="str">
        <f t="shared" si="887"/>
        <v/>
      </c>
      <c r="CR638" s="66" t="str">
        <f>+IF($W638="","",ROUND((VLOOKUP(Parámetros!$F$51,'COBERTURAS ADICIONALES'!$S$4:$T$32,2,FALSE)*(1+i/frec)^-0.5*(1+Parámetros!$D$103)*(1+rec_fracc)/frec*$CO$42),2))</f>
        <v/>
      </c>
      <c r="CS638" s="119" t="str">
        <f t="shared" si="888"/>
        <v/>
      </c>
      <c r="CT638" s="66" t="str">
        <f>+IF($W638="","",ROUND(IF($B638&gt;Parámetros!$D$107,'Tablas Servicio'!CR638+('Tablas Servicio'!CT637-'Tablas Servicio'!CR637),CR638/(1-IF(B638&lt;=10,Parámetros!$D$100,0))),2))</f>
        <v/>
      </c>
      <c r="CU638" s="66" t="str">
        <f t="shared" si="889"/>
        <v/>
      </c>
      <c r="CV638" s="66" t="str">
        <f t="shared" si="889"/>
        <v/>
      </c>
      <c r="CW638" s="66" t="str">
        <f>+IF($W638="","",ROUND((CT638*Parámetros!$G$85),2))</f>
        <v/>
      </c>
      <c r="CX638" s="66" t="str">
        <f>+IF($W638="","",ROUND((CT638*(Parámetros!$G$86)),2))</f>
        <v/>
      </c>
      <c r="CY638" s="66" t="str">
        <f t="shared" si="890"/>
        <v/>
      </c>
      <c r="CZ638" t="str">
        <f t="shared" si="931"/>
        <v/>
      </c>
      <c r="DA638" s="118" t="str">
        <f t="shared" si="932"/>
        <v/>
      </c>
      <c r="DB638" s="118" t="str">
        <f t="shared" si="933"/>
        <v/>
      </c>
      <c r="DC638" s="118" t="str">
        <f t="shared" si="934"/>
        <v/>
      </c>
      <c r="DD638" s="121" t="str">
        <f>+IF(OR($W638="",DB638=0),"",ROUND((VLOOKUP(ROUNDDOWN($D638-1/frec,0),cob_adi,CO$40,FALSE)*(1+i/frec)^-0.5*(1+Parámetros!$D$103)*(1+rec_fracc)/frec),6))</f>
        <v/>
      </c>
      <c r="DE638" s="66" t="str">
        <f t="shared" si="891"/>
        <v/>
      </c>
      <c r="DF638" s="119" t="str">
        <f t="shared" si="892"/>
        <v/>
      </c>
      <c r="DG638" s="66" t="str">
        <f>+IF($W638="","",ROUND(IF($B638&gt;Parámetros!$D$107,'Tablas Servicio'!DE638+('Tablas Servicio'!DG637-'Tablas Servicio'!DE637),DE638/(1-IF(B638&lt;=10,Parámetros!$D$100,0))),2))</f>
        <v/>
      </c>
      <c r="DH638" s="66" t="str">
        <f t="shared" si="893"/>
        <v/>
      </c>
      <c r="DI638" s="66" t="str">
        <f t="shared" si="893"/>
        <v/>
      </c>
      <c r="DJ638" s="66" t="str">
        <f>+IF($W638="","",ROUND((DG638*Parámetros!$G$85),2))</f>
        <v/>
      </c>
      <c r="DK638" s="66" t="str">
        <f>+IF($W638="","",ROUND((DG638*(Parámetros!$G$86)),2))</f>
        <v/>
      </c>
      <c r="DL638" s="66" t="str">
        <f t="shared" si="894"/>
        <v/>
      </c>
      <c r="DM638" t="str">
        <f t="shared" si="935"/>
        <v/>
      </c>
      <c r="DN638" s="118" t="str">
        <f t="shared" si="936"/>
        <v/>
      </c>
      <c r="DO638" s="118" t="str">
        <f t="shared" si="937"/>
        <v/>
      </c>
      <c r="DP638" s="118" t="str">
        <f t="shared" si="938"/>
        <v/>
      </c>
      <c r="DQ638" s="122" t="str">
        <f>+IF(OR($W638="",DO638=0),"",ROUND((VLOOKUP(ROUNDDOWN($D638-1/frec,0),cob_adi,DB$40,FALSE)*(1+i/frec)^-0.5*(1+Parámetros!$D$103)*(1+rec_fracc)/frec),6))</f>
        <v/>
      </c>
      <c r="DR638" s="66" t="str">
        <f t="shared" si="895"/>
        <v/>
      </c>
      <c r="DS638" s="68" t="str">
        <f t="shared" si="896"/>
        <v/>
      </c>
      <c r="DT638" s="66" t="str">
        <f>+IF($W638="","",ROUND(IF($B638&gt;Parámetros!$D$107,'Tablas Servicio'!DR638+('Tablas Servicio'!DT637-'Tablas Servicio'!DR637),DR638/(1-IF(B638&lt;=10,Parámetros!$D$100,0))),2))</f>
        <v/>
      </c>
      <c r="DU638" s="66" t="str">
        <f t="shared" si="897"/>
        <v/>
      </c>
      <c r="DV638" s="66" t="str">
        <f t="shared" si="897"/>
        <v/>
      </c>
      <c r="DW638" s="66" t="str">
        <f>+IF($W638="","",ROUND((DT638*Parámetros!$G$85),2))</f>
        <v/>
      </c>
      <c r="DX638" s="66" t="str">
        <f>+IF($W638="","",ROUND((DT638*(Parámetros!$G$86)),2))</f>
        <v/>
      </c>
      <c r="DY638" s="66" t="str">
        <f t="shared" si="898"/>
        <v/>
      </c>
      <c r="DZ638" t="str">
        <f t="shared" si="939"/>
        <v/>
      </c>
      <c r="EA638" s="118" t="str">
        <f t="shared" si="939"/>
        <v/>
      </c>
      <c r="EB638" s="118" t="str">
        <f>+IF($W638="","",ROUND(IF(Parámetros!$D$25='TABLAS MORT'!$V$33,EB637,Z638/2),0))</f>
        <v/>
      </c>
      <c r="EC638" s="118" t="str">
        <f t="shared" si="939"/>
        <v/>
      </c>
      <c r="ED638" s="122" t="str">
        <f>+IF(OR($W638="",EB638=0),"",ROUND((VLOOKUP(ROUNDDOWN($D638-1/frec,0),cob_adi,DO$40,FALSE)*(1+i/frec)^-0.5*(1+Parámetros!$D$103)*(1+rec_fracc)/frec),6))</f>
        <v/>
      </c>
      <c r="EE638" s="66" t="str">
        <f t="shared" si="900"/>
        <v/>
      </c>
      <c r="EF638" s="68" t="str">
        <f t="shared" si="901"/>
        <v/>
      </c>
      <c r="EG638" s="66" t="str">
        <f>+IF($W638="","",ROUND(IF($B638&gt;Parámetros!$D$107,'Tablas Servicio'!EE638+('Tablas Servicio'!EG637-'Tablas Servicio'!EE637),EE638/(1-IF(B638&lt;=10,Parámetros!$D$100,0))),2))</f>
        <v/>
      </c>
      <c r="EH638" s="66" t="str">
        <f t="shared" si="902"/>
        <v/>
      </c>
      <c r="EI638" s="66" t="str">
        <f t="shared" si="902"/>
        <v/>
      </c>
      <c r="EJ638" s="66" t="str">
        <f>+IF($W638="","",ROUND((EG638*Parámetros!$G$85),2))</f>
        <v/>
      </c>
      <c r="EK638" s="66" t="str">
        <f>+IF($W638="","",ROUND((EG638*(Parámetros!$G$86)),2))</f>
        <v/>
      </c>
      <c r="EL638" s="66" t="str">
        <f t="shared" si="903"/>
        <v/>
      </c>
    </row>
    <row r="639" spans="1:142" x14ac:dyDescent="0.25">
      <c r="A639" t="str">
        <f>+IF($C639="","",ROUND(VLOOKUP('Tablas Servicio'!B639,Parámetros!$H$100:$J$159,IF(Parámetros!$E$16="F",2,3),FALSE),2))</f>
        <v/>
      </c>
      <c r="B639" t="str">
        <f t="shared" si="854"/>
        <v/>
      </c>
      <c r="C639" s="57" t="str">
        <f>+IF(D639="","",'Tablas Servicio'!C638+1)</f>
        <v/>
      </c>
      <c r="D639" s="56" t="str">
        <f>+IF(D638&lt;edadmaxtabla,D638+1/Parámetros!$E$25,"")</f>
        <v/>
      </c>
      <c r="E639" s="57" t="str">
        <f t="shared" si="864"/>
        <v/>
      </c>
      <c r="F639" s="59" t="str">
        <f t="shared" si="865"/>
        <v/>
      </c>
      <c r="G639" s="66" t="str">
        <f t="shared" si="855"/>
        <v/>
      </c>
      <c r="H639" s="66" t="str">
        <f t="shared" si="856"/>
        <v/>
      </c>
      <c r="I639" s="66" t="str">
        <f t="shared" si="904"/>
        <v/>
      </c>
      <c r="J639" s="66" t="str">
        <f t="shared" si="857"/>
        <v/>
      </c>
      <c r="K639" s="66" t="str">
        <f t="shared" si="858"/>
        <v/>
      </c>
      <c r="L639" s="66" t="str">
        <f t="shared" si="859"/>
        <v/>
      </c>
      <c r="M639" s="66" t="str">
        <f t="shared" si="860"/>
        <v/>
      </c>
      <c r="N639" s="66" t="str">
        <f>+IF(C639="","",ROUND(Parámetros!$D$23,2))</f>
        <v/>
      </c>
      <c r="O639" s="66" t="str">
        <f t="shared" si="861"/>
        <v/>
      </c>
      <c r="P639" s="66" t="str">
        <f>+IF($C639="","",ROUND(IF(B639&gt;Parámetros!$D$117,0,N639*Parámetros!$D$116-G639*Parámetros!$D$100),2))</f>
        <v/>
      </c>
      <c r="Q639" s="75" t="str">
        <f t="shared" si="905"/>
        <v/>
      </c>
      <c r="R639" s="75" t="str">
        <f t="shared" si="906"/>
        <v/>
      </c>
      <c r="S639" s="117" t="str">
        <f>+IF($C639="","",ROUND((S638+I639)*(1+Parámetros!$D$91),2))</f>
        <v/>
      </c>
      <c r="T639" s="117" t="str">
        <f>+IF($C639="","",ROUND(S639*VLOOKUP(B639,Parámetros!$C$30:$D$39,2,TRUE),2))</f>
        <v/>
      </c>
      <c r="U639" s="117" t="str">
        <f>+IF($C639="","",ROUND((U638+I639)*(1+Parámetros!$D$92),2))</f>
        <v/>
      </c>
      <c r="V639" s="117" t="str">
        <f>+IF($C639="","",ROUND(U639*VLOOKUP(B639,Parámetros!$C$30:$D$39,2,TRUE),2))</f>
        <v/>
      </c>
      <c r="W639" s="57" t="str">
        <f t="shared" si="907"/>
        <v/>
      </c>
      <c r="X639" t="str">
        <f t="shared" si="908"/>
        <v/>
      </c>
      <c r="Y639" t="str">
        <f t="shared" si="909"/>
        <v/>
      </c>
      <c r="Z639" s="118" t="str">
        <f>+IF($W639="","",ROUND(IF(Parámetros!$D$25='TABLAS MORT'!$V$33,Z638,Parámetros!$D$21-'Tablas Servicio'!T638),0))</f>
        <v/>
      </c>
      <c r="AA639" s="118" t="str">
        <f t="shared" si="910"/>
        <v/>
      </c>
      <c r="AB639" s="119" t="str">
        <f>+IF(W639="","",ROUND((VLOOKUP(ROUNDDOWN($D639-1/frec,0),qx_tabla,2,FALSE)*(1+i/frec)^-0.5*(1+Parámetros!$D$103)*(1+rec_fracc)/frec),6))</f>
        <v/>
      </c>
      <c r="AC639" s="66" t="str">
        <f t="shared" si="866"/>
        <v/>
      </c>
      <c r="AD639" s="119" t="str">
        <f t="shared" si="862"/>
        <v/>
      </c>
      <c r="AE639" s="66" t="str">
        <f>+IF($W639="","",ROUND(IF($B639&gt;Parámetros!$D$107,'Tablas Servicio'!AC639+('Tablas Servicio'!AG638-'Tablas Servicio'!AC638),AC639/(1-IF(B639&lt;=10,Parámetros!$D$104,Parámetros!$D$105))),2))</f>
        <v/>
      </c>
      <c r="AF639" s="66" t="str">
        <f>+IF($W639="","",ROUND(IF($B639&gt;Parámetros!$D$107,'Tablas Servicio'!AC639+('Tablas Servicio'!AG638-'Tablas Servicio'!AC638),(AC639+$A638/frec)/(1-IF(B639&lt;=Parámetros!$D$117,Parámetros!$D$100,0))),2))</f>
        <v/>
      </c>
      <c r="AG639" s="66" t="str">
        <f t="shared" si="867"/>
        <v/>
      </c>
      <c r="AH639" s="66" t="str">
        <f t="shared" si="868"/>
        <v/>
      </c>
      <c r="AI639" s="66" t="str">
        <f t="shared" si="869"/>
        <v/>
      </c>
      <c r="AJ639" s="66" t="str">
        <f>+IF($W639="","",ROUND((AG639*Parámetros!$G$85),2))</f>
        <v/>
      </c>
      <c r="AK639" s="66" t="str">
        <f>+IF($W639="","",ROUND((AG639*(Parámetros!$G$86)),2))</f>
        <v/>
      </c>
      <c r="AL639" s="66" t="str">
        <f t="shared" si="863"/>
        <v/>
      </c>
      <c r="AM639" t="str">
        <f t="shared" si="911"/>
        <v/>
      </c>
      <c r="AN639" t="str">
        <f t="shared" si="912"/>
        <v/>
      </c>
      <c r="AO639" s="118" t="str">
        <f t="shared" si="913"/>
        <v/>
      </c>
      <c r="AP639" s="118" t="str">
        <f t="shared" si="914"/>
        <v/>
      </c>
      <c r="AQ639" s="119" t="str">
        <f>+IF(OR($W639="",AO639=0),"",ROUND((VLOOKUP(ROUNDDOWN($D639-1/frec,0),cob_adi,Z$40,FALSE)*(1+i/frec)^-0.5*(1+Parámetros!$D$103)*(1+rec_fracc)/frec),6))</f>
        <v/>
      </c>
      <c r="AR639" s="66" t="str">
        <f t="shared" si="870"/>
        <v/>
      </c>
      <c r="AS639" s="119" t="str">
        <f t="shared" si="871"/>
        <v/>
      </c>
      <c r="AT639" s="66" t="str">
        <f>+IF($W639="","",ROUND(IF($B639&gt;Parámetros!$D$107,'Tablas Servicio'!AR639+('Tablas Servicio'!AT638-'Tablas Servicio'!AR638),AR639/(1-IF(B639&lt;=10,Parámetros!$D$100,0))),2))</f>
        <v/>
      </c>
      <c r="AU639" s="66" t="str">
        <f t="shared" si="872"/>
        <v/>
      </c>
      <c r="AV639" s="66" t="str">
        <f t="shared" si="872"/>
        <v/>
      </c>
      <c r="AW639" s="66" t="str">
        <f>+IF($W639="","",ROUND((AT639*Parámetros!$G$85),2))</f>
        <v/>
      </c>
      <c r="AX639" s="66" t="str">
        <f>+IF($W639="","",ROUND((AT639*(Parámetros!$G$86)),2))</f>
        <v/>
      </c>
      <c r="AY639" s="66" t="str">
        <f t="shared" si="873"/>
        <v/>
      </c>
      <c r="AZ639" t="str">
        <f t="shared" si="915"/>
        <v/>
      </c>
      <c r="BA639" t="str">
        <f t="shared" si="916"/>
        <v/>
      </c>
      <c r="BB639" s="118" t="str">
        <f t="shared" si="917"/>
        <v/>
      </c>
      <c r="BC639" s="118" t="str">
        <f t="shared" si="918"/>
        <v/>
      </c>
      <c r="BD639" s="119" t="str">
        <f>+IF(OR($W639="",BB639=0),"",ROUND((VLOOKUP(ROUNDDOWN($D639-1/frec,0),cob_adi,AO$40,FALSE)*(1+i/frec)^-0.5*(1+Parámetros!$D$103)*(1+rec_fracc)/frec),6))</f>
        <v/>
      </c>
      <c r="BE639" s="66" t="str">
        <f t="shared" si="874"/>
        <v/>
      </c>
      <c r="BF639" s="119" t="str">
        <f t="shared" si="875"/>
        <v/>
      </c>
      <c r="BG639" s="66" t="str">
        <f>+IF($W639="","",ROUND(IF($B639&gt;Parámetros!$D$107,'Tablas Servicio'!BE639+('Tablas Servicio'!BG638-'Tablas Servicio'!BE638),BE639/(1-IF(B639&lt;=10,Parámetros!$D$100,0))),2))</f>
        <v/>
      </c>
      <c r="BH639" s="66" t="str">
        <f t="shared" si="876"/>
        <v/>
      </c>
      <c r="BI639" s="66" t="str">
        <f t="shared" si="877"/>
        <v/>
      </c>
      <c r="BJ639" s="66" t="str">
        <f>+IF($W639="","",ROUND((BG639*Parámetros!$G$85),2))</f>
        <v/>
      </c>
      <c r="BK639" s="66" t="str">
        <f>+IF($W639="","",ROUND((BG639*(Parámetros!$G$86)),2))</f>
        <v/>
      </c>
      <c r="BL639" s="66" t="str">
        <f t="shared" si="878"/>
        <v/>
      </c>
      <c r="BM639" t="str">
        <f t="shared" si="919"/>
        <v/>
      </c>
      <c r="BN639" t="str">
        <f t="shared" si="920"/>
        <v/>
      </c>
      <c r="BO639" s="118" t="str">
        <f t="shared" si="921"/>
        <v/>
      </c>
      <c r="BP639" s="118" t="str">
        <f t="shared" si="922"/>
        <v/>
      </c>
      <c r="BQ639" s="119" t="str">
        <f>+IF(OR($W639="",BO639=0),"",ROUND((VLOOKUP(ROUNDDOWN($D639-1/frec,0),cob_adi,BB$40,FALSE)*(1+i/frec)^-0.5*(1+Parámetros!$D$103)*(1+rec_fracc)/frec),6))</f>
        <v/>
      </c>
      <c r="BR639" s="66" t="str">
        <f t="shared" si="879"/>
        <v/>
      </c>
      <c r="BS639" s="119" t="str">
        <f t="shared" si="880"/>
        <v/>
      </c>
      <c r="BT639" s="66" t="str">
        <f>+IF($W639="","",ROUND(IF($B639&gt;Parámetros!$D$107,'Tablas Servicio'!BR639+('Tablas Servicio'!BT638-'Tablas Servicio'!BR638),BR639/(1-IF(B639&lt;=10,Parámetros!$D$100,0))),2))</f>
        <v/>
      </c>
      <c r="BU639" s="66" t="str">
        <f t="shared" si="881"/>
        <v/>
      </c>
      <c r="BV639" s="66" t="str">
        <f t="shared" si="881"/>
        <v/>
      </c>
      <c r="BW639" s="66" t="str">
        <f>+IF($W639="","",ROUND((BT639*Parámetros!$G$85),2))</f>
        <v/>
      </c>
      <c r="BX639" s="66" t="str">
        <f>+IF($W639="","",ROUND((BT639*(Parámetros!$G$86)),2))</f>
        <v/>
      </c>
      <c r="BY639" s="66" t="str">
        <f t="shared" si="882"/>
        <v/>
      </c>
      <c r="BZ639" t="str">
        <f t="shared" si="923"/>
        <v/>
      </c>
      <c r="CA639" t="str">
        <f t="shared" si="924"/>
        <v/>
      </c>
      <c r="CB639" s="118" t="str">
        <f t="shared" si="925"/>
        <v/>
      </c>
      <c r="CC639" s="118" t="str">
        <f t="shared" si="926"/>
        <v/>
      </c>
      <c r="CD639" s="119" t="str">
        <f t="shared" si="883"/>
        <v/>
      </c>
      <c r="CE639" s="66" t="str">
        <f>+IF($W639="","",ROUND((VLOOKUP(ROUNDDOWN($D639-1/frec,0),cob_adi,BO$40,FALSE)*(1+i/frec)^-0.5*(1+Parámetros!$D$103)*(1+rec_fracc)/frec*'TABLAS ADI'!$BC$17),2))</f>
        <v/>
      </c>
      <c r="CF639" s="119" t="str">
        <f t="shared" si="884"/>
        <v/>
      </c>
      <c r="CG639" s="66" t="str">
        <f>+IF($W639="","",ROUND(IF($B639&gt;Parámetros!$D$107,'Tablas Servicio'!CE639+('Tablas Servicio'!CG638-'Tablas Servicio'!CE638),CE639/(1-IF(B639&lt;=10,Parámetros!$D$100,0))),2))</f>
        <v/>
      </c>
      <c r="CH639" s="66" t="str">
        <f t="shared" si="885"/>
        <v/>
      </c>
      <c r="CI639" s="66" t="str">
        <f t="shared" si="885"/>
        <v/>
      </c>
      <c r="CJ639" s="66" t="str">
        <f>+IF($W639="","",ROUND((CG639*Parámetros!$G$85),2))</f>
        <v/>
      </c>
      <c r="CK639" s="66" t="str">
        <f>+IF($W639="","",ROUND((CG639*(Parámetros!$G$86)),2))</f>
        <v/>
      </c>
      <c r="CL639" s="66" t="str">
        <f t="shared" si="886"/>
        <v/>
      </c>
      <c r="CM639" t="str">
        <f t="shared" si="927"/>
        <v/>
      </c>
      <c r="CN639" s="118" t="str">
        <f t="shared" si="928"/>
        <v/>
      </c>
      <c r="CO639" s="118" t="str">
        <f t="shared" si="929"/>
        <v/>
      </c>
      <c r="CP639" s="118" t="str">
        <f t="shared" si="930"/>
        <v/>
      </c>
      <c r="CQ639" s="119" t="str">
        <f t="shared" si="887"/>
        <v/>
      </c>
      <c r="CR639" s="66" t="str">
        <f>+IF($W639="","",ROUND((VLOOKUP(Parámetros!$F$51,'COBERTURAS ADICIONALES'!$S$4:$T$32,2,FALSE)*(1+i/frec)^-0.5*(1+Parámetros!$D$103)*(1+rec_fracc)/frec*$CO$42),2))</f>
        <v/>
      </c>
      <c r="CS639" s="119" t="str">
        <f t="shared" si="888"/>
        <v/>
      </c>
      <c r="CT639" s="66" t="str">
        <f>+IF($W639="","",ROUND(IF($B639&gt;Parámetros!$D$107,'Tablas Servicio'!CR639+('Tablas Servicio'!CT638-'Tablas Servicio'!CR638),CR639/(1-IF(B639&lt;=10,Parámetros!$D$100,0))),2))</f>
        <v/>
      </c>
      <c r="CU639" s="66" t="str">
        <f t="shared" si="889"/>
        <v/>
      </c>
      <c r="CV639" s="66" t="str">
        <f t="shared" si="889"/>
        <v/>
      </c>
      <c r="CW639" s="66" t="str">
        <f>+IF($W639="","",ROUND((CT639*Parámetros!$G$85),2))</f>
        <v/>
      </c>
      <c r="CX639" s="66" t="str">
        <f>+IF($W639="","",ROUND((CT639*(Parámetros!$G$86)),2))</f>
        <v/>
      </c>
      <c r="CY639" s="66" t="str">
        <f t="shared" si="890"/>
        <v/>
      </c>
      <c r="CZ639" t="str">
        <f t="shared" si="931"/>
        <v/>
      </c>
      <c r="DA639" s="118" t="str">
        <f t="shared" si="932"/>
        <v/>
      </c>
      <c r="DB639" s="118" t="str">
        <f t="shared" si="933"/>
        <v/>
      </c>
      <c r="DC639" s="118" t="str">
        <f t="shared" si="934"/>
        <v/>
      </c>
      <c r="DD639" s="121" t="str">
        <f>+IF(OR($W639="",DB639=0),"",ROUND((VLOOKUP(ROUNDDOWN($D639-1/frec,0),cob_adi,CO$40,FALSE)*(1+i/frec)^-0.5*(1+Parámetros!$D$103)*(1+rec_fracc)/frec),6))</f>
        <v/>
      </c>
      <c r="DE639" s="66" t="str">
        <f t="shared" si="891"/>
        <v/>
      </c>
      <c r="DF639" s="119" t="str">
        <f t="shared" si="892"/>
        <v/>
      </c>
      <c r="DG639" s="66" t="str">
        <f>+IF($W639="","",ROUND(IF($B639&gt;Parámetros!$D$107,'Tablas Servicio'!DE639+('Tablas Servicio'!DG638-'Tablas Servicio'!DE638),DE639/(1-IF(B639&lt;=10,Parámetros!$D$100,0))),2))</f>
        <v/>
      </c>
      <c r="DH639" s="66" t="str">
        <f t="shared" si="893"/>
        <v/>
      </c>
      <c r="DI639" s="66" t="str">
        <f t="shared" si="893"/>
        <v/>
      </c>
      <c r="DJ639" s="66" t="str">
        <f>+IF($W639="","",ROUND((DG639*Parámetros!$G$85),2))</f>
        <v/>
      </c>
      <c r="DK639" s="66" t="str">
        <f>+IF($W639="","",ROUND((DG639*(Parámetros!$G$86)),2))</f>
        <v/>
      </c>
      <c r="DL639" s="66" t="str">
        <f t="shared" si="894"/>
        <v/>
      </c>
      <c r="DM639" t="str">
        <f t="shared" si="935"/>
        <v/>
      </c>
      <c r="DN639" s="118" t="str">
        <f t="shared" si="936"/>
        <v/>
      </c>
      <c r="DO639" s="118" t="str">
        <f t="shared" si="937"/>
        <v/>
      </c>
      <c r="DP639" s="118" t="str">
        <f t="shared" si="938"/>
        <v/>
      </c>
      <c r="DQ639" s="122" t="str">
        <f>+IF(OR($W639="",DO639=0),"",ROUND((VLOOKUP(ROUNDDOWN($D639-1/frec,0),cob_adi,DB$40,FALSE)*(1+i/frec)^-0.5*(1+Parámetros!$D$103)*(1+rec_fracc)/frec),6))</f>
        <v/>
      </c>
      <c r="DR639" s="66" t="str">
        <f t="shared" si="895"/>
        <v/>
      </c>
      <c r="DS639" s="68" t="str">
        <f t="shared" si="896"/>
        <v/>
      </c>
      <c r="DT639" s="66" t="str">
        <f>+IF($W639="","",ROUND(IF($B639&gt;Parámetros!$D$107,'Tablas Servicio'!DR639+('Tablas Servicio'!DT638-'Tablas Servicio'!DR638),DR639/(1-IF(B639&lt;=10,Parámetros!$D$100,0))),2))</f>
        <v/>
      </c>
      <c r="DU639" s="66" t="str">
        <f t="shared" si="897"/>
        <v/>
      </c>
      <c r="DV639" s="66" t="str">
        <f t="shared" si="897"/>
        <v/>
      </c>
      <c r="DW639" s="66" t="str">
        <f>+IF($W639="","",ROUND((DT639*Parámetros!$G$85),2))</f>
        <v/>
      </c>
      <c r="DX639" s="66" t="str">
        <f>+IF($W639="","",ROUND((DT639*(Parámetros!$G$86)),2))</f>
        <v/>
      </c>
      <c r="DY639" s="66" t="str">
        <f t="shared" si="898"/>
        <v/>
      </c>
      <c r="DZ639" t="str">
        <f t="shared" si="939"/>
        <v/>
      </c>
      <c r="EA639" s="118" t="str">
        <f t="shared" si="939"/>
        <v/>
      </c>
      <c r="EB639" s="118" t="str">
        <f>+IF($W639="","",ROUND(IF(Parámetros!$D$25='TABLAS MORT'!$V$33,EB638,Z639/2),0))</f>
        <v/>
      </c>
      <c r="EC639" s="118" t="str">
        <f t="shared" si="939"/>
        <v/>
      </c>
      <c r="ED639" s="122" t="str">
        <f>+IF(OR($W639="",EB639=0),"",ROUND((VLOOKUP(ROUNDDOWN($D639-1/frec,0),cob_adi,DO$40,FALSE)*(1+i/frec)^-0.5*(1+Parámetros!$D$103)*(1+rec_fracc)/frec),6))</f>
        <v/>
      </c>
      <c r="EE639" s="66" t="str">
        <f t="shared" si="900"/>
        <v/>
      </c>
      <c r="EF639" s="68" t="str">
        <f t="shared" si="901"/>
        <v/>
      </c>
      <c r="EG639" s="66" t="str">
        <f>+IF($W639="","",ROUND(IF($B639&gt;Parámetros!$D$107,'Tablas Servicio'!EE639+('Tablas Servicio'!EG638-'Tablas Servicio'!EE638),EE639/(1-IF(B639&lt;=10,Parámetros!$D$100,0))),2))</f>
        <v/>
      </c>
      <c r="EH639" s="66" t="str">
        <f t="shared" si="902"/>
        <v/>
      </c>
      <c r="EI639" s="66" t="str">
        <f t="shared" si="902"/>
        <v/>
      </c>
      <c r="EJ639" s="66" t="str">
        <f>+IF($W639="","",ROUND((EG639*Parámetros!$G$85),2))</f>
        <v/>
      </c>
      <c r="EK639" s="66" t="str">
        <f>+IF($W639="","",ROUND((EG639*(Parámetros!$G$86)),2))</f>
        <v/>
      </c>
      <c r="EL639" s="66" t="str">
        <f t="shared" si="903"/>
        <v/>
      </c>
    </row>
    <row r="640" spans="1:142" x14ac:dyDescent="0.25">
      <c r="A640" t="str">
        <f>+IF($C640="","",ROUND(VLOOKUP('Tablas Servicio'!B640,Parámetros!$H$100:$J$159,IF(Parámetros!$E$16="F",2,3),FALSE),2))</f>
        <v/>
      </c>
      <c r="B640" t="str">
        <f t="shared" si="854"/>
        <v/>
      </c>
      <c r="C640" s="57" t="str">
        <f>+IF(D640="","",'Tablas Servicio'!C639+1)</f>
        <v/>
      </c>
      <c r="D640" s="56" t="str">
        <f>+IF(D639&lt;edadmaxtabla,D639+1/Parámetros!$E$25,"")</f>
        <v/>
      </c>
      <c r="E640" s="57" t="str">
        <f t="shared" si="864"/>
        <v/>
      </c>
      <c r="F640" s="59" t="str">
        <f t="shared" si="865"/>
        <v/>
      </c>
      <c r="G640" s="66" t="str">
        <f t="shared" si="855"/>
        <v/>
      </c>
      <c r="H640" s="66" t="str">
        <f t="shared" si="856"/>
        <v/>
      </c>
      <c r="I640" s="66" t="str">
        <f t="shared" si="904"/>
        <v/>
      </c>
      <c r="J640" s="66" t="str">
        <f t="shared" si="857"/>
        <v/>
      </c>
      <c r="K640" s="66" t="str">
        <f t="shared" si="858"/>
        <v/>
      </c>
      <c r="L640" s="66" t="str">
        <f t="shared" si="859"/>
        <v/>
      </c>
      <c r="M640" s="66" t="str">
        <f t="shared" si="860"/>
        <v/>
      </c>
      <c r="N640" s="66" t="str">
        <f>+IF(C640="","",ROUND(Parámetros!$D$23,2))</f>
        <v/>
      </c>
      <c r="O640" s="66" t="str">
        <f t="shared" si="861"/>
        <v/>
      </c>
      <c r="P640" s="66" t="str">
        <f>+IF($C640="","",ROUND(IF(B640&gt;Parámetros!$D$117,0,N640*Parámetros!$D$116-G640*Parámetros!$D$100),2))</f>
        <v/>
      </c>
      <c r="Q640" s="75" t="str">
        <f t="shared" si="905"/>
        <v/>
      </c>
      <c r="R640" s="75" t="str">
        <f t="shared" si="906"/>
        <v/>
      </c>
      <c r="S640" s="117" t="str">
        <f>+IF($C640="","",ROUND((S639+I640)*(1+Parámetros!$D$91),2))</f>
        <v/>
      </c>
      <c r="T640" s="117" t="str">
        <f>+IF($C640="","",ROUND(S640*VLOOKUP(B640,Parámetros!$C$30:$D$39,2,TRUE),2))</f>
        <v/>
      </c>
      <c r="U640" s="117" t="str">
        <f>+IF($C640="","",ROUND((U639+I640)*(1+Parámetros!$D$92),2))</f>
        <v/>
      </c>
      <c r="V640" s="117" t="str">
        <f>+IF($C640="","",ROUND(U640*VLOOKUP(B640,Parámetros!$C$30:$D$39,2,TRUE),2))</f>
        <v/>
      </c>
      <c r="W640" s="57" t="str">
        <f t="shared" si="907"/>
        <v/>
      </c>
      <c r="X640" t="str">
        <f t="shared" si="908"/>
        <v/>
      </c>
      <c r="Y640" t="str">
        <f t="shared" si="909"/>
        <v/>
      </c>
      <c r="Z640" s="118" t="str">
        <f>+IF($W640="","",ROUND(IF(Parámetros!$D$25='TABLAS MORT'!$V$33,Z639,Parámetros!$D$21-'Tablas Servicio'!T639),0))</f>
        <v/>
      </c>
      <c r="AA640" s="118" t="str">
        <f t="shared" si="910"/>
        <v/>
      </c>
      <c r="AB640" s="119" t="str">
        <f>+IF(W640="","",ROUND((VLOOKUP(ROUNDDOWN($D640-1/frec,0),qx_tabla,2,FALSE)*(1+i/frec)^-0.5*(1+Parámetros!$D$103)*(1+rec_fracc)/frec),6))</f>
        <v/>
      </c>
      <c r="AC640" s="66" t="str">
        <f t="shared" si="866"/>
        <v/>
      </c>
      <c r="AD640" s="119" t="str">
        <f t="shared" si="862"/>
        <v/>
      </c>
      <c r="AE640" s="66" t="str">
        <f>+IF($W640="","",ROUND(IF($B640&gt;Parámetros!$D$107,'Tablas Servicio'!AC640+('Tablas Servicio'!AG639-'Tablas Servicio'!AC639),AC640/(1-IF(B640&lt;=10,Parámetros!$D$104,Parámetros!$D$105))),2))</f>
        <v/>
      </c>
      <c r="AF640" s="66" t="str">
        <f>+IF($W640="","",ROUND(IF($B640&gt;Parámetros!$D$107,'Tablas Servicio'!AC640+('Tablas Servicio'!AG639-'Tablas Servicio'!AC639),(AC640+$A639/frec)/(1-IF(B640&lt;=Parámetros!$D$117,Parámetros!$D$100,0))),2))</f>
        <v/>
      </c>
      <c r="AG640" s="66" t="str">
        <f t="shared" si="867"/>
        <v/>
      </c>
      <c r="AH640" s="66" t="str">
        <f t="shared" si="868"/>
        <v/>
      </c>
      <c r="AI640" s="66" t="str">
        <f t="shared" si="869"/>
        <v/>
      </c>
      <c r="AJ640" s="66" t="str">
        <f>+IF($W640="","",ROUND((AG640*Parámetros!$G$85),2))</f>
        <v/>
      </c>
      <c r="AK640" s="66" t="str">
        <f>+IF($W640="","",ROUND((AG640*(Parámetros!$G$86)),2))</f>
        <v/>
      </c>
      <c r="AL640" s="66" t="str">
        <f t="shared" si="863"/>
        <v/>
      </c>
      <c r="AM640" t="str">
        <f t="shared" si="911"/>
        <v/>
      </c>
      <c r="AN640" t="str">
        <f t="shared" si="912"/>
        <v/>
      </c>
      <c r="AO640" s="118" t="str">
        <f t="shared" si="913"/>
        <v/>
      </c>
      <c r="AP640" s="118" t="str">
        <f t="shared" si="914"/>
        <v/>
      </c>
      <c r="AQ640" s="119" t="str">
        <f>+IF(OR($W640="",AO640=0),"",ROUND((VLOOKUP(ROUNDDOWN($D640-1/frec,0),cob_adi,Z$40,FALSE)*(1+i/frec)^-0.5*(1+Parámetros!$D$103)*(1+rec_fracc)/frec),6))</f>
        <v/>
      </c>
      <c r="AR640" s="66" t="str">
        <f t="shared" si="870"/>
        <v/>
      </c>
      <c r="AS640" s="119" t="str">
        <f t="shared" si="871"/>
        <v/>
      </c>
      <c r="AT640" s="66" t="str">
        <f>+IF($W640="","",ROUND(IF($B640&gt;Parámetros!$D$107,'Tablas Servicio'!AR640+('Tablas Servicio'!AT639-'Tablas Servicio'!AR639),AR640/(1-IF(B640&lt;=10,Parámetros!$D$100,0))),2))</f>
        <v/>
      </c>
      <c r="AU640" s="66" t="str">
        <f t="shared" si="872"/>
        <v/>
      </c>
      <c r="AV640" s="66" t="str">
        <f t="shared" si="872"/>
        <v/>
      </c>
      <c r="AW640" s="66" t="str">
        <f>+IF($W640="","",ROUND((AT640*Parámetros!$G$85),2))</f>
        <v/>
      </c>
      <c r="AX640" s="66" t="str">
        <f>+IF($W640="","",ROUND((AT640*(Parámetros!$G$86)),2))</f>
        <v/>
      </c>
      <c r="AY640" s="66" t="str">
        <f t="shared" si="873"/>
        <v/>
      </c>
      <c r="AZ640" t="str">
        <f t="shared" si="915"/>
        <v/>
      </c>
      <c r="BA640" t="str">
        <f t="shared" si="916"/>
        <v/>
      </c>
      <c r="BB640" s="118" t="str">
        <f t="shared" si="917"/>
        <v/>
      </c>
      <c r="BC640" s="118" t="str">
        <f t="shared" si="918"/>
        <v/>
      </c>
      <c r="BD640" s="119" t="str">
        <f>+IF(OR($W640="",BB640=0),"",ROUND((VLOOKUP(ROUNDDOWN($D640-1/frec,0),cob_adi,AO$40,FALSE)*(1+i/frec)^-0.5*(1+Parámetros!$D$103)*(1+rec_fracc)/frec),6))</f>
        <v/>
      </c>
      <c r="BE640" s="66" t="str">
        <f t="shared" si="874"/>
        <v/>
      </c>
      <c r="BF640" s="119" t="str">
        <f t="shared" si="875"/>
        <v/>
      </c>
      <c r="BG640" s="66" t="str">
        <f>+IF($W640="","",ROUND(IF($B640&gt;Parámetros!$D$107,'Tablas Servicio'!BE640+('Tablas Servicio'!BG639-'Tablas Servicio'!BE639),BE640/(1-IF(B640&lt;=10,Parámetros!$D$100,0))),2))</f>
        <v/>
      </c>
      <c r="BH640" s="66" t="str">
        <f t="shared" si="876"/>
        <v/>
      </c>
      <c r="BI640" s="66" t="str">
        <f t="shared" si="877"/>
        <v/>
      </c>
      <c r="BJ640" s="66" t="str">
        <f>+IF($W640="","",ROUND((BG640*Parámetros!$G$85),2))</f>
        <v/>
      </c>
      <c r="BK640" s="66" t="str">
        <f>+IF($W640="","",ROUND((BG640*(Parámetros!$G$86)),2))</f>
        <v/>
      </c>
      <c r="BL640" s="66" t="str">
        <f t="shared" si="878"/>
        <v/>
      </c>
      <c r="BM640" t="str">
        <f t="shared" si="919"/>
        <v/>
      </c>
      <c r="BN640" t="str">
        <f t="shared" si="920"/>
        <v/>
      </c>
      <c r="BO640" s="118" t="str">
        <f t="shared" si="921"/>
        <v/>
      </c>
      <c r="BP640" s="118" t="str">
        <f t="shared" si="922"/>
        <v/>
      </c>
      <c r="BQ640" s="119" t="str">
        <f>+IF(OR($W640="",BO640=0),"",ROUND((VLOOKUP(ROUNDDOWN($D640-1/frec,0),cob_adi,BB$40,FALSE)*(1+i/frec)^-0.5*(1+Parámetros!$D$103)*(1+rec_fracc)/frec),6))</f>
        <v/>
      </c>
      <c r="BR640" s="66" t="str">
        <f t="shared" si="879"/>
        <v/>
      </c>
      <c r="BS640" s="119" t="str">
        <f t="shared" si="880"/>
        <v/>
      </c>
      <c r="BT640" s="66" t="str">
        <f>+IF($W640="","",ROUND(IF($B640&gt;Parámetros!$D$107,'Tablas Servicio'!BR640+('Tablas Servicio'!BT639-'Tablas Servicio'!BR639),BR640/(1-IF(B640&lt;=10,Parámetros!$D$100,0))),2))</f>
        <v/>
      </c>
      <c r="BU640" s="66" t="str">
        <f t="shared" si="881"/>
        <v/>
      </c>
      <c r="BV640" s="66" t="str">
        <f t="shared" si="881"/>
        <v/>
      </c>
      <c r="BW640" s="66" t="str">
        <f>+IF($W640="","",ROUND((BT640*Parámetros!$G$85),2))</f>
        <v/>
      </c>
      <c r="BX640" s="66" t="str">
        <f>+IF($W640="","",ROUND((BT640*(Parámetros!$G$86)),2))</f>
        <v/>
      </c>
      <c r="BY640" s="66" t="str">
        <f t="shared" si="882"/>
        <v/>
      </c>
      <c r="BZ640" t="str">
        <f t="shared" si="923"/>
        <v/>
      </c>
      <c r="CA640" t="str">
        <f t="shared" si="924"/>
        <v/>
      </c>
      <c r="CB640" s="118" t="str">
        <f t="shared" si="925"/>
        <v/>
      </c>
      <c r="CC640" s="118" t="str">
        <f t="shared" si="926"/>
        <v/>
      </c>
      <c r="CD640" s="119" t="str">
        <f t="shared" si="883"/>
        <v/>
      </c>
      <c r="CE640" s="66" t="str">
        <f>+IF($W640="","",ROUND((VLOOKUP(ROUNDDOWN($D640-1/frec,0),cob_adi,BO$40,FALSE)*(1+i/frec)^-0.5*(1+Parámetros!$D$103)*(1+rec_fracc)/frec*'TABLAS ADI'!$BC$17),2))</f>
        <v/>
      </c>
      <c r="CF640" s="119" t="str">
        <f t="shared" si="884"/>
        <v/>
      </c>
      <c r="CG640" s="66" t="str">
        <f>+IF($W640="","",ROUND(IF($B640&gt;Parámetros!$D$107,'Tablas Servicio'!CE640+('Tablas Servicio'!CG639-'Tablas Servicio'!CE639),CE640/(1-IF(B640&lt;=10,Parámetros!$D$100,0))),2))</f>
        <v/>
      </c>
      <c r="CH640" s="66" t="str">
        <f t="shared" si="885"/>
        <v/>
      </c>
      <c r="CI640" s="66" t="str">
        <f t="shared" si="885"/>
        <v/>
      </c>
      <c r="CJ640" s="66" t="str">
        <f>+IF($W640="","",ROUND((CG640*Parámetros!$G$85),2))</f>
        <v/>
      </c>
      <c r="CK640" s="66" t="str">
        <f>+IF($W640="","",ROUND((CG640*(Parámetros!$G$86)),2))</f>
        <v/>
      </c>
      <c r="CL640" s="66" t="str">
        <f t="shared" si="886"/>
        <v/>
      </c>
      <c r="CM640" t="str">
        <f t="shared" si="927"/>
        <v/>
      </c>
      <c r="CN640" s="118" t="str">
        <f t="shared" si="928"/>
        <v/>
      </c>
      <c r="CO640" s="118" t="str">
        <f t="shared" si="929"/>
        <v/>
      </c>
      <c r="CP640" s="118" t="str">
        <f t="shared" si="930"/>
        <v/>
      </c>
      <c r="CQ640" s="119" t="str">
        <f t="shared" si="887"/>
        <v/>
      </c>
      <c r="CR640" s="66" t="str">
        <f>+IF($W640="","",ROUND((VLOOKUP(Parámetros!$F$51,'COBERTURAS ADICIONALES'!$S$4:$T$32,2,FALSE)*(1+i/frec)^-0.5*(1+Parámetros!$D$103)*(1+rec_fracc)/frec*$CO$42),2))</f>
        <v/>
      </c>
      <c r="CS640" s="119" t="str">
        <f t="shared" si="888"/>
        <v/>
      </c>
      <c r="CT640" s="66" t="str">
        <f>+IF($W640="","",ROUND(IF($B640&gt;Parámetros!$D$107,'Tablas Servicio'!CR640+('Tablas Servicio'!CT639-'Tablas Servicio'!CR639),CR640/(1-IF(B640&lt;=10,Parámetros!$D$100,0))),2))</f>
        <v/>
      </c>
      <c r="CU640" s="66" t="str">
        <f t="shared" si="889"/>
        <v/>
      </c>
      <c r="CV640" s="66" t="str">
        <f t="shared" si="889"/>
        <v/>
      </c>
      <c r="CW640" s="66" t="str">
        <f>+IF($W640="","",ROUND((CT640*Parámetros!$G$85),2))</f>
        <v/>
      </c>
      <c r="CX640" s="66" t="str">
        <f>+IF($W640="","",ROUND((CT640*(Parámetros!$G$86)),2))</f>
        <v/>
      </c>
      <c r="CY640" s="66" t="str">
        <f t="shared" si="890"/>
        <v/>
      </c>
      <c r="CZ640" t="str">
        <f t="shared" si="931"/>
        <v/>
      </c>
      <c r="DA640" s="118" t="str">
        <f t="shared" si="932"/>
        <v/>
      </c>
      <c r="DB640" s="118" t="str">
        <f t="shared" si="933"/>
        <v/>
      </c>
      <c r="DC640" s="118" t="str">
        <f t="shared" si="934"/>
        <v/>
      </c>
      <c r="DD640" s="121" t="str">
        <f>+IF(OR($W640="",DB640=0),"",ROUND((VLOOKUP(ROUNDDOWN($D640-1/frec,0),cob_adi,CO$40,FALSE)*(1+i/frec)^-0.5*(1+Parámetros!$D$103)*(1+rec_fracc)/frec),6))</f>
        <v/>
      </c>
      <c r="DE640" s="66" t="str">
        <f t="shared" si="891"/>
        <v/>
      </c>
      <c r="DF640" s="119" t="str">
        <f t="shared" si="892"/>
        <v/>
      </c>
      <c r="DG640" s="66" t="str">
        <f>+IF($W640="","",ROUND(IF($B640&gt;Parámetros!$D$107,'Tablas Servicio'!DE640+('Tablas Servicio'!DG639-'Tablas Servicio'!DE639),DE640/(1-IF(B640&lt;=10,Parámetros!$D$100,0))),2))</f>
        <v/>
      </c>
      <c r="DH640" s="66" t="str">
        <f t="shared" si="893"/>
        <v/>
      </c>
      <c r="DI640" s="66" t="str">
        <f t="shared" si="893"/>
        <v/>
      </c>
      <c r="DJ640" s="66" t="str">
        <f>+IF($W640="","",ROUND((DG640*Parámetros!$G$85),2))</f>
        <v/>
      </c>
      <c r="DK640" s="66" t="str">
        <f>+IF($W640="","",ROUND((DG640*(Parámetros!$G$86)),2))</f>
        <v/>
      </c>
      <c r="DL640" s="66" t="str">
        <f t="shared" si="894"/>
        <v/>
      </c>
      <c r="DM640" t="str">
        <f t="shared" si="935"/>
        <v/>
      </c>
      <c r="DN640" s="118" t="str">
        <f t="shared" si="936"/>
        <v/>
      </c>
      <c r="DO640" s="118" t="str">
        <f t="shared" si="937"/>
        <v/>
      </c>
      <c r="DP640" s="118" t="str">
        <f t="shared" si="938"/>
        <v/>
      </c>
      <c r="DQ640" s="122" t="str">
        <f>+IF(OR($W640="",DO640=0),"",ROUND((VLOOKUP(ROUNDDOWN($D640-1/frec,0),cob_adi,DB$40,FALSE)*(1+i/frec)^-0.5*(1+Parámetros!$D$103)*(1+rec_fracc)/frec),6))</f>
        <v/>
      </c>
      <c r="DR640" s="66" t="str">
        <f t="shared" si="895"/>
        <v/>
      </c>
      <c r="DS640" s="68" t="str">
        <f t="shared" si="896"/>
        <v/>
      </c>
      <c r="DT640" s="66" t="str">
        <f>+IF($W640="","",ROUND(IF($B640&gt;Parámetros!$D$107,'Tablas Servicio'!DR640+('Tablas Servicio'!DT639-'Tablas Servicio'!DR639),DR640/(1-IF(B640&lt;=10,Parámetros!$D$100,0))),2))</f>
        <v/>
      </c>
      <c r="DU640" s="66" t="str">
        <f t="shared" si="897"/>
        <v/>
      </c>
      <c r="DV640" s="66" t="str">
        <f t="shared" si="897"/>
        <v/>
      </c>
      <c r="DW640" s="66" t="str">
        <f>+IF($W640="","",ROUND((DT640*Parámetros!$G$85),2))</f>
        <v/>
      </c>
      <c r="DX640" s="66" t="str">
        <f>+IF($W640="","",ROUND((DT640*(Parámetros!$G$86)),2))</f>
        <v/>
      </c>
      <c r="DY640" s="66" t="str">
        <f t="shared" si="898"/>
        <v/>
      </c>
      <c r="DZ640" t="str">
        <f t="shared" si="939"/>
        <v/>
      </c>
      <c r="EA640" s="118" t="str">
        <f t="shared" si="939"/>
        <v/>
      </c>
      <c r="EB640" s="118" t="str">
        <f>+IF($W640="","",ROUND(IF(Parámetros!$D$25='TABLAS MORT'!$V$33,EB639,Z640/2),0))</f>
        <v/>
      </c>
      <c r="EC640" s="118" t="str">
        <f t="shared" si="939"/>
        <v/>
      </c>
      <c r="ED640" s="122" t="str">
        <f>+IF(OR($W640="",EB640=0),"",ROUND((VLOOKUP(ROUNDDOWN($D640-1/frec,0),cob_adi,DO$40,FALSE)*(1+i/frec)^-0.5*(1+Parámetros!$D$103)*(1+rec_fracc)/frec),6))</f>
        <v/>
      </c>
      <c r="EE640" s="66" t="str">
        <f t="shared" si="900"/>
        <v/>
      </c>
      <c r="EF640" s="68" t="str">
        <f t="shared" si="901"/>
        <v/>
      </c>
      <c r="EG640" s="66" t="str">
        <f>+IF($W640="","",ROUND(IF($B640&gt;Parámetros!$D$107,'Tablas Servicio'!EE640+('Tablas Servicio'!EG639-'Tablas Servicio'!EE639),EE640/(1-IF(B640&lt;=10,Parámetros!$D$100,0))),2))</f>
        <v/>
      </c>
      <c r="EH640" s="66" t="str">
        <f t="shared" si="902"/>
        <v/>
      </c>
      <c r="EI640" s="66" t="str">
        <f t="shared" si="902"/>
        <v/>
      </c>
      <c r="EJ640" s="66" t="str">
        <f>+IF($W640="","",ROUND((EG640*Parámetros!$G$85),2))</f>
        <v/>
      </c>
      <c r="EK640" s="66" t="str">
        <f>+IF($W640="","",ROUND((EG640*(Parámetros!$G$86)),2))</f>
        <v/>
      </c>
      <c r="EL640" s="66" t="str">
        <f t="shared" si="903"/>
        <v/>
      </c>
    </row>
    <row r="641" spans="1:142" x14ac:dyDescent="0.25">
      <c r="A641" t="str">
        <f>+IF($C641="","",ROUND(VLOOKUP('Tablas Servicio'!B641,Parámetros!$H$100:$J$159,IF(Parámetros!$E$16="F",2,3),FALSE),2))</f>
        <v/>
      </c>
      <c r="B641" t="str">
        <f t="shared" si="854"/>
        <v/>
      </c>
      <c r="C641" s="57" t="str">
        <f>+IF(D641="","",'Tablas Servicio'!C640+1)</f>
        <v/>
      </c>
      <c r="D641" s="56" t="str">
        <f>+IF(D640&lt;edadmaxtabla,D640+1/Parámetros!$E$25,"")</f>
        <v/>
      </c>
      <c r="E641" s="57" t="str">
        <f t="shared" si="864"/>
        <v/>
      </c>
      <c r="F641" s="59" t="str">
        <f t="shared" si="865"/>
        <v/>
      </c>
      <c r="G641" s="66" t="str">
        <f t="shared" si="855"/>
        <v/>
      </c>
      <c r="H641" s="66" t="str">
        <f t="shared" si="856"/>
        <v/>
      </c>
      <c r="I641" s="66" t="str">
        <f t="shared" si="904"/>
        <v/>
      </c>
      <c r="J641" s="66" t="str">
        <f t="shared" si="857"/>
        <v/>
      </c>
      <c r="K641" s="66" t="str">
        <f t="shared" si="858"/>
        <v/>
      </c>
      <c r="L641" s="66" t="str">
        <f t="shared" si="859"/>
        <v/>
      </c>
      <c r="M641" s="66" t="str">
        <f t="shared" si="860"/>
        <v/>
      </c>
      <c r="N641" s="66" t="str">
        <f>+IF(C641="","",ROUND(Parámetros!$D$23,2))</f>
        <v/>
      </c>
      <c r="O641" s="66" t="str">
        <f t="shared" si="861"/>
        <v/>
      </c>
      <c r="P641" s="66" t="str">
        <f>+IF($C641="","",ROUND(IF(B641&gt;Parámetros!$D$117,0,N641*Parámetros!$D$116-G641*Parámetros!$D$100),2))</f>
        <v/>
      </c>
      <c r="Q641" s="75" t="str">
        <f t="shared" si="905"/>
        <v/>
      </c>
      <c r="R641" s="75" t="str">
        <f t="shared" si="906"/>
        <v/>
      </c>
      <c r="S641" s="117" t="str">
        <f>+IF($C641="","",ROUND((S640+I641)*(1+Parámetros!$D$91),2))</f>
        <v/>
      </c>
      <c r="T641" s="117" t="str">
        <f>+IF($C641="","",ROUND(S641*VLOOKUP(B641,Parámetros!$C$30:$D$39,2,TRUE),2))</f>
        <v/>
      </c>
      <c r="U641" s="117" t="str">
        <f>+IF($C641="","",ROUND((U640+I641)*(1+Parámetros!$D$92),2))</f>
        <v/>
      </c>
      <c r="V641" s="117" t="str">
        <f>+IF($C641="","",ROUND(U641*VLOOKUP(B641,Parámetros!$C$30:$D$39,2,TRUE),2))</f>
        <v/>
      </c>
      <c r="W641" s="57" t="str">
        <f t="shared" si="907"/>
        <v/>
      </c>
      <c r="X641" t="str">
        <f t="shared" si="908"/>
        <v/>
      </c>
      <c r="Y641" t="str">
        <f t="shared" si="909"/>
        <v/>
      </c>
      <c r="Z641" s="118" t="str">
        <f>+IF($W641="","",ROUND(IF(Parámetros!$D$25='TABLAS MORT'!$V$33,Z640,Parámetros!$D$21-'Tablas Servicio'!T640),0))</f>
        <v/>
      </c>
      <c r="AA641" s="118" t="str">
        <f t="shared" si="910"/>
        <v/>
      </c>
      <c r="AB641" s="119" t="str">
        <f>+IF(W641="","",ROUND((VLOOKUP(ROUNDDOWN($D641-1/frec,0),qx_tabla,2,FALSE)*(1+i/frec)^-0.5*(1+Parámetros!$D$103)*(1+rec_fracc)/frec),6))</f>
        <v/>
      </c>
      <c r="AC641" s="66" t="str">
        <f t="shared" si="866"/>
        <v/>
      </c>
      <c r="AD641" s="119" t="str">
        <f t="shared" si="862"/>
        <v/>
      </c>
      <c r="AE641" s="66" t="str">
        <f>+IF($W641="","",ROUND(IF($B641&gt;Parámetros!$D$107,'Tablas Servicio'!AC641+('Tablas Servicio'!AG640-'Tablas Servicio'!AC640),AC641/(1-IF(B641&lt;=10,Parámetros!$D$104,Parámetros!$D$105))),2))</f>
        <v/>
      </c>
      <c r="AF641" s="66" t="str">
        <f>+IF($W641="","",ROUND(IF($B641&gt;Parámetros!$D$107,'Tablas Servicio'!AC641+('Tablas Servicio'!AG640-'Tablas Servicio'!AC640),(AC641+$A640/frec)/(1-IF(B641&lt;=Parámetros!$D$117,Parámetros!$D$100,0))),2))</f>
        <v/>
      </c>
      <c r="AG641" s="66" t="str">
        <f t="shared" si="867"/>
        <v/>
      </c>
      <c r="AH641" s="66" t="str">
        <f t="shared" si="868"/>
        <v/>
      </c>
      <c r="AI641" s="66" t="str">
        <f t="shared" si="869"/>
        <v/>
      </c>
      <c r="AJ641" s="66" t="str">
        <f>+IF($W641="","",ROUND((AG641*Parámetros!$G$85),2))</f>
        <v/>
      </c>
      <c r="AK641" s="66" t="str">
        <f>+IF($W641="","",ROUND((AG641*(Parámetros!$G$86)),2))</f>
        <v/>
      </c>
      <c r="AL641" s="66" t="str">
        <f t="shared" si="863"/>
        <v/>
      </c>
      <c r="AM641" t="str">
        <f t="shared" si="911"/>
        <v/>
      </c>
      <c r="AN641" t="str">
        <f t="shared" si="912"/>
        <v/>
      </c>
      <c r="AO641" s="118" t="str">
        <f t="shared" si="913"/>
        <v/>
      </c>
      <c r="AP641" s="118" t="str">
        <f t="shared" si="914"/>
        <v/>
      </c>
      <c r="AQ641" s="119" t="str">
        <f>+IF(OR($W641="",AO641=0),"",ROUND((VLOOKUP(ROUNDDOWN($D641-1/frec,0),cob_adi,Z$40,FALSE)*(1+i/frec)^-0.5*(1+Parámetros!$D$103)*(1+rec_fracc)/frec),6))</f>
        <v/>
      </c>
      <c r="AR641" s="66" t="str">
        <f t="shared" si="870"/>
        <v/>
      </c>
      <c r="AS641" s="119" t="str">
        <f t="shared" si="871"/>
        <v/>
      </c>
      <c r="AT641" s="66" t="str">
        <f>+IF($W641="","",ROUND(IF($B641&gt;Parámetros!$D$107,'Tablas Servicio'!AR641+('Tablas Servicio'!AT640-'Tablas Servicio'!AR640),AR641/(1-IF(B641&lt;=10,Parámetros!$D$100,0))),2))</f>
        <v/>
      </c>
      <c r="AU641" s="66" t="str">
        <f t="shared" si="872"/>
        <v/>
      </c>
      <c r="AV641" s="66" t="str">
        <f t="shared" si="872"/>
        <v/>
      </c>
      <c r="AW641" s="66" t="str">
        <f>+IF($W641="","",ROUND((AT641*Parámetros!$G$85),2))</f>
        <v/>
      </c>
      <c r="AX641" s="66" t="str">
        <f>+IF($W641="","",ROUND((AT641*(Parámetros!$G$86)),2))</f>
        <v/>
      </c>
      <c r="AY641" s="66" t="str">
        <f t="shared" si="873"/>
        <v/>
      </c>
      <c r="AZ641" t="str">
        <f t="shared" si="915"/>
        <v/>
      </c>
      <c r="BA641" t="str">
        <f t="shared" si="916"/>
        <v/>
      </c>
      <c r="BB641" s="118" t="str">
        <f t="shared" si="917"/>
        <v/>
      </c>
      <c r="BC641" s="118" t="str">
        <f t="shared" si="918"/>
        <v/>
      </c>
      <c r="BD641" s="119" t="str">
        <f>+IF(OR($W641="",BB641=0),"",ROUND((VLOOKUP(ROUNDDOWN($D641-1/frec,0),cob_adi,AO$40,FALSE)*(1+i/frec)^-0.5*(1+Parámetros!$D$103)*(1+rec_fracc)/frec),6))</f>
        <v/>
      </c>
      <c r="BE641" s="66" t="str">
        <f t="shared" si="874"/>
        <v/>
      </c>
      <c r="BF641" s="119" t="str">
        <f t="shared" si="875"/>
        <v/>
      </c>
      <c r="BG641" s="66" t="str">
        <f>+IF($W641="","",ROUND(IF($B641&gt;Parámetros!$D$107,'Tablas Servicio'!BE641+('Tablas Servicio'!BG640-'Tablas Servicio'!BE640),BE641/(1-IF(B641&lt;=10,Parámetros!$D$100,0))),2))</f>
        <v/>
      </c>
      <c r="BH641" s="66" t="str">
        <f t="shared" si="876"/>
        <v/>
      </c>
      <c r="BI641" s="66" t="str">
        <f t="shared" si="877"/>
        <v/>
      </c>
      <c r="BJ641" s="66" t="str">
        <f>+IF($W641="","",ROUND((BG641*Parámetros!$G$85),2))</f>
        <v/>
      </c>
      <c r="BK641" s="66" t="str">
        <f>+IF($W641="","",ROUND((BG641*(Parámetros!$G$86)),2))</f>
        <v/>
      </c>
      <c r="BL641" s="66" t="str">
        <f t="shared" si="878"/>
        <v/>
      </c>
      <c r="BM641" t="str">
        <f t="shared" si="919"/>
        <v/>
      </c>
      <c r="BN641" t="str">
        <f t="shared" si="920"/>
        <v/>
      </c>
      <c r="BO641" s="118" t="str">
        <f t="shared" si="921"/>
        <v/>
      </c>
      <c r="BP641" s="118" t="str">
        <f t="shared" si="922"/>
        <v/>
      </c>
      <c r="BQ641" s="119" t="str">
        <f>+IF(OR($W641="",BO641=0),"",ROUND((VLOOKUP(ROUNDDOWN($D641-1/frec,0),cob_adi,BB$40,FALSE)*(1+i/frec)^-0.5*(1+Parámetros!$D$103)*(1+rec_fracc)/frec),6))</f>
        <v/>
      </c>
      <c r="BR641" s="66" t="str">
        <f t="shared" si="879"/>
        <v/>
      </c>
      <c r="BS641" s="119" t="str">
        <f t="shared" si="880"/>
        <v/>
      </c>
      <c r="BT641" s="66" t="str">
        <f>+IF($W641="","",ROUND(IF($B641&gt;Parámetros!$D$107,'Tablas Servicio'!BR641+('Tablas Servicio'!BT640-'Tablas Servicio'!BR640),BR641/(1-IF(B641&lt;=10,Parámetros!$D$100,0))),2))</f>
        <v/>
      </c>
      <c r="BU641" s="66" t="str">
        <f t="shared" si="881"/>
        <v/>
      </c>
      <c r="BV641" s="66" t="str">
        <f t="shared" si="881"/>
        <v/>
      </c>
      <c r="BW641" s="66" t="str">
        <f>+IF($W641="","",ROUND((BT641*Parámetros!$G$85),2))</f>
        <v/>
      </c>
      <c r="BX641" s="66" t="str">
        <f>+IF($W641="","",ROUND((BT641*(Parámetros!$G$86)),2))</f>
        <v/>
      </c>
      <c r="BY641" s="66" t="str">
        <f t="shared" si="882"/>
        <v/>
      </c>
      <c r="BZ641" t="str">
        <f t="shared" si="923"/>
        <v/>
      </c>
      <c r="CA641" t="str">
        <f t="shared" si="924"/>
        <v/>
      </c>
      <c r="CB641" s="118" t="str">
        <f t="shared" si="925"/>
        <v/>
      </c>
      <c r="CC641" s="118" t="str">
        <f t="shared" si="926"/>
        <v/>
      </c>
      <c r="CD641" s="119" t="str">
        <f t="shared" si="883"/>
        <v/>
      </c>
      <c r="CE641" s="66" t="str">
        <f>+IF($W641="","",ROUND((VLOOKUP(ROUNDDOWN($D641-1/frec,0),cob_adi,BO$40,FALSE)*(1+i/frec)^-0.5*(1+Parámetros!$D$103)*(1+rec_fracc)/frec*'TABLAS ADI'!$BC$17),2))</f>
        <v/>
      </c>
      <c r="CF641" s="119" t="str">
        <f t="shared" si="884"/>
        <v/>
      </c>
      <c r="CG641" s="66" t="str">
        <f>+IF($W641="","",ROUND(IF($B641&gt;Parámetros!$D$107,'Tablas Servicio'!CE641+('Tablas Servicio'!CG640-'Tablas Servicio'!CE640),CE641/(1-IF(B641&lt;=10,Parámetros!$D$100,0))),2))</f>
        <v/>
      </c>
      <c r="CH641" s="66" t="str">
        <f t="shared" si="885"/>
        <v/>
      </c>
      <c r="CI641" s="66" t="str">
        <f t="shared" si="885"/>
        <v/>
      </c>
      <c r="CJ641" s="66" t="str">
        <f>+IF($W641="","",ROUND((CG641*Parámetros!$G$85),2))</f>
        <v/>
      </c>
      <c r="CK641" s="66" t="str">
        <f>+IF($W641="","",ROUND((CG641*(Parámetros!$G$86)),2))</f>
        <v/>
      </c>
      <c r="CL641" s="66" t="str">
        <f t="shared" si="886"/>
        <v/>
      </c>
      <c r="CM641" t="str">
        <f t="shared" si="927"/>
        <v/>
      </c>
      <c r="CN641" s="118" t="str">
        <f t="shared" si="928"/>
        <v/>
      </c>
      <c r="CO641" s="118" t="str">
        <f t="shared" si="929"/>
        <v/>
      </c>
      <c r="CP641" s="118" t="str">
        <f t="shared" si="930"/>
        <v/>
      </c>
      <c r="CQ641" s="119" t="str">
        <f t="shared" si="887"/>
        <v/>
      </c>
      <c r="CR641" s="66" t="str">
        <f>+IF($W641="","",ROUND((VLOOKUP(Parámetros!$F$51,'COBERTURAS ADICIONALES'!$S$4:$T$32,2,FALSE)*(1+i/frec)^-0.5*(1+Parámetros!$D$103)*(1+rec_fracc)/frec*$CO$42),2))</f>
        <v/>
      </c>
      <c r="CS641" s="119" t="str">
        <f t="shared" si="888"/>
        <v/>
      </c>
      <c r="CT641" s="66" t="str">
        <f>+IF($W641="","",ROUND(IF($B641&gt;Parámetros!$D$107,'Tablas Servicio'!CR641+('Tablas Servicio'!CT640-'Tablas Servicio'!CR640),CR641/(1-IF(B641&lt;=10,Parámetros!$D$100,0))),2))</f>
        <v/>
      </c>
      <c r="CU641" s="66" t="str">
        <f t="shared" si="889"/>
        <v/>
      </c>
      <c r="CV641" s="66" t="str">
        <f t="shared" si="889"/>
        <v/>
      </c>
      <c r="CW641" s="66" t="str">
        <f>+IF($W641="","",ROUND((CT641*Parámetros!$G$85),2))</f>
        <v/>
      </c>
      <c r="CX641" s="66" t="str">
        <f>+IF($W641="","",ROUND((CT641*(Parámetros!$G$86)),2))</f>
        <v/>
      </c>
      <c r="CY641" s="66" t="str">
        <f t="shared" si="890"/>
        <v/>
      </c>
      <c r="CZ641" t="str">
        <f t="shared" si="931"/>
        <v/>
      </c>
      <c r="DA641" s="118" t="str">
        <f t="shared" si="932"/>
        <v/>
      </c>
      <c r="DB641" s="118" t="str">
        <f t="shared" si="933"/>
        <v/>
      </c>
      <c r="DC641" s="118" t="str">
        <f t="shared" si="934"/>
        <v/>
      </c>
      <c r="DD641" s="121" t="str">
        <f>+IF(OR($W641="",DB641=0),"",ROUND((VLOOKUP(ROUNDDOWN($D641-1/frec,0),cob_adi,CO$40,FALSE)*(1+i/frec)^-0.5*(1+Parámetros!$D$103)*(1+rec_fracc)/frec),6))</f>
        <v/>
      </c>
      <c r="DE641" s="66" t="str">
        <f t="shared" si="891"/>
        <v/>
      </c>
      <c r="DF641" s="119" t="str">
        <f t="shared" si="892"/>
        <v/>
      </c>
      <c r="DG641" s="66" t="str">
        <f>+IF($W641="","",ROUND(IF($B641&gt;Parámetros!$D$107,'Tablas Servicio'!DE641+('Tablas Servicio'!DG640-'Tablas Servicio'!DE640),DE641/(1-IF(B641&lt;=10,Parámetros!$D$100,0))),2))</f>
        <v/>
      </c>
      <c r="DH641" s="66" t="str">
        <f t="shared" si="893"/>
        <v/>
      </c>
      <c r="DI641" s="66" t="str">
        <f t="shared" si="893"/>
        <v/>
      </c>
      <c r="DJ641" s="66" t="str">
        <f>+IF($W641="","",ROUND((DG641*Parámetros!$G$85),2))</f>
        <v/>
      </c>
      <c r="DK641" s="66" t="str">
        <f>+IF($W641="","",ROUND((DG641*(Parámetros!$G$86)),2))</f>
        <v/>
      </c>
      <c r="DL641" s="66" t="str">
        <f t="shared" si="894"/>
        <v/>
      </c>
      <c r="DM641" t="str">
        <f t="shared" si="935"/>
        <v/>
      </c>
      <c r="DN641" s="118" t="str">
        <f t="shared" si="936"/>
        <v/>
      </c>
      <c r="DO641" s="118" t="str">
        <f t="shared" si="937"/>
        <v/>
      </c>
      <c r="DP641" s="118" t="str">
        <f t="shared" si="938"/>
        <v/>
      </c>
      <c r="DQ641" s="122" t="str">
        <f>+IF(OR($W641="",DO641=0),"",ROUND((VLOOKUP(ROUNDDOWN($D641-1/frec,0),cob_adi,DB$40,FALSE)*(1+i/frec)^-0.5*(1+Parámetros!$D$103)*(1+rec_fracc)/frec),6))</f>
        <v/>
      </c>
      <c r="DR641" s="66" t="str">
        <f t="shared" si="895"/>
        <v/>
      </c>
      <c r="DS641" s="68" t="str">
        <f t="shared" si="896"/>
        <v/>
      </c>
      <c r="DT641" s="66" t="str">
        <f>+IF($W641="","",ROUND(IF($B641&gt;Parámetros!$D$107,'Tablas Servicio'!DR641+('Tablas Servicio'!DT640-'Tablas Servicio'!DR640),DR641/(1-IF(B641&lt;=10,Parámetros!$D$100,0))),2))</f>
        <v/>
      </c>
      <c r="DU641" s="66" t="str">
        <f t="shared" si="897"/>
        <v/>
      </c>
      <c r="DV641" s="66" t="str">
        <f t="shared" si="897"/>
        <v/>
      </c>
      <c r="DW641" s="66" t="str">
        <f>+IF($W641="","",ROUND((DT641*Parámetros!$G$85),2))</f>
        <v/>
      </c>
      <c r="DX641" s="66" t="str">
        <f>+IF($W641="","",ROUND((DT641*(Parámetros!$G$86)),2))</f>
        <v/>
      </c>
      <c r="DY641" s="66" t="str">
        <f t="shared" si="898"/>
        <v/>
      </c>
      <c r="DZ641" t="str">
        <f t="shared" si="939"/>
        <v/>
      </c>
      <c r="EA641" s="118" t="str">
        <f t="shared" si="939"/>
        <v/>
      </c>
      <c r="EB641" s="118" t="str">
        <f>+IF($W641="","",ROUND(IF(Parámetros!$D$25='TABLAS MORT'!$V$33,EB640,Z641/2),0))</f>
        <v/>
      </c>
      <c r="EC641" s="118" t="str">
        <f t="shared" si="939"/>
        <v/>
      </c>
      <c r="ED641" s="122" t="str">
        <f>+IF(OR($W641="",EB641=0),"",ROUND((VLOOKUP(ROUNDDOWN($D641-1/frec,0),cob_adi,DO$40,FALSE)*(1+i/frec)^-0.5*(1+Parámetros!$D$103)*(1+rec_fracc)/frec),6))</f>
        <v/>
      </c>
      <c r="EE641" s="66" t="str">
        <f t="shared" si="900"/>
        <v/>
      </c>
      <c r="EF641" s="68" t="str">
        <f t="shared" si="901"/>
        <v/>
      </c>
      <c r="EG641" s="66" t="str">
        <f>+IF($W641="","",ROUND(IF($B641&gt;Parámetros!$D$107,'Tablas Servicio'!EE641+('Tablas Servicio'!EG640-'Tablas Servicio'!EE640),EE641/(1-IF(B641&lt;=10,Parámetros!$D$100,0))),2))</f>
        <v/>
      </c>
      <c r="EH641" s="66" t="str">
        <f t="shared" si="902"/>
        <v/>
      </c>
      <c r="EI641" s="66" t="str">
        <f t="shared" si="902"/>
        <v/>
      </c>
      <c r="EJ641" s="66" t="str">
        <f>+IF($W641="","",ROUND((EG641*Parámetros!$G$85),2))</f>
        <v/>
      </c>
      <c r="EK641" s="66" t="str">
        <f>+IF($W641="","",ROUND((EG641*(Parámetros!$G$86)),2))</f>
        <v/>
      </c>
      <c r="EL641" s="66" t="str">
        <f t="shared" si="903"/>
        <v/>
      </c>
    </row>
    <row r="642" spans="1:142" x14ac:dyDescent="0.25">
      <c r="A642" t="str">
        <f>+IF($C642="","",ROUND(VLOOKUP('Tablas Servicio'!B642,Parámetros!$H$100:$J$159,IF(Parámetros!$E$16="F",2,3),FALSE),2))</f>
        <v/>
      </c>
      <c r="B642" t="str">
        <f t="shared" si="854"/>
        <v/>
      </c>
      <c r="C642" s="57" t="str">
        <f>+IF(D642="","",'Tablas Servicio'!C641+1)</f>
        <v/>
      </c>
      <c r="D642" s="56" t="str">
        <f>+IF(D641&lt;edadmaxtabla,D641+1/Parámetros!$E$25,"")</f>
        <v/>
      </c>
      <c r="E642" s="57" t="str">
        <f t="shared" si="864"/>
        <v/>
      </c>
      <c r="F642" s="59" t="str">
        <f t="shared" si="865"/>
        <v/>
      </c>
      <c r="G642" s="66" t="str">
        <f t="shared" si="855"/>
        <v/>
      </c>
      <c r="H642" s="66" t="str">
        <f t="shared" si="856"/>
        <v/>
      </c>
      <c r="I642" s="66" t="str">
        <f t="shared" si="904"/>
        <v/>
      </c>
      <c r="J642" s="66" t="str">
        <f t="shared" si="857"/>
        <v/>
      </c>
      <c r="K642" s="66" t="str">
        <f t="shared" si="858"/>
        <v/>
      </c>
      <c r="L642" s="66" t="str">
        <f t="shared" si="859"/>
        <v/>
      </c>
      <c r="M642" s="66" t="str">
        <f t="shared" si="860"/>
        <v/>
      </c>
      <c r="N642" s="66" t="str">
        <f>+IF(C642="","",ROUND(Parámetros!$D$23,2))</f>
        <v/>
      </c>
      <c r="O642" s="66" t="str">
        <f t="shared" si="861"/>
        <v/>
      </c>
      <c r="P642" s="66" t="str">
        <f>+IF($C642="","",ROUND(IF(B642&gt;Parámetros!$D$117,0,N642*Parámetros!$D$116-G642*Parámetros!$D$100),2))</f>
        <v/>
      </c>
      <c r="Q642" s="75" t="str">
        <f t="shared" si="905"/>
        <v/>
      </c>
      <c r="R642" s="75" t="str">
        <f t="shared" si="906"/>
        <v/>
      </c>
      <c r="S642" s="117" t="str">
        <f>+IF($C642="","",ROUND((S641+I642)*(1+Parámetros!$D$91),2))</f>
        <v/>
      </c>
      <c r="T642" s="117" t="str">
        <f>+IF($C642="","",ROUND(S642*VLOOKUP(B642,Parámetros!$C$30:$D$39,2,TRUE),2))</f>
        <v/>
      </c>
      <c r="U642" s="117" t="str">
        <f>+IF($C642="","",ROUND((U641+I642)*(1+Parámetros!$D$92),2))</f>
        <v/>
      </c>
      <c r="V642" s="117" t="str">
        <f>+IF($C642="","",ROUND(U642*VLOOKUP(B642,Parámetros!$C$30:$D$39,2,TRUE),2))</f>
        <v/>
      </c>
      <c r="W642" s="57" t="str">
        <f t="shared" si="907"/>
        <v/>
      </c>
      <c r="X642" t="str">
        <f t="shared" si="908"/>
        <v/>
      </c>
      <c r="Y642" t="str">
        <f t="shared" si="909"/>
        <v/>
      </c>
      <c r="Z642" s="118" t="str">
        <f>+IF($W642="","",ROUND(IF(Parámetros!$D$25='TABLAS MORT'!$V$33,Z641,Parámetros!$D$21-'Tablas Servicio'!T641),0))</f>
        <v/>
      </c>
      <c r="AA642" s="118" t="str">
        <f t="shared" si="910"/>
        <v/>
      </c>
      <c r="AB642" s="119" t="str">
        <f>+IF(W642="","",ROUND((VLOOKUP(ROUNDDOWN($D642-1/frec,0),qx_tabla,2,FALSE)*(1+i/frec)^-0.5*(1+Parámetros!$D$103)*(1+rec_fracc)/frec),6))</f>
        <v/>
      </c>
      <c r="AC642" s="66" t="str">
        <f t="shared" si="866"/>
        <v/>
      </c>
      <c r="AD642" s="119" t="str">
        <f t="shared" si="862"/>
        <v/>
      </c>
      <c r="AE642" s="66" t="str">
        <f>+IF($W642="","",ROUND(IF($B642&gt;Parámetros!$D$107,'Tablas Servicio'!AC642+('Tablas Servicio'!AG641-'Tablas Servicio'!AC641),AC642/(1-IF(B642&lt;=10,Parámetros!$D$104,Parámetros!$D$105))),2))</f>
        <v/>
      </c>
      <c r="AF642" s="66" t="str">
        <f>+IF($W642="","",ROUND(IF($B642&gt;Parámetros!$D$107,'Tablas Servicio'!AC642+('Tablas Servicio'!AG641-'Tablas Servicio'!AC641),(AC642+$A641/frec)/(1-IF(B642&lt;=Parámetros!$D$117,Parámetros!$D$100,0))),2))</f>
        <v/>
      </c>
      <c r="AG642" s="66" t="str">
        <f t="shared" si="867"/>
        <v/>
      </c>
      <c r="AH642" s="66" t="str">
        <f t="shared" si="868"/>
        <v/>
      </c>
      <c r="AI642" s="66" t="str">
        <f t="shared" si="869"/>
        <v/>
      </c>
      <c r="AJ642" s="66" t="str">
        <f>+IF($W642="","",ROUND((AG642*Parámetros!$G$85),2))</f>
        <v/>
      </c>
      <c r="AK642" s="66" t="str">
        <f>+IF($W642="","",ROUND((AG642*(Parámetros!$G$86)),2))</f>
        <v/>
      </c>
      <c r="AL642" s="66" t="str">
        <f t="shared" si="863"/>
        <v/>
      </c>
      <c r="AM642" t="str">
        <f t="shared" si="911"/>
        <v/>
      </c>
      <c r="AN642" t="str">
        <f t="shared" si="912"/>
        <v/>
      </c>
      <c r="AO642" s="118" t="str">
        <f t="shared" si="913"/>
        <v/>
      </c>
      <c r="AP642" s="118" t="str">
        <f t="shared" si="914"/>
        <v/>
      </c>
      <c r="AQ642" s="119" t="str">
        <f>+IF(OR($W642="",AO642=0),"",ROUND((VLOOKUP(ROUNDDOWN($D642-1/frec,0),cob_adi,Z$40,FALSE)*(1+i/frec)^-0.5*(1+Parámetros!$D$103)*(1+rec_fracc)/frec),6))</f>
        <v/>
      </c>
      <c r="AR642" s="66" t="str">
        <f t="shared" si="870"/>
        <v/>
      </c>
      <c r="AS642" s="119" t="str">
        <f t="shared" si="871"/>
        <v/>
      </c>
      <c r="AT642" s="66" t="str">
        <f>+IF($W642="","",ROUND(IF($B642&gt;Parámetros!$D$107,'Tablas Servicio'!AR642+('Tablas Servicio'!AT641-'Tablas Servicio'!AR641),AR642/(1-IF(B642&lt;=10,Parámetros!$D$100,0))),2))</f>
        <v/>
      </c>
      <c r="AU642" s="66" t="str">
        <f t="shared" si="872"/>
        <v/>
      </c>
      <c r="AV642" s="66" t="str">
        <f t="shared" si="872"/>
        <v/>
      </c>
      <c r="AW642" s="66" t="str">
        <f>+IF($W642="","",ROUND((AT642*Parámetros!$G$85),2))</f>
        <v/>
      </c>
      <c r="AX642" s="66" t="str">
        <f>+IF($W642="","",ROUND((AT642*(Parámetros!$G$86)),2))</f>
        <v/>
      </c>
      <c r="AY642" s="66" t="str">
        <f t="shared" si="873"/>
        <v/>
      </c>
      <c r="AZ642" t="str">
        <f t="shared" si="915"/>
        <v/>
      </c>
      <c r="BA642" t="str">
        <f t="shared" si="916"/>
        <v/>
      </c>
      <c r="BB642" s="118" t="str">
        <f t="shared" si="917"/>
        <v/>
      </c>
      <c r="BC642" s="118" t="str">
        <f t="shared" si="918"/>
        <v/>
      </c>
      <c r="BD642" s="119" t="str">
        <f>+IF(OR($W642="",BB642=0),"",ROUND((VLOOKUP(ROUNDDOWN($D642-1/frec,0),cob_adi,AO$40,FALSE)*(1+i/frec)^-0.5*(1+Parámetros!$D$103)*(1+rec_fracc)/frec),6))</f>
        <v/>
      </c>
      <c r="BE642" s="66" t="str">
        <f t="shared" si="874"/>
        <v/>
      </c>
      <c r="BF642" s="119" t="str">
        <f t="shared" si="875"/>
        <v/>
      </c>
      <c r="BG642" s="66" t="str">
        <f>+IF($W642="","",ROUND(IF($B642&gt;Parámetros!$D$107,'Tablas Servicio'!BE642+('Tablas Servicio'!BG641-'Tablas Servicio'!BE641),BE642/(1-IF(B642&lt;=10,Parámetros!$D$100,0))),2))</f>
        <v/>
      </c>
      <c r="BH642" s="66" t="str">
        <f t="shared" si="876"/>
        <v/>
      </c>
      <c r="BI642" s="66" t="str">
        <f t="shared" si="877"/>
        <v/>
      </c>
      <c r="BJ642" s="66" t="str">
        <f>+IF($W642="","",ROUND((BG642*Parámetros!$G$85),2))</f>
        <v/>
      </c>
      <c r="BK642" s="66" t="str">
        <f>+IF($W642="","",ROUND((BG642*(Parámetros!$G$86)),2))</f>
        <v/>
      </c>
      <c r="BL642" s="66" t="str">
        <f t="shared" si="878"/>
        <v/>
      </c>
      <c r="BM642" t="str">
        <f t="shared" si="919"/>
        <v/>
      </c>
      <c r="BN642" t="str">
        <f t="shared" si="920"/>
        <v/>
      </c>
      <c r="BO642" s="118" t="str">
        <f t="shared" si="921"/>
        <v/>
      </c>
      <c r="BP642" s="118" t="str">
        <f t="shared" si="922"/>
        <v/>
      </c>
      <c r="BQ642" s="119" t="str">
        <f>+IF(OR($W642="",BO642=0),"",ROUND((VLOOKUP(ROUNDDOWN($D642-1/frec,0),cob_adi,BB$40,FALSE)*(1+i/frec)^-0.5*(1+Parámetros!$D$103)*(1+rec_fracc)/frec),6))</f>
        <v/>
      </c>
      <c r="BR642" s="66" t="str">
        <f t="shared" si="879"/>
        <v/>
      </c>
      <c r="BS642" s="119" t="str">
        <f t="shared" si="880"/>
        <v/>
      </c>
      <c r="BT642" s="66" t="str">
        <f>+IF($W642="","",ROUND(IF($B642&gt;Parámetros!$D$107,'Tablas Servicio'!BR642+('Tablas Servicio'!BT641-'Tablas Servicio'!BR641),BR642/(1-IF(B642&lt;=10,Parámetros!$D$100,0))),2))</f>
        <v/>
      </c>
      <c r="BU642" s="66" t="str">
        <f t="shared" si="881"/>
        <v/>
      </c>
      <c r="BV642" s="66" t="str">
        <f t="shared" si="881"/>
        <v/>
      </c>
      <c r="BW642" s="66" t="str">
        <f>+IF($W642="","",ROUND((BT642*Parámetros!$G$85),2))</f>
        <v/>
      </c>
      <c r="BX642" s="66" t="str">
        <f>+IF($W642="","",ROUND((BT642*(Parámetros!$G$86)),2))</f>
        <v/>
      </c>
      <c r="BY642" s="66" t="str">
        <f t="shared" si="882"/>
        <v/>
      </c>
      <c r="BZ642" t="str">
        <f t="shared" si="923"/>
        <v/>
      </c>
      <c r="CA642" t="str">
        <f t="shared" si="924"/>
        <v/>
      </c>
      <c r="CB642" s="118" t="str">
        <f t="shared" si="925"/>
        <v/>
      </c>
      <c r="CC642" s="118" t="str">
        <f t="shared" si="926"/>
        <v/>
      </c>
      <c r="CD642" s="119" t="str">
        <f t="shared" si="883"/>
        <v/>
      </c>
      <c r="CE642" s="66" t="str">
        <f>+IF($W642="","",ROUND((VLOOKUP(ROUNDDOWN($D642-1/frec,0),cob_adi,BO$40,FALSE)*(1+i/frec)^-0.5*(1+Parámetros!$D$103)*(1+rec_fracc)/frec*'TABLAS ADI'!$BC$17),2))</f>
        <v/>
      </c>
      <c r="CF642" s="119" t="str">
        <f t="shared" si="884"/>
        <v/>
      </c>
      <c r="CG642" s="66" t="str">
        <f>+IF($W642="","",ROUND(IF($B642&gt;Parámetros!$D$107,'Tablas Servicio'!CE642+('Tablas Servicio'!CG641-'Tablas Servicio'!CE641),CE642/(1-IF(B642&lt;=10,Parámetros!$D$100,0))),2))</f>
        <v/>
      </c>
      <c r="CH642" s="66" t="str">
        <f t="shared" si="885"/>
        <v/>
      </c>
      <c r="CI642" s="66" t="str">
        <f t="shared" si="885"/>
        <v/>
      </c>
      <c r="CJ642" s="66" t="str">
        <f>+IF($W642="","",ROUND((CG642*Parámetros!$G$85),2))</f>
        <v/>
      </c>
      <c r="CK642" s="66" t="str">
        <f>+IF($W642="","",ROUND((CG642*(Parámetros!$G$86)),2))</f>
        <v/>
      </c>
      <c r="CL642" s="66" t="str">
        <f t="shared" si="886"/>
        <v/>
      </c>
      <c r="CM642" t="str">
        <f t="shared" si="927"/>
        <v/>
      </c>
      <c r="CN642" s="118" t="str">
        <f t="shared" si="928"/>
        <v/>
      </c>
      <c r="CO642" s="118" t="str">
        <f t="shared" si="929"/>
        <v/>
      </c>
      <c r="CP642" s="118" t="str">
        <f t="shared" si="930"/>
        <v/>
      </c>
      <c r="CQ642" s="119" t="str">
        <f t="shared" si="887"/>
        <v/>
      </c>
      <c r="CR642" s="66" t="str">
        <f>+IF($W642="","",ROUND((VLOOKUP(Parámetros!$F$51,'COBERTURAS ADICIONALES'!$S$4:$T$32,2,FALSE)*(1+i/frec)^-0.5*(1+Parámetros!$D$103)*(1+rec_fracc)/frec*$CO$42),2))</f>
        <v/>
      </c>
      <c r="CS642" s="119" t="str">
        <f t="shared" si="888"/>
        <v/>
      </c>
      <c r="CT642" s="66" t="str">
        <f>+IF($W642="","",ROUND(IF($B642&gt;Parámetros!$D$107,'Tablas Servicio'!CR642+('Tablas Servicio'!CT641-'Tablas Servicio'!CR641),CR642/(1-IF(B642&lt;=10,Parámetros!$D$100,0))),2))</f>
        <v/>
      </c>
      <c r="CU642" s="66" t="str">
        <f t="shared" si="889"/>
        <v/>
      </c>
      <c r="CV642" s="66" t="str">
        <f t="shared" si="889"/>
        <v/>
      </c>
      <c r="CW642" s="66" t="str">
        <f>+IF($W642="","",ROUND((CT642*Parámetros!$G$85),2))</f>
        <v/>
      </c>
      <c r="CX642" s="66" t="str">
        <f>+IF($W642="","",ROUND((CT642*(Parámetros!$G$86)),2))</f>
        <v/>
      </c>
      <c r="CY642" s="66" t="str">
        <f t="shared" si="890"/>
        <v/>
      </c>
      <c r="CZ642" t="str">
        <f t="shared" si="931"/>
        <v/>
      </c>
      <c r="DA642" s="118" t="str">
        <f t="shared" si="932"/>
        <v/>
      </c>
      <c r="DB642" s="118" t="str">
        <f t="shared" si="933"/>
        <v/>
      </c>
      <c r="DC642" s="118" t="str">
        <f t="shared" si="934"/>
        <v/>
      </c>
      <c r="DD642" s="121" t="str">
        <f>+IF(OR($W642="",DB642=0),"",ROUND((VLOOKUP(ROUNDDOWN($D642-1/frec,0),cob_adi,CO$40,FALSE)*(1+i/frec)^-0.5*(1+Parámetros!$D$103)*(1+rec_fracc)/frec),6))</f>
        <v/>
      </c>
      <c r="DE642" s="66" t="str">
        <f t="shared" si="891"/>
        <v/>
      </c>
      <c r="DF642" s="119" t="str">
        <f t="shared" si="892"/>
        <v/>
      </c>
      <c r="DG642" s="66" t="str">
        <f>+IF($W642="","",ROUND(IF($B642&gt;Parámetros!$D$107,'Tablas Servicio'!DE642+('Tablas Servicio'!DG641-'Tablas Servicio'!DE641),DE642/(1-IF(B642&lt;=10,Parámetros!$D$100,0))),2))</f>
        <v/>
      </c>
      <c r="DH642" s="66" t="str">
        <f t="shared" si="893"/>
        <v/>
      </c>
      <c r="DI642" s="66" t="str">
        <f t="shared" si="893"/>
        <v/>
      </c>
      <c r="DJ642" s="66" t="str">
        <f>+IF($W642="","",ROUND((DG642*Parámetros!$G$85),2))</f>
        <v/>
      </c>
      <c r="DK642" s="66" t="str">
        <f>+IF($W642="","",ROUND((DG642*(Parámetros!$G$86)),2))</f>
        <v/>
      </c>
      <c r="DL642" s="66" t="str">
        <f t="shared" si="894"/>
        <v/>
      </c>
      <c r="DM642" t="str">
        <f t="shared" si="935"/>
        <v/>
      </c>
      <c r="DN642" s="118" t="str">
        <f t="shared" si="936"/>
        <v/>
      </c>
      <c r="DO642" s="118" t="str">
        <f t="shared" si="937"/>
        <v/>
      </c>
      <c r="DP642" s="118" t="str">
        <f t="shared" si="938"/>
        <v/>
      </c>
      <c r="DQ642" s="122" t="str">
        <f>+IF(OR($W642="",DO642=0),"",ROUND((VLOOKUP(ROUNDDOWN($D642-1/frec,0),cob_adi,DB$40,FALSE)*(1+i/frec)^-0.5*(1+Parámetros!$D$103)*(1+rec_fracc)/frec),6))</f>
        <v/>
      </c>
      <c r="DR642" s="66" t="str">
        <f t="shared" si="895"/>
        <v/>
      </c>
      <c r="DS642" s="68" t="str">
        <f t="shared" si="896"/>
        <v/>
      </c>
      <c r="DT642" s="66" t="str">
        <f>+IF($W642="","",ROUND(IF($B642&gt;Parámetros!$D$107,'Tablas Servicio'!DR642+('Tablas Servicio'!DT641-'Tablas Servicio'!DR641),DR642/(1-IF(B642&lt;=10,Parámetros!$D$100,0))),2))</f>
        <v/>
      </c>
      <c r="DU642" s="66" t="str">
        <f t="shared" si="897"/>
        <v/>
      </c>
      <c r="DV642" s="66" t="str">
        <f t="shared" si="897"/>
        <v/>
      </c>
      <c r="DW642" s="66" t="str">
        <f>+IF($W642="","",ROUND((DT642*Parámetros!$G$85),2))</f>
        <v/>
      </c>
      <c r="DX642" s="66" t="str">
        <f>+IF($W642="","",ROUND((DT642*(Parámetros!$G$86)),2))</f>
        <v/>
      </c>
      <c r="DY642" s="66" t="str">
        <f t="shared" si="898"/>
        <v/>
      </c>
      <c r="DZ642" t="str">
        <f t="shared" si="939"/>
        <v/>
      </c>
      <c r="EA642" s="118" t="str">
        <f t="shared" si="939"/>
        <v/>
      </c>
      <c r="EB642" s="118" t="str">
        <f>+IF($W642="","",ROUND(IF(Parámetros!$D$25='TABLAS MORT'!$V$33,EB641,Z642/2),0))</f>
        <v/>
      </c>
      <c r="EC642" s="118" t="str">
        <f t="shared" si="939"/>
        <v/>
      </c>
      <c r="ED642" s="122" t="str">
        <f>+IF(OR($W642="",EB642=0),"",ROUND((VLOOKUP(ROUNDDOWN($D642-1/frec,0),cob_adi,DO$40,FALSE)*(1+i/frec)^-0.5*(1+Parámetros!$D$103)*(1+rec_fracc)/frec),6))</f>
        <v/>
      </c>
      <c r="EE642" s="66" t="str">
        <f t="shared" si="900"/>
        <v/>
      </c>
      <c r="EF642" s="68" t="str">
        <f t="shared" si="901"/>
        <v/>
      </c>
      <c r="EG642" s="66" t="str">
        <f>+IF($W642="","",ROUND(IF($B642&gt;Parámetros!$D$107,'Tablas Servicio'!EE642+('Tablas Servicio'!EG641-'Tablas Servicio'!EE641),EE642/(1-IF(B642&lt;=10,Parámetros!$D$100,0))),2))</f>
        <v/>
      </c>
      <c r="EH642" s="66" t="str">
        <f t="shared" si="902"/>
        <v/>
      </c>
      <c r="EI642" s="66" t="str">
        <f t="shared" si="902"/>
        <v/>
      </c>
      <c r="EJ642" s="66" t="str">
        <f>+IF($W642="","",ROUND((EG642*Parámetros!$G$85),2))</f>
        <v/>
      </c>
      <c r="EK642" s="66" t="str">
        <f>+IF($W642="","",ROUND((EG642*(Parámetros!$G$86)),2))</f>
        <v/>
      </c>
      <c r="EL642" s="66" t="str">
        <f t="shared" si="903"/>
        <v/>
      </c>
    </row>
    <row r="643" spans="1:142" x14ac:dyDescent="0.25">
      <c r="A643" t="str">
        <f>+IF($C643="","",ROUND(VLOOKUP('Tablas Servicio'!B643,Parámetros!$H$100:$J$159,IF(Parámetros!$E$16="F",2,3),FALSE),2))</f>
        <v/>
      </c>
      <c r="B643" t="str">
        <f t="shared" si="854"/>
        <v/>
      </c>
      <c r="C643" s="57" t="str">
        <f>+IF(D643="","",'Tablas Servicio'!C642+1)</f>
        <v/>
      </c>
      <c r="D643" s="56" t="str">
        <f>+IF(D642&lt;edadmaxtabla,D642+1/Parámetros!$E$25,"")</f>
        <v/>
      </c>
      <c r="E643" s="57" t="str">
        <f t="shared" si="864"/>
        <v/>
      </c>
      <c r="F643" s="59" t="str">
        <f t="shared" si="865"/>
        <v/>
      </c>
      <c r="G643" s="66" t="str">
        <f t="shared" si="855"/>
        <v/>
      </c>
      <c r="H643" s="66" t="str">
        <f t="shared" si="856"/>
        <v/>
      </c>
      <c r="I643" s="66" t="str">
        <f t="shared" si="904"/>
        <v/>
      </c>
      <c r="J643" s="66" t="str">
        <f t="shared" si="857"/>
        <v/>
      </c>
      <c r="K643" s="66" t="str">
        <f t="shared" si="858"/>
        <v/>
      </c>
      <c r="L643" s="66" t="str">
        <f t="shared" si="859"/>
        <v/>
      </c>
      <c r="M643" s="66" t="str">
        <f t="shared" si="860"/>
        <v/>
      </c>
      <c r="N643" s="66" t="str">
        <f>+IF(C643="","",ROUND(Parámetros!$D$23,2))</f>
        <v/>
      </c>
      <c r="O643" s="66" t="str">
        <f t="shared" si="861"/>
        <v/>
      </c>
      <c r="P643" s="66" t="str">
        <f>+IF($C643="","",ROUND(IF(B643&gt;Parámetros!$D$117,0,N643*Parámetros!$D$116-G643*Parámetros!$D$100),2))</f>
        <v/>
      </c>
      <c r="Q643" s="75" t="str">
        <f t="shared" si="905"/>
        <v/>
      </c>
      <c r="R643" s="75" t="str">
        <f t="shared" si="906"/>
        <v/>
      </c>
      <c r="S643" s="117" t="str">
        <f>+IF($C643="","",ROUND((S642+I643)*(1+Parámetros!$D$91),2))</f>
        <v/>
      </c>
      <c r="T643" s="117" t="str">
        <f>+IF($C643="","",ROUND(S643*VLOOKUP(B643,Parámetros!$C$30:$D$39,2,TRUE),2))</f>
        <v/>
      </c>
      <c r="U643" s="117" t="str">
        <f>+IF($C643="","",ROUND((U642+I643)*(1+Parámetros!$D$92),2))</f>
        <v/>
      </c>
      <c r="V643" s="117" t="str">
        <f>+IF($C643="","",ROUND(U643*VLOOKUP(B643,Parámetros!$C$30:$D$39,2,TRUE),2))</f>
        <v/>
      </c>
      <c r="W643" s="57" t="str">
        <f t="shared" si="907"/>
        <v/>
      </c>
      <c r="X643" t="str">
        <f t="shared" si="908"/>
        <v/>
      </c>
      <c r="Y643" t="str">
        <f t="shared" si="909"/>
        <v/>
      </c>
      <c r="Z643" s="118" t="str">
        <f>+IF($W643="","",ROUND(IF(Parámetros!$D$25='TABLAS MORT'!$V$33,Z642,Parámetros!$D$21-'Tablas Servicio'!T642),0))</f>
        <v/>
      </c>
      <c r="AA643" s="118" t="str">
        <f t="shared" si="910"/>
        <v/>
      </c>
      <c r="AB643" s="119" t="str">
        <f>+IF(W643="","",ROUND((VLOOKUP(ROUNDDOWN($D643-1/frec,0),qx_tabla,2,FALSE)*(1+i/frec)^-0.5*(1+Parámetros!$D$103)*(1+rec_fracc)/frec),6))</f>
        <v/>
      </c>
      <c r="AC643" s="66" t="str">
        <f t="shared" si="866"/>
        <v/>
      </c>
      <c r="AD643" s="119" t="str">
        <f t="shared" si="862"/>
        <v/>
      </c>
      <c r="AE643" s="66" t="str">
        <f>+IF($W643="","",ROUND(IF($B643&gt;Parámetros!$D$107,'Tablas Servicio'!AC643+('Tablas Servicio'!AG642-'Tablas Servicio'!AC642),AC643/(1-IF(B643&lt;=10,Parámetros!$D$104,Parámetros!$D$105))),2))</f>
        <v/>
      </c>
      <c r="AF643" s="66" t="str">
        <f>+IF($W643="","",ROUND(IF($B643&gt;Parámetros!$D$107,'Tablas Servicio'!AC643+('Tablas Servicio'!AG642-'Tablas Servicio'!AC642),(AC643+$A642/frec)/(1-IF(B643&lt;=Parámetros!$D$117,Parámetros!$D$100,0))),2))</f>
        <v/>
      </c>
      <c r="AG643" s="66" t="str">
        <f t="shared" si="867"/>
        <v/>
      </c>
      <c r="AH643" s="66" t="str">
        <f t="shared" si="868"/>
        <v/>
      </c>
      <c r="AI643" s="66" t="str">
        <f t="shared" si="869"/>
        <v/>
      </c>
      <c r="AJ643" s="66" t="str">
        <f>+IF($W643="","",ROUND((AG643*Parámetros!$G$85),2))</f>
        <v/>
      </c>
      <c r="AK643" s="66" t="str">
        <f>+IF($W643="","",ROUND((AG643*(Parámetros!$G$86)),2))</f>
        <v/>
      </c>
      <c r="AL643" s="66" t="str">
        <f t="shared" si="863"/>
        <v/>
      </c>
      <c r="AM643" t="str">
        <f t="shared" si="911"/>
        <v/>
      </c>
      <c r="AN643" t="str">
        <f t="shared" si="912"/>
        <v/>
      </c>
      <c r="AO643" s="118" t="str">
        <f t="shared" si="913"/>
        <v/>
      </c>
      <c r="AP643" s="118" t="str">
        <f t="shared" si="914"/>
        <v/>
      </c>
      <c r="AQ643" s="119" t="str">
        <f>+IF(OR($W643="",AO643=0),"",ROUND((VLOOKUP(ROUNDDOWN($D643-1/frec,0),cob_adi,Z$40,FALSE)*(1+i/frec)^-0.5*(1+Parámetros!$D$103)*(1+rec_fracc)/frec),6))</f>
        <v/>
      </c>
      <c r="AR643" s="66" t="str">
        <f t="shared" si="870"/>
        <v/>
      </c>
      <c r="AS643" s="119" t="str">
        <f t="shared" si="871"/>
        <v/>
      </c>
      <c r="AT643" s="66" t="str">
        <f>+IF($W643="","",ROUND(IF($B643&gt;Parámetros!$D$107,'Tablas Servicio'!AR643+('Tablas Servicio'!AT642-'Tablas Servicio'!AR642),AR643/(1-IF(B643&lt;=10,Parámetros!$D$100,0))),2))</f>
        <v/>
      </c>
      <c r="AU643" s="66" t="str">
        <f t="shared" si="872"/>
        <v/>
      </c>
      <c r="AV643" s="66" t="str">
        <f t="shared" si="872"/>
        <v/>
      </c>
      <c r="AW643" s="66" t="str">
        <f>+IF($W643="","",ROUND((AT643*Parámetros!$G$85),2))</f>
        <v/>
      </c>
      <c r="AX643" s="66" t="str">
        <f>+IF($W643="","",ROUND((AT643*(Parámetros!$G$86)),2))</f>
        <v/>
      </c>
      <c r="AY643" s="66" t="str">
        <f t="shared" si="873"/>
        <v/>
      </c>
      <c r="AZ643" t="str">
        <f t="shared" si="915"/>
        <v/>
      </c>
      <c r="BA643" t="str">
        <f t="shared" si="916"/>
        <v/>
      </c>
      <c r="BB643" s="118" t="str">
        <f t="shared" si="917"/>
        <v/>
      </c>
      <c r="BC643" s="118" t="str">
        <f t="shared" si="918"/>
        <v/>
      </c>
      <c r="BD643" s="119" t="str">
        <f>+IF(OR($W643="",BB643=0),"",ROUND((VLOOKUP(ROUNDDOWN($D643-1/frec,0),cob_adi,AO$40,FALSE)*(1+i/frec)^-0.5*(1+Parámetros!$D$103)*(1+rec_fracc)/frec),6))</f>
        <v/>
      </c>
      <c r="BE643" s="66" t="str">
        <f t="shared" si="874"/>
        <v/>
      </c>
      <c r="BF643" s="119" t="str">
        <f t="shared" si="875"/>
        <v/>
      </c>
      <c r="BG643" s="66" t="str">
        <f>+IF($W643="","",ROUND(IF($B643&gt;Parámetros!$D$107,'Tablas Servicio'!BE643+('Tablas Servicio'!BG642-'Tablas Servicio'!BE642),BE643/(1-IF(B643&lt;=10,Parámetros!$D$100,0))),2))</f>
        <v/>
      </c>
      <c r="BH643" s="66" t="str">
        <f t="shared" si="876"/>
        <v/>
      </c>
      <c r="BI643" s="66" t="str">
        <f t="shared" si="877"/>
        <v/>
      </c>
      <c r="BJ643" s="66" t="str">
        <f>+IF($W643="","",ROUND((BG643*Parámetros!$G$85),2))</f>
        <v/>
      </c>
      <c r="BK643" s="66" t="str">
        <f>+IF($W643="","",ROUND((BG643*(Parámetros!$G$86)),2))</f>
        <v/>
      </c>
      <c r="BL643" s="66" t="str">
        <f t="shared" si="878"/>
        <v/>
      </c>
      <c r="BM643" t="str">
        <f t="shared" si="919"/>
        <v/>
      </c>
      <c r="BN643" t="str">
        <f t="shared" si="920"/>
        <v/>
      </c>
      <c r="BO643" s="118" t="str">
        <f t="shared" si="921"/>
        <v/>
      </c>
      <c r="BP643" s="118" t="str">
        <f t="shared" si="922"/>
        <v/>
      </c>
      <c r="BQ643" s="119" t="str">
        <f>+IF(OR($W643="",BO643=0),"",ROUND((VLOOKUP(ROUNDDOWN($D643-1/frec,0),cob_adi,BB$40,FALSE)*(1+i/frec)^-0.5*(1+Parámetros!$D$103)*(1+rec_fracc)/frec),6))</f>
        <v/>
      </c>
      <c r="BR643" s="66" t="str">
        <f t="shared" si="879"/>
        <v/>
      </c>
      <c r="BS643" s="119" t="str">
        <f t="shared" si="880"/>
        <v/>
      </c>
      <c r="BT643" s="66" t="str">
        <f>+IF($W643="","",ROUND(IF($B643&gt;Parámetros!$D$107,'Tablas Servicio'!BR643+('Tablas Servicio'!BT642-'Tablas Servicio'!BR642),BR643/(1-IF(B643&lt;=10,Parámetros!$D$100,0))),2))</f>
        <v/>
      </c>
      <c r="BU643" s="66" t="str">
        <f t="shared" si="881"/>
        <v/>
      </c>
      <c r="BV643" s="66" t="str">
        <f t="shared" si="881"/>
        <v/>
      </c>
      <c r="BW643" s="66" t="str">
        <f>+IF($W643="","",ROUND((BT643*Parámetros!$G$85),2))</f>
        <v/>
      </c>
      <c r="BX643" s="66" t="str">
        <f>+IF($W643="","",ROUND((BT643*(Parámetros!$G$86)),2))</f>
        <v/>
      </c>
      <c r="BY643" s="66" t="str">
        <f t="shared" si="882"/>
        <v/>
      </c>
      <c r="BZ643" t="str">
        <f t="shared" si="923"/>
        <v/>
      </c>
      <c r="CA643" t="str">
        <f t="shared" si="924"/>
        <v/>
      </c>
      <c r="CB643" s="118" t="str">
        <f t="shared" si="925"/>
        <v/>
      </c>
      <c r="CC643" s="118" t="str">
        <f t="shared" si="926"/>
        <v/>
      </c>
      <c r="CD643" s="119" t="str">
        <f t="shared" si="883"/>
        <v/>
      </c>
      <c r="CE643" s="66" t="str">
        <f>+IF($W643="","",ROUND((VLOOKUP(ROUNDDOWN($D643-1/frec,0),cob_adi,BO$40,FALSE)*(1+i/frec)^-0.5*(1+Parámetros!$D$103)*(1+rec_fracc)/frec*'TABLAS ADI'!$BC$17),2))</f>
        <v/>
      </c>
      <c r="CF643" s="119" t="str">
        <f t="shared" si="884"/>
        <v/>
      </c>
      <c r="CG643" s="66" t="str">
        <f>+IF($W643="","",ROUND(IF($B643&gt;Parámetros!$D$107,'Tablas Servicio'!CE643+('Tablas Servicio'!CG642-'Tablas Servicio'!CE642),CE643/(1-IF(B643&lt;=10,Parámetros!$D$100,0))),2))</f>
        <v/>
      </c>
      <c r="CH643" s="66" t="str">
        <f t="shared" si="885"/>
        <v/>
      </c>
      <c r="CI643" s="66" t="str">
        <f t="shared" si="885"/>
        <v/>
      </c>
      <c r="CJ643" s="66" t="str">
        <f>+IF($W643="","",ROUND((CG643*Parámetros!$G$85),2))</f>
        <v/>
      </c>
      <c r="CK643" s="66" t="str">
        <f>+IF($W643="","",ROUND((CG643*(Parámetros!$G$86)),2))</f>
        <v/>
      </c>
      <c r="CL643" s="66" t="str">
        <f t="shared" si="886"/>
        <v/>
      </c>
      <c r="CM643" t="str">
        <f t="shared" si="927"/>
        <v/>
      </c>
      <c r="CN643" s="118" t="str">
        <f t="shared" si="928"/>
        <v/>
      </c>
      <c r="CO643" s="118" t="str">
        <f t="shared" si="929"/>
        <v/>
      </c>
      <c r="CP643" s="118" t="str">
        <f t="shared" si="930"/>
        <v/>
      </c>
      <c r="CQ643" s="119" t="str">
        <f t="shared" si="887"/>
        <v/>
      </c>
      <c r="CR643" s="66" t="str">
        <f>+IF($W643="","",ROUND((VLOOKUP(Parámetros!$F$51,'COBERTURAS ADICIONALES'!$S$4:$T$32,2,FALSE)*(1+i/frec)^-0.5*(1+Parámetros!$D$103)*(1+rec_fracc)/frec*$CO$42),2))</f>
        <v/>
      </c>
      <c r="CS643" s="119" t="str">
        <f t="shared" si="888"/>
        <v/>
      </c>
      <c r="CT643" s="66" t="str">
        <f>+IF($W643="","",ROUND(IF($B643&gt;Parámetros!$D$107,'Tablas Servicio'!CR643+('Tablas Servicio'!CT642-'Tablas Servicio'!CR642),CR643/(1-IF(B643&lt;=10,Parámetros!$D$100,0))),2))</f>
        <v/>
      </c>
      <c r="CU643" s="66" t="str">
        <f t="shared" si="889"/>
        <v/>
      </c>
      <c r="CV643" s="66" t="str">
        <f t="shared" si="889"/>
        <v/>
      </c>
      <c r="CW643" s="66" t="str">
        <f>+IF($W643="","",ROUND((CT643*Parámetros!$G$85),2))</f>
        <v/>
      </c>
      <c r="CX643" s="66" t="str">
        <f>+IF($W643="","",ROUND((CT643*(Parámetros!$G$86)),2))</f>
        <v/>
      </c>
      <c r="CY643" s="66" t="str">
        <f t="shared" si="890"/>
        <v/>
      </c>
      <c r="CZ643" t="str">
        <f t="shared" si="931"/>
        <v/>
      </c>
      <c r="DA643" s="118" t="str">
        <f t="shared" si="932"/>
        <v/>
      </c>
      <c r="DB643" s="118" t="str">
        <f t="shared" si="933"/>
        <v/>
      </c>
      <c r="DC643" s="118" t="str">
        <f t="shared" si="934"/>
        <v/>
      </c>
      <c r="DD643" s="121" t="str">
        <f>+IF(OR($W643="",DB643=0),"",ROUND((VLOOKUP(ROUNDDOWN($D643-1/frec,0),cob_adi,CO$40,FALSE)*(1+i/frec)^-0.5*(1+Parámetros!$D$103)*(1+rec_fracc)/frec),6))</f>
        <v/>
      </c>
      <c r="DE643" s="66" t="str">
        <f t="shared" si="891"/>
        <v/>
      </c>
      <c r="DF643" s="119" t="str">
        <f t="shared" si="892"/>
        <v/>
      </c>
      <c r="DG643" s="66" t="str">
        <f>+IF($W643="","",ROUND(IF($B643&gt;Parámetros!$D$107,'Tablas Servicio'!DE643+('Tablas Servicio'!DG642-'Tablas Servicio'!DE642),DE643/(1-IF(B643&lt;=10,Parámetros!$D$100,0))),2))</f>
        <v/>
      </c>
      <c r="DH643" s="66" t="str">
        <f t="shared" si="893"/>
        <v/>
      </c>
      <c r="DI643" s="66" t="str">
        <f t="shared" si="893"/>
        <v/>
      </c>
      <c r="DJ643" s="66" t="str">
        <f>+IF($W643="","",ROUND((DG643*Parámetros!$G$85),2))</f>
        <v/>
      </c>
      <c r="DK643" s="66" t="str">
        <f>+IF($W643="","",ROUND((DG643*(Parámetros!$G$86)),2))</f>
        <v/>
      </c>
      <c r="DL643" s="66" t="str">
        <f t="shared" si="894"/>
        <v/>
      </c>
      <c r="DM643" t="str">
        <f t="shared" si="935"/>
        <v/>
      </c>
      <c r="DN643" s="118" t="str">
        <f t="shared" si="936"/>
        <v/>
      </c>
      <c r="DO643" s="118" t="str">
        <f t="shared" si="937"/>
        <v/>
      </c>
      <c r="DP643" s="118" t="str">
        <f t="shared" si="938"/>
        <v/>
      </c>
      <c r="DQ643" s="122" t="str">
        <f>+IF(OR($W643="",DO643=0),"",ROUND((VLOOKUP(ROUNDDOWN($D643-1/frec,0),cob_adi,DB$40,FALSE)*(1+i/frec)^-0.5*(1+Parámetros!$D$103)*(1+rec_fracc)/frec),6))</f>
        <v/>
      </c>
      <c r="DR643" s="66" t="str">
        <f t="shared" si="895"/>
        <v/>
      </c>
      <c r="DS643" s="68" t="str">
        <f t="shared" si="896"/>
        <v/>
      </c>
      <c r="DT643" s="66" t="str">
        <f>+IF($W643="","",ROUND(IF($B643&gt;Parámetros!$D$107,'Tablas Servicio'!DR643+('Tablas Servicio'!DT642-'Tablas Servicio'!DR642),DR643/(1-IF(B643&lt;=10,Parámetros!$D$100,0))),2))</f>
        <v/>
      </c>
      <c r="DU643" s="66" t="str">
        <f t="shared" si="897"/>
        <v/>
      </c>
      <c r="DV643" s="66" t="str">
        <f t="shared" si="897"/>
        <v/>
      </c>
      <c r="DW643" s="66" t="str">
        <f>+IF($W643="","",ROUND((DT643*Parámetros!$G$85),2))</f>
        <v/>
      </c>
      <c r="DX643" s="66" t="str">
        <f>+IF($W643="","",ROUND((DT643*(Parámetros!$G$86)),2))</f>
        <v/>
      </c>
      <c r="DY643" s="66" t="str">
        <f t="shared" si="898"/>
        <v/>
      </c>
      <c r="DZ643" t="str">
        <f t="shared" si="939"/>
        <v/>
      </c>
      <c r="EA643" s="118" t="str">
        <f t="shared" si="939"/>
        <v/>
      </c>
      <c r="EB643" s="118" t="str">
        <f>+IF($W643="","",ROUND(IF(Parámetros!$D$25='TABLAS MORT'!$V$33,EB642,Z643/2),0))</f>
        <v/>
      </c>
      <c r="EC643" s="118" t="str">
        <f t="shared" si="939"/>
        <v/>
      </c>
      <c r="ED643" s="122" t="str">
        <f>+IF(OR($W643="",EB643=0),"",ROUND((VLOOKUP(ROUNDDOWN($D643-1/frec,0),cob_adi,DO$40,FALSE)*(1+i/frec)^-0.5*(1+Parámetros!$D$103)*(1+rec_fracc)/frec),6))</f>
        <v/>
      </c>
      <c r="EE643" s="66" t="str">
        <f t="shared" si="900"/>
        <v/>
      </c>
      <c r="EF643" s="68" t="str">
        <f t="shared" si="901"/>
        <v/>
      </c>
      <c r="EG643" s="66" t="str">
        <f>+IF($W643="","",ROUND(IF($B643&gt;Parámetros!$D$107,'Tablas Servicio'!EE643+('Tablas Servicio'!EG642-'Tablas Servicio'!EE642),EE643/(1-IF(B643&lt;=10,Parámetros!$D$100,0))),2))</f>
        <v/>
      </c>
      <c r="EH643" s="66" t="str">
        <f t="shared" si="902"/>
        <v/>
      </c>
      <c r="EI643" s="66" t="str">
        <f t="shared" si="902"/>
        <v/>
      </c>
      <c r="EJ643" s="66" t="str">
        <f>+IF($W643="","",ROUND((EG643*Parámetros!$G$85),2))</f>
        <v/>
      </c>
      <c r="EK643" s="66" t="str">
        <f>+IF($W643="","",ROUND((EG643*(Parámetros!$G$86)),2))</f>
        <v/>
      </c>
      <c r="EL643" s="66" t="str">
        <f t="shared" si="903"/>
        <v/>
      </c>
    </row>
    <row r="644" spans="1:142" x14ac:dyDescent="0.25">
      <c r="A644" t="str">
        <f>+IF($C644="","",ROUND(VLOOKUP('Tablas Servicio'!B644,Parámetros!$H$100:$J$159,IF(Parámetros!$E$16="F",2,3),FALSE),2))</f>
        <v/>
      </c>
      <c r="B644" t="str">
        <f t="shared" si="854"/>
        <v/>
      </c>
      <c r="C644" s="57" t="str">
        <f>+IF(D644="","",'Tablas Servicio'!C643+1)</f>
        <v/>
      </c>
      <c r="D644" s="56" t="str">
        <f>+IF(D643&lt;edadmaxtabla,D643+1/Parámetros!$E$25,"")</f>
        <v/>
      </c>
      <c r="E644" s="57" t="str">
        <f t="shared" si="864"/>
        <v/>
      </c>
      <c r="F644" s="59" t="str">
        <f t="shared" si="865"/>
        <v/>
      </c>
      <c r="G644" s="66" t="str">
        <f t="shared" si="855"/>
        <v/>
      </c>
      <c r="H644" s="66" t="str">
        <f t="shared" si="856"/>
        <v/>
      </c>
      <c r="I644" s="66" t="str">
        <f t="shared" si="904"/>
        <v/>
      </c>
      <c r="J644" s="66" t="str">
        <f t="shared" si="857"/>
        <v/>
      </c>
      <c r="K644" s="66" t="str">
        <f t="shared" si="858"/>
        <v/>
      </c>
      <c r="L644" s="66" t="str">
        <f t="shared" si="859"/>
        <v/>
      </c>
      <c r="M644" s="66" t="str">
        <f t="shared" si="860"/>
        <v/>
      </c>
      <c r="N644" s="66" t="str">
        <f>+IF(C644="","",ROUND(Parámetros!$D$23,2))</f>
        <v/>
      </c>
      <c r="O644" s="66" t="str">
        <f t="shared" si="861"/>
        <v/>
      </c>
      <c r="P644" s="66" t="str">
        <f>+IF($C644="","",ROUND(IF(B644&gt;Parámetros!$D$117,0,N644*Parámetros!$D$116-G644*Parámetros!$D$100),2))</f>
        <v/>
      </c>
      <c r="Q644" s="75" t="str">
        <f t="shared" si="905"/>
        <v/>
      </c>
      <c r="R644" s="75" t="str">
        <f t="shared" si="906"/>
        <v/>
      </c>
      <c r="S644" s="117" t="str">
        <f>+IF($C644="","",ROUND((S643+I644)*(1+Parámetros!$D$91),2))</f>
        <v/>
      </c>
      <c r="T644" s="117" t="str">
        <f>+IF($C644="","",ROUND(S644*VLOOKUP(B644,Parámetros!$C$30:$D$39,2,TRUE),2))</f>
        <v/>
      </c>
      <c r="U644" s="117" t="str">
        <f>+IF($C644="","",ROUND((U643+I644)*(1+Parámetros!$D$92),2))</f>
        <v/>
      </c>
      <c r="V644" s="117" t="str">
        <f>+IF($C644="","",ROUND(U644*VLOOKUP(B644,Parámetros!$C$30:$D$39,2,TRUE),2))</f>
        <v/>
      </c>
      <c r="W644" s="57" t="str">
        <f t="shared" si="907"/>
        <v/>
      </c>
      <c r="X644" t="str">
        <f t="shared" si="908"/>
        <v/>
      </c>
      <c r="Y644" t="str">
        <f t="shared" si="909"/>
        <v/>
      </c>
      <c r="Z644" s="118" t="str">
        <f>+IF($W644="","",ROUND(IF(Parámetros!$D$25='TABLAS MORT'!$V$33,Z643,Parámetros!$D$21-'Tablas Servicio'!T643),0))</f>
        <v/>
      </c>
      <c r="AA644" s="118" t="str">
        <f t="shared" si="910"/>
        <v/>
      </c>
      <c r="AB644" s="119" t="str">
        <f>+IF(W644="","",ROUND((VLOOKUP(ROUNDDOWN($D644-1/frec,0),qx_tabla,2,FALSE)*(1+i/frec)^-0.5*(1+Parámetros!$D$103)*(1+rec_fracc)/frec),6))</f>
        <v/>
      </c>
      <c r="AC644" s="66" t="str">
        <f t="shared" si="866"/>
        <v/>
      </c>
      <c r="AD644" s="119" t="str">
        <f t="shared" si="862"/>
        <v/>
      </c>
      <c r="AE644" s="66" t="str">
        <f>+IF($W644="","",ROUND(IF($B644&gt;Parámetros!$D$107,'Tablas Servicio'!AC644+('Tablas Servicio'!AG643-'Tablas Servicio'!AC643),AC644/(1-IF(B644&lt;=10,Parámetros!$D$104,Parámetros!$D$105))),2))</f>
        <v/>
      </c>
      <c r="AF644" s="66" t="str">
        <f>+IF($W644="","",ROUND(IF($B644&gt;Parámetros!$D$107,'Tablas Servicio'!AC644+('Tablas Servicio'!AG643-'Tablas Servicio'!AC643),(AC644+$A643/frec)/(1-IF(B644&lt;=Parámetros!$D$117,Parámetros!$D$100,0))),2))</f>
        <v/>
      </c>
      <c r="AG644" s="66" t="str">
        <f t="shared" si="867"/>
        <v/>
      </c>
      <c r="AH644" s="66" t="str">
        <f t="shared" si="868"/>
        <v/>
      </c>
      <c r="AI644" s="66" t="str">
        <f t="shared" si="869"/>
        <v/>
      </c>
      <c r="AJ644" s="66" t="str">
        <f>+IF($W644="","",ROUND((AG644*Parámetros!$G$85),2))</f>
        <v/>
      </c>
      <c r="AK644" s="66" t="str">
        <f>+IF($W644="","",ROUND((AG644*(Parámetros!$G$86)),2))</f>
        <v/>
      </c>
      <c r="AL644" s="66" t="str">
        <f t="shared" si="863"/>
        <v/>
      </c>
      <c r="AM644" t="str">
        <f t="shared" si="911"/>
        <v/>
      </c>
      <c r="AN644" t="str">
        <f t="shared" si="912"/>
        <v/>
      </c>
      <c r="AO644" s="118" t="str">
        <f t="shared" si="913"/>
        <v/>
      </c>
      <c r="AP644" s="118" t="str">
        <f t="shared" si="914"/>
        <v/>
      </c>
      <c r="AQ644" s="119" t="str">
        <f>+IF(OR($W644="",AO644=0),"",ROUND((VLOOKUP(ROUNDDOWN($D644-1/frec,0),cob_adi,Z$40,FALSE)*(1+i/frec)^-0.5*(1+Parámetros!$D$103)*(1+rec_fracc)/frec),6))</f>
        <v/>
      </c>
      <c r="AR644" s="66" t="str">
        <f t="shared" si="870"/>
        <v/>
      </c>
      <c r="AS644" s="119" t="str">
        <f t="shared" si="871"/>
        <v/>
      </c>
      <c r="AT644" s="66" t="str">
        <f>+IF($W644="","",ROUND(IF($B644&gt;Parámetros!$D$107,'Tablas Servicio'!AR644+('Tablas Servicio'!AT643-'Tablas Servicio'!AR643),AR644/(1-IF(B644&lt;=10,Parámetros!$D$100,0))),2))</f>
        <v/>
      </c>
      <c r="AU644" s="66" t="str">
        <f t="shared" si="872"/>
        <v/>
      </c>
      <c r="AV644" s="66" t="str">
        <f t="shared" si="872"/>
        <v/>
      </c>
      <c r="AW644" s="66" t="str">
        <f>+IF($W644="","",ROUND((AT644*Parámetros!$G$85),2))</f>
        <v/>
      </c>
      <c r="AX644" s="66" t="str">
        <f>+IF($W644="","",ROUND((AT644*(Parámetros!$G$86)),2))</f>
        <v/>
      </c>
      <c r="AY644" s="66" t="str">
        <f t="shared" si="873"/>
        <v/>
      </c>
      <c r="AZ644" t="str">
        <f t="shared" si="915"/>
        <v/>
      </c>
      <c r="BA644" t="str">
        <f t="shared" si="916"/>
        <v/>
      </c>
      <c r="BB644" s="118" t="str">
        <f t="shared" si="917"/>
        <v/>
      </c>
      <c r="BC644" s="118" t="str">
        <f t="shared" si="918"/>
        <v/>
      </c>
      <c r="BD644" s="119" t="str">
        <f>+IF(OR($W644="",BB644=0),"",ROUND((VLOOKUP(ROUNDDOWN($D644-1/frec,0),cob_adi,AO$40,FALSE)*(1+i/frec)^-0.5*(1+Parámetros!$D$103)*(1+rec_fracc)/frec),6))</f>
        <v/>
      </c>
      <c r="BE644" s="66" t="str">
        <f t="shared" si="874"/>
        <v/>
      </c>
      <c r="BF644" s="119" t="str">
        <f t="shared" si="875"/>
        <v/>
      </c>
      <c r="BG644" s="66" t="str">
        <f>+IF($W644="","",ROUND(IF($B644&gt;Parámetros!$D$107,'Tablas Servicio'!BE644+('Tablas Servicio'!BG643-'Tablas Servicio'!BE643),BE644/(1-IF(B644&lt;=10,Parámetros!$D$100,0))),2))</f>
        <v/>
      </c>
      <c r="BH644" s="66" t="str">
        <f t="shared" si="876"/>
        <v/>
      </c>
      <c r="BI644" s="66" t="str">
        <f t="shared" si="877"/>
        <v/>
      </c>
      <c r="BJ644" s="66" t="str">
        <f>+IF($W644="","",ROUND((BG644*Parámetros!$G$85),2))</f>
        <v/>
      </c>
      <c r="BK644" s="66" t="str">
        <f>+IF($W644="","",ROUND((BG644*(Parámetros!$G$86)),2))</f>
        <v/>
      </c>
      <c r="BL644" s="66" t="str">
        <f t="shared" si="878"/>
        <v/>
      </c>
      <c r="BM644" t="str">
        <f t="shared" si="919"/>
        <v/>
      </c>
      <c r="BN644" t="str">
        <f t="shared" si="920"/>
        <v/>
      </c>
      <c r="BO644" s="118" t="str">
        <f t="shared" si="921"/>
        <v/>
      </c>
      <c r="BP644" s="118" t="str">
        <f t="shared" si="922"/>
        <v/>
      </c>
      <c r="BQ644" s="119" t="str">
        <f>+IF(OR($W644="",BO644=0),"",ROUND((VLOOKUP(ROUNDDOWN($D644-1/frec,0),cob_adi,BB$40,FALSE)*(1+i/frec)^-0.5*(1+Parámetros!$D$103)*(1+rec_fracc)/frec),6))</f>
        <v/>
      </c>
      <c r="BR644" s="66" t="str">
        <f t="shared" si="879"/>
        <v/>
      </c>
      <c r="BS644" s="119" t="str">
        <f t="shared" si="880"/>
        <v/>
      </c>
      <c r="BT644" s="66" t="str">
        <f>+IF($W644="","",ROUND(IF($B644&gt;Parámetros!$D$107,'Tablas Servicio'!BR644+('Tablas Servicio'!BT643-'Tablas Servicio'!BR643),BR644/(1-IF(B644&lt;=10,Parámetros!$D$100,0))),2))</f>
        <v/>
      </c>
      <c r="BU644" s="66" t="str">
        <f t="shared" si="881"/>
        <v/>
      </c>
      <c r="BV644" s="66" t="str">
        <f t="shared" si="881"/>
        <v/>
      </c>
      <c r="BW644" s="66" t="str">
        <f>+IF($W644="","",ROUND((BT644*Parámetros!$G$85),2))</f>
        <v/>
      </c>
      <c r="BX644" s="66" t="str">
        <f>+IF($W644="","",ROUND((BT644*(Parámetros!$G$86)),2))</f>
        <v/>
      </c>
      <c r="BY644" s="66" t="str">
        <f t="shared" si="882"/>
        <v/>
      </c>
      <c r="BZ644" t="str">
        <f t="shared" si="923"/>
        <v/>
      </c>
      <c r="CA644" t="str">
        <f t="shared" si="924"/>
        <v/>
      </c>
      <c r="CB644" s="118" t="str">
        <f t="shared" si="925"/>
        <v/>
      </c>
      <c r="CC644" s="118" t="str">
        <f t="shared" si="926"/>
        <v/>
      </c>
      <c r="CD644" s="119" t="str">
        <f t="shared" si="883"/>
        <v/>
      </c>
      <c r="CE644" s="66" t="str">
        <f>+IF($W644="","",ROUND((VLOOKUP(ROUNDDOWN($D644-1/frec,0),cob_adi,BO$40,FALSE)*(1+i/frec)^-0.5*(1+Parámetros!$D$103)*(1+rec_fracc)/frec*'TABLAS ADI'!$BC$17),2))</f>
        <v/>
      </c>
      <c r="CF644" s="119" t="str">
        <f t="shared" si="884"/>
        <v/>
      </c>
      <c r="CG644" s="66" t="str">
        <f>+IF($W644="","",ROUND(IF($B644&gt;Parámetros!$D$107,'Tablas Servicio'!CE644+('Tablas Servicio'!CG643-'Tablas Servicio'!CE643),CE644/(1-IF(B644&lt;=10,Parámetros!$D$100,0))),2))</f>
        <v/>
      </c>
      <c r="CH644" s="66" t="str">
        <f t="shared" si="885"/>
        <v/>
      </c>
      <c r="CI644" s="66" t="str">
        <f t="shared" si="885"/>
        <v/>
      </c>
      <c r="CJ644" s="66" t="str">
        <f>+IF($W644="","",ROUND((CG644*Parámetros!$G$85),2))</f>
        <v/>
      </c>
      <c r="CK644" s="66" t="str">
        <f>+IF($W644="","",ROUND((CG644*(Parámetros!$G$86)),2))</f>
        <v/>
      </c>
      <c r="CL644" s="66" t="str">
        <f t="shared" si="886"/>
        <v/>
      </c>
      <c r="CM644" t="str">
        <f t="shared" si="927"/>
        <v/>
      </c>
      <c r="CN644" s="118" t="str">
        <f t="shared" si="928"/>
        <v/>
      </c>
      <c r="CO644" s="118" t="str">
        <f t="shared" si="929"/>
        <v/>
      </c>
      <c r="CP644" s="118" t="str">
        <f t="shared" si="930"/>
        <v/>
      </c>
      <c r="CQ644" s="119" t="str">
        <f t="shared" si="887"/>
        <v/>
      </c>
      <c r="CR644" s="66" t="str">
        <f>+IF($W644="","",ROUND((VLOOKUP(Parámetros!$F$51,'COBERTURAS ADICIONALES'!$S$4:$T$32,2,FALSE)*(1+i/frec)^-0.5*(1+Parámetros!$D$103)*(1+rec_fracc)/frec*$CO$42),2))</f>
        <v/>
      </c>
      <c r="CS644" s="119" t="str">
        <f t="shared" si="888"/>
        <v/>
      </c>
      <c r="CT644" s="66" t="str">
        <f>+IF($W644="","",ROUND(IF($B644&gt;Parámetros!$D$107,'Tablas Servicio'!CR644+('Tablas Servicio'!CT643-'Tablas Servicio'!CR643),CR644/(1-IF(B644&lt;=10,Parámetros!$D$100,0))),2))</f>
        <v/>
      </c>
      <c r="CU644" s="66" t="str">
        <f t="shared" si="889"/>
        <v/>
      </c>
      <c r="CV644" s="66" t="str">
        <f t="shared" si="889"/>
        <v/>
      </c>
      <c r="CW644" s="66" t="str">
        <f>+IF($W644="","",ROUND((CT644*Parámetros!$G$85),2))</f>
        <v/>
      </c>
      <c r="CX644" s="66" t="str">
        <f>+IF($W644="","",ROUND((CT644*(Parámetros!$G$86)),2))</f>
        <v/>
      </c>
      <c r="CY644" s="66" t="str">
        <f t="shared" si="890"/>
        <v/>
      </c>
      <c r="CZ644" t="str">
        <f t="shared" si="931"/>
        <v/>
      </c>
      <c r="DA644" s="118" t="str">
        <f t="shared" si="932"/>
        <v/>
      </c>
      <c r="DB644" s="118" t="str">
        <f t="shared" si="933"/>
        <v/>
      </c>
      <c r="DC644" s="118" t="str">
        <f t="shared" si="934"/>
        <v/>
      </c>
      <c r="DD644" s="121" t="str">
        <f>+IF(OR($W644="",DB644=0),"",ROUND((VLOOKUP(ROUNDDOWN($D644-1/frec,0),cob_adi,CO$40,FALSE)*(1+i/frec)^-0.5*(1+Parámetros!$D$103)*(1+rec_fracc)/frec),6))</f>
        <v/>
      </c>
      <c r="DE644" s="66" t="str">
        <f t="shared" si="891"/>
        <v/>
      </c>
      <c r="DF644" s="119" t="str">
        <f t="shared" si="892"/>
        <v/>
      </c>
      <c r="DG644" s="66" t="str">
        <f>+IF($W644="","",ROUND(IF($B644&gt;Parámetros!$D$107,'Tablas Servicio'!DE644+('Tablas Servicio'!DG643-'Tablas Servicio'!DE643),DE644/(1-IF(B644&lt;=10,Parámetros!$D$100,0))),2))</f>
        <v/>
      </c>
      <c r="DH644" s="66" t="str">
        <f t="shared" si="893"/>
        <v/>
      </c>
      <c r="DI644" s="66" t="str">
        <f t="shared" si="893"/>
        <v/>
      </c>
      <c r="DJ644" s="66" t="str">
        <f>+IF($W644="","",ROUND((DG644*Parámetros!$G$85),2))</f>
        <v/>
      </c>
      <c r="DK644" s="66" t="str">
        <f>+IF($W644="","",ROUND((DG644*(Parámetros!$G$86)),2))</f>
        <v/>
      </c>
      <c r="DL644" s="66" t="str">
        <f t="shared" si="894"/>
        <v/>
      </c>
      <c r="DM644" t="str">
        <f t="shared" si="935"/>
        <v/>
      </c>
      <c r="DN644" s="118" t="str">
        <f t="shared" si="936"/>
        <v/>
      </c>
      <c r="DO644" s="118" t="str">
        <f t="shared" si="937"/>
        <v/>
      </c>
      <c r="DP644" s="118" t="str">
        <f t="shared" si="938"/>
        <v/>
      </c>
      <c r="DQ644" s="122" t="str">
        <f>+IF(OR($W644="",DO644=0),"",ROUND((VLOOKUP(ROUNDDOWN($D644-1/frec,0),cob_adi,DB$40,FALSE)*(1+i/frec)^-0.5*(1+Parámetros!$D$103)*(1+rec_fracc)/frec),6))</f>
        <v/>
      </c>
      <c r="DR644" s="66" t="str">
        <f t="shared" si="895"/>
        <v/>
      </c>
      <c r="DS644" s="68" t="str">
        <f t="shared" si="896"/>
        <v/>
      </c>
      <c r="DT644" s="66" t="str">
        <f>+IF($W644="","",ROUND(IF($B644&gt;Parámetros!$D$107,'Tablas Servicio'!DR644+('Tablas Servicio'!DT643-'Tablas Servicio'!DR643),DR644/(1-IF(B644&lt;=10,Parámetros!$D$100,0))),2))</f>
        <v/>
      </c>
      <c r="DU644" s="66" t="str">
        <f t="shared" si="897"/>
        <v/>
      </c>
      <c r="DV644" s="66" t="str">
        <f t="shared" si="897"/>
        <v/>
      </c>
      <c r="DW644" s="66" t="str">
        <f>+IF($W644="","",ROUND((DT644*Parámetros!$G$85),2))</f>
        <v/>
      </c>
      <c r="DX644" s="66" t="str">
        <f>+IF($W644="","",ROUND((DT644*(Parámetros!$G$86)),2))</f>
        <v/>
      </c>
      <c r="DY644" s="66" t="str">
        <f t="shared" si="898"/>
        <v/>
      </c>
      <c r="DZ644" t="str">
        <f t="shared" si="939"/>
        <v/>
      </c>
      <c r="EA644" s="118" t="str">
        <f t="shared" si="939"/>
        <v/>
      </c>
      <c r="EB644" s="118" t="str">
        <f>+IF($W644="","",ROUND(IF(Parámetros!$D$25='TABLAS MORT'!$V$33,EB643,Z644/2),0))</f>
        <v/>
      </c>
      <c r="EC644" s="118" t="str">
        <f t="shared" si="939"/>
        <v/>
      </c>
      <c r="ED644" s="122" t="str">
        <f>+IF(OR($W644="",EB644=0),"",ROUND((VLOOKUP(ROUNDDOWN($D644-1/frec,0),cob_adi,DO$40,FALSE)*(1+i/frec)^-0.5*(1+Parámetros!$D$103)*(1+rec_fracc)/frec),6))</f>
        <v/>
      </c>
      <c r="EE644" s="66" t="str">
        <f t="shared" si="900"/>
        <v/>
      </c>
      <c r="EF644" s="68" t="str">
        <f t="shared" si="901"/>
        <v/>
      </c>
      <c r="EG644" s="66" t="str">
        <f>+IF($W644="","",ROUND(IF($B644&gt;Parámetros!$D$107,'Tablas Servicio'!EE644+('Tablas Servicio'!EG643-'Tablas Servicio'!EE643),EE644/(1-IF(B644&lt;=10,Parámetros!$D$100,0))),2))</f>
        <v/>
      </c>
      <c r="EH644" s="66" t="str">
        <f t="shared" si="902"/>
        <v/>
      </c>
      <c r="EI644" s="66" t="str">
        <f t="shared" si="902"/>
        <v/>
      </c>
      <c r="EJ644" s="66" t="str">
        <f>+IF($W644="","",ROUND((EG644*Parámetros!$G$85),2))</f>
        <v/>
      </c>
      <c r="EK644" s="66" t="str">
        <f>+IF($W644="","",ROUND((EG644*(Parámetros!$G$86)),2))</f>
        <v/>
      </c>
      <c r="EL644" s="66" t="str">
        <f t="shared" si="903"/>
        <v/>
      </c>
    </row>
    <row r="645" spans="1:142" x14ac:dyDescent="0.25">
      <c r="A645" t="str">
        <f>+IF($C645="","",ROUND(VLOOKUP('Tablas Servicio'!B645,Parámetros!$H$100:$J$159,IF(Parámetros!$E$16="F",2,3),FALSE),2))</f>
        <v/>
      </c>
      <c r="B645" t="str">
        <f t="shared" si="854"/>
        <v/>
      </c>
      <c r="C645" s="57" t="str">
        <f>+IF(D645="","",'Tablas Servicio'!C644+1)</f>
        <v/>
      </c>
      <c r="D645" s="56" t="str">
        <f>+IF(D644&lt;edadmaxtabla,D644+1/Parámetros!$E$25,"")</f>
        <v/>
      </c>
      <c r="E645" s="57" t="str">
        <f t="shared" si="864"/>
        <v/>
      </c>
      <c r="F645" s="59" t="str">
        <f t="shared" si="865"/>
        <v/>
      </c>
      <c r="G645" s="66" t="str">
        <f t="shared" si="855"/>
        <v/>
      </c>
      <c r="H645" s="66" t="str">
        <f t="shared" si="856"/>
        <v/>
      </c>
      <c r="I645" s="66" t="str">
        <f t="shared" si="904"/>
        <v/>
      </c>
      <c r="J645" s="66" t="str">
        <f t="shared" si="857"/>
        <v/>
      </c>
      <c r="K645" s="66" t="str">
        <f t="shared" si="858"/>
        <v/>
      </c>
      <c r="L645" s="66" t="str">
        <f t="shared" si="859"/>
        <v/>
      </c>
      <c r="M645" s="66" t="str">
        <f t="shared" si="860"/>
        <v/>
      </c>
      <c r="N645" s="66" t="str">
        <f>+IF(C645="","",ROUND(Parámetros!$D$23,2))</f>
        <v/>
      </c>
      <c r="O645" s="66" t="str">
        <f t="shared" si="861"/>
        <v/>
      </c>
      <c r="P645" s="66" t="str">
        <f>+IF($C645="","",ROUND(IF(B645&gt;Parámetros!$D$117,0,N645*Parámetros!$D$116-G645*Parámetros!$D$100),2))</f>
        <v/>
      </c>
      <c r="Q645" s="75" t="str">
        <f t="shared" si="905"/>
        <v/>
      </c>
      <c r="R645" s="75" t="str">
        <f t="shared" si="906"/>
        <v/>
      </c>
      <c r="S645" s="117" t="str">
        <f>+IF($C645="","",ROUND((S644+I645)*(1+Parámetros!$D$91),2))</f>
        <v/>
      </c>
      <c r="T645" s="117" t="str">
        <f>+IF($C645="","",ROUND(S645*VLOOKUP(B645,Parámetros!$C$30:$D$39,2,TRUE),2))</f>
        <v/>
      </c>
      <c r="U645" s="117" t="str">
        <f>+IF($C645="","",ROUND((U644+I645)*(1+Parámetros!$D$92),2))</f>
        <v/>
      </c>
      <c r="V645" s="117" t="str">
        <f>+IF($C645="","",ROUND(U645*VLOOKUP(B645,Parámetros!$C$30:$D$39,2,TRUE),2))</f>
        <v/>
      </c>
      <c r="W645" s="57" t="str">
        <f t="shared" si="907"/>
        <v/>
      </c>
      <c r="X645" t="str">
        <f t="shared" si="908"/>
        <v/>
      </c>
      <c r="Y645" t="str">
        <f t="shared" si="909"/>
        <v/>
      </c>
      <c r="Z645" s="118" t="str">
        <f>+IF($W645="","",ROUND(IF(Parámetros!$D$25='TABLAS MORT'!$V$33,Z644,Parámetros!$D$21-'Tablas Servicio'!T644),0))</f>
        <v/>
      </c>
      <c r="AA645" s="118" t="str">
        <f t="shared" si="910"/>
        <v/>
      </c>
      <c r="AB645" s="119" t="str">
        <f>+IF(W645="","",ROUND((VLOOKUP(ROUNDDOWN($D645-1/frec,0),qx_tabla,2,FALSE)*(1+i/frec)^-0.5*(1+Parámetros!$D$103)*(1+rec_fracc)/frec),6))</f>
        <v/>
      </c>
      <c r="AC645" s="66" t="str">
        <f t="shared" si="866"/>
        <v/>
      </c>
      <c r="AD645" s="119" t="str">
        <f t="shared" si="862"/>
        <v/>
      </c>
      <c r="AE645" s="66" t="str">
        <f>+IF($W645="","",ROUND(IF($B645&gt;Parámetros!$D$107,'Tablas Servicio'!AC645+('Tablas Servicio'!AG644-'Tablas Servicio'!AC644),AC645/(1-IF(B645&lt;=10,Parámetros!$D$104,Parámetros!$D$105))),2))</f>
        <v/>
      </c>
      <c r="AF645" s="66" t="str">
        <f>+IF($W645="","",ROUND(IF($B645&gt;Parámetros!$D$107,'Tablas Servicio'!AC645+('Tablas Servicio'!AG644-'Tablas Servicio'!AC644),(AC645+$A644/frec)/(1-IF(B645&lt;=Parámetros!$D$117,Parámetros!$D$100,0))),2))</f>
        <v/>
      </c>
      <c r="AG645" s="66" t="str">
        <f t="shared" si="867"/>
        <v/>
      </c>
      <c r="AH645" s="66" t="str">
        <f t="shared" si="868"/>
        <v/>
      </c>
      <c r="AI645" s="66" t="str">
        <f t="shared" si="869"/>
        <v/>
      </c>
      <c r="AJ645" s="66" t="str">
        <f>+IF($W645="","",ROUND((AG645*Parámetros!$G$85),2))</f>
        <v/>
      </c>
      <c r="AK645" s="66" t="str">
        <f>+IF($W645="","",ROUND((AG645*(Parámetros!$G$86)),2))</f>
        <v/>
      </c>
      <c r="AL645" s="66" t="str">
        <f t="shared" si="863"/>
        <v/>
      </c>
      <c r="AM645" t="str">
        <f t="shared" si="911"/>
        <v/>
      </c>
      <c r="AN645" t="str">
        <f t="shared" si="912"/>
        <v/>
      </c>
      <c r="AO645" s="118" t="str">
        <f t="shared" si="913"/>
        <v/>
      </c>
      <c r="AP645" s="118" t="str">
        <f t="shared" si="914"/>
        <v/>
      </c>
      <c r="AQ645" s="119" t="str">
        <f>+IF(OR($W645="",AO645=0),"",ROUND((VLOOKUP(ROUNDDOWN($D645-1/frec,0),cob_adi,Z$40,FALSE)*(1+i/frec)^-0.5*(1+Parámetros!$D$103)*(1+rec_fracc)/frec),6))</f>
        <v/>
      </c>
      <c r="AR645" s="66" t="str">
        <f t="shared" si="870"/>
        <v/>
      </c>
      <c r="AS645" s="119" t="str">
        <f t="shared" si="871"/>
        <v/>
      </c>
      <c r="AT645" s="66" t="str">
        <f>+IF($W645="","",ROUND(IF($B645&gt;Parámetros!$D$107,'Tablas Servicio'!AR645+('Tablas Servicio'!AT644-'Tablas Servicio'!AR644),AR645/(1-IF(B645&lt;=10,Parámetros!$D$100,0))),2))</f>
        <v/>
      </c>
      <c r="AU645" s="66" t="str">
        <f t="shared" si="872"/>
        <v/>
      </c>
      <c r="AV645" s="66" t="str">
        <f t="shared" si="872"/>
        <v/>
      </c>
      <c r="AW645" s="66" t="str">
        <f>+IF($W645="","",ROUND((AT645*Parámetros!$G$85),2))</f>
        <v/>
      </c>
      <c r="AX645" s="66" t="str">
        <f>+IF($W645="","",ROUND((AT645*(Parámetros!$G$86)),2))</f>
        <v/>
      </c>
      <c r="AY645" s="66" t="str">
        <f t="shared" si="873"/>
        <v/>
      </c>
      <c r="AZ645" t="str">
        <f t="shared" si="915"/>
        <v/>
      </c>
      <c r="BA645" t="str">
        <f t="shared" si="916"/>
        <v/>
      </c>
      <c r="BB645" s="118" t="str">
        <f t="shared" si="917"/>
        <v/>
      </c>
      <c r="BC645" s="118" t="str">
        <f t="shared" si="918"/>
        <v/>
      </c>
      <c r="BD645" s="119" t="str">
        <f>+IF(OR($W645="",BB645=0),"",ROUND((VLOOKUP(ROUNDDOWN($D645-1/frec,0),cob_adi,AO$40,FALSE)*(1+i/frec)^-0.5*(1+Parámetros!$D$103)*(1+rec_fracc)/frec),6))</f>
        <v/>
      </c>
      <c r="BE645" s="66" t="str">
        <f t="shared" si="874"/>
        <v/>
      </c>
      <c r="BF645" s="119" t="str">
        <f t="shared" si="875"/>
        <v/>
      </c>
      <c r="BG645" s="66" t="str">
        <f>+IF($W645="","",ROUND(IF($B645&gt;Parámetros!$D$107,'Tablas Servicio'!BE645+('Tablas Servicio'!BG644-'Tablas Servicio'!BE644),BE645/(1-IF(B645&lt;=10,Parámetros!$D$100,0))),2))</f>
        <v/>
      </c>
      <c r="BH645" s="66" t="str">
        <f t="shared" si="876"/>
        <v/>
      </c>
      <c r="BI645" s="66" t="str">
        <f t="shared" si="877"/>
        <v/>
      </c>
      <c r="BJ645" s="66" t="str">
        <f>+IF($W645="","",ROUND((BG645*Parámetros!$G$85),2))</f>
        <v/>
      </c>
      <c r="BK645" s="66" t="str">
        <f>+IF($W645="","",ROUND((BG645*(Parámetros!$G$86)),2))</f>
        <v/>
      </c>
      <c r="BL645" s="66" t="str">
        <f t="shared" si="878"/>
        <v/>
      </c>
      <c r="BM645" t="str">
        <f t="shared" si="919"/>
        <v/>
      </c>
      <c r="BN645" t="str">
        <f t="shared" si="920"/>
        <v/>
      </c>
      <c r="BO645" s="118" t="str">
        <f t="shared" si="921"/>
        <v/>
      </c>
      <c r="BP645" s="118" t="str">
        <f t="shared" si="922"/>
        <v/>
      </c>
      <c r="BQ645" s="119" t="str">
        <f>+IF(OR($W645="",BO645=0),"",ROUND((VLOOKUP(ROUNDDOWN($D645-1/frec,0),cob_adi,BB$40,FALSE)*(1+i/frec)^-0.5*(1+Parámetros!$D$103)*(1+rec_fracc)/frec),6))</f>
        <v/>
      </c>
      <c r="BR645" s="66" t="str">
        <f t="shared" si="879"/>
        <v/>
      </c>
      <c r="BS645" s="119" t="str">
        <f t="shared" si="880"/>
        <v/>
      </c>
      <c r="BT645" s="66" t="str">
        <f>+IF($W645="","",ROUND(IF($B645&gt;Parámetros!$D$107,'Tablas Servicio'!BR645+('Tablas Servicio'!BT644-'Tablas Servicio'!BR644),BR645/(1-IF(B645&lt;=10,Parámetros!$D$100,0))),2))</f>
        <v/>
      </c>
      <c r="BU645" s="66" t="str">
        <f t="shared" si="881"/>
        <v/>
      </c>
      <c r="BV645" s="66" t="str">
        <f t="shared" si="881"/>
        <v/>
      </c>
      <c r="BW645" s="66" t="str">
        <f>+IF($W645="","",ROUND((BT645*Parámetros!$G$85),2))</f>
        <v/>
      </c>
      <c r="BX645" s="66" t="str">
        <f>+IF($W645="","",ROUND((BT645*(Parámetros!$G$86)),2))</f>
        <v/>
      </c>
      <c r="BY645" s="66" t="str">
        <f t="shared" si="882"/>
        <v/>
      </c>
      <c r="BZ645" t="str">
        <f t="shared" si="923"/>
        <v/>
      </c>
      <c r="CA645" t="str">
        <f t="shared" si="924"/>
        <v/>
      </c>
      <c r="CB645" s="118" t="str">
        <f t="shared" si="925"/>
        <v/>
      </c>
      <c r="CC645" s="118" t="str">
        <f t="shared" si="926"/>
        <v/>
      </c>
      <c r="CD645" s="119" t="str">
        <f t="shared" si="883"/>
        <v/>
      </c>
      <c r="CE645" s="66" t="str">
        <f>+IF($W645="","",ROUND((VLOOKUP(ROUNDDOWN($D645-1/frec,0),cob_adi,BO$40,FALSE)*(1+i/frec)^-0.5*(1+Parámetros!$D$103)*(1+rec_fracc)/frec*'TABLAS ADI'!$BC$17),2))</f>
        <v/>
      </c>
      <c r="CF645" s="119" t="str">
        <f t="shared" si="884"/>
        <v/>
      </c>
      <c r="CG645" s="66" t="str">
        <f>+IF($W645="","",ROUND(IF($B645&gt;Parámetros!$D$107,'Tablas Servicio'!CE645+('Tablas Servicio'!CG644-'Tablas Servicio'!CE644),CE645/(1-IF(B645&lt;=10,Parámetros!$D$100,0))),2))</f>
        <v/>
      </c>
      <c r="CH645" s="66" t="str">
        <f t="shared" si="885"/>
        <v/>
      </c>
      <c r="CI645" s="66" t="str">
        <f t="shared" si="885"/>
        <v/>
      </c>
      <c r="CJ645" s="66" t="str">
        <f>+IF($W645="","",ROUND((CG645*Parámetros!$G$85),2))</f>
        <v/>
      </c>
      <c r="CK645" s="66" t="str">
        <f>+IF($W645="","",ROUND((CG645*(Parámetros!$G$86)),2))</f>
        <v/>
      </c>
      <c r="CL645" s="66" t="str">
        <f t="shared" si="886"/>
        <v/>
      </c>
      <c r="CM645" t="str">
        <f t="shared" si="927"/>
        <v/>
      </c>
      <c r="CN645" s="118" t="str">
        <f t="shared" si="928"/>
        <v/>
      </c>
      <c r="CO645" s="118" t="str">
        <f t="shared" si="929"/>
        <v/>
      </c>
      <c r="CP645" s="118" t="str">
        <f t="shared" si="930"/>
        <v/>
      </c>
      <c r="CQ645" s="119" t="str">
        <f t="shared" si="887"/>
        <v/>
      </c>
      <c r="CR645" s="66" t="str">
        <f>+IF($W645="","",ROUND((VLOOKUP(Parámetros!$F$51,'COBERTURAS ADICIONALES'!$S$4:$T$32,2,FALSE)*(1+i/frec)^-0.5*(1+Parámetros!$D$103)*(1+rec_fracc)/frec*$CO$42),2))</f>
        <v/>
      </c>
      <c r="CS645" s="119" t="str">
        <f t="shared" si="888"/>
        <v/>
      </c>
      <c r="CT645" s="66" t="str">
        <f>+IF($W645="","",ROUND(IF($B645&gt;Parámetros!$D$107,'Tablas Servicio'!CR645+('Tablas Servicio'!CT644-'Tablas Servicio'!CR644),CR645/(1-IF(B645&lt;=10,Parámetros!$D$100,0))),2))</f>
        <v/>
      </c>
      <c r="CU645" s="66" t="str">
        <f t="shared" si="889"/>
        <v/>
      </c>
      <c r="CV645" s="66" t="str">
        <f t="shared" si="889"/>
        <v/>
      </c>
      <c r="CW645" s="66" t="str">
        <f>+IF($W645="","",ROUND((CT645*Parámetros!$G$85),2))</f>
        <v/>
      </c>
      <c r="CX645" s="66" t="str">
        <f>+IF($W645="","",ROUND((CT645*(Parámetros!$G$86)),2))</f>
        <v/>
      </c>
      <c r="CY645" s="66" t="str">
        <f t="shared" si="890"/>
        <v/>
      </c>
      <c r="CZ645" t="str">
        <f t="shared" si="931"/>
        <v/>
      </c>
      <c r="DA645" s="118" t="str">
        <f t="shared" si="932"/>
        <v/>
      </c>
      <c r="DB645" s="118" t="str">
        <f t="shared" si="933"/>
        <v/>
      </c>
      <c r="DC645" s="118" t="str">
        <f t="shared" si="934"/>
        <v/>
      </c>
      <c r="DD645" s="121" t="str">
        <f>+IF(OR($W645="",DB645=0),"",ROUND((VLOOKUP(ROUNDDOWN($D645-1/frec,0),cob_adi,CO$40,FALSE)*(1+i/frec)^-0.5*(1+Parámetros!$D$103)*(1+rec_fracc)/frec),6))</f>
        <v/>
      </c>
      <c r="DE645" s="66" t="str">
        <f t="shared" si="891"/>
        <v/>
      </c>
      <c r="DF645" s="119" t="str">
        <f t="shared" si="892"/>
        <v/>
      </c>
      <c r="DG645" s="66" t="str">
        <f>+IF($W645="","",ROUND(IF($B645&gt;Parámetros!$D$107,'Tablas Servicio'!DE645+('Tablas Servicio'!DG644-'Tablas Servicio'!DE644),DE645/(1-IF(B645&lt;=10,Parámetros!$D$100,0))),2))</f>
        <v/>
      </c>
      <c r="DH645" s="66" t="str">
        <f t="shared" si="893"/>
        <v/>
      </c>
      <c r="DI645" s="66" t="str">
        <f t="shared" si="893"/>
        <v/>
      </c>
      <c r="DJ645" s="66" t="str">
        <f>+IF($W645="","",ROUND((DG645*Parámetros!$G$85),2))</f>
        <v/>
      </c>
      <c r="DK645" s="66" t="str">
        <f>+IF($W645="","",ROUND((DG645*(Parámetros!$G$86)),2))</f>
        <v/>
      </c>
      <c r="DL645" s="66" t="str">
        <f t="shared" si="894"/>
        <v/>
      </c>
      <c r="DM645" t="str">
        <f t="shared" si="935"/>
        <v/>
      </c>
      <c r="DN645" s="118" t="str">
        <f t="shared" si="936"/>
        <v/>
      </c>
      <c r="DO645" s="118" t="str">
        <f t="shared" si="937"/>
        <v/>
      </c>
      <c r="DP645" s="118" t="str">
        <f t="shared" si="938"/>
        <v/>
      </c>
      <c r="DQ645" s="122" t="str">
        <f>+IF(OR($W645="",DO645=0),"",ROUND((VLOOKUP(ROUNDDOWN($D645-1/frec,0),cob_adi,DB$40,FALSE)*(1+i/frec)^-0.5*(1+Parámetros!$D$103)*(1+rec_fracc)/frec),6))</f>
        <v/>
      </c>
      <c r="DR645" s="66" t="str">
        <f t="shared" si="895"/>
        <v/>
      </c>
      <c r="DS645" s="68" t="str">
        <f t="shared" si="896"/>
        <v/>
      </c>
      <c r="DT645" s="66" t="str">
        <f>+IF($W645="","",ROUND(IF($B645&gt;Parámetros!$D$107,'Tablas Servicio'!DR645+('Tablas Servicio'!DT644-'Tablas Servicio'!DR644),DR645/(1-IF(B645&lt;=10,Parámetros!$D$100,0))),2))</f>
        <v/>
      </c>
      <c r="DU645" s="66" t="str">
        <f t="shared" si="897"/>
        <v/>
      </c>
      <c r="DV645" s="66" t="str">
        <f t="shared" si="897"/>
        <v/>
      </c>
      <c r="DW645" s="66" t="str">
        <f>+IF($W645="","",ROUND((DT645*Parámetros!$G$85),2))</f>
        <v/>
      </c>
      <c r="DX645" s="66" t="str">
        <f>+IF($W645="","",ROUND((DT645*(Parámetros!$G$86)),2))</f>
        <v/>
      </c>
      <c r="DY645" s="66" t="str">
        <f t="shared" si="898"/>
        <v/>
      </c>
      <c r="DZ645" t="str">
        <f t="shared" si="939"/>
        <v/>
      </c>
      <c r="EA645" s="118" t="str">
        <f t="shared" si="939"/>
        <v/>
      </c>
      <c r="EB645" s="118" t="str">
        <f>+IF($W645="","",ROUND(IF(Parámetros!$D$25='TABLAS MORT'!$V$33,EB644,Z645/2),0))</f>
        <v/>
      </c>
      <c r="EC645" s="118" t="str">
        <f t="shared" si="939"/>
        <v/>
      </c>
      <c r="ED645" s="122" t="str">
        <f>+IF(OR($W645="",EB645=0),"",ROUND((VLOOKUP(ROUNDDOWN($D645-1/frec,0),cob_adi,DO$40,FALSE)*(1+i/frec)^-0.5*(1+Parámetros!$D$103)*(1+rec_fracc)/frec),6))</f>
        <v/>
      </c>
      <c r="EE645" s="66" t="str">
        <f t="shared" si="900"/>
        <v/>
      </c>
      <c r="EF645" s="68" t="str">
        <f t="shared" si="901"/>
        <v/>
      </c>
      <c r="EG645" s="66" t="str">
        <f>+IF($W645="","",ROUND(IF($B645&gt;Parámetros!$D$107,'Tablas Servicio'!EE645+('Tablas Servicio'!EG644-'Tablas Servicio'!EE644),EE645/(1-IF(B645&lt;=10,Parámetros!$D$100,0))),2))</f>
        <v/>
      </c>
      <c r="EH645" s="66" t="str">
        <f t="shared" si="902"/>
        <v/>
      </c>
      <c r="EI645" s="66" t="str">
        <f t="shared" si="902"/>
        <v/>
      </c>
      <c r="EJ645" s="66" t="str">
        <f>+IF($W645="","",ROUND((EG645*Parámetros!$G$85),2))</f>
        <v/>
      </c>
      <c r="EK645" s="66" t="str">
        <f>+IF($W645="","",ROUND((EG645*(Parámetros!$G$86)),2))</f>
        <v/>
      </c>
      <c r="EL645" s="66" t="str">
        <f t="shared" si="903"/>
        <v/>
      </c>
    </row>
    <row r="646" spans="1:142" x14ac:dyDescent="0.25">
      <c r="A646" t="str">
        <f>+IF($C646="","",ROUND(VLOOKUP('Tablas Servicio'!B646,Parámetros!$H$100:$J$159,IF(Parámetros!$E$16="F",2,3),FALSE),2))</f>
        <v/>
      </c>
      <c r="B646" t="str">
        <f t="shared" si="854"/>
        <v/>
      </c>
      <c r="C646" s="57" t="str">
        <f>+IF(D646="","",'Tablas Servicio'!C645+1)</f>
        <v/>
      </c>
      <c r="D646" s="56" t="str">
        <f>+IF(D645&lt;edadmaxtabla,D645+1/Parámetros!$E$25,"")</f>
        <v/>
      </c>
      <c r="E646" s="57" t="str">
        <f t="shared" si="864"/>
        <v/>
      </c>
      <c r="F646" s="59" t="str">
        <f t="shared" si="865"/>
        <v/>
      </c>
      <c r="G646" s="66" t="str">
        <f t="shared" si="855"/>
        <v/>
      </c>
      <c r="H646" s="66" t="str">
        <f t="shared" si="856"/>
        <v/>
      </c>
      <c r="I646" s="66" t="str">
        <f t="shared" si="904"/>
        <v/>
      </c>
      <c r="J646" s="66" t="str">
        <f t="shared" si="857"/>
        <v/>
      </c>
      <c r="K646" s="66" t="str">
        <f t="shared" si="858"/>
        <v/>
      </c>
      <c r="L646" s="66" t="str">
        <f t="shared" si="859"/>
        <v/>
      </c>
      <c r="M646" s="66" t="str">
        <f t="shared" si="860"/>
        <v/>
      </c>
      <c r="N646" s="66" t="str">
        <f>+IF(C646="","",ROUND(Parámetros!$D$23,2))</f>
        <v/>
      </c>
      <c r="O646" s="66" t="str">
        <f t="shared" si="861"/>
        <v/>
      </c>
      <c r="P646" s="66" t="str">
        <f>+IF($C646="","",ROUND(IF(B646&gt;Parámetros!$D$117,0,N646*Parámetros!$D$116-G646*Parámetros!$D$100),2))</f>
        <v/>
      </c>
      <c r="Q646" s="75" t="str">
        <f t="shared" si="905"/>
        <v/>
      </c>
      <c r="R646" s="75" t="str">
        <f t="shared" si="906"/>
        <v/>
      </c>
      <c r="S646" s="117" t="str">
        <f>+IF($C646="","",ROUND((S645+I646)*(1+Parámetros!$D$91),2))</f>
        <v/>
      </c>
      <c r="T646" s="117" t="str">
        <f>+IF($C646="","",ROUND(S646*VLOOKUP(B646,Parámetros!$C$30:$D$39,2,TRUE),2))</f>
        <v/>
      </c>
      <c r="U646" s="117" t="str">
        <f>+IF($C646="","",ROUND((U645+I646)*(1+Parámetros!$D$92),2))</f>
        <v/>
      </c>
      <c r="V646" s="117" t="str">
        <f>+IF($C646="","",ROUND(U646*VLOOKUP(B646,Parámetros!$C$30:$D$39,2,TRUE),2))</f>
        <v/>
      </c>
      <c r="W646" s="57" t="str">
        <f t="shared" si="907"/>
        <v/>
      </c>
      <c r="X646" t="str">
        <f t="shared" si="908"/>
        <v/>
      </c>
      <c r="Y646" t="str">
        <f t="shared" si="909"/>
        <v/>
      </c>
      <c r="Z646" s="118" t="str">
        <f>+IF($W646="","",ROUND(IF(Parámetros!$D$25='TABLAS MORT'!$V$33,Z645,Parámetros!$D$21-'Tablas Servicio'!T645),0))</f>
        <v/>
      </c>
      <c r="AA646" s="118" t="str">
        <f t="shared" si="910"/>
        <v/>
      </c>
      <c r="AB646" s="119" t="str">
        <f>+IF(W646="","",ROUND((VLOOKUP(ROUNDDOWN($D646-1/frec,0),qx_tabla,2,FALSE)*(1+i/frec)^-0.5*(1+Parámetros!$D$103)*(1+rec_fracc)/frec),6))</f>
        <v/>
      </c>
      <c r="AC646" s="66" t="str">
        <f t="shared" si="866"/>
        <v/>
      </c>
      <c r="AD646" s="119" t="str">
        <f t="shared" si="862"/>
        <v/>
      </c>
      <c r="AE646" s="66" t="str">
        <f>+IF($W646="","",ROUND(IF($B646&gt;Parámetros!$D$107,'Tablas Servicio'!AC646+('Tablas Servicio'!AG645-'Tablas Servicio'!AC645),AC646/(1-IF(B646&lt;=10,Parámetros!$D$104,Parámetros!$D$105))),2))</f>
        <v/>
      </c>
      <c r="AF646" s="66" t="str">
        <f>+IF($W646="","",ROUND(IF($B646&gt;Parámetros!$D$107,'Tablas Servicio'!AC646+('Tablas Servicio'!AG645-'Tablas Servicio'!AC645),(AC646+$A645/frec)/(1-IF(B646&lt;=Parámetros!$D$117,Parámetros!$D$100,0))),2))</f>
        <v/>
      </c>
      <c r="AG646" s="66" t="str">
        <f t="shared" si="867"/>
        <v/>
      </c>
      <c r="AH646" s="66" t="str">
        <f t="shared" si="868"/>
        <v/>
      </c>
      <c r="AI646" s="66" t="str">
        <f t="shared" si="869"/>
        <v/>
      </c>
      <c r="AJ646" s="66" t="str">
        <f>+IF($W646="","",ROUND((AG646*Parámetros!$G$85),2))</f>
        <v/>
      </c>
      <c r="AK646" s="66" t="str">
        <f>+IF($W646="","",ROUND((AG646*(Parámetros!$G$86)),2))</f>
        <v/>
      </c>
      <c r="AL646" s="66" t="str">
        <f t="shared" si="863"/>
        <v/>
      </c>
      <c r="AM646" t="str">
        <f t="shared" si="911"/>
        <v/>
      </c>
      <c r="AN646" t="str">
        <f t="shared" si="912"/>
        <v/>
      </c>
      <c r="AO646" s="118" t="str">
        <f t="shared" si="913"/>
        <v/>
      </c>
      <c r="AP646" s="118" t="str">
        <f t="shared" si="914"/>
        <v/>
      </c>
      <c r="AQ646" s="119" t="str">
        <f>+IF(OR($W646="",AO646=0),"",ROUND((VLOOKUP(ROUNDDOWN($D646-1/frec,0),cob_adi,Z$40,FALSE)*(1+i/frec)^-0.5*(1+Parámetros!$D$103)*(1+rec_fracc)/frec),6))</f>
        <v/>
      </c>
      <c r="AR646" s="66" t="str">
        <f t="shared" si="870"/>
        <v/>
      </c>
      <c r="AS646" s="119" t="str">
        <f t="shared" si="871"/>
        <v/>
      </c>
      <c r="AT646" s="66" t="str">
        <f>+IF($W646="","",ROUND(IF($B646&gt;Parámetros!$D$107,'Tablas Servicio'!AR646+('Tablas Servicio'!AT645-'Tablas Servicio'!AR645),AR646/(1-IF(B646&lt;=10,Parámetros!$D$100,0))),2))</f>
        <v/>
      </c>
      <c r="AU646" s="66" t="str">
        <f t="shared" si="872"/>
        <v/>
      </c>
      <c r="AV646" s="66" t="str">
        <f t="shared" si="872"/>
        <v/>
      </c>
      <c r="AW646" s="66" t="str">
        <f>+IF($W646="","",ROUND((AT646*Parámetros!$G$85),2))</f>
        <v/>
      </c>
      <c r="AX646" s="66" t="str">
        <f>+IF($W646="","",ROUND((AT646*(Parámetros!$G$86)),2))</f>
        <v/>
      </c>
      <c r="AY646" s="66" t="str">
        <f t="shared" si="873"/>
        <v/>
      </c>
      <c r="AZ646" t="str">
        <f t="shared" si="915"/>
        <v/>
      </c>
      <c r="BA646" t="str">
        <f t="shared" si="916"/>
        <v/>
      </c>
      <c r="BB646" s="118" t="str">
        <f t="shared" si="917"/>
        <v/>
      </c>
      <c r="BC646" s="118" t="str">
        <f t="shared" si="918"/>
        <v/>
      </c>
      <c r="BD646" s="119" t="str">
        <f>+IF(OR($W646="",BB646=0),"",ROUND((VLOOKUP(ROUNDDOWN($D646-1/frec,0),cob_adi,AO$40,FALSE)*(1+i/frec)^-0.5*(1+Parámetros!$D$103)*(1+rec_fracc)/frec),6))</f>
        <v/>
      </c>
      <c r="BE646" s="66" t="str">
        <f t="shared" si="874"/>
        <v/>
      </c>
      <c r="BF646" s="119" t="str">
        <f t="shared" si="875"/>
        <v/>
      </c>
      <c r="BG646" s="66" t="str">
        <f>+IF($W646="","",ROUND(IF($B646&gt;Parámetros!$D$107,'Tablas Servicio'!BE646+('Tablas Servicio'!BG645-'Tablas Servicio'!BE645),BE646/(1-IF(B646&lt;=10,Parámetros!$D$100,0))),2))</f>
        <v/>
      </c>
      <c r="BH646" s="66" t="str">
        <f t="shared" si="876"/>
        <v/>
      </c>
      <c r="BI646" s="66" t="str">
        <f t="shared" si="877"/>
        <v/>
      </c>
      <c r="BJ646" s="66" t="str">
        <f>+IF($W646="","",ROUND((BG646*Parámetros!$G$85),2))</f>
        <v/>
      </c>
      <c r="BK646" s="66" t="str">
        <f>+IF($W646="","",ROUND((BG646*(Parámetros!$G$86)),2))</f>
        <v/>
      </c>
      <c r="BL646" s="66" t="str">
        <f t="shared" si="878"/>
        <v/>
      </c>
      <c r="BM646" t="str">
        <f t="shared" si="919"/>
        <v/>
      </c>
      <c r="BN646" t="str">
        <f t="shared" si="920"/>
        <v/>
      </c>
      <c r="BO646" s="118" t="str">
        <f t="shared" si="921"/>
        <v/>
      </c>
      <c r="BP646" s="118" t="str">
        <f t="shared" si="922"/>
        <v/>
      </c>
      <c r="BQ646" s="119" t="str">
        <f>+IF(OR($W646="",BO646=0),"",ROUND((VLOOKUP(ROUNDDOWN($D646-1/frec,0),cob_adi,BB$40,FALSE)*(1+i/frec)^-0.5*(1+Parámetros!$D$103)*(1+rec_fracc)/frec),6))</f>
        <v/>
      </c>
      <c r="BR646" s="66" t="str">
        <f t="shared" si="879"/>
        <v/>
      </c>
      <c r="BS646" s="119" t="str">
        <f t="shared" si="880"/>
        <v/>
      </c>
      <c r="BT646" s="66" t="str">
        <f>+IF($W646="","",ROUND(IF($B646&gt;Parámetros!$D$107,'Tablas Servicio'!BR646+('Tablas Servicio'!BT645-'Tablas Servicio'!BR645),BR646/(1-IF(B646&lt;=10,Parámetros!$D$100,0))),2))</f>
        <v/>
      </c>
      <c r="BU646" s="66" t="str">
        <f t="shared" si="881"/>
        <v/>
      </c>
      <c r="BV646" s="66" t="str">
        <f t="shared" si="881"/>
        <v/>
      </c>
      <c r="BW646" s="66" t="str">
        <f>+IF($W646="","",ROUND((BT646*Parámetros!$G$85),2))</f>
        <v/>
      </c>
      <c r="BX646" s="66" t="str">
        <f>+IF($W646="","",ROUND((BT646*(Parámetros!$G$86)),2))</f>
        <v/>
      </c>
      <c r="BY646" s="66" t="str">
        <f t="shared" si="882"/>
        <v/>
      </c>
      <c r="BZ646" t="str">
        <f t="shared" si="923"/>
        <v/>
      </c>
      <c r="CA646" t="str">
        <f t="shared" si="924"/>
        <v/>
      </c>
      <c r="CB646" s="118" t="str">
        <f t="shared" si="925"/>
        <v/>
      </c>
      <c r="CC646" s="118" t="str">
        <f t="shared" si="926"/>
        <v/>
      </c>
      <c r="CD646" s="119" t="str">
        <f t="shared" si="883"/>
        <v/>
      </c>
      <c r="CE646" s="66" t="str">
        <f>+IF($W646="","",ROUND((VLOOKUP(ROUNDDOWN($D646-1/frec,0),cob_adi,BO$40,FALSE)*(1+i/frec)^-0.5*(1+Parámetros!$D$103)*(1+rec_fracc)/frec*'TABLAS ADI'!$BC$17),2))</f>
        <v/>
      </c>
      <c r="CF646" s="119" t="str">
        <f t="shared" si="884"/>
        <v/>
      </c>
      <c r="CG646" s="66" t="str">
        <f>+IF($W646="","",ROUND(IF($B646&gt;Parámetros!$D$107,'Tablas Servicio'!CE646+('Tablas Servicio'!CG645-'Tablas Servicio'!CE645),CE646/(1-IF(B646&lt;=10,Parámetros!$D$100,0))),2))</f>
        <v/>
      </c>
      <c r="CH646" s="66" t="str">
        <f t="shared" si="885"/>
        <v/>
      </c>
      <c r="CI646" s="66" t="str">
        <f t="shared" si="885"/>
        <v/>
      </c>
      <c r="CJ646" s="66" t="str">
        <f>+IF($W646="","",ROUND((CG646*Parámetros!$G$85),2))</f>
        <v/>
      </c>
      <c r="CK646" s="66" t="str">
        <f>+IF($W646="","",ROUND((CG646*(Parámetros!$G$86)),2))</f>
        <v/>
      </c>
      <c r="CL646" s="66" t="str">
        <f t="shared" si="886"/>
        <v/>
      </c>
      <c r="CM646" t="str">
        <f t="shared" si="927"/>
        <v/>
      </c>
      <c r="CN646" s="118" t="str">
        <f t="shared" si="928"/>
        <v/>
      </c>
      <c r="CO646" s="118" t="str">
        <f t="shared" si="929"/>
        <v/>
      </c>
      <c r="CP646" s="118" t="str">
        <f t="shared" si="930"/>
        <v/>
      </c>
      <c r="CQ646" s="119" t="str">
        <f t="shared" si="887"/>
        <v/>
      </c>
      <c r="CR646" s="66" t="str">
        <f>+IF($W646="","",ROUND((VLOOKUP(Parámetros!$F$51,'COBERTURAS ADICIONALES'!$S$4:$T$32,2,FALSE)*(1+i/frec)^-0.5*(1+Parámetros!$D$103)*(1+rec_fracc)/frec*$CO$42),2))</f>
        <v/>
      </c>
      <c r="CS646" s="119" t="str">
        <f t="shared" si="888"/>
        <v/>
      </c>
      <c r="CT646" s="66" t="str">
        <f>+IF($W646="","",ROUND(IF($B646&gt;Parámetros!$D$107,'Tablas Servicio'!CR646+('Tablas Servicio'!CT645-'Tablas Servicio'!CR645),CR646/(1-IF(B646&lt;=10,Parámetros!$D$100,0))),2))</f>
        <v/>
      </c>
      <c r="CU646" s="66" t="str">
        <f t="shared" si="889"/>
        <v/>
      </c>
      <c r="CV646" s="66" t="str">
        <f t="shared" si="889"/>
        <v/>
      </c>
      <c r="CW646" s="66" t="str">
        <f>+IF($W646="","",ROUND((CT646*Parámetros!$G$85),2))</f>
        <v/>
      </c>
      <c r="CX646" s="66" t="str">
        <f>+IF($W646="","",ROUND((CT646*(Parámetros!$G$86)),2))</f>
        <v/>
      </c>
      <c r="CY646" s="66" t="str">
        <f t="shared" si="890"/>
        <v/>
      </c>
      <c r="CZ646" t="str">
        <f t="shared" si="931"/>
        <v/>
      </c>
      <c r="DA646" s="118" t="str">
        <f t="shared" si="932"/>
        <v/>
      </c>
      <c r="DB646" s="118" t="str">
        <f t="shared" si="933"/>
        <v/>
      </c>
      <c r="DC646" s="118" t="str">
        <f t="shared" si="934"/>
        <v/>
      </c>
      <c r="DD646" s="121" t="str">
        <f>+IF(OR($W646="",DB646=0),"",ROUND((VLOOKUP(ROUNDDOWN($D646-1/frec,0),cob_adi,CO$40,FALSE)*(1+i/frec)^-0.5*(1+Parámetros!$D$103)*(1+rec_fracc)/frec),6))</f>
        <v/>
      </c>
      <c r="DE646" s="66" t="str">
        <f t="shared" si="891"/>
        <v/>
      </c>
      <c r="DF646" s="119" t="str">
        <f t="shared" si="892"/>
        <v/>
      </c>
      <c r="DG646" s="66" t="str">
        <f>+IF($W646="","",ROUND(IF($B646&gt;Parámetros!$D$107,'Tablas Servicio'!DE646+('Tablas Servicio'!DG645-'Tablas Servicio'!DE645),DE646/(1-IF(B646&lt;=10,Parámetros!$D$100,0))),2))</f>
        <v/>
      </c>
      <c r="DH646" s="66" t="str">
        <f t="shared" si="893"/>
        <v/>
      </c>
      <c r="DI646" s="66" t="str">
        <f t="shared" si="893"/>
        <v/>
      </c>
      <c r="DJ646" s="66" t="str">
        <f>+IF($W646="","",ROUND((DG646*Parámetros!$G$85),2))</f>
        <v/>
      </c>
      <c r="DK646" s="66" t="str">
        <f>+IF($W646="","",ROUND((DG646*(Parámetros!$G$86)),2))</f>
        <v/>
      </c>
      <c r="DL646" s="66" t="str">
        <f t="shared" si="894"/>
        <v/>
      </c>
      <c r="DM646" t="str">
        <f t="shared" si="935"/>
        <v/>
      </c>
      <c r="DN646" s="118" t="str">
        <f t="shared" si="936"/>
        <v/>
      </c>
      <c r="DO646" s="118" t="str">
        <f t="shared" si="937"/>
        <v/>
      </c>
      <c r="DP646" s="118" t="str">
        <f t="shared" si="938"/>
        <v/>
      </c>
      <c r="DQ646" s="122" t="str">
        <f>+IF(OR($W646="",DO646=0),"",ROUND((VLOOKUP(ROUNDDOWN($D646-1/frec,0),cob_adi,DB$40,FALSE)*(1+i/frec)^-0.5*(1+Parámetros!$D$103)*(1+rec_fracc)/frec),6))</f>
        <v/>
      </c>
      <c r="DR646" s="66" t="str">
        <f t="shared" si="895"/>
        <v/>
      </c>
      <c r="DS646" s="68" t="str">
        <f t="shared" si="896"/>
        <v/>
      </c>
      <c r="DT646" s="66" t="str">
        <f>+IF($W646="","",ROUND(IF($B646&gt;Parámetros!$D$107,'Tablas Servicio'!DR646+('Tablas Servicio'!DT645-'Tablas Servicio'!DR645),DR646/(1-IF(B646&lt;=10,Parámetros!$D$100,0))),2))</f>
        <v/>
      </c>
      <c r="DU646" s="66" t="str">
        <f t="shared" si="897"/>
        <v/>
      </c>
      <c r="DV646" s="66" t="str">
        <f t="shared" si="897"/>
        <v/>
      </c>
      <c r="DW646" s="66" t="str">
        <f>+IF($W646="","",ROUND((DT646*Parámetros!$G$85),2))</f>
        <v/>
      </c>
      <c r="DX646" s="66" t="str">
        <f>+IF($W646="","",ROUND((DT646*(Parámetros!$G$86)),2))</f>
        <v/>
      </c>
      <c r="DY646" s="66" t="str">
        <f t="shared" si="898"/>
        <v/>
      </c>
      <c r="DZ646" t="str">
        <f t="shared" si="939"/>
        <v/>
      </c>
      <c r="EA646" s="118" t="str">
        <f t="shared" si="939"/>
        <v/>
      </c>
      <c r="EB646" s="118" t="str">
        <f>+IF($W646="","",ROUND(IF(Parámetros!$D$25='TABLAS MORT'!$V$33,EB645,Z646/2),0))</f>
        <v/>
      </c>
      <c r="EC646" s="118" t="str">
        <f t="shared" si="939"/>
        <v/>
      </c>
      <c r="ED646" s="122" t="str">
        <f>+IF(OR($W646="",EB646=0),"",ROUND((VLOOKUP(ROUNDDOWN($D646-1/frec,0),cob_adi,DO$40,FALSE)*(1+i/frec)^-0.5*(1+Parámetros!$D$103)*(1+rec_fracc)/frec),6))</f>
        <v/>
      </c>
      <c r="EE646" s="66" t="str">
        <f t="shared" si="900"/>
        <v/>
      </c>
      <c r="EF646" s="68" t="str">
        <f t="shared" si="901"/>
        <v/>
      </c>
      <c r="EG646" s="66" t="str">
        <f>+IF($W646="","",ROUND(IF($B646&gt;Parámetros!$D$107,'Tablas Servicio'!EE646+('Tablas Servicio'!EG645-'Tablas Servicio'!EE645),EE646/(1-IF(B646&lt;=10,Parámetros!$D$100,0))),2))</f>
        <v/>
      </c>
      <c r="EH646" s="66" t="str">
        <f t="shared" si="902"/>
        <v/>
      </c>
      <c r="EI646" s="66" t="str">
        <f t="shared" si="902"/>
        <v/>
      </c>
      <c r="EJ646" s="66" t="str">
        <f>+IF($W646="","",ROUND((EG646*Parámetros!$G$85),2))</f>
        <v/>
      </c>
      <c r="EK646" s="66" t="str">
        <f>+IF($W646="","",ROUND((EG646*(Parámetros!$G$86)),2))</f>
        <v/>
      </c>
      <c r="EL646" s="66" t="str">
        <f t="shared" si="903"/>
        <v/>
      </c>
    </row>
    <row r="647" spans="1:142" x14ac:dyDescent="0.25">
      <c r="A647" t="str">
        <f>+IF($C647="","",ROUND(VLOOKUP('Tablas Servicio'!B647,Parámetros!$H$100:$J$159,IF(Parámetros!$E$16="F",2,3),FALSE),2))</f>
        <v/>
      </c>
      <c r="B647" t="str">
        <f t="shared" si="854"/>
        <v/>
      </c>
      <c r="C647" s="57" t="str">
        <f>+IF(D647="","",'Tablas Servicio'!C646+1)</f>
        <v/>
      </c>
      <c r="D647" s="56" t="str">
        <f>+IF(D646&lt;edadmaxtabla,D646+1/Parámetros!$E$25,"")</f>
        <v/>
      </c>
      <c r="E647" s="57" t="str">
        <f t="shared" si="864"/>
        <v/>
      </c>
      <c r="F647" s="59" t="str">
        <f t="shared" si="865"/>
        <v/>
      </c>
      <c r="G647" s="66" t="str">
        <f t="shared" si="855"/>
        <v/>
      </c>
      <c r="H647" s="66" t="str">
        <f t="shared" si="856"/>
        <v/>
      </c>
      <c r="I647" s="66" t="str">
        <f t="shared" si="904"/>
        <v/>
      </c>
      <c r="J647" s="66" t="str">
        <f t="shared" si="857"/>
        <v/>
      </c>
      <c r="K647" s="66" t="str">
        <f t="shared" si="858"/>
        <v/>
      </c>
      <c r="L647" s="66" t="str">
        <f t="shared" si="859"/>
        <v/>
      </c>
      <c r="M647" s="66" t="str">
        <f t="shared" si="860"/>
        <v/>
      </c>
      <c r="N647" s="66" t="str">
        <f>+IF(C647="","",ROUND(Parámetros!$D$23,2))</f>
        <v/>
      </c>
      <c r="O647" s="66" t="str">
        <f t="shared" si="861"/>
        <v/>
      </c>
      <c r="P647" s="66" t="str">
        <f>+IF($C647="","",ROUND(IF(B647&gt;Parámetros!$D$117,0,N647*Parámetros!$D$116-G647*Parámetros!$D$100),2))</f>
        <v/>
      </c>
      <c r="Q647" s="75" t="str">
        <f t="shared" si="905"/>
        <v/>
      </c>
      <c r="R647" s="75" t="str">
        <f t="shared" si="906"/>
        <v/>
      </c>
      <c r="S647" s="117" t="str">
        <f>+IF($C647="","",ROUND((S646+I647)*(1+Parámetros!$D$91),2))</f>
        <v/>
      </c>
      <c r="T647" s="117" t="str">
        <f>+IF($C647="","",ROUND(S647*VLOOKUP(B647,Parámetros!$C$30:$D$39,2,TRUE),2))</f>
        <v/>
      </c>
      <c r="U647" s="117" t="str">
        <f>+IF($C647="","",ROUND((U646+I647)*(1+Parámetros!$D$92),2))</f>
        <v/>
      </c>
      <c r="V647" s="117" t="str">
        <f>+IF($C647="","",ROUND(U647*VLOOKUP(B647,Parámetros!$C$30:$D$39,2,TRUE),2))</f>
        <v/>
      </c>
      <c r="W647" s="57" t="str">
        <f t="shared" si="907"/>
        <v/>
      </c>
      <c r="X647" t="str">
        <f t="shared" si="908"/>
        <v/>
      </c>
      <c r="Y647" t="str">
        <f t="shared" si="909"/>
        <v/>
      </c>
      <c r="Z647" s="118" t="str">
        <f>+IF($W647="","",ROUND(IF(Parámetros!$D$25='TABLAS MORT'!$V$33,Z646,Parámetros!$D$21-'Tablas Servicio'!T646),0))</f>
        <v/>
      </c>
      <c r="AA647" s="118" t="str">
        <f t="shared" si="910"/>
        <v/>
      </c>
      <c r="AB647" s="119" t="str">
        <f>+IF(W647="","",ROUND((VLOOKUP(ROUNDDOWN($D647-1/frec,0),qx_tabla,2,FALSE)*(1+i/frec)^-0.5*(1+Parámetros!$D$103)*(1+rec_fracc)/frec),6))</f>
        <v/>
      </c>
      <c r="AC647" s="66" t="str">
        <f t="shared" si="866"/>
        <v/>
      </c>
      <c r="AD647" s="119" t="str">
        <f t="shared" si="862"/>
        <v/>
      </c>
      <c r="AE647" s="66" t="str">
        <f>+IF($W647="","",ROUND(IF($B647&gt;Parámetros!$D$107,'Tablas Servicio'!AC647+('Tablas Servicio'!AG646-'Tablas Servicio'!AC646),AC647/(1-IF(B647&lt;=10,Parámetros!$D$104,Parámetros!$D$105))),2))</f>
        <v/>
      </c>
      <c r="AF647" s="66" t="str">
        <f>+IF($W647="","",ROUND(IF($B647&gt;Parámetros!$D$107,'Tablas Servicio'!AC647+('Tablas Servicio'!AG646-'Tablas Servicio'!AC646),(AC647+$A646/frec)/(1-IF(B647&lt;=Parámetros!$D$117,Parámetros!$D$100,0))),2))</f>
        <v/>
      </c>
      <c r="AG647" s="66" t="str">
        <f t="shared" si="867"/>
        <v/>
      </c>
      <c r="AH647" s="66" t="str">
        <f t="shared" si="868"/>
        <v/>
      </c>
      <c r="AI647" s="66" t="str">
        <f t="shared" si="869"/>
        <v/>
      </c>
      <c r="AJ647" s="66" t="str">
        <f>+IF($W647="","",ROUND((AG647*Parámetros!$G$85),2))</f>
        <v/>
      </c>
      <c r="AK647" s="66" t="str">
        <f>+IF($W647="","",ROUND((AG647*(Parámetros!$G$86)),2))</f>
        <v/>
      </c>
      <c r="AL647" s="66" t="str">
        <f t="shared" si="863"/>
        <v/>
      </c>
      <c r="AM647" t="str">
        <f t="shared" si="911"/>
        <v/>
      </c>
      <c r="AN647" t="str">
        <f t="shared" si="912"/>
        <v/>
      </c>
      <c r="AO647" s="118" t="str">
        <f t="shared" si="913"/>
        <v/>
      </c>
      <c r="AP647" s="118" t="str">
        <f t="shared" si="914"/>
        <v/>
      </c>
      <c r="AQ647" s="119" t="str">
        <f>+IF(OR($W647="",AO647=0),"",ROUND((VLOOKUP(ROUNDDOWN($D647-1/frec,0),cob_adi,Z$40,FALSE)*(1+i/frec)^-0.5*(1+Parámetros!$D$103)*(1+rec_fracc)/frec),6))</f>
        <v/>
      </c>
      <c r="AR647" s="66" t="str">
        <f t="shared" si="870"/>
        <v/>
      </c>
      <c r="AS647" s="119" t="str">
        <f t="shared" si="871"/>
        <v/>
      </c>
      <c r="AT647" s="66" t="str">
        <f>+IF($W647="","",ROUND(IF($B647&gt;Parámetros!$D$107,'Tablas Servicio'!AR647+('Tablas Servicio'!AT646-'Tablas Servicio'!AR646),AR647/(1-IF(B647&lt;=10,Parámetros!$D$100,0))),2))</f>
        <v/>
      </c>
      <c r="AU647" s="66" t="str">
        <f t="shared" si="872"/>
        <v/>
      </c>
      <c r="AV647" s="66" t="str">
        <f t="shared" si="872"/>
        <v/>
      </c>
      <c r="AW647" s="66" t="str">
        <f>+IF($W647="","",ROUND((AT647*Parámetros!$G$85),2))</f>
        <v/>
      </c>
      <c r="AX647" s="66" t="str">
        <f>+IF($W647="","",ROUND((AT647*(Parámetros!$G$86)),2))</f>
        <v/>
      </c>
      <c r="AY647" s="66" t="str">
        <f t="shared" si="873"/>
        <v/>
      </c>
      <c r="AZ647" t="str">
        <f t="shared" si="915"/>
        <v/>
      </c>
      <c r="BA647" t="str">
        <f t="shared" si="916"/>
        <v/>
      </c>
      <c r="BB647" s="118" t="str">
        <f t="shared" si="917"/>
        <v/>
      </c>
      <c r="BC647" s="118" t="str">
        <f t="shared" si="918"/>
        <v/>
      </c>
      <c r="BD647" s="119" t="str">
        <f>+IF(OR($W647="",BB647=0),"",ROUND((VLOOKUP(ROUNDDOWN($D647-1/frec,0),cob_adi,AO$40,FALSE)*(1+i/frec)^-0.5*(1+Parámetros!$D$103)*(1+rec_fracc)/frec),6))</f>
        <v/>
      </c>
      <c r="BE647" s="66" t="str">
        <f t="shared" si="874"/>
        <v/>
      </c>
      <c r="BF647" s="119" t="str">
        <f t="shared" si="875"/>
        <v/>
      </c>
      <c r="BG647" s="66" t="str">
        <f>+IF($W647="","",ROUND(IF($B647&gt;Parámetros!$D$107,'Tablas Servicio'!BE647+('Tablas Servicio'!BG646-'Tablas Servicio'!BE646),BE647/(1-IF(B647&lt;=10,Parámetros!$D$100,0))),2))</f>
        <v/>
      </c>
      <c r="BH647" s="66" t="str">
        <f t="shared" si="876"/>
        <v/>
      </c>
      <c r="BI647" s="66" t="str">
        <f t="shared" si="877"/>
        <v/>
      </c>
      <c r="BJ647" s="66" t="str">
        <f>+IF($W647="","",ROUND((BG647*Parámetros!$G$85),2))</f>
        <v/>
      </c>
      <c r="BK647" s="66" t="str">
        <f>+IF($W647="","",ROUND((BG647*(Parámetros!$G$86)),2))</f>
        <v/>
      </c>
      <c r="BL647" s="66" t="str">
        <f t="shared" si="878"/>
        <v/>
      </c>
      <c r="BM647" t="str">
        <f t="shared" si="919"/>
        <v/>
      </c>
      <c r="BN647" t="str">
        <f t="shared" si="920"/>
        <v/>
      </c>
      <c r="BO647" s="118" t="str">
        <f t="shared" si="921"/>
        <v/>
      </c>
      <c r="BP647" s="118" t="str">
        <f t="shared" si="922"/>
        <v/>
      </c>
      <c r="BQ647" s="119" t="str">
        <f>+IF(OR($W647="",BO647=0),"",ROUND((VLOOKUP(ROUNDDOWN($D647-1/frec,0),cob_adi,BB$40,FALSE)*(1+i/frec)^-0.5*(1+Parámetros!$D$103)*(1+rec_fracc)/frec),6))</f>
        <v/>
      </c>
      <c r="BR647" s="66" t="str">
        <f t="shared" si="879"/>
        <v/>
      </c>
      <c r="BS647" s="119" t="str">
        <f t="shared" si="880"/>
        <v/>
      </c>
      <c r="BT647" s="66" t="str">
        <f>+IF($W647="","",ROUND(IF($B647&gt;Parámetros!$D$107,'Tablas Servicio'!BR647+('Tablas Servicio'!BT646-'Tablas Servicio'!BR646),BR647/(1-IF(B647&lt;=10,Parámetros!$D$100,0))),2))</f>
        <v/>
      </c>
      <c r="BU647" s="66" t="str">
        <f t="shared" si="881"/>
        <v/>
      </c>
      <c r="BV647" s="66" t="str">
        <f t="shared" si="881"/>
        <v/>
      </c>
      <c r="BW647" s="66" t="str">
        <f>+IF($W647="","",ROUND((BT647*Parámetros!$G$85),2))</f>
        <v/>
      </c>
      <c r="BX647" s="66" t="str">
        <f>+IF($W647="","",ROUND((BT647*(Parámetros!$G$86)),2))</f>
        <v/>
      </c>
      <c r="BY647" s="66" t="str">
        <f t="shared" si="882"/>
        <v/>
      </c>
      <c r="BZ647" t="str">
        <f t="shared" si="923"/>
        <v/>
      </c>
      <c r="CA647" t="str">
        <f t="shared" si="924"/>
        <v/>
      </c>
      <c r="CB647" s="118" t="str">
        <f t="shared" si="925"/>
        <v/>
      </c>
      <c r="CC647" s="118" t="str">
        <f t="shared" si="926"/>
        <v/>
      </c>
      <c r="CD647" s="119" t="str">
        <f t="shared" si="883"/>
        <v/>
      </c>
      <c r="CE647" s="66" t="str">
        <f>+IF($W647="","",ROUND((VLOOKUP(ROUNDDOWN($D647-1/frec,0),cob_adi,BO$40,FALSE)*(1+i/frec)^-0.5*(1+Parámetros!$D$103)*(1+rec_fracc)/frec*'TABLAS ADI'!$BC$17),2))</f>
        <v/>
      </c>
      <c r="CF647" s="119" t="str">
        <f t="shared" si="884"/>
        <v/>
      </c>
      <c r="CG647" s="66" t="str">
        <f>+IF($W647="","",ROUND(IF($B647&gt;Parámetros!$D$107,'Tablas Servicio'!CE647+('Tablas Servicio'!CG646-'Tablas Servicio'!CE646),CE647/(1-IF(B647&lt;=10,Parámetros!$D$100,0))),2))</f>
        <v/>
      </c>
      <c r="CH647" s="66" t="str">
        <f t="shared" si="885"/>
        <v/>
      </c>
      <c r="CI647" s="66" t="str">
        <f t="shared" si="885"/>
        <v/>
      </c>
      <c r="CJ647" s="66" t="str">
        <f>+IF($W647="","",ROUND((CG647*Parámetros!$G$85),2))</f>
        <v/>
      </c>
      <c r="CK647" s="66" t="str">
        <f>+IF($W647="","",ROUND((CG647*(Parámetros!$G$86)),2))</f>
        <v/>
      </c>
      <c r="CL647" s="66" t="str">
        <f t="shared" si="886"/>
        <v/>
      </c>
      <c r="CM647" t="str">
        <f t="shared" si="927"/>
        <v/>
      </c>
      <c r="CN647" s="118" t="str">
        <f t="shared" si="928"/>
        <v/>
      </c>
      <c r="CO647" s="118" t="str">
        <f t="shared" si="929"/>
        <v/>
      </c>
      <c r="CP647" s="118" t="str">
        <f t="shared" si="930"/>
        <v/>
      </c>
      <c r="CQ647" s="119" t="str">
        <f t="shared" si="887"/>
        <v/>
      </c>
      <c r="CR647" s="66" t="str">
        <f>+IF($W647="","",ROUND((VLOOKUP(Parámetros!$F$51,'COBERTURAS ADICIONALES'!$S$4:$T$32,2,FALSE)*(1+i/frec)^-0.5*(1+Parámetros!$D$103)*(1+rec_fracc)/frec*$CO$42),2))</f>
        <v/>
      </c>
      <c r="CS647" s="119" t="str">
        <f t="shared" si="888"/>
        <v/>
      </c>
      <c r="CT647" s="66" t="str">
        <f>+IF($W647="","",ROUND(IF($B647&gt;Parámetros!$D$107,'Tablas Servicio'!CR647+('Tablas Servicio'!CT646-'Tablas Servicio'!CR646),CR647/(1-IF(B647&lt;=10,Parámetros!$D$100,0))),2))</f>
        <v/>
      </c>
      <c r="CU647" s="66" t="str">
        <f t="shared" si="889"/>
        <v/>
      </c>
      <c r="CV647" s="66" t="str">
        <f t="shared" si="889"/>
        <v/>
      </c>
      <c r="CW647" s="66" t="str">
        <f>+IF($W647="","",ROUND((CT647*Parámetros!$G$85),2))</f>
        <v/>
      </c>
      <c r="CX647" s="66" t="str">
        <f>+IF($W647="","",ROUND((CT647*(Parámetros!$G$86)),2))</f>
        <v/>
      </c>
      <c r="CY647" s="66" t="str">
        <f t="shared" si="890"/>
        <v/>
      </c>
      <c r="CZ647" t="str">
        <f t="shared" si="931"/>
        <v/>
      </c>
      <c r="DA647" s="118" t="str">
        <f t="shared" si="932"/>
        <v/>
      </c>
      <c r="DB647" s="118" t="str">
        <f t="shared" si="933"/>
        <v/>
      </c>
      <c r="DC647" s="118" t="str">
        <f t="shared" si="934"/>
        <v/>
      </c>
      <c r="DD647" s="121" t="str">
        <f>+IF(OR($W647="",DB647=0),"",ROUND((VLOOKUP(ROUNDDOWN($D647-1/frec,0),cob_adi,CO$40,FALSE)*(1+i/frec)^-0.5*(1+Parámetros!$D$103)*(1+rec_fracc)/frec),6))</f>
        <v/>
      </c>
      <c r="DE647" s="66" t="str">
        <f t="shared" si="891"/>
        <v/>
      </c>
      <c r="DF647" s="119" t="str">
        <f t="shared" si="892"/>
        <v/>
      </c>
      <c r="DG647" s="66" t="str">
        <f>+IF($W647="","",ROUND(IF($B647&gt;Parámetros!$D$107,'Tablas Servicio'!DE647+('Tablas Servicio'!DG646-'Tablas Servicio'!DE646),DE647/(1-IF(B647&lt;=10,Parámetros!$D$100,0))),2))</f>
        <v/>
      </c>
      <c r="DH647" s="66" t="str">
        <f t="shared" si="893"/>
        <v/>
      </c>
      <c r="DI647" s="66" t="str">
        <f t="shared" si="893"/>
        <v/>
      </c>
      <c r="DJ647" s="66" t="str">
        <f>+IF($W647="","",ROUND((DG647*Parámetros!$G$85),2))</f>
        <v/>
      </c>
      <c r="DK647" s="66" t="str">
        <f>+IF($W647="","",ROUND((DG647*(Parámetros!$G$86)),2))</f>
        <v/>
      </c>
      <c r="DL647" s="66" t="str">
        <f t="shared" si="894"/>
        <v/>
      </c>
      <c r="DM647" t="str">
        <f t="shared" si="935"/>
        <v/>
      </c>
      <c r="DN647" s="118" t="str">
        <f t="shared" si="936"/>
        <v/>
      </c>
      <c r="DO647" s="118" t="str">
        <f t="shared" si="937"/>
        <v/>
      </c>
      <c r="DP647" s="118" t="str">
        <f t="shared" si="938"/>
        <v/>
      </c>
      <c r="DQ647" s="122" t="str">
        <f>+IF(OR($W647="",DO647=0),"",ROUND((VLOOKUP(ROUNDDOWN($D647-1/frec,0),cob_adi,DB$40,FALSE)*(1+i/frec)^-0.5*(1+Parámetros!$D$103)*(1+rec_fracc)/frec),6))</f>
        <v/>
      </c>
      <c r="DR647" s="66" t="str">
        <f t="shared" si="895"/>
        <v/>
      </c>
      <c r="DS647" s="68" t="str">
        <f t="shared" si="896"/>
        <v/>
      </c>
      <c r="DT647" s="66" t="str">
        <f>+IF($W647="","",ROUND(IF($B647&gt;Parámetros!$D$107,'Tablas Servicio'!DR647+('Tablas Servicio'!DT646-'Tablas Servicio'!DR646),DR647/(1-IF(B647&lt;=10,Parámetros!$D$100,0))),2))</f>
        <v/>
      </c>
      <c r="DU647" s="66" t="str">
        <f t="shared" si="897"/>
        <v/>
      </c>
      <c r="DV647" s="66" t="str">
        <f t="shared" si="897"/>
        <v/>
      </c>
      <c r="DW647" s="66" t="str">
        <f>+IF($W647="","",ROUND((DT647*Parámetros!$G$85),2))</f>
        <v/>
      </c>
      <c r="DX647" s="66" t="str">
        <f>+IF($W647="","",ROUND((DT647*(Parámetros!$G$86)),2))</f>
        <v/>
      </c>
      <c r="DY647" s="66" t="str">
        <f t="shared" si="898"/>
        <v/>
      </c>
      <c r="DZ647" t="str">
        <f t="shared" si="939"/>
        <v/>
      </c>
      <c r="EA647" s="118" t="str">
        <f t="shared" si="939"/>
        <v/>
      </c>
      <c r="EB647" s="118" t="str">
        <f>+IF($W647="","",ROUND(IF(Parámetros!$D$25='TABLAS MORT'!$V$33,EB646,Z647/2),0))</f>
        <v/>
      </c>
      <c r="EC647" s="118" t="str">
        <f t="shared" si="939"/>
        <v/>
      </c>
      <c r="ED647" s="122" t="str">
        <f>+IF(OR($W647="",EB647=0),"",ROUND((VLOOKUP(ROUNDDOWN($D647-1/frec,0),cob_adi,DO$40,FALSE)*(1+i/frec)^-0.5*(1+Parámetros!$D$103)*(1+rec_fracc)/frec),6))</f>
        <v/>
      </c>
      <c r="EE647" s="66" t="str">
        <f t="shared" si="900"/>
        <v/>
      </c>
      <c r="EF647" s="68" t="str">
        <f t="shared" si="901"/>
        <v/>
      </c>
      <c r="EG647" s="66" t="str">
        <f>+IF($W647="","",ROUND(IF($B647&gt;Parámetros!$D$107,'Tablas Servicio'!EE647+('Tablas Servicio'!EG646-'Tablas Servicio'!EE646),EE647/(1-IF(B647&lt;=10,Parámetros!$D$100,0))),2))</f>
        <v/>
      </c>
      <c r="EH647" s="66" t="str">
        <f t="shared" si="902"/>
        <v/>
      </c>
      <c r="EI647" s="66" t="str">
        <f t="shared" si="902"/>
        <v/>
      </c>
      <c r="EJ647" s="66" t="str">
        <f>+IF($W647="","",ROUND((EG647*Parámetros!$G$85),2))</f>
        <v/>
      </c>
      <c r="EK647" s="66" t="str">
        <f>+IF($W647="","",ROUND((EG647*(Parámetros!$G$86)),2))</f>
        <v/>
      </c>
      <c r="EL647" s="66" t="str">
        <f t="shared" si="903"/>
        <v/>
      </c>
    </row>
    <row r="648" spans="1:142" x14ac:dyDescent="0.25">
      <c r="A648" t="str">
        <f>+IF($C648="","",ROUND(VLOOKUP('Tablas Servicio'!B648,Parámetros!$H$100:$J$159,IF(Parámetros!$E$16="F",2,3),FALSE),2))</f>
        <v/>
      </c>
      <c r="B648" t="str">
        <f t="shared" si="854"/>
        <v/>
      </c>
      <c r="C648" s="57" t="str">
        <f>+IF(D648="","",'Tablas Servicio'!C647+1)</f>
        <v/>
      </c>
      <c r="D648" s="56" t="str">
        <f>+IF(D647&lt;edadmaxtabla,D647+1/Parámetros!$E$25,"")</f>
        <v/>
      </c>
      <c r="E648" s="57" t="str">
        <f t="shared" si="864"/>
        <v/>
      </c>
      <c r="F648" s="59" t="str">
        <f t="shared" si="865"/>
        <v/>
      </c>
      <c r="G648" s="66" t="str">
        <f t="shared" si="855"/>
        <v/>
      </c>
      <c r="H648" s="66" t="str">
        <f t="shared" si="856"/>
        <v/>
      </c>
      <c r="I648" s="66" t="str">
        <f t="shared" si="904"/>
        <v/>
      </c>
      <c r="J648" s="66" t="str">
        <f t="shared" si="857"/>
        <v/>
      </c>
      <c r="K648" s="66" t="str">
        <f t="shared" si="858"/>
        <v/>
      </c>
      <c r="L648" s="66" t="str">
        <f t="shared" si="859"/>
        <v/>
      </c>
      <c r="M648" s="66" t="str">
        <f t="shared" si="860"/>
        <v/>
      </c>
      <c r="N648" s="66" t="str">
        <f>+IF(C648="","",ROUND(Parámetros!$D$23,2))</f>
        <v/>
      </c>
      <c r="O648" s="66" t="str">
        <f t="shared" si="861"/>
        <v/>
      </c>
      <c r="P648" s="66" t="str">
        <f>+IF($C648="","",ROUND(IF(B648&gt;Parámetros!$D$117,0,N648*Parámetros!$D$116-G648*Parámetros!$D$100),2))</f>
        <v/>
      </c>
      <c r="Q648" s="75" t="str">
        <f t="shared" si="905"/>
        <v/>
      </c>
      <c r="R648" s="75" t="str">
        <f t="shared" si="906"/>
        <v/>
      </c>
      <c r="S648" s="117" t="str">
        <f>+IF($C648="","",ROUND((S647+I648)*(1+Parámetros!$D$91),2))</f>
        <v/>
      </c>
      <c r="T648" s="117" t="str">
        <f>+IF($C648="","",ROUND(S648*VLOOKUP(B648,Parámetros!$C$30:$D$39,2,TRUE),2))</f>
        <v/>
      </c>
      <c r="U648" s="117" t="str">
        <f>+IF($C648="","",ROUND((U647+I648)*(1+Parámetros!$D$92),2))</f>
        <v/>
      </c>
      <c r="V648" s="117" t="str">
        <f>+IF($C648="","",ROUND(U648*VLOOKUP(B648,Parámetros!$C$30:$D$39,2,TRUE),2))</f>
        <v/>
      </c>
      <c r="W648" s="57" t="str">
        <f t="shared" si="907"/>
        <v/>
      </c>
      <c r="X648" t="str">
        <f t="shared" si="908"/>
        <v/>
      </c>
      <c r="Y648" t="str">
        <f t="shared" si="909"/>
        <v/>
      </c>
      <c r="Z648" s="118" t="str">
        <f>+IF($W648="","",ROUND(IF(Parámetros!$D$25='TABLAS MORT'!$V$33,Z647,Parámetros!$D$21-'Tablas Servicio'!T647),0))</f>
        <v/>
      </c>
      <c r="AA648" s="118" t="str">
        <f t="shared" si="910"/>
        <v/>
      </c>
      <c r="AB648" s="119" t="str">
        <f>+IF(W648="","",ROUND((VLOOKUP(ROUNDDOWN($D648-1/frec,0),qx_tabla,2,FALSE)*(1+i/frec)^-0.5*(1+Parámetros!$D$103)*(1+rec_fracc)/frec),6))</f>
        <v/>
      </c>
      <c r="AC648" s="66" t="str">
        <f t="shared" si="866"/>
        <v/>
      </c>
      <c r="AD648" s="119" t="str">
        <f t="shared" si="862"/>
        <v/>
      </c>
      <c r="AE648" s="66" t="str">
        <f>+IF($W648="","",ROUND(IF($B648&gt;Parámetros!$D$107,'Tablas Servicio'!AC648+('Tablas Servicio'!AG647-'Tablas Servicio'!AC647),AC648/(1-IF(B648&lt;=10,Parámetros!$D$104,Parámetros!$D$105))),2))</f>
        <v/>
      </c>
      <c r="AF648" s="66" t="str">
        <f>+IF($W648="","",ROUND(IF($B648&gt;Parámetros!$D$107,'Tablas Servicio'!AC648+('Tablas Servicio'!AG647-'Tablas Servicio'!AC647),(AC648+$A647/frec)/(1-IF(B648&lt;=Parámetros!$D$117,Parámetros!$D$100,0))),2))</f>
        <v/>
      </c>
      <c r="AG648" s="66" t="str">
        <f t="shared" si="867"/>
        <v/>
      </c>
      <c r="AH648" s="66" t="str">
        <f t="shared" si="868"/>
        <v/>
      </c>
      <c r="AI648" s="66" t="str">
        <f t="shared" si="869"/>
        <v/>
      </c>
      <c r="AJ648" s="66" t="str">
        <f>+IF($W648="","",ROUND((AG648*Parámetros!$G$85),2))</f>
        <v/>
      </c>
      <c r="AK648" s="66" t="str">
        <f>+IF($W648="","",ROUND((AG648*(Parámetros!$G$86)),2))</f>
        <v/>
      </c>
      <c r="AL648" s="66" t="str">
        <f t="shared" si="863"/>
        <v/>
      </c>
      <c r="AM648" t="str">
        <f t="shared" si="911"/>
        <v/>
      </c>
      <c r="AN648" t="str">
        <f t="shared" si="912"/>
        <v/>
      </c>
      <c r="AO648" s="118" t="str">
        <f t="shared" si="913"/>
        <v/>
      </c>
      <c r="AP648" s="118" t="str">
        <f t="shared" si="914"/>
        <v/>
      </c>
      <c r="AQ648" s="119" t="str">
        <f>+IF(OR($W648="",AO648=0),"",ROUND((VLOOKUP(ROUNDDOWN($D648-1/frec,0),cob_adi,Z$40,FALSE)*(1+i/frec)^-0.5*(1+Parámetros!$D$103)*(1+rec_fracc)/frec),6))</f>
        <v/>
      </c>
      <c r="AR648" s="66" t="str">
        <f t="shared" si="870"/>
        <v/>
      </c>
      <c r="AS648" s="119" t="str">
        <f t="shared" si="871"/>
        <v/>
      </c>
      <c r="AT648" s="66" t="str">
        <f>+IF($W648="","",ROUND(IF($B648&gt;Parámetros!$D$107,'Tablas Servicio'!AR648+('Tablas Servicio'!AT647-'Tablas Servicio'!AR647),AR648/(1-IF(B648&lt;=10,Parámetros!$D$100,0))),2))</f>
        <v/>
      </c>
      <c r="AU648" s="66" t="str">
        <f t="shared" si="872"/>
        <v/>
      </c>
      <c r="AV648" s="66" t="str">
        <f t="shared" si="872"/>
        <v/>
      </c>
      <c r="AW648" s="66" t="str">
        <f>+IF($W648="","",ROUND((AT648*Parámetros!$G$85),2))</f>
        <v/>
      </c>
      <c r="AX648" s="66" t="str">
        <f>+IF($W648="","",ROUND((AT648*(Parámetros!$G$86)),2))</f>
        <v/>
      </c>
      <c r="AY648" s="66" t="str">
        <f t="shared" si="873"/>
        <v/>
      </c>
      <c r="AZ648" t="str">
        <f t="shared" si="915"/>
        <v/>
      </c>
      <c r="BA648" t="str">
        <f t="shared" si="916"/>
        <v/>
      </c>
      <c r="BB648" s="118" t="str">
        <f t="shared" si="917"/>
        <v/>
      </c>
      <c r="BC648" s="118" t="str">
        <f t="shared" si="918"/>
        <v/>
      </c>
      <c r="BD648" s="119" t="str">
        <f>+IF(OR($W648="",BB648=0),"",ROUND((VLOOKUP(ROUNDDOWN($D648-1/frec,0),cob_adi,AO$40,FALSE)*(1+i/frec)^-0.5*(1+Parámetros!$D$103)*(1+rec_fracc)/frec),6))</f>
        <v/>
      </c>
      <c r="BE648" s="66" t="str">
        <f t="shared" si="874"/>
        <v/>
      </c>
      <c r="BF648" s="119" t="str">
        <f t="shared" si="875"/>
        <v/>
      </c>
      <c r="BG648" s="66" t="str">
        <f>+IF($W648="","",ROUND(IF($B648&gt;Parámetros!$D$107,'Tablas Servicio'!BE648+('Tablas Servicio'!BG647-'Tablas Servicio'!BE647),BE648/(1-IF(B648&lt;=10,Parámetros!$D$100,0))),2))</f>
        <v/>
      </c>
      <c r="BH648" s="66" t="str">
        <f t="shared" si="876"/>
        <v/>
      </c>
      <c r="BI648" s="66" t="str">
        <f t="shared" si="877"/>
        <v/>
      </c>
      <c r="BJ648" s="66" t="str">
        <f>+IF($W648="","",ROUND((BG648*Parámetros!$G$85),2))</f>
        <v/>
      </c>
      <c r="BK648" s="66" t="str">
        <f>+IF($W648="","",ROUND((BG648*(Parámetros!$G$86)),2))</f>
        <v/>
      </c>
      <c r="BL648" s="66" t="str">
        <f t="shared" si="878"/>
        <v/>
      </c>
      <c r="BM648" t="str">
        <f t="shared" si="919"/>
        <v/>
      </c>
      <c r="BN648" t="str">
        <f t="shared" si="920"/>
        <v/>
      </c>
      <c r="BO648" s="118" t="str">
        <f t="shared" si="921"/>
        <v/>
      </c>
      <c r="BP648" s="118" t="str">
        <f t="shared" si="922"/>
        <v/>
      </c>
      <c r="BQ648" s="119" t="str">
        <f>+IF(OR($W648="",BO648=0),"",ROUND((VLOOKUP(ROUNDDOWN($D648-1/frec,0),cob_adi,BB$40,FALSE)*(1+i/frec)^-0.5*(1+Parámetros!$D$103)*(1+rec_fracc)/frec),6))</f>
        <v/>
      </c>
      <c r="BR648" s="66" t="str">
        <f t="shared" si="879"/>
        <v/>
      </c>
      <c r="BS648" s="119" t="str">
        <f t="shared" si="880"/>
        <v/>
      </c>
      <c r="BT648" s="66" t="str">
        <f>+IF($W648="","",ROUND(IF($B648&gt;Parámetros!$D$107,'Tablas Servicio'!BR648+('Tablas Servicio'!BT647-'Tablas Servicio'!BR647),BR648/(1-IF(B648&lt;=10,Parámetros!$D$100,0))),2))</f>
        <v/>
      </c>
      <c r="BU648" s="66" t="str">
        <f t="shared" si="881"/>
        <v/>
      </c>
      <c r="BV648" s="66" t="str">
        <f t="shared" si="881"/>
        <v/>
      </c>
      <c r="BW648" s="66" t="str">
        <f>+IF($W648="","",ROUND((BT648*Parámetros!$G$85),2))</f>
        <v/>
      </c>
      <c r="BX648" s="66" t="str">
        <f>+IF($W648="","",ROUND((BT648*(Parámetros!$G$86)),2))</f>
        <v/>
      </c>
      <c r="BY648" s="66" t="str">
        <f t="shared" si="882"/>
        <v/>
      </c>
      <c r="BZ648" t="str">
        <f t="shared" si="923"/>
        <v/>
      </c>
      <c r="CA648" t="str">
        <f t="shared" si="924"/>
        <v/>
      </c>
      <c r="CB648" s="118" t="str">
        <f t="shared" si="925"/>
        <v/>
      </c>
      <c r="CC648" s="118" t="str">
        <f t="shared" si="926"/>
        <v/>
      </c>
      <c r="CD648" s="119" t="str">
        <f t="shared" si="883"/>
        <v/>
      </c>
      <c r="CE648" s="66" t="str">
        <f>+IF($W648="","",ROUND((VLOOKUP(ROUNDDOWN($D648-1/frec,0),cob_adi,BO$40,FALSE)*(1+i/frec)^-0.5*(1+Parámetros!$D$103)*(1+rec_fracc)/frec*'TABLAS ADI'!$BC$17),2))</f>
        <v/>
      </c>
      <c r="CF648" s="119" t="str">
        <f t="shared" si="884"/>
        <v/>
      </c>
      <c r="CG648" s="66" t="str">
        <f>+IF($W648="","",ROUND(IF($B648&gt;Parámetros!$D$107,'Tablas Servicio'!CE648+('Tablas Servicio'!CG647-'Tablas Servicio'!CE647),CE648/(1-IF(B648&lt;=10,Parámetros!$D$100,0))),2))</f>
        <v/>
      </c>
      <c r="CH648" s="66" t="str">
        <f t="shared" si="885"/>
        <v/>
      </c>
      <c r="CI648" s="66" t="str">
        <f t="shared" si="885"/>
        <v/>
      </c>
      <c r="CJ648" s="66" t="str">
        <f>+IF($W648="","",ROUND((CG648*Parámetros!$G$85),2))</f>
        <v/>
      </c>
      <c r="CK648" s="66" t="str">
        <f>+IF($W648="","",ROUND((CG648*(Parámetros!$G$86)),2))</f>
        <v/>
      </c>
      <c r="CL648" s="66" t="str">
        <f t="shared" si="886"/>
        <v/>
      </c>
      <c r="CM648" t="str">
        <f t="shared" si="927"/>
        <v/>
      </c>
      <c r="CN648" s="118" t="str">
        <f t="shared" si="928"/>
        <v/>
      </c>
      <c r="CO648" s="118" t="str">
        <f t="shared" si="929"/>
        <v/>
      </c>
      <c r="CP648" s="118" t="str">
        <f t="shared" si="930"/>
        <v/>
      </c>
      <c r="CQ648" s="119" t="str">
        <f t="shared" si="887"/>
        <v/>
      </c>
      <c r="CR648" s="66" t="str">
        <f>+IF($W648="","",ROUND((VLOOKUP(Parámetros!$F$51,'COBERTURAS ADICIONALES'!$S$4:$T$32,2,FALSE)*(1+i/frec)^-0.5*(1+Parámetros!$D$103)*(1+rec_fracc)/frec*$CO$42),2))</f>
        <v/>
      </c>
      <c r="CS648" s="119" t="str">
        <f t="shared" si="888"/>
        <v/>
      </c>
      <c r="CT648" s="66" t="str">
        <f>+IF($W648="","",ROUND(IF($B648&gt;Parámetros!$D$107,'Tablas Servicio'!CR648+('Tablas Servicio'!CT647-'Tablas Servicio'!CR647),CR648/(1-IF(B648&lt;=10,Parámetros!$D$100,0))),2))</f>
        <v/>
      </c>
      <c r="CU648" s="66" t="str">
        <f t="shared" si="889"/>
        <v/>
      </c>
      <c r="CV648" s="66" t="str">
        <f t="shared" si="889"/>
        <v/>
      </c>
      <c r="CW648" s="66" t="str">
        <f>+IF($W648="","",ROUND((CT648*Parámetros!$G$85),2))</f>
        <v/>
      </c>
      <c r="CX648" s="66" t="str">
        <f>+IF($W648="","",ROUND((CT648*(Parámetros!$G$86)),2))</f>
        <v/>
      </c>
      <c r="CY648" s="66" t="str">
        <f t="shared" si="890"/>
        <v/>
      </c>
      <c r="CZ648" t="str">
        <f t="shared" si="931"/>
        <v/>
      </c>
      <c r="DA648" s="118" t="str">
        <f t="shared" si="932"/>
        <v/>
      </c>
      <c r="DB648" s="118" t="str">
        <f t="shared" si="933"/>
        <v/>
      </c>
      <c r="DC648" s="118" t="str">
        <f t="shared" si="934"/>
        <v/>
      </c>
      <c r="DD648" s="121" t="str">
        <f>+IF(OR($W648="",DB648=0),"",ROUND((VLOOKUP(ROUNDDOWN($D648-1/frec,0),cob_adi,CO$40,FALSE)*(1+i/frec)^-0.5*(1+Parámetros!$D$103)*(1+rec_fracc)/frec),6))</f>
        <v/>
      </c>
      <c r="DE648" s="66" t="str">
        <f t="shared" si="891"/>
        <v/>
      </c>
      <c r="DF648" s="119" t="str">
        <f t="shared" si="892"/>
        <v/>
      </c>
      <c r="DG648" s="66" t="str">
        <f>+IF($W648="","",ROUND(IF($B648&gt;Parámetros!$D$107,'Tablas Servicio'!DE648+('Tablas Servicio'!DG647-'Tablas Servicio'!DE647),DE648/(1-IF(B648&lt;=10,Parámetros!$D$100,0))),2))</f>
        <v/>
      </c>
      <c r="DH648" s="66" t="str">
        <f t="shared" si="893"/>
        <v/>
      </c>
      <c r="DI648" s="66" t="str">
        <f t="shared" si="893"/>
        <v/>
      </c>
      <c r="DJ648" s="66" t="str">
        <f>+IF($W648="","",ROUND((DG648*Parámetros!$G$85),2))</f>
        <v/>
      </c>
      <c r="DK648" s="66" t="str">
        <f>+IF($W648="","",ROUND((DG648*(Parámetros!$G$86)),2))</f>
        <v/>
      </c>
      <c r="DL648" s="66" t="str">
        <f t="shared" si="894"/>
        <v/>
      </c>
      <c r="DM648" t="str">
        <f t="shared" si="935"/>
        <v/>
      </c>
      <c r="DN648" s="118" t="str">
        <f t="shared" si="936"/>
        <v/>
      </c>
      <c r="DO648" s="118" t="str">
        <f t="shared" si="937"/>
        <v/>
      </c>
      <c r="DP648" s="118" t="str">
        <f t="shared" si="938"/>
        <v/>
      </c>
      <c r="DQ648" s="122" t="str">
        <f>+IF(OR($W648="",DO648=0),"",ROUND((VLOOKUP(ROUNDDOWN($D648-1/frec,0),cob_adi,DB$40,FALSE)*(1+i/frec)^-0.5*(1+Parámetros!$D$103)*(1+rec_fracc)/frec),6))</f>
        <v/>
      </c>
      <c r="DR648" s="66" t="str">
        <f t="shared" si="895"/>
        <v/>
      </c>
      <c r="DS648" s="68" t="str">
        <f t="shared" si="896"/>
        <v/>
      </c>
      <c r="DT648" s="66" t="str">
        <f>+IF($W648="","",ROUND(IF($B648&gt;Parámetros!$D$107,'Tablas Servicio'!DR648+('Tablas Servicio'!DT647-'Tablas Servicio'!DR647),DR648/(1-IF(B648&lt;=10,Parámetros!$D$100,0))),2))</f>
        <v/>
      </c>
      <c r="DU648" s="66" t="str">
        <f t="shared" si="897"/>
        <v/>
      </c>
      <c r="DV648" s="66" t="str">
        <f t="shared" si="897"/>
        <v/>
      </c>
      <c r="DW648" s="66" t="str">
        <f>+IF($W648="","",ROUND((DT648*Parámetros!$G$85),2))</f>
        <v/>
      </c>
      <c r="DX648" s="66" t="str">
        <f>+IF($W648="","",ROUND((DT648*(Parámetros!$G$86)),2))</f>
        <v/>
      </c>
      <c r="DY648" s="66" t="str">
        <f t="shared" si="898"/>
        <v/>
      </c>
      <c r="DZ648" t="str">
        <f t="shared" si="939"/>
        <v/>
      </c>
      <c r="EA648" s="118" t="str">
        <f t="shared" si="939"/>
        <v/>
      </c>
      <c r="EB648" s="118" t="str">
        <f>+IF($W648="","",ROUND(IF(Parámetros!$D$25='TABLAS MORT'!$V$33,EB647,Z648/2),0))</f>
        <v/>
      </c>
      <c r="EC648" s="118" t="str">
        <f t="shared" si="939"/>
        <v/>
      </c>
      <c r="ED648" s="122" t="str">
        <f>+IF(OR($W648="",EB648=0),"",ROUND((VLOOKUP(ROUNDDOWN($D648-1/frec,0),cob_adi,DO$40,FALSE)*(1+i/frec)^-0.5*(1+Parámetros!$D$103)*(1+rec_fracc)/frec),6))</f>
        <v/>
      </c>
      <c r="EE648" s="66" t="str">
        <f t="shared" si="900"/>
        <v/>
      </c>
      <c r="EF648" s="68" t="str">
        <f t="shared" si="901"/>
        <v/>
      </c>
      <c r="EG648" s="66" t="str">
        <f>+IF($W648="","",ROUND(IF($B648&gt;Parámetros!$D$107,'Tablas Servicio'!EE648+('Tablas Servicio'!EG647-'Tablas Servicio'!EE647),EE648/(1-IF(B648&lt;=10,Parámetros!$D$100,0))),2))</f>
        <v/>
      </c>
      <c r="EH648" s="66" t="str">
        <f t="shared" si="902"/>
        <v/>
      </c>
      <c r="EI648" s="66" t="str">
        <f t="shared" si="902"/>
        <v/>
      </c>
      <c r="EJ648" s="66" t="str">
        <f>+IF($W648="","",ROUND((EG648*Parámetros!$G$85),2))</f>
        <v/>
      </c>
      <c r="EK648" s="66" t="str">
        <f>+IF($W648="","",ROUND((EG648*(Parámetros!$G$86)),2))</f>
        <v/>
      </c>
      <c r="EL648" s="66" t="str">
        <f t="shared" si="903"/>
        <v/>
      </c>
    </row>
    <row r="649" spans="1:142" x14ac:dyDescent="0.25">
      <c r="A649" t="str">
        <f>+IF($C649="","",ROUND(VLOOKUP('Tablas Servicio'!B649,Parámetros!$H$100:$J$159,IF(Parámetros!$E$16="F",2,3),FALSE),2))</f>
        <v/>
      </c>
      <c r="B649" t="str">
        <f t="shared" si="854"/>
        <v/>
      </c>
      <c r="C649" s="57" t="str">
        <f>+IF(D649="","",'Tablas Servicio'!C648+1)</f>
        <v/>
      </c>
      <c r="D649" s="56" t="str">
        <f>+IF(D648&lt;edadmaxtabla,D648+1/Parámetros!$E$25,"")</f>
        <v/>
      </c>
      <c r="E649" s="57" t="str">
        <f t="shared" si="864"/>
        <v/>
      </c>
      <c r="F649" s="59" t="str">
        <f t="shared" si="865"/>
        <v/>
      </c>
      <c r="G649" s="66" t="str">
        <f t="shared" si="855"/>
        <v/>
      </c>
      <c r="H649" s="66" t="str">
        <f t="shared" si="856"/>
        <v/>
      </c>
      <c r="I649" s="66" t="str">
        <f t="shared" si="904"/>
        <v/>
      </c>
      <c r="J649" s="66" t="str">
        <f t="shared" si="857"/>
        <v/>
      </c>
      <c r="K649" s="66" t="str">
        <f t="shared" si="858"/>
        <v/>
      </c>
      <c r="L649" s="66" t="str">
        <f t="shared" si="859"/>
        <v/>
      </c>
      <c r="M649" s="66" t="str">
        <f t="shared" si="860"/>
        <v/>
      </c>
      <c r="N649" s="66" t="str">
        <f>+IF(C649="","",ROUND(Parámetros!$D$23,2))</f>
        <v/>
      </c>
      <c r="O649" s="66" t="str">
        <f t="shared" si="861"/>
        <v/>
      </c>
      <c r="P649" s="66" t="str">
        <f>+IF($C649="","",ROUND(IF(B649&gt;Parámetros!$D$117,0,N649*Parámetros!$D$116-G649*Parámetros!$D$100),2))</f>
        <v/>
      </c>
      <c r="Q649" s="75" t="str">
        <f t="shared" si="905"/>
        <v/>
      </c>
      <c r="R649" s="75" t="str">
        <f t="shared" si="906"/>
        <v/>
      </c>
      <c r="S649" s="117" t="str">
        <f>+IF($C649="","",ROUND((S648+I649)*(1+Parámetros!$D$91),2))</f>
        <v/>
      </c>
      <c r="T649" s="117" t="str">
        <f>+IF($C649="","",ROUND(S649*VLOOKUP(B649,Parámetros!$C$30:$D$39,2,TRUE),2))</f>
        <v/>
      </c>
      <c r="U649" s="117" t="str">
        <f>+IF($C649="","",ROUND((U648+I649)*(1+Parámetros!$D$92),2))</f>
        <v/>
      </c>
      <c r="V649" s="117" t="str">
        <f>+IF($C649="","",ROUND(U649*VLOOKUP(B649,Parámetros!$C$30:$D$39,2,TRUE),2))</f>
        <v/>
      </c>
      <c r="W649" s="57" t="str">
        <f t="shared" si="907"/>
        <v/>
      </c>
      <c r="X649" t="str">
        <f t="shared" si="908"/>
        <v/>
      </c>
      <c r="Y649" t="str">
        <f t="shared" si="909"/>
        <v/>
      </c>
      <c r="Z649" s="118" t="str">
        <f>+IF($W649="","",ROUND(IF(Parámetros!$D$25='TABLAS MORT'!$V$33,Z648,Parámetros!$D$21-'Tablas Servicio'!T648),0))</f>
        <v/>
      </c>
      <c r="AA649" s="118" t="str">
        <f t="shared" si="910"/>
        <v/>
      </c>
      <c r="AB649" s="119" t="str">
        <f>+IF(W649="","",ROUND((VLOOKUP(ROUNDDOWN($D649-1/frec,0),qx_tabla,2,FALSE)*(1+i/frec)^-0.5*(1+Parámetros!$D$103)*(1+rec_fracc)/frec),6))</f>
        <v/>
      </c>
      <c r="AC649" s="66" t="str">
        <f t="shared" si="866"/>
        <v/>
      </c>
      <c r="AD649" s="119" t="str">
        <f t="shared" si="862"/>
        <v/>
      </c>
      <c r="AE649" s="66" t="str">
        <f>+IF($W649="","",ROUND(IF($B649&gt;Parámetros!$D$107,'Tablas Servicio'!AC649+('Tablas Servicio'!AG648-'Tablas Servicio'!AC648),AC649/(1-IF(B649&lt;=10,Parámetros!$D$104,Parámetros!$D$105))),2))</f>
        <v/>
      </c>
      <c r="AF649" s="66" t="str">
        <f>+IF($W649="","",ROUND(IF($B649&gt;Parámetros!$D$107,'Tablas Servicio'!AC649+('Tablas Servicio'!AG648-'Tablas Servicio'!AC648),(AC649+$A648/frec)/(1-IF(B649&lt;=Parámetros!$D$117,Parámetros!$D$100,0))),2))</f>
        <v/>
      </c>
      <c r="AG649" s="66" t="str">
        <f t="shared" si="867"/>
        <v/>
      </c>
      <c r="AH649" s="66" t="str">
        <f t="shared" si="868"/>
        <v/>
      </c>
      <c r="AI649" s="66" t="str">
        <f t="shared" si="869"/>
        <v/>
      </c>
      <c r="AJ649" s="66" t="str">
        <f>+IF($W649="","",ROUND((AG649*Parámetros!$G$85),2))</f>
        <v/>
      </c>
      <c r="AK649" s="66" t="str">
        <f>+IF($W649="","",ROUND((AG649*(Parámetros!$G$86)),2))</f>
        <v/>
      </c>
      <c r="AL649" s="66" t="str">
        <f t="shared" si="863"/>
        <v/>
      </c>
      <c r="AM649" t="str">
        <f t="shared" si="911"/>
        <v/>
      </c>
      <c r="AN649" t="str">
        <f t="shared" si="912"/>
        <v/>
      </c>
      <c r="AO649" s="118" t="str">
        <f t="shared" si="913"/>
        <v/>
      </c>
      <c r="AP649" s="118" t="str">
        <f t="shared" si="914"/>
        <v/>
      </c>
      <c r="AQ649" s="119" t="str">
        <f>+IF(OR($W649="",AO649=0),"",ROUND((VLOOKUP(ROUNDDOWN($D649-1/frec,0),cob_adi,Z$40,FALSE)*(1+i/frec)^-0.5*(1+Parámetros!$D$103)*(1+rec_fracc)/frec),6))</f>
        <v/>
      </c>
      <c r="AR649" s="66" t="str">
        <f t="shared" si="870"/>
        <v/>
      </c>
      <c r="AS649" s="119" t="str">
        <f t="shared" si="871"/>
        <v/>
      </c>
      <c r="AT649" s="66" t="str">
        <f>+IF($W649="","",ROUND(IF($B649&gt;Parámetros!$D$107,'Tablas Servicio'!AR649+('Tablas Servicio'!AT648-'Tablas Servicio'!AR648),AR649/(1-IF(B649&lt;=10,Parámetros!$D$100,0))),2))</f>
        <v/>
      </c>
      <c r="AU649" s="66" t="str">
        <f t="shared" si="872"/>
        <v/>
      </c>
      <c r="AV649" s="66" t="str">
        <f t="shared" si="872"/>
        <v/>
      </c>
      <c r="AW649" s="66" t="str">
        <f>+IF($W649="","",ROUND((AT649*Parámetros!$G$85),2))</f>
        <v/>
      </c>
      <c r="AX649" s="66" t="str">
        <f>+IF($W649="","",ROUND((AT649*(Parámetros!$G$86)),2))</f>
        <v/>
      </c>
      <c r="AY649" s="66" t="str">
        <f t="shared" si="873"/>
        <v/>
      </c>
      <c r="AZ649" t="str">
        <f t="shared" si="915"/>
        <v/>
      </c>
      <c r="BA649" t="str">
        <f t="shared" si="916"/>
        <v/>
      </c>
      <c r="BB649" s="118" t="str">
        <f t="shared" si="917"/>
        <v/>
      </c>
      <c r="BC649" s="118" t="str">
        <f t="shared" si="918"/>
        <v/>
      </c>
      <c r="BD649" s="119" t="str">
        <f>+IF(OR($W649="",BB649=0),"",ROUND((VLOOKUP(ROUNDDOWN($D649-1/frec,0),cob_adi,AO$40,FALSE)*(1+i/frec)^-0.5*(1+Parámetros!$D$103)*(1+rec_fracc)/frec),6))</f>
        <v/>
      </c>
      <c r="BE649" s="66" t="str">
        <f t="shared" si="874"/>
        <v/>
      </c>
      <c r="BF649" s="119" t="str">
        <f t="shared" si="875"/>
        <v/>
      </c>
      <c r="BG649" s="66" t="str">
        <f>+IF($W649="","",ROUND(IF($B649&gt;Parámetros!$D$107,'Tablas Servicio'!BE649+('Tablas Servicio'!BG648-'Tablas Servicio'!BE648),BE649/(1-IF(B649&lt;=10,Parámetros!$D$100,0))),2))</f>
        <v/>
      </c>
      <c r="BH649" s="66" t="str">
        <f t="shared" si="876"/>
        <v/>
      </c>
      <c r="BI649" s="66" t="str">
        <f t="shared" si="877"/>
        <v/>
      </c>
      <c r="BJ649" s="66" t="str">
        <f>+IF($W649="","",ROUND((BG649*Parámetros!$G$85),2))</f>
        <v/>
      </c>
      <c r="BK649" s="66" t="str">
        <f>+IF($W649="","",ROUND((BG649*(Parámetros!$G$86)),2))</f>
        <v/>
      </c>
      <c r="BL649" s="66" t="str">
        <f t="shared" si="878"/>
        <v/>
      </c>
      <c r="BM649" t="str">
        <f t="shared" si="919"/>
        <v/>
      </c>
      <c r="BN649" t="str">
        <f t="shared" si="920"/>
        <v/>
      </c>
      <c r="BO649" s="118" t="str">
        <f t="shared" si="921"/>
        <v/>
      </c>
      <c r="BP649" s="118" t="str">
        <f t="shared" si="922"/>
        <v/>
      </c>
      <c r="BQ649" s="119" t="str">
        <f>+IF(OR($W649="",BO649=0),"",ROUND((VLOOKUP(ROUNDDOWN($D649-1/frec,0),cob_adi,BB$40,FALSE)*(1+i/frec)^-0.5*(1+Parámetros!$D$103)*(1+rec_fracc)/frec),6))</f>
        <v/>
      </c>
      <c r="BR649" s="66" t="str">
        <f t="shared" si="879"/>
        <v/>
      </c>
      <c r="BS649" s="119" t="str">
        <f t="shared" si="880"/>
        <v/>
      </c>
      <c r="BT649" s="66" t="str">
        <f>+IF($W649="","",ROUND(IF($B649&gt;Parámetros!$D$107,'Tablas Servicio'!BR649+('Tablas Servicio'!BT648-'Tablas Servicio'!BR648),BR649/(1-IF(B649&lt;=10,Parámetros!$D$100,0))),2))</f>
        <v/>
      </c>
      <c r="BU649" s="66" t="str">
        <f t="shared" si="881"/>
        <v/>
      </c>
      <c r="BV649" s="66" t="str">
        <f t="shared" si="881"/>
        <v/>
      </c>
      <c r="BW649" s="66" t="str">
        <f>+IF($W649="","",ROUND((BT649*Parámetros!$G$85),2))</f>
        <v/>
      </c>
      <c r="BX649" s="66" t="str">
        <f>+IF($W649="","",ROUND((BT649*(Parámetros!$G$86)),2))</f>
        <v/>
      </c>
      <c r="BY649" s="66" t="str">
        <f t="shared" si="882"/>
        <v/>
      </c>
      <c r="BZ649" t="str">
        <f t="shared" si="923"/>
        <v/>
      </c>
      <c r="CA649" t="str">
        <f t="shared" si="924"/>
        <v/>
      </c>
      <c r="CB649" s="118" t="str">
        <f t="shared" si="925"/>
        <v/>
      </c>
      <c r="CC649" s="118" t="str">
        <f t="shared" si="926"/>
        <v/>
      </c>
      <c r="CD649" s="119" t="str">
        <f t="shared" si="883"/>
        <v/>
      </c>
      <c r="CE649" s="66" t="str">
        <f>+IF($W649="","",ROUND((VLOOKUP(ROUNDDOWN($D649-1/frec,0),cob_adi,BO$40,FALSE)*(1+i/frec)^-0.5*(1+Parámetros!$D$103)*(1+rec_fracc)/frec*'TABLAS ADI'!$BC$17),2))</f>
        <v/>
      </c>
      <c r="CF649" s="119" t="str">
        <f t="shared" si="884"/>
        <v/>
      </c>
      <c r="CG649" s="66" t="str">
        <f>+IF($W649="","",ROUND(IF($B649&gt;Parámetros!$D$107,'Tablas Servicio'!CE649+('Tablas Servicio'!CG648-'Tablas Servicio'!CE648),CE649/(1-IF(B649&lt;=10,Parámetros!$D$100,0))),2))</f>
        <v/>
      </c>
      <c r="CH649" s="66" t="str">
        <f t="shared" si="885"/>
        <v/>
      </c>
      <c r="CI649" s="66" t="str">
        <f t="shared" si="885"/>
        <v/>
      </c>
      <c r="CJ649" s="66" t="str">
        <f>+IF($W649="","",ROUND((CG649*Parámetros!$G$85),2))</f>
        <v/>
      </c>
      <c r="CK649" s="66" t="str">
        <f>+IF($W649="","",ROUND((CG649*(Parámetros!$G$86)),2))</f>
        <v/>
      </c>
      <c r="CL649" s="66" t="str">
        <f t="shared" si="886"/>
        <v/>
      </c>
      <c r="CM649" t="str">
        <f t="shared" si="927"/>
        <v/>
      </c>
      <c r="CN649" s="118" t="str">
        <f t="shared" si="928"/>
        <v/>
      </c>
      <c r="CO649" s="118" t="str">
        <f t="shared" si="929"/>
        <v/>
      </c>
      <c r="CP649" s="118" t="str">
        <f t="shared" si="930"/>
        <v/>
      </c>
      <c r="CQ649" s="119" t="str">
        <f t="shared" si="887"/>
        <v/>
      </c>
      <c r="CR649" s="66" t="str">
        <f>+IF($W649="","",ROUND((VLOOKUP(Parámetros!$F$51,'COBERTURAS ADICIONALES'!$S$4:$T$32,2,FALSE)*(1+i/frec)^-0.5*(1+Parámetros!$D$103)*(1+rec_fracc)/frec*$CO$42),2))</f>
        <v/>
      </c>
      <c r="CS649" s="119" t="str">
        <f t="shared" si="888"/>
        <v/>
      </c>
      <c r="CT649" s="66" t="str">
        <f>+IF($W649="","",ROUND(IF($B649&gt;Parámetros!$D$107,'Tablas Servicio'!CR649+('Tablas Servicio'!CT648-'Tablas Servicio'!CR648),CR649/(1-IF(B649&lt;=10,Parámetros!$D$100,0))),2))</f>
        <v/>
      </c>
      <c r="CU649" s="66" t="str">
        <f t="shared" si="889"/>
        <v/>
      </c>
      <c r="CV649" s="66" t="str">
        <f t="shared" si="889"/>
        <v/>
      </c>
      <c r="CW649" s="66" t="str">
        <f>+IF($W649="","",ROUND((CT649*Parámetros!$G$85),2))</f>
        <v/>
      </c>
      <c r="CX649" s="66" t="str">
        <f>+IF($W649="","",ROUND((CT649*(Parámetros!$G$86)),2))</f>
        <v/>
      </c>
      <c r="CY649" s="66" t="str">
        <f t="shared" si="890"/>
        <v/>
      </c>
      <c r="CZ649" t="str">
        <f t="shared" si="931"/>
        <v/>
      </c>
      <c r="DA649" s="118" t="str">
        <f t="shared" si="932"/>
        <v/>
      </c>
      <c r="DB649" s="118" t="str">
        <f t="shared" si="933"/>
        <v/>
      </c>
      <c r="DC649" s="118" t="str">
        <f t="shared" si="934"/>
        <v/>
      </c>
      <c r="DD649" s="121" t="str">
        <f>+IF(OR($W649="",DB649=0),"",ROUND((VLOOKUP(ROUNDDOWN($D649-1/frec,0),cob_adi,CO$40,FALSE)*(1+i/frec)^-0.5*(1+Parámetros!$D$103)*(1+rec_fracc)/frec),6))</f>
        <v/>
      </c>
      <c r="DE649" s="66" t="str">
        <f t="shared" si="891"/>
        <v/>
      </c>
      <c r="DF649" s="119" t="str">
        <f t="shared" si="892"/>
        <v/>
      </c>
      <c r="DG649" s="66" t="str">
        <f>+IF($W649="","",ROUND(IF($B649&gt;Parámetros!$D$107,'Tablas Servicio'!DE649+('Tablas Servicio'!DG648-'Tablas Servicio'!DE648),DE649/(1-IF(B649&lt;=10,Parámetros!$D$100,0))),2))</f>
        <v/>
      </c>
      <c r="DH649" s="66" t="str">
        <f t="shared" si="893"/>
        <v/>
      </c>
      <c r="DI649" s="66" t="str">
        <f t="shared" si="893"/>
        <v/>
      </c>
      <c r="DJ649" s="66" t="str">
        <f>+IF($W649="","",ROUND((DG649*Parámetros!$G$85),2))</f>
        <v/>
      </c>
      <c r="DK649" s="66" t="str">
        <f>+IF($W649="","",ROUND((DG649*(Parámetros!$G$86)),2))</f>
        <v/>
      </c>
      <c r="DL649" s="66" t="str">
        <f t="shared" si="894"/>
        <v/>
      </c>
      <c r="DM649" t="str">
        <f t="shared" si="935"/>
        <v/>
      </c>
      <c r="DN649" s="118" t="str">
        <f t="shared" si="936"/>
        <v/>
      </c>
      <c r="DO649" s="118" t="str">
        <f t="shared" si="937"/>
        <v/>
      </c>
      <c r="DP649" s="118" t="str">
        <f t="shared" si="938"/>
        <v/>
      </c>
      <c r="DQ649" s="122" t="str">
        <f>+IF(OR($W649="",DO649=0),"",ROUND((VLOOKUP(ROUNDDOWN($D649-1/frec,0),cob_adi,DB$40,FALSE)*(1+i/frec)^-0.5*(1+Parámetros!$D$103)*(1+rec_fracc)/frec),6))</f>
        <v/>
      </c>
      <c r="DR649" s="66" t="str">
        <f t="shared" si="895"/>
        <v/>
      </c>
      <c r="DS649" s="68" t="str">
        <f t="shared" si="896"/>
        <v/>
      </c>
      <c r="DT649" s="66" t="str">
        <f>+IF($W649="","",ROUND(IF($B649&gt;Parámetros!$D$107,'Tablas Servicio'!DR649+('Tablas Servicio'!DT648-'Tablas Servicio'!DR648),DR649/(1-IF(B649&lt;=10,Parámetros!$D$100,0))),2))</f>
        <v/>
      </c>
      <c r="DU649" s="66" t="str">
        <f t="shared" si="897"/>
        <v/>
      </c>
      <c r="DV649" s="66" t="str">
        <f t="shared" si="897"/>
        <v/>
      </c>
      <c r="DW649" s="66" t="str">
        <f>+IF($W649="","",ROUND((DT649*Parámetros!$G$85),2))</f>
        <v/>
      </c>
      <c r="DX649" s="66" t="str">
        <f>+IF($W649="","",ROUND((DT649*(Parámetros!$G$86)),2))</f>
        <v/>
      </c>
      <c r="DY649" s="66" t="str">
        <f t="shared" si="898"/>
        <v/>
      </c>
      <c r="DZ649" t="str">
        <f t="shared" si="939"/>
        <v/>
      </c>
      <c r="EA649" s="118" t="str">
        <f t="shared" si="939"/>
        <v/>
      </c>
      <c r="EB649" s="118" t="str">
        <f>+IF($W649="","",ROUND(IF(Parámetros!$D$25='TABLAS MORT'!$V$33,EB648,Z649/2),0))</f>
        <v/>
      </c>
      <c r="EC649" s="118" t="str">
        <f t="shared" si="939"/>
        <v/>
      </c>
      <c r="ED649" s="122" t="str">
        <f>+IF(OR($W649="",EB649=0),"",ROUND((VLOOKUP(ROUNDDOWN($D649-1/frec,0),cob_adi,DO$40,FALSE)*(1+i/frec)^-0.5*(1+Parámetros!$D$103)*(1+rec_fracc)/frec),6))</f>
        <v/>
      </c>
      <c r="EE649" s="66" t="str">
        <f t="shared" si="900"/>
        <v/>
      </c>
      <c r="EF649" s="68" t="str">
        <f t="shared" si="901"/>
        <v/>
      </c>
      <c r="EG649" s="66" t="str">
        <f>+IF($W649="","",ROUND(IF($B649&gt;Parámetros!$D$107,'Tablas Servicio'!EE649+('Tablas Servicio'!EG648-'Tablas Servicio'!EE648),EE649/(1-IF(B649&lt;=10,Parámetros!$D$100,0))),2))</f>
        <v/>
      </c>
      <c r="EH649" s="66" t="str">
        <f t="shared" si="902"/>
        <v/>
      </c>
      <c r="EI649" s="66" t="str">
        <f t="shared" si="902"/>
        <v/>
      </c>
      <c r="EJ649" s="66" t="str">
        <f>+IF($W649="","",ROUND((EG649*Parámetros!$G$85),2))</f>
        <v/>
      </c>
      <c r="EK649" s="66" t="str">
        <f>+IF($W649="","",ROUND((EG649*(Parámetros!$G$86)),2))</f>
        <v/>
      </c>
      <c r="EL649" s="66" t="str">
        <f t="shared" si="903"/>
        <v/>
      </c>
    </row>
    <row r="650" spans="1:142" x14ac:dyDescent="0.25">
      <c r="A650" t="str">
        <f>+IF($C650="","",ROUND(VLOOKUP('Tablas Servicio'!B650,Parámetros!$H$100:$J$159,IF(Parámetros!$E$16="F",2,3),FALSE),2))</f>
        <v/>
      </c>
      <c r="B650" t="str">
        <f t="shared" si="854"/>
        <v/>
      </c>
      <c r="C650" s="57" t="str">
        <f>+IF(D650="","",'Tablas Servicio'!C649+1)</f>
        <v/>
      </c>
      <c r="D650" s="56" t="str">
        <f>+IF(D649&lt;edadmaxtabla,D649+1/Parámetros!$E$25,"")</f>
        <v/>
      </c>
      <c r="E650" s="57" t="str">
        <f t="shared" si="864"/>
        <v/>
      </c>
      <c r="F650" s="59" t="str">
        <f t="shared" si="865"/>
        <v/>
      </c>
      <c r="G650" s="66" t="str">
        <f t="shared" si="855"/>
        <v/>
      </c>
      <c r="H650" s="66" t="str">
        <f t="shared" si="856"/>
        <v/>
      </c>
      <c r="I650" s="66" t="str">
        <f t="shared" si="904"/>
        <v/>
      </c>
      <c r="J650" s="66" t="str">
        <f t="shared" si="857"/>
        <v/>
      </c>
      <c r="K650" s="66" t="str">
        <f t="shared" si="858"/>
        <v/>
      </c>
      <c r="L650" s="66" t="str">
        <f t="shared" si="859"/>
        <v/>
      </c>
      <c r="M650" s="66" t="str">
        <f t="shared" si="860"/>
        <v/>
      </c>
      <c r="N650" s="66" t="str">
        <f>+IF(C650="","",ROUND(Parámetros!$D$23,2))</f>
        <v/>
      </c>
      <c r="O650" s="66" t="str">
        <f t="shared" si="861"/>
        <v/>
      </c>
      <c r="P650" s="66" t="str">
        <f>+IF($C650="","",ROUND(IF(B650&gt;Parámetros!$D$117,0,N650*Parámetros!$D$116-G650*Parámetros!$D$100),2))</f>
        <v/>
      </c>
      <c r="Q650" s="75" t="str">
        <f t="shared" si="905"/>
        <v/>
      </c>
      <c r="R650" s="75" t="str">
        <f t="shared" si="906"/>
        <v/>
      </c>
      <c r="S650" s="117" t="str">
        <f>+IF($C650="","",ROUND((S649+I650)*(1+Parámetros!$D$91),2))</f>
        <v/>
      </c>
      <c r="T650" s="117" t="str">
        <f>+IF($C650="","",ROUND(S650*VLOOKUP(B650,Parámetros!$C$30:$D$39,2,TRUE),2))</f>
        <v/>
      </c>
      <c r="U650" s="117" t="str">
        <f>+IF($C650="","",ROUND((U649+I650)*(1+Parámetros!$D$92),2))</f>
        <v/>
      </c>
      <c r="V650" s="117" t="str">
        <f>+IF($C650="","",ROUND(U650*VLOOKUP(B650,Parámetros!$C$30:$D$39,2,TRUE),2))</f>
        <v/>
      </c>
      <c r="W650" s="57" t="str">
        <f t="shared" si="907"/>
        <v/>
      </c>
      <c r="X650" t="str">
        <f t="shared" si="908"/>
        <v/>
      </c>
      <c r="Y650" t="str">
        <f t="shared" si="909"/>
        <v/>
      </c>
      <c r="Z650" s="118" t="str">
        <f>+IF($W650="","",ROUND(IF(Parámetros!$D$25='TABLAS MORT'!$V$33,Z649,Parámetros!$D$21-'Tablas Servicio'!T649),0))</f>
        <v/>
      </c>
      <c r="AA650" s="118" t="str">
        <f t="shared" si="910"/>
        <v/>
      </c>
      <c r="AB650" s="119" t="str">
        <f>+IF(W650="","",ROUND((VLOOKUP(ROUNDDOWN($D650-1/frec,0),qx_tabla,2,FALSE)*(1+i/frec)^-0.5*(1+Parámetros!$D$103)*(1+rec_fracc)/frec),6))</f>
        <v/>
      </c>
      <c r="AC650" s="66" t="str">
        <f t="shared" si="866"/>
        <v/>
      </c>
      <c r="AD650" s="119" t="str">
        <f t="shared" si="862"/>
        <v/>
      </c>
      <c r="AE650" s="66" t="str">
        <f>+IF($W650="","",ROUND(IF($B650&gt;Parámetros!$D$107,'Tablas Servicio'!AC650+('Tablas Servicio'!AG649-'Tablas Servicio'!AC649),AC650/(1-IF(B650&lt;=10,Parámetros!$D$104,Parámetros!$D$105))),2))</f>
        <v/>
      </c>
      <c r="AF650" s="66" t="str">
        <f>+IF($W650="","",ROUND(IF($B650&gt;Parámetros!$D$107,'Tablas Servicio'!AC650+('Tablas Servicio'!AG649-'Tablas Servicio'!AC649),(AC650+$A649/frec)/(1-IF(B650&lt;=Parámetros!$D$117,Parámetros!$D$100,0))),2))</f>
        <v/>
      </c>
      <c r="AG650" s="66" t="str">
        <f t="shared" si="867"/>
        <v/>
      </c>
      <c r="AH650" s="66" t="str">
        <f t="shared" si="868"/>
        <v/>
      </c>
      <c r="AI650" s="66" t="str">
        <f t="shared" si="869"/>
        <v/>
      </c>
      <c r="AJ650" s="66" t="str">
        <f>+IF($W650="","",ROUND((AG650*Parámetros!$G$85),2))</f>
        <v/>
      </c>
      <c r="AK650" s="66" t="str">
        <f>+IF($W650="","",ROUND((AG650*(Parámetros!$G$86)),2))</f>
        <v/>
      </c>
      <c r="AL650" s="66" t="str">
        <f t="shared" si="863"/>
        <v/>
      </c>
      <c r="AM650" t="str">
        <f t="shared" si="911"/>
        <v/>
      </c>
      <c r="AN650" t="str">
        <f t="shared" si="912"/>
        <v/>
      </c>
      <c r="AO650" s="118" t="str">
        <f t="shared" si="913"/>
        <v/>
      </c>
      <c r="AP650" s="118" t="str">
        <f t="shared" si="914"/>
        <v/>
      </c>
      <c r="AQ650" s="119" t="str">
        <f>+IF(OR($W650="",AO650=0),"",ROUND((VLOOKUP(ROUNDDOWN($D650-1/frec,0),cob_adi,Z$40,FALSE)*(1+i/frec)^-0.5*(1+Parámetros!$D$103)*(1+rec_fracc)/frec),6))</f>
        <v/>
      </c>
      <c r="AR650" s="66" t="str">
        <f t="shared" si="870"/>
        <v/>
      </c>
      <c r="AS650" s="119" t="str">
        <f t="shared" si="871"/>
        <v/>
      </c>
      <c r="AT650" s="66" t="str">
        <f>+IF($W650="","",ROUND(IF($B650&gt;Parámetros!$D$107,'Tablas Servicio'!AR650+('Tablas Servicio'!AT649-'Tablas Servicio'!AR649),AR650/(1-IF(B650&lt;=10,Parámetros!$D$100,0))),2))</f>
        <v/>
      </c>
      <c r="AU650" s="66" t="str">
        <f t="shared" si="872"/>
        <v/>
      </c>
      <c r="AV650" s="66" t="str">
        <f t="shared" si="872"/>
        <v/>
      </c>
      <c r="AW650" s="66" t="str">
        <f>+IF($W650="","",ROUND((AT650*Parámetros!$G$85),2))</f>
        <v/>
      </c>
      <c r="AX650" s="66" t="str">
        <f>+IF($W650="","",ROUND((AT650*(Parámetros!$G$86)),2))</f>
        <v/>
      </c>
      <c r="AY650" s="66" t="str">
        <f t="shared" si="873"/>
        <v/>
      </c>
      <c r="AZ650" t="str">
        <f t="shared" si="915"/>
        <v/>
      </c>
      <c r="BA650" t="str">
        <f t="shared" si="916"/>
        <v/>
      </c>
      <c r="BB650" s="118" t="str">
        <f t="shared" si="917"/>
        <v/>
      </c>
      <c r="BC650" s="118" t="str">
        <f t="shared" si="918"/>
        <v/>
      </c>
      <c r="BD650" s="119" t="str">
        <f>+IF(OR($W650="",BB650=0),"",ROUND((VLOOKUP(ROUNDDOWN($D650-1/frec,0),cob_adi,AO$40,FALSE)*(1+i/frec)^-0.5*(1+Parámetros!$D$103)*(1+rec_fracc)/frec),6))</f>
        <v/>
      </c>
      <c r="BE650" s="66" t="str">
        <f t="shared" si="874"/>
        <v/>
      </c>
      <c r="BF650" s="119" t="str">
        <f t="shared" si="875"/>
        <v/>
      </c>
      <c r="BG650" s="66" t="str">
        <f>+IF($W650="","",ROUND(IF($B650&gt;Parámetros!$D$107,'Tablas Servicio'!BE650+('Tablas Servicio'!BG649-'Tablas Servicio'!BE649),BE650/(1-IF(B650&lt;=10,Parámetros!$D$100,0))),2))</f>
        <v/>
      </c>
      <c r="BH650" s="66" t="str">
        <f t="shared" si="876"/>
        <v/>
      </c>
      <c r="BI650" s="66" t="str">
        <f t="shared" si="877"/>
        <v/>
      </c>
      <c r="BJ650" s="66" t="str">
        <f>+IF($W650="","",ROUND((BG650*Parámetros!$G$85),2))</f>
        <v/>
      </c>
      <c r="BK650" s="66" t="str">
        <f>+IF($W650="","",ROUND((BG650*(Parámetros!$G$86)),2))</f>
        <v/>
      </c>
      <c r="BL650" s="66" t="str">
        <f t="shared" si="878"/>
        <v/>
      </c>
      <c r="BM650" t="str">
        <f t="shared" si="919"/>
        <v/>
      </c>
      <c r="BN650" t="str">
        <f t="shared" si="920"/>
        <v/>
      </c>
      <c r="BO650" s="118" t="str">
        <f t="shared" si="921"/>
        <v/>
      </c>
      <c r="BP650" s="118" t="str">
        <f t="shared" si="922"/>
        <v/>
      </c>
      <c r="BQ650" s="119" t="str">
        <f>+IF(OR($W650="",BO650=0),"",ROUND((VLOOKUP(ROUNDDOWN($D650-1/frec,0),cob_adi,BB$40,FALSE)*(1+i/frec)^-0.5*(1+Parámetros!$D$103)*(1+rec_fracc)/frec),6))</f>
        <v/>
      </c>
      <c r="BR650" s="66" t="str">
        <f t="shared" si="879"/>
        <v/>
      </c>
      <c r="BS650" s="119" t="str">
        <f t="shared" si="880"/>
        <v/>
      </c>
      <c r="BT650" s="66" t="str">
        <f>+IF($W650="","",ROUND(IF($B650&gt;Parámetros!$D$107,'Tablas Servicio'!BR650+('Tablas Servicio'!BT649-'Tablas Servicio'!BR649),BR650/(1-IF(B650&lt;=10,Parámetros!$D$100,0))),2))</f>
        <v/>
      </c>
      <c r="BU650" s="66" t="str">
        <f t="shared" si="881"/>
        <v/>
      </c>
      <c r="BV650" s="66" t="str">
        <f t="shared" si="881"/>
        <v/>
      </c>
      <c r="BW650" s="66" t="str">
        <f>+IF($W650="","",ROUND((BT650*Parámetros!$G$85),2))</f>
        <v/>
      </c>
      <c r="BX650" s="66" t="str">
        <f>+IF($W650="","",ROUND((BT650*(Parámetros!$G$86)),2))</f>
        <v/>
      </c>
      <c r="BY650" s="66" t="str">
        <f t="shared" si="882"/>
        <v/>
      </c>
      <c r="BZ650" t="str">
        <f t="shared" si="923"/>
        <v/>
      </c>
      <c r="CA650" t="str">
        <f t="shared" si="924"/>
        <v/>
      </c>
      <c r="CB650" s="118" t="str">
        <f t="shared" si="925"/>
        <v/>
      </c>
      <c r="CC650" s="118" t="str">
        <f t="shared" si="926"/>
        <v/>
      </c>
      <c r="CD650" s="119" t="str">
        <f t="shared" si="883"/>
        <v/>
      </c>
      <c r="CE650" s="66" t="str">
        <f>+IF($W650="","",ROUND((VLOOKUP(ROUNDDOWN($D650-1/frec,0),cob_adi,BO$40,FALSE)*(1+i/frec)^-0.5*(1+Parámetros!$D$103)*(1+rec_fracc)/frec*'TABLAS ADI'!$BC$17),2))</f>
        <v/>
      </c>
      <c r="CF650" s="119" t="str">
        <f t="shared" si="884"/>
        <v/>
      </c>
      <c r="CG650" s="66" t="str">
        <f>+IF($W650="","",ROUND(IF($B650&gt;Parámetros!$D$107,'Tablas Servicio'!CE650+('Tablas Servicio'!CG649-'Tablas Servicio'!CE649),CE650/(1-IF(B650&lt;=10,Parámetros!$D$100,0))),2))</f>
        <v/>
      </c>
      <c r="CH650" s="66" t="str">
        <f t="shared" si="885"/>
        <v/>
      </c>
      <c r="CI650" s="66" t="str">
        <f t="shared" si="885"/>
        <v/>
      </c>
      <c r="CJ650" s="66" t="str">
        <f>+IF($W650="","",ROUND((CG650*Parámetros!$G$85),2))</f>
        <v/>
      </c>
      <c r="CK650" s="66" t="str">
        <f>+IF($W650="","",ROUND((CG650*(Parámetros!$G$86)),2))</f>
        <v/>
      </c>
      <c r="CL650" s="66" t="str">
        <f t="shared" si="886"/>
        <v/>
      </c>
      <c r="CM650" t="str">
        <f t="shared" si="927"/>
        <v/>
      </c>
      <c r="CN650" s="118" t="str">
        <f t="shared" si="928"/>
        <v/>
      </c>
      <c r="CO650" s="118" t="str">
        <f t="shared" si="929"/>
        <v/>
      </c>
      <c r="CP650" s="118" t="str">
        <f t="shared" si="930"/>
        <v/>
      </c>
      <c r="CQ650" s="119" t="str">
        <f t="shared" si="887"/>
        <v/>
      </c>
      <c r="CR650" s="66" t="str">
        <f>+IF($W650="","",ROUND((VLOOKUP(Parámetros!$F$51,'COBERTURAS ADICIONALES'!$S$4:$T$32,2,FALSE)*(1+i/frec)^-0.5*(1+Parámetros!$D$103)*(1+rec_fracc)/frec*$CO$42),2))</f>
        <v/>
      </c>
      <c r="CS650" s="119" t="str">
        <f t="shared" si="888"/>
        <v/>
      </c>
      <c r="CT650" s="66" t="str">
        <f>+IF($W650="","",ROUND(IF($B650&gt;Parámetros!$D$107,'Tablas Servicio'!CR650+('Tablas Servicio'!CT649-'Tablas Servicio'!CR649),CR650/(1-IF(B650&lt;=10,Parámetros!$D$100,0))),2))</f>
        <v/>
      </c>
      <c r="CU650" s="66" t="str">
        <f t="shared" si="889"/>
        <v/>
      </c>
      <c r="CV650" s="66" t="str">
        <f t="shared" si="889"/>
        <v/>
      </c>
      <c r="CW650" s="66" t="str">
        <f>+IF($W650="","",ROUND((CT650*Parámetros!$G$85),2))</f>
        <v/>
      </c>
      <c r="CX650" s="66" t="str">
        <f>+IF($W650="","",ROUND((CT650*(Parámetros!$G$86)),2))</f>
        <v/>
      </c>
      <c r="CY650" s="66" t="str">
        <f t="shared" si="890"/>
        <v/>
      </c>
      <c r="CZ650" t="str">
        <f t="shared" si="931"/>
        <v/>
      </c>
      <c r="DA650" s="118" t="str">
        <f t="shared" si="932"/>
        <v/>
      </c>
      <c r="DB650" s="118" t="str">
        <f t="shared" si="933"/>
        <v/>
      </c>
      <c r="DC650" s="118" t="str">
        <f t="shared" si="934"/>
        <v/>
      </c>
      <c r="DD650" s="121" t="str">
        <f>+IF(OR($W650="",DB650=0),"",ROUND((VLOOKUP(ROUNDDOWN($D650-1/frec,0),cob_adi,CO$40,FALSE)*(1+i/frec)^-0.5*(1+Parámetros!$D$103)*(1+rec_fracc)/frec),6))</f>
        <v/>
      </c>
      <c r="DE650" s="66" t="str">
        <f t="shared" si="891"/>
        <v/>
      </c>
      <c r="DF650" s="119" t="str">
        <f t="shared" si="892"/>
        <v/>
      </c>
      <c r="DG650" s="66" t="str">
        <f>+IF($W650="","",ROUND(IF($B650&gt;Parámetros!$D$107,'Tablas Servicio'!DE650+('Tablas Servicio'!DG649-'Tablas Servicio'!DE649),DE650/(1-IF(B650&lt;=10,Parámetros!$D$100,0))),2))</f>
        <v/>
      </c>
      <c r="DH650" s="66" t="str">
        <f t="shared" si="893"/>
        <v/>
      </c>
      <c r="DI650" s="66" t="str">
        <f t="shared" si="893"/>
        <v/>
      </c>
      <c r="DJ650" s="66" t="str">
        <f>+IF($W650="","",ROUND((DG650*Parámetros!$G$85),2))</f>
        <v/>
      </c>
      <c r="DK650" s="66" t="str">
        <f>+IF($W650="","",ROUND((DG650*(Parámetros!$G$86)),2))</f>
        <v/>
      </c>
      <c r="DL650" s="66" t="str">
        <f t="shared" si="894"/>
        <v/>
      </c>
      <c r="DM650" t="str">
        <f t="shared" si="935"/>
        <v/>
      </c>
      <c r="DN650" s="118" t="str">
        <f t="shared" si="936"/>
        <v/>
      </c>
      <c r="DO650" s="118" t="str">
        <f t="shared" si="937"/>
        <v/>
      </c>
      <c r="DP650" s="118" t="str">
        <f t="shared" si="938"/>
        <v/>
      </c>
      <c r="DQ650" s="122" t="str">
        <f>+IF(OR($W650="",DO650=0),"",ROUND((VLOOKUP(ROUNDDOWN($D650-1/frec,0),cob_adi,DB$40,FALSE)*(1+i/frec)^-0.5*(1+Parámetros!$D$103)*(1+rec_fracc)/frec),6))</f>
        <v/>
      </c>
      <c r="DR650" s="66" t="str">
        <f t="shared" si="895"/>
        <v/>
      </c>
      <c r="DS650" s="68" t="str">
        <f t="shared" si="896"/>
        <v/>
      </c>
      <c r="DT650" s="66" t="str">
        <f>+IF($W650="","",ROUND(IF($B650&gt;Parámetros!$D$107,'Tablas Servicio'!DR650+('Tablas Servicio'!DT649-'Tablas Servicio'!DR649),DR650/(1-IF(B650&lt;=10,Parámetros!$D$100,0))),2))</f>
        <v/>
      </c>
      <c r="DU650" s="66" t="str">
        <f t="shared" si="897"/>
        <v/>
      </c>
      <c r="DV650" s="66" t="str">
        <f t="shared" si="897"/>
        <v/>
      </c>
      <c r="DW650" s="66" t="str">
        <f>+IF($W650="","",ROUND((DT650*Parámetros!$G$85),2))</f>
        <v/>
      </c>
      <c r="DX650" s="66" t="str">
        <f>+IF($W650="","",ROUND((DT650*(Parámetros!$G$86)),2))</f>
        <v/>
      </c>
      <c r="DY650" s="66" t="str">
        <f t="shared" si="898"/>
        <v/>
      </c>
      <c r="DZ650" t="str">
        <f t="shared" si="939"/>
        <v/>
      </c>
      <c r="EA650" s="118" t="str">
        <f t="shared" si="939"/>
        <v/>
      </c>
      <c r="EB650" s="118" t="str">
        <f>+IF($W650="","",ROUND(IF(Parámetros!$D$25='TABLAS MORT'!$V$33,EB649,Z650/2),0))</f>
        <v/>
      </c>
      <c r="EC650" s="118" t="str">
        <f t="shared" si="939"/>
        <v/>
      </c>
      <c r="ED650" s="122" t="str">
        <f>+IF(OR($W650="",EB650=0),"",ROUND((VLOOKUP(ROUNDDOWN($D650-1/frec,0),cob_adi,DO$40,FALSE)*(1+i/frec)^-0.5*(1+Parámetros!$D$103)*(1+rec_fracc)/frec),6))</f>
        <v/>
      </c>
      <c r="EE650" s="66" t="str">
        <f t="shared" si="900"/>
        <v/>
      </c>
      <c r="EF650" s="68" t="str">
        <f t="shared" si="901"/>
        <v/>
      </c>
      <c r="EG650" s="66" t="str">
        <f>+IF($W650="","",ROUND(IF($B650&gt;Parámetros!$D$107,'Tablas Servicio'!EE650+('Tablas Servicio'!EG649-'Tablas Servicio'!EE649),EE650/(1-IF(B650&lt;=10,Parámetros!$D$100,0))),2))</f>
        <v/>
      </c>
      <c r="EH650" s="66" t="str">
        <f t="shared" si="902"/>
        <v/>
      </c>
      <c r="EI650" s="66" t="str">
        <f t="shared" si="902"/>
        <v/>
      </c>
      <c r="EJ650" s="66" t="str">
        <f>+IF($W650="","",ROUND((EG650*Parámetros!$G$85),2))</f>
        <v/>
      </c>
      <c r="EK650" s="66" t="str">
        <f>+IF($W650="","",ROUND((EG650*(Parámetros!$G$86)),2))</f>
        <v/>
      </c>
      <c r="EL650" s="66" t="str">
        <f t="shared" si="903"/>
        <v/>
      </c>
    </row>
    <row r="651" spans="1:142" x14ac:dyDescent="0.25">
      <c r="A651" t="str">
        <f>+IF($C651="","",ROUND(VLOOKUP('Tablas Servicio'!B651,Parámetros!$H$100:$J$159,IF(Parámetros!$E$16="F",2,3),FALSE),2))</f>
        <v/>
      </c>
      <c r="B651" t="str">
        <f t="shared" si="854"/>
        <v/>
      </c>
      <c r="C651" s="57" t="str">
        <f>+IF(D651="","",'Tablas Servicio'!C650+1)</f>
        <v/>
      </c>
      <c r="D651" s="56" t="str">
        <f>+IF(D650&lt;edadmaxtabla,D650+1/Parámetros!$E$25,"")</f>
        <v/>
      </c>
      <c r="E651" s="57" t="str">
        <f t="shared" si="864"/>
        <v/>
      </c>
      <c r="F651" s="59" t="str">
        <f t="shared" si="865"/>
        <v/>
      </c>
      <c r="G651" s="66" t="str">
        <f t="shared" si="855"/>
        <v/>
      </c>
      <c r="H651" s="66" t="str">
        <f t="shared" si="856"/>
        <v/>
      </c>
      <c r="I651" s="66" t="str">
        <f t="shared" si="904"/>
        <v/>
      </c>
      <c r="J651" s="66" t="str">
        <f t="shared" si="857"/>
        <v/>
      </c>
      <c r="K651" s="66" t="str">
        <f t="shared" si="858"/>
        <v/>
      </c>
      <c r="L651" s="66" t="str">
        <f t="shared" si="859"/>
        <v/>
      </c>
      <c r="M651" s="66" t="str">
        <f t="shared" si="860"/>
        <v/>
      </c>
      <c r="N651" s="66" t="str">
        <f>+IF(C651="","",ROUND(Parámetros!$D$23,2))</f>
        <v/>
      </c>
      <c r="O651" s="66" t="str">
        <f t="shared" si="861"/>
        <v/>
      </c>
      <c r="P651" s="66" t="str">
        <f>+IF($C651="","",ROUND(IF(B651&gt;Parámetros!$D$117,0,N651*Parámetros!$D$116-G651*Parámetros!$D$100),2))</f>
        <v/>
      </c>
      <c r="Q651" s="75" t="str">
        <f t="shared" si="905"/>
        <v/>
      </c>
      <c r="R651" s="75" t="str">
        <f t="shared" si="906"/>
        <v/>
      </c>
      <c r="S651" s="117" t="str">
        <f>+IF($C651="","",ROUND((S650+I651)*(1+Parámetros!$D$91),2))</f>
        <v/>
      </c>
      <c r="T651" s="117" t="str">
        <f>+IF($C651="","",ROUND(S651*VLOOKUP(B651,Parámetros!$C$30:$D$39,2,TRUE),2))</f>
        <v/>
      </c>
      <c r="U651" s="117" t="str">
        <f>+IF($C651="","",ROUND((U650+I651)*(1+Parámetros!$D$92),2))</f>
        <v/>
      </c>
      <c r="V651" s="117" t="str">
        <f>+IF($C651="","",ROUND(U651*VLOOKUP(B651,Parámetros!$C$30:$D$39,2,TRUE),2))</f>
        <v/>
      </c>
      <c r="W651" s="57" t="str">
        <f t="shared" si="907"/>
        <v/>
      </c>
      <c r="X651" t="str">
        <f t="shared" si="908"/>
        <v/>
      </c>
      <c r="Y651" t="str">
        <f t="shared" si="909"/>
        <v/>
      </c>
      <c r="Z651" s="118" t="str">
        <f>+IF($W651="","",ROUND(IF(Parámetros!$D$25='TABLAS MORT'!$V$33,Z650,Parámetros!$D$21-'Tablas Servicio'!T650),0))</f>
        <v/>
      </c>
      <c r="AA651" s="118" t="str">
        <f t="shared" si="910"/>
        <v/>
      </c>
      <c r="AB651" s="119" t="str">
        <f>+IF(W651="","",ROUND((VLOOKUP(ROUNDDOWN($D651-1/frec,0),qx_tabla,2,FALSE)*(1+i/frec)^-0.5*(1+Parámetros!$D$103)*(1+rec_fracc)/frec),6))</f>
        <v/>
      </c>
      <c r="AC651" s="66" t="str">
        <f t="shared" si="866"/>
        <v/>
      </c>
      <c r="AD651" s="119" t="str">
        <f t="shared" si="862"/>
        <v/>
      </c>
      <c r="AE651" s="66" t="str">
        <f>+IF($W651="","",ROUND(IF($B651&gt;Parámetros!$D$107,'Tablas Servicio'!AC651+('Tablas Servicio'!AG650-'Tablas Servicio'!AC650),AC651/(1-IF(B651&lt;=10,Parámetros!$D$104,Parámetros!$D$105))),2))</f>
        <v/>
      </c>
      <c r="AF651" s="66" t="str">
        <f>+IF($W651="","",ROUND(IF($B651&gt;Parámetros!$D$107,'Tablas Servicio'!AC651+('Tablas Servicio'!AG650-'Tablas Servicio'!AC650),(AC651+$A650/frec)/(1-IF(B651&lt;=Parámetros!$D$117,Parámetros!$D$100,0))),2))</f>
        <v/>
      </c>
      <c r="AG651" s="66" t="str">
        <f t="shared" si="867"/>
        <v/>
      </c>
      <c r="AH651" s="66" t="str">
        <f t="shared" si="868"/>
        <v/>
      </c>
      <c r="AI651" s="66" t="str">
        <f t="shared" si="869"/>
        <v/>
      </c>
      <c r="AJ651" s="66" t="str">
        <f>+IF($W651="","",ROUND((AG651*Parámetros!$G$85),2))</f>
        <v/>
      </c>
      <c r="AK651" s="66" t="str">
        <f>+IF($W651="","",ROUND((AG651*(Parámetros!$G$86)),2))</f>
        <v/>
      </c>
      <c r="AL651" s="66" t="str">
        <f t="shared" si="863"/>
        <v/>
      </c>
      <c r="AM651" t="str">
        <f t="shared" si="911"/>
        <v/>
      </c>
      <c r="AN651" t="str">
        <f t="shared" si="912"/>
        <v/>
      </c>
      <c r="AO651" s="118" t="str">
        <f t="shared" si="913"/>
        <v/>
      </c>
      <c r="AP651" s="118" t="str">
        <f t="shared" si="914"/>
        <v/>
      </c>
      <c r="AQ651" s="119" t="str">
        <f>+IF(OR($W651="",AO651=0),"",ROUND((VLOOKUP(ROUNDDOWN($D651-1/frec,0),cob_adi,Z$40,FALSE)*(1+i/frec)^-0.5*(1+Parámetros!$D$103)*(1+rec_fracc)/frec),6))</f>
        <v/>
      </c>
      <c r="AR651" s="66" t="str">
        <f t="shared" si="870"/>
        <v/>
      </c>
      <c r="AS651" s="119" t="str">
        <f t="shared" si="871"/>
        <v/>
      </c>
      <c r="AT651" s="66" t="str">
        <f>+IF($W651="","",ROUND(IF($B651&gt;Parámetros!$D$107,'Tablas Servicio'!AR651+('Tablas Servicio'!AT650-'Tablas Servicio'!AR650),AR651/(1-IF(B651&lt;=10,Parámetros!$D$100,0))),2))</f>
        <v/>
      </c>
      <c r="AU651" s="66" t="str">
        <f t="shared" si="872"/>
        <v/>
      </c>
      <c r="AV651" s="66" t="str">
        <f t="shared" si="872"/>
        <v/>
      </c>
      <c r="AW651" s="66" t="str">
        <f>+IF($W651="","",ROUND((AT651*Parámetros!$G$85),2))</f>
        <v/>
      </c>
      <c r="AX651" s="66" t="str">
        <f>+IF($W651="","",ROUND((AT651*(Parámetros!$G$86)),2))</f>
        <v/>
      </c>
      <c r="AY651" s="66" t="str">
        <f t="shared" si="873"/>
        <v/>
      </c>
      <c r="AZ651" t="str">
        <f t="shared" si="915"/>
        <v/>
      </c>
      <c r="BA651" t="str">
        <f t="shared" si="916"/>
        <v/>
      </c>
      <c r="BB651" s="118" t="str">
        <f t="shared" si="917"/>
        <v/>
      </c>
      <c r="BC651" s="118" t="str">
        <f t="shared" si="918"/>
        <v/>
      </c>
      <c r="BD651" s="119" t="str">
        <f>+IF(OR($W651="",BB651=0),"",ROUND((VLOOKUP(ROUNDDOWN($D651-1/frec,0),cob_adi,AO$40,FALSE)*(1+i/frec)^-0.5*(1+Parámetros!$D$103)*(1+rec_fracc)/frec),6))</f>
        <v/>
      </c>
      <c r="BE651" s="66" t="str">
        <f t="shared" si="874"/>
        <v/>
      </c>
      <c r="BF651" s="119" t="str">
        <f t="shared" si="875"/>
        <v/>
      </c>
      <c r="BG651" s="66" t="str">
        <f>+IF($W651="","",ROUND(IF($B651&gt;Parámetros!$D$107,'Tablas Servicio'!BE651+('Tablas Servicio'!BG650-'Tablas Servicio'!BE650),BE651/(1-IF(B651&lt;=10,Parámetros!$D$100,0))),2))</f>
        <v/>
      </c>
      <c r="BH651" s="66" t="str">
        <f t="shared" si="876"/>
        <v/>
      </c>
      <c r="BI651" s="66" t="str">
        <f t="shared" si="877"/>
        <v/>
      </c>
      <c r="BJ651" s="66" t="str">
        <f>+IF($W651="","",ROUND((BG651*Parámetros!$G$85),2))</f>
        <v/>
      </c>
      <c r="BK651" s="66" t="str">
        <f>+IF($W651="","",ROUND((BG651*(Parámetros!$G$86)),2))</f>
        <v/>
      </c>
      <c r="BL651" s="66" t="str">
        <f t="shared" si="878"/>
        <v/>
      </c>
      <c r="BM651" t="str">
        <f t="shared" si="919"/>
        <v/>
      </c>
      <c r="BN651" t="str">
        <f t="shared" si="920"/>
        <v/>
      </c>
      <c r="BO651" s="118" t="str">
        <f t="shared" si="921"/>
        <v/>
      </c>
      <c r="BP651" s="118" t="str">
        <f t="shared" si="922"/>
        <v/>
      </c>
      <c r="BQ651" s="119" t="str">
        <f>+IF(OR($W651="",BO651=0),"",ROUND((VLOOKUP(ROUNDDOWN($D651-1/frec,0),cob_adi,BB$40,FALSE)*(1+i/frec)^-0.5*(1+Parámetros!$D$103)*(1+rec_fracc)/frec),6))</f>
        <v/>
      </c>
      <c r="BR651" s="66" t="str">
        <f t="shared" si="879"/>
        <v/>
      </c>
      <c r="BS651" s="119" t="str">
        <f t="shared" si="880"/>
        <v/>
      </c>
      <c r="BT651" s="66" t="str">
        <f>+IF($W651="","",ROUND(IF($B651&gt;Parámetros!$D$107,'Tablas Servicio'!BR651+('Tablas Servicio'!BT650-'Tablas Servicio'!BR650),BR651/(1-IF(B651&lt;=10,Parámetros!$D$100,0))),2))</f>
        <v/>
      </c>
      <c r="BU651" s="66" t="str">
        <f t="shared" si="881"/>
        <v/>
      </c>
      <c r="BV651" s="66" t="str">
        <f t="shared" si="881"/>
        <v/>
      </c>
      <c r="BW651" s="66" t="str">
        <f>+IF($W651="","",ROUND((BT651*Parámetros!$G$85),2))</f>
        <v/>
      </c>
      <c r="BX651" s="66" t="str">
        <f>+IF($W651="","",ROUND((BT651*(Parámetros!$G$86)),2))</f>
        <v/>
      </c>
      <c r="BY651" s="66" t="str">
        <f t="shared" si="882"/>
        <v/>
      </c>
      <c r="BZ651" t="str">
        <f t="shared" si="923"/>
        <v/>
      </c>
      <c r="CA651" t="str">
        <f t="shared" si="924"/>
        <v/>
      </c>
      <c r="CB651" s="118" t="str">
        <f t="shared" si="925"/>
        <v/>
      </c>
      <c r="CC651" s="118" t="str">
        <f t="shared" si="926"/>
        <v/>
      </c>
      <c r="CD651" s="119" t="str">
        <f t="shared" si="883"/>
        <v/>
      </c>
      <c r="CE651" s="66" t="str">
        <f>+IF($W651="","",ROUND((VLOOKUP(ROUNDDOWN($D651-1/frec,0),cob_adi,BO$40,FALSE)*(1+i/frec)^-0.5*(1+Parámetros!$D$103)*(1+rec_fracc)/frec*'TABLAS ADI'!$BC$17),2))</f>
        <v/>
      </c>
      <c r="CF651" s="119" t="str">
        <f t="shared" si="884"/>
        <v/>
      </c>
      <c r="CG651" s="66" t="str">
        <f>+IF($W651="","",ROUND(IF($B651&gt;Parámetros!$D$107,'Tablas Servicio'!CE651+('Tablas Servicio'!CG650-'Tablas Servicio'!CE650),CE651/(1-IF(B651&lt;=10,Parámetros!$D$100,0))),2))</f>
        <v/>
      </c>
      <c r="CH651" s="66" t="str">
        <f t="shared" si="885"/>
        <v/>
      </c>
      <c r="CI651" s="66" t="str">
        <f t="shared" si="885"/>
        <v/>
      </c>
      <c r="CJ651" s="66" t="str">
        <f>+IF($W651="","",ROUND((CG651*Parámetros!$G$85),2))</f>
        <v/>
      </c>
      <c r="CK651" s="66" t="str">
        <f>+IF($W651="","",ROUND((CG651*(Parámetros!$G$86)),2))</f>
        <v/>
      </c>
      <c r="CL651" s="66" t="str">
        <f t="shared" si="886"/>
        <v/>
      </c>
      <c r="CM651" t="str">
        <f t="shared" si="927"/>
        <v/>
      </c>
      <c r="CN651" s="118" t="str">
        <f t="shared" si="928"/>
        <v/>
      </c>
      <c r="CO651" s="118" t="str">
        <f t="shared" si="929"/>
        <v/>
      </c>
      <c r="CP651" s="118" t="str">
        <f t="shared" si="930"/>
        <v/>
      </c>
      <c r="CQ651" s="119" t="str">
        <f t="shared" si="887"/>
        <v/>
      </c>
      <c r="CR651" s="66" t="str">
        <f>+IF($W651="","",ROUND((VLOOKUP(Parámetros!$F$51,'COBERTURAS ADICIONALES'!$S$4:$T$32,2,FALSE)*(1+i/frec)^-0.5*(1+Parámetros!$D$103)*(1+rec_fracc)/frec*$CO$42),2))</f>
        <v/>
      </c>
      <c r="CS651" s="119" t="str">
        <f t="shared" si="888"/>
        <v/>
      </c>
      <c r="CT651" s="66" t="str">
        <f>+IF($W651="","",ROUND(IF($B651&gt;Parámetros!$D$107,'Tablas Servicio'!CR651+('Tablas Servicio'!CT650-'Tablas Servicio'!CR650),CR651/(1-IF(B651&lt;=10,Parámetros!$D$100,0))),2))</f>
        <v/>
      </c>
      <c r="CU651" s="66" t="str">
        <f t="shared" si="889"/>
        <v/>
      </c>
      <c r="CV651" s="66" t="str">
        <f t="shared" si="889"/>
        <v/>
      </c>
      <c r="CW651" s="66" t="str">
        <f>+IF($W651="","",ROUND((CT651*Parámetros!$G$85),2))</f>
        <v/>
      </c>
      <c r="CX651" s="66" t="str">
        <f>+IF($W651="","",ROUND((CT651*(Parámetros!$G$86)),2))</f>
        <v/>
      </c>
      <c r="CY651" s="66" t="str">
        <f t="shared" si="890"/>
        <v/>
      </c>
      <c r="CZ651" t="str">
        <f t="shared" si="931"/>
        <v/>
      </c>
      <c r="DA651" s="118" t="str">
        <f t="shared" si="932"/>
        <v/>
      </c>
      <c r="DB651" s="118" t="str">
        <f t="shared" si="933"/>
        <v/>
      </c>
      <c r="DC651" s="118" t="str">
        <f t="shared" si="934"/>
        <v/>
      </c>
      <c r="DD651" s="121" t="str">
        <f>+IF(OR($W651="",DB651=0),"",ROUND((VLOOKUP(ROUNDDOWN($D651-1/frec,0),cob_adi,CO$40,FALSE)*(1+i/frec)^-0.5*(1+Parámetros!$D$103)*(1+rec_fracc)/frec),6))</f>
        <v/>
      </c>
      <c r="DE651" s="66" t="str">
        <f t="shared" si="891"/>
        <v/>
      </c>
      <c r="DF651" s="119" t="str">
        <f t="shared" si="892"/>
        <v/>
      </c>
      <c r="DG651" s="66" t="str">
        <f>+IF($W651="","",ROUND(IF($B651&gt;Parámetros!$D$107,'Tablas Servicio'!DE651+('Tablas Servicio'!DG650-'Tablas Servicio'!DE650),DE651/(1-IF(B651&lt;=10,Parámetros!$D$100,0))),2))</f>
        <v/>
      </c>
      <c r="DH651" s="66" t="str">
        <f t="shared" si="893"/>
        <v/>
      </c>
      <c r="DI651" s="66" t="str">
        <f t="shared" si="893"/>
        <v/>
      </c>
      <c r="DJ651" s="66" t="str">
        <f>+IF($W651="","",ROUND((DG651*Parámetros!$G$85),2))</f>
        <v/>
      </c>
      <c r="DK651" s="66" t="str">
        <f>+IF($W651="","",ROUND((DG651*(Parámetros!$G$86)),2))</f>
        <v/>
      </c>
      <c r="DL651" s="66" t="str">
        <f t="shared" si="894"/>
        <v/>
      </c>
      <c r="DM651" t="str">
        <f t="shared" si="935"/>
        <v/>
      </c>
      <c r="DN651" s="118" t="str">
        <f t="shared" si="936"/>
        <v/>
      </c>
      <c r="DO651" s="118" t="str">
        <f t="shared" si="937"/>
        <v/>
      </c>
      <c r="DP651" s="118" t="str">
        <f t="shared" si="938"/>
        <v/>
      </c>
      <c r="DQ651" s="122" t="str">
        <f>+IF(OR($W651="",DO651=0),"",ROUND((VLOOKUP(ROUNDDOWN($D651-1/frec,0),cob_adi,DB$40,FALSE)*(1+i/frec)^-0.5*(1+Parámetros!$D$103)*(1+rec_fracc)/frec),6))</f>
        <v/>
      </c>
      <c r="DR651" s="66" t="str">
        <f t="shared" si="895"/>
        <v/>
      </c>
      <c r="DS651" s="68" t="str">
        <f t="shared" si="896"/>
        <v/>
      </c>
      <c r="DT651" s="66" t="str">
        <f>+IF($W651="","",ROUND(IF($B651&gt;Parámetros!$D$107,'Tablas Servicio'!DR651+('Tablas Servicio'!DT650-'Tablas Servicio'!DR650),DR651/(1-IF(B651&lt;=10,Parámetros!$D$100,0))),2))</f>
        <v/>
      </c>
      <c r="DU651" s="66" t="str">
        <f t="shared" si="897"/>
        <v/>
      </c>
      <c r="DV651" s="66" t="str">
        <f t="shared" si="897"/>
        <v/>
      </c>
      <c r="DW651" s="66" t="str">
        <f>+IF($W651="","",ROUND((DT651*Parámetros!$G$85),2))</f>
        <v/>
      </c>
      <c r="DX651" s="66" t="str">
        <f>+IF($W651="","",ROUND((DT651*(Parámetros!$G$86)),2))</f>
        <v/>
      </c>
      <c r="DY651" s="66" t="str">
        <f t="shared" si="898"/>
        <v/>
      </c>
      <c r="DZ651" t="str">
        <f t="shared" ref="DZ651:EC666" si="940">+IF($W651="","",DZ650)</f>
        <v/>
      </c>
      <c r="EA651" s="118" t="str">
        <f t="shared" si="940"/>
        <v/>
      </c>
      <c r="EB651" s="118" t="str">
        <f>+IF($W651="","",ROUND(IF(Parámetros!$D$25='TABLAS MORT'!$V$33,EB650,Z651/2),0))</f>
        <v/>
      </c>
      <c r="EC651" s="118" t="str">
        <f t="shared" si="940"/>
        <v/>
      </c>
      <c r="ED651" s="122" t="str">
        <f>+IF(OR($W651="",EB651=0),"",ROUND((VLOOKUP(ROUNDDOWN($D651-1/frec,0),cob_adi,DO$40,FALSE)*(1+i/frec)^-0.5*(1+Parámetros!$D$103)*(1+rec_fracc)/frec),6))</f>
        <v/>
      </c>
      <c r="EE651" s="66" t="str">
        <f t="shared" si="900"/>
        <v/>
      </c>
      <c r="EF651" s="68" t="str">
        <f t="shared" si="901"/>
        <v/>
      </c>
      <c r="EG651" s="66" t="str">
        <f>+IF($W651="","",ROUND(IF($B651&gt;Parámetros!$D$107,'Tablas Servicio'!EE651+('Tablas Servicio'!EG650-'Tablas Servicio'!EE650),EE651/(1-IF(B651&lt;=10,Parámetros!$D$100,0))),2))</f>
        <v/>
      </c>
      <c r="EH651" s="66" t="str">
        <f t="shared" si="902"/>
        <v/>
      </c>
      <c r="EI651" s="66" t="str">
        <f t="shared" si="902"/>
        <v/>
      </c>
      <c r="EJ651" s="66" t="str">
        <f>+IF($W651="","",ROUND((EG651*Parámetros!$G$85),2))</f>
        <v/>
      </c>
      <c r="EK651" s="66" t="str">
        <f>+IF($W651="","",ROUND((EG651*(Parámetros!$G$86)),2))</f>
        <v/>
      </c>
      <c r="EL651" s="66" t="str">
        <f t="shared" si="903"/>
        <v/>
      </c>
    </row>
    <row r="652" spans="1:142" x14ac:dyDescent="0.25">
      <c r="A652" t="str">
        <f>+IF($C652="","",ROUND(VLOOKUP('Tablas Servicio'!B652,Parámetros!$H$100:$J$159,IF(Parámetros!$E$16="F",2,3),FALSE),2))</f>
        <v/>
      </c>
      <c r="B652" t="str">
        <f t="shared" si="854"/>
        <v/>
      </c>
      <c r="C652" s="57" t="str">
        <f>+IF(D652="","",'Tablas Servicio'!C651+1)</f>
        <v/>
      </c>
      <c r="D652" s="56" t="str">
        <f>+IF(D651&lt;edadmaxtabla,D651+1/Parámetros!$E$25,"")</f>
        <v/>
      </c>
      <c r="E652" s="57" t="str">
        <f t="shared" si="864"/>
        <v/>
      </c>
      <c r="F652" s="59" t="str">
        <f t="shared" si="865"/>
        <v/>
      </c>
      <c r="G652" s="66" t="str">
        <f t="shared" si="855"/>
        <v/>
      </c>
      <c r="H652" s="66" t="str">
        <f t="shared" si="856"/>
        <v/>
      </c>
      <c r="I652" s="66" t="str">
        <f t="shared" si="904"/>
        <v/>
      </c>
      <c r="J652" s="66" t="str">
        <f t="shared" si="857"/>
        <v/>
      </c>
      <c r="K652" s="66" t="str">
        <f t="shared" si="858"/>
        <v/>
      </c>
      <c r="L652" s="66" t="str">
        <f t="shared" si="859"/>
        <v/>
      </c>
      <c r="M652" s="66" t="str">
        <f t="shared" si="860"/>
        <v/>
      </c>
      <c r="N652" s="66" t="str">
        <f>+IF(C652="","",ROUND(Parámetros!$D$23,2))</f>
        <v/>
      </c>
      <c r="O652" s="66" t="str">
        <f t="shared" si="861"/>
        <v/>
      </c>
      <c r="P652" s="66" t="str">
        <f>+IF($C652="","",ROUND(IF(B652&gt;Parámetros!$D$117,0,N652*Parámetros!$D$116-G652*Parámetros!$D$100),2))</f>
        <v/>
      </c>
      <c r="Q652" s="75" t="str">
        <f t="shared" si="905"/>
        <v/>
      </c>
      <c r="R652" s="75" t="str">
        <f t="shared" si="906"/>
        <v/>
      </c>
      <c r="S652" s="117" t="str">
        <f>+IF($C652="","",ROUND((S651+I652)*(1+Parámetros!$D$91),2))</f>
        <v/>
      </c>
      <c r="T652" s="117" t="str">
        <f>+IF($C652="","",ROUND(S652*VLOOKUP(B652,Parámetros!$C$30:$D$39,2,TRUE),2))</f>
        <v/>
      </c>
      <c r="U652" s="117" t="str">
        <f>+IF($C652="","",ROUND((U651+I652)*(1+Parámetros!$D$92),2))</f>
        <v/>
      </c>
      <c r="V652" s="117" t="str">
        <f>+IF($C652="","",ROUND(U652*VLOOKUP(B652,Parámetros!$C$30:$D$39,2,TRUE),2))</f>
        <v/>
      </c>
      <c r="W652" s="57" t="str">
        <f t="shared" si="907"/>
        <v/>
      </c>
      <c r="X652" t="str">
        <f t="shared" si="908"/>
        <v/>
      </c>
      <c r="Y652" t="str">
        <f t="shared" si="909"/>
        <v/>
      </c>
      <c r="Z652" s="118" t="str">
        <f>+IF($W652="","",ROUND(IF(Parámetros!$D$25='TABLAS MORT'!$V$33,Z651,Parámetros!$D$21-'Tablas Servicio'!T651),0))</f>
        <v/>
      </c>
      <c r="AA652" s="118" t="str">
        <f t="shared" si="910"/>
        <v/>
      </c>
      <c r="AB652" s="119" t="str">
        <f>+IF(W652="","",ROUND((VLOOKUP(ROUNDDOWN($D652-1/frec,0),qx_tabla,2,FALSE)*(1+i/frec)^-0.5*(1+Parámetros!$D$103)*(1+rec_fracc)/frec),6))</f>
        <v/>
      </c>
      <c r="AC652" s="66" t="str">
        <f t="shared" si="866"/>
        <v/>
      </c>
      <c r="AD652" s="119" t="str">
        <f t="shared" si="862"/>
        <v/>
      </c>
      <c r="AE652" s="66" t="str">
        <f>+IF($W652="","",ROUND(IF($B652&gt;Parámetros!$D$107,'Tablas Servicio'!AC652+('Tablas Servicio'!AG651-'Tablas Servicio'!AC651),AC652/(1-IF(B652&lt;=10,Parámetros!$D$104,Parámetros!$D$105))),2))</f>
        <v/>
      </c>
      <c r="AF652" s="66" t="str">
        <f>+IF($W652="","",ROUND(IF($B652&gt;Parámetros!$D$107,'Tablas Servicio'!AC652+('Tablas Servicio'!AG651-'Tablas Servicio'!AC651),(AC652+$A651/frec)/(1-IF(B652&lt;=Parámetros!$D$117,Parámetros!$D$100,0))),2))</f>
        <v/>
      </c>
      <c r="AG652" s="66" t="str">
        <f t="shared" si="867"/>
        <v/>
      </c>
      <c r="AH652" s="66" t="str">
        <f t="shared" si="868"/>
        <v/>
      </c>
      <c r="AI652" s="66" t="str">
        <f t="shared" si="869"/>
        <v/>
      </c>
      <c r="AJ652" s="66" t="str">
        <f>+IF($W652="","",ROUND((AG652*Parámetros!$G$85),2))</f>
        <v/>
      </c>
      <c r="AK652" s="66" t="str">
        <f>+IF($W652="","",ROUND((AG652*(Parámetros!$G$86)),2))</f>
        <v/>
      </c>
      <c r="AL652" s="66" t="str">
        <f t="shared" si="863"/>
        <v/>
      </c>
      <c r="AM652" t="str">
        <f t="shared" si="911"/>
        <v/>
      </c>
      <c r="AN652" t="str">
        <f t="shared" si="912"/>
        <v/>
      </c>
      <c r="AO652" s="118" t="str">
        <f t="shared" si="913"/>
        <v/>
      </c>
      <c r="AP652" s="118" t="str">
        <f t="shared" si="914"/>
        <v/>
      </c>
      <c r="AQ652" s="119" t="str">
        <f>+IF(OR($W652="",AO652=0),"",ROUND((VLOOKUP(ROUNDDOWN($D652-1/frec,0),cob_adi,Z$40,FALSE)*(1+i/frec)^-0.5*(1+Parámetros!$D$103)*(1+rec_fracc)/frec),6))</f>
        <v/>
      </c>
      <c r="AR652" s="66" t="str">
        <f t="shared" si="870"/>
        <v/>
      </c>
      <c r="AS652" s="119" t="str">
        <f t="shared" si="871"/>
        <v/>
      </c>
      <c r="AT652" s="66" t="str">
        <f>+IF($W652="","",ROUND(IF($B652&gt;Parámetros!$D$107,'Tablas Servicio'!AR652+('Tablas Servicio'!AT651-'Tablas Servicio'!AR651),AR652/(1-IF(B652&lt;=10,Parámetros!$D$100,0))),2))</f>
        <v/>
      </c>
      <c r="AU652" s="66" t="str">
        <f t="shared" si="872"/>
        <v/>
      </c>
      <c r="AV652" s="66" t="str">
        <f t="shared" si="872"/>
        <v/>
      </c>
      <c r="AW652" s="66" t="str">
        <f>+IF($W652="","",ROUND((AT652*Parámetros!$G$85),2))</f>
        <v/>
      </c>
      <c r="AX652" s="66" t="str">
        <f>+IF($W652="","",ROUND((AT652*(Parámetros!$G$86)),2))</f>
        <v/>
      </c>
      <c r="AY652" s="66" t="str">
        <f t="shared" si="873"/>
        <v/>
      </c>
      <c r="AZ652" t="str">
        <f t="shared" si="915"/>
        <v/>
      </c>
      <c r="BA652" t="str">
        <f t="shared" si="916"/>
        <v/>
      </c>
      <c r="BB652" s="118" t="str">
        <f t="shared" si="917"/>
        <v/>
      </c>
      <c r="BC652" s="118" t="str">
        <f t="shared" si="918"/>
        <v/>
      </c>
      <c r="BD652" s="119" t="str">
        <f>+IF(OR($W652="",BB652=0),"",ROUND((VLOOKUP(ROUNDDOWN($D652-1/frec,0),cob_adi,AO$40,FALSE)*(1+i/frec)^-0.5*(1+Parámetros!$D$103)*(1+rec_fracc)/frec),6))</f>
        <v/>
      </c>
      <c r="BE652" s="66" t="str">
        <f t="shared" si="874"/>
        <v/>
      </c>
      <c r="BF652" s="119" t="str">
        <f t="shared" si="875"/>
        <v/>
      </c>
      <c r="BG652" s="66" t="str">
        <f>+IF($W652="","",ROUND(IF($B652&gt;Parámetros!$D$107,'Tablas Servicio'!BE652+('Tablas Servicio'!BG651-'Tablas Servicio'!BE651),BE652/(1-IF(B652&lt;=10,Parámetros!$D$100,0))),2))</f>
        <v/>
      </c>
      <c r="BH652" s="66" t="str">
        <f t="shared" si="876"/>
        <v/>
      </c>
      <c r="BI652" s="66" t="str">
        <f t="shared" si="877"/>
        <v/>
      </c>
      <c r="BJ652" s="66" t="str">
        <f>+IF($W652="","",ROUND((BG652*Parámetros!$G$85),2))</f>
        <v/>
      </c>
      <c r="BK652" s="66" t="str">
        <f>+IF($W652="","",ROUND((BG652*(Parámetros!$G$86)),2))</f>
        <v/>
      </c>
      <c r="BL652" s="66" t="str">
        <f t="shared" si="878"/>
        <v/>
      </c>
      <c r="BM652" t="str">
        <f t="shared" si="919"/>
        <v/>
      </c>
      <c r="BN652" t="str">
        <f t="shared" si="920"/>
        <v/>
      </c>
      <c r="BO652" s="118" t="str">
        <f t="shared" si="921"/>
        <v/>
      </c>
      <c r="BP652" s="118" t="str">
        <f t="shared" si="922"/>
        <v/>
      </c>
      <c r="BQ652" s="119" t="str">
        <f>+IF(OR($W652="",BO652=0),"",ROUND((VLOOKUP(ROUNDDOWN($D652-1/frec,0),cob_adi,BB$40,FALSE)*(1+i/frec)^-0.5*(1+Parámetros!$D$103)*(1+rec_fracc)/frec),6))</f>
        <v/>
      </c>
      <c r="BR652" s="66" t="str">
        <f t="shared" si="879"/>
        <v/>
      </c>
      <c r="BS652" s="119" t="str">
        <f t="shared" si="880"/>
        <v/>
      </c>
      <c r="BT652" s="66" t="str">
        <f>+IF($W652="","",ROUND(IF($B652&gt;Parámetros!$D$107,'Tablas Servicio'!BR652+('Tablas Servicio'!BT651-'Tablas Servicio'!BR651),BR652/(1-IF(B652&lt;=10,Parámetros!$D$100,0))),2))</f>
        <v/>
      </c>
      <c r="BU652" s="66" t="str">
        <f t="shared" si="881"/>
        <v/>
      </c>
      <c r="BV652" s="66" t="str">
        <f t="shared" si="881"/>
        <v/>
      </c>
      <c r="BW652" s="66" t="str">
        <f>+IF($W652="","",ROUND((BT652*Parámetros!$G$85),2))</f>
        <v/>
      </c>
      <c r="BX652" s="66" t="str">
        <f>+IF($W652="","",ROUND((BT652*(Parámetros!$G$86)),2))</f>
        <v/>
      </c>
      <c r="BY652" s="66" t="str">
        <f t="shared" si="882"/>
        <v/>
      </c>
      <c r="BZ652" t="str">
        <f t="shared" si="923"/>
        <v/>
      </c>
      <c r="CA652" t="str">
        <f t="shared" si="924"/>
        <v/>
      </c>
      <c r="CB652" s="118" t="str">
        <f t="shared" si="925"/>
        <v/>
      </c>
      <c r="CC652" s="118" t="str">
        <f t="shared" si="926"/>
        <v/>
      </c>
      <c r="CD652" s="119" t="str">
        <f t="shared" si="883"/>
        <v/>
      </c>
      <c r="CE652" s="66" t="str">
        <f>+IF($W652="","",ROUND((VLOOKUP(ROUNDDOWN($D652-1/frec,0),cob_adi,BO$40,FALSE)*(1+i/frec)^-0.5*(1+Parámetros!$D$103)*(1+rec_fracc)/frec*'TABLAS ADI'!$BC$17),2))</f>
        <v/>
      </c>
      <c r="CF652" s="119" t="str">
        <f t="shared" si="884"/>
        <v/>
      </c>
      <c r="CG652" s="66" t="str">
        <f>+IF($W652="","",ROUND(IF($B652&gt;Parámetros!$D$107,'Tablas Servicio'!CE652+('Tablas Servicio'!CG651-'Tablas Servicio'!CE651),CE652/(1-IF(B652&lt;=10,Parámetros!$D$100,0))),2))</f>
        <v/>
      </c>
      <c r="CH652" s="66" t="str">
        <f t="shared" si="885"/>
        <v/>
      </c>
      <c r="CI652" s="66" t="str">
        <f t="shared" si="885"/>
        <v/>
      </c>
      <c r="CJ652" s="66" t="str">
        <f>+IF($W652="","",ROUND((CG652*Parámetros!$G$85),2))</f>
        <v/>
      </c>
      <c r="CK652" s="66" t="str">
        <f>+IF($W652="","",ROUND((CG652*(Parámetros!$G$86)),2))</f>
        <v/>
      </c>
      <c r="CL652" s="66" t="str">
        <f t="shared" si="886"/>
        <v/>
      </c>
      <c r="CM652" t="str">
        <f t="shared" si="927"/>
        <v/>
      </c>
      <c r="CN652" s="118" t="str">
        <f t="shared" si="928"/>
        <v/>
      </c>
      <c r="CO652" s="118" t="str">
        <f t="shared" si="929"/>
        <v/>
      </c>
      <c r="CP652" s="118" t="str">
        <f t="shared" si="930"/>
        <v/>
      </c>
      <c r="CQ652" s="119" t="str">
        <f t="shared" si="887"/>
        <v/>
      </c>
      <c r="CR652" s="66" t="str">
        <f>+IF($W652="","",ROUND((VLOOKUP(Parámetros!$F$51,'COBERTURAS ADICIONALES'!$S$4:$T$32,2,FALSE)*(1+i/frec)^-0.5*(1+Parámetros!$D$103)*(1+rec_fracc)/frec*$CO$42),2))</f>
        <v/>
      </c>
      <c r="CS652" s="119" t="str">
        <f t="shared" si="888"/>
        <v/>
      </c>
      <c r="CT652" s="66" t="str">
        <f>+IF($W652="","",ROUND(IF($B652&gt;Parámetros!$D$107,'Tablas Servicio'!CR652+('Tablas Servicio'!CT651-'Tablas Servicio'!CR651),CR652/(1-IF(B652&lt;=10,Parámetros!$D$100,0))),2))</f>
        <v/>
      </c>
      <c r="CU652" s="66" t="str">
        <f t="shared" si="889"/>
        <v/>
      </c>
      <c r="CV652" s="66" t="str">
        <f t="shared" si="889"/>
        <v/>
      </c>
      <c r="CW652" s="66" t="str">
        <f>+IF($W652="","",ROUND((CT652*Parámetros!$G$85),2))</f>
        <v/>
      </c>
      <c r="CX652" s="66" t="str">
        <f>+IF($W652="","",ROUND((CT652*(Parámetros!$G$86)),2))</f>
        <v/>
      </c>
      <c r="CY652" s="66" t="str">
        <f t="shared" si="890"/>
        <v/>
      </c>
      <c r="CZ652" t="str">
        <f t="shared" si="931"/>
        <v/>
      </c>
      <c r="DA652" s="118" t="str">
        <f t="shared" si="932"/>
        <v/>
      </c>
      <c r="DB652" s="118" t="str">
        <f t="shared" si="933"/>
        <v/>
      </c>
      <c r="DC652" s="118" t="str">
        <f t="shared" si="934"/>
        <v/>
      </c>
      <c r="DD652" s="121" t="str">
        <f>+IF(OR($W652="",DB652=0),"",ROUND((VLOOKUP(ROUNDDOWN($D652-1/frec,0),cob_adi,CO$40,FALSE)*(1+i/frec)^-0.5*(1+Parámetros!$D$103)*(1+rec_fracc)/frec),6))</f>
        <v/>
      </c>
      <c r="DE652" s="66" t="str">
        <f t="shared" si="891"/>
        <v/>
      </c>
      <c r="DF652" s="119" t="str">
        <f t="shared" si="892"/>
        <v/>
      </c>
      <c r="DG652" s="66" t="str">
        <f>+IF($W652="","",ROUND(IF($B652&gt;Parámetros!$D$107,'Tablas Servicio'!DE652+('Tablas Servicio'!DG651-'Tablas Servicio'!DE651),DE652/(1-IF(B652&lt;=10,Parámetros!$D$100,0))),2))</f>
        <v/>
      </c>
      <c r="DH652" s="66" t="str">
        <f t="shared" si="893"/>
        <v/>
      </c>
      <c r="DI652" s="66" t="str">
        <f t="shared" si="893"/>
        <v/>
      </c>
      <c r="DJ652" s="66" t="str">
        <f>+IF($W652="","",ROUND((DG652*Parámetros!$G$85),2))</f>
        <v/>
      </c>
      <c r="DK652" s="66" t="str">
        <f>+IF($W652="","",ROUND((DG652*(Parámetros!$G$86)),2))</f>
        <v/>
      </c>
      <c r="DL652" s="66" t="str">
        <f t="shared" si="894"/>
        <v/>
      </c>
      <c r="DM652" t="str">
        <f t="shared" si="935"/>
        <v/>
      </c>
      <c r="DN652" s="118" t="str">
        <f t="shared" si="936"/>
        <v/>
      </c>
      <c r="DO652" s="118" t="str">
        <f t="shared" si="937"/>
        <v/>
      </c>
      <c r="DP652" s="118" t="str">
        <f t="shared" si="938"/>
        <v/>
      </c>
      <c r="DQ652" s="122" t="str">
        <f>+IF(OR($W652="",DO652=0),"",ROUND((VLOOKUP(ROUNDDOWN($D652-1/frec,0),cob_adi,DB$40,FALSE)*(1+i/frec)^-0.5*(1+Parámetros!$D$103)*(1+rec_fracc)/frec),6))</f>
        <v/>
      </c>
      <c r="DR652" s="66" t="str">
        <f t="shared" si="895"/>
        <v/>
      </c>
      <c r="DS652" s="68" t="str">
        <f t="shared" si="896"/>
        <v/>
      </c>
      <c r="DT652" s="66" t="str">
        <f>+IF($W652="","",ROUND(IF($B652&gt;Parámetros!$D$107,'Tablas Servicio'!DR652+('Tablas Servicio'!DT651-'Tablas Servicio'!DR651),DR652/(1-IF(B652&lt;=10,Parámetros!$D$100,0))),2))</f>
        <v/>
      </c>
      <c r="DU652" s="66" t="str">
        <f t="shared" si="897"/>
        <v/>
      </c>
      <c r="DV652" s="66" t="str">
        <f t="shared" si="897"/>
        <v/>
      </c>
      <c r="DW652" s="66" t="str">
        <f>+IF($W652="","",ROUND((DT652*Parámetros!$G$85),2))</f>
        <v/>
      </c>
      <c r="DX652" s="66" t="str">
        <f>+IF($W652="","",ROUND((DT652*(Parámetros!$G$86)),2))</f>
        <v/>
      </c>
      <c r="DY652" s="66" t="str">
        <f t="shared" si="898"/>
        <v/>
      </c>
      <c r="DZ652" t="str">
        <f t="shared" si="940"/>
        <v/>
      </c>
      <c r="EA652" s="118" t="str">
        <f t="shared" si="940"/>
        <v/>
      </c>
      <c r="EB652" s="118" t="str">
        <f>+IF($W652="","",ROUND(IF(Parámetros!$D$25='TABLAS MORT'!$V$33,EB651,Z652/2),0))</f>
        <v/>
      </c>
      <c r="EC652" s="118" t="str">
        <f t="shared" si="940"/>
        <v/>
      </c>
      <c r="ED652" s="122" t="str">
        <f>+IF(OR($W652="",EB652=0),"",ROUND((VLOOKUP(ROUNDDOWN($D652-1/frec,0),cob_adi,DO$40,FALSE)*(1+i/frec)^-0.5*(1+Parámetros!$D$103)*(1+rec_fracc)/frec),6))</f>
        <v/>
      </c>
      <c r="EE652" s="66" t="str">
        <f t="shared" si="900"/>
        <v/>
      </c>
      <c r="EF652" s="68" t="str">
        <f t="shared" si="901"/>
        <v/>
      </c>
      <c r="EG652" s="66" t="str">
        <f>+IF($W652="","",ROUND(IF($B652&gt;Parámetros!$D$107,'Tablas Servicio'!EE652+('Tablas Servicio'!EG651-'Tablas Servicio'!EE651),EE652/(1-IF(B652&lt;=10,Parámetros!$D$100,0))),2))</f>
        <v/>
      </c>
      <c r="EH652" s="66" t="str">
        <f t="shared" si="902"/>
        <v/>
      </c>
      <c r="EI652" s="66" t="str">
        <f t="shared" si="902"/>
        <v/>
      </c>
      <c r="EJ652" s="66" t="str">
        <f>+IF($W652="","",ROUND((EG652*Parámetros!$G$85),2))</f>
        <v/>
      </c>
      <c r="EK652" s="66" t="str">
        <f>+IF($W652="","",ROUND((EG652*(Parámetros!$G$86)),2))</f>
        <v/>
      </c>
      <c r="EL652" s="66" t="str">
        <f t="shared" si="903"/>
        <v/>
      </c>
    </row>
    <row r="653" spans="1:142" x14ac:dyDescent="0.25">
      <c r="A653" t="str">
        <f>+IF($C653="","",ROUND(VLOOKUP('Tablas Servicio'!B653,Parámetros!$H$100:$J$159,IF(Parámetros!$E$16="F",2,3),FALSE),2))</f>
        <v/>
      </c>
      <c r="B653" t="str">
        <f t="shared" si="854"/>
        <v/>
      </c>
      <c r="C653" s="57" t="str">
        <f>+IF(D653="","",'Tablas Servicio'!C652+1)</f>
        <v/>
      </c>
      <c r="D653" s="56" t="str">
        <f>+IF(D652&lt;edadmaxtabla,D652+1/Parámetros!$E$25,"")</f>
        <v/>
      </c>
      <c r="E653" s="57" t="str">
        <f t="shared" si="864"/>
        <v/>
      </c>
      <c r="F653" s="59" t="str">
        <f t="shared" si="865"/>
        <v/>
      </c>
      <c r="G653" s="66" t="str">
        <f t="shared" si="855"/>
        <v/>
      </c>
      <c r="H653" s="66" t="str">
        <f t="shared" si="856"/>
        <v/>
      </c>
      <c r="I653" s="66" t="str">
        <f t="shared" si="904"/>
        <v/>
      </c>
      <c r="J653" s="66" t="str">
        <f t="shared" si="857"/>
        <v/>
      </c>
      <c r="K653" s="66" t="str">
        <f t="shared" si="858"/>
        <v/>
      </c>
      <c r="L653" s="66" t="str">
        <f t="shared" si="859"/>
        <v/>
      </c>
      <c r="M653" s="66" t="str">
        <f t="shared" si="860"/>
        <v/>
      </c>
      <c r="N653" s="66" t="str">
        <f>+IF(C653="","",ROUND(Parámetros!$D$23,2))</f>
        <v/>
      </c>
      <c r="O653" s="66" t="str">
        <f t="shared" si="861"/>
        <v/>
      </c>
      <c r="P653" s="66" t="str">
        <f>+IF($C653="","",ROUND(IF(B653&gt;Parámetros!$D$117,0,N653*Parámetros!$D$116-G653*Parámetros!$D$100),2))</f>
        <v/>
      </c>
      <c r="Q653" s="75" t="str">
        <f t="shared" si="905"/>
        <v/>
      </c>
      <c r="R653" s="75" t="str">
        <f t="shared" si="906"/>
        <v/>
      </c>
      <c r="S653" s="117" t="str">
        <f>+IF($C653="","",ROUND((S652+I653)*(1+Parámetros!$D$91),2))</f>
        <v/>
      </c>
      <c r="T653" s="117" t="str">
        <f>+IF($C653="","",ROUND(S653*VLOOKUP(B653,Parámetros!$C$30:$D$39,2,TRUE),2))</f>
        <v/>
      </c>
      <c r="U653" s="117" t="str">
        <f>+IF($C653="","",ROUND((U652+I653)*(1+Parámetros!$D$92),2))</f>
        <v/>
      </c>
      <c r="V653" s="117" t="str">
        <f>+IF($C653="","",ROUND(U653*VLOOKUP(B653,Parámetros!$C$30:$D$39,2,TRUE),2))</f>
        <v/>
      </c>
      <c r="W653" s="57" t="str">
        <f t="shared" si="907"/>
        <v/>
      </c>
      <c r="X653" t="str">
        <f t="shared" si="908"/>
        <v/>
      </c>
      <c r="Y653" t="str">
        <f t="shared" si="909"/>
        <v/>
      </c>
      <c r="Z653" s="118" t="str">
        <f>+IF($W653="","",ROUND(IF(Parámetros!$D$25='TABLAS MORT'!$V$33,Z652,Parámetros!$D$21-'Tablas Servicio'!T652),0))</f>
        <v/>
      </c>
      <c r="AA653" s="118" t="str">
        <f t="shared" si="910"/>
        <v/>
      </c>
      <c r="AB653" s="119" t="str">
        <f>+IF(W653="","",ROUND((VLOOKUP(ROUNDDOWN($D653-1/frec,0),qx_tabla,2,FALSE)*(1+i/frec)^-0.5*(1+Parámetros!$D$103)*(1+rec_fracc)/frec),6))</f>
        <v/>
      </c>
      <c r="AC653" s="66" t="str">
        <f t="shared" si="866"/>
        <v/>
      </c>
      <c r="AD653" s="119" t="str">
        <f t="shared" si="862"/>
        <v/>
      </c>
      <c r="AE653" s="66" t="str">
        <f>+IF($W653="","",ROUND(IF($B653&gt;Parámetros!$D$107,'Tablas Servicio'!AC653+('Tablas Servicio'!AG652-'Tablas Servicio'!AC652),AC653/(1-IF(B653&lt;=10,Parámetros!$D$104,Parámetros!$D$105))),2))</f>
        <v/>
      </c>
      <c r="AF653" s="66" t="str">
        <f>+IF($W653="","",ROUND(IF($B653&gt;Parámetros!$D$107,'Tablas Servicio'!AC653+('Tablas Servicio'!AG652-'Tablas Servicio'!AC652),(AC653+$A652/frec)/(1-IF(B653&lt;=Parámetros!$D$117,Parámetros!$D$100,0))),2))</f>
        <v/>
      </c>
      <c r="AG653" s="66" t="str">
        <f t="shared" si="867"/>
        <v/>
      </c>
      <c r="AH653" s="66" t="str">
        <f t="shared" si="868"/>
        <v/>
      </c>
      <c r="AI653" s="66" t="str">
        <f t="shared" si="869"/>
        <v/>
      </c>
      <c r="AJ653" s="66" t="str">
        <f>+IF($W653="","",ROUND((AG653*Parámetros!$G$85),2))</f>
        <v/>
      </c>
      <c r="AK653" s="66" t="str">
        <f>+IF($W653="","",ROUND((AG653*(Parámetros!$G$86)),2))</f>
        <v/>
      </c>
      <c r="AL653" s="66" t="str">
        <f t="shared" si="863"/>
        <v/>
      </c>
      <c r="AM653" t="str">
        <f t="shared" si="911"/>
        <v/>
      </c>
      <c r="AN653" t="str">
        <f t="shared" si="912"/>
        <v/>
      </c>
      <c r="AO653" s="118" t="str">
        <f t="shared" si="913"/>
        <v/>
      </c>
      <c r="AP653" s="118" t="str">
        <f t="shared" si="914"/>
        <v/>
      </c>
      <c r="AQ653" s="119" t="str">
        <f>+IF(OR($W653="",AO653=0),"",ROUND((VLOOKUP(ROUNDDOWN($D653-1/frec,0),cob_adi,Z$40,FALSE)*(1+i/frec)^-0.5*(1+Parámetros!$D$103)*(1+rec_fracc)/frec),6))</f>
        <v/>
      </c>
      <c r="AR653" s="66" t="str">
        <f t="shared" si="870"/>
        <v/>
      </c>
      <c r="AS653" s="119" t="str">
        <f t="shared" si="871"/>
        <v/>
      </c>
      <c r="AT653" s="66" t="str">
        <f>+IF($W653="","",ROUND(IF($B653&gt;Parámetros!$D$107,'Tablas Servicio'!AR653+('Tablas Servicio'!AT652-'Tablas Servicio'!AR652),AR653/(1-IF(B653&lt;=10,Parámetros!$D$100,0))),2))</f>
        <v/>
      </c>
      <c r="AU653" s="66" t="str">
        <f t="shared" si="872"/>
        <v/>
      </c>
      <c r="AV653" s="66" t="str">
        <f t="shared" si="872"/>
        <v/>
      </c>
      <c r="AW653" s="66" t="str">
        <f>+IF($W653="","",ROUND((AT653*Parámetros!$G$85),2))</f>
        <v/>
      </c>
      <c r="AX653" s="66" t="str">
        <f>+IF($W653="","",ROUND((AT653*(Parámetros!$G$86)),2))</f>
        <v/>
      </c>
      <c r="AY653" s="66" t="str">
        <f t="shared" si="873"/>
        <v/>
      </c>
      <c r="AZ653" t="str">
        <f t="shared" si="915"/>
        <v/>
      </c>
      <c r="BA653" t="str">
        <f t="shared" si="916"/>
        <v/>
      </c>
      <c r="BB653" s="118" t="str">
        <f t="shared" si="917"/>
        <v/>
      </c>
      <c r="BC653" s="118" t="str">
        <f t="shared" si="918"/>
        <v/>
      </c>
      <c r="BD653" s="119" t="str">
        <f>+IF(OR($W653="",BB653=0),"",ROUND((VLOOKUP(ROUNDDOWN($D653-1/frec,0),cob_adi,AO$40,FALSE)*(1+i/frec)^-0.5*(1+Parámetros!$D$103)*(1+rec_fracc)/frec),6))</f>
        <v/>
      </c>
      <c r="BE653" s="66" t="str">
        <f t="shared" si="874"/>
        <v/>
      </c>
      <c r="BF653" s="119" t="str">
        <f t="shared" si="875"/>
        <v/>
      </c>
      <c r="BG653" s="66" t="str">
        <f>+IF($W653="","",ROUND(IF($B653&gt;Parámetros!$D$107,'Tablas Servicio'!BE653+('Tablas Servicio'!BG652-'Tablas Servicio'!BE652),BE653/(1-IF(B653&lt;=10,Parámetros!$D$100,0))),2))</f>
        <v/>
      </c>
      <c r="BH653" s="66" t="str">
        <f t="shared" si="876"/>
        <v/>
      </c>
      <c r="BI653" s="66" t="str">
        <f t="shared" si="877"/>
        <v/>
      </c>
      <c r="BJ653" s="66" t="str">
        <f>+IF($W653="","",ROUND((BG653*Parámetros!$G$85),2))</f>
        <v/>
      </c>
      <c r="BK653" s="66" t="str">
        <f>+IF($W653="","",ROUND((BG653*(Parámetros!$G$86)),2))</f>
        <v/>
      </c>
      <c r="BL653" s="66" t="str">
        <f t="shared" si="878"/>
        <v/>
      </c>
      <c r="BM653" t="str">
        <f t="shared" si="919"/>
        <v/>
      </c>
      <c r="BN653" t="str">
        <f t="shared" si="920"/>
        <v/>
      </c>
      <c r="BO653" s="118" t="str">
        <f t="shared" si="921"/>
        <v/>
      </c>
      <c r="BP653" s="118" t="str">
        <f t="shared" si="922"/>
        <v/>
      </c>
      <c r="BQ653" s="119" t="str">
        <f>+IF(OR($W653="",BO653=0),"",ROUND((VLOOKUP(ROUNDDOWN($D653-1/frec,0),cob_adi,BB$40,FALSE)*(1+i/frec)^-0.5*(1+Parámetros!$D$103)*(1+rec_fracc)/frec),6))</f>
        <v/>
      </c>
      <c r="BR653" s="66" t="str">
        <f t="shared" si="879"/>
        <v/>
      </c>
      <c r="BS653" s="119" t="str">
        <f t="shared" si="880"/>
        <v/>
      </c>
      <c r="BT653" s="66" t="str">
        <f>+IF($W653="","",ROUND(IF($B653&gt;Parámetros!$D$107,'Tablas Servicio'!BR653+('Tablas Servicio'!BT652-'Tablas Servicio'!BR652),BR653/(1-IF(B653&lt;=10,Parámetros!$D$100,0))),2))</f>
        <v/>
      </c>
      <c r="BU653" s="66" t="str">
        <f t="shared" si="881"/>
        <v/>
      </c>
      <c r="BV653" s="66" t="str">
        <f t="shared" si="881"/>
        <v/>
      </c>
      <c r="BW653" s="66" t="str">
        <f>+IF($W653="","",ROUND((BT653*Parámetros!$G$85),2))</f>
        <v/>
      </c>
      <c r="BX653" s="66" t="str">
        <f>+IF($W653="","",ROUND((BT653*(Parámetros!$G$86)),2))</f>
        <v/>
      </c>
      <c r="BY653" s="66" t="str">
        <f t="shared" si="882"/>
        <v/>
      </c>
      <c r="BZ653" t="str">
        <f t="shared" si="923"/>
        <v/>
      </c>
      <c r="CA653" t="str">
        <f t="shared" si="924"/>
        <v/>
      </c>
      <c r="CB653" s="118" t="str">
        <f t="shared" si="925"/>
        <v/>
      </c>
      <c r="CC653" s="118" t="str">
        <f t="shared" si="926"/>
        <v/>
      </c>
      <c r="CD653" s="119" t="str">
        <f t="shared" si="883"/>
        <v/>
      </c>
      <c r="CE653" s="66" t="str">
        <f>+IF($W653="","",ROUND((VLOOKUP(ROUNDDOWN($D653-1/frec,0),cob_adi,BO$40,FALSE)*(1+i/frec)^-0.5*(1+Parámetros!$D$103)*(1+rec_fracc)/frec*'TABLAS ADI'!$BC$17),2))</f>
        <v/>
      </c>
      <c r="CF653" s="119" t="str">
        <f t="shared" si="884"/>
        <v/>
      </c>
      <c r="CG653" s="66" t="str">
        <f>+IF($W653="","",ROUND(IF($B653&gt;Parámetros!$D$107,'Tablas Servicio'!CE653+('Tablas Servicio'!CG652-'Tablas Servicio'!CE652),CE653/(1-IF(B653&lt;=10,Parámetros!$D$100,0))),2))</f>
        <v/>
      </c>
      <c r="CH653" s="66" t="str">
        <f t="shared" si="885"/>
        <v/>
      </c>
      <c r="CI653" s="66" t="str">
        <f t="shared" si="885"/>
        <v/>
      </c>
      <c r="CJ653" s="66" t="str">
        <f>+IF($W653="","",ROUND((CG653*Parámetros!$G$85),2))</f>
        <v/>
      </c>
      <c r="CK653" s="66" t="str">
        <f>+IF($W653="","",ROUND((CG653*(Parámetros!$G$86)),2))</f>
        <v/>
      </c>
      <c r="CL653" s="66" t="str">
        <f t="shared" si="886"/>
        <v/>
      </c>
      <c r="CM653" t="str">
        <f t="shared" si="927"/>
        <v/>
      </c>
      <c r="CN653" s="118" t="str">
        <f t="shared" si="928"/>
        <v/>
      </c>
      <c r="CO653" s="118" t="str">
        <f t="shared" si="929"/>
        <v/>
      </c>
      <c r="CP653" s="118" t="str">
        <f t="shared" si="930"/>
        <v/>
      </c>
      <c r="CQ653" s="119" t="str">
        <f t="shared" si="887"/>
        <v/>
      </c>
      <c r="CR653" s="66" t="str">
        <f>+IF($W653="","",ROUND((VLOOKUP(Parámetros!$F$51,'COBERTURAS ADICIONALES'!$S$4:$T$32,2,FALSE)*(1+i/frec)^-0.5*(1+Parámetros!$D$103)*(1+rec_fracc)/frec*$CO$42),2))</f>
        <v/>
      </c>
      <c r="CS653" s="119" t="str">
        <f t="shared" si="888"/>
        <v/>
      </c>
      <c r="CT653" s="66" t="str">
        <f>+IF($W653="","",ROUND(IF($B653&gt;Parámetros!$D$107,'Tablas Servicio'!CR653+('Tablas Servicio'!CT652-'Tablas Servicio'!CR652),CR653/(1-IF(B653&lt;=10,Parámetros!$D$100,0))),2))</f>
        <v/>
      </c>
      <c r="CU653" s="66" t="str">
        <f t="shared" si="889"/>
        <v/>
      </c>
      <c r="CV653" s="66" t="str">
        <f t="shared" si="889"/>
        <v/>
      </c>
      <c r="CW653" s="66" t="str">
        <f>+IF($W653="","",ROUND((CT653*Parámetros!$G$85),2))</f>
        <v/>
      </c>
      <c r="CX653" s="66" t="str">
        <f>+IF($W653="","",ROUND((CT653*(Parámetros!$G$86)),2))</f>
        <v/>
      </c>
      <c r="CY653" s="66" t="str">
        <f t="shared" si="890"/>
        <v/>
      </c>
      <c r="CZ653" t="str">
        <f t="shared" si="931"/>
        <v/>
      </c>
      <c r="DA653" s="118" t="str">
        <f t="shared" si="932"/>
        <v/>
      </c>
      <c r="DB653" s="118" t="str">
        <f t="shared" si="933"/>
        <v/>
      </c>
      <c r="DC653" s="118" t="str">
        <f t="shared" si="934"/>
        <v/>
      </c>
      <c r="DD653" s="121" t="str">
        <f>+IF(OR($W653="",DB653=0),"",ROUND((VLOOKUP(ROUNDDOWN($D653-1/frec,0),cob_adi,CO$40,FALSE)*(1+i/frec)^-0.5*(1+Parámetros!$D$103)*(1+rec_fracc)/frec),6))</f>
        <v/>
      </c>
      <c r="DE653" s="66" t="str">
        <f t="shared" si="891"/>
        <v/>
      </c>
      <c r="DF653" s="119" t="str">
        <f t="shared" si="892"/>
        <v/>
      </c>
      <c r="DG653" s="66" t="str">
        <f>+IF($W653="","",ROUND(IF($B653&gt;Parámetros!$D$107,'Tablas Servicio'!DE653+('Tablas Servicio'!DG652-'Tablas Servicio'!DE652),DE653/(1-IF(B653&lt;=10,Parámetros!$D$100,0))),2))</f>
        <v/>
      </c>
      <c r="DH653" s="66" t="str">
        <f t="shared" si="893"/>
        <v/>
      </c>
      <c r="DI653" s="66" t="str">
        <f t="shared" si="893"/>
        <v/>
      </c>
      <c r="DJ653" s="66" t="str">
        <f>+IF($W653="","",ROUND((DG653*Parámetros!$G$85),2))</f>
        <v/>
      </c>
      <c r="DK653" s="66" t="str">
        <f>+IF($W653="","",ROUND((DG653*(Parámetros!$G$86)),2))</f>
        <v/>
      </c>
      <c r="DL653" s="66" t="str">
        <f t="shared" si="894"/>
        <v/>
      </c>
      <c r="DM653" t="str">
        <f t="shared" si="935"/>
        <v/>
      </c>
      <c r="DN653" s="118" t="str">
        <f t="shared" si="936"/>
        <v/>
      </c>
      <c r="DO653" s="118" t="str">
        <f t="shared" si="937"/>
        <v/>
      </c>
      <c r="DP653" s="118" t="str">
        <f t="shared" si="938"/>
        <v/>
      </c>
      <c r="DQ653" s="122" t="str">
        <f>+IF(OR($W653="",DO653=0),"",ROUND((VLOOKUP(ROUNDDOWN($D653-1/frec,0),cob_adi,DB$40,FALSE)*(1+i/frec)^-0.5*(1+Parámetros!$D$103)*(1+rec_fracc)/frec),6))</f>
        <v/>
      </c>
      <c r="DR653" s="66" t="str">
        <f t="shared" si="895"/>
        <v/>
      </c>
      <c r="DS653" s="68" t="str">
        <f t="shared" si="896"/>
        <v/>
      </c>
      <c r="DT653" s="66" t="str">
        <f>+IF($W653="","",ROUND(IF($B653&gt;Parámetros!$D$107,'Tablas Servicio'!DR653+('Tablas Servicio'!DT652-'Tablas Servicio'!DR652),DR653/(1-IF(B653&lt;=10,Parámetros!$D$100,0))),2))</f>
        <v/>
      </c>
      <c r="DU653" s="66" t="str">
        <f t="shared" si="897"/>
        <v/>
      </c>
      <c r="DV653" s="66" t="str">
        <f t="shared" si="897"/>
        <v/>
      </c>
      <c r="DW653" s="66" t="str">
        <f>+IF($W653="","",ROUND((DT653*Parámetros!$G$85),2))</f>
        <v/>
      </c>
      <c r="DX653" s="66" t="str">
        <f>+IF($W653="","",ROUND((DT653*(Parámetros!$G$86)),2))</f>
        <v/>
      </c>
      <c r="DY653" s="66" t="str">
        <f t="shared" si="898"/>
        <v/>
      </c>
      <c r="DZ653" t="str">
        <f t="shared" si="940"/>
        <v/>
      </c>
      <c r="EA653" s="118" t="str">
        <f t="shared" si="940"/>
        <v/>
      </c>
      <c r="EB653" s="118" t="str">
        <f>+IF($W653="","",ROUND(IF(Parámetros!$D$25='TABLAS MORT'!$V$33,EB652,Z653/2),0))</f>
        <v/>
      </c>
      <c r="EC653" s="118" t="str">
        <f t="shared" si="940"/>
        <v/>
      </c>
      <c r="ED653" s="122" t="str">
        <f>+IF(OR($W653="",EB653=0),"",ROUND((VLOOKUP(ROUNDDOWN($D653-1/frec,0),cob_adi,DO$40,FALSE)*(1+i/frec)^-0.5*(1+Parámetros!$D$103)*(1+rec_fracc)/frec),6))</f>
        <v/>
      </c>
      <c r="EE653" s="66" t="str">
        <f t="shared" si="900"/>
        <v/>
      </c>
      <c r="EF653" s="68" t="str">
        <f t="shared" si="901"/>
        <v/>
      </c>
      <c r="EG653" s="66" t="str">
        <f>+IF($W653="","",ROUND(IF($B653&gt;Parámetros!$D$107,'Tablas Servicio'!EE653+('Tablas Servicio'!EG652-'Tablas Servicio'!EE652),EE653/(1-IF(B653&lt;=10,Parámetros!$D$100,0))),2))</f>
        <v/>
      </c>
      <c r="EH653" s="66" t="str">
        <f t="shared" si="902"/>
        <v/>
      </c>
      <c r="EI653" s="66" t="str">
        <f t="shared" si="902"/>
        <v/>
      </c>
      <c r="EJ653" s="66" t="str">
        <f>+IF($W653="","",ROUND((EG653*Parámetros!$G$85),2))</f>
        <v/>
      </c>
      <c r="EK653" s="66" t="str">
        <f>+IF($W653="","",ROUND((EG653*(Parámetros!$G$86)),2))</f>
        <v/>
      </c>
      <c r="EL653" s="66" t="str">
        <f t="shared" si="903"/>
        <v/>
      </c>
    </row>
    <row r="654" spans="1:142" x14ac:dyDescent="0.25">
      <c r="A654" t="str">
        <f>+IF($C654="","",ROUND(VLOOKUP('Tablas Servicio'!B654,Parámetros!$H$100:$J$159,IF(Parámetros!$E$16="F",2,3),FALSE),2))</f>
        <v/>
      </c>
      <c r="B654" t="str">
        <f t="shared" si="854"/>
        <v/>
      </c>
      <c r="C654" s="57" t="str">
        <f>+IF(D654="","",'Tablas Servicio'!C653+1)</f>
        <v/>
      </c>
      <c r="D654" s="56" t="str">
        <f>+IF(D653&lt;edadmaxtabla,D653+1/Parámetros!$E$25,"")</f>
        <v/>
      </c>
      <c r="E654" s="57" t="str">
        <f t="shared" si="864"/>
        <v/>
      </c>
      <c r="F654" s="59" t="str">
        <f t="shared" si="865"/>
        <v/>
      </c>
      <c r="G654" s="66" t="str">
        <f t="shared" si="855"/>
        <v/>
      </c>
      <c r="H654" s="66" t="str">
        <f t="shared" si="856"/>
        <v/>
      </c>
      <c r="I654" s="66" t="str">
        <f t="shared" si="904"/>
        <v/>
      </c>
      <c r="J654" s="66" t="str">
        <f t="shared" si="857"/>
        <v/>
      </c>
      <c r="K654" s="66" t="str">
        <f t="shared" si="858"/>
        <v/>
      </c>
      <c r="L654" s="66" t="str">
        <f t="shared" si="859"/>
        <v/>
      </c>
      <c r="M654" s="66" t="str">
        <f t="shared" si="860"/>
        <v/>
      </c>
      <c r="N654" s="66" t="str">
        <f>+IF(C654="","",ROUND(Parámetros!$D$23,2))</f>
        <v/>
      </c>
      <c r="O654" s="66" t="str">
        <f t="shared" si="861"/>
        <v/>
      </c>
      <c r="P654" s="66" t="str">
        <f>+IF($C654="","",ROUND(IF(B654&gt;Parámetros!$D$117,0,N654*Parámetros!$D$116-G654*Parámetros!$D$100),2))</f>
        <v/>
      </c>
      <c r="Q654" s="75" t="str">
        <f t="shared" si="905"/>
        <v/>
      </c>
      <c r="R654" s="75" t="str">
        <f t="shared" si="906"/>
        <v/>
      </c>
      <c r="S654" s="117" t="str">
        <f>+IF($C654="","",ROUND((S653+I654)*(1+Parámetros!$D$91),2))</f>
        <v/>
      </c>
      <c r="T654" s="117" t="str">
        <f>+IF($C654="","",ROUND(S654*VLOOKUP(B654,Parámetros!$C$30:$D$39,2,TRUE),2))</f>
        <v/>
      </c>
      <c r="U654" s="117" t="str">
        <f>+IF($C654="","",ROUND((U653+I654)*(1+Parámetros!$D$92),2))</f>
        <v/>
      </c>
      <c r="V654" s="117" t="str">
        <f>+IF($C654="","",ROUND(U654*VLOOKUP(B654,Parámetros!$C$30:$D$39,2,TRUE),2))</f>
        <v/>
      </c>
      <c r="W654" s="57" t="str">
        <f t="shared" si="907"/>
        <v/>
      </c>
      <c r="X654" t="str">
        <f t="shared" si="908"/>
        <v/>
      </c>
      <c r="Y654" t="str">
        <f t="shared" si="909"/>
        <v/>
      </c>
      <c r="Z654" s="118" t="str">
        <f>+IF($W654="","",ROUND(IF(Parámetros!$D$25='TABLAS MORT'!$V$33,Z653,Parámetros!$D$21-'Tablas Servicio'!T653),0))</f>
        <v/>
      </c>
      <c r="AA654" s="118" t="str">
        <f t="shared" si="910"/>
        <v/>
      </c>
      <c r="AB654" s="119" t="str">
        <f>+IF(W654="","",ROUND((VLOOKUP(ROUNDDOWN($D654-1/frec,0),qx_tabla,2,FALSE)*(1+i/frec)^-0.5*(1+Parámetros!$D$103)*(1+rec_fracc)/frec),6))</f>
        <v/>
      </c>
      <c r="AC654" s="66" t="str">
        <f t="shared" si="866"/>
        <v/>
      </c>
      <c r="AD654" s="119" t="str">
        <f t="shared" si="862"/>
        <v/>
      </c>
      <c r="AE654" s="66" t="str">
        <f>+IF($W654="","",ROUND(IF($B654&gt;Parámetros!$D$107,'Tablas Servicio'!AC654+('Tablas Servicio'!AG653-'Tablas Servicio'!AC653),AC654/(1-IF(B654&lt;=10,Parámetros!$D$104,Parámetros!$D$105))),2))</f>
        <v/>
      </c>
      <c r="AF654" s="66" t="str">
        <f>+IF($W654="","",ROUND(IF($B654&gt;Parámetros!$D$107,'Tablas Servicio'!AC654+('Tablas Servicio'!AG653-'Tablas Servicio'!AC653),(AC654+$A653/frec)/(1-IF(B654&lt;=Parámetros!$D$117,Parámetros!$D$100,0))),2))</f>
        <v/>
      </c>
      <c r="AG654" s="66" t="str">
        <f t="shared" si="867"/>
        <v/>
      </c>
      <c r="AH654" s="66" t="str">
        <f t="shared" si="868"/>
        <v/>
      </c>
      <c r="AI654" s="66" t="str">
        <f t="shared" si="869"/>
        <v/>
      </c>
      <c r="AJ654" s="66" t="str">
        <f>+IF($W654="","",ROUND((AG654*Parámetros!$G$85),2))</f>
        <v/>
      </c>
      <c r="AK654" s="66" t="str">
        <f>+IF($W654="","",ROUND((AG654*(Parámetros!$G$86)),2))</f>
        <v/>
      </c>
      <c r="AL654" s="66" t="str">
        <f t="shared" si="863"/>
        <v/>
      </c>
      <c r="AM654" t="str">
        <f t="shared" si="911"/>
        <v/>
      </c>
      <c r="AN654" t="str">
        <f t="shared" si="912"/>
        <v/>
      </c>
      <c r="AO654" s="118" t="str">
        <f t="shared" si="913"/>
        <v/>
      </c>
      <c r="AP654" s="118" t="str">
        <f t="shared" si="914"/>
        <v/>
      </c>
      <c r="AQ654" s="119" t="str">
        <f>+IF(OR($W654="",AO654=0),"",ROUND((VLOOKUP(ROUNDDOWN($D654-1/frec,0),cob_adi,Z$40,FALSE)*(1+i/frec)^-0.5*(1+Parámetros!$D$103)*(1+rec_fracc)/frec),6))</f>
        <v/>
      </c>
      <c r="AR654" s="66" t="str">
        <f t="shared" si="870"/>
        <v/>
      </c>
      <c r="AS654" s="119" t="str">
        <f t="shared" si="871"/>
        <v/>
      </c>
      <c r="AT654" s="66" t="str">
        <f>+IF($W654="","",ROUND(IF($B654&gt;Parámetros!$D$107,'Tablas Servicio'!AR654+('Tablas Servicio'!AT653-'Tablas Servicio'!AR653),AR654/(1-IF(B654&lt;=10,Parámetros!$D$100,0))),2))</f>
        <v/>
      </c>
      <c r="AU654" s="66" t="str">
        <f t="shared" si="872"/>
        <v/>
      </c>
      <c r="AV654" s="66" t="str">
        <f t="shared" si="872"/>
        <v/>
      </c>
      <c r="AW654" s="66" t="str">
        <f>+IF($W654="","",ROUND((AT654*Parámetros!$G$85),2))</f>
        <v/>
      </c>
      <c r="AX654" s="66" t="str">
        <f>+IF($W654="","",ROUND((AT654*(Parámetros!$G$86)),2))</f>
        <v/>
      </c>
      <c r="AY654" s="66" t="str">
        <f t="shared" si="873"/>
        <v/>
      </c>
      <c r="AZ654" t="str">
        <f t="shared" si="915"/>
        <v/>
      </c>
      <c r="BA654" t="str">
        <f t="shared" si="916"/>
        <v/>
      </c>
      <c r="BB654" s="118" t="str">
        <f t="shared" si="917"/>
        <v/>
      </c>
      <c r="BC654" s="118" t="str">
        <f t="shared" si="918"/>
        <v/>
      </c>
      <c r="BD654" s="119" t="str">
        <f>+IF(OR($W654="",BB654=0),"",ROUND((VLOOKUP(ROUNDDOWN($D654-1/frec,0),cob_adi,AO$40,FALSE)*(1+i/frec)^-0.5*(1+Parámetros!$D$103)*(1+rec_fracc)/frec),6))</f>
        <v/>
      </c>
      <c r="BE654" s="66" t="str">
        <f t="shared" si="874"/>
        <v/>
      </c>
      <c r="BF654" s="119" t="str">
        <f t="shared" si="875"/>
        <v/>
      </c>
      <c r="BG654" s="66" t="str">
        <f>+IF($W654="","",ROUND(IF($B654&gt;Parámetros!$D$107,'Tablas Servicio'!BE654+('Tablas Servicio'!BG653-'Tablas Servicio'!BE653),BE654/(1-IF(B654&lt;=10,Parámetros!$D$100,0))),2))</f>
        <v/>
      </c>
      <c r="BH654" s="66" t="str">
        <f t="shared" si="876"/>
        <v/>
      </c>
      <c r="BI654" s="66" t="str">
        <f t="shared" si="877"/>
        <v/>
      </c>
      <c r="BJ654" s="66" t="str">
        <f>+IF($W654="","",ROUND((BG654*Parámetros!$G$85),2))</f>
        <v/>
      </c>
      <c r="BK654" s="66" t="str">
        <f>+IF($W654="","",ROUND((BG654*(Parámetros!$G$86)),2))</f>
        <v/>
      </c>
      <c r="BL654" s="66" t="str">
        <f t="shared" si="878"/>
        <v/>
      </c>
      <c r="BM654" t="str">
        <f t="shared" si="919"/>
        <v/>
      </c>
      <c r="BN654" t="str">
        <f t="shared" si="920"/>
        <v/>
      </c>
      <c r="BO654" s="118" t="str">
        <f t="shared" si="921"/>
        <v/>
      </c>
      <c r="BP654" s="118" t="str">
        <f t="shared" si="922"/>
        <v/>
      </c>
      <c r="BQ654" s="119" t="str">
        <f>+IF(OR($W654="",BO654=0),"",ROUND((VLOOKUP(ROUNDDOWN($D654-1/frec,0),cob_adi,BB$40,FALSE)*(1+i/frec)^-0.5*(1+Parámetros!$D$103)*(1+rec_fracc)/frec),6))</f>
        <v/>
      </c>
      <c r="BR654" s="66" t="str">
        <f t="shared" si="879"/>
        <v/>
      </c>
      <c r="BS654" s="119" t="str">
        <f t="shared" si="880"/>
        <v/>
      </c>
      <c r="BT654" s="66" t="str">
        <f>+IF($W654="","",ROUND(IF($B654&gt;Parámetros!$D$107,'Tablas Servicio'!BR654+('Tablas Servicio'!BT653-'Tablas Servicio'!BR653),BR654/(1-IF(B654&lt;=10,Parámetros!$D$100,0))),2))</f>
        <v/>
      </c>
      <c r="BU654" s="66" t="str">
        <f t="shared" si="881"/>
        <v/>
      </c>
      <c r="BV654" s="66" t="str">
        <f t="shared" si="881"/>
        <v/>
      </c>
      <c r="BW654" s="66" t="str">
        <f>+IF($W654="","",ROUND((BT654*Parámetros!$G$85),2))</f>
        <v/>
      </c>
      <c r="BX654" s="66" t="str">
        <f>+IF($W654="","",ROUND((BT654*(Parámetros!$G$86)),2))</f>
        <v/>
      </c>
      <c r="BY654" s="66" t="str">
        <f t="shared" si="882"/>
        <v/>
      </c>
      <c r="BZ654" t="str">
        <f t="shared" si="923"/>
        <v/>
      </c>
      <c r="CA654" t="str">
        <f t="shared" si="924"/>
        <v/>
      </c>
      <c r="CB654" s="118" t="str">
        <f t="shared" si="925"/>
        <v/>
      </c>
      <c r="CC654" s="118" t="str">
        <f t="shared" si="926"/>
        <v/>
      </c>
      <c r="CD654" s="119" t="str">
        <f t="shared" si="883"/>
        <v/>
      </c>
      <c r="CE654" s="66" t="str">
        <f>+IF($W654="","",ROUND((VLOOKUP(ROUNDDOWN($D654-1/frec,0),cob_adi,BO$40,FALSE)*(1+i/frec)^-0.5*(1+Parámetros!$D$103)*(1+rec_fracc)/frec*'TABLAS ADI'!$BC$17),2))</f>
        <v/>
      </c>
      <c r="CF654" s="119" t="str">
        <f t="shared" si="884"/>
        <v/>
      </c>
      <c r="CG654" s="66" t="str">
        <f>+IF($W654="","",ROUND(IF($B654&gt;Parámetros!$D$107,'Tablas Servicio'!CE654+('Tablas Servicio'!CG653-'Tablas Servicio'!CE653),CE654/(1-IF(B654&lt;=10,Parámetros!$D$100,0))),2))</f>
        <v/>
      </c>
      <c r="CH654" s="66" t="str">
        <f t="shared" si="885"/>
        <v/>
      </c>
      <c r="CI654" s="66" t="str">
        <f t="shared" si="885"/>
        <v/>
      </c>
      <c r="CJ654" s="66" t="str">
        <f>+IF($W654="","",ROUND((CG654*Parámetros!$G$85),2))</f>
        <v/>
      </c>
      <c r="CK654" s="66" t="str">
        <f>+IF($W654="","",ROUND((CG654*(Parámetros!$G$86)),2))</f>
        <v/>
      </c>
      <c r="CL654" s="66" t="str">
        <f t="shared" si="886"/>
        <v/>
      </c>
      <c r="CM654" t="str">
        <f t="shared" si="927"/>
        <v/>
      </c>
      <c r="CN654" s="118" t="str">
        <f t="shared" si="928"/>
        <v/>
      </c>
      <c r="CO654" s="118" t="str">
        <f t="shared" si="929"/>
        <v/>
      </c>
      <c r="CP654" s="118" t="str">
        <f t="shared" si="930"/>
        <v/>
      </c>
      <c r="CQ654" s="119" t="str">
        <f t="shared" si="887"/>
        <v/>
      </c>
      <c r="CR654" s="66" t="str">
        <f>+IF($W654="","",ROUND((VLOOKUP(Parámetros!$F$51,'COBERTURAS ADICIONALES'!$S$4:$T$32,2,FALSE)*(1+i/frec)^-0.5*(1+Parámetros!$D$103)*(1+rec_fracc)/frec*$CO$42),2))</f>
        <v/>
      </c>
      <c r="CS654" s="119" t="str">
        <f t="shared" si="888"/>
        <v/>
      </c>
      <c r="CT654" s="66" t="str">
        <f>+IF($W654="","",ROUND(IF($B654&gt;Parámetros!$D$107,'Tablas Servicio'!CR654+('Tablas Servicio'!CT653-'Tablas Servicio'!CR653),CR654/(1-IF(B654&lt;=10,Parámetros!$D$100,0))),2))</f>
        <v/>
      </c>
      <c r="CU654" s="66" t="str">
        <f t="shared" si="889"/>
        <v/>
      </c>
      <c r="CV654" s="66" t="str">
        <f t="shared" si="889"/>
        <v/>
      </c>
      <c r="CW654" s="66" t="str">
        <f>+IF($W654="","",ROUND((CT654*Parámetros!$G$85),2))</f>
        <v/>
      </c>
      <c r="CX654" s="66" t="str">
        <f>+IF($W654="","",ROUND((CT654*(Parámetros!$G$86)),2))</f>
        <v/>
      </c>
      <c r="CY654" s="66" t="str">
        <f t="shared" si="890"/>
        <v/>
      </c>
      <c r="CZ654" t="str">
        <f t="shared" si="931"/>
        <v/>
      </c>
      <c r="DA654" s="118" t="str">
        <f t="shared" si="932"/>
        <v/>
      </c>
      <c r="DB654" s="118" t="str">
        <f t="shared" si="933"/>
        <v/>
      </c>
      <c r="DC654" s="118" t="str">
        <f t="shared" si="934"/>
        <v/>
      </c>
      <c r="DD654" s="121" t="str">
        <f>+IF(OR($W654="",DB654=0),"",ROUND((VLOOKUP(ROUNDDOWN($D654-1/frec,0),cob_adi,CO$40,FALSE)*(1+i/frec)^-0.5*(1+Parámetros!$D$103)*(1+rec_fracc)/frec),6))</f>
        <v/>
      </c>
      <c r="DE654" s="66" t="str">
        <f t="shared" si="891"/>
        <v/>
      </c>
      <c r="DF654" s="119" t="str">
        <f t="shared" si="892"/>
        <v/>
      </c>
      <c r="DG654" s="66" t="str">
        <f>+IF($W654="","",ROUND(IF($B654&gt;Parámetros!$D$107,'Tablas Servicio'!DE654+('Tablas Servicio'!DG653-'Tablas Servicio'!DE653),DE654/(1-IF(B654&lt;=10,Parámetros!$D$100,0))),2))</f>
        <v/>
      </c>
      <c r="DH654" s="66" t="str">
        <f t="shared" si="893"/>
        <v/>
      </c>
      <c r="DI654" s="66" t="str">
        <f t="shared" si="893"/>
        <v/>
      </c>
      <c r="DJ654" s="66" t="str">
        <f>+IF($W654="","",ROUND((DG654*Parámetros!$G$85),2))</f>
        <v/>
      </c>
      <c r="DK654" s="66" t="str">
        <f>+IF($W654="","",ROUND((DG654*(Parámetros!$G$86)),2))</f>
        <v/>
      </c>
      <c r="DL654" s="66" t="str">
        <f t="shared" si="894"/>
        <v/>
      </c>
      <c r="DM654" t="str">
        <f t="shared" si="935"/>
        <v/>
      </c>
      <c r="DN654" s="118" t="str">
        <f t="shared" si="936"/>
        <v/>
      </c>
      <c r="DO654" s="118" t="str">
        <f t="shared" si="937"/>
        <v/>
      </c>
      <c r="DP654" s="118" t="str">
        <f t="shared" si="938"/>
        <v/>
      </c>
      <c r="DQ654" s="122" t="str">
        <f>+IF(OR($W654="",DO654=0),"",ROUND((VLOOKUP(ROUNDDOWN($D654-1/frec,0),cob_adi,DB$40,FALSE)*(1+i/frec)^-0.5*(1+Parámetros!$D$103)*(1+rec_fracc)/frec),6))</f>
        <v/>
      </c>
      <c r="DR654" s="66" t="str">
        <f t="shared" si="895"/>
        <v/>
      </c>
      <c r="DS654" s="68" t="str">
        <f t="shared" si="896"/>
        <v/>
      </c>
      <c r="DT654" s="66" t="str">
        <f>+IF($W654="","",ROUND(IF($B654&gt;Parámetros!$D$107,'Tablas Servicio'!DR654+('Tablas Servicio'!DT653-'Tablas Servicio'!DR653),DR654/(1-IF(B654&lt;=10,Parámetros!$D$100,0))),2))</f>
        <v/>
      </c>
      <c r="DU654" s="66" t="str">
        <f t="shared" si="897"/>
        <v/>
      </c>
      <c r="DV654" s="66" t="str">
        <f t="shared" si="897"/>
        <v/>
      </c>
      <c r="DW654" s="66" t="str">
        <f>+IF($W654="","",ROUND((DT654*Parámetros!$G$85),2))</f>
        <v/>
      </c>
      <c r="DX654" s="66" t="str">
        <f>+IF($W654="","",ROUND((DT654*(Parámetros!$G$86)),2))</f>
        <v/>
      </c>
      <c r="DY654" s="66" t="str">
        <f t="shared" si="898"/>
        <v/>
      </c>
      <c r="DZ654" t="str">
        <f t="shared" si="940"/>
        <v/>
      </c>
      <c r="EA654" s="118" t="str">
        <f t="shared" si="940"/>
        <v/>
      </c>
      <c r="EB654" s="118" t="str">
        <f>+IF($W654="","",ROUND(IF(Parámetros!$D$25='TABLAS MORT'!$V$33,EB653,Z654/2),0))</f>
        <v/>
      </c>
      <c r="EC654" s="118" t="str">
        <f t="shared" si="940"/>
        <v/>
      </c>
      <c r="ED654" s="122" t="str">
        <f>+IF(OR($W654="",EB654=0),"",ROUND((VLOOKUP(ROUNDDOWN($D654-1/frec,0),cob_adi,DO$40,FALSE)*(1+i/frec)^-0.5*(1+Parámetros!$D$103)*(1+rec_fracc)/frec),6))</f>
        <v/>
      </c>
      <c r="EE654" s="66" t="str">
        <f t="shared" si="900"/>
        <v/>
      </c>
      <c r="EF654" s="68" t="str">
        <f t="shared" si="901"/>
        <v/>
      </c>
      <c r="EG654" s="66" t="str">
        <f>+IF($W654="","",ROUND(IF($B654&gt;Parámetros!$D$107,'Tablas Servicio'!EE654+('Tablas Servicio'!EG653-'Tablas Servicio'!EE653),EE654/(1-IF(B654&lt;=10,Parámetros!$D$100,0))),2))</f>
        <v/>
      </c>
      <c r="EH654" s="66" t="str">
        <f t="shared" si="902"/>
        <v/>
      </c>
      <c r="EI654" s="66" t="str">
        <f t="shared" si="902"/>
        <v/>
      </c>
      <c r="EJ654" s="66" t="str">
        <f>+IF($W654="","",ROUND((EG654*Parámetros!$G$85),2))</f>
        <v/>
      </c>
      <c r="EK654" s="66" t="str">
        <f>+IF($W654="","",ROUND((EG654*(Parámetros!$G$86)),2))</f>
        <v/>
      </c>
      <c r="EL654" s="66" t="str">
        <f t="shared" si="903"/>
        <v/>
      </c>
    </row>
    <row r="655" spans="1:142" x14ac:dyDescent="0.25">
      <c r="A655" t="str">
        <f>+IF($C655="","",ROUND(VLOOKUP('Tablas Servicio'!B655,Parámetros!$H$100:$J$159,IF(Parámetros!$E$16="F",2,3),FALSE),2))</f>
        <v/>
      </c>
      <c r="B655" t="str">
        <f t="shared" si="854"/>
        <v/>
      </c>
      <c r="C655" s="57" t="str">
        <f>+IF(D655="","",'Tablas Servicio'!C654+1)</f>
        <v/>
      </c>
      <c r="D655" s="56" t="str">
        <f>+IF(D654&lt;edadmaxtabla,D654+1/Parámetros!$E$25,"")</f>
        <v/>
      </c>
      <c r="E655" s="57" t="str">
        <f t="shared" si="864"/>
        <v/>
      </c>
      <c r="F655" s="59" t="str">
        <f t="shared" si="865"/>
        <v/>
      </c>
      <c r="G655" s="66" t="str">
        <f t="shared" si="855"/>
        <v/>
      </c>
      <c r="H655" s="66" t="str">
        <f t="shared" si="856"/>
        <v/>
      </c>
      <c r="I655" s="66" t="str">
        <f t="shared" si="904"/>
        <v/>
      </c>
      <c r="J655" s="66" t="str">
        <f t="shared" si="857"/>
        <v/>
      </c>
      <c r="K655" s="66" t="str">
        <f t="shared" si="858"/>
        <v/>
      </c>
      <c r="L655" s="66" t="str">
        <f t="shared" si="859"/>
        <v/>
      </c>
      <c r="M655" s="66" t="str">
        <f t="shared" si="860"/>
        <v/>
      </c>
      <c r="N655" s="66" t="str">
        <f>+IF(C655="","",ROUND(Parámetros!$D$23,2))</f>
        <v/>
      </c>
      <c r="O655" s="66" t="str">
        <f t="shared" si="861"/>
        <v/>
      </c>
      <c r="P655" s="66" t="str">
        <f>+IF($C655="","",ROUND(IF(B655&gt;Parámetros!$D$117,0,N655*Parámetros!$D$116-G655*Parámetros!$D$100),2))</f>
        <v/>
      </c>
      <c r="Q655" s="75" t="str">
        <f t="shared" si="905"/>
        <v/>
      </c>
      <c r="R655" s="75" t="str">
        <f t="shared" si="906"/>
        <v/>
      </c>
      <c r="S655" s="117" t="str">
        <f>+IF($C655="","",ROUND((S654+I655)*(1+Parámetros!$D$91),2))</f>
        <v/>
      </c>
      <c r="T655" s="117" t="str">
        <f>+IF($C655="","",ROUND(S655*VLOOKUP(B655,Parámetros!$C$30:$D$39,2,TRUE),2))</f>
        <v/>
      </c>
      <c r="U655" s="117" t="str">
        <f>+IF($C655="","",ROUND((U654+I655)*(1+Parámetros!$D$92),2))</f>
        <v/>
      </c>
      <c r="V655" s="117" t="str">
        <f>+IF($C655="","",ROUND(U655*VLOOKUP(B655,Parámetros!$C$30:$D$39,2,TRUE),2))</f>
        <v/>
      </c>
      <c r="W655" s="57" t="str">
        <f t="shared" si="907"/>
        <v/>
      </c>
      <c r="X655" t="str">
        <f t="shared" si="908"/>
        <v/>
      </c>
      <c r="Y655" t="str">
        <f t="shared" si="909"/>
        <v/>
      </c>
      <c r="Z655" s="118" t="str">
        <f>+IF($W655="","",ROUND(IF(Parámetros!$D$25='TABLAS MORT'!$V$33,Z654,Parámetros!$D$21-'Tablas Servicio'!T654),0))</f>
        <v/>
      </c>
      <c r="AA655" s="118" t="str">
        <f t="shared" si="910"/>
        <v/>
      </c>
      <c r="AB655" s="119" t="str">
        <f>+IF(W655="","",ROUND((VLOOKUP(ROUNDDOWN($D655-1/frec,0),qx_tabla,2,FALSE)*(1+i/frec)^-0.5*(1+Parámetros!$D$103)*(1+rec_fracc)/frec),6))</f>
        <v/>
      </c>
      <c r="AC655" s="66" t="str">
        <f t="shared" si="866"/>
        <v/>
      </c>
      <c r="AD655" s="119" t="str">
        <f t="shared" si="862"/>
        <v/>
      </c>
      <c r="AE655" s="66" t="str">
        <f>+IF($W655="","",ROUND(IF($B655&gt;Parámetros!$D$107,'Tablas Servicio'!AC655+('Tablas Servicio'!AG654-'Tablas Servicio'!AC654),AC655/(1-IF(B655&lt;=10,Parámetros!$D$104,Parámetros!$D$105))),2))</f>
        <v/>
      </c>
      <c r="AF655" s="66" t="str">
        <f>+IF($W655="","",ROUND(IF($B655&gt;Parámetros!$D$107,'Tablas Servicio'!AC655+('Tablas Servicio'!AG654-'Tablas Servicio'!AC654),(AC655+$A654/frec)/(1-IF(B655&lt;=Parámetros!$D$117,Parámetros!$D$100,0))),2))</f>
        <v/>
      </c>
      <c r="AG655" s="66" t="str">
        <f t="shared" si="867"/>
        <v/>
      </c>
      <c r="AH655" s="66" t="str">
        <f t="shared" si="868"/>
        <v/>
      </c>
      <c r="AI655" s="66" t="str">
        <f t="shared" si="869"/>
        <v/>
      </c>
      <c r="AJ655" s="66" t="str">
        <f>+IF($W655="","",ROUND((AG655*Parámetros!$G$85),2))</f>
        <v/>
      </c>
      <c r="AK655" s="66" t="str">
        <f>+IF($W655="","",ROUND((AG655*(Parámetros!$G$86)),2))</f>
        <v/>
      </c>
      <c r="AL655" s="66" t="str">
        <f t="shared" si="863"/>
        <v/>
      </c>
      <c r="AM655" t="str">
        <f t="shared" si="911"/>
        <v/>
      </c>
      <c r="AN655" t="str">
        <f t="shared" si="912"/>
        <v/>
      </c>
      <c r="AO655" s="118" t="str">
        <f t="shared" si="913"/>
        <v/>
      </c>
      <c r="AP655" s="118" t="str">
        <f t="shared" si="914"/>
        <v/>
      </c>
      <c r="AQ655" s="119" t="str">
        <f>+IF(OR($W655="",AO655=0),"",ROUND((VLOOKUP(ROUNDDOWN($D655-1/frec,0),cob_adi,Z$40,FALSE)*(1+i/frec)^-0.5*(1+Parámetros!$D$103)*(1+rec_fracc)/frec),6))</f>
        <v/>
      </c>
      <c r="AR655" s="66" t="str">
        <f t="shared" si="870"/>
        <v/>
      </c>
      <c r="AS655" s="119" t="str">
        <f t="shared" si="871"/>
        <v/>
      </c>
      <c r="AT655" s="66" t="str">
        <f>+IF($W655="","",ROUND(IF($B655&gt;Parámetros!$D$107,'Tablas Servicio'!AR655+('Tablas Servicio'!AT654-'Tablas Servicio'!AR654),AR655/(1-IF(B655&lt;=10,Parámetros!$D$100,0))),2))</f>
        <v/>
      </c>
      <c r="AU655" s="66" t="str">
        <f t="shared" si="872"/>
        <v/>
      </c>
      <c r="AV655" s="66" t="str">
        <f t="shared" si="872"/>
        <v/>
      </c>
      <c r="AW655" s="66" t="str">
        <f>+IF($W655="","",ROUND((AT655*Parámetros!$G$85),2))</f>
        <v/>
      </c>
      <c r="AX655" s="66" t="str">
        <f>+IF($W655="","",ROUND((AT655*(Parámetros!$G$86)),2))</f>
        <v/>
      </c>
      <c r="AY655" s="66" t="str">
        <f t="shared" si="873"/>
        <v/>
      </c>
      <c r="AZ655" t="str">
        <f t="shared" si="915"/>
        <v/>
      </c>
      <c r="BA655" t="str">
        <f t="shared" si="916"/>
        <v/>
      </c>
      <c r="BB655" s="118" t="str">
        <f t="shared" si="917"/>
        <v/>
      </c>
      <c r="BC655" s="118" t="str">
        <f t="shared" si="918"/>
        <v/>
      </c>
      <c r="BD655" s="119" t="str">
        <f>+IF(OR($W655="",BB655=0),"",ROUND((VLOOKUP(ROUNDDOWN($D655-1/frec,0),cob_adi,AO$40,FALSE)*(1+i/frec)^-0.5*(1+Parámetros!$D$103)*(1+rec_fracc)/frec),6))</f>
        <v/>
      </c>
      <c r="BE655" s="66" t="str">
        <f t="shared" si="874"/>
        <v/>
      </c>
      <c r="BF655" s="119" t="str">
        <f t="shared" si="875"/>
        <v/>
      </c>
      <c r="BG655" s="66" t="str">
        <f>+IF($W655="","",ROUND(IF($B655&gt;Parámetros!$D$107,'Tablas Servicio'!BE655+('Tablas Servicio'!BG654-'Tablas Servicio'!BE654),BE655/(1-IF(B655&lt;=10,Parámetros!$D$100,0))),2))</f>
        <v/>
      </c>
      <c r="BH655" s="66" t="str">
        <f t="shared" si="876"/>
        <v/>
      </c>
      <c r="BI655" s="66" t="str">
        <f t="shared" si="877"/>
        <v/>
      </c>
      <c r="BJ655" s="66" t="str">
        <f>+IF($W655="","",ROUND((BG655*Parámetros!$G$85),2))</f>
        <v/>
      </c>
      <c r="BK655" s="66" t="str">
        <f>+IF($W655="","",ROUND((BG655*(Parámetros!$G$86)),2))</f>
        <v/>
      </c>
      <c r="BL655" s="66" t="str">
        <f t="shared" si="878"/>
        <v/>
      </c>
      <c r="BM655" t="str">
        <f t="shared" si="919"/>
        <v/>
      </c>
      <c r="BN655" t="str">
        <f t="shared" si="920"/>
        <v/>
      </c>
      <c r="BO655" s="118" t="str">
        <f t="shared" si="921"/>
        <v/>
      </c>
      <c r="BP655" s="118" t="str">
        <f t="shared" si="922"/>
        <v/>
      </c>
      <c r="BQ655" s="119" t="str">
        <f>+IF(OR($W655="",BO655=0),"",ROUND((VLOOKUP(ROUNDDOWN($D655-1/frec,0),cob_adi,BB$40,FALSE)*(1+i/frec)^-0.5*(1+Parámetros!$D$103)*(1+rec_fracc)/frec),6))</f>
        <v/>
      </c>
      <c r="BR655" s="66" t="str">
        <f t="shared" si="879"/>
        <v/>
      </c>
      <c r="BS655" s="119" t="str">
        <f t="shared" si="880"/>
        <v/>
      </c>
      <c r="BT655" s="66" t="str">
        <f>+IF($W655="","",ROUND(IF($B655&gt;Parámetros!$D$107,'Tablas Servicio'!BR655+('Tablas Servicio'!BT654-'Tablas Servicio'!BR654),BR655/(1-IF(B655&lt;=10,Parámetros!$D$100,0))),2))</f>
        <v/>
      </c>
      <c r="BU655" s="66" t="str">
        <f t="shared" si="881"/>
        <v/>
      </c>
      <c r="BV655" s="66" t="str">
        <f t="shared" si="881"/>
        <v/>
      </c>
      <c r="BW655" s="66" t="str">
        <f>+IF($W655="","",ROUND((BT655*Parámetros!$G$85),2))</f>
        <v/>
      </c>
      <c r="BX655" s="66" t="str">
        <f>+IF($W655="","",ROUND((BT655*(Parámetros!$G$86)),2))</f>
        <v/>
      </c>
      <c r="BY655" s="66" t="str">
        <f t="shared" si="882"/>
        <v/>
      </c>
      <c r="BZ655" t="str">
        <f t="shared" si="923"/>
        <v/>
      </c>
      <c r="CA655" t="str">
        <f t="shared" si="924"/>
        <v/>
      </c>
      <c r="CB655" s="118" t="str">
        <f t="shared" si="925"/>
        <v/>
      </c>
      <c r="CC655" s="118" t="str">
        <f t="shared" si="926"/>
        <v/>
      </c>
      <c r="CD655" s="119" t="str">
        <f t="shared" si="883"/>
        <v/>
      </c>
      <c r="CE655" s="66" t="str">
        <f>+IF($W655="","",ROUND((VLOOKUP(ROUNDDOWN($D655-1/frec,0),cob_adi,BO$40,FALSE)*(1+i/frec)^-0.5*(1+Parámetros!$D$103)*(1+rec_fracc)/frec*'TABLAS ADI'!$BC$17),2))</f>
        <v/>
      </c>
      <c r="CF655" s="119" t="str">
        <f t="shared" si="884"/>
        <v/>
      </c>
      <c r="CG655" s="66" t="str">
        <f>+IF($W655="","",ROUND(IF($B655&gt;Parámetros!$D$107,'Tablas Servicio'!CE655+('Tablas Servicio'!CG654-'Tablas Servicio'!CE654),CE655/(1-IF(B655&lt;=10,Parámetros!$D$100,0))),2))</f>
        <v/>
      </c>
      <c r="CH655" s="66" t="str">
        <f t="shared" si="885"/>
        <v/>
      </c>
      <c r="CI655" s="66" t="str">
        <f t="shared" si="885"/>
        <v/>
      </c>
      <c r="CJ655" s="66" t="str">
        <f>+IF($W655="","",ROUND((CG655*Parámetros!$G$85),2))</f>
        <v/>
      </c>
      <c r="CK655" s="66" t="str">
        <f>+IF($W655="","",ROUND((CG655*(Parámetros!$G$86)),2))</f>
        <v/>
      </c>
      <c r="CL655" s="66" t="str">
        <f t="shared" si="886"/>
        <v/>
      </c>
      <c r="CM655" t="str">
        <f t="shared" si="927"/>
        <v/>
      </c>
      <c r="CN655" s="118" t="str">
        <f t="shared" si="928"/>
        <v/>
      </c>
      <c r="CO655" s="118" t="str">
        <f t="shared" si="929"/>
        <v/>
      </c>
      <c r="CP655" s="118" t="str">
        <f t="shared" si="930"/>
        <v/>
      </c>
      <c r="CQ655" s="119" t="str">
        <f t="shared" si="887"/>
        <v/>
      </c>
      <c r="CR655" s="66" t="str">
        <f>+IF($W655="","",ROUND((VLOOKUP(Parámetros!$F$51,'COBERTURAS ADICIONALES'!$S$4:$T$32,2,FALSE)*(1+i/frec)^-0.5*(1+Parámetros!$D$103)*(1+rec_fracc)/frec*$CO$42),2))</f>
        <v/>
      </c>
      <c r="CS655" s="119" t="str">
        <f t="shared" si="888"/>
        <v/>
      </c>
      <c r="CT655" s="66" t="str">
        <f>+IF($W655="","",ROUND(IF($B655&gt;Parámetros!$D$107,'Tablas Servicio'!CR655+('Tablas Servicio'!CT654-'Tablas Servicio'!CR654),CR655/(1-IF(B655&lt;=10,Parámetros!$D$100,0))),2))</f>
        <v/>
      </c>
      <c r="CU655" s="66" t="str">
        <f t="shared" si="889"/>
        <v/>
      </c>
      <c r="CV655" s="66" t="str">
        <f t="shared" si="889"/>
        <v/>
      </c>
      <c r="CW655" s="66" t="str">
        <f>+IF($W655="","",ROUND((CT655*Parámetros!$G$85),2))</f>
        <v/>
      </c>
      <c r="CX655" s="66" t="str">
        <f>+IF($W655="","",ROUND((CT655*(Parámetros!$G$86)),2))</f>
        <v/>
      </c>
      <c r="CY655" s="66" t="str">
        <f t="shared" si="890"/>
        <v/>
      </c>
      <c r="CZ655" t="str">
        <f t="shared" si="931"/>
        <v/>
      </c>
      <c r="DA655" s="118" t="str">
        <f t="shared" si="932"/>
        <v/>
      </c>
      <c r="DB655" s="118" t="str">
        <f t="shared" si="933"/>
        <v/>
      </c>
      <c r="DC655" s="118" t="str">
        <f t="shared" si="934"/>
        <v/>
      </c>
      <c r="DD655" s="121" t="str">
        <f>+IF(OR($W655="",DB655=0),"",ROUND((VLOOKUP(ROUNDDOWN($D655-1/frec,0),cob_adi,CO$40,FALSE)*(1+i/frec)^-0.5*(1+Parámetros!$D$103)*(1+rec_fracc)/frec),6))</f>
        <v/>
      </c>
      <c r="DE655" s="66" t="str">
        <f t="shared" si="891"/>
        <v/>
      </c>
      <c r="DF655" s="119" t="str">
        <f t="shared" si="892"/>
        <v/>
      </c>
      <c r="DG655" s="66" t="str">
        <f>+IF($W655="","",ROUND(IF($B655&gt;Parámetros!$D$107,'Tablas Servicio'!DE655+('Tablas Servicio'!DG654-'Tablas Servicio'!DE654),DE655/(1-IF(B655&lt;=10,Parámetros!$D$100,0))),2))</f>
        <v/>
      </c>
      <c r="DH655" s="66" t="str">
        <f t="shared" si="893"/>
        <v/>
      </c>
      <c r="DI655" s="66" t="str">
        <f t="shared" si="893"/>
        <v/>
      </c>
      <c r="DJ655" s="66" t="str">
        <f>+IF($W655="","",ROUND((DG655*Parámetros!$G$85),2))</f>
        <v/>
      </c>
      <c r="DK655" s="66" t="str">
        <f>+IF($W655="","",ROUND((DG655*(Parámetros!$G$86)),2))</f>
        <v/>
      </c>
      <c r="DL655" s="66" t="str">
        <f t="shared" si="894"/>
        <v/>
      </c>
      <c r="DM655" t="str">
        <f t="shared" si="935"/>
        <v/>
      </c>
      <c r="DN655" s="118" t="str">
        <f t="shared" si="936"/>
        <v/>
      </c>
      <c r="DO655" s="118" t="str">
        <f t="shared" si="937"/>
        <v/>
      </c>
      <c r="DP655" s="118" t="str">
        <f t="shared" si="938"/>
        <v/>
      </c>
      <c r="DQ655" s="122" t="str">
        <f>+IF(OR($W655="",DO655=0),"",ROUND((VLOOKUP(ROUNDDOWN($D655-1/frec,0),cob_adi,DB$40,FALSE)*(1+i/frec)^-0.5*(1+Parámetros!$D$103)*(1+rec_fracc)/frec),6))</f>
        <v/>
      </c>
      <c r="DR655" s="66" t="str">
        <f t="shared" si="895"/>
        <v/>
      </c>
      <c r="DS655" s="68" t="str">
        <f t="shared" si="896"/>
        <v/>
      </c>
      <c r="DT655" s="66" t="str">
        <f>+IF($W655="","",ROUND(IF($B655&gt;Parámetros!$D$107,'Tablas Servicio'!DR655+('Tablas Servicio'!DT654-'Tablas Servicio'!DR654),DR655/(1-IF(B655&lt;=10,Parámetros!$D$100,0))),2))</f>
        <v/>
      </c>
      <c r="DU655" s="66" t="str">
        <f t="shared" si="897"/>
        <v/>
      </c>
      <c r="DV655" s="66" t="str">
        <f t="shared" si="897"/>
        <v/>
      </c>
      <c r="DW655" s="66" t="str">
        <f>+IF($W655="","",ROUND((DT655*Parámetros!$G$85),2))</f>
        <v/>
      </c>
      <c r="DX655" s="66" t="str">
        <f>+IF($W655="","",ROUND((DT655*(Parámetros!$G$86)),2))</f>
        <v/>
      </c>
      <c r="DY655" s="66" t="str">
        <f t="shared" si="898"/>
        <v/>
      </c>
      <c r="DZ655" t="str">
        <f t="shared" si="940"/>
        <v/>
      </c>
      <c r="EA655" s="118" t="str">
        <f t="shared" si="940"/>
        <v/>
      </c>
      <c r="EB655" s="118" t="str">
        <f>+IF($W655="","",ROUND(IF(Parámetros!$D$25='TABLAS MORT'!$V$33,EB654,Z655/2),0))</f>
        <v/>
      </c>
      <c r="EC655" s="118" t="str">
        <f t="shared" si="940"/>
        <v/>
      </c>
      <c r="ED655" s="122" t="str">
        <f>+IF(OR($W655="",EB655=0),"",ROUND((VLOOKUP(ROUNDDOWN($D655-1/frec,0),cob_adi,DO$40,FALSE)*(1+i/frec)^-0.5*(1+Parámetros!$D$103)*(1+rec_fracc)/frec),6))</f>
        <v/>
      </c>
      <c r="EE655" s="66" t="str">
        <f t="shared" si="900"/>
        <v/>
      </c>
      <c r="EF655" s="68" t="str">
        <f t="shared" si="901"/>
        <v/>
      </c>
      <c r="EG655" s="66" t="str">
        <f>+IF($W655="","",ROUND(IF($B655&gt;Parámetros!$D$107,'Tablas Servicio'!EE655+('Tablas Servicio'!EG654-'Tablas Servicio'!EE654),EE655/(1-IF(B655&lt;=10,Parámetros!$D$100,0))),2))</f>
        <v/>
      </c>
      <c r="EH655" s="66" t="str">
        <f t="shared" si="902"/>
        <v/>
      </c>
      <c r="EI655" s="66" t="str">
        <f t="shared" si="902"/>
        <v/>
      </c>
      <c r="EJ655" s="66" t="str">
        <f>+IF($W655="","",ROUND((EG655*Parámetros!$G$85),2))</f>
        <v/>
      </c>
      <c r="EK655" s="66" t="str">
        <f>+IF($W655="","",ROUND((EG655*(Parámetros!$G$86)),2))</f>
        <v/>
      </c>
      <c r="EL655" s="66" t="str">
        <f t="shared" si="903"/>
        <v/>
      </c>
    </row>
    <row r="656" spans="1:142" x14ac:dyDescent="0.25">
      <c r="A656" t="str">
        <f>+IF($C656="","",ROUND(VLOOKUP('Tablas Servicio'!B656,Parámetros!$H$100:$J$159,IF(Parámetros!$E$16="F",2,3),FALSE),2))</f>
        <v/>
      </c>
      <c r="B656" t="str">
        <f t="shared" si="854"/>
        <v/>
      </c>
      <c r="C656" s="57" t="str">
        <f>+IF(D656="","",'Tablas Servicio'!C655+1)</f>
        <v/>
      </c>
      <c r="D656" s="56" t="str">
        <f>+IF(D655&lt;edadmaxtabla,D655+1/Parámetros!$E$25,"")</f>
        <v/>
      </c>
      <c r="E656" s="57" t="str">
        <f t="shared" si="864"/>
        <v/>
      </c>
      <c r="F656" s="59" t="str">
        <f t="shared" si="865"/>
        <v/>
      </c>
      <c r="G656" s="66" t="str">
        <f t="shared" si="855"/>
        <v/>
      </c>
      <c r="H656" s="66" t="str">
        <f t="shared" si="856"/>
        <v/>
      </c>
      <c r="I656" s="66" t="str">
        <f t="shared" si="904"/>
        <v/>
      </c>
      <c r="J656" s="66" t="str">
        <f t="shared" si="857"/>
        <v/>
      </c>
      <c r="K656" s="66" t="str">
        <f t="shared" si="858"/>
        <v/>
      </c>
      <c r="L656" s="66" t="str">
        <f t="shared" si="859"/>
        <v/>
      </c>
      <c r="M656" s="66" t="str">
        <f t="shared" si="860"/>
        <v/>
      </c>
      <c r="N656" s="66" t="str">
        <f>+IF(C656="","",ROUND(Parámetros!$D$23,2))</f>
        <v/>
      </c>
      <c r="O656" s="66" t="str">
        <f t="shared" si="861"/>
        <v/>
      </c>
      <c r="P656" s="66" t="str">
        <f>+IF($C656="","",ROUND(IF(B656&gt;Parámetros!$D$117,0,N656*Parámetros!$D$116-G656*Parámetros!$D$100),2))</f>
        <v/>
      </c>
      <c r="Q656" s="75" t="str">
        <f t="shared" si="905"/>
        <v/>
      </c>
      <c r="R656" s="75" t="str">
        <f t="shared" si="906"/>
        <v/>
      </c>
      <c r="S656" s="117" t="str">
        <f>+IF($C656="","",ROUND((S655+I656)*(1+Parámetros!$D$91),2))</f>
        <v/>
      </c>
      <c r="T656" s="117" t="str">
        <f>+IF($C656="","",ROUND(S656*VLOOKUP(B656,Parámetros!$C$30:$D$39,2,TRUE),2))</f>
        <v/>
      </c>
      <c r="U656" s="117" t="str">
        <f>+IF($C656="","",ROUND((U655+I656)*(1+Parámetros!$D$92),2))</f>
        <v/>
      </c>
      <c r="V656" s="117" t="str">
        <f>+IF($C656="","",ROUND(U656*VLOOKUP(B656,Parámetros!$C$30:$D$39,2,TRUE),2))</f>
        <v/>
      </c>
      <c r="W656" s="57" t="str">
        <f t="shared" si="907"/>
        <v/>
      </c>
      <c r="X656" t="str">
        <f t="shared" si="908"/>
        <v/>
      </c>
      <c r="Y656" t="str">
        <f t="shared" si="909"/>
        <v/>
      </c>
      <c r="Z656" s="118" t="str">
        <f>+IF($W656="","",ROUND(IF(Parámetros!$D$25='TABLAS MORT'!$V$33,Z655,Parámetros!$D$21-'Tablas Servicio'!T655),0))</f>
        <v/>
      </c>
      <c r="AA656" s="118" t="str">
        <f t="shared" si="910"/>
        <v/>
      </c>
      <c r="AB656" s="119" t="str">
        <f>+IF(W656="","",ROUND((VLOOKUP(ROUNDDOWN($D656-1/frec,0),qx_tabla,2,FALSE)*(1+i/frec)^-0.5*(1+Parámetros!$D$103)*(1+rec_fracc)/frec),6))</f>
        <v/>
      </c>
      <c r="AC656" s="66" t="str">
        <f t="shared" si="866"/>
        <v/>
      </c>
      <c r="AD656" s="119" t="str">
        <f t="shared" si="862"/>
        <v/>
      </c>
      <c r="AE656" s="66" t="str">
        <f>+IF($W656="","",ROUND(IF($B656&gt;Parámetros!$D$107,'Tablas Servicio'!AC656+('Tablas Servicio'!AG655-'Tablas Servicio'!AC655),AC656/(1-IF(B656&lt;=10,Parámetros!$D$104,Parámetros!$D$105))),2))</f>
        <v/>
      </c>
      <c r="AF656" s="66" t="str">
        <f>+IF($W656="","",ROUND(IF($B656&gt;Parámetros!$D$107,'Tablas Servicio'!AC656+('Tablas Servicio'!AG655-'Tablas Servicio'!AC655),(AC656+$A655/frec)/(1-IF(B656&lt;=Parámetros!$D$117,Parámetros!$D$100,0))),2))</f>
        <v/>
      </c>
      <c r="AG656" s="66" t="str">
        <f t="shared" si="867"/>
        <v/>
      </c>
      <c r="AH656" s="66" t="str">
        <f t="shared" si="868"/>
        <v/>
      </c>
      <c r="AI656" s="66" t="str">
        <f t="shared" si="869"/>
        <v/>
      </c>
      <c r="AJ656" s="66" t="str">
        <f>+IF($W656="","",ROUND((AG656*Parámetros!$G$85),2))</f>
        <v/>
      </c>
      <c r="AK656" s="66" t="str">
        <f>+IF($W656="","",ROUND((AG656*(Parámetros!$G$86)),2))</f>
        <v/>
      </c>
      <c r="AL656" s="66" t="str">
        <f t="shared" si="863"/>
        <v/>
      </c>
      <c r="AM656" t="str">
        <f t="shared" si="911"/>
        <v/>
      </c>
      <c r="AN656" t="str">
        <f t="shared" si="912"/>
        <v/>
      </c>
      <c r="AO656" s="118" t="str">
        <f t="shared" si="913"/>
        <v/>
      </c>
      <c r="AP656" s="118" t="str">
        <f t="shared" si="914"/>
        <v/>
      </c>
      <c r="AQ656" s="119" t="str">
        <f>+IF(OR($W656="",AO656=0),"",ROUND((VLOOKUP(ROUNDDOWN($D656-1/frec,0),cob_adi,Z$40,FALSE)*(1+i/frec)^-0.5*(1+Parámetros!$D$103)*(1+rec_fracc)/frec),6))</f>
        <v/>
      </c>
      <c r="AR656" s="66" t="str">
        <f t="shared" si="870"/>
        <v/>
      </c>
      <c r="AS656" s="119" t="str">
        <f t="shared" si="871"/>
        <v/>
      </c>
      <c r="AT656" s="66" t="str">
        <f>+IF($W656="","",ROUND(IF($B656&gt;Parámetros!$D$107,'Tablas Servicio'!AR656+('Tablas Servicio'!AT655-'Tablas Servicio'!AR655),AR656/(1-IF(B656&lt;=10,Parámetros!$D$100,0))),2))</f>
        <v/>
      </c>
      <c r="AU656" s="66" t="str">
        <f t="shared" si="872"/>
        <v/>
      </c>
      <c r="AV656" s="66" t="str">
        <f t="shared" si="872"/>
        <v/>
      </c>
      <c r="AW656" s="66" t="str">
        <f>+IF($W656="","",ROUND((AT656*Parámetros!$G$85),2))</f>
        <v/>
      </c>
      <c r="AX656" s="66" t="str">
        <f>+IF($W656="","",ROUND((AT656*(Parámetros!$G$86)),2))</f>
        <v/>
      </c>
      <c r="AY656" s="66" t="str">
        <f t="shared" si="873"/>
        <v/>
      </c>
      <c r="AZ656" t="str">
        <f t="shared" si="915"/>
        <v/>
      </c>
      <c r="BA656" t="str">
        <f t="shared" si="916"/>
        <v/>
      </c>
      <c r="BB656" s="118" t="str">
        <f t="shared" si="917"/>
        <v/>
      </c>
      <c r="BC656" s="118" t="str">
        <f t="shared" si="918"/>
        <v/>
      </c>
      <c r="BD656" s="119" t="str">
        <f>+IF(OR($W656="",BB656=0),"",ROUND((VLOOKUP(ROUNDDOWN($D656-1/frec,0),cob_adi,AO$40,FALSE)*(1+i/frec)^-0.5*(1+Parámetros!$D$103)*(1+rec_fracc)/frec),6))</f>
        <v/>
      </c>
      <c r="BE656" s="66" t="str">
        <f t="shared" si="874"/>
        <v/>
      </c>
      <c r="BF656" s="119" t="str">
        <f t="shared" si="875"/>
        <v/>
      </c>
      <c r="BG656" s="66" t="str">
        <f>+IF($W656="","",ROUND(IF($B656&gt;Parámetros!$D$107,'Tablas Servicio'!BE656+('Tablas Servicio'!BG655-'Tablas Servicio'!BE655),BE656/(1-IF(B656&lt;=10,Parámetros!$D$100,0))),2))</f>
        <v/>
      </c>
      <c r="BH656" s="66" t="str">
        <f t="shared" si="876"/>
        <v/>
      </c>
      <c r="BI656" s="66" t="str">
        <f t="shared" si="877"/>
        <v/>
      </c>
      <c r="BJ656" s="66" t="str">
        <f>+IF($W656="","",ROUND((BG656*Parámetros!$G$85),2))</f>
        <v/>
      </c>
      <c r="BK656" s="66" t="str">
        <f>+IF($W656="","",ROUND((BG656*(Parámetros!$G$86)),2))</f>
        <v/>
      </c>
      <c r="BL656" s="66" t="str">
        <f t="shared" si="878"/>
        <v/>
      </c>
      <c r="BM656" t="str">
        <f t="shared" si="919"/>
        <v/>
      </c>
      <c r="BN656" t="str">
        <f t="shared" si="920"/>
        <v/>
      </c>
      <c r="BO656" s="118" t="str">
        <f t="shared" si="921"/>
        <v/>
      </c>
      <c r="BP656" s="118" t="str">
        <f t="shared" si="922"/>
        <v/>
      </c>
      <c r="BQ656" s="119" t="str">
        <f>+IF(OR($W656="",BO656=0),"",ROUND((VLOOKUP(ROUNDDOWN($D656-1/frec,0),cob_adi,BB$40,FALSE)*(1+i/frec)^-0.5*(1+Parámetros!$D$103)*(1+rec_fracc)/frec),6))</f>
        <v/>
      </c>
      <c r="BR656" s="66" t="str">
        <f t="shared" si="879"/>
        <v/>
      </c>
      <c r="BS656" s="119" t="str">
        <f t="shared" si="880"/>
        <v/>
      </c>
      <c r="BT656" s="66" t="str">
        <f>+IF($W656="","",ROUND(IF($B656&gt;Parámetros!$D$107,'Tablas Servicio'!BR656+('Tablas Servicio'!BT655-'Tablas Servicio'!BR655),BR656/(1-IF(B656&lt;=10,Parámetros!$D$100,0))),2))</f>
        <v/>
      </c>
      <c r="BU656" s="66" t="str">
        <f t="shared" si="881"/>
        <v/>
      </c>
      <c r="BV656" s="66" t="str">
        <f t="shared" si="881"/>
        <v/>
      </c>
      <c r="BW656" s="66" t="str">
        <f>+IF($W656="","",ROUND((BT656*Parámetros!$G$85),2))</f>
        <v/>
      </c>
      <c r="BX656" s="66" t="str">
        <f>+IF($W656="","",ROUND((BT656*(Parámetros!$G$86)),2))</f>
        <v/>
      </c>
      <c r="BY656" s="66" t="str">
        <f t="shared" si="882"/>
        <v/>
      </c>
      <c r="BZ656" t="str">
        <f t="shared" si="923"/>
        <v/>
      </c>
      <c r="CA656" t="str">
        <f t="shared" si="924"/>
        <v/>
      </c>
      <c r="CB656" s="118" t="str">
        <f t="shared" si="925"/>
        <v/>
      </c>
      <c r="CC656" s="118" t="str">
        <f t="shared" si="926"/>
        <v/>
      </c>
      <c r="CD656" s="119" t="str">
        <f t="shared" si="883"/>
        <v/>
      </c>
      <c r="CE656" s="66" t="str">
        <f>+IF($W656="","",ROUND((VLOOKUP(ROUNDDOWN($D656-1/frec,0),cob_adi,BO$40,FALSE)*(1+i/frec)^-0.5*(1+Parámetros!$D$103)*(1+rec_fracc)/frec*'TABLAS ADI'!$BC$17),2))</f>
        <v/>
      </c>
      <c r="CF656" s="119" t="str">
        <f t="shared" si="884"/>
        <v/>
      </c>
      <c r="CG656" s="66" t="str">
        <f>+IF($W656="","",ROUND(IF($B656&gt;Parámetros!$D$107,'Tablas Servicio'!CE656+('Tablas Servicio'!CG655-'Tablas Servicio'!CE655),CE656/(1-IF(B656&lt;=10,Parámetros!$D$100,0))),2))</f>
        <v/>
      </c>
      <c r="CH656" s="66" t="str">
        <f t="shared" si="885"/>
        <v/>
      </c>
      <c r="CI656" s="66" t="str">
        <f t="shared" si="885"/>
        <v/>
      </c>
      <c r="CJ656" s="66" t="str">
        <f>+IF($W656="","",ROUND((CG656*Parámetros!$G$85),2))</f>
        <v/>
      </c>
      <c r="CK656" s="66" t="str">
        <f>+IF($W656="","",ROUND((CG656*(Parámetros!$G$86)),2))</f>
        <v/>
      </c>
      <c r="CL656" s="66" t="str">
        <f t="shared" si="886"/>
        <v/>
      </c>
      <c r="CM656" t="str">
        <f t="shared" si="927"/>
        <v/>
      </c>
      <c r="CN656" s="118" t="str">
        <f t="shared" si="928"/>
        <v/>
      </c>
      <c r="CO656" s="118" t="str">
        <f t="shared" si="929"/>
        <v/>
      </c>
      <c r="CP656" s="118" t="str">
        <f t="shared" si="930"/>
        <v/>
      </c>
      <c r="CQ656" s="119" t="str">
        <f t="shared" si="887"/>
        <v/>
      </c>
      <c r="CR656" s="66" t="str">
        <f>+IF($W656="","",ROUND((VLOOKUP(Parámetros!$F$51,'COBERTURAS ADICIONALES'!$S$4:$T$32,2,FALSE)*(1+i/frec)^-0.5*(1+Parámetros!$D$103)*(1+rec_fracc)/frec*$CO$42),2))</f>
        <v/>
      </c>
      <c r="CS656" s="119" t="str">
        <f t="shared" si="888"/>
        <v/>
      </c>
      <c r="CT656" s="66" t="str">
        <f>+IF($W656="","",ROUND(IF($B656&gt;Parámetros!$D$107,'Tablas Servicio'!CR656+('Tablas Servicio'!CT655-'Tablas Servicio'!CR655),CR656/(1-IF(B656&lt;=10,Parámetros!$D$100,0))),2))</f>
        <v/>
      </c>
      <c r="CU656" s="66" t="str">
        <f t="shared" si="889"/>
        <v/>
      </c>
      <c r="CV656" s="66" t="str">
        <f t="shared" si="889"/>
        <v/>
      </c>
      <c r="CW656" s="66" t="str">
        <f>+IF($W656="","",ROUND((CT656*Parámetros!$G$85),2))</f>
        <v/>
      </c>
      <c r="CX656" s="66" t="str">
        <f>+IF($W656="","",ROUND((CT656*(Parámetros!$G$86)),2))</f>
        <v/>
      </c>
      <c r="CY656" s="66" t="str">
        <f t="shared" si="890"/>
        <v/>
      </c>
      <c r="CZ656" t="str">
        <f t="shared" si="931"/>
        <v/>
      </c>
      <c r="DA656" s="118" t="str">
        <f t="shared" si="932"/>
        <v/>
      </c>
      <c r="DB656" s="118" t="str">
        <f t="shared" si="933"/>
        <v/>
      </c>
      <c r="DC656" s="118" t="str">
        <f t="shared" si="934"/>
        <v/>
      </c>
      <c r="DD656" s="121" t="str">
        <f>+IF(OR($W656="",DB656=0),"",ROUND((VLOOKUP(ROUNDDOWN($D656-1/frec,0),cob_adi,CO$40,FALSE)*(1+i/frec)^-0.5*(1+Parámetros!$D$103)*(1+rec_fracc)/frec),6))</f>
        <v/>
      </c>
      <c r="DE656" s="66" t="str">
        <f t="shared" si="891"/>
        <v/>
      </c>
      <c r="DF656" s="119" t="str">
        <f t="shared" si="892"/>
        <v/>
      </c>
      <c r="DG656" s="66" t="str">
        <f>+IF($W656="","",ROUND(IF($B656&gt;Parámetros!$D$107,'Tablas Servicio'!DE656+('Tablas Servicio'!DG655-'Tablas Servicio'!DE655),DE656/(1-IF(B656&lt;=10,Parámetros!$D$100,0))),2))</f>
        <v/>
      </c>
      <c r="DH656" s="66" t="str">
        <f t="shared" si="893"/>
        <v/>
      </c>
      <c r="DI656" s="66" t="str">
        <f t="shared" si="893"/>
        <v/>
      </c>
      <c r="DJ656" s="66" t="str">
        <f>+IF($W656="","",ROUND((DG656*Parámetros!$G$85),2))</f>
        <v/>
      </c>
      <c r="DK656" s="66" t="str">
        <f>+IF($W656="","",ROUND((DG656*(Parámetros!$G$86)),2))</f>
        <v/>
      </c>
      <c r="DL656" s="66" t="str">
        <f t="shared" si="894"/>
        <v/>
      </c>
      <c r="DM656" t="str">
        <f t="shared" si="935"/>
        <v/>
      </c>
      <c r="DN656" s="118" t="str">
        <f t="shared" si="936"/>
        <v/>
      </c>
      <c r="DO656" s="118" t="str">
        <f t="shared" si="937"/>
        <v/>
      </c>
      <c r="DP656" s="118" t="str">
        <f t="shared" si="938"/>
        <v/>
      </c>
      <c r="DQ656" s="122" t="str">
        <f>+IF(OR($W656="",DO656=0),"",ROUND((VLOOKUP(ROUNDDOWN($D656-1/frec,0),cob_adi,DB$40,FALSE)*(1+i/frec)^-0.5*(1+Parámetros!$D$103)*(1+rec_fracc)/frec),6))</f>
        <v/>
      </c>
      <c r="DR656" s="66" t="str">
        <f t="shared" si="895"/>
        <v/>
      </c>
      <c r="DS656" s="68" t="str">
        <f t="shared" si="896"/>
        <v/>
      </c>
      <c r="DT656" s="66" t="str">
        <f>+IF($W656="","",ROUND(IF($B656&gt;Parámetros!$D$107,'Tablas Servicio'!DR656+('Tablas Servicio'!DT655-'Tablas Servicio'!DR655),DR656/(1-IF(B656&lt;=10,Parámetros!$D$100,0))),2))</f>
        <v/>
      </c>
      <c r="DU656" s="66" t="str">
        <f t="shared" si="897"/>
        <v/>
      </c>
      <c r="DV656" s="66" t="str">
        <f t="shared" si="897"/>
        <v/>
      </c>
      <c r="DW656" s="66" t="str">
        <f>+IF($W656="","",ROUND((DT656*Parámetros!$G$85),2))</f>
        <v/>
      </c>
      <c r="DX656" s="66" t="str">
        <f>+IF($W656="","",ROUND((DT656*(Parámetros!$G$86)),2))</f>
        <v/>
      </c>
      <c r="DY656" s="66" t="str">
        <f t="shared" si="898"/>
        <v/>
      </c>
      <c r="DZ656" t="str">
        <f t="shared" si="940"/>
        <v/>
      </c>
      <c r="EA656" s="118" t="str">
        <f t="shared" si="940"/>
        <v/>
      </c>
      <c r="EB656" s="118" t="str">
        <f>+IF($W656="","",ROUND(IF(Parámetros!$D$25='TABLAS MORT'!$V$33,EB655,Z656/2),0))</f>
        <v/>
      </c>
      <c r="EC656" s="118" t="str">
        <f t="shared" si="940"/>
        <v/>
      </c>
      <c r="ED656" s="122" t="str">
        <f>+IF(OR($W656="",EB656=0),"",ROUND((VLOOKUP(ROUNDDOWN($D656-1/frec,0),cob_adi,DO$40,FALSE)*(1+i/frec)^-0.5*(1+Parámetros!$D$103)*(1+rec_fracc)/frec),6))</f>
        <v/>
      </c>
      <c r="EE656" s="66" t="str">
        <f t="shared" si="900"/>
        <v/>
      </c>
      <c r="EF656" s="68" t="str">
        <f t="shared" si="901"/>
        <v/>
      </c>
      <c r="EG656" s="66" t="str">
        <f>+IF($W656="","",ROUND(IF($B656&gt;Parámetros!$D$107,'Tablas Servicio'!EE656+('Tablas Servicio'!EG655-'Tablas Servicio'!EE655),EE656/(1-IF(B656&lt;=10,Parámetros!$D$100,0))),2))</f>
        <v/>
      </c>
      <c r="EH656" s="66" t="str">
        <f t="shared" si="902"/>
        <v/>
      </c>
      <c r="EI656" s="66" t="str">
        <f t="shared" si="902"/>
        <v/>
      </c>
      <c r="EJ656" s="66" t="str">
        <f>+IF($W656="","",ROUND((EG656*Parámetros!$G$85),2))</f>
        <v/>
      </c>
      <c r="EK656" s="66" t="str">
        <f>+IF($W656="","",ROUND((EG656*(Parámetros!$G$86)),2))</f>
        <v/>
      </c>
      <c r="EL656" s="66" t="str">
        <f t="shared" si="903"/>
        <v/>
      </c>
    </row>
    <row r="657" spans="1:142" x14ac:dyDescent="0.25">
      <c r="A657" t="str">
        <f>+IF($C657="","",ROUND(VLOOKUP('Tablas Servicio'!B657,Parámetros!$H$100:$J$159,IF(Parámetros!$E$16="F",2,3),FALSE),2))</f>
        <v/>
      </c>
      <c r="B657" t="str">
        <f t="shared" si="854"/>
        <v/>
      </c>
      <c r="C657" s="57" t="str">
        <f>+IF(D657="","",'Tablas Servicio'!C656+1)</f>
        <v/>
      </c>
      <c r="D657" s="56" t="str">
        <f>+IF(D656&lt;edadmaxtabla,D656+1/Parámetros!$E$25,"")</f>
        <v/>
      </c>
      <c r="E657" s="57" t="str">
        <f t="shared" si="864"/>
        <v/>
      </c>
      <c r="F657" s="59" t="str">
        <f t="shared" si="865"/>
        <v/>
      </c>
      <c r="G657" s="66" t="str">
        <f t="shared" si="855"/>
        <v/>
      </c>
      <c r="H657" s="66" t="str">
        <f t="shared" si="856"/>
        <v/>
      </c>
      <c r="I657" s="66" t="str">
        <f t="shared" si="904"/>
        <v/>
      </c>
      <c r="J657" s="66" t="str">
        <f t="shared" si="857"/>
        <v/>
      </c>
      <c r="K657" s="66" t="str">
        <f t="shared" si="858"/>
        <v/>
      </c>
      <c r="L657" s="66" t="str">
        <f t="shared" si="859"/>
        <v/>
      </c>
      <c r="M657" s="66" t="str">
        <f t="shared" si="860"/>
        <v/>
      </c>
      <c r="N657" s="66" t="str">
        <f>+IF(C657="","",ROUND(Parámetros!$D$23,2))</f>
        <v/>
      </c>
      <c r="O657" s="66" t="str">
        <f t="shared" si="861"/>
        <v/>
      </c>
      <c r="P657" s="66" t="str">
        <f>+IF($C657="","",ROUND(IF(B657&gt;Parámetros!$D$117,0,N657*Parámetros!$D$116-G657*Parámetros!$D$100),2))</f>
        <v/>
      </c>
      <c r="Q657" s="75" t="str">
        <f t="shared" si="905"/>
        <v/>
      </c>
      <c r="R657" s="75" t="str">
        <f t="shared" si="906"/>
        <v/>
      </c>
      <c r="S657" s="117" t="str">
        <f>+IF($C657="","",ROUND((S656+I657)*(1+Parámetros!$D$91),2))</f>
        <v/>
      </c>
      <c r="T657" s="117" t="str">
        <f>+IF($C657="","",ROUND(S657*VLOOKUP(B657,Parámetros!$C$30:$D$39,2,TRUE),2))</f>
        <v/>
      </c>
      <c r="U657" s="117" t="str">
        <f>+IF($C657="","",ROUND((U656+I657)*(1+Parámetros!$D$92),2))</f>
        <v/>
      </c>
      <c r="V657" s="117" t="str">
        <f>+IF($C657="","",ROUND(U657*VLOOKUP(B657,Parámetros!$C$30:$D$39,2,TRUE),2))</f>
        <v/>
      </c>
      <c r="W657" s="57" t="str">
        <f t="shared" si="907"/>
        <v/>
      </c>
      <c r="X657" t="str">
        <f t="shared" si="908"/>
        <v/>
      </c>
      <c r="Y657" t="str">
        <f t="shared" si="909"/>
        <v/>
      </c>
      <c r="Z657" s="118" t="str">
        <f>+IF($W657="","",ROUND(IF(Parámetros!$D$25='TABLAS MORT'!$V$33,Z656,Parámetros!$D$21-'Tablas Servicio'!T656),0))</f>
        <v/>
      </c>
      <c r="AA657" s="118" t="str">
        <f t="shared" si="910"/>
        <v/>
      </c>
      <c r="AB657" s="119" t="str">
        <f>+IF(W657="","",ROUND((VLOOKUP(ROUNDDOWN($D657-1/frec,0),qx_tabla,2,FALSE)*(1+i/frec)^-0.5*(1+Parámetros!$D$103)*(1+rec_fracc)/frec),6))</f>
        <v/>
      </c>
      <c r="AC657" s="66" t="str">
        <f t="shared" si="866"/>
        <v/>
      </c>
      <c r="AD657" s="119" t="str">
        <f t="shared" si="862"/>
        <v/>
      </c>
      <c r="AE657" s="66" t="str">
        <f>+IF($W657="","",ROUND(IF($B657&gt;Parámetros!$D$107,'Tablas Servicio'!AC657+('Tablas Servicio'!AG656-'Tablas Servicio'!AC656),AC657/(1-IF(B657&lt;=10,Parámetros!$D$104,Parámetros!$D$105))),2))</f>
        <v/>
      </c>
      <c r="AF657" s="66" t="str">
        <f>+IF($W657="","",ROUND(IF($B657&gt;Parámetros!$D$107,'Tablas Servicio'!AC657+('Tablas Servicio'!AG656-'Tablas Servicio'!AC656),(AC657+$A656/frec)/(1-IF(B657&lt;=Parámetros!$D$117,Parámetros!$D$100,0))),2))</f>
        <v/>
      </c>
      <c r="AG657" s="66" t="str">
        <f t="shared" si="867"/>
        <v/>
      </c>
      <c r="AH657" s="66" t="str">
        <f t="shared" si="868"/>
        <v/>
      </c>
      <c r="AI657" s="66" t="str">
        <f t="shared" si="869"/>
        <v/>
      </c>
      <c r="AJ657" s="66" t="str">
        <f>+IF($W657="","",ROUND((AG657*Parámetros!$G$85),2))</f>
        <v/>
      </c>
      <c r="AK657" s="66" t="str">
        <f>+IF($W657="","",ROUND((AG657*(Parámetros!$G$86)),2))</f>
        <v/>
      </c>
      <c r="AL657" s="66" t="str">
        <f t="shared" si="863"/>
        <v/>
      </c>
      <c r="AM657" t="str">
        <f t="shared" si="911"/>
        <v/>
      </c>
      <c r="AN657" t="str">
        <f t="shared" si="912"/>
        <v/>
      </c>
      <c r="AO657" s="118" t="str">
        <f t="shared" si="913"/>
        <v/>
      </c>
      <c r="AP657" s="118" t="str">
        <f t="shared" si="914"/>
        <v/>
      </c>
      <c r="AQ657" s="119" t="str">
        <f>+IF(OR($W657="",AO657=0),"",ROUND((VLOOKUP(ROUNDDOWN($D657-1/frec,0),cob_adi,Z$40,FALSE)*(1+i/frec)^-0.5*(1+Parámetros!$D$103)*(1+rec_fracc)/frec),6))</f>
        <v/>
      </c>
      <c r="AR657" s="66" t="str">
        <f t="shared" si="870"/>
        <v/>
      </c>
      <c r="AS657" s="119" t="str">
        <f t="shared" si="871"/>
        <v/>
      </c>
      <c r="AT657" s="66" t="str">
        <f>+IF($W657="","",ROUND(IF($B657&gt;Parámetros!$D$107,'Tablas Servicio'!AR657+('Tablas Servicio'!AT656-'Tablas Servicio'!AR656),AR657/(1-IF(B657&lt;=10,Parámetros!$D$100,0))),2))</f>
        <v/>
      </c>
      <c r="AU657" s="66" t="str">
        <f t="shared" si="872"/>
        <v/>
      </c>
      <c r="AV657" s="66" t="str">
        <f t="shared" si="872"/>
        <v/>
      </c>
      <c r="AW657" s="66" t="str">
        <f>+IF($W657="","",ROUND((AT657*Parámetros!$G$85),2))</f>
        <v/>
      </c>
      <c r="AX657" s="66" t="str">
        <f>+IF($W657="","",ROUND((AT657*(Parámetros!$G$86)),2))</f>
        <v/>
      </c>
      <c r="AY657" s="66" t="str">
        <f t="shared" si="873"/>
        <v/>
      </c>
      <c r="AZ657" t="str">
        <f t="shared" si="915"/>
        <v/>
      </c>
      <c r="BA657" t="str">
        <f t="shared" si="916"/>
        <v/>
      </c>
      <c r="BB657" s="118" t="str">
        <f t="shared" si="917"/>
        <v/>
      </c>
      <c r="BC657" s="118" t="str">
        <f t="shared" si="918"/>
        <v/>
      </c>
      <c r="BD657" s="119" t="str">
        <f>+IF(OR($W657="",BB657=0),"",ROUND((VLOOKUP(ROUNDDOWN($D657-1/frec,0),cob_adi,AO$40,FALSE)*(1+i/frec)^-0.5*(1+Parámetros!$D$103)*(1+rec_fracc)/frec),6))</f>
        <v/>
      </c>
      <c r="BE657" s="66" t="str">
        <f t="shared" si="874"/>
        <v/>
      </c>
      <c r="BF657" s="119" t="str">
        <f t="shared" si="875"/>
        <v/>
      </c>
      <c r="BG657" s="66" t="str">
        <f>+IF($W657="","",ROUND(IF($B657&gt;Parámetros!$D$107,'Tablas Servicio'!BE657+('Tablas Servicio'!BG656-'Tablas Servicio'!BE656),BE657/(1-IF(B657&lt;=10,Parámetros!$D$100,0))),2))</f>
        <v/>
      </c>
      <c r="BH657" s="66" t="str">
        <f t="shared" si="876"/>
        <v/>
      </c>
      <c r="BI657" s="66" t="str">
        <f t="shared" si="877"/>
        <v/>
      </c>
      <c r="BJ657" s="66" t="str">
        <f>+IF($W657="","",ROUND((BG657*Parámetros!$G$85),2))</f>
        <v/>
      </c>
      <c r="BK657" s="66" t="str">
        <f>+IF($W657="","",ROUND((BG657*(Parámetros!$G$86)),2))</f>
        <v/>
      </c>
      <c r="BL657" s="66" t="str">
        <f t="shared" si="878"/>
        <v/>
      </c>
      <c r="BM657" t="str">
        <f t="shared" si="919"/>
        <v/>
      </c>
      <c r="BN657" t="str">
        <f t="shared" si="920"/>
        <v/>
      </c>
      <c r="BO657" s="118" t="str">
        <f t="shared" si="921"/>
        <v/>
      </c>
      <c r="BP657" s="118" t="str">
        <f t="shared" si="922"/>
        <v/>
      </c>
      <c r="BQ657" s="119" t="str">
        <f>+IF(OR($W657="",BO657=0),"",ROUND((VLOOKUP(ROUNDDOWN($D657-1/frec,0),cob_adi,BB$40,FALSE)*(1+i/frec)^-0.5*(1+Parámetros!$D$103)*(1+rec_fracc)/frec),6))</f>
        <v/>
      </c>
      <c r="BR657" s="66" t="str">
        <f t="shared" si="879"/>
        <v/>
      </c>
      <c r="BS657" s="119" t="str">
        <f t="shared" si="880"/>
        <v/>
      </c>
      <c r="BT657" s="66" t="str">
        <f>+IF($W657="","",ROUND(IF($B657&gt;Parámetros!$D$107,'Tablas Servicio'!BR657+('Tablas Servicio'!BT656-'Tablas Servicio'!BR656),BR657/(1-IF(B657&lt;=10,Parámetros!$D$100,0))),2))</f>
        <v/>
      </c>
      <c r="BU657" s="66" t="str">
        <f t="shared" si="881"/>
        <v/>
      </c>
      <c r="BV657" s="66" t="str">
        <f t="shared" si="881"/>
        <v/>
      </c>
      <c r="BW657" s="66" t="str">
        <f>+IF($W657="","",ROUND((BT657*Parámetros!$G$85),2))</f>
        <v/>
      </c>
      <c r="BX657" s="66" t="str">
        <f>+IF($W657="","",ROUND((BT657*(Parámetros!$G$86)),2))</f>
        <v/>
      </c>
      <c r="BY657" s="66" t="str">
        <f t="shared" si="882"/>
        <v/>
      </c>
      <c r="BZ657" t="str">
        <f t="shared" si="923"/>
        <v/>
      </c>
      <c r="CA657" t="str">
        <f t="shared" si="924"/>
        <v/>
      </c>
      <c r="CB657" s="118" t="str">
        <f t="shared" si="925"/>
        <v/>
      </c>
      <c r="CC657" s="118" t="str">
        <f t="shared" si="926"/>
        <v/>
      </c>
      <c r="CD657" s="119" t="str">
        <f t="shared" si="883"/>
        <v/>
      </c>
      <c r="CE657" s="66" t="str">
        <f>+IF($W657="","",ROUND((VLOOKUP(ROUNDDOWN($D657-1/frec,0),cob_adi,BO$40,FALSE)*(1+i/frec)^-0.5*(1+Parámetros!$D$103)*(1+rec_fracc)/frec*'TABLAS ADI'!$BC$17),2))</f>
        <v/>
      </c>
      <c r="CF657" s="119" t="str">
        <f t="shared" si="884"/>
        <v/>
      </c>
      <c r="CG657" s="66" t="str">
        <f>+IF($W657="","",ROUND(IF($B657&gt;Parámetros!$D$107,'Tablas Servicio'!CE657+('Tablas Servicio'!CG656-'Tablas Servicio'!CE656),CE657/(1-IF(B657&lt;=10,Parámetros!$D$100,0))),2))</f>
        <v/>
      </c>
      <c r="CH657" s="66" t="str">
        <f t="shared" si="885"/>
        <v/>
      </c>
      <c r="CI657" s="66" t="str">
        <f t="shared" si="885"/>
        <v/>
      </c>
      <c r="CJ657" s="66" t="str">
        <f>+IF($W657="","",ROUND((CG657*Parámetros!$G$85),2))</f>
        <v/>
      </c>
      <c r="CK657" s="66" t="str">
        <f>+IF($W657="","",ROUND((CG657*(Parámetros!$G$86)),2))</f>
        <v/>
      </c>
      <c r="CL657" s="66" t="str">
        <f t="shared" si="886"/>
        <v/>
      </c>
      <c r="CM657" t="str">
        <f t="shared" si="927"/>
        <v/>
      </c>
      <c r="CN657" s="118" t="str">
        <f t="shared" si="928"/>
        <v/>
      </c>
      <c r="CO657" s="118" t="str">
        <f t="shared" si="929"/>
        <v/>
      </c>
      <c r="CP657" s="118" t="str">
        <f t="shared" si="930"/>
        <v/>
      </c>
      <c r="CQ657" s="119" t="str">
        <f t="shared" si="887"/>
        <v/>
      </c>
      <c r="CR657" s="66" t="str">
        <f>+IF($W657="","",ROUND((VLOOKUP(Parámetros!$F$51,'COBERTURAS ADICIONALES'!$S$4:$T$32,2,FALSE)*(1+i/frec)^-0.5*(1+Parámetros!$D$103)*(1+rec_fracc)/frec*$CO$42),2))</f>
        <v/>
      </c>
      <c r="CS657" s="119" t="str">
        <f t="shared" si="888"/>
        <v/>
      </c>
      <c r="CT657" s="66" t="str">
        <f>+IF($W657="","",ROUND(IF($B657&gt;Parámetros!$D$107,'Tablas Servicio'!CR657+('Tablas Servicio'!CT656-'Tablas Servicio'!CR656),CR657/(1-IF(B657&lt;=10,Parámetros!$D$100,0))),2))</f>
        <v/>
      </c>
      <c r="CU657" s="66" t="str">
        <f t="shared" si="889"/>
        <v/>
      </c>
      <c r="CV657" s="66" t="str">
        <f t="shared" si="889"/>
        <v/>
      </c>
      <c r="CW657" s="66" t="str">
        <f>+IF($W657="","",ROUND((CT657*Parámetros!$G$85),2))</f>
        <v/>
      </c>
      <c r="CX657" s="66" t="str">
        <f>+IF($W657="","",ROUND((CT657*(Parámetros!$G$86)),2))</f>
        <v/>
      </c>
      <c r="CY657" s="66" t="str">
        <f t="shared" si="890"/>
        <v/>
      </c>
      <c r="CZ657" t="str">
        <f t="shared" si="931"/>
        <v/>
      </c>
      <c r="DA657" s="118" t="str">
        <f t="shared" si="932"/>
        <v/>
      </c>
      <c r="DB657" s="118" t="str">
        <f t="shared" si="933"/>
        <v/>
      </c>
      <c r="DC657" s="118" t="str">
        <f t="shared" si="934"/>
        <v/>
      </c>
      <c r="DD657" s="121" t="str">
        <f>+IF(OR($W657="",DB657=0),"",ROUND((VLOOKUP(ROUNDDOWN($D657-1/frec,0),cob_adi,CO$40,FALSE)*(1+i/frec)^-0.5*(1+Parámetros!$D$103)*(1+rec_fracc)/frec),6))</f>
        <v/>
      </c>
      <c r="DE657" s="66" t="str">
        <f t="shared" si="891"/>
        <v/>
      </c>
      <c r="DF657" s="119" t="str">
        <f t="shared" si="892"/>
        <v/>
      </c>
      <c r="DG657" s="66" t="str">
        <f>+IF($W657="","",ROUND(IF($B657&gt;Parámetros!$D$107,'Tablas Servicio'!DE657+('Tablas Servicio'!DG656-'Tablas Servicio'!DE656),DE657/(1-IF(B657&lt;=10,Parámetros!$D$100,0))),2))</f>
        <v/>
      </c>
      <c r="DH657" s="66" t="str">
        <f t="shared" si="893"/>
        <v/>
      </c>
      <c r="DI657" s="66" t="str">
        <f t="shared" si="893"/>
        <v/>
      </c>
      <c r="DJ657" s="66" t="str">
        <f>+IF($W657="","",ROUND((DG657*Parámetros!$G$85),2))</f>
        <v/>
      </c>
      <c r="DK657" s="66" t="str">
        <f>+IF($W657="","",ROUND((DG657*(Parámetros!$G$86)),2))</f>
        <v/>
      </c>
      <c r="DL657" s="66" t="str">
        <f t="shared" si="894"/>
        <v/>
      </c>
      <c r="DM657" t="str">
        <f t="shared" si="935"/>
        <v/>
      </c>
      <c r="DN657" s="118" t="str">
        <f t="shared" si="936"/>
        <v/>
      </c>
      <c r="DO657" s="118" t="str">
        <f t="shared" si="937"/>
        <v/>
      </c>
      <c r="DP657" s="118" t="str">
        <f t="shared" si="938"/>
        <v/>
      </c>
      <c r="DQ657" s="122" t="str">
        <f>+IF(OR($W657="",DO657=0),"",ROUND((VLOOKUP(ROUNDDOWN($D657-1/frec,0),cob_adi,DB$40,FALSE)*(1+i/frec)^-0.5*(1+Parámetros!$D$103)*(1+rec_fracc)/frec),6))</f>
        <v/>
      </c>
      <c r="DR657" s="66" t="str">
        <f t="shared" si="895"/>
        <v/>
      </c>
      <c r="DS657" s="68" t="str">
        <f t="shared" si="896"/>
        <v/>
      </c>
      <c r="DT657" s="66" t="str">
        <f>+IF($W657="","",ROUND(IF($B657&gt;Parámetros!$D$107,'Tablas Servicio'!DR657+('Tablas Servicio'!DT656-'Tablas Servicio'!DR656),DR657/(1-IF(B657&lt;=10,Parámetros!$D$100,0))),2))</f>
        <v/>
      </c>
      <c r="DU657" s="66" t="str">
        <f t="shared" si="897"/>
        <v/>
      </c>
      <c r="DV657" s="66" t="str">
        <f t="shared" si="897"/>
        <v/>
      </c>
      <c r="DW657" s="66" t="str">
        <f>+IF($W657="","",ROUND((DT657*Parámetros!$G$85),2))</f>
        <v/>
      </c>
      <c r="DX657" s="66" t="str">
        <f>+IF($W657="","",ROUND((DT657*(Parámetros!$G$86)),2))</f>
        <v/>
      </c>
      <c r="DY657" s="66" t="str">
        <f t="shared" si="898"/>
        <v/>
      </c>
      <c r="DZ657" t="str">
        <f t="shared" si="940"/>
        <v/>
      </c>
      <c r="EA657" s="118" t="str">
        <f t="shared" si="940"/>
        <v/>
      </c>
      <c r="EB657" s="118" t="str">
        <f>+IF($W657="","",ROUND(IF(Parámetros!$D$25='TABLAS MORT'!$V$33,EB656,Z657/2),0))</f>
        <v/>
      </c>
      <c r="EC657" s="118" t="str">
        <f t="shared" si="940"/>
        <v/>
      </c>
      <c r="ED657" s="122" t="str">
        <f>+IF(OR($W657="",EB657=0),"",ROUND((VLOOKUP(ROUNDDOWN($D657-1/frec,0),cob_adi,DO$40,FALSE)*(1+i/frec)^-0.5*(1+Parámetros!$D$103)*(1+rec_fracc)/frec),6))</f>
        <v/>
      </c>
      <c r="EE657" s="66" t="str">
        <f t="shared" si="900"/>
        <v/>
      </c>
      <c r="EF657" s="68" t="str">
        <f t="shared" si="901"/>
        <v/>
      </c>
      <c r="EG657" s="66" t="str">
        <f>+IF($W657="","",ROUND(IF($B657&gt;Parámetros!$D$107,'Tablas Servicio'!EE657+('Tablas Servicio'!EG656-'Tablas Servicio'!EE656),EE657/(1-IF(B657&lt;=10,Parámetros!$D$100,0))),2))</f>
        <v/>
      </c>
      <c r="EH657" s="66" t="str">
        <f t="shared" si="902"/>
        <v/>
      </c>
      <c r="EI657" s="66" t="str">
        <f t="shared" si="902"/>
        <v/>
      </c>
      <c r="EJ657" s="66" t="str">
        <f>+IF($W657="","",ROUND((EG657*Parámetros!$G$85),2))</f>
        <v/>
      </c>
      <c r="EK657" s="66" t="str">
        <f>+IF($W657="","",ROUND((EG657*(Parámetros!$G$86)),2))</f>
        <v/>
      </c>
      <c r="EL657" s="66" t="str">
        <f t="shared" si="903"/>
        <v/>
      </c>
    </row>
    <row r="658" spans="1:142" x14ac:dyDescent="0.25">
      <c r="A658" t="str">
        <f>+IF($C658="","",ROUND(VLOOKUP('Tablas Servicio'!B658,Parámetros!$H$100:$J$159,IF(Parámetros!$E$16="F",2,3),FALSE),2))</f>
        <v/>
      </c>
      <c r="B658" t="str">
        <f t="shared" si="854"/>
        <v/>
      </c>
      <c r="C658" s="57" t="str">
        <f>+IF(D658="","",'Tablas Servicio'!C657+1)</f>
        <v/>
      </c>
      <c r="D658" s="56" t="str">
        <f>+IF(D657&lt;edadmaxtabla,D657+1/Parámetros!$E$25,"")</f>
        <v/>
      </c>
      <c r="E658" s="57" t="str">
        <f t="shared" si="864"/>
        <v/>
      </c>
      <c r="F658" s="59" t="str">
        <f t="shared" si="865"/>
        <v/>
      </c>
      <c r="G658" s="66" t="str">
        <f t="shared" si="855"/>
        <v/>
      </c>
      <c r="H658" s="66" t="str">
        <f t="shared" si="856"/>
        <v/>
      </c>
      <c r="I658" s="66" t="str">
        <f t="shared" si="904"/>
        <v/>
      </c>
      <c r="J658" s="66" t="str">
        <f t="shared" si="857"/>
        <v/>
      </c>
      <c r="K658" s="66" t="str">
        <f t="shared" si="858"/>
        <v/>
      </c>
      <c r="L658" s="66" t="str">
        <f t="shared" si="859"/>
        <v/>
      </c>
      <c r="M658" s="66" t="str">
        <f t="shared" si="860"/>
        <v/>
      </c>
      <c r="N658" s="66" t="str">
        <f>+IF(C658="","",ROUND(Parámetros!$D$23,2))</f>
        <v/>
      </c>
      <c r="O658" s="66" t="str">
        <f t="shared" si="861"/>
        <v/>
      </c>
      <c r="P658" s="66" t="str">
        <f>+IF($C658="","",ROUND(IF(B658&gt;Parámetros!$D$117,0,N658*Parámetros!$D$116-G658*Parámetros!$D$100),2))</f>
        <v/>
      </c>
      <c r="Q658" s="75" t="str">
        <f t="shared" si="905"/>
        <v/>
      </c>
      <c r="R658" s="75" t="str">
        <f t="shared" si="906"/>
        <v/>
      </c>
      <c r="S658" s="117" t="str">
        <f>+IF($C658="","",ROUND((S657+I658)*(1+Parámetros!$D$91),2))</f>
        <v/>
      </c>
      <c r="T658" s="117" t="str">
        <f>+IF($C658="","",ROUND(S658*VLOOKUP(B658,Parámetros!$C$30:$D$39,2,TRUE),2))</f>
        <v/>
      </c>
      <c r="U658" s="117" t="str">
        <f>+IF($C658="","",ROUND((U657+I658)*(1+Parámetros!$D$92),2))</f>
        <v/>
      </c>
      <c r="V658" s="117" t="str">
        <f>+IF($C658="","",ROUND(U658*VLOOKUP(B658,Parámetros!$C$30:$D$39,2,TRUE),2))</f>
        <v/>
      </c>
      <c r="W658" s="57" t="str">
        <f t="shared" si="907"/>
        <v/>
      </c>
      <c r="X658" t="str">
        <f t="shared" si="908"/>
        <v/>
      </c>
      <c r="Y658" t="str">
        <f t="shared" si="909"/>
        <v/>
      </c>
      <c r="Z658" s="118" t="str">
        <f>+IF($W658="","",ROUND(IF(Parámetros!$D$25='TABLAS MORT'!$V$33,Z657,Parámetros!$D$21-'Tablas Servicio'!T657),0))</f>
        <v/>
      </c>
      <c r="AA658" s="118" t="str">
        <f t="shared" si="910"/>
        <v/>
      </c>
      <c r="AB658" s="119" t="str">
        <f>+IF(W658="","",ROUND((VLOOKUP(ROUNDDOWN($D658-1/frec,0),qx_tabla,2,FALSE)*(1+i/frec)^-0.5*(1+Parámetros!$D$103)*(1+rec_fracc)/frec),6))</f>
        <v/>
      </c>
      <c r="AC658" s="66" t="str">
        <f t="shared" si="866"/>
        <v/>
      </c>
      <c r="AD658" s="119" t="str">
        <f t="shared" si="862"/>
        <v/>
      </c>
      <c r="AE658" s="66" t="str">
        <f>+IF($W658="","",ROUND(IF($B658&gt;Parámetros!$D$107,'Tablas Servicio'!AC658+('Tablas Servicio'!AG657-'Tablas Servicio'!AC657),AC658/(1-IF(B658&lt;=10,Parámetros!$D$104,Parámetros!$D$105))),2))</f>
        <v/>
      </c>
      <c r="AF658" s="66" t="str">
        <f>+IF($W658="","",ROUND(IF($B658&gt;Parámetros!$D$107,'Tablas Servicio'!AC658+('Tablas Servicio'!AG657-'Tablas Servicio'!AC657),(AC658+$A657/frec)/(1-IF(B658&lt;=Parámetros!$D$117,Parámetros!$D$100,0))),2))</f>
        <v/>
      </c>
      <c r="AG658" s="66" t="str">
        <f t="shared" si="867"/>
        <v/>
      </c>
      <c r="AH658" s="66" t="str">
        <f t="shared" si="868"/>
        <v/>
      </c>
      <c r="AI658" s="66" t="str">
        <f t="shared" si="869"/>
        <v/>
      </c>
      <c r="AJ658" s="66" t="str">
        <f>+IF($W658="","",ROUND((AG658*Parámetros!$G$85),2))</f>
        <v/>
      </c>
      <c r="AK658" s="66" t="str">
        <f>+IF($W658="","",ROUND((AG658*(Parámetros!$G$86)),2))</f>
        <v/>
      </c>
      <c r="AL658" s="66" t="str">
        <f t="shared" si="863"/>
        <v/>
      </c>
      <c r="AM658" t="str">
        <f t="shared" si="911"/>
        <v/>
      </c>
      <c r="AN658" t="str">
        <f t="shared" si="912"/>
        <v/>
      </c>
      <c r="AO658" s="118" t="str">
        <f t="shared" si="913"/>
        <v/>
      </c>
      <c r="AP658" s="118" t="str">
        <f t="shared" si="914"/>
        <v/>
      </c>
      <c r="AQ658" s="119" t="str">
        <f>+IF(OR($W658="",AO658=0),"",ROUND((VLOOKUP(ROUNDDOWN($D658-1/frec,0),cob_adi,Z$40,FALSE)*(1+i/frec)^-0.5*(1+Parámetros!$D$103)*(1+rec_fracc)/frec),6))</f>
        <v/>
      </c>
      <c r="AR658" s="66" t="str">
        <f t="shared" si="870"/>
        <v/>
      </c>
      <c r="AS658" s="119" t="str">
        <f t="shared" si="871"/>
        <v/>
      </c>
      <c r="AT658" s="66" t="str">
        <f>+IF($W658="","",ROUND(IF($B658&gt;Parámetros!$D$107,'Tablas Servicio'!AR658+('Tablas Servicio'!AT657-'Tablas Servicio'!AR657),AR658/(1-IF(B658&lt;=10,Parámetros!$D$100,0))),2))</f>
        <v/>
      </c>
      <c r="AU658" s="66" t="str">
        <f t="shared" si="872"/>
        <v/>
      </c>
      <c r="AV658" s="66" t="str">
        <f t="shared" si="872"/>
        <v/>
      </c>
      <c r="AW658" s="66" t="str">
        <f>+IF($W658="","",ROUND((AT658*Parámetros!$G$85),2))</f>
        <v/>
      </c>
      <c r="AX658" s="66" t="str">
        <f>+IF($W658="","",ROUND((AT658*(Parámetros!$G$86)),2))</f>
        <v/>
      </c>
      <c r="AY658" s="66" t="str">
        <f t="shared" si="873"/>
        <v/>
      </c>
      <c r="AZ658" t="str">
        <f t="shared" si="915"/>
        <v/>
      </c>
      <c r="BA658" t="str">
        <f t="shared" si="916"/>
        <v/>
      </c>
      <c r="BB658" s="118" t="str">
        <f t="shared" si="917"/>
        <v/>
      </c>
      <c r="BC658" s="118" t="str">
        <f t="shared" si="918"/>
        <v/>
      </c>
      <c r="BD658" s="119" t="str">
        <f>+IF(OR($W658="",BB658=0),"",ROUND((VLOOKUP(ROUNDDOWN($D658-1/frec,0),cob_adi,AO$40,FALSE)*(1+i/frec)^-0.5*(1+Parámetros!$D$103)*(1+rec_fracc)/frec),6))</f>
        <v/>
      </c>
      <c r="BE658" s="66" t="str">
        <f t="shared" si="874"/>
        <v/>
      </c>
      <c r="BF658" s="119" t="str">
        <f t="shared" si="875"/>
        <v/>
      </c>
      <c r="BG658" s="66" t="str">
        <f>+IF($W658="","",ROUND(IF($B658&gt;Parámetros!$D$107,'Tablas Servicio'!BE658+('Tablas Servicio'!BG657-'Tablas Servicio'!BE657),BE658/(1-IF(B658&lt;=10,Parámetros!$D$100,0))),2))</f>
        <v/>
      </c>
      <c r="BH658" s="66" t="str">
        <f t="shared" si="876"/>
        <v/>
      </c>
      <c r="BI658" s="66" t="str">
        <f t="shared" si="877"/>
        <v/>
      </c>
      <c r="BJ658" s="66" t="str">
        <f>+IF($W658="","",ROUND((BG658*Parámetros!$G$85),2))</f>
        <v/>
      </c>
      <c r="BK658" s="66" t="str">
        <f>+IF($W658="","",ROUND((BG658*(Parámetros!$G$86)),2))</f>
        <v/>
      </c>
      <c r="BL658" s="66" t="str">
        <f t="shared" si="878"/>
        <v/>
      </c>
      <c r="BM658" t="str">
        <f t="shared" si="919"/>
        <v/>
      </c>
      <c r="BN658" t="str">
        <f t="shared" si="920"/>
        <v/>
      </c>
      <c r="BO658" s="118" t="str">
        <f t="shared" si="921"/>
        <v/>
      </c>
      <c r="BP658" s="118" t="str">
        <f t="shared" si="922"/>
        <v/>
      </c>
      <c r="BQ658" s="119" t="str">
        <f>+IF(OR($W658="",BO658=0),"",ROUND((VLOOKUP(ROUNDDOWN($D658-1/frec,0),cob_adi,BB$40,FALSE)*(1+i/frec)^-0.5*(1+Parámetros!$D$103)*(1+rec_fracc)/frec),6))</f>
        <v/>
      </c>
      <c r="BR658" s="66" t="str">
        <f t="shared" si="879"/>
        <v/>
      </c>
      <c r="BS658" s="119" t="str">
        <f t="shared" si="880"/>
        <v/>
      </c>
      <c r="BT658" s="66" t="str">
        <f>+IF($W658="","",ROUND(IF($B658&gt;Parámetros!$D$107,'Tablas Servicio'!BR658+('Tablas Servicio'!BT657-'Tablas Servicio'!BR657),BR658/(1-IF(B658&lt;=10,Parámetros!$D$100,0))),2))</f>
        <v/>
      </c>
      <c r="BU658" s="66" t="str">
        <f t="shared" si="881"/>
        <v/>
      </c>
      <c r="BV658" s="66" t="str">
        <f t="shared" si="881"/>
        <v/>
      </c>
      <c r="BW658" s="66" t="str">
        <f>+IF($W658="","",ROUND((BT658*Parámetros!$G$85),2))</f>
        <v/>
      </c>
      <c r="BX658" s="66" t="str">
        <f>+IF($W658="","",ROUND((BT658*(Parámetros!$G$86)),2))</f>
        <v/>
      </c>
      <c r="BY658" s="66" t="str">
        <f t="shared" si="882"/>
        <v/>
      </c>
      <c r="BZ658" t="str">
        <f t="shared" si="923"/>
        <v/>
      </c>
      <c r="CA658" t="str">
        <f t="shared" si="924"/>
        <v/>
      </c>
      <c r="CB658" s="118" t="str">
        <f t="shared" si="925"/>
        <v/>
      </c>
      <c r="CC658" s="118" t="str">
        <f t="shared" si="926"/>
        <v/>
      </c>
      <c r="CD658" s="119" t="str">
        <f t="shared" si="883"/>
        <v/>
      </c>
      <c r="CE658" s="66" t="str">
        <f>+IF($W658="","",ROUND((VLOOKUP(ROUNDDOWN($D658-1/frec,0),cob_adi,BO$40,FALSE)*(1+i/frec)^-0.5*(1+Parámetros!$D$103)*(1+rec_fracc)/frec*'TABLAS ADI'!$BC$17),2))</f>
        <v/>
      </c>
      <c r="CF658" s="119" t="str">
        <f t="shared" si="884"/>
        <v/>
      </c>
      <c r="CG658" s="66" t="str">
        <f>+IF($W658="","",ROUND(IF($B658&gt;Parámetros!$D$107,'Tablas Servicio'!CE658+('Tablas Servicio'!CG657-'Tablas Servicio'!CE657),CE658/(1-IF(B658&lt;=10,Parámetros!$D$100,0))),2))</f>
        <v/>
      </c>
      <c r="CH658" s="66" t="str">
        <f t="shared" si="885"/>
        <v/>
      </c>
      <c r="CI658" s="66" t="str">
        <f t="shared" si="885"/>
        <v/>
      </c>
      <c r="CJ658" s="66" t="str">
        <f>+IF($W658="","",ROUND((CG658*Parámetros!$G$85),2))</f>
        <v/>
      </c>
      <c r="CK658" s="66" t="str">
        <f>+IF($W658="","",ROUND((CG658*(Parámetros!$G$86)),2))</f>
        <v/>
      </c>
      <c r="CL658" s="66" t="str">
        <f t="shared" si="886"/>
        <v/>
      </c>
      <c r="CM658" t="str">
        <f t="shared" si="927"/>
        <v/>
      </c>
      <c r="CN658" s="118" t="str">
        <f t="shared" si="928"/>
        <v/>
      </c>
      <c r="CO658" s="118" t="str">
        <f t="shared" si="929"/>
        <v/>
      </c>
      <c r="CP658" s="118" t="str">
        <f t="shared" si="930"/>
        <v/>
      </c>
      <c r="CQ658" s="119" t="str">
        <f t="shared" si="887"/>
        <v/>
      </c>
      <c r="CR658" s="66" t="str">
        <f>+IF($W658="","",ROUND((VLOOKUP(Parámetros!$F$51,'COBERTURAS ADICIONALES'!$S$4:$T$32,2,FALSE)*(1+i/frec)^-0.5*(1+Parámetros!$D$103)*(1+rec_fracc)/frec*$CO$42),2))</f>
        <v/>
      </c>
      <c r="CS658" s="119" t="str">
        <f t="shared" si="888"/>
        <v/>
      </c>
      <c r="CT658" s="66" t="str">
        <f>+IF($W658="","",ROUND(IF($B658&gt;Parámetros!$D$107,'Tablas Servicio'!CR658+('Tablas Servicio'!CT657-'Tablas Servicio'!CR657),CR658/(1-IF(B658&lt;=10,Parámetros!$D$100,0))),2))</f>
        <v/>
      </c>
      <c r="CU658" s="66" t="str">
        <f t="shared" si="889"/>
        <v/>
      </c>
      <c r="CV658" s="66" t="str">
        <f t="shared" si="889"/>
        <v/>
      </c>
      <c r="CW658" s="66" t="str">
        <f>+IF($W658="","",ROUND((CT658*Parámetros!$G$85),2))</f>
        <v/>
      </c>
      <c r="CX658" s="66" t="str">
        <f>+IF($W658="","",ROUND((CT658*(Parámetros!$G$86)),2))</f>
        <v/>
      </c>
      <c r="CY658" s="66" t="str">
        <f t="shared" si="890"/>
        <v/>
      </c>
      <c r="CZ658" t="str">
        <f t="shared" si="931"/>
        <v/>
      </c>
      <c r="DA658" s="118" t="str">
        <f t="shared" si="932"/>
        <v/>
      </c>
      <c r="DB658" s="118" t="str">
        <f t="shared" si="933"/>
        <v/>
      </c>
      <c r="DC658" s="118" t="str">
        <f t="shared" si="934"/>
        <v/>
      </c>
      <c r="DD658" s="121" t="str">
        <f>+IF(OR($W658="",DB658=0),"",ROUND((VLOOKUP(ROUNDDOWN($D658-1/frec,0),cob_adi,CO$40,FALSE)*(1+i/frec)^-0.5*(1+Parámetros!$D$103)*(1+rec_fracc)/frec),6))</f>
        <v/>
      </c>
      <c r="DE658" s="66" t="str">
        <f t="shared" si="891"/>
        <v/>
      </c>
      <c r="DF658" s="119" t="str">
        <f t="shared" si="892"/>
        <v/>
      </c>
      <c r="DG658" s="66" t="str">
        <f>+IF($W658="","",ROUND(IF($B658&gt;Parámetros!$D$107,'Tablas Servicio'!DE658+('Tablas Servicio'!DG657-'Tablas Servicio'!DE657),DE658/(1-IF(B658&lt;=10,Parámetros!$D$100,0))),2))</f>
        <v/>
      </c>
      <c r="DH658" s="66" t="str">
        <f t="shared" si="893"/>
        <v/>
      </c>
      <c r="DI658" s="66" t="str">
        <f t="shared" si="893"/>
        <v/>
      </c>
      <c r="DJ658" s="66" t="str">
        <f>+IF($W658="","",ROUND((DG658*Parámetros!$G$85),2))</f>
        <v/>
      </c>
      <c r="DK658" s="66" t="str">
        <f>+IF($W658="","",ROUND((DG658*(Parámetros!$G$86)),2))</f>
        <v/>
      </c>
      <c r="DL658" s="66" t="str">
        <f t="shared" si="894"/>
        <v/>
      </c>
      <c r="DM658" t="str">
        <f t="shared" si="935"/>
        <v/>
      </c>
      <c r="DN658" s="118" t="str">
        <f t="shared" si="936"/>
        <v/>
      </c>
      <c r="DO658" s="118" t="str">
        <f t="shared" si="937"/>
        <v/>
      </c>
      <c r="DP658" s="118" t="str">
        <f t="shared" si="938"/>
        <v/>
      </c>
      <c r="DQ658" s="122" t="str">
        <f>+IF(OR($W658="",DO658=0),"",ROUND((VLOOKUP(ROUNDDOWN($D658-1/frec,0),cob_adi,DB$40,FALSE)*(1+i/frec)^-0.5*(1+Parámetros!$D$103)*(1+rec_fracc)/frec),6))</f>
        <v/>
      </c>
      <c r="DR658" s="66" t="str">
        <f t="shared" si="895"/>
        <v/>
      </c>
      <c r="DS658" s="68" t="str">
        <f t="shared" si="896"/>
        <v/>
      </c>
      <c r="DT658" s="66" t="str">
        <f>+IF($W658="","",ROUND(IF($B658&gt;Parámetros!$D$107,'Tablas Servicio'!DR658+('Tablas Servicio'!DT657-'Tablas Servicio'!DR657),DR658/(1-IF(B658&lt;=10,Parámetros!$D$100,0))),2))</f>
        <v/>
      </c>
      <c r="DU658" s="66" t="str">
        <f t="shared" si="897"/>
        <v/>
      </c>
      <c r="DV658" s="66" t="str">
        <f t="shared" si="897"/>
        <v/>
      </c>
      <c r="DW658" s="66" t="str">
        <f>+IF($W658="","",ROUND((DT658*Parámetros!$G$85),2))</f>
        <v/>
      </c>
      <c r="DX658" s="66" t="str">
        <f>+IF($W658="","",ROUND((DT658*(Parámetros!$G$86)),2))</f>
        <v/>
      </c>
      <c r="DY658" s="66" t="str">
        <f t="shared" si="898"/>
        <v/>
      </c>
      <c r="DZ658" t="str">
        <f t="shared" si="940"/>
        <v/>
      </c>
      <c r="EA658" s="118" t="str">
        <f t="shared" si="940"/>
        <v/>
      </c>
      <c r="EB658" s="118" t="str">
        <f>+IF($W658="","",ROUND(IF(Parámetros!$D$25='TABLAS MORT'!$V$33,EB657,Z658/2),0))</f>
        <v/>
      </c>
      <c r="EC658" s="118" t="str">
        <f t="shared" si="940"/>
        <v/>
      </c>
      <c r="ED658" s="122" t="str">
        <f>+IF(OR($W658="",EB658=0),"",ROUND((VLOOKUP(ROUNDDOWN($D658-1/frec,0),cob_adi,DO$40,FALSE)*(1+i/frec)^-0.5*(1+Parámetros!$D$103)*(1+rec_fracc)/frec),6))</f>
        <v/>
      </c>
      <c r="EE658" s="66" t="str">
        <f t="shared" si="900"/>
        <v/>
      </c>
      <c r="EF658" s="68" t="str">
        <f t="shared" si="901"/>
        <v/>
      </c>
      <c r="EG658" s="66" t="str">
        <f>+IF($W658="","",ROUND(IF($B658&gt;Parámetros!$D$107,'Tablas Servicio'!EE658+('Tablas Servicio'!EG657-'Tablas Servicio'!EE657),EE658/(1-IF(B658&lt;=10,Parámetros!$D$100,0))),2))</f>
        <v/>
      </c>
      <c r="EH658" s="66" t="str">
        <f t="shared" si="902"/>
        <v/>
      </c>
      <c r="EI658" s="66" t="str">
        <f t="shared" si="902"/>
        <v/>
      </c>
      <c r="EJ658" s="66" t="str">
        <f>+IF($W658="","",ROUND((EG658*Parámetros!$G$85),2))</f>
        <v/>
      </c>
      <c r="EK658" s="66" t="str">
        <f>+IF($W658="","",ROUND((EG658*(Parámetros!$G$86)),2))</f>
        <v/>
      </c>
      <c r="EL658" s="66" t="str">
        <f t="shared" si="903"/>
        <v/>
      </c>
    </row>
    <row r="659" spans="1:142" x14ac:dyDescent="0.25">
      <c r="A659" t="str">
        <f>+IF($C659="","",ROUND(VLOOKUP('Tablas Servicio'!B659,Parámetros!$H$100:$J$159,IF(Parámetros!$E$16="F",2,3),FALSE),2))</f>
        <v/>
      </c>
      <c r="B659" t="str">
        <f t="shared" si="854"/>
        <v/>
      </c>
      <c r="C659" s="57" t="str">
        <f>+IF(D659="","",'Tablas Servicio'!C658+1)</f>
        <v/>
      </c>
      <c r="D659" s="56" t="str">
        <f>+IF(D658&lt;edadmaxtabla,D658+1/Parámetros!$E$25,"")</f>
        <v/>
      </c>
      <c r="E659" s="57" t="str">
        <f t="shared" si="864"/>
        <v/>
      </c>
      <c r="F659" s="59" t="str">
        <f t="shared" si="865"/>
        <v/>
      </c>
      <c r="G659" s="66" t="str">
        <f t="shared" si="855"/>
        <v/>
      </c>
      <c r="H659" s="66" t="str">
        <f t="shared" si="856"/>
        <v/>
      </c>
      <c r="I659" s="66" t="str">
        <f t="shared" si="904"/>
        <v/>
      </c>
      <c r="J659" s="66" t="str">
        <f t="shared" si="857"/>
        <v/>
      </c>
      <c r="K659" s="66" t="str">
        <f t="shared" si="858"/>
        <v/>
      </c>
      <c r="L659" s="66" t="str">
        <f t="shared" si="859"/>
        <v/>
      </c>
      <c r="M659" s="66" t="str">
        <f t="shared" si="860"/>
        <v/>
      </c>
      <c r="N659" s="66" t="str">
        <f>+IF(C659="","",ROUND(Parámetros!$D$23,2))</f>
        <v/>
      </c>
      <c r="O659" s="66" t="str">
        <f t="shared" si="861"/>
        <v/>
      </c>
      <c r="P659" s="66" t="str">
        <f>+IF($C659="","",ROUND(IF(B659&gt;Parámetros!$D$117,0,N659*Parámetros!$D$116-G659*Parámetros!$D$100),2))</f>
        <v/>
      </c>
      <c r="Q659" s="75" t="str">
        <f t="shared" si="905"/>
        <v/>
      </c>
      <c r="R659" s="75" t="str">
        <f t="shared" si="906"/>
        <v/>
      </c>
      <c r="S659" s="117" t="str">
        <f>+IF($C659="","",ROUND((S658+I659)*(1+Parámetros!$D$91),2))</f>
        <v/>
      </c>
      <c r="T659" s="117" t="str">
        <f>+IF($C659="","",ROUND(S659*VLOOKUP(B659,Parámetros!$C$30:$D$39,2,TRUE),2))</f>
        <v/>
      </c>
      <c r="U659" s="117" t="str">
        <f>+IF($C659="","",ROUND((U658+I659)*(1+Parámetros!$D$92),2))</f>
        <v/>
      </c>
      <c r="V659" s="117" t="str">
        <f>+IF($C659="","",ROUND(U659*VLOOKUP(B659,Parámetros!$C$30:$D$39,2,TRUE),2))</f>
        <v/>
      </c>
      <c r="W659" s="57" t="str">
        <f t="shared" si="907"/>
        <v/>
      </c>
      <c r="X659" t="str">
        <f t="shared" si="908"/>
        <v/>
      </c>
      <c r="Y659" t="str">
        <f t="shared" si="909"/>
        <v/>
      </c>
      <c r="Z659" s="118" t="str">
        <f>+IF($W659="","",ROUND(IF(Parámetros!$D$25='TABLAS MORT'!$V$33,Z658,Parámetros!$D$21-'Tablas Servicio'!T658),0))</f>
        <v/>
      </c>
      <c r="AA659" s="118" t="str">
        <f t="shared" si="910"/>
        <v/>
      </c>
      <c r="AB659" s="119" t="str">
        <f>+IF(W659="","",ROUND((VLOOKUP(ROUNDDOWN($D659-1/frec,0),qx_tabla,2,FALSE)*(1+i/frec)^-0.5*(1+Parámetros!$D$103)*(1+rec_fracc)/frec),6))</f>
        <v/>
      </c>
      <c r="AC659" s="66" t="str">
        <f t="shared" si="866"/>
        <v/>
      </c>
      <c r="AD659" s="119" t="str">
        <f t="shared" si="862"/>
        <v/>
      </c>
      <c r="AE659" s="66" t="str">
        <f>+IF($W659="","",ROUND(IF($B659&gt;Parámetros!$D$107,'Tablas Servicio'!AC659+('Tablas Servicio'!AG658-'Tablas Servicio'!AC658),AC659/(1-IF(B659&lt;=10,Parámetros!$D$104,Parámetros!$D$105))),2))</f>
        <v/>
      </c>
      <c r="AF659" s="66" t="str">
        <f>+IF($W659="","",ROUND(IF($B659&gt;Parámetros!$D$107,'Tablas Servicio'!AC659+('Tablas Servicio'!AG658-'Tablas Servicio'!AC658),(AC659+$A658/frec)/(1-IF(B659&lt;=Parámetros!$D$117,Parámetros!$D$100,0))),2))</f>
        <v/>
      </c>
      <c r="AG659" s="66" t="str">
        <f t="shared" si="867"/>
        <v/>
      </c>
      <c r="AH659" s="66" t="str">
        <f t="shared" si="868"/>
        <v/>
      </c>
      <c r="AI659" s="66" t="str">
        <f t="shared" si="869"/>
        <v/>
      </c>
      <c r="AJ659" s="66" t="str">
        <f>+IF($W659="","",ROUND((AG659*Parámetros!$G$85),2))</f>
        <v/>
      </c>
      <c r="AK659" s="66" t="str">
        <f>+IF($W659="","",ROUND((AG659*(Parámetros!$G$86)),2))</f>
        <v/>
      </c>
      <c r="AL659" s="66" t="str">
        <f t="shared" si="863"/>
        <v/>
      </c>
      <c r="AM659" t="str">
        <f t="shared" si="911"/>
        <v/>
      </c>
      <c r="AN659" t="str">
        <f t="shared" si="912"/>
        <v/>
      </c>
      <c r="AO659" s="118" t="str">
        <f t="shared" si="913"/>
        <v/>
      </c>
      <c r="AP659" s="118" t="str">
        <f t="shared" si="914"/>
        <v/>
      </c>
      <c r="AQ659" s="119" t="str">
        <f>+IF(OR($W659="",AO659=0),"",ROUND((VLOOKUP(ROUNDDOWN($D659-1/frec,0),cob_adi,Z$40,FALSE)*(1+i/frec)^-0.5*(1+Parámetros!$D$103)*(1+rec_fracc)/frec),6))</f>
        <v/>
      </c>
      <c r="AR659" s="66" t="str">
        <f t="shared" si="870"/>
        <v/>
      </c>
      <c r="AS659" s="119" t="str">
        <f t="shared" si="871"/>
        <v/>
      </c>
      <c r="AT659" s="66" t="str">
        <f>+IF($W659="","",ROUND(IF($B659&gt;Parámetros!$D$107,'Tablas Servicio'!AR659+('Tablas Servicio'!AT658-'Tablas Servicio'!AR658),AR659/(1-IF(B659&lt;=10,Parámetros!$D$100,0))),2))</f>
        <v/>
      </c>
      <c r="AU659" s="66" t="str">
        <f t="shared" si="872"/>
        <v/>
      </c>
      <c r="AV659" s="66" t="str">
        <f t="shared" si="872"/>
        <v/>
      </c>
      <c r="AW659" s="66" t="str">
        <f>+IF($W659="","",ROUND((AT659*Parámetros!$G$85),2))</f>
        <v/>
      </c>
      <c r="AX659" s="66" t="str">
        <f>+IF($W659="","",ROUND((AT659*(Parámetros!$G$86)),2))</f>
        <v/>
      </c>
      <c r="AY659" s="66" t="str">
        <f t="shared" si="873"/>
        <v/>
      </c>
      <c r="AZ659" t="str">
        <f t="shared" si="915"/>
        <v/>
      </c>
      <c r="BA659" t="str">
        <f t="shared" si="916"/>
        <v/>
      </c>
      <c r="BB659" s="118" t="str">
        <f t="shared" si="917"/>
        <v/>
      </c>
      <c r="BC659" s="118" t="str">
        <f t="shared" si="918"/>
        <v/>
      </c>
      <c r="BD659" s="119" t="str">
        <f>+IF(OR($W659="",BB659=0),"",ROUND((VLOOKUP(ROUNDDOWN($D659-1/frec,0),cob_adi,AO$40,FALSE)*(1+i/frec)^-0.5*(1+Parámetros!$D$103)*(1+rec_fracc)/frec),6))</f>
        <v/>
      </c>
      <c r="BE659" s="66" t="str">
        <f t="shared" si="874"/>
        <v/>
      </c>
      <c r="BF659" s="119" t="str">
        <f t="shared" si="875"/>
        <v/>
      </c>
      <c r="BG659" s="66" t="str">
        <f>+IF($W659="","",ROUND(IF($B659&gt;Parámetros!$D$107,'Tablas Servicio'!BE659+('Tablas Servicio'!BG658-'Tablas Servicio'!BE658),BE659/(1-IF(B659&lt;=10,Parámetros!$D$100,0))),2))</f>
        <v/>
      </c>
      <c r="BH659" s="66" t="str">
        <f t="shared" si="876"/>
        <v/>
      </c>
      <c r="BI659" s="66" t="str">
        <f t="shared" si="877"/>
        <v/>
      </c>
      <c r="BJ659" s="66" t="str">
        <f>+IF($W659="","",ROUND((BG659*Parámetros!$G$85),2))</f>
        <v/>
      </c>
      <c r="BK659" s="66" t="str">
        <f>+IF($W659="","",ROUND((BG659*(Parámetros!$G$86)),2))</f>
        <v/>
      </c>
      <c r="BL659" s="66" t="str">
        <f t="shared" si="878"/>
        <v/>
      </c>
      <c r="BM659" t="str">
        <f t="shared" si="919"/>
        <v/>
      </c>
      <c r="BN659" t="str">
        <f t="shared" si="920"/>
        <v/>
      </c>
      <c r="BO659" s="118" t="str">
        <f t="shared" si="921"/>
        <v/>
      </c>
      <c r="BP659" s="118" t="str">
        <f t="shared" si="922"/>
        <v/>
      </c>
      <c r="BQ659" s="119" t="str">
        <f>+IF(OR($W659="",BO659=0),"",ROUND((VLOOKUP(ROUNDDOWN($D659-1/frec,0),cob_adi,BB$40,FALSE)*(1+i/frec)^-0.5*(1+Parámetros!$D$103)*(1+rec_fracc)/frec),6))</f>
        <v/>
      </c>
      <c r="BR659" s="66" t="str">
        <f t="shared" si="879"/>
        <v/>
      </c>
      <c r="BS659" s="119" t="str">
        <f t="shared" si="880"/>
        <v/>
      </c>
      <c r="BT659" s="66" t="str">
        <f>+IF($W659="","",ROUND(IF($B659&gt;Parámetros!$D$107,'Tablas Servicio'!BR659+('Tablas Servicio'!BT658-'Tablas Servicio'!BR658),BR659/(1-IF(B659&lt;=10,Parámetros!$D$100,0))),2))</f>
        <v/>
      </c>
      <c r="BU659" s="66" t="str">
        <f t="shared" si="881"/>
        <v/>
      </c>
      <c r="BV659" s="66" t="str">
        <f t="shared" si="881"/>
        <v/>
      </c>
      <c r="BW659" s="66" t="str">
        <f>+IF($W659="","",ROUND((BT659*Parámetros!$G$85),2))</f>
        <v/>
      </c>
      <c r="BX659" s="66" t="str">
        <f>+IF($W659="","",ROUND((BT659*(Parámetros!$G$86)),2))</f>
        <v/>
      </c>
      <c r="BY659" s="66" t="str">
        <f t="shared" si="882"/>
        <v/>
      </c>
      <c r="BZ659" t="str">
        <f t="shared" si="923"/>
        <v/>
      </c>
      <c r="CA659" t="str">
        <f t="shared" si="924"/>
        <v/>
      </c>
      <c r="CB659" s="118" t="str">
        <f t="shared" si="925"/>
        <v/>
      </c>
      <c r="CC659" s="118" t="str">
        <f t="shared" si="926"/>
        <v/>
      </c>
      <c r="CD659" s="119" t="str">
        <f t="shared" si="883"/>
        <v/>
      </c>
      <c r="CE659" s="66" t="str">
        <f>+IF($W659="","",ROUND((VLOOKUP(ROUNDDOWN($D659-1/frec,0),cob_adi,BO$40,FALSE)*(1+i/frec)^-0.5*(1+Parámetros!$D$103)*(1+rec_fracc)/frec*'TABLAS ADI'!$BC$17),2))</f>
        <v/>
      </c>
      <c r="CF659" s="119" t="str">
        <f t="shared" si="884"/>
        <v/>
      </c>
      <c r="CG659" s="66" t="str">
        <f>+IF($W659="","",ROUND(IF($B659&gt;Parámetros!$D$107,'Tablas Servicio'!CE659+('Tablas Servicio'!CG658-'Tablas Servicio'!CE658),CE659/(1-IF(B659&lt;=10,Parámetros!$D$100,0))),2))</f>
        <v/>
      </c>
      <c r="CH659" s="66" t="str">
        <f t="shared" si="885"/>
        <v/>
      </c>
      <c r="CI659" s="66" t="str">
        <f t="shared" si="885"/>
        <v/>
      </c>
      <c r="CJ659" s="66" t="str">
        <f>+IF($W659="","",ROUND((CG659*Parámetros!$G$85),2))</f>
        <v/>
      </c>
      <c r="CK659" s="66" t="str">
        <f>+IF($W659="","",ROUND((CG659*(Parámetros!$G$86)),2))</f>
        <v/>
      </c>
      <c r="CL659" s="66" t="str">
        <f t="shared" si="886"/>
        <v/>
      </c>
      <c r="CM659" t="str">
        <f t="shared" si="927"/>
        <v/>
      </c>
      <c r="CN659" s="118" t="str">
        <f t="shared" si="928"/>
        <v/>
      </c>
      <c r="CO659" s="118" t="str">
        <f t="shared" si="929"/>
        <v/>
      </c>
      <c r="CP659" s="118" t="str">
        <f t="shared" si="930"/>
        <v/>
      </c>
      <c r="CQ659" s="119" t="str">
        <f t="shared" si="887"/>
        <v/>
      </c>
      <c r="CR659" s="66" t="str">
        <f>+IF($W659="","",ROUND((VLOOKUP(Parámetros!$F$51,'COBERTURAS ADICIONALES'!$S$4:$T$32,2,FALSE)*(1+i/frec)^-0.5*(1+Parámetros!$D$103)*(1+rec_fracc)/frec*$CO$42),2))</f>
        <v/>
      </c>
      <c r="CS659" s="119" t="str">
        <f t="shared" si="888"/>
        <v/>
      </c>
      <c r="CT659" s="66" t="str">
        <f>+IF($W659="","",ROUND(IF($B659&gt;Parámetros!$D$107,'Tablas Servicio'!CR659+('Tablas Servicio'!CT658-'Tablas Servicio'!CR658),CR659/(1-IF(B659&lt;=10,Parámetros!$D$100,0))),2))</f>
        <v/>
      </c>
      <c r="CU659" s="66" t="str">
        <f t="shared" si="889"/>
        <v/>
      </c>
      <c r="CV659" s="66" t="str">
        <f t="shared" si="889"/>
        <v/>
      </c>
      <c r="CW659" s="66" t="str">
        <f>+IF($W659="","",ROUND((CT659*Parámetros!$G$85),2))</f>
        <v/>
      </c>
      <c r="CX659" s="66" t="str">
        <f>+IF($W659="","",ROUND((CT659*(Parámetros!$G$86)),2))</f>
        <v/>
      </c>
      <c r="CY659" s="66" t="str">
        <f t="shared" si="890"/>
        <v/>
      </c>
      <c r="CZ659" t="str">
        <f t="shared" si="931"/>
        <v/>
      </c>
      <c r="DA659" s="118" t="str">
        <f t="shared" si="932"/>
        <v/>
      </c>
      <c r="DB659" s="118" t="str">
        <f t="shared" si="933"/>
        <v/>
      </c>
      <c r="DC659" s="118" t="str">
        <f t="shared" si="934"/>
        <v/>
      </c>
      <c r="DD659" s="121" t="str">
        <f>+IF(OR($W659="",DB659=0),"",ROUND((VLOOKUP(ROUNDDOWN($D659-1/frec,0),cob_adi,CO$40,FALSE)*(1+i/frec)^-0.5*(1+Parámetros!$D$103)*(1+rec_fracc)/frec),6))</f>
        <v/>
      </c>
      <c r="DE659" s="66" t="str">
        <f t="shared" si="891"/>
        <v/>
      </c>
      <c r="DF659" s="119" t="str">
        <f t="shared" si="892"/>
        <v/>
      </c>
      <c r="DG659" s="66" t="str">
        <f>+IF($W659="","",ROUND(IF($B659&gt;Parámetros!$D$107,'Tablas Servicio'!DE659+('Tablas Servicio'!DG658-'Tablas Servicio'!DE658),DE659/(1-IF(B659&lt;=10,Parámetros!$D$100,0))),2))</f>
        <v/>
      </c>
      <c r="DH659" s="66" t="str">
        <f t="shared" si="893"/>
        <v/>
      </c>
      <c r="DI659" s="66" t="str">
        <f t="shared" si="893"/>
        <v/>
      </c>
      <c r="DJ659" s="66" t="str">
        <f>+IF($W659="","",ROUND((DG659*Parámetros!$G$85),2))</f>
        <v/>
      </c>
      <c r="DK659" s="66" t="str">
        <f>+IF($W659="","",ROUND((DG659*(Parámetros!$G$86)),2))</f>
        <v/>
      </c>
      <c r="DL659" s="66" t="str">
        <f t="shared" si="894"/>
        <v/>
      </c>
      <c r="DM659" t="str">
        <f t="shared" si="935"/>
        <v/>
      </c>
      <c r="DN659" s="118" t="str">
        <f t="shared" si="936"/>
        <v/>
      </c>
      <c r="DO659" s="118" t="str">
        <f t="shared" si="937"/>
        <v/>
      </c>
      <c r="DP659" s="118" t="str">
        <f t="shared" si="938"/>
        <v/>
      </c>
      <c r="DQ659" s="122" t="str">
        <f>+IF(OR($W659="",DO659=0),"",ROUND((VLOOKUP(ROUNDDOWN($D659-1/frec,0),cob_adi,DB$40,FALSE)*(1+i/frec)^-0.5*(1+Parámetros!$D$103)*(1+rec_fracc)/frec),6))</f>
        <v/>
      </c>
      <c r="DR659" s="66" t="str">
        <f t="shared" si="895"/>
        <v/>
      </c>
      <c r="DS659" s="68" t="str">
        <f t="shared" si="896"/>
        <v/>
      </c>
      <c r="DT659" s="66" t="str">
        <f>+IF($W659="","",ROUND(IF($B659&gt;Parámetros!$D$107,'Tablas Servicio'!DR659+('Tablas Servicio'!DT658-'Tablas Servicio'!DR658),DR659/(1-IF(B659&lt;=10,Parámetros!$D$100,0))),2))</f>
        <v/>
      </c>
      <c r="DU659" s="66" t="str">
        <f t="shared" si="897"/>
        <v/>
      </c>
      <c r="DV659" s="66" t="str">
        <f t="shared" si="897"/>
        <v/>
      </c>
      <c r="DW659" s="66" t="str">
        <f>+IF($W659="","",ROUND((DT659*Parámetros!$G$85),2))</f>
        <v/>
      </c>
      <c r="DX659" s="66" t="str">
        <f>+IF($W659="","",ROUND((DT659*(Parámetros!$G$86)),2))</f>
        <v/>
      </c>
      <c r="DY659" s="66" t="str">
        <f t="shared" si="898"/>
        <v/>
      </c>
      <c r="DZ659" t="str">
        <f t="shared" si="940"/>
        <v/>
      </c>
      <c r="EA659" s="118" t="str">
        <f t="shared" si="940"/>
        <v/>
      </c>
      <c r="EB659" s="118" t="str">
        <f>+IF($W659="","",ROUND(IF(Parámetros!$D$25='TABLAS MORT'!$V$33,EB658,Z659/2),0))</f>
        <v/>
      </c>
      <c r="EC659" s="118" t="str">
        <f t="shared" si="940"/>
        <v/>
      </c>
      <c r="ED659" s="122" t="str">
        <f>+IF(OR($W659="",EB659=0),"",ROUND((VLOOKUP(ROUNDDOWN($D659-1/frec,0),cob_adi,DO$40,FALSE)*(1+i/frec)^-0.5*(1+Parámetros!$D$103)*(1+rec_fracc)/frec),6))</f>
        <v/>
      </c>
      <c r="EE659" s="66" t="str">
        <f t="shared" si="900"/>
        <v/>
      </c>
      <c r="EF659" s="68" t="str">
        <f t="shared" si="901"/>
        <v/>
      </c>
      <c r="EG659" s="66" t="str">
        <f>+IF($W659="","",ROUND(IF($B659&gt;Parámetros!$D$107,'Tablas Servicio'!EE659+('Tablas Servicio'!EG658-'Tablas Servicio'!EE658),EE659/(1-IF(B659&lt;=10,Parámetros!$D$100,0))),2))</f>
        <v/>
      </c>
      <c r="EH659" s="66" t="str">
        <f t="shared" si="902"/>
        <v/>
      </c>
      <c r="EI659" s="66" t="str">
        <f t="shared" si="902"/>
        <v/>
      </c>
      <c r="EJ659" s="66" t="str">
        <f>+IF($W659="","",ROUND((EG659*Parámetros!$G$85),2))</f>
        <v/>
      </c>
      <c r="EK659" s="66" t="str">
        <f>+IF($W659="","",ROUND((EG659*(Parámetros!$G$86)),2))</f>
        <v/>
      </c>
      <c r="EL659" s="66" t="str">
        <f t="shared" si="903"/>
        <v/>
      </c>
    </row>
    <row r="660" spans="1:142" x14ac:dyDescent="0.25">
      <c r="A660" t="str">
        <f>+IF($C660="","",ROUND(VLOOKUP('Tablas Servicio'!B660,Parámetros!$H$100:$J$159,IF(Parámetros!$E$16="F",2,3),FALSE),2))</f>
        <v/>
      </c>
      <c r="B660" t="str">
        <f t="shared" si="854"/>
        <v/>
      </c>
      <c r="C660" s="57" t="str">
        <f>+IF(D660="","",'Tablas Servicio'!C659+1)</f>
        <v/>
      </c>
      <c r="D660" s="56" t="str">
        <f>+IF(D659&lt;edadmaxtabla,D659+1/Parámetros!$E$25,"")</f>
        <v/>
      </c>
      <c r="E660" s="57" t="str">
        <f t="shared" si="864"/>
        <v/>
      </c>
      <c r="F660" s="59" t="str">
        <f t="shared" si="865"/>
        <v/>
      </c>
      <c r="G660" s="66" t="str">
        <f t="shared" si="855"/>
        <v/>
      </c>
      <c r="H660" s="66" t="str">
        <f t="shared" si="856"/>
        <v/>
      </c>
      <c r="I660" s="66" t="str">
        <f t="shared" si="904"/>
        <v/>
      </c>
      <c r="J660" s="66" t="str">
        <f t="shared" si="857"/>
        <v/>
      </c>
      <c r="K660" s="66" t="str">
        <f t="shared" si="858"/>
        <v/>
      </c>
      <c r="L660" s="66" t="str">
        <f t="shared" si="859"/>
        <v/>
      </c>
      <c r="M660" s="66" t="str">
        <f t="shared" si="860"/>
        <v/>
      </c>
      <c r="N660" s="66" t="str">
        <f>+IF(C660="","",ROUND(Parámetros!$D$23,2))</f>
        <v/>
      </c>
      <c r="O660" s="66" t="str">
        <f t="shared" si="861"/>
        <v/>
      </c>
      <c r="P660" s="66" t="str">
        <f>+IF($C660="","",ROUND(IF(B660&gt;Parámetros!$D$117,0,N660*Parámetros!$D$116-G660*Parámetros!$D$100),2))</f>
        <v/>
      </c>
      <c r="Q660" s="75" t="str">
        <f t="shared" si="905"/>
        <v/>
      </c>
      <c r="R660" s="75" t="str">
        <f t="shared" si="906"/>
        <v/>
      </c>
      <c r="S660" s="117" t="str">
        <f>+IF($C660="","",ROUND((S659+I660)*(1+Parámetros!$D$91),2))</f>
        <v/>
      </c>
      <c r="T660" s="117" t="str">
        <f>+IF($C660="","",ROUND(S660*VLOOKUP(B660,Parámetros!$C$30:$D$39,2,TRUE),2))</f>
        <v/>
      </c>
      <c r="U660" s="117" t="str">
        <f>+IF($C660="","",ROUND((U659+I660)*(1+Parámetros!$D$92),2))</f>
        <v/>
      </c>
      <c r="V660" s="117" t="str">
        <f>+IF($C660="","",ROUND(U660*VLOOKUP(B660,Parámetros!$C$30:$D$39,2,TRUE),2))</f>
        <v/>
      </c>
      <c r="W660" s="57" t="str">
        <f t="shared" si="907"/>
        <v/>
      </c>
      <c r="X660" t="str">
        <f t="shared" si="908"/>
        <v/>
      </c>
      <c r="Y660" t="str">
        <f t="shared" si="909"/>
        <v/>
      </c>
      <c r="Z660" s="118" t="str">
        <f>+IF($W660="","",ROUND(IF(Parámetros!$D$25='TABLAS MORT'!$V$33,Z659,Parámetros!$D$21-'Tablas Servicio'!T659),0))</f>
        <v/>
      </c>
      <c r="AA660" s="118" t="str">
        <f t="shared" si="910"/>
        <v/>
      </c>
      <c r="AB660" s="119" t="str">
        <f>+IF(W660="","",ROUND((VLOOKUP(ROUNDDOWN($D660-1/frec,0),qx_tabla,2,FALSE)*(1+i/frec)^-0.5*(1+Parámetros!$D$103)*(1+rec_fracc)/frec),6))</f>
        <v/>
      </c>
      <c r="AC660" s="66" t="str">
        <f t="shared" si="866"/>
        <v/>
      </c>
      <c r="AD660" s="119" t="str">
        <f t="shared" si="862"/>
        <v/>
      </c>
      <c r="AE660" s="66" t="str">
        <f>+IF($W660="","",ROUND(IF($B660&gt;Parámetros!$D$107,'Tablas Servicio'!AC660+('Tablas Servicio'!AG659-'Tablas Servicio'!AC659),AC660/(1-IF(B660&lt;=10,Parámetros!$D$104,Parámetros!$D$105))),2))</f>
        <v/>
      </c>
      <c r="AF660" s="66" t="str">
        <f>+IF($W660="","",ROUND(IF($B660&gt;Parámetros!$D$107,'Tablas Servicio'!AC660+('Tablas Servicio'!AG659-'Tablas Servicio'!AC659),(AC660+$A659/frec)/(1-IF(B660&lt;=Parámetros!$D$117,Parámetros!$D$100,0))),2))</f>
        <v/>
      </c>
      <c r="AG660" s="66" t="str">
        <f t="shared" si="867"/>
        <v/>
      </c>
      <c r="AH660" s="66" t="str">
        <f t="shared" si="868"/>
        <v/>
      </c>
      <c r="AI660" s="66" t="str">
        <f t="shared" si="869"/>
        <v/>
      </c>
      <c r="AJ660" s="66" t="str">
        <f>+IF($W660="","",ROUND((AG660*Parámetros!$G$85),2))</f>
        <v/>
      </c>
      <c r="AK660" s="66" t="str">
        <f>+IF($W660="","",ROUND((AG660*(Parámetros!$G$86)),2))</f>
        <v/>
      </c>
      <c r="AL660" s="66" t="str">
        <f t="shared" si="863"/>
        <v/>
      </c>
      <c r="AM660" t="str">
        <f t="shared" si="911"/>
        <v/>
      </c>
      <c r="AN660" t="str">
        <f t="shared" si="912"/>
        <v/>
      </c>
      <c r="AO660" s="118" t="str">
        <f t="shared" si="913"/>
        <v/>
      </c>
      <c r="AP660" s="118" t="str">
        <f t="shared" si="914"/>
        <v/>
      </c>
      <c r="AQ660" s="119" t="str">
        <f>+IF(OR($W660="",AO660=0),"",ROUND((VLOOKUP(ROUNDDOWN($D660-1/frec,0),cob_adi,Z$40,FALSE)*(1+i/frec)^-0.5*(1+Parámetros!$D$103)*(1+rec_fracc)/frec),6))</f>
        <v/>
      </c>
      <c r="AR660" s="66" t="str">
        <f t="shared" si="870"/>
        <v/>
      </c>
      <c r="AS660" s="119" t="str">
        <f t="shared" si="871"/>
        <v/>
      </c>
      <c r="AT660" s="66" t="str">
        <f>+IF($W660="","",ROUND(IF($B660&gt;Parámetros!$D$107,'Tablas Servicio'!AR660+('Tablas Servicio'!AT659-'Tablas Servicio'!AR659),AR660/(1-IF(B660&lt;=10,Parámetros!$D$100,0))),2))</f>
        <v/>
      </c>
      <c r="AU660" s="66" t="str">
        <f t="shared" si="872"/>
        <v/>
      </c>
      <c r="AV660" s="66" t="str">
        <f t="shared" si="872"/>
        <v/>
      </c>
      <c r="AW660" s="66" t="str">
        <f>+IF($W660="","",ROUND((AT660*Parámetros!$G$85),2))</f>
        <v/>
      </c>
      <c r="AX660" s="66" t="str">
        <f>+IF($W660="","",ROUND((AT660*(Parámetros!$G$86)),2))</f>
        <v/>
      </c>
      <c r="AY660" s="66" t="str">
        <f t="shared" si="873"/>
        <v/>
      </c>
      <c r="AZ660" t="str">
        <f t="shared" si="915"/>
        <v/>
      </c>
      <c r="BA660" t="str">
        <f t="shared" si="916"/>
        <v/>
      </c>
      <c r="BB660" s="118" t="str">
        <f t="shared" si="917"/>
        <v/>
      </c>
      <c r="BC660" s="118" t="str">
        <f t="shared" si="918"/>
        <v/>
      </c>
      <c r="BD660" s="119" t="str">
        <f>+IF(OR($W660="",BB660=0),"",ROUND((VLOOKUP(ROUNDDOWN($D660-1/frec,0),cob_adi,AO$40,FALSE)*(1+i/frec)^-0.5*(1+Parámetros!$D$103)*(1+rec_fracc)/frec),6))</f>
        <v/>
      </c>
      <c r="BE660" s="66" t="str">
        <f t="shared" si="874"/>
        <v/>
      </c>
      <c r="BF660" s="119" t="str">
        <f t="shared" si="875"/>
        <v/>
      </c>
      <c r="BG660" s="66" t="str">
        <f>+IF($W660="","",ROUND(IF($B660&gt;Parámetros!$D$107,'Tablas Servicio'!BE660+('Tablas Servicio'!BG659-'Tablas Servicio'!BE659),BE660/(1-IF(B660&lt;=10,Parámetros!$D$100,0))),2))</f>
        <v/>
      </c>
      <c r="BH660" s="66" t="str">
        <f t="shared" si="876"/>
        <v/>
      </c>
      <c r="BI660" s="66" t="str">
        <f t="shared" si="877"/>
        <v/>
      </c>
      <c r="BJ660" s="66" t="str">
        <f>+IF($W660="","",ROUND((BG660*Parámetros!$G$85),2))</f>
        <v/>
      </c>
      <c r="BK660" s="66" t="str">
        <f>+IF($W660="","",ROUND((BG660*(Parámetros!$G$86)),2))</f>
        <v/>
      </c>
      <c r="BL660" s="66" t="str">
        <f t="shared" si="878"/>
        <v/>
      </c>
      <c r="BM660" t="str">
        <f t="shared" si="919"/>
        <v/>
      </c>
      <c r="BN660" t="str">
        <f t="shared" si="920"/>
        <v/>
      </c>
      <c r="BO660" s="118" t="str">
        <f t="shared" si="921"/>
        <v/>
      </c>
      <c r="BP660" s="118" t="str">
        <f t="shared" si="922"/>
        <v/>
      </c>
      <c r="BQ660" s="119" t="str">
        <f>+IF(OR($W660="",BO660=0),"",ROUND((VLOOKUP(ROUNDDOWN($D660-1/frec,0),cob_adi,BB$40,FALSE)*(1+i/frec)^-0.5*(1+Parámetros!$D$103)*(1+rec_fracc)/frec),6))</f>
        <v/>
      </c>
      <c r="BR660" s="66" t="str">
        <f t="shared" si="879"/>
        <v/>
      </c>
      <c r="BS660" s="119" t="str">
        <f t="shared" si="880"/>
        <v/>
      </c>
      <c r="BT660" s="66" t="str">
        <f>+IF($W660="","",ROUND(IF($B660&gt;Parámetros!$D$107,'Tablas Servicio'!BR660+('Tablas Servicio'!BT659-'Tablas Servicio'!BR659),BR660/(1-IF(B660&lt;=10,Parámetros!$D$100,0))),2))</f>
        <v/>
      </c>
      <c r="BU660" s="66" t="str">
        <f t="shared" si="881"/>
        <v/>
      </c>
      <c r="BV660" s="66" t="str">
        <f t="shared" si="881"/>
        <v/>
      </c>
      <c r="BW660" s="66" t="str">
        <f>+IF($W660="","",ROUND((BT660*Parámetros!$G$85),2))</f>
        <v/>
      </c>
      <c r="BX660" s="66" t="str">
        <f>+IF($W660="","",ROUND((BT660*(Parámetros!$G$86)),2))</f>
        <v/>
      </c>
      <c r="BY660" s="66" t="str">
        <f t="shared" si="882"/>
        <v/>
      </c>
      <c r="BZ660" t="str">
        <f t="shared" si="923"/>
        <v/>
      </c>
      <c r="CA660" t="str">
        <f t="shared" si="924"/>
        <v/>
      </c>
      <c r="CB660" s="118" t="str">
        <f t="shared" si="925"/>
        <v/>
      </c>
      <c r="CC660" s="118" t="str">
        <f t="shared" si="926"/>
        <v/>
      </c>
      <c r="CD660" s="119" t="str">
        <f t="shared" si="883"/>
        <v/>
      </c>
      <c r="CE660" s="66" t="str">
        <f>+IF($W660="","",ROUND((VLOOKUP(ROUNDDOWN($D660-1/frec,0),cob_adi,BO$40,FALSE)*(1+i/frec)^-0.5*(1+Parámetros!$D$103)*(1+rec_fracc)/frec*'TABLAS ADI'!$BC$17),2))</f>
        <v/>
      </c>
      <c r="CF660" s="119" t="str">
        <f t="shared" si="884"/>
        <v/>
      </c>
      <c r="CG660" s="66" t="str">
        <f>+IF($W660="","",ROUND(IF($B660&gt;Parámetros!$D$107,'Tablas Servicio'!CE660+('Tablas Servicio'!CG659-'Tablas Servicio'!CE659),CE660/(1-IF(B660&lt;=10,Parámetros!$D$100,0))),2))</f>
        <v/>
      </c>
      <c r="CH660" s="66" t="str">
        <f t="shared" si="885"/>
        <v/>
      </c>
      <c r="CI660" s="66" t="str">
        <f t="shared" si="885"/>
        <v/>
      </c>
      <c r="CJ660" s="66" t="str">
        <f>+IF($W660="","",ROUND((CG660*Parámetros!$G$85),2))</f>
        <v/>
      </c>
      <c r="CK660" s="66" t="str">
        <f>+IF($W660="","",ROUND((CG660*(Parámetros!$G$86)),2))</f>
        <v/>
      </c>
      <c r="CL660" s="66" t="str">
        <f t="shared" si="886"/>
        <v/>
      </c>
      <c r="CM660" t="str">
        <f t="shared" si="927"/>
        <v/>
      </c>
      <c r="CN660" s="118" t="str">
        <f t="shared" si="928"/>
        <v/>
      </c>
      <c r="CO660" s="118" t="str">
        <f t="shared" si="929"/>
        <v/>
      </c>
      <c r="CP660" s="118" t="str">
        <f t="shared" si="930"/>
        <v/>
      </c>
      <c r="CQ660" s="119" t="str">
        <f t="shared" si="887"/>
        <v/>
      </c>
      <c r="CR660" s="66" t="str">
        <f>+IF($W660="","",ROUND((VLOOKUP(Parámetros!$F$51,'COBERTURAS ADICIONALES'!$S$4:$T$32,2,FALSE)*(1+i/frec)^-0.5*(1+Parámetros!$D$103)*(1+rec_fracc)/frec*$CO$42),2))</f>
        <v/>
      </c>
      <c r="CS660" s="119" t="str">
        <f t="shared" si="888"/>
        <v/>
      </c>
      <c r="CT660" s="66" t="str">
        <f>+IF($W660="","",ROUND(IF($B660&gt;Parámetros!$D$107,'Tablas Servicio'!CR660+('Tablas Servicio'!CT659-'Tablas Servicio'!CR659),CR660/(1-IF(B660&lt;=10,Parámetros!$D$100,0))),2))</f>
        <v/>
      </c>
      <c r="CU660" s="66" t="str">
        <f t="shared" si="889"/>
        <v/>
      </c>
      <c r="CV660" s="66" t="str">
        <f t="shared" si="889"/>
        <v/>
      </c>
      <c r="CW660" s="66" t="str">
        <f>+IF($W660="","",ROUND((CT660*Parámetros!$G$85),2))</f>
        <v/>
      </c>
      <c r="CX660" s="66" t="str">
        <f>+IF($W660="","",ROUND((CT660*(Parámetros!$G$86)),2))</f>
        <v/>
      </c>
      <c r="CY660" s="66" t="str">
        <f t="shared" si="890"/>
        <v/>
      </c>
      <c r="CZ660" t="str">
        <f t="shared" si="931"/>
        <v/>
      </c>
      <c r="DA660" s="118" t="str">
        <f t="shared" si="932"/>
        <v/>
      </c>
      <c r="DB660" s="118" t="str">
        <f t="shared" si="933"/>
        <v/>
      </c>
      <c r="DC660" s="118" t="str">
        <f t="shared" si="934"/>
        <v/>
      </c>
      <c r="DD660" s="121" t="str">
        <f>+IF(OR($W660="",DB660=0),"",ROUND((VLOOKUP(ROUNDDOWN($D660-1/frec,0),cob_adi,CO$40,FALSE)*(1+i/frec)^-0.5*(1+Parámetros!$D$103)*(1+rec_fracc)/frec),6))</f>
        <v/>
      </c>
      <c r="DE660" s="66" t="str">
        <f t="shared" si="891"/>
        <v/>
      </c>
      <c r="DF660" s="119" t="str">
        <f t="shared" si="892"/>
        <v/>
      </c>
      <c r="DG660" s="66" t="str">
        <f>+IF($W660="","",ROUND(IF($B660&gt;Parámetros!$D$107,'Tablas Servicio'!DE660+('Tablas Servicio'!DG659-'Tablas Servicio'!DE659),DE660/(1-IF(B660&lt;=10,Parámetros!$D$100,0))),2))</f>
        <v/>
      </c>
      <c r="DH660" s="66" t="str">
        <f t="shared" si="893"/>
        <v/>
      </c>
      <c r="DI660" s="66" t="str">
        <f t="shared" si="893"/>
        <v/>
      </c>
      <c r="DJ660" s="66" t="str">
        <f>+IF($W660="","",ROUND((DG660*Parámetros!$G$85),2))</f>
        <v/>
      </c>
      <c r="DK660" s="66" t="str">
        <f>+IF($W660="","",ROUND((DG660*(Parámetros!$G$86)),2))</f>
        <v/>
      </c>
      <c r="DL660" s="66" t="str">
        <f t="shared" si="894"/>
        <v/>
      </c>
      <c r="DM660" t="str">
        <f t="shared" si="935"/>
        <v/>
      </c>
      <c r="DN660" s="118" t="str">
        <f t="shared" si="936"/>
        <v/>
      </c>
      <c r="DO660" s="118" t="str">
        <f t="shared" si="937"/>
        <v/>
      </c>
      <c r="DP660" s="118" t="str">
        <f t="shared" si="938"/>
        <v/>
      </c>
      <c r="DQ660" s="122" t="str">
        <f>+IF(OR($W660="",DO660=0),"",ROUND((VLOOKUP(ROUNDDOWN($D660-1/frec,0),cob_adi,DB$40,FALSE)*(1+i/frec)^-0.5*(1+Parámetros!$D$103)*(1+rec_fracc)/frec),6))</f>
        <v/>
      </c>
      <c r="DR660" s="66" t="str">
        <f t="shared" si="895"/>
        <v/>
      </c>
      <c r="DS660" s="68" t="str">
        <f t="shared" si="896"/>
        <v/>
      </c>
      <c r="DT660" s="66" t="str">
        <f>+IF($W660="","",ROUND(IF($B660&gt;Parámetros!$D$107,'Tablas Servicio'!DR660+('Tablas Servicio'!DT659-'Tablas Servicio'!DR659),DR660/(1-IF(B660&lt;=10,Parámetros!$D$100,0))),2))</f>
        <v/>
      </c>
      <c r="DU660" s="66" t="str">
        <f t="shared" si="897"/>
        <v/>
      </c>
      <c r="DV660" s="66" t="str">
        <f t="shared" si="897"/>
        <v/>
      </c>
      <c r="DW660" s="66" t="str">
        <f>+IF($W660="","",ROUND((DT660*Parámetros!$G$85),2))</f>
        <v/>
      </c>
      <c r="DX660" s="66" t="str">
        <f>+IF($W660="","",ROUND((DT660*(Parámetros!$G$86)),2))</f>
        <v/>
      </c>
      <c r="DY660" s="66" t="str">
        <f t="shared" si="898"/>
        <v/>
      </c>
      <c r="DZ660" t="str">
        <f t="shared" si="940"/>
        <v/>
      </c>
      <c r="EA660" s="118" t="str">
        <f t="shared" si="940"/>
        <v/>
      </c>
      <c r="EB660" s="118" t="str">
        <f>+IF($W660="","",ROUND(IF(Parámetros!$D$25='TABLAS MORT'!$V$33,EB659,Z660/2),0))</f>
        <v/>
      </c>
      <c r="EC660" s="118" t="str">
        <f t="shared" si="940"/>
        <v/>
      </c>
      <c r="ED660" s="122" t="str">
        <f>+IF(OR($W660="",EB660=0),"",ROUND((VLOOKUP(ROUNDDOWN($D660-1/frec,0),cob_adi,DO$40,FALSE)*(1+i/frec)^-0.5*(1+Parámetros!$D$103)*(1+rec_fracc)/frec),6))</f>
        <v/>
      </c>
      <c r="EE660" s="66" t="str">
        <f t="shared" si="900"/>
        <v/>
      </c>
      <c r="EF660" s="68" t="str">
        <f t="shared" si="901"/>
        <v/>
      </c>
      <c r="EG660" s="66" t="str">
        <f>+IF($W660="","",ROUND(IF($B660&gt;Parámetros!$D$107,'Tablas Servicio'!EE660+('Tablas Servicio'!EG659-'Tablas Servicio'!EE659),EE660/(1-IF(B660&lt;=10,Parámetros!$D$100,0))),2))</f>
        <v/>
      </c>
      <c r="EH660" s="66" t="str">
        <f t="shared" si="902"/>
        <v/>
      </c>
      <c r="EI660" s="66" t="str">
        <f t="shared" si="902"/>
        <v/>
      </c>
      <c r="EJ660" s="66" t="str">
        <f>+IF($W660="","",ROUND((EG660*Parámetros!$G$85),2))</f>
        <v/>
      </c>
      <c r="EK660" s="66" t="str">
        <f>+IF($W660="","",ROUND((EG660*(Parámetros!$G$86)),2))</f>
        <v/>
      </c>
      <c r="EL660" s="66" t="str">
        <f t="shared" si="903"/>
        <v/>
      </c>
    </row>
    <row r="661" spans="1:142" x14ac:dyDescent="0.25">
      <c r="A661" t="str">
        <f>+IF($C661="","",ROUND(VLOOKUP('Tablas Servicio'!B661,Parámetros!$H$100:$J$159,IF(Parámetros!$E$16="F",2,3),FALSE),2))</f>
        <v/>
      </c>
      <c r="B661" t="str">
        <f t="shared" si="854"/>
        <v/>
      </c>
      <c r="C661" s="57" t="str">
        <f>+IF(D661="","",'Tablas Servicio'!C660+1)</f>
        <v/>
      </c>
      <c r="D661" s="56" t="str">
        <f>+IF(D660&lt;edadmaxtabla,D660+1/Parámetros!$E$25,"")</f>
        <v/>
      </c>
      <c r="E661" s="57" t="str">
        <f t="shared" si="864"/>
        <v/>
      </c>
      <c r="F661" s="59" t="str">
        <f t="shared" si="865"/>
        <v/>
      </c>
      <c r="G661" s="66" t="str">
        <f t="shared" si="855"/>
        <v/>
      </c>
      <c r="H661" s="66" t="str">
        <f t="shared" si="856"/>
        <v/>
      </c>
      <c r="I661" s="66" t="str">
        <f t="shared" si="904"/>
        <v/>
      </c>
      <c r="J661" s="66" t="str">
        <f t="shared" si="857"/>
        <v/>
      </c>
      <c r="K661" s="66" t="str">
        <f t="shared" si="858"/>
        <v/>
      </c>
      <c r="L661" s="66" t="str">
        <f t="shared" si="859"/>
        <v/>
      </c>
      <c r="M661" s="66" t="str">
        <f t="shared" si="860"/>
        <v/>
      </c>
      <c r="N661" s="66" t="str">
        <f>+IF(C661="","",ROUND(Parámetros!$D$23,2))</f>
        <v/>
      </c>
      <c r="O661" s="66" t="str">
        <f t="shared" si="861"/>
        <v/>
      </c>
      <c r="P661" s="66" t="str">
        <f>+IF($C661="","",ROUND(IF(B661&gt;Parámetros!$D$117,0,N661*Parámetros!$D$116-G661*Parámetros!$D$100),2))</f>
        <v/>
      </c>
      <c r="Q661" s="75" t="str">
        <f t="shared" si="905"/>
        <v/>
      </c>
      <c r="R661" s="75" t="str">
        <f t="shared" si="906"/>
        <v/>
      </c>
      <c r="S661" s="117" t="str">
        <f>+IF($C661="","",ROUND((S660+I661)*(1+Parámetros!$D$91),2))</f>
        <v/>
      </c>
      <c r="T661" s="117" t="str">
        <f>+IF($C661="","",ROUND(S661*VLOOKUP(B661,Parámetros!$C$30:$D$39,2,TRUE),2))</f>
        <v/>
      </c>
      <c r="U661" s="117" t="str">
        <f>+IF($C661="","",ROUND((U660+I661)*(1+Parámetros!$D$92),2))</f>
        <v/>
      </c>
      <c r="V661" s="117" t="str">
        <f>+IF($C661="","",ROUND(U661*VLOOKUP(B661,Parámetros!$C$30:$D$39,2,TRUE),2))</f>
        <v/>
      </c>
      <c r="W661" s="57" t="str">
        <f t="shared" si="907"/>
        <v/>
      </c>
      <c r="X661" t="str">
        <f t="shared" si="908"/>
        <v/>
      </c>
      <c r="Y661" t="str">
        <f t="shared" si="909"/>
        <v/>
      </c>
      <c r="Z661" s="118" t="str">
        <f>+IF($W661="","",ROUND(IF(Parámetros!$D$25='TABLAS MORT'!$V$33,Z660,Parámetros!$D$21-'Tablas Servicio'!T660),0))</f>
        <v/>
      </c>
      <c r="AA661" s="118" t="str">
        <f t="shared" si="910"/>
        <v/>
      </c>
      <c r="AB661" s="119" t="str">
        <f>+IF(W661="","",ROUND((VLOOKUP(ROUNDDOWN($D661-1/frec,0),qx_tabla,2,FALSE)*(1+i/frec)^-0.5*(1+Parámetros!$D$103)*(1+rec_fracc)/frec),6))</f>
        <v/>
      </c>
      <c r="AC661" s="66" t="str">
        <f t="shared" si="866"/>
        <v/>
      </c>
      <c r="AD661" s="119" t="str">
        <f t="shared" si="862"/>
        <v/>
      </c>
      <c r="AE661" s="66" t="str">
        <f>+IF($W661="","",ROUND(IF($B661&gt;Parámetros!$D$107,'Tablas Servicio'!AC661+('Tablas Servicio'!AG660-'Tablas Servicio'!AC660),AC661/(1-IF(B661&lt;=10,Parámetros!$D$104,Parámetros!$D$105))),2))</f>
        <v/>
      </c>
      <c r="AF661" s="66" t="str">
        <f>+IF($W661="","",ROUND(IF($B661&gt;Parámetros!$D$107,'Tablas Servicio'!AC661+('Tablas Servicio'!AG660-'Tablas Servicio'!AC660),(AC661+$A660/frec)/(1-IF(B661&lt;=Parámetros!$D$117,Parámetros!$D$100,0))),2))</f>
        <v/>
      </c>
      <c r="AG661" s="66" t="str">
        <f t="shared" si="867"/>
        <v/>
      </c>
      <c r="AH661" s="66" t="str">
        <f t="shared" si="868"/>
        <v/>
      </c>
      <c r="AI661" s="66" t="str">
        <f t="shared" si="869"/>
        <v/>
      </c>
      <c r="AJ661" s="66" t="str">
        <f>+IF($W661="","",ROUND((AG661*Parámetros!$G$85),2))</f>
        <v/>
      </c>
      <c r="AK661" s="66" t="str">
        <f>+IF($W661="","",ROUND((AG661*(Parámetros!$G$86)),2))</f>
        <v/>
      </c>
      <c r="AL661" s="66" t="str">
        <f t="shared" si="863"/>
        <v/>
      </c>
      <c r="AM661" t="str">
        <f t="shared" si="911"/>
        <v/>
      </c>
      <c r="AN661" t="str">
        <f t="shared" si="912"/>
        <v/>
      </c>
      <c r="AO661" s="118" t="str">
        <f t="shared" si="913"/>
        <v/>
      </c>
      <c r="AP661" s="118" t="str">
        <f t="shared" si="914"/>
        <v/>
      </c>
      <c r="AQ661" s="119" t="str">
        <f>+IF(OR($W661="",AO661=0),"",ROUND((VLOOKUP(ROUNDDOWN($D661-1/frec,0),cob_adi,Z$40,FALSE)*(1+i/frec)^-0.5*(1+Parámetros!$D$103)*(1+rec_fracc)/frec),6))</f>
        <v/>
      </c>
      <c r="AR661" s="66" t="str">
        <f t="shared" si="870"/>
        <v/>
      </c>
      <c r="AS661" s="119" t="str">
        <f t="shared" si="871"/>
        <v/>
      </c>
      <c r="AT661" s="66" t="str">
        <f>+IF($W661="","",ROUND(IF($B661&gt;Parámetros!$D$107,'Tablas Servicio'!AR661+('Tablas Servicio'!AT660-'Tablas Servicio'!AR660),AR661/(1-IF(B661&lt;=10,Parámetros!$D$100,0))),2))</f>
        <v/>
      </c>
      <c r="AU661" s="66" t="str">
        <f t="shared" si="872"/>
        <v/>
      </c>
      <c r="AV661" s="66" t="str">
        <f t="shared" si="872"/>
        <v/>
      </c>
      <c r="AW661" s="66" t="str">
        <f>+IF($W661="","",ROUND((AT661*Parámetros!$G$85),2))</f>
        <v/>
      </c>
      <c r="AX661" s="66" t="str">
        <f>+IF($W661="","",ROUND((AT661*(Parámetros!$G$86)),2))</f>
        <v/>
      </c>
      <c r="AY661" s="66" t="str">
        <f t="shared" si="873"/>
        <v/>
      </c>
      <c r="AZ661" t="str">
        <f t="shared" si="915"/>
        <v/>
      </c>
      <c r="BA661" t="str">
        <f t="shared" si="916"/>
        <v/>
      </c>
      <c r="BB661" s="118" t="str">
        <f t="shared" si="917"/>
        <v/>
      </c>
      <c r="BC661" s="118" t="str">
        <f t="shared" si="918"/>
        <v/>
      </c>
      <c r="BD661" s="119" t="str">
        <f>+IF(OR($W661="",BB661=0),"",ROUND((VLOOKUP(ROUNDDOWN($D661-1/frec,0),cob_adi,AO$40,FALSE)*(1+i/frec)^-0.5*(1+Parámetros!$D$103)*(1+rec_fracc)/frec),6))</f>
        <v/>
      </c>
      <c r="BE661" s="66" t="str">
        <f t="shared" si="874"/>
        <v/>
      </c>
      <c r="BF661" s="119" t="str">
        <f t="shared" si="875"/>
        <v/>
      </c>
      <c r="BG661" s="66" t="str">
        <f>+IF($W661="","",ROUND(IF($B661&gt;Parámetros!$D$107,'Tablas Servicio'!BE661+('Tablas Servicio'!BG660-'Tablas Servicio'!BE660),BE661/(1-IF(B661&lt;=10,Parámetros!$D$100,0))),2))</f>
        <v/>
      </c>
      <c r="BH661" s="66" t="str">
        <f t="shared" si="876"/>
        <v/>
      </c>
      <c r="BI661" s="66" t="str">
        <f t="shared" si="877"/>
        <v/>
      </c>
      <c r="BJ661" s="66" t="str">
        <f>+IF($W661="","",ROUND((BG661*Parámetros!$G$85),2))</f>
        <v/>
      </c>
      <c r="BK661" s="66" t="str">
        <f>+IF($W661="","",ROUND((BG661*(Parámetros!$G$86)),2))</f>
        <v/>
      </c>
      <c r="BL661" s="66" t="str">
        <f t="shared" si="878"/>
        <v/>
      </c>
      <c r="BM661" t="str">
        <f t="shared" si="919"/>
        <v/>
      </c>
      <c r="BN661" t="str">
        <f t="shared" si="920"/>
        <v/>
      </c>
      <c r="BO661" s="118" t="str">
        <f t="shared" si="921"/>
        <v/>
      </c>
      <c r="BP661" s="118" t="str">
        <f t="shared" si="922"/>
        <v/>
      </c>
      <c r="BQ661" s="119" t="str">
        <f>+IF(OR($W661="",BO661=0),"",ROUND((VLOOKUP(ROUNDDOWN($D661-1/frec,0),cob_adi,BB$40,FALSE)*(1+i/frec)^-0.5*(1+Parámetros!$D$103)*(1+rec_fracc)/frec),6))</f>
        <v/>
      </c>
      <c r="BR661" s="66" t="str">
        <f t="shared" si="879"/>
        <v/>
      </c>
      <c r="BS661" s="119" t="str">
        <f t="shared" si="880"/>
        <v/>
      </c>
      <c r="BT661" s="66" t="str">
        <f>+IF($W661="","",ROUND(IF($B661&gt;Parámetros!$D$107,'Tablas Servicio'!BR661+('Tablas Servicio'!BT660-'Tablas Servicio'!BR660),BR661/(1-IF(B661&lt;=10,Parámetros!$D$100,0))),2))</f>
        <v/>
      </c>
      <c r="BU661" s="66" t="str">
        <f t="shared" si="881"/>
        <v/>
      </c>
      <c r="BV661" s="66" t="str">
        <f t="shared" si="881"/>
        <v/>
      </c>
      <c r="BW661" s="66" t="str">
        <f>+IF($W661="","",ROUND((BT661*Parámetros!$G$85),2))</f>
        <v/>
      </c>
      <c r="BX661" s="66" t="str">
        <f>+IF($W661="","",ROUND((BT661*(Parámetros!$G$86)),2))</f>
        <v/>
      </c>
      <c r="BY661" s="66" t="str">
        <f t="shared" si="882"/>
        <v/>
      </c>
      <c r="BZ661" t="str">
        <f t="shared" si="923"/>
        <v/>
      </c>
      <c r="CA661" t="str">
        <f t="shared" si="924"/>
        <v/>
      </c>
      <c r="CB661" s="118" t="str">
        <f t="shared" si="925"/>
        <v/>
      </c>
      <c r="CC661" s="118" t="str">
        <f t="shared" si="926"/>
        <v/>
      </c>
      <c r="CD661" s="119" t="str">
        <f t="shared" si="883"/>
        <v/>
      </c>
      <c r="CE661" s="66" t="str">
        <f>+IF($W661="","",ROUND((VLOOKUP(ROUNDDOWN($D661-1/frec,0),cob_adi,BO$40,FALSE)*(1+i/frec)^-0.5*(1+Parámetros!$D$103)*(1+rec_fracc)/frec*'TABLAS ADI'!$BC$17),2))</f>
        <v/>
      </c>
      <c r="CF661" s="119" t="str">
        <f t="shared" si="884"/>
        <v/>
      </c>
      <c r="CG661" s="66" t="str">
        <f>+IF($W661="","",ROUND(IF($B661&gt;Parámetros!$D$107,'Tablas Servicio'!CE661+('Tablas Servicio'!CG660-'Tablas Servicio'!CE660),CE661/(1-IF(B661&lt;=10,Parámetros!$D$100,0))),2))</f>
        <v/>
      </c>
      <c r="CH661" s="66" t="str">
        <f t="shared" si="885"/>
        <v/>
      </c>
      <c r="CI661" s="66" t="str">
        <f t="shared" si="885"/>
        <v/>
      </c>
      <c r="CJ661" s="66" t="str">
        <f>+IF($W661="","",ROUND((CG661*Parámetros!$G$85),2))</f>
        <v/>
      </c>
      <c r="CK661" s="66" t="str">
        <f>+IF($W661="","",ROUND((CG661*(Parámetros!$G$86)),2))</f>
        <v/>
      </c>
      <c r="CL661" s="66" t="str">
        <f t="shared" si="886"/>
        <v/>
      </c>
      <c r="CM661" t="str">
        <f t="shared" si="927"/>
        <v/>
      </c>
      <c r="CN661" s="118" t="str">
        <f t="shared" si="928"/>
        <v/>
      </c>
      <c r="CO661" s="118" t="str">
        <f t="shared" si="929"/>
        <v/>
      </c>
      <c r="CP661" s="118" t="str">
        <f t="shared" si="930"/>
        <v/>
      </c>
      <c r="CQ661" s="119" t="str">
        <f t="shared" si="887"/>
        <v/>
      </c>
      <c r="CR661" s="66" t="str">
        <f>+IF($W661="","",ROUND((VLOOKUP(Parámetros!$F$51,'COBERTURAS ADICIONALES'!$S$4:$T$32,2,FALSE)*(1+i/frec)^-0.5*(1+Parámetros!$D$103)*(1+rec_fracc)/frec*$CO$42),2))</f>
        <v/>
      </c>
      <c r="CS661" s="119" t="str">
        <f t="shared" si="888"/>
        <v/>
      </c>
      <c r="CT661" s="66" t="str">
        <f>+IF($W661="","",ROUND(IF($B661&gt;Parámetros!$D$107,'Tablas Servicio'!CR661+('Tablas Servicio'!CT660-'Tablas Servicio'!CR660),CR661/(1-IF(B661&lt;=10,Parámetros!$D$100,0))),2))</f>
        <v/>
      </c>
      <c r="CU661" s="66" t="str">
        <f t="shared" si="889"/>
        <v/>
      </c>
      <c r="CV661" s="66" t="str">
        <f t="shared" si="889"/>
        <v/>
      </c>
      <c r="CW661" s="66" t="str">
        <f>+IF($W661="","",ROUND((CT661*Parámetros!$G$85),2))</f>
        <v/>
      </c>
      <c r="CX661" s="66" t="str">
        <f>+IF($W661="","",ROUND((CT661*(Parámetros!$G$86)),2))</f>
        <v/>
      </c>
      <c r="CY661" s="66" t="str">
        <f t="shared" si="890"/>
        <v/>
      </c>
      <c r="CZ661" t="str">
        <f t="shared" si="931"/>
        <v/>
      </c>
      <c r="DA661" s="118" t="str">
        <f t="shared" si="932"/>
        <v/>
      </c>
      <c r="DB661" s="118" t="str">
        <f t="shared" si="933"/>
        <v/>
      </c>
      <c r="DC661" s="118" t="str">
        <f t="shared" si="934"/>
        <v/>
      </c>
      <c r="DD661" s="121" t="str">
        <f>+IF(OR($W661="",DB661=0),"",ROUND((VLOOKUP(ROUNDDOWN($D661-1/frec,0),cob_adi,CO$40,FALSE)*(1+i/frec)^-0.5*(1+Parámetros!$D$103)*(1+rec_fracc)/frec),6))</f>
        <v/>
      </c>
      <c r="DE661" s="66" t="str">
        <f t="shared" si="891"/>
        <v/>
      </c>
      <c r="DF661" s="119" t="str">
        <f t="shared" si="892"/>
        <v/>
      </c>
      <c r="DG661" s="66" t="str">
        <f>+IF($W661="","",ROUND(IF($B661&gt;Parámetros!$D$107,'Tablas Servicio'!DE661+('Tablas Servicio'!DG660-'Tablas Servicio'!DE660),DE661/(1-IF(B661&lt;=10,Parámetros!$D$100,0))),2))</f>
        <v/>
      </c>
      <c r="DH661" s="66" t="str">
        <f t="shared" si="893"/>
        <v/>
      </c>
      <c r="DI661" s="66" t="str">
        <f t="shared" si="893"/>
        <v/>
      </c>
      <c r="DJ661" s="66" t="str">
        <f>+IF($W661="","",ROUND((DG661*Parámetros!$G$85),2))</f>
        <v/>
      </c>
      <c r="DK661" s="66" t="str">
        <f>+IF($W661="","",ROUND((DG661*(Parámetros!$G$86)),2))</f>
        <v/>
      </c>
      <c r="DL661" s="66" t="str">
        <f t="shared" si="894"/>
        <v/>
      </c>
      <c r="DM661" t="str">
        <f t="shared" si="935"/>
        <v/>
      </c>
      <c r="DN661" s="118" t="str">
        <f t="shared" si="936"/>
        <v/>
      </c>
      <c r="DO661" s="118" t="str">
        <f t="shared" si="937"/>
        <v/>
      </c>
      <c r="DP661" s="118" t="str">
        <f t="shared" si="938"/>
        <v/>
      </c>
      <c r="DQ661" s="122" t="str">
        <f>+IF(OR($W661="",DO661=0),"",ROUND((VLOOKUP(ROUNDDOWN($D661-1/frec,0),cob_adi,DB$40,FALSE)*(1+i/frec)^-0.5*(1+Parámetros!$D$103)*(1+rec_fracc)/frec),6))</f>
        <v/>
      </c>
      <c r="DR661" s="66" t="str">
        <f t="shared" si="895"/>
        <v/>
      </c>
      <c r="DS661" s="68" t="str">
        <f t="shared" si="896"/>
        <v/>
      </c>
      <c r="DT661" s="66" t="str">
        <f>+IF($W661="","",ROUND(IF($B661&gt;Parámetros!$D$107,'Tablas Servicio'!DR661+('Tablas Servicio'!DT660-'Tablas Servicio'!DR660),DR661/(1-IF(B661&lt;=10,Parámetros!$D$100,0))),2))</f>
        <v/>
      </c>
      <c r="DU661" s="66" t="str">
        <f t="shared" si="897"/>
        <v/>
      </c>
      <c r="DV661" s="66" t="str">
        <f t="shared" si="897"/>
        <v/>
      </c>
      <c r="DW661" s="66" t="str">
        <f>+IF($W661="","",ROUND((DT661*Parámetros!$G$85),2))</f>
        <v/>
      </c>
      <c r="DX661" s="66" t="str">
        <f>+IF($W661="","",ROUND((DT661*(Parámetros!$G$86)),2))</f>
        <v/>
      </c>
      <c r="DY661" s="66" t="str">
        <f t="shared" si="898"/>
        <v/>
      </c>
      <c r="DZ661" t="str">
        <f t="shared" si="940"/>
        <v/>
      </c>
      <c r="EA661" s="118" t="str">
        <f t="shared" si="940"/>
        <v/>
      </c>
      <c r="EB661" s="118" t="str">
        <f>+IF($W661="","",ROUND(IF(Parámetros!$D$25='TABLAS MORT'!$V$33,EB660,Z661/2),0))</f>
        <v/>
      </c>
      <c r="EC661" s="118" t="str">
        <f t="shared" si="940"/>
        <v/>
      </c>
      <c r="ED661" s="122" t="str">
        <f>+IF(OR($W661="",EB661=0),"",ROUND((VLOOKUP(ROUNDDOWN($D661-1/frec,0),cob_adi,DO$40,FALSE)*(1+i/frec)^-0.5*(1+Parámetros!$D$103)*(1+rec_fracc)/frec),6))</f>
        <v/>
      </c>
      <c r="EE661" s="66" t="str">
        <f t="shared" si="900"/>
        <v/>
      </c>
      <c r="EF661" s="68" t="str">
        <f t="shared" si="901"/>
        <v/>
      </c>
      <c r="EG661" s="66" t="str">
        <f>+IF($W661="","",ROUND(IF($B661&gt;Parámetros!$D$107,'Tablas Servicio'!EE661+('Tablas Servicio'!EG660-'Tablas Servicio'!EE660),EE661/(1-IF(B661&lt;=10,Parámetros!$D$100,0))),2))</f>
        <v/>
      </c>
      <c r="EH661" s="66" t="str">
        <f t="shared" si="902"/>
        <v/>
      </c>
      <c r="EI661" s="66" t="str">
        <f t="shared" si="902"/>
        <v/>
      </c>
      <c r="EJ661" s="66" t="str">
        <f>+IF($W661="","",ROUND((EG661*Parámetros!$G$85),2))</f>
        <v/>
      </c>
      <c r="EK661" s="66" t="str">
        <f>+IF($W661="","",ROUND((EG661*(Parámetros!$G$86)),2))</f>
        <v/>
      </c>
      <c r="EL661" s="66" t="str">
        <f t="shared" si="903"/>
        <v/>
      </c>
    </row>
    <row r="662" spans="1:142" x14ac:dyDescent="0.25">
      <c r="A662" t="str">
        <f>+IF($C662="","",ROUND(VLOOKUP('Tablas Servicio'!B662,Parámetros!$H$100:$J$159,IF(Parámetros!$E$16="F",2,3),FALSE),2))</f>
        <v/>
      </c>
      <c r="B662" t="str">
        <f t="shared" si="854"/>
        <v/>
      </c>
      <c r="C662" s="57" t="str">
        <f>+IF(D662="","",'Tablas Servicio'!C661+1)</f>
        <v/>
      </c>
      <c r="D662" s="56" t="str">
        <f>+IF(D661&lt;edadmaxtabla,D661+1/Parámetros!$E$25,"")</f>
        <v/>
      </c>
      <c r="E662" s="57" t="str">
        <f t="shared" si="864"/>
        <v/>
      </c>
      <c r="F662" s="59" t="str">
        <f t="shared" si="865"/>
        <v/>
      </c>
      <c r="G662" s="66" t="str">
        <f t="shared" si="855"/>
        <v/>
      </c>
      <c r="H662" s="66" t="str">
        <f t="shared" si="856"/>
        <v/>
      </c>
      <c r="I662" s="66" t="str">
        <f t="shared" si="904"/>
        <v/>
      </c>
      <c r="J662" s="66" t="str">
        <f t="shared" si="857"/>
        <v/>
      </c>
      <c r="K662" s="66" t="str">
        <f t="shared" si="858"/>
        <v/>
      </c>
      <c r="L662" s="66" t="str">
        <f t="shared" si="859"/>
        <v/>
      </c>
      <c r="M662" s="66" t="str">
        <f t="shared" si="860"/>
        <v/>
      </c>
      <c r="N662" s="66" t="str">
        <f>+IF(C662="","",ROUND(Parámetros!$D$23,2))</f>
        <v/>
      </c>
      <c r="O662" s="66" t="str">
        <f t="shared" si="861"/>
        <v/>
      </c>
      <c r="P662" s="66" t="str">
        <f>+IF($C662="","",ROUND(IF(B662&gt;Parámetros!$D$117,0,N662*Parámetros!$D$116-G662*Parámetros!$D$100),2))</f>
        <v/>
      </c>
      <c r="Q662" s="75" t="str">
        <f t="shared" si="905"/>
        <v/>
      </c>
      <c r="R662" s="75" t="str">
        <f t="shared" si="906"/>
        <v/>
      </c>
      <c r="S662" s="117" t="str">
        <f>+IF($C662="","",ROUND((S661+I662)*(1+Parámetros!$D$91),2))</f>
        <v/>
      </c>
      <c r="T662" s="117" t="str">
        <f>+IF($C662="","",ROUND(S662*VLOOKUP(B662,Parámetros!$C$30:$D$39,2,TRUE),2))</f>
        <v/>
      </c>
      <c r="U662" s="117" t="str">
        <f>+IF($C662="","",ROUND((U661+I662)*(1+Parámetros!$D$92),2))</f>
        <v/>
      </c>
      <c r="V662" s="117" t="str">
        <f>+IF($C662="","",ROUND(U662*VLOOKUP(B662,Parámetros!$C$30:$D$39,2,TRUE),2))</f>
        <v/>
      </c>
      <c r="W662" s="57" t="str">
        <f t="shared" si="907"/>
        <v/>
      </c>
      <c r="X662" t="str">
        <f t="shared" si="908"/>
        <v/>
      </c>
      <c r="Y662" t="str">
        <f t="shared" si="909"/>
        <v/>
      </c>
      <c r="Z662" s="118" t="str">
        <f>+IF($W662="","",ROUND(IF(Parámetros!$D$25='TABLAS MORT'!$V$33,Z661,Parámetros!$D$21-'Tablas Servicio'!T661),0))</f>
        <v/>
      </c>
      <c r="AA662" s="118" t="str">
        <f t="shared" si="910"/>
        <v/>
      </c>
      <c r="AB662" s="119" t="str">
        <f>+IF(W662="","",ROUND((VLOOKUP(ROUNDDOWN($D662-1/frec,0),qx_tabla,2,FALSE)*(1+i/frec)^-0.5*(1+Parámetros!$D$103)*(1+rec_fracc)/frec),6))</f>
        <v/>
      </c>
      <c r="AC662" s="66" t="str">
        <f t="shared" si="866"/>
        <v/>
      </c>
      <c r="AD662" s="119" t="str">
        <f t="shared" si="862"/>
        <v/>
      </c>
      <c r="AE662" s="66" t="str">
        <f>+IF($W662="","",ROUND(IF($B662&gt;Parámetros!$D$107,'Tablas Servicio'!AC662+('Tablas Servicio'!AG661-'Tablas Servicio'!AC661),AC662/(1-IF(B662&lt;=10,Parámetros!$D$104,Parámetros!$D$105))),2))</f>
        <v/>
      </c>
      <c r="AF662" s="66" t="str">
        <f>+IF($W662="","",ROUND(IF($B662&gt;Parámetros!$D$107,'Tablas Servicio'!AC662+('Tablas Servicio'!AG661-'Tablas Servicio'!AC661),(AC662+$A661/frec)/(1-IF(B662&lt;=Parámetros!$D$117,Parámetros!$D$100,0))),2))</f>
        <v/>
      </c>
      <c r="AG662" s="66" t="str">
        <f t="shared" si="867"/>
        <v/>
      </c>
      <c r="AH662" s="66" t="str">
        <f t="shared" si="868"/>
        <v/>
      </c>
      <c r="AI662" s="66" t="str">
        <f t="shared" si="869"/>
        <v/>
      </c>
      <c r="AJ662" s="66" t="str">
        <f>+IF($W662="","",ROUND((AG662*Parámetros!$G$85),2))</f>
        <v/>
      </c>
      <c r="AK662" s="66" t="str">
        <f>+IF($W662="","",ROUND((AG662*(Parámetros!$G$86)),2))</f>
        <v/>
      </c>
      <c r="AL662" s="66" t="str">
        <f t="shared" si="863"/>
        <v/>
      </c>
      <c r="AM662" t="str">
        <f t="shared" si="911"/>
        <v/>
      </c>
      <c r="AN662" t="str">
        <f t="shared" si="912"/>
        <v/>
      </c>
      <c r="AO662" s="118" t="str">
        <f t="shared" si="913"/>
        <v/>
      </c>
      <c r="AP662" s="118" t="str">
        <f t="shared" si="914"/>
        <v/>
      </c>
      <c r="AQ662" s="119" t="str">
        <f>+IF(OR($W662="",AO662=0),"",ROUND((VLOOKUP(ROUNDDOWN($D662-1/frec,0),cob_adi,Z$40,FALSE)*(1+i/frec)^-0.5*(1+Parámetros!$D$103)*(1+rec_fracc)/frec),6))</f>
        <v/>
      </c>
      <c r="AR662" s="66" t="str">
        <f t="shared" si="870"/>
        <v/>
      </c>
      <c r="AS662" s="119" t="str">
        <f t="shared" si="871"/>
        <v/>
      </c>
      <c r="AT662" s="66" t="str">
        <f>+IF($W662="","",ROUND(IF($B662&gt;Parámetros!$D$107,'Tablas Servicio'!AR662+('Tablas Servicio'!AT661-'Tablas Servicio'!AR661),AR662/(1-IF(B662&lt;=10,Parámetros!$D$100,0))),2))</f>
        <v/>
      </c>
      <c r="AU662" s="66" t="str">
        <f t="shared" si="872"/>
        <v/>
      </c>
      <c r="AV662" s="66" t="str">
        <f t="shared" si="872"/>
        <v/>
      </c>
      <c r="AW662" s="66" t="str">
        <f>+IF($W662="","",ROUND((AT662*Parámetros!$G$85),2))</f>
        <v/>
      </c>
      <c r="AX662" s="66" t="str">
        <f>+IF($W662="","",ROUND((AT662*(Parámetros!$G$86)),2))</f>
        <v/>
      </c>
      <c r="AY662" s="66" t="str">
        <f t="shared" si="873"/>
        <v/>
      </c>
      <c r="AZ662" t="str">
        <f t="shared" si="915"/>
        <v/>
      </c>
      <c r="BA662" t="str">
        <f t="shared" si="916"/>
        <v/>
      </c>
      <c r="BB662" s="118" t="str">
        <f t="shared" si="917"/>
        <v/>
      </c>
      <c r="BC662" s="118" t="str">
        <f t="shared" si="918"/>
        <v/>
      </c>
      <c r="BD662" s="119" t="str">
        <f>+IF(OR($W662="",BB662=0),"",ROUND((VLOOKUP(ROUNDDOWN($D662-1/frec,0),cob_adi,AO$40,FALSE)*(1+i/frec)^-0.5*(1+Parámetros!$D$103)*(1+rec_fracc)/frec),6))</f>
        <v/>
      </c>
      <c r="BE662" s="66" t="str">
        <f t="shared" si="874"/>
        <v/>
      </c>
      <c r="BF662" s="119" t="str">
        <f t="shared" si="875"/>
        <v/>
      </c>
      <c r="BG662" s="66" t="str">
        <f>+IF($W662="","",ROUND(IF($B662&gt;Parámetros!$D$107,'Tablas Servicio'!BE662+('Tablas Servicio'!BG661-'Tablas Servicio'!BE661),BE662/(1-IF(B662&lt;=10,Parámetros!$D$100,0))),2))</f>
        <v/>
      </c>
      <c r="BH662" s="66" t="str">
        <f t="shared" si="876"/>
        <v/>
      </c>
      <c r="BI662" s="66" t="str">
        <f t="shared" si="877"/>
        <v/>
      </c>
      <c r="BJ662" s="66" t="str">
        <f>+IF($W662="","",ROUND((BG662*Parámetros!$G$85),2))</f>
        <v/>
      </c>
      <c r="BK662" s="66" t="str">
        <f>+IF($W662="","",ROUND((BG662*(Parámetros!$G$86)),2))</f>
        <v/>
      </c>
      <c r="BL662" s="66" t="str">
        <f t="shared" si="878"/>
        <v/>
      </c>
      <c r="BM662" t="str">
        <f t="shared" si="919"/>
        <v/>
      </c>
      <c r="BN662" t="str">
        <f t="shared" si="920"/>
        <v/>
      </c>
      <c r="BO662" s="118" t="str">
        <f t="shared" si="921"/>
        <v/>
      </c>
      <c r="BP662" s="118" t="str">
        <f t="shared" si="922"/>
        <v/>
      </c>
      <c r="BQ662" s="119" t="str">
        <f>+IF(OR($W662="",BO662=0),"",ROUND((VLOOKUP(ROUNDDOWN($D662-1/frec,0),cob_adi,BB$40,FALSE)*(1+i/frec)^-0.5*(1+Parámetros!$D$103)*(1+rec_fracc)/frec),6))</f>
        <v/>
      </c>
      <c r="BR662" s="66" t="str">
        <f t="shared" si="879"/>
        <v/>
      </c>
      <c r="BS662" s="119" t="str">
        <f t="shared" si="880"/>
        <v/>
      </c>
      <c r="BT662" s="66" t="str">
        <f>+IF($W662="","",ROUND(IF($B662&gt;Parámetros!$D$107,'Tablas Servicio'!BR662+('Tablas Servicio'!BT661-'Tablas Servicio'!BR661),BR662/(1-IF(B662&lt;=10,Parámetros!$D$100,0))),2))</f>
        <v/>
      </c>
      <c r="BU662" s="66" t="str">
        <f t="shared" si="881"/>
        <v/>
      </c>
      <c r="BV662" s="66" t="str">
        <f t="shared" si="881"/>
        <v/>
      </c>
      <c r="BW662" s="66" t="str">
        <f>+IF($W662="","",ROUND((BT662*Parámetros!$G$85),2))</f>
        <v/>
      </c>
      <c r="BX662" s="66" t="str">
        <f>+IF($W662="","",ROUND((BT662*(Parámetros!$G$86)),2))</f>
        <v/>
      </c>
      <c r="BY662" s="66" t="str">
        <f t="shared" si="882"/>
        <v/>
      </c>
      <c r="BZ662" t="str">
        <f t="shared" si="923"/>
        <v/>
      </c>
      <c r="CA662" t="str">
        <f t="shared" si="924"/>
        <v/>
      </c>
      <c r="CB662" s="118" t="str">
        <f t="shared" si="925"/>
        <v/>
      </c>
      <c r="CC662" s="118" t="str">
        <f t="shared" si="926"/>
        <v/>
      </c>
      <c r="CD662" s="119" t="str">
        <f t="shared" si="883"/>
        <v/>
      </c>
      <c r="CE662" s="66" t="str">
        <f>+IF($W662="","",ROUND((VLOOKUP(ROUNDDOWN($D662-1/frec,0),cob_adi,BO$40,FALSE)*(1+i/frec)^-0.5*(1+Parámetros!$D$103)*(1+rec_fracc)/frec*'TABLAS ADI'!$BC$17),2))</f>
        <v/>
      </c>
      <c r="CF662" s="119" t="str">
        <f t="shared" si="884"/>
        <v/>
      </c>
      <c r="CG662" s="66" t="str">
        <f>+IF($W662="","",ROUND(IF($B662&gt;Parámetros!$D$107,'Tablas Servicio'!CE662+('Tablas Servicio'!CG661-'Tablas Servicio'!CE661),CE662/(1-IF(B662&lt;=10,Parámetros!$D$100,0))),2))</f>
        <v/>
      </c>
      <c r="CH662" s="66" t="str">
        <f t="shared" si="885"/>
        <v/>
      </c>
      <c r="CI662" s="66" t="str">
        <f t="shared" si="885"/>
        <v/>
      </c>
      <c r="CJ662" s="66" t="str">
        <f>+IF($W662="","",ROUND((CG662*Parámetros!$G$85),2))</f>
        <v/>
      </c>
      <c r="CK662" s="66" t="str">
        <f>+IF($W662="","",ROUND((CG662*(Parámetros!$G$86)),2))</f>
        <v/>
      </c>
      <c r="CL662" s="66" t="str">
        <f t="shared" si="886"/>
        <v/>
      </c>
      <c r="CM662" t="str">
        <f t="shared" si="927"/>
        <v/>
      </c>
      <c r="CN662" s="118" t="str">
        <f t="shared" si="928"/>
        <v/>
      </c>
      <c r="CO662" s="118" t="str">
        <f t="shared" si="929"/>
        <v/>
      </c>
      <c r="CP662" s="118" t="str">
        <f t="shared" si="930"/>
        <v/>
      </c>
      <c r="CQ662" s="119" t="str">
        <f t="shared" si="887"/>
        <v/>
      </c>
      <c r="CR662" s="66" t="str">
        <f>+IF($W662="","",ROUND((VLOOKUP(Parámetros!$F$51,'COBERTURAS ADICIONALES'!$S$4:$T$32,2,FALSE)*(1+i/frec)^-0.5*(1+Parámetros!$D$103)*(1+rec_fracc)/frec*$CO$42),2))</f>
        <v/>
      </c>
      <c r="CS662" s="119" t="str">
        <f t="shared" si="888"/>
        <v/>
      </c>
      <c r="CT662" s="66" t="str">
        <f>+IF($W662="","",ROUND(IF($B662&gt;Parámetros!$D$107,'Tablas Servicio'!CR662+('Tablas Servicio'!CT661-'Tablas Servicio'!CR661),CR662/(1-IF(B662&lt;=10,Parámetros!$D$100,0))),2))</f>
        <v/>
      </c>
      <c r="CU662" s="66" t="str">
        <f t="shared" si="889"/>
        <v/>
      </c>
      <c r="CV662" s="66" t="str">
        <f t="shared" si="889"/>
        <v/>
      </c>
      <c r="CW662" s="66" t="str">
        <f>+IF($W662="","",ROUND((CT662*Parámetros!$G$85),2))</f>
        <v/>
      </c>
      <c r="CX662" s="66" t="str">
        <f>+IF($W662="","",ROUND((CT662*(Parámetros!$G$86)),2))</f>
        <v/>
      </c>
      <c r="CY662" s="66" t="str">
        <f t="shared" si="890"/>
        <v/>
      </c>
      <c r="CZ662" t="str">
        <f t="shared" si="931"/>
        <v/>
      </c>
      <c r="DA662" s="118" t="str">
        <f t="shared" si="932"/>
        <v/>
      </c>
      <c r="DB662" s="118" t="str">
        <f t="shared" si="933"/>
        <v/>
      </c>
      <c r="DC662" s="118" t="str">
        <f t="shared" si="934"/>
        <v/>
      </c>
      <c r="DD662" s="121" t="str">
        <f>+IF(OR($W662="",DB662=0),"",ROUND((VLOOKUP(ROUNDDOWN($D662-1/frec,0),cob_adi,CO$40,FALSE)*(1+i/frec)^-0.5*(1+Parámetros!$D$103)*(1+rec_fracc)/frec),6))</f>
        <v/>
      </c>
      <c r="DE662" s="66" t="str">
        <f t="shared" si="891"/>
        <v/>
      </c>
      <c r="DF662" s="119" t="str">
        <f t="shared" si="892"/>
        <v/>
      </c>
      <c r="DG662" s="66" t="str">
        <f>+IF($W662="","",ROUND(IF($B662&gt;Parámetros!$D$107,'Tablas Servicio'!DE662+('Tablas Servicio'!DG661-'Tablas Servicio'!DE661),DE662/(1-IF(B662&lt;=10,Parámetros!$D$100,0))),2))</f>
        <v/>
      </c>
      <c r="DH662" s="66" t="str">
        <f t="shared" si="893"/>
        <v/>
      </c>
      <c r="DI662" s="66" t="str">
        <f t="shared" si="893"/>
        <v/>
      </c>
      <c r="DJ662" s="66" t="str">
        <f>+IF($W662="","",ROUND((DG662*Parámetros!$G$85),2))</f>
        <v/>
      </c>
      <c r="DK662" s="66" t="str">
        <f>+IF($W662="","",ROUND((DG662*(Parámetros!$G$86)),2))</f>
        <v/>
      </c>
      <c r="DL662" s="66" t="str">
        <f t="shared" si="894"/>
        <v/>
      </c>
      <c r="DM662" t="str">
        <f t="shared" si="935"/>
        <v/>
      </c>
      <c r="DN662" s="118" t="str">
        <f t="shared" si="936"/>
        <v/>
      </c>
      <c r="DO662" s="118" t="str">
        <f t="shared" si="937"/>
        <v/>
      </c>
      <c r="DP662" s="118" t="str">
        <f t="shared" si="938"/>
        <v/>
      </c>
      <c r="DQ662" s="122" t="str">
        <f>+IF(OR($W662="",DO662=0),"",ROUND((VLOOKUP(ROUNDDOWN($D662-1/frec,0),cob_adi,DB$40,FALSE)*(1+i/frec)^-0.5*(1+Parámetros!$D$103)*(1+rec_fracc)/frec),6))</f>
        <v/>
      </c>
      <c r="DR662" s="66" t="str">
        <f t="shared" si="895"/>
        <v/>
      </c>
      <c r="DS662" s="68" t="str">
        <f t="shared" si="896"/>
        <v/>
      </c>
      <c r="DT662" s="66" t="str">
        <f>+IF($W662="","",ROUND(IF($B662&gt;Parámetros!$D$107,'Tablas Servicio'!DR662+('Tablas Servicio'!DT661-'Tablas Servicio'!DR661),DR662/(1-IF(B662&lt;=10,Parámetros!$D$100,0))),2))</f>
        <v/>
      </c>
      <c r="DU662" s="66" t="str">
        <f t="shared" si="897"/>
        <v/>
      </c>
      <c r="DV662" s="66" t="str">
        <f t="shared" si="897"/>
        <v/>
      </c>
      <c r="DW662" s="66" t="str">
        <f>+IF($W662="","",ROUND((DT662*Parámetros!$G$85),2))</f>
        <v/>
      </c>
      <c r="DX662" s="66" t="str">
        <f>+IF($W662="","",ROUND((DT662*(Parámetros!$G$86)),2))</f>
        <v/>
      </c>
      <c r="DY662" s="66" t="str">
        <f t="shared" si="898"/>
        <v/>
      </c>
      <c r="DZ662" t="str">
        <f t="shared" si="940"/>
        <v/>
      </c>
      <c r="EA662" s="118" t="str">
        <f t="shared" si="940"/>
        <v/>
      </c>
      <c r="EB662" s="118" t="str">
        <f>+IF($W662="","",ROUND(IF(Parámetros!$D$25='TABLAS MORT'!$V$33,EB661,Z662/2),0))</f>
        <v/>
      </c>
      <c r="EC662" s="118" t="str">
        <f t="shared" si="940"/>
        <v/>
      </c>
      <c r="ED662" s="122" t="str">
        <f>+IF(OR($W662="",EB662=0),"",ROUND((VLOOKUP(ROUNDDOWN($D662-1/frec,0),cob_adi,DO$40,FALSE)*(1+i/frec)^-0.5*(1+Parámetros!$D$103)*(1+rec_fracc)/frec),6))</f>
        <v/>
      </c>
      <c r="EE662" s="66" t="str">
        <f t="shared" si="900"/>
        <v/>
      </c>
      <c r="EF662" s="68" t="str">
        <f t="shared" si="901"/>
        <v/>
      </c>
      <c r="EG662" s="66" t="str">
        <f>+IF($W662="","",ROUND(IF($B662&gt;Parámetros!$D$107,'Tablas Servicio'!EE662+('Tablas Servicio'!EG661-'Tablas Servicio'!EE661),EE662/(1-IF(B662&lt;=10,Parámetros!$D$100,0))),2))</f>
        <v/>
      </c>
      <c r="EH662" s="66" t="str">
        <f t="shared" si="902"/>
        <v/>
      </c>
      <c r="EI662" s="66" t="str">
        <f t="shared" si="902"/>
        <v/>
      </c>
      <c r="EJ662" s="66" t="str">
        <f>+IF($W662="","",ROUND((EG662*Parámetros!$G$85),2))</f>
        <v/>
      </c>
      <c r="EK662" s="66" t="str">
        <f>+IF($W662="","",ROUND((EG662*(Parámetros!$G$86)),2))</f>
        <v/>
      </c>
      <c r="EL662" s="66" t="str">
        <f t="shared" si="903"/>
        <v/>
      </c>
    </row>
    <row r="663" spans="1:142" x14ac:dyDescent="0.25">
      <c r="A663" t="str">
        <f>+IF($C663="","",ROUND(VLOOKUP('Tablas Servicio'!B663,Parámetros!$H$100:$J$159,IF(Parámetros!$E$16="F",2,3),FALSE),2))</f>
        <v/>
      </c>
      <c r="B663" t="str">
        <f t="shared" si="854"/>
        <v/>
      </c>
      <c r="C663" s="57" t="str">
        <f>+IF(D663="","",'Tablas Servicio'!C662+1)</f>
        <v/>
      </c>
      <c r="D663" s="56" t="str">
        <f>+IF(D662&lt;edadmaxtabla,D662+1/Parámetros!$E$25,"")</f>
        <v/>
      </c>
      <c r="E663" s="57" t="str">
        <f t="shared" si="864"/>
        <v/>
      </c>
      <c r="F663" s="59" t="str">
        <f t="shared" si="865"/>
        <v/>
      </c>
      <c r="G663" s="66" t="str">
        <f t="shared" si="855"/>
        <v/>
      </c>
      <c r="H663" s="66" t="str">
        <f t="shared" si="856"/>
        <v/>
      </c>
      <c r="I663" s="66" t="str">
        <f t="shared" si="904"/>
        <v/>
      </c>
      <c r="J663" s="66" t="str">
        <f t="shared" si="857"/>
        <v/>
      </c>
      <c r="K663" s="66" t="str">
        <f t="shared" si="858"/>
        <v/>
      </c>
      <c r="L663" s="66" t="str">
        <f t="shared" si="859"/>
        <v/>
      </c>
      <c r="M663" s="66" t="str">
        <f t="shared" si="860"/>
        <v/>
      </c>
      <c r="N663" s="66" t="str">
        <f>+IF(C663="","",ROUND(Parámetros!$D$23,2))</f>
        <v/>
      </c>
      <c r="O663" s="66" t="str">
        <f t="shared" si="861"/>
        <v/>
      </c>
      <c r="P663" s="66" t="str">
        <f>+IF($C663="","",ROUND(IF(B663&gt;Parámetros!$D$117,0,N663*Parámetros!$D$116-G663*Parámetros!$D$100),2))</f>
        <v/>
      </c>
      <c r="Q663" s="75" t="str">
        <f t="shared" si="905"/>
        <v/>
      </c>
      <c r="R663" s="75" t="str">
        <f t="shared" si="906"/>
        <v/>
      </c>
      <c r="S663" s="117" t="str">
        <f>+IF($C663="","",ROUND((S662+I663)*(1+Parámetros!$D$91),2))</f>
        <v/>
      </c>
      <c r="T663" s="117" t="str">
        <f>+IF($C663="","",ROUND(S663*VLOOKUP(B663,Parámetros!$C$30:$D$39,2,TRUE),2))</f>
        <v/>
      </c>
      <c r="U663" s="117" t="str">
        <f>+IF($C663="","",ROUND((U662+I663)*(1+Parámetros!$D$92),2))</f>
        <v/>
      </c>
      <c r="V663" s="117" t="str">
        <f>+IF($C663="","",ROUND(U663*VLOOKUP(B663,Parámetros!$C$30:$D$39,2,TRUE),2))</f>
        <v/>
      </c>
      <c r="W663" s="57" t="str">
        <f t="shared" si="907"/>
        <v/>
      </c>
      <c r="X663" t="str">
        <f t="shared" si="908"/>
        <v/>
      </c>
      <c r="Y663" t="str">
        <f t="shared" si="909"/>
        <v/>
      </c>
      <c r="Z663" s="118" t="str">
        <f>+IF($W663="","",ROUND(IF(Parámetros!$D$25='TABLAS MORT'!$V$33,Z662,Parámetros!$D$21-'Tablas Servicio'!T662),0))</f>
        <v/>
      </c>
      <c r="AA663" s="118" t="str">
        <f t="shared" si="910"/>
        <v/>
      </c>
      <c r="AB663" s="119" t="str">
        <f>+IF(W663="","",ROUND((VLOOKUP(ROUNDDOWN($D663-1/frec,0),qx_tabla,2,FALSE)*(1+i/frec)^-0.5*(1+Parámetros!$D$103)*(1+rec_fracc)/frec),6))</f>
        <v/>
      </c>
      <c r="AC663" s="66" t="str">
        <f t="shared" si="866"/>
        <v/>
      </c>
      <c r="AD663" s="119" t="str">
        <f t="shared" si="862"/>
        <v/>
      </c>
      <c r="AE663" s="66" t="str">
        <f>+IF($W663="","",ROUND(IF($B663&gt;Parámetros!$D$107,'Tablas Servicio'!AC663+('Tablas Servicio'!AG662-'Tablas Servicio'!AC662),AC663/(1-IF(B663&lt;=10,Parámetros!$D$104,Parámetros!$D$105))),2))</f>
        <v/>
      </c>
      <c r="AF663" s="66" t="str">
        <f>+IF($W663="","",ROUND(IF($B663&gt;Parámetros!$D$107,'Tablas Servicio'!AC663+('Tablas Servicio'!AG662-'Tablas Servicio'!AC662),(AC663+$A662/frec)/(1-IF(B663&lt;=Parámetros!$D$117,Parámetros!$D$100,0))),2))</f>
        <v/>
      </c>
      <c r="AG663" s="66" t="str">
        <f t="shared" si="867"/>
        <v/>
      </c>
      <c r="AH663" s="66" t="str">
        <f t="shared" si="868"/>
        <v/>
      </c>
      <c r="AI663" s="66" t="str">
        <f t="shared" si="869"/>
        <v/>
      </c>
      <c r="AJ663" s="66" t="str">
        <f>+IF($W663="","",ROUND((AG663*Parámetros!$G$85),2))</f>
        <v/>
      </c>
      <c r="AK663" s="66" t="str">
        <f>+IF($W663="","",ROUND((AG663*(Parámetros!$G$86)),2))</f>
        <v/>
      </c>
      <c r="AL663" s="66" t="str">
        <f t="shared" si="863"/>
        <v/>
      </c>
      <c r="AM663" t="str">
        <f t="shared" si="911"/>
        <v/>
      </c>
      <c r="AN663" t="str">
        <f t="shared" si="912"/>
        <v/>
      </c>
      <c r="AO663" s="118" t="str">
        <f t="shared" si="913"/>
        <v/>
      </c>
      <c r="AP663" s="118" t="str">
        <f t="shared" si="914"/>
        <v/>
      </c>
      <c r="AQ663" s="119" t="str">
        <f>+IF(OR($W663="",AO663=0),"",ROUND((VLOOKUP(ROUNDDOWN($D663-1/frec,0),cob_adi,Z$40,FALSE)*(1+i/frec)^-0.5*(1+Parámetros!$D$103)*(1+rec_fracc)/frec),6))</f>
        <v/>
      </c>
      <c r="AR663" s="66" t="str">
        <f t="shared" si="870"/>
        <v/>
      </c>
      <c r="AS663" s="119" t="str">
        <f t="shared" si="871"/>
        <v/>
      </c>
      <c r="AT663" s="66" t="str">
        <f>+IF($W663="","",ROUND(IF($B663&gt;Parámetros!$D$107,'Tablas Servicio'!AR663+('Tablas Servicio'!AT662-'Tablas Servicio'!AR662),AR663/(1-IF(B663&lt;=10,Parámetros!$D$100,0))),2))</f>
        <v/>
      </c>
      <c r="AU663" s="66" t="str">
        <f t="shared" si="872"/>
        <v/>
      </c>
      <c r="AV663" s="66" t="str">
        <f t="shared" si="872"/>
        <v/>
      </c>
      <c r="AW663" s="66" t="str">
        <f>+IF($W663="","",ROUND((AT663*Parámetros!$G$85),2))</f>
        <v/>
      </c>
      <c r="AX663" s="66" t="str">
        <f>+IF($W663="","",ROUND((AT663*(Parámetros!$G$86)),2))</f>
        <v/>
      </c>
      <c r="AY663" s="66" t="str">
        <f t="shared" si="873"/>
        <v/>
      </c>
      <c r="AZ663" t="str">
        <f t="shared" si="915"/>
        <v/>
      </c>
      <c r="BA663" t="str">
        <f t="shared" si="916"/>
        <v/>
      </c>
      <c r="BB663" s="118" t="str">
        <f t="shared" si="917"/>
        <v/>
      </c>
      <c r="BC663" s="118" t="str">
        <f t="shared" si="918"/>
        <v/>
      </c>
      <c r="BD663" s="119" t="str">
        <f>+IF(OR($W663="",BB663=0),"",ROUND((VLOOKUP(ROUNDDOWN($D663-1/frec,0),cob_adi,AO$40,FALSE)*(1+i/frec)^-0.5*(1+Parámetros!$D$103)*(1+rec_fracc)/frec),6))</f>
        <v/>
      </c>
      <c r="BE663" s="66" t="str">
        <f t="shared" si="874"/>
        <v/>
      </c>
      <c r="BF663" s="119" t="str">
        <f t="shared" si="875"/>
        <v/>
      </c>
      <c r="BG663" s="66" t="str">
        <f>+IF($W663="","",ROUND(IF($B663&gt;Parámetros!$D$107,'Tablas Servicio'!BE663+('Tablas Servicio'!BG662-'Tablas Servicio'!BE662),BE663/(1-IF(B663&lt;=10,Parámetros!$D$100,0))),2))</f>
        <v/>
      </c>
      <c r="BH663" s="66" t="str">
        <f t="shared" si="876"/>
        <v/>
      </c>
      <c r="BI663" s="66" t="str">
        <f t="shared" si="877"/>
        <v/>
      </c>
      <c r="BJ663" s="66" t="str">
        <f>+IF($W663="","",ROUND((BG663*Parámetros!$G$85),2))</f>
        <v/>
      </c>
      <c r="BK663" s="66" t="str">
        <f>+IF($W663="","",ROUND((BG663*(Parámetros!$G$86)),2))</f>
        <v/>
      </c>
      <c r="BL663" s="66" t="str">
        <f t="shared" si="878"/>
        <v/>
      </c>
      <c r="BM663" t="str">
        <f t="shared" si="919"/>
        <v/>
      </c>
      <c r="BN663" t="str">
        <f t="shared" si="920"/>
        <v/>
      </c>
      <c r="BO663" s="118" t="str">
        <f t="shared" si="921"/>
        <v/>
      </c>
      <c r="BP663" s="118" t="str">
        <f t="shared" si="922"/>
        <v/>
      </c>
      <c r="BQ663" s="119" t="str">
        <f>+IF(OR($W663="",BO663=0),"",ROUND((VLOOKUP(ROUNDDOWN($D663-1/frec,0),cob_adi,BB$40,FALSE)*(1+i/frec)^-0.5*(1+Parámetros!$D$103)*(1+rec_fracc)/frec),6))</f>
        <v/>
      </c>
      <c r="BR663" s="66" t="str">
        <f t="shared" si="879"/>
        <v/>
      </c>
      <c r="BS663" s="119" t="str">
        <f t="shared" si="880"/>
        <v/>
      </c>
      <c r="BT663" s="66" t="str">
        <f>+IF($W663="","",ROUND(IF($B663&gt;Parámetros!$D$107,'Tablas Servicio'!BR663+('Tablas Servicio'!BT662-'Tablas Servicio'!BR662),BR663/(1-IF(B663&lt;=10,Parámetros!$D$100,0))),2))</f>
        <v/>
      </c>
      <c r="BU663" s="66" t="str">
        <f t="shared" si="881"/>
        <v/>
      </c>
      <c r="BV663" s="66" t="str">
        <f t="shared" si="881"/>
        <v/>
      </c>
      <c r="BW663" s="66" t="str">
        <f>+IF($W663="","",ROUND((BT663*Parámetros!$G$85),2))</f>
        <v/>
      </c>
      <c r="BX663" s="66" t="str">
        <f>+IF($W663="","",ROUND((BT663*(Parámetros!$G$86)),2))</f>
        <v/>
      </c>
      <c r="BY663" s="66" t="str">
        <f t="shared" si="882"/>
        <v/>
      </c>
      <c r="BZ663" t="str">
        <f t="shared" si="923"/>
        <v/>
      </c>
      <c r="CA663" t="str">
        <f t="shared" si="924"/>
        <v/>
      </c>
      <c r="CB663" s="118" t="str">
        <f t="shared" si="925"/>
        <v/>
      </c>
      <c r="CC663" s="118" t="str">
        <f t="shared" si="926"/>
        <v/>
      </c>
      <c r="CD663" s="119" t="str">
        <f t="shared" si="883"/>
        <v/>
      </c>
      <c r="CE663" s="66" t="str">
        <f>+IF($W663="","",ROUND((VLOOKUP(ROUNDDOWN($D663-1/frec,0),cob_adi,BO$40,FALSE)*(1+i/frec)^-0.5*(1+Parámetros!$D$103)*(1+rec_fracc)/frec*'TABLAS ADI'!$BC$17),2))</f>
        <v/>
      </c>
      <c r="CF663" s="119" t="str">
        <f t="shared" si="884"/>
        <v/>
      </c>
      <c r="CG663" s="66" t="str">
        <f>+IF($W663="","",ROUND(IF($B663&gt;Parámetros!$D$107,'Tablas Servicio'!CE663+('Tablas Servicio'!CG662-'Tablas Servicio'!CE662),CE663/(1-IF(B663&lt;=10,Parámetros!$D$100,0))),2))</f>
        <v/>
      </c>
      <c r="CH663" s="66" t="str">
        <f t="shared" si="885"/>
        <v/>
      </c>
      <c r="CI663" s="66" t="str">
        <f t="shared" si="885"/>
        <v/>
      </c>
      <c r="CJ663" s="66" t="str">
        <f>+IF($W663="","",ROUND((CG663*Parámetros!$G$85),2))</f>
        <v/>
      </c>
      <c r="CK663" s="66" t="str">
        <f>+IF($W663="","",ROUND((CG663*(Parámetros!$G$86)),2))</f>
        <v/>
      </c>
      <c r="CL663" s="66" t="str">
        <f t="shared" si="886"/>
        <v/>
      </c>
      <c r="CM663" t="str">
        <f t="shared" si="927"/>
        <v/>
      </c>
      <c r="CN663" s="118" t="str">
        <f t="shared" si="928"/>
        <v/>
      </c>
      <c r="CO663" s="118" t="str">
        <f t="shared" si="929"/>
        <v/>
      </c>
      <c r="CP663" s="118" t="str">
        <f t="shared" si="930"/>
        <v/>
      </c>
      <c r="CQ663" s="119" t="str">
        <f t="shared" si="887"/>
        <v/>
      </c>
      <c r="CR663" s="66" t="str">
        <f>+IF($W663="","",ROUND((VLOOKUP(Parámetros!$F$51,'COBERTURAS ADICIONALES'!$S$4:$T$32,2,FALSE)*(1+i/frec)^-0.5*(1+Parámetros!$D$103)*(1+rec_fracc)/frec*$CO$42),2))</f>
        <v/>
      </c>
      <c r="CS663" s="119" t="str">
        <f t="shared" si="888"/>
        <v/>
      </c>
      <c r="CT663" s="66" t="str">
        <f>+IF($W663="","",ROUND(IF($B663&gt;Parámetros!$D$107,'Tablas Servicio'!CR663+('Tablas Servicio'!CT662-'Tablas Servicio'!CR662),CR663/(1-IF(B663&lt;=10,Parámetros!$D$100,0))),2))</f>
        <v/>
      </c>
      <c r="CU663" s="66" t="str">
        <f t="shared" si="889"/>
        <v/>
      </c>
      <c r="CV663" s="66" t="str">
        <f t="shared" si="889"/>
        <v/>
      </c>
      <c r="CW663" s="66" t="str">
        <f>+IF($W663="","",ROUND((CT663*Parámetros!$G$85),2))</f>
        <v/>
      </c>
      <c r="CX663" s="66" t="str">
        <f>+IF($W663="","",ROUND((CT663*(Parámetros!$G$86)),2))</f>
        <v/>
      </c>
      <c r="CY663" s="66" t="str">
        <f t="shared" si="890"/>
        <v/>
      </c>
      <c r="CZ663" t="str">
        <f t="shared" si="931"/>
        <v/>
      </c>
      <c r="DA663" s="118" t="str">
        <f t="shared" si="932"/>
        <v/>
      </c>
      <c r="DB663" s="118" t="str">
        <f t="shared" si="933"/>
        <v/>
      </c>
      <c r="DC663" s="118" t="str">
        <f t="shared" si="934"/>
        <v/>
      </c>
      <c r="DD663" s="121" t="str">
        <f>+IF(OR($W663="",DB663=0),"",ROUND((VLOOKUP(ROUNDDOWN($D663-1/frec,0),cob_adi,CO$40,FALSE)*(1+i/frec)^-0.5*(1+Parámetros!$D$103)*(1+rec_fracc)/frec),6))</f>
        <v/>
      </c>
      <c r="DE663" s="66" t="str">
        <f t="shared" si="891"/>
        <v/>
      </c>
      <c r="DF663" s="119" t="str">
        <f t="shared" si="892"/>
        <v/>
      </c>
      <c r="DG663" s="66" t="str">
        <f>+IF($W663="","",ROUND(IF($B663&gt;Parámetros!$D$107,'Tablas Servicio'!DE663+('Tablas Servicio'!DG662-'Tablas Servicio'!DE662),DE663/(1-IF(B663&lt;=10,Parámetros!$D$100,0))),2))</f>
        <v/>
      </c>
      <c r="DH663" s="66" t="str">
        <f t="shared" si="893"/>
        <v/>
      </c>
      <c r="DI663" s="66" t="str">
        <f t="shared" si="893"/>
        <v/>
      </c>
      <c r="DJ663" s="66" t="str">
        <f>+IF($W663="","",ROUND((DG663*Parámetros!$G$85),2))</f>
        <v/>
      </c>
      <c r="DK663" s="66" t="str">
        <f>+IF($W663="","",ROUND((DG663*(Parámetros!$G$86)),2))</f>
        <v/>
      </c>
      <c r="DL663" s="66" t="str">
        <f t="shared" si="894"/>
        <v/>
      </c>
      <c r="DM663" t="str">
        <f t="shared" si="935"/>
        <v/>
      </c>
      <c r="DN663" s="118" t="str">
        <f t="shared" si="936"/>
        <v/>
      </c>
      <c r="DO663" s="118" t="str">
        <f t="shared" si="937"/>
        <v/>
      </c>
      <c r="DP663" s="118" t="str">
        <f t="shared" si="938"/>
        <v/>
      </c>
      <c r="DQ663" s="122" t="str">
        <f>+IF(OR($W663="",DO663=0),"",ROUND((VLOOKUP(ROUNDDOWN($D663-1/frec,0),cob_adi,DB$40,FALSE)*(1+i/frec)^-0.5*(1+Parámetros!$D$103)*(1+rec_fracc)/frec),6))</f>
        <v/>
      </c>
      <c r="DR663" s="66" t="str">
        <f t="shared" si="895"/>
        <v/>
      </c>
      <c r="DS663" s="68" t="str">
        <f t="shared" si="896"/>
        <v/>
      </c>
      <c r="DT663" s="66" t="str">
        <f>+IF($W663="","",ROUND(IF($B663&gt;Parámetros!$D$107,'Tablas Servicio'!DR663+('Tablas Servicio'!DT662-'Tablas Servicio'!DR662),DR663/(1-IF(B663&lt;=10,Parámetros!$D$100,0))),2))</f>
        <v/>
      </c>
      <c r="DU663" s="66" t="str">
        <f t="shared" si="897"/>
        <v/>
      </c>
      <c r="DV663" s="66" t="str">
        <f t="shared" si="897"/>
        <v/>
      </c>
      <c r="DW663" s="66" t="str">
        <f>+IF($W663="","",ROUND((DT663*Parámetros!$G$85),2))</f>
        <v/>
      </c>
      <c r="DX663" s="66" t="str">
        <f>+IF($W663="","",ROUND((DT663*(Parámetros!$G$86)),2))</f>
        <v/>
      </c>
      <c r="DY663" s="66" t="str">
        <f t="shared" si="898"/>
        <v/>
      </c>
      <c r="DZ663" t="str">
        <f t="shared" si="940"/>
        <v/>
      </c>
      <c r="EA663" s="118" t="str">
        <f t="shared" si="940"/>
        <v/>
      </c>
      <c r="EB663" s="118" t="str">
        <f>+IF($W663="","",ROUND(IF(Parámetros!$D$25='TABLAS MORT'!$V$33,EB662,Z663/2),0))</f>
        <v/>
      </c>
      <c r="EC663" s="118" t="str">
        <f t="shared" si="940"/>
        <v/>
      </c>
      <c r="ED663" s="122" t="str">
        <f>+IF(OR($W663="",EB663=0),"",ROUND((VLOOKUP(ROUNDDOWN($D663-1/frec,0),cob_adi,DO$40,FALSE)*(1+i/frec)^-0.5*(1+Parámetros!$D$103)*(1+rec_fracc)/frec),6))</f>
        <v/>
      </c>
      <c r="EE663" s="66" t="str">
        <f t="shared" si="900"/>
        <v/>
      </c>
      <c r="EF663" s="68" t="str">
        <f t="shared" si="901"/>
        <v/>
      </c>
      <c r="EG663" s="66" t="str">
        <f>+IF($W663="","",ROUND(IF($B663&gt;Parámetros!$D$107,'Tablas Servicio'!EE663+('Tablas Servicio'!EG662-'Tablas Servicio'!EE662),EE663/(1-IF(B663&lt;=10,Parámetros!$D$100,0))),2))</f>
        <v/>
      </c>
      <c r="EH663" s="66" t="str">
        <f t="shared" si="902"/>
        <v/>
      </c>
      <c r="EI663" s="66" t="str">
        <f t="shared" si="902"/>
        <v/>
      </c>
      <c r="EJ663" s="66" t="str">
        <f>+IF($W663="","",ROUND((EG663*Parámetros!$G$85),2))</f>
        <v/>
      </c>
      <c r="EK663" s="66" t="str">
        <f>+IF($W663="","",ROUND((EG663*(Parámetros!$G$86)),2))</f>
        <v/>
      </c>
      <c r="EL663" s="66" t="str">
        <f t="shared" si="903"/>
        <v/>
      </c>
    </row>
    <row r="664" spans="1:142" x14ac:dyDescent="0.25">
      <c r="A664" t="str">
        <f>+IF($C664="","",ROUND(VLOOKUP('Tablas Servicio'!B664,Parámetros!$H$100:$J$159,IF(Parámetros!$E$16="F",2,3),FALSE),2))</f>
        <v/>
      </c>
      <c r="B664" t="str">
        <f t="shared" si="854"/>
        <v/>
      </c>
      <c r="C664" s="57" t="str">
        <f>+IF(D664="","",'Tablas Servicio'!C663+1)</f>
        <v/>
      </c>
      <c r="D664" s="56" t="str">
        <f>+IF(D663&lt;edadmaxtabla,D663+1/Parámetros!$E$25,"")</f>
        <v/>
      </c>
      <c r="E664" s="57" t="str">
        <f t="shared" si="864"/>
        <v/>
      </c>
      <c r="F664" s="59" t="str">
        <f t="shared" si="865"/>
        <v/>
      </c>
      <c r="G664" s="66" t="str">
        <f t="shared" si="855"/>
        <v/>
      </c>
      <c r="H664" s="66" t="str">
        <f t="shared" si="856"/>
        <v/>
      </c>
      <c r="I664" s="66" t="str">
        <f t="shared" si="904"/>
        <v/>
      </c>
      <c r="J664" s="66" t="str">
        <f t="shared" si="857"/>
        <v/>
      </c>
      <c r="K664" s="66" t="str">
        <f t="shared" si="858"/>
        <v/>
      </c>
      <c r="L664" s="66" t="str">
        <f t="shared" si="859"/>
        <v/>
      </c>
      <c r="M664" s="66" t="str">
        <f t="shared" si="860"/>
        <v/>
      </c>
      <c r="N664" s="66" t="str">
        <f>+IF(C664="","",ROUND(Parámetros!$D$23,2))</f>
        <v/>
      </c>
      <c r="O664" s="66" t="str">
        <f t="shared" si="861"/>
        <v/>
      </c>
      <c r="P664" s="66" t="str">
        <f>+IF($C664="","",ROUND(IF(B664&gt;Parámetros!$D$117,0,N664*Parámetros!$D$116-G664*Parámetros!$D$100),2))</f>
        <v/>
      </c>
      <c r="Q664" s="75" t="str">
        <f t="shared" si="905"/>
        <v/>
      </c>
      <c r="R664" s="75" t="str">
        <f t="shared" si="906"/>
        <v/>
      </c>
      <c r="S664" s="117" t="str">
        <f>+IF($C664="","",ROUND((S663+I664)*(1+Parámetros!$D$91),2))</f>
        <v/>
      </c>
      <c r="T664" s="117" t="str">
        <f>+IF($C664="","",ROUND(S664*VLOOKUP(B664,Parámetros!$C$30:$D$39,2,TRUE),2))</f>
        <v/>
      </c>
      <c r="U664" s="117" t="str">
        <f>+IF($C664="","",ROUND((U663+I664)*(1+Parámetros!$D$92),2))</f>
        <v/>
      </c>
      <c r="V664" s="117" t="str">
        <f>+IF($C664="","",ROUND(U664*VLOOKUP(B664,Parámetros!$C$30:$D$39,2,TRUE),2))</f>
        <v/>
      </c>
      <c r="W664" s="57" t="str">
        <f t="shared" si="907"/>
        <v/>
      </c>
      <c r="X664" t="str">
        <f t="shared" si="908"/>
        <v/>
      </c>
      <c r="Y664" t="str">
        <f t="shared" si="909"/>
        <v/>
      </c>
      <c r="Z664" s="118" t="str">
        <f>+IF($W664="","",ROUND(IF(Parámetros!$D$25='TABLAS MORT'!$V$33,Z663,Parámetros!$D$21-'Tablas Servicio'!T663),0))</f>
        <v/>
      </c>
      <c r="AA664" s="118" t="str">
        <f t="shared" si="910"/>
        <v/>
      </c>
      <c r="AB664" s="119" t="str">
        <f>+IF(W664="","",ROUND((VLOOKUP(ROUNDDOWN($D664-1/frec,0),qx_tabla,2,FALSE)*(1+i/frec)^-0.5*(1+Parámetros!$D$103)*(1+rec_fracc)/frec),6))</f>
        <v/>
      </c>
      <c r="AC664" s="66" t="str">
        <f t="shared" si="866"/>
        <v/>
      </c>
      <c r="AD664" s="119" t="str">
        <f t="shared" si="862"/>
        <v/>
      </c>
      <c r="AE664" s="66" t="str">
        <f>+IF($W664="","",ROUND(IF($B664&gt;Parámetros!$D$107,'Tablas Servicio'!AC664+('Tablas Servicio'!AG663-'Tablas Servicio'!AC663),AC664/(1-IF(B664&lt;=10,Parámetros!$D$104,Parámetros!$D$105))),2))</f>
        <v/>
      </c>
      <c r="AF664" s="66" t="str">
        <f>+IF($W664="","",ROUND(IF($B664&gt;Parámetros!$D$107,'Tablas Servicio'!AC664+('Tablas Servicio'!AG663-'Tablas Servicio'!AC663),(AC664+$A663/frec)/(1-IF(B664&lt;=Parámetros!$D$117,Parámetros!$D$100,0))),2))</f>
        <v/>
      </c>
      <c r="AG664" s="66" t="str">
        <f t="shared" si="867"/>
        <v/>
      </c>
      <c r="AH664" s="66" t="str">
        <f t="shared" si="868"/>
        <v/>
      </c>
      <c r="AI664" s="66" t="str">
        <f t="shared" si="869"/>
        <v/>
      </c>
      <c r="AJ664" s="66" t="str">
        <f>+IF($W664="","",ROUND((AG664*Parámetros!$G$85),2))</f>
        <v/>
      </c>
      <c r="AK664" s="66" t="str">
        <f>+IF($W664="","",ROUND((AG664*(Parámetros!$G$86)),2))</f>
        <v/>
      </c>
      <c r="AL664" s="66" t="str">
        <f t="shared" si="863"/>
        <v/>
      </c>
      <c r="AM664" t="str">
        <f t="shared" si="911"/>
        <v/>
      </c>
      <c r="AN664" t="str">
        <f t="shared" si="912"/>
        <v/>
      </c>
      <c r="AO664" s="118" t="str">
        <f t="shared" si="913"/>
        <v/>
      </c>
      <c r="AP664" s="118" t="str">
        <f t="shared" si="914"/>
        <v/>
      </c>
      <c r="AQ664" s="119" t="str">
        <f>+IF(OR($W664="",AO664=0),"",ROUND((VLOOKUP(ROUNDDOWN($D664-1/frec,0),cob_adi,Z$40,FALSE)*(1+i/frec)^-0.5*(1+Parámetros!$D$103)*(1+rec_fracc)/frec),6))</f>
        <v/>
      </c>
      <c r="AR664" s="66" t="str">
        <f t="shared" si="870"/>
        <v/>
      </c>
      <c r="AS664" s="119" t="str">
        <f t="shared" si="871"/>
        <v/>
      </c>
      <c r="AT664" s="66" t="str">
        <f>+IF($W664="","",ROUND(IF($B664&gt;Parámetros!$D$107,'Tablas Servicio'!AR664+('Tablas Servicio'!AT663-'Tablas Servicio'!AR663),AR664/(1-IF(B664&lt;=10,Parámetros!$D$100,0))),2))</f>
        <v/>
      </c>
      <c r="AU664" s="66" t="str">
        <f t="shared" si="872"/>
        <v/>
      </c>
      <c r="AV664" s="66" t="str">
        <f t="shared" si="872"/>
        <v/>
      </c>
      <c r="AW664" s="66" t="str">
        <f>+IF($W664="","",ROUND((AT664*Parámetros!$G$85),2))</f>
        <v/>
      </c>
      <c r="AX664" s="66" t="str">
        <f>+IF($W664="","",ROUND((AT664*(Parámetros!$G$86)),2))</f>
        <v/>
      </c>
      <c r="AY664" s="66" t="str">
        <f t="shared" si="873"/>
        <v/>
      </c>
      <c r="AZ664" t="str">
        <f t="shared" si="915"/>
        <v/>
      </c>
      <c r="BA664" t="str">
        <f t="shared" si="916"/>
        <v/>
      </c>
      <c r="BB664" s="118" t="str">
        <f t="shared" si="917"/>
        <v/>
      </c>
      <c r="BC664" s="118" t="str">
        <f t="shared" si="918"/>
        <v/>
      </c>
      <c r="BD664" s="119" t="str">
        <f>+IF(OR($W664="",BB664=0),"",ROUND((VLOOKUP(ROUNDDOWN($D664-1/frec,0),cob_adi,AO$40,FALSE)*(1+i/frec)^-0.5*(1+Parámetros!$D$103)*(1+rec_fracc)/frec),6))</f>
        <v/>
      </c>
      <c r="BE664" s="66" t="str">
        <f t="shared" si="874"/>
        <v/>
      </c>
      <c r="BF664" s="119" t="str">
        <f t="shared" si="875"/>
        <v/>
      </c>
      <c r="BG664" s="66" t="str">
        <f>+IF($W664="","",ROUND(IF($B664&gt;Parámetros!$D$107,'Tablas Servicio'!BE664+('Tablas Servicio'!BG663-'Tablas Servicio'!BE663),BE664/(1-IF(B664&lt;=10,Parámetros!$D$100,0))),2))</f>
        <v/>
      </c>
      <c r="BH664" s="66" t="str">
        <f t="shared" si="876"/>
        <v/>
      </c>
      <c r="BI664" s="66" t="str">
        <f t="shared" si="877"/>
        <v/>
      </c>
      <c r="BJ664" s="66" t="str">
        <f>+IF($W664="","",ROUND((BG664*Parámetros!$G$85),2))</f>
        <v/>
      </c>
      <c r="BK664" s="66" t="str">
        <f>+IF($W664="","",ROUND((BG664*(Parámetros!$G$86)),2))</f>
        <v/>
      </c>
      <c r="BL664" s="66" t="str">
        <f t="shared" si="878"/>
        <v/>
      </c>
      <c r="BM664" t="str">
        <f t="shared" si="919"/>
        <v/>
      </c>
      <c r="BN664" t="str">
        <f t="shared" si="920"/>
        <v/>
      </c>
      <c r="BO664" s="118" t="str">
        <f t="shared" si="921"/>
        <v/>
      </c>
      <c r="BP664" s="118" t="str">
        <f t="shared" si="922"/>
        <v/>
      </c>
      <c r="BQ664" s="119" t="str">
        <f>+IF(OR($W664="",BO664=0),"",ROUND((VLOOKUP(ROUNDDOWN($D664-1/frec,0),cob_adi,BB$40,FALSE)*(1+i/frec)^-0.5*(1+Parámetros!$D$103)*(1+rec_fracc)/frec),6))</f>
        <v/>
      </c>
      <c r="BR664" s="66" t="str">
        <f t="shared" si="879"/>
        <v/>
      </c>
      <c r="BS664" s="119" t="str">
        <f t="shared" si="880"/>
        <v/>
      </c>
      <c r="BT664" s="66" t="str">
        <f>+IF($W664="","",ROUND(IF($B664&gt;Parámetros!$D$107,'Tablas Servicio'!BR664+('Tablas Servicio'!BT663-'Tablas Servicio'!BR663),BR664/(1-IF(B664&lt;=10,Parámetros!$D$100,0))),2))</f>
        <v/>
      </c>
      <c r="BU664" s="66" t="str">
        <f t="shared" si="881"/>
        <v/>
      </c>
      <c r="BV664" s="66" t="str">
        <f t="shared" si="881"/>
        <v/>
      </c>
      <c r="BW664" s="66" t="str">
        <f>+IF($W664="","",ROUND((BT664*Parámetros!$G$85),2))</f>
        <v/>
      </c>
      <c r="BX664" s="66" t="str">
        <f>+IF($W664="","",ROUND((BT664*(Parámetros!$G$86)),2))</f>
        <v/>
      </c>
      <c r="BY664" s="66" t="str">
        <f t="shared" si="882"/>
        <v/>
      </c>
      <c r="BZ664" t="str">
        <f t="shared" si="923"/>
        <v/>
      </c>
      <c r="CA664" t="str">
        <f t="shared" si="924"/>
        <v/>
      </c>
      <c r="CB664" s="118" t="str">
        <f t="shared" si="925"/>
        <v/>
      </c>
      <c r="CC664" s="118" t="str">
        <f t="shared" si="926"/>
        <v/>
      </c>
      <c r="CD664" s="119" t="str">
        <f t="shared" si="883"/>
        <v/>
      </c>
      <c r="CE664" s="66" t="str">
        <f>+IF($W664="","",ROUND((VLOOKUP(ROUNDDOWN($D664-1/frec,0),cob_adi,BO$40,FALSE)*(1+i/frec)^-0.5*(1+Parámetros!$D$103)*(1+rec_fracc)/frec*'TABLAS ADI'!$BC$17),2))</f>
        <v/>
      </c>
      <c r="CF664" s="119" t="str">
        <f t="shared" si="884"/>
        <v/>
      </c>
      <c r="CG664" s="66" t="str">
        <f>+IF($W664="","",ROUND(IF($B664&gt;Parámetros!$D$107,'Tablas Servicio'!CE664+('Tablas Servicio'!CG663-'Tablas Servicio'!CE663),CE664/(1-IF(B664&lt;=10,Parámetros!$D$100,0))),2))</f>
        <v/>
      </c>
      <c r="CH664" s="66" t="str">
        <f t="shared" si="885"/>
        <v/>
      </c>
      <c r="CI664" s="66" t="str">
        <f t="shared" si="885"/>
        <v/>
      </c>
      <c r="CJ664" s="66" t="str">
        <f>+IF($W664="","",ROUND((CG664*Parámetros!$G$85),2))</f>
        <v/>
      </c>
      <c r="CK664" s="66" t="str">
        <f>+IF($W664="","",ROUND((CG664*(Parámetros!$G$86)),2))</f>
        <v/>
      </c>
      <c r="CL664" s="66" t="str">
        <f t="shared" si="886"/>
        <v/>
      </c>
      <c r="CM664" t="str">
        <f t="shared" si="927"/>
        <v/>
      </c>
      <c r="CN664" s="118" t="str">
        <f t="shared" si="928"/>
        <v/>
      </c>
      <c r="CO664" s="118" t="str">
        <f t="shared" si="929"/>
        <v/>
      </c>
      <c r="CP664" s="118" t="str">
        <f t="shared" si="930"/>
        <v/>
      </c>
      <c r="CQ664" s="119" t="str">
        <f t="shared" si="887"/>
        <v/>
      </c>
      <c r="CR664" s="66" t="str">
        <f>+IF($W664="","",ROUND((VLOOKUP(Parámetros!$F$51,'COBERTURAS ADICIONALES'!$S$4:$T$32,2,FALSE)*(1+i/frec)^-0.5*(1+Parámetros!$D$103)*(1+rec_fracc)/frec*$CO$42),2))</f>
        <v/>
      </c>
      <c r="CS664" s="119" t="str">
        <f t="shared" si="888"/>
        <v/>
      </c>
      <c r="CT664" s="66" t="str">
        <f>+IF($W664="","",ROUND(IF($B664&gt;Parámetros!$D$107,'Tablas Servicio'!CR664+('Tablas Servicio'!CT663-'Tablas Servicio'!CR663),CR664/(1-IF(B664&lt;=10,Parámetros!$D$100,0))),2))</f>
        <v/>
      </c>
      <c r="CU664" s="66" t="str">
        <f t="shared" si="889"/>
        <v/>
      </c>
      <c r="CV664" s="66" t="str">
        <f t="shared" si="889"/>
        <v/>
      </c>
      <c r="CW664" s="66" t="str">
        <f>+IF($W664="","",ROUND((CT664*Parámetros!$G$85),2))</f>
        <v/>
      </c>
      <c r="CX664" s="66" t="str">
        <f>+IF($W664="","",ROUND((CT664*(Parámetros!$G$86)),2))</f>
        <v/>
      </c>
      <c r="CY664" s="66" t="str">
        <f t="shared" si="890"/>
        <v/>
      </c>
      <c r="CZ664" t="str">
        <f t="shared" si="931"/>
        <v/>
      </c>
      <c r="DA664" s="118" t="str">
        <f t="shared" si="932"/>
        <v/>
      </c>
      <c r="DB664" s="118" t="str">
        <f t="shared" si="933"/>
        <v/>
      </c>
      <c r="DC664" s="118" t="str">
        <f t="shared" si="934"/>
        <v/>
      </c>
      <c r="DD664" s="121" t="str">
        <f>+IF(OR($W664="",DB664=0),"",ROUND((VLOOKUP(ROUNDDOWN($D664-1/frec,0),cob_adi,CO$40,FALSE)*(1+i/frec)^-0.5*(1+Parámetros!$D$103)*(1+rec_fracc)/frec),6))</f>
        <v/>
      </c>
      <c r="DE664" s="66" t="str">
        <f t="shared" si="891"/>
        <v/>
      </c>
      <c r="DF664" s="119" t="str">
        <f t="shared" si="892"/>
        <v/>
      </c>
      <c r="DG664" s="66" t="str">
        <f>+IF($W664="","",ROUND(IF($B664&gt;Parámetros!$D$107,'Tablas Servicio'!DE664+('Tablas Servicio'!DG663-'Tablas Servicio'!DE663),DE664/(1-IF(B664&lt;=10,Parámetros!$D$100,0))),2))</f>
        <v/>
      </c>
      <c r="DH664" s="66" t="str">
        <f t="shared" si="893"/>
        <v/>
      </c>
      <c r="DI664" s="66" t="str">
        <f t="shared" si="893"/>
        <v/>
      </c>
      <c r="DJ664" s="66" t="str">
        <f>+IF($W664="","",ROUND((DG664*Parámetros!$G$85),2))</f>
        <v/>
      </c>
      <c r="DK664" s="66" t="str">
        <f>+IF($W664="","",ROUND((DG664*(Parámetros!$G$86)),2))</f>
        <v/>
      </c>
      <c r="DL664" s="66" t="str">
        <f t="shared" si="894"/>
        <v/>
      </c>
      <c r="DM664" t="str">
        <f t="shared" si="935"/>
        <v/>
      </c>
      <c r="DN664" s="118" t="str">
        <f t="shared" si="936"/>
        <v/>
      </c>
      <c r="DO664" s="118" t="str">
        <f t="shared" si="937"/>
        <v/>
      </c>
      <c r="DP664" s="118" t="str">
        <f t="shared" si="938"/>
        <v/>
      </c>
      <c r="DQ664" s="122" t="str">
        <f>+IF(OR($W664="",DO664=0),"",ROUND((VLOOKUP(ROUNDDOWN($D664-1/frec,0),cob_adi,DB$40,FALSE)*(1+i/frec)^-0.5*(1+Parámetros!$D$103)*(1+rec_fracc)/frec),6))</f>
        <v/>
      </c>
      <c r="DR664" s="66" t="str">
        <f t="shared" si="895"/>
        <v/>
      </c>
      <c r="DS664" s="68" t="str">
        <f t="shared" si="896"/>
        <v/>
      </c>
      <c r="DT664" s="66" t="str">
        <f>+IF($W664="","",ROUND(IF($B664&gt;Parámetros!$D$107,'Tablas Servicio'!DR664+('Tablas Servicio'!DT663-'Tablas Servicio'!DR663),DR664/(1-IF(B664&lt;=10,Parámetros!$D$100,0))),2))</f>
        <v/>
      </c>
      <c r="DU664" s="66" t="str">
        <f t="shared" si="897"/>
        <v/>
      </c>
      <c r="DV664" s="66" t="str">
        <f t="shared" si="897"/>
        <v/>
      </c>
      <c r="DW664" s="66" t="str">
        <f>+IF($W664="","",ROUND((DT664*Parámetros!$G$85),2))</f>
        <v/>
      </c>
      <c r="DX664" s="66" t="str">
        <f>+IF($W664="","",ROUND((DT664*(Parámetros!$G$86)),2))</f>
        <v/>
      </c>
      <c r="DY664" s="66" t="str">
        <f t="shared" si="898"/>
        <v/>
      </c>
      <c r="DZ664" t="str">
        <f t="shared" si="940"/>
        <v/>
      </c>
      <c r="EA664" s="118" t="str">
        <f t="shared" si="940"/>
        <v/>
      </c>
      <c r="EB664" s="118" t="str">
        <f>+IF($W664="","",ROUND(IF(Parámetros!$D$25='TABLAS MORT'!$V$33,EB663,Z664/2),0))</f>
        <v/>
      </c>
      <c r="EC664" s="118" t="str">
        <f t="shared" si="940"/>
        <v/>
      </c>
      <c r="ED664" s="122" t="str">
        <f>+IF(OR($W664="",EB664=0),"",ROUND((VLOOKUP(ROUNDDOWN($D664-1/frec,0),cob_adi,DO$40,FALSE)*(1+i/frec)^-0.5*(1+Parámetros!$D$103)*(1+rec_fracc)/frec),6))</f>
        <v/>
      </c>
      <c r="EE664" s="66" t="str">
        <f t="shared" si="900"/>
        <v/>
      </c>
      <c r="EF664" s="68" t="str">
        <f t="shared" si="901"/>
        <v/>
      </c>
      <c r="EG664" s="66" t="str">
        <f>+IF($W664="","",ROUND(IF($B664&gt;Parámetros!$D$107,'Tablas Servicio'!EE664+('Tablas Servicio'!EG663-'Tablas Servicio'!EE663),EE664/(1-IF(B664&lt;=10,Parámetros!$D$100,0))),2))</f>
        <v/>
      </c>
      <c r="EH664" s="66" t="str">
        <f t="shared" si="902"/>
        <v/>
      </c>
      <c r="EI664" s="66" t="str">
        <f t="shared" si="902"/>
        <v/>
      </c>
      <c r="EJ664" s="66" t="str">
        <f>+IF($W664="","",ROUND((EG664*Parámetros!$G$85),2))</f>
        <v/>
      </c>
      <c r="EK664" s="66" t="str">
        <f>+IF($W664="","",ROUND((EG664*(Parámetros!$G$86)),2))</f>
        <v/>
      </c>
      <c r="EL664" s="66" t="str">
        <f t="shared" si="903"/>
        <v/>
      </c>
    </row>
    <row r="665" spans="1:142" x14ac:dyDescent="0.25">
      <c r="A665" t="str">
        <f>+IF($C665="","",ROUND(VLOOKUP('Tablas Servicio'!B665,Parámetros!$H$100:$J$159,IF(Parámetros!$E$16="F",2,3),FALSE),2))</f>
        <v/>
      </c>
      <c r="B665" t="str">
        <f t="shared" si="854"/>
        <v/>
      </c>
      <c r="C665" s="57" t="str">
        <f>+IF(D665="","",'Tablas Servicio'!C664+1)</f>
        <v/>
      </c>
      <c r="D665" s="56" t="str">
        <f>+IF(D664&lt;edadmaxtabla,D664+1/Parámetros!$E$25,"")</f>
        <v/>
      </c>
      <c r="E665" s="57" t="str">
        <f t="shared" si="864"/>
        <v/>
      </c>
      <c r="F665" s="59" t="str">
        <f t="shared" si="865"/>
        <v/>
      </c>
      <c r="G665" s="66" t="str">
        <f t="shared" si="855"/>
        <v/>
      </c>
      <c r="H665" s="66" t="str">
        <f t="shared" si="856"/>
        <v/>
      </c>
      <c r="I665" s="66" t="str">
        <f t="shared" si="904"/>
        <v/>
      </c>
      <c r="J665" s="66" t="str">
        <f t="shared" si="857"/>
        <v/>
      </c>
      <c r="K665" s="66" t="str">
        <f t="shared" si="858"/>
        <v/>
      </c>
      <c r="L665" s="66" t="str">
        <f t="shared" si="859"/>
        <v/>
      </c>
      <c r="M665" s="66" t="str">
        <f t="shared" si="860"/>
        <v/>
      </c>
      <c r="N665" s="66" t="str">
        <f>+IF(C665="","",ROUND(Parámetros!$D$23,2))</f>
        <v/>
      </c>
      <c r="O665" s="66" t="str">
        <f t="shared" si="861"/>
        <v/>
      </c>
      <c r="P665" s="66" t="str">
        <f>+IF($C665="","",ROUND(IF(B665&gt;Parámetros!$D$117,0,N665*Parámetros!$D$116-G665*Parámetros!$D$100),2))</f>
        <v/>
      </c>
      <c r="Q665" s="75" t="str">
        <f t="shared" si="905"/>
        <v/>
      </c>
      <c r="R665" s="75" t="str">
        <f t="shared" si="906"/>
        <v/>
      </c>
      <c r="S665" s="117" t="str">
        <f>+IF($C665="","",ROUND((S664+I665)*(1+Parámetros!$D$91),2))</f>
        <v/>
      </c>
      <c r="T665" s="117" t="str">
        <f>+IF($C665="","",ROUND(S665*VLOOKUP(B665,Parámetros!$C$30:$D$39,2,TRUE),2))</f>
        <v/>
      </c>
      <c r="U665" s="117" t="str">
        <f>+IF($C665="","",ROUND((U664+I665)*(1+Parámetros!$D$92),2))</f>
        <v/>
      </c>
      <c r="V665" s="117" t="str">
        <f>+IF($C665="","",ROUND(U665*VLOOKUP(B665,Parámetros!$C$30:$D$39,2,TRUE),2))</f>
        <v/>
      </c>
      <c r="W665" s="57" t="str">
        <f t="shared" si="907"/>
        <v/>
      </c>
      <c r="X665" t="str">
        <f t="shared" si="908"/>
        <v/>
      </c>
      <c r="Y665" t="str">
        <f t="shared" si="909"/>
        <v/>
      </c>
      <c r="Z665" s="118" t="str">
        <f>+IF($W665="","",ROUND(IF(Parámetros!$D$25='TABLAS MORT'!$V$33,Z664,Parámetros!$D$21-'Tablas Servicio'!T664),0))</f>
        <v/>
      </c>
      <c r="AA665" s="118" t="str">
        <f t="shared" si="910"/>
        <v/>
      </c>
      <c r="AB665" s="119" t="str">
        <f>+IF(W665="","",ROUND((VLOOKUP(ROUNDDOWN($D665-1/frec,0),qx_tabla,2,FALSE)*(1+i/frec)^-0.5*(1+Parámetros!$D$103)*(1+rec_fracc)/frec),6))</f>
        <v/>
      </c>
      <c r="AC665" s="66" t="str">
        <f t="shared" si="866"/>
        <v/>
      </c>
      <c r="AD665" s="119" t="str">
        <f t="shared" si="862"/>
        <v/>
      </c>
      <c r="AE665" s="66" t="str">
        <f>+IF($W665="","",ROUND(IF($B665&gt;Parámetros!$D$107,'Tablas Servicio'!AC665+('Tablas Servicio'!AG664-'Tablas Servicio'!AC664),AC665/(1-IF(B665&lt;=10,Parámetros!$D$104,Parámetros!$D$105))),2))</f>
        <v/>
      </c>
      <c r="AF665" s="66" t="str">
        <f>+IF($W665="","",ROUND(IF($B665&gt;Parámetros!$D$107,'Tablas Servicio'!AC665+('Tablas Servicio'!AG664-'Tablas Servicio'!AC664),(AC665+$A664/frec)/(1-IF(B665&lt;=Parámetros!$D$117,Parámetros!$D$100,0))),2))</f>
        <v/>
      </c>
      <c r="AG665" s="66" t="str">
        <f t="shared" si="867"/>
        <v/>
      </c>
      <c r="AH665" s="66" t="str">
        <f t="shared" si="868"/>
        <v/>
      </c>
      <c r="AI665" s="66" t="str">
        <f t="shared" si="869"/>
        <v/>
      </c>
      <c r="AJ665" s="66" t="str">
        <f>+IF($W665="","",ROUND((AG665*Parámetros!$G$85),2))</f>
        <v/>
      </c>
      <c r="AK665" s="66" t="str">
        <f>+IF($W665="","",ROUND((AG665*(Parámetros!$G$86)),2))</f>
        <v/>
      </c>
      <c r="AL665" s="66" t="str">
        <f t="shared" si="863"/>
        <v/>
      </c>
      <c r="AM665" t="str">
        <f t="shared" si="911"/>
        <v/>
      </c>
      <c r="AN665" t="str">
        <f t="shared" si="912"/>
        <v/>
      </c>
      <c r="AO665" s="118" t="str">
        <f t="shared" si="913"/>
        <v/>
      </c>
      <c r="AP665" s="118" t="str">
        <f t="shared" si="914"/>
        <v/>
      </c>
      <c r="AQ665" s="119" t="str">
        <f>+IF(OR($W665="",AO665=0),"",ROUND((VLOOKUP(ROUNDDOWN($D665-1/frec,0),cob_adi,Z$40,FALSE)*(1+i/frec)^-0.5*(1+Parámetros!$D$103)*(1+rec_fracc)/frec),6))</f>
        <v/>
      </c>
      <c r="AR665" s="66" t="str">
        <f t="shared" si="870"/>
        <v/>
      </c>
      <c r="AS665" s="119" t="str">
        <f t="shared" si="871"/>
        <v/>
      </c>
      <c r="AT665" s="66" t="str">
        <f>+IF($W665="","",ROUND(IF($B665&gt;Parámetros!$D$107,'Tablas Servicio'!AR665+('Tablas Servicio'!AT664-'Tablas Servicio'!AR664),AR665/(1-IF(B665&lt;=10,Parámetros!$D$100,0))),2))</f>
        <v/>
      </c>
      <c r="AU665" s="66" t="str">
        <f t="shared" si="872"/>
        <v/>
      </c>
      <c r="AV665" s="66" t="str">
        <f t="shared" si="872"/>
        <v/>
      </c>
      <c r="AW665" s="66" t="str">
        <f>+IF($W665="","",ROUND((AT665*Parámetros!$G$85),2))</f>
        <v/>
      </c>
      <c r="AX665" s="66" t="str">
        <f>+IF($W665="","",ROUND((AT665*(Parámetros!$G$86)),2))</f>
        <v/>
      </c>
      <c r="AY665" s="66" t="str">
        <f t="shared" si="873"/>
        <v/>
      </c>
      <c r="AZ665" t="str">
        <f t="shared" si="915"/>
        <v/>
      </c>
      <c r="BA665" t="str">
        <f t="shared" si="916"/>
        <v/>
      </c>
      <c r="BB665" s="118" t="str">
        <f t="shared" si="917"/>
        <v/>
      </c>
      <c r="BC665" s="118" t="str">
        <f t="shared" si="918"/>
        <v/>
      </c>
      <c r="BD665" s="119" t="str">
        <f>+IF(OR($W665="",BB665=0),"",ROUND((VLOOKUP(ROUNDDOWN($D665-1/frec,0),cob_adi,AO$40,FALSE)*(1+i/frec)^-0.5*(1+Parámetros!$D$103)*(1+rec_fracc)/frec),6))</f>
        <v/>
      </c>
      <c r="BE665" s="66" t="str">
        <f t="shared" si="874"/>
        <v/>
      </c>
      <c r="BF665" s="119" t="str">
        <f t="shared" si="875"/>
        <v/>
      </c>
      <c r="BG665" s="66" t="str">
        <f>+IF($W665="","",ROUND(IF($B665&gt;Parámetros!$D$107,'Tablas Servicio'!BE665+('Tablas Servicio'!BG664-'Tablas Servicio'!BE664),BE665/(1-IF(B665&lt;=10,Parámetros!$D$100,0))),2))</f>
        <v/>
      </c>
      <c r="BH665" s="66" t="str">
        <f t="shared" si="876"/>
        <v/>
      </c>
      <c r="BI665" s="66" t="str">
        <f t="shared" si="877"/>
        <v/>
      </c>
      <c r="BJ665" s="66" t="str">
        <f>+IF($W665="","",ROUND((BG665*Parámetros!$G$85),2))</f>
        <v/>
      </c>
      <c r="BK665" s="66" t="str">
        <f>+IF($W665="","",ROUND((BG665*(Parámetros!$G$86)),2))</f>
        <v/>
      </c>
      <c r="BL665" s="66" t="str">
        <f t="shared" si="878"/>
        <v/>
      </c>
      <c r="BM665" t="str">
        <f t="shared" si="919"/>
        <v/>
      </c>
      <c r="BN665" t="str">
        <f t="shared" si="920"/>
        <v/>
      </c>
      <c r="BO665" s="118" t="str">
        <f t="shared" si="921"/>
        <v/>
      </c>
      <c r="BP665" s="118" t="str">
        <f t="shared" si="922"/>
        <v/>
      </c>
      <c r="BQ665" s="119" t="str">
        <f>+IF(OR($W665="",BO665=0),"",ROUND((VLOOKUP(ROUNDDOWN($D665-1/frec,0),cob_adi,BB$40,FALSE)*(1+i/frec)^-0.5*(1+Parámetros!$D$103)*(1+rec_fracc)/frec),6))</f>
        <v/>
      </c>
      <c r="BR665" s="66" t="str">
        <f t="shared" si="879"/>
        <v/>
      </c>
      <c r="BS665" s="119" t="str">
        <f t="shared" si="880"/>
        <v/>
      </c>
      <c r="BT665" s="66" t="str">
        <f>+IF($W665="","",ROUND(IF($B665&gt;Parámetros!$D$107,'Tablas Servicio'!BR665+('Tablas Servicio'!BT664-'Tablas Servicio'!BR664),BR665/(1-IF(B665&lt;=10,Parámetros!$D$100,0))),2))</f>
        <v/>
      </c>
      <c r="BU665" s="66" t="str">
        <f t="shared" si="881"/>
        <v/>
      </c>
      <c r="BV665" s="66" t="str">
        <f t="shared" si="881"/>
        <v/>
      </c>
      <c r="BW665" s="66" t="str">
        <f>+IF($W665="","",ROUND((BT665*Parámetros!$G$85),2))</f>
        <v/>
      </c>
      <c r="BX665" s="66" t="str">
        <f>+IF($W665="","",ROUND((BT665*(Parámetros!$G$86)),2))</f>
        <v/>
      </c>
      <c r="BY665" s="66" t="str">
        <f t="shared" si="882"/>
        <v/>
      </c>
      <c r="BZ665" t="str">
        <f t="shared" si="923"/>
        <v/>
      </c>
      <c r="CA665" t="str">
        <f t="shared" si="924"/>
        <v/>
      </c>
      <c r="CB665" s="118" t="str">
        <f t="shared" si="925"/>
        <v/>
      </c>
      <c r="CC665" s="118" t="str">
        <f t="shared" si="926"/>
        <v/>
      </c>
      <c r="CD665" s="119" t="str">
        <f t="shared" si="883"/>
        <v/>
      </c>
      <c r="CE665" s="66" t="str">
        <f>+IF($W665="","",ROUND((VLOOKUP(ROUNDDOWN($D665-1/frec,0),cob_adi,BO$40,FALSE)*(1+i/frec)^-0.5*(1+Parámetros!$D$103)*(1+rec_fracc)/frec*'TABLAS ADI'!$BC$17),2))</f>
        <v/>
      </c>
      <c r="CF665" s="119" t="str">
        <f t="shared" si="884"/>
        <v/>
      </c>
      <c r="CG665" s="66" t="str">
        <f>+IF($W665="","",ROUND(IF($B665&gt;Parámetros!$D$107,'Tablas Servicio'!CE665+('Tablas Servicio'!CG664-'Tablas Servicio'!CE664),CE665/(1-IF(B665&lt;=10,Parámetros!$D$100,0))),2))</f>
        <v/>
      </c>
      <c r="CH665" s="66" t="str">
        <f t="shared" si="885"/>
        <v/>
      </c>
      <c r="CI665" s="66" t="str">
        <f t="shared" si="885"/>
        <v/>
      </c>
      <c r="CJ665" s="66" t="str">
        <f>+IF($W665="","",ROUND((CG665*Parámetros!$G$85),2))</f>
        <v/>
      </c>
      <c r="CK665" s="66" t="str">
        <f>+IF($W665="","",ROUND((CG665*(Parámetros!$G$86)),2))</f>
        <v/>
      </c>
      <c r="CL665" s="66" t="str">
        <f t="shared" si="886"/>
        <v/>
      </c>
      <c r="CM665" t="str">
        <f t="shared" si="927"/>
        <v/>
      </c>
      <c r="CN665" s="118" t="str">
        <f t="shared" si="928"/>
        <v/>
      </c>
      <c r="CO665" s="118" t="str">
        <f t="shared" si="929"/>
        <v/>
      </c>
      <c r="CP665" s="118" t="str">
        <f t="shared" si="930"/>
        <v/>
      </c>
      <c r="CQ665" s="119" t="str">
        <f t="shared" si="887"/>
        <v/>
      </c>
      <c r="CR665" s="66" t="str">
        <f>+IF($W665="","",ROUND((VLOOKUP(Parámetros!$F$51,'COBERTURAS ADICIONALES'!$S$4:$T$32,2,FALSE)*(1+i/frec)^-0.5*(1+Parámetros!$D$103)*(1+rec_fracc)/frec*$CO$42),2))</f>
        <v/>
      </c>
      <c r="CS665" s="119" t="str">
        <f t="shared" si="888"/>
        <v/>
      </c>
      <c r="CT665" s="66" t="str">
        <f>+IF($W665="","",ROUND(IF($B665&gt;Parámetros!$D$107,'Tablas Servicio'!CR665+('Tablas Servicio'!CT664-'Tablas Servicio'!CR664),CR665/(1-IF(B665&lt;=10,Parámetros!$D$100,0))),2))</f>
        <v/>
      </c>
      <c r="CU665" s="66" t="str">
        <f t="shared" si="889"/>
        <v/>
      </c>
      <c r="CV665" s="66" t="str">
        <f t="shared" si="889"/>
        <v/>
      </c>
      <c r="CW665" s="66" t="str">
        <f>+IF($W665="","",ROUND((CT665*Parámetros!$G$85),2))</f>
        <v/>
      </c>
      <c r="CX665" s="66" t="str">
        <f>+IF($W665="","",ROUND((CT665*(Parámetros!$G$86)),2))</f>
        <v/>
      </c>
      <c r="CY665" s="66" t="str">
        <f t="shared" si="890"/>
        <v/>
      </c>
      <c r="CZ665" t="str">
        <f t="shared" si="931"/>
        <v/>
      </c>
      <c r="DA665" s="118" t="str">
        <f t="shared" si="932"/>
        <v/>
      </c>
      <c r="DB665" s="118" t="str">
        <f t="shared" si="933"/>
        <v/>
      </c>
      <c r="DC665" s="118" t="str">
        <f t="shared" si="934"/>
        <v/>
      </c>
      <c r="DD665" s="121" t="str">
        <f>+IF(OR($W665="",DB665=0),"",ROUND((VLOOKUP(ROUNDDOWN($D665-1/frec,0),cob_adi,CO$40,FALSE)*(1+i/frec)^-0.5*(1+Parámetros!$D$103)*(1+rec_fracc)/frec),6))</f>
        <v/>
      </c>
      <c r="DE665" s="66" t="str">
        <f t="shared" si="891"/>
        <v/>
      </c>
      <c r="DF665" s="119" t="str">
        <f t="shared" si="892"/>
        <v/>
      </c>
      <c r="DG665" s="66" t="str">
        <f>+IF($W665="","",ROUND(IF($B665&gt;Parámetros!$D$107,'Tablas Servicio'!DE665+('Tablas Servicio'!DG664-'Tablas Servicio'!DE664),DE665/(1-IF(B665&lt;=10,Parámetros!$D$100,0))),2))</f>
        <v/>
      </c>
      <c r="DH665" s="66" t="str">
        <f t="shared" si="893"/>
        <v/>
      </c>
      <c r="DI665" s="66" t="str">
        <f t="shared" si="893"/>
        <v/>
      </c>
      <c r="DJ665" s="66" t="str">
        <f>+IF($W665="","",ROUND((DG665*Parámetros!$G$85),2))</f>
        <v/>
      </c>
      <c r="DK665" s="66" t="str">
        <f>+IF($W665="","",ROUND((DG665*(Parámetros!$G$86)),2))</f>
        <v/>
      </c>
      <c r="DL665" s="66" t="str">
        <f t="shared" si="894"/>
        <v/>
      </c>
      <c r="DM665" t="str">
        <f t="shared" si="935"/>
        <v/>
      </c>
      <c r="DN665" s="118" t="str">
        <f t="shared" si="936"/>
        <v/>
      </c>
      <c r="DO665" s="118" t="str">
        <f t="shared" si="937"/>
        <v/>
      </c>
      <c r="DP665" s="118" t="str">
        <f t="shared" si="938"/>
        <v/>
      </c>
      <c r="DQ665" s="122" t="str">
        <f>+IF(OR($W665="",DO665=0),"",ROUND((VLOOKUP(ROUNDDOWN($D665-1/frec,0),cob_adi,DB$40,FALSE)*(1+i/frec)^-0.5*(1+Parámetros!$D$103)*(1+rec_fracc)/frec),6))</f>
        <v/>
      </c>
      <c r="DR665" s="66" t="str">
        <f t="shared" si="895"/>
        <v/>
      </c>
      <c r="DS665" s="68" t="str">
        <f t="shared" si="896"/>
        <v/>
      </c>
      <c r="DT665" s="66" t="str">
        <f>+IF($W665="","",ROUND(IF($B665&gt;Parámetros!$D$107,'Tablas Servicio'!DR665+('Tablas Servicio'!DT664-'Tablas Servicio'!DR664),DR665/(1-IF(B665&lt;=10,Parámetros!$D$100,0))),2))</f>
        <v/>
      </c>
      <c r="DU665" s="66" t="str">
        <f t="shared" si="897"/>
        <v/>
      </c>
      <c r="DV665" s="66" t="str">
        <f t="shared" si="897"/>
        <v/>
      </c>
      <c r="DW665" s="66" t="str">
        <f>+IF($W665="","",ROUND((DT665*Parámetros!$G$85),2))</f>
        <v/>
      </c>
      <c r="DX665" s="66" t="str">
        <f>+IF($W665="","",ROUND((DT665*(Parámetros!$G$86)),2))</f>
        <v/>
      </c>
      <c r="DY665" s="66" t="str">
        <f t="shared" si="898"/>
        <v/>
      </c>
      <c r="DZ665" t="str">
        <f t="shared" si="940"/>
        <v/>
      </c>
      <c r="EA665" s="118" t="str">
        <f t="shared" si="940"/>
        <v/>
      </c>
      <c r="EB665" s="118" t="str">
        <f>+IF($W665="","",ROUND(IF(Parámetros!$D$25='TABLAS MORT'!$V$33,EB664,Z665/2),0))</f>
        <v/>
      </c>
      <c r="EC665" s="118" t="str">
        <f t="shared" si="940"/>
        <v/>
      </c>
      <c r="ED665" s="122" t="str">
        <f>+IF(OR($W665="",EB665=0),"",ROUND((VLOOKUP(ROUNDDOWN($D665-1/frec,0),cob_adi,DO$40,FALSE)*(1+i/frec)^-0.5*(1+Parámetros!$D$103)*(1+rec_fracc)/frec),6))</f>
        <v/>
      </c>
      <c r="EE665" s="66" t="str">
        <f t="shared" si="900"/>
        <v/>
      </c>
      <c r="EF665" s="68" t="str">
        <f t="shared" si="901"/>
        <v/>
      </c>
      <c r="EG665" s="66" t="str">
        <f>+IF($W665="","",ROUND(IF($B665&gt;Parámetros!$D$107,'Tablas Servicio'!EE665+('Tablas Servicio'!EG664-'Tablas Servicio'!EE664),EE665/(1-IF(B665&lt;=10,Parámetros!$D$100,0))),2))</f>
        <v/>
      </c>
      <c r="EH665" s="66" t="str">
        <f t="shared" si="902"/>
        <v/>
      </c>
      <c r="EI665" s="66" t="str">
        <f t="shared" si="902"/>
        <v/>
      </c>
      <c r="EJ665" s="66" t="str">
        <f>+IF($W665="","",ROUND((EG665*Parámetros!$G$85),2))</f>
        <v/>
      </c>
      <c r="EK665" s="66" t="str">
        <f>+IF($W665="","",ROUND((EG665*(Parámetros!$G$86)),2))</f>
        <v/>
      </c>
      <c r="EL665" s="66" t="str">
        <f t="shared" si="903"/>
        <v/>
      </c>
    </row>
    <row r="666" spans="1:142" x14ac:dyDescent="0.25">
      <c r="A666" t="str">
        <f>+IF($C666="","",ROUND(VLOOKUP('Tablas Servicio'!B666,Parámetros!$H$100:$J$159,IF(Parámetros!$E$16="F",2,3),FALSE),2))</f>
        <v/>
      </c>
      <c r="B666" t="str">
        <f t="shared" si="854"/>
        <v/>
      </c>
      <c r="C666" s="57" t="str">
        <f>+IF(D666="","",'Tablas Servicio'!C665+1)</f>
        <v/>
      </c>
      <c r="D666" s="56" t="str">
        <f>+IF(D665&lt;edadmaxtabla,D665+1/Parámetros!$E$25,"")</f>
        <v/>
      </c>
      <c r="E666" s="57" t="str">
        <f t="shared" si="864"/>
        <v/>
      </c>
      <c r="F666" s="59" t="str">
        <f t="shared" si="865"/>
        <v/>
      </c>
      <c r="G666" s="66" t="str">
        <f t="shared" si="855"/>
        <v/>
      </c>
      <c r="H666" s="66" t="str">
        <f t="shared" si="856"/>
        <v/>
      </c>
      <c r="I666" s="66" t="str">
        <f t="shared" si="904"/>
        <v/>
      </c>
      <c r="J666" s="66" t="str">
        <f t="shared" si="857"/>
        <v/>
      </c>
      <c r="K666" s="66" t="str">
        <f t="shared" si="858"/>
        <v/>
      </c>
      <c r="L666" s="66" t="str">
        <f t="shared" si="859"/>
        <v/>
      </c>
      <c r="M666" s="66" t="str">
        <f t="shared" si="860"/>
        <v/>
      </c>
      <c r="N666" s="66" t="str">
        <f>+IF(C666="","",ROUND(Parámetros!$D$23,2))</f>
        <v/>
      </c>
      <c r="O666" s="66" t="str">
        <f t="shared" si="861"/>
        <v/>
      </c>
      <c r="P666" s="66" t="str">
        <f>+IF($C666="","",ROUND(IF(B666&gt;Parámetros!$D$117,0,N666*Parámetros!$D$116-G666*Parámetros!$D$100),2))</f>
        <v/>
      </c>
      <c r="Q666" s="75" t="str">
        <f t="shared" si="905"/>
        <v/>
      </c>
      <c r="R666" s="75" t="str">
        <f t="shared" si="906"/>
        <v/>
      </c>
      <c r="S666" s="117" t="str">
        <f>+IF($C666="","",ROUND((S665+I666)*(1+Parámetros!$D$91),2))</f>
        <v/>
      </c>
      <c r="T666" s="117" t="str">
        <f>+IF($C666="","",ROUND(S666*VLOOKUP(B666,Parámetros!$C$30:$D$39,2,TRUE),2))</f>
        <v/>
      </c>
      <c r="U666" s="117" t="str">
        <f>+IF($C666="","",ROUND((U665+I666)*(1+Parámetros!$D$92),2))</f>
        <v/>
      </c>
      <c r="V666" s="117" t="str">
        <f>+IF($C666="","",ROUND(U666*VLOOKUP(B666,Parámetros!$C$30:$D$39,2,TRUE),2))</f>
        <v/>
      </c>
      <c r="W666" s="57" t="str">
        <f t="shared" si="907"/>
        <v/>
      </c>
      <c r="X666" t="str">
        <f t="shared" si="908"/>
        <v/>
      </c>
      <c r="Y666" t="str">
        <f t="shared" si="909"/>
        <v/>
      </c>
      <c r="Z666" s="118" t="str">
        <f>+IF($W666="","",ROUND(IF(Parámetros!$D$25='TABLAS MORT'!$V$33,Z665,Parámetros!$D$21-'Tablas Servicio'!T665),0))</f>
        <v/>
      </c>
      <c r="AA666" s="118" t="str">
        <f t="shared" si="910"/>
        <v/>
      </c>
      <c r="AB666" s="119" t="str">
        <f>+IF(W666="","",ROUND((VLOOKUP(ROUNDDOWN($D666-1/frec,0),qx_tabla,2,FALSE)*(1+i/frec)^-0.5*(1+Parámetros!$D$103)*(1+rec_fracc)/frec),6))</f>
        <v/>
      </c>
      <c r="AC666" s="66" t="str">
        <f t="shared" si="866"/>
        <v/>
      </c>
      <c r="AD666" s="119" t="str">
        <f t="shared" si="862"/>
        <v/>
      </c>
      <c r="AE666" s="66" t="str">
        <f>+IF($W666="","",ROUND(IF($B666&gt;Parámetros!$D$107,'Tablas Servicio'!AC666+('Tablas Servicio'!AG665-'Tablas Servicio'!AC665),AC666/(1-IF(B666&lt;=10,Parámetros!$D$104,Parámetros!$D$105))),2))</f>
        <v/>
      </c>
      <c r="AF666" s="66" t="str">
        <f>+IF($W666="","",ROUND(IF($B666&gt;Parámetros!$D$107,'Tablas Servicio'!AC666+('Tablas Servicio'!AG665-'Tablas Servicio'!AC665),(AC666+$A665/frec)/(1-IF(B666&lt;=Parámetros!$D$117,Parámetros!$D$100,0))),2))</f>
        <v/>
      </c>
      <c r="AG666" s="66" t="str">
        <f t="shared" si="867"/>
        <v/>
      </c>
      <c r="AH666" s="66" t="str">
        <f t="shared" si="868"/>
        <v/>
      </c>
      <c r="AI666" s="66" t="str">
        <f t="shared" si="869"/>
        <v/>
      </c>
      <c r="AJ666" s="66" t="str">
        <f>+IF($W666="","",ROUND((AG666*Parámetros!$G$85),2))</f>
        <v/>
      </c>
      <c r="AK666" s="66" t="str">
        <f>+IF($W666="","",ROUND((AG666*(Parámetros!$G$86)),2))</f>
        <v/>
      </c>
      <c r="AL666" s="66" t="str">
        <f t="shared" si="863"/>
        <v/>
      </c>
      <c r="AM666" t="str">
        <f t="shared" si="911"/>
        <v/>
      </c>
      <c r="AN666" t="str">
        <f t="shared" si="912"/>
        <v/>
      </c>
      <c r="AO666" s="118" t="str">
        <f t="shared" si="913"/>
        <v/>
      </c>
      <c r="AP666" s="118" t="str">
        <f t="shared" si="914"/>
        <v/>
      </c>
      <c r="AQ666" s="119" t="str">
        <f>+IF(OR($W666="",AO666=0),"",ROUND((VLOOKUP(ROUNDDOWN($D666-1/frec,0),cob_adi,Z$40,FALSE)*(1+i/frec)^-0.5*(1+Parámetros!$D$103)*(1+rec_fracc)/frec),6))</f>
        <v/>
      </c>
      <c r="AR666" s="66" t="str">
        <f t="shared" si="870"/>
        <v/>
      </c>
      <c r="AS666" s="119" t="str">
        <f t="shared" si="871"/>
        <v/>
      </c>
      <c r="AT666" s="66" t="str">
        <f>+IF($W666="","",ROUND(IF($B666&gt;Parámetros!$D$107,'Tablas Servicio'!AR666+('Tablas Servicio'!AT665-'Tablas Servicio'!AR665),AR666/(1-IF(B666&lt;=10,Parámetros!$D$100,0))),2))</f>
        <v/>
      </c>
      <c r="AU666" s="66" t="str">
        <f t="shared" si="872"/>
        <v/>
      </c>
      <c r="AV666" s="66" t="str">
        <f t="shared" si="872"/>
        <v/>
      </c>
      <c r="AW666" s="66" t="str">
        <f>+IF($W666="","",ROUND((AT666*Parámetros!$G$85),2))</f>
        <v/>
      </c>
      <c r="AX666" s="66" t="str">
        <f>+IF($W666="","",ROUND((AT666*(Parámetros!$G$86)),2))</f>
        <v/>
      </c>
      <c r="AY666" s="66" t="str">
        <f t="shared" si="873"/>
        <v/>
      </c>
      <c r="AZ666" t="str">
        <f t="shared" si="915"/>
        <v/>
      </c>
      <c r="BA666" t="str">
        <f t="shared" si="916"/>
        <v/>
      </c>
      <c r="BB666" s="118" t="str">
        <f t="shared" si="917"/>
        <v/>
      </c>
      <c r="BC666" s="118" t="str">
        <f t="shared" si="918"/>
        <v/>
      </c>
      <c r="BD666" s="119" t="str">
        <f>+IF(OR($W666="",BB666=0),"",ROUND((VLOOKUP(ROUNDDOWN($D666-1/frec,0),cob_adi,AO$40,FALSE)*(1+i/frec)^-0.5*(1+Parámetros!$D$103)*(1+rec_fracc)/frec),6))</f>
        <v/>
      </c>
      <c r="BE666" s="66" t="str">
        <f t="shared" si="874"/>
        <v/>
      </c>
      <c r="BF666" s="119" t="str">
        <f t="shared" si="875"/>
        <v/>
      </c>
      <c r="BG666" s="66" t="str">
        <f>+IF($W666="","",ROUND(IF($B666&gt;Parámetros!$D$107,'Tablas Servicio'!BE666+('Tablas Servicio'!BG665-'Tablas Servicio'!BE665),BE666/(1-IF(B666&lt;=10,Parámetros!$D$100,0))),2))</f>
        <v/>
      </c>
      <c r="BH666" s="66" t="str">
        <f t="shared" si="876"/>
        <v/>
      </c>
      <c r="BI666" s="66" t="str">
        <f t="shared" si="877"/>
        <v/>
      </c>
      <c r="BJ666" s="66" t="str">
        <f>+IF($W666="","",ROUND((BG666*Parámetros!$G$85),2))</f>
        <v/>
      </c>
      <c r="BK666" s="66" t="str">
        <f>+IF($W666="","",ROUND((BG666*(Parámetros!$G$86)),2))</f>
        <v/>
      </c>
      <c r="BL666" s="66" t="str">
        <f t="shared" si="878"/>
        <v/>
      </c>
      <c r="BM666" t="str">
        <f t="shared" si="919"/>
        <v/>
      </c>
      <c r="BN666" t="str">
        <f t="shared" si="920"/>
        <v/>
      </c>
      <c r="BO666" s="118" t="str">
        <f t="shared" si="921"/>
        <v/>
      </c>
      <c r="BP666" s="118" t="str">
        <f t="shared" si="922"/>
        <v/>
      </c>
      <c r="BQ666" s="119" t="str">
        <f>+IF(OR($W666="",BO666=0),"",ROUND((VLOOKUP(ROUNDDOWN($D666-1/frec,0),cob_adi,BB$40,FALSE)*(1+i/frec)^-0.5*(1+Parámetros!$D$103)*(1+rec_fracc)/frec),6))</f>
        <v/>
      </c>
      <c r="BR666" s="66" t="str">
        <f t="shared" si="879"/>
        <v/>
      </c>
      <c r="BS666" s="119" t="str">
        <f t="shared" si="880"/>
        <v/>
      </c>
      <c r="BT666" s="66" t="str">
        <f>+IF($W666="","",ROUND(IF($B666&gt;Parámetros!$D$107,'Tablas Servicio'!BR666+('Tablas Servicio'!BT665-'Tablas Servicio'!BR665),BR666/(1-IF(B666&lt;=10,Parámetros!$D$100,0))),2))</f>
        <v/>
      </c>
      <c r="BU666" s="66" t="str">
        <f t="shared" si="881"/>
        <v/>
      </c>
      <c r="BV666" s="66" t="str">
        <f t="shared" si="881"/>
        <v/>
      </c>
      <c r="BW666" s="66" t="str">
        <f>+IF($W666="","",ROUND((BT666*Parámetros!$G$85),2))</f>
        <v/>
      </c>
      <c r="BX666" s="66" t="str">
        <f>+IF($W666="","",ROUND((BT666*(Parámetros!$G$86)),2))</f>
        <v/>
      </c>
      <c r="BY666" s="66" t="str">
        <f t="shared" si="882"/>
        <v/>
      </c>
      <c r="BZ666" t="str">
        <f t="shared" si="923"/>
        <v/>
      </c>
      <c r="CA666" t="str">
        <f t="shared" si="924"/>
        <v/>
      </c>
      <c r="CB666" s="118" t="str">
        <f t="shared" si="925"/>
        <v/>
      </c>
      <c r="CC666" s="118" t="str">
        <f t="shared" si="926"/>
        <v/>
      </c>
      <c r="CD666" s="119" t="str">
        <f t="shared" si="883"/>
        <v/>
      </c>
      <c r="CE666" s="66" t="str">
        <f>+IF($W666="","",ROUND((VLOOKUP(ROUNDDOWN($D666-1/frec,0),cob_adi,BO$40,FALSE)*(1+i/frec)^-0.5*(1+Parámetros!$D$103)*(1+rec_fracc)/frec*'TABLAS ADI'!$BC$17),2))</f>
        <v/>
      </c>
      <c r="CF666" s="119" t="str">
        <f t="shared" si="884"/>
        <v/>
      </c>
      <c r="CG666" s="66" t="str">
        <f>+IF($W666="","",ROUND(IF($B666&gt;Parámetros!$D$107,'Tablas Servicio'!CE666+('Tablas Servicio'!CG665-'Tablas Servicio'!CE665),CE666/(1-IF(B666&lt;=10,Parámetros!$D$100,0))),2))</f>
        <v/>
      </c>
      <c r="CH666" s="66" t="str">
        <f t="shared" si="885"/>
        <v/>
      </c>
      <c r="CI666" s="66" t="str">
        <f t="shared" si="885"/>
        <v/>
      </c>
      <c r="CJ666" s="66" t="str">
        <f>+IF($W666="","",ROUND((CG666*Parámetros!$G$85),2))</f>
        <v/>
      </c>
      <c r="CK666" s="66" t="str">
        <f>+IF($W666="","",ROUND((CG666*(Parámetros!$G$86)),2))</f>
        <v/>
      </c>
      <c r="CL666" s="66" t="str">
        <f t="shared" si="886"/>
        <v/>
      </c>
      <c r="CM666" t="str">
        <f t="shared" si="927"/>
        <v/>
      </c>
      <c r="CN666" s="118" t="str">
        <f t="shared" si="928"/>
        <v/>
      </c>
      <c r="CO666" s="118" t="str">
        <f t="shared" si="929"/>
        <v/>
      </c>
      <c r="CP666" s="118" t="str">
        <f t="shared" si="930"/>
        <v/>
      </c>
      <c r="CQ666" s="119" t="str">
        <f t="shared" si="887"/>
        <v/>
      </c>
      <c r="CR666" s="66" t="str">
        <f>+IF($W666="","",ROUND((VLOOKUP(Parámetros!$F$51,'COBERTURAS ADICIONALES'!$S$4:$T$32,2,FALSE)*(1+i/frec)^-0.5*(1+Parámetros!$D$103)*(1+rec_fracc)/frec*$CO$42),2))</f>
        <v/>
      </c>
      <c r="CS666" s="119" t="str">
        <f t="shared" si="888"/>
        <v/>
      </c>
      <c r="CT666" s="66" t="str">
        <f>+IF($W666="","",ROUND(IF($B666&gt;Parámetros!$D$107,'Tablas Servicio'!CR666+('Tablas Servicio'!CT665-'Tablas Servicio'!CR665),CR666/(1-IF(B666&lt;=10,Parámetros!$D$100,0))),2))</f>
        <v/>
      </c>
      <c r="CU666" s="66" t="str">
        <f t="shared" si="889"/>
        <v/>
      </c>
      <c r="CV666" s="66" t="str">
        <f t="shared" si="889"/>
        <v/>
      </c>
      <c r="CW666" s="66" t="str">
        <f>+IF($W666="","",ROUND((CT666*Parámetros!$G$85),2))</f>
        <v/>
      </c>
      <c r="CX666" s="66" t="str">
        <f>+IF($W666="","",ROUND((CT666*(Parámetros!$G$86)),2))</f>
        <v/>
      </c>
      <c r="CY666" s="66" t="str">
        <f t="shared" si="890"/>
        <v/>
      </c>
      <c r="CZ666" t="str">
        <f t="shared" si="931"/>
        <v/>
      </c>
      <c r="DA666" s="118" t="str">
        <f t="shared" si="932"/>
        <v/>
      </c>
      <c r="DB666" s="118" t="str">
        <f t="shared" si="933"/>
        <v/>
      </c>
      <c r="DC666" s="118" t="str">
        <f t="shared" si="934"/>
        <v/>
      </c>
      <c r="DD666" s="121" t="str">
        <f>+IF(OR($W666="",DB666=0),"",ROUND((VLOOKUP(ROUNDDOWN($D666-1/frec,0),cob_adi,CO$40,FALSE)*(1+i/frec)^-0.5*(1+Parámetros!$D$103)*(1+rec_fracc)/frec),6))</f>
        <v/>
      </c>
      <c r="DE666" s="66" t="str">
        <f t="shared" si="891"/>
        <v/>
      </c>
      <c r="DF666" s="119" t="str">
        <f t="shared" si="892"/>
        <v/>
      </c>
      <c r="DG666" s="66" t="str">
        <f>+IF($W666="","",ROUND(IF($B666&gt;Parámetros!$D$107,'Tablas Servicio'!DE666+('Tablas Servicio'!DG665-'Tablas Servicio'!DE665),DE666/(1-IF(B666&lt;=10,Parámetros!$D$100,0))),2))</f>
        <v/>
      </c>
      <c r="DH666" s="66" t="str">
        <f t="shared" si="893"/>
        <v/>
      </c>
      <c r="DI666" s="66" t="str">
        <f t="shared" si="893"/>
        <v/>
      </c>
      <c r="DJ666" s="66" t="str">
        <f>+IF($W666="","",ROUND((DG666*Parámetros!$G$85),2))</f>
        <v/>
      </c>
      <c r="DK666" s="66" t="str">
        <f>+IF($W666="","",ROUND((DG666*(Parámetros!$G$86)),2))</f>
        <v/>
      </c>
      <c r="DL666" s="66" t="str">
        <f t="shared" si="894"/>
        <v/>
      </c>
      <c r="DM666" t="str">
        <f t="shared" si="935"/>
        <v/>
      </c>
      <c r="DN666" s="118" t="str">
        <f t="shared" si="936"/>
        <v/>
      </c>
      <c r="DO666" s="118" t="str">
        <f t="shared" si="937"/>
        <v/>
      </c>
      <c r="DP666" s="118" t="str">
        <f t="shared" si="938"/>
        <v/>
      </c>
      <c r="DQ666" s="122" t="str">
        <f>+IF(OR($W666="",DO666=0),"",ROUND((VLOOKUP(ROUNDDOWN($D666-1/frec,0),cob_adi,DB$40,FALSE)*(1+i/frec)^-0.5*(1+Parámetros!$D$103)*(1+rec_fracc)/frec),6))</f>
        <v/>
      </c>
      <c r="DR666" s="66" t="str">
        <f t="shared" si="895"/>
        <v/>
      </c>
      <c r="DS666" s="68" t="str">
        <f t="shared" si="896"/>
        <v/>
      </c>
      <c r="DT666" s="66" t="str">
        <f>+IF($W666="","",ROUND(IF($B666&gt;Parámetros!$D$107,'Tablas Servicio'!DR666+('Tablas Servicio'!DT665-'Tablas Servicio'!DR665),DR666/(1-IF(B666&lt;=10,Parámetros!$D$100,0))),2))</f>
        <v/>
      </c>
      <c r="DU666" s="66" t="str">
        <f t="shared" si="897"/>
        <v/>
      </c>
      <c r="DV666" s="66" t="str">
        <f t="shared" si="897"/>
        <v/>
      </c>
      <c r="DW666" s="66" t="str">
        <f>+IF($W666="","",ROUND((DT666*Parámetros!$G$85),2))</f>
        <v/>
      </c>
      <c r="DX666" s="66" t="str">
        <f>+IF($W666="","",ROUND((DT666*(Parámetros!$G$86)),2))</f>
        <v/>
      </c>
      <c r="DY666" s="66" t="str">
        <f t="shared" si="898"/>
        <v/>
      </c>
      <c r="DZ666" t="str">
        <f t="shared" si="940"/>
        <v/>
      </c>
      <c r="EA666" s="118" t="str">
        <f t="shared" si="940"/>
        <v/>
      </c>
      <c r="EB666" s="118" t="str">
        <f>+IF($W666="","",ROUND(IF(Parámetros!$D$25='TABLAS MORT'!$V$33,EB665,Z666/2),0))</f>
        <v/>
      </c>
      <c r="EC666" s="118" t="str">
        <f t="shared" si="940"/>
        <v/>
      </c>
      <c r="ED666" s="122" t="str">
        <f>+IF(OR($W666="",EB666=0),"",ROUND((VLOOKUP(ROUNDDOWN($D666-1/frec,0),cob_adi,DO$40,FALSE)*(1+i/frec)^-0.5*(1+Parámetros!$D$103)*(1+rec_fracc)/frec),6))</f>
        <v/>
      </c>
      <c r="EE666" s="66" t="str">
        <f t="shared" si="900"/>
        <v/>
      </c>
      <c r="EF666" s="68" t="str">
        <f t="shared" si="901"/>
        <v/>
      </c>
      <c r="EG666" s="66" t="str">
        <f>+IF($W666="","",ROUND(IF($B666&gt;Parámetros!$D$107,'Tablas Servicio'!EE666+('Tablas Servicio'!EG665-'Tablas Servicio'!EE665),EE666/(1-IF(B666&lt;=10,Parámetros!$D$100,0))),2))</f>
        <v/>
      </c>
      <c r="EH666" s="66" t="str">
        <f t="shared" si="902"/>
        <v/>
      </c>
      <c r="EI666" s="66" t="str">
        <f t="shared" si="902"/>
        <v/>
      </c>
      <c r="EJ666" s="66" t="str">
        <f>+IF($W666="","",ROUND((EG666*Parámetros!$G$85),2))</f>
        <v/>
      </c>
      <c r="EK666" s="66" t="str">
        <f>+IF($W666="","",ROUND((EG666*(Parámetros!$G$86)),2))</f>
        <v/>
      </c>
      <c r="EL666" s="66" t="str">
        <f t="shared" si="903"/>
        <v/>
      </c>
    </row>
    <row r="667" spans="1:142" x14ac:dyDescent="0.25">
      <c r="A667" t="str">
        <f>+IF($C667="","",ROUND(VLOOKUP('Tablas Servicio'!B667,Parámetros!$H$100:$J$159,IF(Parámetros!$E$16="F",2,3),FALSE),2))</f>
        <v/>
      </c>
      <c r="B667" t="str">
        <f t="shared" si="854"/>
        <v/>
      </c>
      <c r="C667" s="57" t="str">
        <f>+IF(D667="","",'Tablas Servicio'!C666+1)</f>
        <v/>
      </c>
      <c r="D667" s="56" t="str">
        <f>+IF(D666&lt;edadmaxtabla,D666+1/Parámetros!$E$25,"")</f>
        <v/>
      </c>
      <c r="E667" s="57" t="str">
        <f t="shared" si="864"/>
        <v/>
      </c>
      <c r="F667" s="59" t="str">
        <f t="shared" si="865"/>
        <v/>
      </c>
      <c r="G667" s="66" t="str">
        <f t="shared" si="855"/>
        <v/>
      </c>
      <c r="H667" s="66" t="str">
        <f t="shared" si="856"/>
        <v/>
      </c>
      <c r="I667" s="66" t="str">
        <f t="shared" si="904"/>
        <v/>
      </c>
      <c r="J667" s="66" t="str">
        <f t="shared" si="857"/>
        <v/>
      </c>
      <c r="K667" s="66" t="str">
        <f t="shared" si="858"/>
        <v/>
      </c>
      <c r="L667" s="66" t="str">
        <f t="shared" si="859"/>
        <v/>
      </c>
      <c r="M667" s="66" t="str">
        <f t="shared" si="860"/>
        <v/>
      </c>
      <c r="N667" s="66" t="str">
        <f>+IF(C667="","",ROUND(Parámetros!$D$23,2))</f>
        <v/>
      </c>
      <c r="O667" s="66" t="str">
        <f t="shared" si="861"/>
        <v/>
      </c>
      <c r="P667" s="66" t="str">
        <f>+IF($C667="","",ROUND(IF(B667&gt;Parámetros!$D$117,0,N667*Parámetros!$D$116-G667*Parámetros!$D$100),2))</f>
        <v/>
      </c>
      <c r="Q667" s="75" t="str">
        <f t="shared" si="905"/>
        <v/>
      </c>
      <c r="R667" s="75" t="str">
        <f t="shared" si="906"/>
        <v/>
      </c>
      <c r="S667" s="117" t="str">
        <f>+IF($C667="","",ROUND((S666+I667)*(1+Parámetros!$D$91),2))</f>
        <v/>
      </c>
      <c r="T667" s="117" t="str">
        <f>+IF($C667="","",ROUND(S667*VLOOKUP(B667,Parámetros!$C$30:$D$39,2,TRUE),2))</f>
        <v/>
      </c>
      <c r="U667" s="117" t="str">
        <f>+IF($C667="","",ROUND((U666+I667)*(1+Parámetros!$D$92),2))</f>
        <v/>
      </c>
      <c r="V667" s="117" t="str">
        <f>+IF($C667="","",ROUND(U667*VLOOKUP(B667,Parámetros!$C$30:$D$39,2,TRUE),2))</f>
        <v/>
      </c>
      <c r="W667" s="57" t="str">
        <f t="shared" si="907"/>
        <v/>
      </c>
      <c r="X667" t="str">
        <f t="shared" si="908"/>
        <v/>
      </c>
      <c r="Y667" t="str">
        <f t="shared" si="909"/>
        <v/>
      </c>
      <c r="Z667" s="118" t="str">
        <f>+IF($W667="","",ROUND(IF(Parámetros!$D$25='TABLAS MORT'!$V$33,Z666,Parámetros!$D$21-'Tablas Servicio'!T666),0))</f>
        <v/>
      </c>
      <c r="AA667" s="118" t="str">
        <f t="shared" si="910"/>
        <v/>
      </c>
      <c r="AB667" s="119" t="str">
        <f>+IF(W667="","",ROUND((VLOOKUP(ROUNDDOWN($D667-1/frec,0),qx_tabla,2,FALSE)*(1+i/frec)^-0.5*(1+Parámetros!$D$103)*(1+rec_fracc)/frec),6))</f>
        <v/>
      </c>
      <c r="AC667" s="66" t="str">
        <f t="shared" si="866"/>
        <v/>
      </c>
      <c r="AD667" s="119" t="str">
        <f t="shared" si="862"/>
        <v/>
      </c>
      <c r="AE667" s="66" t="str">
        <f>+IF($W667="","",ROUND(IF($B667&gt;Parámetros!$D$107,'Tablas Servicio'!AC667+('Tablas Servicio'!AG666-'Tablas Servicio'!AC666),AC667/(1-IF(B667&lt;=10,Parámetros!$D$104,Parámetros!$D$105))),2))</f>
        <v/>
      </c>
      <c r="AF667" s="66" t="str">
        <f>+IF($W667="","",ROUND(IF($B667&gt;Parámetros!$D$107,'Tablas Servicio'!AC667+('Tablas Servicio'!AG666-'Tablas Servicio'!AC666),(AC667+$A666/frec)/(1-IF(B667&lt;=Parámetros!$D$117,Parámetros!$D$100,0))),2))</f>
        <v/>
      </c>
      <c r="AG667" s="66" t="str">
        <f t="shared" si="867"/>
        <v/>
      </c>
      <c r="AH667" s="66" t="str">
        <f t="shared" si="868"/>
        <v/>
      </c>
      <c r="AI667" s="66" t="str">
        <f t="shared" si="869"/>
        <v/>
      </c>
      <c r="AJ667" s="66" t="str">
        <f>+IF($W667="","",ROUND((AG667*Parámetros!$G$85),2))</f>
        <v/>
      </c>
      <c r="AK667" s="66" t="str">
        <f>+IF($W667="","",ROUND((AG667*(Parámetros!$G$86)),2))</f>
        <v/>
      </c>
      <c r="AL667" s="66" t="str">
        <f t="shared" si="863"/>
        <v/>
      </c>
      <c r="AM667" t="str">
        <f t="shared" si="911"/>
        <v/>
      </c>
      <c r="AN667" t="str">
        <f t="shared" si="912"/>
        <v/>
      </c>
      <c r="AO667" s="118" t="str">
        <f t="shared" si="913"/>
        <v/>
      </c>
      <c r="AP667" s="118" t="str">
        <f t="shared" si="914"/>
        <v/>
      </c>
      <c r="AQ667" s="119" t="str">
        <f>+IF(OR($W667="",AO667=0),"",ROUND((VLOOKUP(ROUNDDOWN($D667-1/frec,0),cob_adi,Z$40,FALSE)*(1+i/frec)^-0.5*(1+Parámetros!$D$103)*(1+rec_fracc)/frec),6))</f>
        <v/>
      </c>
      <c r="AR667" s="66" t="str">
        <f t="shared" si="870"/>
        <v/>
      </c>
      <c r="AS667" s="119" t="str">
        <f t="shared" si="871"/>
        <v/>
      </c>
      <c r="AT667" s="66" t="str">
        <f>+IF($W667="","",ROUND(IF($B667&gt;Parámetros!$D$107,'Tablas Servicio'!AR667+('Tablas Servicio'!AT666-'Tablas Servicio'!AR666),AR667/(1-IF(B667&lt;=10,Parámetros!$D$100,0))),2))</f>
        <v/>
      </c>
      <c r="AU667" s="66" t="str">
        <f t="shared" si="872"/>
        <v/>
      </c>
      <c r="AV667" s="66" t="str">
        <f t="shared" si="872"/>
        <v/>
      </c>
      <c r="AW667" s="66" t="str">
        <f>+IF($W667="","",ROUND((AT667*Parámetros!$G$85),2))</f>
        <v/>
      </c>
      <c r="AX667" s="66" t="str">
        <f>+IF($W667="","",ROUND((AT667*(Parámetros!$G$86)),2))</f>
        <v/>
      </c>
      <c r="AY667" s="66" t="str">
        <f t="shared" si="873"/>
        <v/>
      </c>
      <c r="AZ667" t="str">
        <f t="shared" si="915"/>
        <v/>
      </c>
      <c r="BA667" t="str">
        <f t="shared" si="916"/>
        <v/>
      </c>
      <c r="BB667" s="118" t="str">
        <f t="shared" si="917"/>
        <v/>
      </c>
      <c r="BC667" s="118" t="str">
        <f t="shared" si="918"/>
        <v/>
      </c>
      <c r="BD667" s="119" t="str">
        <f>+IF(OR($W667="",BB667=0),"",ROUND((VLOOKUP(ROUNDDOWN($D667-1/frec,0),cob_adi,AO$40,FALSE)*(1+i/frec)^-0.5*(1+Parámetros!$D$103)*(1+rec_fracc)/frec),6))</f>
        <v/>
      </c>
      <c r="BE667" s="66" t="str">
        <f t="shared" si="874"/>
        <v/>
      </c>
      <c r="BF667" s="119" t="str">
        <f t="shared" si="875"/>
        <v/>
      </c>
      <c r="BG667" s="66" t="str">
        <f>+IF($W667="","",ROUND(IF($B667&gt;Parámetros!$D$107,'Tablas Servicio'!BE667+('Tablas Servicio'!BG666-'Tablas Servicio'!BE666),BE667/(1-IF(B667&lt;=10,Parámetros!$D$100,0))),2))</f>
        <v/>
      </c>
      <c r="BH667" s="66" t="str">
        <f t="shared" si="876"/>
        <v/>
      </c>
      <c r="BI667" s="66" t="str">
        <f t="shared" si="877"/>
        <v/>
      </c>
      <c r="BJ667" s="66" t="str">
        <f>+IF($W667="","",ROUND((BG667*Parámetros!$G$85),2))</f>
        <v/>
      </c>
      <c r="BK667" s="66" t="str">
        <f>+IF($W667="","",ROUND((BG667*(Parámetros!$G$86)),2))</f>
        <v/>
      </c>
      <c r="BL667" s="66" t="str">
        <f t="shared" si="878"/>
        <v/>
      </c>
      <c r="BM667" t="str">
        <f t="shared" si="919"/>
        <v/>
      </c>
      <c r="BN667" t="str">
        <f t="shared" si="920"/>
        <v/>
      </c>
      <c r="BO667" s="118" t="str">
        <f t="shared" si="921"/>
        <v/>
      </c>
      <c r="BP667" s="118" t="str">
        <f t="shared" si="922"/>
        <v/>
      </c>
      <c r="BQ667" s="119" t="str">
        <f>+IF(OR($W667="",BO667=0),"",ROUND((VLOOKUP(ROUNDDOWN($D667-1/frec,0),cob_adi,BB$40,FALSE)*(1+i/frec)^-0.5*(1+Parámetros!$D$103)*(1+rec_fracc)/frec),6))</f>
        <v/>
      </c>
      <c r="BR667" s="66" t="str">
        <f t="shared" si="879"/>
        <v/>
      </c>
      <c r="BS667" s="119" t="str">
        <f t="shared" si="880"/>
        <v/>
      </c>
      <c r="BT667" s="66" t="str">
        <f>+IF($W667="","",ROUND(IF($B667&gt;Parámetros!$D$107,'Tablas Servicio'!BR667+('Tablas Servicio'!BT666-'Tablas Servicio'!BR666),BR667/(1-IF(B667&lt;=10,Parámetros!$D$100,0))),2))</f>
        <v/>
      </c>
      <c r="BU667" s="66" t="str">
        <f t="shared" si="881"/>
        <v/>
      </c>
      <c r="BV667" s="66" t="str">
        <f t="shared" si="881"/>
        <v/>
      </c>
      <c r="BW667" s="66" t="str">
        <f>+IF($W667="","",ROUND((BT667*Parámetros!$G$85),2))</f>
        <v/>
      </c>
      <c r="BX667" s="66" t="str">
        <f>+IF($W667="","",ROUND((BT667*(Parámetros!$G$86)),2))</f>
        <v/>
      </c>
      <c r="BY667" s="66" t="str">
        <f t="shared" si="882"/>
        <v/>
      </c>
      <c r="BZ667" t="str">
        <f t="shared" si="923"/>
        <v/>
      </c>
      <c r="CA667" t="str">
        <f t="shared" si="924"/>
        <v/>
      </c>
      <c r="CB667" s="118" t="str">
        <f t="shared" si="925"/>
        <v/>
      </c>
      <c r="CC667" s="118" t="str">
        <f t="shared" si="926"/>
        <v/>
      </c>
      <c r="CD667" s="119" t="str">
        <f t="shared" si="883"/>
        <v/>
      </c>
      <c r="CE667" s="66" t="str">
        <f>+IF($W667="","",ROUND((VLOOKUP(ROUNDDOWN($D667-1/frec,0),cob_adi,BO$40,FALSE)*(1+i/frec)^-0.5*(1+Parámetros!$D$103)*(1+rec_fracc)/frec*'TABLAS ADI'!$BC$17),2))</f>
        <v/>
      </c>
      <c r="CF667" s="119" t="str">
        <f t="shared" si="884"/>
        <v/>
      </c>
      <c r="CG667" s="66" t="str">
        <f>+IF($W667="","",ROUND(IF($B667&gt;Parámetros!$D$107,'Tablas Servicio'!CE667+('Tablas Servicio'!CG666-'Tablas Servicio'!CE666),CE667/(1-IF(B667&lt;=10,Parámetros!$D$100,0))),2))</f>
        <v/>
      </c>
      <c r="CH667" s="66" t="str">
        <f t="shared" si="885"/>
        <v/>
      </c>
      <c r="CI667" s="66" t="str">
        <f t="shared" si="885"/>
        <v/>
      </c>
      <c r="CJ667" s="66" t="str">
        <f>+IF($W667="","",ROUND((CG667*Parámetros!$G$85),2))</f>
        <v/>
      </c>
      <c r="CK667" s="66" t="str">
        <f>+IF($W667="","",ROUND((CG667*(Parámetros!$G$86)),2))</f>
        <v/>
      </c>
      <c r="CL667" s="66" t="str">
        <f t="shared" si="886"/>
        <v/>
      </c>
      <c r="CM667" t="str">
        <f t="shared" si="927"/>
        <v/>
      </c>
      <c r="CN667" s="118" t="str">
        <f t="shared" si="928"/>
        <v/>
      </c>
      <c r="CO667" s="118" t="str">
        <f t="shared" si="929"/>
        <v/>
      </c>
      <c r="CP667" s="118" t="str">
        <f t="shared" si="930"/>
        <v/>
      </c>
      <c r="CQ667" s="119" t="str">
        <f t="shared" si="887"/>
        <v/>
      </c>
      <c r="CR667" s="66" t="str">
        <f>+IF($W667="","",ROUND((VLOOKUP(Parámetros!$F$51,'COBERTURAS ADICIONALES'!$S$4:$T$32,2,FALSE)*(1+i/frec)^-0.5*(1+Parámetros!$D$103)*(1+rec_fracc)/frec*$CO$42),2))</f>
        <v/>
      </c>
      <c r="CS667" s="119" t="str">
        <f t="shared" si="888"/>
        <v/>
      </c>
      <c r="CT667" s="66" t="str">
        <f>+IF($W667="","",ROUND(IF($B667&gt;Parámetros!$D$107,'Tablas Servicio'!CR667+('Tablas Servicio'!CT666-'Tablas Servicio'!CR666),CR667/(1-IF(B667&lt;=10,Parámetros!$D$100,0))),2))</f>
        <v/>
      </c>
      <c r="CU667" s="66" t="str">
        <f t="shared" si="889"/>
        <v/>
      </c>
      <c r="CV667" s="66" t="str">
        <f t="shared" si="889"/>
        <v/>
      </c>
      <c r="CW667" s="66" t="str">
        <f>+IF($W667="","",ROUND((CT667*Parámetros!$G$85),2))</f>
        <v/>
      </c>
      <c r="CX667" s="66" t="str">
        <f>+IF($W667="","",ROUND((CT667*(Parámetros!$G$86)),2))</f>
        <v/>
      </c>
      <c r="CY667" s="66" t="str">
        <f t="shared" si="890"/>
        <v/>
      </c>
      <c r="CZ667" t="str">
        <f t="shared" si="931"/>
        <v/>
      </c>
      <c r="DA667" s="118" t="str">
        <f t="shared" si="932"/>
        <v/>
      </c>
      <c r="DB667" s="118" t="str">
        <f t="shared" si="933"/>
        <v/>
      </c>
      <c r="DC667" s="118" t="str">
        <f t="shared" si="934"/>
        <v/>
      </c>
      <c r="DD667" s="121" t="str">
        <f>+IF(OR($W667="",DB667=0),"",ROUND((VLOOKUP(ROUNDDOWN($D667-1/frec,0),cob_adi,CO$40,FALSE)*(1+i/frec)^-0.5*(1+Parámetros!$D$103)*(1+rec_fracc)/frec),6))</f>
        <v/>
      </c>
      <c r="DE667" s="66" t="str">
        <f t="shared" si="891"/>
        <v/>
      </c>
      <c r="DF667" s="119" t="str">
        <f t="shared" si="892"/>
        <v/>
      </c>
      <c r="DG667" s="66" t="str">
        <f>+IF($W667="","",ROUND(IF($B667&gt;Parámetros!$D$107,'Tablas Servicio'!DE667+('Tablas Servicio'!DG666-'Tablas Servicio'!DE666),DE667/(1-IF(B667&lt;=10,Parámetros!$D$100,0))),2))</f>
        <v/>
      </c>
      <c r="DH667" s="66" t="str">
        <f t="shared" si="893"/>
        <v/>
      </c>
      <c r="DI667" s="66" t="str">
        <f t="shared" si="893"/>
        <v/>
      </c>
      <c r="DJ667" s="66" t="str">
        <f>+IF($W667="","",ROUND((DG667*Parámetros!$G$85),2))</f>
        <v/>
      </c>
      <c r="DK667" s="66" t="str">
        <f>+IF($W667="","",ROUND((DG667*(Parámetros!$G$86)),2))</f>
        <v/>
      </c>
      <c r="DL667" s="66" t="str">
        <f t="shared" si="894"/>
        <v/>
      </c>
      <c r="DM667" t="str">
        <f t="shared" si="935"/>
        <v/>
      </c>
      <c r="DN667" s="118" t="str">
        <f t="shared" si="936"/>
        <v/>
      </c>
      <c r="DO667" s="118" t="str">
        <f t="shared" si="937"/>
        <v/>
      </c>
      <c r="DP667" s="118" t="str">
        <f t="shared" si="938"/>
        <v/>
      </c>
      <c r="DQ667" s="122" t="str">
        <f>+IF(OR($W667="",DO667=0),"",ROUND((VLOOKUP(ROUNDDOWN($D667-1/frec,0),cob_adi,DB$40,FALSE)*(1+i/frec)^-0.5*(1+Parámetros!$D$103)*(1+rec_fracc)/frec),6))</f>
        <v/>
      </c>
      <c r="DR667" s="66" t="str">
        <f t="shared" si="895"/>
        <v/>
      </c>
      <c r="DS667" s="68" t="str">
        <f t="shared" si="896"/>
        <v/>
      </c>
      <c r="DT667" s="66" t="str">
        <f>+IF($W667="","",ROUND(IF($B667&gt;Parámetros!$D$107,'Tablas Servicio'!DR667+('Tablas Servicio'!DT666-'Tablas Servicio'!DR666),DR667/(1-IF(B667&lt;=10,Parámetros!$D$100,0))),2))</f>
        <v/>
      </c>
      <c r="DU667" s="66" t="str">
        <f t="shared" si="897"/>
        <v/>
      </c>
      <c r="DV667" s="66" t="str">
        <f t="shared" si="897"/>
        <v/>
      </c>
      <c r="DW667" s="66" t="str">
        <f>+IF($W667="","",ROUND((DT667*Parámetros!$G$85),2))</f>
        <v/>
      </c>
      <c r="DX667" s="66" t="str">
        <f>+IF($W667="","",ROUND((DT667*(Parámetros!$G$86)),2))</f>
        <v/>
      </c>
      <c r="DY667" s="66" t="str">
        <f t="shared" si="898"/>
        <v/>
      </c>
      <c r="DZ667" t="str">
        <f t="shared" ref="DZ667:EC682" si="941">+IF($W667="","",DZ666)</f>
        <v/>
      </c>
      <c r="EA667" s="118" t="str">
        <f t="shared" si="941"/>
        <v/>
      </c>
      <c r="EB667" s="118" t="str">
        <f>+IF($W667="","",ROUND(IF(Parámetros!$D$25='TABLAS MORT'!$V$33,EB666,Z667/2),0))</f>
        <v/>
      </c>
      <c r="EC667" s="118" t="str">
        <f t="shared" si="941"/>
        <v/>
      </c>
      <c r="ED667" s="122" t="str">
        <f>+IF(OR($W667="",EB667=0),"",ROUND((VLOOKUP(ROUNDDOWN($D667-1/frec,0),cob_adi,DO$40,FALSE)*(1+i/frec)^-0.5*(1+Parámetros!$D$103)*(1+rec_fracc)/frec),6))</f>
        <v/>
      </c>
      <c r="EE667" s="66" t="str">
        <f t="shared" si="900"/>
        <v/>
      </c>
      <c r="EF667" s="68" t="str">
        <f t="shared" si="901"/>
        <v/>
      </c>
      <c r="EG667" s="66" t="str">
        <f>+IF($W667="","",ROUND(IF($B667&gt;Parámetros!$D$107,'Tablas Servicio'!EE667+('Tablas Servicio'!EG666-'Tablas Servicio'!EE666),EE667/(1-IF(B667&lt;=10,Parámetros!$D$100,0))),2))</f>
        <v/>
      </c>
      <c r="EH667" s="66" t="str">
        <f t="shared" si="902"/>
        <v/>
      </c>
      <c r="EI667" s="66" t="str">
        <f t="shared" si="902"/>
        <v/>
      </c>
      <c r="EJ667" s="66" t="str">
        <f>+IF($W667="","",ROUND((EG667*Parámetros!$G$85),2))</f>
        <v/>
      </c>
      <c r="EK667" s="66" t="str">
        <f>+IF($W667="","",ROUND((EG667*(Parámetros!$G$86)),2))</f>
        <v/>
      </c>
      <c r="EL667" s="66" t="str">
        <f t="shared" si="903"/>
        <v/>
      </c>
    </row>
    <row r="668" spans="1:142" x14ac:dyDescent="0.25">
      <c r="A668" t="str">
        <f>+IF($C668="","",ROUND(VLOOKUP('Tablas Servicio'!B668,Parámetros!$H$100:$J$159,IF(Parámetros!$E$16="F",2,3),FALSE),2))</f>
        <v/>
      </c>
      <c r="B668" t="str">
        <f t="shared" si="854"/>
        <v/>
      </c>
      <c r="C668" s="57" t="str">
        <f>+IF(D668="","",'Tablas Servicio'!C667+1)</f>
        <v/>
      </c>
      <c r="D668" s="56" t="str">
        <f>+IF(D667&lt;edadmaxtabla,D667+1/Parámetros!$E$25,"")</f>
        <v/>
      </c>
      <c r="E668" s="57" t="str">
        <f t="shared" si="864"/>
        <v/>
      </c>
      <c r="F668" s="59" t="str">
        <f t="shared" si="865"/>
        <v/>
      </c>
      <c r="G668" s="66" t="str">
        <f t="shared" si="855"/>
        <v/>
      </c>
      <c r="H668" s="66" t="str">
        <f t="shared" si="856"/>
        <v/>
      </c>
      <c r="I668" s="66" t="str">
        <f t="shared" si="904"/>
        <v/>
      </c>
      <c r="J668" s="66" t="str">
        <f t="shared" si="857"/>
        <v/>
      </c>
      <c r="K668" s="66" t="str">
        <f t="shared" si="858"/>
        <v/>
      </c>
      <c r="L668" s="66" t="str">
        <f t="shared" si="859"/>
        <v/>
      </c>
      <c r="M668" s="66" t="str">
        <f t="shared" si="860"/>
        <v/>
      </c>
      <c r="N668" s="66" t="str">
        <f>+IF(C668="","",ROUND(Parámetros!$D$23,2))</f>
        <v/>
      </c>
      <c r="O668" s="66" t="str">
        <f t="shared" si="861"/>
        <v/>
      </c>
      <c r="P668" s="66" t="str">
        <f>+IF($C668="","",ROUND(IF(B668&gt;Parámetros!$D$117,0,N668*Parámetros!$D$116-G668*Parámetros!$D$100),2))</f>
        <v/>
      </c>
      <c r="Q668" s="75" t="str">
        <f t="shared" si="905"/>
        <v/>
      </c>
      <c r="R668" s="75" t="str">
        <f t="shared" si="906"/>
        <v/>
      </c>
      <c r="S668" s="117" t="str">
        <f>+IF($C668="","",ROUND((S667+I668)*(1+Parámetros!$D$91),2))</f>
        <v/>
      </c>
      <c r="T668" s="117" t="str">
        <f>+IF($C668="","",ROUND(S668*VLOOKUP(B668,Parámetros!$C$30:$D$39,2,TRUE),2))</f>
        <v/>
      </c>
      <c r="U668" s="117" t="str">
        <f>+IF($C668="","",ROUND((U667+I668)*(1+Parámetros!$D$92),2))</f>
        <v/>
      </c>
      <c r="V668" s="117" t="str">
        <f>+IF($C668="","",ROUND(U668*VLOOKUP(B668,Parámetros!$C$30:$D$39,2,TRUE),2))</f>
        <v/>
      </c>
      <c r="W668" s="57" t="str">
        <f t="shared" si="907"/>
        <v/>
      </c>
      <c r="X668" t="str">
        <f t="shared" si="908"/>
        <v/>
      </c>
      <c r="Y668" t="str">
        <f t="shared" si="909"/>
        <v/>
      </c>
      <c r="Z668" s="118" t="str">
        <f>+IF($W668="","",ROUND(IF(Parámetros!$D$25='TABLAS MORT'!$V$33,Z667,Parámetros!$D$21-'Tablas Servicio'!T667),0))</f>
        <v/>
      </c>
      <c r="AA668" s="118" t="str">
        <f t="shared" si="910"/>
        <v/>
      </c>
      <c r="AB668" s="119" t="str">
        <f>+IF(W668="","",ROUND((VLOOKUP(ROUNDDOWN($D668-1/frec,0),qx_tabla,2,FALSE)*(1+i/frec)^-0.5*(1+Parámetros!$D$103)*(1+rec_fracc)/frec),6))</f>
        <v/>
      </c>
      <c r="AC668" s="66" t="str">
        <f t="shared" si="866"/>
        <v/>
      </c>
      <c r="AD668" s="119" t="str">
        <f t="shared" si="862"/>
        <v/>
      </c>
      <c r="AE668" s="66" t="str">
        <f>+IF($W668="","",ROUND(IF($B668&gt;Parámetros!$D$107,'Tablas Servicio'!AC668+('Tablas Servicio'!AG667-'Tablas Servicio'!AC667),AC668/(1-IF(B668&lt;=10,Parámetros!$D$104,Parámetros!$D$105))),2))</f>
        <v/>
      </c>
      <c r="AF668" s="66" t="str">
        <f>+IF($W668="","",ROUND(IF($B668&gt;Parámetros!$D$107,'Tablas Servicio'!AC668+('Tablas Servicio'!AG667-'Tablas Servicio'!AC667),(AC668+$A667/frec)/(1-IF(B668&lt;=Parámetros!$D$117,Parámetros!$D$100,0))),2))</f>
        <v/>
      </c>
      <c r="AG668" s="66" t="str">
        <f t="shared" si="867"/>
        <v/>
      </c>
      <c r="AH668" s="66" t="str">
        <f t="shared" si="868"/>
        <v/>
      </c>
      <c r="AI668" s="66" t="str">
        <f t="shared" si="869"/>
        <v/>
      </c>
      <c r="AJ668" s="66" t="str">
        <f>+IF($W668="","",ROUND((AG668*Parámetros!$G$85),2))</f>
        <v/>
      </c>
      <c r="AK668" s="66" t="str">
        <f>+IF($W668="","",ROUND((AG668*(Parámetros!$G$86)),2))</f>
        <v/>
      </c>
      <c r="AL668" s="66" t="str">
        <f t="shared" si="863"/>
        <v/>
      </c>
      <c r="AM668" t="str">
        <f t="shared" si="911"/>
        <v/>
      </c>
      <c r="AN668" t="str">
        <f t="shared" si="912"/>
        <v/>
      </c>
      <c r="AO668" s="118" t="str">
        <f t="shared" si="913"/>
        <v/>
      </c>
      <c r="AP668" s="118" t="str">
        <f t="shared" si="914"/>
        <v/>
      </c>
      <c r="AQ668" s="119" t="str">
        <f>+IF(OR($W668="",AO668=0),"",ROUND((VLOOKUP(ROUNDDOWN($D668-1/frec,0),cob_adi,Z$40,FALSE)*(1+i/frec)^-0.5*(1+Parámetros!$D$103)*(1+rec_fracc)/frec),6))</f>
        <v/>
      </c>
      <c r="AR668" s="66" t="str">
        <f t="shared" si="870"/>
        <v/>
      </c>
      <c r="AS668" s="119" t="str">
        <f t="shared" si="871"/>
        <v/>
      </c>
      <c r="AT668" s="66" t="str">
        <f>+IF($W668="","",ROUND(IF($B668&gt;Parámetros!$D$107,'Tablas Servicio'!AR668+('Tablas Servicio'!AT667-'Tablas Servicio'!AR667),AR668/(1-IF(B668&lt;=10,Parámetros!$D$100,0))),2))</f>
        <v/>
      </c>
      <c r="AU668" s="66" t="str">
        <f t="shared" si="872"/>
        <v/>
      </c>
      <c r="AV668" s="66" t="str">
        <f t="shared" si="872"/>
        <v/>
      </c>
      <c r="AW668" s="66" t="str">
        <f>+IF($W668="","",ROUND((AT668*Parámetros!$G$85),2))</f>
        <v/>
      </c>
      <c r="AX668" s="66" t="str">
        <f>+IF($W668="","",ROUND((AT668*(Parámetros!$G$86)),2))</f>
        <v/>
      </c>
      <c r="AY668" s="66" t="str">
        <f t="shared" si="873"/>
        <v/>
      </c>
      <c r="AZ668" t="str">
        <f t="shared" si="915"/>
        <v/>
      </c>
      <c r="BA668" t="str">
        <f t="shared" si="916"/>
        <v/>
      </c>
      <c r="BB668" s="118" t="str">
        <f t="shared" si="917"/>
        <v/>
      </c>
      <c r="BC668" s="118" t="str">
        <f t="shared" si="918"/>
        <v/>
      </c>
      <c r="BD668" s="119" t="str">
        <f>+IF(OR($W668="",BB668=0),"",ROUND((VLOOKUP(ROUNDDOWN($D668-1/frec,0),cob_adi,AO$40,FALSE)*(1+i/frec)^-0.5*(1+Parámetros!$D$103)*(1+rec_fracc)/frec),6))</f>
        <v/>
      </c>
      <c r="BE668" s="66" t="str">
        <f t="shared" si="874"/>
        <v/>
      </c>
      <c r="BF668" s="119" t="str">
        <f t="shared" si="875"/>
        <v/>
      </c>
      <c r="BG668" s="66" t="str">
        <f>+IF($W668="","",ROUND(IF($B668&gt;Parámetros!$D$107,'Tablas Servicio'!BE668+('Tablas Servicio'!BG667-'Tablas Servicio'!BE667),BE668/(1-IF(B668&lt;=10,Parámetros!$D$100,0))),2))</f>
        <v/>
      </c>
      <c r="BH668" s="66" t="str">
        <f t="shared" si="876"/>
        <v/>
      </c>
      <c r="BI668" s="66" t="str">
        <f t="shared" si="877"/>
        <v/>
      </c>
      <c r="BJ668" s="66" t="str">
        <f>+IF($W668="","",ROUND((BG668*Parámetros!$G$85),2))</f>
        <v/>
      </c>
      <c r="BK668" s="66" t="str">
        <f>+IF($W668="","",ROUND((BG668*(Parámetros!$G$86)),2))</f>
        <v/>
      </c>
      <c r="BL668" s="66" t="str">
        <f t="shared" si="878"/>
        <v/>
      </c>
      <c r="BM668" t="str">
        <f t="shared" si="919"/>
        <v/>
      </c>
      <c r="BN668" t="str">
        <f t="shared" si="920"/>
        <v/>
      </c>
      <c r="BO668" s="118" t="str">
        <f t="shared" si="921"/>
        <v/>
      </c>
      <c r="BP668" s="118" t="str">
        <f t="shared" si="922"/>
        <v/>
      </c>
      <c r="BQ668" s="119" t="str">
        <f>+IF(OR($W668="",BO668=0),"",ROUND((VLOOKUP(ROUNDDOWN($D668-1/frec,0),cob_adi,BB$40,FALSE)*(1+i/frec)^-0.5*(1+Parámetros!$D$103)*(1+rec_fracc)/frec),6))</f>
        <v/>
      </c>
      <c r="BR668" s="66" t="str">
        <f t="shared" si="879"/>
        <v/>
      </c>
      <c r="BS668" s="119" t="str">
        <f t="shared" si="880"/>
        <v/>
      </c>
      <c r="BT668" s="66" t="str">
        <f>+IF($W668="","",ROUND(IF($B668&gt;Parámetros!$D$107,'Tablas Servicio'!BR668+('Tablas Servicio'!BT667-'Tablas Servicio'!BR667),BR668/(1-IF(B668&lt;=10,Parámetros!$D$100,0))),2))</f>
        <v/>
      </c>
      <c r="BU668" s="66" t="str">
        <f t="shared" si="881"/>
        <v/>
      </c>
      <c r="BV668" s="66" t="str">
        <f t="shared" si="881"/>
        <v/>
      </c>
      <c r="BW668" s="66" t="str">
        <f>+IF($W668="","",ROUND((BT668*Parámetros!$G$85),2))</f>
        <v/>
      </c>
      <c r="BX668" s="66" t="str">
        <f>+IF($W668="","",ROUND((BT668*(Parámetros!$G$86)),2))</f>
        <v/>
      </c>
      <c r="BY668" s="66" t="str">
        <f t="shared" si="882"/>
        <v/>
      </c>
      <c r="BZ668" t="str">
        <f t="shared" si="923"/>
        <v/>
      </c>
      <c r="CA668" t="str">
        <f t="shared" si="924"/>
        <v/>
      </c>
      <c r="CB668" s="118" t="str">
        <f t="shared" si="925"/>
        <v/>
      </c>
      <c r="CC668" s="118" t="str">
        <f t="shared" si="926"/>
        <v/>
      </c>
      <c r="CD668" s="119" t="str">
        <f t="shared" si="883"/>
        <v/>
      </c>
      <c r="CE668" s="66" t="str">
        <f>+IF($W668="","",ROUND((VLOOKUP(ROUNDDOWN($D668-1/frec,0),cob_adi,BO$40,FALSE)*(1+i/frec)^-0.5*(1+Parámetros!$D$103)*(1+rec_fracc)/frec*'TABLAS ADI'!$BC$17),2))</f>
        <v/>
      </c>
      <c r="CF668" s="119" t="str">
        <f t="shared" si="884"/>
        <v/>
      </c>
      <c r="CG668" s="66" t="str">
        <f>+IF($W668="","",ROUND(IF($B668&gt;Parámetros!$D$107,'Tablas Servicio'!CE668+('Tablas Servicio'!CG667-'Tablas Servicio'!CE667),CE668/(1-IF(B668&lt;=10,Parámetros!$D$100,0))),2))</f>
        <v/>
      </c>
      <c r="CH668" s="66" t="str">
        <f t="shared" si="885"/>
        <v/>
      </c>
      <c r="CI668" s="66" t="str">
        <f t="shared" si="885"/>
        <v/>
      </c>
      <c r="CJ668" s="66" t="str">
        <f>+IF($W668="","",ROUND((CG668*Parámetros!$G$85),2))</f>
        <v/>
      </c>
      <c r="CK668" s="66" t="str">
        <f>+IF($W668="","",ROUND((CG668*(Parámetros!$G$86)),2))</f>
        <v/>
      </c>
      <c r="CL668" s="66" t="str">
        <f t="shared" si="886"/>
        <v/>
      </c>
      <c r="CM668" t="str">
        <f t="shared" si="927"/>
        <v/>
      </c>
      <c r="CN668" s="118" t="str">
        <f t="shared" si="928"/>
        <v/>
      </c>
      <c r="CO668" s="118" t="str">
        <f t="shared" si="929"/>
        <v/>
      </c>
      <c r="CP668" s="118" t="str">
        <f t="shared" si="930"/>
        <v/>
      </c>
      <c r="CQ668" s="119" t="str">
        <f t="shared" si="887"/>
        <v/>
      </c>
      <c r="CR668" s="66" t="str">
        <f>+IF($W668="","",ROUND((VLOOKUP(Parámetros!$F$51,'COBERTURAS ADICIONALES'!$S$4:$T$32,2,FALSE)*(1+i/frec)^-0.5*(1+Parámetros!$D$103)*(1+rec_fracc)/frec*$CO$42),2))</f>
        <v/>
      </c>
      <c r="CS668" s="119" t="str">
        <f t="shared" si="888"/>
        <v/>
      </c>
      <c r="CT668" s="66" t="str">
        <f>+IF($W668="","",ROUND(IF($B668&gt;Parámetros!$D$107,'Tablas Servicio'!CR668+('Tablas Servicio'!CT667-'Tablas Servicio'!CR667),CR668/(1-IF(B668&lt;=10,Parámetros!$D$100,0))),2))</f>
        <v/>
      </c>
      <c r="CU668" s="66" t="str">
        <f t="shared" si="889"/>
        <v/>
      </c>
      <c r="CV668" s="66" t="str">
        <f t="shared" si="889"/>
        <v/>
      </c>
      <c r="CW668" s="66" t="str">
        <f>+IF($W668="","",ROUND((CT668*Parámetros!$G$85),2))</f>
        <v/>
      </c>
      <c r="CX668" s="66" t="str">
        <f>+IF($W668="","",ROUND((CT668*(Parámetros!$G$86)),2))</f>
        <v/>
      </c>
      <c r="CY668" s="66" t="str">
        <f t="shared" si="890"/>
        <v/>
      </c>
      <c r="CZ668" t="str">
        <f t="shared" si="931"/>
        <v/>
      </c>
      <c r="DA668" s="118" t="str">
        <f t="shared" si="932"/>
        <v/>
      </c>
      <c r="DB668" s="118" t="str">
        <f t="shared" si="933"/>
        <v/>
      </c>
      <c r="DC668" s="118" t="str">
        <f t="shared" si="934"/>
        <v/>
      </c>
      <c r="DD668" s="121" t="str">
        <f>+IF(OR($W668="",DB668=0),"",ROUND((VLOOKUP(ROUNDDOWN($D668-1/frec,0),cob_adi,CO$40,FALSE)*(1+i/frec)^-0.5*(1+Parámetros!$D$103)*(1+rec_fracc)/frec),6))</f>
        <v/>
      </c>
      <c r="DE668" s="66" t="str">
        <f t="shared" si="891"/>
        <v/>
      </c>
      <c r="DF668" s="119" t="str">
        <f t="shared" si="892"/>
        <v/>
      </c>
      <c r="DG668" s="66" t="str">
        <f>+IF($W668="","",ROUND(IF($B668&gt;Parámetros!$D$107,'Tablas Servicio'!DE668+('Tablas Servicio'!DG667-'Tablas Servicio'!DE667),DE668/(1-IF(B668&lt;=10,Parámetros!$D$100,0))),2))</f>
        <v/>
      </c>
      <c r="DH668" s="66" t="str">
        <f t="shared" si="893"/>
        <v/>
      </c>
      <c r="DI668" s="66" t="str">
        <f t="shared" si="893"/>
        <v/>
      </c>
      <c r="DJ668" s="66" t="str">
        <f>+IF($W668="","",ROUND((DG668*Parámetros!$G$85),2))</f>
        <v/>
      </c>
      <c r="DK668" s="66" t="str">
        <f>+IF($W668="","",ROUND((DG668*(Parámetros!$G$86)),2))</f>
        <v/>
      </c>
      <c r="DL668" s="66" t="str">
        <f t="shared" si="894"/>
        <v/>
      </c>
      <c r="DM668" t="str">
        <f t="shared" si="935"/>
        <v/>
      </c>
      <c r="DN668" s="118" t="str">
        <f t="shared" si="936"/>
        <v/>
      </c>
      <c r="DO668" s="118" t="str">
        <f t="shared" si="937"/>
        <v/>
      </c>
      <c r="DP668" s="118" t="str">
        <f t="shared" si="938"/>
        <v/>
      </c>
      <c r="DQ668" s="122" t="str">
        <f>+IF(OR($W668="",DO668=0),"",ROUND((VLOOKUP(ROUNDDOWN($D668-1/frec,0),cob_adi,DB$40,FALSE)*(1+i/frec)^-0.5*(1+Parámetros!$D$103)*(1+rec_fracc)/frec),6))</f>
        <v/>
      </c>
      <c r="DR668" s="66" t="str">
        <f t="shared" si="895"/>
        <v/>
      </c>
      <c r="DS668" s="68" t="str">
        <f t="shared" si="896"/>
        <v/>
      </c>
      <c r="DT668" s="66" t="str">
        <f>+IF($W668="","",ROUND(IF($B668&gt;Parámetros!$D$107,'Tablas Servicio'!DR668+('Tablas Servicio'!DT667-'Tablas Servicio'!DR667),DR668/(1-IF(B668&lt;=10,Parámetros!$D$100,0))),2))</f>
        <v/>
      </c>
      <c r="DU668" s="66" t="str">
        <f t="shared" si="897"/>
        <v/>
      </c>
      <c r="DV668" s="66" t="str">
        <f t="shared" si="897"/>
        <v/>
      </c>
      <c r="DW668" s="66" t="str">
        <f>+IF($W668="","",ROUND((DT668*Parámetros!$G$85),2))</f>
        <v/>
      </c>
      <c r="DX668" s="66" t="str">
        <f>+IF($W668="","",ROUND((DT668*(Parámetros!$G$86)),2))</f>
        <v/>
      </c>
      <c r="DY668" s="66" t="str">
        <f t="shared" si="898"/>
        <v/>
      </c>
      <c r="DZ668" t="str">
        <f t="shared" si="941"/>
        <v/>
      </c>
      <c r="EA668" s="118" t="str">
        <f t="shared" si="941"/>
        <v/>
      </c>
      <c r="EB668" s="118" t="str">
        <f>+IF($W668="","",ROUND(IF(Parámetros!$D$25='TABLAS MORT'!$V$33,EB667,Z668/2),0))</f>
        <v/>
      </c>
      <c r="EC668" s="118" t="str">
        <f t="shared" si="941"/>
        <v/>
      </c>
      <c r="ED668" s="122" t="str">
        <f>+IF(OR($W668="",EB668=0),"",ROUND((VLOOKUP(ROUNDDOWN($D668-1/frec,0),cob_adi,DO$40,FALSE)*(1+i/frec)^-0.5*(1+Parámetros!$D$103)*(1+rec_fracc)/frec),6))</f>
        <v/>
      </c>
      <c r="EE668" s="66" t="str">
        <f t="shared" si="900"/>
        <v/>
      </c>
      <c r="EF668" s="68" t="str">
        <f t="shared" si="901"/>
        <v/>
      </c>
      <c r="EG668" s="66" t="str">
        <f>+IF($W668="","",ROUND(IF($B668&gt;Parámetros!$D$107,'Tablas Servicio'!EE668+('Tablas Servicio'!EG667-'Tablas Servicio'!EE667),EE668/(1-IF(B668&lt;=10,Parámetros!$D$100,0))),2))</f>
        <v/>
      </c>
      <c r="EH668" s="66" t="str">
        <f t="shared" si="902"/>
        <v/>
      </c>
      <c r="EI668" s="66" t="str">
        <f t="shared" si="902"/>
        <v/>
      </c>
      <c r="EJ668" s="66" t="str">
        <f>+IF($W668="","",ROUND((EG668*Parámetros!$G$85),2))</f>
        <v/>
      </c>
      <c r="EK668" s="66" t="str">
        <f>+IF($W668="","",ROUND((EG668*(Parámetros!$G$86)),2))</f>
        <v/>
      </c>
      <c r="EL668" s="66" t="str">
        <f t="shared" si="903"/>
        <v/>
      </c>
    </row>
    <row r="669" spans="1:142" x14ac:dyDescent="0.25">
      <c r="A669" t="str">
        <f>+IF($C669="","",ROUND(VLOOKUP('Tablas Servicio'!B669,Parámetros!$H$100:$J$159,IF(Parámetros!$E$16="F",2,3),FALSE),2))</f>
        <v/>
      </c>
      <c r="B669" t="str">
        <f t="shared" si="854"/>
        <v/>
      </c>
      <c r="C669" s="57" t="str">
        <f>+IF(D669="","",'Tablas Servicio'!C668+1)</f>
        <v/>
      </c>
      <c r="D669" s="56" t="str">
        <f>+IF(D668&lt;edadmaxtabla,D668+1/Parámetros!$E$25,"")</f>
        <v/>
      </c>
      <c r="E669" s="57" t="str">
        <f t="shared" si="864"/>
        <v/>
      </c>
      <c r="F669" s="59" t="str">
        <f t="shared" si="865"/>
        <v/>
      </c>
      <c r="G669" s="66" t="str">
        <f t="shared" si="855"/>
        <v/>
      </c>
      <c r="H669" s="66" t="str">
        <f t="shared" si="856"/>
        <v/>
      </c>
      <c r="I669" s="66" t="str">
        <f t="shared" si="904"/>
        <v/>
      </c>
      <c r="J669" s="66" t="str">
        <f t="shared" si="857"/>
        <v/>
      </c>
      <c r="K669" s="66" t="str">
        <f t="shared" si="858"/>
        <v/>
      </c>
      <c r="L669" s="66" t="str">
        <f t="shared" si="859"/>
        <v/>
      </c>
      <c r="M669" s="66" t="str">
        <f t="shared" si="860"/>
        <v/>
      </c>
      <c r="N669" s="66" t="str">
        <f>+IF(C669="","",ROUND(Parámetros!$D$23,2))</f>
        <v/>
      </c>
      <c r="O669" s="66" t="str">
        <f t="shared" si="861"/>
        <v/>
      </c>
      <c r="P669" s="66" t="str">
        <f>+IF($C669="","",ROUND(IF(B669&gt;Parámetros!$D$117,0,N669*Parámetros!$D$116-G669*Parámetros!$D$100),2))</f>
        <v/>
      </c>
      <c r="Q669" s="75" t="str">
        <f t="shared" si="905"/>
        <v/>
      </c>
      <c r="R669" s="75" t="str">
        <f t="shared" si="906"/>
        <v/>
      </c>
      <c r="S669" s="117" t="str">
        <f>+IF($C669="","",ROUND((S668+I669)*(1+Parámetros!$D$91),2))</f>
        <v/>
      </c>
      <c r="T669" s="117" t="str">
        <f>+IF($C669="","",ROUND(S669*VLOOKUP(B669,Parámetros!$C$30:$D$39,2,TRUE),2))</f>
        <v/>
      </c>
      <c r="U669" s="117" t="str">
        <f>+IF($C669="","",ROUND((U668+I669)*(1+Parámetros!$D$92),2))</f>
        <v/>
      </c>
      <c r="V669" s="117" t="str">
        <f>+IF($C669="","",ROUND(U669*VLOOKUP(B669,Parámetros!$C$30:$D$39,2,TRUE),2))</f>
        <v/>
      </c>
      <c r="W669" s="57" t="str">
        <f t="shared" si="907"/>
        <v/>
      </c>
      <c r="X669" t="str">
        <f t="shared" si="908"/>
        <v/>
      </c>
      <c r="Y669" t="str">
        <f t="shared" si="909"/>
        <v/>
      </c>
      <c r="Z669" s="118" t="str">
        <f>+IF($W669="","",ROUND(IF(Parámetros!$D$25='TABLAS MORT'!$V$33,Z668,Parámetros!$D$21-'Tablas Servicio'!T668),0))</f>
        <v/>
      </c>
      <c r="AA669" s="118" t="str">
        <f t="shared" si="910"/>
        <v/>
      </c>
      <c r="AB669" s="119" t="str">
        <f>+IF(W669="","",ROUND((VLOOKUP(ROUNDDOWN($D669-1/frec,0),qx_tabla,2,FALSE)*(1+i/frec)^-0.5*(1+Parámetros!$D$103)*(1+rec_fracc)/frec),6))</f>
        <v/>
      </c>
      <c r="AC669" s="66" t="str">
        <f t="shared" si="866"/>
        <v/>
      </c>
      <c r="AD669" s="119" t="str">
        <f t="shared" si="862"/>
        <v/>
      </c>
      <c r="AE669" s="66" t="str">
        <f>+IF($W669="","",ROUND(IF($B669&gt;Parámetros!$D$107,'Tablas Servicio'!AC669+('Tablas Servicio'!AG668-'Tablas Servicio'!AC668),AC669/(1-IF(B669&lt;=10,Parámetros!$D$104,Parámetros!$D$105))),2))</f>
        <v/>
      </c>
      <c r="AF669" s="66" t="str">
        <f>+IF($W669="","",ROUND(IF($B669&gt;Parámetros!$D$107,'Tablas Servicio'!AC669+('Tablas Servicio'!AG668-'Tablas Servicio'!AC668),(AC669+$A668/frec)/(1-IF(B669&lt;=Parámetros!$D$117,Parámetros!$D$100,0))),2))</f>
        <v/>
      </c>
      <c r="AG669" s="66" t="str">
        <f t="shared" si="867"/>
        <v/>
      </c>
      <c r="AH669" s="66" t="str">
        <f t="shared" si="868"/>
        <v/>
      </c>
      <c r="AI669" s="66" t="str">
        <f t="shared" si="869"/>
        <v/>
      </c>
      <c r="AJ669" s="66" t="str">
        <f>+IF($W669="","",ROUND((AG669*Parámetros!$G$85),2))</f>
        <v/>
      </c>
      <c r="AK669" s="66" t="str">
        <f>+IF($W669="","",ROUND((AG669*(Parámetros!$G$86)),2))</f>
        <v/>
      </c>
      <c r="AL669" s="66" t="str">
        <f t="shared" si="863"/>
        <v/>
      </c>
      <c r="AM669" t="str">
        <f t="shared" si="911"/>
        <v/>
      </c>
      <c r="AN669" t="str">
        <f t="shared" si="912"/>
        <v/>
      </c>
      <c r="AO669" s="118" t="str">
        <f t="shared" si="913"/>
        <v/>
      </c>
      <c r="AP669" s="118" t="str">
        <f t="shared" si="914"/>
        <v/>
      </c>
      <c r="AQ669" s="119" t="str">
        <f>+IF(OR($W669="",AO669=0),"",ROUND((VLOOKUP(ROUNDDOWN($D669-1/frec,0),cob_adi,Z$40,FALSE)*(1+i/frec)^-0.5*(1+Parámetros!$D$103)*(1+rec_fracc)/frec),6))</f>
        <v/>
      </c>
      <c r="AR669" s="66" t="str">
        <f t="shared" si="870"/>
        <v/>
      </c>
      <c r="AS669" s="119" t="str">
        <f t="shared" si="871"/>
        <v/>
      </c>
      <c r="AT669" s="66" t="str">
        <f>+IF($W669="","",ROUND(IF($B669&gt;Parámetros!$D$107,'Tablas Servicio'!AR669+('Tablas Servicio'!AT668-'Tablas Servicio'!AR668),AR669/(1-IF(B669&lt;=10,Parámetros!$D$100,0))),2))</f>
        <v/>
      </c>
      <c r="AU669" s="66" t="str">
        <f t="shared" si="872"/>
        <v/>
      </c>
      <c r="AV669" s="66" t="str">
        <f t="shared" si="872"/>
        <v/>
      </c>
      <c r="AW669" s="66" t="str">
        <f>+IF($W669="","",ROUND((AT669*Parámetros!$G$85),2))</f>
        <v/>
      </c>
      <c r="AX669" s="66" t="str">
        <f>+IF($W669="","",ROUND((AT669*(Parámetros!$G$86)),2))</f>
        <v/>
      </c>
      <c r="AY669" s="66" t="str">
        <f t="shared" si="873"/>
        <v/>
      </c>
      <c r="AZ669" t="str">
        <f t="shared" si="915"/>
        <v/>
      </c>
      <c r="BA669" t="str">
        <f t="shared" si="916"/>
        <v/>
      </c>
      <c r="BB669" s="118" t="str">
        <f t="shared" si="917"/>
        <v/>
      </c>
      <c r="BC669" s="118" t="str">
        <f t="shared" si="918"/>
        <v/>
      </c>
      <c r="BD669" s="119" t="str">
        <f>+IF(OR($W669="",BB669=0),"",ROUND((VLOOKUP(ROUNDDOWN($D669-1/frec,0),cob_adi,AO$40,FALSE)*(1+i/frec)^-0.5*(1+Parámetros!$D$103)*(1+rec_fracc)/frec),6))</f>
        <v/>
      </c>
      <c r="BE669" s="66" t="str">
        <f t="shared" si="874"/>
        <v/>
      </c>
      <c r="BF669" s="119" t="str">
        <f t="shared" si="875"/>
        <v/>
      </c>
      <c r="BG669" s="66" t="str">
        <f>+IF($W669="","",ROUND(IF($B669&gt;Parámetros!$D$107,'Tablas Servicio'!BE669+('Tablas Servicio'!BG668-'Tablas Servicio'!BE668),BE669/(1-IF(B669&lt;=10,Parámetros!$D$100,0))),2))</f>
        <v/>
      </c>
      <c r="BH669" s="66" t="str">
        <f t="shared" si="876"/>
        <v/>
      </c>
      <c r="BI669" s="66" t="str">
        <f t="shared" si="877"/>
        <v/>
      </c>
      <c r="BJ669" s="66" t="str">
        <f>+IF($W669="","",ROUND((BG669*Parámetros!$G$85),2))</f>
        <v/>
      </c>
      <c r="BK669" s="66" t="str">
        <f>+IF($W669="","",ROUND((BG669*(Parámetros!$G$86)),2))</f>
        <v/>
      </c>
      <c r="BL669" s="66" t="str">
        <f t="shared" si="878"/>
        <v/>
      </c>
      <c r="BM669" t="str">
        <f t="shared" si="919"/>
        <v/>
      </c>
      <c r="BN669" t="str">
        <f t="shared" si="920"/>
        <v/>
      </c>
      <c r="BO669" s="118" t="str">
        <f t="shared" si="921"/>
        <v/>
      </c>
      <c r="BP669" s="118" t="str">
        <f t="shared" si="922"/>
        <v/>
      </c>
      <c r="BQ669" s="119" t="str">
        <f>+IF(OR($W669="",BO669=0),"",ROUND((VLOOKUP(ROUNDDOWN($D669-1/frec,0),cob_adi,BB$40,FALSE)*(1+i/frec)^-0.5*(1+Parámetros!$D$103)*(1+rec_fracc)/frec),6))</f>
        <v/>
      </c>
      <c r="BR669" s="66" t="str">
        <f t="shared" si="879"/>
        <v/>
      </c>
      <c r="BS669" s="119" t="str">
        <f t="shared" si="880"/>
        <v/>
      </c>
      <c r="BT669" s="66" t="str">
        <f>+IF($W669="","",ROUND(IF($B669&gt;Parámetros!$D$107,'Tablas Servicio'!BR669+('Tablas Servicio'!BT668-'Tablas Servicio'!BR668),BR669/(1-IF(B669&lt;=10,Parámetros!$D$100,0))),2))</f>
        <v/>
      </c>
      <c r="BU669" s="66" t="str">
        <f t="shared" si="881"/>
        <v/>
      </c>
      <c r="BV669" s="66" t="str">
        <f t="shared" si="881"/>
        <v/>
      </c>
      <c r="BW669" s="66" t="str">
        <f>+IF($W669="","",ROUND((BT669*Parámetros!$G$85),2))</f>
        <v/>
      </c>
      <c r="BX669" s="66" t="str">
        <f>+IF($W669="","",ROUND((BT669*(Parámetros!$G$86)),2))</f>
        <v/>
      </c>
      <c r="BY669" s="66" t="str">
        <f t="shared" si="882"/>
        <v/>
      </c>
      <c r="BZ669" t="str">
        <f t="shared" si="923"/>
        <v/>
      </c>
      <c r="CA669" t="str">
        <f t="shared" si="924"/>
        <v/>
      </c>
      <c r="CB669" s="118" t="str">
        <f t="shared" si="925"/>
        <v/>
      </c>
      <c r="CC669" s="118" t="str">
        <f t="shared" si="926"/>
        <v/>
      </c>
      <c r="CD669" s="119" t="str">
        <f t="shared" si="883"/>
        <v/>
      </c>
      <c r="CE669" s="66" t="str">
        <f>+IF($W669="","",ROUND((VLOOKUP(ROUNDDOWN($D669-1/frec,0),cob_adi,BO$40,FALSE)*(1+i/frec)^-0.5*(1+Parámetros!$D$103)*(1+rec_fracc)/frec*'TABLAS ADI'!$BC$17),2))</f>
        <v/>
      </c>
      <c r="CF669" s="119" t="str">
        <f t="shared" si="884"/>
        <v/>
      </c>
      <c r="CG669" s="66" t="str">
        <f>+IF($W669="","",ROUND(IF($B669&gt;Parámetros!$D$107,'Tablas Servicio'!CE669+('Tablas Servicio'!CG668-'Tablas Servicio'!CE668),CE669/(1-IF(B669&lt;=10,Parámetros!$D$100,0))),2))</f>
        <v/>
      </c>
      <c r="CH669" s="66" t="str">
        <f t="shared" si="885"/>
        <v/>
      </c>
      <c r="CI669" s="66" t="str">
        <f t="shared" si="885"/>
        <v/>
      </c>
      <c r="CJ669" s="66" t="str">
        <f>+IF($W669="","",ROUND((CG669*Parámetros!$G$85),2))</f>
        <v/>
      </c>
      <c r="CK669" s="66" t="str">
        <f>+IF($W669="","",ROUND((CG669*(Parámetros!$G$86)),2))</f>
        <v/>
      </c>
      <c r="CL669" s="66" t="str">
        <f t="shared" si="886"/>
        <v/>
      </c>
      <c r="CM669" t="str">
        <f t="shared" si="927"/>
        <v/>
      </c>
      <c r="CN669" s="118" t="str">
        <f t="shared" si="928"/>
        <v/>
      </c>
      <c r="CO669" s="118" t="str">
        <f t="shared" si="929"/>
        <v/>
      </c>
      <c r="CP669" s="118" t="str">
        <f t="shared" si="930"/>
        <v/>
      </c>
      <c r="CQ669" s="119" t="str">
        <f t="shared" si="887"/>
        <v/>
      </c>
      <c r="CR669" s="66" t="str">
        <f>+IF($W669="","",ROUND((VLOOKUP(Parámetros!$F$51,'COBERTURAS ADICIONALES'!$S$4:$T$32,2,FALSE)*(1+i/frec)^-0.5*(1+Parámetros!$D$103)*(1+rec_fracc)/frec*$CO$42),2))</f>
        <v/>
      </c>
      <c r="CS669" s="119" t="str">
        <f t="shared" si="888"/>
        <v/>
      </c>
      <c r="CT669" s="66" t="str">
        <f>+IF($W669="","",ROUND(IF($B669&gt;Parámetros!$D$107,'Tablas Servicio'!CR669+('Tablas Servicio'!CT668-'Tablas Servicio'!CR668),CR669/(1-IF(B669&lt;=10,Parámetros!$D$100,0))),2))</f>
        <v/>
      </c>
      <c r="CU669" s="66" t="str">
        <f t="shared" si="889"/>
        <v/>
      </c>
      <c r="CV669" s="66" t="str">
        <f t="shared" si="889"/>
        <v/>
      </c>
      <c r="CW669" s="66" t="str">
        <f>+IF($W669="","",ROUND((CT669*Parámetros!$G$85),2))</f>
        <v/>
      </c>
      <c r="CX669" s="66" t="str">
        <f>+IF($W669="","",ROUND((CT669*(Parámetros!$G$86)),2))</f>
        <v/>
      </c>
      <c r="CY669" s="66" t="str">
        <f t="shared" si="890"/>
        <v/>
      </c>
      <c r="CZ669" t="str">
        <f t="shared" si="931"/>
        <v/>
      </c>
      <c r="DA669" s="118" t="str">
        <f t="shared" si="932"/>
        <v/>
      </c>
      <c r="DB669" s="118" t="str">
        <f t="shared" si="933"/>
        <v/>
      </c>
      <c r="DC669" s="118" t="str">
        <f t="shared" si="934"/>
        <v/>
      </c>
      <c r="DD669" s="121" t="str">
        <f>+IF(OR($W669="",DB669=0),"",ROUND((VLOOKUP(ROUNDDOWN($D669-1/frec,0),cob_adi,CO$40,FALSE)*(1+i/frec)^-0.5*(1+Parámetros!$D$103)*(1+rec_fracc)/frec),6))</f>
        <v/>
      </c>
      <c r="DE669" s="66" t="str">
        <f t="shared" si="891"/>
        <v/>
      </c>
      <c r="DF669" s="119" t="str">
        <f t="shared" si="892"/>
        <v/>
      </c>
      <c r="DG669" s="66" t="str">
        <f>+IF($W669="","",ROUND(IF($B669&gt;Parámetros!$D$107,'Tablas Servicio'!DE669+('Tablas Servicio'!DG668-'Tablas Servicio'!DE668),DE669/(1-IF(B669&lt;=10,Parámetros!$D$100,0))),2))</f>
        <v/>
      </c>
      <c r="DH669" s="66" t="str">
        <f t="shared" si="893"/>
        <v/>
      </c>
      <c r="DI669" s="66" t="str">
        <f t="shared" si="893"/>
        <v/>
      </c>
      <c r="DJ669" s="66" t="str">
        <f>+IF($W669="","",ROUND((DG669*Parámetros!$G$85),2))</f>
        <v/>
      </c>
      <c r="DK669" s="66" t="str">
        <f>+IF($W669="","",ROUND((DG669*(Parámetros!$G$86)),2))</f>
        <v/>
      </c>
      <c r="DL669" s="66" t="str">
        <f t="shared" si="894"/>
        <v/>
      </c>
      <c r="DM669" t="str">
        <f t="shared" si="935"/>
        <v/>
      </c>
      <c r="DN669" s="118" t="str">
        <f t="shared" si="936"/>
        <v/>
      </c>
      <c r="DO669" s="118" t="str">
        <f t="shared" si="937"/>
        <v/>
      </c>
      <c r="DP669" s="118" t="str">
        <f t="shared" si="938"/>
        <v/>
      </c>
      <c r="DQ669" s="122" t="str">
        <f>+IF(OR($W669="",DO669=0),"",ROUND((VLOOKUP(ROUNDDOWN($D669-1/frec,0),cob_adi,DB$40,FALSE)*(1+i/frec)^-0.5*(1+Parámetros!$D$103)*(1+rec_fracc)/frec),6))</f>
        <v/>
      </c>
      <c r="DR669" s="66" t="str">
        <f t="shared" si="895"/>
        <v/>
      </c>
      <c r="DS669" s="68" t="str">
        <f t="shared" si="896"/>
        <v/>
      </c>
      <c r="DT669" s="66" t="str">
        <f>+IF($W669="","",ROUND(IF($B669&gt;Parámetros!$D$107,'Tablas Servicio'!DR669+('Tablas Servicio'!DT668-'Tablas Servicio'!DR668),DR669/(1-IF(B669&lt;=10,Parámetros!$D$100,0))),2))</f>
        <v/>
      </c>
      <c r="DU669" s="66" t="str">
        <f t="shared" si="897"/>
        <v/>
      </c>
      <c r="DV669" s="66" t="str">
        <f t="shared" si="897"/>
        <v/>
      </c>
      <c r="DW669" s="66" t="str">
        <f>+IF($W669="","",ROUND((DT669*Parámetros!$G$85),2))</f>
        <v/>
      </c>
      <c r="DX669" s="66" t="str">
        <f>+IF($W669="","",ROUND((DT669*(Parámetros!$G$86)),2))</f>
        <v/>
      </c>
      <c r="DY669" s="66" t="str">
        <f t="shared" si="898"/>
        <v/>
      </c>
      <c r="DZ669" t="str">
        <f t="shared" si="941"/>
        <v/>
      </c>
      <c r="EA669" s="118" t="str">
        <f t="shared" si="941"/>
        <v/>
      </c>
      <c r="EB669" s="118" t="str">
        <f>+IF($W669="","",ROUND(IF(Parámetros!$D$25='TABLAS MORT'!$V$33,EB668,Z669/2),0))</f>
        <v/>
      </c>
      <c r="EC669" s="118" t="str">
        <f t="shared" si="941"/>
        <v/>
      </c>
      <c r="ED669" s="122" t="str">
        <f>+IF(OR($W669="",EB669=0),"",ROUND((VLOOKUP(ROUNDDOWN($D669-1/frec,0),cob_adi,DO$40,FALSE)*(1+i/frec)^-0.5*(1+Parámetros!$D$103)*(1+rec_fracc)/frec),6))</f>
        <v/>
      </c>
      <c r="EE669" s="66" t="str">
        <f t="shared" si="900"/>
        <v/>
      </c>
      <c r="EF669" s="68" t="str">
        <f t="shared" si="901"/>
        <v/>
      </c>
      <c r="EG669" s="66" t="str">
        <f>+IF($W669="","",ROUND(IF($B669&gt;Parámetros!$D$107,'Tablas Servicio'!EE669+('Tablas Servicio'!EG668-'Tablas Servicio'!EE668),EE669/(1-IF(B669&lt;=10,Parámetros!$D$100,0))),2))</f>
        <v/>
      </c>
      <c r="EH669" s="66" t="str">
        <f t="shared" si="902"/>
        <v/>
      </c>
      <c r="EI669" s="66" t="str">
        <f t="shared" si="902"/>
        <v/>
      </c>
      <c r="EJ669" s="66" t="str">
        <f>+IF($W669="","",ROUND((EG669*Parámetros!$G$85),2))</f>
        <v/>
      </c>
      <c r="EK669" s="66" t="str">
        <f>+IF($W669="","",ROUND((EG669*(Parámetros!$G$86)),2))</f>
        <v/>
      </c>
      <c r="EL669" s="66" t="str">
        <f t="shared" si="903"/>
        <v/>
      </c>
    </row>
    <row r="670" spans="1:142" x14ac:dyDescent="0.25">
      <c r="A670" t="str">
        <f>+IF($C670="","",ROUND(VLOOKUP('Tablas Servicio'!B670,Parámetros!$H$100:$J$159,IF(Parámetros!$E$16="F",2,3),FALSE),2))</f>
        <v/>
      </c>
      <c r="B670" t="str">
        <f t="shared" si="854"/>
        <v/>
      </c>
      <c r="C670" s="57" t="str">
        <f>+IF(D670="","",'Tablas Servicio'!C669+1)</f>
        <v/>
      </c>
      <c r="D670" s="56" t="str">
        <f>+IF(D669&lt;edadmaxtabla,D669+1/Parámetros!$E$25,"")</f>
        <v/>
      </c>
      <c r="E670" s="57" t="str">
        <f t="shared" si="864"/>
        <v/>
      </c>
      <c r="F670" s="59" t="str">
        <f t="shared" si="865"/>
        <v/>
      </c>
      <c r="G670" s="66" t="str">
        <f t="shared" si="855"/>
        <v/>
      </c>
      <c r="H670" s="66" t="str">
        <f t="shared" si="856"/>
        <v/>
      </c>
      <c r="I670" s="66" t="str">
        <f t="shared" si="904"/>
        <v/>
      </c>
      <c r="J670" s="66" t="str">
        <f t="shared" si="857"/>
        <v/>
      </c>
      <c r="K670" s="66" t="str">
        <f t="shared" si="858"/>
        <v/>
      </c>
      <c r="L670" s="66" t="str">
        <f t="shared" si="859"/>
        <v/>
      </c>
      <c r="M670" s="66" t="str">
        <f t="shared" si="860"/>
        <v/>
      </c>
      <c r="N670" s="66" t="str">
        <f>+IF(C670="","",ROUND(Parámetros!$D$23,2))</f>
        <v/>
      </c>
      <c r="O670" s="66" t="str">
        <f t="shared" si="861"/>
        <v/>
      </c>
      <c r="P670" s="66" t="str">
        <f>+IF($C670="","",ROUND(IF(B670&gt;Parámetros!$D$117,0,N670*Parámetros!$D$116-G670*Parámetros!$D$100),2))</f>
        <v/>
      </c>
      <c r="Q670" s="75" t="str">
        <f t="shared" si="905"/>
        <v/>
      </c>
      <c r="R670" s="75" t="str">
        <f t="shared" si="906"/>
        <v/>
      </c>
      <c r="S670" s="117" t="str">
        <f>+IF($C670="","",ROUND((S669+I670)*(1+Parámetros!$D$91),2))</f>
        <v/>
      </c>
      <c r="T670" s="117" t="str">
        <f>+IF($C670="","",ROUND(S670*VLOOKUP(B670,Parámetros!$C$30:$D$39,2,TRUE),2))</f>
        <v/>
      </c>
      <c r="U670" s="117" t="str">
        <f>+IF($C670="","",ROUND((U669+I670)*(1+Parámetros!$D$92),2))</f>
        <v/>
      </c>
      <c r="V670" s="117" t="str">
        <f>+IF($C670="","",ROUND(U670*VLOOKUP(B670,Parámetros!$C$30:$D$39,2,TRUE),2))</f>
        <v/>
      </c>
      <c r="W670" s="57" t="str">
        <f t="shared" si="907"/>
        <v/>
      </c>
      <c r="X670" t="str">
        <f t="shared" si="908"/>
        <v/>
      </c>
      <c r="Y670" t="str">
        <f t="shared" si="909"/>
        <v/>
      </c>
      <c r="Z670" s="118" t="str">
        <f>+IF($W670="","",ROUND(IF(Parámetros!$D$25='TABLAS MORT'!$V$33,Z669,Parámetros!$D$21-'Tablas Servicio'!T669),0))</f>
        <v/>
      </c>
      <c r="AA670" s="118" t="str">
        <f t="shared" si="910"/>
        <v/>
      </c>
      <c r="AB670" s="119" t="str">
        <f>+IF(W670="","",ROUND((VLOOKUP(ROUNDDOWN($D670-1/frec,0),qx_tabla,2,FALSE)*(1+i/frec)^-0.5*(1+Parámetros!$D$103)*(1+rec_fracc)/frec),6))</f>
        <v/>
      </c>
      <c r="AC670" s="66" t="str">
        <f t="shared" si="866"/>
        <v/>
      </c>
      <c r="AD670" s="119" t="str">
        <f t="shared" si="862"/>
        <v/>
      </c>
      <c r="AE670" s="66" t="str">
        <f>+IF($W670="","",ROUND(IF($B670&gt;Parámetros!$D$107,'Tablas Servicio'!AC670+('Tablas Servicio'!AG669-'Tablas Servicio'!AC669),AC670/(1-IF(B670&lt;=10,Parámetros!$D$104,Parámetros!$D$105))),2))</f>
        <v/>
      </c>
      <c r="AF670" s="66" t="str">
        <f>+IF($W670="","",ROUND(IF($B670&gt;Parámetros!$D$107,'Tablas Servicio'!AC670+('Tablas Servicio'!AG669-'Tablas Servicio'!AC669),(AC670+$A669/frec)/(1-IF(B670&lt;=Parámetros!$D$117,Parámetros!$D$100,0))),2))</f>
        <v/>
      </c>
      <c r="AG670" s="66" t="str">
        <f t="shared" si="867"/>
        <v/>
      </c>
      <c r="AH670" s="66" t="str">
        <f t="shared" si="868"/>
        <v/>
      </c>
      <c r="AI670" s="66" t="str">
        <f t="shared" si="869"/>
        <v/>
      </c>
      <c r="AJ670" s="66" t="str">
        <f>+IF($W670="","",ROUND((AG670*Parámetros!$G$85),2))</f>
        <v/>
      </c>
      <c r="AK670" s="66" t="str">
        <f>+IF($W670="","",ROUND((AG670*(Parámetros!$G$86)),2))</f>
        <v/>
      </c>
      <c r="AL670" s="66" t="str">
        <f t="shared" si="863"/>
        <v/>
      </c>
      <c r="AM670" t="str">
        <f t="shared" si="911"/>
        <v/>
      </c>
      <c r="AN670" t="str">
        <f t="shared" si="912"/>
        <v/>
      </c>
      <c r="AO670" s="118" t="str">
        <f t="shared" si="913"/>
        <v/>
      </c>
      <c r="AP670" s="118" t="str">
        <f t="shared" si="914"/>
        <v/>
      </c>
      <c r="AQ670" s="119" t="str">
        <f>+IF(OR($W670="",AO670=0),"",ROUND((VLOOKUP(ROUNDDOWN($D670-1/frec,0),cob_adi,Z$40,FALSE)*(1+i/frec)^-0.5*(1+Parámetros!$D$103)*(1+rec_fracc)/frec),6))</f>
        <v/>
      </c>
      <c r="AR670" s="66" t="str">
        <f t="shared" si="870"/>
        <v/>
      </c>
      <c r="AS670" s="119" t="str">
        <f t="shared" si="871"/>
        <v/>
      </c>
      <c r="AT670" s="66" t="str">
        <f>+IF($W670="","",ROUND(IF($B670&gt;Parámetros!$D$107,'Tablas Servicio'!AR670+('Tablas Servicio'!AT669-'Tablas Servicio'!AR669),AR670/(1-IF(B670&lt;=10,Parámetros!$D$100,0))),2))</f>
        <v/>
      </c>
      <c r="AU670" s="66" t="str">
        <f t="shared" si="872"/>
        <v/>
      </c>
      <c r="AV670" s="66" t="str">
        <f t="shared" si="872"/>
        <v/>
      </c>
      <c r="AW670" s="66" t="str">
        <f>+IF($W670="","",ROUND((AT670*Parámetros!$G$85),2))</f>
        <v/>
      </c>
      <c r="AX670" s="66" t="str">
        <f>+IF($W670="","",ROUND((AT670*(Parámetros!$G$86)),2))</f>
        <v/>
      </c>
      <c r="AY670" s="66" t="str">
        <f t="shared" si="873"/>
        <v/>
      </c>
      <c r="AZ670" t="str">
        <f t="shared" si="915"/>
        <v/>
      </c>
      <c r="BA670" t="str">
        <f t="shared" si="916"/>
        <v/>
      </c>
      <c r="BB670" s="118" t="str">
        <f t="shared" si="917"/>
        <v/>
      </c>
      <c r="BC670" s="118" t="str">
        <f t="shared" si="918"/>
        <v/>
      </c>
      <c r="BD670" s="119" t="str">
        <f>+IF(OR($W670="",BB670=0),"",ROUND((VLOOKUP(ROUNDDOWN($D670-1/frec,0),cob_adi,AO$40,FALSE)*(1+i/frec)^-0.5*(1+Parámetros!$D$103)*(1+rec_fracc)/frec),6))</f>
        <v/>
      </c>
      <c r="BE670" s="66" t="str">
        <f t="shared" si="874"/>
        <v/>
      </c>
      <c r="BF670" s="119" t="str">
        <f t="shared" si="875"/>
        <v/>
      </c>
      <c r="BG670" s="66" t="str">
        <f>+IF($W670="","",ROUND(IF($B670&gt;Parámetros!$D$107,'Tablas Servicio'!BE670+('Tablas Servicio'!BG669-'Tablas Servicio'!BE669),BE670/(1-IF(B670&lt;=10,Parámetros!$D$100,0))),2))</f>
        <v/>
      </c>
      <c r="BH670" s="66" t="str">
        <f t="shared" si="876"/>
        <v/>
      </c>
      <c r="BI670" s="66" t="str">
        <f t="shared" si="877"/>
        <v/>
      </c>
      <c r="BJ670" s="66" t="str">
        <f>+IF($W670="","",ROUND((BG670*Parámetros!$G$85),2))</f>
        <v/>
      </c>
      <c r="BK670" s="66" t="str">
        <f>+IF($W670="","",ROUND((BG670*(Parámetros!$G$86)),2))</f>
        <v/>
      </c>
      <c r="BL670" s="66" t="str">
        <f t="shared" si="878"/>
        <v/>
      </c>
      <c r="BM670" t="str">
        <f t="shared" si="919"/>
        <v/>
      </c>
      <c r="BN670" t="str">
        <f t="shared" si="920"/>
        <v/>
      </c>
      <c r="BO670" s="118" t="str">
        <f t="shared" si="921"/>
        <v/>
      </c>
      <c r="BP670" s="118" t="str">
        <f t="shared" si="922"/>
        <v/>
      </c>
      <c r="BQ670" s="119" t="str">
        <f>+IF(OR($W670="",BO670=0),"",ROUND((VLOOKUP(ROUNDDOWN($D670-1/frec,0),cob_adi,BB$40,FALSE)*(1+i/frec)^-0.5*(1+Parámetros!$D$103)*(1+rec_fracc)/frec),6))</f>
        <v/>
      </c>
      <c r="BR670" s="66" t="str">
        <f t="shared" si="879"/>
        <v/>
      </c>
      <c r="BS670" s="119" t="str">
        <f t="shared" si="880"/>
        <v/>
      </c>
      <c r="BT670" s="66" t="str">
        <f>+IF($W670="","",ROUND(IF($B670&gt;Parámetros!$D$107,'Tablas Servicio'!BR670+('Tablas Servicio'!BT669-'Tablas Servicio'!BR669),BR670/(1-IF(B670&lt;=10,Parámetros!$D$100,0))),2))</f>
        <v/>
      </c>
      <c r="BU670" s="66" t="str">
        <f t="shared" si="881"/>
        <v/>
      </c>
      <c r="BV670" s="66" t="str">
        <f t="shared" si="881"/>
        <v/>
      </c>
      <c r="BW670" s="66" t="str">
        <f>+IF($W670="","",ROUND((BT670*Parámetros!$G$85),2))</f>
        <v/>
      </c>
      <c r="BX670" s="66" t="str">
        <f>+IF($W670="","",ROUND((BT670*(Parámetros!$G$86)),2))</f>
        <v/>
      </c>
      <c r="BY670" s="66" t="str">
        <f t="shared" si="882"/>
        <v/>
      </c>
      <c r="BZ670" t="str">
        <f t="shared" si="923"/>
        <v/>
      </c>
      <c r="CA670" t="str">
        <f t="shared" si="924"/>
        <v/>
      </c>
      <c r="CB670" s="118" t="str">
        <f t="shared" si="925"/>
        <v/>
      </c>
      <c r="CC670" s="118" t="str">
        <f t="shared" si="926"/>
        <v/>
      </c>
      <c r="CD670" s="119" t="str">
        <f t="shared" si="883"/>
        <v/>
      </c>
      <c r="CE670" s="66" t="str">
        <f>+IF($W670="","",ROUND((VLOOKUP(ROUNDDOWN($D670-1/frec,0),cob_adi,BO$40,FALSE)*(1+i/frec)^-0.5*(1+Parámetros!$D$103)*(1+rec_fracc)/frec*'TABLAS ADI'!$BC$17),2))</f>
        <v/>
      </c>
      <c r="CF670" s="119" t="str">
        <f t="shared" si="884"/>
        <v/>
      </c>
      <c r="CG670" s="66" t="str">
        <f>+IF($W670="","",ROUND(IF($B670&gt;Parámetros!$D$107,'Tablas Servicio'!CE670+('Tablas Servicio'!CG669-'Tablas Servicio'!CE669),CE670/(1-IF(B670&lt;=10,Parámetros!$D$100,0))),2))</f>
        <v/>
      </c>
      <c r="CH670" s="66" t="str">
        <f t="shared" si="885"/>
        <v/>
      </c>
      <c r="CI670" s="66" t="str">
        <f t="shared" si="885"/>
        <v/>
      </c>
      <c r="CJ670" s="66" t="str">
        <f>+IF($W670="","",ROUND((CG670*Parámetros!$G$85),2))</f>
        <v/>
      </c>
      <c r="CK670" s="66" t="str">
        <f>+IF($W670="","",ROUND((CG670*(Parámetros!$G$86)),2))</f>
        <v/>
      </c>
      <c r="CL670" s="66" t="str">
        <f t="shared" si="886"/>
        <v/>
      </c>
      <c r="CM670" t="str">
        <f t="shared" si="927"/>
        <v/>
      </c>
      <c r="CN670" s="118" t="str">
        <f t="shared" si="928"/>
        <v/>
      </c>
      <c r="CO670" s="118" t="str">
        <f t="shared" si="929"/>
        <v/>
      </c>
      <c r="CP670" s="118" t="str">
        <f t="shared" si="930"/>
        <v/>
      </c>
      <c r="CQ670" s="119" t="str">
        <f t="shared" si="887"/>
        <v/>
      </c>
      <c r="CR670" s="66" t="str">
        <f>+IF($W670="","",ROUND((VLOOKUP(Parámetros!$F$51,'COBERTURAS ADICIONALES'!$S$4:$T$32,2,FALSE)*(1+i/frec)^-0.5*(1+Parámetros!$D$103)*(1+rec_fracc)/frec*$CO$42),2))</f>
        <v/>
      </c>
      <c r="CS670" s="119" t="str">
        <f t="shared" si="888"/>
        <v/>
      </c>
      <c r="CT670" s="66" t="str">
        <f>+IF($W670="","",ROUND(IF($B670&gt;Parámetros!$D$107,'Tablas Servicio'!CR670+('Tablas Servicio'!CT669-'Tablas Servicio'!CR669),CR670/(1-IF(B670&lt;=10,Parámetros!$D$100,0))),2))</f>
        <v/>
      </c>
      <c r="CU670" s="66" t="str">
        <f t="shared" si="889"/>
        <v/>
      </c>
      <c r="CV670" s="66" t="str">
        <f t="shared" si="889"/>
        <v/>
      </c>
      <c r="CW670" s="66" t="str">
        <f>+IF($W670="","",ROUND((CT670*Parámetros!$G$85),2))</f>
        <v/>
      </c>
      <c r="CX670" s="66" t="str">
        <f>+IF($W670="","",ROUND((CT670*(Parámetros!$G$86)),2))</f>
        <v/>
      </c>
      <c r="CY670" s="66" t="str">
        <f t="shared" si="890"/>
        <v/>
      </c>
      <c r="CZ670" t="str">
        <f t="shared" si="931"/>
        <v/>
      </c>
      <c r="DA670" s="118" t="str">
        <f t="shared" si="932"/>
        <v/>
      </c>
      <c r="DB670" s="118" t="str">
        <f t="shared" si="933"/>
        <v/>
      </c>
      <c r="DC670" s="118" t="str">
        <f t="shared" si="934"/>
        <v/>
      </c>
      <c r="DD670" s="121" t="str">
        <f>+IF(OR($W670="",DB670=0),"",ROUND((VLOOKUP(ROUNDDOWN($D670-1/frec,0),cob_adi,CO$40,FALSE)*(1+i/frec)^-0.5*(1+Parámetros!$D$103)*(1+rec_fracc)/frec),6))</f>
        <v/>
      </c>
      <c r="DE670" s="66" t="str">
        <f t="shared" si="891"/>
        <v/>
      </c>
      <c r="DF670" s="119" t="str">
        <f t="shared" si="892"/>
        <v/>
      </c>
      <c r="DG670" s="66" t="str">
        <f>+IF($W670="","",ROUND(IF($B670&gt;Parámetros!$D$107,'Tablas Servicio'!DE670+('Tablas Servicio'!DG669-'Tablas Servicio'!DE669),DE670/(1-IF(B670&lt;=10,Parámetros!$D$100,0))),2))</f>
        <v/>
      </c>
      <c r="DH670" s="66" t="str">
        <f t="shared" si="893"/>
        <v/>
      </c>
      <c r="DI670" s="66" t="str">
        <f t="shared" si="893"/>
        <v/>
      </c>
      <c r="DJ670" s="66" t="str">
        <f>+IF($W670="","",ROUND((DG670*Parámetros!$G$85),2))</f>
        <v/>
      </c>
      <c r="DK670" s="66" t="str">
        <f>+IF($W670="","",ROUND((DG670*(Parámetros!$G$86)),2))</f>
        <v/>
      </c>
      <c r="DL670" s="66" t="str">
        <f t="shared" si="894"/>
        <v/>
      </c>
      <c r="DM670" t="str">
        <f t="shared" si="935"/>
        <v/>
      </c>
      <c r="DN670" s="118" t="str">
        <f t="shared" si="936"/>
        <v/>
      </c>
      <c r="DO670" s="118" t="str">
        <f t="shared" si="937"/>
        <v/>
      </c>
      <c r="DP670" s="118" t="str">
        <f t="shared" si="938"/>
        <v/>
      </c>
      <c r="DQ670" s="122" t="str">
        <f>+IF(OR($W670="",DO670=0),"",ROUND((VLOOKUP(ROUNDDOWN($D670-1/frec,0),cob_adi,DB$40,FALSE)*(1+i/frec)^-0.5*(1+Parámetros!$D$103)*(1+rec_fracc)/frec),6))</f>
        <v/>
      </c>
      <c r="DR670" s="66" t="str">
        <f t="shared" si="895"/>
        <v/>
      </c>
      <c r="DS670" s="68" t="str">
        <f t="shared" si="896"/>
        <v/>
      </c>
      <c r="DT670" s="66" t="str">
        <f>+IF($W670="","",ROUND(IF($B670&gt;Parámetros!$D$107,'Tablas Servicio'!DR670+('Tablas Servicio'!DT669-'Tablas Servicio'!DR669),DR670/(1-IF(B670&lt;=10,Parámetros!$D$100,0))),2))</f>
        <v/>
      </c>
      <c r="DU670" s="66" t="str">
        <f t="shared" si="897"/>
        <v/>
      </c>
      <c r="DV670" s="66" t="str">
        <f t="shared" si="897"/>
        <v/>
      </c>
      <c r="DW670" s="66" t="str">
        <f>+IF($W670="","",ROUND((DT670*Parámetros!$G$85),2))</f>
        <v/>
      </c>
      <c r="DX670" s="66" t="str">
        <f>+IF($W670="","",ROUND((DT670*(Parámetros!$G$86)),2))</f>
        <v/>
      </c>
      <c r="DY670" s="66" t="str">
        <f t="shared" si="898"/>
        <v/>
      </c>
      <c r="DZ670" t="str">
        <f t="shared" si="941"/>
        <v/>
      </c>
      <c r="EA670" s="118" t="str">
        <f t="shared" si="941"/>
        <v/>
      </c>
      <c r="EB670" s="118" t="str">
        <f>+IF($W670="","",ROUND(IF(Parámetros!$D$25='TABLAS MORT'!$V$33,EB669,Z670/2),0))</f>
        <v/>
      </c>
      <c r="EC670" s="118" t="str">
        <f t="shared" si="941"/>
        <v/>
      </c>
      <c r="ED670" s="122" t="str">
        <f>+IF(OR($W670="",EB670=0),"",ROUND((VLOOKUP(ROUNDDOWN($D670-1/frec,0),cob_adi,DO$40,FALSE)*(1+i/frec)^-0.5*(1+Parámetros!$D$103)*(1+rec_fracc)/frec),6))</f>
        <v/>
      </c>
      <c r="EE670" s="66" t="str">
        <f t="shared" si="900"/>
        <v/>
      </c>
      <c r="EF670" s="68" t="str">
        <f t="shared" si="901"/>
        <v/>
      </c>
      <c r="EG670" s="66" t="str">
        <f>+IF($W670="","",ROUND(IF($B670&gt;Parámetros!$D$107,'Tablas Servicio'!EE670+('Tablas Servicio'!EG669-'Tablas Servicio'!EE669),EE670/(1-IF(B670&lt;=10,Parámetros!$D$100,0))),2))</f>
        <v/>
      </c>
      <c r="EH670" s="66" t="str">
        <f t="shared" si="902"/>
        <v/>
      </c>
      <c r="EI670" s="66" t="str">
        <f t="shared" si="902"/>
        <v/>
      </c>
      <c r="EJ670" s="66" t="str">
        <f>+IF($W670="","",ROUND((EG670*Parámetros!$G$85),2))</f>
        <v/>
      </c>
      <c r="EK670" s="66" t="str">
        <f>+IF($W670="","",ROUND((EG670*(Parámetros!$G$86)),2))</f>
        <v/>
      </c>
      <c r="EL670" s="66" t="str">
        <f t="shared" si="903"/>
        <v/>
      </c>
    </row>
    <row r="671" spans="1:142" x14ac:dyDescent="0.25">
      <c r="A671" t="str">
        <f>+IF($C671="","",ROUND(VLOOKUP('Tablas Servicio'!B671,Parámetros!$H$100:$J$159,IF(Parámetros!$E$16="F",2,3),FALSE),2))</f>
        <v/>
      </c>
      <c r="B671" t="str">
        <f t="shared" si="854"/>
        <v/>
      </c>
      <c r="C671" s="57" t="str">
        <f>+IF(D671="","",'Tablas Servicio'!C670+1)</f>
        <v/>
      </c>
      <c r="D671" s="56" t="str">
        <f>+IF(D670&lt;edadmaxtabla,D670+1/Parámetros!$E$25,"")</f>
        <v/>
      </c>
      <c r="E671" s="57" t="str">
        <f t="shared" si="864"/>
        <v/>
      </c>
      <c r="F671" s="59" t="str">
        <f t="shared" si="865"/>
        <v/>
      </c>
      <c r="G671" s="66" t="str">
        <f t="shared" si="855"/>
        <v/>
      </c>
      <c r="H671" s="66" t="str">
        <f t="shared" si="856"/>
        <v/>
      </c>
      <c r="I671" s="66" t="str">
        <f t="shared" si="904"/>
        <v/>
      </c>
      <c r="J671" s="66" t="str">
        <f t="shared" si="857"/>
        <v/>
      </c>
      <c r="K671" s="66" t="str">
        <f t="shared" si="858"/>
        <v/>
      </c>
      <c r="L671" s="66" t="str">
        <f t="shared" si="859"/>
        <v/>
      </c>
      <c r="M671" s="66" t="str">
        <f t="shared" si="860"/>
        <v/>
      </c>
      <c r="N671" s="66" t="str">
        <f>+IF(C671="","",ROUND(Parámetros!$D$23,2))</f>
        <v/>
      </c>
      <c r="O671" s="66" t="str">
        <f t="shared" si="861"/>
        <v/>
      </c>
      <c r="P671" s="66" t="str">
        <f>+IF($C671="","",ROUND(IF(B671&gt;Parámetros!$D$117,0,N671*Parámetros!$D$116-G671*Parámetros!$D$100),2))</f>
        <v/>
      </c>
      <c r="Q671" s="75" t="str">
        <f t="shared" si="905"/>
        <v/>
      </c>
      <c r="R671" s="75" t="str">
        <f t="shared" si="906"/>
        <v/>
      </c>
      <c r="S671" s="117" t="str">
        <f>+IF($C671="","",ROUND((S670+I671)*(1+Parámetros!$D$91),2))</f>
        <v/>
      </c>
      <c r="T671" s="117" t="str">
        <f>+IF($C671="","",ROUND(S671*VLOOKUP(B671,Parámetros!$C$30:$D$39,2,TRUE),2))</f>
        <v/>
      </c>
      <c r="U671" s="117" t="str">
        <f>+IF($C671="","",ROUND((U670+I671)*(1+Parámetros!$D$92),2))</f>
        <v/>
      </c>
      <c r="V671" s="117" t="str">
        <f>+IF($C671="","",ROUND(U671*VLOOKUP(B671,Parámetros!$C$30:$D$39,2,TRUE),2))</f>
        <v/>
      </c>
      <c r="W671" s="57" t="str">
        <f t="shared" si="907"/>
        <v/>
      </c>
      <c r="X671" t="str">
        <f t="shared" si="908"/>
        <v/>
      </c>
      <c r="Y671" t="str">
        <f t="shared" si="909"/>
        <v/>
      </c>
      <c r="Z671" s="118" t="str">
        <f>+IF($W671="","",ROUND(IF(Parámetros!$D$25='TABLAS MORT'!$V$33,Z670,Parámetros!$D$21-'Tablas Servicio'!T670),0))</f>
        <v/>
      </c>
      <c r="AA671" s="118" t="str">
        <f t="shared" si="910"/>
        <v/>
      </c>
      <c r="AB671" s="119" t="str">
        <f>+IF(W671="","",ROUND((VLOOKUP(ROUNDDOWN($D671-1/frec,0),qx_tabla,2,FALSE)*(1+i/frec)^-0.5*(1+Parámetros!$D$103)*(1+rec_fracc)/frec),6))</f>
        <v/>
      </c>
      <c r="AC671" s="66" t="str">
        <f t="shared" si="866"/>
        <v/>
      </c>
      <c r="AD671" s="119" t="str">
        <f t="shared" si="862"/>
        <v/>
      </c>
      <c r="AE671" s="66" t="str">
        <f>+IF($W671="","",ROUND(IF($B671&gt;Parámetros!$D$107,'Tablas Servicio'!AC671+('Tablas Servicio'!AG670-'Tablas Servicio'!AC670),AC671/(1-IF(B671&lt;=10,Parámetros!$D$104,Parámetros!$D$105))),2))</f>
        <v/>
      </c>
      <c r="AF671" s="66" t="str">
        <f>+IF($W671="","",ROUND(IF($B671&gt;Parámetros!$D$107,'Tablas Servicio'!AC671+('Tablas Servicio'!AG670-'Tablas Servicio'!AC670),(AC671+$A670/frec)/(1-IF(B671&lt;=Parámetros!$D$117,Parámetros!$D$100,0))),2))</f>
        <v/>
      </c>
      <c r="AG671" s="66" t="str">
        <f t="shared" si="867"/>
        <v/>
      </c>
      <c r="AH671" s="66" t="str">
        <f t="shared" si="868"/>
        <v/>
      </c>
      <c r="AI671" s="66" t="str">
        <f t="shared" si="869"/>
        <v/>
      </c>
      <c r="AJ671" s="66" t="str">
        <f>+IF($W671="","",ROUND((AG671*Parámetros!$G$85),2))</f>
        <v/>
      </c>
      <c r="AK671" s="66" t="str">
        <f>+IF($W671="","",ROUND((AG671*(Parámetros!$G$86)),2))</f>
        <v/>
      </c>
      <c r="AL671" s="66" t="str">
        <f t="shared" si="863"/>
        <v/>
      </c>
      <c r="AM671" t="str">
        <f t="shared" si="911"/>
        <v/>
      </c>
      <c r="AN671" t="str">
        <f t="shared" si="912"/>
        <v/>
      </c>
      <c r="AO671" s="118" t="str">
        <f t="shared" si="913"/>
        <v/>
      </c>
      <c r="AP671" s="118" t="str">
        <f t="shared" si="914"/>
        <v/>
      </c>
      <c r="AQ671" s="119" t="str">
        <f>+IF(OR($W671="",AO671=0),"",ROUND((VLOOKUP(ROUNDDOWN($D671-1/frec,0),cob_adi,Z$40,FALSE)*(1+i/frec)^-0.5*(1+Parámetros!$D$103)*(1+rec_fracc)/frec),6))</f>
        <v/>
      </c>
      <c r="AR671" s="66" t="str">
        <f t="shared" si="870"/>
        <v/>
      </c>
      <c r="AS671" s="119" t="str">
        <f t="shared" si="871"/>
        <v/>
      </c>
      <c r="AT671" s="66" t="str">
        <f>+IF($W671="","",ROUND(IF($B671&gt;Parámetros!$D$107,'Tablas Servicio'!AR671+('Tablas Servicio'!AT670-'Tablas Servicio'!AR670),AR671/(1-IF(B671&lt;=10,Parámetros!$D$100,0))),2))</f>
        <v/>
      </c>
      <c r="AU671" s="66" t="str">
        <f t="shared" si="872"/>
        <v/>
      </c>
      <c r="AV671" s="66" t="str">
        <f t="shared" si="872"/>
        <v/>
      </c>
      <c r="AW671" s="66" t="str">
        <f>+IF($W671="","",ROUND((AT671*Parámetros!$G$85),2))</f>
        <v/>
      </c>
      <c r="AX671" s="66" t="str">
        <f>+IF($W671="","",ROUND((AT671*(Parámetros!$G$86)),2))</f>
        <v/>
      </c>
      <c r="AY671" s="66" t="str">
        <f t="shared" si="873"/>
        <v/>
      </c>
      <c r="AZ671" t="str">
        <f t="shared" si="915"/>
        <v/>
      </c>
      <c r="BA671" t="str">
        <f t="shared" si="916"/>
        <v/>
      </c>
      <c r="BB671" s="118" t="str">
        <f t="shared" si="917"/>
        <v/>
      </c>
      <c r="BC671" s="118" t="str">
        <f t="shared" si="918"/>
        <v/>
      </c>
      <c r="BD671" s="119" t="str">
        <f>+IF(OR($W671="",BB671=0),"",ROUND((VLOOKUP(ROUNDDOWN($D671-1/frec,0),cob_adi,AO$40,FALSE)*(1+i/frec)^-0.5*(1+Parámetros!$D$103)*(1+rec_fracc)/frec),6))</f>
        <v/>
      </c>
      <c r="BE671" s="66" t="str">
        <f t="shared" si="874"/>
        <v/>
      </c>
      <c r="BF671" s="119" t="str">
        <f t="shared" si="875"/>
        <v/>
      </c>
      <c r="BG671" s="66" t="str">
        <f>+IF($W671="","",ROUND(IF($B671&gt;Parámetros!$D$107,'Tablas Servicio'!BE671+('Tablas Servicio'!BG670-'Tablas Servicio'!BE670),BE671/(1-IF(B671&lt;=10,Parámetros!$D$100,0))),2))</f>
        <v/>
      </c>
      <c r="BH671" s="66" t="str">
        <f t="shared" si="876"/>
        <v/>
      </c>
      <c r="BI671" s="66" t="str">
        <f t="shared" si="877"/>
        <v/>
      </c>
      <c r="BJ671" s="66" t="str">
        <f>+IF($W671="","",ROUND((BG671*Parámetros!$G$85),2))</f>
        <v/>
      </c>
      <c r="BK671" s="66" t="str">
        <f>+IF($W671="","",ROUND((BG671*(Parámetros!$G$86)),2))</f>
        <v/>
      </c>
      <c r="BL671" s="66" t="str">
        <f t="shared" si="878"/>
        <v/>
      </c>
      <c r="BM671" t="str">
        <f t="shared" si="919"/>
        <v/>
      </c>
      <c r="BN671" t="str">
        <f t="shared" si="920"/>
        <v/>
      </c>
      <c r="BO671" s="118" t="str">
        <f t="shared" si="921"/>
        <v/>
      </c>
      <c r="BP671" s="118" t="str">
        <f t="shared" si="922"/>
        <v/>
      </c>
      <c r="BQ671" s="119" t="str">
        <f>+IF(OR($W671="",BO671=0),"",ROUND((VLOOKUP(ROUNDDOWN($D671-1/frec,0),cob_adi,BB$40,FALSE)*(1+i/frec)^-0.5*(1+Parámetros!$D$103)*(1+rec_fracc)/frec),6))</f>
        <v/>
      </c>
      <c r="BR671" s="66" t="str">
        <f t="shared" si="879"/>
        <v/>
      </c>
      <c r="BS671" s="119" t="str">
        <f t="shared" si="880"/>
        <v/>
      </c>
      <c r="BT671" s="66" t="str">
        <f>+IF($W671="","",ROUND(IF($B671&gt;Parámetros!$D$107,'Tablas Servicio'!BR671+('Tablas Servicio'!BT670-'Tablas Servicio'!BR670),BR671/(1-IF(B671&lt;=10,Parámetros!$D$100,0))),2))</f>
        <v/>
      </c>
      <c r="BU671" s="66" t="str">
        <f t="shared" si="881"/>
        <v/>
      </c>
      <c r="BV671" s="66" t="str">
        <f t="shared" si="881"/>
        <v/>
      </c>
      <c r="BW671" s="66" t="str">
        <f>+IF($W671="","",ROUND((BT671*Parámetros!$G$85),2))</f>
        <v/>
      </c>
      <c r="BX671" s="66" t="str">
        <f>+IF($W671="","",ROUND((BT671*(Parámetros!$G$86)),2))</f>
        <v/>
      </c>
      <c r="BY671" s="66" t="str">
        <f t="shared" si="882"/>
        <v/>
      </c>
      <c r="BZ671" t="str">
        <f t="shared" si="923"/>
        <v/>
      </c>
      <c r="CA671" t="str">
        <f t="shared" si="924"/>
        <v/>
      </c>
      <c r="CB671" s="118" t="str">
        <f t="shared" si="925"/>
        <v/>
      </c>
      <c r="CC671" s="118" t="str">
        <f t="shared" si="926"/>
        <v/>
      </c>
      <c r="CD671" s="119" t="str">
        <f t="shared" si="883"/>
        <v/>
      </c>
      <c r="CE671" s="66" t="str">
        <f>+IF($W671="","",ROUND((VLOOKUP(ROUNDDOWN($D671-1/frec,0),cob_adi,BO$40,FALSE)*(1+i/frec)^-0.5*(1+Parámetros!$D$103)*(1+rec_fracc)/frec*'TABLAS ADI'!$BC$17),2))</f>
        <v/>
      </c>
      <c r="CF671" s="119" t="str">
        <f t="shared" si="884"/>
        <v/>
      </c>
      <c r="CG671" s="66" t="str">
        <f>+IF($W671="","",ROUND(IF($B671&gt;Parámetros!$D$107,'Tablas Servicio'!CE671+('Tablas Servicio'!CG670-'Tablas Servicio'!CE670),CE671/(1-IF(B671&lt;=10,Parámetros!$D$100,0))),2))</f>
        <v/>
      </c>
      <c r="CH671" s="66" t="str">
        <f t="shared" si="885"/>
        <v/>
      </c>
      <c r="CI671" s="66" t="str">
        <f t="shared" si="885"/>
        <v/>
      </c>
      <c r="CJ671" s="66" t="str">
        <f>+IF($W671="","",ROUND((CG671*Parámetros!$G$85),2))</f>
        <v/>
      </c>
      <c r="CK671" s="66" t="str">
        <f>+IF($W671="","",ROUND((CG671*(Parámetros!$G$86)),2))</f>
        <v/>
      </c>
      <c r="CL671" s="66" t="str">
        <f t="shared" si="886"/>
        <v/>
      </c>
      <c r="CM671" t="str">
        <f t="shared" si="927"/>
        <v/>
      </c>
      <c r="CN671" s="118" t="str">
        <f t="shared" si="928"/>
        <v/>
      </c>
      <c r="CO671" s="118" t="str">
        <f t="shared" si="929"/>
        <v/>
      </c>
      <c r="CP671" s="118" t="str">
        <f t="shared" si="930"/>
        <v/>
      </c>
      <c r="CQ671" s="119" t="str">
        <f t="shared" si="887"/>
        <v/>
      </c>
      <c r="CR671" s="66" t="str">
        <f>+IF($W671="","",ROUND((VLOOKUP(Parámetros!$F$51,'COBERTURAS ADICIONALES'!$S$4:$T$32,2,FALSE)*(1+i/frec)^-0.5*(1+Parámetros!$D$103)*(1+rec_fracc)/frec*$CO$42),2))</f>
        <v/>
      </c>
      <c r="CS671" s="119" t="str">
        <f t="shared" si="888"/>
        <v/>
      </c>
      <c r="CT671" s="66" t="str">
        <f>+IF($W671="","",ROUND(IF($B671&gt;Parámetros!$D$107,'Tablas Servicio'!CR671+('Tablas Servicio'!CT670-'Tablas Servicio'!CR670),CR671/(1-IF(B671&lt;=10,Parámetros!$D$100,0))),2))</f>
        <v/>
      </c>
      <c r="CU671" s="66" t="str">
        <f t="shared" si="889"/>
        <v/>
      </c>
      <c r="CV671" s="66" t="str">
        <f t="shared" si="889"/>
        <v/>
      </c>
      <c r="CW671" s="66" t="str">
        <f>+IF($W671="","",ROUND((CT671*Parámetros!$G$85),2))</f>
        <v/>
      </c>
      <c r="CX671" s="66" t="str">
        <f>+IF($W671="","",ROUND((CT671*(Parámetros!$G$86)),2))</f>
        <v/>
      </c>
      <c r="CY671" s="66" t="str">
        <f t="shared" si="890"/>
        <v/>
      </c>
      <c r="CZ671" t="str">
        <f t="shared" si="931"/>
        <v/>
      </c>
      <c r="DA671" s="118" t="str">
        <f t="shared" si="932"/>
        <v/>
      </c>
      <c r="DB671" s="118" t="str">
        <f t="shared" si="933"/>
        <v/>
      </c>
      <c r="DC671" s="118" t="str">
        <f t="shared" si="934"/>
        <v/>
      </c>
      <c r="DD671" s="121" t="str">
        <f>+IF(OR($W671="",DB671=0),"",ROUND((VLOOKUP(ROUNDDOWN($D671-1/frec,0),cob_adi,CO$40,FALSE)*(1+i/frec)^-0.5*(1+Parámetros!$D$103)*(1+rec_fracc)/frec),6))</f>
        <v/>
      </c>
      <c r="DE671" s="66" t="str">
        <f t="shared" si="891"/>
        <v/>
      </c>
      <c r="DF671" s="119" t="str">
        <f t="shared" si="892"/>
        <v/>
      </c>
      <c r="DG671" s="66" t="str">
        <f>+IF($W671="","",ROUND(IF($B671&gt;Parámetros!$D$107,'Tablas Servicio'!DE671+('Tablas Servicio'!DG670-'Tablas Servicio'!DE670),DE671/(1-IF(B671&lt;=10,Parámetros!$D$100,0))),2))</f>
        <v/>
      </c>
      <c r="DH671" s="66" t="str">
        <f t="shared" si="893"/>
        <v/>
      </c>
      <c r="DI671" s="66" t="str">
        <f t="shared" si="893"/>
        <v/>
      </c>
      <c r="DJ671" s="66" t="str">
        <f>+IF($W671="","",ROUND((DG671*Parámetros!$G$85),2))</f>
        <v/>
      </c>
      <c r="DK671" s="66" t="str">
        <f>+IF($W671="","",ROUND((DG671*(Parámetros!$G$86)),2))</f>
        <v/>
      </c>
      <c r="DL671" s="66" t="str">
        <f t="shared" si="894"/>
        <v/>
      </c>
      <c r="DM671" t="str">
        <f t="shared" si="935"/>
        <v/>
      </c>
      <c r="DN671" s="118" t="str">
        <f t="shared" si="936"/>
        <v/>
      </c>
      <c r="DO671" s="118" t="str">
        <f t="shared" si="937"/>
        <v/>
      </c>
      <c r="DP671" s="118" t="str">
        <f t="shared" si="938"/>
        <v/>
      </c>
      <c r="DQ671" s="122" t="str">
        <f>+IF(OR($W671="",DO671=0),"",ROUND((VLOOKUP(ROUNDDOWN($D671-1/frec,0),cob_adi,DB$40,FALSE)*(1+i/frec)^-0.5*(1+Parámetros!$D$103)*(1+rec_fracc)/frec),6))</f>
        <v/>
      </c>
      <c r="DR671" s="66" t="str">
        <f t="shared" si="895"/>
        <v/>
      </c>
      <c r="DS671" s="68" t="str">
        <f t="shared" si="896"/>
        <v/>
      </c>
      <c r="DT671" s="66" t="str">
        <f>+IF($W671="","",ROUND(IF($B671&gt;Parámetros!$D$107,'Tablas Servicio'!DR671+('Tablas Servicio'!DT670-'Tablas Servicio'!DR670),DR671/(1-IF(B671&lt;=10,Parámetros!$D$100,0))),2))</f>
        <v/>
      </c>
      <c r="DU671" s="66" t="str">
        <f t="shared" si="897"/>
        <v/>
      </c>
      <c r="DV671" s="66" t="str">
        <f t="shared" si="897"/>
        <v/>
      </c>
      <c r="DW671" s="66" t="str">
        <f>+IF($W671="","",ROUND((DT671*Parámetros!$G$85),2))</f>
        <v/>
      </c>
      <c r="DX671" s="66" t="str">
        <f>+IF($W671="","",ROUND((DT671*(Parámetros!$G$86)),2))</f>
        <v/>
      </c>
      <c r="DY671" s="66" t="str">
        <f t="shared" si="898"/>
        <v/>
      </c>
      <c r="DZ671" t="str">
        <f t="shared" si="941"/>
        <v/>
      </c>
      <c r="EA671" s="118" t="str">
        <f t="shared" si="941"/>
        <v/>
      </c>
      <c r="EB671" s="118" t="str">
        <f>+IF($W671="","",ROUND(IF(Parámetros!$D$25='TABLAS MORT'!$V$33,EB670,Z671/2),0))</f>
        <v/>
      </c>
      <c r="EC671" s="118" t="str">
        <f t="shared" si="941"/>
        <v/>
      </c>
      <c r="ED671" s="122" t="str">
        <f>+IF(OR($W671="",EB671=0),"",ROUND((VLOOKUP(ROUNDDOWN($D671-1/frec,0),cob_adi,DO$40,FALSE)*(1+i/frec)^-0.5*(1+Parámetros!$D$103)*(1+rec_fracc)/frec),6))</f>
        <v/>
      </c>
      <c r="EE671" s="66" t="str">
        <f t="shared" si="900"/>
        <v/>
      </c>
      <c r="EF671" s="68" t="str">
        <f t="shared" si="901"/>
        <v/>
      </c>
      <c r="EG671" s="66" t="str">
        <f>+IF($W671="","",ROUND(IF($B671&gt;Parámetros!$D$107,'Tablas Servicio'!EE671+('Tablas Servicio'!EG670-'Tablas Servicio'!EE670),EE671/(1-IF(B671&lt;=10,Parámetros!$D$100,0))),2))</f>
        <v/>
      </c>
      <c r="EH671" s="66" t="str">
        <f t="shared" si="902"/>
        <v/>
      </c>
      <c r="EI671" s="66" t="str">
        <f t="shared" si="902"/>
        <v/>
      </c>
      <c r="EJ671" s="66" t="str">
        <f>+IF($W671="","",ROUND((EG671*Parámetros!$G$85),2))</f>
        <v/>
      </c>
      <c r="EK671" s="66" t="str">
        <f>+IF($W671="","",ROUND((EG671*(Parámetros!$G$86)),2))</f>
        <v/>
      </c>
      <c r="EL671" s="66" t="str">
        <f t="shared" si="903"/>
        <v/>
      </c>
    </row>
    <row r="672" spans="1:142" x14ac:dyDescent="0.25">
      <c r="A672" t="str">
        <f>+IF($C672="","",ROUND(VLOOKUP('Tablas Servicio'!B672,Parámetros!$H$100:$J$159,IF(Parámetros!$E$16="F",2,3),FALSE),2))</f>
        <v/>
      </c>
      <c r="B672" t="str">
        <f t="shared" si="854"/>
        <v/>
      </c>
      <c r="C672" s="57" t="str">
        <f>+IF(D672="","",'Tablas Servicio'!C671+1)</f>
        <v/>
      </c>
      <c r="D672" s="56" t="str">
        <f>+IF(D671&lt;edadmaxtabla,D671+1/Parámetros!$E$25,"")</f>
        <v/>
      </c>
      <c r="E672" s="57" t="str">
        <f t="shared" si="864"/>
        <v/>
      </c>
      <c r="F672" s="59" t="str">
        <f t="shared" si="865"/>
        <v/>
      </c>
      <c r="G672" s="66" t="str">
        <f t="shared" si="855"/>
        <v/>
      </c>
      <c r="H672" s="66" t="str">
        <f t="shared" si="856"/>
        <v/>
      </c>
      <c r="I672" s="66" t="str">
        <f t="shared" si="904"/>
        <v/>
      </c>
      <c r="J672" s="66" t="str">
        <f t="shared" si="857"/>
        <v/>
      </c>
      <c r="K672" s="66" t="str">
        <f t="shared" si="858"/>
        <v/>
      </c>
      <c r="L672" s="66" t="str">
        <f t="shared" si="859"/>
        <v/>
      </c>
      <c r="M672" s="66" t="str">
        <f t="shared" si="860"/>
        <v/>
      </c>
      <c r="N672" s="66" t="str">
        <f>+IF(C672="","",ROUND(Parámetros!$D$23,2))</f>
        <v/>
      </c>
      <c r="O672" s="66" t="str">
        <f t="shared" si="861"/>
        <v/>
      </c>
      <c r="P672" s="66" t="str">
        <f>+IF($C672="","",ROUND(IF(B672&gt;Parámetros!$D$117,0,N672*Parámetros!$D$116-G672*Parámetros!$D$100),2))</f>
        <v/>
      </c>
      <c r="Q672" s="75" t="str">
        <f t="shared" si="905"/>
        <v/>
      </c>
      <c r="R672" s="75" t="str">
        <f t="shared" si="906"/>
        <v/>
      </c>
      <c r="S672" s="117" t="str">
        <f>+IF($C672="","",ROUND((S671+I672)*(1+Parámetros!$D$91),2))</f>
        <v/>
      </c>
      <c r="T672" s="117" t="str">
        <f>+IF($C672="","",ROUND(S672*VLOOKUP(B672,Parámetros!$C$30:$D$39,2,TRUE),2))</f>
        <v/>
      </c>
      <c r="U672" s="117" t="str">
        <f>+IF($C672="","",ROUND((U671+I672)*(1+Parámetros!$D$92),2))</f>
        <v/>
      </c>
      <c r="V672" s="117" t="str">
        <f>+IF($C672="","",ROUND(U672*VLOOKUP(B672,Parámetros!$C$30:$D$39,2,TRUE),2))</f>
        <v/>
      </c>
      <c r="W672" s="57" t="str">
        <f t="shared" si="907"/>
        <v/>
      </c>
      <c r="X672" t="str">
        <f t="shared" si="908"/>
        <v/>
      </c>
      <c r="Y672" t="str">
        <f t="shared" si="909"/>
        <v/>
      </c>
      <c r="Z672" s="118" t="str">
        <f>+IF($W672="","",ROUND(IF(Parámetros!$D$25='TABLAS MORT'!$V$33,Z671,Parámetros!$D$21-'Tablas Servicio'!T671),0))</f>
        <v/>
      </c>
      <c r="AA672" s="118" t="str">
        <f t="shared" si="910"/>
        <v/>
      </c>
      <c r="AB672" s="119" t="str">
        <f>+IF(W672="","",ROUND((VLOOKUP(ROUNDDOWN($D672-1/frec,0),qx_tabla,2,FALSE)*(1+i/frec)^-0.5*(1+Parámetros!$D$103)*(1+rec_fracc)/frec),6))</f>
        <v/>
      </c>
      <c r="AC672" s="66" t="str">
        <f t="shared" si="866"/>
        <v/>
      </c>
      <c r="AD672" s="119" t="str">
        <f t="shared" si="862"/>
        <v/>
      </c>
      <c r="AE672" s="66" t="str">
        <f>+IF($W672="","",ROUND(IF($B672&gt;Parámetros!$D$107,'Tablas Servicio'!AC672+('Tablas Servicio'!AG671-'Tablas Servicio'!AC671),AC672/(1-IF(B672&lt;=10,Parámetros!$D$104,Parámetros!$D$105))),2))</f>
        <v/>
      </c>
      <c r="AF672" s="66" t="str">
        <f>+IF($W672="","",ROUND(IF($B672&gt;Parámetros!$D$107,'Tablas Servicio'!AC672+('Tablas Servicio'!AG671-'Tablas Servicio'!AC671),(AC672+$A671/frec)/(1-IF(B672&lt;=Parámetros!$D$117,Parámetros!$D$100,0))),2))</f>
        <v/>
      </c>
      <c r="AG672" s="66" t="str">
        <f t="shared" si="867"/>
        <v/>
      </c>
      <c r="AH672" s="66" t="str">
        <f t="shared" si="868"/>
        <v/>
      </c>
      <c r="AI672" s="66" t="str">
        <f t="shared" si="869"/>
        <v/>
      </c>
      <c r="AJ672" s="66" t="str">
        <f>+IF($W672="","",ROUND((AG672*Parámetros!$G$85),2))</f>
        <v/>
      </c>
      <c r="AK672" s="66" t="str">
        <f>+IF($W672="","",ROUND((AG672*(Parámetros!$G$86)),2))</f>
        <v/>
      </c>
      <c r="AL672" s="66" t="str">
        <f t="shared" si="863"/>
        <v/>
      </c>
      <c r="AM672" t="str">
        <f t="shared" si="911"/>
        <v/>
      </c>
      <c r="AN672" t="str">
        <f t="shared" si="912"/>
        <v/>
      </c>
      <c r="AO672" s="118" t="str">
        <f t="shared" si="913"/>
        <v/>
      </c>
      <c r="AP672" s="118" t="str">
        <f t="shared" si="914"/>
        <v/>
      </c>
      <c r="AQ672" s="119" t="str">
        <f>+IF(OR($W672="",AO672=0),"",ROUND((VLOOKUP(ROUNDDOWN($D672-1/frec,0),cob_adi,Z$40,FALSE)*(1+i/frec)^-0.5*(1+Parámetros!$D$103)*(1+rec_fracc)/frec),6))</f>
        <v/>
      </c>
      <c r="AR672" s="66" t="str">
        <f t="shared" si="870"/>
        <v/>
      </c>
      <c r="AS672" s="119" t="str">
        <f t="shared" si="871"/>
        <v/>
      </c>
      <c r="AT672" s="66" t="str">
        <f>+IF($W672="","",ROUND(IF($B672&gt;Parámetros!$D$107,'Tablas Servicio'!AR672+('Tablas Servicio'!AT671-'Tablas Servicio'!AR671),AR672/(1-IF(B672&lt;=10,Parámetros!$D$100,0))),2))</f>
        <v/>
      </c>
      <c r="AU672" s="66" t="str">
        <f t="shared" si="872"/>
        <v/>
      </c>
      <c r="AV672" s="66" t="str">
        <f t="shared" si="872"/>
        <v/>
      </c>
      <c r="AW672" s="66" t="str">
        <f>+IF($W672="","",ROUND((AT672*Parámetros!$G$85),2))</f>
        <v/>
      </c>
      <c r="AX672" s="66" t="str">
        <f>+IF($W672="","",ROUND((AT672*(Parámetros!$G$86)),2))</f>
        <v/>
      </c>
      <c r="AY672" s="66" t="str">
        <f t="shared" si="873"/>
        <v/>
      </c>
      <c r="AZ672" t="str">
        <f t="shared" si="915"/>
        <v/>
      </c>
      <c r="BA672" t="str">
        <f t="shared" si="916"/>
        <v/>
      </c>
      <c r="BB672" s="118" t="str">
        <f t="shared" si="917"/>
        <v/>
      </c>
      <c r="BC672" s="118" t="str">
        <f t="shared" si="918"/>
        <v/>
      </c>
      <c r="BD672" s="119" t="str">
        <f>+IF(OR($W672="",BB672=0),"",ROUND((VLOOKUP(ROUNDDOWN($D672-1/frec,0),cob_adi,AO$40,FALSE)*(1+i/frec)^-0.5*(1+Parámetros!$D$103)*(1+rec_fracc)/frec),6))</f>
        <v/>
      </c>
      <c r="BE672" s="66" t="str">
        <f t="shared" si="874"/>
        <v/>
      </c>
      <c r="BF672" s="119" t="str">
        <f t="shared" si="875"/>
        <v/>
      </c>
      <c r="BG672" s="66" t="str">
        <f>+IF($W672="","",ROUND(IF($B672&gt;Parámetros!$D$107,'Tablas Servicio'!BE672+('Tablas Servicio'!BG671-'Tablas Servicio'!BE671),BE672/(1-IF(B672&lt;=10,Parámetros!$D$100,0))),2))</f>
        <v/>
      </c>
      <c r="BH672" s="66" t="str">
        <f t="shared" si="876"/>
        <v/>
      </c>
      <c r="BI672" s="66" t="str">
        <f t="shared" si="877"/>
        <v/>
      </c>
      <c r="BJ672" s="66" t="str">
        <f>+IF($W672="","",ROUND((BG672*Parámetros!$G$85),2))</f>
        <v/>
      </c>
      <c r="BK672" s="66" t="str">
        <f>+IF($W672="","",ROUND((BG672*(Parámetros!$G$86)),2))</f>
        <v/>
      </c>
      <c r="BL672" s="66" t="str">
        <f t="shared" si="878"/>
        <v/>
      </c>
      <c r="BM672" t="str">
        <f t="shared" si="919"/>
        <v/>
      </c>
      <c r="BN672" t="str">
        <f t="shared" si="920"/>
        <v/>
      </c>
      <c r="BO672" s="118" t="str">
        <f t="shared" si="921"/>
        <v/>
      </c>
      <c r="BP672" s="118" t="str">
        <f t="shared" si="922"/>
        <v/>
      </c>
      <c r="BQ672" s="119" t="str">
        <f>+IF(OR($W672="",BO672=0),"",ROUND((VLOOKUP(ROUNDDOWN($D672-1/frec,0),cob_adi,BB$40,FALSE)*(1+i/frec)^-0.5*(1+Parámetros!$D$103)*(1+rec_fracc)/frec),6))</f>
        <v/>
      </c>
      <c r="BR672" s="66" t="str">
        <f t="shared" si="879"/>
        <v/>
      </c>
      <c r="BS672" s="119" t="str">
        <f t="shared" si="880"/>
        <v/>
      </c>
      <c r="BT672" s="66" t="str">
        <f>+IF($W672="","",ROUND(IF($B672&gt;Parámetros!$D$107,'Tablas Servicio'!BR672+('Tablas Servicio'!BT671-'Tablas Servicio'!BR671),BR672/(1-IF(B672&lt;=10,Parámetros!$D$100,0))),2))</f>
        <v/>
      </c>
      <c r="BU672" s="66" t="str">
        <f t="shared" si="881"/>
        <v/>
      </c>
      <c r="BV672" s="66" t="str">
        <f t="shared" si="881"/>
        <v/>
      </c>
      <c r="BW672" s="66" t="str">
        <f>+IF($W672="","",ROUND((BT672*Parámetros!$G$85),2))</f>
        <v/>
      </c>
      <c r="BX672" s="66" t="str">
        <f>+IF($W672="","",ROUND((BT672*(Parámetros!$G$86)),2))</f>
        <v/>
      </c>
      <c r="BY672" s="66" t="str">
        <f t="shared" si="882"/>
        <v/>
      </c>
      <c r="BZ672" t="str">
        <f t="shared" si="923"/>
        <v/>
      </c>
      <c r="CA672" t="str">
        <f t="shared" si="924"/>
        <v/>
      </c>
      <c r="CB672" s="118" t="str">
        <f t="shared" si="925"/>
        <v/>
      </c>
      <c r="CC672" s="118" t="str">
        <f t="shared" si="926"/>
        <v/>
      </c>
      <c r="CD672" s="119" t="str">
        <f t="shared" si="883"/>
        <v/>
      </c>
      <c r="CE672" s="66" t="str">
        <f>+IF($W672="","",ROUND((VLOOKUP(ROUNDDOWN($D672-1/frec,0),cob_adi,BO$40,FALSE)*(1+i/frec)^-0.5*(1+Parámetros!$D$103)*(1+rec_fracc)/frec*'TABLAS ADI'!$BC$17),2))</f>
        <v/>
      </c>
      <c r="CF672" s="119" t="str">
        <f t="shared" si="884"/>
        <v/>
      </c>
      <c r="CG672" s="66" t="str">
        <f>+IF($W672="","",ROUND(IF($B672&gt;Parámetros!$D$107,'Tablas Servicio'!CE672+('Tablas Servicio'!CG671-'Tablas Servicio'!CE671),CE672/(1-IF(B672&lt;=10,Parámetros!$D$100,0))),2))</f>
        <v/>
      </c>
      <c r="CH672" s="66" t="str">
        <f t="shared" si="885"/>
        <v/>
      </c>
      <c r="CI672" s="66" t="str">
        <f t="shared" si="885"/>
        <v/>
      </c>
      <c r="CJ672" s="66" t="str">
        <f>+IF($W672="","",ROUND((CG672*Parámetros!$G$85),2))</f>
        <v/>
      </c>
      <c r="CK672" s="66" t="str">
        <f>+IF($W672="","",ROUND((CG672*(Parámetros!$G$86)),2))</f>
        <v/>
      </c>
      <c r="CL672" s="66" t="str">
        <f t="shared" si="886"/>
        <v/>
      </c>
      <c r="CM672" t="str">
        <f t="shared" si="927"/>
        <v/>
      </c>
      <c r="CN672" s="118" t="str">
        <f t="shared" si="928"/>
        <v/>
      </c>
      <c r="CO672" s="118" t="str">
        <f t="shared" si="929"/>
        <v/>
      </c>
      <c r="CP672" s="118" t="str">
        <f t="shared" si="930"/>
        <v/>
      </c>
      <c r="CQ672" s="119" t="str">
        <f t="shared" si="887"/>
        <v/>
      </c>
      <c r="CR672" s="66" t="str">
        <f>+IF($W672="","",ROUND((VLOOKUP(Parámetros!$F$51,'COBERTURAS ADICIONALES'!$S$4:$T$32,2,FALSE)*(1+i/frec)^-0.5*(1+Parámetros!$D$103)*(1+rec_fracc)/frec*$CO$42),2))</f>
        <v/>
      </c>
      <c r="CS672" s="119" t="str">
        <f t="shared" si="888"/>
        <v/>
      </c>
      <c r="CT672" s="66" t="str">
        <f>+IF($W672="","",ROUND(IF($B672&gt;Parámetros!$D$107,'Tablas Servicio'!CR672+('Tablas Servicio'!CT671-'Tablas Servicio'!CR671),CR672/(1-IF(B672&lt;=10,Parámetros!$D$100,0))),2))</f>
        <v/>
      </c>
      <c r="CU672" s="66" t="str">
        <f t="shared" si="889"/>
        <v/>
      </c>
      <c r="CV672" s="66" t="str">
        <f t="shared" si="889"/>
        <v/>
      </c>
      <c r="CW672" s="66" t="str">
        <f>+IF($W672="","",ROUND((CT672*Parámetros!$G$85),2))</f>
        <v/>
      </c>
      <c r="CX672" s="66" t="str">
        <f>+IF($W672="","",ROUND((CT672*(Parámetros!$G$86)),2))</f>
        <v/>
      </c>
      <c r="CY672" s="66" t="str">
        <f t="shared" si="890"/>
        <v/>
      </c>
      <c r="CZ672" t="str">
        <f t="shared" si="931"/>
        <v/>
      </c>
      <c r="DA672" s="118" t="str">
        <f t="shared" si="932"/>
        <v/>
      </c>
      <c r="DB672" s="118" t="str">
        <f t="shared" si="933"/>
        <v/>
      </c>
      <c r="DC672" s="118" t="str">
        <f t="shared" si="934"/>
        <v/>
      </c>
      <c r="DD672" s="121" t="str">
        <f>+IF(OR($W672="",DB672=0),"",ROUND((VLOOKUP(ROUNDDOWN($D672-1/frec,0),cob_adi,CO$40,FALSE)*(1+i/frec)^-0.5*(1+Parámetros!$D$103)*(1+rec_fracc)/frec),6))</f>
        <v/>
      </c>
      <c r="DE672" s="66" t="str">
        <f t="shared" si="891"/>
        <v/>
      </c>
      <c r="DF672" s="119" t="str">
        <f t="shared" si="892"/>
        <v/>
      </c>
      <c r="DG672" s="66" t="str">
        <f>+IF($W672="","",ROUND(IF($B672&gt;Parámetros!$D$107,'Tablas Servicio'!DE672+('Tablas Servicio'!DG671-'Tablas Servicio'!DE671),DE672/(1-IF(B672&lt;=10,Parámetros!$D$100,0))),2))</f>
        <v/>
      </c>
      <c r="DH672" s="66" t="str">
        <f t="shared" si="893"/>
        <v/>
      </c>
      <c r="DI672" s="66" t="str">
        <f t="shared" si="893"/>
        <v/>
      </c>
      <c r="DJ672" s="66" t="str">
        <f>+IF($W672="","",ROUND((DG672*Parámetros!$G$85),2))</f>
        <v/>
      </c>
      <c r="DK672" s="66" t="str">
        <f>+IF($W672="","",ROUND((DG672*(Parámetros!$G$86)),2))</f>
        <v/>
      </c>
      <c r="DL672" s="66" t="str">
        <f t="shared" si="894"/>
        <v/>
      </c>
      <c r="DM672" t="str">
        <f t="shared" si="935"/>
        <v/>
      </c>
      <c r="DN672" s="118" t="str">
        <f t="shared" si="936"/>
        <v/>
      </c>
      <c r="DO672" s="118" t="str">
        <f t="shared" si="937"/>
        <v/>
      </c>
      <c r="DP672" s="118" t="str">
        <f t="shared" si="938"/>
        <v/>
      </c>
      <c r="DQ672" s="122" t="str">
        <f>+IF(OR($W672="",DO672=0),"",ROUND((VLOOKUP(ROUNDDOWN($D672-1/frec,0),cob_adi,DB$40,FALSE)*(1+i/frec)^-0.5*(1+Parámetros!$D$103)*(1+rec_fracc)/frec),6))</f>
        <v/>
      </c>
      <c r="DR672" s="66" t="str">
        <f t="shared" si="895"/>
        <v/>
      </c>
      <c r="DS672" s="68" t="str">
        <f t="shared" si="896"/>
        <v/>
      </c>
      <c r="DT672" s="66" t="str">
        <f>+IF($W672="","",ROUND(IF($B672&gt;Parámetros!$D$107,'Tablas Servicio'!DR672+('Tablas Servicio'!DT671-'Tablas Servicio'!DR671),DR672/(1-IF(B672&lt;=10,Parámetros!$D$100,0))),2))</f>
        <v/>
      </c>
      <c r="DU672" s="66" t="str">
        <f t="shared" si="897"/>
        <v/>
      </c>
      <c r="DV672" s="66" t="str">
        <f t="shared" si="897"/>
        <v/>
      </c>
      <c r="DW672" s="66" t="str">
        <f>+IF($W672="","",ROUND((DT672*Parámetros!$G$85),2))</f>
        <v/>
      </c>
      <c r="DX672" s="66" t="str">
        <f>+IF($W672="","",ROUND((DT672*(Parámetros!$G$86)),2))</f>
        <v/>
      </c>
      <c r="DY672" s="66" t="str">
        <f t="shared" si="898"/>
        <v/>
      </c>
      <c r="DZ672" t="str">
        <f t="shared" si="941"/>
        <v/>
      </c>
      <c r="EA672" s="118" t="str">
        <f t="shared" si="941"/>
        <v/>
      </c>
      <c r="EB672" s="118" t="str">
        <f>+IF($W672="","",ROUND(IF(Parámetros!$D$25='TABLAS MORT'!$V$33,EB671,Z672/2),0))</f>
        <v/>
      </c>
      <c r="EC672" s="118" t="str">
        <f t="shared" si="941"/>
        <v/>
      </c>
      <c r="ED672" s="122" t="str">
        <f>+IF(OR($W672="",EB672=0),"",ROUND((VLOOKUP(ROUNDDOWN($D672-1/frec,0),cob_adi,DO$40,FALSE)*(1+i/frec)^-0.5*(1+Parámetros!$D$103)*(1+rec_fracc)/frec),6))</f>
        <v/>
      </c>
      <c r="EE672" s="66" t="str">
        <f t="shared" si="900"/>
        <v/>
      </c>
      <c r="EF672" s="68" t="str">
        <f t="shared" si="901"/>
        <v/>
      </c>
      <c r="EG672" s="66" t="str">
        <f>+IF($W672="","",ROUND(IF($B672&gt;Parámetros!$D$107,'Tablas Servicio'!EE672+('Tablas Servicio'!EG671-'Tablas Servicio'!EE671),EE672/(1-IF(B672&lt;=10,Parámetros!$D$100,0))),2))</f>
        <v/>
      </c>
      <c r="EH672" s="66" t="str">
        <f t="shared" si="902"/>
        <v/>
      </c>
      <c r="EI672" s="66" t="str">
        <f t="shared" si="902"/>
        <v/>
      </c>
      <c r="EJ672" s="66" t="str">
        <f>+IF($W672="","",ROUND((EG672*Parámetros!$G$85),2))</f>
        <v/>
      </c>
      <c r="EK672" s="66" t="str">
        <f>+IF($W672="","",ROUND((EG672*(Parámetros!$G$86)),2))</f>
        <v/>
      </c>
      <c r="EL672" s="66" t="str">
        <f t="shared" si="903"/>
        <v/>
      </c>
    </row>
    <row r="673" spans="1:142" x14ac:dyDescent="0.25">
      <c r="A673" t="str">
        <f>+IF($C673="","",ROUND(VLOOKUP('Tablas Servicio'!B673,Parámetros!$H$100:$J$159,IF(Parámetros!$E$16="F",2,3),FALSE),2))</f>
        <v/>
      </c>
      <c r="B673" t="str">
        <f t="shared" si="854"/>
        <v/>
      </c>
      <c r="C673" s="57" t="str">
        <f>+IF(D673="","",'Tablas Servicio'!C672+1)</f>
        <v/>
      </c>
      <c r="D673" s="56" t="str">
        <f>+IF(D672&lt;edadmaxtabla,D672+1/Parámetros!$E$25,"")</f>
        <v/>
      </c>
      <c r="E673" s="57" t="str">
        <f t="shared" si="864"/>
        <v/>
      </c>
      <c r="F673" s="59" t="str">
        <f t="shared" si="865"/>
        <v/>
      </c>
      <c r="G673" s="66" t="str">
        <f t="shared" si="855"/>
        <v/>
      </c>
      <c r="H673" s="66" t="str">
        <f t="shared" si="856"/>
        <v/>
      </c>
      <c r="I673" s="66" t="str">
        <f t="shared" si="904"/>
        <v/>
      </c>
      <c r="J673" s="66" t="str">
        <f t="shared" si="857"/>
        <v/>
      </c>
      <c r="K673" s="66" t="str">
        <f t="shared" si="858"/>
        <v/>
      </c>
      <c r="L673" s="66" t="str">
        <f t="shared" si="859"/>
        <v/>
      </c>
      <c r="M673" s="66" t="str">
        <f t="shared" si="860"/>
        <v/>
      </c>
      <c r="N673" s="66" t="str">
        <f>+IF(C673="","",ROUND(Parámetros!$D$23,2))</f>
        <v/>
      </c>
      <c r="O673" s="66" t="str">
        <f t="shared" si="861"/>
        <v/>
      </c>
      <c r="P673" s="66" t="str">
        <f>+IF($C673="","",ROUND(IF(B673&gt;Parámetros!$D$117,0,N673*Parámetros!$D$116-G673*Parámetros!$D$100),2))</f>
        <v/>
      </c>
      <c r="Q673" s="75" t="str">
        <f t="shared" si="905"/>
        <v/>
      </c>
      <c r="R673" s="75" t="str">
        <f t="shared" si="906"/>
        <v/>
      </c>
      <c r="S673" s="117" t="str">
        <f>+IF($C673="","",ROUND((S672+I673)*(1+Parámetros!$D$91),2))</f>
        <v/>
      </c>
      <c r="T673" s="117" t="str">
        <f>+IF($C673="","",ROUND(S673*VLOOKUP(B673,Parámetros!$C$30:$D$39,2,TRUE),2))</f>
        <v/>
      </c>
      <c r="U673" s="117" t="str">
        <f>+IF($C673="","",ROUND((U672+I673)*(1+Parámetros!$D$92),2))</f>
        <v/>
      </c>
      <c r="V673" s="117" t="str">
        <f>+IF($C673="","",ROUND(U673*VLOOKUP(B673,Parámetros!$C$30:$D$39,2,TRUE),2))</f>
        <v/>
      </c>
      <c r="W673" s="57" t="str">
        <f t="shared" si="907"/>
        <v/>
      </c>
      <c r="X673" t="str">
        <f t="shared" si="908"/>
        <v/>
      </c>
      <c r="Y673" t="str">
        <f t="shared" si="909"/>
        <v/>
      </c>
      <c r="Z673" s="118" t="str">
        <f>+IF($W673="","",ROUND(IF(Parámetros!$D$25='TABLAS MORT'!$V$33,Z672,Parámetros!$D$21-'Tablas Servicio'!T672),0))</f>
        <v/>
      </c>
      <c r="AA673" s="118" t="str">
        <f t="shared" si="910"/>
        <v/>
      </c>
      <c r="AB673" s="119" t="str">
        <f>+IF(W673="","",ROUND((VLOOKUP(ROUNDDOWN($D673-1/frec,0),qx_tabla,2,FALSE)*(1+i/frec)^-0.5*(1+Parámetros!$D$103)*(1+rec_fracc)/frec),6))</f>
        <v/>
      </c>
      <c r="AC673" s="66" t="str">
        <f t="shared" si="866"/>
        <v/>
      </c>
      <c r="AD673" s="119" t="str">
        <f t="shared" si="862"/>
        <v/>
      </c>
      <c r="AE673" s="66" t="str">
        <f>+IF($W673="","",ROUND(IF($B673&gt;Parámetros!$D$107,'Tablas Servicio'!AC673+('Tablas Servicio'!AG672-'Tablas Servicio'!AC672),AC673/(1-IF(B673&lt;=10,Parámetros!$D$104,Parámetros!$D$105))),2))</f>
        <v/>
      </c>
      <c r="AF673" s="66" t="str">
        <f>+IF($W673="","",ROUND(IF($B673&gt;Parámetros!$D$107,'Tablas Servicio'!AC673+('Tablas Servicio'!AG672-'Tablas Servicio'!AC672),(AC673+$A672/frec)/(1-IF(B673&lt;=Parámetros!$D$117,Parámetros!$D$100,0))),2))</f>
        <v/>
      </c>
      <c r="AG673" s="66" t="str">
        <f t="shared" si="867"/>
        <v/>
      </c>
      <c r="AH673" s="66" t="str">
        <f t="shared" si="868"/>
        <v/>
      </c>
      <c r="AI673" s="66" t="str">
        <f t="shared" si="869"/>
        <v/>
      </c>
      <c r="AJ673" s="66" t="str">
        <f>+IF($W673="","",ROUND((AG673*Parámetros!$G$85),2))</f>
        <v/>
      </c>
      <c r="AK673" s="66" t="str">
        <f>+IF($W673="","",ROUND((AG673*(Parámetros!$G$86)),2))</f>
        <v/>
      </c>
      <c r="AL673" s="66" t="str">
        <f t="shared" si="863"/>
        <v/>
      </c>
      <c r="AM673" t="str">
        <f t="shared" si="911"/>
        <v/>
      </c>
      <c r="AN673" t="str">
        <f t="shared" si="912"/>
        <v/>
      </c>
      <c r="AO673" s="118" t="str">
        <f t="shared" si="913"/>
        <v/>
      </c>
      <c r="AP673" s="118" t="str">
        <f t="shared" si="914"/>
        <v/>
      </c>
      <c r="AQ673" s="119" t="str">
        <f>+IF(OR($W673="",AO673=0),"",ROUND((VLOOKUP(ROUNDDOWN($D673-1/frec,0),cob_adi,Z$40,FALSE)*(1+i/frec)^-0.5*(1+Parámetros!$D$103)*(1+rec_fracc)/frec),6))</f>
        <v/>
      </c>
      <c r="AR673" s="66" t="str">
        <f t="shared" si="870"/>
        <v/>
      </c>
      <c r="AS673" s="119" t="str">
        <f t="shared" si="871"/>
        <v/>
      </c>
      <c r="AT673" s="66" t="str">
        <f>+IF($W673="","",ROUND(IF($B673&gt;Parámetros!$D$107,'Tablas Servicio'!AR673+('Tablas Servicio'!AT672-'Tablas Servicio'!AR672),AR673/(1-IF(B673&lt;=10,Parámetros!$D$100,0))),2))</f>
        <v/>
      </c>
      <c r="AU673" s="66" t="str">
        <f t="shared" si="872"/>
        <v/>
      </c>
      <c r="AV673" s="66" t="str">
        <f t="shared" si="872"/>
        <v/>
      </c>
      <c r="AW673" s="66" t="str">
        <f>+IF($W673="","",ROUND((AT673*Parámetros!$G$85),2))</f>
        <v/>
      </c>
      <c r="AX673" s="66" t="str">
        <f>+IF($W673="","",ROUND((AT673*(Parámetros!$G$86)),2))</f>
        <v/>
      </c>
      <c r="AY673" s="66" t="str">
        <f t="shared" si="873"/>
        <v/>
      </c>
      <c r="AZ673" t="str">
        <f t="shared" si="915"/>
        <v/>
      </c>
      <c r="BA673" t="str">
        <f t="shared" si="916"/>
        <v/>
      </c>
      <c r="BB673" s="118" t="str">
        <f t="shared" si="917"/>
        <v/>
      </c>
      <c r="BC673" s="118" t="str">
        <f t="shared" si="918"/>
        <v/>
      </c>
      <c r="BD673" s="119" t="str">
        <f>+IF(OR($W673="",BB673=0),"",ROUND((VLOOKUP(ROUNDDOWN($D673-1/frec,0),cob_adi,AO$40,FALSE)*(1+i/frec)^-0.5*(1+Parámetros!$D$103)*(1+rec_fracc)/frec),6))</f>
        <v/>
      </c>
      <c r="BE673" s="66" t="str">
        <f t="shared" si="874"/>
        <v/>
      </c>
      <c r="BF673" s="119" t="str">
        <f t="shared" si="875"/>
        <v/>
      </c>
      <c r="BG673" s="66" t="str">
        <f>+IF($W673="","",ROUND(IF($B673&gt;Parámetros!$D$107,'Tablas Servicio'!BE673+('Tablas Servicio'!BG672-'Tablas Servicio'!BE672),BE673/(1-IF(B673&lt;=10,Parámetros!$D$100,0))),2))</f>
        <v/>
      </c>
      <c r="BH673" s="66" t="str">
        <f t="shared" si="876"/>
        <v/>
      </c>
      <c r="BI673" s="66" t="str">
        <f t="shared" si="877"/>
        <v/>
      </c>
      <c r="BJ673" s="66" t="str">
        <f>+IF($W673="","",ROUND((BG673*Parámetros!$G$85),2))</f>
        <v/>
      </c>
      <c r="BK673" s="66" t="str">
        <f>+IF($W673="","",ROUND((BG673*(Parámetros!$G$86)),2))</f>
        <v/>
      </c>
      <c r="BL673" s="66" t="str">
        <f t="shared" si="878"/>
        <v/>
      </c>
      <c r="BM673" t="str">
        <f t="shared" si="919"/>
        <v/>
      </c>
      <c r="BN673" t="str">
        <f t="shared" si="920"/>
        <v/>
      </c>
      <c r="BO673" s="118" t="str">
        <f t="shared" si="921"/>
        <v/>
      </c>
      <c r="BP673" s="118" t="str">
        <f t="shared" si="922"/>
        <v/>
      </c>
      <c r="BQ673" s="119" t="str">
        <f>+IF(OR($W673="",BO673=0),"",ROUND((VLOOKUP(ROUNDDOWN($D673-1/frec,0),cob_adi,BB$40,FALSE)*(1+i/frec)^-0.5*(1+Parámetros!$D$103)*(1+rec_fracc)/frec),6))</f>
        <v/>
      </c>
      <c r="BR673" s="66" t="str">
        <f t="shared" si="879"/>
        <v/>
      </c>
      <c r="BS673" s="119" t="str">
        <f t="shared" si="880"/>
        <v/>
      </c>
      <c r="BT673" s="66" t="str">
        <f>+IF($W673="","",ROUND(IF($B673&gt;Parámetros!$D$107,'Tablas Servicio'!BR673+('Tablas Servicio'!BT672-'Tablas Servicio'!BR672),BR673/(1-IF(B673&lt;=10,Parámetros!$D$100,0))),2))</f>
        <v/>
      </c>
      <c r="BU673" s="66" t="str">
        <f t="shared" si="881"/>
        <v/>
      </c>
      <c r="BV673" s="66" t="str">
        <f t="shared" si="881"/>
        <v/>
      </c>
      <c r="BW673" s="66" t="str">
        <f>+IF($W673="","",ROUND((BT673*Parámetros!$G$85),2))</f>
        <v/>
      </c>
      <c r="BX673" s="66" t="str">
        <f>+IF($W673="","",ROUND((BT673*(Parámetros!$G$86)),2))</f>
        <v/>
      </c>
      <c r="BY673" s="66" t="str">
        <f t="shared" si="882"/>
        <v/>
      </c>
      <c r="BZ673" t="str">
        <f t="shared" si="923"/>
        <v/>
      </c>
      <c r="CA673" t="str">
        <f t="shared" si="924"/>
        <v/>
      </c>
      <c r="CB673" s="118" t="str">
        <f t="shared" si="925"/>
        <v/>
      </c>
      <c r="CC673" s="118" t="str">
        <f t="shared" si="926"/>
        <v/>
      </c>
      <c r="CD673" s="119" t="str">
        <f t="shared" si="883"/>
        <v/>
      </c>
      <c r="CE673" s="66" t="str">
        <f>+IF($W673="","",ROUND((VLOOKUP(ROUNDDOWN($D673-1/frec,0),cob_adi,BO$40,FALSE)*(1+i/frec)^-0.5*(1+Parámetros!$D$103)*(1+rec_fracc)/frec*'TABLAS ADI'!$BC$17),2))</f>
        <v/>
      </c>
      <c r="CF673" s="119" t="str">
        <f t="shared" si="884"/>
        <v/>
      </c>
      <c r="CG673" s="66" t="str">
        <f>+IF($W673="","",ROUND(IF($B673&gt;Parámetros!$D$107,'Tablas Servicio'!CE673+('Tablas Servicio'!CG672-'Tablas Servicio'!CE672),CE673/(1-IF(B673&lt;=10,Parámetros!$D$100,0))),2))</f>
        <v/>
      </c>
      <c r="CH673" s="66" t="str">
        <f t="shared" si="885"/>
        <v/>
      </c>
      <c r="CI673" s="66" t="str">
        <f t="shared" si="885"/>
        <v/>
      </c>
      <c r="CJ673" s="66" t="str">
        <f>+IF($W673="","",ROUND((CG673*Parámetros!$G$85),2))</f>
        <v/>
      </c>
      <c r="CK673" s="66" t="str">
        <f>+IF($W673="","",ROUND((CG673*(Parámetros!$G$86)),2))</f>
        <v/>
      </c>
      <c r="CL673" s="66" t="str">
        <f t="shared" si="886"/>
        <v/>
      </c>
      <c r="CM673" t="str">
        <f t="shared" si="927"/>
        <v/>
      </c>
      <c r="CN673" s="118" t="str">
        <f t="shared" si="928"/>
        <v/>
      </c>
      <c r="CO673" s="118" t="str">
        <f t="shared" si="929"/>
        <v/>
      </c>
      <c r="CP673" s="118" t="str">
        <f t="shared" si="930"/>
        <v/>
      </c>
      <c r="CQ673" s="119" t="str">
        <f t="shared" si="887"/>
        <v/>
      </c>
      <c r="CR673" s="66" t="str">
        <f>+IF($W673="","",ROUND((VLOOKUP(Parámetros!$F$51,'COBERTURAS ADICIONALES'!$S$4:$T$32,2,FALSE)*(1+i/frec)^-0.5*(1+Parámetros!$D$103)*(1+rec_fracc)/frec*$CO$42),2))</f>
        <v/>
      </c>
      <c r="CS673" s="119" t="str">
        <f t="shared" si="888"/>
        <v/>
      </c>
      <c r="CT673" s="66" t="str">
        <f>+IF($W673="","",ROUND(IF($B673&gt;Parámetros!$D$107,'Tablas Servicio'!CR673+('Tablas Servicio'!CT672-'Tablas Servicio'!CR672),CR673/(1-IF(B673&lt;=10,Parámetros!$D$100,0))),2))</f>
        <v/>
      </c>
      <c r="CU673" s="66" t="str">
        <f t="shared" si="889"/>
        <v/>
      </c>
      <c r="CV673" s="66" t="str">
        <f t="shared" si="889"/>
        <v/>
      </c>
      <c r="CW673" s="66" t="str">
        <f>+IF($W673="","",ROUND((CT673*Parámetros!$G$85),2))</f>
        <v/>
      </c>
      <c r="CX673" s="66" t="str">
        <f>+IF($W673="","",ROUND((CT673*(Parámetros!$G$86)),2))</f>
        <v/>
      </c>
      <c r="CY673" s="66" t="str">
        <f t="shared" si="890"/>
        <v/>
      </c>
      <c r="CZ673" t="str">
        <f t="shared" si="931"/>
        <v/>
      </c>
      <c r="DA673" s="118" t="str">
        <f t="shared" si="932"/>
        <v/>
      </c>
      <c r="DB673" s="118" t="str">
        <f t="shared" si="933"/>
        <v/>
      </c>
      <c r="DC673" s="118" t="str">
        <f t="shared" si="934"/>
        <v/>
      </c>
      <c r="DD673" s="121" t="str">
        <f>+IF(OR($W673="",DB673=0),"",ROUND((VLOOKUP(ROUNDDOWN($D673-1/frec,0),cob_adi,CO$40,FALSE)*(1+i/frec)^-0.5*(1+Parámetros!$D$103)*(1+rec_fracc)/frec),6))</f>
        <v/>
      </c>
      <c r="DE673" s="66" t="str">
        <f t="shared" si="891"/>
        <v/>
      </c>
      <c r="DF673" s="119" t="str">
        <f t="shared" si="892"/>
        <v/>
      </c>
      <c r="DG673" s="66" t="str">
        <f>+IF($W673="","",ROUND(IF($B673&gt;Parámetros!$D$107,'Tablas Servicio'!DE673+('Tablas Servicio'!DG672-'Tablas Servicio'!DE672),DE673/(1-IF(B673&lt;=10,Parámetros!$D$100,0))),2))</f>
        <v/>
      </c>
      <c r="DH673" s="66" t="str">
        <f t="shared" si="893"/>
        <v/>
      </c>
      <c r="DI673" s="66" t="str">
        <f t="shared" si="893"/>
        <v/>
      </c>
      <c r="DJ673" s="66" t="str">
        <f>+IF($W673="","",ROUND((DG673*Parámetros!$G$85),2))</f>
        <v/>
      </c>
      <c r="DK673" s="66" t="str">
        <f>+IF($W673="","",ROUND((DG673*(Parámetros!$G$86)),2))</f>
        <v/>
      </c>
      <c r="DL673" s="66" t="str">
        <f t="shared" si="894"/>
        <v/>
      </c>
      <c r="DM673" t="str">
        <f t="shared" si="935"/>
        <v/>
      </c>
      <c r="DN673" s="118" t="str">
        <f t="shared" si="936"/>
        <v/>
      </c>
      <c r="DO673" s="118" t="str">
        <f t="shared" si="937"/>
        <v/>
      </c>
      <c r="DP673" s="118" t="str">
        <f t="shared" si="938"/>
        <v/>
      </c>
      <c r="DQ673" s="122" t="str">
        <f>+IF(OR($W673="",DO673=0),"",ROUND((VLOOKUP(ROUNDDOWN($D673-1/frec,0),cob_adi,DB$40,FALSE)*(1+i/frec)^-0.5*(1+Parámetros!$D$103)*(1+rec_fracc)/frec),6))</f>
        <v/>
      </c>
      <c r="DR673" s="66" t="str">
        <f t="shared" si="895"/>
        <v/>
      </c>
      <c r="DS673" s="68" t="str">
        <f t="shared" si="896"/>
        <v/>
      </c>
      <c r="DT673" s="66" t="str">
        <f>+IF($W673="","",ROUND(IF($B673&gt;Parámetros!$D$107,'Tablas Servicio'!DR673+('Tablas Servicio'!DT672-'Tablas Servicio'!DR672),DR673/(1-IF(B673&lt;=10,Parámetros!$D$100,0))),2))</f>
        <v/>
      </c>
      <c r="DU673" s="66" t="str">
        <f t="shared" si="897"/>
        <v/>
      </c>
      <c r="DV673" s="66" t="str">
        <f t="shared" si="897"/>
        <v/>
      </c>
      <c r="DW673" s="66" t="str">
        <f>+IF($W673="","",ROUND((DT673*Parámetros!$G$85),2))</f>
        <v/>
      </c>
      <c r="DX673" s="66" t="str">
        <f>+IF($W673="","",ROUND((DT673*(Parámetros!$G$86)),2))</f>
        <v/>
      </c>
      <c r="DY673" s="66" t="str">
        <f t="shared" si="898"/>
        <v/>
      </c>
      <c r="DZ673" t="str">
        <f t="shared" si="941"/>
        <v/>
      </c>
      <c r="EA673" s="118" t="str">
        <f t="shared" si="941"/>
        <v/>
      </c>
      <c r="EB673" s="118" t="str">
        <f>+IF($W673="","",ROUND(IF(Parámetros!$D$25='TABLAS MORT'!$V$33,EB672,Z673/2),0))</f>
        <v/>
      </c>
      <c r="EC673" s="118" t="str">
        <f t="shared" si="941"/>
        <v/>
      </c>
      <c r="ED673" s="122" t="str">
        <f>+IF(OR($W673="",EB673=0),"",ROUND((VLOOKUP(ROUNDDOWN($D673-1/frec,0),cob_adi,DO$40,FALSE)*(1+i/frec)^-0.5*(1+Parámetros!$D$103)*(1+rec_fracc)/frec),6))</f>
        <v/>
      </c>
      <c r="EE673" s="66" t="str">
        <f t="shared" si="900"/>
        <v/>
      </c>
      <c r="EF673" s="68" t="str">
        <f t="shared" si="901"/>
        <v/>
      </c>
      <c r="EG673" s="66" t="str">
        <f>+IF($W673="","",ROUND(IF($B673&gt;Parámetros!$D$107,'Tablas Servicio'!EE673+('Tablas Servicio'!EG672-'Tablas Servicio'!EE672),EE673/(1-IF(B673&lt;=10,Parámetros!$D$100,0))),2))</f>
        <v/>
      </c>
      <c r="EH673" s="66" t="str">
        <f t="shared" si="902"/>
        <v/>
      </c>
      <c r="EI673" s="66" t="str">
        <f t="shared" si="902"/>
        <v/>
      </c>
      <c r="EJ673" s="66" t="str">
        <f>+IF($W673="","",ROUND((EG673*Parámetros!$G$85),2))</f>
        <v/>
      </c>
      <c r="EK673" s="66" t="str">
        <f>+IF($W673="","",ROUND((EG673*(Parámetros!$G$86)),2))</f>
        <v/>
      </c>
      <c r="EL673" s="66" t="str">
        <f t="shared" si="903"/>
        <v/>
      </c>
    </row>
    <row r="674" spans="1:142" x14ac:dyDescent="0.25">
      <c r="A674" t="str">
        <f>+IF($C674="","",ROUND(VLOOKUP('Tablas Servicio'!B674,Parámetros!$H$100:$J$159,IF(Parámetros!$E$16="F",2,3),FALSE),2))</f>
        <v/>
      </c>
      <c r="B674" t="str">
        <f t="shared" si="854"/>
        <v/>
      </c>
      <c r="C674" s="57" t="str">
        <f>+IF(D674="","",'Tablas Servicio'!C673+1)</f>
        <v/>
      </c>
      <c r="D674" s="56" t="str">
        <f>+IF(D673&lt;edadmaxtabla,D673+1/Parámetros!$E$25,"")</f>
        <v/>
      </c>
      <c r="E674" s="57" t="str">
        <f t="shared" si="864"/>
        <v/>
      </c>
      <c r="F674" s="59" t="str">
        <f t="shared" si="865"/>
        <v/>
      </c>
      <c r="G674" s="66" t="str">
        <f t="shared" si="855"/>
        <v/>
      </c>
      <c r="H674" s="66" t="str">
        <f t="shared" si="856"/>
        <v/>
      </c>
      <c r="I674" s="66" t="str">
        <f t="shared" si="904"/>
        <v/>
      </c>
      <c r="J674" s="66" t="str">
        <f t="shared" si="857"/>
        <v/>
      </c>
      <c r="K674" s="66" t="str">
        <f t="shared" si="858"/>
        <v/>
      </c>
      <c r="L674" s="66" t="str">
        <f t="shared" si="859"/>
        <v/>
      </c>
      <c r="M674" s="66" t="str">
        <f t="shared" si="860"/>
        <v/>
      </c>
      <c r="N674" s="66" t="str">
        <f>+IF(C674="","",ROUND(Parámetros!$D$23,2))</f>
        <v/>
      </c>
      <c r="O674" s="66" t="str">
        <f t="shared" si="861"/>
        <v/>
      </c>
      <c r="P674" s="66" t="str">
        <f>+IF($C674="","",ROUND(IF(B674&gt;Parámetros!$D$117,0,N674*Parámetros!$D$116-G674*Parámetros!$D$100),2))</f>
        <v/>
      </c>
      <c r="Q674" s="75" t="str">
        <f t="shared" si="905"/>
        <v/>
      </c>
      <c r="R674" s="75" t="str">
        <f t="shared" si="906"/>
        <v/>
      </c>
      <c r="S674" s="117" t="str">
        <f>+IF($C674="","",ROUND((S673+I674)*(1+Parámetros!$D$91),2))</f>
        <v/>
      </c>
      <c r="T674" s="117" t="str">
        <f>+IF($C674="","",ROUND(S674*VLOOKUP(B674,Parámetros!$C$30:$D$39,2,TRUE),2))</f>
        <v/>
      </c>
      <c r="U674" s="117" t="str">
        <f>+IF($C674="","",ROUND((U673+I674)*(1+Parámetros!$D$92),2))</f>
        <v/>
      </c>
      <c r="V674" s="117" t="str">
        <f>+IF($C674="","",ROUND(U674*VLOOKUP(B674,Parámetros!$C$30:$D$39,2,TRUE),2))</f>
        <v/>
      </c>
      <c r="W674" s="57" t="str">
        <f t="shared" si="907"/>
        <v/>
      </c>
      <c r="X674" t="str">
        <f t="shared" si="908"/>
        <v/>
      </c>
      <c r="Y674" t="str">
        <f t="shared" si="909"/>
        <v/>
      </c>
      <c r="Z674" s="118" t="str">
        <f>+IF($W674="","",ROUND(IF(Parámetros!$D$25='TABLAS MORT'!$V$33,Z673,Parámetros!$D$21-'Tablas Servicio'!T673),0))</f>
        <v/>
      </c>
      <c r="AA674" s="118" t="str">
        <f t="shared" si="910"/>
        <v/>
      </c>
      <c r="AB674" s="119" t="str">
        <f>+IF(W674="","",ROUND((VLOOKUP(ROUNDDOWN($D674-1/frec,0),qx_tabla,2,FALSE)*(1+i/frec)^-0.5*(1+Parámetros!$D$103)*(1+rec_fracc)/frec),6))</f>
        <v/>
      </c>
      <c r="AC674" s="66" t="str">
        <f t="shared" si="866"/>
        <v/>
      </c>
      <c r="AD674" s="119" t="str">
        <f t="shared" si="862"/>
        <v/>
      </c>
      <c r="AE674" s="66" t="str">
        <f>+IF($W674="","",ROUND(IF($B674&gt;Parámetros!$D$107,'Tablas Servicio'!AC674+('Tablas Servicio'!AG673-'Tablas Servicio'!AC673),AC674/(1-IF(B674&lt;=10,Parámetros!$D$104,Parámetros!$D$105))),2))</f>
        <v/>
      </c>
      <c r="AF674" s="66" t="str">
        <f>+IF($W674="","",ROUND(IF($B674&gt;Parámetros!$D$107,'Tablas Servicio'!AC674+('Tablas Servicio'!AG673-'Tablas Servicio'!AC673),(AC674+$A673/frec)/(1-IF(B674&lt;=Parámetros!$D$117,Parámetros!$D$100,0))),2))</f>
        <v/>
      </c>
      <c r="AG674" s="66" t="str">
        <f t="shared" si="867"/>
        <v/>
      </c>
      <c r="AH674" s="66" t="str">
        <f t="shared" si="868"/>
        <v/>
      </c>
      <c r="AI674" s="66" t="str">
        <f t="shared" si="869"/>
        <v/>
      </c>
      <c r="AJ674" s="66" t="str">
        <f>+IF($W674="","",ROUND((AG674*Parámetros!$G$85),2))</f>
        <v/>
      </c>
      <c r="AK674" s="66" t="str">
        <f>+IF($W674="","",ROUND((AG674*(Parámetros!$G$86)),2))</f>
        <v/>
      </c>
      <c r="AL674" s="66" t="str">
        <f t="shared" si="863"/>
        <v/>
      </c>
      <c r="AM674" t="str">
        <f t="shared" si="911"/>
        <v/>
      </c>
      <c r="AN674" t="str">
        <f t="shared" si="912"/>
        <v/>
      </c>
      <c r="AO674" s="118" t="str">
        <f t="shared" si="913"/>
        <v/>
      </c>
      <c r="AP674" s="118" t="str">
        <f t="shared" si="914"/>
        <v/>
      </c>
      <c r="AQ674" s="119" t="str">
        <f>+IF(OR($W674="",AO674=0),"",ROUND((VLOOKUP(ROUNDDOWN($D674-1/frec,0),cob_adi,Z$40,FALSE)*(1+i/frec)^-0.5*(1+Parámetros!$D$103)*(1+rec_fracc)/frec),6))</f>
        <v/>
      </c>
      <c r="AR674" s="66" t="str">
        <f t="shared" si="870"/>
        <v/>
      </c>
      <c r="AS674" s="119" t="str">
        <f t="shared" si="871"/>
        <v/>
      </c>
      <c r="AT674" s="66" t="str">
        <f>+IF($W674="","",ROUND(IF($B674&gt;Parámetros!$D$107,'Tablas Servicio'!AR674+('Tablas Servicio'!AT673-'Tablas Servicio'!AR673),AR674/(1-IF(B674&lt;=10,Parámetros!$D$100,0))),2))</f>
        <v/>
      </c>
      <c r="AU674" s="66" t="str">
        <f t="shared" si="872"/>
        <v/>
      </c>
      <c r="AV674" s="66" t="str">
        <f t="shared" si="872"/>
        <v/>
      </c>
      <c r="AW674" s="66" t="str">
        <f>+IF($W674="","",ROUND((AT674*Parámetros!$G$85),2))</f>
        <v/>
      </c>
      <c r="AX674" s="66" t="str">
        <f>+IF($W674="","",ROUND((AT674*(Parámetros!$G$86)),2))</f>
        <v/>
      </c>
      <c r="AY674" s="66" t="str">
        <f t="shared" si="873"/>
        <v/>
      </c>
      <c r="AZ674" t="str">
        <f t="shared" si="915"/>
        <v/>
      </c>
      <c r="BA674" t="str">
        <f t="shared" si="916"/>
        <v/>
      </c>
      <c r="BB674" s="118" t="str">
        <f t="shared" si="917"/>
        <v/>
      </c>
      <c r="BC674" s="118" t="str">
        <f t="shared" si="918"/>
        <v/>
      </c>
      <c r="BD674" s="119" t="str">
        <f>+IF(OR($W674="",BB674=0),"",ROUND((VLOOKUP(ROUNDDOWN($D674-1/frec,0),cob_adi,AO$40,FALSE)*(1+i/frec)^-0.5*(1+Parámetros!$D$103)*(1+rec_fracc)/frec),6))</f>
        <v/>
      </c>
      <c r="BE674" s="66" t="str">
        <f t="shared" si="874"/>
        <v/>
      </c>
      <c r="BF674" s="119" t="str">
        <f t="shared" si="875"/>
        <v/>
      </c>
      <c r="BG674" s="66" t="str">
        <f>+IF($W674="","",ROUND(IF($B674&gt;Parámetros!$D$107,'Tablas Servicio'!BE674+('Tablas Servicio'!BG673-'Tablas Servicio'!BE673),BE674/(1-IF(B674&lt;=10,Parámetros!$D$100,0))),2))</f>
        <v/>
      </c>
      <c r="BH674" s="66" t="str">
        <f t="shared" si="876"/>
        <v/>
      </c>
      <c r="BI674" s="66" t="str">
        <f t="shared" si="877"/>
        <v/>
      </c>
      <c r="BJ674" s="66" t="str">
        <f>+IF($W674="","",ROUND((BG674*Parámetros!$G$85),2))</f>
        <v/>
      </c>
      <c r="BK674" s="66" t="str">
        <f>+IF($W674="","",ROUND((BG674*(Parámetros!$G$86)),2))</f>
        <v/>
      </c>
      <c r="BL674" s="66" t="str">
        <f t="shared" si="878"/>
        <v/>
      </c>
      <c r="BM674" t="str">
        <f t="shared" si="919"/>
        <v/>
      </c>
      <c r="BN674" t="str">
        <f t="shared" si="920"/>
        <v/>
      </c>
      <c r="BO674" s="118" t="str">
        <f t="shared" si="921"/>
        <v/>
      </c>
      <c r="BP674" s="118" t="str">
        <f t="shared" si="922"/>
        <v/>
      </c>
      <c r="BQ674" s="119" t="str">
        <f>+IF(OR($W674="",BO674=0),"",ROUND((VLOOKUP(ROUNDDOWN($D674-1/frec,0),cob_adi,BB$40,FALSE)*(1+i/frec)^-0.5*(1+Parámetros!$D$103)*(1+rec_fracc)/frec),6))</f>
        <v/>
      </c>
      <c r="BR674" s="66" t="str">
        <f t="shared" si="879"/>
        <v/>
      </c>
      <c r="BS674" s="119" t="str">
        <f t="shared" si="880"/>
        <v/>
      </c>
      <c r="BT674" s="66" t="str">
        <f>+IF($W674="","",ROUND(IF($B674&gt;Parámetros!$D$107,'Tablas Servicio'!BR674+('Tablas Servicio'!BT673-'Tablas Servicio'!BR673),BR674/(1-IF(B674&lt;=10,Parámetros!$D$100,0))),2))</f>
        <v/>
      </c>
      <c r="BU674" s="66" t="str">
        <f t="shared" si="881"/>
        <v/>
      </c>
      <c r="BV674" s="66" t="str">
        <f t="shared" si="881"/>
        <v/>
      </c>
      <c r="BW674" s="66" t="str">
        <f>+IF($W674="","",ROUND((BT674*Parámetros!$G$85),2))</f>
        <v/>
      </c>
      <c r="BX674" s="66" t="str">
        <f>+IF($W674="","",ROUND((BT674*(Parámetros!$G$86)),2))</f>
        <v/>
      </c>
      <c r="BY674" s="66" t="str">
        <f t="shared" si="882"/>
        <v/>
      </c>
      <c r="BZ674" t="str">
        <f t="shared" si="923"/>
        <v/>
      </c>
      <c r="CA674" t="str">
        <f t="shared" si="924"/>
        <v/>
      </c>
      <c r="CB674" s="118" t="str">
        <f t="shared" si="925"/>
        <v/>
      </c>
      <c r="CC674" s="118" t="str">
        <f t="shared" si="926"/>
        <v/>
      </c>
      <c r="CD674" s="119" t="str">
        <f t="shared" si="883"/>
        <v/>
      </c>
      <c r="CE674" s="66" t="str">
        <f>+IF($W674="","",ROUND((VLOOKUP(ROUNDDOWN($D674-1/frec,0),cob_adi,BO$40,FALSE)*(1+i/frec)^-0.5*(1+Parámetros!$D$103)*(1+rec_fracc)/frec*'TABLAS ADI'!$BC$17),2))</f>
        <v/>
      </c>
      <c r="CF674" s="119" t="str">
        <f t="shared" si="884"/>
        <v/>
      </c>
      <c r="CG674" s="66" t="str">
        <f>+IF($W674="","",ROUND(IF($B674&gt;Parámetros!$D$107,'Tablas Servicio'!CE674+('Tablas Servicio'!CG673-'Tablas Servicio'!CE673),CE674/(1-IF(B674&lt;=10,Parámetros!$D$100,0))),2))</f>
        <v/>
      </c>
      <c r="CH674" s="66" t="str">
        <f t="shared" si="885"/>
        <v/>
      </c>
      <c r="CI674" s="66" t="str">
        <f t="shared" si="885"/>
        <v/>
      </c>
      <c r="CJ674" s="66" t="str">
        <f>+IF($W674="","",ROUND((CG674*Parámetros!$G$85),2))</f>
        <v/>
      </c>
      <c r="CK674" s="66" t="str">
        <f>+IF($W674="","",ROUND((CG674*(Parámetros!$G$86)),2))</f>
        <v/>
      </c>
      <c r="CL674" s="66" t="str">
        <f t="shared" si="886"/>
        <v/>
      </c>
      <c r="CM674" t="str">
        <f t="shared" si="927"/>
        <v/>
      </c>
      <c r="CN674" s="118" t="str">
        <f t="shared" si="928"/>
        <v/>
      </c>
      <c r="CO674" s="118" t="str">
        <f t="shared" si="929"/>
        <v/>
      </c>
      <c r="CP674" s="118" t="str">
        <f t="shared" si="930"/>
        <v/>
      </c>
      <c r="CQ674" s="119" t="str">
        <f t="shared" si="887"/>
        <v/>
      </c>
      <c r="CR674" s="66" t="str">
        <f>+IF($W674="","",ROUND((VLOOKUP(Parámetros!$F$51,'COBERTURAS ADICIONALES'!$S$4:$T$32,2,FALSE)*(1+i/frec)^-0.5*(1+Parámetros!$D$103)*(1+rec_fracc)/frec*$CO$42),2))</f>
        <v/>
      </c>
      <c r="CS674" s="119" t="str">
        <f t="shared" si="888"/>
        <v/>
      </c>
      <c r="CT674" s="66" t="str">
        <f>+IF($W674="","",ROUND(IF($B674&gt;Parámetros!$D$107,'Tablas Servicio'!CR674+('Tablas Servicio'!CT673-'Tablas Servicio'!CR673),CR674/(1-IF(B674&lt;=10,Parámetros!$D$100,0))),2))</f>
        <v/>
      </c>
      <c r="CU674" s="66" t="str">
        <f t="shared" si="889"/>
        <v/>
      </c>
      <c r="CV674" s="66" t="str">
        <f t="shared" si="889"/>
        <v/>
      </c>
      <c r="CW674" s="66" t="str">
        <f>+IF($W674="","",ROUND((CT674*Parámetros!$G$85),2))</f>
        <v/>
      </c>
      <c r="CX674" s="66" t="str">
        <f>+IF($W674="","",ROUND((CT674*(Parámetros!$G$86)),2))</f>
        <v/>
      </c>
      <c r="CY674" s="66" t="str">
        <f t="shared" si="890"/>
        <v/>
      </c>
      <c r="CZ674" t="str">
        <f t="shared" si="931"/>
        <v/>
      </c>
      <c r="DA674" s="118" t="str">
        <f t="shared" si="932"/>
        <v/>
      </c>
      <c r="DB674" s="118" t="str">
        <f t="shared" si="933"/>
        <v/>
      </c>
      <c r="DC674" s="118" t="str">
        <f t="shared" si="934"/>
        <v/>
      </c>
      <c r="DD674" s="121" t="str">
        <f>+IF(OR($W674="",DB674=0),"",ROUND((VLOOKUP(ROUNDDOWN($D674-1/frec,0),cob_adi,CO$40,FALSE)*(1+i/frec)^-0.5*(1+Parámetros!$D$103)*(1+rec_fracc)/frec),6))</f>
        <v/>
      </c>
      <c r="DE674" s="66" t="str">
        <f t="shared" si="891"/>
        <v/>
      </c>
      <c r="DF674" s="119" t="str">
        <f t="shared" si="892"/>
        <v/>
      </c>
      <c r="DG674" s="66" t="str">
        <f>+IF($W674="","",ROUND(IF($B674&gt;Parámetros!$D$107,'Tablas Servicio'!DE674+('Tablas Servicio'!DG673-'Tablas Servicio'!DE673),DE674/(1-IF(B674&lt;=10,Parámetros!$D$100,0))),2))</f>
        <v/>
      </c>
      <c r="DH674" s="66" t="str">
        <f t="shared" si="893"/>
        <v/>
      </c>
      <c r="DI674" s="66" t="str">
        <f t="shared" si="893"/>
        <v/>
      </c>
      <c r="DJ674" s="66" t="str">
        <f>+IF($W674="","",ROUND((DG674*Parámetros!$G$85),2))</f>
        <v/>
      </c>
      <c r="DK674" s="66" t="str">
        <f>+IF($W674="","",ROUND((DG674*(Parámetros!$G$86)),2))</f>
        <v/>
      </c>
      <c r="DL674" s="66" t="str">
        <f t="shared" si="894"/>
        <v/>
      </c>
      <c r="DM674" t="str">
        <f t="shared" si="935"/>
        <v/>
      </c>
      <c r="DN674" s="118" t="str">
        <f t="shared" si="936"/>
        <v/>
      </c>
      <c r="DO674" s="118" t="str">
        <f t="shared" si="937"/>
        <v/>
      </c>
      <c r="DP674" s="118" t="str">
        <f t="shared" si="938"/>
        <v/>
      </c>
      <c r="DQ674" s="122" t="str">
        <f>+IF(OR($W674="",DO674=0),"",ROUND((VLOOKUP(ROUNDDOWN($D674-1/frec,0),cob_adi,DB$40,FALSE)*(1+i/frec)^-0.5*(1+Parámetros!$D$103)*(1+rec_fracc)/frec),6))</f>
        <v/>
      </c>
      <c r="DR674" s="66" t="str">
        <f t="shared" si="895"/>
        <v/>
      </c>
      <c r="DS674" s="68" t="str">
        <f t="shared" si="896"/>
        <v/>
      </c>
      <c r="DT674" s="66" t="str">
        <f>+IF($W674="","",ROUND(IF($B674&gt;Parámetros!$D$107,'Tablas Servicio'!DR674+('Tablas Servicio'!DT673-'Tablas Servicio'!DR673),DR674/(1-IF(B674&lt;=10,Parámetros!$D$100,0))),2))</f>
        <v/>
      </c>
      <c r="DU674" s="66" t="str">
        <f t="shared" si="897"/>
        <v/>
      </c>
      <c r="DV674" s="66" t="str">
        <f t="shared" si="897"/>
        <v/>
      </c>
      <c r="DW674" s="66" t="str">
        <f>+IF($W674="","",ROUND((DT674*Parámetros!$G$85),2))</f>
        <v/>
      </c>
      <c r="DX674" s="66" t="str">
        <f>+IF($W674="","",ROUND((DT674*(Parámetros!$G$86)),2))</f>
        <v/>
      </c>
      <c r="DY674" s="66" t="str">
        <f t="shared" si="898"/>
        <v/>
      </c>
      <c r="DZ674" t="str">
        <f t="shared" si="941"/>
        <v/>
      </c>
      <c r="EA674" s="118" t="str">
        <f t="shared" si="941"/>
        <v/>
      </c>
      <c r="EB674" s="118" t="str">
        <f>+IF($W674="","",ROUND(IF(Parámetros!$D$25='TABLAS MORT'!$V$33,EB673,Z674/2),0))</f>
        <v/>
      </c>
      <c r="EC674" s="118" t="str">
        <f t="shared" si="941"/>
        <v/>
      </c>
      <c r="ED674" s="122" t="str">
        <f>+IF(OR($W674="",EB674=0),"",ROUND((VLOOKUP(ROUNDDOWN($D674-1/frec,0),cob_adi,DO$40,FALSE)*(1+i/frec)^-0.5*(1+Parámetros!$D$103)*(1+rec_fracc)/frec),6))</f>
        <v/>
      </c>
      <c r="EE674" s="66" t="str">
        <f t="shared" si="900"/>
        <v/>
      </c>
      <c r="EF674" s="68" t="str">
        <f t="shared" si="901"/>
        <v/>
      </c>
      <c r="EG674" s="66" t="str">
        <f>+IF($W674="","",ROUND(IF($B674&gt;Parámetros!$D$107,'Tablas Servicio'!EE674+('Tablas Servicio'!EG673-'Tablas Servicio'!EE673),EE674/(1-IF(B674&lt;=10,Parámetros!$D$100,0))),2))</f>
        <v/>
      </c>
      <c r="EH674" s="66" t="str">
        <f t="shared" si="902"/>
        <v/>
      </c>
      <c r="EI674" s="66" t="str">
        <f t="shared" si="902"/>
        <v/>
      </c>
      <c r="EJ674" s="66" t="str">
        <f>+IF($W674="","",ROUND((EG674*Parámetros!$G$85),2))</f>
        <v/>
      </c>
      <c r="EK674" s="66" t="str">
        <f>+IF($W674="","",ROUND((EG674*(Parámetros!$G$86)),2))</f>
        <v/>
      </c>
      <c r="EL674" s="66" t="str">
        <f t="shared" si="903"/>
        <v/>
      </c>
    </row>
    <row r="675" spans="1:142" x14ac:dyDescent="0.25">
      <c r="A675" t="str">
        <f>+IF($C675="","",ROUND(VLOOKUP('Tablas Servicio'!B675,Parámetros!$H$100:$J$159,IF(Parámetros!$E$16="F",2,3),FALSE),2))</f>
        <v/>
      </c>
      <c r="B675" t="str">
        <f t="shared" si="854"/>
        <v/>
      </c>
      <c r="C675" s="57" t="str">
        <f>+IF(D675="","",'Tablas Servicio'!C674+1)</f>
        <v/>
      </c>
      <c r="D675" s="56" t="str">
        <f>+IF(D674&lt;edadmaxtabla,D674+1/Parámetros!$E$25,"")</f>
        <v/>
      </c>
      <c r="E675" s="57" t="str">
        <f t="shared" si="864"/>
        <v/>
      </c>
      <c r="F675" s="59" t="str">
        <f t="shared" si="865"/>
        <v/>
      </c>
      <c r="G675" s="66" t="str">
        <f t="shared" si="855"/>
        <v/>
      </c>
      <c r="H675" s="66" t="str">
        <f t="shared" si="856"/>
        <v/>
      </c>
      <c r="I675" s="66" t="str">
        <f t="shared" si="904"/>
        <v/>
      </c>
      <c r="J675" s="66" t="str">
        <f t="shared" si="857"/>
        <v/>
      </c>
      <c r="K675" s="66" t="str">
        <f t="shared" si="858"/>
        <v/>
      </c>
      <c r="L675" s="66" t="str">
        <f t="shared" si="859"/>
        <v/>
      </c>
      <c r="M675" s="66" t="str">
        <f t="shared" si="860"/>
        <v/>
      </c>
      <c r="N675" s="66" t="str">
        <f>+IF(C675="","",ROUND(Parámetros!$D$23,2))</f>
        <v/>
      </c>
      <c r="O675" s="66" t="str">
        <f t="shared" si="861"/>
        <v/>
      </c>
      <c r="P675" s="66" t="str">
        <f>+IF($C675="","",ROUND(IF(B675&gt;Parámetros!$D$117,0,N675*Parámetros!$D$116-G675*Parámetros!$D$100),2))</f>
        <v/>
      </c>
      <c r="Q675" s="75" t="str">
        <f t="shared" si="905"/>
        <v/>
      </c>
      <c r="R675" s="75" t="str">
        <f t="shared" si="906"/>
        <v/>
      </c>
      <c r="S675" s="117" t="str">
        <f>+IF($C675="","",ROUND((S674+I675)*(1+Parámetros!$D$91),2))</f>
        <v/>
      </c>
      <c r="T675" s="117" t="str">
        <f>+IF($C675="","",ROUND(S675*VLOOKUP(B675,Parámetros!$C$30:$D$39,2,TRUE),2))</f>
        <v/>
      </c>
      <c r="U675" s="117" t="str">
        <f>+IF($C675="","",ROUND((U674+I675)*(1+Parámetros!$D$92),2))</f>
        <v/>
      </c>
      <c r="V675" s="117" t="str">
        <f>+IF($C675="","",ROUND(U675*VLOOKUP(B675,Parámetros!$C$30:$D$39,2,TRUE),2))</f>
        <v/>
      </c>
      <c r="W675" s="57" t="str">
        <f t="shared" si="907"/>
        <v/>
      </c>
      <c r="X675" t="str">
        <f t="shared" si="908"/>
        <v/>
      </c>
      <c r="Y675" t="str">
        <f t="shared" si="909"/>
        <v/>
      </c>
      <c r="Z675" s="118" t="str">
        <f>+IF($W675="","",ROUND(IF(Parámetros!$D$25='TABLAS MORT'!$V$33,Z674,Parámetros!$D$21-'Tablas Servicio'!T674),0))</f>
        <v/>
      </c>
      <c r="AA675" s="118" t="str">
        <f t="shared" si="910"/>
        <v/>
      </c>
      <c r="AB675" s="119" t="str">
        <f>+IF(W675="","",ROUND((VLOOKUP(ROUNDDOWN($D675-1/frec,0),qx_tabla,2,FALSE)*(1+i/frec)^-0.5*(1+Parámetros!$D$103)*(1+rec_fracc)/frec),6))</f>
        <v/>
      </c>
      <c r="AC675" s="66" t="str">
        <f t="shared" si="866"/>
        <v/>
      </c>
      <c r="AD675" s="119" t="str">
        <f t="shared" si="862"/>
        <v/>
      </c>
      <c r="AE675" s="66" t="str">
        <f>+IF($W675="","",ROUND(IF($B675&gt;Parámetros!$D$107,'Tablas Servicio'!AC675+('Tablas Servicio'!AG674-'Tablas Servicio'!AC674),AC675/(1-IF(B675&lt;=10,Parámetros!$D$104,Parámetros!$D$105))),2))</f>
        <v/>
      </c>
      <c r="AF675" s="66" t="str">
        <f>+IF($W675="","",ROUND(IF($B675&gt;Parámetros!$D$107,'Tablas Servicio'!AC675+('Tablas Servicio'!AG674-'Tablas Servicio'!AC674),(AC675+$A674/frec)/(1-IF(B675&lt;=Parámetros!$D$117,Parámetros!$D$100,0))),2))</f>
        <v/>
      </c>
      <c r="AG675" s="66" t="str">
        <f t="shared" si="867"/>
        <v/>
      </c>
      <c r="AH675" s="66" t="str">
        <f t="shared" si="868"/>
        <v/>
      </c>
      <c r="AI675" s="66" t="str">
        <f t="shared" si="869"/>
        <v/>
      </c>
      <c r="AJ675" s="66" t="str">
        <f>+IF($W675="","",ROUND((AG675*Parámetros!$G$85),2))</f>
        <v/>
      </c>
      <c r="AK675" s="66" t="str">
        <f>+IF($W675="","",ROUND((AG675*(Parámetros!$G$86)),2))</f>
        <v/>
      </c>
      <c r="AL675" s="66" t="str">
        <f t="shared" si="863"/>
        <v/>
      </c>
      <c r="AM675" t="str">
        <f t="shared" si="911"/>
        <v/>
      </c>
      <c r="AN675" t="str">
        <f t="shared" si="912"/>
        <v/>
      </c>
      <c r="AO675" s="118" t="str">
        <f t="shared" si="913"/>
        <v/>
      </c>
      <c r="AP675" s="118" t="str">
        <f t="shared" si="914"/>
        <v/>
      </c>
      <c r="AQ675" s="119" t="str">
        <f>+IF(OR($W675="",AO675=0),"",ROUND((VLOOKUP(ROUNDDOWN($D675-1/frec,0),cob_adi,Z$40,FALSE)*(1+i/frec)^-0.5*(1+Parámetros!$D$103)*(1+rec_fracc)/frec),6))</f>
        <v/>
      </c>
      <c r="AR675" s="66" t="str">
        <f t="shared" si="870"/>
        <v/>
      </c>
      <c r="AS675" s="119" t="str">
        <f t="shared" si="871"/>
        <v/>
      </c>
      <c r="AT675" s="66" t="str">
        <f>+IF($W675="","",ROUND(IF($B675&gt;Parámetros!$D$107,'Tablas Servicio'!AR675+('Tablas Servicio'!AT674-'Tablas Servicio'!AR674),AR675/(1-IF(B675&lt;=10,Parámetros!$D$100,0))),2))</f>
        <v/>
      </c>
      <c r="AU675" s="66" t="str">
        <f t="shared" si="872"/>
        <v/>
      </c>
      <c r="AV675" s="66" t="str">
        <f t="shared" si="872"/>
        <v/>
      </c>
      <c r="AW675" s="66" t="str">
        <f>+IF($W675="","",ROUND((AT675*Parámetros!$G$85),2))</f>
        <v/>
      </c>
      <c r="AX675" s="66" t="str">
        <f>+IF($W675="","",ROUND((AT675*(Parámetros!$G$86)),2))</f>
        <v/>
      </c>
      <c r="AY675" s="66" t="str">
        <f t="shared" si="873"/>
        <v/>
      </c>
      <c r="AZ675" t="str">
        <f t="shared" si="915"/>
        <v/>
      </c>
      <c r="BA675" t="str">
        <f t="shared" si="916"/>
        <v/>
      </c>
      <c r="BB675" s="118" t="str">
        <f t="shared" si="917"/>
        <v/>
      </c>
      <c r="BC675" s="118" t="str">
        <f t="shared" si="918"/>
        <v/>
      </c>
      <c r="BD675" s="119" t="str">
        <f>+IF(OR($W675="",BB675=0),"",ROUND((VLOOKUP(ROUNDDOWN($D675-1/frec,0),cob_adi,AO$40,FALSE)*(1+i/frec)^-0.5*(1+Parámetros!$D$103)*(1+rec_fracc)/frec),6))</f>
        <v/>
      </c>
      <c r="BE675" s="66" t="str">
        <f t="shared" si="874"/>
        <v/>
      </c>
      <c r="BF675" s="119" t="str">
        <f t="shared" si="875"/>
        <v/>
      </c>
      <c r="BG675" s="66" t="str">
        <f>+IF($W675="","",ROUND(IF($B675&gt;Parámetros!$D$107,'Tablas Servicio'!BE675+('Tablas Servicio'!BG674-'Tablas Servicio'!BE674),BE675/(1-IF(B675&lt;=10,Parámetros!$D$100,0))),2))</f>
        <v/>
      </c>
      <c r="BH675" s="66" t="str">
        <f t="shared" si="876"/>
        <v/>
      </c>
      <c r="BI675" s="66" t="str">
        <f t="shared" si="877"/>
        <v/>
      </c>
      <c r="BJ675" s="66" t="str">
        <f>+IF($W675="","",ROUND((BG675*Parámetros!$G$85),2))</f>
        <v/>
      </c>
      <c r="BK675" s="66" t="str">
        <f>+IF($W675="","",ROUND((BG675*(Parámetros!$G$86)),2))</f>
        <v/>
      </c>
      <c r="BL675" s="66" t="str">
        <f t="shared" si="878"/>
        <v/>
      </c>
      <c r="BM675" t="str">
        <f t="shared" si="919"/>
        <v/>
      </c>
      <c r="BN675" t="str">
        <f t="shared" si="920"/>
        <v/>
      </c>
      <c r="BO675" s="118" t="str">
        <f t="shared" si="921"/>
        <v/>
      </c>
      <c r="BP675" s="118" t="str">
        <f t="shared" si="922"/>
        <v/>
      </c>
      <c r="BQ675" s="119" t="str">
        <f>+IF(OR($W675="",BO675=0),"",ROUND((VLOOKUP(ROUNDDOWN($D675-1/frec,0),cob_adi,BB$40,FALSE)*(1+i/frec)^-0.5*(1+Parámetros!$D$103)*(1+rec_fracc)/frec),6))</f>
        <v/>
      </c>
      <c r="BR675" s="66" t="str">
        <f t="shared" si="879"/>
        <v/>
      </c>
      <c r="BS675" s="119" t="str">
        <f t="shared" si="880"/>
        <v/>
      </c>
      <c r="BT675" s="66" t="str">
        <f>+IF($W675="","",ROUND(IF($B675&gt;Parámetros!$D$107,'Tablas Servicio'!BR675+('Tablas Servicio'!BT674-'Tablas Servicio'!BR674),BR675/(1-IF(B675&lt;=10,Parámetros!$D$100,0))),2))</f>
        <v/>
      </c>
      <c r="BU675" s="66" t="str">
        <f t="shared" si="881"/>
        <v/>
      </c>
      <c r="BV675" s="66" t="str">
        <f t="shared" si="881"/>
        <v/>
      </c>
      <c r="BW675" s="66" t="str">
        <f>+IF($W675="","",ROUND((BT675*Parámetros!$G$85),2))</f>
        <v/>
      </c>
      <c r="BX675" s="66" t="str">
        <f>+IF($W675="","",ROUND((BT675*(Parámetros!$G$86)),2))</f>
        <v/>
      </c>
      <c r="BY675" s="66" t="str">
        <f t="shared" si="882"/>
        <v/>
      </c>
      <c r="BZ675" t="str">
        <f t="shared" si="923"/>
        <v/>
      </c>
      <c r="CA675" t="str">
        <f t="shared" si="924"/>
        <v/>
      </c>
      <c r="CB675" s="118" t="str">
        <f t="shared" si="925"/>
        <v/>
      </c>
      <c r="CC675" s="118" t="str">
        <f t="shared" si="926"/>
        <v/>
      </c>
      <c r="CD675" s="119" t="str">
        <f t="shared" si="883"/>
        <v/>
      </c>
      <c r="CE675" s="66" t="str">
        <f>+IF($W675="","",ROUND((VLOOKUP(ROUNDDOWN($D675-1/frec,0),cob_adi,BO$40,FALSE)*(1+i/frec)^-0.5*(1+Parámetros!$D$103)*(1+rec_fracc)/frec*'TABLAS ADI'!$BC$17),2))</f>
        <v/>
      </c>
      <c r="CF675" s="119" t="str">
        <f t="shared" si="884"/>
        <v/>
      </c>
      <c r="CG675" s="66" t="str">
        <f>+IF($W675="","",ROUND(IF($B675&gt;Parámetros!$D$107,'Tablas Servicio'!CE675+('Tablas Servicio'!CG674-'Tablas Servicio'!CE674),CE675/(1-IF(B675&lt;=10,Parámetros!$D$100,0))),2))</f>
        <v/>
      </c>
      <c r="CH675" s="66" t="str">
        <f t="shared" si="885"/>
        <v/>
      </c>
      <c r="CI675" s="66" t="str">
        <f t="shared" si="885"/>
        <v/>
      </c>
      <c r="CJ675" s="66" t="str">
        <f>+IF($W675="","",ROUND((CG675*Parámetros!$G$85),2))</f>
        <v/>
      </c>
      <c r="CK675" s="66" t="str">
        <f>+IF($W675="","",ROUND((CG675*(Parámetros!$G$86)),2))</f>
        <v/>
      </c>
      <c r="CL675" s="66" t="str">
        <f t="shared" si="886"/>
        <v/>
      </c>
      <c r="CM675" t="str">
        <f t="shared" si="927"/>
        <v/>
      </c>
      <c r="CN675" s="118" t="str">
        <f t="shared" si="928"/>
        <v/>
      </c>
      <c r="CO675" s="118" t="str">
        <f t="shared" si="929"/>
        <v/>
      </c>
      <c r="CP675" s="118" t="str">
        <f t="shared" si="930"/>
        <v/>
      </c>
      <c r="CQ675" s="119" t="str">
        <f t="shared" si="887"/>
        <v/>
      </c>
      <c r="CR675" s="66" t="str">
        <f>+IF($W675="","",ROUND((VLOOKUP(Parámetros!$F$51,'COBERTURAS ADICIONALES'!$S$4:$T$32,2,FALSE)*(1+i/frec)^-0.5*(1+Parámetros!$D$103)*(1+rec_fracc)/frec*$CO$42),2))</f>
        <v/>
      </c>
      <c r="CS675" s="119" t="str">
        <f t="shared" si="888"/>
        <v/>
      </c>
      <c r="CT675" s="66" t="str">
        <f>+IF($W675="","",ROUND(IF($B675&gt;Parámetros!$D$107,'Tablas Servicio'!CR675+('Tablas Servicio'!CT674-'Tablas Servicio'!CR674),CR675/(1-IF(B675&lt;=10,Parámetros!$D$100,0))),2))</f>
        <v/>
      </c>
      <c r="CU675" s="66" t="str">
        <f t="shared" si="889"/>
        <v/>
      </c>
      <c r="CV675" s="66" t="str">
        <f t="shared" si="889"/>
        <v/>
      </c>
      <c r="CW675" s="66" t="str">
        <f>+IF($W675="","",ROUND((CT675*Parámetros!$G$85),2))</f>
        <v/>
      </c>
      <c r="CX675" s="66" t="str">
        <f>+IF($W675="","",ROUND((CT675*(Parámetros!$G$86)),2))</f>
        <v/>
      </c>
      <c r="CY675" s="66" t="str">
        <f t="shared" si="890"/>
        <v/>
      </c>
      <c r="CZ675" t="str">
        <f t="shared" si="931"/>
        <v/>
      </c>
      <c r="DA675" s="118" t="str">
        <f t="shared" si="932"/>
        <v/>
      </c>
      <c r="DB675" s="118" t="str">
        <f t="shared" si="933"/>
        <v/>
      </c>
      <c r="DC675" s="118" t="str">
        <f t="shared" si="934"/>
        <v/>
      </c>
      <c r="DD675" s="121" t="str">
        <f>+IF(OR($W675="",DB675=0),"",ROUND((VLOOKUP(ROUNDDOWN($D675-1/frec,0),cob_adi,CO$40,FALSE)*(1+i/frec)^-0.5*(1+Parámetros!$D$103)*(1+rec_fracc)/frec),6))</f>
        <v/>
      </c>
      <c r="DE675" s="66" t="str">
        <f t="shared" si="891"/>
        <v/>
      </c>
      <c r="DF675" s="119" t="str">
        <f t="shared" si="892"/>
        <v/>
      </c>
      <c r="DG675" s="66" t="str">
        <f>+IF($W675="","",ROUND(IF($B675&gt;Parámetros!$D$107,'Tablas Servicio'!DE675+('Tablas Servicio'!DG674-'Tablas Servicio'!DE674),DE675/(1-IF(B675&lt;=10,Parámetros!$D$100,0))),2))</f>
        <v/>
      </c>
      <c r="DH675" s="66" t="str">
        <f t="shared" si="893"/>
        <v/>
      </c>
      <c r="DI675" s="66" t="str">
        <f t="shared" si="893"/>
        <v/>
      </c>
      <c r="DJ675" s="66" t="str">
        <f>+IF($W675="","",ROUND((DG675*Parámetros!$G$85),2))</f>
        <v/>
      </c>
      <c r="DK675" s="66" t="str">
        <f>+IF($W675="","",ROUND((DG675*(Parámetros!$G$86)),2))</f>
        <v/>
      </c>
      <c r="DL675" s="66" t="str">
        <f t="shared" si="894"/>
        <v/>
      </c>
      <c r="DM675" t="str">
        <f t="shared" si="935"/>
        <v/>
      </c>
      <c r="DN675" s="118" t="str">
        <f t="shared" si="936"/>
        <v/>
      </c>
      <c r="DO675" s="118" t="str">
        <f t="shared" si="937"/>
        <v/>
      </c>
      <c r="DP675" s="118" t="str">
        <f t="shared" si="938"/>
        <v/>
      </c>
      <c r="DQ675" s="122" t="str">
        <f>+IF(OR($W675="",DO675=0),"",ROUND((VLOOKUP(ROUNDDOWN($D675-1/frec,0),cob_adi,DB$40,FALSE)*(1+i/frec)^-0.5*(1+Parámetros!$D$103)*(1+rec_fracc)/frec),6))</f>
        <v/>
      </c>
      <c r="DR675" s="66" t="str">
        <f t="shared" si="895"/>
        <v/>
      </c>
      <c r="DS675" s="68" t="str">
        <f t="shared" si="896"/>
        <v/>
      </c>
      <c r="DT675" s="66" t="str">
        <f>+IF($W675="","",ROUND(IF($B675&gt;Parámetros!$D$107,'Tablas Servicio'!DR675+('Tablas Servicio'!DT674-'Tablas Servicio'!DR674),DR675/(1-IF(B675&lt;=10,Parámetros!$D$100,0))),2))</f>
        <v/>
      </c>
      <c r="DU675" s="66" t="str">
        <f t="shared" si="897"/>
        <v/>
      </c>
      <c r="DV675" s="66" t="str">
        <f t="shared" si="897"/>
        <v/>
      </c>
      <c r="DW675" s="66" t="str">
        <f>+IF($W675="","",ROUND((DT675*Parámetros!$G$85),2))</f>
        <v/>
      </c>
      <c r="DX675" s="66" t="str">
        <f>+IF($W675="","",ROUND((DT675*(Parámetros!$G$86)),2))</f>
        <v/>
      </c>
      <c r="DY675" s="66" t="str">
        <f t="shared" si="898"/>
        <v/>
      </c>
      <c r="DZ675" t="str">
        <f t="shared" si="941"/>
        <v/>
      </c>
      <c r="EA675" s="118" t="str">
        <f t="shared" si="941"/>
        <v/>
      </c>
      <c r="EB675" s="118" t="str">
        <f>+IF($W675="","",ROUND(IF(Parámetros!$D$25='TABLAS MORT'!$V$33,EB674,Z675/2),0))</f>
        <v/>
      </c>
      <c r="EC675" s="118" t="str">
        <f t="shared" si="941"/>
        <v/>
      </c>
      <c r="ED675" s="122" t="str">
        <f>+IF(OR($W675="",EB675=0),"",ROUND((VLOOKUP(ROUNDDOWN($D675-1/frec,0),cob_adi,DO$40,FALSE)*(1+i/frec)^-0.5*(1+Parámetros!$D$103)*(1+rec_fracc)/frec),6))</f>
        <v/>
      </c>
      <c r="EE675" s="66" t="str">
        <f t="shared" si="900"/>
        <v/>
      </c>
      <c r="EF675" s="68" t="str">
        <f t="shared" si="901"/>
        <v/>
      </c>
      <c r="EG675" s="66" t="str">
        <f>+IF($W675="","",ROUND(IF($B675&gt;Parámetros!$D$107,'Tablas Servicio'!EE675+('Tablas Servicio'!EG674-'Tablas Servicio'!EE674),EE675/(1-IF(B675&lt;=10,Parámetros!$D$100,0))),2))</f>
        <v/>
      </c>
      <c r="EH675" s="66" t="str">
        <f t="shared" si="902"/>
        <v/>
      </c>
      <c r="EI675" s="66" t="str">
        <f t="shared" si="902"/>
        <v/>
      </c>
      <c r="EJ675" s="66" t="str">
        <f>+IF($W675="","",ROUND((EG675*Parámetros!$G$85),2))</f>
        <v/>
      </c>
      <c r="EK675" s="66" t="str">
        <f>+IF($W675="","",ROUND((EG675*(Parámetros!$G$86)),2))</f>
        <v/>
      </c>
      <c r="EL675" s="66" t="str">
        <f t="shared" si="903"/>
        <v/>
      </c>
    </row>
    <row r="676" spans="1:142" x14ac:dyDescent="0.25">
      <c r="A676" t="str">
        <f>+IF($C676="","",ROUND(VLOOKUP('Tablas Servicio'!B676,Parámetros!$H$100:$J$159,IF(Parámetros!$E$16="F",2,3),FALSE),2))</f>
        <v/>
      </c>
      <c r="B676" t="str">
        <f t="shared" si="854"/>
        <v/>
      </c>
      <c r="C676" s="57" t="str">
        <f>+IF(D676="","",'Tablas Servicio'!C675+1)</f>
        <v/>
      </c>
      <c r="D676" s="56" t="str">
        <f>+IF(D675&lt;edadmaxtabla,D675+1/Parámetros!$E$25,"")</f>
        <v/>
      </c>
      <c r="E676" s="57" t="str">
        <f t="shared" si="864"/>
        <v/>
      </c>
      <c r="F676" s="59" t="str">
        <f t="shared" si="865"/>
        <v/>
      </c>
      <c r="G676" s="66" t="str">
        <f t="shared" si="855"/>
        <v/>
      </c>
      <c r="H676" s="66" t="str">
        <f t="shared" si="856"/>
        <v/>
      </c>
      <c r="I676" s="66" t="str">
        <f t="shared" si="904"/>
        <v/>
      </c>
      <c r="J676" s="66" t="str">
        <f t="shared" si="857"/>
        <v/>
      </c>
      <c r="K676" s="66" t="str">
        <f t="shared" si="858"/>
        <v/>
      </c>
      <c r="L676" s="66" t="str">
        <f t="shared" si="859"/>
        <v/>
      </c>
      <c r="M676" s="66" t="str">
        <f t="shared" si="860"/>
        <v/>
      </c>
      <c r="N676" s="66" t="str">
        <f>+IF(C676="","",ROUND(Parámetros!$D$23,2))</f>
        <v/>
      </c>
      <c r="O676" s="66" t="str">
        <f t="shared" si="861"/>
        <v/>
      </c>
      <c r="P676" s="66" t="str">
        <f>+IF($C676="","",ROUND(IF(B676&gt;Parámetros!$D$117,0,N676*Parámetros!$D$116-G676*Parámetros!$D$100),2))</f>
        <v/>
      </c>
      <c r="Q676" s="75" t="str">
        <f t="shared" si="905"/>
        <v/>
      </c>
      <c r="R676" s="75" t="str">
        <f t="shared" si="906"/>
        <v/>
      </c>
      <c r="S676" s="117" t="str">
        <f>+IF($C676="","",ROUND((S675+I676)*(1+Parámetros!$D$91),2))</f>
        <v/>
      </c>
      <c r="T676" s="117" t="str">
        <f>+IF($C676="","",ROUND(S676*VLOOKUP(B676,Parámetros!$C$30:$D$39,2,TRUE),2))</f>
        <v/>
      </c>
      <c r="U676" s="117" t="str">
        <f>+IF($C676="","",ROUND((U675+I676)*(1+Parámetros!$D$92),2))</f>
        <v/>
      </c>
      <c r="V676" s="117" t="str">
        <f>+IF($C676="","",ROUND(U676*VLOOKUP(B676,Parámetros!$C$30:$D$39,2,TRUE),2))</f>
        <v/>
      </c>
      <c r="W676" s="57" t="str">
        <f t="shared" si="907"/>
        <v/>
      </c>
      <c r="X676" t="str">
        <f t="shared" si="908"/>
        <v/>
      </c>
      <c r="Y676" t="str">
        <f t="shared" si="909"/>
        <v/>
      </c>
      <c r="Z676" s="118" t="str">
        <f>+IF($W676="","",ROUND(IF(Parámetros!$D$25='TABLAS MORT'!$V$33,Z675,Parámetros!$D$21-'Tablas Servicio'!T675),0))</f>
        <v/>
      </c>
      <c r="AA676" s="118" t="str">
        <f t="shared" si="910"/>
        <v/>
      </c>
      <c r="AB676" s="119" t="str">
        <f>+IF(W676="","",ROUND((VLOOKUP(ROUNDDOWN($D676-1/frec,0),qx_tabla,2,FALSE)*(1+i/frec)^-0.5*(1+Parámetros!$D$103)*(1+rec_fracc)/frec),6))</f>
        <v/>
      </c>
      <c r="AC676" s="66" t="str">
        <f t="shared" si="866"/>
        <v/>
      </c>
      <c r="AD676" s="119" t="str">
        <f t="shared" si="862"/>
        <v/>
      </c>
      <c r="AE676" s="66" t="str">
        <f>+IF($W676="","",ROUND(IF($B676&gt;Parámetros!$D$107,'Tablas Servicio'!AC676+('Tablas Servicio'!AG675-'Tablas Servicio'!AC675),AC676/(1-IF(B676&lt;=10,Parámetros!$D$104,Parámetros!$D$105))),2))</f>
        <v/>
      </c>
      <c r="AF676" s="66" t="str">
        <f>+IF($W676="","",ROUND(IF($B676&gt;Parámetros!$D$107,'Tablas Servicio'!AC676+('Tablas Servicio'!AG675-'Tablas Servicio'!AC675),(AC676+$A675/frec)/(1-IF(B676&lt;=Parámetros!$D$117,Parámetros!$D$100,0))),2))</f>
        <v/>
      </c>
      <c r="AG676" s="66" t="str">
        <f t="shared" si="867"/>
        <v/>
      </c>
      <c r="AH676" s="66" t="str">
        <f t="shared" si="868"/>
        <v/>
      </c>
      <c r="AI676" s="66" t="str">
        <f t="shared" si="869"/>
        <v/>
      </c>
      <c r="AJ676" s="66" t="str">
        <f>+IF($W676="","",ROUND((AG676*Parámetros!$G$85),2))</f>
        <v/>
      </c>
      <c r="AK676" s="66" t="str">
        <f>+IF($W676="","",ROUND((AG676*(Parámetros!$G$86)),2))</f>
        <v/>
      </c>
      <c r="AL676" s="66" t="str">
        <f t="shared" si="863"/>
        <v/>
      </c>
      <c r="AM676" t="str">
        <f t="shared" si="911"/>
        <v/>
      </c>
      <c r="AN676" t="str">
        <f t="shared" si="912"/>
        <v/>
      </c>
      <c r="AO676" s="118" t="str">
        <f t="shared" si="913"/>
        <v/>
      </c>
      <c r="AP676" s="118" t="str">
        <f t="shared" si="914"/>
        <v/>
      </c>
      <c r="AQ676" s="119" t="str">
        <f>+IF(OR($W676="",AO676=0),"",ROUND((VLOOKUP(ROUNDDOWN($D676-1/frec,0),cob_adi,Z$40,FALSE)*(1+i/frec)^-0.5*(1+Parámetros!$D$103)*(1+rec_fracc)/frec),6))</f>
        <v/>
      </c>
      <c r="AR676" s="66" t="str">
        <f t="shared" si="870"/>
        <v/>
      </c>
      <c r="AS676" s="119" t="str">
        <f t="shared" si="871"/>
        <v/>
      </c>
      <c r="AT676" s="66" t="str">
        <f>+IF($W676="","",ROUND(IF($B676&gt;Parámetros!$D$107,'Tablas Servicio'!AR676+('Tablas Servicio'!AT675-'Tablas Servicio'!AR675),AR676/(1-IF(B676&lt;=10,Parámetros!$D$100,0))),2))</f>
        <v/>
      </c>
      <c r="AU676" s="66" t="str">
        <f t="shared" si="872"/>
        <v/>
      </c>
      <c r="AV676" s="66" t="str">
        <f t="shared" si="872"/>
        <v/>
      </c>
      <c r="AW676" s="66" t="str">
        <f>+IF($W676="","",ROUND((AT676*Parámetros!$G$85),2))</f>
        <v/>
      </c>
      <c r="AX676" s="66" t="str">
        <f>+IF($W676="","",ROUND((AT676*(Parámetros!$G$86)),2))</f>
        <v/>
      </c>
      <c r="AY676" s="66" t="str">
        <f t="shared" si="873"/>
        <v/>
      </c>
      <c r="AZ676" t="str">
        <f t="shared" si="915"/>
        <v/>
      </c>
      <c r="BA676" t="str">
        <f t="shared" si="916"/>
        <v/>
      </c>
      <c r="BB676" s="118" t="str">
        <f t="shared" si="917"/>
        <v/>
      </c>
      <c r="BC676" s="118" t="str">
        <f t="shared" si="918"/>
        <v/>
      </c>
      <c r="BD676" s="119" t="str">
        <f>+IF(OR($W676="",BB676=0),"",ROUND((VLOOKUP(ROUNDDOWN($D676-1/frec,0),cob_adi,AO$40,FALSE)*(1+i/frec)^-0.5*(1+Parámetros!$D$103)*(1+rec_fracc)/frec),6))</f>
        <v/>
      </c>
      <c r="BE676" s="66" t="str">
        <f t="shared" si="874"/>
        <v/>
      </c>
      <c r="BF676" s="119" t="str">
        <f t="shared" si="875"/>
        <v/>
      </c>
      <c r="BG676" s="66" t="str">
        <f>+IF($W676="","",ROUND(IF($B676&gt;Parámetros!$D$107,'Tablas Servicio'!BE676+('Tablas Servicio'!BG675-'Tablas Servicio'!BE675),BE676/(1-IF(B676&lt;=10,Parámetros!$D$100,0))),2))</f>
        <v/>
      </c>
      <c r="BH676" s="66" t="str">
        <f t="shared" si="876"/>
        <v/>
      </c>
      <c r="BI676" s="66" t="str">
        <f t="shared" si="877"/>
        <v/>
      </c>
      <c r="BJ676" s="66" t="str">
        <f>+IF($W676="","",ROUND((BG676*Parámetros!$G$85),2))</f>
        <v/>
      </c>
      <c r="BK676" s="66" t="str">
        <f>+IF($W676="","",ROUND((BG676*(Parámetros!$G$86)),2))</f>
        <v/>
      </c>
      <c r="BL676" s="66" t="str">
        <f t="shared" si="878"/>
        <v/>
      </c>
      <c r="BM676" t="str">
        <f t="shared" si="919"/>
        <v/>
      </c>
      <c r="BN676" t="str">
        <f t="shared" si="920"/>
        <v/>
      </c>
      <c r="BO676" s="118" t="str">
        <f t="shared" si="921"/>
        <v/>
      </c>
      <c r="BP676" s="118" t="str">
        <f t="shared" si="922"/>
        <v/>
      </c>
      <c r="BQ676" s="119" t="str">
        <f>+IF(OR($W676="",BO676=0),"",ROUND((VLOOKUP(ROUNDDOWN($D676-1/frec,0),cob_adi,BB$40,FALSE)*(1+i/frec)^-0.5*(1+Parámetros!$D$103)*(1+rec_fracc)/frec),6))</f>
        <v/>
      </c>
      <c r="BR676" s="66" t="str">
        <f t="shared" si="879"/>
        <v/>
      </c>
      <c r="BS676" s="119" t="str">
        <f t="shared" si="880"/>
        <v/>
      </c>
      <c r="BT676" s="66" t="str">
        <f>+IF($W676="","",ROUND(IF($B676&gt;Parámetros!$D$107,'Tablas Servicio'!BR676+('Tablas Servicio'!BT675-'Tablas Servicio'!BR675),BR676/(1-IF(B676&lt;=10,Parámetros!$D$100,0))),2))</f>
        <v/>
      </c>
      <c r="BU676" s="66" t="str">
        <f t="shared" si="881"/>
        <v/>
      </c>
      <c r="BV676" s="66" t="str">
        <f t="shared" si="881"/>
        <v/>
      </c>
      <c r="BW676" s="66" t="str">
        <f>+IF($W676="","",ROUND((BT676*Parámetros!$G$85),2))</f>
        <v/>
      </c>
      <c r="BX676" s="66" t="str">
        <f>+IF($W676="","",ROUND((BT676*(Parámetros!$G$86)),2))</f>
        <v/>
      </c>
      <c r="BY676" s="66" t="str">
        <f t="shared" si="882"/>
        <v/>
      </c>
      <c r="BZ676" t="str">
        <f t="shared" si="923"/>
        <v/>
      </c>
      <c r="CA676" t="str">
        <f t="shared" si="924"/>
        <v/>
      </c>
      <c r="CB676" s="118" t="str">
        <f t="shared" si="925"/>
        <v/>
      </c>
      <c r="CC676" s="118" t="str">
        <f t="shared" si="926"/>
        <v/>
      </c>
      <c r="CD676" s="119" t="str">
        <f t="shared" si="883"/>
        <v/>
      </c>
      <c r="CE676" s="66" t="str">
        <f>+IF($W676="","",ROUND((VLOOKUP(ROUNDDOWN($D676-1/frec,0),cob_adi,BO$40,FALSE)*(1+i/frec)^-0.5*(1+Parámetros!$D$103)*(1+rec_fracc)/frec*'TABLAS ADI'!$BC$17),2))</f>
        <v/>
      </c>
      <c r="CF676" s="119" t="str">
        <f t="shared" si="884"/>
        <v/>
      </c>
      <c r="CG676" s="66" t="str">
        <f>+IF($W676="","",ROUND(IF($B676&gt;Parámetros!$D$107,'Tablas Servicio'!CE676+('Tablas Servicio'!CG675-'Tablas Servicio'!CE675),CE676/(1-IF(B676&lt;=10,Parámetros!$D$100,0))),2))</f>
        <v/>
      </c>
      <c r="CH676" s="66" t="str">
        <f t="shared" si="885"/>
        <v/>
      </c>
      <c r="CI676" s="66" t="str">
        <f t="shared" si="885"/>
        <v/>
      </c>
      <c r="CJ676" s="66" t="str">
        <f>+IF($W676="","",ROUND((CG676*Parámetros!$G$85),2))</f>
        <v/>
      </c>
      <c r="CK676" s="66" t="str">
        <f>+IF($W676="","",ROUND((CG676*(Parámetros!$G$86)),2))</f>
        <v/>
      </c>
      <c r="CL676" s="66" t="str">
        <f t="shared" si="886"/>
        <v/>
      </c>
      <c r="CM676" t="str">
        <f t="shared" si="927"/>
        <v/>
      </c>
      <c r="CN676" s="118" t="str">
        <f t="shared" si="928"/>
        <v/>
      </c>
      <c r="CO676" s="118" t="str">
        <f t="shared" si="929"/>
        <v/>
      </c>
      <c r="CP676" s="118" t="str">
        <f t="shared" si="930"/>
        <v/>
      </c>
      <c r="CQ676" s="119" t="str">
        <f t="shared" si="887"/>
        <v/>
      </c>
      <c r="CR676" s="66" t="str">
        <f>+IF($W676="","",ROUND((VLOOKUP(Parámetros!$F$51,'COBERTURAS ADICIONALES'!$S$4:$T$32,2,FALSE)*(1+i/frec)^-0.5*(1+Parámetros!$D$103)*(1+rec_fracc)/frec*$CO$42),2))</f>
        <v/>
      </c>
      <c r="CS676" s="119" t="str">
        <f t="shared" si="888"/>
        <v/>
      </c>
      <c r="CT676" s="66" t="str">
        <f>+IF($W676="","",ROUND(IF($B676&gt;Parámetros!$D$107,'Tablas Servicio'!CR676+('Tablas Servicio'!CT675-'Tablas Servicio'!CR675),CR676/(1-IF(B676&lt;=10,Parámetros!$D$100,0))),2))</f>
        <v/>
      </c>
      <c r="CU676" s="66" t="str">
        <f t="shared" si="889"/>
        <v/>
      </c>
      <c r="CV676" s="66" t="str">
        <f t="shared" si="889"/>
        <v/>
      </c>
      <c r="CW676" s="66" t="str">
        <f>+IF($W676="","",ROUND((CT676*Parámetros!$G$85),2))</f>
        <v/>
      </c>
      <c r="CX676" s="66" t="str">
        <f>+IF($W676="","",ROUND((CT676*(Parámetros!$G$86)),2))</f>
        <v/>
      </c>
      <c r="CY676" s="66" t="str">
        <f t="shared" si="890"/>
        <v/>
      </c>
      <c r="CZ676" t="str">
        <f t="shared" si="931"/>
        <v/>
      </c>
      <c r="DA676" s="118" t="str">
        <f t="shared" si="932"/>
        <v/>
      </c>
      <c r="DB676" s="118" t="str">
        <f t="shared" si="933"/>
        <v/>
      </c>
      <c r="DC676" s="118" t="str">
        <f t="shared" si="934"/>
        <v/>
      </c>
      <c r="DD676" s="121" t="str">
        <f>+IF(OR($W676="",DB676=0),"",ROUND((VLOOKUP(ROUNDDOWN($D676-1/frec,0),cob_adi,CO$40,FALSE)*(1+i/frec)^-0.5*(1+Parámetros!$D$103)*(1+rec_fracc)/frec),6))</f>
        <v/>
      </c>
      <c r="DE676" s="66" t="str">
        <f t="shared" si="891"/>
        <v/>
      </c>
      <c r="DF676" s="119" t="str">
        <f t="shared" si="892"/>
        <v/>
      </c>
      <c r="DG676" s="66" t="str">
        <f>+IF($W676="","",ROUND(IF($B676&gt;Parámetros!$D$107,'Tablas Servicio'!DE676+('Tablas Servicio'!DG675-'Tablas Servicio'!DE675),DE676/(1-IF(B676&lt;=10,Parámetros!$D$100,0))),2))</f>
        <v/>
      </c>
      <c r="DH676" s="66" t="str">
        <f t="shared" si="893"/>
        <v/>
      </c>
      <c r="DI676" s="66" t="str">
        <f t="shared" si="893"/>
        <v/>
      </c>
      <c r="DJ676" s="66" t="str">
        <f>+IF($W676="","",ROUND((DG676*Parámetros!$G$85),2))</f>
        <v/>
      </c>
      <c r="DK676" s="66" t="str">
        <f>+IF($W676="","",ROUND((DG676*(Parámetros!$G$86)),2))</f>
        <v/>
      </c>
      <c r="DL676" s="66" t="str">
        <f t="shared" si="894"/>
        <v/>
      </c>
      <c r="DM676" t="str">
        <f t="shared" si="935"/>
        <v/>
      </c>
      <c r="DN676" s="118" t="str">
        <f t="shared" si="936"/>
        <v/>
      </c>
      <c r="DO676" s="118" t="str">
        <f t="shared" si="937"/>
        <v/>
      </c>
      <c r="DP676" s="118" t="str">
        <f t="shared" si="938"/>
        <v/>
      </c>
      <c r="DQ676" s="122" t="str">
        <f>+IF(OR($W676="",DO676=0),"",ROUND((VLOOKUP(ROUNDDOWN($D676-1/frec,0),cob_adi,DB$40,FALSE)*(1+i/frec)^-0.5*(1+Parámetros!$D$103)*(1+rec_fracc)/frec),6))</f>
        <v/>
      </c>
      <c r="DR676" s="66" t="str">
        <f t="shared" si="895"/>
        <v/>
      </c>
      <c r="DS676" s="68" t="str">
        <f t="shared" si="896"/>
        <v/>
      </c>
      <c r="DT676" s="66" t="str">
        <f>+IF($W676="","",ROUND(IF($B676&gt;Parámetros!$D$107,'Tablas Servicio'!DR676+('Tablas Servicio'!DT675-'Tablas Servicio'!DR675),DR676/(1-IF(B676&lt;=10,Parámetros!$D$100,0))),2))</f>
        <v/>
      </c>
      <c r="DU676" s="66" t="str">
        <f t="shared" si="897"/>
        <v/>
      </c>
      <c r="DV676" s="66" t="str">
        <f t="shared" si="897"/>
        <v/>
      </c>
      <c r="DW676" s="66" t="str">
        <f>+IF($W676="","",ROUND((DT676*Parámetros!$G$85),2))</f>
        <v/>
      </c>
      <c r="DX676" s="66" t="str">
        <f>+IF($W676="","",ROUND((DT676*(Parámetros!$G$86)),2))</f>
        <v/>
      </c>
      <c r="DY676" s="66" t="str">
        <f t="shared" si="898"/>
        <v/>
      </c>
      <c r="DZ676" t="str">
        <f t="shared" si="941"/>
        <v/>
      </c>
      <c r="EA676" s="118" t="str">
        <f t="shared" si="941"/>
        <v/>
      </c>
      <c r="EB676" s="118" t="str">
        <f>+IF($W676="","",ROUND(IF(Parámetros!$D$25='TABLAS MORT'!$V$33,EB675,Z676/2),0))</f>
        <v/>
      </c>
      <c r="EC676" s="118" t="str">
        <f t="shared" si="941"/>
        <v/>
      </c>
      <c r="ED676" s="122" t="str">
        <f>+IF(OR($W676="",EB676=0),"",ROUND((VLOOKUP(ROUNDDOWN($D676-1/frec,0),cob_adi,DO$40,FALSE)*(1+i/frec)^-0.5*(1+Parámetros!$D$103)*(1+rec_fracc)/frec),6))</f>
        <v/>
      </c>
      <c r="EE676" s="66" t="str">
        <f t="shared" si="900"/>
        <v/>
      </c>
      <c r="EF676" s="68" t="str">
        <f t="shared" si="901"/>
        <v/>
      </c>
      <c r="EG676" s="66" t="str">
        <f>+IF($W676="","",ROUND(IF($B676&gt;Parámetros!$D$107,'Tablas Servicio'!EE676+('Tablas Servicio'!EG675-'Tablas Servicio'!EE675),EE676/(1-IF(B676&lt;=10,Parámetros!$D$100,0))),2))</f>
        <v/>
      </c>
      <c r="EH676" s="66" t="str">
        <f t="shared" si="902"/>
        <v/>
      </c>
      <c r="EI676" s="66" t="str">
        <f t="shared" si="902"/>
        <v/>
      </c>
      <c r="EJ676" s="66" t="str">
        <f>+IF($W676="","",ROUND((EG676*Parámetros!$G$85),2))</f>
        <v/>
      </c>
      <c r="EK676" s="66" t="str">
        <f>+IF($W676="","",ROUND((EG676*(Parámetros!$G$86)),2))</f>
        <v/>
      </c>
      <c r="EL676" s="66" t="str">
        <f t="shared" si="903"/>
        <v/>
      </c>
    </row>
    <row r="677" spans="1:142" x14ac:dyDescent="0.25">
      <c r="A677" t="str">
        <f>+IF($C677="","",ROUND(VLOOKUP('Tablas Servicio'!B677,Parámetros!$H$100:$J$159,IF(Parámetros!$E$16="F",2,3),FALSE),2))</f>
        <v/>
      </c>
      <c r="B677" t="str">
        <f t="shared" si="854"/>
        <v/>
      </c>
      <c r="C677" s="57" t="str">
        <f>+IF(D677="","",'Tablas Servicio'!C676+1)</f>
        <v/>
      </c>
      <c r="D677" s="56" t="str">
        <f>+IF(D676&lt;edadmaxtabla,D676+1/Parámetros!$E$25,"")</f>
        <v/>
      </c>
      <c r="E677" s="57" t="str">
        <f t="shared" si="864"/>
        <v/>
      </c>
      <c r="F677" s="59" t="str">
        <f t="shared" si="865"/>
        <v/>
      </c>
      <c r="G677" s="66" t="str">
        <f t="shared" si="855"/>
        <v/>
      </c>
      <c r="H677" s="66" t="str">
        <f t="shared" si="856"/>
        <v/>
      </c>
      <c r="I677" s="66" t="str">
        <f t="shared" si="904"/>
        <v/>
      </c>
      <c r="J677" s="66" t="str">
        <f t="shared" si="857"/>
        <v/>
      </c>
      <c r="K677" s="66" t="str">
        <f t="shared" si="858"/>
        <v/>
      </c>
      <c r="L677" s="66" t="str">
        <f t="shared" si="859"/>
        <v/>
      </c>
      <c r="M677" s="66" t="str">
        <f t="shared" si="860"/>
        <v/>
      </c>
      <c r="N677" s="66" t="str">
        <f>+IF(C677="","",ROUND(Parámetros!$D$23,2))</f>
        <v/>
      </c>
      <c r="O677" s="66" t="str">
        <f t="shared" si="861"/>
        <v/>
      </c>
      <c r="P677" s="66" t="str">
        <f>+IF($C677="","",ROUND(IF(B677&gt;Parámetros!$D$117,0,N677*Parámetros!$D$116-G677*Parámetros!$D$100),2))</f>
        <v/>
      </c>
      <c r="Q677" s="75" t="str">
        <f t="shared" si="905"/>
        <v/>
      </c>
      <c r="R677" s="75" t="str">
        <f t="shared" si="906"/>
        <v/>
      </c>
      <c r="S677" s="117" t="str">
        <f>+IF($C677="","",ROUND((S676+I677)*(1+Parámetros!$D$91),2))</f>
        <v/>
      </c>
      <c r="T677" s="117" t="str">
        <f>+IF($C677="","",ROUND(S677*VLOOKUP(B677,Parámetros!$C$30:$D$39,2,TRUE),2))</f>
        <v/>
      </c>
      <c r="U677" s="117" t="str">
        <f>+IF($C677="","",ROUND((U676+I677)*(1+Parámetros!$D$92),2))</f>
        <v/>
      </c>
      <c r="V677" s="117" t="str">
        <f>+IF($C677="","",ROUND(U677*VLOOKUP(B677,Parámetros!$C$30:$D$39,2,TRUE),2))</f>
        <v/>
      </c>
      <c r="W677" s="57" t="str">
        <f t="shared" si="907"/>
        <v/>
      </c>
      <c r="X677" t="str">
        <f t="shared" si="908"/>
        <v/>
      </c>
      <c r="Y677" t="str">
        <f t="shared" si="909"/>
        <v/>
      </c>
      <c r="Z677" s="118" t="str">
        <f>+IF($W677="","",ROUND(IF(Parámetros!$D$25='TABLAS MORT'!$V$33,Z676,Parámetros!$D$21-'Tablas Servicio'!T676),0))</f>
        <v/>
      </c>
      <c r="AA677" s="118" t="str">
        <f t="shared" si="910"/>
        <v/>
      </c>
      <c r="AB677" s="119" t="str">
        <f>+IF(W677="","",ROUND((VLOOKUP(ROUNDDOWN($D677-1/frec,0),qx_tabla,2,FALSE)*(1+i/frec)^-0.5*(1+Parámetros!$D$103)*(1+rec_fracc)/frec),6))</f>
        <v/>
      </c>
      <c r="AC677" s="66" t="str">
        <f t="shared" si="866"/>
        <v/>
      </c>
      <c r="AD677" s="119" t="str">
        <f t="shared" si="862"/>
        <v/>
      </c>
      <c r="AE677" s="66" t="str">
        <f>+IF($W677="","",ROUND(IF($B677&gt;Parámetros!$D$107,'Tablas Servicio'!AC677+('Tablas Servicio'!AG676-'Tablas Servicio'!AC676),AC677/(1-IF(B677&lt;=10,Parámetros!$D$104,Parámetros!$D$105))),2))</f>
        <v/>
      </c>
      <c r="AF677" s="66" t="str">
        <f>+IF($W677="","",ROUND(IF($B677&gt;Parámetros!$D$107,'Tablas Servicio'!AC677+('Tablas Servicio'!AG676-'Tablas Servicio'!AC676),(AC677+$A676/frec)/(1-IF(B677&lt;=Parámetros!$D$117,Parámetros!$D$100,0))),2))</f>
        <v/>
      </c>
      <c r="AG677" s="66" t="str">
        <f t="shared" si="867"/>
        <v/>
      </c>
      <c r="AH677" s="66" t="str">
        <f t="shared" si="868"/>
        <v/>
      </c>
      <c r="AI677" s="66" t="str">
        <f t="shared" si="869"/>
        <v/>
      </c>
      <c r="AJ677" s="66" t="str">
        <f>+IF($W677="","",ROUND((AG677*Parámetros!$G$85),2))</f>
        <v/>
      </c>
      <c r="AK677" s="66" t="str">
        <f>+IF($W677="","",ROUND((AG677*(Parámetros!$G$86)),2))</f>
        <v/>
      </c>
      <c r="AL677" s="66" t="str">
        <f t="shared" si="863"/>
        <v/>
      </c>
      <c r="AM677" t="str">
        <f t="shared" si="911"/>
        <v/>
      </c>
      <c r="AN677" t="str">
        <f t="shared" si="912"/>
        <v/>
      </c>
      <c r="AO677" s="118" t="str">
        <f t="shared" si="913"/>
        <v/>
      </c>
      <c r="AP677" s="118" t="str">
        <f t="shared" si="914"/>
        <v/>
      </c>
      <c r="AQ677" s="119" t="str">
        <f>+IF(OR($W677="",AO677=0),"",ROUND((VLOOKUP(ROUNDDOWN($D677-1/frec,0),cob_adi,Z$40,FALSE)*(1+i/frec)^-0.5*(1+Parámetros!$D$103)*(1+rec_fracc)/frec),6))</f>
        <v/>
      </c>
      <c r="AR677" s="66" t="str">
        <f t="shared" si="870"/>
        <v/>
      </c>
      <c r="AS677" s="119" t="str">
        <f t="shared" si="871"/>
        <v/>
      </c>
      <c r="AT677" s="66" t="str">
        <f>+IF($W677="","",ROUND(IF($B677&gt;Parámetros!$D$107,'Tablas Servicio'!AR677+('Tablas Servicio'!AT676-'Tablas Servicio'!AR676),AR677/(1-IF(B677&lt;=10,Parámetros!$D$100,0))),2))</f>
        <v/>
      </c>
      <c r="AU677" s="66" t="str">
        <f t="shared" si="872"/>
        <v/>
      </c>
      <c r="AV677" s="66" t="str">
        <f t="shared" si="872"/>
        <v/>
      </c>
      <c r="AW677" s="66" t="str">
        <f>+IF($W677="","",ROUND((AT677*Parámetros!$G$85),2))</f>
        <v/>
      </c>
      <c r="AX677" s="66" t="str">
        <f>+IF($W677="","",ROUND((AT677*(Parámetros!$G$86)),2))</f>
        <v/>
      </c>
      <c r="AY677" s="66" t="str">
        <f t="shared" si="873"/>
        <v/>
      </c>
      <c r="AZ677" t="str">
        <f t="shared" si="915"/>
        <v/>
      </c>
      <c r="BA677" t="str">
        <f t="shared" si="916"/>
        <v/>
      </c>
      <c r="BB677" s="118" t="str">
        <f t="shared" si="917"/>
        <v/>
      </c>
      <c r="BC677" s="118" t="str">
        <f t="shared" si="918"/>
        <v/>
      </c>
      <c r="BD677" s="119" t="str">
        <f>+IF(OR($W677="",BB677=0),"",ROUND((VLOOKUP(ROUNDDOWN($D677-1/frec,0),cob_adi,AO$40,FALSE)*(1+i/frec)^-0.5*(1+Parámetros!$D$103)*(1+rec_fracc)/frec),6))</f>
        <v/>
      </c>
      <c r="BE677" s="66" t="str">
        <f t="shared" si="874"/>
        <v/>
      </c>
      <c r="BF677" s="119" t="str">
        <f t="shared" si="875"/>
        <v/>
      </c>
      <c r="BG677" s="66" t="str">
        <f>+IF($W677="","",ROUND(IF($B677&gt;Parámetros!$D$107,'Tablas Servicio'!BE677+('Tablas Servicio'!BG676-'Tablas Servicio'!BE676),BE677/(1-IF(B677&lt;=10,Parámetros!$D$100,0))),2))</f>
        <v/>
      </c>
      <c r="BH677" s="66" t="str">
        <f t="shared" si="876"/>
        <v/>
      </c>
      <c r="BI677" s="66" t="str">
        <f t="shared" si="877"/>
        <v/>
      </c>
      <c r="BJ677" s="66" t="str">
        <f>+IF($W677="","",ROUND((BG677*Parámetros!$G$85),2))</f>
        <v/>
      </c>
      <c r="BK677" s="66" t="str">
        <f>+IF($W677="","",ROUND((BG677*(Parámetros!$G$86)),2))</f>
        <v/>
      </c>
      <c r="BL677" s="66" t="str">
        <f t="shared" si="878"/>
        <v/>
      </c>
      <c r="BM677" t="str">
        <f t="shared" si="919"/>
        <v/>
      </c>
      <c r="BN677" t="str">
        <f t="shared" si="920"/>
        <v/>
      </c>
      <c r="BO677" s="118" t="str">
        <f t="shared" si="921"/>
        <v/>
      </c>
      <c r="BP677" s="118" t="str">
        <f t="shared" si="922"/>
        <v/>
      </c>
      <c r="BQ677" s="119" t="str">
        <f>+IF(OR($W677="",BO677=0),"",ROUND((VLOOKUP(ROUNDDOWN($D677-1/frec,0),cob_adi,BB$40,FALSE)*(1+i/frec)^-0.5*(1+Parámetros!$D$103)*(1+rec_fracc)/frec),6))</f>
        <v/>
      </c>
      <c r="BR677" s="66" t="str">
        <f t="shared" si="879"/>
        <v/>
      </c>
      <c r="BS677" s="119" t="str">
        <f t="shared" si="880"/>
        <v/>
      </c>
      <c r="BT677" s="66" t="str">
        <f>+IF($W677="","",ROUND(IF($B677&gt;Parámetros!$D$107,'Tablas Servicio'!BR677+('Tablas Servicio'!BT676-'Tablas Servicio'!BR676),BR677/(1-IF(B677&lt;=10,Parámetros!$D$100,0))),2))</f>
        <v/>
      </c>
      <c r="BU677" s="66" t="str">
        <f t="shared" si="881"/>
        <v/>
      </c>
      <c r="BV677" s="66" t="str">
        <f t="shared" si="881"/>
        <v/>
      </c>
      <c r="BW677" s="66" t="str">
        <f>+IF($W677="","",ROUND((BT677*Parámetros!$G$85),2))</f>
        <v/>
      </c>
      <c r="BX677" s="66" t="str">
        <f>+IF($W677="","",ROUND((BT677*(Parámetros!$G$86)),2))</f>
        <v/>
      </c>
      <c r="BY677" s="66" t="str">
        <f t="shared" si="882"/>
        <v/>
      </c>
      <c r="BZ677" t="str">
        <f t="shared" si="923"/>
        <v/>
      </c>
      <c r="CA677" t="str">
        <f t="shared" si="924"/>
        <v/>
      </c>
      <c r="CB677" s="118" t="str">
        <f t="shared" si="925"/>
        <v/>
      </c>
      <c r="CC677" s="118" t="str">
        <f t="shared" si="926"/>
        <v/>
      </c>
      <c r="CD677" s="119" t="str">
        <f t="shared" si="883"/>
        <v/>
      </c>
      <c r="CE677" s="66" t="str">
        <f>+IF($W677="","",ROUND((VLOOKUP(ROUNDDOWN($D677-1/frec,0),cob_adi,BO$40,FALSE)*(1+i/frec)^-0.5*(1+Parámetros!$D$103)*(1+rec_fracc)/frec*'TABLAS ADI'!$BC$17),2))</f>
        <v/>
      </c>
      <c r="CF677" s="119" t="str">
        <f t="shared" si="884"/>
        <v/>
      </c>
      <c r="CG677" s="66" t="str">
        <f>+IF($W677="","",ROUND(IF($B677&gt;Parámetros!$D$107,'Tablas Servicio'!CE677+('Tablas Servicio'!CG676-'Tablas Servicio'!CE676),CE677/(1-IF(B677&lt;=10,Parámetros!$D$100,0))),2))</f>
        <v/>
      </c>
      <c r="CH677" s="66" t="str">
        <f t="shared" si="885"/>
        <v/>
      </c>
      <c r="CI677" s="66" t="str">
        <f t="shared" si="885"/>
        <v/>
      </c>
      <c r="CJ677" s="66" t="str">
        <f>+IF($W677="","",ROUND((CG677*Parámetros!$G$85),2))</f>
        <v/>
      </c>
      <c r="CK677" s="66" t="str">
        <f>+IF($W677="","",ROUND((CG677*(Parámetros!$G$86)),2))</f>
        <v/>
      </c>
      <c r="CL677" s="66" t="str">
        <f t="shared" si="886"/>
        <v/>
      </c>
      <c r="CM677" t="str">
        <f t="shared" si="927"/>
        <v/>
      </c>
      <c r="CN677" s="118" t="str">
        <f t="shared" si="928"/>
        <v/>
      </c>
      <c r="CO677" s="118" t="str">
        <f t="shared" si="929"/>
        <v/>
      </c>
      <c r="CP677" s="118" t="str">
        <f t="shared" si="930"/>
        <v/>
      </c>
      <c r="CQ677" s="119" t="str">
        <f t="shared" si="887"/>
        <v/>
      </c>
      <c r="CR677" s="66" t="str">
        <f>+IF($W677="","",ROUND((VLOOKUP(Parámetros!$F$51,'COBERTURAS ADICIONALES'!$S$4:$T$32,2,FALSE)*(1+i/frec)^-0.5*(1+Parámetros!$D$103)*(1+rec_fracc)/frec*$CO$42),2))</f>
        <v/>
      </c>
      <c r="CS677" s="119" t="str">
        <f t="shared" si="888"/>
        <v/>
      </c>
      <c r="CT677" s="66" t="str">
        <f>+IF($W677="","",ROUND(IF($B677&gt;Parámetros!$D$107,'Tablas Servicio'!CR677+('Tablas Servicio'!CT676-'Tablas Servicio'!CR676),CR677/(1-IF(B677&lt;=10,Parámetros!$D$100,0))),2))</f>
        <v/>
      </c>
      <c r="CU677" s="66" t="str">
        <f t="shared" si="889"/>
        <v/>
      </c>
      <c r="CV677" s="66" t="str">
        <f t="shared" si="889"/>
        <v/>
      </c>
      <c r="CW677" s="66" t="str">
        <f>+IF($W677="","",ROUND((CT677*Parámetros!$G$85),2))</f>
        <v/>
      </c>
      <c r="CX677" s="66" t="str">
        <f>+IF($W677="","",ROUND((CT677*(Parámetros!$G$86)),2))</f>
        <v/>
      </c>
      <c r="CY677" s="66" t="str">
        <f t="shared" si="890"/>
        <v/>
      </c>
      <c r="CZ677" t="str">
        <f t="shared" si="931"/>
        <v/>
      </c>
      <c r="DA677" s="118" t="str">
        <f t="shared" si="932"/>
        <v/>
      </c>
      <c r="DB677" s="118" t="str">
        <f t="shared" si="933"/>
        <v/>
      </c>
      <c r="DC677" s="118" t="str">
        <f t="shared" si="934"/>
        <v/>
      </c>
      <c r="DD677" s="121" t="str">
        <f>+IF(OR($W677="",DB677=0),"",ROUND((VLOOKUP(ROUNDDOWN($D677-1/frec,0),cob_adi,CO$40,FALSE)*(1+i/frec)^-0.5*(1+Parámetros!$D$103)*(1+rec_fracc)/frec),6))</f>
        <v/>
      </c>
      <c r="DE677" s="66" t="str">
        <f t="shared" si="891"/>
        <v/>
      </c>
      <c r="DF677" s="119" t="str">
        <f t="shared" si="892"/>
        <v/>
      </c>
      <c r="DG677" s="66" t="str">
        <f>+IF($W677="","",ROUND(IF($B677&gt;Parámetros!$D$107,'Tablas Servicio'!DE677+('Tablas Servicio'!DG676-'Tablas Servicio'!DE676),DE677/(1-IF(B677&lt;=10,Parámetros!$D$100,0))),2))</f>
        <v/>
      </c>
      <c r="DH677" s="66" t="str">
        <f t="shared" si="893"/>
        <v/>
      </c>
      <c r="DI677" s="66" t="str">
        <f t="shared" si="893"/>
        <v/>
      </c>
      <c r="DJ677" s="66" t="str">
        <f>+IF($W677="","",ROUND((DG677*Parámetros!$G$85),2))</f>
        <v/>
      </c>
      <c r="DK677" s="66" t="str">
        <f>+IF($W677="","",ROUND((DG677*(Parámetros!$G$86)),2))</f>
        <v/>
      </c>
      <c r="DL677" s="66" t="str">
        <f t="shared" si="894"/>
        <v/>
      </c>
      <c r="DM677" t="str">
        <f t="shared" si="935"/>
        <v/>
      </c>
      <c r="DN677" s="118" t="str">
        <f t="shared" si="936"/>
        <v/>
      </c>
      <c r="DO677" s="118" t="str">
        <f t="shared" si="937"/>
        <v/>
      </c>
      <c r="DP677" s="118" t="str">
        <f t="shared" si="938"/>
        <v/>
      </c>
      <c r="DQ677" s="122" t="str">
        <f>+IF(OR($W677="",DO677=0),"",ROUND((VLOOKUP(ROUNDDOWN($D677-1/frec,0),cob_adi,DB$40,FALSE)*(1+i/frec)^-0.5*(1+Parámetros!$D$103)*(1+rec_fracc)/frec),6))</f>
        <v/>
      </c>
      <c r="DR677" s="66" t="str">
        <f t="shared" si="895"/>
        <v/>
      </c>
      <c r="DS677" s="68" t="str">
        <f t="shared" si="896"/>
        <v/>
      </c>
      <c r="DT677" s="66" t="str">
        <f>+IF($W677="","",ROUND(IF($B677&gt;Parámetros!$D$107,'Tablas Servicio'!DR677+('Tablas Servicio'!DT676-'Tablas Servicio'!DR676),DR677/(1-IF(B677&lt;=10,Parámetros!$D$100,0))),2))</f>
        <v/>
      </c>
      <c r="DU677" s="66" t="str">
        <f t="shared" si="897"/>
        <v/>
      </c>
      <c r="DV677" s="66" t="str">
        <f t="shared" si="897"/>
        <v/>
      </c>
      <c r="DW677" s="66" t="str">
        <f>+IF($W677="","",ROUND((DT677*Parámetros!$G$85),2))</f>
        <v/>
      </c>
      <c r="DX677" s="66" t="str">
        <f>+IF($W677="","",ROUND((DT677*(Parámetros!$G$86)),2))</f>
        <v/>
      </c>
      <c r="DY677" s="66" t="str">
        <f t="shared" si="898"/>
        <v/>
      </c>
      <c r="DZ677" t="str">
        <f t="shared" si="941"/>
        <v/>
      </c>
      <c r="EA677" s="118" t="str">
        <f t="shared" si="941"/>
        <v/>
      </c>
      <c r="EB677" s="118" t="str">
        <f>+IF($W677="","",ROUND(IF(Parámetros!$D$25='TABLAS MORT'!$V$33,EB676,Z677/2),0))</f>
        <v/>
      </c>
      <c r="EC677" s="118" t="str">
        <f t="shared" si="941"/>
        <v/>
      </c>
      <c r="ED677" s="122" t="str">
        <f>+IF(OR($W677="",EB677=0),"",ROUND((VLOOKUP(ROUNDDOWN($D677-1/frec,0),cob_adi,DO$40,FALSE)*(1+i/frec)^-0.5*(1+Parámetros!$D$103)*(1+rec_fracc)/frec),6))</f>
        <v/>
      </c>
      <c r="EE677" s="66" t="str">
        <f t="shared" si="900"/>
        <v/>
      </c>
      <c r="EF677" s="68" t="str">
        <f t="shared" si="901"/>
        <v/>
      </c>
      <c r="EG677" s="66" t="str">
        <f>+IF($W677="","",ROUND(IF($B677&gt;Parámetros!$D$107,'Tablas Servicio'!EE677+('Tablas Servicio'!EG676-'Tablas Servicio'!EE676),EE677/(1-IF(B677&lt;=10,Parámetros!$D$100,0))),2))</f>
        <v/>
      </c>
      <c r="EH677" s="66" t="str">
        <f t="shared" si="902"/>
        <v/>
      </c>
      <c r="EI677" s="66" t="str">
        <f t="shared" si="902"/>
        <v/>
      </c>
      <c r="EJ677" s="66" t="str">
        <f>+IF($W677="","",ROUND((EG677*Parámetros!$G$85),2))</f>
        <v/>
      </c>
      <c r="EK677" s="66" t="str">
        <f>+IF($W677="","",ROUND((EG677*(Parámetros!$G$86)),2))</f>
        <v/>
      </c>
      <c r="EL677" s="66" t="str">
        <f t="shared" si="903"/>
        <v/>
      </c>
    </row>
    <row r="678" spans="1:142" x14ac:dyDescent="0.25">
      <c r="A678" t="str">
        <f>+IF($C678="","",ROUND(VLOOKUP('Tablas Servicio'!B678,Parámetros!$H$100:$J$159,IF(Parámetros!$E$16="F",2,3),FALSE),2))</f>
        <v/>
      </c>
      <c r="B678" t="str">
        <f t="shared" si="854"/>
        <v/>
      </c>
      <c r="C678" s="57" t="str">
        <f>+IF(D678="","",'Tablas Servicio'!C677+1)</f>
        <v/>
      </c>
      <c r="D678" s="56" t="str">
        <f>+IF(D677&lt;edadmaxtabla,D677+1/Parámetros!$E$25,"")</f>
        <v/>
      </c>
      <c r="E678" s="57" t="str">
        <f t="shared" si="864"/>
        <v/>
      </c>
      <c r="F678" s="59" t="str">
        <f t="shared" si="865"/>
        <v/>
      </c>
      <c r="G678" s="66" t="str">
        <f t="shared" si="855"/>
        <v/>
      </c>
      <c r="H678" s="66" t="str">
        <f t="shared" si="856"/>
        <v/>
      </c>
      <c r="I678" s="66" t="str">
        <f t="shared" si="904"/>
        <v/>
      </c>
      <c r="J678" s="66" t="str">
        <f t="shared" si="857"/>
        <v/>
      </c>
      <c r="K678" s="66" t="str">
        <f t="shared" si="858"/>
        <v/>
      </c>
      <c r="L678" s="66" t="str">
        <f t="shared" si="859"/>
        <v/>
      </c>
      <c r="M678" s="66" t="str">
        <f t="shared" si="860"/>
        <v/>
      </c>
      <c r="N678" s="66" t="str">
        <f>+IF(C678="","",ROUND(Parámetros!$D$23,2))</f>
        <v/>
      </c>
      <c r="O678" s="66" t="str">
        <f t="shared" si="861"/>
        <v/>
      </c>
      <c r="P678" s="66" t="str">
        <f>+IF($C678="","",ROUND(IF(B678&gt;Parámetros!$D$117,0,N678*Parámetros!$D$116-G678*Parámetros!$D$100),2))</f>
        <v/>
      </c>
      <c r="Q678" s="75" t="str">
        <f t="shared" si="905"/>
        <v/>
      </c>
      <c r="R678" s="75" t="str">
        <f t="shared" si="906"/>
        <v/>
      </c>
      <c r="S678" s="117" t="str">
        <f>+IF($C678="","",ROUND((S677+I678)*(1+Parámetros!$D$91),2))</f>
        <v/>
      </c>
      <c r="T678" s="117" t="str">
        <f>+IF($C678="","",ROUND(S678*VLOOKUP(B678,Parámetros!$C$30:$D$39,2,TRUE),2))</f>
        <v/>
      </c>
      <c r="U678" s="117" t="str">
        <f>+IF($C678="","",ROUND((U677+I678)*(1+Parámetros!$D$92),2))</f>
        <v/>
      </c>
      <c r="V678" s="117" t="str">
        <f>+IF($C678="","",ROUND(U678*VLOOKUP(B678,Parámetros!$C$30:$D$39,2,TRUE),2))</f>
        <v/>
      </c>
      <c r="W678" s="57" t="str">
        <f t="shared" si="907"/>
        <v/>
      </c>
      <c r="X678" t="str">
        <f t="shared" si="908"/>
        <v/>
      </c>
      <c r="Y678" t="str">
        <f t="shared" si="909"/>
        <v/>
      </c>
      <c r="Z678" s="118" t="str">
        <f>+IF($W678="","",ROUND(IF(Parámetros!$D$25='TABLAS MORT'!$V$33,Z677,Parámetros!$D$21-'Tablas Servicio'!T677),0))</f>
        <v/>
      </c>
      <c r="AA678" s="118" t="str">
        <f t="shared" si="910"/>
        <v/>
      </c>
      <c r="AB678" s="119" t="str">
        <f>+IF(W678="","",ROUND((VLOOKUP(ROUNDDOWN($D678-1/frec,0),qx_tabla,2,FALSE)*(1+i/frec)^-0.5*(1+Parámetros!$D$103)*(1+rec_fracc)/frec),6))</f>
        <v/>
      </c>
      <c r="AC678" s="66" t="str">
        <f t="shared" si="866"/>
        <v/>
      </c>
      <c r="AD678" s="119" t="str">
        <f t="shared" si="862"/>
        <v/>
      </c>
      <c r="AE678" s="66" t="str">
        <f>+IF($W678="","",ROUND(IF($B678&gt;Parámetros!$D$107,'Tablas Servicio'!AC678+('Tablas Servicio'!AG677-'Tablas Servicio'!AC677),AC678/(1-IF(B678&lt;=10,Parámetros!$D$104,Parámetros!$D$105))),2))</f>
        <v/>
      </c>
      <c r="AF678" s="66" t="str">
        <f>+IF($W678="","",ROUND(IF($B678&gt;Parámetros!$D$107,'Tablas Servicio'!AC678+('Tablas Servicio'!AG677-'Tablas Servicio'!AC677),(AC678+$A677/frec)/(1-IF(B678&lt;=Parámetros!$D$117,Parámetros!$D$100,0))),2))</f>
        <v/>
      </c>
      <c r="AG678" s="66" t="str">
        <f t="shared" si="867"/>
        <v/>
      </c>
      <c r="AH678" s="66" t="str">
        <f t="shared" si="868"/>
        <v/>
      </c>
      <c r="AI678" s="66" t="str">
        <f t="shared" si="869"/>
        <v/>
      </c>
      <c r="AJ678" s="66" t="str">
        <f>+IF($W678="","",ROUND((AG678*Parámetros!$G$85),2))</f>
        <v/>
      </c>
      <c r="AK678" s="66" t="str">
        <f>+IF($W678="","",ROUND((AG678*(Parámetros!$G$86)),2))</f>
        <v/>
      </c>
      <c r="AL678" s="66" t="str">
        <f t="shared" si="863"/>
        <v/>
      </c>
      <c r="AM678" t="str">
        <f t="shared" si="911"/>
        <v/>
      </c>
      <c r="AN678" t="str">
        <f t="shared" si="912"/>
        <v/>
      </c>
      <c r="AO678" s="118" t="str">
        <f t="shared" si="913"/>
        <v/>
      </c>
      <c r="AP678" s="118" t="str">
        <f t="shared" si="914"/>
        <v/>
      </c>
      <c r="AQ678" s="119" t="str">
        <f>+IF(OR($W678="",AO678=0),"",ROUND((VLOOKUP(ROUNDDOWN($D678-1/frec,0),cob_adi,Z$40,FALSE)*(1+i/frec)^-0.5*(1+Parámetros!$D$103)*(1+rec_fracc)/frec),6))</f>
        <v/>
      </c>
      <c r="AR678" s="66" t="str">
        <f t="shared" si="870"/>
        <v/>
      </c>
      <c r="AS678" s="119" t="str">
        <f t="shared" si="871"/>
        <v/>
      </c>
      <c r="AT678" s="66" t="str">
        <f>+IF($W678="","",ROUND(IF($B678&gt;Parámetros!$D$107,'Tablas Servicio'!AR678+('Tablas Servicio'!AT677-'Tablas Servicio'!AR677),AR678/(1-IF(B678&lt;=10,Parámetros!$D$100,0))),2))</f>
        <v/>
      </c>
      <c r="AU678" s="66" t="str">
        <f t="shared" si="872"/>
        <v/>
      </c>
      <c r="AV678" s="66" t="str">
        <f t="shared" si="872"/>
        <v/>
      </c>
      <c r="AW678" s="66" t="str">
        <f>+IF($W678="","",ROUND((AT678*Parámetros!$G$85),2))</f>
        <v/>
      </c>
      <c r="AX678" s="66" t="str">
        <f>+IF($W678="","",ROUND((AT678*(Parámetros!$G$86)),2))</f>
        <v/>
      </c>
      <c r="AY678" s="66" t="str">
        <f t="shared" si="873"/>
        <v/>
      </c>
      <c r="AZ678" t="str">
        <f t="shared" si="915"/>
        <v/>
      </c>
      <c r="BA678" t="str">
        <f t="shared" si="916"/>
        <v/>
      </c>
      <c r="BB678" s="118" t="str">
        <f t="shared" si="917"/>
        <v/>
      </c>
      <c r="BC678" s="118" t="str">
        <f t="shared" si="918"/>
        <v/>
      </c>
      <c r="BD678" s="119" t="str">
        <f>+IF(OR($W678="",BB678=0),"",ROUND((VLOOKUP(ROUNDDOWN($D678-1/frec,0),cob_adi,AO$40,FALSE)*(1+i/frec)^-0.5*(1+Parámetros!$D$103)*(1+rec_fracc)/frec),6))</f>
        <v/>
      </c>
      <c r="BE678" s="66" t="str">
        <f t="shared" si="874"/>
        <v/>
      </c>
      <c r="BF678" s="119" t="str">
        <f t="shared" si="875"/>
        <v/>
      </c>
      <c r="BG678" s="66" t="str">
        <f>+IF($W678="","",ROUND(IF($B678&gt;Parámetros!$D$107,'Tablas Servicio'!BE678+('Tablas Servicio'!BG677-'Tablas Servicio'!BE677),BE678/(1-IF(B678&lt;=10,Parámetros!$D$100,0))),2))</f>
        <v/>
      </c>
      <c r="BH678" s="66" t="str">
        <f t="shared" si="876"/>
        <v/>
      </c>
      <c r="BI678" s="66" t="str">
        <f t="shared" si="877"/>
        <v/>
      </c>
      <c r="BJ678" s="66" t="str">
        <f>+IF($W678="","",ROUND((BG678*Parámetros!$G$85),2))</f>
        <v/>
      </c>
      <c r="BK678" s="66" t="str">
        <f>+IF($W678="","",ROUND((BG678*(Parámetros!$G$86)),2))</f>
        <v/>
      </c>
      <c r="BL678" s="66" t="str">
        <f t="shared" si="878"/>
        <v/>
      </c>
      <c r="BM678" t="str">
        <f t="shared" si="919"/>
        <v/>
      </c>
      <c r="BN678" t="str">
        <f t="shared" si="920"/>
        <v/>
      </c>
      <c r="BO678" s="118" t="str">
        <f t="shared" si="921"/>
        <v/>
      </c>
      <c r="BP678" s="118" t="str">
        <f t="shared" si="922"/>
        <v/>
      </c>
      <c r="BQ678" s="119" t="str">
        <f>+IF(OR($W678="",BO678=0),"",ROUND((VLOOKUP(ROUNDDOWN($D678-1/frec,0),cob_adi,BB$40,FALSE)*(1+i/frec)^-0.5*(1+Parámetros!$D$103)*(1+rec_fracc)/frec),6))</f>
        <v/>
      </c>
      <c r="BR678" s="66" t="str">
        <f t="shared" si="879"/>
        <v/>
      </c>
      <c r="BS678" s="119" t="str">
        <f t="shared" si="880"/>
        <v/>
      </c>
      <c r="BT678" s="66" t="str">
        <f>+IF($W678="","",ROUND(IF($B678&gt;Parámetros!$D$107,'Tablas Servicio'!BR678+('Tablas Servicio'!BT677-'Tablas Servicio'!BR677),BR678/(1-IF(B678&lt;=10,Parámetros!$D$100,0))),2))</f>
        <v/>
      </c>
      <c r="BU678" s="66" t="str">
        <f t="shared" si="881"/>
        <v/>
      </c>
      <c r="BV678" s="66" t="str">
        <f t="shared" si="881"/>
        <v/>
      </c>
      <c r="BW678" s="66" t="str">
        <f>+IF($W678="","",ROUND((BT678*Parámetros!$G$85),2))</f>
        <v/>
      </c>
      <c r="BX678" s="66" t="str">
        <f>+IF($W678="","",ROUND((BT678*(Parámetros!$G$86)),2))</f>
        <v/>
      </c>
      <c r="BY678" s="66" t="str">
        <f t="shared" si="882"/>
        <v/>
      </c>
      <c r="BZ678" t="str">
        <f t="shared" si="923"/>
        <v/>
      </c>
      <c r="CA678" t="str">
        <f t="shared" si="924"/>
        <v/>
      </c>
      <c r="CB678" s="118" t="str">
        <f t="shared" si="925"/>
        <v/>
      </c>
      <c r="CC678" s="118" t="str">
        <f t="shared" si="926"/>
        <v/>
      </c>
      <c r="CD678" s="119" t="str">
        <f t="shared" si="883"/>
        <v/>
      </c>
      <c r="CE678" s="66" t="str">
        <f>+IF($W678="","",ROUND((VLOOKUP(ROUNDDOWN($D678-1/frec,0),cob_adi,BO$40,FALSE)*(1+i/frec)^-0.5*(1+Parámetros!$D$103)*(1+rec_fracc)/frec*'TABLAS ADI'!$BC$17),2))</f>
        <v/>
      </c>
      <c r="CF678" s="119" t="str">
        <f t="shared" si="884"/>
        <v/>
      </c>
      <c r="CG678" s="66" t="str">
        <f>+IF($W678="","",ROUND(IF($B678&gt;Parámetros!$D$107,'Tablas Servicio'!CE678+('Tablas Servicio'!CG677-'Tablas Servicio'!CE677),CE678/(1-IF(B678&lt;=10,Parámetros!$D$100,0))),2))</f>
        <v/>
      </c>
      <c r="CH678" s="66" t="str">
        <f t="shared" si="885"/>
        <v/>
      </c>
      <c r="CI678" s="66" t="str">
        <f t="shared" si="885"/>
        <v/>
      </c>
      <c r="CJ678" s="66" t="str">
        <f>+IF($W678="","",ROUND((CG678*Parámetros!$G$85),2))</f>
        <v/>
      </c>
      <c r="CK678" s="66" t="str">
        <f>+IF($W678="","",ROUND((CG678*(Parámetros!$G$86)),2))</f>
        <v/>
      </c>
      <c r="CL678" s="66" t="str">
        <f t="shared" si="886"/>
        <v/>
      </c>
      <c r="CM678" t="str">
        <f t="shared" si="927"/>
        <v/>
      </c>
      <c r="CN678" s="118" t="str">
        <f t="shared" si="928"/>
        <v/>
      </c>
      <c r="CO678" s="118" t="str">
        <f t="shared" si="929"/>
        <v/>
      </c>
      <c r="CP678" s="118" t="str">
        <f t="shared" si="930"/>
        <v/>
      </c>
      <c r="CQ678" s="119" t="str">
        <f t="shared" si="887"/>
        <v/>
      </c>
      <c r="CR678" s="66" t="str">
        <f>+IF($W678="","",ROUND((VLOOKUP(Parámetros!$F$51,'COBERTURAS ADICIONALES'!$S$4:$T$32,2,FALSE)*(1+i/frec)^-0.5*(1+Parámetros!$D$103)*(1+rec_fracc)/frec*$CO$42),2))</f>
        <v/>
      </c>
      <c r="CS678" s="119" t="str">
        <f t="shared" si="888"/>
        <v/>
      </c>
      <c r="CT678" s="66" t="str">
        <f>+IF($W678="","",ROUND(IF($B678&gt;Parámetros!$D$107,'Tablas Servicio'!CR678+('Tablas Servicio'!CT677-'Tablas Servicio'!CR677),CR678/(1-IF(B678&lt;=10,Parámetros!$D$100,0))),2))</f>
        <v/>
      </c>
      <c r="CU678" s="66" t="str">
        <f t="shared" si="889"/>
        <v/>
      </c>
      <c r="CV678" s="66" t="str">
        <f t="shared" si="889"/>
        <v/>
      </c>
      <c r="CW678" s="66" t="str">
        <f>+IF($W678="","",ROUND((CT678*Parámetros!$G$85),2))</f>
        <v/>
      </c>
      <c r="CX678" s="66" t="str">
        <f>+IF($W678="","",ROUND((CT678*(Parámetros!$G$86)),2))</f>
        <v/>
      </c>
      <c r="CY678" s="66" t="str">
        <f t="shared" si="890"/>
        <v/>
      </c>
      <c r="CZ678" t="str">
        <f t="shared" si="931"/>
        <v/>
      </c>
      <c r="DA678" s="118" t="str">
        <f t="shared" si="932"/>
        <v/>
      </c>
      <c r="DB678" s="118" t="str">
        <f t="shared" si="933"/>
        <v/>
      </c>
      <c r="DC678" s="118" t="str">
        <f t="shared" si="934"/>
        <v/>
      </c>
      <c r="DD678" s="121" t="str">
        <f>+IF(OR($W678="",DB678=0),"",ROUND((VLOOKUP(ROUNDDOWN($D678-1/frec,0),cob_adi,CO$40,FALSE)*(1+i/frec)^-0.5*(1+Parámetros!$D$103)*(1+rec_fracc)/frec),6))</f>
        <v/>
      </c>
      <c r="DE678" s="66" t="str">
        <f t="shared" si="891"/>
        <v/>
      </c>
      <c r="DF678" s="119" t="str">
        <f t="shared" si="892"/>
        <v/>
      </c>
      <c r="DG678" s="66" t="str">
        <f>+IF($W678="","",ROUND(IF($B678&gt;Parámetros!$D$107,'Tablas Servicio'!DE678+('Tablas Servicio'!DG677-'Tablas Servicio'!DE677),DE678/(1-IF(B678&lt;=10,Parámetros!$D$100,0))),2))</f>
        <v/>
      </c>
      <c r="DH678" s="66" t="str">
        <f t="shared" si="893"/>
        <v/>
      </c>
      <c r="DI678" s="66" t="str">
        <f t="shared" si="893"/>
        <v/>
      </c>
      <c r="DJ678" s="66" t="str">
        <f>+IF($W678="","",ROUND((DG678*Parámetros!$G$85),2))</f>
        <v/>
      </c>
      <c r="DK678" s="66" t="str">
        <f>+IF($W678="","",ROUND((DG678*(Parámetros!$G$86)),2))</f>
        <v/>
      </c>
      <c r="DL678" s="66" t="str">
        <f t="shared" si="894"/>
        <v/>
      </c>
      <c r="DM678" t="str">
        <f t="shared" si="935"/>
        <v/>
      </c>
      <c r="DN678" s="118" t="str">
        <f t="shared" si="936"/>
        <v/>
      </c>
      <c r="DO678" s="118" t="str">
        <f t="shared" si="937"/>
        <v/>
      </c>
      <c r="DP678" s="118" t="str">
        <f t="shared" si="938"/>
        <v/>
      </c>
      <c r="DQ678" s="122" t="str">
        <f>+IF(OR($W678="",DO678=0),"",ROUND((VLOOKUP(ROUNDDOWN($D678-1/frec,0),cob_adi,DB$40,FALSE)*(1+i/frec)^-0.5*(1+Parámetros!$D$103)*(1+rec_fracc)/frec),6))</f>
        <v/>
      </c>
      <c r="DR678" s="66" t="str">
        <f t="shared" si="895"/>
        <v/>
      </c>
      <c r="DS678" s="68" t="str">
        <f t="shared" si="896"/>
        <v/>
      </c>
      <c r="DT678" s="66" t="str">
        <f>+IF($W678="","",ROUND(IF($B678&gt;Parámetros!$D$107,'Tablas Servicio'!DR678+('Tablas Servicio'!DT677-'Tablas Servicio'!DR677),DR678/(1-IF(B678&lt;=10,Parámetros!$D$100,0))),2))</f>
        <v/>
      </c>
      <c r="DU678" s="66" t="str">
        <f t="shared" si="897"/>
        <v/>
      </c>
      <c r="DV678" s="66" t="str">
        <f t="shared" si="897"/>
        <v/>
      </c>
      <c r="DW678" s="66" t="str">
        <f>+IF($W678="","",ROUND((DT678*Parámetros!$G$85),2))</f>
        <v/>
      </c>
      <c r="DX678" s="66" t="str">
        <f>+IF($W678="","",ROUND((DT678*(Parámetros!$G$86)),2))</f>
        <v/>
      </c>
      <c r="DY678" s="66" t="str">
        <f t="shared" si="898"/>
        <v/>
      </c>
      <c r="DZ678" t="str">
        <f t="shared" si="941"/>
        <v/>
      </c>
      <c r="EA678" s="118" t="str">
        <f t="shared" si="941"/>
        <v/>
      </c>
      <c r="EB678" s="118" t="str">
        <f>+IF($W678="","",ROUND(IF(Parámetros!$D$25='TABLAS MORT'!$V$33,EB677,Z678/2),0))</f>
        <v/>
      </c>
      <c r="EC678" s="118" t="str">
        <f t="shared" si="941"/>
        <v/>
      </c>
      <c r="ED678" s="122" t="str">
        <f>+IF(OR($W678="",EB678=0),"",ROUND((VLOOKUP(ROUNDDOWN($D678-1/frec,0),cob_adi,DO$40,FALSE)*(1+i/frec)^-0.5*(1+Parámetros!$D$103)*(1+rec_fracc)/frec),6))</f>
        <v/>
      </c>
      <c r="EE678" s="66" t="str">
        <f t="shared" si="900"/>
        <v/>
      </c>
      <c r="EF678" s="68" t="str">
        <f t="shared" si="901"/>
        <v/>
      </c>
      <c r="EG678" s="66" t="str">
        <f>+IF($W678="","",ROUND(IF($B678&gt;Parámetros!$D$107,'Tablas Servicio'!EE678+('Tablas Servicio'!EG677-'Tablas Servicio'!EE677),EE678/(1-IF(B678&lt;=10,Parámetros!$D$100,0))),2))</f>
        <v/>
      </c>
      <c r="EH678" s="66" t="str">
        <f t="shared" si="902"/>
        <v/>
      </c>
      <c r="EI678" s="66" t="str">
        <f t="shared" si="902"/>
        <v/>
      </c>
      <c r="EJ678" s="66" t="str">
        <f>+IF($W678="","",ROUND((EG678*Parámetros!$G$85),2))</f>
        <v/>
      </c>
      <c r="EK678" s="66" t="str">
        <f>+IF($W678="","",ROUND((EG678*(Parámetros!$G$86)),2))</f>
        <v/>
      </c>
      <c r="EL678" s="66" t="str">
        <f t="shared" si="903"/>
        <v/>
      </c>
    </row>
    <row r="679" spans="1:142" x14ac:dyDescent="0.25">
      <c r="A679" t="str">
        <f>+IF($C679="","",ROUND(VLOOKUP('Tablas Servicio'!B679,Parámetros!$H$100:$J$159,IF(Parámetros!$E$16="F",2,3),FALSE),2))</f>
        <v/>
      </c>
      <c r="B679" t="str">
        <f t="shared" si="854"/>
        <v/>
      </c>
      <c r="C679" s="57" t="str">
        <f>+IF(D679="","",'Tablas Servicio'!C678+1)</f>
        <v/>
      </c>
      <c r="D679" s="56" t="str">
        <f>+IF(D678&lt;edadmaxtabla,D678+1/Parámetros!$E$25,"")</f>
        <v/>
      </c>
      <c r="E679" s="57" t="str">
        <f t="shared" si="864"/>
        <v/>
      </c>
      <c r="F679" s="59" t="str">
        <f t="shared" si="865"/>
        <v/>
      </c>
      <c r="G679" s="66" t="str">
        <f t="shared" si="855"/>
        <v/>
      </c>
      <c r="H679" s="66" t="str">
        <f t="shared" si="856"/>
        <v/>
      </c>
      <c r="I679" s="66" t="str">
        <f t="shared" si="904"/>
        <v/>
      </c>
      <c r="J679" s="66" t="str">
        <f t="shared" si="857"/>
        <v/>
      </c>
      <c r="K679" s="66" t="str">
        <f t="shared" si="858"/>
        <v/>
      </c>
      <c r="L679" s="66" t="str">
        <f t="shared" si="859"/>
        <v/>
      </c>
      <c r="M679" s="66" t="str">
        <f t="shared" si="860"/>
        <v/>
      </c>
      <c r="N679" s="66" t="str">
        <f>+IF(C679="","",ROUND(Parámetros!$D$23,2))</f>
        <v/>
      </c>
      <c r="O679" s="66" t="str">
        <f t="shared" si="861"/>
        <v/>
      </c>
      <c r="P679" s="66" t="str">
        <f>+IF($C679="","",ROUND(IF(B679&gt;Parámetros!$D$117,0,N679*Parámetros!$D$116-G679*Parámetros!$D$100),2))</f>
        <v/>
      </c>
      <c r="Q679" s="75" t="str">
        <f t="shared" si="905"/>
        <v/>
      </c>
      <c r="R679" s="75" t="str">
        <f t="shared" si="906"/>
        <v/>
      </c>
      <c r="S679" s="117" t="str">
        <f>+IF($C679="","",ROUND((S678+I679)*(1+Parámetros!$D$91),2))</f>
        <v/>
      </c>
      <c r="T679" s="117" t="str">
        <f>+IF($C679="","",ROUND(S679*VLOOKUP(B679,Parámetros!$C$30:$D$39,2,TRUE),2))</f>
        <v/>
      </c>
      <c r="U679" s="117" t="str">
        <f>+IF($C679="","",ROUND((U678+I679)*(1+Parámetros!$D$92),2))</f>
        <v/>
      </c>
      <c r="V679" s="117" t="str">
        <f>+IF($C679="","",ROUND(U679*VLOOKUP(B679,Parámetros!$C$30:$D$39,2,TRUE),2))</f>
        <v/>
      </c>
      <c r="W679" s="57" t="str">
        <f t="shared" si="907"/>
        <v/>
      </c>
      <c r="X679" t="str">
        <f t="shared" si="908"/>
        <v/>
      </c>
      <c r="Y679" t="str">
        <f t="shared" si="909"/>
        <v/>
      </c>
      <c r="Z679" s="118" t="str">
        <f>+IF($W679="","",ROUND(IF(Parámetros!$D$25='TABLAS MORT'!$V$33,Z678,Parámetros!$D$21-'Tablas Servicio'!T678),0))</f>
        <v/>
      </c>
      <c r="AA679" s="118" t="str">
        <f t="shared" si="910"/>
        <v/>
      </c>
      <c r="AB679" s="119" t="str">
        <f>+IF(W679="","",ROUND((VLOOKUP(ROUNDDOWN($D679-1/frec,0),qx_tabla,2,FALSE)*(1+i/frec)^-0.5*(1+Parámetros!$D$103)*(1+rec_fracc)/frec),6))</f>
        <v/>
      </c>
      <c r="AC679" s="66" t="str">
        <f t="shared" si="866"/>
        <v/>
      </c>
      <c r="AD679" s="119" t="str">
        <f t="shared" si="862"/>
        <v/>
      </c>
      <c r="AE679" s="66" t="str">
        <f>+IF($W679="","",ROUND(IF($B679&gt;Parámetros!$D$107,'Tablas Servicio'!AC679+('Tablas Servicio'!AG678-'Tablas Servicio'!AC678),AC679/(1-IF(B679&lt;=10,Parámetros!$D$104,Parámetros!$D$105))),2))</f>
        <v/>
      </c>
      <c r="AF679" s="66" t="str">
        <f>+IF($W679="","",ROUND(IF($B679&gt;Parámetros!$D$107,'Tablas Servicio'!AC679+('Tablas Servicio'!AG678-'Tablas Servicio'!AC678),(AC679+$A678/frec)/(1-IF(B679&lt;=Parámetros!$D$117,Parámetros!$D$100,0))),2))</f>
        <v/>
      </c>
      <c r="AG679" s="66" t="str">
        <f t="shared" si="867"/>
        <v/>
      </c>
      <c r="AH679" s="66" t="str">
        <f t="shared" si="868"/>
        <v/>
      </c>
      <c r="AI679" s="66" t="str">
        <f t="shared" si="869"/>
        <v/>
      </c>
      <c r="AJ679" s="66" t="str">
        <f>+IF($W679="","",ROUND((AG679*Parámetros!$G$85),2))</f>
        <v/>
      </c>
      <c r="AK679" s="66" t="str">
        <f>+IF($W679="","",ROUND((AG679*(Parámetros!$G$86)),2))</f>
        <v/>
      </c>
      <c r="AL679" s="66" t="str">
        <f t="shared" si="863"/>
        <v/>
      </c>
      <c r="AM679" t="str">
        <f t="shared" si="911"/>
        <v/>
      </c>
      <c r="AN679" t="str">
        <f t="shared" si="912"/>
        <v/>
      </c>
      <c r="AO679" s="118" t="str">
        <f t="shared" si="913"/>
        <v/>
      </c>
      <c r="AP679" s="118" t="str">
        <f t="shared" si="914"/>
        <v/>
      </c>
      <c r="AQ679" s="119" t="str">
        <f>+IF(OR($W679="",AO679=0),"",ROUND((VLOOKUP(ROUNDDOWN($D679-1/frec,0),cob_adi,Z$40,FALSE)*(1+i/frec)^-0.5*(1+Parámetros!$D$103)*(1+rec_fracc)/frec),6))</f>
        <v/>
      </c>
      <c r="AR679" s="66" t="str">
        <f t="shared" si="870"/>
        <v/>
      </c>
      <c r="AS679" s="119" t="str">
        <f t="shared" si="871"/>
        <v/>
      </c>
      <c r="AT679" s="66" t="str">
        <f>+IF($W679="","",ROUND(IF($B679&gt;Parámetros!$D$107,'Tablas Servicio'!AR679+('Tablas Servicio'!AT678-'Tablas Servicio'!AR678),AR679/(1-IF(B679&lt;=10,Parámetros!$D$100,0))),2))</f>
        <v/>
      </c>
      <c r="AU679" s="66" t="str">
        <f t="shared" si="872"/>
        <v/>
      </c>
      <c r="AV679" s="66" t="str">
        <f t="shared" si="872"/>
        <v/>
      </c>
      <c r="AW679" s="66" t="str">
        <f>+IF($W679="","",ROUND((AT679*Parámetros!$G$85),2))</f>
        <v/>
      </c>
      <c r="AX679" s="66" t="str">
        <f>+IF($W679="","",ROUND((AT679*(Parámetros!$G$86)),2))</f>
        <v/>
      </c>
      <c r="AY679" s="66" t="str">
        <f t="shared" si="873"/>
        <v/>
      </c>
      <c r="AZ679" t="str">
        <f t="shared" si="915"/>
        <v/>
      </c>
      <c r="BA679" t="str">
        <f t="shared" si="916"/>
        <v/>
      </c>
      <c r="BB679" s="118" t="str">
        <f t="shared" si="917"/>
        <v/>
      </c>
      <c r="BC679" s="118" t="str">
        <f t="shared" si="918"/>
        <v/>
      </c>
      <c r="BD679" s="119" t="str">
        <f>+IF(OR($W679="",BB679=0),"",ROUND((VLOOKUP(ROUNDDOWN($D679-1/frec,0),cob_adi,AO$40,FALSE)*(1+i/frec)^-0.5*(1+Parámetros!$D$103)*(1+rec_fracc)/frec),6))</f>
        <v/>
      </c>
      <c r="BE679" s="66" t="str">
        <f t="shared" si="874"/>
        <v/>
      </c>
      <c r="BF679" s="119" t="str">
        <f t="shared" si="875"/>
        <v/>
      </c>
      <c r="BG679" s="66" t="str">
        <f>+IF($W679="","",ROUND(IF($B679&gt;Parámetros!$D$107,'Tablas Servicio'!BE679+('Tablas Servicio'!BG678-'Tablas Servicio'!BE678),BE679/(1-IF(B679&lt;=10,Parámetros!$D$100,0))),2))</f>
        <v/>
      </c>
      <c r="BH679" s="66" t="str">
        <f t="shared" si="876"/>
        <v/>
      </c>
      <c r="BI679" s="66" t="str">
        <f t="shared" si="877"/>
        <v/>
      </c>
      <c r="BJ679" s="66" t="str">
        <f>+IF($W679="","",ROUND((BG679*Parámetros!$G$85),2))</f>
        <v/>
      </c>
      <c r="BK679" s="66" t="str">
        <f>+IF($W679="","",ROUND((BG679*(Parámetros!$G$86)),2))</f>
        <v/>
      </c>
      <c r="BL679" s="66" t="str">
        <f t="shared" si="878"/>
        <v/>
      </c>
      <c r="BM679" t="str">
        <f t="shared" si="919"/>
        <v/>
      </c>
      <c r="BN679" t="str">
        <f t="shared" si="920"/>
        <v/>
      </c>
      <c r="BO679" s="118" t="str">
        <f t="shared" si="921"/>
        <v/>
      </c>
      <c r="BP679" s="118" t="str">
        <f t="shared" si="922"/>
        <v/>
      </c>
      <c r="BQ679" s="119" t="str">
        <f>+IF(OR($W679="",BO679=0),"",ROUND((VLOOKUP(ROUNDDOWN($D679-1/frec,0),cob_adi,BB$40,FALSE)*(1+i/frec)^-0.5*(1+Parámetros!$D$103)*(1+rec_fracc)/frec),6))</f>
        <v/>
      </c>
      <c r="BR679" s="66" t="str">
        <f t="shared" si="879"/>
        <v/>
      </c>
      <c r="BS679" s="119" t="str">
        <f t="shared" si="880"/>
        <v/>
      </c>
      <c r="BT679" s="66" t="str">
        <f>+IF($W679="","",ROUND(IF($B679&gt;Parámetros!$D$107,'Tablas Servicio'!BR679+('Tablas Servicio'!BT678-'Tablas Servicio'!BR678),BR679/(1-IF(B679&lt;=10,Parámetros!$D$100,0))),2))</f>
        <v/>
      </c>
      <c r="BU679" s="66" t="str">
        <f t="shared" si="881"/>
        <v/>
      </c>
      <c r="BV679" s="66" t="str">
        <f t="shared" si="881"/>
        <v/>
      </c>
      <c r="BW679" s="66" t="str">
        <f>+IF($W679="","",ROUND((BT679*Parámetros!$G$85),2))</f>
        <v/>
      </c>
      <c r="BX679" s="66" t="str">
        <f>+IF($W679="","",ROUND((BT679*(Parámetros!$G$86)),2))</f>
        <v/>
      </c>
      <c r="BY679" s="66" t="str">
        <f t="shared" si="882"/>
        <v/>
      </c>
      <c r="BZ679" t="str">
        <f t="shared" si="923"/>
        <v/>
      </c>
      <c r="CA679" t="str">
        <f t="shared" si="924"/>
        <v/>
      </c>
      <c r="CB679" s="118" t="str">
        <f t="shared" si="925"/>
        <v/>
      </c>
      <c r="CC679" s="118" t="str">
        <f t="shared" si="926"/>
        <v/>
      </c>
      <c r="CD679" s="119" t="str">
        <f t="shared" si="883"/>
        <v/>
      </c>
      <c r="CE679" s="66" t="str">
        <f>+IF($W679="","",ROUND((VLOOKUP(ROUNDDOWN($D679-1/frec,0),cob_adi,BO$40,FALSE)*(1+i/frec)^-0.5*(1+Parámetros!$D$103)*(1+rec_fracc)/frec*'TABLAS ADI'!$BC$17),2))</f>
        <v/>
      </c>
      <c r="CF679" s="119" t="str">
        <f t="shared" si="884"/>
        <v/>
      </c>
      <c r="CG679" s="66" t="str">
        <f>+IF($W679="","",ROUND(IF($B679&gt;Parámetros!$D$107,'Tablas Servicio'!CE679+('Tablas Servicio'!CG678-'Tablas Servicio'!CE678),CE679/(1-IF(B679&lt;=10,Parámetros!$D$100,0))),2))</f>
        <v/>
      </c>
      <c r="CH679" s="66" t="str">
        <f t="shared" si="885"/>
        <v/>
      </c>
      <c r="CI679" s="66" t="str">
        <f t="shared" si="885"/>
        <v/>
      </c>
      <c r="CJ679" s="66" t="str">
        <f>+IF($W679="","",ROUND((CG679*Parámetros!$G$85),2))</f>
        <v/>
      </c>
      <c r="CK679" s="66" t="str">
        <f>+IF($W679="","",ROUND((CG679*(Parámetros!$G$86)),2))</f>
        <v/>
      </c>
      <c r="CL679" s="66" t="str">
        <f t="shared" si="886"/>
        <v/>
      </c>
      <c r="CM679" t="str">
        <f t="shared" si="927"/>
        <v/>
      </c>
      <c r="CN679" s="118" t="str">
        <f t="shared" si="928"/>
        <v/>
      </c>
      <c r="CO679" s="118" t="str">
        <f t="shared" si="929"/>
        <v/>
      </c>
      <c r="CP679" s="118" t="str">
        <f t="shared" si="930"/>
        <v/>
      </c>
      <c r="CQ679" s="119" t="str">
        <f t="shared" si="887"/>
        <v/>
      </c>
      <c r="CR679" s="66" t="str">
        <f>+IF($W679="","",ROUND((VLOOKUP(Parámetros!$F$51,'COBERTURAS ADICIONALES'!$S$4:$T$32,2,FALSE)*(1+i/frec)^-0.5*(1+Parámetros!$D$103)*(1+rec_fracc)/frec*$CO$42),2))</f>
        <v/>
      </c>
      <c r="CS679" s="119" t="str">
        <f t="shared" si="888"/>
        <v/>
      </c>
      <c r="CT679" s="66" t="str">
        <f>+IF($W679="","",ROUND(IF($B679&gt;Parámetros!$D$107,'Tablas Servicio'!CR679+('Tablas Servicio'!CT678-'Tablas Servicio'!CR678),CR679/(1-IF(B679&lt;=10,Parámetros!$D$100,0))),2))</f>
        <v/>
      </c>
      <c r="CU679" s="66" t="str">
        <f t="shared" si="889"/>
        <v/>
      </c>
      <c r="CV679" s="66" t="str">
        <f t="shared" si="889"/>
        <v/>
      </c>
      <c r="CW679" s="66" t="str">
        <f>+IF($W679="","",ROUND((CT679*Parámetros!$G$85),2))</f>
        <v/>
      </c>
      <c r="CX679" s="66" t="str">
        <f>+IF($W679="","",ROUND((CT679*(Parámetros!$G$86)),2))</f>
        <v/>
      </c>
      <c r="CY679" s="66" t="str">
        <f t="shared" si="890"/>
        <v/>
      </c>
      <c r="CZ679" t="str">
        <f t="shared" si="931"/>
        <v/>
      </c>
      <c r="DA679" s="118" t="str">
        <f t="shared" si="932"/>
        <v/>
      </c>
      <c r="DB679" s="118" t="str">
        <f t="shared" si="933"/>
        <v/>
      </c>
      <c r="DC679" s="118" t="str">
        <f t="shared" si="934"/>
        <v/>
      </c>
      <c r="DD679" s="121" t="str">
        <f>+IF(OR($W679="",DB679=0),"",ROUND((VLOOKUP(ROUNDDOWN($D679-1/frec,0),cob_adi,CO$40,FALSE)*(1+i/frec)^-0.5*(1+Parámetros!$D$103)*(1+rec_fracc)/frec),6))</f>
        <v/>
      </c>
      <c r="DE679" s="66" t="str">
        <f t="shared" si="891"/>
        <v/>
      </c>
      <c r="DF679" s="119" t="str">
        <f t="shared" si="892"/>
        <v/>
      </c>
      <c r="DG679" s="66" t="str">
        <f>+IF($W679="","",ROUND(IF($B679&gt;Parámetros!$D$107,'Tablas Servicio'!DE679+('Tablas Servicio'!DG678-'Tablas Servicio'!DE678),DE679/(1-IF(B679&lt;=10,Parámetros!$D$100,0))),2))</f>
        <v/>
      </c>
      <c r="DH679" s="66" t="str">
        <f t="shared" si="893"/>
        <v/>
      </c>
      <c r="DI679" s="66" t="str">
        <f t="shared" si="893"/>
        <v/>
      </c>
      <c r="DJ679" s="66" t="str">
        <f>+IF($W679="","",ROUND((DG679*Parámetros!$G$85),2))</f>
        <v/>
      </c>
      <c r="DK679" s="66" t="str">
        <f>+IF($W679="","",ROUND((DG679*(Parámetros!$G$86)),2))</f>
        <v/>
      </c>
      <c r="DL679" s="66" t="str">
        <f t="shared" si="894"/>
        <v/>
      </c>
      <c r="DM679" t="str">
        <f t="shared" si="935"/>
        <v/>
      </c>
      <c r="DN679" s="118" t="str">
        <f t="shared" si="936"/>
        <v/>
      </c>
      <c r="DO679" s="118" t="str">
        <f t="shared" si="937"/>
        <v/>
      </c>
      <c r="DP679" s="118" t="str">
        <f t="shared" si="938"/>
        <v/>
      </c>
      <c r="DQ679" s="122" t="str">
        <f>+IF(OR($W679="",DO679=0),"",ROUND((VLOOKUP(ROUNDDOWN($D679-1/frec,0),cob_adi,DB$40,FALSE)*(1+i/frec)^-0.5*(1+Parámetros!$D$103)*(1+rec_fracc)/frec),6))</f>
        <v/>
      </c>
      <c r="DR679" s="66" t="str">
        <f t="shared" si="895"/>
        <v/>
      </c>
      <c r="DS679" s="68" t="str">
        <f t="shared" si="896"/>
        <v/>
      </c>
      <c r="DT679" s="66" t="str">
        <f>+IF($W679="","",ROUND(IF($B679&gt;Parámetros!$D$107,'Tablas Servicio'!DR679+('Tablas Servicio'!DT678-'Tablas Servicio'!DR678),DR679/(1-IF(B679&lt;=10,Parámetros!$D$100,0))),2))</f>
        <v/>
      </c>
      <c r="DU679" s="66" t="str">
        <f t="shared" si="897"/>
        <v/>
      </c>
      <c r="DV679" s="66" t="str">
        <f t="shared" si="897"/>
        <v/>
      </c>
      <c r="DW679" s="66" t="str">
        <f>+IF($W679="","",ROUND((DT679*Parámetros!$G$85),2))</f>
        <v/>
      </c>
      <c r="DX679" s="66" t="str">
        <f>+IF($W679="","",ROUND((DT679*(Parámetros!$G$86)),2))</f>
        <v/>
      </c>
      <c r="DY679" s="66" t="str">
        <f t="shared" si="898"/>
        <v/>
      </c>
      <c r="DZ679" t="str">
        <f t="shared" si="941"/>
        <v/>
      </c>
      <c r="EA679" s="118" t="str">
        <f t="shared" si="941"/>
        <v/>
      </c>
      <c r="EB679" s="118" t="str">
        <f>+IF($W679="","",ROUND(IF(Parámetros!$D$25='TABLAS MORT'!$V$33,EB678,Z679/2),0))</f>
        <v/>
      </c>
      <c r="EC679" s="118" t="str">
        <f t="shared" si="941"/>
        <v/>
      </c>
      <c r="ED679" s="122" t="str">
        <f>+IF(OR($W679="",EB679=0),"",ROUND((VLOOKUP(ROUNDDOWN($D679-1/frec,0),cob_adi,DO$40,FALSE)*(1+i/frec)^-0.5*(1+Parámetros!$D$103)*(1+rec_fracc)/frec),6))</f>
        <v/>
      </c>
      <c r="EE679" s="66" t="str">
        <f t="shared" si="900"/>
        <v/>
      </c>
      <c r="EF679" s="68" t="str">
        <f t="shared" si="901"/>
        <v/>
      </c>
      <c r="EG679" s="66" t="str">
        <f>+IF($W679="","",ROUND(IF($B679&gt;Parámetros!$D$107,'Tablas Servicio'!EE679+('Tablas Servicio'!EG678-'Tablas Servicio'!EE678),EE679/(1-IF(B679&lt;=10,Parámetros!$D$100,0))),2))</f>
        <v/>
      </c>
      <c r="EH679" s="66" t="str">
        <f t="shared" si="902"/>
        <v/>
      </c>
      <c r="EI679" s="66" t="str">
        <f t="shared" si="902"/>
        <v/>
      </c>
      <c r="EJ679" s="66" t="str">
        <f>+IF($W679="","",ROUND((EG679*Parámetros!$G$85),2))</f>
        <v/>
      </c>
      <c r="EK679" s="66" t="str">
        <f>+IF($W679="","",ROUND((EG679*(Parámetros!$G$86)),2))</f>
        <v/>
      </c>
      <c r="EL679" s="66" t="str">
        <f t="shared" si="903"/>
        <v/>
      </c>
    </row>
    <row r="680" spans="1:142" x14ac:dyDescent="0.25">
      <c r="A680" t="str">
        <f>+IF($C680="","",ROUND(VLOOKUP('Tablas Servicio'!B680,Parámetros!$H$100:$J$159,IF(Parámetros!$E$16="F",2,3),FALSE),2))</f>
        <v/>
      </c>
      <c r="B680" t="str">
        <f t="shared" si="854"/>
        <v/>
      </c>
      <c r="C680" s="57" t="str">
        <f>+IF(D680="","",'Tablas Servicio'!C679+1)</f>
        <v/>
      </c>
      <c r="D680" s="56" t="str">
        <f>+IF(D679&lt;edadmaxtabla,D679+1/Parámetros!$E$25,"")</f>
        <v/>
      </c>
      <c r="E680" s="57" t="str">
        <f t="shared" si="864"/>
        <v/>
      </c>
      <c r="F680" s="59" t="str">
        <f t="shared" si="865"/>
        <v/>
      </c>
      <c r="G680" s="66" t="str">
        <f t="shared" si="855"/>
        <v/>
      </c>
      <c r="H680" s="66" t="str">
        <f t="shared" si="856"/>
        <v/>
      </c>
      <c r="I680" s="66" t="str">
        <f t="shared" si="904"/>
        <v/>
      </c>
      <c r="J680" s="66" t="str">
        <f t="shared" si="857"/>
        <v/>
      </c>
      <c r="K680" s="66" t="str">
        <f t="shared" si="858"/>
        <v/>
      </c>
      <c r="L680" s="66" t="str">
        <f t="shared" si="859"/>
        <v/>
      </c>
      <c r="M680" s="66" t="str">
        <f t="shared" si="860"/>
        <v/>
      </c>
      <c r="N680" s="66" t="str">
        <f>+IF(C680="","",ROUND(Parámetros!$D$23,2))</f>
        <v/>
      </c>
      <c r="O680" s="66" t="str">
        <f t="shared" si="861"/>
        <v/>
      </c>
      <c r="P680" s="66" t="str">
        <f>+IF($C680="","",ROUND(IF(B680&gt;Parámetros!$D$117,0,N680*Parámetros!$D$116-G680*Parámetros!$D$100),2))</f>
        <v/>
      </c>
      <c r="Q680" s="75" t="str">
        <f t="shared" si="905"/>
        <v/>
      </c>
      <c r="R680" s="75" t="str">
        <f t="shared" si="906"/>
        <v/>
      </c>
      <c r="S680" s="117" t="str">
        <f>+IF($C680="","",ROUND((S679+I680)*(1+Parámetros!$D$91),2))</f>
        <v/>
      </c>
      <c r="T680" s="117" t="str">
        <f>+IF($C680="","",ROUND(S680*VLOOKUP(B680,Parámetros!$C$30:$D$39,2,TRUE),2))</f>
        <v/>
      </c>
      <c r="U680" s="117" t="str">
        <f>+IF($C680="","",ROUND((U679+I680)*(1+Parámetros!$D$92),2))</f>
        <v/>
      </c>
      <c r="V680" s="117" t="str">
        <f>+IF($C680="","",ROUND(U680*VLOOKUP(B680,Parámetros!$C$30:$D$39,2,TRUE),2))</f>
        <v/>
      </c>
      <c r="W680" s="57" t="str">
        <f t="shared" si="907"/>
        <v/>
      </c>
      <c r="X680" t="str">
        <f t="shared" si="908"/>
        <v/>
      </c>
      <c r="Y680" t="str">
        <f t="shared" si="909"/>
        <v/>
      </c>
      <c r="Z680" s="118" t="str">
        <f>+IF($W680="","",ROUND(IF(Parámetros!$D$25='TABLAS MORT'!$V$33,Z679,Parámetros!$D$21-'Tablas Servicio'!T679),0))</f>
        <v/>
      </c>
      <c r="AA680" s="118" t="str">
        <f t="shared" si="910"/>
        <v/>
      </c>
      <c r="AB680" s="119" t="str">
        <f>+IF(W680="","",ROUND((VLOOKUP(ROUNDDOWN($D680-1/frec,0),qx_tabla,2,FALSE)*(1+i/frec)^-0.5*(1+Parámetros!$D$103)*(1+rec_fracc)/frec),6))</f>
        <v/>
      </c>
      <c r="AC680" s="66" t="str">
        <f t="shared" si="866"/>
        <v/>
      </c>
      <c r="AD680" s="119" t="str">
        <f t="shared" si="862"/>
        <v/>
      </c>
      <c r="AE680" s="66" t="str">
        <f>+IF($W680="","",ROUND(IF($B680&gt;Parámetros!$D$107,'Tablas Servicio'!AC680+('Tablas Servicio'!AG679-'Tablas Servicio'!AC679),AC680/(1-IF(B680&lt;=10,Parámetros!$D$104,Parámetros!$D$105))),2))</f>
        <v/>
      </c>
      <c r="AF680" s="66" t="str">
        <f>+IF($W680="","",ROUND(IF($B680&gt;Parámetros!$D$107,'Tablas Servicio'!AC680+('Tablas Servicio'!AG679-'Tablas Servicio'!AC679),(AC680+$A679/frec)/(1-IF(B680&lt;=Parámetros!$D$117,Parámetros!$D$100,0))),2))</f>
        <v/>
      </c>
      <c r="AG680" s="66" t="str">
        <f t="shared" si="867"/>
        <v/>
      </c>
      <c r="AH680" s="66" t="str">
        <f t="shared" si="868"/>
        <v/>
      </c>
      <c r="AI680" s="66" t="str">
        <f t="shared" si="869"/>
        <v/>
      </c>
      <c r="AJ680" s="66" t="str">
        <f>+IF($W680="","",ROUND((AG680*Parámetros!$G$85),2))</f>
        <v/>
      </c>
      <c r="AK680" s="66" t="str">
        <f>+IF($W680="","",ROUND((AG680*(Parámetros!$G$86)),2))</f>
        <v/>
      </c>
      <c r="AL680" s="66" t="str">
        <f t="shared" si="863"/>
        <v/>
      </c>
      <c r="AM680" t="str">
        <f t="shared" si="911"/>
        <v/>
      </c>
      <c r="AN680" t="str">
        <f t="shared" si="912"/>
        <v/>
      </c>
      <c r="AO680" s="118" t="str">
        <f t="shared" si="913"/>
        <v/>
      </c>
      <c r="AP680" s="118" t="str">
        <f t="shared" si="914"/>
        <v/>
      </c>
      <c r="AQ680" s="119" t="str">
        <f>+IF(OR($W680="",AO680=0),"",ROUND((VLOOKUP(ROUNDDOWN($D680-1/frec,0),cob_adi,Z$40,FALSE)*(1+i/frec)^-0.5*(1+Parámetros!$D$103)*(1+rec_fracc)/frec),6))</f>
        <v/>
      </c>
      <c r="AR680" s="66" t="str">
        <f t="shared" si="870"/>
        <v/>
      </c>
      <c r="AS680" s="119" t="str">
        <f t="shared" si="871"/>
        <v/>
      </c>
      <c r="AT680" s="66" t="str">
        <f>+IF($W680="","",ROUND(IF($B680&gt;Parámetros!$D$107,'Tablas Servicio'!AR680+('Tablas Servicio'!AT679-'Tablas Servicio'!AR679),AR680/(1-IF(B680&lt;=10,Parámetros!$D$100,0))),2))</f>
        <v/>
      </c>
      <c r="AU680" s="66" t="str">
        <f t="shared" si="872"/>
        <v/>
      </c>
      <c r="AV680" s="66" t="str">
        <f t="shared" si="872"/>
        <v/>
      </c>
      <c r="AW680" s="66" t="str">
        <f>+IF($W680="","",ROUND((AT680*Parámetros!$G$85),2))</f>
        <v/>
      </c>
      <c r="AX680" s="66" t="str">
        <f>+IF($W680="","",ROUND((AT680*(Parámetros!$G$86)),2))</f>
        <v/>
      </c>
      <c r="AY680" s="66" t="str">
        <f t="shared" si="873"/>
        <v/>
      </c>
      <c r="AZ680" t="str">
        <f t="shared" si="915"/>
        <v/>
      </c>
      <c r="BA680" t="str">
        <f t="shared" si="916"/>
        <v/>
      </c>
      <c r="BB680" s="118" t="str">
        <f t="shared" si="917"/>
        <v/>
      </c>
      <c r="BC680" s="118" t="str">
        <f t="shared" si="918"/>
        <v/>
      </c>
      <c r="BD680" s="119" t="str">
        <f>+IF(OR($W680="",BB680=0),"",ROUND((VLOOKUP(ROUNDDOWN($D680-1/frec,0),cob_adi,AO$40,FALSE)*(1+i/frec)^-0.5*(1+Parámetros!$D$103)*(1+rec_fracc)/frec),6))</f>
        <v/>
      </c>
      <c r="BE680" s="66" t="str">
        <f t="shared" si="874"/>
        <v/>
      </c>
      <c r="BF680" s="119" t="str">
        <f t="shared" si="875"/>
        <v/>
      </c>
      <c r="BG680" s="66" t="str">
        <f>+IF($W680="","",ROUND(IF($B680&gt;Parámetros!$D$107,'Tablas Servicio'!BE680+('Tablas Servicio'!BG679-'Tablas Servicio'!BE679),BE680/(1-IF(B680&lt;=10,Parámetros!$D$100,0))),2))</f>
        <v/>
      </c>
      <c r="BH680" s="66" t="str">
        <f t="shared" si="876"/>
        <v/>
      </c>
      <c r="BI680" s="66" t="str">
        <f t="shared" si="877"/>
        <v/>
      </c>
      <c r="BJ680" s="66" t="str">
        <f>+IF($W680="","",ROUND((BG680*Parámetros!$G$85),2))</f>
        <v/>
      </c>
      <c r="BK680" s="66" t="str">
        <f>+IF($W680="","",ROUND((BG680*(Parámetros!$G$86)),2))</f>
        <v/>
      </c>
      <c r="BL680" s="66" t="str">
        <f t="shared" si="878"/>
        <v/>
      </c>
      <c r="BM680" t="str">
        <f t="shared" si="919"/>
        <v/>
      </c>
      <c r="BN680" t="str">
        <f t="shared" si="920"/>
        <v/>
      </c>
      <c r="BO680" s="118" t="str">
        <f t="shared" si="921"/>
        <v/>
      </c>
      <c r="BP680" s="118" t="str">
        <f t="shared" si="922"/>
        <v/>
      </c>
      <c r="BQ680" s="119" t="str">
        <f>+IF(OR($W680="",BO680=0),"",ROUND((VLOOKUP(ROUNDDOWN($D680-1/frec,0),cob_adi,BB$40,FALSE)*(1+i/frec)^-0.5*(1+Parámetros!$D$103)*(1+rec_fracc)/frec),6))</f>
        <v/>
      </c>
      <c r="BR680" s="66" t="str">
        <f t="shared" si="879"/>
        <v/>
      </c>
      <c r="BS680" s="119" t="str">
        <f t="shared" si="880"/>
        <v/>
      </c>
      <c r="BT680" s="66" t="str">
        <f>+IF($W680="","",ROUND(IF($B680&gt;Parámetros!$D$107,'Tablas Servicio'!BR680+('Tablas Servicio'!BT679-'Tablas Servicio'!BR679),BR680/(1-IF(B680&lt;=10,Parámetros!$D$100,0))),2))</f>
        <v/>
      </c>
      <c r="BU680" s="66" t="str">
        <f t="shared" si="881"/>
        <v/>
      </c>
      <c r="BV680" s="66" t="str">
        <f t="shared" si="881"/>
        <v/>
      </c>
      <c r="BW680" s="66" t="str">
        <f>+IF($W680="","",ROUND((BT680*Parámetros!$G$85),2))</f>
        <v/>
      </c>
      <c r="BX680" s="66" t="str">
        <f>+IF($W680="","",ROUND((BT680*(Parámetros!$G$86)),2))</f>
        <v/>
      </c>
      <c r="BY680" s="66" t="str">
        <f t="shared" si="882"/>
        <v/>
      </c>
      <c r="BZ680" t="str">
        <f t="shared" si="923"/>
        <v/>
      </c>
      <c r="CA680" t="str">
        <f t="shared" si="924"/>
        <v/>
      </c>
      <c r="CB680" s="118" t="str">
        <f t="shared" si="925"/>
        <v/>
      </c>
      <c r="CC680" s="118" t="str">
        <f t="shared" si="926"/>
        <v/>
      </c>
      <c r="CD680" s="119" t="str">
        <f t="shared" si="883"/>
        <v/>
      </c>
      <c r="CE680" s="66" t="str">
        <f>+IF($W680="","",ROUND((VLOOKUP(ROUNDDOWN($D680-1/frec,0),cob_adi,BO$40,FALSE)*(1+i/frec)^-0.5*(1+Parámetros!$D$103)*(1+rec_fracc)/frec*'TABLAS ADI'!$BC$17),2))</f>
        <v/>
      </c>
      <c r="CF680" s="119" t="str">
        <f t="shared" si="884"/>
        <v/>
      </c>
      <c r="CG680" s="66" t="str">
        <f>+IF($W680="","",ROUND(IF($B680&gt;Parámetros!$D$107,'Tablas Servicio'!CE680+('Tablas Servicio'!CG679-'Tablas Servicio'!CE679),CE680/(1-IF(B680&lt;=10,Parámetros!$D$100,0))),2))</f>
        <v/>
      </c>
      <c r="CH680" s="66" t="str">
        <f t="shared" si="885"/>
        <v/>
      </c>
      <c r="CI680" s="66" t="str">
        <f t="shared" si="885"/>
        <v/>
      </c>
      <c r="CJ680" s="66" t="str">
        <f>+IF($W680="","",ROUND((CG680*Parámetros!$G$85),2))</f>
        <v/>
      </c>
      <c r="CK680" s="66" t="str">
        <f>+IF($W680="","",ROUND((CG680*(Parámetros!$G$86)),2))</f>
        <v/>
      </c>
      <c r="CL680" s="66" t="str">
        <f t="shared" si="886"/>
        <v/>
      </c>
      <c r="CM680" t="str">
        <f t="shared" si="927"/>
        <v/>
      </c>
      <c r="CN680" s="118" t="str">
        <f t="shared" si="928"/>
        <v/>
      </c>
      <c r="CO680" s="118" t="str">
        <f t="shared" si="929"/>
        <v/>
      </c>
      <c r="CP680" s="118" t="str">
        <f t="shared" si="930"/>
        <v/>
      </c>
      <c r="CQ680" s="119" t="str">
        <f t="shared" si="887"/>
        <v/>
      </c>
      <c r="CR680" s="66" t="str">
        <f>+IF($W680="","",ROUND((VLOOKUP(Parámetros!$F$51,'COBERTURAS ADICIONALES'!$S$4:$T$32,2,FALSE)*(1+i/frec)^-0.5*(1+Parámetros!$D$103)*(1+rec_fracc)/frec*$CO$42),2))</f>
        <v/>
      </c>
      <c r="CS680" s="119" t="str">
        <f t="shared" si="888"/>
        <v/>
      </c>
      <c r="CT680" s="66" t="str">
        <f>+IF($W680="","",ROUND(IF($B680&gt;Parámetros!$D$107,'Tablas Servicio'!CR680+('Tablas Servicio'!CT679-'Tablas Servicio'!CR679),CR680/(1-IF(B680&lt;=10,Parámetros!$D$100,0))),2))</f>
        <v/>
      </c>
      <c r="CU680" s="66" t="str">
        <f t="shared" si="889"/>
        <v/>
      </c>
      <c r="CV680" s="66" t="str">
        <f t="shared" si="889"/>
        <v/>
      </c>
      <c r="CW680" s="66" t="str">
        <f>+IF($W680="","",ROUND((CT680*Parámetros!$G$85),2))</f>
        <v/>
      </c>
      <c r="CX680" s="66" t="str">
        <f>+IF($W680="","",ROUND((CT680*(Parámetros!$G$86)),2))</f>
        <v/>
      </c>
      <c r="CY680" s="66" t="str">
        <f t="shared" si="890"/>
        <v/>
      </c>
      <c r="CZ680" t="str">
        <f t="shared" si="931"/>
        <v/>
      </c>
      <c r="DA680" s="118" t="str">
        <f t="shared" si="932"/>
        <v/>
      </c>
      <c r="DB680" s="118" t="str">
        <f t="shared" si="933"/>
        <v/>
      </c>
      <c r="DC680" s="118" t="str">
        <f t="shared" si="934"/>
        <v/>
      </c>
      <c r="DD680" s="121" t="str">
        <f>+IF(OR($W680="",DB680=0),"",ROUND((VLOOKUP(ROUNDDOWN($D680-1/frec,0),cob_adi,CO$40,FALSE)*(1+i/frec)^-0.5*(1+Parámetros!$D$103)*(1+rec_fracc)/frec),6))</f>
        <v/>
      </c>
      <c r="DE680" s="66" t="str">
        <f t="shared" si="891"/>
        <v/>
      </c>
      <c r="DF680" s="119" t="str">
        <f t="shared" si="892"/>
        <v/>
      </c>
      <c r="DG680" s="66" t="str">
        <f>+IF($W680="","",ROUND(IF($B680&gt;Parámetros!$D$107,'Tablas Servicio'!DE680+('Tablas Servicio'!DG679-'Tablas Servicio'!DE679),DE680/(1-IF(B680&lt;=10,Parámetros!$D$100,0))),2))</f>
        <v/>
      </c>
      <c r="DH680" s="66" t="str">
        <f t="shared" si="893"/>
        <v/>
      </c>
      <c r="DI680" s="66" t="str">
        <f t="shared" si="893"/>
        <v/>
      </c>
      <c r="DJ680" s="66" t="str">
        <f>+IF($W680="","",ROUND((DG680*Parámetros!$G$85),2))</f>
        <v/>
      </c>
      <c r="DK680" s="66" t="str">
        <f>+IF($W680="","",ROUND((DG680*(Parámetros!$G$86)),2))</f>
        <v/>
      </c>
      <c r="DL680" s="66" t="str">
        <f t="shared" si="894"/>
        <v/>
      </c>
      <c r="DM680" t="str">
        <f t="shared" si="935"/>
        <v/>
      </c>
      <c r="DN680" s="118" t="str">
        <f t="shared" si="936"/>
        <v/>
      </c>
      <c r="DO680" s="118" t="str">
        <f t="shared" si="937"/>
        <v/>
      </c>
      <c r="DP680" s="118" t="str">
        <f t="shared" si="938"/>
        <v/>
      </c>
      <c r="DQ680" s="122" t="str">
        <f>+IF(OR($W680="",DO680=0),"",ROUND((VLOOKUP(ROUNDDOWN($D680-1/frec,0),cob_adi,DB$40,FALSE)*(1+i/frec)^-0.5*(1+Parámetros!$D$103)*(1+rec_fracc)/frec),6))</f>
        <v/>
      </c>
      <c r="DR680" s="66" t="str">
        <f t="shared" si="895"/>
        <v/>
      </c>
      <c r="DS680" s="68" t="str">
        <f t="shared" si="896"/>
        <v/>
      </c>
      <c r="DT680" s="66" t="str">
        <f>+IF($W680="","",ROUND(IF($B680&gt;Parámetros!$D$107,'Tablas Servicio'!DR680+('Tablas Servicio'!DT679-'Tablas Servicio'!DR679),DR680/(1-IF(B680&lt;=10,Parámetros!$D$100,0))),2))</f>
        <v/>
      </c>
      <c r="DU680" s="66" t="str">
        <f t="shared" si="897"/>
        <v/>
      </c>
      <c r="DV680" s="66" t="str">
        <f t="shared" si="897"/>
        <v/>
      </c>
      <c r="DW680" s="66" t="str">
        <f>+IF($W680="","",ROUND((DT680*Parámetros!$G$85),2))</f>
        <v/>
      </c>
      <c r="DX680" s="66" t="str">
        <f>+IF($W680="","",ROUND((DT680*(Parámetros!$G$86)),2))</f>
        <v/>
      </c>
      <c r="DY680" s="66" t="str">
        <f t="shared" si="898"/>
        <v/>
      </c>
      <c r="DZ680" t="str">
        <f t="shared" si="941"/>
        <v/>
      </c>
      <c r="EA680" s="118" t="str">
        <f t="shared" si="941"/>
        <v/>
      </c>
      <c r="EB680" s="118" t="str">
        <f>+IF($W680="","",ROUND(IF(Parámetros!$D$25='TABLAS MORT'!$V$33,EB679,Z680/2),0))</f>
        <v/>
      </c>
      <c r="EC680" s="118" t="str">
        <f t="shared" si="941"/>
        <v/>
      </c>
      <c r="ED680" s="122" t="str">
        <f>+IF(OR($W680="",EB680=0),"",ROUND((VLOOKUP(ROUNDDOWN($D680-1/frec,0),cob_adi,DO$40,FALSE)*(1+i/frec)^-0.5*(1+Parámetros!$D$103)*(1+rec_fracc)/frec),6))</f>
        <v/>
      </c>
      <c r="EE680" s="66" t="str">
        <f t="shared" si="900"/>
        <v/>
      </c>
      <c r="EF680" s="68" t="str">
        <f t="shared" si="901"/>
        <v/>
      </c>
      <c r="EG680" s="66" t="str">
        <f>+IF($W680="","",ROUND(IF($B680&gt;Parámetros!$D$107,'Tablas Servicio'!EE680+('Tablas Servicio'!EG679-'Tablas Servicio'!EE679),EE680/(1-IF(B680&lt;=10,Parámetros!$D$100,0))),2))</f>
        <v/>
      </c>
      <c r="EH680" s="66" t="str">
        <f t="shared" si="902"/>
        <v/>
      </c>
      <c r="EI680" s="66" t="str">
        <f t="shared" si="902"/>
        <v/>
      </c>
      <c r="EJ680" s="66" t="str">
        <f>+IF($W680="","",ROUND((EG680*Parámetros!$G$85),2))</f>
        <v/>
      </c>
      <c r="EK680" s="66" t="str">
        <f>+IF($W680="","",ROUND((EG680*(Parámetros!$G$86)),2))</f>
        <v/>
      </c>
      <c r="EL680" s="66" t="str">
        <f t="shared" si="903"/>
        <v/>
      </c>
    </row>
    <row r="681" spans="1:142" x14ac:dyDescent="0.25">
      <c r="A681" t="str">
        <f>+IF($C681="","",ROUND(VLOOKUP('Tablas Servicio'!B681,Parámetros!$H$100:$J$159,IF(Parámetros!$E$16="F",2,3),FALSE),2))</f>
        <v/>
      </c>
      <c r="B681" t="str">
        <f t="shared" si="854"/>
        <v/>
      </c>
      <c r="C681" s="57" t="str">
        <f>+IF(D681="","",'Tablas Servicio'!C680+1)</f>
        <v/>
      </c>
      <c r="D681" s="56" t="str">
        <f>+IF(D680&lt;edadmaxtabla,D680+1/Parámetros!$E$25,"")</f>
        <v/>
      </c>
      <c r="E681" s="57" t="str">
        <f t="shared" si="864"/>
        <v/>
      </c>
      <c r="F681" s="59" t="str">
        <f t="shared" si="865"/>
        <v/>
      </c>
      <c r="G681" s="66" t="str">
        <f t="shared" si="855"/>
        <v/>
      </c>
      <c r="H681" s="66" t="str">
        <f t="shared" si="856"/>
        <v/>
      </c>
      <c r="I681" s="66" t="str">
        <f t="shared" si="904"/>
        <v/>
      </c>
      <c r="J681" s="66" t="str">
        <f t="shared" si="857"/>
        <v/>
      </c>
      <c r="K681" s="66" t="str">
        <f t="shared" si="858"/>
        <v/>
      </c>
      <c r="L681" s="66" t="str">
        <f t="shared" si="859"/>
        <v/>
      </c>
      <c r="M681" s="66" t="str">
        <f t="shared" si="860"/>
        <v/>
      </c>
      <c r="N681" s="66" t="str">
        <f>+IF(C681="","",ROUND(Parámetros!$D$23,2))</f>
        <v/>
      </c>
      <c r="O681" s="66" t="str">
        <f t="shared" si="861"/>
        <v/>
      </c>
      <c r="P681" s="66" t="str">
        <f>+IF($C681="","",ROUND(IF(B681&gt;Parámetros!$D$117,0,N681*Parámetros!$D$116-G681*Parámetros!$D$100),2))</f>
        <v/>
      </c>
      <c r="Q681" s="75" t="str">
        <f t="shared" si="905"/>
        <v/>
      </c>
      <c r="R681" s="75" t="str">
        <f t="shared" si="906"/>
        <v/>
      </c>
      <c r="S681" s="117" t="str">
        <f>+IF($C681="","",ROUND((S680+I681)*(1+Parámetros!$D$91),2))</f>
        <v/>
      </c>
      <c r="T681" s="117" t="str">
        <f>+IF($C681="","",ROUND(S681*VLOOKUP(B681,Parámetros!$C$30:$D$39,2,TRUE),2))</f>
        <v/>
      </c>
      <c r="U681" s="117" t="str">
        <f>+IF($C681="","",ROUND((U680+I681)*(1+Parámetros!$D$92),2))</f>
        <v/>
      </c>
      <c r="V681" s="117" t="str">
        <f>+IF($C681="","",ROUND(U681*VLOOKUP(B681,Parámetros!$C$30:$D$39,2,TRUE),2))</f>
        <v/>
      </c>
      <c r="W681" s="57" t="str">
        <f t="shared" si="907"/>
        <v/>
      </c>
      <c r="X681" t="str">
        <f t="shared" si="908"/>
        <v/>
      </c>
      <c r="Y681" t="str">
        <f t="shared" si="909"/>
        <v/>
      </c>
      <c r="Z681" s="118" t="str">
        <f>+IF($W681="","",ROUND(IF(Parámetros!$D$25='TABLAS MORT'!$V$33,Z680,Parámetros!$D$21-'Tablas Servicio'!T680),0))</f>
        <v/>
      </c>
      <c r="AA681" s="118" t="str">
        <f t="shared" si="910"/>
        <v/>
      </c>
      <c r="AB681" s="119" t="str">
        <f>+IF(W681="","",ROUND((VLOOKUP(ROUNDDOWN($D681-1/frec,0),qx_tabla,2,FALSE)*(1+i/frec)^-0.5*(1+Parámetros!$D$103)*(1+rec_fracc)/frec),6))</f>
        <v/>
      </c>
      <c r="AC681" s="66" t="str">
        <f t="shared" si="866"/>
        <v/>
      </c>
      <c r="AD681" s="119" t="str">
        <f t="shared" si="862"/>
        <v/>
      </c>
      <c r="AE681" s="66" t="str">
        <f>+IF($W681="","",ROUND(IF($B681&gt;Parámetros!$D$107,'Tablas Servicio'!AC681+('Tablas Servicio'!AG680-'Tablas Servicio'!AC680),AC681/(1-IF(B681&lt;=10,Parámetros!$D$104,Parámetros!$D$105))),2))</f>
        <v/>
      </c>
      <c r="AF681" s="66" t="str">
        <f>+IF($W681="","",ROUND(IF($B681&gt;Parámetros!$D$107,'Tablas Servicio'!AC681+('Tablas Servicio'!AG680-'Tablas Servicio'!AC680),(AC681+$A680/frec)/(1-IF(B681&lt;=Parámetros!$D$117,Parámetros!$D$100,0))),2))</f>
        <v/>
      </c>
      <c r="AG681" s="66" t="str">
        <f t="shared" si="867"/>
        <v/>
      </c>
      <c r="AH681" s="66" t="str">
        <f t="shared" si="868"/>
        <v/>
      </c>
      <c r="AI681" s="66" t="str">
        <f t="shared" si="869"/>
        <v/>
      </c>
      <c r="AJ681" s="66" t="str">
        <f>+IF($W681="","",ROUND((AG681*Parámetros!$G$85),2))</f>
        <v/>
      </c>
      <c r="AK681" s="66" t="str">
        <f>+IF($W681="","",ROUND((AG681*(Parámetros!$G$86)),2))</f>
        <v/>
      </c>
      <c r="AL681" s="66" t="str">
        <f t="shared" si="863"/>
        <v/>
      </c>
      <c r="AM681" t="str">
        <f t="shared" si="911"/>
        <v/>
      </c>
      <c r="AN681" t="str">
        <f t="shared" si="912"/>
        <v/>
      </c>
      <c r="AO681" s="118" t="str">
        <f t="shared" si="913"/>
        <v/>
      </c>
      <c r="AP681" s="118" t="str">
        <f t="shared" si="914"/>
        <v/>
      </c>
      <c r="AQ681" s="119" t="str">
        <f>+IF(OR($W681="",AO681=0),"",ROUND((VLOOKUP(ROUNDDOWN($D681-1/frec,0),cob_adi,Z$40,FALSE)*(1+i/frec)^-0.5*(1+Parámetros!$D$103)*(1+rec_fracc)/frec),6))</f>
        <v/>
      </c>
      <c r="AR681" s="66" t="str">
        <f t="shared" si="870"/>
        <v/>
      </c>
      <c r="AS681" s="119" t="str">
        <f t="shared" si="871"/>
        <v/>
      </c>
      <c r="AT681" s="66" t="str">
        <f>+IF($W681="","",ROUND(IF($B681&gt;Parámetros!$D$107,'Tablas Servicio'!AR681+('Tablas Servicio'!AT680-'Tablas Servicio'!AR680),AR681/(1-IF(B681&lt;=10,Parámetros!$D$100,0))),2))</f>
        <v/>
      </c>
      <c r="AU681" s="66" t="str">
        <f t="shared" si="872"/>
        <v/>
      </c>
      <c r="AV681" s="66" t="str">
        <f t="shared" si="872"/>
        <v/>
      </c>
      <c r="AW681" s="66" t="str">
        <f>+IF($W681="","",ROUND((AT681*Parámetros!$G$85),2))</f>
        <v/>
      </c>
      <c r="AX681" s="66" t="str">
        <f>+IF($W681="","",ROUND((AT681*(Parámetros!$G$86)),2))</f>
        <v/>
      </c>
      <c r="AY681" s="66" t="str">
        <f t="shared" si="873"/>
        <v/>
      </c>
      <c r="AZ681" t="str">
        <f t="shared" si="915"/>
        <v/>
      </c>
      <c r="BA681" t="str">
        <f t="shared" si="916"/>
        <v/>
      </c>
      <c r="BB681" s="118" t="str">
        <f t="shared" si="917"/>
        <v/>
      </c>
      <c r="BC681" s="118" t="str">
        <f t="shared" si="918"/>
        <v/>
      </c>
      <c r="BD681" s="119" t="str">
        <f>+IF(OR($W681="",BB681=0),"",ROUND((VLOOKUP(ROUNDDOWN($D681-1/frec,0),cob_adi,AO$40,FALSE)*(1+i/frec)^-0.5*(1+Parámetros!$D$103)*(1+rec_fracc)/frec),6))</f>
        <v/>
      </c>
      <c r="BE681" s="66" t="str">
        <f t="shared" si="874"/>
        <v/>
      </c>
      <c r="BF681" s="119" t="str">
        <f t="shared" si="875"/>
        <v/>
      </c>
      <c r="BG681" s="66" t="str">
        <f>+IF($W681="","",ROUND(IF($B681&gt;Parámetros!$D$107,'Tablas Servicio'!BE681+('Tablas Servicio'!BG680-'Tablas Servicio'!BE680),BE681/(1-IF(B681&lt;=10,Parámetros!$D$100,0))),2))</f>
        <v/>
      </c>
      <c r="BH681" s="66" t="str">
        <f t="shared" si="876"/>
        <v/>
      </c>
      <c r="BI681" s="66" t="str">
        <f t="shared" si="877"/>
        <v/>
      </c>
      <c r="BJ681" s="66" t="str">
        <f>+IF($W681="","",ROUND((BG681*Parámetros!$G$85),2))</f>
        <v/>
      </c>
      <c r="BK681" s="66" t="str">
        <f>+IF($W681="","",ROUND((BG681*(Parámetros!$G$86)),2))</f>
        <v/>
      </c>
      <c r="BL681" s="66" t="str">
        <f t="shared" si="878"/>
        <v/>
      </c>
      <c r="BM681" t="str">
        <f t="shared" si="919"/>
        <v/>
      </c>
      <c r="BN681" t="str">
        <f t="shared" si="920"/>
        <v/>
      </c>
      <c r="BO681" s="118" t="str">
        <f t="shared" si="921"/>
        <v/>
      </c>
      <c r="BP681" s="118" t="str">
        <f t="shared" si="922"/>
        <v/>
      </c>
      <c r="BQ681" s="119" t="str">
        <f>+IF(OR($W681="",BO681=0),"",ROUND((VLOOKUP(ROUNDDOWN($D681-1/frec,0),cob_adi,BB$40,FALSE)*(1+i/frec)^-0.5*(1+Parámetros!$D$103)*(1+rec_fracc)/frec),6))</f>
        <v/>
      </c>
      <c r="BR681" s="66" t="str">
        <f t="shared" si="879"/>
        <v/>
      </c>
      <c r="BS681" s="119" t="str">
        <f t="shared" si="880"/>
        <v/>
      </c>
      <c r="BT681" s="66" t="str">
        <f>+IF($W681="","",ROUND(IF($B681&gt;Parámetros!$D$107,'Tablas Servicio'!BR681+('Tablas Servicio'!BT680-'Tablas Servicio'!BR680),BR681/(1-IF(B681&lt;=10,Parámetros!$D$100,0))),2))</f>
        <v/>
      </c>
      <c r="BU681" s="66" t="str">
        <f t="shared" si="881"/>
        <v/>
      </c>
      <c r="BV681" s="66" t="str">
        <f t="shared" si="881"/>
        <v/>
      </c>
      <c r="BW681" s="66" t="str">
        <f>+IF($W681="","",ROUND((BT681*Parámetros!$G$85),2))</f>
        <v/>
      </c>
      <c r="BX681" s="66" t="str">
        <f>+IF($W681="","",ROUND((BT681*(Parámetros!$G$86)),2))</f>
        <v/>
      </c>
      <c r="BY681" s="66" t="str">
        <f t="shared" si="882"/>
        <v/>
      </c>
      <c r="BZ681" t="str">
        <f t="shared" si="923"/>
        <v/>
      </c>
      <c r="CA681" t="str">
        <f t="shared" si="924"/>
        <v/>
      </c>
      <c r="CB681" s="118" t="str">
        <f t="shared" si="925"/>
        <v/>
      </c>
      <c r="CC681" s="118" t="str">
        <f t="shared" si="926"/>
        <v/>
      </c>
      <c r="CD681" s="119" t="str">
        <f t="shared" si="883"/>
        <v/>
      </c>
      <c r="CE681" s="66" t="str">
        <f>+IF($W681="","",ROUND((VLOOKUP(ROUNDDOWN($D681-1/frec,0),cob_adi,BO$40,FALSE)*(1+i/frec)^-0.5*(1+Parámetros!$D$103)*(1+rec_fracc)/frec*'TABLAS ADI'!$BC$17),2))</f>
        <v/>
      </c>
      <c r="CF681" s="119" t="str">
        <f t="shared" si="884"/>
        <v/>
      </c>
      <c r="CG681" s="66" t="str">
        <f>+IF($W681="","",ROUND(IF($B681&gt;Parámetros!$D$107,'Tablas Servicio'!CE681+('Tablas Servicio'!CG680-'Tablas Servicio'!CE680),CE681/(1-IF(B681&lt;=10,Parámetros!$D$100,0))),2))</f>
        <v/>
      </c>
      <c r="CH681" s="66" t="str">
        <f t="shared" si="885"/>
        <v/>
      </c>
      <c r="CI681" s="66" t="str">
        <f t="shared" si="885"/>
        <v/>
      </c>
      <c r="CJ681" s="66" t="str">
        <f>+IF($W681="","",ROUND((CG681*Parámetros!$G$85),2))</f>
        <v/>
      </c>
      <c r="CK681" s="66" t="str">
        <f>+IF($W681="","",ROUND((CG681*(Parámetros!$G$86)),2))</f>
        <v/>
      </c>
      <c r="CL681" s="66" t="str">
        <f t="shared" si="886"/>
        <v/>
      </c>
      <c r="CM681" t="str">
        <f t="shared" si="927"/>
        <v/>
      </c>
      <c r="CN681" s="118" t="str">
        <f t="shared" si="928"/>
        <v/>
      </c>
      <c r="CO681" s="118" t="str">
        <f t="shared" si="929"/>
        <v/>
      </c>
      <c r="CP681" s="118" t="str">
        <f t="shared" si="930"/>
        <v/>
      </c>
      <c r="CQ681" s="119" t="str">
        <f t="shared" si="887"/>
        <v/>
      </c>
      <c r="CR681" s="66" t="str">
        <f>+IF($W681="","",ROUND((VLOOKUP(Parámetros!$F$51,'COBERTURAS ADICIONALES'!$S$4:$T$32,2,FALSE)*(1+i/frec)^-0.5*(1+Parámetros!$D$103)*(1+rec_fracc)/frec*$CO$42),2))</f>
        <v/>
      </c>
      <c r="CS681" s="119" t="str">
        <f t="shared" si="888"/>
        <v/>
      </c>
      <c r="CT681" s="66" t="str">
        <f>+IF($W681="","",ROUND(IF($B681&gt;Parámetros!$D$107,'Tablas Servicio'!CR681+('Tablas Servicio'!CT680-'Tablas Servicio'!CR680),CR681/(1-IF(B681&lt;=10,Parámetros!$D$100,0))),2))</f>
        <v/>
      </c>
      <c r="CU681" s="66" t="str">
        <f t="shared" si="889"/>
        <v/>
      </c>
      <c r="CV681" s="66" t="str">
        <f t="shared" si="889"/>
        <v/>
      </c>
      <c r="CW681" s="66" t="str">
        <f>+IF($W681="","",ROUND((CT681*Parámetros!$G$85),2))</f>
        <v/>
      </c>
      <c r="CX681" s="66" t="str">
        <f>+IF($W681="","",ROUND((CT681*(Parámetros!$G$86)),2))</f>
        <v/>
      </c>
      <c r="CY681" s="66" t="str">
        <f t="shared" si="890"/>
        <v/>
      </c>
      <c r="CZ681" t="str">
        <f t="shared" si="931"/>
        <v/>
      </c>
      <c r="DA681" s="118" t="str">
        <f t="shared" si="932"/>
        <v/>
      </c>
      <c r="DB681" s="118" t="str">
        <f t="shared" si="933"/>
        <v/>
      </c>
      <c r="DC681" s="118" t="str">
        <f t="shared" si="934"/>
        <v/>
      </c>
      <c r="DD681" s="121" t="str">
        <f>+IF(OR($W681="",DB681=0),"",ROUND((VLOOKUP(ROUNDDOWN($D681-1/frec,0),cob_adi,CO$40,FALSE)*(1+i/frec)^-0.5*(1+Parámetros!$D$103)*(1+rec_fracc)/frec),6))</f>
        <v/>
      </c>
      <c r="DE681" s="66" t="str">
        <f t="shared" si="891"/>
        <v/>
      </c>
      <c r="DF681" s="119" t="str">
        <f t="shared" si="892"/>
        <v/>
      </c>
      <c r="DG681" s="66" t="str">
        <f>+IF($W681="","",ROUND(IF($B681&gt;Parámetros!$D$107,'Tablas Servicio'!DE681+('Tablas Servicio'!DG680-'Tablas Servicio'!DE680),DE681/(1-IF(B681&lt;=10,Parámetros!$D$100,0))),2))</f>
        <v/>
      </c>
      <c r="DH681" s="66" t="str">
        <f t="shared" si="893"/>
        <v/>
      </c>
      <c r="DI681" s="66" t="str">
        <f t="shared" si="893"/>
        <v/>
      </c>
      <c r="DJ681" s="66" t="str">
        <f>+IF($W681="","",ROUND((DG681*Parámetros!$G$85),2))</f>
        <v/>
      </c>
      <c r="DK681" s="66" t="str">
        <f>+IF($W681="","",ROUND((DG681*(Parámetros!$G$86)),2))</f>
        <v/>
      </c>
      <c r="DL681" s="66" t="str">
        <f t="shared" si="894"/>
        <v/>
      </c>
      <c r="DM681" t="str">
        <f t="shared" si="935"/>
        <v/>
      </c>
      <c r="DN681" s="118" t="str">
        <f t="shared" si="936"/>
        <v/>
      </c>
      <c r="DO681" s="118" t="str">
        <f t="shared" si="937"/>
        <v/>
      </c>
      <c r="DP681" s="118" t="str">
        <f t="shared" si="938"/>
        <v/>
      </c>
      <c r="DQ681" s="122" t="str">
        <f>+IF(OR($W681="",DO681=0),"",ROUND((VLOOKUP(ROUNDDOWN($D681-1/frec,0),cob_adi,DB$40,FALSE)*(1+i/frec)^-0.5*(1+Parámetros!$D$103)*(1+rec_fracc)/frec),6))</f>
        <v/>
      </c>
      <c r="DR681" s="66" t="str">
        <f t="shared" si="895"/>
        <v/>
      </c>
      <c r="DS681" s="68" t="str">
        <f t="shared" si="896"/>
        <v/>
      </c>
      <c r="DT681" s="66" t="str">
        <f>+IF($W681="","",ROUND(IF($B681&gt;Parámetros!$D$107,'Tablas Servicio'!DR681+('Tablas Servicio'!DT680-'Tablas Servicio'!DR680),DR681/(1-IF(B681&lt;=10,Parámetros!$D$100,0))),2))</f>
        <v/>
      </c>
      <c r="DU681" s="66" t="str">
        <f t="shared" si="897"/>
        <v/>
      </c>
      <c r="DV681" s="66" t="str">
        <f t="shared" si="897"/>
        <v/>
      </c>
      <c r="DW681" s="66" t="str">
        <f>+IF($W681="","",ROUND((DT681*Parámetros!$G$85),2))</f>
        <v/>
      </c>
      <c r="DX681" s="66" t="str">
        <f>+IF($W681="","",ROUND((DT681*(Parámetros!$G$86)),2))</f>
        <v/>
      </c>
      <c r="DY681" s="66" t="str">
        <f t="shared" si="898"/>
        <v/>
      </c>
      <c r="DZ681" t="str">
        <f t="shared" si="941"/>
        <v/>
      </c>
      <c r="EA681" s="118" t="str">
        <f t="shared" si="941"/>
        <v/>
      </c>
      <c r="EB681" s="118" t="str">
        <f>+IF($W681="","",ROUND(IF(Parámetros!$D$25='TABLAS MORT'!$V$33,EB680,Z681/2),0))</f>
        <v/>
      </c>
      <c r="EC681" s="118" t="str">
        <f t="shared" si="941"/>
        <v/>
      </c>
      <c r="ED681" s="122" t="str">
        <f>+IF(OR($W681="",EB681=0),"",ROUND((VLOOKUP(ROUNDDOWN($D681-1/frec,0),cob_adi,DO$40,FALSE)*(1+i/frec)^-0.5*(1+Parámetros!$D$103)*(1+rec_fracc)/frec),6))</f>
        <v/>
      </c>
      <c r="EE681" s="66" t="str">
        <f t="shared" si="900"/>
        <v/>
      </c>
      <c r="EF681" s="68" t="str">
        <f t="shared" si="901"/>
        <v/>
      </c>
      <c r="EG681" s="66" t="str">
        <f>+IF($W681="","",ROUND(IF($B681&gt;Parámetros!$D$107,'Tablas Servicio'!EE681+('Tablas Servicio'!EG680-'Tablas Servicio'!EE680),EE681/(1-IF(B681&lt;=10,Parámetros!$D$100,0))),2))</f>
        <v/>
      </c>
      <c r="EH681" s="66" t="str">
        <f t="shared" si="902"/>
        <v/>
      </c>
      <c r="EI681" s="66" t="str">
        <f t="shared" si="902"/>
        <v/>
      </c>
      <c r="EJ681" s="66" t="str">
        <f>+IF($W681="","",ROUND((EG681*Parámetros!$G$85),2))</f>
        <v/>
      </c>
      <c r="EK681" s="66" t="str">
        <f>+IF($W681="","",ROUND((EG681*(Parámetros!$G$86)),2))</f>
        <v/>
      </c>
      <c r="EL681" s="66" t="str">
        <f t="shared" si="903"/>
        <v/>
      </c>
    </row>
    <row r="682" spans="1:142" x14ac:dyDescent="0.25">
      <c r="A682" t="str">
        <f>+IF($C682="","",ROUND(VLOOKUP('Tablas Servicio'!B682,Parámetros!$H$100:$J$159,IF(Parámetros!$E$16="F",2,3),FALSE),2))</f>
        <v/>
      </c>
      <c r="B682" t="str">
        <f t="shared" ref="B682:B745" si="942">+IF(D682="","",ROUNDUP(C682/frec,0))</f>
        <v/>
      </c>
      <c r="C682" s="57" t="str">
        <f>+IF(D682="","",'Tablas Servicio'!C681+1)</f>
        <v/>
      </c>
      <c r="D682" s="56" t="str">
        <f>+IF(D681&lt;edadmaxtabla,D681+1/Parámetros!$E$25,"")</f>
        <v/>
      </c>
      <c r="E682" s="57" t="str">
        <f t="shared" si="864"/>
        <v/>
      </c>
      <c r="F682" s="59" t="str">
        <f t="shared" si="865"/>
        <v/>
      </c>
      <c r="G682" s="66" t="str">
        <f t="shared" ref="G682:G745" si="943">+IF($C682="","",AG682+AT682+BG682+BT682+CG682+CT682+DG682+DT682+EG682)</f>
        <v/>
      </c>
      <c r="H682" s="66" t="str">
        <f t="shared" ref="H682:H745" si="944">+IF($C682="","",AL682+AY682+BL682+BY682+CL682+CY682+DL682+DY682+EL682)</f>
        <v/>
      </c>
      <c r="I682" s="66" t="str">
        <f t="shared" si="904"/>
        <v/>
      </c>
      <c r="J682" s="66" t="str">
        <f t="shared" ref="J682:J745" si="945">+IF($C682="","",AJ682+AW682+BJ682+BW682+CJ682+CW682+DJ682+DW682+EJ682)</f>
        <v/>
      </c>
      <c r="K682" s="66" t="str">
        <f t="shared" ref="K682:K745" si="946">+IF($C682="","",AK682+AX682+BK682+BX682+CK682+CX682+DK682+DX682+EK682)</f>
        <v/>
      </c>
      <c r="L682" s="66" t="str">
        <f t="shared" ref="L682:L745" si="947">+IF($C682="","",AH682+AU682+BH682+BU682+CH682+CU682+DH682+DU682+EH682)</f>
        <v/>
      </c>
      <c r="M682" s="66" t="str">
        <f t="shared" ref="M682:M745" si="948">+IF($C682="","",AI682+AV682+BI682+BV682+CI682+CV682+DI682+DV682+EI682)</f>
        <v/>
      </c>
      <c r="N682" s="66" t="str">
        <f>+IF(C682="","",ROUND(Parámetros!$D$23,2))</f>
        <v/>
      </c>
      <c r="O682" s="66" t="str">
        <f t="shared" ref="O682:O745" si="949">+IF($C682="","",AC682+AR682+BE682+BR682+CE682+CR682+DE682+DR682+EE682)</f>
        <v/>
      </c>
      <c r="P682" s="66" t="str">
        <f>+IF($C682="","",ROUND(IF(B682&gt;Parámetros!$D$117,0,N682*Parámetros!$D$116-G682*Parámetros!$D$100),2))</f>
        <v/>
      </c>
      <c r="Q682" s="75" t="str">
        <f t="shared" si="905"/>
        <v/>
      </c>
      <c r="R682" s="75" t="str">
        <f t="shared" si="906"/>
        <v/>
      </c>
      <c r="S682" s="117" t="str">
        <f>+IF($C682="","",ROUND((S681+I682)*(1+Parámetros!$D$91),2))</f>
        <v/>
      </c>
      <c r="T682" s="117" t="str">
        <f>+IF($C682="","",ROUND(S682*VLOOKUP(B682,Parámetros!$C$30:$D$39,2,TRUE),2))</f>
        <v/>
      </c>
      <c r="U682" s="117" t="str">
        <f>+IF($C682="","",ROUND((U681+I682)*(1+Parámetros!$D$92),2))</f>
        <v/>
      </c>
      <c r="V682" s="117" t="str">
        <f>+IF($C682="","",ROUND(U682*VLOOKUP(B682,Parámetros!$C$30:$D$39,2,TRUE),2))</f>
        <v/>
      </c>
      <c r="W682" s="57" t="str">
        <f t="shared" si="907"/>
        <v/>
      </c>
      <c r="X682" t="str">
        <f t="shared" si="908"/>
        <v/>
      </c>
      <c r="Y682" t="str">
        <f t="shared" si="909"/>
        <v/>
      </c>
      <c r="Z682" s="118" t="str">
        <f>+IF($W682="","",ROUND(IF(Parámetros!$D$25='TABLAS MORT'!$V$33,Z681,Parámetros!$D$21-'Tablas Servicio'!T681),0))</f>
        <v/>
      </c>
      <c r="AA682" s="118" t="str">
        <f t="shared" si="910"/>
        <v/>
      </c>
      <c r="AB682" s="119" t="str">
        <f>+IF(W682="","",ROUND((VLOOKUP(ROUNDDOWN($D682-1/frec,0),qx_tabla,2,FALSE)*(1+i/frec)^-0.5*(1+Parámetros!$D$103)*(1+rec_fracc)/frec),6))</f>
        <v/>
      </c>
      <c r="AC682" s="66" t="str">
        <f t="shared" si="866"/>
        <v/>
      </c>
      <c r="AD682" s="119" t="str">
        <f t="shared" ref="AD682:AD745" si="950">+IF($W682="","",ROUND((AG682/Z682),6))</f>
        <v/>
      </c>
      <c r="AE682" s="66" t="str">
        <f>+IF($W682="","",ROUND(IF($B682&gt;Parámetros!$D$107,'Tablas Servicio'!AC682+('Tablas Servicio'!AG681-'Tablas Servicio'!AC681),AC682/(1-IF(B682&lt;=10,Parámetros!$D$104,Parámetros!$D$105))),2))</f>
        <v/>
      </c>
      <c r="AF682" s="66" t="str">
        <f>+IF($W682="","",ROUND(IF($B682&gt;Parámetros!$D$107,'Tablas Servicio'!AC682+('Tablas Servicio'!AG681-'Tablas Servicio'!AC681),(AC682+$A681/frec)/(1-IF(B682&lt;=Parámetros!$D$117,Parámetros!$D$100,0))),2))</f>
        <v/>
      </c>
      <c r="AG682" s="66" t="str">
        <f t="shared" si="867"/>
        <v/>
      </c>
      <c r="AH682" s="66" t="str">
        <f t="shared" si="868"/>
        <v/>
      </c>
      <c r="AI682" s="66" t="str">
        <f t="shared" si="869"/>
        <v/>
      </c>
      <c r="AJ682" s="66" t="str">
        <f>+IF($W682="","",ROUND((AG682*Parámetros!$G$85),2))</f>
        <v/>
      </c>
      <c r="AK682" s="66" t="str">
        <f>+IF($W682="","",ROUND((AG682*(Parámetros!$G$86)),2))</f>
        <v/>
      </c>
      <c r="AL682" s="66" t="str">
        <f t="shared" ref="AL682:AL745" si="951">+IF($W682="","",ROUND((AG682+AJ682+AK682),2))</f>
        <v/>
      </c>
      <c r="AM682" t="str">
        <f t="shared" si="911"/>
        <v/>
      </c>
      <c r="AN682" t="str">
        <f t="shared" si="912"/>
        <v/>
      </c>
      <c r="AO682" s="118" t="str">
        <f t="shared" si="913"/>
        <v/>
      </c>
      <c r="AP682" s="118" t="str">
        <f t="shared" si="914"/>
        <v/>
      </c>
      <c r="AQ682" s="119" t="str">
        <f>+IF(OR($W682="",AO682=0),"",ROUND((VLOOKUP(ROUNDDOWN($D682-1/frec,0),cob_adi,Z$40,FALSE)*(1+i/frec)^-0.5*(1+Parámetros!$D$103)*(1+rec_fracc)/frec),6))</f>
        <v/>
      </c>
      <c r="AR682" s="66" t="str">
        <f t="shared" si="870"/>
        <v/>
      </c>
      <c r="AS682" s="119" t="str">
        <f t="shared" si="871"/>
        <v/>
      </c>
      <c r="AT682" s="66" t="str">
        <f>+IF($W682="","",ROUND(IF($B682&gt;Parámetros!$D$107,'Tablas Servicio'!AR682+('Tablas Servicio'!AT681-'Tablas Servicio'!AR681),AR682/(1-IF(B682&lt;=10,Parámetros!$D$100,0))),2))</f>
        <v/>
      </c>
      <c r="AU682" s="66" t="str">
        <f t="shared" si="872"/>
        <v/>
      </c>
      <c r="AV682" s="66" t="str">
        <f t="shared" si="872"/>
        <v/>
      </c>
      <c r="AW682" s="66" t="str">
        <f>+IF($W682="","",ROUND((AT682*Parámetros!$G$85),2))</f>
        <v/>
      </c>
      <c r="AX682" s="66" t="str">
        <f>+IF($W682="","",ROUND((AT682*(Parámetros!$G$86)),2))</f>
        <v/>
      </c>
      <c r="AY682" s="66" t="str">
        <f t="shared" si="873"/>
        <v/>
      </c>
      <c r="AZ682" t="str">
        <f t="shared" si="915"/>
        <v/>
      </c>
      <c r="BA682" t="str">
        <f t="shared" si="916"/>
        <v/>
      </c>
      <c r="BB682" s="118" t="str">
        <f t="shared" si="917"/>
        <v/>
      </c>
      <c r="BC682" s="118" t="str">
        <f t="shared" si="918"/>
        <v/>
      </c>
      <c r="BD682" s="119" t="str">
        <f>+IF(OR($W682="",BB682=0),"",ROUND((VLOOKUP(ROUNDDOWN($D682-1/frec,0),cob_adi,AO$40,FALSE)*(1+i/frec)^-0.5*(1+Parámetros!$D$103)*(1+rec_fracc)/frec),6))</f>
        <v/>
      </c>
      <c r="BE682" s="66" t="str">
        <f t="shared" si="874"/>
        <v/>
      </c>
      <c r="BF682" s="119" t="str">
        <f t="shared" si="875"/>
        <v/>
      </c>
      <c r="BG682" s="66" t="str">
        <f>+IF($W682="","",ROUND(IF($B682&gt;Parámetros!$D$107,'Tablas Servicio'!BE682+('Tablas Servicio'!BG681-'Tablas Servicio'!BE681),BE682/(1-IF(B682&lt;=10,Parámetros!$D$100,0))),2))</f>
        <v/>
      </c>
      <c r="BH682" s="66" t="str">
        <f t="shared" si="876"/>
        <v/>
      </c>
      <c r="BI682" s="66" t="str">
        <f t="shared" si="877"/>
        <v/>
      </c>
      <c r="BJ682" s="66" t="str">
        <f>+IF($W682="","",ROUND((BG682*Parámetros!$G$85),2))</f>
        <v/>
      </c>
      <c r="BK682" s="66" t="str">
        <f>+IF($W682="","",ROUND((BG682*(Parámetros!$G$86)),2))</f>
        <v/>
      </c>
      <c r="BL682" s="66" t="str">
        <f t="shared" si="878"/>
        <v/>
      </c>
      <c r="BM682" t="str">
        <f t="shared" si="919"/>
        <v/>
      </c>
      <c r="BN682" t="str">
        <f t="shared" si="920"/>
        <v/>
      </c>
      <c r="BO682" s="118" t="str">
        <f t="shared" si="921"/>
        <v/>
      </c>
      <c r="BP682" s="118" t="str">
        <f t="shared" si="922"/>
        <v/>
      </c>
      <c r="BQ682" s="119" t="str">
        <f>+IF(OR($W682="",BO682=0),"",ROUND((VLOOKUP(ROUNDDOWN($D682-1/frec,0),cob_adi,BB$40,FALSE)*(1+i/frec)^-0.5*(1+Parámetros!$D$103)*(1+rec_fracc)/frec),6))</f>
        <v/>
      </c>
      <c r="BR682" s="66" t="str">
        <f t="shared" si="879"/>
        <v/>
      </c>
      <c r="BS682" s="119" t="str">
        <f t="shared" si="880"/>
        <v/>
      </c>
      <c r="BT682" s="66" t="str">
        <f>+IF($W682="","",ROUND(IF($B682&gt;Parámetros!$D$107,'Tablas Servicio'!BR682+('Tablas Servicio'!BT681-'Tablas Servicio'!BR681),BR682/(1-IF(B682&lt;=10,Parámetros!$D$100,0))),2))</f>
        <v/>
      </c>
      <c r="BU682" s="66" t="str">
        <f t="shared" si="881"/>
        <v/>
      </c>
      <c r="BV682" s="66" t="str">
        <f t="shared" si="881"/>
        <v/>
      </c>
      <c r="BW682" s="66" t="str">
        <f>+IF($W682="","",ROUND((BT682*Parámetros!$G$85),2))</f>
        <v/>
      </c>
      <c r="BX682" s="66" t="str">
        <f>+IF($W682="","",ROUND((BT682*(Parámetros!$G$86)),2))</f>
        <v/>
      </c>
      <c r="BY682" s="66" t="str">
        <f t="shared" si="882"/>
        <v/>
      </c>
      <c r="BZ682" t="str">
        <f t="shared" si="923"/>
        <v/>
      </c>
      <c r="CA682" t="str">
        <f t="shared" si="924"/>
        <v/>
      </c>
      <c r="CB682" s="118" t="str">
        <f t="shared" si="925"/>
        <v/>
      </c>
      <c r="CC682" s="118" t="str">
        <f t="shared" si="926"/>
        <v/>
      </c>
      <c r="CD682" s="119" t="str">
        <f t="shared" si="883"/>
        <v/>
      </c>
      <c r="CE682" s="66" t="str">
        <f>+IF($W682="","",ROUND((VLOOKUP(ROUNDDOWN($D682-1/frec,0),cob_adi,BO$40,FALSE)*(1+i/frec)^-0.5*(1+Parámetros!$D$103)*(1+rec_fracc)/frec*'TABLAS ADI'!$BC$17),2))</f>
        <v/>
      </c>
      <c r="CF682" s="119" t="str">
        <f t="shared" si="884"/>
        <v/>
      </c>
      <c r="CG682" s="66" t="str">
        <f>+IF($W682="","",ROUND(IF($B682&gt;Parámetros!$D$107,'Tablas Servicio'!CE682+('Tablas Servicio'!CG681-'Tablas Servicio'!CE681),CE682/(1-IF(B682&lt;=10,Parámetros!$D$100,0))),2))</f>
        <v/>
      </c>
      <c r="CH682" s="66" t="str">
        <f t="shared" si="885"/>
        <v/>
      </c>
      <c r="CI682" s="66" t="str">
        <f t="shared" si="885"/>
        <v/>
      </c>
      <c r="CJ682" s="66" t="str">
        <f>+IF($W682="","",ROUND((CG682*Parámetros!$G$85),2))</f>
        <v/>
      </c>
      <c r="CK682" s="66" t="str">
        <f>+IF($W682="","",ROUND((CG682*(Parámetros!$G$86)),2))</f>
        <v/>
      </c>
      <c r="CL682" s="66" t="str">
        <f t="shared" si="886"/>
        <v/>
      </c>
      <c r="CM682" t="str">
        <f t="shared" si="927"/>
        <v/>
      </c>
      <c r="CN682" s="118" t="str">
        <f t="shared" si="928"/>
        <v/>
      </c>
      <c r="CO682" s="118" t="str">
        <f t="shared" si="929"/>
        <v/>
      </c>
      <c r="CP682" s="118" t="str">
        <f t="shared" si="930"/>
        <v/>
      </c>
      <c r="CQ682" s="119" t="str">
        <f t="shared" si="887"/>
        <v/>
      </c>
      <c r="CR682" s="66" t="str">
        <f>+IF($W682="","",ROUND((VLOOKUP(Parámetros!$F$51,'COBERTURAS ADICIONALES'!$S$4:$T$32,2,FALSE)*(1+i/frec)^-0.5*(1+Parámetros!$D$103)*(1+rec_fracc)/frec*$CO$42),2))</f>
        <v/>
      </c>
      <c r="CS682" s="119" t="str">
        <f t="shared" si="888"/>
        <v/>
      </c>
      <c r="CT682" s="66" t="str">
        <f>+IF($W682="","",ROUND(IF($B682&gt;Parámetros!$D$107,'Tablas Servicio'!CR682+('Tablas Servicio'!CT681-'Tablas Servicio'!CR681),CR682/(1-IF(B682&lt;=10,Parámetros!$D$100,0))),2))</f>
        <v/>
      </c>
      <c r="CU682" s="66" t="str">
        <f t="shared" si="889"/>
        <v/>
      </c>
      <c r="CV682" s="66" t="str">
        <f t="shared" si="889"/>
        <v/>
      </c>
      <c r="CW682" s="66" t="str">
        <f>+IF($W682="","",ROUND((CT682*Parámetros!$G$85),2))</f>
        <v/>
      </c>
      <c r="CX682" s="66" t="str">
        <f>+IF($W682="","",ROUND((CT682*(Parámetros!$G$86)),2))</f>
        <v/>
      </c>
      <c r="CY682" s="66" t="str">
        <f t="shared" si="890"/>
        <v/>
      </c>
      <c r="CZ682" t="str">
        <f t="shared" si="931"/>
        <v/>
      </c>
      <c r="DA682" s="118" t="str">
        <f t="shared" si="932"/>
        <v/>
      </c>
      <c r="DB682" s="118" t="str">
        <f t="shared" si="933"/>
        <v/>
      </c>
      <c r="DC682" s="118" t="str">
        <f t="shared" si="934"/>
        <v/>
      </c>
      <c r="DD682" s="121" t="str">
        <f>+IF(OR($W682="",DB682=0),"",ROUND((VLOOKUP(ROUNDDOWN($D682-1/frec,0),cob_adi,CO$40,FALSE)*(1+i/frec)^-0.5*(1+Parámetros!$D$103)*(1+rec_fracc)/frec),6))</f>
        <v/>
      </c>
      <c r="DE682" s="66" t="str">
        <f t="shared" si="891"/>
        <v/>
      </c>
      <c r="DF682" s="119" t="str">
        <f t="shared" si="892"/>
        <v/>
      </c>
      <c r="DG682" s="66" t="str">
        <f>+IF($W682="","",ROUND(IF($B682&gt;Parámetros!$D$107,'Tablas Servicio'!DE682+('Tablas Servicio'!DG681-'Tablas Servicio'!DE681),DE682/(1-IF(B682&lt;=10,Parámetros!$D$100,0))),2))</f>
        <v/>
      </c>
      <c r="DH682" s="66" t="str">
        <f t="shared" si="893"/>
        <v/>
      </c>
      <c r="DI682" s="66" t="str">
        <f t="shared" si="893"/>
        <v/>
      </c>
      <c r="DJ682" s="66" t="str">
        <f>+IF($W682="","",ROUND((DG682*Parámetros!$G$85),2))</f>
        <v/>
      </c>
      <c r="DK682" s="66" t="str">
        <f>+IF($W682="","",ROUND((DG682*(Parámetros!$G$86)),2))</f>
        <v/>
      </c>
      <c r="DL682" s="66" t="str">
        <f t="shared" si="894"/>
        <v/>
      </c>
      <c r="DM682" t="str">
        <f t="shared" si="935"/>
        <v/>
      </c>
      <c r="DN682" s="118" t="str">
        <f t="shared" si="936"/>
        <v/>
      </c>
      <c r="DO682" s="118" t="str">
        <f t="shared" si="937"/>
        <v/>
      </c>
      <c r="DP682" s="118" t="str">
        <f t="shared" si="938"/>
        <v/>
      </c>
      <c r="DQ682" s="122" t="str">
        <f>+IF(OR($W682="",DO682=0),"",ROUND((VLOOKUP(ROUNDDOWN($D682-1/frec,0),cob_adi,DB$40,FALSE)*(1+i/frec)^-0.5*(1+Parámetros!$D$103)*(1+rec_fracc)/frec),6))</f>
        <v/>
      </c>
      <c r="DR682" s="66" t="str">
        <f t="shared" si="895"/>
        <v/>
      </c>
      <c r="DS682" s="68" t="str">
        <f t="shared" si="896"/>
        <v/>
      </c>
      <c r="DT682" s="66" t="str">
        <f>+IF($W682="","",ROUND(IF($B682&gt;Parámetros!$D$107,'Tablas Servicio'!DR682+('Tablas Servicio'!DT681-'Tablas Servicio'!DR681),DR682/(1-IF(B682&lt;=10,Parámetros!$D$100,0))),2))</f>
        <v/>
      </c>
      <c r="DU682" s="66" t="str">
        <f t="shared" si="897"/>
        <v/>
      </c>
      <c r="DV682" s="66" t="str">
        <f t="shared" si="897"/>
        <v/>
      </c>
      <c r="DW682" s="66" t="str">
        <f>+IF($W682="","",ROUND((DT682*Parámetros!$G$85),2))</f>
        <v/>
      </c>
      <c r="DX682" s="66" t="str">
        <f>+IF($W682="","",ROUND((DT682*(Parámetros!$G$86)),2))</f>
        <v/>
      </c>
      <c r="DY682" s="66" t="str">
        <f t="shared" si="898"/>
        <v/>
      </c>
      <c r="DZ682" t="str">
        <f t="shared" si="941"/>
        <v/>
      </c>
      <c r="EA682" s="118" t="str">
        <f t="shared" si="941"/>
        <v/>
      </c>
      <c r="EB682" s="118" t="str">
        <f>+IF($W682="","",ROUND(IF(Parámetros!$D$25='TABLAS MORT'!$V$33,EB681,Z682/2),0))</f>
        <v/>
      </c>
      <c r="EC682" s="118" t="str">
        <f t="shared" si="941"/>
        <v/>
      </c>
      <c r="ED682" s="122" t="str">
        <f>+IF(OR($W682="",EB682=0),"",ROUND((VLOOKUP(ROUNDDOWN($D682-1/frec,0),cob_adi,DO$40,FALSE)*(1+i/frec)^-0.5*(1+Parámetros!$D$103)*(1+rec_fracc)/frec),6))</f>
        <v/>
      </c>
      <c r="EE682" s="66" t="str">
        <f t="shared" si="900"/>
        <v/>
      </c>
      <c r="EF682" s="68" t="str">
        <f t="shared" si="901"/>
        <v/>
      </c>
      <c r="EG682" s="66" t="str">
        <f>+IF($W682="","",ROUND(IF($B682&gt;Parámetros!$D$107,'Tablas Servicio'!EE682+('Tablas Servicio'!EG681-'Tablas Servicio'!EE681),EE682/(1-IF(B682&lt;=10,Parámetros!$D$100,0))),2))</f>
        <v/>
      </c>
      <c r="EH682" s="66" t="str">
        <f t="shared" si="902"/>
        <v/>
      </c>
      <c r="EI682" s="66" t="str">
        <f t="shared" si="902"/>
        <v/>
      </c>
      <c r="EJ682" s="66" t="str">
        <f>+IF($W682="","",ROUND((EG682*Parámetros!$G$85),2))</f>
        <v/>
      </c>
      <c r="EK682" s="66" t="str">
        <f>+IF($W682="","",ROUND((EG682*(Parámetros!$G$86)),2))</f>
        <v/>
      </c>
      <c r="EL682" s="66" t="str">
        <f t="shared" si="903"/>
        <v/>
      </c>
    </row>
    <row r="683" spans="1:142" x14ac:dyDescent="0.25">
      <c r="A683" t="str">
        <f>+IF($C683="","",ROUND(VLOOKUP('Tablas Servicio'!B683,Parámetros!$H$100:$J$159,IF(Parámetros!$E$16="F",2,3),FALSE),2))</f>
        <v/>
      </c>
      <c r="B683" t="str">
        <f t="shared" si="942"/>
        <v/>
      </c>
      <c r="C683" s="57" t="str">
        <f>+IF(D683="","",'Tablas Servicio'!C682+1)</f>
        <v/>
      </c>
      <c r="D683" s="56" t="str">
        <f>+IF(D682&lt;edadmaxtabla,D682+1/Parámetros!$E$25,"")</f>
        <v/>
      </c>
      <c r="E683" s="57" t="str">
        <f t="shared" ref="E683:E746" si="952">+IF(D683="","",ROUNDDOWN(D683,0))</f>
        <v/>
      </c>
      <c r="F683" s="59" t="str">
        <f t="shared" ref="F683:F746" si="953">+Z683</f>
        <v/>
      </c>
      <c r="G683" s="66" t="str">
        <f t="shared" si="943"/>
        <v/>
      </c>
      <c r="H683" s="66" t="str">
        <f t="shared" si="944"/>
        <v/>
      </c>
      <c r="I683" s="66" t="str">
        <f t="shared" si="904"/>
        <v/>
      </c>
      <c r="J683" s="66" t="str">
        <f t="shared" si="945"/>
        <v/>
      </c>
      <c r="K683" s="66" t="str">
        <f t="shared" si="946"/>
        <v/>
      </c>
      <c r="L683" s="66" t="str">
        <f t="shared" si="947"/>
        <v/>
      </c>
      <c r="M683" s="66" t="str">
        <f t="shared" si="948"/>
        <v/>
      </c>
      <c r="N683" s="66" t="str">
        <f>+IF(C683="","",ROUND(Parámetros!$D$23,2))</f>
        <v/>
      </c>
      <c r="O683" s="66" t="str">
        <f t="shared" si="949"/>
        <v/>
      </c>
      <c r="P683" s="66" t="str">
        <f>+IF($C683="","",ROUND(IF(B683&gt;Parámetros!$D$117,0,N683*Parámetros!$D$116-G683*Parámetros!$D$100),2))</f>
        <v/>
      </c>
      <c r="Q683" s="75" t="str">
        <f t="shared" si="905"/>
        <v/>
      </c>
      <c r="R683" s="75" t="str">
        <f t="shared" si="906"/>
        <v/>
      </c>
      <c r="S683" s="117" t="str">
        <f>+IF($C683="","",ROUND((S682+I683)*(1+Parámetros!$D$91),2))</f>
        <v/>
      </c>
      <c r="T683" s="117" t="str">
        <f>+IF($C683="","",ROUND(S683*VLOOKUP(B683,Parámetros!$C$30:$D$39,2,TRUE),2))</f>
        <v/>
      </c>
      <c r="U683" s="117" t="str">
        <f>+IF($C683="","",ROUND((U682+I683)*(1+Parámetros!$D$92),2))</f>
        <v/>
      </c>
      <c r="V683" s="117" t="str">
        <f>+IF($C683="","",ROUND(U683*VLOOKUP(B683,Parámetros!$C$30:$D$39,2,TRUE),2))</f>
        <v/>
      </c>
      <c r="W683" s="57" t="str">
        <f t="shared" si="907"/>
        <v/>
      </c>
      <c r="X683" t="str">
        <f t="shared" si="908"/>
        <v/>
      </c>
      <c r="Y683" t="str">
        <f t="shared" si="909"/>
        <v/>
      </c>
      <c r="Z683" s="118" t="str">
        <f>+IF($W683="","",ROUND(IF(Parámetros!$D$25='TABLAS MORT'!$V$33,Z682,Parámetros!$D$21-'Tablas Servicio'!T682),0))</f>
        <v/>
      </c>
      <c r="AA683" s="118" t="str">
        <f t="shared" si="910"/>
        <v/>
      </c>
      <c r="AB683" s="119" t="str">
        <f>+IF(W683="","",ROUND((VLOOKUP(ROUNDDOWN($D683-1/frec,0),qx_tabla,2,FALSE)*(1+i/frec)^-0.5*(1+Parámetros!$D$103)*(1+rec_fracc)/frec),6))</f>
        <v/>
      </c>
      <c r="AC683" s="66" t="str">
        <f t="shared" ref="AC683:AC746" si="954">+IF($W683="","",ROUND((AB683*Z683),2))</f>
        <v/>
      </c>
      <c r="AD683" s="119" t="str">
        <f t="shared" si="950"/>
        <v/>
      </c>
      <c r="AE683" s="66" t="str">
        <f>+IF($W683="","",ROUND(IF($B683&gt;Parámetros!$D$107,'Tablas Servicio'!AC683+('Tablas Servicio'!AG682-'Tablas Servicio'!AC682),AC683/(1-IF(B683&lt;=10,Parámetros!$D$104,Parámetros!$D$105))),2))</f>
        <v/>
      </c>
      <c r="AF683" s="66" t="str">
        <f>+IF($W683="","",ROUND(IF($B683&gt;Parámetros!$D$107,'Tablas Servicio'!AC683+('Tablas Servicio'!AG682-'Tablas Servicio'!AC682),(AC683+$A682/frec)/(1-IF(B683&lt;=Parámetros!$D$117,Parámetros!$D$100,0))),2))</f>
        <v/>
      </c>
      <c r="AG683" s="66" t="str">
        <f t="shared" ref="AG683:AG746" si="955">+IF($W683="","",MIN(AE683,AF683))</f>
        <v/>
      </c>
      <c r="AH683" s="66" t="str">
        <f t="shared" ref="AH683:AH746" si="956">+IF($W683="","",0)</f>
        <v/>
      </c>
      <c r="AI683" s="66" t="str">
        <f t="shared" ref="AI683:AI746" si="957">IF($W683="","",0)</f>
        <v/>
      </c>
      <c r="AJ683" s="66" t="str">
        <f>+IF($W683="","",ROUND((AG683*Parámetros!$G$85),2))</f>
        <v/>
      </c>
      <c r="AK683" s="66" t="str">
        <f>+IF($W683="","",ROUND((AG683*(Parámetros!$G$86)),2))</f>
        <v/>
      </c>
      <c r="AL683" s="66" t="str">
        <f t="shared" si="951"/>
        <v/>
      </c>
      <c r="AM683" t="str">
        <f t="shared" si="911"/>
        <v/>
      </c>
      <c r="AN683" t="str">
        <f t="shared" si="912"/>
        <v/>
      </c>
      <c r="AO683" s="118" t="str">
        <f t="shared" si="913"/>
        <v/>
      </c>
      <c r="AP683" s="118" t="str">
        <f t="shared" si="914"/>
        <v/>
      </c>
      <c r="AQ683" s="119" t="str">
        <f>+IF(OR($W683="",AO683=0),"",ROUND((VLOOKUP(ROUNDDOWN($D683-1/frec,0),cob_adi,Z$40,FALSE)*(1+i/frec)^-0.5*(1+Parámetros!$D$103)*(1+rec_fracc)/frec),6))</f>
        <v/>
      </c>
      <c r="AR683" s="66" t="str">
        <f t="shared" ref="AR683:AR746" si="958">+IF(AO683=0,0,IF($W683="","",ROUND((AQ683*AO683),2)))</f>
        <v/>
      </c>
      <c r="AS683" s="119" t="str">
        <f t="shared" ref="AS683:AS746" si="959">+IF(OR($W683="",AO683=0),"",ROUND((AT683/AO683),6))</f>
        <v/>
      </c>
      <c r="AT683" s="66" t="str">
        <f>+IF($W683="","",ROUND(IF($B683&gt;Parámetros!$D$107,'Tablas Servicio'!AR683+('Tablas Servicio'!AT682-'Tablas Servicio'!AR682),AR683/(1-IF(B683&lt;=10,Parámetros!$D$100,0))),2))</f>
        <v/>
      </c>
      <c r="AU683" s="66" t="str">
        <f t="shared" ref="AU683:AV714" si="960">+IF($W683="","",0)</f>
        <v/>
      </c>
      <c r="AV683" s="66" t="str">
        <f t="shared" si="960"/>
        <v/>
      </c>
      <c r="AW683" s="66" t="str">
        <f>+IF($W683="","",ROUND((AT683*Parámetros!$G$85),2))</f>
        <v/>
      </c>
      <c r="AX683" s="66" t="str">
        <f>+IF($W683="","",ROUND((AT683*(Parámetros!$G$86)),2))</f>
        <v/>
      </c>
      <c r="AY683" s="66" t="str">
        <f t="shared" ref="AY683:AY746" si="961">+IF($W683="","",ROUND((AT683+AW683+AX683),2))</f>
        <v/>
      </c>
      <c r="AZ683" t="str">
        <f t="shared" si="915"/>
        <v/>
      </c>
      <c r="BA683" t="str">
        <f t="shared" si="916"/>
        <v/>
      </c>
      <c r="BB683" s="118" t="str">
        <f t="shared" si="917"/>
        <v/>
      </c>
      <c r="BC683" s="118" t="str">
        <f t="shared" si="918"/>
        <v/>
      </c>
      <c r="BD683" s="119" t="str">
        <f>+IF(OR($W683="",BB683=0),"",ROUND((VLOOKUP(ROUNDDOWN($D683-1/frec,0),cob_adi,AO$40,FALSE)*(1+i/frec)^-0.5*(1+Parámetros!$D$103)*(1+rec_fracc)/frec),6))</f>
        <v/>
      </c>
      <c r="BE683" s="66" t="str">
        <f t="shared" ref="BE683:BE746" si="962">+IF(BB683=0,0,IF($W683="","",ROUND(((BD683*BB683)),2)))</f>
        <v/>
      </c>
      <c r="BF683" s="119" t="str">
        <f t="shared" ref="BF683:BF746" si="963">+IF(OR($W683="",BB683=0),"",ROUND((BG683/BB683),6))</f>
        <v/>
      </c>
      <c r="BG683" s="66" t="str">
        <f>+IF($W683="","",ROUND(IF($B683&gt;Parámetros!$D$107,'Tablas Servicio'!BE683+('Tablas Servicio'!BG682-'Tablas Servicio'!BE682),BE683/(1-IF(B683&lt;=10,Parámetros!$D$100,0))),2))</f>
        <v/>
      </c>
      <c r="BH683" s="66" t="str">
        <f t="shared" ref="BH683:BH746" si="964">IF($W683="","",0)</f>
        <v/>
      </c>
      <c r="BI683" s="66" t="str">
        <f t="shared" ref="BI683:BI746" si="965">+IF($W683="","",0)</f>
        <v/>
      </c>
      <c r="BJ683" s="66" t="str">
        <f>+IF($W683="","",ROUND((BG683*Parámetros!$G$85),2))</f>
        <v/>
      </c>
      <c r="BK683" s="66" t="str">
        <f>+IF($W683="","",ROUND((BG683*(Parámetros!$G$86)),2))</f>
        <v/>
      </c>
      <c r="BL683" s="66" t="str">
        <f t="shared" ref="BL683:BL746" si="966">+IF($W683="","",ROUND((BG683+BJ683+BK683),2))</f>
        <v/>
      </c>
      <c r="BM683" t="str">
        <f t="shared" si="919"/>
        <v/>
      </c>
      <c r="BN683" t="str">
        <f t="shared" si="920"/>
        <v/>
      </c>
      <c r="BO683" s="118" t="str">
        <f t="shared" si="921"/>
        <v/>
      </c>
      <c r="BP683" s="118" t="str">
        <f t="shared" si="922"/>
        <v/>
      </c>
      <c r="BQ683" s="119" t="str">
        <f>+IF(OR($W683="",BO683=0),"",ROUND((VLOOKUP(ROUNDDOWN($D683-1/frec,0),cob_adi,BB$40,FALSE)*(1+i/frec)^-0.5*(1+Parámetros!$D$103)*(1+rec_fracc)/frec),6))</f>
        <v/>
      </c>
      <c r="BR683" s="66" t="str">
        <f t="shared" ref="BR683:BR746" si="967">+IF(BO683=0,0,IF($W683="","",ROUND(((BQ683*BO683)),2)))</f>
        <v/>
      </c>
      <c r="BS683" s="119" t="str">
        <f t="shared" ref="BS683:BS746" si="968">+IF(OR($W683="",BO683=0),"",ROUND((BT683/BO683),6))</f>
        <v/>
      </c>
      <c r="BT683" s="66" t="str">
        <f>+IF($W683="","",ROUND(IF($B683&gt;Parámetros!$D$107,'Tablas Servicio'!BR683+('Tablas Servicio'!BT682-'Tablas Servicio'!BR682),BR683/(1-IF(B683&lt;=10,Parámetros!$D$100,0))),2))</f>
        <v/>
      </c>
      <c r="BU683" s="66" t="str">
        <f t="shared" ref="BU683:BV714" si="969">+IF($W683="","",0)</f>
        <v/>
      </c>
      <c r="BV683" s="66" t="str">
        <f t="shared" si="969"/>
        <v/>
      </c>
      <c r="BW683" s="66" t="str">
        <f>+IF($W683="","",ROUND((BT683*Parámetros!$G$85),2))</f>
        <v/>
      </c>
      <c r="BX683" s="66" t="str">
        <f>+IF($W683="","",ROUND((BT683*(Parámetros!$G$86)),2))</f>
        <v/>
      </c>
      <c r="BY683" s="66" t="str">
        <f t="shared" ref="BY683:BY746" si="970">+IF($W683="","",ROUND((BT683+BW683+BX683),2))</f>
        <v/>
      </c>
      <c r="BZ683" t="str">
        <f t="shared" si="923"/>
        <v/>
      </c>
      <c r="CA683" t="str">
        <f t="shared" si="924"/>
        <v/>
      </c>
      <c r="CB683" s="118" t="str">
        <f t="shared" si="925"/>
        <v/>
      </c>
      <c r="CC683" s="118" t="str">
        <f t="shared" si="926"/>
        <v/>
      </c>
      <c r="CD683" s="119" t="str">
        <f t="shared" ref="CD683:CD746" si="971">+IF(OR($W683="",CB683=0),"",ROUND((CE683/CB683),6))</f>
        <v/>
      </c>
      <c r="CE683" s="66" t="str">
        <f>+IF($W683="","",ROUND((VLOOKUP(ROUNDDOWN($D683-1/frec,0),cob_adi,BO$40,FALSE)*(1+i/frec)^-0.5*(1+Parámetros!$D$103)*(1+rec_fracc)/frec*'TABLAS ADI'!$BC$17),2))</f>
        <v/>
      </c>
      <c r="CF683" s="119" t="str">
        <f t="shared" ref="CF683:CF746" si="972">+IF(OR($W683="",CB683=0),"",ROUND((CG683/CB683),6))</f>
        <v/>
      </c>
      <c r="CG683" s="66" t="str">
        <f>+IF($W683="","",ROUND(IF($B683&gt;Parámetros!$D$107,'Tablas Servicio'!CE683+('Tablas Servicio'!CG682-'Tablas Servicio'!CE682),CE683/(1-IF(B683&lt;=10,Parámetros!$D$100,0))),2))</f>
        <v/>
      </c>
      <c r="CH683" s="66" t="str">
        <f t="shared" ref="CH683:CI714" si="973">+IF($W683="","",0)</f>
        <v/>
      </c>
      <c r="CI683" s="66" t="str">
        <f t="shared" si="973"/>
        <v/>
      </c>
      <c r="CJ683" s="66" t="str">
        <f>+IF($W683="","",ROUND((CG683*Parámetros!$G$85),2))</f>
        <v/>
      </c>
      <c r="CK683" s="66" t="str">
        <f>+IF($W683="","",ROUND((CG683*(Parámetros!$G$86)),2))</f>
        <v/>
      </c>
      <c r="CL683" s="66" t="str">
        <f t="shared" ref="CL683:CL746" si="974">+IF($W683="","",ROUND((CG683+CJ683+CK683),2))</f>
        <v/>
      </c>
      <c r="CM683" t="str">
        <f t="shared" si="927"/>
        <v/>
      </c>
      <c r="CN683" s="118" t="str">
        <f t="shared" si="928"/>
        <v/>
      </c>
      <c r="CO683" s="118" t="str">
        <f t="shared" si="929"/>
        <v/>
      </c>
      <c r="CP683" s="118" t="str">
        <f t="shared" si="930"/>
        <v/>
      </c>
      <c r="CQ683" s="119" t="str">
        <f t="shared" ref="CQ683:CQ746" si="975">+IF(OR($W683="",CO683=0),"",ROUND((CR683/CO683),6))</f>
        <v/>
      </c>
      <c r="CR683" s="66" t="str">
        <f>+IF($W683="","",ROUND((VLOOKUP(Parámetros!$F$51,'COBERTURAS ADICIONALES'!$S$4:$T$32,2,FALSE)*(1+i/frec)^-0.5*(1+Parámetros!$D$103)*(1+rec_fracc)/frec*$CO$42),2))</f>
        <v/>
      </c>
      <c r="CS683" s="119" t="str">
        <f t="shared" ref="CS683:CS746" si="976">+IF(OR($W683="",CO683=0),"",ROUND((CT683/CO683),6))</f>
        <v/>
      </c>
      <c r="CT683" s="66" t="str">
        <f>+IF($W683="","",ROUND(IF($B683&gt;Parámetros!$D$107,'Tablas Servicio'!CR683+('Tablas Servicio'!CT682-'Tablas Servicio'!CR682),CR683/(1-IF(B683&lt;=10,Parámetros!$D$100,0))),2))</f>
        <v/>
      </c>
      <c r="CU683" s="66" t="str">
        <f t="shared" ref="CU683:CV714" si="977">+IF($W683="","",0)</f>
        <v/>
      </c>
      <c r="CV683" s="66" t="str">
        <f t="shared" si="977"/>
        <v/>
      </c>
      <c r="CW683" s="66" t="str">
        <f>+IF($W683="","",ROUND((CT683*Parámetros!$G$85),2))</f>
        <v/>
      </c>
      <c r="CX683" s="66" t="str">
        <f>+IF($W683="","",ROUND((CT683*(Parámetros!$G$86)),2))</f>
        <v/>
      </c>
      <c r="CY683" s="66" t="str">
        <f t="shared" ref="CY683:CY746" si="978">+IF($W683="","",ROUND((CT683+CW683+CX683),2))</f>
        <v/>
      </c>
      <c r="CZ683" t="str">
        <f t="shared" si="931"/>
        <v/>
      </c>
      <c r="DA683" s="118" t="str">
        <f t="shared" si="932"/>
        <v/>
      </c>
      <c r="DB683" s="118" t="str">
        <f t="shared" si="933"/>
        <v/>
      </c>
      <c r="DC683" s="118" t="str">
        <f t="shared" si="934"/>
        <v/>
      </c>
      <c r="DD683" s="121" t="str">
        <f>+IF(OR($W683="",DB683=0),"",ROUND((VLOOKUP(ROUNDDOWN($D683-1/frec,0),cob_adi,CO$40,FALSE)*(1+i/frec)^-0.5*(1+Parámetros!$D$103)*(1+rec_fracc)/frec),6))</f>
        <v/>
      </c>
      <c r="DE683" s="66" t="str">
        <f t="shared" ref="DE683:DE746" si="979">+IF(DB683=0,0,IF($W683="","",ROUND(((DD683*DB683)),2)))</f>
        <v/>
      </c>
      <c r="DF683" s="119" t="str">
        <f t="shared" ref="DF683:DF746" si="980">+IF(OR($W683="",DB683=0),"",ROUND((DG683/DB683),6))</f>
        <v/>
      </c>
      <c r="DG683" s="66" t="str">
        <f>+IF($W683="","",ROUND(IF($B683&gt;Parámetros!$D$107,'Tablas Servicio'!DE683+('Tablas Servicio'!DG682-'Tablas Servicio'!DE682),DE683/(1-IF(B683&lt;=10,Parámetros!$D$100,0))),2))</f>
        <v/>
      </c>
      <c r="DH683" s="66" t="str">
        <f t="shared" ref="DH683:DI714" si="981">+IF($W683="","",0)</f>
        <v/>
      </c>
      <c r="DI683" s="66" t="str">
        <f t="shared" si="981"/>
        <v/>
      </c>
      <c r="DJ683" s="66" t="str">
        <f>+IF($W683="","",ROUND((DG683*Parámetros!$G$85),2))</f>
        <v/>
      </c>
      <c r="DK683" s="66" t="str">
        <f>+IF($W683="","",ROUND((DG683*(Parámetros!$G$86)),2))</f>
        <v/>
      </c>
      <c r="DL683" s="66" t="str">
        <f t="shared" ref="DL683:DL746" si="982">+IF($W683="","",ROUND((DG683+DJ683+DK683),2))</f>
        <v/>
      </c>
      <c r="DM683" t="str">
        <f t="shared" si="935"/>
        <v/>
      </c>
      <c r="DN683" s="118" t="str">
        <f t="shared" si="936"/>
        <v/>
      </c>
      <c r="DO683" s="118" t="str">
        <f t="shared" si="937"/>
        <v/>
      </c>
      <c r="DP683" s="118" t="str">
        <f t="shared" si="938"/>
        <v/>
      </c>
      <c r="DQ683" s="122" t="str">
        <f>+IF(OR($W683="",DO683=0),"",ROUND((VLOOKUP(ROUNDDOWN($D683-1/frec,0),cob_adi,DB$40,FALSE)*(1+i/frec)^-0.5*(1+Parámetros!$D$103)*(1+rec_fracc)/frec),6))</f>
        <v/>
      </c>
      <c r="DR683" s="66" t="str">
        <f t="shared" ref="DR683:DR746" si="983">+IF(DO683=0,0,IF($W683="","",ROUND(((DQ683*DO683)),2)))</f>
        <v/>
      </c>
      <c r="DS683" s="68" t="str">
        <f t="shared" ref="DS683:DS746" si="984">+IF(OR($W683="",DO683=0),"",ROUND((DT683/DO683),6))</f>
        <v/>
      </c>
      <c r="DT683" s="66" t="str">
        <f>+IF($W683="","",ROUND(IF($B683&gt;Parámetros!$D$107,'Tablas Servicio'!DR683+('Tablas Servicio'!DT682-'Tablas Servicio'!DR682),DR683/(1-IF(B683&lt;=10,Parámetros!$D$100,0))),2))</f>
        <v/>
      </c>
      <c r="DU683" s="66" t="str">
        <f t="shared" ref="DU683:DV714" si="985">+IF($W683="","",0)</f>
        <v/>
      </c>
      <c r="DV683" s="66" t="str">
        <f t="shared" si="985"/>
        <v/>
      </c>
      <c r="DW683" s="66" t="str">
        <f>+IF($W683="","",ROUND((DT683*Parámetros!$G$85),2))</f>
        <v/>
      </c>
      <c r="DX683" s="66" t="str">
        <f>+IF($W683="","",ROUND((DT683*(Parámetros!$G$86)),2))</f>
        <v/>
      </c>
      <c r="DY683" s="66" t="str">
        <f t="shared" ref="DY683:DY746" si="986">+IF($W683="","",ROUND((DT683+DW683+DX683),2))</f>
        <v/>
      </c>
      <c r="DZ683" t="str">
        <f t="shared" ref="DZ683:EC698" si="987">+IF($W683="","",DZ682)</f>
        <v/>
      </c>
      <c r="EA683" s="118" t="str">
        <f t="shared" si="987"/>
        <v/>
      </c>
      <c r="EB683" s="118" t="str">
        <f>+IF($W683="","",ROUND(IF(Parámetros!$D$25='TABLAS MORT'!$V$33,EB682,Z683/2),0))</f>
        <v/>
      </c>
      <c r="EC683" s="118" t="str">
        <f t="shared" si="987"/>
        <v/>
      </c>
      <c r="ED683" s="122" t="str">
        <f>+IF(OR($W683="",EB683=0),"",ROUND((VLOOKUP(ROUNDDOWN($D683-1/frec,0),cob_adi,DO$40,FALSE)*(1+i/frec)^-0.5*(1+Parámetros!$D$103)*(1+rec_fracc)/frec),6))</f>
        <v/>
      </c>
      <c r="EE683" s="66" t="str">
        <f t="shared" ref="EE683:EE746" si="988">+IF(EB683=0,0,IF($W683="","",ROUND(((ED683*EB683)),2)))</f>
        <v/>
      </c>
      <c r="EF683" s="68" t="str">
        <f t="shared" ref="EF683:EF746" si="989">+IF(OR($W683="",EB683=0),"",ROUND((EG683/EB683),6))</f>
        <v/>
      </c>
      <c r="EG683" s="66" t="str">
        <f>+IF($W683="","",ROUND(IF($B683&gt;Parámetros!$D$107,'Tablas Servicio'!EE683+('Tablas Servicio'!EG682-'Tablas Servicio'!EE682),EE683/(1-IF(B683&lt;=10,Parámetros!$D$100,0))),2))</f>
        <v/>
      </c>
      <c r="EH683" s="66" t="str">
        <f t="shared" ref="EH683:EI714" si="990">+IF($W683="","",0)</f>
        <v/>
      </c>
      <c r="EI683" s="66" t="str">
        <f t="shared" si="990"/>
        <v/>
      </c>
      <c r="EJ683" s="66" t="str">
        <f>+IF($W683="","",ROUND((EG683*Parámetros!$G$85),2))</f>
        <v/>
      </c>
      <c r="EK683" s="66" t="str">
        <f>+IF($W683="","",ROUND((EG683*(Parámetros!$G$86)),2))</f>
        <v/>
      </c>
      <c r="EL683" s="66" t="str">
        <f t="shared" ref="EL683:EL746" si="991">+IF($W683="","",ROUND((EG683+EJ683+EK683),2))</f>
        <v/>
      </c>
    </row>
    <row r="684" spans="1:142" x14ac:dyDescent="0.25">
      <c r="A684" t="str">
        <f>+IF($C684="","",ROUND(VLOOKUP('Tablas Servicio'!B684,Parámetros!$H$100:$J$159,IF(Parámetros!$E$16="F",2,3),FALSE),2))</f>
        <v/>
      </c>
      <c r="B684" t="str">
        <f t="shared" si="942"/>
        <v/>
      </c>
      <c r="C684" s="57" t="str">
        <f>+IF(D684="","",'Tablas Servicio'!C683+1)</f>
        <v/>
      </c>
      <c r="D684" s="56" t="str">
        <f>+IF(D683&lt;edadmaxtabla,D683+1/Parámetros!$E$25,"")</f>
        <v/>
      </c>
      <c r="E684" s="57" t="str">
        <f t="shared" si="952"/>
        <v/>
      </c>
      <c r="F684" s="59" t="str">
        <f t="shared" si="953"/>
        <v/>
      </c>
      <c r="G684" s="66" t="str">
        <f t="shared" si="943"/>
        <v/>
      </c>
      <c r="H684" s="66" t="str">
        <f t="shared" si="944"/>
        <v/>
      </c>
      <c r="I684" s="66" t="str">
        <f t="shared" si="904"/>
        <v/>
      </c>
      <c r="J684" s="66" t="str">
        <f t="shared" si="945"/>
        <v/>
      </c>
      <c r="K684" s="66" t="str">
        <f t="shared" si="946"/>
        <v/>
      </c>
      <c r="L684" s="66" t="str">
        <f t="shared" si="947"/>
        <v/>
      </c>
      <c r="M684" s="66" t="str">
        <f t="shared" si="948"/>
        <v/>
      </c>
      <c r="N684" s="66" t="str">
        <f>+IF(C684="","",ROUND(Parámetros!$D$23,2))</f>
        <v/>
      </c>
      <c r="O684" s="66" t="str">
        <f t="shared" si="949"/>
        <v/>
      </c>
      <c r="P684" s="66" t="str">
        <f>+IF($C684="","",ROUND(IF(B684&gt;Parámetros!$D$117,0,N684*Parámetros!$D$116-G684*Parámetros!$D$100),2))</f>
        <v/>
      </c>
      <c r="Q684" s="75" t="str">
        <f t="shared" si="905"/>
        <v/>
      </c>
      <c r="R684" s="75" t="str">
        <f t="shared" si="906"/>
        <v/>
      </c>
      <c r="S684" s="117" t="str">
        <f>+IF($C684="","",ROUND((S683+I684)*(1+Parámetros!$D$91),2))</f>
        <v/>
      </c>
      <c r="T684" s="117" t="str">
        <f>+IF($C684="","",ROUND(S684*VLOOKUP(B684,Parámetros!$C$30:$D$39,2,TRUE),2))</f>
        <v/>
      </c>
      <c r="U684" s="117" t="str">
        <f>+IF($C684="","",ROUND((U683+I684)*(1+Parámetros!$D$92),2))</f>
        <v/>
      </c>
      <c r="V684" s="117" t="str">
        <f>+IF($C684="","",ROUND(U684*VLOOKUP(B684,Parámetros!$C$30:$D$39,2,TRUE),2))</f>
        <v/>
      </c>
      <c r="W684" s="57" t="str">
        <f t="shared" si="907"/>
        <v/>
      </c>
      <c r="X684" t="str">
        <f t="shared" si="908"/>
        <v/>
      </c>
      <c r="Y684" t="str">
        <f t="shared" si="909"/>
        <v/>
      </c>
      <c r="Z684" s="118" t="str">
        <f>+IF($W684="","",ROUND(IF(Parámetros!$D$25='TABLAS MORT'!$V$33,Z683,Parámetros!$D$21-'Tablas Servicio'!T683),0))</f>
        <v/>
      </c>
      <c r="AA684" s="118" t="str">
        <f t="shared" si="910"/>
        <v/>
      </c>
      <c r="AB684" s="119" t="str">
        <f>+IF(W684="","",ROUND((VLOOKUP(ROUNDDOWN($D684-1/frec,0),qx_tabla,2,FALSE)*(1+i/frec)^-0.5*(1+Parámetros!$D$103)*(1+rec_fracc)/frec),6))</f>
        <v/>
      </c>
      <c r="AC684" s="66" t="str">
        <f t="shared" si="954"/>
        <v/>
      </c>
      <c r="AD684" s="119" t="str">
        <f t="shared" si="950"/>
        <v/>
      </c>
      <c r="AE684" s="66" t="str">
        <f>+IF($W684="","",ROUND(IF($B684&gt;Parámetros!$D$107,'Tablas Servicio'!AC684+('Tablas Servicio'!AG683-'Tablas Servicio'!AC683),AC684/(1-IF(B684&lt;=10,Parámetros!$D$104,Parámetros!$D$105))),2))</f>
        <v/>
      </c>
      <c r="AF684" s="66" t="str">
        <f>+IF($W684="","",ROUND(IF($B684&gt;Parámetros!$D$107,'Tablas Servicio'!AC684+('Tablas Servicio'!AG683-'Tablas Servicio'!AC683),(AC684+$A683/frec)/(1-IF(B684&lt;=Parámetros!$D$117,Parámetros!$D$100,0))),2))</f>
        <v/>
      </c>
      <c r="AG684" s="66" t="str">
        <f t="shared" si="955"/>
        <v/>
      </c>
      <c r="AH684" s="66" t="str">
        <f t="shared" si="956"/>
        <v/>
      </c>
      <c r="AI684" s="66" t="str">
        <f t="shared" si="957"/>
        <v/>
      </c>
      <c r="AJ684" s="66" t="str">
        <f>+IF($W684="","",ROUND((AG684*Parámetros!$G$85),2))</f>
        <v/>
      </c>
      <c r="AK684" s="66" t="str">
        <f>+IF($W684="","",ROUND((AG684*(Parámetros!$G$86)),2))</f>
        <v/>
      </c>
      <c r="AL684" s="66" t="str">
        <f t="shared" si="951"/>
        <v/>
      </c>
      <c r="AM684" t="str">
        <f t="shared" si="911"/>
        <v/>
      </c>
      <c r="AN684" t="str">
        <f t="shared" si="912"/>
        <v/>
      </c>
      <c r="AO684" s="118" t="str">
        <f t="shared" si="913"/>
        <v/>
      </c>
      <c r="AP684" s="118" t="str">
        <f t="shared" si="914"/>
        <v/>
      </c>
      <c r="AQ684" s="119" t="str">
        <f>+IF(OR($W684="",AO684=0),"",ROUND((VLOOKUP(ROUNDDOWN($D684-1/frec,0),cob_adi,Z$40,FALSE)*(1+i/frec)^-0.5*(1+Parámetros!$D$103)*(1+rec_fracc)/frec),6))</f>
        <v/>
      </c>
      <c r="AR684" s="66" t="str">
        <f t="shared" si="958"/>
        <v/>
      </c>
      <c r="AS684" s="119" t="str">
        <f t="shared" si="959"/>
        <v/>
      </c>
      <c r="AT684" s="66" t="str">
        <f>+IF($W684="","",ROUND(IF($B684&gt;Parámetros!$D$107,'Tablas Servicio'!AR684+('Tablas Servicio'!AT683-'Tablas Servicio'!AR683),AR684/(1-IF(B684&lt;=10,Parámetros!$D$100,0))),2))</f>
        <v/>
      </c>
      <c r="AU684" s="66" t="str">
        <f t="shared" si="960"/>
        <v/>
      </c>
      <c r="AV684" s="66" t="str">
        <f t="shared" si="960"/>
        <v/>
      </c>
      <c r="AW684" s="66" t="str">
        <f>+IF($W684="","",ROUND((AT684*Parámetros!$G$85),2))</f>
        <v/>
      </c>
      <c r="AX684" s="66" t="str">
        <f>+IF($W684="","",ROUND((AT684*(Parámetros!$G$86)),2))</f>
        <v/>
      </c>
      <c r="AY684" s="66" t="str">
        <f t="shared" si="961"/>
        <v/>
      </c>
      <c r="AZ684" t="str">
        <f t="shared" si="915"/>
        <v/>
      </c>
      <c r="BA684" t="str">
        <f t="shared" si="916"/>
        <v/>
      </c>
      <c r="BB684" s="118" t="str">
        <f t="shared" si="917"/>
        <v/>
      </c>
      <c r="BC684" s="118" t="str">
        <f t="shared" si="918"/>
        <v/>
      </c>
      <c r="BD684" s="119" t="str">
        <f>+IF(OR($W684="",BB684=0),"",ROUND((VLOOKUP(ROUNDDOWN($D684-1/frec,0),cob_adi,AO$40,FALSE)*(1+i/frec)^-0.5*(1+Parámetros!$D$103)*(1+rec_fracc)/frec),6))</f>
        <v/>
      </c>
      <c r="BE684" s="66" t="str">
        <f t="shared" si="962"/>
        <v/>
      </c>
      <c r="BF684" s="119" t="str">
        <f t="shared" si="963"/>
        <v/>
      </c>
      <c r="BG684" s="66" t="str">
        <f>+IF($W684="","",ROUND(IF($B684&gt;Parámetros!$D$107,'Tablas Servicio'!BE684+('Tablas Servicio'!BG683-'Tablas Servicio'!BE683),BE684/(1-IF(B684&lt;=10,Parámetros!$D$100,0))),2))</f>
        <v/>
      </c>
      <c r="BH684" s="66" t="str">
        <f t="shared" si="964"/>
        <v/>
      </c>
      <c r="BI684" s="66" t="str">
        <f t="shared" si="965"/>
        <v/>
      </c>
      <c r="BJ684" s="66" t="str">
        <f>+IF($W684="","",ROUND((BG684*Parámetros!$G$85),2))</f>
        <v/>
      </c>
      <c r="BK684" s="66" t="str">
        <f>+IF($W684="","",ROUND((BG684*(Parámetros!$G$86)),2))</f>
        <v/>
      </c>
      <c r="BL684" s="66" t="str">
        <f t="shared" si="966"/>
        <v/>
      </c>
      <c r="BM684" t="str">
        <f t="shared" si="919"/>
        <v/>
      </c>
      <c r="BN684" t="str">
        <f t="shared" si="920"/>
        <v/>
      </c>
      <c r="BO684" s="118" t="str">
        <f t="shared" si="921"/>
        <v/>
      </c>
      <c r="BP684" s="118" t="str">
        <f t="shared" si="922"/>
        <v/>
      </c>
      <c r="BQ684" s="119" t="str">
        <f>+IF(OR($W684="",BO684=0),"",ROUND((VLOOKUP(ROUNDDOWN($D684-1/frec,0),cob_adi,BB$40,FALSE)*(1+i/frec)^-0.5*(1+Parámetros!$D$103)*(1+rec_fracc)/frec),6))</f>
        <v/>
      </c>
      <c r="BR684" s="66" t="str">
        <f t="shared" si="967"/>
        <v/>
      </c>
      <c r="BS684" s="119" t="str">
        <f t="shared" si="968"/>
        <v/>
      </c>
      <c r="BT684" s="66" t="str">
        <f>+IF($W684="","",ROUND(IF($B684&gt;Parámetros!$D$107,'Tablas Servicio'!BR684+('Tablas Servicio'!BT683-'Tablas Servicio'!BR683),BR684/(1-IF(B684&lt;=10,Parámetros!$D$100,0))),2))</f>
        <v/>
      </c>
      <c r="BU684" s="66" t="str">
        <f t="shared" si="969"/>
        <v/>
      </c>
      <c r="BV684" s="66" t="str">
        <f t="shared" si="969"/>
        <v/>
      </c>
      <c r="BW684" s="66" t="str">
        <f>+IF($W684="","",ROUND((BT684*Parámetros!$G$85),2))</f>
        <v/>
      </c>
      <c r="BX684" s="66" t="str">
        <f>+IF($W684="","",ROUND((BT684*(Parámetros!$G$86)),2))</f>
        <v/>
      </c>
      <c r="BY684" s="66" t="str">
        <f t="shared" si="970"/>
        <v/>
      </c>
      <c r="BZ684" t="str">
        <f t="shared" si="923"/>
        <v/>
      </c>
      <c r="CA684" t="str">
        <f t="shared" si="924"/>
        <v/>
      </c>
      <c r="CB684" s="118" t="str">
        <f t="shared" si="925"/>
        <v/>
      </c>
      <c r="CC684" s="118" t="str">
        <f t="shared" si="926"/>
        <v/>
      </c>
      <c r="CD684" s="119" t="str">
        <f t="shared" si="971"/>
        <v/>
      </c>
      <c r="CE684" s="66" t="str">
        <f>+IF($W684="","",ROUND((VLOOKUP(ROUNDDOWN($D684-1/frec,0),cob_adi,BO$40,FALSE)*(1+i/frec)^-0.5*(1+Parámetros!$D$103)*(1+rec_fracc)/frec*'TABLAS ADI'!$BC$17),2))</f>
        <v/>
      </c>
      <c r="CF684" s="119" t="str">
        <f t="shared" si="972"/>
        <v/>
      </c>
      <c r="CG684" s="66" t="str">
        <f>+IF($W684="","",ROUND(IF($B684&gt;Parámetros!$D$107,'Tablas Servicio'!CE684+('Tablas Servicio'!CG683-'Tablas Servicio'!CE683),CE684/(1-IF(B684&lt;=10,Parámetros!$D$100,0))),2))</f>
        <v/>
      </c>
      <c r="CH684" s="66" t="str">
        <f t="shared" si="973"/>
        <v/>
      </c>
      <c r="CI684" s="66" t="str">
        <f t="shared" si="973"/>
        <v/>
      </c>
      <c r="CJ684" s="66" t="str">
        <f>+IF($W684="","",ROUND((CG684*Parámetros!$G$85),2))</f>
        <v/>
      </c>
      <c r="CK684" s="66" t="str">
        <f>+IF($W684="","",ROUND((CG684*(Parámetros!$G$86)),2))</f>
        <v/>
      </c>
      <c r="CL684" s="66" t="str">
        <f t="shared" si="974"/>
        <v/>
      </c>
      <c r="CM684" t="str">
        <f t="shared" si="927"/>
        <v/>
      </c>
      <c r="CN684" s="118" t="str">
        <f t="shared" si="928"/>
        <v/>
      </c>
      <c r="CO684" s="118" t="str">
        <f t="shared" si="929"/>
        <v/>
      </c>
      <c r="CP684" s="118" t="str">
        <f t="shared" si="930"/>
        <v/>
      </c>
      <c r="CQ684" s="119" t="str">
        <f t="shared" si="975"/>
        <v/>
      </c>
      <c r="CR684" s="66" t="str">
        <f>+IF($W684="","",ROUND((VLOOKUP(Parámetros!$F$51,'COBERTURAS ADICIONALES'!$S$4:$T$32,2,FALSE)*(1+i/frec)^-0.5*(1+Parámetros!$D$103)*(1+rec_fracc)/frec*$CO$42),2))</f>
        <v/>
      </c>
      <c r="CS684" s="119" t="str">
        <f t="shared" si="976"/>
        <v/>
      </c>
      <c r="CT684" s="66" t="str">
        <f>+IF($W684="","",ROUND(IF($B684&gt;Parámetros!$D$107,'Tablas Servicio'!CR684+('Tablas Servicio'!CT683-'Tablas Servicio'!CR683),CR684/(1-IF(B684&lt;=10,Parámetros!$D$100,0))),2))</f>
        <v/>
      </c>
      <c r="CU684" s="66" t="str">
        <f t="shared" si="977"/>
        <v/>
      </c>
      <c r="CV684" s="66" t="str">
        <f t="shared" si="977"/>
        <v/>
      </c>
      <c r="CW684" s="66" t="str">
        <f>+IF($W684="","",ROUND((CT684*Parámetros!$G$85),2))</f>
        <v/>
      </c>
      <c r="CX684" s="66" t="str">
        <f>+IF($W684="","",ROUND((CT684*(Parámetros!$G$86)),2))</f>
        <v/>
      </c>
      <c r="CY684" s="66" t="str">
        <f t="shared" si="978"/>
        <v/>
      </c>
      <c r="CZ684" t="str">
        <f t="shared" si="931"/>
        <v/>
      </c>
      <c r="DA684" s="118" t="str">
        <f t="shared" si="932"/>
        <v/>
      </c>
      <c r="DB684" s="118" t="str">
        <f t="shared" si="933"/>
        <v/>
      </c>
      <c r="DC684" s="118" t="str">
        <f t="shared" si="934"/>
        <v/>
      </c>
      <c r="DD684" s="121" t="str">
        <f>+IF(OR($W684="",DB684=0),"",ROUND((VLOOKUP(ROUNDDOWN($D684-1/frec,0),cob_adi,CO$40,FALSE)*(1+i/frec)^-0.5*(1+Parámetros!$D$103)*(1+rec_fracc)/frec),6))</f>
        <v/>
      </c>
      <c r="DE684" s="66" t="str">
        <f t="shared" si="979"/>
        <v/>
      </c>
      <c r="DF684" s="119" t="str">
        <f t="shared" si="980"/>
        <v/>
      </c>
      <c r="DG684" s="66" t="str">
        <f>+IF($W684="","",ROUND(IF($B684&gt;Parámetros!$D$107,'Tablas Servicio'!DE684+('Tablas Servicio'!DG683-'Tablas Servicio'!DE683),DE684/(1-IF(B684&lt;=10,Parámetros!$D$100,0))),2))</f>
        <v/>
      </c>
      <c r="DH684" s="66" t="str">
        <f t="shared" si="981"/>
        <v/>
      </c>
      <c r="DI684" s="66" t="str">
        <f t="shared" si="981"/>
        <v/>
      </c>
      <c r="DJ684" s="66" t="str">
        <f>+IF($W684="","",ROUND((DG684*Parámetros!$G$85),2))</f>
        <v/>
      </c>
      <c r="DK684" s="66" t="str">
        <f>+IF($W684="","",ROUND((DG684*(Parámetros!$G$86)),2))</f>
        <v/>
      </c>
      <c r="DL684" s="66" t="str">
        <f t="shared" si="982"/>
        <v/>
      </c>
      <c r="DM684" t="str">
        <f t="shared" si="935"/>
        <v/>
      </c>
      <c r="DN684" s="118" t="str">
        <f t="shared" si="936"/>
        <v/>
      </c>
      <c r="DO684" s="118" t="str">
        <f t="shared" si="937"/>
        <v/>
      </c>
      <c r="DP684" s="118" t="str">
        <f t="shared" si="938"/>
        <v/>
      </c>
      <c r="DQ684" s="122" t="str">
        <f>+IF(OR($W684="",DO684=0),"",ROUND((VLOOKUP(ROUNDDOWN($D684-1/frec,0),cob_adi,DB$40,FALSE)*(1+i/frec)^-0.5*(1+Parámetros!$D$103)*(1+rec_fracc)/frec),6))</f>
        <v/>
      </c>
      <c r="DR684" s="66" t="str">
        <f t="shared" si="983"/>
        <v/>
      </c>
      <c r="DS684" s="68" t="str">
        <f t="shared" si="984"/>
        <v/>
      </c>
      <c r="DT684" s="66" t="str">
        <f>+IF($W684="","",ROUND(IF($B684&gt;Parámetros!$D$107,'Tablas Servicio'!DR684+('Tablas Servicio'!DT683-'Tablas Servicio'!DR683),DR684/(1-IF(B684&lt;=10,Parámetros!$D$100,0))),2))</f>
        <v/>
      </c>
      <c r="DU684" s="66" t="str">
        <f t="shared" si="985"/>
        <v/>
      </c>
      <c r="DV684" s="66" t="str">
        <f t="shared" si="985"/>
        <v/>
      </c>
      <c r="DW684" s="66" t="str">
        <f>+IF($W684="","",ROUND((DT684*Parámetros!$G$85),2))</f>
        <v/>
      </c>
      <c r="DX684" s="66" t="str">
        <f>+IF($W684="","",ROUND((DT684*(Parámetros!$G$86)),2))</f>
        <v/>
      </c>
      <c r="DY684" s="66" t="str">
        <f t="shared" si="986"/>
        <v/>
      </c>
      <c r="DZ684" t="str">
        <f t="shared" si="987"/>
        <v/>
      </c>
      <c r="EA684" s="118" t="str">
        <f t="shared" si="987"/>
        <v/>
      </c>
      <c r="EB684" s="118" t="str">
        <f>+IF($W684="","",ROUND(IF(Parámetros!$D$25='TABLAS MORT'!$V$33,EB683,Z684/2),0))</f>
        <v/>
      </c>
      <c r="EC684" s="118" t="str">
        <f t="shared" si="987"/>
        <v/>
      </c>
      <c r="ED684" s="122" t="str">
        <f>+IF(OR($W684="",EB684=0),"",ROUND((VLOOKUP(ROUNDDOWN($D684-1/frec,0),cob_adi,DO$40,FALSE)*(1+i/frec)^-0.5*(1+Parámetros!$D$103)*(1+rec_fracc)/frec),6))</f>
        <v/>
      </c>
      <c r="EE684" s="66" t="str">
        <f t="shared" si="988"/>
        <v/>
      </c>
      <c r="EF684" s="68" t="str">
        <f t="shared" si="989"/>
        <v/>
      </c>
      <c r="EG684" s="66" t="str">
        <f>+IF($W684="","",ROUND(IF($B684&gt;Parámetros!$D$107,'Tablas Servicio'!EE684+('Tablas Servicio'!EG683-'Tablas Servicio'!EE683),EE684/(1-IF(B684&lt;=10,Parámetros!$D$100,0))),2))</f>
        <v/>
      </c>
      <c r="EH684" s="66" t="str">
        <f t="shared" si="990"/>
        <v/>
      </c>
      <c r="EI684" s="66" t="str">
        <f t="shared" si="990"/>
        <v/>
      </c>
      <c r="EJ684" s="66" t="str">
        <f>+IF($W684="","",ROUND((EG684*Parámetros!$G$85),2))</f>
        <v/>
      </c>
      <c r="EK684" s="66" t="str">
        <f>+IF($W684="","",ROUND((EG684*(Parámetros!$G$86)),2))</f>
        <v/>
      </c>
      <c r="EL684" s="66" t="str">
        <f t="shared" si="991"/>
        <v/>
      </c>
    </row>
    <row r="685" spans="1:142" x14ac:dyDescent="0.25">
      <c r="A685" t="str">
        <f>+IF($C685="","",ROUND(VLOOKUP('Tablas Servicio'!B685,Parámetros!$H$100:$J$159,IF(Parámetros!$E$16="F",2,3),FALSE),2))</f>
        <v/>
      </c>
      <c r="B685" t="str">
        <f t="shared" si="942"/>
        <v/>
      </c>
      <c r="C685" s="57" t="str">
        <f>+IF(D685="","",'Tablas Servicio'!C684+1)</f>
        <v/>
      </c>
      <c r="D685" s="56" t="str">
        <f>+IF(D684&lt;edadmaxtabla,D684+1/Parámetros!$E$25,"")</f>
        <v/>
      </c>
      <c r="E685" s="57" t="str">
        <f t="shared" si="952"/>
        <v/>
      </c>
      <c r="F685" s="59" t="str">
        <f t="shared" si="953"/>
        <v/>
      </c>
      <c r="G685" s="66" t="str">
        <f t="shared" si="943"/>
        <v/>
      </c>
      <c r="H685" s="66" t="str">
        <f t="shared" si="944"/>
        <v/>
      </c>
      <c r="I685" s="66" t="str">
        <f t="shared" si="904"/>
        <v/>
      </c>
      <c r="J685" s="66" t="str">
        <f t="shared" si="945"/>
        <v/>
      </c>
      <c r="K685" s="66" t="str">
        <f t="shared" si="946"/>
        <v/>
      </c>
      <c r="L685" s="66" t="str">
        <f t="shared" si="947"/>
        <v/>
      </c>
      <c r="M685" s="66" t="str">
        <f t="shared" si="948"/>
        <v/>
      </c>
      <c r="N685" s="66" t="str">
        <f>+IF(C685="","",ROUND(Parámetros!$D$23,2))</f>
        <v/>
      </c>
      <c r="O685" s="66" t="str">
        <f t="shared" si="949"/>
        <v/>
      </c>
      <c r="P685" s="66" t="str">
        <f>+IF($C685="","",ROUND(IF(B685&gt;Parámetros!$D$117,0,N685*Parámetros!$D$116-G685*Parámetros!$D$100),2))</f>
        <v/>
      </c>
      <c r="Q685" s="75" t="str">
        <f t="shared" si="905"/>
        <v/>
      </c>
      <c r="R685" s="75" t="str">
        <f t="shared" si="906"/>
        <v/>
      </c>
      <c r="S685" s="117" t="str">
        <f>+IF($C685="","",ROUND((S684+I685)*(1+Parámetros!$D$91),2))</f>
        <v/>
      </c>
      <c r="T685" s="117" t="str">
        <f>+IF($C685="","",ROUND(S685*VLOOKUP(B685,Parámetros!$C$30:$D$39,2,TRUE),2))</f>
        <v/>
      </c>
      <c r="U685" s="117" t="str">
        <f>+IF($C685="","",ROUND((U684+I685)*(1+Parámetros!$D$92),2))</f>
        <v/>
      </c>
      <c r="V685" s="117" t="str">
        <f>+IF($C685="","",ROUND(U685*VLOOKUP(B685,Parámetros!$C$30:$D$39,2,TRUE),2))</f>
        <v/>
      </c>
      <c r="W685" s="57" t="str">
        <f t="shared" si="907"/>
        <v/>
      </c>
      <c r="X685" t="str">
        <f t="shared" si="908"/>
        <v/>
      </c>
      <c r="Y685" t="str">
        <f t="shared" si="909"/>
        <v/>
      </c>
      <c r="Z685" s="118" t="str">
        <f>+IF($W685="","",ROUND(IF(Parámetros!$D$25='TABLAS MORT'!$V$33,Z684,Parámetros!$D$21-'Tablas Servicio'!T684),0))</f>
        <v/>
      </c>
      <c r="AA685" s="118" t="str">
        <f t="shared" si="910"/>
        <v/>
      </c>
      <c r="AB685" s="119" t="str">
        <f>+IF(W685="","",ROUND((VLOOKUP(ROUNDDOWN($D685-1/frec,0),qx_tabla,2,FALSE)*(1+i/frec)^-0.5*(1+Parámetros!$D$103)*(1+rec_fracc)/frec),6))</f>
        <v/>
      </c>
      <c r="AC685" s="66" t="str">
        <f t="shared" si="954"/>
        <v/>
      </c>
      <c r="AD685" s="119" t="str">
        <f t="shared" si="950"/>
        <v/>
      </c>
      <c r="AE685" s="66" t="str">
        <f>+IF($W685="","",ROUND(IF($B685&gt;Parámetros!$D$107,'Tablas Servicio'!AC685+('Tablas Servicio'!AG684-'Tablas Servicio'!AC684),AC685/(1-IF(B685&lt;=10,Parámetros!$D$104,Parámetros!$D$105))),2))</f>
        <v/>
      </c>
      <c r="AF685" s="66" t="str">
        <f>+IF($W685="","",ROUND(IF($B685&gt;Parámetros!$D$107,'Tablas Servicio'!AC685+('Tablas Servicio'!AG684-'Tablas Servicio'!AC684),(AC685+$A684/frec)/(1-IF(B685&lt;=Parámetros!$D$117,Parámetros!$D$100,0))),2))</f>
        <v/>
      </c>
      <c r="AG685" s="66" t="str">
        <f t="shared" si="955"/>
        <v/>
      </c>
      <c r="AH685" s="66" t="str">
        <f t="shared" si="956"/>
        <v/>
      </c>
      <c r="AI685" s="66" t="str">
        <f t="shared" si="957"/>
        <v/>
      </c>
      <c r="AJ685" s="66" t="str">
        <f>+IF($W685="","",ROUND((AG685*Parámetros!$G$85),2))</f>
        <v/>
      </c>
      <c r="AK685" s="66" t="str">
        <f>+IF($W685="","",ROUND((AG685*(Parámetros!$G$86)),2))</f>
        <v/>
      </c>
      <c r="AL685" s="66" t="str">
        <f t="shared" si="951"/>
        <v/>
      </c>
      <c r="AM685" t="str">
        <f t="shared" si="911"/>
        <v/>
      </c>
      <c r="AN685" t="str">
        <f t="shared" si="912"/>
        <v/>
      </c>
      <c r="AO685" s="118" t="str">
        <f t="shared" si="913"/>
        <v/>
      </c>
      <c r="AP685" s="118" t="str">
        <f t="shared" si="914"/>
        <v/>
      </c>
      <c r="AQ685" s="119" t="str">
        <f>+IF(OR($W685="",AO685=0),"",ROUND((VLOOKUP(ROUNDDOWN($D685-1/frec,0),cob_adi,Z$40,FALSE)*(1+i/frec)^-0.5*(1+Parámetros!$D$103)*(1+rec_fracc)/frec),6))</f>
        <v/>
      </c>
      <c r="AR685" s="66" t="str">
        <f t="shared" si="958"/>
        <v/>
      </c>
      <c r="AS685" s="119" t="str">
        <f t="shared" si="959"/>
        <v/>
      </c>
      <c r="AT685" s="66" t="str">
        <f>+IF($W685="","",ROUND(IF($B685&gt;Parámetros!$D$107,'Tablas Servicio'!AR685+('Tablas Servicio'!AT684-'Tablas Servicio'!AR684),AR685/(1-IF(B685&lt;=10,Parámetros!$D$100,0))),2))</f>
        <v/>
      </c>
      <c r="AU685" s="66" t="str">
        <f t="shared" si="960"/>
        <v/>
      </c>
      <c r="AV685" s="66" t="str">
        <f t="shared" si="960"/>
        <v/>
      </c>
      <c r="AW685" s="66" t="str">
        <f>+IF($W685="","",ROUND((AT685*Parámetros!$G$85),2))</f>
        <v/>
      </c>
      <c r="AX685" s="66" t="str">
        <f>+IF($W685="","",ROUND((AT685*(Parámetros!$G$86)),2))</f>
        <v/>
      </c>
      <c r="AY685" s="66" t="str">
        <f t="shared" si="961"/>
        <v/>
      </c>
      <c r="AZ685" t="str">
        <f t="shared" si="915"/>
        <v/>
      </c>
      <c r="BA685" t="str">
        <f t="shared" si="916"/>
        <v/>
      </c>
      <c r="BB685" s="118" t="str">
        <f t="shared" si="917"/>
        <v/>
      </c>
      <c r="BC685" s="118" t="str">
        <f t="shared" si="918"/>
        <v/>
      </c>
      <c r="BD685" s="119" t="str">
        <f>+IF(OR($W685="",BB685=0),"",ROUND((VLOOKUP(ROUNDDOWN($D685-1/frec,0),cob_adi,AO$40,FALSE)*(1+i/frec)^-0.5*(1+Parámetros!$D$103)*(1+rec_fracc)/frec),6))</f>
        <v/>
      </c>
      <c r="BE685" s="66" t="str">
        <f t="shared" si="962"/>
        <v/>
      </c>
      <c r="BF685" s="119" t="str">
        <f t="shared" si="963"/>
        <v/>
      </c>
      <c r="BG685" s="66" t="str">
        <f>+IF($W685="","",ROUND(IF($B685&gt;Parámetros!$D$107,'Tablas Servicio'!BE685+('Tablas Servicio'!BG684-'Tablas Servicio'!BE684),BE685/(1-IF(B685&lt;=10,Parámetros!$D$100,0))),2))</f>
        <v/>
      </c>
      <c r="BH685" s="66" t="str">
        <f t="shared" si="964"/>
        <v/>
      </c>
      <c r="BI685" s="66" t="str">
        <f t="shared" si="965"/>
        <v/>
      </c>
      <c r="BJ685" s="66" t="str">
        <f>+IF($W685="","",ROUND((BG685*Parámetros!$G$85),2))</f>
        <v/>
      </c>
      <c r="BK685" s="66" t="str">
        <f>+IF($W685="","",ROUND((BG685*(Parámetros!$G$86)),2))</f>
        <v/>
      </c>
      <c r="BL685" s="66" t="str">
        <f t="shared" si="966"/>
        <v/>
      </c>
      <c r="BM685" t="str">
        <f t="shared" si="919"/>
        <v/>
      </c>
      <c r="BN685" t="str">
        <f t="shared" si="920"/>
        <v/>
      </c>
      <c r="BO685" s="118" t="str">
        <f t="shared" si="921"/>
        <v/>
      </c>
      <c r="BP685" s="118" t="str">
        <f t="shared" si="922"/>
        <v/>
      </c>
      <c r="BQ685" s="119" t="str">
        <f>+IF(OR($W685="",BO685=0),"",ROUND((VLOOKUP(ROUNDDOWN($D685-1/frec,0),cob_adi,BB$40,FALSE)*(1+i/frec)^-0.5*(1+Parámetros!$D$103)*(1+rec_fracc)/frec),6))</f>
        <v/>
      </c>
      <c r="BR685" s="66" t="str">
        <f t="shared" si="967"/>
        <v/>
      </c>
      <c r="BS685" s="119" t="str">
        <f t="shared" si="968"/>
        <v/>
      </c>
      <c r="BT685" s="66" t="str">
        <f>+IF($W685="","",ROUND(IF($B685&gt;Parámetros!$D$107,'Tablas Servicio'!BR685+('Tablas Servicio'!BT684-'Tablas Servicio'!BR684),BR685/(1-IF(B685&lt;=10,Parámetros!$D$100,0))),2))</f>
        <v/>
      </c>
      <c r="BU685" s="66" t="str">
        <f t="shared" si="969"/>
        <v/>
      </c>
      <c r="BV685" s="66" t="str">
        <f t="shared" si="969"/>
        <v/>
      </c>
      <c r="BW685" s="66" t="str">
        <f>+IF($W685="","",ROUND((BT685*Parámetros!$G$85),2))</f>
        <v/>
      </c>
      <c r="BX685" s="66" t="str">
        <f>+IF($W685="","",ROUND((BT685*(Parámetros!$G$86)),2))</f>
        <v/>
      </c>
      <c r="BY685" s="66" t="str">
        <f t="shared" si="970"/>
        <v/>
      </c>
      <c r="BZ685" t="str">
        <f t="shared" si="923"/>
        <v/>
      </c>
      <c r="CA685" t="str">
        <f t="shared" si="924"/>
        <v/>
      </c>
      <c r="CB685" s="118" t="str">
        <f t="shared" si="925"/>
        <v/>
      </c>
      <c r="CC685" s="118" t="str">
        <f t="shared" si="926"/>
        <v/>
      </c>
      <c r="CD685" s="119" t="str">
        <f t="shared" si="971"/>
        <v/>
      </c>
      <c r="CE685" s="66" t="str">
        <f>+IF($W685="","",ROUND((VLOOKUP(ROUNDDOWN($D685-1/frec,0),cob_adi,BO$40,FALSE)*(1+i/frec)^-0.5*(1+Parámetros!$D$103)*(1+rec_fracc)/frec*'TABLAS ADI'!$BC$17),2))</f>
        <v/>
      </c>
      <c r="CF685" s="119" t="str">
        <f t="shared" si="972"/>
        <v/>
      </c>
      <c r="CG685" s="66" t="str">
        <f>+IF($W685="","",ROUND(IF($B685&gt;Parámetros!$D$107,'Tablas Servicio'!CE685+('Tablas Servicio'!CG684-'Tablas Servicio'!CE684),CE685/(1-IF(B685&lt;=10,Parámetros!$D$100,0))),2))</f>
        <v/>
      </c>
      <c r="CH685" s="66" t="str">
        <f t="shared" si="973"/>
        <v/>
      </c>
      <c r="CI685" s="66" t="str">
        <f t="shared" si="973"/>
        <v/>
      </c>
      <c r="CJ685" s="66" t="str">
        <f>+IF($W685="","",ROUND((CG685*Parámetros!$G$85),2))</f>
        <v/>
      </c>
      <c r="CK685" s="66" t="str">
        <f>+IF($W685="","",ROUND((CG685*(Parámetros!$G$86)),2))</f>
        <v/>
      </c>
      <c r="CL685" s="66" t="str">
        <f t="shared" si="974"/>
        <v/>
      </c>
      <c r="CM685" t="str">
        <f t="shared" si="927"/>
        <v/>
      </c>
      <c r="CN685" s="118" t="str">
        <f t="shared" si="928"/>
        <v/>
      </c>
      <c r="CO685" s="118" t="str">
        <f t="shared" si="929"/>
        <v/>
      </c>
      <c r="CP685" s="118" t="str">
        <f t="shared" si="930"/>
        <v/>
      </c>
      <c r="CQ685" s="119" t="str">
        <f t="shared" si="975"/>
        <v/>
      </c>
      <c r="CR685" s="66" t="str">
        <f>+IF($W685="","",ROUND((VLOOKUP(Parámetros!$F$51,'COBERTURAS ADICIONALES'!$S$4:$T$32,2,FALSE)*(1+i/frec)^-0.5*(1+Parámetros!$D$103)*(1+rec_fracc)/frec*$CO$42),2))</f>
        <v/>
      </c>
      <c r="CS685" s="119" t="str">
        <f t="shared" si="976"/>
        <v/>
      </c>
      <c r="CT685" s="66" t="str">
        <f>+IF($W685="","",ROUND(IF($B685&gt;Parámetros!$D$107,'Tablas Servicio'!CR685+('Tablas Servicio'!CT684-'Tablas Servicio'!CR684),CR685/(1-IF(B685&lt;=10,Parámetros!$D$100,0))),2))</f>
        <v/>
      </c>
      <c r="CU685" s="66" t="str">
        <f t="shared" si="977"/>
        <v/>
      </c>
      <c r="CV685" s="66" t="str">
        <f t="shared" si="977"/>
        <v/>
      </c>
      <c r="CW685" s="66" t="str">
        <f>+IF($W685="","",ROUND((CT685*Parámetros!$G$85),2))</f>
        <v/>
      </c>
      <c r="CX685" s="66" t="str">
        <f>+IF($W685="","",ROUND((CT685*(Parámetros!$G$86)),2))</f>
        <v/>
      </c>
      <c r="CY685" s="66" t="str">
        <f t="shared" si="978"/>
        <v/>
      </c>
      <c r="CZ685" t="str">
        <f t="shared" si="931"/>
        <v/>
      </c>
      <c r="DA685" s="118" t="str">
        <f t="shared" si="932"/>
        <v/>
      </c>
      <c r="DB685" s="118" t="str">
        <f t="shared" si="933"/>
        <v/>
      </c>
      <c r="DC685" s="118" t="str">
        <f t="shared" si="934"/>
        <v/>
      </c>
      <c r="DD685" s="121" t="str">
        <f>+IF(OR($W685="",DB685=0),"",ROUND((VLOOKUP(ROUNDDOWN($D685-1/frec,0),cob_adi,CO$40,FALSE)*(1+i/frec)^-0.5*(1+Parámetros!$D$103)*(1+rec_fracc)/frec),6))</f>
        <v/>
      </c>
      <c r="DE685" s="66" t="str">
        <f t="shared" si="979"/>
        <v/>
      </c>
      <c r="DF685" s="119" t="str">
        <f t="shared" si="980"/>
        <v/>
      </c>
      <c r="DG685" s="66" t="str">
        <f>+IF($W685="","",ROUND(IF($B685&gt;Parámetros!$D$107,'Tablas Servicio'!DE685+('Tablas Servicio'!DG684-'Tablas Servicio'!DE684),DE685/(1-IF(B685&lt;=10,Parámetros!$D$100,0))),2))</f>
        <v/>
      </c>
      <c r="DH685" s="66" t="str">
        <f t="shared" si="981"/>
        <v/>
      </c>
      <c r="DI685" s="66" t="str">
        <f t="shared" si="981"/>
        <v/>
      </c>
      <c r="DJ685" s="66" t="str">
        <f>+IF($W685="","",ROUND((DG685*Parámetros!$G$85),2))</f>
        <v/>
      </c>
      <c r="DK685" s="66" t="str">
        <f>+IF($W685="","",ROUND((DG685*(Parámetros!$G$86)),2))</f>
        <v/>
      </c>
      <c r="DL685" s="66" t="str">
        <f t="shared" si="982"/>
        <v/>
      </c>
      <c r="DM685" t="str">
        <f t="shared" si="935"/>
        <v/>
      </c>
      <c r="DN685" s="118" t="str">
        <f t="shared" si="936"/>
        <v/>
      </c>
      <c r="DO685" s="118" t="str">
        <f t="shared" si="937"/>
        <v/>
      </c>
      <c r="DP685" s="118" t="str">
        <f t="shared" si="938"/>
        <v/>
      </c>
      <c r="DQ685" s="122" t="str">
        <f>+IF(OR($W685="",DO685=0),"",ROUND((VLOOKUP(ROUNDDOWN($D685-1/frec,0),cob_adi,DB$40,FALSE)*(1+i/frec)^-0.5*(1+Parámetros!$D$103)*(1+rec_fracc)/frec),6))</f>
        <v/>
      </c>
      <c r="DR685" s="66" t="str">
        <f t="shared" si="983"/>
        <v/>
      </c>
      <c r="DS685" s="68" t="str">
        <f t="shared" si="984"/>
        <v/>
      </c>
      <c r="DT685" s="66" t="str">
        <f>+IF($W685="","",ROUND(IF($B685&gt;Parámetros!$D$107,'Tablas Servicio'!DR685+('Tablas Servicio'!DT684-'Tablas Servicio'!DR684),DR685/(1-IF(B685&lt;=10,Parámetros!$D$100,0))),2))</f>
        <v/>
      </c>
      <c r="DU685" s="66" t="str">
        <f t="shared" si="985"/>
        <v/>
      </c>
      <c r="DV685" s="66" t="str">
        <f t="shared" si="985"/>
        <v/>
      </c>
      <c r="DW685" s="66" t="str">
        <f>+IF($W685="","",ROUND((DT685*Parámetros!$G$85),2))</f>
        <v/>
      </c>
      <c r="DX685" s="66" t="str">
        <f>+IF($W685="","",ROUND((DT685*(Parámetros!$G$86)),2))</f>
        <v/>
      </c>
      <c r="DY685" s="66" t="str">
        <f t="shared" si="986"/>
        <v/>
      </c>
      <c r="DZ685" t="str">
        <f t="shared" si="987"/>
        <v/>
      </c>
      <c r="EA685" s="118" t="str">
        <f t="shared" si="987"/>
        <v/>
      </c>
      <c r="EB685" s="118" t="str">
        <f>+IF($W685="","",ROUND(IF(Parámetros!$D$25='TABLAS MORT'!$V$33,EB684,Z685/2),0))</f>
        <v/>
      </c>
      <c r="EC685" s="118" t="str">
        <f t="shared" si="987"/>
        <v/>
      </c>
      <c r="ED685" s="122" t="str">
        <f>+IF(OR($W685="",EB685=0),"",ROUND((VLOOKUP(ROUNDDOWN($D685-1/frec,0),cob_adi,DO$40,FALSE)*(1+i/frec)^-0.5*(1+Parámetros!$D$103)*(1+rec_fracc)/frec),6))</f>
        <v/>
      </c>
      <c r="EE685" s="66" t="str">
        <f t="shared" si="988"/>
        <v/>
      </c>
      <c r="EF685" s="68" t="str">
        <f t="shared" si="989"/>
        <v/>
      </c>
      <c r="EG685" s="66" t="str">
        <f>+IF($W685="","",ROUND(IF($B685&gt;Parámetros!$D$107,'Tablas Servicio'!EE685+('Tablas Servicio'!EG684-'Tablas Servicio'!EE684),EE685/(1-IF(B685&lt;=10,Parámetros!$D$100,0))),2))</f>
        <v/>
      </c>
      <c r="EH685" s="66" t="str">
        <f t="shared" si="990"/>
        <v/>
      </c>
      <c r="EI685" s="66" t="str">
        <f t="shared" si="990"/>
        <v/>
      </c>
      <c r="EJ685" s="66" t="str">
        <f>+IF($W685="","",ROUND((EG685*Parámetros!$G$85),2))</f>
        <v/>
      </c>
      <c r="EK685" s="66" t="str">
        <f>+IF($W685="","",ROUND((EG685*(Parámetros!$G$86)),2))</f>
        <v/>
      </c>
      <c r="EL685" s="66" t="str">
        <f t="shared" si="991"/>
        <v/>
      </c>
    </row>
    <row r="686" spans="1:142" x14ac:dyDescent="0.25">
      <c r="A686" t="str">
        <f>+IF($C686="","",ROUND(VLOOKUP('Tablas Servicio'!B686,Parámetros!$H$100:$J$159,IF(Parámetros!$E$16="F",2,3),FALSE),2))</f>
        <v/>
      </c>
      <c r="B686" t="str">
        <f t="shared" si="942"/>
        <v/>
      </c>
      <c r="C686" s="57" t="str">
        <f>+IF(D686="","",'Tablas Servicio'!C685+1)</f>
        <v/>
      </c>
      <c r="D686" s="56" t="str">
        <f>+IF(D685&lt;edadmaxtabla,D685+1/Parámetros!$E$25,"")</f>
        <v/>
      </c>
      <c r="E686" s="57" t="str">
        <f t="shared" si="952"/>
        <v/>
      </c>
      <c r="F686" s="59" t="str">
        <f t="shared" si="953"/>
        <v/>
      </c>
      <c r="G686" s="66" t="str">
        <f t="shared" si="943"/>
        <v/>
      </c>
      <c r="H686" s="66" t="str">
        <f t="shared" si="944"/>
        <v/>
      </c>
      <c r="I686" s="66" t="str">
        <f t="shared" si="904"/>
        <v/>
      </c>
      <c r="J686" s="66" t="str">
        <f t="shared" si="945"/>
        <v/>
      </c>
      <c r="K686" s="66" t="str">
        <f t="shared" si="946"/>
        <v/>
      </c>
      <c r="L686" s="66" t="str">
        <f t="shared" si="947"/>
        <v/>
      </c>
      <c r="M686" s="66" t="str">
        <f t="shared" si="948"/>
        <v/>
      </c>
      <c r="N686" s="66" t="str">
        <f>+IF(C686="","",ROUND(Parámetros!$D$23,2))</f>
        <v/>
      </c>
      <c r="O686" s="66" t="str">
        <f t="shared" si="949"/>
        <v/>
      </c>
      <c r="P686" s="66" t="str">
        <f>+IF($C686="","",ROUND(IF(B686&gt;Parámetros!$D$117,0,N686*Parámetros!$D$116-G686*Parámetros!$D$100),2))</f>
        <v/>
      </c>
      <c r="Q686" s="75" t="str">
        <f t="shared" si="905"/>
        <v/>
      </c>
      <c r="R686" s="75" t="str">
        <f t="shared" si="906"/>
        <v/>
      </c>
      <c r="S686" s="117" t="str">
        <f>+IF($C686="","",ROUND((S685+I686)*(1+Parámetros!$D$91),2))</f>
        <v/>
      </c>
      <c r="T686" s="117" t="str">
        <f>+IF($C686="","",ROUND(S686*VLOOKUP(B686,Parámetros!$C$30:$D$39,2,TRUE),2))</f>
        <v/>
      </c>
      <c r="U686" s="117" t="str">
        <f>+IF($C686="","",ROUND((U685+I686)*(1+Parámetros!$D$92),2))</f>
        <v/>
      </c>
      <c r="V686" s="117" t="str">
        <f>+IF($C686="","",ROUND(U686*VLOOKUP(B686,Parámetros!$C$30:$D$39,2,TRUE),2))</f>
        <v/>
      </c>
      <c r="W686" s="57" t="str">
        <f t="shared" si="907"/>
        <v/>
      </c>
      <c r="X686" t="str">
        <f t="shared" si="908"/>
        <v/>
      </c>
      <c r="Y686" t="str">
        <f t="shared" si="909"/>
        <v/>
      </c>
      <c r="Z686" s="118" t="str">
        <f>+IF($W686="","",ROUND(IF(Parámetros!$D$25='TABLAS MORT'!$V$33,Z685,Parámetros!$D$21-'Tablas Servicio'!T685),0))</f>
        <v/>
      </c>
      <c r="AA686" s="118" t="str">
        <f t="shared" si="910"/>
        <v/>
      </c>
      <c r="AB686" s="119" t="str">
        <f>+IF(W686="","",ROUND((VLOOKUP(ROUNDDOWN($D686-1/frec,0),qx_tabla,2,FALSE)*(1+i/frec)^-0.5*(1+Parámetros!$D$103)*(1+rec_fracc)/frec),6))</f>
        <v/>
      </c>
      <c r="AC686" s="66" t="str">
        <f t="shared" si="954"/>
        <v/>
      </c>
      <c r="AD686" s="119" t="str">
        <f t="shared" si="950"/>
        <v/>
      </c>
      <c r="AE686" s="66" t="str">
        <f>+IF($W686="","",ROUND(IF($B686&gt;Parámetros!$D$107,'Tablas Servicio'!AC686+('Tablas Servicio'!AG685-'Tablas Servicio'!AC685),AC686/(1-IF(B686&lt;=10,Parámetros!$D$104,Parámetros!$D$105))),2))</f>
        <v/>
      </c>
      <c r="AF686" s="66" t="str">
        <f>+IF($W686="","",ROUND(IF($B686&gt;Parámetros!$D$107,'Tablas Servicio'!AC686+('Tablas Servicio'!AG685-'Tablas Servicio'!AC685),(AC686+$A685/frec)/(1-IF(B686&lt;=Parámetros!$D$117,Parámetros!$D$100,0))),2))</f>
        <v/>
      </c>
      <c r="AG686" s="66" t="str">
        <f t="shared" si="955"/>
        <v/>
      </c>
      <c r="AH686" s="66" t="str">
        <f t="shared" si="956"/>
        <v/>
      </c>
      <c r="AI686" s="66" t="str">
        <f t="shared" si="957"/>
        <v/>
      </c>
      <c r="AJ686" s="66" t="str">
        <f>+IF($W686="","",ROUND((AG686*Parámetros!$G$85),2))</f>
        <v/>
      </c>
      <c r="AK686" s="66" t="str">
        <f>+IF($W686="","",ROUND((AG686*(Parámetros!$G$86)),2))</f>
        <v/>
      </c>
      <c r="AL686" s="66" t="str">
        <f t="shared" si="951"/>
        <v/>
      </c>
      <c r="AM686" t="str">
        <f t="shared" si="911"/>
        <v/>
      </c>
      <c r="AN686" t="str">
        <f t="shared" si="912"/>
        <v/>
      </c>
      <c r="AO686" s="118" t="str">
        <f t="shared" si="913"/>
        <v/>
      </c>
      <c r="AP686" s="118" t="str">
        <f t="shared" si="914"/>
        <v/>
      </c>
      <c r="AQ686" s="119" t="str">
        <f>+IF(OR($W686="",AO686=0),"",ROUND((VLOOKUP(ROUNDDOWN($D686-1/frec,0),cob_adi,Z$40,FALSE)*(1+i/frec)^-0.5*(1+Parámetros!$D$103)*(1+rec_fracc)/frec),6))</f>
        <v/>
      </c>
      <c r="AR686" s="66" t="str">
        <f t="shared" si="958"/>
        <v/>
      </c>
      <c r="AS686" s="119" t="str">
        <f t="shared" si="959"/>
        <v/>
      </c>
      <c r="AT686" s="66" t="str">
        <f>+IF($W686="","",ROUND(IF($B686&gt;Parámetros!$D$107,'Tablas Servicio'!AR686+('Tablas Servicio'!AT685-'Tablas Servicio'!AR685),AR686/(1-IF(B686&lt;=10,Parámetros!$D$100,0))),2))</f>
        <v/>
      </c>
      <c r="AU686" s="66" t="str">
        <f t="shared" si="960"/>
        <v/>
      </c>
      <c r="AV686" s="66" t="str">
        <f t="shared" si="960"/>
        <v/>
      </c>
      <c r="AW686" s="66" t="str">
        <f>+IF($W686="","",ROUND((AT686*Parámetros!$G$85),2))</f>
        <v/>
      </c>
      <c r="AX686" s="66" t="str">
        <f>+IF($W686="","",ROUND((AT686*(Parámetros!$G$86)),2))</f>
        <v/>
      </c>
      <c r="AY686" s="66" t="str">
        <f t="shared" si="961"/>
        <v/>
      </c>
      <c r="AZ686" t="str">
        <f t="shared" si="915"/>
        <v/>
      </c>
      <c r="BA686" t="str">
        <f t="shared" si="916"/>
        <v/>
      </c>
      <c r="BB686" s="118" t="str">
        <f t="shared" si="917"/>
        <v/>
      </c>
      <c r="BC686" s="118" t="str">
        <f t="shared" si="918"/>
        <v/>
      </c>
      <c r="BD686" s="119" t="str">
        <f>+IF(OR($W686="",BB686=0),"",ROUND((VLOOKUP(ROUNDDOWN($D686-1/frec,0),cob_adi,AO$40,FALSE)*(1+i/frec)^-0.5*(1+Parámetros!$D$103)*(1+rec_fracc)/frec),6))</f>
        <v/>
      </c>
      <c r="BE686" s="66" t="str">
        <f t="shared" si="962"/>
        <v/>
      </c>
      <c r="BF686" s="119" t="str">
        <f t="shared" si="963"/>
        <v/>
      </c>
      <c r="BG686" s="66" t="str">
        <f>+IF($W686="","",ROUND(IF($B686&gt;Parámetros!$D$107,'Tablas Servicio'!BE686+('Tablas Servicio'!BG685-'Tablas Servicio'!BE685),BE686/(1-IF(B686&lt;=10,Parámetros!$D$100,0))),2))</f>
        <v/>
      </c>
      <c r="BH686" s="66" t="str">
        <f t="shared" si="964"/>
        <v/>
      </c>
      <c r="BI686" s="66" t="str">
        <f t="shared" si="965"/>
        <v/>
      </c>
      <c r="BJ686" s="66" t="str">
        <f>+IF($W686="","",ROUND((BG686*Parámetros!$G$85),2))</f>
        <v/>
      </c>
      <c r="BK686" s="66" t="str">
        <f>+IF($W686="","",ROUND((BG686*(Parámetros!$G$86)),2))</f>
        <v/>
      </c>
      <c r="BL686" s="66" t="str">
        <f t="shared" si="966"/>
        <v/>
      </c>
      <c r="BM686" t="str">
        <f t="shared" si="919"/>
        <v/>
      </c>
      <c r="BN686" t="str">
        <f t="shared" si="920"/>
        <v/>
      </c>
      <c r="BO686" s="118" t="str">
        <f t="shared" si="921"/>
        <v/>
      </c>
      <c r="BP686" s="118" t="str">
        <f t="shared" si="922"/>
        <v/>
      </c>
      <c r="BQ686" s="119" t="str">
        <f>+IF(OR($W686="",BO686=0),"",ROUND((VLOOKUP(ROUNDDOWN($D686-1/frec,0),cob_adi,BB$40,FALSE)*(1+i/frec)^-0.5*(1+Parámetros!$D$103)*(1+rec_fracc)/frec),6))</f>
        <v/>
      </c>
      <c r="BR686" s="66" t="str">
        <f t="shared" si="967"/>
        <v/>
      </c>
      <c r="BS686" s="119" t="str">
        <f t="shared" si="968"/>
        <v/>
      </c>
      <c r="BT686" s="66" t="str">
        <f>+IF($W686="","",ROUND(IF($B686&gt;Parámetros!$D$107,'Tablas Servicio'!BR686+('Tablas Servicio'!BT685-'Tablas Servicio'!BR685),BR686/(1-IF(B686&lt;=10,Parámetros!$D$100,0))),2))</f>
        <v/>
      </c>
      <c r="BU686" s="66" t="str">
        <f t="shared" si="969"/>
        <v/>
      </c>
      <c r="BV686" s="66" t="str">
        <f t="shared" si="969"/>
        <v/>
      </c>
      <c r="BW686" s="66" t="str">
        <f>+IF($W686="","",ROUND((BT686*Parámetros!$G$85),2))</f>
        <v/>
      </c>
      <c r="BX686" s="66" t="str">
        <f>+IF($W686="","",ROUND((BT686*(Parámetros!$G$86)),2))</f>
        <v/>
      </c>
      <c r="BY686" s="66" t="str">
        <f t="shared" si="970"/>
        <v/>
      </c>
      <c r="BZ686" t="str">
        <f t="shared" si="923"/>
        <v/>
      </c>
      <c r="CA686" t="str">
        <f t="shared" si="924"/>
        <v/>
      </c>
      <c r="CB686" s="118" t="str">
        <f t="shared" si="925"/>
        <v/>
      </c>
      <c r="CC686" s="118" t="str">
        <f t="shared" si="926"/>
        <v/>
      </c>
      <c r="CD686" s="119" t="str">
        <f t="shared" si="971"/>
        <v/>
      </c>
      <c r="CE686" s="66" t="str">
        <f>+IF($W686="","",ROUND((VLOOKUP(ROUNDDOWN($D686-1/frec,0),cob_adi,BO$40,FALSE)*(1+i/frec)^-0.5*(1+Parámetros!$D$103)*(1+rec_fracc)/frec*'TABLAS ADI'!$BC$17),2))</f>
        <v/>
      </c>
      <c r="CF686" s="119" t="str">
        <f t="shared" si="972"/>
        <v/>
      </c>
      <c r="CG686" s="66" t="str">
        <f>+IF($W686="","",ROUND(IF($B686&gt;Parámetros!$D$107,'Tablas Servicio'!CE686+('Tablas Servicio'!CG685-'Tablas Servicio'!CE685),CE686/(1-IF(B686&lt;=10,Parámetros!$D$100,0))),2))</f>
        <v/>
      </c>
      <c r="CH686" s="66" t="str">
        <f t="shared" si="973"/>
        <v/>
      </c>
      <c r="CI686" s="66" t="str">
        <f t="shared" si="973"/>
        <v/>
      </c>
      <c r="CJ686" s="66" t="str">
        <f>+IF($W686="","",ROUND((CG686*Parámetros!$G$85),2))</f>
        <v/>
      </c>
      <c r="CK686" s="66" t="str">
        <f>+IF($W686="","",ROUND((CG686*(Parámetros!$G$86)),2))</f>
        <v/>
      </c>
      <c r="CL686" s="66" t="str">
        <f t="shared" si="974"/>
        <v/>
      </c>
      <c r="CM686" t="str">
        <f t="shared" si="927"/>
        <v/>
      </c>
      <c r="CN686" s="118" t="str">
        <f t="shared" si="928"/>
        <v/>
      </c>
      <c r="CO686" s="118" t="str">
        <f t="shared" si="929"/>
        <v/>
      </c>
      <c r="CP686" s="118" t="str">
        <f t="shared" si="930"/>
        <v/>
      </c>
      <c r="CQ686" s="119" t="str">
        <f t="shared" si="975"/>
        <v/>
      </c>
      <c r="CR686" s="66" t="str">
        <f>+IF($W686="","",ROUND((VLOOKUP(Parámetros!$F$51,'COBERTURAS ADICIONALES'!$S$4:$T$32,2,FALSE)*(1+i/frec)^-0.5*(1+Parámetros!$D$103)*(1+rec_fracc)/frec*$CO$42),2))</f>
        <v/>
      </c>
      <c r="CS686" s="119" t="str">
        <f t="shared" si="976"/>
        <v/>
      </c>
      <c r="CT686" s="66" t="str">
        <f>+IF($W686="","",ROUND(IF($B686&gt;Parámetros!$D$107,'Tablas Servicio'!CR686+('Tablas Servicio'!CT685-'Tablas Servicio'!CR685),CR686/(1-IF(B686&lt;=10,Parámetros!$D$100,0))),2))</f>
        <v/>
      </c>
      <c r="CU686" s="66" t="str">
        <f t="shared" si="977"/>
        <v/>
      </c>
      <c r="CV686" s="66" t="str">
        <f t="shared" si="977"/>
        <v/>
      </c>
      <c r="CW686" s="66" t="str">
        <f>+IF($W686="","",ROUND((CT686*Parámetros!$G$85),2))</f>
        <v/>
      </c>
      <c r="CX686" s="66" t="str">
        <f>+IF($W686="","",ROUND((CT686*(Parámetros!$G$86)),2))</f>
        <v/>
      </c>
      <c r="CY686" s="66" t="str">
        <f t="shared" si="978"/>
        <v/>
      </c>
      <c r="CZ686" t="str">
        <f t="shared" si="931"/>
        <v/>
      </c>
      <c r="DA686" s="118" t="str">
        <f t="shared" si="932"/>
        <v/>
      </c>
      <c r="DB686" s="118" t="str">
        <f t="shared" si="933"/>
        <v/>
      </c>
      <c r="DC686" s="118" t="str">
        <f t="shared" si="934"/>
        <v/>
      </c>
      <c r="DD686" s="121" t="str">
        <f>+IF(OR($W686="",DB686=0),"",ROUND((VLOOKUP(ROUNDDOWN($D686-1/frec,0),cob_adi,CO$40,FALSE)*(1+i/frec)^-0.5*(1+Parámetros!$D$103)*(1+rec_fracc)/frec),6))</f>
        <v/>
      </c>
      <c r="DE686" s="66" t="str">
        <f t="shared" si="979"/>
        <v/>
      </c>
      <c r="DF686" s="119" t="str">
        <f t="shared" si="980"/>
        <v/>
      </c>
      <c r="DG686" s="66" t="str">
        <f>+IF($W686="","",ROUND(IF($B686&gt;Parámetros!$D$107,'Tablas Servicio'!DE686+('Tablas Servicio'!DG685-'Tablas Servicio'!DE685),DE686/(1-IF(B686&lt;=10,Parámetros!$D$100,0))),2))</f>
        <v/>
      </c>
      <c r="DH686" s="66" t="str">
        <f t="shared" si="981"/>
        <v/>
      </c>
      <c r="DI686" s="66" t="str">
        <f t="shared" si="981"/>
        <v/>
      </c>
      <c r="DJ686" s="66" t="str">
        <f>+IF($W686="","",ROUND((DG686*Parámetros!$G$85),2))</f>
        <v/>
      </c>
      <c r="DK686" s="66" t="str">
        <f>+IF($W686="","",ROUND((DG686*(Parámetros!$G$86)),2))</f>
        <v/>
      </c>
      <c r="DL686" s="66" t="str">
        <f t="shared" si="982"/>
        <v/>
      </c>
      <c r="DM686" t="str">
        <f t="shared" si="935"/>
        <v/>
      </c>
      <c r="DN686" s="118" t="str">
        <f t="shared" si="936"/>
        <v/>
      </c>
      <c r="DO686" s="118" t="str">
        <f t="shared" si="937"/>
        <v/>
      </c>
      <c r="DP686" s="118" t="str">
        <f t="shared" si="938"/>
        <v/>
      </c>
      <c r="DQ686" s="122" t="str">
        <f>+IF(OR($W686="",DO686=0),"",ROUND((VLOOKUP(ROUNDDOWN($D686-1/frec,0),cob_adi,DB$40,FALSE)*(1+i/frec)^-0.5*(1+Parámetros!$D$103)*(1+rec_fracc)/frec),6))</f>
        <v/>
      </c>
      <c r="DR686" s="66" t="str">
        <f t="shared" si="983"/>
        <v/>
      </c>
      <c r="DS686" s="68" t="str">
        <f t="shared" si="984"/>
        <v/>
      </c>
      <c r="DT686" s="66" t="str">
        <f>+IF($W686="","",ROUND(IF($B686&gt;Parámetros!$D$107,'Tablas Servicio'!DR686+('Tablas Servicio'!DT685-'Tablas Servicio'!DR685),DR686/(1-IF(B686&lt;=10,Parámetros!$D$100,0))),2))</f>
        <v/>
      </c>
      <c r="DU686" s="66" t="str">
        <f t="shared" si="985"/>
        <v/>
      </c>
      <c r="DV686" s="66" t="str">
        <f t="shared" si="985"/>
        <v/>
      </c>
      <c r="DW686" s="66" t="str">
        <f>+IF($W686="","",ROUND((DT686*Parámetros!$G$85),2))</f>
        <v/>
      </c>
      <c r="DX686" s="66" t="str">
        <f>+IF($W686="","",ROUND((DT686*(Parámetros!$G$86)),2))</f>
        <v/>
      </c>
      <c r="DY686" s="66" t="str">
        <f t="shared" si="986"/>
        <v/>
      </c>
      <c r="DZ686" t="str">
        <f t="shared" si="987"/>
        <v/>
      </c>
      <c r="EA686" s="118" t="str">
        <f t="shared" si="987"/>
        <v/>
      </c>
      <c r="EB686" s="118" t="str">
        <f>+IF($W686="","",ROUND(IF(Parámetros!$D$25='TABLAS MORT'!$V$33,EB685,Z686/2),0))</f>
        <v/>
      </c>
      <c r="EC686" s="118" t="str">
        <f t="shared" si="987"/>
        <v/>
      </c>
      <c r="ED686" s="122" t="str">
        <f>+IF(OR($W686="",EB686=0),"",ROUND((VLOOKUP(ROUNDDOWN($D686-1/frec,0),cob_adi,DO$40,FALSE)*(1+i/frec)^-0.5*(1+Parámetros!$D$103)*(1+rec_fracc)/frec),6))</f>
        <v/>
      </c>
      <c r="EE686" s="66" t="str">
        <f t="shared" si="988"/>
        <v/>
      </c>
      <c r="EF686" s="68" t="str">
        <f t="shared" si="989"/>
        <v/>
      </c>
      <c r="EG686" s="66" t="str">
        <f>+IF($W686="","",ROUND(IF($B686&gt;Parámetros!$D$107,'Tablas Servicio'!EE686+('Tablas Servicio'!EG685-'Tablas Servicio'!EE685),EE686/(1-IF(B686&lt;=10,Parámetros!$D$100,0))),2))</f>
        <v/>
      </c>
      <c r="EH686" s="66" t="str">
        <f t="shared" si="990"/>
        <v/>
      </c>
      <c r="EI686" s="66" t="str">
        <f t="shared" si="990"/>
        <v/>
      </c>
      <c r="EJ686" s="66" t="str">
        <f>+IF($W686="","",ROUND((EG686*Parámetros!$G$85),2))</f>
        <v/>
      </c>
      <c r="EK686" s="66" t="str">
        <f>+IF($W686="","",ROUND((EG686*(Parámetros!$G$86)),2))</f>
        <v/>
      </c>
      <c r="EL686" s="66" t="str">
        <f t="shared" si="991"/>
        <v/>
      </c>
    </row>
    <row r="687" spans="1:142" x14ac:dyDescent="0.25">
      <c r="A687" t="str">
        <f>+IF($C687="","",ROUND(VLOOKUP('Tablas Servicio'!B687,Parámetros!$H$100:$J$159,IF(Parámetros!$E$16="F",2,3),FALSE),2))</f>
        <v/>
      </c>
      <c r="B687" t="str">
        <f t="shared" si="942"/>
        <v/>
      </c>
      <c r="C687" s="57" t="str">
        <f>+IF(D687="","",'Tablas Servicio'!C686+1)</f>
        <v/>
      </c>
      <c r="D687" s="56" t="str">
        <f>+IF(D686&lt;edadmaxtabla,D686+1/Parámetros!$E$25,"")</f>
        <v/>
      </c>
      <c r="E687" s="57" t="str">
        <f t="shared" si="952"/>
        <v/>
      </c>
      <c r="F687" s="59" t="str">
        <f t="shared" si="953"/>
        <v/>
      </c>
      <c r="G687" s="66" t="str">
        <f t="shared" si="943"/>
        <v/>
      </c>
      <c r="H687" s="66" t="str">
        <f t="shared" si="944"/>
        <v/>
      </c>
      <c r="I687" s="66" t="str">
        <f t="shared" si="904"/>
        <v/>
      </c>
      <c r="J687" s="66" t="str">
        <f t="shared" si="945"/>
        <v/>
      </c>
      <c r="K687" s="66" t="str">
        <f t="shared" si="946"/>
        <v/>
      </c>
      <c r="L687" s="66" t="str">
        <f t="shared" si="947"/>
        <v/>
      </c>
      <c r="M687" s="66" t="str">
        <f t="shared" si="948"/>
        <v/>
      </c>
      <c r="N687" s="66" t="str">
        <f>+IF(C687="","",ROUND(Parámetros!$D$23,2))</f>
        <v/>
      </c>
      <c r="O687" s="66" t="str">
        <f t="shared" si="949"/>
        <v/>
      </c>
      <c r="P687" s="66" t="str">
        <f>+IF($C687="","",ROUND(IF(B687&gt;Parámetros!$D$117,0,N687*Parámetros!$D$116-G687*Parámetros!$D$100),2))</f>
        <v/>
      </c>
      <c r="Q687" s="75" t="str">
        <f t="shared" si="905"/>
        <v/>
      </c>
      <c r="R687" s="75" t="str">
        <f t="shared" si="906"/>
        <v/>
      </c>
      <c r="S687" s="117" t="str">
        <f>+IF($C687="","",ROUND((S686+I687)*(1+Parámetros!$D$91),2))</f>
        <v/>
      </c>
      <c r="T687" s="117" t="str">
        <f>+IF($C687="","",ROUND(S687*VLOOKUP(B687,Parámetros!$C$30:$D$39,2,TRUE),2))</f>
        <v/>
      </c>
      <c r="U687" s="117" t="str">
        <f>+IF($C687="","",ROUND((U686+I687)*(1+Parámetros!$D$92),2))</f>
        <v/>
      </c>
      <c r="V687" s="117" t="str">
        <f>+IF($C687="","",ROUND(U687*VLOOKUP(B687,Parámetros!$C$30:$D$39,2,TRUE),2))</f>
        <v/>
      </c>
      <c r="W687" s="57" t="str">
        <f t="shared" si="907"/>
        <v/>
      </c>
      <c r="X687" t="str">
        <f t="shared" si="908"/>
        <v/>
      </c>
      <c r="Y687" t="str">
        <f t="shared" si="909"/>
        <v/>
      </c>
      <c r="Z687" s="118" t="str">
        <f>+IF($W687="","",ROUND(IF(Parámetros!$D$25='TABLAS MORT'!$V$33,Z686,Parámetros!$D$21-'Tablas Servicio'!T686),0))</f>
        <v/>
      </c>
      <c r="AA687" s="118" t="str">
        <f t="shared" si="910"/>
        <v/>
      </c>
      <c r="AB687" s="119" t="str">
        <f>+IF(W687="","",ROUND((VLOOKUP(ROUNDDOWN($D687-1/frec,0),qx_tabla,2,FALSE)*(1+i/frec)^-0.5*(1+Parámetros!$D$103)*(1+rec_fracc)/frec),6))</f>
        <v/>
      </c>
      <c r="AC687" s="66" t="str">
        <f t="shared" si="954"/>
        <v/>
      </c>
      <c r="AD687" s="119" t="str">
        <f t="shared" si="950"/>
        <v/>
      </c>
      <c r="AE687" s="66" t="str">
        <f>+IF($W687="","",ROUND(IF($B687&gt;Parámetros!$D$107,'Tablas Servicio'!AC687+('Tablas Servicio'!AG686-'Tablas Servicio'!AC686),AC687/(1-IF(B687&lt;=10,Parámetros!$D$104,Parámetros!$D$105))),2))</f>
        <v/>
      </c>
      <c r="AF687" s="66" t="str">
        <f>+IF($W687="","",ROUND(IF($B687&gt;Parámetros!$D$107,'Tablas Servicio'!AC687+('Tablas Servicio'!AG686-'Tablas Servicio'!AC686),(AC687+$A686/frec)/(1-IF(B687&lt;=Parámetros!$D$117,Parámetros!$D$100,0))),2))</f>
        <v/>
      </c>
      <c r="AG687" s="66" t="str">
        <f t="shared" si="955"/>
        <v/>
      </c>
      <c r="AH687" s="66" t="str">
        <f t="shared" si="956"/>
        <v/>
      </c>
      <c r="AI687" s="66" t="str">
        <f t="shared" si="957"/>
        <v/>
      </c>
      <c r="AJ687" s="66" t="str">
        <f>+IF($W687="","",ROUND((AG687*Parámetros!$G$85),2))</f>
        <v/>
      </c>
      <c r="AK687" s="66" t="str">
        <f>+IF($W687="","",ROUND((AG687*(Parámetros!$G$86)),2))</f>
        <v/>
      </c>
      <c r="AL687" s="66" t="str">
        <f t="shared" si="951"/>
        <v/>
      </c>
      <c r="AM687" t="str">
        <f t="shared" si="911"/>
        <v/>
      </c>
      <c r="AN687" t="str">
        <f t="shared" si="912"/>
        <v/>
      </c>
      <c r="AO687" s="118" t="str">
        <f t="shared" si="913"/>
        <v/>
      </c>
      <c r="AP687" s="118" t="str">
        <f t="shared" si="914"/>
        <v/>
      </c>
      <c r="AQ687" s="119" t="str">
        <f>+IF(OR($W687="",AO687=0),"",ROUND((VLOOKUP(ROUNDDOWN($D687-1/frec,0),cob_adi,Z$40,FALSE)*(1+i/frec)^-0.5*(1+Parámetros!$D$103)*(1+rec_fracc)/frec),6))</f>
        <v/>
      </c>
      <c r="AR687" s="66" t="str">
        <f t="shared" si="958"/>
        <v/>
      </c>
      <c r="AS687" s="119" t="str">
        <f t="shared" si="959"/>
        <v/>
      </c>
      <c r="AT687" s="66" t="str">
        <f>+IF($W687="","",ROUND(IF($B687&gt;Parámetros!$D$107,'Tablas Servicio'!AR687+('Tablas Servicio'!AT686-'Tablas Servicio'!AR686),AR687/(1-IF(B687&lt;=10,Parámetros!$D$100,0))),2))</f>
        <v/>
      </c>
      <c r="AU687" s="66" t="str">
        <f t="shared" si="960"/>
        <v/>
      </c>
      <c r="AV687" s="66" t="str">
        <f t="shared" si="960"/>
        <v/>
      </c>
      <c r="AW687" s="66" t="str">
        <f>+IF($W687="","",ROUND((AT687*Parámetros!$G$85),2))</f>
        <v/>
      </c>
      <c r="AX687" s="66" t="str">
        <f>+IF($W687="","",ROUND((AT687*(Parámetros!$G$86)),2))</f>
        <v/>
      </c>
      <c r="AY687" s="66" t="str">
        <f t="shared" si="961"/>
        <v/>
      </c>
      <c r="AZ687" t="str">
        <f t="shared" si="915"/>
        <v/>
      </c>
      <c r="BA687" t="str">
        <f t="shared" si="916"/>
        <v/>
      </c>
      <c r="BB687" s="118" t="str">
        <f t="shared" si="917"/>
        <v/>
      </c>
      <c r="BC687" s="118" t="str">
        <f t="shared" si="918"/>
        <v/>
      </c>
      <c r="BD687" s="119" t="str">
        <f>+IF(OR($W687="",BB687=0),"",ROUND((VLOOKUP(ROUNDDOWN($D687-1/frec,0),cob_adi,AO$40,FALSE)*(1+i/frec)^-0.5*(1+Parámetros!$D$103)*(1+rec_fracc)/frec),6))</f>
        <v/>
      </c>
      <c r="BE687" s="66" t="str">
        <f t="shared" si="962"/>
        <v/>
      </c>
      <c r="BF687" s="119" t="str">
        <f t="shared" si="963"/>
        <v/>
      </c>
      <c r="BG687" s="66" t="str">
        <f>+IF($W687="","",ROUND(IF($B687&gt;Parámetros!$D$107,'Tablas Servicio'!BE687+('Tablas Servicio'!BG686-'Tablas Servicio'!BE686),BE687/(1-IF(B687&lt;=10,Parámetros!$D$100,0))),2))</f>
        <v/>
      </c>
      <c r="BH687" s="66" t="str">
        <f t="shared" si="964"/>
        <v/>
      </c>
      <c r="BI687" s="66" t="str">
        <f t="shared" si="965"/>
        <v/>
      </c>
      <c r="BJ687" s="66" t="str">
        <f>+IF($W687="","",ROUND((BG687*Parámetros!$G$85),2))</f>
        <v/>
      </c>
      <c r="BK687" s="66" t="str">
        <f>+IF($W687="","",ROUND((BG687*(Parámetros!$G$86)),2))</f>
        <v/>
      </c>
      <c r="BL687" s="66" t="str">
        <f t="shared" si="966"/>
        <v/>
      </c>
      <c r="BM687" t="str">
        <f t="shared" si="919"/>
        <v/>
      </c>
      <c r="BN687" t="str">
        <f t="shared" si="920"/>
        <v/>
      </c>
      <c r="BO687" s="118" t="str">
        <f t="shared" si="921"/>
        <v/>
      </c>
      <c r="BP687" s="118" t="str">
        <f t="shared" si="922"/>
        <v/>
      </c>
      <c r="BQ687" s="119" t="str">
        <f>+IF(OR($W687="",BO687=0),"",ROUND((VLOOKUP(ROUNDDOWN($D687-1/frec,0),cob_adi,BB$40,FALSE)*(1+i/frec)^-0.5*(1+Parámetros!$D$103)*(1+rec_fracc)/frec),6))</f>
        <v/>
      </c>
      <c r="BR687" s="66" t="str">
        <f t="shared" si="967"/>
        <v/>
      </c>
      <c r="BS687" s="119" t="str">
        <f t="shared" si="968"/>
        <v/>
      </c>
      <c r="BT687" s="66" t="str">
        <f>+IF($W687="","",ROUND(IF($B687&gt;Parámetros!$D$107,'Tablas Servicio'!BR687+('Tablas Servicio'!BT686-'Tablas Servicio'!BR686),BR687/(1-IF(B687&lt;=10,Parámetros!$D$100,0))),2))</f>
        <v/>
      </c>
      <c r="BU687" s="66" t="str">
        <f t="shared" si="969"/>
        <v/>
      </c>
      <c r="BV687" s="66" t="str">
        <f t="shared" si="969"/>
        <v/>
      </c>
      <c r="BW687" s="66" t="str">
        <f>+IF($W687="","",ROUND((BT687*Parámetros!$G$85),2))</f>
        <v/>
      </c>
      <c r="BX687" s="66" t="str">
        <f>+IF($W687="","",ROUND((BT687*(Parámetros!$G$86)),2))</f>
        <v/>
      </c>
      <c r="BY687" s="66" t="str">
        <f t="shared" si="970"/>
        <v/>
      </c>
      <c r="BZ687" t="str">
        <f t="shared" si="923"/>
        <v/>
      </c>
      <c r="CA687" t="str">
        <f t="shared" si="924"/>
        <v/>
      </c>
      <c r="CB687" s="118" t="str">
        <f t="shared" si="925"/>
        <v/>
      </c>
      <c r="CC687" s="118" t="str">
        <f t="shared" si="926"/>
        <v/>
      </c>
      <c r="CD687" s="119" t="str">
        <f t="shared" si="971"/>
        <v/>
      </c>
      <c r="CE687" s="66" t="str">
        <f>+IF($W687="","",ROUND((VLOOKUP(ROUNDDOWN($D687-1/frec,0),cob_adi,BO$40,FALSE)*(1+i/frec)^-0.5*(1+Parámetros!$D$103)*(1+rec_fracc)/frec*'TABLAS ADI'!$BC$17),2))</f>
        <v/>
      </c>
      <c r="CF687" s="119" t="str">
        <f t="shared" si="972"/>
        <v/>
      </c>
      <c r="CG687" s="66" t="str">
        <f>+IF($W687="","",ROUND(IF($B687&gt;Parámetros!$D$107,'Tablas Servicio'!CE687+('Tablas Servicio'!CG686-'Tablas Servicio'!CE686),CE687/(1-IF(B687&lt;=10,Parámetros!$D$100,0))),2))</f>
        <v/>
      </c>
      <c r="CH687" s="66" t="str">
        <f t="shared" si="973"/>
        <v/>
      </c>
      <c r="CI687" s="66" t="str">
        <f t="shared" si="973"/>
        <v/>
      </c>
      <c r="CJ687" s="66" t="str">
        <f>+IF($W687="","",ROUND((CG687*Parámetros!$G$85),2))</f>
        <v/>
      </c>
      <c r="CK687" s="66" t="str">
        <f>+IF($W687="","",ROUND((CG687*(Parámetros!$G$86)),2))</f>
        <v/>
      </c>
      <c r="CL687" s="66" t="str">
        <f t="shared" si="974"/>
        <v/>
      </c>
      <c r="CM687" t="str">
        <f t="shared" si="927"/>
        <v/>
      </c>
      <c r="CN687" s="118" t="str">
        <f t="shared" si="928"/>
        <v/>
      </c>
      <c r="CO687" s="118" t="str">
        <f t="shared" si="929"/>
        <v/>
      </c>
      <c r="CP687" s="118" t="str">
        <f t="shared" si="930"/>
        <v/>
      </c>
      <c r="CQ687" s="119" t="str">
        <f t="shared" si="975"/>
        <v/>
      </c>
      <c r="CR687" s="66" t="str">
        <f>+IF($W687="","",ROUND((VLOOKUP(Parámetros!$F$51,'COBERTURAS ADICIONALES'!$S$4:$T$32,2,FALSE)*(1+i/frec)^-0.5*(1+Parámetros!$D$103)*(1+rec_fracc)/frec*$CO$42),2))</f>
        <v/>
      </c>
      <c r="CS687" s="119" t="str">
        <f t="shared" si="976"/>
        <v/>
      </c>
      <c r="CT687" s="66" t="str">
        <f>+IF($W687="","",ROUND(IF($B687&gt;Parámetros!$D$107,'Tablas Servicio'!CR687+('Tablas Servicio'!CT686-'Tablas Servicio'!CR686),CR687/(1-IF(B687&lt;=10,Parámetros!$D$100,0))),2))</f>
        <v/>
      </c>
      <c r="CU687" s="66" t="str">
        <f t="shared" si="977"/>
        <v/>
      </c>
      <c r="CV687" s="66" t="str">
        <f t="shared" si="977"/>
        <v/>
      </c>
      <c r="CW687" s="66" t="str">
        <f>+IF($W687="","",ROUND((CT687*Parámetros!$G$85),2))</f>
        <v/>
      </c>
      <c r="CX687" s="66" t="str">
        <f>+IF($W687="","",ROUND((CT687*(Parámetros!$G$86)),2))</f>
        <v/>
      </c>
      <c r="CY687" s="66" t="str">
        <f t="shared" si="978"/>
        <v/>
      </c>
      <c r="CZ687" t="str">
        <f t="shared" si="931"/>
        <v/>
      </c>
      <c r="DA687" s="118" t="str">
        <f t="shared" si="932"/>
        <v/>
      </c>
      <c r="DB687" s="118" t="str">
        <f t="shared" si="933"/>
        <v/>
      </c>
      <c r="DC687" s="118" t="str">
        <f t="shared" si="934"/>
        <v/>
      </c>
      <c r="DD687" s="121" t="str">
        <f>+IF(OR($W687="",DB687=0),"",ROUND((VLOOKUP(ROUNDDOWN($D687-1/frec,0),cob_adi,CO$40,FALSE)*(1+i/frec)^-0.5*(1+Parámetros!$D$103)*(1+rec_fracc)/frec),6))</f>
        <v/>
      </c>
      <c r="DE687" s="66" t="str">
        <f t="shared" si="979"/>
        <v/>
      </c>
      <c r="DF687" s="119" t="str">
        <f t="shared" si="980"/>
        <v/>
      </c>
      <c r="DG687" s="66" t="str">
        <f>+IF($W687="","",ROUND(IF($B687&gt;Parámetros!$D$107,'Tablas Servicio'!DE687+('Tablas Servicio'!DG686-'Tablas Servicio'!DE686),DE687/(1-IF(B687&lt;=10,Parámetros!$D$100,0))),2))</f>
        <v/>
      </c>
      <c r="DH687" s="66" t="str">
        <f t="shared" si="981"/>
        <v/>
      </c>
      <c r="DI687" s="66" t="str">
        <f t="shared" si="981"/>
        <v/>
      </c>
      <c r="DJ687" s="66" t="str">
        <f>+IF($W687="","",ROUND((DG687*Parámetros!$G$85),2))</f>
        <v/>
      </c>
      <c r="DK687" s="66" t="str">
        <f>+IF($W687="","",ROUND((DG687*(Parámetros!$G$86)),2))</f>
        <v/>
      </c>
      <c r="DL687" s="66" t="str">
        <f t="shared" si="982"/>
        <v/>
      </c>
      <c r="DM687" t="str">
        <f t="shared" si="935"/>
        <v/>
      </c>
      <c r="DN687" s="118" t="str">
        <f t="shared" si="936"/>
        <v/>
      </c>
      <c r="DO687" s="118" t="str">
        <f t="shared" si="937"/>
        <v/>
      </c>
      <c r="DP687" s="118" t="str">
        <f t="shared" si="938"/>
        <v/>
      </c>
      <c r="DQ687" s="122" t="str">
        <f>+IF(OR($W687="",DO687=0),"",ROUND((VLOOKUP(ROUNDDOWN($D687-1/frec,0),cob_adi,DB$40,FALSE)*(1+i/frec)^-0.5*(1+Parámetros!$D$103)*(1+rec_fracc)/frec),6))</f>
        <v/>
      </c>
      <c r="DR687" s="66" t="str">
        <f t="shared" si="983"/>
        <v/>
      </c>
      <c r="DS687" s="68" t="str">
        <f t="shared" si="984"/>
        <v/>
      </c>
      <c r="DT687" s="66" t="str">
        <f>+IF($W687="","",ROUND(IF($B687&gt;Parámetros!$D$107,'Tablas Servicio'!DR687+('Tablas Servicio'!DT686-'Tablas Servicio'!DR686),DR687/(1-IF(B687&lt;=10,Parámetros!$D$100,0))),2))</f>
        <v/>
      </c>
      <c r="DU687" s="66" t="str">
        <f t="shared" si="985"/>
        <v/>
      </c>
      <c r="DV687" s="66" t="str">
        <f t="shared" si="985"/>
        <v/>
      </c>
      <c r="DW687" s="66" t="str">
        <f>+IF($W687="","",ROUND((DT687*Parámetros!$G$85),2))</f>
        <v/>
      </c>
      <c r="DX687" s="66" t="str">
        <f>+IF($W687="","",ROUND((DT687*(Parámetros!$G$86)),2))</f>
        <v/>
      </c>
      <c r="DY687" s="66" t="str">
        <f t="shared" si="986"/>
        <v/>
      </c>
      <c r="DZ687" t="str">
        <f t="shared" si="987"/>
        <v/>
      </c>
      <c r="EA687" s="118" t="str">
        <f t="shared" si="987"/>
        <v/>
      </c>
      <c r="EB687" s="118" t="str">
        <f>+IF($W687="","",ROUND(IF(Parámetros!$D$25='TABLAS MORT'!$V$33,EB686,Z687/2),0))</f>
        <v/>
      </c>
      <c r="EC687" s="118" t="str">
        <f t="shared" si="987"/>
        <v/>
      </c>
      <c r="ED687" s="122" t="str">
        <f>+IF(OR($W687="",EB687=0),"",ROUND((VLOOKUP(ROUNDDOWN($D687-1/frec,0),cob_adi,DO$40,FALSE)*(1+i/frec)^-0.5*(1+Parámetros!$D$103)*(1+rec_fracc)/frec),6))</f>
        <v/>
      </c>
      <c r="EE687" s="66" t="str">
        <f t="shared" si="988"/>
        <v/>
      </c>
      <c r="EF687" s="68" t="str">
        <f t="shared" si="989"/>
        <v/>
      </c>
      <c r="EG687" s="66" t="str">
        <f>+IF($W687="","",ROUND(IF($B687&gt;Parámetros!$D$107,'Tablas Servicio'!EE687+('Tablas Servicio'!EG686-'Tablas Servicio'!EE686),EE687/(1-IF(B687&lt;=10,Parámetros!$D$100,0))),2))</f>
        <v/>
      </c>
      <c r="EH687" s="66" t="str">
        <f t="shared" si="990"/>
        <v/>
      </c>
      <c r="EI687" s="66" t="str">
        <f t="shared" si="990"/>
        <v/>
      </c>
      <c r="EJ687" s="66" t="str">
        <f>+IF($W687="","",ROUND((EG687*Parámetros!$G$85),2))</f>
        <v/>
      </c>
      <c r="EK687" s="66" t="str">
        <f>+IF($W687="","",ROUND((EG687*(Parámetros!$G$86)),2))</f>
        <v/>
      </c>
      <c r="EL687" s="66" t="str">
        <f t="shared" si="991"/>
        <v/>
      </c>
    </row>
    <row r="688" spans="1:142" x14ac:dyDescent="0.25">
      <c r="A688" t="str">
        <f>+IF($C688="","",ROUND(VLOOKUP('Tablas Servicio'!B688,Parámetros!$H$100:$J$159,IF(Parámetros!$E$16="F",2,3),FALSE),2))</f>
        <v/>
      </c>
      <c r="B688" t="str">
        <f t="shared" si="942"/>
        <v/>
      </c>
      <c r="C688" s="57" t="str">
        <f>+IF(D688="","",'Tablas Servicio'!C687+1)</f>
        <v/>
      </c>
      <c r="D688" s="56" t="str">
        <f>+IF(D687&lt;edadmaxtabla,D687+1/Parámetros!$E$25,"")</f>
        <v/>
      </c>
      <c r="E688" s="57" t="str">
        <f t="shared" si="952"/>
        <v/>
      </c>
      <c r="F688" s="59" t="str">
        <f t="shared" si="953"/>
        <v/>
      </c>
      <c r="G688" s="66" t="str">
        <f t="shared" si="943"/>
        <v/>
      </c>
      <c r="H688" s="66" t="str">
        <f t="shared" si="944"/>
        <v/>
      </c>
      <c r="I688" s="66" t="str">
        <f t="shared" si="904"/>
        <v/>
      </c>
      <c r="J688" s="66" t="str">
        <f t="shared" si="945"/>
        <v/>
      </c>
      <c r="K688" s="66" t="str">
        <f t="shared" si="946"/>
        <v/>
      </c>
      <c r="L688" s="66" t="str">
        <f t="shared" si="947"/>
        <v/>
      </c>
      <c r="M688" s="66" t="str">
        <f t="shared" si="948"/>
        <v/>
      </c>
      <c r="N688" s="66" t="str">
        <f>+IF(C688="","",ROUND(Parámetros!$D$23,2))</f>
        <v/>
      </c>
      <c r="O688" s="66" t="str">
        <f t="shared" si="949"/>
        <v/>
      </c>
      <c r="P688" s="66" t="str">
        <f>+IF($C688="","",ROUND(IF(B688&gt;Parámetros!$D$117,0,N688*Parámetros!$D$116-G688*Parámetros!$D$100),2))</f>
        <v/>
      </c>
      <c r="Q688" s="75" t="str">
        <f t="shared" si="905"/>
        <v/>
      </c>
      <c r="R688" s="75" t="str">
        <f t="shared" si="906"/>
        <v/>
      </c>
      <c r="S688" s="117" t="str">
        <f>+IF($C688="","",ROUND((S687+I688)*(1+Parámetros!$D$91),2))</f>
        <v/>
      </c>
      <c r="T688" s="117" t="str">
        <f>+IF($C688="","",ROUND(S688*VLOOKUP(B688,Parámetros!$C$30:$D$39,2,TRUE),2))</f>
        <v/>
      </c>
      <c r="U688" s="117" t="str">
        <f>+IF($C688="","",ROUND((U687+I688)*(1+Parámetros!$D$92),2))</f>
        <v/>
      </c>
      <c r="V688" s="117" t="str">
        <f>+IF($C688="","",ROUND(U688*VLOOKUP(B688,Parámetros!$C$30:$D$39,2,TRUE),2))</f>
        <v/>
      </c>
      <c r="W688" s="57" t="str">
        <f t="shared" si="907"/>
        <v/>
      </c>
      <c r="X688" t="str">
        <f t="shared" si="908"/>
        <v/>
      </c>
      <c r="Y688" t="str">
        <f t="shared" si="909"/>
        <v/>
      </c>
      <c r="Z688" s="118" t="str">
        <f>+IF($W688="","",ROUND(IF(Parámetros!$D$25='TABLAS MORT'!$V$33,Z687,Parámetros!$D$21-'Tablas Servicio'!T687),0))</f>
        <v/>
      </c>
      <c r="AA688" s="118" t="str">
        <f t="shared" si="910"/>
        <v/>
      </c>
      <c r="AB688" s="119" t="str">
        <f>+IF(W688="","",ROUND((VLOOKUP(ROUNDDOWN($D688-1/frec,0),qx_tabla,2,FALSE)*(1+i/frec)^-0.5*(1+Parámetros!$D$103)*(1+rec_fracc)/frec),6))</f>
        <v/>
      </c>
      <c r="AC688" s="66" t="str">
        <f t="shared" si="954"/>
        <v/>
      </c>
      <c r="AD688" s="119" t="str">
        <f t="shared" si="950"/>
        <v/>
      </c>
      <c r="AE688" s="66" t="str">
        <f>+IF($W688="","",ROUND(IF($B688&gt;Parámetros!$D$107,'Tablas Servicio'!AC688+('Tablas Servicio'!AG687-'Tablas Servicio'!AC687),AC688/(1-IF(B688&lt;=10,Parámetros!$D$104,Parámetros!$D$105))),2))</f>
        <v/>
      </c>
      <c r="AF688" s="66" t="str">
        <f>+IF($W688="","",ROUND(IF($B688&gt;Parámetros!$D$107,'Tablas Servicio'!AC688+('Tablas Servicio'!AG687-'Tablas Servicio'!AC687),(AC688+$A687/frec)/(1-IF(B688&lt;=Parámetros!$D$117,Parámetros!$D$100,0))),2))</f>
        <v/>
      </c>
      <c r="AG688" s="66" t="str">
        <f t="shared" si="955"/>
        <v/>
      </c>
      <c r="AH688" s="66" t="str">
        <f t="shared" si="956"/>
        <v/>
      </c>
      <c r="AI688" s="66" t="str">
        <f t="shared" si="957"/>
        <v/>
      </c>
      <c r="AJ688" s="66" t="str">
        <f>+IF($W688="","",ROUND((AG688*Parámetros!$G$85),2))</f>
        <v/>
      </c>
      <c r="AK688" s="66" t="str">
        <f>+IF($W688="","",ROUND((AG688*(Parámetros!$G$86)),2))</f>
        <v/>
      </c>
      <c r="AL688" s="66" t="str">
        <f t="shared" si="951"/>
        <v/>
      </c>
      <c r="AM688" t="str">
        <f t="shared" si="911"/>
        <v/>
      </c>
      <c r="AN688" t="str">
        <f t="shared" si="912"/>
        <v/>
      </c>
      <c r="AO688" s="118" t="str">
        <f t="shared" si="913"/>
        <v/>
      </c>
      <c r="AP688" s="118" t="str">
        <f t="shared" si="914"/>
        <v/>
      </c>
      <c r="AQ688" s="119" t="str">
        <f>+IF(OR($W688="",AO688=0),"",ROUND((VLOOKUP(ROUNDDOWN($D688-1/frec,0),cob_adi,Z$40,FALSE)*(1+i/frec)^-0.5*(1+Parámetros!$D$103)*(1+rec_fracc)/frec),6))</f>
        <v/>
      </c>
      <c r="AR688" s="66" t="str">
        <f t="shared" si="958"/>
        <v/>
      </c>
      <c r="AS688" s="119" t="str">
        <f t="shared" si="959"/>
        <v/>
      </c>
      <c r="AT688" s="66" t="str">
        <f>+IF($W688="","",ROUND(IF($B688&gt;Parámetros!$D$107,'Tablas Servicio'!AR688+('Tablas Servicio'!AT687-'Tablas Servicio'!AR687),AR688/(1-IF(B688&lt;=10,Parámetros!$D$100,0))),2))</f>
        <v/>
      </c>
      <c r="AU688" s="66" t="str">
        <f t="shared" si="960"/>
        <v/>
      </c>
      <c r="AV688" s="66" t="str">
        <f t="shared" si="960"/>
        <v/>
      </c>
      <c r="AW688" s="66" t="str">
        <f>+IF($W688="","",ROUND((AT688*Parámetros!$G$85),2))</f>
        <v/>
      </c>
      <c r="AX688" s="66" t="str">
        <f>+IF($W688="","",ROUND((AT688*(Parámetros!$G$86)),2))</f>
        <v/>
      </c>
      <c r="AY688" s="66" t="str">
        <f t="shared" si="961"/>
        <v/>
      </c>
      <c r="AZ688" t="str">
        <f t="shared" si="915"/>
        <v/>
      </c>
      <c r="BA688" t="str">
        <f t="shared" si="916"/>
        <v/>
      </c>
      <c r="BB688" s="118" t="str">
        <f t="shared" si="917"/>
        <v/>
      </c>
      <c r="BC688" s="118" t="str">
        <f t="shared" si="918"/>
        <v/>
      </c>
      <c r="BD688" s="119" t="str">
        <f>+IF(OR($W688="",BB688=0),"",ROUND((VLOOKUP(ROUNDDOWN($D688-1/frec,0),cob_adi,AO$40,FALSE)*(1+i/frec)^-0.5*(1+Parámetros!$D$103)*(1+rec_fracc)/frec),6))</f>
        <v/>
      </c>
      <c r="BE688" s="66" t="str">
        <f t="shared" si="962"/>
        <v/>
      </c>
      <c r="BF688" s="119" t="str">
        <f t="shared" si="963"/>
        <v/>
      </c>
      <c r="BG688" s="66" t="str">
        <f>+IF($W688="","",ROUND(IF($B688&gt;Parámetros!$D$107,'Tablas Servicio'!BE688+('Tablas Servicio'!BG687-'Tablas Servicio'!BE687),BE688/(1-IF(B688&lt;=10,Parámetros!$D$100,0))),2))</f>
        <v/>
      </c>
      <c r="BH688" s="66" t="str">
        <f t="shared" si="964"/>
        <v/>
      </c>
      <c r="BI688" s="66" t="str">
        <f t="shared" si="965"/>
        <v/>
      </c>
      <c r="BJ688" s="66" t="str">
        <f>+IF($W688="","",ROUND((BG688*Parámetros!$G$85),2))</f>
        <v/>
      </c>
      <c r="BK688" s="66" t="str">
        <f>+IF($W688="","",ROUND((BG688*(Parámetros!$G$86)),2))</f>
        <v/>
      </c>
      <c r="BL688" s="66" t="str">
        <f t="shared" si="966"/>
        <v/>
      </c>
      <c r="BM688" t="str">
        <f t="shared" si="919"/>
        <v/>
      </c>
      <c r="BN688" t="str">
        <f t="shared" si="920"/>
        <v/>
      </c>
      <c r="BO688" s="118" t="str">
        <f t="shared" si="921"/>
        <v/>
      </c>
      <c r="BP688" s="118" t="str">
        <f t="shared" si="922"/>
        <v/>
      </c>
      <c r="BQ688" s="119" t="str">
        <f>+IF(OR($W688="",BO688=0),"",ROUND((VLOOKUP(ROUNDDOWN($D688-1/frec,0),cob_adi,BB$40,FALSE)*(1+i/frec)^-0.5*(1+Parámetros!$D$103)*(1+rec_fracc)/frec),6))</f>
        <v/>
      </c>
      <c r="BR688" s="66" t="str">
        <f t="shared" si="967"/>
        <v/>
      </c>
      <c r="BS688" s="119" t="str">
        <f t="shared" si="968"/>
        <v/>
      </c>
      <c r="BT688" s="66" t="str">
        <f>+IF($W688="","",ROUND(IF($B688&gt;Parámetros!$D$107,'Tablas Servicio'!BR688+('Tablas Servicio'!BT687-'Tablas Servicio'!BR687),BR688/(1-IF(B688&lt;=10,Parámetros!$D$100,0))),2))</f>
        <v/>
      </c>
      <c r="BU688" s="66" t="str">
        <f t="shared" si="969"/>
        <v/>
      </c>
      <c r="BV688" s="66" t="str">
        <f t="shared" si="969"/>
        <v/>
      </c>
      <c r="BW688" s="66" t="str">
        <f>+IF($W688="","",ROUND((BT688*Parámetros!$G$85),2))</f>
        <v/>
      </c>
      <c r="BX688" s="66" t="str">
        <f>+IF($W688="","",ROUND((BT688*(Parámetros!$G$86)),2))</f>
        <v/>
      </c>
      <c r="BY688" s="66" t="str">
        <f t="shared" si="970"/>
        <v/>
      </c>
      <c r="BZ688" t="str">
        <f t="shared" si="923"/>
        <v/>
      </c>
      <c r="CA688" t="str">
        <f t="shared" si="924"/>
        <v/>
      </c>
      <c r="CB688" s="118" t="str">
        <f t="shared" si="925"/>
        <v/>
      </c>
      <c r="CC688" s="118" t="str">
        <f t="shared" si="926"/>
        <v/>
      </c>
      <c r="CD688" s="119" t="str">
        <f t="shared" si="971"/>
        <v/>
      </c>
      <c r="CE688" s="66" t="str">
        <f>+IF($W688="","",ROUND((VLOOKUP(ROUNDDOWN($D688-1/frec,0),cob_adi,BO$40,FALSE)*(1+i/frec)^-0.5*(1+Parámetros!$D$103)*(1+rec_fracc)/frec*'TABLAS ADI'!$BC$17),2))</f>
        <v/>
      </c>
      <c r="CF688" s="119" t="str">
        <f t="shared" si="972"/>
        <v/>
      </c>
      <c r="CG688" s="66" t="str">
        <f>+IF($W688="","",ROUND(IF($B688&gt;Parámetros!$D$107,'Tablas Servicio'!CE688+('Tablas Servicio'!CG687-'Tablas Servicio'!CE687),CE688/(1-IF(B688&lt;=10,Parámetros!$D$100,0))),2))</f>
        <v/>
      </c>
      <c r="CH688" s="66" t="str">
        <f t="shared" si="973"/>
        <v/>
      </c>
      <c r="CI688" s="66" t="str">
        <f t="shared" si="973"/>
        <v/>
      </c>
      <c r="CJ688" s="66" t="str">
        <f>+IF($W688="","",ROUND((CG688*Parámetros!$G$85),2))</f>
        <v/>
      </c>
      <c r="CK688" s="66" t="str">
        <f>+IF($W688="","",ROUND((CG688*(Parámetros!$G$86)),2))</f>
        <v/>
      </c>
      <c r="CL688" s="66" t="str">
        <f t="shared" si="974"/>
        <v/>
      </c>
      <c r="CM688" t="str">
        <f t="shared" si="927"/>
        <v/>
      </c>
      <c r="CN688" s="118" t="str">
        <f t="shared" si="928"/>
        <v/>
      </c>
      <c r="CO688" s="118" t="str">
        <f t="shared" si="929"/>
        <v/>
      </c>
      <c r="CP688" s="118" t="str">
        <f t="shared" si="930"/>
        <v/>
      </c>
      <c r="CQ688" s="119" t="str">
        <f t="shared" si="975"/>
        <v/>
      </c>
      <c r="CR688" s="66" t="str">
        <f>+IF($W688="","",ROUND((VLOOKUP(Parámetros!$F$51,'COBERTURAS ADICIONALES'!$S$4:$T$32,2,FALSE)*(1+i/frec)^-0.5*(1+Parámetros!$D$103)*(1+rec_fracc)/frec*$CO$42),2))</f>
        <v/>
      </c>
      <c r="CS688" s="119" t="str">
        <f t="shared" si="976"/>
        <v/>
      </c>
      <c r="CT688" s="66" t="str">
        <f>+IF($W688="","",ROUND(IF($B688&gt;Parámetros!$D$107,'Tablas Servicio'!CR688+('Tablas Servicio'!CT687-'Tablas Servicio'!CR687),CR688/(1-IF(B688&lt;=10,Parámetros!$D$100,0))),2))</f>
        <v/>
      </c>
      <c r="CU688" s="66" t="str">
        <f t="shared" si="977"/>
        <v/>
      </c>
      <c r="CV688" s="66" t="str">
        <f t="shared" si="977"/>
        <v/>
      </c>
      <c r="CW688" s="66" t="str">
        <f>+IF($W688="","",ROUND((CT688*Parámetros!$G$85),2))</f>
        <v/>
      </c>
      <c r="CX688" s="66" t="str">
        <f>+IF($W688="","",ROUND((CT688*(Parámetros!$G$86)),2))</f>
        <v/>
      </c>
      <c r="CY688" s="66" t="str">
        <f t="shared" si="978"/>
        <v/>
      </c>
      <c r="CZ688" t="str">
        <f t="shared" si="931"/>
        <v/>
      </c>
      <c r="DA688" s="118" t="str">
        <f t="shared" si="932"/>
        <v/>
      </c>
      <c r="DB688" s="118" t="str">
        <f t="shared" si="933"/>
        <v/>
      </c>
      <c r="DC688" s="118" t="str">
        <f t="shared" si="934"/>
        <v/>
      </c>
      <c r="DD688" s="121" t="str">
        <f>+IF(OR($W688="",DB688=0),"",ROUND((VLOOKUP(ROUNDDOWN($D688-1/frec,0),cob_adi,CO$40,FALSE)*(1+i/frec)^-0.5*(1+Parámetros!$D$103)*(1+rec_fracc)/frec),6))</f>
        <v/>
      </c>
      <c r="DE688" s="66" t="str">
        <f t="shared" si="979"/>
        <v/>
      </c>
      <c r="DF688" s="119" t="str">
        <f t="shared" si="980"/>
        <v/>
      </c>
      <c r="DG688" s="66" t="str">
        <f>+IF($W688="","",ROUND(IF($B688&gt;Parámetros!$D$107,'Tablas Servicio'!DE688+('Tablas Servicio'!DG687-'Tablas Servicio'!DE687),DE688/(1-IF(B688&lt;=10,Parámetros!$D$100,0))),2))</f>
        <v/>
      </c>
      <c r="DH688" s="66" t="str">
        <f t="shared" si="981"/>
        <v/>
      </c>
      <c r="DI688" s="66" t="str">
        <f t="shared" si="981"/>
        <v/>
      </c>
      <c r="DJ688" s="66" t="str">
        <f>+IF($W688="","",ROUND((DG688*Parámetros!$G$85),2))</f>
        <v/>
      </c>
      <c r="DK688" s="66" t="str">
        <f>+IF($W688="","",ROUND((DG688*(Parámetros!$G$86)),2))</f>
        <v/>
      </c>
      <c r="DL688" s="66" t="str">
        <f t="shared" si="982"/>
        <v/>
      </c>
      <c r="DM688" t="str">
        <f t="shared" si="935"/>
        <v/>
      </c>
      <c r="DN688" s="118" t="str">
        <f t="shared" si="936"/>
        <v/>
      </c>
      <c r="DO688" s="118" t="str">
        <f t="shared" si="937"/>
        <v/>
      </c>
      <c r="DP688" s="118" t="str">
        <f t="shared" si="938"/>
        <v/>
      </c>
      <c r="DQ688" s="122" t="str">
        <f>+IF(OR($W688="",DO688=0),"",ROUND((VLOOKUP(ROUNDDOWN($D688-1/frec,0),cob_adi,DB$40,FALSE)*(1+i/frec)^-0.5*(1+Parámetros!$D$103)*(1+rec_fracc)/frec),6))</f>
        <v/>
      </c>
      <c r="DR688" s="66" t="str">
        <f t="shared" si="983"/>
        <v/>
      </c>
      <c r="DS688" s="68" t="str">
        <f t="shared" si="984"/>
        <v/>
      </c>
      <c r="DT688" s="66" t="str">
        <f>+IF($W688="","",ROUND(IF($B688&gt;Parámetros!$D$107,'Tablas Servicio'!DR688+('Tablas Servicio'!DT687-'Tablas Servicio'!DR687),DR688/(1-IF(B688&lt;=10,Parámetros!$D$100,0))),2))</f>
        <v/>
      </c>
      <c r="DU688" s="66" t="str">
        <f t="shared" si="985"/>
        <v/>
      </c>
      <c r="DV688" s="66" t="str">
        <f t="shared" si="985"/>
        <v/>
      </c>
      <c r="DW688" s="66" t="str">
        <f>+IF($W688="","",ROUND((DT688*Parámetros!$G$85),2))</f>
        <v/>
      </c>
      <c r="DX688" s="66" t="str">
        <f>+IF($W688="","",ROUND((DT688*(Parámetros!$G$86)),2))</f>
        <v/>
      </c>
      <c r="DY688" s="66" t="str">
        <f t="shared" si="986"/>
        <v/>
      </c>
      <c r="DZ688" t="str">
        <f t="shared" si="987"/>
        <v/>
      </c>
      <c r="EA688" s="118" t="str">
        <f t="shared" si="987"/>
        <v/>
      </c>
      <c r="EB688" s="118" t="str">
        <f>+IF($W688="","",ROUND(IF(Parámetros!$D$25='TABLAS MORT'!$V$33,EB687,Z688/2),0))</f>
        <v/>
      </c>
      <c r="EC688" s="118" t="str">
        <f t="shared" si="987"/>
        <v/>
      </c>
      <c r="ED688" s="122" t="str">
        <f>+IF(OR($W688="",EB688=0),"",ROUND((VLOOKUP(ROUNDDOWN($D688-1/frec,0),cob_adi,DO$40,FALSE)*(1+i/frec)^-0.5*(1+Parámetros!$D$103)*(1+rec_fracc)/frec),6))</f>
        <v/>
      </c>
      <c r="EE688" s="66" t="str">
        <f t="shared" si="988"/>
        <v/>
      </c>
      <c r="EF688" s="68" t="str">
        <f t="shared" si="989"/>
        <v/>
      </c>
      <c r="EG688" s="66" t="str">
        <f>+IF($W688="","",ROUND(IF($B688&gt;Parámetros!$D$107,'Tablas Servicio'!EE688+('Tablas Servicio'!EG687-'Tablas Servicio'!EE687),EE688/(1-IF(B688&lt;=10,Parámetros!$D$100,0))),2))</f>
        <v/>
      </c>
      <c r="EH688" s="66" t="str">
        <f t="shared" si="990"/>
        <v/>
      </c>
      <c r="EI688" s="66" t="str">
        <f t="shared" si="990"/>
        <v/>
      </c>
      <c r="EJ688" s="66" t="str">
        <f>+IF($W688="","",ROUND((EG688*Parámetros!$G$85),2))</f>
        <v/>
      </c>
      <c r="EK688" s="66" t="str">
        <f>+IF($W688="","",ROUND((EG688*(Parámetros!$G$86)),2))</f>
        <v/>
      </c>
      <c r="EL688" s="66" t="str">
        <f t="shared" si="991"/>
        <v/>
      </c>
    </row>
    <row r="689" spans="1:142" x14ac:dyDescent="0.25">
      <c r="A689" t="str">
        <f>+IF($C689="","",ROUND(VLOOKUP('Tablas Servicio'!B689,Parámetros!$H$100:$J$159,IF(Parámetros!$E$16="F",2,3),FALSE),2))</f>
        <v/>
      </c>
      <c r="B689" t="str">
        <f t="shared" si="942"/>
        <v/>
      </c>
      <c r="C689" s="57" t="str">
        <f>+IF(D689="","",'Tablas Servicio'!C688+1)</f>
        <v/>
      </c>
      <c r="D689" s="56" t="str">
        <f>+IF(D688&lt;edadmaxtabla,D688+1/Parámetros!$E$25,"")</f>
        <v/>
      </c>
      <c r="E689" s="57" t="str">
        <f t="shared" si="952"/>
        <v/>
      </c>
      <c r="F689" s="59" t="str">
        <f t="shared" si="953"/>
        <v/>
      </c>
      <c r="G689" s="66" t="str">
        <f t="shared" si="943"/>
        <v/>
      </c>
      <c r="H689" s="66" t="str">
        <f t="shared" si="944"/>
        <v/>
      </c>
      <c r="I689" s="66" t="str">
        <f t="shared" si="904"/>
        <v/>
      </c>
      <c r="J689" s="66" t="str">
        <f t="shared" si="945"/>
        <v/>
      </c>
      <c r="K689" s="66" t="str">
        <f t="shared" si="946"/>
        <v/>
      </c>
      <c r="L689" s="66" t="str">
        <f t="shared" si="947"/>
        <v/>
      </c>
      <c r="M689" s="66" t="str">
        <f t="shared" si="948"/>
        <v/>
      </c>
      <c r="N689" s="66" t="str">
        <f>+IF(C689="","",ROUND(Parámetros!$D$23,2))</f>
        <v/>
      </c>
      <c r="O689" s="66" t="str">
        <f t="shared" si="949"/>
        <v/>
      </c>
      <c r="P689" s="66" t="str">
        <f>+IF($C689="","",ROUND(IF(B689&gt;Parámetros!$D$117,0,N689*Parámetros!$D$116-G689*Parámetros!$D$100),2))</f>
        <v/>
      </c>
      <c r="Q689" s="75" t="str">
        <f t="shared" si="905"/>
        <v/>
      </c>
      <c r="R689" s="75" t="str">
        <f t="shared" si="906"/>
        <v/>
      </c>
      <c r="S689" s="117" t="str">
        <f>+IF($C689="","",ROUND((S688+I689)*(1+Parámetros!$D$91),2))</f>
        <v/>
      </c>
      <c r="T689" s="117" t="str">
        <f>+IF($C689="","",ROUND(S689*VLOOKUP(B689,Parámetros!$C$30:$D$39,2,TRUE),2))</f>
        <v/>
      </c>
      <c r="U689" s="117" t="str">
        <f>+IF($C689="","",ROUND((U688+I689)*(1+Parámetros!$D$92),2))</f>
        <v/>
      </c>
      <c r="V689" s="117" t="str">
        <f>+IF($C689="","",ROUND(U689*VLOOKUP(B689,Parámetros!$C$30:$D$39,2,TRUE),2))</f>
        <v/>
      </c>
      <c r="W689" s="57" t="str">
        <f t="shared" si="907"/>
        <v/>
      </c>
      <c r="X689" t="str">
        <f t="shared" si="908"/>
        <v/>
      </c>
      <c r="Y689" t="str">
        <f t="shared" si="909"/>
        <v/>
      </c>
      <c r="Z689" s="118" t="str">
        <f>+IF($W689="","",ROUND(IF(Parámetros!$D$25='TABLAS MORT'!$V$33,Z688,Parámetros!$D$21-'Tablas Servicio'!T688),0))</f>
        <v/>
      </c>
      <c r="AA689" s="118" t="str">
        <f t="shared" si="910"/>
        <v/>
      </c>
      <c r="AB689" s="119" t="str">
        <f>+IF(W689="","",ROUND((VLOOKUP(ROUNDDOWN($D689-1/frec,0),qx_tabla,2,FALSE)*(1+i/frec)^-0.5*(1+Parámetros!$D$103)*(1+rec_fracc)/frec),6))</f>
        <v/>
      </c>
      <c r="AC689" s="66" t="str">
        <f t="shared" si="954"/>
        <v/>
      </c>
      <c r="AD689" s="119" t="str">
        <f t="shared" si="950"/>
        <v/>
      </c>
      <c r="AE689" s="66" t="str">
        <f>+IF($W689="","",ROUND(IF($B689&gt;Parámetros!$D$107,'Tablas Servicio'!AC689+('Tablas Servicio'!AG688-'Tablas Servicio'!AC688),AC689/(1-IF(B689&lt;=10,Parámetros!$D$104,Parámetros!$D$105))),2))</f>
        <v/>
      </c>
      <c r="AF689" s="66" t="str">
        <f>+IF($W689="","",ROUND(IF($B689&gt;Parámetros!$D$107,'Tablas Servicio'!AC689+('Tablas Servicio'!AG688-'Tablas Servicio'!AC688),(AC689+$A688/frec)/(1-IF(B689&lt;=Parámetros!$D$117,Parámetros!$D$100,0))),2))</f>
        <v/>
      </c>
      <c r="AG689" s="66" t="str">
        <f t="shared" si="955"/>
        <v/>
      </c>
      <c r="AH689" s="66" t="str">
        <f t="shared" si="956"/>
        <v/>
      </c>
      <c r="AI689" s="66" t="str">
        <f t="shared" si="957"/>
        <v/>
      </c>
      <c r="AJ689" s="66" t="str">
        <f>+IF($W689="","",ROUND((AG689*Parámetros!$G$85),2))</f>
        <v/>
      </c>
      <c r="AK689" s="66" t="str">
        <f>+IF($W689="","",ROUND((AG689*(Parámetros!$G$86)),2))</f>
        <v/>
      </c>
      <c r="AL689" s="66" t="str">
        <f t="shared" si="951"/>
        <v/>
      </c>
      <c r="AM689" t="str">
        <f t="shared" si="911"/>
        <v/>
      </c>
      <c r="AN689" t="str">
        <f t="shared" si="912"/>
        <v/>
      </c>
      <c r="AO689" s="118" t="str">
        <f t="shared" si="913"/>
        <v/>
      </c>
      <c r="AP689" s="118" t="str">
        <f t="shared" si="914"/>
        <v/>
      </c>
      <c r="AQ689" s="119" t="str">
        <f>+IF(OR($W689="",AO689=0),"",ROUND((VLOOKUP(ROUNDDOWN($D689-1/frec,0),cob_adi,Z$40,FALSE)*(1+i/frec)^-0.5*(1+Parámetros!$D$103)*(1+rec_fracc)/frec),6))</f>
        <v/>
      </c>
      <c r="AR689" s="66" t="str">
        <f t="shared" si="958"/>
        <v/>
      </c>
      <c r="AS689" s="119" t="str">
        <f t="shared" si="959"/>
        <v/>
      </c>
      <c r="AT689" s="66" t="str">
        <f>+IF($W689="","",ROUND(IF($B689&gt;Parámetros!$D$107,'Tablas Servicio'!AR689+('Tablas Servicio'!AT688-'Tablas Servicio'!AR688),AR689/(1-IF(B689&lt;=10,Parámetros!$D$100,0))),2))</f>
        <v/>
      </c>
      <c r="AU689" s="66" t="str">
        <f t="shared" si="960"/>
        <v/>
      </c>
      <c r="AV689" s="66" t="str">
        <f t="shared" si="960"/>
        <v/>
      </c>
      <c r="AW689" s="66" t="str">
        <f>+IF($W689="","",ROUND((AT689*Parámetros!$G$85),2))</f>
        <v/>
      </c>
      <c r="AX689" s="66" t="str">
        <f>+IF($W689="","",ROUND((AT689*(Parámetros!$G$86)),2))</f>
        <v/>
      </c>
      <c r="AY689" s="66" t="str">
        <f t="shared" si="961"/>
        <v/>
      </c>
      <c r="AZ689" t="str">
        <f t="shared" si="915"/>
        <v/>
      </c>
      <c r="BA689" t="str">
        <f t="shared" si="916"/>
        <v/>
      </c>
      <c r="BB689" s="118" t="str">
        <f t="shared" si="917"/>
        <v/>
      </c>
      <c r="BC689" s="118" t="str">
        <f t="shared" si="918"/>
        <v/>
      </c>
      <c r="BD689" s="119" t="str">
        <f>+IF(OR($W689="",BB689=0),"",ROUND((VLOOKUP(ROUNDDOWN($D689-1/frec,0),cob_adi,AO$40,FALSE)*(1+i/frec)^-0.5*(1+Parámetros!$D$103)*(1+rec_fracc)/frec),6))</f>
        <v/>
      </c>
      <c r="BE689" s="66" t="str">
        <f t="shared" si="962"/>
        <v/>
      </c>
      <c r="BF689" s="119" t="str">
        <f t="shared" si="963"/>
        <v/>
      </c>
      <c r="BG689" s="66" t="str">
        <f>+IF($W689="","",ROUND(IF($B689&gt;Parámetros!$D$107,'Tablas Servicio'!BE689+('Tablas Servicio'!BG688-'Tablas Servicio'!BE688),BE689/(1-IF(B689&lt;=10,Parámetros!$D$100,0))),2))</f>
        <v/>
      </c>
      <c r="BH689" s="66" t="str">
        <f t="shared" si="964"/>
        <v/>
      </c>
      <c r="BI689" s="66" t="str">
        <f t="shared" si="965"/>
        <v/>
      </c>
      <c r="BJ689" s="66" t="str">
        <f>+IF($W689="","",ROUND((BG689*Parámetros!$G$85),2))</f>
        <v/>
      </c>
      <c r="BK689" s="66" t="str">
        <f>+IF($W689="","",ROUND((BG689*(Parámetros!$G$86)),2))</f>
        <v/>
      </c>
      <c r="BL689" s="66" t="str">
        <f t="shared" si="966"/>
        <v/>
      </c>
      <c r="BM689" t="str">
        <f t="shared" si="919"/>
        <v/>
      </c>
      <c r="BN689" t="str">
        <f t="shared" si="920"/>
        <v/>
      </c>
      <c r="BO689" s="118" t="str">
        <f t="shared" si="921"/>
        <v/>
      </c>
      <c r="BP689" s="118" t="str">
        <f t="shared" si="922"/>
        <v/>
      </c>
      <c r="BQ689" s="119" t="str">
        <f>+IF(OR($W689="",BO689=0),"",ROUND((VLOOKUP(ROUNDDOWN($D689-1/frec,0),cob_adi,BB$40,FALSE)*(1+i/frec)^-0.5*(1+Parámetros!$D$103)*(1+rec_fracc)/frec),6))</f>
        <v/>
      </c>
      <c r="BR689" s="66" t="str">
        <f t="shared" si="967"/>
        <v/>
      </c>
      <c r="BS689" s="119" t="str">
        <f t="shared" si="968"/>
        <v/>
      </c>
      <c r="BT689" s="66" t="str">
        <f>+IF($W689="","",ROUND(IF($B689&gt;Parámetros!$D$107,'Tablas Servicio'!BR689+('Tablas Servicio'!BT688-'Tablas Servicio'!BR688),BR689/(1-IF(B689&lt;=10,Parámetros!$D$100,0))),2))</f>
        <v/>
      </c>
      <c r="BU689" s="66" t="str">
        <f t="shared" si="969"/>
        <v/>
      </c>
      <c r="BV689" s="66" t="str">
        <f t="shared" si="969"/>
        <v/>
      </c>
      <c r="BW689" s="66" t="str">
        <f>+IF($W689="","",ROUND((BT689*Parámetros!$G$85),2))</f>
        <v/>
      </c>
      <c r="BX689" s="66" t="str">
        <f>+IF($W689="","",ROUND((BT689*(Parámetros!$G$86)),2))</f>
        <v/>
      </c>
      <c r="BY689" s="66" t="str">
        <f t="shared" si="970"/>
        <v/>
      </c>
      <c r="BZ689" t="str">
        <f t="shared" si="923"/>
        <v/>
      </c>
      <c r="CA689" t="str">
        <f t="shared" si="924"/>
        <v/>
      </c>
      <c r="CB689" s="118" t="str">
        <f t="shared" si="925"/>
        <v/>
      </c>
      <c r="CC689" s="118" t="str">
        <f t="shared" si="926"/>
        <v/>
      </c>
      <c r="CD689" s="119" t="str">
        <f t="shared" si="971"/>
        <v/>
      </c>
      <c r="CE689" s="66" t="str">
        <f>+IF($W689="","",ROUND((VLOOKUP(ROUNDDOWN($D689-1/frec,0),cob_adi,BO$40,FALSE)*(1+i/frec)^-0.5*(1+Parámetros!$D$103)*(1+rec_fracc)/frec*'TABLAS ADI'!$BC$17),2))</f>
        <v/>
      </c>
      <c r="CF689" s="119" t="str">
        <f t="shared" si="972"/>
        <v/>
      </c>
      <c r="CG689" s="66" t="str">
        <f>+IF($W689="","",ROUND(IF($B689&gt;Parámetros!$D$107,'Tablas Servicio'!CE689+('Tablas Servicio'!CG688-'Tablas Servicio'!CE688),CE689/(1-IF(B689&lt;=10,Parámetros!$D$100,0))),2))</f>
        <v/>
      </c>
      <c r="CH689" s="66" t="str">
        <f t="shared" si="973"/>
        <v/>
      </c>
      <c r="CI689" s="66" t="str">
        <f t="shared" si="973"/>
        <v/>
      </c>
      <c r="CJ689" s="66" t="str">
        <f>+IF($W689="","",ROUND((CG689*Parámetros!$G$85),2))</f>
        <v/>
      </c>
      <c r="CK689" s="66" t="str">
        <f>+IF($W689="","",ROUND((CG689*(Parámetros!$G$86)),2))</f>
        <v/>
      </c>
      <c r="CL689" s="66" t="str">
        <f t="shared" si="974"/>
        <v/>
      </c>
      <c r="CM689" t="str">
        <f t="shared" si="927"/>
        <v/>
      </c>
      <c r="CN689" s="118" t="str">
        <f t="shared" si="928"/>
        <v/>
      </c>
      <c r="CO689" s="118" t="str">
        <f t="shared" si="929"/>
        <v/>
      </c>
      <c r="CP689" s="118" t="str">
        <f t="shared" si="930"/>
        <v/>
      </c>
      <c r="CQ689" s="119" t="str">
        <f t="shared" si="975"/>
        <v/>
      </c>
      <c r="CR689" s="66" t="str">
        <f>+IF($W689="","",ROUND((VLOOKUP(Parámetros!$F$51,'COBERTURAS ADICIONALES'!$S$4:$T$32,2,FALSE)*(1+i/frec)^-0.5*(1+Parámetros!$D$103)*(1+rec_fracc)/frec*$CO$42),2))</f>
        <v/>
      </c>
      <c r="CS689" s="119" t="str">
        <f t="shared" si="976"/>
        <v/>
      </c>
      <c r="CT689" s="66" t="str">
        <f>+IF($W689="","",ROUND(IF($B689&gt;Parámetros!$D$107,'Tablas Servicio'!CR689+('Tablas Servicio'!CT688-'Tablas Servicio'!CR688),CR689/(1-IF(B689&lt;=10,Parámetros!$D$100,0))),2))</f>
        <v/>
      </c>
      <c r="CU689" s="66" t="str">
        <f t="shared" si="977"/>
        <v/>
      </c>
      <c r="CV689" s="66" t="str">
        <f t="shared" si="977"/>
        <v/>
      </c>
      <c r="CW689" s="66" t="str">
        <f>+IF($W689="","",ROUND((CT689*Parámetros!$G$85),2))</f>
        <v/>
      </c>
      <c r="CX689" s="66" t="str">
        <f>+IF($W689="","",ROUND((CT689*(Parámetros!$G$86)),2))</f>
        <v/>
      </c>
      <c r="CY689" s="66" t="str">
        <f t="shared" si="978"/>
        <v/>
      </c>
      <c r="CZ689" t="str">
        <f t="shared" si="931"/>
        <v/>
      </c>
      <c r="DA689" s="118" t="str">
        <f t="shared" si="932"/>
        <v/>
      </c>
      <c r="DB689" s="118" t="str">
        <f t="shared" si="933"/>
        <v/>
      </c>
      <c r="DC689" s="118" t="str">
        <f t="shared" si="934"/>
        <v/>
      </c>
      <c r="DD689" s="121" t="str">
        <f>+IF(OR($W689="",DB689=0),"",ROUND((VLOOKUP(ROUNDDOWN($D689-1/frec,0),cob_adi,CO$40,FALSE)*(1+i/frec)^-0.5*(1+Parámetros!$D$103)*(1+rec_fracc)/frec),6))</f>
        <v/>
      </c>
      <c r="DE689" s="66" t="str">
        <f t="shared" si="979"/>
        <v/>
      </c>
      <c r="DF689" s="119" t="str">
        <f t="shared" si="980"/>
        <v/>
      </c>
      <c r="DG689" s="66" t="str">
        <f>+IF($W689="","",ROUND(IF($B689&gt;Parámetros!$D$107,'Tablas Servicio'!DE689+('Tablas Servicio'!DG688-'Tablas Servicio'!DE688),DE689/(1-IF(B689&lt;=10,Parámetros!$D$100,0))),2))</f>
        <v/>
      </c>
      <c r="DH689" s="66" t="str">
        <f t="shared" si="981"/>
        <v/>
      </c>
      <c r="DI689" s="66" t="str">
        <f t="shared" si="981"/>
        <v/>
      </c>
      <c r="DJ689" s="66" t="str">
        <f>+IF($W689="","",ROUND((DG689*Parámetros!$G$85),2))</f>
        <v/>
      </c>
      <c r="DK689" s="66" t="str">
        <f>+IF($W689="","",ROUND((DG689*(Parámetros!$G$86)),2))</f>
        <v/>
      </c>
      <c r="DL689" s="66" t="str">
        <f t="shared" si="982"/>
        <v/>
      </c>
      <c r="DM689" t="str">
        <f t="shared" si="935"/>
        <v/>
      </c>
      <c r="DN689" s="118" t="str">
        <f t="shared" si="936"/>
        <v/>
      </c>
      <c r="DO689" s="118" t="str">
        <f t="shared" si="937"/>
        <v/>
      </c>
      <c r="DP689" s="118" t="str">
        <f t="shared" si="938"/>
        <v/>
      </c>
      <c r="DQ689" s="122" t="str">
        <f>+IF(OR($W689="",DO689=0),"",ROUND((VLOOKUP(ROUNDDOWN($D689-1/frec,0),cob_adi,DB$40,FALSE)*(1+i/frec)^-0.5*(1+Parámetros!$D$103)*(1+rec_fracc)/frec),6))</f>
        <v/>
      </c>
      <c r="DR689" s="66" t="str">
        <f t="shared" si="983"/>
        <v/>
      </c>
      <c r="DS689" s="68" t="str">
        <f t="shared" si="984"/>
        <v/>
      </c>
      <c r="DT689" s="66" t="str">
        <f>+IF($W689="","",ROUND(IF($B689&gt;Parámetros!$D$107,'Tablas Servicio'!DR689+('Tablas Servicio'!DT688-'Tablas Servicio'!DR688),DR689/(1-IF(B689&lt;=10,Parámetros!$D$100,0))),2))</f>
        <v/>
      </c>
      <c r="DU689" s="66" t="str">
        <f t="shared" si="985"/>
        <v/>
      </c>
      <c r="DV689" s="66" t="str">
        <f t="shared" si="985"/>
        <v/>
      </c>
      <c r="DW689" s="66" t="str">
        <f>+IF($W689="","",ROUND((DT689*Parámetros!$G$85),2))</f>
        <v/>
      </c>
      <c r="DX689" s="66" t="str">
        <f>+IF($W689="","",ROUND((DT689*(Parámetros!$G$86)),2))</f>
        <v/>
      </c>
      <c r="DY689" s="66" t="str">
        <f t="shared" si="986"/>
        <v/>
      </c>
      <c r="DZ689" t="str">
        <f t="shared" si="987"/>
        <v/>
      </c>
      <c r="EA689" s="118" t="str">
        <f t="shared" si="987"/>
        <v/>
      </c>
      <c r="EB689" s="118" t="str">
        <f>+IF($W689="","",ROUND(IF(Parámetros!$D$25='TABLAS MORT'!$V$33,EB688,Z689/2),0))</f>
        <v/>
      </c>
      <c r="EC689" s="118" t="str">
        <f t="shared" si="987"/>
        <v/>
      </c>
      <c r="ED689" s="122" t="str">
        <f>+IF(OR($W689="",EB689=0),"",ROUND((VLOOKUP(ROUNDDOWN($D689-1/frec,0),cob_adi,DO$40,FALSE)*(1+i/frec)^-0.5*(1+Parámetros!$D$103)*(1+rec_fracc)/frec),6))</f>
        <v/>
      </c>
      <c r="EE689" s="66" t="str">
        <f t="shared" si="988"/>
        <v/>
      </c>
      <c r="EF689" s="68" t="str">
        <f t="shared" si="989"/>
        <v/>
      </c>
      <c r="EG689" s="66" t="str">
        <f>+IF($W689="","",ROUND(IF($B689&gt;Parámetros!$D$107,'Tablas Servicio'!EE689+('Tablas Servicio'!EG688-'Tablas Servicio'!EE688),EE689/(1-IF(B689&lt;=10,Parámetros!$D$100,0))),2))</f>
        <v/>
      </c>
      <c r="EH689" s="66" t="str">
        <f t="shared" si="990"/>
        <v/>
      </c>
      <c r="EI689" s="66" t="str">
        <f t="shared" si="990"/>
        <v/>
      </c>
      <c r="EJ689" s="66" t="str">
        <f>+IF($W689="","",ROUND((EG689*Parámetros!$G$85),2))</f>
        <v/>
      </c>
      <c r="EK689" s="66" t="str">
        <f>+IF($W689="","",ROUND((EG689*(Parámetros!$G$86)),2))</f>
        <v/>
      </c>
      <c r="EL689" s="66" t="str">
        <f t="shared" si="991"/>
        <v/>
      </c>
    </row>
    <row r="690" spans="1:142" x14ac:dyDescent="0.25">
      <c r="A690" t="str">
        <f>+IF($C690="","",ROUND(VLOOKUP('Tablas Servicio'!B690,Parámetros!$H$100:$J$159,IF(Parámetros!$E$16="F",2,3),FALSE),2))</f>
        <v/>
      </c>
      <c r="B690" t="str">
        <f t="shared" si="942"/>
        <v/>
      </c>
      <c r="C690" s="57" t="str">
        <f>+IF(D690="","",'Tablas Servicio'!C689+1)</f>
        <v/>
      </c>
      <c r="D690" s="56" t="str">
        <f>+IF(D689&lt;edadmaxtabla,D689+1/Parámetros!$E$25,"")</f>
        <v/>
      </c>
      <c r="E690" s="57" t="str">
        <f t="shared" si="952"/>
        <v/>
      </c>
      <c r="F690" s="59" t="str">
        <f t="shared" si="953"/>
        <v/>
      </c>
      <c r="G690" s="66" t="str">
        <f t="shared" si="943"/>
        <v/>
      </c>
      <c r="H690" s="66" t="str">
        <f t="shared" si="944"/>
        <v/>
      </c>
      <c r="I690" s="66" t="str">
        <f t="shared" si="904"/>
        <v/>
      </c>
      <c r="J690" s="66" t="str">
        <f t="shared" si="945"/>
        <v/>
      </c>
      <c r="K690" s="66" t="str">
        <f t="shared" si="946"/>
        <v/>
      </c>
      <c r="L690" s="66" t="str">
        <f t="shared" si="947"/>
        <v/>
      </c>
      <c r="M690" s="66" t="str">
        <f t="shared" si="948"/>
        <v/>
      </c>
      <c r="N690" s="66" t="str">
        <f>+IF(C690="","",ROUND(Parámetros!$D$23,2))</f>
        <v/>
      </c>
      <c r="O690" s="66" t="str">
        <f t="shared" si="949"/>
        <v/>
      </c>
      <c r="P690" s="66" t="str">
        <f>+IF($C690="","",ROUND(IF(B690&gt;Parámetros!$D$117,0,N690*Parámetros!$D$116-G690*Parámetros!$D$100),2))</f>
        <v/>
      </c>
      <c r="Q690" s="75" t="str">
        <f t="shared" si="905"/>
        <v/>
      </c>
      <c r="R690" s="75" t="str">
        <f t="shared" si="906"/>
        <v/>
      </c>
      <c r="S690" s="117" t="str">
        <f>+IF($C690="","",ROUND((S689+I690)*(1+Parámetros!$D$91),2))</f>
        <v/>
      </c>
      <c r="T690" s="117" t="str">
        <f>+IF($C690="","",ROUND(S690*VLOOKUP(B690,Parámetros!$C$30:$D$39,2,TRUE),2))</f>
        <v/>
      </c>
      <c r="U690" s="117" t="str">
        <f>+IF($C690="","",ROUND((U689+I690)*(1+Parámetros!$D$92),2))</f>
        <v/>
      </c>
      <c r="V690" s="117" t="str">
        <f>+IF($C690="","",ROUND(U690*VLOOKUP(B690,Parámetros!$C$30:$D$39,2,TRUE),2))</f>
        <v/>
      </c>
      <c r="W690" s="57" t="str">
        <f t="shared" si="907"/>
        <v/>
      </c>
      <c r="X690" t="str">
        <f t="shared" si="908"/>
        <v/>
      </c>
      <c r="Y690" t="str">
        <f t="shared" si="909"/>
        <v/>
      </c>
      <c r="Z690" s="118" t="str">
        <f>+IF($W690="","",ROUND(IF(Parámetros!$D$25='TABLAS MORT'!$V$33,Z689,Parámetros!$D$21-'Tablas Servicio'!T689),0))</f>
        <v/>
      </c>
      <c r="AA690" s="118" t="str">
        <f t="shared" si="910"/>
        <v/>
      </c>
      <c r="AB690" s="119" t="str">
        <f>+IF(W690="","",ROUND((VLOOKUP(ROUNDDOWN($D690-1/frec,0),qx_tabla,2,FALSE)*(1+i/frec)^-0.5*(1+Parámetros!$D$103)*(1+rec_fracc)/frec),6))</f>
        <v/>
      </c>
      <c r="AC690" s="66" t="str">
        <f t="shared" si="954"/>
        <v/>
      </c>
      <c r="AD690" s="119" t="str">
        <f t="shared" si="950"/>
        <v/>
      </c>
      <c r="AE690" s="66" t="str">
        <f>+IF($W690="","",ROUND(IF($B690&gt;Parámetros!$D$107,'Tablas Servicio'!AC690+('Tablas Servicio'!AG689-'Tablas Servicio'!AC689),AC690/(1-IF(B690&lt;=10,Parámetros!$D$104,Parámetros!$D$105))),2))</f>
        <v/>
      </c>
      <c r="AF690" s="66" t="str">
        <f>+IF($W690="","",ROUND(IF($B690&gt;Parámetros!$D$107,'Tablas Servicio'!AC690+('Tablas Servicio'!AG689-'Tablas Servicio'!AC689),(AC690+$A689/frec)/(1-IF(B690&lt;=Parámetros!$D$117,Parámetros!$D$100,0))),2))</f>
        <v/>
      </c>
      <c r="AG690" s="66" t="str">
        <f t="shared" si="955"/>
        <v/>
      </c>
      <c r="AH690" s="66" t="str">
        <f t="shared" si="956"/>
        <v/>
      </c>
      <c r="AI690" s="66" t="str">
        <f t="shared" si="957"/>
        <v/>
      </c>
      <c r="AJ690" s="66" t="str">
        <f>+IF($W690="","",ROUND((AG690*Parámetros!$G$85),2))</f>
        <v/>
      </c>
      <c r="AK690" s="66" t="str">
        <f>+IF($W690="","",ROUND((AG690*(Parámetros!$G$86)),2))</f>
        <v/>
      </c>
      <c r="AL690" s="66" t="str">
        <f t="shared" si="951"/>
        <v/>
      </c>
      <c r="AM690" t="str">
        <f t="shared" si="911"/>
        <v/>
      </c>
      <c r="AN690" t="str">
        <f t="shared" si="912"/>
        <v/>
      </c>
      <c r="AO690" s="118" t="str">
        <f t="shared" si="913"/>
        <v/>
      </c>
      <c r="AP690" s="118" t="str">
        <f t="shared" si="914"/>
        <v/>
      </c>
      <c r="AQ690" s="119" t="str">
        <f>+IF(OR($W690="",AO690=0),"",ROUND((VLOOKUP(ROUNDDOWN($D690-1/frec,0),cob_adi,Z$40,FALSE)*(1+i/frec)^-0.5*(1+Parámetros!$D$103)*(1+rec_fracc)/frec),6))</f>
        <v/>
      </c>
      <c r="AR690" s="66" t="str">
        <f t="shared" si="958"/>
        <v/>
      </c>
      <c r="AS690" s="119" t="str">
        <f t="shared" si="959"/>
        <v/>
      </c>
      <c r="AT690" s="66" t="str">
        <f>+IF($W690="","",ROUND(IF($B690&gt;Parámetros!$D$107,'Tablas Servicio'!AR690+('Tablas Servicio'!AT689-'Tablas Servicio'!AR689),AR690/(1-IF(B690&lt;=10,Parámetros!$D$100,0))),2))</f>
        <v/>
      </c>
      <c r="AU690" s="66" t="str">
        <f t="shared" si="960"/>
        <v/>
      </c>
      <c r="AV690" s="66" t="str">
        <f t="shared" si="960"/>
        <v/>
      </c>
      <c r="AW690" s="66" t="str">
        <f>+IF($W690="","",ROUND((AT690*Parámetros!$G$85),2))</f>
        <v/>
      </c>
      <c r="AX690" s="66" t="str">
        <f>+IF($W690="","",ROUND((AT690*(Parámetros!$G$86)),2))</f>
        <v/>
      </c>
      <c r="AY690" s="66" t="str">
        <f t="shared" si="961"/>
        <v/>
      </c>
      <c r="AZ690" t="str">
        <f t="shared" si="915"/>
        <v/>
      </c>
      <c r="BA690" t="str">
        <f t="shared" si="916"/>
        <v/>
      </c>
      <c r="BB690" s="118" t="str">
        <f t="shared" si="917"/>
        <v/>
      </c>
      <c r="BC690" s="118" t="str">
        <f t="shared" si="918"/>
        <v/>
      </c>
      <c r="BD690" s="119" t="str">
        <f>+IF(OR($W690="",BB690=0),"",ROUND((VLOOKUP(ROUNDDOWN($D690-1/frec,0),cob_adi,AO$40,FALSE)*(1+i/frec)^-0.5*(1+Parámetros!$D$103)*(1+rec_fracc)/frec),6))</f>
        <v/>
      </c>
      <c r="BE690" s="66" t="str">
        <f t="shared" si="962"/>
        <v/>
      </c>
      <c r="BF690" s="119" t="str">
        <f t="shared" si="963"/>
        <v/>
      </c>
      <c r="BG690" s="66" t="str">
        <f>+IF($W690="","",ROUND(IF($B690&gt;Parámetros!$D$107,'Tablas Servicio'!BE690+('Tablas Servicio'!BG689-'Tablas Servicio'!BE689),BE690/(1-IF(B690&lt;=10,Parámetros!$D$100,0))),2))</f>
        <v/>
      </c>
      <c r="BH690" s="66" t="str">
        <f t="shared" si="964"/>
        <v/>
      </c>
      <c r="BI690" s="66" t="str">
        <f t="shared" si="965"/>
        <v/>
      </c>
      <c r="BJ690" s="66" t="str">
        <f>+IF($W690="","",ROUND((BG690*Parámetros!$G$85),2))</f>
        <v/>
      </c>
      <c r="BK690" s="66" t="str">
        <f>+IF($W690="","",ROUND((BG690*(Parámetros!$G$86)),2))</f>
        <v/>
      </c>
      <c r="BL690" s="66" t="str">
        <f t="shared" si="966"/>
        <v/>
      </c>
      <c r="BM690" t="str">
        <f t="shared" si="919"/>
        <v/>
      </c>
      <c r="BN690" t="str">
        <f t="shared" si="920"/>
        <v/>
      </c>
      <c r="BO690" s="118" t="str">
        <f t="shared" si="921"/>
        <v/>
      </c>
      <c r="BP690" s="118" t="str">
        <f t="shared" si="922"/>
        <v/>
      </c>
      <c r="BQ690" s="119" t="str">
        <f>+IF(OR($W690="",BO690=0),"",ROUND((VLOOKUP(ROUNDDOWN($D690-1/frec,0),cob_adi,BB$40,FALSE)*(1+i/frec)^-0.5*(1+Parámetros!$D$103)*(1+rec_fracc)/frec),6))</f>
        <v/>
      </c>
      <c r="BR690" s="66" t="str">
        <f t="shared" si="967"/>
        <v/>
      </c>
      <c r="BS690" s="119" t="str">
        <f t="shared" si="968"/>
        <v/>
      </c>
      <c r="BT690" s="66" t="str">
        <f>+IF($W690="","",ROUND(IF($B690&gt;Parámetros!$D$107,'Tablas Servicio'!BR690+('Tablas Servicio'!BT689-'Tablas Servicio'!BR689),BR690/(1-IF(B690&lt;=10,Parámetros!$D$100,0))),2))</f>
        <v/>
      </c>
      <c r="BU690" s="66" t="str">
        <f t="shared" si="969"/>
        <v/>
      </c>
      <c r="BV690" s="66" t="str">
        <f t="shared" si="969"/>
        <v/>
      </c>
      <c r="BW690" s="66" t="str">
        <f>+IF($W690="","",ROUND((BT690*Parámetros!$G$85),2))</f>
        <v/>
      </c>
      <c r="BX690" s="66" t="str">
        <f>+IF($W690="","",ROUND((BT690*(Parámetros!$G$86)),2))</f>
        <v/>
      </c>
      <c r="BY690" s="66" t="str">
        <f t="shared" si="970"/>
        <v/>
      </c>
      <c r="BZ690" t="str">
        <f t="shared" si="923"/>
        <v/>
      </c>
      <c r="CA690" t="str">
        <f t="shared" si="924"/>
        <v/>
      </c>
      <c r="CB690" s="118" t="str">
        <f t="shared" si="925"/>
        <v/>
      </c>
      <c r="CC690" s="118" t="str">
        <f t="shared" si="926"/>
        <v/>
      </c>
      <c r="CD690" s="119" t="str">
        <f t="shared" si="971"/>
        <v/>
      </c>
      <c r="CE690" s="66" t="str">
        <f>+IF($W690="","",ROUND((VLOOKUP(ROUNDDOWN($D690-1/frec,0),cob_adi,BO$40,FALSE)*(1+i/frec)^-0.5*(1+Parámetros!$D$103)*(1+rec_fracc)/frec*'TABLAS ADI'!$BC$17),2))</f>
        <v/>
      </c>
      <c r="CF690" s="119" t="str">
        <f t="shared" si="972"/>
        <v/>
      </c>
      <c r="CG690" s="66" t="str">
        <f>+IF($W690="","",ROUND(IF($B690&gt;Parámetros!$D$107,'Tablas Servicio'!CE690+('Tablas Servicio'!CG689-'Tablas Servicio'!CE689),CE690/(1-IF(B690&lt;=10,Parámetros!$D$100,0))),2))</f>
        <v/>
      </c>
      <c r="CH690" s="66" t="str">
        <f t="shared" si="973"/>
        <v/>
      </c>
      <c r="CI690" s="66" t="str">
        <f t="shared" si="973"/>
        <v/>
      </c>
      <c r="CJ690" s="66" t="str">
        <f>+IF($W690="","",ROUND((CG690*Parámetros!$G$85),2))</f>
        <v/>
      </c>
      <c r="CK690" s="66" t="str">
        <f>+IF($W690="","",ROUND((CG690*(Parámetros!$G$86)),2))</f>
        <v/>
      </c>
      <c r="CL690" s="66" t="str">
        <f t="shared" si="974"/>
        <v/>
      </c>
      <c r="CM690" t="str">
        <f t="shared" si="927"/>
        <v/>
      </c>
      <c r="CN690" s="118" t="str">
        <f t="shared" si="928"/>
        <v/>
      </c>
      <c r="CO690" s="118" t="str">
        <f t="shared" si="929"/>
        <v/>
      </c>
      <c r="CP690" s="118" t="str">
        <f t="shared" si="930"/>
        <v/>
      </c>
      <c r="CQ690" s="119" t="str">
        <f t="shared" si="975"/>
        <v/>
      </c>
      <c r="CR690" s="66" t="str">
        <f>+IF($W690="","",ROUND((VLOOKUP(Parámetros!$F$51,'COBERTURAS ADICIONALES'!$S$4:$T$32,2,FALSE)*(1+i/frec)^-0.5*(1+Parámetros!$D$103)*(1+rec_fracc)/frec*$CO$42),2))</f>
        <v/>
      </c>
      <c r="CS690" s="119" t="str">
        <f t="shared" si="976"/>
        <v/>
      </c>
      <c r="CT690" s="66" t="str">
        <f>+IF($W690="","",ROUND(IF($B690&gt;Parámetros!$D$107,'Tablas Servicio'!CR690+('Tablas Servicio'!CT689-'Tablas Servicio'!CR689),CR690/(1-IF(B690&lt;=10,Parámetros!$D$100,0))),2))</f>
        <v/>
      </c>
      <c r="CU690" s="66" t="str">
        <f t="shared" si="977"/>
        <v/>
      </c>
      <c r="CV690" s="66" t="str">
        <f t="shared" si="977"/>
        <v/>
      </c>
      <c r="CW690" s="66" t="str">
        <f>+IF($W690="","",ROUND((CT690*Parámetros!$G$85),2))</f>
        <v/>
      </c>
      <c r="CX690" s="66" t="str">
        <f>+IF($W690="","",ROUND((CT690*(Parámetros!$G$86)),2))</f>
        <v/>
      </c>
      <c r="CY690" s="66" t="str">
        <f t="shared" si="978"/>
        <v/>
      </c>
      <c r="CZ690" t="str">
        <f t="shared" si="931"/>
        <v/>
      </c>
      <c r="DA690" s="118" t="str">
        <f t="shared" si="932"/>
        <v/>
      </c>
      <c r="DB690" s="118" t="str">
        <f t="shared" si="933"/>
        <v/>
      </c>
      <c r="DC690" s="118" t="str">
        <f t="shared" si="934"/>
        <v/>
      </c>
      <c r="DD690" s="121" t="str">
        <f>+IF(OR($W690="",DB690=0),"",ROUND((VLOOKUP(ROUNDDOWN($D690-1/frec,0),cob_adi,CO$40,FALSE)*(1+i/frec)^-0.5*(1+Parámetros!$D$103)*(1+rec_fracc)/frec),6))</f>
        <v/>
      </c>
      <c r="DE690" s="66" t="str">
        <f t="shared" si="979"/>
        <v/>
      </c>
      <c r="DF690" s="119" t="str">
        <f t="shared" si="980"/>
        <v/>
      </c>
      <c r="DG690" s="66" t="str">
        <f>+IF($W690="","",ROUND(IF($B690&gt;Parámetros!$D$107,'Tablas Servicio'!DE690+('Tablas Servicio'!DG689-'Tablas Servicio'!DE689),DE690/(1-IF(B690&lt;=10,Parámetros!$D$100,0))),2))</f>
        <v/>
      </c>
      <c r="DH690" s="66" t="str">
        <f t="shared" si="981"/>
        <v/>
      </c>
      <c r="DI690" s="66" t="str">
        <f t="shared" si="981"/>
        <v/>
      </c>
      <c r="DJ690" s="66" t="str">
        <f>+IF($W690="","",ROUND((DG690*Parámetros!$G$85),2))</f>
        <v/>
      </c>
      <c r="DK690" s="66" t="str">
        <f>+IF($W690="","",ROUND((DG690*(Parámetros!$G$86)),2))</f>
        <v/>
      </c>
      <c r="DL690" s="66" t="str">
        <f t="shared" si="982"/>
        <v/>
      </c>
      <c r="DM690" t="str">
        <f t="shared" si="935"/>
        <v/>
      </c>
      <c r="DN690" s="118" t="str">
        <f t="shared" si="936"/>
        <v/>
      </c>
      <c r="DO690" s="118" t="str">
        <f t="shared" si="937"/>
        <v/>
      </c>
      <c r="DP690" s="118" t="str">
        <f t="shared" si="938"/>
        <v/>
      </c>
      <c r="DQ690" s="122" t="str">
        <f>+IF(OR($W690="",DO690=0),"",ROUND((VLOOKUP(ROUNDDOWN($D690-1/frec,0),cob_adi,DB$40,FALSE)*(1+i/frec)^-0.5*(1+Parámetros!$D$103)*(1+rec_fracc)/frec),6))</f>
        <v/>
      </c>
      <c r="DR690" s="66" t="str">
        <f t="shared" si="983"/>
        <v/>
      </c>
      <c r="DS690" s="68" t="str">
        <f t="shared" si="984"/>
        <v/>
      </c>
      <c r="DT690" s="66" t="str">
        <f>+IF($W690="","",ROUND(IF($B690&gt;Parámetros!$D$107,'Tablas Servicio'!DR690+('Tablas Servicio'!DT689-'Tablas Servicio'!DR689),DR690/(1-IF(B690&lt;=10,Parámetros!$D$100,0))),2))</f>
        <v/>
      </c>
      <c r="DU690" s="66" t="str">
        <f t="shared" si="985"/>
        <v/>
      </c>
      <c r="DV690" s="66" t="str">
        <f t="shared" si="985"/>
        <v/>
      </c>
      <c r="DW690" s="66" t="str">
        <f>+IF($W690="","",ROUND((DT690*Parámetros!$G$85),2))</f>
        <v/>
      </c>
      <c r="DX690" s="66" t="str">
        <f>+IF($W690="","",ROUND((DT690*(Parámetros!$G$86)),2))</f>
        <v/>
      </c>
      <c r="DY690" s="66" t="str">
        <f t="shared" si="986"/>
        <v/>
      </c>
      <c r="DZ690" t="str">
        <f t="shared" si="987"/>
        <v/>
      </c>
      <c r="EA690" s="118" t="str">
        <f t="shared" si="987"/>
        <v/>
      </c>
      <c r="EB690" s="118" t="str">
        <f>+IF($W690="","",ROUND(IF(Parámetros!$D$25='TABLAS MORT'!$V$33,EB689,Z690/2),0))</f>
        <v/>
      </c>
      <c r="EC690" s="118" t="str">
        <f t="shared" si="987"/>
        <v/>
      </c>
      <c r="ED690" s="122" t="str">
        <f>+IF(OR($W690="",EB690=0),"",ROUND((VLOOKUP(ROUNDDOWN($D690-1/frec,0),cob_adi,DO$40,FALSE)*(1+i/frec)^-0.5*(1+Parámetros!$D$103)*(1+rec_fracc)/frec),6))</f>
        <v/>
      </c>
      <c r="EE690" s="66" t="str">
        <f t="shared" si="988"/>
        <v/>
      </c>
      <c r="EF690" s="68" t="str">
        <f t="shared" si="989"/>
        <v/>
      </c>
      <c r="EG690" s="66" t="str">
        <f>+IF($W690="","",ROUND(IF($B690&gt;Parámetros!$D$107,'Tablas Servicio'!EE690+('Tablas Servicio'!EG689-'Tablas Servicio'!EE689),EE690/(1-IF(B690&lt;=10,Parámetros!$D$100,0))),2))</f>
        <v/>
      </c>
      <c r="EH690" s="66" t="str">
        <f t="shared" si="990"/>
        <v/>
      </c>
      <c r="EI690" s="66" t="str">
        <f t="shared" si="990"/>
        <v/>
      </c>
      <c r="EJ690" s="66" t="str">
        <f>+IF($W690="","",ROUND((EG690*Parámetros!$G$85),2))</f>
        <v/>
      </c>
      <c r="EK690" s="66" t="str">
        <f>+IF($W690="","",ROUND((EG690*(Parámetros!$G$86)),2))</f>
        <v/>
      </c>
      <c r="EL690" s="66" t="str">
        <f t="shared" si="991"/>
        <v/>
      </c>
    </row>
    <row r="691" spans="1:142" x14ac:dyDescent="0.25">
      <c r="A691" t="str">
        <f>+IF($C691="","",ROUND(VLOOKUP('Tablas Servicio'!B691,Parámetros!$H$100:$J$159,IF(Parámetros!$E$16="F",2,3),FALSE),2))</f>
        <v/>
      </c>
      <c r="B691" t="str">
        <f t="shared" si="942"/>
        <v/>
      </c>
      <c r="C691" s="57" t="str">
        <f>+IF(D691="","",'Tablas Servicio'!C690+1)</f>
        <v/>
      </c>
      <c r="D691" s="56" t="str">
        <f>+IF(D690&lt;edadmaxtabla,D690+1/Parámetros!$E$25,"")</f>
        <v/>
      </c>
      <c r="E691" s="57" t="str">
        <f t="shared" si="952"/>
        <v/>
      </c>
      <c r="F691" s="59" t="str">
        <f t="shared" si="953"/>
        <v/>
      </c>
      <c r="G691" s="66" t="str">
        <f t="shared" si="943"/>
        <v/>
      </c>
      <c r="H691" s="66" t="str">
        <f t="shared" si="944"/>
        <v/>
      </c>
      <c r="I691" s="66" t="str">
        <f t="shared" si="904"/>
        <v/>
      </c>
      <c r="J691" s="66" t="str">
        <f t="shared" si="945"/>
        <v/>
      </c>
      <c r="K691" s="66" t="str">
        <f t="shared" si="946"/>
        <v/>
      </c>
      <c r="L691" s="66" t="str">
        <f t="shared" si="947"/>
        <v/>
      </c>
      <c r="M691" s="66" t="str">
        <f t="shared" si="948"/>
        <v/>
      </c>
      <c r="N691" s="66" t="str">
        <f>+IF(C691="","",ROUND(Parámetros!$D$23,2))</f>
        <v/>
      </c>
      <c r="O691" s="66" t="str">
        <f t="shared" si="949"/>
        <v/>
      </c>
      <c r="P691" s="66" t="str">
        <f>+IF($C691="","",ROUND(IF(B691&gt;Parámetros!$D$117,0,N691*Parámetros!$D$116-G691*Parámetros!$D$100),2))</f>
        <v/>
      </c>
      <c r="Q691" s="75" t="str">
        <f t="shared" si="905"/>
        <v/>
      </c>
      <c r="R691" s="75" t="str">
        <f t="shared" si="906"/>
        <v/>
      </c>
      <c r="S691" s="117" t="str">
        <f>+IF($C691="","",ROUND((S690+I691)*(1+Parámetros!$D$91),2))</f>
        <v/>
      </c>
      <c r="T691" s="117" t="str">
        <f>+IF($C691="","",ROUND(S691*VLOOKUP(B691,Parámetros!$C$30:$D$39,2,TRUE),2))</f>
        <v/>
      </c>
      <c r="U691" s="117" t="str">
        <f>+IF($C691="","",ROUND((U690+I691)*(1+Parámetros!$D$92),2))</f>
        <v/>
      </c>
      <c r="V691" s="117" t="str">
        <f>+IF($C691="","",ROUND(U691*VLOOKUP(B691,Parámetros!$C$30:$D$39,2,TRUE),2))</f>
        <v/>
      </c>
      <c r="W691" s="57" t="str">
        <f t="shared" si="907"/>
        <v/>
      </c>
      <c r="X691" t="str">
        <f t="shared" si="908"/>
        <v/>
      </c>
      <c r="Y691" t="str">
        <f t="shared" si="909"/>
        <v/>
      </c>
      <c r="Z691" s="118" t="str">
        <f>+IF($W691="","",ROUND(IF(Parámetros!$D$25='TABLAS MORT'!$V$33,Z690,Parámetros!$D$21-'Tablas Servicio'!T690),0))</f>
        <v/>
      </c>
      <c r="AA691" s="118" t="str">
        <f t="shared" si="910"/>
        <v/>
      </c>
      <c r="AB691" s="119" t="str">
        <f>+IF(W691="","",ROUND((VLOOKUP(ROUNDDOWN($D691-1/frec,0),qx_tabla,2,FALSE)*(1+i/frec)^-0.5*(1+Parámetros!$D$103)*(1+rec_fracc)/frec),6))</f>
        <v/>
      </c>
      <c r="AC691" s="66" t="str">
        <f t="shared" si="954"/>
        <v/>
      </c>
      <c r="AD691" s="119" t="str">
        <f t="shared" si="950"/>
        <v/>
      </c>
      <c r="AE691" s="66" t="str">
        <f>+IF($W691="","",ROUND(IF($B691&gt;Parámetros!$D$107,'Tablas Servicio'!AC691+('Tablas Servicio'!AG690-'Tablas Servicio'!AC690),AC691/(1-IF(B691&lt;=10,Parámetros!$D$104,Parámetros!$D$105))),2))</f>
        <v/>
      </c>
      <c r="AF691" s="66" t="str">
        <f>+IF($W691="","",ROUND(IF($B691&gt;Parámetros!$D$107,'Tablas Servicio'!AC691+('Tablas Servicio'!AG690-'Tablas Servicio'!AC690),(AC691+$A690/frec)/(1-IF(B691&lt;=Parámetros!$D$117,Parámetros!$D$100,0))),2))</f>
        <v/>
      </c>
      <c r="AG691" s="66" t="str">
        <f t="shared" si="955"/>
        <v/>
      </c>
      <c r="AH691" s="66" t="str">
        <f t="shared" si="956"/>
        <v/>
      </c>
      <c r="AI691" s="66" t="str">
        <f t="shared" si="957"/>
        <v/>
      </c>
      <c r="AJ691" s="66" t="str">
        <f>+IF($W691="","",ROUND((AG691*Parámetros!$G$85),2))</f>
        <v/>
      </c>
      <c r="AK691" s="66" t="str">
        <f>+IF($W691="","",ROUND((AG691*(Parámetros!$G$86)),2))</f>
        <v/>
      </c>
      <c r="AL691" s="66" t="str">
        <f t="shared" si="951"/>
        <v/>
      </c>
      <c r="AM691" t="str">
        <f t="shared" si="911"/>
        <v/>
      </c>
      <c r="AN691" t="str">
        <f t="shared" si="912"/>
        <v/>
      </c>
      <c r="AO691" s="118" t="str">
        <f t="shared" si="913"/>
        <v/>
      </c>
      <c r="AP691" s="118" t="str">
        <f t="shared" si="914"/>
        <v/>
      </c>
      <c r="AQ691" s="119" t="str">
        <f>+IF(OR($W691="",AO691=0),"",ROUND((VLOOKUP(ROUNDDOWN($D691-1/frec,0),cob_adi,Z$40,FALSE)*(1+i/frec)^-0.5*(1+Parámetros!$D$103)*(1+rec_fracc)/frec),6))</f>
        <v/>
      </c>
      <c r="AR691" s="66" t="str">
        <f t="shared" si="958"/>
        <v/>
      </c>
      <c r="AS691" s="119" t="str">
        <f t="shared" si="959"/>
        <v/>
      </c>
      <c r="AT691" s="66" t="str">
        <f>+IF($W691="","",ROUND(IF($B691&gt;Parámetros!$D$107,'Tablas Servicio'!AR691+('Tablas Servicio'!AT690-'Tablas Servicio'!AR690),AR691/(1-IF(B691&lt;=10,Parámetros!$D$100,0))),2))</f>
        <v/>
      </c>
      <c r="AU691" s="66" t="str">
        <f t="shared" si="960"/>
        <v/>
      </c>
      <c r="AV691" s="66" t="str">
        <f t="shared" si="960"/>
        <v/>
      </c>
      <c r="AW691" s="66" t="str">
        <f>+IF($W691="","",ROUND((AT691*Parámetros!$G$85),2))</f>
        <v/>
      </c>
      <c r="AX691" s="66" t="str">
        <f>+IF($W691="","",ROUND((AT691*(Parámetros!$G$86)),2))</f>
        <v/>
      </c>
      <c r="AY691" s="66" t="str">
        <f t="shared" si="961"/>
        <v/>
      </c>
      <c r="AZ691" t="str">
        <f t="shared" si="915"/>
        <v/>
      </c>
      <c r="BA691" t="str">
        <f t="shared" si="916"/>
        <v/>
      </c>
      <c r="BB691" s="118" t="str">
        <f t="shared" si="917"/>
        <v/>
      </c>
      <c r="BC691" s="118" t="str">
        <f t="shared" si="918"/>
        <v/>
      </c>
      <c r="BD691" s="119" t="str">
        <f>+IF(OR($W691="",BB691=0),"",ROUND((VLOOKUP(ROUNDDOWN($D691-1/frec,0),cob_adi,AO$40,FALSE)*(1+i/frec)^-0.5*(1+Parámetros!$D$103)*(1+rec_fracc)/frec),6))</f>
        <v/>
      </c>
      <c r="BE691" s="66" t="str">
        <f t="shared" si="962"/>
        <v/>
      </c>
      <c r="BF691" s="119" t="str">
        <f t="shared" si="963"/>
        <v/>
      </c>
      <c r="BG691" s="66" t="str">
        <f>+IF($W691="","",ROUND(IF($B691&gt;Parámetros!$D$107,'Tablas Servicio'!BE691+('Tablas Servicio'!BG690-'Tablas Servicio'!BE690),BE691/(1-IF(B691&lt;=10,Parámetros!$D$100,0))),2))</f>
        <v/>
      </c>
      <c r="BH691" s="66" t="str">
        <f t="shared" si="964"/>
        <v/>
      </c>
      <c r="BI691" s="66" t="str">
        <f t="shared" si="965"/>
        <v/>
      </c>
      <c r="BJ691" s="66" t="str">
        <f>+IF($W691="","",ROUND((BG691*Parámetros!$G$85),2))</f>
        <v/>
      </c>
      <c r="BK691" s="66" t="str">
        <f>+IF($W691="","",ROUND((BG691*(Parámetros!$G$86)),2))</f>
        <v/>
      </c>
      <c r="BL691" s="66" t="str">
        <f t="shared" si="966"/>
        <v/>
      </c>
      <c r="BM691" t="str">
        <f t="shared" si="919"/>
        <v/>
      </c>
      <c r="BN691" t="str">
        <f t="shared" si="920"/>
        <v/>
      </c>
      <c r="BO691" s="118" t="str">
        <f t="shared" si="921"/>
        <v/>
      </c>
      <c r="BP691" s="118" t="str">
        <f t="shared" si="922"/>
        <v/>
      </c>
      <c r="BQ691" s="119" t="str">
        <f>+IF(OR($W691="",BO691=0),"",ROUND((VLOOKUP(ROUNDDOWN($D691-1/frec,0),cob_adi,BB$40,FALSE)*(1+i/frec)^-0.5*(1+Parámetros!$D$103)*(1+rec_fracc)/frec),6))</f>
        <v/>
      </c>
      <c r="BR691" s="66" t="str">
        <f t="shared" si="967"/>
        <v/>
      </c>
      <c r="BS691" s="119" t="str">
        <f t="shared" si="968"/>
        <v/>
      </c>
      <c r="BT691" s="66" t="str">
        <f>+IF($W691="","",ROUND(IF($B691&gt;Parámetros!$D$107,'Tablas Servicio'!BR691+('Tablas Servicio'!BT690-'Tablas Servicio'!BR690),BR691/(1-IF(B691&lt;=10,Parámetros!$D$100,0))),2))</f>
        <v/>
      </c>
      <c r="BU691" s="66" t="str">
        <f t="shared" si="969"/>
        <v/>
      </c>
      <c r="BV691" s="66" t="str">
        <f t="shared" si="969"/>
        <v/>
      </c>
      <c r="BW691" s="66" t="str">
        <f>+IF($W691="","",ROUND((BT691*Parámetros!$G$85),2))</f>
        <v/>
      </c>
      <c r="BX691" s="66" t="str">
        <f>+IF($W691="","",ROUND((BT691*(Parámetros!$G$86)),2))</f>
        <v/>
      </c>
      <c r="BY691" s="66" t="str">
        <f t="shared" si="970"/>
        <v/>
      </c>
      <c r="BZ691" t="str">
        <f t="shared" si="923"/>
        <v/>
      </c>
      <c r="CA691" t="str">
        <f t="shared" si="924"/>
        <v/>
      </c>
      <c r="CB691" s="118" t="str">
        <f t="shared" si="925"/>
        <v/>
      </c>
      <c r="CC691" s="118" t="str">
        <f t="shared" si="926"/>
        <v/>
      </c>
      <c r="CD691" s="119" t="str">
        <f t="shared" si="971"/>
        <v/>
      </c>
      <c r="CE691" s="66" t="str">
        <f>+IF($W691="","",ROUND((VLOOKUP(ROUNDDOWN($D691-1/frec,0),cob_adi,BO$40,FALSE)*(1+i/frec)^-0.5*(1+Parámetros!$D$103)*(1+rec_fracc)/frec*'TABLAS ADI'!$BC$17),2))</f>
        <v/>
      </c>
      <c r="CF691" s="119" t="str">
        <f t="shared" si="972"/>
        <v/>
      </c>
      <c r="CG691" s="66" t="str">
        <f>+IF($W691="","",ROUND(IF($B691&gt;Parámetros!$D$107,'Tablas Servicio'!CE691+('Tablas Servicio'!CG690-'Tablas Servicio'!CE690),CE691/(1-IF(B691&lt;=10,Parámetros!$D$100,0))),2))</f>
        <v/>
      </c>
      <c r="CH691" s="66" t="str">
        <f t="shared" si="973"/>
        <v/>
      </c>
      <c r="CI691" s="66" t="str">
        <f t="shared" si="973"/>
        <v/>
      </c>
      <c r="CJ691" s="66" t="str">
        <f>+IF($W691="","",ROUND((CG691*Parámetros!$G$85),2))</f>
        <v/>
      </c>
      <c r="CK691" s="66" t="str">
        <f>+IF($W691="","",ROUND((CG691*(Parámetros!$G$86)),2))</f>
        <v/>
      </c>
      <c r="CL691" s="66" t="str">
        <f t="shared" si="974"/>
        <v/>
      </c>
      <c r="CM691" t="str">
        <f t="shared" si="927"/>
        <v/>
      </c>
      <c r="CN691" s="118" t="str">
        <f t="shared" si="928"/>
        <v/>
      </c>
      <c r="CO691" s="118" t="str">
        <f t="shared" si="929"/>
        <v/>
      </c>
      <c r="CP691" s="118" t="str">
        <f t="shared" si="930"/>
        <v/>
      </c>
      <c r="CQ691" s="119" t="str">
        <f t="shared" si="975"/>
        <v/>
      </c>
      <c r="CR691" s="66" t="str">
        <f>+IF($W691="","",ROUND((VLOOKUP(Parámetros!$F$51,'COBERTURAS ADICIONALES'!$S$4:$T$32,2,FALSE)*(1+i/frec)^-0.5*(1+Parámetros!$D$103)*(1+rec_fracc)/frec*$CO$42),2))</f>
        <v/>
      </c>
      <c r="CS691" s="119" t="str">
        <f t="shared" si="976"/>
        <v/>
      </c>
      <c r="CT691" s="66" t="str">
        <f>+IF($W691="","",ROUND(IF($B691&gt;Parámetros!$D$107,'Tablas Servicio'!CR691+('Tablas Servicio'!CT690-'Tablas Servicio'!CR690),CR691/(1-IF(B691&lt;=10,Parámetros!$D$100,0))),2))</f>
        <v/>
      </c>
      <c r="CU691" s="66" t="str">
        <f t="shared" si="977"/>
        <v/>
      </c>
      <c r="CV691" s="66" t="str">
        <f t="shared" si="977"/>
        <v/>
      </c>
      <c r="CW691" s="66" t="str">
        <f>+IF($W691="","",ROUND((CT691*Parámetros!$G$85),2))</f>
        <v/>
      </c>
      <c r="CX691" s="66" t="str">
        <f>+IF($W691="","",ROUND((CT691*(Parámetros!$G$86)),2))</f>
        <v/>
      </c>
      <c r="CY691" s="66" t="str">
        <f t="shared" si="978"/>
        <v/>
      </c>
      <c r="CZ691" t="str">
        <f t="shared" si="931"/>
        <v/>
      </c>
      <c r="DA691" s="118" t="str">
        <f t="shared" si="932"/>
        <v/>
      </c>
      <c r="DB691" s="118" t="str">
        <f t="shared" si="933"/>
        <v/>
      </c>
      <c r="DC691" s="118" t="str">
        <f t="shared" si="934"/>
        <v/>
      </c>
      <c r="DD691" s="121" t="str">
        <f>+IF(OR($W691="",DB691=0),"",ROUND((VLOOKUP(ROUNDDOWN($D691-1/frec,0),cob_adi,CO$40,FALSE)*(1+i/frec)^-0.5*(1+Parámetros!$D$103)*(1+rec_fracc)/frec),6))</f>
        <v/>
      </c>
      <c r="DE691" s="66" t="str">
        <f t="shared" si="979"/>
        <v/>
      </c>
      <c r="DF691" s="119" t="str">
        <f t="shared" si="980"/>
        <v/>
      </c>
      <c r="DG691" s="66" t="str">
        <f>+IF($W691="","",ROUND(IF($B691&gt;Parámetros!$D$107,'Tablas Servicio'!DE691+('Tablas Servicio'!DG690-'Tablas Servicio'!DE690),DE691/(1-IF(B691&lt;=10,Parámetros!$D$100,0))),2))</f>
        <v/>
      </c>
      <c r="DH691" s="66" t="str">
        <f t="shared" si="981"/>
        <v/>
      </c>
      <c r="DI691" s="66" t="str">
        <f t="shared" si="981"/>
        <v/>
      </c>
      <c r="DJ691" s="66" t="str">
        <f>+IF($W691="","",ROUND((DG691*Parámetros!$G$85),2))</f>
        <v/>
      </c>
      <c r="DK691" s="66" t="str">
        <f>+IF($W691="","",ROUND((DG691*(Parámetros!$G$86)),2))</f>
        <v/>
      </c>
      <c r="DL691" s="66" t="str">
        <f t="shared" si="982"/>
        <v/>
      </c>
      <c r="DM691" t="str">
        <f t="shared" si="935"/>
        <v/>
      </c>
      <c r="DN691" s="118" t="str">
        <f t="shared" si="936"/>
        <v/>
      </c>
      <c r="DO691" s="118" t="str">
        <f t="shared" si="937"/>
        <v/>
      </c>
      <c r="DP691" s="118" t="str">
        <f t="shared" si="938"/>
        <v/>
      </c>
      <c r="DQ691" s="122" t="str">
        <f>+IF(OR($W691="",DO691=0),"",ROUND((VLOOKUP(ROUNDDOWN($D691-1/frec,0),cob_adi,DB$40,FALSE)*(1+i/frec)^-0.5*(1+Parámetros!$D$103)*(1+rec_fracc)/frec),6))</f>
        <v/>
      </c>
      <c r="DR691" s="66" t="str">
        <f t="shared" si="983"/>
        <v/>
      </c>
      <c r="DS691" s="68" t="str">
        <f t="shared" si="984"/>
        <v/>
      </c>
      <c r="DT691" s="66" t="str">
        <f>+IF($W691="","",ROUND(IF($B691&gt;Parámetros!$D$107,'Tablas Servicio'!DR691+('Tablas Servicio'!DT690-'Tablas Servicio'!DR690),DR691/(1-IF(B691&lt;=10,Parámetros!$D$100,0))),2))</f>
        <v/>
      </c>
      <c r="DU691" s="66" t="str">
        <f t="shared" si="985"/>
        <v/>
      </c>
      <c r="DV691" s="66" t="str">
        <f t="shared" si="985"/>
        <v/>
      </c>
      <c r="DW691" s="66" t="str">
        <f>+IF($W691="","",ROUND((DT691*Parámetros!$G$85),2))</f>
        <v/>
      </c>
      <c r="DX691" s="66" t="str">
        <f>+IF($W691="","",ROUND((DT691*(Parámetros!$G$86)),2))</f>
        <v/>
      </c>
      <c r="DY691" s="66" t="str">
        <f t="shared" si="986"/>
        <v/>
      </c>
      <c r="DZ691" t="str">
        <f t="shared" si="987"/>
        <v/>
      </c>
      <c r="EA691" s="118" t="str">
        <f t="shared" si="987"/>
        <v/>
      </c>
      <c r="EB691" s="118" t="str">
        <f>+IF($W691="","",ROUND(IF(Parámetros!$D$25='TABLAS MORT'!$V$33,EB690,Z691/2),0))</f>
        <v/>
      </c>
      <c r="EC691" s="118" t="str">
        <f t="shared" si="987"/>
        <v/>
      </c>
      <c r="ED691" s="122" t="str">
        <f>+IF(OR($W691="",EB691=0),"",ROUND((VLOOKUP(ROUNDDOWN($D691-1/frec,0),cob_adi,DO$40,FALSE)*(1+i/frec)^-0.5*(1+Parámetros!$D$103)*(1+rec_fracc)/frec),6))</f>
        <v/>
      </c>
      <c r="EE691" s="66" t="str">
        <f t="shared" si="988"/>
        <v/>
      </c>
      <c r="EF691" s="68" t="str">
        <f t="shared" si="989"/>
        <v/>
      </c>
      <c r="EG691" s="66" t="str">
        <f>+IF($W691="","",ROUND(IF($B691&gt;Parámetros!$D$107,'Tablas Servicio'!EE691+('Tablas Servicio'!EG690-'Tablas Servicio'!EE690),EE691/(1-IF(B691&lt;=10,Parámetros!$D$100,0))),2))</f>
        <v/>
      </c>
      <c r="EH691" s="66" t="str">
        <f t="shared" si="990"/>
        <v/>
      </c>
      <c r="EI691" s="66" t="str">
        <f t="shared" si="990"/>
        <v/>
      </c>
      <c r="EJ691" s="66" t="str">
        <f>+IF($W691="","",ROUND((EG691*Parámetros!$G$85),2))</f>
        <v/>
      </c>
      <c r="EK691" s="66" t="str">
        <f>+IF($W691="","",ROUND((EG691*(Parámetros!$G$86)),2))</f>
        <v/>
      </c>
      <c r="EL691" s="66" t="str">
        <f t="shared" si="991"/>
        <v/>
      </c>
    </row>
    <row r="692" spans="1:142" x14ac:dyDescent="0.25">
      <c r="A692" t="str">
        <f>+IF($C692="","",ROUND(VLOOKUP('Tablas Servicio'!B692,Parámetros!$H$100:$J$159,IF(Parámetros!$E$16="F",2,3),FALSE),2))</f>
        <v/>
      </c>
      <c r="B692" t="str">
        <f t="shared" si="942"/>
        <v/>
      </c>
      <c r="C692" s="57" t="str">
        <f>+IF(D692="","",'Tablas Servicio'!C691+1)</f>
        <v/>
      </c>
      <c r="D692" s="56" t="str">
        <f>+IF(D691&lt;edadmaxtabla,D691+1/Parámetros!$E$25,"")</f>
        <v/>
      </c>
      <c r="E692" s="57" t="str">
        <f t="shared" si="952"/>
        <v/>
      </c>
      <c r="F692" s="59" t="str">
        <f t="shared" si="953"/>
        <v/>
      </c>
      <c r="G692" s="66" t="str">
        <f t="shared" si="943"/>
        <v/>
      </c>
      <c r="H692" s="66" t="str">
        <f t="shared" si="944"/>
        <v/>
      </c>
      <c r="I692" s="66" t="str">
        <f t="shared" si="904"/>
        <v/>
      </c>
      <c r="J692" s="66" t="str">
        <f t="shared" si="945"/>
        <v/>
      </c>
      <c r="K692" s="66" t="str">
        <f t="shared" si="946"/>
        <v/>
      </c>
      <c r="L692" s="66" t="str">
        <f t="shared" si="947"/>
        <v/>
      </c>
      <c r="M692" s="66" t="str">
        <f t="shared" si="948"/>
        <v/>
      </c>
      <c r="N692" s="66" t="str">
        <f>+IF(C692="","",ROUND(Parámetros!$D$23,2))</f>
        <v/>
      </c>
      <c r="O692" s="66" t="str">
        <f t="shared" si="949"/>
        <v/>
      </c>
      <c r="P692" s="66" t="str">
        <f>+IF($C692="","",ROUND(IF(B692&gt;Parámetros!$D$117,0,N692*Parámetros!$D$116-G692*Parámetros!$D$100),2))</f>
        <v/>
      </c>
      <c r="Q692" s="75" t="str">
        <f t="shared" si="905"/>
        <v/>
      </c>
      <c r="R692" s="75" t="str">
        <f t="shared" si="906"/>
        <v/>
      </c>
      <c r="S692" s="117" t="str">
        <f>+IF($C692="","",ROUND((S691+I692)*(1+Parámetros!$D$91),2))</f>
        <v/>
      </c>
      <c r="T692" s="117" t="str">
        <f>+IF($C692="","",ROUND(S692*VLOOKUP(B692,Parámetros!$C$30:$D$39,2,TRUE),2))</f>
        <v/>
      </c>
      <c r="U692" s="117" t="str">
        <f>+IF($C692="","",ROUND((U691+I692)*(1+Parámetros!$D$92),2))</f>
        <v/>
      </c>
      <c r="V692" s="117" t="str">
        <f>+IF($C692="","",ROUND(U692*VLOOKUP(B692,Parámetros!$C$30:$D$39,2,TRUE),2))</f>
        <v/>
      </c>
      <c r="W692" s="57" t="str">
        <f t="shared" si="907"/>
        <v/>
      </c>
      <c r="X692" t="str">
        <f t="shared" si="908"/>
        <v/>
      </c>
      <c r="Y692" t="str">
        <f t="shared" si="909"/>
        <v/>
      </c>
      <c r="Z692" s="118" t="str">
        <f>+IF($W692="","",ROUND(IF(Parámetros!$D$25='TABLAS MORT'!$V$33,Z691,Parámetros!$D$21-'Tablas Servicio'!T691),0))</f>
        <v/>
      </c>
      <c r="AA692" s="118" t="str">
        <f t="shared" si="910"/>
        <v/>
      </c>
      <c r="AB692" s="119" t="str">
        <f>+IF(W692="","",ROUND((VLOOKUP(ROUNDDOWN($D692-1/frec,0),qx_tabla,2,FALSE)*(1+i/frec)^-0.5*(1+Parámetros!$D$103)*(1+rec_fracc)/frec),6))</f>
        <v/>
      </c>
      <c r="AC692" s="66" t="str">
        <f t="shared" si="954"/>
        <v/>
      </c>
      <c r="AD692" s="119" t="str">
        <f t="shared" si="950"/>
        <v/>
      </c>
      <c r="AE692" s="66" t="str">
        <f>+IF($W692="","",ROUND(IF($B692&gt;Parámetros!$D$107,'Tablas Servicio'!AC692+('Tablas Servicio'!AG691-'Tablas Servicio'!AC691),AC692/(1-IF(B692&lt;=10,Parámetros!$D$104,Parámetros!$D$105))),2))</f>
        <v/>
      </c>
      <c r="AF692" s="66" t="str">
        <f>+IF($W692="","",ROUND(IF($B692&gt;Parámetros!$D$107,'Tablas Servicio'!AC692+('Tablas Servicio'!AG691-'Tablas Servicio'!AC691),(AC692+$A691/frec)/(1-IF(B692&lt;=Parámetros!$D$117,Parámetros!$D$100,0))),2))</f>
        <v/>
      </c>
      <c r="AG692" s="66" t="str">
        <f t="shared" si="955"/>
        <v/>
      </c>
      <c r="AH692" s="66" t="str">
        <f t="shared" si="956"/>
        <v/>
      </c>
      <c r="AI692" s="66" t="str">
        <f t="shared" si="957"/>
        <v/>
      </c>
      <c r="AJ692" s="66" t="str">
        <f>+IF($W692="","",ROUND((AG692*Parámetros!$G$85),2))</f>
        <v/>
      </c>
      <c r="AK692" s="66" t="str">
        <f>+IF($W692="","",ROUND((AG692*(Parámetros!$G$86)),2))</f>
        <v/>
      </c>
      <c r="AL692" s="66" t="str">
        <f t="shared" si="951"/>
        <v/>
      </c>
      <c r="AM692" t="str">
        <f t="shared" si="911"/>
        <v/>
      </c>
      <c r="AN692" t="str">
        <f t="shared" si="912"/>
        <v/>
      </c>
      <c r="AO692" s="118" t="str">
        <f t="shared" si="913"/>
        <v/>
      </c>
      <c r="AP692" s="118" t="str">
        <f t="shared" si="914"/>
        <v/>
      </c>
      <c r="AQ692" s="119" t="str">
        <f>+IF(OR($W692="",AO692=0),"",ROUND((VLOOKUP(ROUNDDOWN($D692-1/frec,0),cob_adi,Z$40,FALSE)*(1+i/frec)^-0.5*(1+Parámetros!$D$103)*(1+rec_fracc)/frec),6))</f>
        <v/>
      </c>
      <c r="AR692" s="66" t="str">
        <f t="shared" si="958"/>
        <v/>
      </c>
      <c r="AS692" s="119" t="str">
        <f t="shared" si="959"/>
        <v/>
      </c>
      <c r="AT692" s="66" t="str">
        <f>+IF($W692="","",ROUND(IF($B692&gt;Parámetros!$D$107,'Tablas Servicio'!AR692+('Tablas Servicio'!AT691-'Tablas Servicio'!AR691),AR692/(1-IF(B692&lt;=10,Parámetros!$D$100,0))),2))</f>
        <v/>
      </c>
      <c r="AU692" s="66" t="str">
        <f t="shared" si="960"/>
        <v/>
      </c>
      <c r="AV692" s="66" t="str">
        <f t="shared" si="960"/>
        <v/>
      </c>
      <c r="AW692" s="66" t="str">
        <f>+IF($W692="","",ROUND((AT692*Parámetros!$G$85),2))</f>
        <v/>
      </c>
      <c r="AX692" s="66" t="str">
        <f>+IF($W692="","",ROUND((AT692*(Parámetros!$G$86)),2))</f>
        <v/>
      </c>
      <c r="AY692" s="66" t="str">
        <f t="shared" si="961"/>
        <v/>
      </c>
      <c r="AZ692" t="str">
        <f t="shared" si="915"/>
        <v/>
      </c>
      <c r="BA692" t="str">
        <f t="shared" si="916"/>
        <v/>
      </c>
      <c r="BB692" s="118" t="str">
        <f t="shared" si="917"/>
        <v/>
      </c>
      <c r="BC692" s="118" t="str">
        <f t="shared" si="918"/>
        <v/>
      </c>
      <c r="BD692" s="119" t="str">
        <f>+IF(OR($W692="",BB692=0),"",ROUND((VLOOKUP(ROUNDDOWN($D692-1/frec,0),cob_adi,AO$40,FALSE)*(1+i/frec)^-0.5*(1+Parámetros!$D$103)*(1+rec_fracc)/frec),6))</f>
        <v/>
      </c>
      <c r="BE692" s="66" t="str">
        <f t="shared" si="962"/>
        <v/>
      </c>
      <c r="BF692" s="119" t="str">
        <f t="shared" si="963"/>
        <v/>
      </c>
      <c r="BG692" s="66" t="str">
        <f>+IF($W692="","",ROUND(IF($B692&gt;Parámetros!$D$107,'Tablas Servicio'!BE692+('Tablas Servicio'!BG691-'Tablas Servicio'!BE691),BE692/(1-IF(B692&lt;=10,Parámetros!$D$100,0))),2))</f>
        <v/>
      </c>
      <c r="BH692" s="66" t="str">
        <f t="shared" si="964"/>
        <v/>
      </c>
      <c r="BI692" s="66" t="str">
        <f t="shared" si="965"/>
        <v/>
      </c>
      <c r="BJ692" s="66" t="str">
        <f>+IF($W692="","",ROUND((BG692*Parámetros!$G$85),2))</f>
        <v/>
      </c>
      <c r="BK692" s="66" t="str">
        <f>+IF($W692="","",ROUND((BG692*(Parámetros!$G$86)),2))</f>
        <v/>
      </c>
      <c r="BL692" s="66" t="str">
        <f t="shared" si="966"/>
        <v/>
      </c>
      <c r="BM692" t="str">
        <f t="shared" si="919"/>
        <v/>
      </c>
      <c r="BN692" t="str">
        <f t="shared" si="920"/>
        <v/>
      </c>
      <c r="BO692" s="118" t="str">
        <f t="shared" si="921"/>
        <v/>
      </c>
      <c r="BP692" s="118" t="str">
        <f t="shared" si="922"/>
        <v/>
      </c>
      <c r="BQ692" s="119" t="str">
        <f>+IF(OR($W692="",BO692=0),"",ROUND((VLOOKUP(ROUNDDOWN($D692-1/frec,0),cob_adi,BB$40,FALSE)*(1+i/frec)^-0.5*(1+Parámetros!$D$103)*(1+rec_fracc)/frec),6))</f>
        <v/>
      </c>
      <c r="BR692" s="66" t="str">
        <f t="shared" si="967"/>
        <v/>
      </c>
      <c r="BS692" s="119" t="str">
        <f t="shared" si="968"/>
        <v/>
      </c>
      <c r="BT692" s="66" t="str">
        <f>+IF($W692="","",ROUND(IF($B692&gt;Parámetros!$D$107,'Tablas Servicio'!BR692+('Tablas Servicio'!BT691-'Tablas Servicio'!BR691),BR692/(1-IF(B692&lt;=10,Parámetros!$D$100,0))),2))</f>
        <v/>
      </c>
      <c r="BU692" s="66" t="str">
        <f t="shared" si="969"/>
        <v/>
      </c>
      <c r="BV692" s="66" t="str">
        <f t="shared" si="969"/>
        <v/>
      </c>
      <c r="BW692" s="66" t="str">
        <f>+IF($W692="","",ROUND((BT692*Parámetros!$G$85),2))</f>
        <v/>
      </c>
      <c r="BX692" s="66" t="str">
        <f>+IF($W692="","",ROUND((BT692*(Parámetros!$G$86)),2))</f>
        <v/>
      </c>
      <c r="BY692" s="66" t="str">
        <f t="shared" si="970"/>
        <v/>
      </c>
      <c r="BZ692" t="str">
        <f t="shared" si="923"/>
        <v/>
      </c>
      <c r="CA692" t="str">
        <f t="shared" si="924"/>
        <v/>
      </c>
      <c r="CB692" s="118" t="str">
        <f t="shared" si="925"/>
        <v/>
      </c>
      <c r="CC692" s="118" t="str">
        <f t="shared" si="926"/>
        <v/>
      </c>
      <c r="CD692" s="119" t="str">
        <f t="shared" si="971"/>
        <v/>
      </c>
      <c r="CE692" s="66" t="str">
        <f>+IF($W692="","",ROUND((VLOOKUP(ROUNDDOWN($D692-1/frec,0),cob_adi,BO$40,FALSE)*(1+i/frec)^-0.5*(1+Parámetros!$D$103)*(1+rec_fracc)/frec*'TABLAS ADI'!$BC$17),2))</f>
        <v/>
      </c>
      <c r="CF692" s="119" t="str">
        <f t="shared" si="972"/>
        <v/>
      </c>
      <c r="CG692" s="66" t="str">
        <f>+IF($W692="","",ROUND(IF($B692&gt;Parámetros!$D$107,'Tablas Servicio'!CE692+('Tablas Servicio'!CG691-'Tablas Servicio'!CE691),CE692/(1-IF(B692&lt;=10,Parámetros!$D$100,0))),2))</f>
        <v/>
      </c>
      <c r="CH692" s="66" t="str">
        <f t="shared" si="973"/>
        <v/>
      </c>
      <c r="CI692" s="66" t="str">
        <f t="shared" si="973"/>
        <v/>
      </c>
      <c r="CJ692" s="66" t="str">
        <f>+IF($W692="","",ROUND((CG692*Parámetros!$G$85),2))</f>
        <v/>
      </c>
      <c r="CK692" s="66" t="str">
        <f>+IF($W692="","",ROUND((CG692*(Parámetros!$G$86)),2))</f>
        <v/>
      </c>
      <c r="CL692" s="66" t="str">
        <f t="shared" si="974"/>
        <v/>
      </c>
      <c r="CM692" t="str">
        <f t="shared" si="927"/>
        <v/>
      </c>
      <c r="CN692" s="118" t="str">
        <f t="shared" si="928"/>
        <v/>
      </c>
      <c r="CO692" s="118" t="str">
        <f t="shared" si="929"/>
        <v/>
      </c>
      <c r="CP692" s="118" t="str">
        <f t="shared" si="930"/>
        <v/>
      </c>
      <c r="CQ692" s="119" t="str">
        <f t="shared" si="975"/>
        <v/>
      </c>
      <c r="CR692" s="66" t="str">
        <f>+IF($W692="","",ROUND((VLOOKUP(Parámetros!$F$51,'COBERTURAS ADICIONALES'!$S$4:$T$32,2,FALSE)*(1+i/frec)^-0.5*(1+Parámetros!$D$103)*(1+rec_fracc)/frec*$CO$42),2))</f>
        <v/>
      </c>
      <c r="CS692" s="119" t="str">
        <f t="shared" si="976"/>
        <v/>
      </c>
      <c r="CT692" s="66" t="str">
        <f>+IF($W692="","",ROUND(IF($B692&gt;Parámetros!$D$107,'Tablas Servicio'!CR692+('Tablas Servicio'!CT691-'Tablas Servicio'!CR691),CR692/(1-IF(B692&lt;=10,Parámetros!$D$100,0))),2))</f>
        <v/>
      </c>
      <c r="CU692" s="66" t="str">
        <f t="shared" si="977"/>
        <v/>
      </c>
      <c r="CV692" s="66" t="str">
        <f t="shared" si="977"/>
        <v/>
      </c>
      <c r="CW692" s="66" t="str">
        <f>+IF($W692="","",ROUND((CT692*Parámetros!$G$85),2))</f>
        <v/>
      </c>
      <c r="CX692" s="66" t="str">
        <f>+IF($W692="","",ROUND((CT692*(Parámetros!$G$86)),2))</f>
        <v/>
      </c>
      <c r="CY692" s="66" t="str">
        <f t="shared" si="978"/>
        <v/>
      </c>
      <c r="CZ692" t="str">
        <f t="shared" si="931"/>
        <v/>
      </c>
      <c r="DA692" s="118" t="str">
        <f t="shared" si="932"/>
        <v/>
      </c>
      <c r="DB692" s="118" t="str">
        <f t="shared" si="933"/>
        <v/>
      </c>
      <c r="DC692" s="118" t="str">
        <f t="shared" si="934"/>
        <v/>
      </c>
      <c r="DD692" s="121" t="str">
        <f>+IF(OR($W692="",DB692=0),"",ROUND((VLOOKUP(ROUNDDOWN($D692-1/frec,0),cob_adi,CO$40,FALSE)*(1+i/frec)^-0.5*(1+Parámetros!$D$103)*(1+rec_fracc)/frec),6))</f>
        <v/>
      </c>
      <c r="DE692" s="66" t="str">
        <f t="shared" si="979"/>
        <v/>
      </c>
      <c r="DF692" s="119" t="str">
        <f t="shared" si="980"/>
        <v/>
      </c>
      <c r="DG692" s="66" t="str">
        <f>+IF($W692="","",ROUND(IF($B692&gt;Parámetros!$D$107,'Tablas Servicio'!DE692+('Tablas Servicio'!DG691-'Tablas Servicio'!DE691),DE692/(1-IF(B692&lt;=10,Parámetros!$D$100,0))),2))</f>
        <v/>
      </c>
      <c r="DH692" s="66" t="str">
        <f t="shared" si="981"/>
        <v/>
      </c>
      <c r="DI692" s="66" t="str">
        <f t="shared" si="981"/>
        <v/>
      </c>
      <c r="DJ692" s="66" t="str">
        <f>+IF($W692="","",ROUND((DG692*Parámetros!$G$85),2))</f>
        <v/>
      </c>
      <c r="DK692" s="66" t="str">
        <f>+IF($W692="","",ROUND((DG692*(Parámetros!$G$86)),2))</f>
        <v/>
      </c>
      <c r="DL692" s="66" t="str">
        <f t="shared" si="982"/>
        <v/>
      </c>
      <c r="DM692" t="str">
        <f t="shared" si="935"/>
        <v/>
      </c>
      <c r="DN692" s="118" t="str">
        <f t="shared" si="936"/>
        <v/>
      </c>
      <c r="DO692" s="118" t="str">
        <f t="shared" si="937"/>
        <v/>
      </c>
      <c r="DP692" s="118" t="str">
        <f t="shared" si="938"/>
        <v/>
      </c>
      <c r="DQ692" s="122" t="str">
        <f>+IF(OR($W692="",DO692=0),"",ROUND((VLOOKUP(ROUNDDOWN($D692-1/frec,0),cob_adi,DB$40,FALSE)*(1+i/frec)^-0.5*(1+Parámetros!$D$103)*(1+rec_fracc)/frec),6))</f>
        <v/>
      </c>
      <c r="DR692" s="66" t="str">
        <f t="shared" si="983"/>
        <v/>
      </c>
      <c r="DS692" s="68" t="str">
        <f t="shared" si="984"/>
        <v/>
      </c>
      <c r="DT692" s="66" t="str">
        <f>+IF($W692="","",ROUND(IF($B692&gt;Parámetros!$D$107,'Tablas Servicio'!DR692+('Tablas Servicio'!DT691-'Tablas Servicio'!DR691),DR692/(1-IF(B692&lt;=10,Parámetros!$D$100,0))),2))</f>
        <v/>
      </c>
      <c r="DU692" s="66" t="str">
        <f t="shared" si="985"/>
        <v/>
      </c>
      <c r="DV692" s="66" t="str">
        <f t="shared" si="985"/>
        <v/>
      </c>
      <c r="DW692" s="66" t="str">
        <f>+IF($W692="","",ROUND((DT692*Parámetros!$G$85),2))</f>
        <v/>
      </c>
      <c r="DX692" s="66" t="str">
        <f>+IF($W692="","",ROUND((DT692*(Parámetros!$G$86)),2))</f>
        <v/>
      </c>
      <c r="DY692" s="66" t="str">
        <f t="shared" si="986"/>
        <v/>
      </c>
      <c r="DZ692" t="str">
        <f t="shared" si="987"/>
        <v/>
      </c>
      <c r="EA692" s="118" t="str">
        <f t="shared" si="987"/>
        <v/>
      </c>
      <c r="EB692" s="118" t="str">
        <f>+IF($W692="","",ROUND(IF(Parámetros!$D$25='TABLAS MORT'!$V$33,EB691,Z692/2),0))</f>
        <v/>
      </c>
      <c r="EC692" s="118" t="str">
        <f t="shared" si="987"/>
        <v/>
      </c>
      <c r="ED692" s="122" t="str">
        <f>+IF(OR($W692="",EB692=0),"",ROUND((VLOOKUP(ROUNDDOWN($D692-1/frec,0),cob_adi,DO$40,FALSE)*(1+i/frec)^-0.5*(1+Parámetros!$D$103)*(1+rec_fracc)/frec),6))</f>
        <v/>
      </c>
      <c r="EE692" s="66" t="str">
        <f t="shared" si="988"/>
        <v/>
      </c>
      <c r="EF692" s="68" t="str">
        <f t="shared" si="989"/>
        <v/>
      </c>
      <c r="EG692" s="66" t="str">
        <f>+IF($W692="","",ROUND(IF($B692&gt;Parámetros!$D$107,'Tablas Servicio'!EE692+('Tablas Servicio'!EG691-'Tablas Servicio'!EE691),EE692/(1-IF(B692&lt;=10,Parámetros!$D$100,0))),2))</f>
        <v/>
      </c>
      <c r="EH692" s="66" t="str">
        <f t="shared" si="990"/>
        <v/>
      </c>
      <c r="EI692" s="66" t="str">
        <f t="shared" si="990"/>
        <v/>
      </c>
      <c r="EJ692" s="66" t="str">
        <f>+IF($W692="","",ROUND((EG692*Parámetros!$G$85),2))</f>
        <v/>
      </c>
      <c r="EK692" s="66" t="str">
        <f>+IF($W692="","",ROUND((EG692*(Parámetros!$G$86)),2))</f>
        <v/>
      </c>
      <c r="EL692" s="66" t="str">
        <f t="shared" si="991"/>
        <v/>
      </c>
    </row>
    <row r="693" spans="1:142" x14ac:dyDescent="0.25">
      <c r="A693" t="str">
        <f>+IF($C693="","",ROUND(VLOOKUP('Tablas Servicio'!B693,Parámetros!$H$100:$J$159,IF(Parámetros!$E$16="F",2,3),FALSE),2))</f>
        <v/>
      </c>
      <c r="B693" t="str">
        <f t="shared" si="942"/>
        <v/>
      </c>
      <c r="C693" s="57" t="str">
        <f>+IF(D693="","",'Tablas Servicio'!C692+1)</f>
        <v/>
      </c>
      <c r="D693" s="56" t="str">
        <f>+IF(D692&lt;edadmaxtabla,D692+1/Parámetros!$E$25,"")</f>
        <v/>
      </c>
      <c r="E693" s="57" t="str">
        <f t="shared" si="952"/>
        <v/>
      </c>
      <c r="F693" s="59" t="str">
        <f t="shared" si="953"/>
        <v/>
      </c>
      <c r="G693" s="66" t="str">
        <f t="shared" si="943"/>
        <v/>
      </c>
      <c r="H693" s="66" t="str">
        <f t="shared" si="944"/>
        <v/>
      </c>
      <c r="I693" s="66" t="str">
        <f t="shared" si="904"/>
        <v/>
      </c>
      <c r="J693" s="66" t="str">
        <f t="shared" si="945"/>
        <v/>
      </c>
      <c r="K693" s="66" t="str">
        <f t="shared" si="946"/>
        <v/>
      </c>
      <c r="L693" s="66" t="str">
        <f t="shared" si="947"/>
        <v/>
      </c>
      <c r="M693" s="66" t="str">
        <f t="shared" si="948"/>
        <v/>
      </c>
      <c r="N693" s="66" t="str">
        <f>+IF(C693="","",ROUND(Parámetros!$D$23,2))</f>
        <v/>
      </c>
      <c r="O693" s="66" t="str">
        <f t="shared" si="949"/>
        <v/>
      </c>
      <c r="P693" s="66" t="str">
        <f>+IF($C693="","",ROUND(IF(B693&gt;Parámetros!$D$117,0,N693*Parámetros!$D$116-G693*Parámetros!$D$100),2))</f>
        <v/>
      </c>
      <c r="Q693" s="75" t="str">
        <f t="shared" si="905"/>
        <v/>
      </c>
      <c r="R693" s="75" t="str">
        <f t="shared" si="906"/>
        <v/>
      </c>
      <c r="S693" s="117" t="str">
        <f>+IF($C693="","",ROUND((S692+I693)*(1+Parámetros!$D$91),2))</f>
        <v/>
      </c>
      <c r="T693" s="117" t="str">
        <f>+IF($C693="","",ROUND(S693*VLOOKUP(B693,Parámetros!$C$30:$D$39,2,TRUE),2))</f>
        <v/>
      </c>
      <c r="U693" s="117" t="str">
        <f>+IF($C693="","",ROUND((U692+I693)*(1+Parámetros!$D$92),2))</f>
        <v/>
      </c>
      <c r="V693" s="117" t="str">
        <f>+IF($C693="","",ROUND(U693*VLOOKUP(B693,Parámetros!$C$30:$D$39,2,TRUE),2))</f>
        <v/>
      </c>
      <c r="W693" s="57" t="str">
        <f t="shared" si="907"/>
        <v/>
      </c>
      <c r="X693" t="str">
        <f t="shared" si="908"/>
        <v/>
      </c>
      <c r="Y693" t="str">
        <f t="shared" si="909"/>
        <v/>
      </c>
      <c r="Z693" s="118" t="str">
        <f>+IF($W693="","",ROUND(IF(Parámetros!$D$25='TABLAS MORT'!$V$33,Z692,Parámetros!$D$21-'Tablas Servicio'!T692),0))</f>
        <v/>
      </c>
      <c r="AA693" s="118" t="str">
        <f t="shared" si="910"/>
        <v/>
      </c>
      <c r="AB693" s="119" t="str">
        <f>+IF(W693="","",ROUND((VLOOKUP(ROUNDDOWN($D693-1/frec,0),qx_tabla,2,FALSE)*(1+i/frec)^-0.5*(1+Parámetros!$D$103)*(1+rec_fracc)/frec),6))</f>
        <v/>
      </c>
      <c r="AC693" s="66" t="str">
        <f t="shared" si="954"/>
        <v/>
      </c>
      <c r="AD693" s="119" t="str">
        <f t="shared" si="950"/>
        <v/>
      </c>
      <c r="AE693" s="66" t="str">
        <f>+IF($W693="","",ROUND(IF($B693&gt;Parámetros!$D$107,'Tablas Servicio'!AC693+('Tablas Servicio'!AG692-'Tablas Servicio'!AC692),AC693/(1-IF(B693&lt;=10,Parámetros!$D$104,Parámetros!$D$105))),2))</f>
        <v/>
      </c>
      <c r="AF693" s="66" t="str">
        <f>+IF($W693="","",ROUND(IF($B693&gt;Parámetros!$D$107,'Tablas Servicio'!AC693+('Tablas Servicio'!AG692-'Tablas Servicio'!AC692),(AC693+$A692/frec)/(1-IF(B693&lt;=Parámetros!$D$117,Parámetros!$D$100,0))),2))</f>
        <v/>
      </c>
      <c r="AG693" s="66" t="str">
        <f t="shared" si="955"/>
        <v/>
      </c>
      <c r="AH693" s="66" t="str">
        <f t="shared" si="956"/>
        <v/>
      </c>
      <c r="AI693" s="66" t="str">
        <f t="shared" si="957"/>
        <v/>
      </c>
      <c r="AJ693" s="66" t="str">
        <f>+IF($W693="","",ROUND((AG693*Parámetros!$G$85),2))</f>
        <v/>
      </c>
      <c r="AK693" s="66" t="str">
        <f>+IF($W693="","",ROUND((AG693*(Parámetros!$G$86)),2))</f>
        <v/>
      </c>
      <c r="AL693" s="66" t="str">
        <f t="shared" si="951"/>
        <v/>
      </c>
      <c r="AM693" t="str">
        <f t="shared" si="911"/>
        <v/>
      </c>
      <c r="AN693" t="str">
        <f t="shared" si="912"/>
        <v/>
      </c>
      <c r="AO693" s="118" t="str">
        <f t="shared" si="913"/>
        <v/>
      </c>
      <c r="AP693" s="118" t="str">
        <f t="shared" si="914"/>
        <v/>
      </c>
      <c r="AQ693" s="119" t="str">
        <f>+IF(OR($W693="",AO693=0),"",ROUND((VLOOKUP(ROUNDDOWN($D693-1/frec,0),cob_adi,Z$40,FALSE)*(1+i/frec)^-0.5*(1+Parámetros!$D$103)*(1+rec_fracc)/frec),6))</f>
        <v/>
      </c>
      <c r="AR693" s="66" t="str">
        <f t="shared" si="958"/>
        <v/>
      </c>
      <c r="AS693" s="119" t="str">
        <f t="shared" si="959"/>
        <v/>
      </c>
      <c r="AT693" s="66" t="str">
        <f>+IF($W693="","",ROUND(IF($B693&gt;Parámetros!$D$107,'Tablas Servicio'!AR693+('Tablas Servicio'!AT692-'Tablas Servicio'!AR692),AR693/(1-IF(B693&lt;=10,Parámetros!$D$100,0))),2))</f>
        <v/>
      </c>
      <c r="AU693" s="66" t="str">
        <f t="shared" si="960"/>
        <v/>
      </c>
      <c r="AV693" s="66" t="str">
        <f t="shared" si="960"/>
        <v/>
      </c>
      <c r="AW693" s="66" t="str">
        <f>+IF($W693="","",ROUND((AT693*Parámetros!$G$85),2))</f>
        <v/>
      </c>
      <c r="AX693" s="66" t="str">
        <f>+IF($W693="","",ROUND((AT693*(Parámetros!$G$86)),2))</f>
        <v/>
      </c>
      <c r="AY693" s="66" t="str">
        <f t="shared" si="961"/>
        <v/>
      </c>
      <c r="AZ693" t="str">
        <f t="shared" si="915"/>
        <v/>
      </c>
      <c r="BA693" t="str">
        <f t="shared" si="916"/>
        <v/>
      </c>
      <c r="BB693" s="118" t="str">
        <f t="shared" si="917"/>
        <v/>
      </c>
      <c r="BC693" s="118" t="str">
        <f t="shared" si="918"/>
        <v/>
      </c>
      <c r="BD693" s="119" t="str">
        <f>+IF(OR($W693="",BB693=0),"",ROUND((VLOOKUP(ROUNDDOWN($D693-1/frec,0),cob_adi,AO$40,FALSE)*(1+i/frec)^-0.5*(1+Parámetros!$D$103)*(1+rec_fracc)/frec),6))</f>
        <v/>
      </c>
      <c r="BE693" s="66" t="str">
        <f t="shared" si="962"/>
        <v/>
      </c>
      <c r="BF693" s="119" t="str">
        <f t="shared" si="963"/>
        <v/>
      </c>
      <c r="BG693" s="66" t="str">
        <f>+IF($W693="","",ROUND(IF($B693&gt;Parámetros!$D$107,'Tablas Servicio'!BE693+('Tablas Servicio'!BG692-'Tablas Servicio'!BE692),BE693/(1-IF(B693&lt;=10,Parámetros!$D$100,0))),2))</f>
        <v/>
      </c>
      <c r="BH693" s="66" t="str">
        <f t="shared" si="964"/>
        <v/>
      </c>
      <c r="BI693" s="66" t="str">
        <f t="shared" si="965"/>
        <v/>
      </c>
      <c r="BJ693" s="66" t="str">
        <f>+IF($W693="","",ROUND((BG693*Parámetros!$G$85),2))</f>
        <v/>
      </c>
      <c r="BK693" s="66" t="str">
        <f>+IF($W693="","",ROUND((BG693*(Parámetros!$G$86)),2))</f>
        <v/>
      </c>
      <c r="BL693" s="66" t="str">
        <f t="shared" si="966"/>
        <v/>
      </c>
      <c r="BM693" t="str">
        <f t="shared" si="919"/>
        <v/>
      </c>
      <c r="BN693" t="str">
        <f t="shared" si="920"/>
        <v/>
      </c>
      <c r="BO693" s="118" t="str">
        <f t="shared" si="921"/>
        <v/>
      </c>
      <c r="BP693" s="118" t="str">
        <f t="shared" si="922"/>
        <v/>
      </c>
      <c r="BQ693" s="119" t="str">
        <f>+IF(OR($W693="",BO693=0),"",ROUND((VLOOKUP(ROUNDDOWN($D693-1/frec,0),cob_adi,BB$40,FALSE)*(1+i/frec)^-0.5*(1+Parámetros!$D$103)*(1+rec_fracc)/frec),6))</f>
        <v/>
      </c>
      <c r="BR693" s="66" t="str">
        <f t="shared" si="967"/>
        <v/>
      </c>
      <c r="BS693" s="119" t="str">
        <f t="shared" si="968"/>
        <v/>
      </c>
      <c r="BT693" s="66" t="str">
        <f>+IF($W693="","",ROUND(IF($B693&gt;Parámetros!$D$107,'Tablas Servicio'!BR693+('Tablas Servicio'!BT692-'Tablas Servicio'!BR692),BR693/(1-IF(B693&lt;=10,Parámetros!$D$100,0))),2))</f>
        <v/>
      </c>
      <c r="BU693" s="66" t="str">
        <f t="shared" si="969"/>
        <v/>
      </c>
      <c r="BV693" s="66" t="str">
        <f t="shared" si="969"/>
        <v/>
      </c>
      <c r="BW693" s="66" t="str">
        <f>+IF($W693="","",ROUND((BT693*Parámetros!$G$85),2))</f>
        <v/>
      </c>
      <c r="BX693" s="66" t="str">
        <f>+IF($W693="","",ROUND((BT693*(Parámetros!$G$86)),2))</f>
        <v/>
      </c>
      <c r="BY693" s="66" t="str">
        <f t="shared" si="970"/>
        <v/>
      </c>
      <c r="BZ693" t="str">
        <f t="shared" si="923"/>
        <v/>
      </c>
      <c r="CA693" t="str">
        <f t="shared" si="924"/>
        <v/>
      </c>
      <c r="CB693" s="118" t="str">
        <f t="shared" si="925"/>
        <v/>
      </c>
      <c r="CC693" s="118" t="str">
        <f t="shared" si="926"/>
        <v/>
      </c>
      <c r="CD693" s="119" t="str">
        <f t="shared" si="971"/>
        <v/>
      </c>
      <c r="CE693" s="66" t="str">
        <f>+IF($W693="","",ROUND((VLOOKUP(ROUNDDOWN($D693-1/frec,0),cob_adi,BO$40,FALSE)*(1+i/frec)^-0.5*(1+Parámetros!$D$103)*(1+rec_fracc)/frec*'TABLAS ADI'!$BC$17),2))</f>
        <v/>
      </c>
      <c r="CF693" s="119" t="str">
        <f t="shared" si="972"/>
        <v/>
      </c>
      <c r="CG693" s="66" t="str">
        <f>+IF($W693="","",ROUND(IF($B693&gt;Parámetros!$D$107,'Tablas Servicio'!CE693+('Tablas Servicio'!CG692-'Tablas Servicio'!CE692),CE693/(1-IF(B693&lt;=10,Parámetros!$D$100,0))),2))</f>
        <v/>
      </c>
      <c r="CH693" s="66" t="str">
        <f t="shared" si="973"/>
        <v/>
      </c>
      <c r="CI693" s="66" t="str">
        <f t="shared" si="973"/>
        <v/>
      </c>
      <c r="CJ693" s="66" t="str">
        <f>+IF($W693="","",ROUND((CG693*Parámetros!$G$85),2))</f>
        <v/>
      </c>
      <c r="CK693" s="66" t="str">
        <f>+IF($W693="","",ROUND((CG693*(Parámetros!$G$86)),2))</f>
        <v/>
      </c>
      <c r="CL693" s="66" t="str">
        <f t="shared" si="974"/>
        <v/>
      </c>
      <c r="CM693" t="str">
        <f t="shared" si="927"/>
        <v/>
      </c>
      <c r="CN693" s="118" t="str">
        <f t="shared" si="928"/>
        <v/>
      </c>
      <c r="CO693" s="118" t="str">
        <f t="shared" si="929"/>
        <v/>
      </c>
      <c r="CP693" s="118" t="str">
        <f t="shared" si="930"/>
        <v/>
      </c>
      <c r="CQ693" s="119" t="str">
        <f t="shared" si="975"/>
        <v/>
      </c>
      <c r="CR693" s="66" t="str">
        <f>+IF($W693="","",ROUND((VLOOKUP(Parámetros!$F$51,'COBERTURAS ADICIONALES'!$S$4:$T$32,2,FALSE)*(1+i/frec)^-0.5*(1+Parámetros!$D$103)*(1+rec_fracc)/frec*$CO$42),2))</f>
        <v/>
      </c>
      <c r="CS693" s="119" t="str">
        <f t="shared" si="976"/>
        <v/>
      </c>
      <c r="CT693" s="66" t="str">
        <f>+IF($W693="","",ROUND(IF($B693&gt;Parámetros!$D$107,'Tablas Servicio'!CR693+('Tablas Servicio'!CT692-'Tablas Servicio'!CR692),CR693/(1-IF(B693&lt;=10,Parámetros!$D$100,0))),2))</f>
        <v/>
      </c>
      <c r="CU693" s="66" t="str">
        <f t="shared" si="977"/>
        <v/>
      </c>
      <c r="CV693" s="66" t="str">
        <f t="shared" si="977"/>
        <v/>
      </c>
      <c r="CW693" s="66" t="str">
        <f>+IF($W693="","",ROUND((CT693*Parámetros!$G$85),2))</f>
        <v/>
      </c>
      <c r="CX693" s="66" t="str">
        <f>+IF($W693="","",ROUND((CT693*(Parámetros!$G$86)),2))</f>
        <v/>
      </c>
      <c r="CY693" s="66" t="str">
        <f t="shared" si="978"/>
        <v/>
      </c>
      <c r="CZ693" t="str">
        <f t="shared" si="931"/>
        <v/>
      </c>
      <c r="DA693" s="118" t="str">
        <f t="shared" si="932"/>
        <v/>
      </c>
      <c r="DB693" s="118" t="str">
        <f t="shared" si="933"/>
        <v/>
      </c>
      <c r="DC693" s="118" t="str">
        <f t="shared" si="934"/>
        <v/>
      </c>
      <c r="DD693" s="121" t="str">
        <f>+IF(OR($W693="",DB693=0),"",ROUND((VLOOKUP(ROUNDDOWN($D693-1/frec,0),cob_adi,CO$40,FALSE)*(1+i/frec)^-0.5*(1+Parámetros!$D$103)*(1+rec_fracc)/frec),6))</f>
        <v/>
      </c>
      <c r="DE693" s="66" t="str">
        <f t="shared" si="979"/>
        <v/>
      </c>
      <c r="DF693" s="119" t="str">
        <f t="shared" si="980"/>
        <v/>
      </c>
      <c r="DG693" s="66" t="str">
        <f>+IF($W693="","",ROUND(IF($B693&gt;Parámetros!$D$107,'Tablas Servicio'!DE693+('Tablas Servicio'!DG692-'Tablas Servicio'!DE692),DE693/(1-IF(B693&lt;=10,Parámetros!$D$100,0))),2))</f>
        <v/>
      </c>
      <c r="DH693" s="66" t="str">
        <f t="shared" si="981"/>
        <v/>
      </c>
      <c r="DI693" s="66" t="str">
        <f t="shared" si="981"/>
        <v/>
      </c>
      <c r="DJ693" s="66" t="str">
        <f>+IF($W693="","",ROUND((DG693*Parámetros!$G$85),2))</f>
        <v/>
      </c>
      <c r="DK693" s="66" t="str">
        <f>+IF($W693="","",ROUND((DG693*(Parámetros!$G$86)),2))</f>
        <v/>
      </c>
      <c r="DL693" s="66" t="str">
        <f t="shared" si="982"/>
        <v/>
      </c>
      <c r="DM693" t="str">
        <f t="shared" si="935"/>
        <v/>
      </c>
      <c r="DN693" s="118" t="str">
        <f t="shared" si="936"/>
        <v/>
      </c>
      <c r="DO693" s="118" t="str">
        <f t="shared" si="937"/>
        <v/>
      </c>
      <c r="DP693" s="118" t="str">
        <f t="shared" si="938"/>
        <v/>
      </c>
      <c r="DQ693" s="122" t="str">
        <f>+IF(OR($W693="",DO693=0),"",ROUND((VLOOKUP(ROUNDDOWN($D693-1/frec,0),cob_adi,DB$40,FALSE)*(1+i/frec)^-0.5*(1+Parámetros!$D$103)*(1+rec_fracc)/frec),6))</f>
        <v/>
      </c>
      <c r="DR693" s="66" t="str">
        <f t="shared" si="983"/>
        <v/>
      </c>
      <c r="DS693" s="68" t="str">
        <f t="shared" si="984"/>
        <v/>
      </c>
      <c r="DT693" s="66" t="str">
        <f>+IF($W693="","",ROUND(IF($B693&gt;Parámetros!$D$107,'Tablas Servicio'!DR693+('Tablas Servicio'!DT692-'Tablas Servicio'!DR692),DR693/(1-IF(B693&lt;=10,Parámetros!$D$100,0))),2))</f>
        <v/>
      </c>
      <c r="DU693" s="66" t="str">
        <f t="shared" si="985"/>
        <v/>
      </c>
      <c r="DV693" s="66" t="str">
        <f t="shared" si="985"/>
        <v/>
      </c>
      <c r="DW693" s="66" t="str">
        <f>+IF($W693="","",ROUND((DT693*Parámetros!$G$85),2))</f>
        <v/>
      </c>
      <c r="DX693" s="66" t="str">
        <f>+IF($W693="","",ROUND((DT693*(Parámetros!$G$86)),2))</f>
        <v/>
      </c>
      <c r="DY693" s="66" t="str">
        <f t="shared" si="986"/>
        <v/>
      </c>
      <c r="DZ693" t="str">
        <f t="shared" si="987"/>
        <v/>
      </c>
      <c r="EA693" s="118" t="str">
        <f t="shared" si="987"/>
        <v/>
      </c>
      <c r="EB693" s="118" t="str">
        <f>+IF($W693="","",ROUND(IF(Parámetros!$D$25='TABLAS MORT'!$V$33,EB692,Z693/2),0))</f>
        <v/>
      </c>
      <c r="EC693" s="118" t="str">
        <f t="shared" si="987"/>
        <v/>
      </c>
      <c r="ED693" s="122" t="str">
        <f>+IF(OR($W693="",EB693=0),"",ROUND((VLOOKUP(ROUNDDOWN($D693-1/frec,0),cob_adi,DO$40,FALSE)*(1+i/frec)^-0.5*(1+Parámetros!$D$103)*(1+rec_fracc)/frec),6))</f>
        <v/>
      </c>
      <c r="EE693" s="66" t="str">
        <f t="shared" si="988"/>
        <v/>
      </c>
      <c r="EF693" s="68" t="str">
        <f t="shared" si="989"/>
        <v/>
      </c>
      <c r="EG693" s="66" t="str">
        <f>+IF($W693="","",ROUND(IF($B693&gt;Parámetros!$D$107,'Tablas Servicio'!EE693+('Tablas Servicio'!EG692-'Tablas Servicio'!EE692),EE693/(1-IF(B693&lt;=10,Parámetros!$D$100,0))),2))</f>
        <v/>
      </c>
      <c r="EH693" s="66" t="str">
        <f t="shared" si="990"/>
        <v/>
      </c>
      <c r="EI693" s="66" t="str">
        <f t="shared" si="990"/>
        <v/>
      </c>
      <c r="EJ693" s="66" t="str">
        <f>+IF($W693="","",ROUND((EG693*Parámetros!$G$85),2))</f>
        <v/>
      </c>
      <c r="EK693" s="66" t="str">
        <f>+IF($W693="","",ROUND((EG693*(Parámetros!$G$86)),2))</f>
        <v/>
      </c>
      <c r="EL693" s="66" t="str">
        <f t="shared" si="991"/>
        <v/>
      </c>
    </row>
    <row r="694" spans="1:142" x14ac:dyDescent="0.25">
      <c r="A694" t="str">
        <f>+IF($C694="","",ROUND(VLOOKUP('Tablas Servicio'!B694,Parámetros!$H$100:$J$159,IF(Parámetros!$E$16="F",2,3),FALSE),2))</f>
        <v/>
      </c>
      <c r="B694" t="str">
        <f t="shared" si="942"/>
        <v/>
      </c>
      <c r="C694" s="57" t="str">
        <f>+IF(D694="","",'Tablas Servicio'!C693+1)</f>
        <v/>
      </c>
      <c r="D694" s="56" t="str">
        <f>+IF(D693&lt;edadmaxtabla,D693+1/Parámetros!$E$25,"")</f>
        <v/>
      </c>
      <c r="E694" s="57" t="str">
        <f t="shared" si="952"/>
        <v/>
      </c>
      <c r="F694" s="59" t="str">
        <f t="shared" si="953"/>
        <v/>
      </c>
      <c r="G694" s="66" t="str">
        <f t="shared" si="943"/>
        <v/>
      </c>
      <c r="H694" s="66" t="str">
        <f t="shared" si="944"/>
        <v/>
      </c>
      <c r="I694" s="66" t="str">
        <f t="shared" ref="I694:I757" si="992">+IF($C694="","",N694-H694-P694)</f>
        <v/>
      </c>
      <c r="J694" s="66" t="str">
        <f t="shared" si="945"/>
        <v/>
      </c>
      <c r="K694" s="66" t="str">
        <f t="shared" si="946"/>
        <v/>
      </c>
      <c r="L694" s="66" t="str">
        <f t="shared" si="947"/>
        <v/>
      </c>
      <c r="M694" s="66" t="str">
        <f t="shared" si="948"/>
        <v/>
      </c>
      <c r="N694" s="66" t="str">
        <f>+IF(C694="","",ROUND(Parámetros!$D$23,2))</f>
        <v/>
      </c>
      <c r="O694" s="66" t="str">
        <f t="shared" si="949"/>
        <v/>
      </c>
      <c r="P694" s="66" t="str">
        <f>+IF($C694="","",ROUND(IF(B694&gt;Parámetros!$D$117,0,N694*Parámetros!$D$116-G694*Parámetros!$D$100),2))</f>
        <v/>
      </c>
      <c r="Q694" s="75" t="str">
        <f t="shared" ref="Q694:Q757" si="993">+IF($C694="","",J694/$G694)</f>
        <v/>
      </c>
      <c r="R694" s="75" t="str">
        <f t="shared" ref="R694:R757" si="994">+IF($C694="","",K694/$G694)</f>
        <v/>
      </c>
      <c r="S694" s="117" t="str">
        <f>+IF($C694="","",ROUND((S693+I694)*(1+Parámetros!$D$91),2))</f>
        <v/>
      </c>
      <c r="T694" s="117" t="str">
        <f>+IF($C694="","",ROUND(S694*VLOOKUP(B694,Parámetros!$C$30:$D$39,2,TRUE),2))</f>
        <v/>
      </c>
      <c r="U694" s="117" t="str">
        <f>+IF($C694="","",ROUND((U693+I694)*(1+Parámetros!$D$92),2))</f>
        <v/>
      </c>
      <c r="V694" s="117" t="str">
        <f>+IF($C694="","",ROUND(U694*VLOOKUP(B694,Parámetros!$C$30:$D$39,2,TRUE),2))</f>
        <v/>
      </c>
      <c r="W694" s="57" t="str">
        <f t="shared" ref="W694:W757" si="995">+C694</f>
        <v/>
      </c>
      <c r="X694" t="str">
        <f t="shared" ref="X694:X757" si="996">+IF($W694="","",X693)</f>
        <v/>
      </c>
      <c r="Y694" t="str">
        <f t="shared" ref="Y694:Y757" si="997">+IF($W694="","",Y693)</f>
        <v/>
      </c>
      <c r="Z694" s="118" t="str">
        <f>+IF($W694="","",ROUND(IF(Parámetros!$D$25='TABLAS MORT'!$V$33,Z693,Parámetros!$D$21-'Tablas Servicio'!T693),0))</f>
        <v/>
      </c>
      <c r="AA694" s="118" t="str">
        <f t="shared" ref="AA694:AA757" si="998">+IF($W694="","",AA693)</f>
        <v/>
      </c>
      <c r="AB694" s="119" t="str">
        <f>+IF(W694="","",ROUND((VLOOKUP(ROUNDDOWN($D694-1/frec,0),qx_tabla,2,FALSE)*(1+i/frec)^-0.5*(1+Parámetros!$D$103)*(1+rec_fracc)/frec),6))</f>
        <v/>
      </c>
      <c r="AC694" s="66" t="str">
        <f t="shared" si="954"/>
        <v/>
      </c>
      <c r="AD694" s="119" t="str">
        <f t="shared" si="950"/>
        <v/>
      </c>
      <c r="AE694" s="66" t="str">
        <f>+IF($W694="","",ROUND(IF($B694&gt;Parámetros!$D$107,'Tablas Servicio'!AC694+('Tablas Servicio'!AG693-'Tablas Servicio'!AC693),AC694/(1-IF(B694&lt;=10,Parámetros!$D$104,Parámetros!$D$105))),2))</f>
        <v/>
      </c>
      <c r="AF694" s="66" t="str">
        <f>+IF($W694="","",ROUND(IF($B694&gt;Parámetros!$D$107,'Tablas Servicio'!AC694+('Tablas Servicio'!AG693-'Tablas Servicio'!AC693),(AC694+$A693/frec)/(1-IF(B694&lt;=Parámetros!$D$117,Parámetros!$D$100,0))),2))</f>
        <v/>
      </c>
      <c r="AG694" s="66" t="str">
        <f t="shared" si="955"/>
        <v/>
      </c>
      <c r="AH694" s="66" t="str">
        <f t="shared" si="956"/>
        <v/>
      </c>
      <c r="AI694" s="66" t="str">
        <f t="shared" si="957"/>
        <v/>
      </c>
      <c r="AJ694" s="66" t="str">
        <f>+IF($W694="","",ROUND((AG694*Parámetros!$G$85),2))</f>
        <v/>
      </c>
      <c r="AK694" s="66" t="str">
        <f>+IF($W694="","",ROUND((AG694*(Parámetros!$G$86)),2))</f>
        <v/>
      </c>
      <c r="AL694" s="66" t="str">
        <f t="shared" si="951"/>
        <v/>
      </c>
      <c r="AM694" t="str">
        <f t="shared" ref="AM694:AM757" si="999">+IF($W694="","",AM693)</f>
        <v/>
      </c>
      <c r="AN694" t="str">
        <f t="shared" ref="AN694:AN757" si="1000">+IF($W694="","",AN693)</f>
        <v/>
      </c>
      <c r="AO694" s="118" t="str">
        <f t="shared" ref="AO694:AO757" si="1001">+IF($W694="","",AO693)</f>
        <v/>
      </c>
      <c r="AP694" s="118" t="str">
        <f t="shared" ref="AP694:AP757" si="1002">+IF($W694="","",AP693)</f>
        <v/>
      </c>
      <c r="AQ694" s="119" t="str">
        <f>+IF(OR($W694="",AO694=0),"",ROUND((VLOOKUP(ROUNDDOWN($D694-1/frec,0),cob_adi,Z$40,FALSE)*(1+i/frec)^-0.5*(1+Parámetros!$D$103)*(1+rec_fracc)/frec),6))</f>
        <v/>
      </c>
      <c r="AR694" s="66" t="str">
        <f t="shared" si="958"/>
        <v/>
      </c>
      <c r="AS694" s="119" t="str">
        <f t="shared" si="959"/>
        <v/>
      </c>
      <c r="AT694" s="66" t="str">
        <f>+IF($W694="","",ROUND(IF($B694&gt;Parámetros!$D$107,'Tablas Servicio'!AR694+('Tablas Servicio'!AT693-'Tablas Servicio'!AR693),AR694/(1-IF(B694&lt;=10,Parámetros!$D$100,0))),2))</f>
        <v/>
      </c>
      <c r="AU694" s="66" t="str">
        <f t="shared" si="960"/>
        <v/>
      </c>
      <c r="AV694" s="66" t="str">
        <f t="shared" si="960"/>
        <v/>
      </c>
      <c r="AW694" s="66" t="str">
        <f>+IF($W694="","",ROUND((AT694*Parámetros!$G$85),2))</f>
        <v/>
      </c>
      <c r="AX694" s="66" t="str">
        <f>+IF($W694="","",ROUND((AT694*(Parámetros!$G$86)),2))</f>
        <v/>
      </c>
      <c r="AY694" s="66" t="str">
        <f t="shared" si="961"/>
        <v/>
      </c>
      <c r="AZ694" t="str">
        <f t="shared" ref="AZ694:AZ757" si="1003">+IF($W694="","",AZ693)</f>
        <v/>
      </c>
      <c r="BA694" t="str">
        <f t="shared" ref="BA694:BA757" si="1004">+IF($W694="","",BA693)</f>
        <v/>
      </c>
      <c r="BB694" s="118" t="str">
        <f t="shared" ref="BB694:BB757" si="1005">+IF($W694="","",BB693)</f>
        <v/>
      </c>
      <c r="BC694" s="118" t="str">
        <f t="shared" ref="BC694:BC757" si="1006">+IF($W694="","",BC693)</f>
        <v/>
      </c>
      <c r="BD694" s="119" t="str">
        <f>+IF(OR($W694="",BB694=0),"",ROUND((VLOOKUP(ROUNDDOWN($D694-1/frec,0),cob_adi,AO$40,FALSE)*(1+i/frec)^-0.5*(1+Parámetros!$D$103)*(1+rec_fracc)/frec),6))</f>
        <v/>
      </c>
      <c r="BE694" s="66" t="str">
        <f t="shared" si="962"/>
        <v/>
      </c>
      <c r="BF694" s="119" t="str">
        <f t="shared" si="963"/>
        <v/>
      </c>
      <c r="BG694" s="66" t="str">
        <f>+IF($W694="","",ROUND(IF($B694&gt;Parámetros!$D$107,'Tablas Servicio'!BE694+('Tablas Servicio'!BG693-'Tablas Servicio'!BE693),BE694/(1-IF(B694&lt;=10,Parámetros!$D$100,0))),2))</f>
        <v/>
      </c>
      <c r="BH694" s="66" t="str">
        <f t="shared" si="964"/>
        <v/>
      </c>
      <c r="BI694" s="66" t="str">
        <f t="shared" si="965"/>
        <v/>
      </c>
      <c r="BJ694" s="66" t="str">
        <f>+IF($W694="","",ROUND((BG694*Parámetros!$G$85),2))</f>
        <v/>
      </c>
      <c r="BK694" s="66" t="str">
        <f>+IF($W694="","",ROUND((BG694*(Parámetros!$G$86)),2))</f>
        <v/>
      </c>
      <c r="BL694" s="66" t="str">
        <f t="shared" si="966"/>
        <v/>
      </c>
      <c r="BM694" t="str">
        <f t="shared" ref="BM694:BM757" si="1007">+IF($W694="","",BM693)</f>
        <v/>
      </c>
      <c r="BN694" t="str">
        <f t="shared" ref="BN694:BN757" si="1008">+IF($W694="","",BN693)</f>
        <v/>
      </c>
      <c r="BO694" s="118" t="str">
        <f t="shared" ref="BO694:BO757" si="1009">+IF($W694="","",BO693)</f>
        <v/>
      </c>
      <c r="BP694" s="118" t="str">
        <f t="shared" ref="BP694:BP757" si="1010">+IF($W694="","",BP693)</f>
        <v/>
      </c>
      <c r="BQ694" s="119" t="str">
        <f>+IF(OR($W694="",BO694=0),"",ROUND((VLOOKUP(ROUNDDOWN($D694-1/frec,0),cob_adi,BB$40,FALSE)*(1+i/frec)^-0.5*(1+Parámetros!$D$103)*(1+rec_fracc)/frec),6))</f>
        <v/>
      </c>
      <c r="BR694" s="66" t="str">
        <f t="shared" si="967"/>
        <v/>
      </c>
      <c r="BS694" s="119" t="str">
        <f t="shared" si="968"/>
        <v/>
      </c>
      <c r="BT694" s="66" t="str">
        <f>+IF($W694="","",ROUND(IF($B694&gt;Parámetros!$D$107,'Tablas Servicio'!BR694+('Tablas Servicio'!BT693-'Tablas Servicio'!BR693),BR694/(1-IF(B694&lt;=10,Parámetros!$D$100,0))),2))</f>
        <v/>
      </c>
      <c r="BU694" s="66" t="str">
        <f t="shared" si="969"/>
        <v/>
      </c>
      <c r="BV694" s="66" t="str">
        <f t="shared" si="969"/>
        <v/>
      </c>
      <c r="BW694" s="66" t="str">
        <f>+IF($W694="","",ROUND((BT694*Parámetros!$G$85),2))</f>
        <v/>
      </c>
      <c r="BX694" s="66" t="str">
        <f>+IF($W694="","",ROUND((BT694*(Parámetros!$G$86)),2))</f>
        <v/>
      </c>
      <c r="BY694" s="66" t="str">
        <f t="shared" si="970"/>
        <v/>
      </c>
      <c r="BZ694" t="str">
        <f t="shared" ref="BZ694:BZ757" si="1011">+IF($W694="","",BZ693)</f>
        <v/>
      </c>
      <c r="CA694" t="str">
        <f t="shared" ref="CA694:CA757" si="1012">+IF($W694="","",CA693)</f>
        <v/>
      </c>
      <c r="CB694" s="118" t="str">
        <f t="shared" ref="CB694:CB757" si="1013">+IF($W694="","",CB693)</f>
        <v/>
      </c>
      <c r="CC694" s="118" t="str">
        <f t="shared" ref="CC694:CC757" si="1014">+IF($W694="","",CC693)</f>
        <v/>
      </c>
      <c r="CD694" s="119" t="str">
        <f t="shared" si="971"/>
        <v/>
      </c>
      <c r="CE694" s="66" t="str">
        <f>+IF($W694="","",ROUND((VLOOKUP(ROUNDDOWN($D694-1/frec,0),cob_adi,BO$40,FALSE)*(1+i/frec)^-0.5*(1+Parámetros!$D$103)*(1+rec_fracc)/frec*'TABLAS ADI'!$BC$17),2))</f>
        <v/>
      </c>
      <c r="CF694" s="119" t="str">
        <f t="shared" si="972"/>
        <v/>
      </c>
      <c r="CG694" s="66" t="str">
        <f>+IF($W694="","",ROUND(IF($B694&gt;Parámetros!$D$107,'Tablas Servicio'!CE694+('Tablas Servicio'!CG693-'Tablas Servicio'!CE693),CE694/(1-IF(B694&lt;=10,Parámetros!$D$100,0))),2))</f>
        <v/>
      </c>
      <c r="CH694" s="66" t="str">
        <f t="shared" si="973"/>
        <v/>
      </c>
      <c r="CI694" s="66" t="str">
        <f t="shared" si="973"/>
        <v/>
      </c>
      <c r="CJ694" s="66" t="str">
        <f>+IF($W694="","",ROUND((CG694*Parámetros!$G$85),2))</f>
        <v/>
      </c>
      <c r="CK694" s="66" t="str">
        <f>+IF($W694="","",ROUND((CG694*(Parámetros!$G$86)),2))</f>
        <v/>
      </c>
      <c r="CL694" s="66" t="str">
        <f t="shared" si="974"/>
        <v/>
      </c>
      <c r="CM694" t="str">
        <f t="shared" ref="CM694:CM757" si="1015">+IF($W694="","",CM693)</f>
        <v/>
      </c>
      <c r="CN694" s="118" t="str">
        <f t="shared" ref="CN694:CN757" si="1016">+IF($W694="","",CN693)</f>
        <v/>
      </c>
      <c r="CO694" s="118" t="str">
        <f t="shared" ref="CO694:CO757" si="1017">+IF($W694="","",CO693)</f>
        <v/>
      </c>
      <c r="CP694" s="118" t="str">
        <f t="shared" ref="CP694:CP757" si="1018">+IF($W694="","",CP693)</f>
        <v/>
      </c>
      <c r="CQ694" s="119" t="str">
        <f t="shared" si="975"/>
        <v/>
      </c>
      <c r="CR694" s="66" t="str">
        <f>+IF($W694="","",ROUND((VLOOKUP(Parámetros!$F$51,'COBERTURAS ADICIONALES'!$S$4:$T$32,2,FALSE)*(1+i/frec)^-0.5*(1+Parámetros!$D$103)*(1+rec_fracc)/frec*$CO$42),2))</f>
        <v/>
      </c>
      <c r="CS694" s="119" t="str">
        <f t="shared" si="976"/>
        <v/>
      </c>
      <c r="CT694" s="66" t="str">
        <f>+IF($W694="","",ROUND(IF($B694&gt;Parámetros!$D$107,'Tablas Servicio'!CR694+('Tablas Servicio'!CT693-'Tablas Servicio'!CR693),CR694/(1-IF(B694&lt;=10,Parámetros!$D$100,0))),2))</f>
        <v/>
      </c>
      <c r="CU694" s="66" t="str">
        <f t="shared" si="977"/>
        <v/>
      </c>
      <c r="CV694" s="66" t="str">
        <f t="shared" si="977"/>
        <v/>
      </c>
      <c r="CW694" s="66" t="str">
        <f>+IF($W694="","",ROUND((CT694*Parámetros!$G$85),2))</f>
        <v/>
      </c>
      <c r="CX694" s="66" t="str">
        <f>+IF($W694="","",ROUND((CT694*(Parámetros!$G$86)),2))</f>
        <v/>
      </c>
      <c r="CY694" s="66" t="str">
        <f t="shared" si="978"/>
        <v/>
      </c>
      <c r="CZ694" t="str">
        <f t="shared" ref="CZ694:CZ757" si="1019">+IF($W694="","",CZ693)</f>
        <v/>
      </c>
      <c r="DA694" s="118" t="str">
        <f t="shared" ref="DA694:DA757" si="1020">+IF($W694="","",DA693)</f>
        <v/>
      </c>
      <c r="DB694" s="118" t="str">
        <f t="shared" ref="DB694:DB757" si="1021">+IF($W694="","",DB693)</f>
        <v/>
      </c>
      <c r="DC694" s="118" t="str">
        <f t="shared" ref="DC694:DC757" si="1022">+IF($W694="","",DC693)</f>
        <v/>
      </c>
      <c r="DD694" s="121" t="str">
        <f>+IF(OR($W694="",DB694=0),"",ROUND((VLOOKUP(ROUNDDOWN($D694-1/frec,0),cob_adi,CO$40,FALSE)*(1+i/frec)^-0.5*(1+Parámetros!$D$103)*(1+rec_fracc)/frec),6))</f>
        <v/>
      </c>
      <c r="DE694" s="66" t="str">
        <f t="shared" si="979"/>
        <v/>
      </c>
      <c r="DF694" s="119" t="str">
        <f t="shared" si="980"/>
        <v/>
      </c>
      <c r="DG694" s="66" t="str">
        <f>+IF($W694="","",ROUND(IF($B694&gt;Parámetros!$D$107,'Tablas Servicio'!DE694+('Tablas Servicio'!DG693-'Tablas Servicio'!DE693),DE694/(1-IF(B694&lt;=10,Parámetros!$D$100,0))),2))</f>
        <v/>
      </c>
      <c r="DH694" s="66" t="str">
        <f t="shared" si="981"/>
        <v/>
      </c>
      <c r="DI694" s="66" t="str">
        <f t="shared" si="981"/>
        <v/>
      </c>
      <c r="DJ694" s="66" t="str">
        <f>+IF($W694="","",ROUND((DG694*Parámetros!$G$85),2))</f>
        <v/>
      </c>
      <c r="DK694" s="66" t="str">
        <f>+IF($W694="","",ROUND((DG694*(Parámetros!$G$86)),2))</f>
        <v/>
      </c>
      <c r="DL694" s="66" t="str">
        <f t="shared" si="982"/>
        <v/>
      </c>
      <c r="DM694" t="str">
        <f t="shared" ref="DM694:DM757" si="1023">+IF($W694="","",DM693)</f>
        <v/>
      </c>
      <c r="DN694" s="118" t="str">
        <f t="shared" ref="DN694:DN757" si="1024">+IF($W694="","",DN693)</f>
        <v/>
      </c>
      <c r="DO694" s="118" t="str">
        <f t="shared" ref="DO694:DO757" si="1025">+IF($W694="","",DO693)</f>
        <v/>
      </c>
      <c r="DP694" s="118" t="str">
        <f t="shared" ref="DP694:DP757" si="1026">+IF($W694="","",DP693)</f>
        <v/>
      </c>
      <c r="DQ694" s="122" t="str">
        <f>+IF(OR($W694="",DO694=0),"",ROUND((VLOOKUP(ROUNDDOWN($D694-1/frec,0),cob_adi,DB$40,FALSE)*(1+i/frec)^-0.5*(1+Parámetros!$D$103)*(1+rec_fracc)/frec),6))</f>
        <v/>
      </c>
      <c r="DR694" s="66" t="str">
        <f t="shared" si="983"/>
        <v/>
      </c>
      <c r="DS694" s="68" t="str">
        <f t="shared" si="984"/>
        <v/>
      </c>
      <c r="DT694" s="66" t="str">
        <f>+IF($W694="","",ROUND(IF($B694&gt;Parámetros!$D$107,'Tablas Servicio'!DR694+('Tablas Servicio'!DT693-'Tablas Servicio'!DR693),DR694/(1-IF(B694&lt;=10,Parámetros!$D$100,0))),2))</f>
        <v/>
      </c>
      <c r="DU694" s="66" t="str">
        <f t="shared" si="985"/>
        <v/>
      </c>
      <c r="DV694" s="66" t="str">
        <f t="shared" si="985"/>
        <v/>
      </c>
      <c r="DW694" s="66" t="str">
        <f>+IF($W694="","",ROUND((DT694*Parámetros!$G$85),2))</f>
        <v/>
      </c>
      <c r="DX694" s="66" t="str">
        <f>+IF($W694="","",ROUND((DT694*(Parámetros!$G$86)),2))</f>
        <v/>
      </c>
      <c r="DY694" s="66" t="str">
        <f t="shared" si="986"/>
        <v/>
      </c>
      <c r="DZ694" t="str">
        <f t="shared" si="987"/>
        <v/>
      </c>
      <c r="EA694" s="118" t="str">
        <f t="shared" si="987"/>
        <v/>
      </c>
      <c r="EB694" s="118" t="str">
        <f>+IF($W694="","",ROUND(IF(Parámetros!$D$25='TABLAS MORT'!$V$33,EB693,Z694/2),0))</f>
        <v/>
      </c>
      <c r="EC694" s="118" t="str">
        <f t="shared" si="987"/>
        <v/>
      </c>
      <c r="ED694" s="122" t="str">
        <f>+IF(OR($W694="",EB694=0),"",ROUND((VLOOKUP(ROUNDDOWN($D694-1/frec,0),cob_adi,DO$40,FALSE)*(1+i/frec)^-0.5*(1+Parámetros!$D$103)*(1+rec_fracc)/frec),6))</f>
        <v/>
      </c>
      <c r="EE694" s="66" t="str">
        <f t="shared" si="988"/>
        <v/>
      </c>
      <c r="EF694" s="68" t="str">
        <f t="shared" si="989"/>
        <v/>
      </c>
      <c r="EG694" s="66" t="str">
        <f>+IF($W694="","",ROUND(IF($B694&gt;Parámetros!$D$107,'Tablas Servicio'!EE694+('Tablas Servicio'!EG693-'Tablas Servicio'!EE693),EE694/(1-IF(B694&lt;=10,Parámetros!$D$100,0))),2))</f>
        <v/>
      </c>
      <c r="EH694" s="66" t="str">
        <f t="shared" si="990"/>
        <v/>
      </c>
      <c r="EI694" s="66" t="str">
        <f t="shared" si="990"/>
        <v/>
      </c>
      <c r="EJ694" s="66" t="str">
        <f>+IF($W694="","",ROUND((EG694*Parámetros!$G$85),2))</f>
        <v/>
      </c>
      <c r="EK694" s="66" t="str">
        <f>+IF($W694="","",ROUND((EG694*(Parámetros!$G$86)),2))</f>
        <v/>
      </c>
      <c r="EL694" s="66" t="str">
        <f t="shared" si="991"/>
        <v/>
      </c>
    </row>
    <row r="695" spans="1:142" x14ac:dyDescent="0.25">
      <c r="A695" t="str">
        <f>+IF($C695="","",ROUND(VLOOKUP('Tablas Servicio'!B695,Parámetros!$H$100:$J$159,IF(Parámetros!$E$16="F",2,3),FALSE),2))</f>
        <v/>
      </c>
      <c r="B695" t="str">
        <f t="shared" si="942"/>
        <v/>
      </c>
      <c r="C695" s="57" t="str">
        <f>+IF(D695="","",'Tablas Servicio'!C694+1)</f>
        <v/>
      </c>
      <c r="D695" s="56" t="str">
        <f>+IF(D694&lt;edadmaxtabla,D694+1/Parámetros!$E$25,"")</f>
        <v/>
      </c>
      <c r="E695" s="57" t="str">
        <f t="shared" si="952"/>
        <v/>
      </c>
      <c r="F695" s="59" t="str">
        <f t="shared" si="953"/>
        <v/>
      </c>
      <c r="G695" s="66" t="str">
        <f t="shared" si="943"/>
        <v/>
      </c>
      <c r="H695" s="66" t="str">
        <f t="shared" si="944"/>
        <v/>
      </c>
      <c r="I695" s="66" t="str">
        <f t="shared" si="992"/>
        <v/>
      </c>
      <c r="J695" s="66" t="str">
        <f t="shared" si="945"/>
        <v/>
      </c>
      <c r="K695" s="66" t="str">
        <f t="shared" si="946"/>
        <v/>
      </c>
      <c r="L695" s="66" t="str">
        <f t="shared" si="947"/>
        <v/>
      </c>
      <c r="M695" s="66" t="str">
        <f t="shared" si="948"/>
        <v/>
      </c>
      <c r="N695" s="66" t="str">
        <f>+IF(C695="","",ROUND(Parámetros!$D$23,2))</f>
        <v/>
      </c>
      <c r="O695" s="66" t="str">
        <f t="shared" si="949"/>
        <v/>
      </c>
      <c r="P695" s="66" t="str">
        <f>+IF($C695="","",ROUND(IF(B695&gt;Parámetros!$D$117,0,N695*Parámetros!$D$116-G695*Parámetros!$D$100),2))</f>
        <v/>
      </c>
      <c r="Q695" s="75" t="str">
        <f t="shared" si="993"/>
        <v/>
      </c>
      <c r="R695" s="75" t="str">
        <f t="shared" si="994"/>
        <v/>
      </c>
      <c r="S695" s="117" t="str">
        <f>+IF($C695="","",ROUND((S694+I695)*(1+Parámetros!$D$91),2))</f>
        <v/>
      </c>
      <c r="T695" s="117" t="str">
        <f>+IF($C695="","",ROUND(S695*VLOOKUP(B695,Parámetros!$C$30:$D$39,2,TRUE),2))</f>
        <v/>
      </c>
      <c r="U695" s="117" t="str">
        <f>+IF($C695="","",ROUND((U694+I695)*(1+Parámetros!$D$92),2))</f>
        <v/>
      </c>
      <c r="V695" s="117" t="str">
        <f>+IF($C695="","",ROUND(U695*VLOOKUP(B695,Parámetros!$C$30:$D$39,2,TRUE),2))</f>
        <v/>
      </c>
      <c r="W695" s="57" t="str">
        <f t="shared" si="995"/>
        <v/>
      </c>
      <c r="X695" t="str">
        <f t="shared" si="996"/>
        <v/>
      </c>
      <c r="Y695" t="str">
        <f t="shared" si="997"/>
        <v/>
      </c>
      <c r="Z695" s="118" t="str">
        <f>+IF($W695="","",ROUND(IF(Parámetros!$D$25='TABLAS MORT'!$V$33,Z694,Parámetros!$D$21-'Tablas Servicio'!T694),0))</f>
        <v/>
      </c>
      <c r="AA695" s="118" t="str">
        <f t="shared" si="998"/>
        <v/>
      </c>
      <c r="AB695" s="119" t="str">
        <f>+IF(W695="","",ROUND((VLOOKUP(ROUNDDOWN($D695-1/frec,0),qx_tabla,2,FALSE)*(1+i/frec)^-0.5*(1+Parámetros!$D$103)*(1+rec_fracc)/frec),6))</f>
        <v/>
      </c>
      <c r="AC695" s="66" t="str">
        <f t="shared" si="954"/>
        <v/>
      </c>
      <c r="AD695" s="119" t="str">
        <f t="shared" si="950"/>
        <v/>
      </c>
      <c r="AE695" s="66" t="str">
        <f>+IF($W695="","",ROUND(IF($B695&gt;Parámetros!$D$107,'Tablas Servicio'!AC695+('Tablas Servicio'!AG694-'Tablas Servicio'!AC694),AC695/(1-IF(B695&lt;=10,Parámetros!$D$104,Parámetros!$D$105))),2))</f>
        <v/>
      </c>
      <c r="AF695" s="66" t="str">
        <f>+IF($W695="","",ROUND(IF($B695&gt;Parámetros!$D$107,'Tablas Servicio'!AC695+('Tablas Servicio'!AG694-'Tablas Servicio'!AC694),(AC695+$A694/frec)/(1-IF(B695&lt;=Parámetros!$D$117,Parámetros!$D$100,0))),2))</f>
        <v/>
      </c>
      <c r="AG695" s="66" t="str">
        <f t="shared" si="955"/>
        <v/>
      </c>
      <c r="AH695" s="66" t="str">
        <f t="shared" si="956"/>
        <v/>
      </c>
      <c r="AI695" s="66" t="str">
        <f t="shared" si="957"/>
        <v/>
      </c>
      <c r="AJ695" s="66" t="str">
        <f>+IF($W695="","",ROUND((AG695*Parámetros!$G$85),2))</f>
        <v/>
      </c>
      <c r="AK695" s="66" t="str">
        <f>+IF($W695="","",ROUND((AG695*(Parámetros!$G$86)),2))</f>
        <v/>
      </c>
      <c r="AL695" s="66" t="str">
        <f t="shared" si="951"/>
        <v/>
      </c>
      <c r="AM695" t="str">
        <f t="shared" si="999"/>
        <v/>
      </c>
      <c r="AN695" t="str">
        <f t="shared" si="1000"/>
        <v/>
      </c>
      <c r="AO695" s="118" t="str">
        <f t="shared" si="1001"/>
        <v/>
      </c>
      <c r="AP695" s="118" t="str">
        <f t="shared" si="1002"/>
        <v/>
      </c>
      <c r="AQ695" s="119" t="str">
        <f>+IF(OR($W695="",AO695=0),"",ROUND((VLOOKUP(ROUNDDOWN($D695-1/frec,0),cob_adi,Z$40,FALSE)*(1+i/frec)^-0.5*(1+Parámetros!$D$103)*(1+rec_fracc)/frec),6))</f>
        <v/>
      </c>
      <c r="AR695" s="66" t="str">
        <f t="shared" si="958"/>
        <v/>
      </c>
      <c r="AS695" s="119" t="str">
        <f t="shared" si="959"/>
        <v/>
      </c>
      <c r="AT695" s="66" t="str">
        <f>+IF($W695="","",ROUND(IF($B695&gt;Parámetros!$D$107,'Tablas Servicio'!AR695+('Tablas Servicio'!AT694-'Tablas Servicio'!AR694),AR695/(1-IF(B695&lt;=10,Parámetros!$D$100,0))),2))</f>
        <v/>
      </c>
      <c r="AU695" s="66" t="str">
        <f t="shared" si="960"/>
        <v/>
      </c>
      <c r="AV695" s="66" t="str">
        <f t="shared" si="960"/>
        <v/>
      </c>
      <c r="AW695" s="66" t="str">
        <f>+IF($W695="","",ROUND((AT695*Parámetros!$G$85),2))</f>
        <v/>
      </c>
      <c r="AX695" s="66" t="str">
        <f>+IF($W695="","",ROUND((AT695*(Parámetros!$G$86)),2))</f>
        <v/>
      </c>
      <c r="AY695" s="66" t="str">
        <f t="shared" si="961"/>
        <v/>
      </c>
      <c r="AZ695" t="str">
        <f t="shared" si="1003"/>
        <v/>
      </c>
      <c r="BA695" t="str">
        <f t="shared" si="1004"/>
        <v/>
      </c>
      <c r="BB695" s="118" t="str">
        <f t="shared" si="1005"/>
        <v/>
      </c>
      <c r="BC695" s="118" t="str">
        <f t="shared" si="1006"/>
        <v/>
      </c>
      <c r="BD695" s="119" t="str">
        <f>+IF(OR($W695="",BB695=0),"",ROUND((VLOOKUP(ROUNDDOWN($D695-1/frec,0),cob_adi,AO$40,FALSE)*(1+i/frec)^-0.5*(1+Parámetros!$D$103)*(1+rec_fracc)/frec),6))</f>
        <v/>
      </c>
      <c r="BE695" s="66" t="str">
        <f t="shared" si="962"/>
        <v/>
      </c>
      <c r="BF695" s="119" t="str">
        <f t="shared" si="963"/>
        <v/>
      </c>
      <c r="BG695" s="66" t="str">
        <f>+IF($W695="","",ROUND(IF($B695&gt;Parámetros!$D$107,'Tablas Servicio'!BE695+('Tablas Servicio'!BG694-'Tablas Servicio'!BE694),BE695/(1-IF(B695&lt;=10,Parámetros!$D$100,0))),2))</f>
        <v/>
      </c>
      <c r="BH695" s="66" t="str">
        <f t="shared" si="964"/>
        <v/>
      </c>
      <c r="BI695" s="66" t="str">
        <f t="shared" si="965"/>
        <v/>
      </c>
      <c r="BJ695" s="66" t="str">
        <f>+IF($W695="","",ROUND((BG695*Parámetros!$G$85),2))</f>
        <v/>
      </c>
      <c r="BK695" s="66" t="str">
        <f>+IF($W695="","",ROUND((BG695*(Parámetros!$G$86)),2))</f>
        <v/>
      </c>
      <c r="BL695" s="66" t="str">
        <f t="shared" si="966"/>
        <v/>
      </c>
      <c r="BM695" t="str">
        <f t="shared" si="1007"/>
        <v/>
      </c>
      <c r="BN695" t="str">
        <f t="shared" si="1008"/>
        <v/>
      </c>
      <c r="BO695" s="118" t="str">
        <f t="shared" si="1009"/>
        <v/>
      </c>
      <c r="BP695" s="118" t="str">
        <f t="shared" si="1010"/>
        <v/>
      </c>
      <c r="BQ695" s="119" t="str">
        <f>+IF(OR($W695="",BO695=0),"",ROUND((VLOOKUP(ROUNDDOWN($D695-1/frec,0),cob_adi,BB$40,FALSE)*(1+i/frec)^-0.5*(1+Parámetros!$D$103)*(1+rec_fracc)/frec),6))</f>
        <v/>
      </c>
      <c r="BR695" s="66" t="str">
        <f t="shared" si="967"/>
        <v/>
      </c>
      <c r="BS695" s="119" t="str">
        <f t="shared" si="968"/>
        <v/>
      </c>
      <c r="BT695" s="66" t="str">
        <f>+IF($W695="","",ROUND(IF($B695&gt;Parámetros!$D$107,'Tablas Servicio'!BR695+('Tablas Servicio'!BT694-'Tablas Servicio'!BR694),BR695/(1-IF(B695&lt;=10,Parámetros!$D$100,0))),2))</f>
        <v/>
      </c>
      <c r="BU695" s="66" t="str">
        <f t="shared" si="969"/>
        <v/>
      </c>
      <c r="BV695" s="66" t="str">
        <f t="shared" si="969"/>
        <v/>
      </c>
      <c r="BW695" s="66" t="str">
        <f>+IF($W695="","",ROUND((BT695*Parámetros!$G$85),2))</f>
        <v/>
      </c>
      <c r="BX695" s="66" t="str">
        <f>+IF($W695="","",ROUND((BT695*(Parámetros!$G$86)),2))</f>
        <v/>
      </c>
      <c r="BY695" s="66" t="str">
        <f t="shared" si="970"/>
        <v/>
      </c>
      <c r="BZ695" t="str">
        <f t="shared" si="1011"/>
        <v/>
      </c>
      <c r="CA695" t="str">
        <f t="shared" si="1012"/>
        <v/>
      </c>
      <c r="CB695" s="118" t="str">
        <f t="shared" si="1013"/>
        <v/>
      </c>
      <c r="CC695" s="118" t="str">
        <f t="shared" si="1014"/>
        <v/>
      </c>
      <c r="CD695" s="119" t="str">
        <f t="shared" si="971"/>
        <v/>
      </c>
      <c r="CE695" s="66" t="str">
        <f>+IF($W695="","",ROUND((VLOOKUP(ROUNDDOWN($D695-1/frec,0),cob_adi,BO$40,FALSE)*(1+i/frec)^-0.5*(1+Parámetros!$D$103)*(1+rec_fracc)/frec*'TABLAS ADI'!$BC$17),2))</f>
        <v/>
      </c>
      <c r="CF695" s="119" t="str">
        <f t="shared" si="972"/>
        <v/>
      </c>
      <c r="CG695" s="66" t="str">
        <f>+IF($W695="","",ROUND(IF($B695&gt;Parámetros!$D$107,'Tablas Servicio'!CE695+('Tablas Servicio'!CG694-'Tablas Servicio'!CE694),CE695/(1-IF(B695&lt;=10,Parámetros!$D$100,0))),2))</f>
        <v/>
      </c>
      <c r="CH695" s="66" t="str">
        <f t="shared" si="973"/>
        <v/>
      </c>
      <c r="CI695" s="66" t="str">
        <f t="shared" si="973"/>
        <v/>
      </c>
      <c r="CJ695" s="66" t="str">
        <f>+IF($W695="","",ROUND((CG695*Parámetros!$G$85),2))</f>
        <v/>
      </c>
      <c r="CK695" s="66" t="str">
        <f>+IF($W695="","",ROUND((CG695*(Parámetros!$G$86)),2))</f>
        <v/>
      </c>
      <c r="CL695" s="66" t="str">
        <f t="shared" si="974"/>
        <v/>
      </c>
      <c r="CM695" t="str">
        <f t="shared" si="1015"/>
        <v/>
      </c>
      <c r="CN695" s="118" t="str">
        <f t="shared" si="1016"/>
        <v/>
      </c>
      <c r="CO695" s="118" t="str">
        <f t="shared" si="1017"/>
        <v/>
      </c>
      <c r="CP695" s="118" t="str">
        <f t="shared" si="1018"/>
        <v/>
      </c>
      <c r="CQ695" s="119" t="str">
        <f t="shared" si="975"/>
        <v/>
      </c>
      <c r="CR695" s="66" t="str">
        <f>+IF($W695="","",ROUND((VLOOKUP(Parámetros!$F$51,'COBERTURAS ADICIONALES'!$S$4:$T$32,2,FALSE)*(1+i/frec)^-0.5*(1+Parámetros!$D$103)*(1+rec_fracc)/frec*$CO$42),2))</f>
        <v/>
      </c>
      <c r="CS695" s="119" t="str">
        <f t="shared" si="976"/>
        <v/>
      </c>
      <c r="CT695" s="66" t="str">
        <f>+IF($W695="","",ROUND(IF($B695&gt;Parámetros!$D$107,'Tablas Servicio'!CR695+('Tablas Servicio'!CT694-'Tablas Servicio'!CR694),CR695/(1-IF(B695&lt;=10,Parámetros!$D$100,0))),2))</f>
        <v/>
      </c>
      <c r="CU695" s="66" t="str">
        <f t="shared" si="977"/>
        <v/>
      </c>
      <c r="CV695" s="66" t="str">
        <f t="shared" si="977"/>
        <v/>
      </c>
      <c r="CW695" s="66" t="str">
        <f>+IF($W695="","",ROUND((CT695*Parámetros!$G$85),2))</f>
        <v/>
      </c>
      <c r="CX695" s="66" t="str">
        <f>+IF($W695="","",ROUND((CT695*(Parámetros!$G$86)),2))</f>
        <v/>
      </c>
      <c r="CY695" s="66" t="str">
        <f t="shared" si="978"/>
        <v/>
      </c>
      <c r="CZ695" t="str">
        <f t="shared" si="1019"/>
        <v/>
      </c>
      <c r="DA695" s="118" t="str">
        <f t="shared" si="1020"/>
        <v/>
      </c>
      <c r="DB695" s="118" t="str">
        <f t="shared" si="1021"/>
        <v/>
      </c>
      <c r="DC695" s="118" t="str">
        <f t="shared" si="1022"/>
        <v/>
      </c>
      <c r="DD695" s="121" t="str">
        <f>+IF(OR($W695="",DB695=0),"",ROUND((VLOOKUP(ROUNDDOWN($D695-1/frec,0),cob_adi,CO$40,FALSE)*(1+i/frec)^-0.5*(1+Parámetros!$D$103)*(1+rec_fracc)/frec),6))</f>
        <v/>
      </c>
      <c r="DE695" s="66" t="str">
        <f t="shared" si="979"/>
        <v/>
      </c>
      <c r="DF695" s="119" t="str">
        <f t="shared" si="980"/>
        <v/>
      </c>
      <c r="DG695" s="66" t="str">
        <f>+IF($W695="","",ROUND(IF($B695&gt;Parámetros!$D$107,'Tablas Servicio'!DE695+('Tablas Servicio'!DG694-'Tablas Servicio'!DE694),DE695/(1-IF(B695&lt;=10,Parámetros!$D$100,0))),2))</f>
        <v/>
      </c>
      <c r="DH695" s="66" t="str">
        <f t="shared" si="981"/>
        <v/>
      </c>
      <c r="DI695" s="66" t="str">
        <f t="shared" si="981"/>
        <v/>
      </c>
      <c r="DJ695" s="66" t="str">
        <f>+IF($W695="","",ROUND((DG695*Parámetros!$G$85),2))</f>
        <v/>
      </c>
      <c r="DK695" s="66" t="str">
        <f>+IF($W695="","",ROUND((DG695*(Parámetros!$G$86)),2))</f>
        <v/>
      </c>
      <c r="DL695" s="66" t="str">
        <f t="shared" si="982"/>
        <v/>
      </c>
      <c r="DM695" t="str">
        <f t="shared" si="1023"/>
        <v/>
      </c>
      <c r="DN695" s="118" t="str">
        <f t="shared" si="1024"/>
        <v/>
      </c>
      <c r="DO695" s="118" t="str">
        <f t="shared" si="1025"/>
        <v/>
      </c>
      <c r="DP695" s="118" t="str">
        <f t="shared" si="1026"/>
        <v/>
      </c>
      <c r="DQ695" s="122" t="str">
        <f>+IF(OR($W695="",DO695=0),"",ROUND((VLOOKUP(ROUNDDOWN($D695-1/frec,0),cob_adi,DB$40,FALSE)*(1+i/frec)^-0.5*(1+Parámetros!$D$103)*(1+rec_fracc)/frec),6))</f>
        <v/>
      </c>
      <c r="DR695" s="66" t="str">
        <f t="shared" si="983"/>
        <v/>
      </c>
      <c r="DS695" s="68" t="str">
        <f t="shared" si="984"/>
        <v/>
      </c>
      <c r="DT695" s="66" t="str">
        <f>+IF($W695="","",ROUND(IF($B695&gt;Parámetros!$D$107,'Tablas Servicio'!DR695+('Tablas Servicio'!DT694-'Tablas Servicio'!DR694),DR695/(1-IF(B695&lt;=10,Parámetros!$D$100,0))),2))</f>
        <v/>
      </c>
      <c r="DU695" s="66" t="str">
        <f t="shared" si="985"/>
        <v/>
      </c>
      <c r="DV695" s="66" t="str">
        <f t="shared" si="985"/>
        <v/>
      </c>
      <c r="DW695" s="66" t="str">
        <f>+IF($W695="","",ROUND((DT695*Parámetros!$G$85),2))</f>
        <v/>
      </c>
      <c r="DX695" s="66" t="str">
        <f>+IF($W695="","",ROUND((DT695*(Parámetros!$G$86)),2))</f>
        <v/>
      </c>
      <c r="DY695" s="66" t="str">
        <f t="shared" si="986"/>
        <v/>
      </c>
      <c r="DZ695" t="str">
        <f t="shared" si="987"/>
        <v/>
      </c>
      <c r="EA695" s="118" t="str">
        <f t="shared" si="987"/>
        <v/>
      </c>
      <c r="EB695" s="118" t="str">
        <f>+IF($W695="","",ROUND(IF(Parámetros!$D$25='TABLAS MORT'!$V$33,EB694,Z695/2),0))</f>
        <v/>
      </c>
      <c r="EC695" s="118" t="str">
        <f t="shared" si="987"/>
        <v/>
      </c>
      <c r="ED695" s="122" t="str">
        <f>+IF(OR($W695="",EB695=0),"",ROUND((VLOOKUP(ROUNDDOWN($D695-1/frec,0),cob_adi,DO$40,FALSE)*(1+i/frec)^-0.5*(1+Parámetros!$D$103)*(1+rec_fracc)/frec),6))</f>
        <v/>
      </c>
      <c r="EE695" s="66" t="str">
        <f t="shared" si="988"/>
        <v/>
      </c>
      <c r="EF695" s="68" t="str">
        <f t="shared" si="989"/>
        <v/>
      </c>
      <c r="EG695" s="66" t="str">
        <f>+IF($W695="","",ROUND(IF($B695&gt;Parámetros!$D$107,'Tablas Servicio'!EE695+('Tablas Servicio'!EG694-'Tablas Servicio'!EE694),EE695/(1-IF(B695&lt;=10,Parámetros!$D$100,0))),2))</f>
        <v/>
      </c>
      <c r="EH695" s="66" t="str">
        <f t="shared" si="990"/>
        <v/>
      </c>
      <c r="EI695" s="66" t="str">
        <f t="shared" si="990"/>
        <v/>
      </c>
      <c r="EJ695" s="66" t="str">
        <f>+IF($W695="","",ROUND((EG695*Parámetros!$G$85),2))</f>
        <v/>
      </c>
      <c r="EK695" s="66" t="str">
        <f>+IF($W695="","",ROUND((EG695*(Parámetros!$G$86)),2))</f>
        <v/>
      </c>
      <c r="EL695" s="66" t="str">
        <f t="shared" si="991"/>
        <v/>
      </c>
    </row>
    <row r="696" spans="1:142" x14ac:dyDescent="0.25">
      <c r="A696" t="str">
        <f>+IF($C696="","",ROUND(VLOOKUP('Tablas Servicio'!B696,Parámetros!$H$100:$J$159,IF(Parámetros!$E$16="F",2,3),FALSE),2))</f>
        <v/>
      </c>
      <c r="B696" t="str">
        <f t="shared" si="942"/>
        <v/>
      </c>
      <c r="C696" s="57" t="str">
        <f>+IF(D696="","",'Tablas Servicio'!C695+1)</f>
        <v/>
      </c>
      <c r="D696" s="56" t="str">
        <f>+IF(D695&lt;edadmaxtabla,D695+1/Parámetros!$E$25,"")</f>
        <v/>
      </c>
      <c r="E696" s="57" t="str">
        <f t="shared" si="952"/>
        <v/>
      </c>
      <c r="F696" s="59" t="str">
        <f t="shared" si="953"/>
        <v/>
      </c>
      <c r="G696" s="66" t="str">
        <f t="shared" si="943"/>
        <v/>
      </c>
      <c r="H696" s="66" t="str">
        <f t="shared" si="944"/>
        <v/>
      </c>
      <c r="I696" s="66" t="str">
        <f t="shared" si="992"/>
        <v/>
      </c>
      <c r="J696" s="66" t="str">
        <f t="shared" si="945"/>
        <v/>
      </c>
      <c r="K696" s="66" t="str">
        <f t="shared" si="946"/>
        <v/>
      </c>
      <c r="L696" s="66" t="str">
        <f t="shared" si="947"/>
        <v/>
      </c>
      <c r="M696" s="66" t="str">
        <f t="shared" si="948"/>
        <v/>
      </c>
      <c r="N696" s="66" t="str">
        <f>+IF(C696="","",ROUND(Parámetros!$D$23,2))</f>
        <v/>
      </c>
      <c r="O696" s="66" t="str">
        <f t="shared" si="949"/>
        <v/>
      </c>
      <c r="P696" s="66" t="str">
        <f>+IF($C696="","",ROUND(IF(B696&gt;Parámetros!$D$117,0,N696*Parámetros!$D$116-G696*Parámetros!$D$100),2))</f>
        <v/>
      </c>
      <c r="Q696" s="75" t="str">
        <f t="shared" si="993"/>
        <v/>
      </c>
      <c r="R696" s="75" t="str">
        <f t="shared" si="994"/>
        <v/>
      </c>
      <c r="S696" s="117" t="str">
        <f>+IF($C696="","",ROUND((S695+I696)*(1+Parámetros!$D$91),2))</f>
        <v/>
      </c>
      <c r="T696" s="117" t="str">
        <f>+IF($C696="","",ROUND(S696*VLOOKUP(B696,Parámetros!$C$30:$D$39,2,TRUE),2))</f>
        <v/>
      </c>
      <c r="U696" s="117" t="str">
        <f>+IF($C696="","",ROUND((U695+I696)*(1+Parámetros!$D$92),2))</f>
        <v/>
      </c>
      <c r="V696" s="117" t="str">
        <f>+IF($C696="","",ROUND(U696*VLOOKUP(B696,Parámetros!$C$30:$D$39,2,TRUE),2))</f>
        <v/>
      </c>
      <c r="W696" s="57" t="str">
        <f t="shared" si="995"/>
        <v/>
      </c>
      <c r="X696" t="str">
        <f t="shared" si="996"/>
        <v/>
      </c>
      <c r="Y696" t="str">
        <f t="shared" si="997"/>
        <v/>
      </c>
      <c r="Z696" s="118" t="str">
        <f>+IF($W696="","",ROUND(IF(Parámetros!$D$25='TABLAS MORT'!$V$33,Z695,Parámetros!$D$21-'Tablas Servicio'!T695),0))</f>
        <v/>
      </c>
      <c r="AA696" s="118" t="str">
        <f t="shared" si="998"/>
        <v/>
      </c>
      <c r="AB696" s="119" t="str">
        <f>+IF(W696="","",ROUND((VLOOKUP(ROUNDDOWN($D696-1/frec,0),qx_tabla,2,FALSE)*(1+i/frec)^-0.5*(1+Parámetros!$D$103)*(1+rec_fracc)/frec),6))</f>
        <v/>
      </c>
      <c r="AC696" s="66" t="str">
        <f t="shared" si="954"/>
        <v/>
      </c>
      <c r="AD696" s="119" t="str">
        <f t="shared" si="950"/>
        <v/>
      </c>
      <c r="AE696" s="66" t="str">
        <f>+IF($W696="","",ROUND(IF($B696&gt;Parámetros!$D$107,'Tablas Servicio'!AC696+('Tablas Servicio'!AG695-'Tablas Servicio'!AC695),AC696/(1-IF(B696&lt;=10,Parámetros!$D$104,Parámetros!$D$105))),2))</f>
        <v/>
      </c>
      <c r="AF696" s="66" t="str">
        <f>+IF($W696="","",ROUND(IF($B696&gt;Parámetros!$D$107,'Tablas Servicio'!AC696+('Tablas Servicio'!AG695-'Tablas Servicio'!AC695),(AC696+$A695/frec)/(1-IF(B696&lt;=Parámetros!$D$117,Parámetros!$D$100,0))),2))</f>
        <v/>
      </c>
      <c r="AG696" s="66" t="str">
        <f t="shared" si="955"/>
        <v/>
      </c>
      <c r="AH696" s="66" t="str">
        <f t="shared" si="956"/>
        <v/>
      </c>
      <c r="AI696" s="66" t="str">
        <f t="shared" si="957"/>
        <v/>
      </c>
      <c r="AJ696" s="66" t="str">
        <f>+IF($W696="","",ROUND((AG696*Parámetros!$G$85),2))</f>
        <v/>
      </c>
      <c r="AK696" s="66" t="str">
        <f>+IF($W696="","",ROUND((AG696*(Parámetros!$G$86)),2))</f>
        <v/>
      </c>
      <c r="AL696" s="66" t="str">
        <f t="shared" si="951"/>
        <v/>
      </c>
      <c r="AM696" t="str">
        <f t="shared" si="999"/>
        <v/>
      </c>
      <c r="AN696" t="str">
        <f t="shared" si="1000"/>
        <v/>
      </c>
      <c r="AO696" s="118" t="str">
        <f t="shared" si="1001"/>
        <v/>
      </c>
      <c r="AP696" s="118" t="str">
        <f t="shared" si="1002"/>
        <v/>
      </c>
      <c r="AQ696" s="119" t="str">
        <f>+IF(OR($W696="",AO696=0),"",ROUND((VLOOKUP(ROUNDDOWN($D696-1/frec,0),cob_adi,Z$40,FALSE)*(1+i/frec)^-0.5*(1+Parámetros!$D$103)*(1+rec_fracc)/frec),6))</f>
        <v/>
      </c>
      <c r="AR696" s="66" t="str">
        <f t="shared" si="958"/>
        <v/>
      </c>
      <c r="AS696" s="119" t="str">
        <f t="shared" si="959"/>
        <v/>
      </c>
      <c r="AT696" s="66" t="str">
        <f>+IF($W696="","",ROUND(IF($B696&gt;Parámetros!$D$107,'Tablas Servicio'!AR696+('Tablas Servicio'!AT695-'Tablas Servicio'!AR695),AR696/(1-IF(B696&lt;=10,Parámetros!$D$100,0))),2))</f>
        <v/>
      </c>
      <c r="AU696" s="66" t="str">
        <f t="shared" si="960"/>
        <v/>
      </c>
      <c r="AV696" s="66" t="str">
        <f t="shared" si="960"/>
        <v/>
      </c>
      <c r="AW696" s="66" t="str">
        <f>+IF($W696="","",ROUND((AT696*Parámetros!$G$85),2))</f>
        <v/>
      </c>
      <c r="AX696" s="66" t="str">
        <f>+IF($W696="","",ROUND((AT696*(Parámetros!$G$86)),2))</f>
        <v/>
      </c>
      <c r="AY696" s="66" t="str">
        <f t="shared" si="961"/>
        <v/>
      </c>
      <c r="AZ696" t="str">
        <f t="shared" si="1003"/>
        <v/>
      </c>
      <c r="BA696" t="str">
        <f t="shared" si="1004"/>
        <v/>
      </c>
      <c r="BB696" s="118" t="str">
        <f t="shared" si="1005"/>
        <v/>
      </c>
      <c r="BC696" s="118" t="str">
        <f t="shared" si="1006"/>
        <v/>
      </c>
      <c r="BD696" s="119" t="str">
        <f>+IF(OR($W696="",BB696=0),"",ROUND((VLOOKUP(ROUNDDOWN($D696-1/frec,0),cob_adi,AO$40,FALSE)*(1+i/frec)^-0.5*(1+Parámetros!$D$103)*(1+rec_fracc)/frec),6))</f>
        <v/>
      </c>
      <c r="BE696" s="66" t="str">
        <f t="shared" si="962"/>
        <v/>
      </c>
      <c r="BF696" s="119" t="str">
        <f t="shared" si="963"/>
        <v/>
      </c>
      <c r="BG696" s="66" t="str">
        <f>+IF($W696="","",ROUND(IF($B696&gt;Parámetros!$D$107,'Tablas Servicio'!BE696+('Tablas Servicio'!BG695-'Tablas Servicio'!BE695),BE696/(1-IF(B696&lt;=10,Parámetros!$D$100,0))),2))</f>
        <v/>
      </c>
      <c r="BH696" s="66" t="str">
        <f t="shared" si="964"/>
        <v/>
      </c>
      <c r="BI696" s="66" t="str">
        <f t="shared" si="965"/>
        <v/>
      </c>
      <c r="BJ696" s="66" t="str">
        <f>+IF($W696="","",ROUND((BG696*Parámetros!$G$85),2))</f>
        <v/>
      </c>
      <c r="BK696" s="66" t="str">
        <f>+IF($W696="","",ROUND((BG696*(Parámetros!$G$86)),2))</f>
        <v/>
      </c>
      <c r="BL696" s="66" t="str">
        <f t="shared" si="966"/>
        <v/>
      </c>
      <c r="BM696" t="str">
        <f t="shared" si="1007"/>
        <v/>
      </c>
      <c r="BN696" t="str">
        <f t="shared" si="1008"/>
        <v/>
      </c>
      <c r="BO696" s="118" t="str">
        <f t="shared" si="1009"/>
        <v/>
      </c>
      <c r="BP696" s="118" t="str">
        <f t="shared" si="1010"/>
        <v/>
      </c>
      <c r="BQ696" s="119" t="str">
        <f>+IF(OR($W696="",BO696=0),"",ROUND((VLOOKUP(ROUNDDOWN($D696-1/frec,0),cob_adi,BB$40,FALSE)*(1+i/frec)^-0.5*(1+Parámetros!$D$103)*(1+rec_fracc)/frec),6))</f>
        <v/>
      </c>
      <c r="BR696" s="66" t="str">
        <f t="shared" si="967"/>
        <v/>
      </c>
      <c r="BS696" s="119" t="str">
        <f t="shared" si="968"/>
        <v/>
      </c>
      <c r="BT696" s="66" t="str">
        <f>+IF($W696="","",ROUND(IF($B696&gt;Parámetros!$D$107,'Tablas Servicio'!BR696+('Tablas Servicio'!BT695-'Tablas Servicio'!BR695),BR696/(1-IF(B696&lt;=10,Parámetros!$D$100,0))),2))</f>
        <v/>
      </c>
      <c r="BU696" s="66" t="str">
        <f t="shared" si="969"/>
        <v/>
      </c>
      <c r="BV696" s="66" t="str">
        <f t="shared" si="969"/>
        <v/>
      </c>
      <c r="BW696" s="66" t="str">
        <f>+IF($W696="","",ROUND((BT696*Parámetros!$G$85),2))</f>
        <v/>
      </c>
      <c r="BX696" s="66" t="str">
        <f>+IF($W696="","",ROUND((BT696*(Parámetros!$G$86)),2))</f>
        <v/>
      </c>
      <c r="BY696" s="66" t="str">
        <f t="shared" si="970"/>
        <v/>
      </c>
      <c r="BZ696" t="str">
        <f t="shared" si="1011"/>
        <v/>
      </c>
      <c r="CA696" t="str">
        <f t="shared" si="1012"/>
        <v/>
      </c>
      <c r="CB696" s="118" t="str">
        <f t="shared" si="1013"/>
        <v/>
      </c>
      <c r="CC696" s="118" t="str">
        <f t="shared" si="1014"/>
        <v/>
      </c>
      <c r="CD696" s="119" t="str">
        <f t="shared" si="971"/>
        <v/>
      </c>
      <c r="CE696" s="66" t="str">
        <f>+IF($W696="","",ROUND((VLOOKUP(ROUNDDOWN($D696-1/frec,0),cob_adi,BO$40,FALSE)*(1+i/frec)^-0.5*(1+Parámetros!$D$103)*(1+rec_fracc)/frec*'TABLAS ADI'!$BC$17),2))</f>
        <v/>
      </c>
      <c r="CF696" s="119" t="str">
        <f t="shared" si="972"/>
        <v/>
      </c>
      <c r="CG696" s="66" t="str">
        <f>+IF($W696="","",ROUND(IF($B696&gt;Parámetros!$D$107,'Tablas Servicio'!CE696+('Tablas Servicio'!CG695-'Tablas Servicio'!CE695),CE696/(1-IF(B696&lt;=10,Parámetros!$D$100,0))),2))</f>
        <v/>
      </c>
      <c r="CH696" s="66" t="str">
        <f t="shared" si="973"/>
        <v/>
      </c>
      <c r="CI696" s="66" t="str">
        <f t="shared" si="973"/>
        <v/>
      </c>
      <c r="CJ696" s="66" t="str">
        <f>+IF($W696="","",ROUND((CG696*Parámetros!$G$85),2))</f>
        <v/>
      </c>
      <c r="CK696" s="66" t="str">
        <f>+IF($W696="","",ROUND((CG696*(Parámetros!$G$86)),2))</f>
        <v/>
      </c>
      <c r="CL696" s="66" t="str">
        <f t="shared" si="974"/>
        <v/>
      </c>
      <c r="CM696" t="str">
        <f t="shared" si="1015"/>
        <v/>
      </c>
      <c r="CN696" s="118" t="str">
        <f t="shared" si="1016"/>
        <v/>
      </c>
      <c r="CO696" s="118" t="str">
        <f t="shared" si="1017"/>
        <v/>
      </c>
      <c r="CP696" s="118" t="str">
        <f t="shared" si="1018"/>
        <v/>
      </c>
      <c r="CQ696" s="119" t="str">
        <f t="shared" si="975"/>
        <v/>
      </c>
      <c r="CR696" s="66" t="str">
        <f>+IF($W696="","",ROUND((VLOOKUP(Parámetros!$F$51,'COBERTURAS ADICIONALES'!$S$4:$T$32,2,FALSE)*(1+i/frec)^-0.5*(1+Parámetros!$D$103)*(1+rec_fracc)/frec*$CO$42),2))</f>
        <v/>
      </c>
      <c r="CS696" s="119" t="str">
        <f t="shared" si="976"/>
        <v/>
      </c>
      <c r="CT696" s="66" t="str">
        <f>+IF($W696="","",ROUND(IF($B696&gt;Parámetros!$D$107,'Tablas Servicio'!CR696+('Tablas Servicio'!CT695-'Tablas Servicio'!CR695),CR696/(1-IF(B696&lt;=10,Parámetros!$D$100,0))),2))</f>
        <v/>
      </c>
      <c r="CU696" s="66" t="str">
        <f t="shared" si="977"/>
        <v/>
      </c>
      <c r="CV696" s="66" t="str">
        <f t="shared" si="977"/>
        <v/>
      </c>
      <c r="CW696" s="66" t="str">
        <f>+IF($W696="","",ROUND((CT696*Parámetros!$G$85),2))</f>
        <v/>
      </c>
      <c r="CX696" s="66" t="str">
        <f>+IF($W696="","",ROUND((CT696*(Parámetros!$G$86)),2))</f>
        <v/>
      </c>
      <c r="CY696" s="66" t="str">
        <f t="shared" si="978"/>
        <v/>
      </c>
      <c r="CZ696" t="str">
        <f t="shared" si="1019"/>
        <v/>
      </c>
      <c r="DA696" s="118" t="str">
        <f t="shared" si="1020"/>
        <v/>
      </c>
      <c r="DB696" s="118" t="str">
        <f t="shared" si="1021"/>
        <v/>
      </c>
      <c r="DC696" s="118" t="str">
        <f t="shared" si="1022"/>
        <v/>
      </c>
      <c r="DD696" s="121" t="str">
        <f>+IF(OR($W696="",DB696=0),"",ROUND((VLOOKUP(ROUNDDOWN($D696-1/frec,0),cob_adi,CO$40,FALSE)*(1+i/frec)^-0.5*(1+Parámetros!$D$103)*(1+rec_fracc)/frec),6))</f>
        <v/>
      </c>
      <c r="DE696" s="66" t="str">
        <f t="shared" si="979"/>
        <v/>
      </c>
      <c r="DF696" s="119" t="str">
        <f t="shared" si="980"/>
        <v/>
      </c>
      <c r="DG696" s="66" t="str">
        <f>+IF($W696="","",ROUND(IF($B696&gt;Parámetros!$D$107,'Tablas Servicio'!DE696+('Tablas Servicio'!DG695-'Tablas Servicio'!DE695),DE696/(1-IF(B696&lt;=10,Parámetros!$D$100,0))),2))</f>
        <v/>
      </c>
      <c r="DH696" s="66" t="str">
        <f t="shared" si="981"/>
        <v/>
      </c>
      <c r="DI696" s="66" t="str">
        <f t="shared" si="981"/>
        <v/>
      </c>
      <c r="DJ696" s="66" t="str">
        <f>+IF($W696="","",ROUND((DG696*Parámetros!$G$85),2))</f>
        <v/>
      </c>
      <c r="DK696" s="66" t="str">
        <f>+IF($W696="","",ROUND((DG696*(Parámetros!$G$86)),2))</f>
        <v/>
      </c>
      <c r="DL696" s="66" t="str">
        <f t="shared" si="982"/>
        <v/>
      </c>
      <c r="DM696" t="str">
        <f t="shared" si="1023"/>
        <v/>
      </c>
      <c r="DN696" s="118" t="str">
        <f t="shared" si="1024"/>
        <v/>
      </c>
      <c r="DO696" s="118" t="str">
        <f t="shared" si="1025"/>
        <v/>
      </c>
      <c r="DP696" s="118" t="str">
        <f t="shared" si="1026"/>
        <v/>
      </c>
      <c r="DQ696" s="122" t="str">
        <f>+IF(OR($W696="",DO696=0),"",ROUND((VLOOKUP(ROUNDDOWN($D696-1/frec,0),cob_adi,DB$40,FALSE)*(1+i/frec)^-0.5*(1+Parámetros!$D$103)*(1+rec_fracc)/frec),6))</f>
        <v/>
      </c>
      <c r="DR696" s="66" t="str">
        <f t="shared" si="983"/>
        <v/>
      </c>
      <c r="DS696" s="68" t="str">
        <f t="shared" si="984"/>
        <v/>
      </c>
      <c r="DT696" s="66" t="str">
        <f>+IF($W696="","",ROUND(IF($B696&gt;Parámetros!$D$107,'Tablas Servicio'!DR696+('Tablas Servicio'!DT695-'Tablas Servicio'!DR695),DR696/(1-IF(B696&lt;=10,Parámetros!$D$100,0))),2))</f>
        <v/>
      </c>
      <c r="DU696" s="66" t="str">
        <f t="shared" si="985"/>
        <v/>
      </c>
      <c r="DV696" s="66" t="str">
        <f t="shared" si="985"/>
        <v/>
      </c>
      <c r="DW696" s="66" t="str">
        <f>+IF($W696="","",ROUND((DT696*Parámetros!$G$85),2))</f>
        <v/>
      </c>
      <c r="DX696" s="66" t="str">
        <f>+IF($W696="","",ROUND((DT696*(Parámetros!$G$86)),2))</f>
        <v/>
      </c>
      <c r="DY696" s="66" t="str">
        <f t="shared" si="986"/>
        <v/>
      </c>
      <c r="DZ696" t="str">
        <f t="shared" si="987"/>
        <v/>
      </c>
      <c r="EA696" s="118" t="str">
        <f t="shared" si="987"/>
        <v/>
      </c>
      <c r="EB696" s="118" t="str">
        <f>+IF($W696="","",ROUND(IF(Parámetros!$D$25='TABLAS MORT'!$V$33,EB695,Z696/2),0))</f>
        <v/>
      </c>
      <c r="EC696" s="118" t="str">
        <f t="shared" si="987"/>
        <v/>
      </c>
      <c r="ED696" s="122" t="str">
        <f>+IF(OR($W696="",EB696=0),"",ROUND((VLOOKUP(ROUNDDOWN($D696-1/frec,0),cob_adi,DO$40,FALSE)*(1+i/frec)^-0.5*(1+Parámetros!$D$103)*(1+rec_fracc)/frec),6))</f>
        <v/>
      </c>
      <c r="EE696" s="66" t="str">
        <f t="shared" si="988"/>
        <v/>
      </c>
      <c r="EF696" s="68" t="str">
        <f t="shared" si="989"/>
        <v/>
      </c>
      <c r="EG696" s="66" t="str">
        <f>+IF($W696="","",ROUND(IF($B696&gt;Parámetros!$D$107,'Tablas Servicio'!EE696+('Tablas Servicio'!EG695-'Tablas Servicio'!EE695),EE696/(1-IF(B696&lt;=10,Parámetros!$D$100,0))),2))</f>
        <v/>
      </c>
      <c r="EH696" s="66" t="str">
        <f t="shared" si="990"/>
        <v/>
      </c>
      <c r="EI696" s="66" t="str">
        <f t="shared" si="990"/>
        <v/>
      </c>
      <c r="EJ696" s="66" t="str">
        <f>+IF($W696="","",ROUND((EG696*Parámetros!$G$85),2))</f>
        <v/>
      </c>
      <c r="EK696" s="66" t="str">
        <f>+IF($W696="","",ROUND((EG696*(Parámetros!$G$86)),2))</f>
        <v/>
      </c>
      <c r="EL696" s="66" t="str">
        <f t="shared" si="991"/>
        <v/>
      </c>
    </row>
    <row r="697" spans="1:142" x14ac:dyDescent="0.25">
      <c r="A697" t="str">
        <f>+IF($C697="","",ROUND(VLOOKUP('Tablas Servicio'!B697,Parámetros!$H$100:$J$159,IF(Parámetros!$E$16="F",2,3),FALSE),2))</f>
        <v/>
      </c>
      <c r="B697" t="str">
        <f t="shared" si="942"/>
        <v/>
      </c>
      <c r="C697" s="57" t="str">
        <f>+IF(D697="","",'Tablas Servicio'!C696+1)</f>
        <v/>
      </c>
      <c r="D697" s="56" t="str">
        <f>+IF(D696&lt;edadmaxtabla,D696+1/Parámetros!$E$25,"")</f>
        <v/>
      </c>
      <c r="E697" s="57" t="str">
        <f t="shared" si="952"/>
        <v/>
      </c>
      <c r="F697" s="59" t="str">
        <f t="shared" si="953"/>
        <v/>
      </c>
      <c r="G697" s="66" t="str">
        <f t="shared" si="943"/>
        <v/>
      </c>
      <c r="H697" s="66" t="str">
        <f t="shared" si="944"/>
        <v/>
      </c>
      <c r="I697" s="66" t="str">
        <f t="shared" si="992"/>
        <v/>
      </c>
      <c r="J697" s="66" t="str">
        <f t="shared" si="945"/>
        <v/>
      </c>
      <c r="K697" s="66" t="str">
        <f t="shared" si="946"/>
        <v/>
      </c>
      <c r="L697" s="66" t="str">
        <f t="shared" si="947"/>
        <v/>
      </c>
      <c r="M697" s="66" t="str">
        <f t="shared" si="948"/>
        <v/>
      </c>
      <c r="N697" s="66" t="str">
        <f>+IF(C697="","",ROUND(Parámetros!$D$23,2))</f>
        <v/>
      </c>
      <c r="O697" s="66" t="str">
        <f t="shared" si="949"/>
        <v/>
      </c>
      <c r="P697" s="66" t="str">
        <f>+IF($C697="","",ROUND(IF(B697&gt;Parámetros!$D$117,0,N697*Parámetros!$D$116-G697*Parámetros!$D$100),2))</f>
        <v/>
      </c>
      <c r="Q697" s="75" t="str">
        <f t="shared" si="993"/>
        <v/>
      </c>
      <c r="R697" s="75" t="str">
        <f t="shared" si="994"/>
        <v/>
      </c>
      <c r="S697" s="117" t="str">
        <f>+IF($C697="","",ROUND((S696+I697)*(1+Parámetros!$D$91),2))</f>
        <v/>
      </c>
      <c r="T697" s="117" t="str">
        <f>+IF($C697="","",ROUND(S697*VLOOKUP(B697,Parámetros!$C$30:$D$39,2,TRUE),2))</f>
        <v/>
      </c>
      <c r="U697" s="117" t="str">
        <f>+IF($C697="","",ROUND((U696+I697)*(1+Parámetros!$D$92),2))</f>
        <v/>
      </c>
      <c r="V697" s="117" t="str">
        <f>+IF($C697="","",ROUND(U697*VLOOKUP(B697,Parámetros!$C$30:$D$39,2,TRUE),2))</f>
        <v/>
      </c>
      <c r="W697" s="57" t="str">
        <f t="shared" si="995"/>
        <v/>
      </c>
      <c r="X697" t="str">
        <f t="shared" si="996"/>
        <v/>
      </c>
      <c r="Y697" t="str">
        <f t="shared" si="997"/>
        <v/>
      </c>
      <c r="Z697" s="118" t="str">
        <f>+IF($W697="","",ROUND(IF(Parámetros!$D$25='TABLAS MORT'!$V$33,Z696,Parámetros!$D$21-'Tablas Servicio'!T696),0))</f>
        <v/>
      </c>
      <c r="AA697" s="118" t="str">
        <f t="shared" si="998"/>
        <v/>
      </c>
      <c r="AB697" s="119" t="str">
        <f>+IF(W697="","",ROUND((VLOOKUP(ROUNDDOWN($D697-1/frec,0),qx_tabla,2,FALSE)*(1+i/frec)^-0.5*(1+Parámetros!$D$103)*(1+rec_fracc)/frec),6))</f>
        <v/>
      </c>
      <c r="AC697" s="66" t="str">
        <f t="shared" si="954"/>
        <v/>
      </c>
      <c r="AD697" s="119" t="str">
        <f t="shared" si="950"/>
        <v/>
      </c>
      <c r="AE697" s="66" t="str">
        <f>+IF($W697="","",ROUND(IF($B697&gt;Parámetros!$D$107,'Tablas Servicio'!AC697+('Tablas Servicio'!AG696-'Tablas Servicio'!AC696),AC697/(1-IF(B697&lt;=10,Parámetros!$D$104,Parámetros!$D$105))),2))</f>
        <v/>
      </c>
      <c r="AF697" s="66" t="str">
        <f>+IF($W697="","",ROUND(IF($B697&gt;Parámetros!$D$107,'Tablas Servicio'!AC697+('Tablas Servicio'!AG696-'Tablas Servicio'!AC696),(AC697+$A696/frec)/(1-IF(B697&lt;=Parámetros!$D$117,Parámetros!$D$100,0))),2))</f>
        <v/>
      </c>
      <c r="AG697" s="66" t="str">
        <f t="shared" si="955"/>
        <v/>
      </c>
      <c r="AH697" s="66" t="str">
        <f t="shared" si="956"/>
        <v/>
      </c>
      <c r="AI697" s="66" t="str">
        <f t="shared" si="957"/>
        <v/>
      </c>
      <c r="AJ697" s="66" t="str">
        <f>+IF($W697="","",ROUND((AG697*Parámetros!$G$85),2))</f>
        <v/>
      </c>
      <c r="AK697" s="66" t="str">
        <f>+IF($W697="","",ROUND((AG697*(Parámetros!$G$86)),2))</f>
        <v/>
      </c>
      <c r="AL697" s="66" t="str">
        <f t="shared" si="951"/>
        <v/>
      </c>
      <c r="AM697" t="str">
        <f t="shared" si="999"/>
        <v/>
      </c>
      <c r="AN697" t="str">
        <f t="shared" si="1000"/>
        <v/>
      </c>
      <c r="AO697" s="118" t="str">
        <f t="shared" si="1001"/>
        <v/>
      </c>
      <c r="AP697" s="118" t="str">
        <f t="shared" si="1002"/>
        <v/>
      </c>
      <c r="AQ697" s="119" t="str">
        <f>+IF(OR($W697="",AO697=0),"",ROUND((VLOOKUP(ROUNDDOWN($D697-1/frec,0),cob_adi,Z$40,FALSE)*(1+i/frec)^-0.5*(1+Parámetros!$D$103)*(1+rec_fracc)/frec),6))</f>
        <v/>
      </c>
      <c r="AR697" s="66" t="str">
        <f t="shared" si="958"/>
        <v/>
      </c>
      <c r="AS697" s="119" t="str">
        <f t="shared" si="959"/>
        <v/>
      </c>
      <c r="AT697" s="66" t="str">
        <f>+IF($W697="","",ROUND(IF($B697&gt;Parámetros!$D$107,'Tablas Servicio'!AR697+('Tablas Servicio'!AT696-'Tablas Servicio'!AR696),AR697/(1-IF(B697&lt;=10,Parámetros!$D$100,0))),2))</f>
        <v/>
      </c>
      <c r="AU697" s="66" t="str">
        <f t="shared" si="960"/>
        <v/>
      </c>
      <c r="AV697" s="66" t="str">
        <f t="shared" si="960"/>
        <v/>
      </c>
      <c r="AW697" s="66" t="str">
        <f>+IF($W697="","",ROUND((AT697*Parámetros!$G$85),2))</f>
        <v/>
      </c>
      <c r="AX697" s="66" t="str">
        <f>+IF($W697="","",ROUND((AT697*(Parámetros!$G$86)),2))</f>
        <v/>
      </c>
      <c r="AY697" s="66" t="str">
        <f t="shared" si="961"/>
        <v/>
      </c>
      <c r="AZ697" t="str">
        <f t="shared" si="1003"/>
        <v/>
      </c>
      <c r="BA697" t="str">
        <f t="shared" si="1004"/>
        <v/>
      </c>
      <c r="BB697" s="118" t="str">
        <f t="shared" si="1005"/>
        <v/>
      </c>
      <c r="BC697" s="118" t="str">
        <f t="shared" si="1006"/>
        <v/>
      </c>
      <c r="BD697" s="119" t="str">
        <f>+IF(OR($W697="",BB697=0),"",ROUND((VLOOKUP(ROUNDDOWN($D697-1/frec,0),cob_adi,AO$40,FALSE)*(1+i/frec)^-0.5*(1+Parámetros!$D$103)*(1+rec_fracc)/frec),6))</f>
        <v/>
      </c>
      <c r="BE697" s="66" t="str">
        <f t="shared" si="962"/>
        <v/>
      </c>
      <c r="BF697" s="119" t="str">
        <f t="shared" si="963"/>
        <v/>
      </c>
      <c r="BG697" s="66" t="str">
        <f>+IF($W697="","",ROUND(IF($B697&gt;Parámetros!$D$107,'Tablas Servicio'!BE697+('Tablas Servicio'!BG696-'Tablas Servicio'!BE696),BE697/(1-IF(B697&lt;=10,Parámetros!$D$100,0))),2))</f>
        <v/>
      </c>
      <c r="BH697" s="66" t="str">
        <f t="shared" si="964"/>
        <v/>
      </c>
      <c r="BI697" s="66" t="str">
        <f t="shared" si="965"/>
        <v/>
      </c>
      <c r="BJ697" s="66" t="str">
        <f>+IF($W697="","",ROUND((BG697*Parámetros!$G$85),2))</f>
        <v/>
      </c>
      <c r="BK697" s="66" t="str">
        <f>+IF($W697="","",ROUND((BG697*(Parámetros!$G$86)),2))</f>
        <v/>
      </c>
      <c r="BL697" s="66" t="str">
        <f t="shared" si="966"/>
        <v/>
      </c>
      <c r="BM697" t="str">
        <f t="shared" si="1007"/>
        <v/>
      </c>
      <c r="BN697" t="str">
        <f t="shared" si="1008"/>
        <v/>
      </c>
      <c r="BO697" s="118" t="str">
        <f t="shared" si="1009"/>
        <v/>
      </c>
      <c r="BP697" s="118" t="str">
        <f t="shared" si="1010"/>
        <v/>
      </c>
      <c r="BQ697" s="119" t="str">
        <f>+IF(OR($W697="",BO697=0),"",ROUND((VLOOKUP(ROUNDDOWN($D697-1/frec,0),cob_adi,BB$40,FALSE)*(1+i/frec)^-0.5*(1+Parámetros!$D$103)*(1+rec_fracc)/frec),6))</f>
        <v/>
      </c>
      <c r="BR697" s="66" t="str">
        <f t="shared" si="967"/>
        <v/>
      </c>
      <c r="BS697" s="119" t="str">
        <f t="shared" si="968"/>
        <v/>
      </c>
      <c r="BT697" s="66" t="str">
        <f>+IF($W697="","",ROUND(IF($B697&gt;Parámetros!$D$107,'Tablas Servicio'!BR697+('Tablas Servicio'!BT696-'Tablas Servicio'!BR696),BR697/(1-IF(B697&lt;=10,Parámetros!$D$100,0))),2))</f>
        <v/>
      </c>
      <c r="BU697" s="66" t="str">
        <f t="shared" si="969"/>
        <v/>
      </c>
      <c r="BV697" s="66" t="str">
        <f t="shared" si="969"/>
        <v/>
      </c>
      <c r="BW697" s="66" t="str">
        <f>+IF($W697="","",ROUND((BT697*Parámetros!$G$85),2))</f>
        <v/>
      </c>
      <c r="BX697" s="66" t="str">
        <f>+IF($W697="","",ROUND((BT697*(Parámetros!$G$86)),2))</f>
        <v/>
      </c>
      <c r="BY697" s="66" t="str">
        <f t="shared" si="970"/>
        <v/>
      </c>
      <c r="BZ697" t="str">
        <f t="shared" si="1011"/>
        <v/>
      </c>
      <c r="CA697" t="str">
        <f t="shared" si="1012"/>
        <v/>
      </c>
      <c r="CB697" s="118" t="str">
        <f t="shared" si="1013"/>
        <v/>
      </c>
      <c r="CC697" s="118" t="str">
        <f t="shared" si="1014"/>
        <v/>
      </c>
      <c r="CD697" s="119" t="str">
        <f t="shared" si="971"/>
        <v/>
      </c>
      <c r="CE697" s="66" t="str">
        <f>+IF($W697="","",ROUND((VLOOKUP(ROUNDDOWN($D697-1/frec,0),cob_adi,BO$40,FALSE)*(1+i/frec)^-0.5*(1+Parámetros!$D$103)*(1+rec_fracc)/frec*'TABLAS ADI'!$BC$17),2))</f>
        <v/>
      </c>
      <c r="CF697" s="119" t="str">
        <f t="shared" si="972"/>
        <v/>
      </c>
      <c r="CG697" s="66" t="str">
        <f>+IF($W697="","",ROUND(IF($B697&gt;Parámetros!$D$107,'Tablas Servicio'!CE697+('Tablas Servicio'!CG696-'Tablas Servicio'!CE696),CE697/(1-IF(B697&lt;=10,Parámetros!$D$100,0))),2))</f>
        <v/>
      </c>
      <c r="CH697" s="66" t="str">
        <f t="shared" si="973"/>
        <v/>
      </c>
      <c r="CI697" s="66" t="str">
        <f t="shared" si="973"/>
        <v/>
      </c>
      <c r="CJ697" s="66" t="str">
        <f>+IF($W697="","",ROUND((CG697*Parámetros!$G$85),2))</f>
        <v/>
      </c>
      <c r="CK697" s="66" t="str">
        <f>+IF($W697="","",ROUND((CG697*(Parámetros!$G$86)),2))</f>
        <v/>
      </c>
      <c r="CL697" s="66" t="str">
        <f t="shared" si="974"/>
        <v/>
      </c>
      <c r="CM697" t="str">
        <f t="shared" si="1015"/>
        <v/>
      </c>
      <c r="CN697" s="118" t="str">
        <f t="shared" si="1016"/>
        <v/>
      </c>
      <c r="CO697" s="118" t="str">
        <f t="shared" si="1017"/>
        <v/>
      </c>
      <c r="CP697" s="118" t="str">
        <f t="shared" si="1018"/>
        <v/>
      </c>
      <c r="CQ697" s="119" t="str">
        <f t="shared" si="975"/>
        <v/>
      </c>
      <c r="CR697" s="66" t="str">
        <f>+IF($W697="","",ROUND((VLOOKUP(Parámetros!$F$51,'COBERTURAS ADICIONALES'!$S$4:$T$32,2,FALSE)*(1+i/frec)^-0.5*(1+Parámetros!$D$103)*(1+rec_fracc)/frec*$CO$42),2))</f>
        <v/>
      </c>
      <c r="CS697" s="119" t="str">
        <f t="shared" si="976"/>
        <v/>
      </c>
      <c r="CT697" s="66" t="str">
        <f>+IF($W697="","",ROUND(IF($B697&gt;Parámetros!$D$107,'Tablas Servicio'!CR697+('Tablas Servicio'!CT696-'Tablas Servicio'!CR696),CR697/(1-IF(B697&lt;=10,Parámetros!$D$100,0))),2))</f>
        <v/>
      </c>
      <c r="CU697" s="66" t="str">
        <f t="shared" si="977"/>
        <v/>
      </c>
      <c r="CV697" s="66" t="str">
        <f t="shared" si="977"/>
        <v/>
      </c>
      <c r="CW697" s="66" t="str">
        <f>+IF($W697="","",ROUND((CT697*Parámetros!$G$85),2))</f>
        <v/>
      </c>
      <c r="CX697" s="66" t="str">
        <f>+IF($W697="","",ROUND((CT697*(Parámetros!$G$86)),2))</f>
        <v/>
      </c>
      <c r="CY697" s="66" t="str">
        <f t="shared" si="978"/>
        <v/>
      </c>
      <c r="CZ697" t="str">
        <f t="shared" si="1019"/>
        <v/>
      </c>
      <c r="DA697" s="118" t="str">
        <f t="shared" si="1020"/>
        <v/>
      </c>
      <c r="DB697" s="118" t="str">
        <f t="shared" si="1021"/>
        <v/>
      </c>
      <c r="DC697" s="118" t="str">
        <f t="shared" si="1022"/>
        <v/>
      </c>
      <c r="DD697" s="121" t="str">
        <f>+IF(OR($W697="",DB697=0),"",ROUND((VLOOKUP(ROUNDDOWN($D697-1/frec,0),cob_adi,CO$40,FALSE)*(1+i/frec)^-0.5*(1+Parámetros!$D$103)*(1+rec_fracc)/frec),6))</f>
        <v/>
      </c>
      <c r="DE697" s="66" t="str">
        <f t="shared" si="979"/>
        <v/>
      </c>
      <c r="DF697" s="119" t="str">
        <f t="shared" si="980"/>
        <v/>
      </c>
      <c r="DG697" s="66" t="str">
        <f>+IF($W697="","",ROUND(IF($B697&gt;Parámetros!$D$107,'Tablas Servicio'!DE697+('Tablas Servicio'!DG696-'Tablas Servicio'!DE696),DE697/(1-IF(B697&lt;=10,Parámetros!$D$100,0))),2))</f>
        <v/>
      </c>
      <c r="DH697" s="66" t="str">
        <f t="shared" si="981"/>
        <v/>
      </c>
      <c r="DI697" s="66" t="str">
        <f t="shared" si="981"/>
        <v/>
      </c>
      <c r="DJ697" s="66" t="str">
        <f>+IF($W697="","",ROUND((DG697*Parámetros!$G$85),2))</f>
        <v/>
      </c>
      <c r="DK697" s="66" t="str">
        <f>+IF($W697="","",ROUND((DG697*(Parámetros!$G$86)),2))</f>
        <v/>
      </c>
      <c r="DL697" s="66" t="str">
        <f t="shared" si="982"/>
        <v/>
      </c>
      <c r="DM697" t="str">
        <f t="shared" si="1023"/>
        <v/>
      </c>
      <c r="DN697" s="118" t="str">
        <f t="shared" si="1024"/>
        <v/>
      </c>
      <c r="DO697" s="118" t="str">
        <f t="shared" si="1025"/>
        <v/>
      </c>
      <c r="DP697" s="118" t="str">
        <f t="shared" si="1026"/>
        <v/>
      </c>
      <c r="DQ697" s="122" t="str">
        <f>+IF(OR($W697="",DO697=0),"",ROUND((VLOOKUP(ROUNDDOWN($D697-1/frec,0),cob_adi,DB$40,FALSE)*(1+i/frec)^-0.5*(1+Parámetros!$D$103)*(1+rec_fracc)/frec),6))</f>
        <v/>
      </c>
      <c r="DR697" s="66" t="str">
        <f t="shared" si="983"/>
        <v/>
      </c>
      <c r="DS697" s="68" t="str">
        <f t="shared" si="984"/>
        <v/>
      </c>
      <c r="DT697" s="66" t="str">
        <f>+IF($W697="","",ROUND(IF($B697&gt;Parámetros!$D$107,'Tablas Servicio'!DR697+('Tablas Servicio'!DT696-'Tablas Servicio'!DR696),DR697/(1-IF(B697&lt;=10,Parámetros!$D$100,0))),2))</f>
        <v/>
      </c>
      <c r="DU697" s="66" t="str">
        <f t="shared" si="985"/>
        <v/>
      </c>
      <c r="DV697" s="66" t="str">
        <f t="shared" si="985"/>
        <v/>
      </c>
      <c r="DW697" s="66" t="str">
        <f>+IF($W697="","",ROUND((DT697*Parámetros!$G$85),2))</f>
        <v/>
      </c>
      <c r="DX697" s="66" t="str">
        <f>+IF($W697="","",ROUND((DT697*(Parámetros!$G$86)),2))</f>
        <v/>
      </c>
      <c r="DY697" s="66" t="str">
        <f t="shared" si="986"/>
        <v/>
      </c>
      <c r="DZ697" t="str">
        <f t="shared" si="987"/>
        <v/>
      </c>
      <c r="EA697" s="118" t="str">
        <f t="shared" si="987"/>
        <v/>
      </c>
      <c r="EB697" s="118" t="str">
        <f>+IF($W697="","",ROUND(IF(Parámetros!$D$25='TABLAS MORT'!$V$33,EB696,Z697/2),0))</f>
        <v/>
      </c>
      <c r="EC697" s="118" t="str">
        <f t="shared" si="987"/>
        <v/>
      </c>
      <c r="ED697" s="122" t="str">
        <f>+IF(OR($W697="",EB697=0),"",ROUND((VLOOKUP(ROUNDDOWN($D697-1/frec,0),cob_adi,DO$40,FALSE)*(1+i/frec)^-0.5*(1+Parámetros!$D$103)*(1+rec_fracc)/frec),6))</f>
        <v/>
      </c>
      <c r="EE697" s="66" t="str">
        <f t="shared" si="988"/>
        <v/>
      </c>
      <c r="EF697" s="68" t="str">
        <f t="shared" si="989"/>
        <v/>
      </c>
      <c r="EG697" s="66" t="str">
        <f>+IF($W697="","",ROUND(IF($B697&gt;Parámetros!$D$107,'Tablas Servicio'!EE697+('Tablas Servicio'!EG696-'Tablas Servicio'!EE696),EE697/(1-IF(B697&lt;=10,Parámetros!$D$100,0))),2))</f>
        <v/>
      </c>
      <c r="EH697" s="66" t="str">
        <f t="shared" si="990"/>
        <v/>
      </c>
      <c r="EI697" s="66" t="str">
        <f t="shared" si="990"/>
        <v/>
      </c>
      <c r="EJ697" s="66" t="str">
        <f>+IF($W697="","",ROUND((EG697*Parámetros!$G$85),2))</f>
        <v/>
      </c>
      <c r="EK697" s="66" t="str">
        <f>+IF($W697="","",ROUND((EG697*(Parámetros!$G$86)),2))</f>
        <v/>
      </c>
      <c r="EL697" s="66" t="str">
        <f t="shared" si="991"/>
        <v/>
      </c>
    </row>
    <row r="698" spans="1:142" x14ac:dyDescent="0.25">
      <c r="A698" t="str">
        <f>+IF($C698="","",ROUND(VLOOKUP('Tablas Servicio'!B698,Parámetros!$H$100:$J$159,IF(Parámetros!$E$16="F",2,3),FALSE),2))</f>
        <v/>
      </c>
      <c r="B698" t="str">
        <f t="shared" si="942"/>
        <v/>
      </c>
      <c r="C698" s="57" t="str">
        <f>+IF(D698="","",'Tablas Servicio'!C697+1)</f>
        <v/>
      </c>
      <c r="D698" s="56" t="str">
        <f>+IF(D697&lt;edadmaxtabla,D697+1/Parámetros!$E$25,"")</f>
        <v/>
      </c>
      <c r="E698" s="57" t="str">
        <f t="shared" si="952"/>
        <v/>
      </c>
      <c r="F698" s="59" t="str">
        <f t="shared" si="953"/>
        <v/>
      </c>
      <c r="G698" s="66" t="str">
        <f t="shared" si="943"/>
        <v/>
      </c>
      <c r="H698" s="66" t="str">
        <f t="shared" si="944"/>
        <v/>
      </c>
      <c r="I698" s="66" t="str">
        <f t="shared" si="992"/>
        <v/>
      </c>
      <c r="J698" s="66" t="str">
        <f t="shared" si="945"/>
        <v/>
      </c>
      <c r="K698" s="66" t="str">
        <f t="shared" si="946"/>
        <v/>
      </c>
      <c r="L698" s="66" t="str">
        <f t="shared" si="947"/>
        <v/>
      </c>
      <c r="M698" s="66" t="str">
        <f t="shared" si="948"/>
        <v/>
      </c>
      <c r="N698" s="66" t="str">
        <f>+IF(C698="","",ROUND(Parámetros!$D$23,2))</f>
        <v/>
      </c>
      <c r="O698" s="66" t="str">
        <f t="shared" si="949"/>
        <v/>
      </c>
      <c r="P698" s="66" t="str">
        <f>+IF($C698="","",ROUND(IF(B698&gt;Parámetros!$D$117,0,N698*Parámetros!$D$116-G698*Parámetros!$D$100),2))</f>
        <v/>
      </c>
      <c r="Q698" s="75" t="str">
        <f t="shared" si="993"/>
        <v/>
      </c>
      <c r="R698" s="75" t="str">
        <f t="shared" si="994"/>
        <v/>
      </c>
      <c r="S698" s="117" t="str">
        <f>+IF($C698="","",ROUND((S697+I698)*(1+Parámetros!$D$91),2))</f>
        <v/>
      </c>
      <c r="T698" s="117" t="str">
        <f>+IF($C698="","",ROUND(S698*VLOOKUP(B698,Parámetros!$C$30:$D$39,2,TRUE),2))</f>
        <v/>
      </c>
      <c r="U698" s="117" t="str">
        <f>+IF($C698="","",ROUND((U697+I698)*(1+Parámetros!$D$92),2))</f>
        <v/>
      </c>
      <c r="V698" s="117" t="str">
        <f>+IF($C698="","",ROUND(U698*VLOOKUP(B698,Parámetros!$C$30:$D$39,2,TRUE),2))</f>
        <v/>
      </c>
      <c r="W698" s="57" t="str">
        <f t="shared" si="995"/>
        <v/>
      </c>
      <c r="X698" t="str">
        <f t="shared" si="996"/>
        <v/>
      </c>
      <c r="Y698" t="str">
        <f t="shared" si="997"/>
        <v/>
      </c>
      <c r="Z698" s="118" t="str">
        <f>+IF($W698="","",ROUND(IF(Parámetros!$D$25='TABLAS MORT'!$V$33,Z697,Parámetros!$D$21-'Tablas Servicio'!T697),0))</f>
        <v/>
      </c>
      <c r="AA698" s="118" t="str">
        <f t="shared" si="998"/>
        <v/>
      </c>
      <c r="AB698" s="119" t="str">
        <f>+IF(W698="","",ROUND((VLOOKUP(ROUNDDOWN($D698-1/frec,0),qx_tabla,2,FALSE)*(1+i/frec)^-0.5*(1+Parámetros!$D$103)*(1+rec_fracc)/frec),6))</f>
        <v/>
      </c>
      <c r="AC698" s="66" t="str">
        <f t="shared" si="954"/>
        <v/>
      </c>
      <c r="AD698" s="119" t="str">
        <f t="shared" si="950"/>
        <v/>
      </c>
      <c r="AE698" s="66" t="str">
        <f>+IF($W698="","",ROUND(IF($B698&gt;Parámetros!$D$107,'Tablas Servicio'!AC698+('Tablas Servicio'!AG697-'Tablas Servicio'!AC697),AC698/(1-IF(B698&lt;=10,Parámetros!$D$104,Parámetros!$D$105))),2))</f>
        <v/>
      </c>
      <c r="AF698" s="66" t="str">
        <f>+IF($W698="","",ROUND(IF($B698&gt;Parámetros!$D$107,'Tablas Servicio'!AC698+('Tablas Servicio'!AG697-'Tablas Servicio'!AC697),(AC698+$A697/frec)/(1-IF(B698&lt;=Parámetros!$D$117,Parámetros!$D$100,0))),2))</f>
        <v/>
      </c>
      <c r="AG698" s="66" t="str">
        <f t="shared" si="955"/>
        <v/>
      </c>
      <c r="AH698" s="66" t="str">
        <f t="shared" si="956"/>
        <v/>
      </c>
      <c r="AI698" s="66" t="str">
        <f t="shared" si="957"/>
        <v/>
      </c>
      <c r="AJ698" s="66" t="str">
        <f>+IF($W698="","",ROUND((AG698*Parámetros!$G$85),2))</f>
        <v/>
      </c>
      <c r="AK698" s="66" t="str">
        <f>+IF($W698="","",ROUND((AG698*(Parámetros!$G$86)),2))</f>
        <v/>
      </c>
      <c r="AL698" s="66" t="str">
        <f t="shared" si="951"/>
        <v/>
      </c>
      <c r="AM698" t="str">
        <f t="shared" si="999"/>
        <v/>
      </c>
      <c r="AN698" t="str">
        <f t="shared" si="1000"/>
        <v/>
      </c>
      <c r="AO698" s="118" t="str">
        <f t="shared" si="1001"/>
        <v/>
      </c>
      <c r="AP698" s="118" t="str">
        <f t="shared" si="1002"/>
        <v/>
      </c>
      <c r="AQ698" s="119" t="str">
        <f>+IF(OR($W698="",AO698=0),"",ROUND((VLOOKUP(ROUNDDOWN($D698-1/frec,0),cob_adi,Z$40,FALSE)*(1+i/frec)^-0.5*(1+Parámetros!$D$103)*(1+rec_fracc)/frec),6))</f>
        <v/>
      </c>
      <c r="AR698" s="66" t="str">
        <f t="shared" si="958"/>
        <v/>
      </c>
      <c r="AS698" s="119" t="str">
        <f t="shared" si="959"/>
        <v/>
      </c>
      <c r="AT698" s="66" t="str">
        <f>+IF($W698="","",ROUND(IF($B698&gt;Parámetros!$D$107,'Tablas Servicio'!AR698+('Tablas Servicio'!AT697-'Tablas Servicio'!AR697),AR698/(1-IF(B698&lt;=10,Parámetros!$D$100,0))),2))</f>
        <v/>
      </c>
      <c r="AU698" s="66" t="str">
        <f t="shared" si="960"/>
        <v/>
      </c>
      <c r="AV698" s="66" t="str">
        <f t="shared" si="960"/>
        <v/>
      </c>
      <c r="AW698" s="66" t="str">
        <f>+IF($W698="","",ROUND((AT698*Parámetros!$G$85),2))</f>
        <v/>
      </c>
      <c r="AX698" s="66" t="str">
        <f>+IF($W698="","",ROUND((AT698*(Parámetros!$G$86)),2))</f>
        <v/>
      </c>
      <c r="AY698" s="66" t="str">
        <f t="shared" si="961"/>
        <v/>
      </c>
      <c r="AZ698" t="str">
        <f t="shared" si="1003"/>
        <v/>
      </c>
      <c r="BA698" t="str">
        <f t="shared" si="1004"/>
        <v/>
      </c>
      <c r="BB698" s="118" t="str">
        <f t="shared" si="1005"/>
        <v/>
      </c>
      <c r="BC698" s="118" t="str">
        <f t="shared" si="1006"/>
        <v/>
      </c>
      <c r="BD698" s="119" t="str">
        <f>+IF(OR($W698="",BB698=0),"",ROUND((VLOOKUP(ROUNDDOWN($D698-1/frec,0),cob_adi,AO$40,FALSE)*(1+i/frec)^-0.5*(1+Parámetros!$D$103)*(1+rec_fracc)/frec),6))</f>
        <v/>
      </c>
      <c r="BE698" s="66" t="str">
        <f t="shared" si="962"/>
        <v/>
      </c>
      <c r="BF698" s="119" t="str">
        <f t="shared" si="963"/>
        <v/>
      </c>
      <c r="BG698" s="66" t="str">
        <f>+IF($W698="","",ROUND(IF($B698&gt;Parámetros!$D$107,'Tablas Servicio'!BE698+('Tablas Servicio'!BG697-'Tablas Servicio'!BE697),BE698/(1-IF(B698&lt;=10,Parámetros!$D$100,0))),2))</f>
        <v/>
      </c>
      <c r="BH698" s="66" t="str">
        <f t="shared" si="964"/>
        <v/>
      </c>
      <c r="BI698" s="66" t="str">
        <f t="shared" si="965"/>
        <v/>
      </c>
      <c r="BJ698" s="66" t="str">
        <f>+IF($W698="","",ROUND((BG698*Parámetros!$G$85),2))</f>
        <v/>
      </c>
      <c r="BK698" s="66" t="str">
        <f>+IF($W698="","",ROUND((BG698*(Parámetros!$G$86)),2))</f>
        <v/>
      </c>
      <c r="BL698" s="66" t="str">
        <f t="shared" si="966"/>
        <v/>
      </c>
      <c r="BM698" t="str">
        <f t="shared" si="1007"/>
        <v/>
      </c>
      <c r="BN698" t="str">
        <f t="shared" si="1008"/>
        <v/>
      </c>
      <c r="BO698" s="118" t="str">
        <f t="shared" si="1009"/>
        <v/>
      </c>
      <c r="BP698" s="118" t="str">
        <f t="shared" si="1010"/>
        <v/>
      </c>
      <c r="BQ698" s="119" t="str">
        <f>+IF(OR($W698="",BO698=0),"",ROUND((VLOOKUP(ROUNDDOWN($D698-1/frec,0),cob_adi,BB$40,FALSE)*(1+i/frec)^-0.5*(1+Parámetros!$D$103)*(1+rec_fracc)/frec),6))</f>
        <v/>
      </c>
      <c r="BR698" s="66" t="str">
        <f t="shared" si="967"/>
        <v/>
      </c>
      <c r="BS698" s="119" t="str">
        <f t="shared" si="968"/>
        <v/>
      </c>
      <c r="BT698" s="66" t="str">
        <f>+IF($W698="","",ROUND(IF($B698&gt;Parámetros!$D$107,'Tablas Servicio'!BR698+('Tablas Servicio'!BT697-'Tablas Servicio'!BR697),BR698/(1-IF(B698&lt;=10,Parámetros!$D$100,0))),2))</f>
        <v/>
      </c>
      <c r="BU698" s="66" t="str">
        <f t="shared" si="969"/>
        <v/>
      </c>
      <c r="BV698" s="66" t="str">
        <f t="shared" si="969"/>
        <v/>
      </c>
      <c r="BW698" s="66" t="str">
        <f>+IF($W698="","",ROUND((BT698*Parámetros!$G$85),2))</f>
        <v/>
      </c>
      <c r="BX698" s="66" t="str">
        <f>+IF($W698="","",ROUND((BT698*(Parámetros!$G$86)),2))</f>
        <v/>
      </c>
      <c r="BY698" s="66" t="str">
        <f t="shared" si="970"/>
        <v/>
      </c>
      <c r="BZ698" t="str">
        <f t="shared" si="1011"/>
        <v/>
      </c>
      <c r="CA698" t="str">
        <f t="shared" si="1012"/>
        <v/>
      </c>
      <c r="CB698" s="118" t="str">
        <f t="shared" si="1013"/>
        <v/>
      </c>
      <c r="CC698" s="118" t="str">
        <f t="shared" si="1014"/>
        <v/>
      </c>
      <c r="CD698" s="119" t="str">
        <f t="shared" si="971"/>
        <v/>
      </c>
      <c r="CE698" s="66" t="str">
        <f>+IF($W698="","",ROUND((VLOOKUP(ROUNDDOWN($D698-1/frec,0),cob_adi,BO$40,FALSE)*(1+i/frec)^-0.5*(1+Parámetros!$D$103)*(1+rec_fracc)/frec*'TABLAS ADI'!$BC$17),2))</f>
        <v/>
      </c>
      <c r="CF698" s="119" t="str">
        <f t="shared" si="972"/>
        <v/>
      </c>
      <c r="CG698" s="66" t="str">
        <f>+IF($W698="","",ROUND(IF($B698&gt;Parámetros!$D$107,'Tablas Servicio'!CE698+('Tablas Servicio'!CG697-'Tablas Servicio'!CE697),CE698/(1-IF(B698&lt;=10,Parámetros!$D$100,0))),2))</f>
        <v/>
      </c>
      <c r="CH698" s="66" t="str">
        <f t="shared" si="973"/>
        <v/>
      </c>
      <c r="CI698" s="66" t="str">
        <f t="shared" si="973"/>
        <v/>
      </c>
      <c r="CJ698" s="66" t="str">
        <f>+IF($W698="","",ROUND((CG698*Parámetros!$G$85),2))</f>
        <v/>
      </c>
      <c r="CK698" s="66" t="str">
        <f>+IF($W698="","",ROUND((CG698*(Parámetros!$G$86)),2))</f>
        <v/>
      </c>
      <c r="CL698" s="66" t="str">
        <f t="shared" si="974"/>
        <v/>
      </c>
      <c r="CM698" t="str">
        <f t="shared" si="1015"/>
        <v/>
      </c>
      <c r="CN698" s="118" t="str">
        <f t="shared" si="1016"/>
        <v/>
      </c>
      <c r="CO698" s="118" t="str">
        <f t="shared" si="1017"/>
        <v/>
      </c>
      <c r="CP698" s="118" t="str">
        <f t="shared" si="1018"/>
        <v/>
      </c>
      <c r="CQ698" s="119" t="str">
        <f t="shared" si="975"/>
        <v/>
      </c>
      <c r="CR698" s="66" t="str">
        <f>+IF($W698="","",ROUND((VLOOKUP(Parámetros!$F$51,'COBERTURAS ADICIONALES'!$S$4:$T$32,2,FALSE)*(1+i/frec)^-0.5*(1+Parámetros!$D$103)*(1+rec_fracc)/frec*$CO$42),2))</f>
        <v/>
      </c>
      <c r="CS698" s="119" t="str">
        <f t="shared" si="976"/>
        <v/>
      </c>
      <c r="CT698" s="66" t="str">
        <f>+IF($W698="","",ROUND(IF($B698&gt;Parámetros!$D$107,'Tablas Servicio'!CR698+('Tablas Servicio'!CT697-'Tablas Servicio'!CR697),CR698/(1-IF(B698&lt;=10,Parámetros!$D$100,0))),2))</f>
        <v/>
      </c>
      <c r="CU698" s="66" t="str">
        <f t="shared" si="977"/>
        <v/>
      </c>
      <c r="CV698" s="66" t="str">
        <f t="shared" si="977"/>
        <v/>
      </c>
      <c r="CW698" s="66" t="str">
        <f>+IF($W698="","",ROUND((CT698*Parámetros!$G$85),2))</f>
        <v/>
      </c>
      <c r="CX698" s="66" t="str">
        <f>+IF($W698="","",ROUND((CT698*(Parámetros!$G$86)),2))</f>
        <v/>
      </c>
      <c r="CY698" s="66" t="str">
        <f t="shared" si="978"/>
        <v/>
      </c>
      <c r="CZ698" t="str">
        <f t="shared" si="1019"/>
        <v/>
      </c>
      <c r="DA698" s="118" t="str">
        <f t="shared" si="1020"/>
        <v/>
      </c>
      <c r="DB698" s="118" t="str">
        <f t="shared" si="1021"/>
        <v/>
      </c>
      <c r="DC698" s="118" t="str">
        <f t="shared" si="1022"/>
        <v/>
      </c>
      <c r="DD698" s="121" t="str">
        <f>+IF(OR($W698="",DB698=0),"",ROUND((VLOOKUP(ROUNDDOWN($D698-1/frec,0),cob_adi,CO$40,FALSE)*(1+i/frec)^-0.5*(1+Parámetros!$D$103)*(1+rec_fracc)/frec),6))</f>
        <v/>
      </c>
      <c r="DE698" s="66" t="str">
        <f t="shared" si="979"/>
        <v/>
      </c>
      <c r="DF698" s="119" t="str">
        <f t="shared" si="980"/>
        <v/>
      </c>
      <c r="DG698" s="66" t="str">
        <f>+IF($W698="","",ROUND(IF($B698&gt;Parámetros!$D$107,'Tablas Servicio'!DE698+('Tablas Servicio'!DG697-'Tablas Servicio'!DE697),DE698/(1-IF(B698&lt;=10,Parámetros!$D$100,0))),2))</f>
        <v/>
      </c>
      <c r="DH698" s="66" t="str">
        <f t="shared" si="981"/>
        <v/>
      </c>
      <c r="DI698" s="66" t="str">
        <f t="shared" si="981"/>
        <v/>
      </c>
      <c r="DJ698" s="66" t="str">
        <f>+IF($W698="","",ROUND((DG698*Parámetros!$G$85),2))</f>
        <v/>
      </c>
      <c r="DK698" s="66" t="str">
        <f>+IF($W698="","",ROUND((DG698*(Parámetros!$G$86)),2))</f>
        <v/>
      </c>
      <c r="DL698" s="66" t="str">
        <f t="shared" si="982"/>
        <v/>
      </c>
      <c r="DM698" t="str">
        <f t="shared" si="1023"/>
        <v/>
      </c>
      <c r="DN698" s="118" t="str">
        <f t="shared" si="1024"/>
        <v/>
      </c>
      <c r="DO698" s="118" t="str">
        <f t="shared" si="1025"/>
        <v/>
      </c>
      <c r="DP698" s="118" t="str">
        <f t="shared" si="1026"/>
        <v/>
      </c>
      <c r="DQ698" s="122" t="str">
        <f>+IF(OR($W698="",DO698=0),"",ROUND((VLOOKUP(ROUNDDOWN($D698-1/frec,0),cob_adi,DB$40,FALSE)*(1+i/frec)^-0.5*(1+Parámetros!$D$103)*(1+rec_fracc)/frec),6))</f>
        <v/>
      </c>
      <c r="DR698" s="66" t="str">
        <f t="shared" si="983"/>
        <v/>
      </c>
      <c r="DS698" s="68" t="str">
        <f t="shared" si="984"/>
        <v/>
      </c>
      <c r="DT698" s="66" t="str">
        <f>+IF($W698="","",ROUND(IF($B698&gt;Parámetros!$D$107,'Tablas Servicio'!DR698+('Tablas Servicio'!DT697-'Tablas Servicio'!DR697),DR698/(1-IF(B698&lt;=10,Parámetros!$D$100,0))),2))</f>
        <v/>
      </c>
      <c r="DU698" s="66" t="str">
        <f t="shared" si="985"/>
        <v/>
      </c>
      <c r="DV698" s="66" t="str">
        <f t="shared" si="985"/>
        <v/>
      </c>
      <c r="DW698" s="66" t="str">
        <f>+IF($W698="","",ROUND((DT698*Parámetros!$G$85),2))</f>
        <v/>
      </c>
      <c r="DX698" s="66" t="str">
        <f>+IF($W698="","",ROUND((DT698*(Parámetros!$G$86)),2))</f>
        <v/>
      </c>
      <c r="DY698" s="66" t="str">
        <f t="shared" si="986"/>
        <v/>
      </c>
      <c r="DZ698" t="str">
        <f t="shared" si="987"/>
        <v/>
      </c>
      <c r="EA698" s="118" t="str">
        <f t="shared" si="987"/>
        <v/>
      </c>
      <c r="EB698" s="118" t="str">
        <f>+IF($W698="","",ROUND(IF(Parámetros!$D$25='TABLAS MORT'!$V$33,EB697,Z698/2),0))</f>
        <v/>
      </c>
      <c r="EC698" s="118" t="str">
        <f t="shared" si="987"/>
        <v/>
      </c>
      <c r="ED698" s="122" t="str">
        <f>+IF(OR($W698="",EB698=0),"",ROUND((VLOOKUP(ROUNDDOWN($D698-1/frec,0),cob_adi,DO$40,FALSE)*(1+i/frec)^-0.5*(1+Parámetros!$D$103)*(1+rec_fracc)/frec),6))</f>
        <v/>
      </c>
      <c r="EE698" s="66" t="str">
        <f t="shared" si="988"/>
        <v/>
      </c>
      <c r="EF698" s="68" t="str">
        <f t="shared" si="989"/>
        <v/>
      </c>
      <c r="EG698" s="66" t="str">
        <f>+IF($W698="","",ROUND(IF($B698&gt;Parámetros!$D$107,'Tablas Servicio'!EE698+('Tablas Servicio'!EG697-'Tablas Servicio'!EE697),EE698/(1-IF(B698&lt;=10,Parámetros!$D$100,0))),2))</f>
        <v/>
      </c>
      <c r="EH698" s="66" t="str">
        <f t="shared" si="990"/>
        <v/>
      </c>
      <c r="EI698" s="66" t="str">
        <f t="shared" si="990"/>
        <v/>
      </c>
      <c r="EJ698" s="66" t="str">
        <f>+IF($W698="","",ROUND((EG698*Parámetros!$G$85),2))</f>
        <v/>
      </c>
      <c r="EK698" s="66" t="str">
        <f>+IF($W698="","",ROUND((EG698*(Parámetros!$G$86)),2))</f>
        <v/>
      </c>
      <c r="EL698" s="66" t="str">
        <f t="shared" si="991"/>
        <v/>
      </c>
    </row>
    <row r="699" spans="1:142" x14ac:dyDescent="0.25">
      <c r="A699" t="str">
        <f>+IF($C699="","",ROUND(VLOOKUP('Tablas Servicio'!B699,Parámetros!$H$100:$J$159,IF(Parámetros!$E$16="F",2,3),FALSE),2))</f>
        <v/>
      </c>
      <c r="B699" t="str">
        <f t="shared" si="942"/>
        <v/>
      </c>
      <c r="C699" s="57" t="str">
        <f>+IF(D699="","",'Tablas Servicio'!C698+1)</f>
        <v/>
      </c>
      <c r="D699" s="56" t="str">
        <f>+IF(D698&lt;edadmaxtabla,D698+1/Parámetros!$E$25,"")</f>
        <v/>
      </c>
      <c r="E699" s="57" t="str">
        <f t="shared" si="952"/>
        <v/>
      </c>
      <c r="F699" s="59" t="str">
        <f t="shared" si="953"/>
        <v/>
      </c>
      <c r="G699" s="66" t="str">
        <f t="shared" si="943"/>
        <v/>
      </c>
      <c r="H699" s="66" t="str">
        <f t="shared" si="944"/>
        <v/>
      </c>
      <c r="I699" s="66" t="str">
        <f t="shared" si="992"/>
        <v/>
      </c>
      <c r="J699" s="66" t="str">
        <f t="shared" si="945"/>
        <v/>
      </c>
      <c r="K699" s="66" t="str">
        <f t="shared" si="946"/>
        <v/>
      </c>
      <c r="L699" s="66" t="str">
        <f t="shared" si="947"/>
        <v/>
      </c>
      <c r="M699" s="66" t="str">
        <f t="shared" si="948"/>
        <v/>
      </c>
      <c r="N699" s="66" t="str">
        <f>+IF(C699="","",ROUND(Parámetros!$D$23,2))</f>
        <v/>
      </c>
      <c r="O699" s="66" t="str">
        <f t="shared" si="949"/>
        <v/>
      </c>
      <c r="P699" s="66" t="str">
        <f>+IF($C699="","",ROUND(IF(B699&gt;Parámetros!$D$117,0,N699*Parámetros!$D$116-G699*Parámetros!$D$100),2))</f>
        <v/>
      </c>
      <c r="Q699" s="75" t="str">
        <f t="shared" si="993"/>
        <v/>
      </c>
      <c r="R699" s="75" t="str">
        <f t="shared" si="994"/>
        <v/>
      </c>
      <c r="S699" s="117" t="str">
        <f>+IF($C699="","",ROUND((S698+I699)*(1+Parámetros!$D$91),2))</f>
        <v/>
      </c>
      <c r="T699" s="117" t="str">
        <f>+IF($C699="","",ROUND(S699*VLOOKUP(B699,Parámetros!$C$30:$D$39,2,TRUE),2))</f>
        <v/>
      </c>
      <c r="U699" s="117" t="str">
        <f>+IF($C699="","",ROUND((U698+I699)*(1+Parámetros!$D$92),2))</f>
        <v/>
      </c>
      <c r="V699" s="117" t="str">
        <f>+IF($C699="","",ROUND(U699*VLOOKUP(B699,Parámetros!$C$30:$D$39,2,TRUE),2))</f>
        <v/>
      </c>
      <c r="W699" s="57" t="str">
        <f t="shared" si="995"/>
        <v/>
      </c>
      <c r="X699" t="str">
        <f t="shared" si="996"/>
        <v/>
      </c>
      <c r="Y699" t="str">
        <f t="shared" si="997"/>
        <v/>
      </c>
      <c r="Z699" s="118" t="str">
        <f>+IF($W699="","",ROUND(IF(Parámetros!$D$25='TABLAS MORT'!$V$33,Z698,Parámetros!$D$21-'Tablas Servicio'!T698),0))</f>
        <v/>
      </c>
      <c r="AA699" s="118" t="str">
        <f t="shared" si="998"/>
        <v/>
      </c>
      <c r="AB699" s="119" t="str">
        <f>+IF(W699="","",ROUND((VLOOKUP(ROUNDDOWN($D699-1/frec,0),qx_tabla,2,FALSE)*(1+i/frec)^-0.5*(1+Parámetros!$D$103)*(1+rec_fracc)/frec),6))</f>
        <v/>
      </c>
      <c r="AC699" s="66" t="str">
        <f t="shared" si="954"/>
        <v/>
      </c>
      <c r="AD699" s="119" t="str">
        <f t="shared" si="950"/>
        <v/>
      </c>
      <c r="AE699" s="66" t="str">
        <f>+IF($W699="","",ROUND(IF($B699&gt;Parámetros!$D$107,'Tablas Servicio'!AC699+('Tablas Servicio'!AG698-'Tablas Servicio'!AC698),AC699/(1-IF(B699&lt;=10,Parámetros!$D$104,Parámetros!$D$105))),2))</f>
        <v/>
      </c>
      <c r="AF699" s="66" t="str">
        <f>+IF($W699="","",ROUND(IF($B699&gt;Parámetros!$D$107,'Tablas Servicio'!AC699+('Tablas Servicio'!AG698-'Tablas Servicio'!AC698),(AC699+$A698/frec)/(1-IF(B699&lt;=Parámetros!$D$117,Parámetros!$D$100,0))),2))</f>
        <v/>
      </c>
      <c r="AG699" s="66" t="str">
        <f t="shared" si="955"/>
        <v/>
      </c>
      <c r="AH699" s="66" t="str">
        <f t="shared" si="956"/>
        <v/>
      </c>
      <c r="AI699" s="66" t="str">
        <f t="shared" si="957"/>
        <v/>
      </c>
      <c r="AJ699" s="66" t="str">
        <f>+IF($W699="","",ROUND((AG699*Parámetros!$G$85),2))</f>
        <v/>
      </c>
      <c r="AK699" s="66" t="str">
        <f>+IF($W699="","",ROUND((AG699*(Parámetros!$G$86)),2))</f>
        <v/>
      </c>
      <c r="AL699" s="66" t="str">
        <f t="shared" si="951"/>
        <v/>
      </c>
      <c r="AM699" t="str">
        <f t="shared" si="999"/>
        <v/>
      </c>
      <c r="AN699" t="str">
        <f t="shared" si="1000"/>
        <v/>
      </c>
      <c r="AO699" s="118" t="str">
        <f t="shared" si="1001"/>
        <v/>
      </c>
      <c r="AP699" s="118" t="str">
        <f t="shared" si="1002"/>
        <v/>
      </c>
      <c r="AQ699" s="119" t="str">
        <f>+IF(OR($W699="",AO699=0),"",ROUND((VLOOKUP(ROUNDDOWN($D699-1/frec,0),cob_adi,Z$40,FALSE)*(1+i/frec)^-0.5*(1+Parámetros!$D$103)*(1+rec_fracc)/frec),6))</f>
        <v/>
      </c>
      <c r="AR699" s="66" t="str">
        <f t="shared" si="958"/>
        <v/>
      </c>
      <c r="AS699" s="119" t="str">
        <f t="shared" si="959"/>
        <v/>
      </c>
      <c r="AT699" s="66" t="str">
        <f>+IF($W699="","",ROUND(IF($B699&gt;Parámetros!$D$107,'Tablas Servicio'!AR699+('Tablas Servicio'!AT698-'Tablas Servicio'!AR698),AR699/(1-IF(B699&lt;=10,Parámetros!$D$100,0))),2))</f>
        <v/>
      </c>
      <c r="AU699" s="66" t="str">
        <f t="shared" si="960"/>
        <v/>
      </c>
      <c r="AV699" s="66" t="str">
        <f t="shared" si="960"/>
        <v/>
      </c>
      <c r="AW699" s="66" t="str">
        <f>+IF($W699="","",ROUND((AT699*Parámetros!$G$85),2))</f>
        <v/>
      </c>
      <c r="AX699" s="66" t="str">
        <f>+IF($W699="","",ROUND((AT699*(Parámetros!$G$86)),2))</f>
        <v/>
      </c>
      <c r="AY699" s="66" t="str">
        <f t="shared" si="961"/>
        <v/>
      </c>
      <c r="AZ699" t="str">
        <f t="shared" si="1003"/>
        <v/>
      </c>
      <c r="BA699" t="str">
        <f t="shared" si="1004"/>
        <v/>
      </c>
      <c r="BB699" s="118" t="str">
        <f t="shared" si="1005"/>
        <v/>
      </c>
      <c r="BC699" s="118" t="str">
        <f t="shared" si="1006"/>
        <v/>
      </c>
      <c r="BD699" s="119" t="str">
        <f>+IF(OR($W699="",BB699=0),"",ROUND((VLOOKUP(ROUNDDOWN($D699-1/frec,0),cob_adi,AO$40,FALSE)*(1+i/frec)^-0.5*(1+Parámetros!$D$103)*(1+rec_fracc)/frec),6))</f>
        <v/>
      </c>
      <c r="BE699" s="66" t="str">
        <f t="shared" si="962"/>
        <v/>
      </c>
      <c r="BF699" s="119" t="str">
        <f t="shared" si="963"/>
        <v/>
      </c>
      <c r="BG699" s="66" t="str">
        <f>+IF($W699="","",ROUND(IF($B699&gt;Parámetros!$D$107,'Tablas Servicio'!BE699+('Tablas Servicio'!BG698-'Tablas Servicio'!BE698),BE699/(1-IF(B699&lt;=10,Parámetros!$D$100,0))),2))</f>
        <v/>
      </c>
      <c r="BH699" s="66" t="str">
        <f t="shared" si="964"/>
        <v/>
      </c>
      <c r="BI699" s="66" t="str">
        <f t="shared" si="965"/>
        <v/>
      </c>
      <c r="BJ699" s="66" t="str">
        <f>+IF($W699="","",ROUND((BG699*Parámetros!$G$85),2))</f>
        <v/>
      </c>
      <c r="BK699" s="66" t="str">
        <f>+IF($W699="","",ROUND((BG699*(Parámetros!$G$86)),2))</f>
        <v/>
      </c>
      <c r="BL699" s="66" t="str">
        <f t="shared" si="966"/>
        <v/>
      </c>
      <c r="BM699" t="str">
        <f t="shared" si="1007"/>
        <v/>
      </c>
      <c r="BN699" t="str">
        <f t="shared" si="1008"/>
        <v/>
      </c>
      <c r="BO699" s="118" t="str">
        <f t="shared" si="1009"/>
        <v/>
      </c>
      <c r="BP699" s="118" t="str">
        <f t="shared" si="1010"/>
        <v/>
      </c>
      <c r="BQ699" s="119" t="str">
        <f>+IF(OR($W699="",BO699=0),"",ROUND((VLOOKUP(ROUNDDOWN($D699-1/frec,0),cob_adi,BB$40,FALSE)*(1+i/frec)^-0.5*(1+Parámetros!$D$103)*(1+rec_fracc)/frec),6))</f>
        <v/>
      </c>
      <c r="BR699" s="66" t="str">
        <f t="shared" si="967"/>
        <v/>
      </c>
      <c r="BS699" s="119" t="str">
        <f t="shared" si="968"/>
        <v/>
      </c>
      <c r="BT699" s="66" t="str">
        <f>+IF($W699="","",ROUND(IF($B699&gt;Parámetros!$D$107,'Tablas Servicio'!BR699+('Tablas Servicio'!BT698-'Tablas Servicio'!BR698),BR699/(1-IF(B699&lt;=10,Parámetros!$D$100,0))),2))</f>
        <v/>
      </c>
      <c r="BU699" s="66" t="str">
        <f t="shared" si="969"/>
        <v/>
      </c>
      <c r="BV699" s="66" t="str">
        <f t="shared" si="969"/>
        <v/>
      </c>
      <c r="BW699" s="66" t="str">
        <f>+IF($W699="","",ROUND((BT699*Parámetros!$G$85),2))</f>
        <v/>
      </c>
      <c r="BX699" s="66" t="str">
        <f>+IF($W699="","",ROUND((BT699*(Parámetros!$G$86)),2))</f>
        <v/>
      </c>
      <c r="BY699" s="66" t="str">
        <f t="shared" si="970"/>
        <v/>
      </c>
      <c r="BZ699" t="str">
        <f t="shared" si="1011"/>
        <v/>
      </c>
      <c r="CA699" t="str">
        <f t="shared" si="1012"/>
        <v/>
      </c>
      <c r="CB699" s="118" t="str">
        <f t="shared" si="1013"/>
        <v/>
      </c>
      <c r="CC699" s="118" t="str">
        <f t="shared" si="1014"/>
        <v/>
      </c>
      <c r="CD699" s="119" t="str">
        <f t="shared" si="971"/>
        <v/>
      </c>
      <c r="CE699" s="66" t="str">
        <f>+IF($W699="","",ROUND((VLOOKUP(ROUNDDOWN($D699-1/frec,0),cob_adi,BO$40,FALSE)*(1+i/frec)^-0.5*(1+Parámetros!$D$103)*(1+rec_fracc)/frec*'TABLAS ADI'!$BC$17),2))</f>
        <v/>
      </c>
      <c r="CF699" s="119" t="str">
        <f t="shared" si="972"/>
        <v/>
      </c>
      <c r="CG699" s="66" t="str">
        <f>+IF($W699="","",ROUND(IF($B699&gt;Parámetros!$D$107,'Tablas Servicio'!CE699+('Tablas Servicio'!CG698-'Tablas Servicio'!CE698),CE699/(1-IF(B699&lt;=10,Parámetros!$D$100,0))),2))</f>
        <v/>
      </c>
      <c r="CH699" s="66" t="str">
        <f t="shared" si="973"/>
        <v/>
      </c>
      <c r="CI699" s="66" t="str">
        <f t="shared" si="973"/>
        <v/>
      </c>
      <c r="CJ699" s="66" t="str">
        <f>+IF($W699="","",ROUND((CG699*Parámetros!$G$85),2))</f>
        <v/>
      </c>
      <c r="CK699" s="66" t="str">
        <f>+IF($W699="","",ROUND((CG699*(Parámetros!$G$86)),2))</f>
        <v/>
      </c>
      <c r="CL699" s="66" t="str">
        <f t="shared" si="974"/>
        <v/>
      </c>
      <c r="CM699" t="str">
        <f t="shared" si="1015"/>
        <v/>
      </c>
      <c r="CN699" s="118" t="str">
        <f t="shared" si="1016"/>
        <v/>
      </c>
      <c r="CO699" s="118" t="str">
        <f t="shared" si="1017"/>
        <v/>
      </c>
      <c r="CP699" s="118" t="str">
        <f t="shared" si="1018"/>
        <v/>
      </c>
      <c r="CQ699" s="119" t="str">
        <f t="shared" si="975"/>
        <v/>
      </c>
      <c r="CR699" s="66" t="str">
        <f>+IF($W699="","",ROUND((VLOOKUP(Parámetros!$F$51,'COBERTURAS ADICIONALES'!$S$4:$T$32,2,FALSE)*(1+i/frec)^-0.5*(1+Parámetros!$D$103)*(1+rec_fracc)/frec*$CO$42),2))</f>
        <v/>
      </c>
      <c r="CS699" s="119" t="str">
        <f t="shared" si="976"/>
        <v/>
      </c>
      <c r="CT699" s="66" t="str">
        <f>+IF($W699="","",ROUND(IF($B699&gt;Parámetros!$D$107,'Tablas Servicio'!CR699+('Tablas Servicio'!CT698-'Tablas Servicio'!CR698),CR699/(1-IF(B699&lt;=10,Parámetros!$D$100,0))),2))</f>
        <v/>
      </c>
      <c r="CU699" s="66" t="str">
        <f t="shared" si="977"/>
        <v/>
      </c>
      <c r="CV699" s="66" t="str">
        <f t="shared" si="977"/>
        <v/>
      </c>
      <c r="CW699" s="66" t="str">
        <f>+IF($W699="","",ROUND((CT699*Parámetros!$G$85),2))</f>
        <v/>
      </c>
      <c r="CX699" s="66" t="str">
        <f>+IF($W699="","",ROUND((CT699*(Parámetros!$G$86)),2))</f>
        <v/>
      </c>
      <c r="CY699" s="66" t="str">
        <f t="shared" si="978"/>
        <v/>
      </c>
      <c r="CZ699" t="str">
        <f t="shared" si="1019"/>
        <v/>
      </c>
      <c r="DA699" s="118" t="str">
        <f t="shared" si="1020"/>
        <v/>
      </c>
      <c r="DB699" s="118" t="str">
        <f t="shared" si="1021"/>
        <v/>
      </c>
      <c r="DC699" s="118" t="str">
        <f t="shared" si="1022"/>
        <v/>
      </c>
      <c r="DD699" s="121" t="str">
        <f>+IF(OR($W699="",DB699=0),"",ROUND((VLOOKUP(ROUNDDOWN($D699-1/frec,0),cob_adi,CO$40,FALSE)*(1+i/frec)^-0.5*(1+Parámetros!$D$103)*(1+rec_fracc)/frec),6))</f>
        <v/>
      </c>
      <c r="DE699" s="66" t="str">
        <f t="shared" si="979"/>
        <v/>
      </c>
      <c r="DF699" s="119" t="str">
        <f t="shared" si="980"/>
        <v/>
      </c>
      <c r="DG699" s="66" t="str">
        <f>+IF($W699="","",ROUND(IF($B699&gt;Parámetros!$D$107,'Tablas Servicio'!DE699+('Tablas Servicio'!DG698-'Tablas Servicio'!DE698),DE699/(1-IF(B699&lt;=10,Parámetros!$D$100,0))),2))</f>
        <v/>
      </c>
      <c r="DH699" s="66" t="str">
        <f t="shared" si="981"/>
        <v/>
      </c>
      <c r="DI699" s="66" t="str">
        <f t="shared" si="981"/>
        <v/>
      </c>
      <c r="DJ699" s="66" t="str">
        <f>+IF($W699="","",ROUND((DG699*Parámetros!$G$85),2))</f>
        <v/>
      </c>
      <c r="DK699" s="66" t="str">
        <f>+IF($W699="","",ROUND((DG699*(Parámetros!$G$86)),2))</f>
        <v/>
      </c>
      <c r="DL699" s="66" t="str">
        <f t="shared" si="982"/>
        <v/>
      </c>
      <c r="DM699" t="str">
        <f t="shared" si="1023"/>
        <v/>
      </c>
      <c r="DN699" s="118" t="str">
        <f t="shared" si="1024"/>
        <v/>
      </c>
      <c r="DO699" s="118" t="str">
        <f t="shared" si="1025"/>
        <v/>
      </c>
      <c r="DP699" s="118" t="str">
        <f t="shared" si="1026"/>
        <v/>
      </c>
      <c r="DQ699" s="122" t="str">
        <f>+IF(OR($W699="",DO699=0),"",ROUND((VLOOKUP(ROUNDDOWN($D699-1/frec,0),cob_adi,DB$40,FALSE)*(1+i/frec)^-0.5*(1+Parámetros!$D$103)*(1+rec_fracc)/frec),6))</f>
        <v/>
      </c>
      <c r="DR699" s="66" t="str">
        <f t="shared" si="983"/>
        <v/>
      </c>
      <c r="DS699" s="68" t="str">
        <f t="shared" si="984"/>
        <v/>
      </c>
      <c r="DT699" s="66" t="str">
        <f>+IF($W699="","",ROUND(IF($B699&gt;Parámetros!$D$107,'Tablas Servicio'!DR699+('Tablas Servicio'!DT698-'Tablas Servicio'!DR698),DR699/(1-IF(B699&lt;=10,Parámetros!$D$100,0))),2))</f>
        <v/>
      </c>
      <c r="DU699" s="66" t="str">
        <f t="shared" si="985"/>
        <v/>
      </c>
      <c r="DV699" s="66" t="str">
        <f t="shared" si="985"/>
        <v/>
      </c>
      <c r="DW699" s="66" t="str">
        <f>+IF($W699="","",ROUND((DT699*Parámetros!$G$85),2))</f>
        <v/>
      </c>
      <c r="DX699" s="66" t="str">
        <f>+IF($W699="","",ROUND((DT699*(Parámetros!$G$86)),2))</f>
        <v/>
      </c>
      <c r="DY699" s="66" t="str">
        <f t="shared" si="986"/>
        <v/>
      </c>
      <c r="DZ699" t="str">
        <f t="shared" ref="DZ699:EC714" si="1027">+IF($W699="","",DZ698)</f>
        <v/>
      </c>
      <c r="EA699" s="118" t="str">
        <f t="shared" si="1027"/>
        <v/>
      </c>
      <c r="EB699" s="118" t="str">
        <f>+IF($W699="","",ROUND(IF(Parámetros!$D$25='TABLAS MORT'!$V$33,EB698,Z699/2),0))</f>
        <v/>
      </c>
      <c r="EC699" s="118" t="str">
        <f t="shared" si="1027"/>
        <v/>
      </c>
      <c r="ED699" s="122" t="str">
        <f>+IF(OR($W699="",EB699=0),"",ROUND((VLOOKUP(ROUNDDOWN($D699-1/frec,0),cob_adi,DO$40,FALSE)*(1+i/frec)^-0.5*(1+Parámetros!$D$103)*(1+rec_fracc)/frec),6))</f>
        <v/>
      </c>
      <c r="EE699" s="66" t="str">
        <f t="shared" si="988"/>
        <v/>
      </c>
      <c r="EF699" s="68" t="str">
        <f t="shared" si="989"/>
        <v/>
      </c>
      <c r="EG699" s="66" t="str">
        <f>+IF($W699="","",ROUND(IF($B699&gt;Parámetros!$D$107,'Tablas Servicio'!EE699+('Tablas Servicio'!EG698-'Tablas Servicio'!EE698),EE699/(1-IF(B699&lt;=10,Parámetros!$D$100,0))),2))</f>
        <v/>
      </c>
      <c r="EH699" s="66" t="str">
        <f t="shared" si="990"/>
        <v/>
      </c>
      <c r="EI699" s="66" t="str">
        <f t="shared" si="990"/>
        <v/>
      </c>
      <c r="EJ699" s="66" t="str">
        <f>+IF($W699="","",ROUND((EG699*Parámetros!$G$85),2))</f>
        <v/>
      </c>
      <c r="EK699" s="66" t="str">
        <f>+IF($W699="","",ROUND((EG699*(Parámetros!$G$86)),2))</f>
        <v/>
      </c>
      <c r="EL699" s="66" t="str">
        <f t="shared" si="991"/>
        <v/>
      </c>
    </row>
    <row r="700" spans="1:142" x14ac:dyDescent="0.25">
      <c r="A700" t="str">
        <f>+IF($C700="","",ROUND(VLOOKUP('Tablas Servicio'!B700,Parámetros!$H$100:$J$159,IF(Parámetros!$E$16="F",2,3),FALSE),2))</f>
        <v/>
      </c>
      <c r="B700" t="str">
        <f t="shared" si="942"/>
        <v/>
      </c>
      <c r="C700" s="57" t="str">
        <f>+IF(D700="","",'Tablas Servicio'!C699+1)</f>
        <v/>
      </c>
      <c r="D700" s="56" t="str">
        <f>+IF(D699&lt;edadmaxtabla,D699+1/Parámetros!$E$25,"")</f>
        <v/>
      </c>
      <c r="E700" s="57" t="str">
        <f t="shared" si="952"/>
        <v/>
      </c>
      <c r="F700" s="59" t="str">
        <f t="shared" si="953"/>
        <v/>
      </c>
      <c r="G700" s="66" t="str">
        <f t="shared" si="943"/>
        <v/>
      </c>
      <c r="H700" s="66" t="str">
        <f t="shared" si="944"/>
        <v/>
      </c>
      <c r="I700" s="66" t="str">
        <f t="shared" si="992"/>
        <v/>
      </c>
      <c r="J700" s="66" t="str">
        <f t="shared" si="945"/>
        <v/>
      </c>
      <c r="K700" s="66" t="str">
        <f t="shared" si="946"/>
        <v/>
      </c>
      <c r="L700" s="66" t="str">
        <f t="shared" si="947"/>
        <v/>
      </c>
      <c r="M700" s="66" t="str">
        <f t="shared" si="948"/>
        <v/>
      </c>
      <c r="N700" s="66" t="str">
        <f>+IF(C700="","",ROUND(Parámetros!$D$23,2))</f>
        <v/>
      </c>
      <c r="O700" s="66" t="str">
        <f t="shared" si="949"/>
        <v/>
      </c>
      <c r="P700" s="66" t="str">
        <f>+IF($C700="","",ROUND(IF(B700&gt;Parámetros!$D$117,0,N700*Parámetros!$D$116-G700*Parámetros!$D$100),2))</f>
        <v/>
      </c>
      <c r="Q700" s="75" t="str">
        <f t="shared" si="993"/>
        <v/>
      </c>
      <c r="R700" s="75" t="str">
        <f t="shared" si="994"/>
        <v/>
      </c>
      <c r="S700" s="117" t="str">
        <f>+IF($C700="","",ROUND((S699+I700)*(1+Parámetros!$D$91),2))</f>
        <v/>
      </c>
      <c r="T700" s="117" t="str">
        <f>+IF($C700="","",ROUND(S700*VLOOKUP(B700,Parámetros!$C$30:$D$39,2,TRUE),2))</f>
        <v/>
      </c>
      <c r="U700" s="117" t="str">
        <f>+IF($C700="","",ROUND((U699+I700)*(1+Parámetros!$D$92),2))</f>
        <v/>
      </c>
      <c r="V700" s="117" t="str">
        <f>+IF($C700="","",ROUND(U700*VLOOKUP(B700,Parámetros!$C$30:$D$39,2,TRUE),2))</f>
        <v/>
      </c>
      <c r="W700" s="57" t="str">
        <f t="shared" si="995"/>
        <v/>
      </c>
      <c r="X700" t="str">
        <f t="shared" si="996"/>
        <v/>
      </c>
      <c r="Y700" t="str">
        <f t="shared" si="997"/>
        <v/>
      </c>
      <c r="Z700" s="118" t="str">
        <f>+IF($W700="","",ROUND(IF(Parámetros!$D$25='TABLAS MORT'!$V$33,Z699,Parámetros!$D$21-'Tablas Servicio'!T699),0))</f>
        <v/>
      </c>
      <c r="AA700" s="118" t="str">
        <f t="shared" si="998"/>
        <v/>
      </c>
      <c r="AB700" s="119" t="str">
        <f>+IF(W700="","",ROUND((VLOOKUP(ROUNDDOWN($D700-1/frec,0),qx_tabla,2,FALSE)*(1+i/frec)^-0.5*(1+Parámetros!$D$103)*(1+rec_fracc)/frec),6))</f>
        <v/>
      </c>
      <c r="AC700" s="66" t="str">
        <f t="shared" si="954"/>
        <v/>
      </c>
      <c r="AD700" s="119" t="str">
        <f t="shared" si="950"/>
        <v/>
      </c>
      <c r="AE700" s="66" t="str">
        <f>+IF($W700="","",ROUND(IF($B700&gt;Parámetros!$D$107,'Tablas Servicio'!AC700+('Tablas Servicio'!AG699-'Tablas Servicio'!AC699),AC700/(1-IF(B700&lt;=10,Parámetros!$D$104,Parámetros!$D$105))),2))</f>
        <v/>
      </c>
      <c r="AF700" s="66" t="str">
        <f>+IF($W700="","",ROUND(IF($B700&gt;Parámetros!$D$107,'Tablas Servicio'!AC700+('Tablas Servicio'!AG699-'Tablas Servicio'!AC699),(AC700+$A699/frec)/(1-IF(B700&lt;=Parámetros!$D$117,Parámetros!$D$100,0))),2))</f>
        <v/>
      </c>
      <c r="AG700" s="66" t="str">
        <f t="shared" si="955"/>
        <v/>
      </c>
      <c r="AH700" s="66" t="str">
        <f t="shared" si="956"/>
        <v/>
      </c>
      <c r="AI700" s="66" t="str">
        <f t="shared" si="957"/>
        <v/>
      </c>
      <c r="AJ700" s="66" t="str">
        <f>+IF($W700="","",ROUND((AG700*Parámetros!$G$85),2))</f>
        <v/>
      </c>
      <c r="AK700" s="66" t="str">
        <f>+IF($W700="","",ROUND((AG700*(Parámetros!$G$86)),2))</f>
        <v/>
      </c>
      <c r="AL700" s="66" t="str">
        <f t="shared" si="951"/>
        <v/>
      </c>
      <c r="AM700" t="str">
        <f t="shared" si="999"/>
        <v/>
      </c>
      <c r="AN700" t="str">
        <f t="shared" si="1000"/>
        <v/>
      </c>
      <c r="AO700" s="118" t="str">
        <f t="shared" si="1001"/>
        <v/>
      </c>
      <c r="AP700" s="118" t="str">
        <f t="shared" si="1002"/>
        <v/>
      </c>
      <c r="AQ700" s="119" t="str">
        <f>+IF(OR($W700="",AO700=0),"",ROUND((VLOOKUP(ROUNDDOWN($D700-1/frec,0),cob_adi,Z$40,FALSE)*(1+i/frec)^-0.5*(1+Parámetros!$D$103)*(1+rec_fracc)/frec),6))</f>
        <v/>
      </c>
      <c r="AR700" s="66" t="str">
        <f t="shared" si="958"/>
        <v/>
      </c>
      <c r="AS700" s="119" t="str">
        <f t="shared" si="959"/>
        <v/>
      </c>
      <c r="AT700" s="66" t="str">
        <f>+IF($W700="","",ROUND(IF($B700&gt;Parámetros!$D$107,'Tablas Servicio'!AR700+('Tablas Servicio'!AT699-'Tablas Servicio'!AR699),AR700/(1-IF(B700&lt;=10,Parámetros!$D$100,0))),2))</f>
        <v/>
      </c>
      <c r="AU700" s="66" t="str">
        <f t="shared" si="960"/>
        <v/>
      </c>
      <c r="AV700" s="66" t="str">
        <f t="shared" si="960"/>
        <v/>
      </c>
      <c r="AW700" s="66" t="str">
        <f>+IF($W700="","",ROUND((AT700*Parámetros!$G$85),2))</f>
        <v/>
      </c>
      <c r="AX700" s="66" t="str">
        <f>+IF($W700="","",ROUND((AT700*(Parámetros!$G$86)),2))</f>
        <v/>
      </c>
      <c r="AY700" s="66" t="str">
        <f t="shared" si="961"/>
        <v/>
      </c>
      <c r="AZ700" t="str">
        <f t="shared" si="1003"/>
        <v/>
      </c>
      <c r="BA700" t="str">
        <f t="shared" si="1004"/>
        <v/>
      </c>
      <c r="BB700" s="118" t="str">
        <f t="shared" si="1005"/>
        <v/>
      </c>
      <c r="BC700" s="118" t="str">
        <f t="shared" si="1006"/>
        <v/>
      </c>
      <c r="BD700" s="119" t="str">
        <f>+IF(OR($W700="",BB700=0),"",ROUND((VLOOKUP(ROUNDDOWN($D700-1/frec,0),cob_adi,AO$40,FALSE)*(1+i/frec)^-0.5*(1+Parámetros!$D$103)*(1+rec_fracc)/frec),6))</f>
        <v/>
      </c>
      <c r="BE700" s="66" t="str">
        <f t="shared" si="962"/>
        <v/>
      </c>
      <c r="BF700" s="119" t="str">
        <f t="shared" si="963"/>
        <v/>
      </c>
      <c r="BG700" s="66" t="str">
        <f>+IF($W700="","",ROUND(IF($B700&gt;Parámetros!$D$107,'Tablas Servicio'!BE700+('Tablas Servicio'!BG699-'Tablas Servicio'!BE699),BE700/(1-IF(B700&lt;=10,Parámetros!$D$100,0))),2))</f>
        <v/>
      </c>
      <c r="BH700" s="66" t="str">
        <f t="shared" si="964"/>
        <v/>
      </c>
      <c r="BI700" s="66" t="str">
        <f t="shared" si="965"/>
        <v/>
      </c>
      <c r="BJ700" s="66" t="str">
        <f>+IF($W700="","",ROUND((BG700*Parámetros!$G$85),2))</f>
        <v/>
      </c>
      <c r="BK700" s="66" t="str">
        <f>+IF($W700="","",ROUND((BG700*(Parámetros!$G$86)),2))</f>
        <v/>
      </c>
      <c r="BL700" s="66" t="str">
        <f t="shared" si="966"/>
        <v/>
      </c>
      <c r="BM700" t="str">
        <f t="shared" si="1007"/>
        <v/>
      </c>
      <c r="BN700" t="str">
        <f t="shared" si="1008"/>
        <v/>
      </c>
      <c r="BO700" s="118" t="str">
        <f t="shared" si="1009"/>
        <v/>
      </c>
      <c r="BP700" s="118" t="str">
        <f t="shared" si="1010"/>
        <v/>
      </c>
      <c r="BQ700" s="119" t="str">
        <f>+IF(OR($W700="",BO700=0),"",ROUND((VLOOKUP(ROUNDDOWN($D700-1/frec,0),cob_adi,BB$40,FALSE)*(1+i/frec)^-0.5*(1+Parámetros!$D$103)*(1+rec_fracc)/frec),6))</f>
        <v/>
      </c>
      <c r="BR700" s="66" t="str">
        <f t="shared" si="967"/>
        <v/>
      </c>
      <c r="BS700" s="119" t="str">
        <f t="shared" si="968"/>
        <v/>
      </c>
      <c r="BT700" s="66" t="str">
        <f>+IF($W700="","",ROUND(IF($B700&gt;Parámetros!$D$107,'Tablas Servicio'!BR700+('Tablas Servicio'!BT699-'Tablas Servicio'!BR699),BR700/(1-IF(B700&lt;=10,Parámetros!$D$100,0))),2))</f>
        <v/>
      </c>
      <c r="BU700" s="66" t="str">
        <f t="shared" si="969"/>
        <v/>
      </c>
      <c r="BV700" s="66" t="str">
        <f t="shared" si="969"/>
        <v/>
      </c>
      <c r="BW700" s="66" t="str">
        <f>+IF($W700="","",ROUND((BT700*Parámetros!$G$85),2))</f>
        <v/>
      </c>
      <c r="BX700" s="66" t="str">
        <f>+IF($W700="","",ROUND((BT700*(Parámetros!$G$86)),2))</f>
        <v/>
      </c>
      <c r="BY700" s="66" t="str">
        <f t="shared" si="970"/>
        <v/>
      </c>
      <c r="BZ700" t="str">
        <f t="shared" si="1011"/>
        <v/>
      </c>
      <c r="CA700" t="str">
        <f t="shared" si="1012"/>
        <v/>
      </c>
      <c r="CB700" s="118" t="str">
        <f t="shared" si="1013"/>
        <v/>
      </c>
      <c r="CC700" s="118" t="str">
        <f t="shared" si="1014"/>
        <v/>
      </c>
      <c r="CD700" s="119" t="str">
        <f t="shared" si="971"/>
        <v/>
      </c>
      <c r="CE700" s="66" t="str">
        <f>+IF($W700="","",ROUND((VLOOKUP(ROUNDDOWN($D700-1/frec,0),cob_adi,BO$40,FALSE)*(1+i/frec)^-0.5*(1+Parámetros!$D$103)*(1+rec_fracc)/frec*'TABLAS ADI'!$BC$17),2))</f>
        <v/>
      </c>
      <c r="CF700" s="119" t="str">
        <f t="shared" si="972"/>
        <v/>
      </c>
      <c r="CG700" s="66" t="str">
        <f>+IF($W700="","",ROUND(IF($B700&gt;Parámetros!$D$107,'Tablas Servicio'!CE700+('Tablas Servicio'!CG699-'Tablas Servicio'!CE699),CE700/(1-IF(B700&lt;=10,Parámetros!$D$100,0))),2))</f>
        <v/>
      </c>
      <c r="CH700" s="66" t="str">
        <f t="shared" si="973"/>
        <v/>
      </c>
      <c r="CI700" s="66" t="str">
        <f t="shared" si="973"/>
        <v/>
      </c>
      <c r="CJ700" s="66" t="str">
        <f>+IF($W700="","",ROUND((CG700*Parámetros!$G$85),2))</f>
        <v/>
      </c>
      <c r="CK700" s="66" t="str">
        <f>+IF($W700="","",ROUND((CG700*(Parámetros!$G$86)),2))</f>
        <v/>
      </c>
      <c r="CL700" s="66" t="str">
        <f t="shared" si="974"/>
        <v/>
      </c>
      <c r="CM700" t="str">
        <f t="shared" si="1015"/>
        <v/>
      </c>
      <c r="CN700" s="118" t="str">
        <f t="shared" si="1016"/>
        <v/>
      </c>
      <c r="CO700" s="118" t="str">
        <f t="shared" si="1017"/>
        <v/>
      </c>
      <c r="CP700" s="118" t="str">
        <f t="shared" si="1018"/>
        <v/>
      </c>
      <c r="CQ700" s="119" t="str">
        <f t="shared" si="975"/>
        <v/>
      </c>
      <c r="CR700" s="66" t="str">
        <f>+IF($W700="","",ROUND((VLOOKUP(Parámetros!$F$51,'COBERTURAS ADICIONALES'!$S$4:$T$32,2,FALSE)*(1+i/frec)^-0.5*(1+Parámetros!$D$103)*(1+rec_fracc)/frec*$CO$42),2))</f>
        <v/>
      </c>
      <c r="CS700" s="119" t="str">
        <f t="shared" si="976"/>
        <v/>
      </c>
      <c r="CT700" s="66" t="str">
        <f>+IF($W700="","",ROUND(IF($B700&gt;Parámetros!$D$107,'Tablas Servicio'!CR700+('Tablas Servicio'!CT699-'Tablas Servicio'!CR699),CR700/(1-IF(B700&lt;=10,Parámetros!$D$100,0))),2))</f>
        <v/>
      </c>
      <c r="CU700" s="66" t="str">
        <f t="shared" si="977"/>
        <v/>
      </c>
      <c r="CV700" s="66" t="str">
        <f t="shared" si="977"/>
        <v/>
      </c>
      <c r="CW700" s="66" t="str">
        <f>+IF($W700="","",ROUND((CT700*Parámetros!$G$85),2))</f>
        <v/>
      </c>
      <c r="CX700" s="66" t="str">
        <f>+IF($W700="","",ROUND((CT700*(Parámetros!$G$86)),2))</f>
        <v/>
      </c>
      <c r="CY700" s="66" t="str">
        <f t="shared" si="978"/>
        <v/>
      </c>
      <c r="CZ700" t="str">
        <f t="shared" si="1019"/>
        <v/>
      </c>
      <c r="DA700" s="118" t="str">
        <f t="shared" si="1020"/>
        <v/>
      </c>
      <c r="DB700" s="118" t="str">
        <f t="shared" si="1021"/>
        <v/>
      </c>
      <c r="DC700" s="118" t="str">
        <f t="shared" si="1022"/>
        <v/>
      </c>
      <c r="DD700" s="121" t="str">
        <f>+IF(OR($W700="",DB700=0),"",ROUND((VLOOKUP(ROUNDDOWN($D700-1/frec,0),cob_adi,CO$40,FALSE)*(1+i/frec)^-0.5*(1+Parámetros!$D$103)*(1+rec_fracc)/frec),6))</f>
        <v/>
      </c>
      <c r="DE700" s="66" t="str">
        <f t="shared" si="979"/>
        <v/>
      </c>
      <c r="DF700" s="119" t="str">
        <f t="shared" si="980"/>
        <v/>
      </c>
      <c r="DG700" s="66" t="str">
        <f>+IF($W700="","",ROUND(IF($B700&gt;Parámetros!$D$107,'Tablas Servicio'!DE700+('Tablas Servicio'!DG699-'Tablas Servicio'!DE699),DE700/(1-IF(B700&lt;=10,Parámetros!$D$100,0))),2))</f>
        <v/>
      </c>
      <c r="DH700" s="66" t="str">
        <f t="shared" si="981"/>
        <v/>
      </c>
      <c r="DI700" s="66" t="str">
        <f t="shared" si="981"/>
        <v/>
      </c>
      <c r="DJ700" s="66" t="str">
        <f>+IF($W700="","",ROUND((DG700*Parámetros!$G$85),2))</f>
        <v/>
      </c>
      <c r="DK700" s="66" t="str">
        <f>+IF($W700="","",ROUND((DG700*(Parámetros!$G$86)),2))</f>
        <v/>
      </c>
      <c r="DL700" s="66" t="str">
        <f t="shared" si="982"/>
        <v/>
      </c>
      <c r="DM700" t="str">
        <f t="shared" si="1023"/>
        <v/>
      </c>
      <c r="DN700" s="118" t="str">
        <f t="shared" si="1024"/>
        <v/>
      </c>
      <c r="DO700" s="118" t="str">
        <f t="shared" si="1025"/>
        <v/>
      </c>
      <c r="DP700" s="118" t="str">
        <f t="shared" si="1026"/>
        <v/>
      </c>
      <c r="DQ700" s="122" t="str">
        <f>+IF(OR($W700="",DO700=0),"",ROUND((VLOOKUP(ROUNDDOWN($D700-1/frec,0),cob_adi,DB$40,FALSE)*(1+i/frec)^-0.5*(1+Parámetros!$D$103)*(1+rec_fracc)/frec),6))</f>
        <v/>
      </c>
      <c r="DR700" s="66" t="str">
        <f t="shared" si="983"/>
        <v/>
      </c>
      <c r="DS700" s="68" t="str">
        <f t="shared" si="984"/>
        <v/>
      </c>
      <c r="DT700" s="66" t="str">
        <f>+IF($W700="","",ROUND(IF($B700&gt;Parámetros!$D$107,'Tablas Servicio'!DR700+('Tablas Servicio'!DT699-'Tablas Servicio'!DR699),DR700/(1-IF(B700&lt;=10,Parámetros!$D$100,0))),2))</f>
        <v/>
      </c>
      <c r="DU700" s="66" t="str">
        <f t="shared" si="985"/>
        <v/>
      </c>
      <c r="DV700" s="66" t="str">
        <f t="shared" si="985"/>
        <v/>
      </c>
      <c r="DW700" s="66" t="str">
        <f>+IF($W700="","",ROUND((DT700*Parámetros!$G$85),2))</f>
        <v/>
      </c>
      <c r="DX700" s="66" t="str">
        <f>+IF($W700="","",ROUND((DT700*(Parámetros!$G$86)),2))</f>
        <v/>
      </c>
      <c r="DY700" s="66" t="str">
        <f t="shared" si="986"/>
        <v/>
      </c>
      <c r="DZ700" t="str">
        <f t="shared" si="1027"/>
        <v/>
      </c>
      <c r="EA700" s="118" t="str">
        <f t="shared" si="1027"/>
        <v/>
      </c>
      <c r="EB700" s="118" t="str">
        <f>+IF($W700="","",ROUND(IF(Parámetros!$D$25='TABLAS MORT'!$V$33,EB699,Z700/2),0))</f>
        <v/>
      </c>
      <c r="EC700" s="118" t="str">
        <f t="shared" si="1027"/>
        <v/>
      </c>
      <c r="ED700" s="122" t="str">
        <f>+IF(OR($W700="",EB700=0),"",ROUND((VLOOKUP(ROUNDDOWN($D700-1/frec,0),cob_adi,DO$40,FALSE)*(1+i/frec)^-0.5*(1+Parámetros!$D$103)*(1+rec_fracc)/frec),6))</f>
        <v/>
      </c>
      <c r="EE700" s="66" t="str">
        <f t="shared" si="988"/>
        <v/>
      </c>
      <c r="EF700" s="68" t="str">
        <f t="shared" si="989"/>
        <v/>
      </c>
      <c r="EG700" s="66" t="str">
        <f>+IF($W700="","",ROUND(IF($B700&gt;Parámetros!$D$107,'Tablas Servicio'!EE700+('Tablas Servicio'!EG699-'Tablas Servicio'!EE699),EE700/(1-IF(B700&lt;=10,Parámetros!$D$100,0))),2))</f>
        <v/>
      </c>
      <c r="EH700" s="66" t="str">
        <f t="shared" si="990"/>
        <v/>
      </c>
      <c r="EI700" s="66" t="str">
        <f t="shared" si="990"/>
        <v/>
      </c>
      <c r="EJ700" s="66" t="str">
        <f>+IF($W700="","",ROUND((EG700*Parámetros!$G$85),2))</f>
        <v/>
      </c>
      <c r="EK700" s="66" t="str">
        <f>+IF($W700="","",ROUND((EG700*(Parámetros!$G$86)),2))</f>
        <v/>
      </c>
      <c r="EL700" s="66" t="str">
        <f t="shared" si="991"/>
        <v/>
      </c>
    </row>
    <row r="701" spans="1:142" x14ac:dyDescent="0.25">
      <c r="A701" t="str">
        <f>+IF($C701="","",ROUND(VLOOKUP('Tablas Servicio'!B701,Parámetros!$H$100:$J$159,IF(Parámetros!$E$16="F",2,3),FALSE),2))</f>
        <v/>
      </c>
      <c r="B701" t="str">
        <f t="shared" si="942"/>
        <v/>
      </c>
      <c r="C701" s="57" t="str">
        <f>+IF(D701="","",'Tablas Servicio'!C700+1)</f>
        <v/>
      </c>
      <c r="D701" s="56" t="str">
        <f>+IF(D700&lt;edadmaxtabla,D700+1/Parámetros!$E$25,"")</f>
        <v/>
      </c>
      <c r="E701" s="57" t="str">
        <f t="shared" si="952"/>
        <v/>
      </c>
      <c r="F701" s="59" t="str">
        <f t="shared" si="953"/>
        <v/>
      </c>
      <c r="G701" s="66" t="str">
        <f t="shared" si="943"/>
        <v/>
      </c>
      <c r="H701" s="66" t="str">
        <f t="shared" si="944"/>
        <v/>
      </c>
      <c r="I701" s="66" t="str">
        <f t="shared" si="992"/>
        <v/>
      </c>
      <c r="J701" s="66" t="str">
        <f t="shared" si="945"/>
        <v/>
      </c>
      <c r="K701" s="66" t="str">
        <f t="shared" si="946"/>
        <v/>
      </c>
      <c r="L701" s="66" t="str">
        <f t="shared" si="947"/>
        <v/>
      </c>
      <c r="M701" s="66" t="str">
        <f t="shared" si="948"/>
        <v/>
      </c>
      <c r="N701" s="66" t="str">
        <f>+IF(C701="","",ROUND(Parámetros!$D$23,2))</f>
        <v/>
      </c>
      <c r="O701" s="66" t="str">
        <f t="shared" si="949"/>
        <v/>
      </c>
      <c r="P701" s="66" t="str">
        <f>+IF($C701="","",ROUND(IF(B701&gt;Parámetros!$D$117,0,N701*Parámetros!$D$116-G701*Parámetros!$D$100),2))</f>
        <v/>
      </c>
      <c r="Q701" s="75" t="str">
        <f t="shared" si="993"/>
        <v/>
      </c>
      <c r="R701" s="75" t="str">
        <f t="shared" si="994"/>
        <v/>
      </c>
      <c r="S701" s="117" t="str">
        <f>+IF($C701="","",ROUND((S700+I701)*(1+Parámetros!$D$91),2))</f>
        <v/>
      </c>
      <c r="T701" s="117" t="str">
        <f>+IF($C701="","",ROUND(S701*VLOOKUP(B701,Parámetros!$C$30:$D$39,2,TRUE),2))</f>
        <v/>
      </c>
      <c r="U701" s="117" t="str">
        <f>+IF($C701="","",ROUND((U700+I701)*(1+Parámetros!$D$92),2))</f>
        <v/>
      </c>
      <c r="V701" s="117" t="str">
        <f>+IF($C701="","",ROUND(U701*VLOOKUP(B701,Parámetros!$C$30:$D$39,2,TRUE),2))</f>
        <v/>
      </c>
      <c r="W701" s="57" t="str">
        <f t="shared" si="995"/>
        <v/>
      </c>
      <c r="X701" t="str">
        <f t="shared" si="996"/>
        <v/>
      </c>
      <c r="Y701" t="str">
        <f t="shared" si="997"/>
        <v/>
      </c>
      <c r="Z701" s="118" t="str">
        <f>+IF($W701="","",ROUND(IF(Parámetros!$D$25='TABLAS MORT'!$V$33,Z700,Parámetros!$D$21-'Tablas Servicio'!T700),0))</f>
        <v/>
      </c>
      <c r="AA701" s="118" t="str">
        <f t="shared" si="998"/>
        <v/>
      </c>
      <c r="AB701" s="119" t="str">
        <f>+IF(W701="","",ROUND((VLOOKUP(ROUNDDOWN($D701-1/frec,0),qx_tabla,2,FALSE)*(1+i/frec)^-0.5*(1+Parámetros!$D$103)*(1+rec_fracc)/frec),6))</f>
        <v/>
      </c>
      <c r="AC701" s="66" t="str">
        <f t="shared" si="954"/>
        <v/>
      </c>
      <c r="AD701" s="119" t="str">
        <f t="shared" si="950"/>
        <v/>
      </c>
      <c r="AE701" s="66" t="str">
        <f>+IF($W701="","",ROUND(IF($B701&gt;Parámetros!$D$107,'Tablas Servicio'!AC701+('Tablas Servicio'!AG700-'Tablas Servicio'!AC700),AC701/(1-IF(B701&lt;=10,Parámetros!$D$104,Parámetros!$D$105))),2))</f>
        <v/>
      </c>
      <c r="AF701" s="66" t="str">
        <f>+IF($W701="","",ROUND(IF($B701&gt;Parámetros!$D$107,'Tablas Servicio'!AC701+('Tablas Servicio'!AG700-'Tablas Servicio'!AC700),(AC701+$A700/frec)/(1-IF(B701&lt;=Parámetros!$D$117,Parámetros!$D$100,0))),2))</f>
        <v/>
      </c>
      <c r="AG701" s="66" t="str">
        <f t="shared" si="955"/>
        <v/>
      </c>
      <c r="AH701" s="66" t="str">
        <f t="shared" si="956"/>
        <v/>
      </c>
      <c r="AI701" s="66" t="str">
        <f t="shared" si="957"/>
        <v/>
      </c>
      <c r="AJ701" s="66" t="str">
        <f>+IF($W701="","",ROUND((AG701*Parámetros!$G$85),2))</f>
        <v/>
      </c>
      <c r="AK701" s="66" t="str">
        <f>+IF($W701="","",ROUND((AG701*(Parámetros!$G$86)),2))</f>
        <v/>
      </c>
      <c r="AL701" s="66" t="str">
        <f t="shared" si="951"/>
        <v/>
      </c>
      <c r="AM701" t="str">
        <f t="shared" si="999"/>
        <v/>
      </c>
      <c r="AN701" t="str">
        <f t="shared" si="1000"/>
        <v/>
      </c>
      <c r="AO701" s="118" t="str">
        <f t="shared" si="1001"/>
        <v/>
      </c>
      <c r="AP701" s="118" t="str">
        <f t="shared" si="1002"/>
        <v/>
      </c>
      <c r="AQ701" s="119" t="str">
        <f>+IF(OR($W701="",AO701=0),"",ROUND((VLOOKUP(ROUNDDOWN($D701-1/frec,0),cob_adi,Z$40,FALSE)*(1+i/frec)^-0.5*(1+Parámetros!$D$103)*(1+rec_fracc)/frec),6))</f>
        <v/>
      </c>
      <c r="AR701" s="66" t="str">
        <f t="shared" si="958"/>
        <v/>
      </c>
      <c r="AS701" s="119" t="str">
        <f t="shared" si="959"/>
        <v/>
      </c>
      <c r="AT701" s="66" t="str">
        <f>+IF($W701="","",ROUND(IF($B701&gt;Parámetros!$D$107,'Tablas Servicio'!AR701+('Tablas Servicio'!AT700-'Tablas Servicio'!AR700),AR701/(1-IF(B701&lt;=10,Parámetros!$D$100,0))),2))</f>
        <v/>
      </c>
      <c r="AU701" s="66" t="str">
        <f t="shared" si="960"/>
        <v/>
      </c>
      <c r="AV701" s="66" t="str">
        <f t="shared" si="960"/>
        <v/>
      </c>
      <c r="AW701" s="66" t="str">
        <f>+IF($W701="","",ROUND((AT701*Parámetros!$G$85),2))</f>
        <v/>
      </c>
      <c r="AX701" s="66" t="str">
        <f>+IF($W701="","",ROUND((AT701*(Parámetros!$G$86)),2))</f>
        <v/>
      </c>
      <c r="AY701" s="66" t="str">
        <f t="shared" si="961"/>
        <v/>
      </c>
      <c r="AZ701" t="str">
        <f t="shared" si="1003"/>
        <v/>
      </c>
      <c r="BA701" t="str">
        <f t="shared" si="1004"/>
        <v/>
      </c>
      <c r="BB701" s="118" t="str">
        <f t="shared" si="1005"/>
        <v/>
      </c>
      <c r="BC701" s="118" t="str">
        <f t="shared" si="1006"/>
        <v/>
      </c>
      <c r="BD701" s="119" t="str">
        <f>+IF(OR($W701="",BB701=0),"",ROUND((VLOOKUP(ROUNDDOWN($D701-1/frec,0),cob_adi,AO$40,FALSE)*(1+i/frec)^-0.5*(1+Parámetros!$D$103)*(1+rec_fracc)/frec),6))</f>
        <v/>
      </c>
      <c r="BE701" s="66" t="str">
        <f t="shared" si="962"/>
        <v/>
      </c>
      <c r="BF701" s="119" t="str">
        <f t="shared" si="963"/>
        <v/>
      </c>
      <c r="BG701" s="66" t="str">
        <f>+IF($W701="","",ROUND(IF($B701&gt;Parámetros!$D$107,'Tablas Servicio'!BE701+('Tablas Servicio'!BG700-'Tablas Servicio'!BE700),BE701/(1-IF(B701&lt;=10,Parámetros!$D$100,0))),2))</f>
        <v/>
      </c>
      <c r="BH701" s="66" t="str">
        <f t="shared" si="964"/>
        <v/>
      </c>
      <c r="BI701" s="66" t="str">
        <f t="shared" si="965"/>
        <v/>
      </c>
      <c r="BJ701" s="66" t="str">
        <f>+IF($W701="","",ROUND((BG701*Parámetros!$G$85),2))</f>
        <v/>
      </c>
      <c r="BK701" s="66" t="str">
        <f>+IF($W701="","",ROUND((BG701*(Parámetros!$G$86)),2))</f>
        <v/>
      </c>
      <c r="BL701" s="66" t="str">
        <f t="shared" si="966"/>
        <v/>
      </c>
      <c r="BM701" t="str">
        <f t="shared" si="1007"/>
        <v/>
      </c>
      <c r="BN701" t="str">
        <f t="shared" si="1008"/>
        <v/>
      </c>
      <c r="BO701" s="118" t="str">
        <f t="shared" si="1009"/>
        <v/>
      </c>
      <c r="BP701" s="118" t="str">
        <f t="shared" si="1010"/>
        <v/>
      </c>
      <c r="BQ701" s="119" t="str">
        <f>+IF(OR($W701="",BO701=0),"",ROUND((VLOOKUP(ROUNDDOWN($D701-1/frec,0),cob_adi,BB$40,FALSE)*(1+i/frec)^-0.5*(1+Parámetros!$D$103)*(1+rec_fracc)/frec),6))</f>
        <v/>
      </c>
      <c r="BR701" s="66" t="str">
        <f t="shared" si="967"/>
        <v/>
      </c>
      <c r="BS701" s="119" t="str">
        <f t="shared" si="968"/>
        <v/>
      </c>
      <c r="BT701" s="66" t="str">
        <f>+IF($W701="","",ROUND(IF($B701&gt;Parámetros!$D$107,'Tablas Servicio'!BR701+('Tablas Servicio'!BT700-'Tablas Servicio'!BR700),BR701/(1-IF(B701&lt;=10,Parámetros!$D$100,0))),2))</f>
        <v/>
      </c>
      <c r="BU701" s="66" t="str">
        <f t="shared" si="969"/>
        <v/>
      </c>
      <c r="BV701" s="66" t="str">
        <f t="shared" si="969"/>
        <v/>
      </c>
      <c r="BW701" s="66" t="str">
        <f>+IF($W701="","",ROUND((BT701*Parámetros!$G$85),2))</f>
        <v/>
      </c>
      <c r="BX701" s="66" t="str">
        <f>+IF($W701="","",ROUND((BT701*(Parámetros!$G$86)),2))</f>
        <v/>
      </c>
      <c r="BY701" s="66" t="str">
        <f t="shared" si="970"/>
        <v/>
      </c>
      <c r="BZ701" t="str">
        <f t="shared" si="1011"/>
        <v/>
      </c>
      <c r="CA701" t="str">
        <f t="shared" si="1012"/>
        <v/>
      </c>
      <c r="CB701" s="118" t="str">
        <f t="shared" si="1013"/>
        <v/>
      </c>
      <c r="CC701" s="118" t="str">
        <f t="shared" si="1014"/>
        <v/>
      </c>
      <c r="CD701" s="119" t="str">
        <f t="shared" si="971"/>
        <v/>
      </c>
      <c r="CE701" s="66" t="str">
        <f>+IF($W701="","",ROUND((VLOOKUP(ROUNDDOWN($D701-1/frec,0),cob_adi,BO$40,FALSE)*(1+i/frec)^-0.5*(1+Parámetros!$D$103)*(1+rec_fracc)/frec*'TABLAS ADI'!$BC$17),2))</f>
        <v/>
      </c>
      <c r="CF701" s="119" t="str">
        <f t="shared" si="972"/>
        <v/>
      </c>
      <c r="CG701" s="66" t="str">
        <f>+IF($W701="","",ROUND(IF($B701&gt;Parámetros!$D$107,'Tablas Servicio'!CE701+('Tablas Servicio'!CG700-'Tablas Servicio'!CE700),CE701/(1-IF(B701&lt;=10,Parámetros!$D$100,0))),2))</f>
        <v/>
      </c>
      <c r="CH701" s="66" t="str">
        <f t="shared" si="973"/>
        <v/>
      </c>
      <c r="CI701" s="66" t="str">
        <f t="shared" si="973"/>
        <v/>
      </c>
      <c r="CJ701" s="66" t="str">
        <f>+IF($W701="","",ROUND((CG701*Parámetros!$G$85),2))</f>
        <v/>
      </c>
      <c r="CK701" s="66" t="str">
        <f>+IF($W701="","",ROUND((CG701*(Parámetros!$G$86)),2))</f>
        <v/>
      </c>
      <c r="CL701" s="66" t="str">
        <f t="shared" si="974"/>
        <v/>
      </c>
      <c r="CM701" t="str">
        <f t="shared" si="1015"/>
        <v/>
      </c>
      <c r="CN701" s="118" t="str">
        <f t="shared" si="1016"/>
        <v/>
      </c>
      <c r="CO701" s="118" t="str">
        <f t="shared" si="1017"/>
        <v/>
      </c>
      <c r="CP701" s="118" t="str">
        <f t="shared" si="1018"/>
        <v/>
      </c>
      <c r="CQ701" s="119" t="str">
        <f t="shared" si="975"/>
        <v/>
      </c>
      <c r="CR701" s="66" t="str">
        <f>+IF($W701="","",ROUND((VLOOKUP(Parámetros!$F$51,'COBERTURAS ADICIONALES'!$S$4:$T$32,2,FALSE)*(1+i/frec)^-0.5*(1+Parámetros!$D$103)*(1+rec_fracc)/frec*$CO$42),2))</f>
        <v/>
      </c>
      <c r="CS701" s="119" t="str">
        <f t="shared" si="976"/>
        <v/>
      </c>
      <c r="CT701" s="66" t="str">
        <f>+IF($W701="","",ROUND(IF($B701&gt;Parámetros!$D$107,'Tablas Servicio'!CR701+('Tablas Servicio'!CT700-'Tablas Servicio'!CR700),CR701/(1-IF(B701&lt;=10,Parámetros!$D$100,0))),2))</f>
        <v/>
      </c>
      <c r="CU701" s="66" t="str">
        <f t="shared" si="977"/>
        <v/>
      </c>
      <c r="CV701" s="66" t="str">
        <f t="shared" si="977"/>
        <v/>
      </c>
      <c r="CW701" s="66" t="str">
        <f>+IF($W701="","",ROUND((CT701*Parámetros!$G$85),2))</f>
        <v/>
      </c>
      <c r="CX701" s="66" t="str">
        <f>+IF($W701="","",ROUND((CT701*(Parámetros!$G$86)),2))</f>
        <v/>
      </c>
      <c r="CY701" s="66" t="str">
        <f t="shared" si="978"/>
        <v/>
      </c>
      <c r="CZ701" t="str">
        <f t="shared" si="1019"/>
        <v/>
      </c>
      <c r="DA701" s="118" t="str">
        <f t="shared" si="1020"/>
        <v/>
      </c>
      <c r="DB701" s="118" t="str">
        <f t="shared" si="1021"/>
        <v/>
      </c>
      <c r="DC701" s="118" t="str">
        <f t="shared" si="1022"/>
        <v/>
      </c>
      <c r="DD701" s="121" t="str">
        <f>+IF(OR($W701="",DB701=0),"",ROUND((VLOOKUP(ROUNDDOWN($D701-1/frec,0),cob_adi,CO$40,FALSE)*(1+i/frec)^-0.5*(1+Parámetros!$D$103)*(1+rec_fracc)/frec),6))</f>
        <v/>
      </c>
      <c r="DE701" s="66" t="str">
        <f t="shared" si="979"/>
        <v/>
      </c>
      <c r="DF701" s="119" t="str">
        <f t="shared" si="980"/>
        <v/>
      </c>
      <c r="DG701" s="66" t="str">
        <f>+IF($W701="","",ROUND(IF($B701&gt;Parámetros!$D$107,'Tablas Servicio'!DE701+('Tablas Servicio'!DG700-'Tablas Servicio'!DE700),DE701/(1-IF(B701&lt;=10,Parámetros!$D$100,0))),2))</f>
        <v/>
      </c>
      <c r="DH701" s="66" t="str">
        <f t="shared" si="981"/>
        <v/>
      </c>
      <c r="DI701" s="66" t="str">
        <f t="shared" si="981"/>
        <v/>
      </c>
      <c r="DJ701" s="66" t="str">
        <f>+IF($W701="","",ROUND((DG701*Parámetros!$G$85),2))</f>
        <v/>
      </c>
      <c r="DK701" s="66" t="str">
        <f>+IF($W701="","",ROUND((DG701*(Parámetros!$G$86)),2))</f>
        <v/>
      </c>
      <c r="DL701" s="66" t="str">
        <f t="shared" si="982"/>
        <v/>
      </c>
      <c r="DM701" t="str">
        <f t="shared" si="1023"/>
        <v/>
      </c>
      <c r="DN701" s="118" t="str">
        <f t="shared" si="1024"/>
        <v/>
      </c>
      <c r="DO701" s="118" t="str">
        <f t="shared" si="1025"/>
        <v/>
      </c>
      <c r="DP701" s="118" t="str">
        <f t="shared" si="1026"/>
        <v/>
      </c>
      <c r="DQ701" s="122" t="str">
        <f>+IF(OR($W701="",DO701=0),"",ROUND((VLOOKUP(ROUNDDOWN($D701-1/frec,0),cob_adi,DB$40,FALSE)*(1+i/frec)^-0.5*(1+Parámetros!$D$103)*(1+rec_fracc)/frec),6))</f>
        <v/>
      </c>
      <c r="DR701" s="66" t="str">
        <f t="shared" si="983"/>
        <v/>
      </c>
      <c r="DS701" s="68" t="str">
        <f t="shared" si="984"/>
        <v/>
      </c>
      <c r="DT701" s="66" t="str">
        <f>+IF($W701="","",ROUND(IF($B701&gt;Parámetros!$D$107,'Tablas Servicio'!DR701+('Tablas Servicio'!DT700-'Tablas Servicio'!DR700),DR701/(1-IF(B701&lt;=10,Parámetros!$D$100,0))),2))</f>
        <v/>
      </c>
      <c r="DU701" s="66" t="str">
        <f t="shared" si="985"/>
        <v/>
      </c>
      <c r="DV701" s="66" t="str">
        <f t="shared" si="985"/>
        <v/>
      </c>
      <c r="DW701" s="66" t="str">
        <f>+IF($W701="","",ROUND((DT701*Parámetros!$G$85),2))</f>
        <v/>
      </c>
      <c r="DX701" s="66" t="str">
        <f>+IF($W701="","",ROUND((DT701*(Parámetros!$G$86)),2))</f>
        <v/>
      </c>
      <c r="DY701" s="66" t="str">
        <f t="shared" si="986"/>
        <v/>
      </c>
      <c r="DZ701" t="str">
        <f t="shared" si="1027"/>
        <v/>
      </c>
      <c r="EA701" s="118" t="str">
        <f t="shared" si="1027"/>
        <v/>
      </c>
      <c r="EB701" s="118" t="str">
        <f>+IF($W701="","",ROUND(IF(Parámetros!$D$25='TABLAS MORT'!$V$33,EB700,Z701/2),0))</f>
        <v/>
      </c>
      <c r="EC701" s="118" t="str">
        <f t="shared" si="1027"/>
        <v/>
      </c>
      <c r="ED701" s="122" t="str">
        <f>+IF(OR($W701="",EB701=0),"",ROUND((VLOOKUP(ROUNDDOWN($D701-1/frec,0),cob_adi,DO$40,FALSE)*(1+i/frec)^-0.5*(1+Parámetros!$D$103)*(1+rec_fracc)/frec),6))</f>
        <v/>
      </c>
      <c r="EE701" s="66" t="str">
        <f t="shared" si="988"/>
        <v/>
      </c>
      <c r="EF701" s="68" t="str">
        <f t="shared" si="989"/>
        <v/>
      </c>
      <c r="EG701" s="66" t="str">
        <f>+IF($W701="","",ROUND(IF($B701&gt;Parámetros!$D$107,'Tablas Servicio'!EE701+('Tablas Servicio'!EG700-'Tablas Servicio'!EE700),EE701/(1-IF(B701&lt;=10,Parámetros!$D$100,0))),2))</f>
        <v/>
      </c>
      <c r="EH701" s="66" t="str">
        <f t="shared" si="990"/>
        <v/>
      </c>
      <c r="EI701" s="66" t="str">
        <f t="shared" si="990"/>
        <v/>
      </c>
      <c r="EJ701" s="66" t="str">
        <f>+IF($W701="","",ROUND((EG701*Parámetros!$G$85),2))</f>
        <v/>
      </c>
      <c r="EK701" s="66" t="str">
        <f>+IF($W701="","",ROUND((EG701*(Parámetros!$G$86)),2))</f>
        <v/>
      </c>
      <c r="EL701" s="66" t="str">
        <f t="shared" si="991"/>
        <v/>
      </c>
    </row>
    <row r="702" spans="1:142" x14ac:dyDescent="0.25">
      <c r="A702" t="str">
        <f>+IF($C702="","",ROUND(VLOOKUP('Tablas Servicio'!B702,Parámetros!$H$100:$J$159,IF(Parámetros!$E$16="F",2,3),FALSE),2))</f>
        <v/>
      </c>
      <c r="B702" t="str">
        <f t="shared" si="942"/>
        <v/>
      </c>
      <c r="C702" s="57" t="str">
        <f>+IF(D702="","",'Tablas Servicio'!C701+1)</f>
        <v/>
      </c>
      <c r="D702" s="56" t="str">
        <f>+IF(D701&lt;edadmaxtabla,D701+1/Parámetros!$E$25,"")</f>
        <v/>
      </c>
      <c r="E702" s="57" t="str">
        <f t="shared" si="952"/>
        <v/>
      </c>
      <c r="F702" s="59" t="str">
        <f t="shared" si="953"/>
        <v/>
      </c>
      <c r="G702" s="66" t="str">
        <f t="shared" si="943"/>
        <v/>
      </c>
      <c r="H702" s="66" t="str">
        <f t="shared" si="944"/>
        <v/>
      </c>
      <c r="I702" s="66" t="str">
        <f t="shared" si="992"/>
        <v/>
      </c>
      <c r="J702" s="66" t="str">
        <f t="shared" si="945"/>
        <v/>
      </c>
      <c r="K702" s="66" t="str">
        <f t="shared" si="946"/>
        <v/>
      </c>
      <c r="L702" s="66" t="str">
        <f t="shared" si="947"/>
        <v/>
      </c>
      <c r="M702" s="66" t="str">
        <f t="shared" si="948"/>
        <v/>
      </c>
      <c r="N702" s="66" t="str">
        <f>+IF(C702="","",ROUND(Parámetros!$D$23,2))</f>
        <v/>
      </c>
      <c r="O702" s="66" t="str">
        <f t="shared" si="949"/>
        <v/>
      </c>
      <c r="P702" s="66" t="str">
        <f>+IF($C702="","",ROUND(IF(B702&gt;Parámetros!$D$117,0,N702*Parámetros!$D$116-G702*Parámetros!$D$100),2))</f>
        <v/>
      </c>
      <c r="Q702" s="75" t="str">
        <f t="shared" si="993"/>
        <v/>
      </c>
      <c r="R702" s="75" t="str">
        <f t="shared" si="994"/>
        <v/>
      </c>
      <c r="S702" s="117" t="str">
        <f>+IF($C702="","",ROUND((S701+I702)*(1+Parámetros!$D$91),2))</f>
        <v/>
      </c>
      <c r="T702" s="117" t="str">
        <f>+IF($C702="","",ROUND(S702*VLOOKUP(B702,Parámetros!$C$30:$D$39,2,TRUE),2))</f>
        <v/>
      </c>
      <c r="U702" s="117" t="str">
        <f>+IF($C702="","",ROUND((U701+I702)*(1+Parámetros!$D$92),2))</f>
        <v/>
      </c>
      <c r="V702" s="117" t="str">
        <f>+IF($C702="","",ROUND(U702*VLOOKUP(B702,Parámetros!$C$30:$D$39,2,TRUE),2))</f>
        <v/>
      </c>
      <c r="W702" s="57" t="str">
        <f t="shared" si="995"/>
        <v/>
      </c>
      <c r="X702" t="str">
        <f t="shared" si="996"/>
        <v/>
      </c>
      <c r="Y702" t="str">
        <f t="shared" si="997"/>
        <v/>
      </c>
      <c r="Z702" s="118" t="str">
        <f>+IF($W702="","",ROUND(IF(Parámetros!$D$25='TABLAS MORT'!$V$33,Z701,Parámetros!$D$21-'Tablas Servicio'!T701),0))</f>
        <v/>
      </c>
      <c r="AA702" s="118" t="str">
        <f t="shared" si="998"/>
        <v/>
      </c>
      <c r="AB702" s="119" t="str">
        <f>+IF(W702="","",ROUND((VLOOKUP(ROUNDDOWN($D702-1/frec,0),qx_tabla,2,FALSE)*(1+i/frec)^-0.5*(1+Parámetros!$D$103)*(1+rec_fracc)/frec),6))</f>
        <v/>
      </c>
      <c r="AC702" s="66" t="str">
        <f t="shared" si="954"/>
        <v/>
      </c>
      <c r="AD702" s="119" t="str">
        <f t="shared" si="950"/>
        <v/>
      </c>
      <c r="AE702" s="66" t="str">
        <f>+IF($W702="","",ROUND(IF($B702&gt;Parámetros!$D$107,'Tablas Servicio'!AC702+('Tablas Servicio'!AG701-'Tablas Servicio'!AC701),AC702/(1-IF(B702&lt;=10,Parámetros!$D$104,Parámetros!$D$105))),2))</f>
        <v/>
      </c>
      <c r="AF702" s="66" t="str">
        <f>+IF($W702="","",ROUND(IF($B702&gt;Parámetros!$D$107,'Tablas Servicio'!AC702+('Tablas Servicio'!AG701-'Tablas Servicio'!AC701),(AC702+$A701/frec)/(1-IF(B702&lt;=Parámetros!$D$117,Parámetros!$D$100,0))),2))</f>
        <v/>
      </c>
      <c r="AG702" s="66" t="str">
        <f t="shared" si="955"/>
        <v/>
      </c>
      <c r="AH702" s="66" t="str">
        <f t="shared" si="956"/>
        <v/>
      </c>
      <c r="AI702" s="66" t="str">
        <f t="shared" si="957"/>
        <v/>
      </c>
      <c r="AJ702" s="66" t="str">
        <f>+IF($W702="","",ROUND((AG702*Parámetros!$G$85),2))</f>
        <v/>
      </c>
      <c r="AK702" s="66" t="str">
        <f>+IF($W702="","",ROUND((AG702*(Parámetros!$G$86)),2))</f>
        <v/>
      </c>
      <c r="AL702" s="66" t="str">
        <f t="shared" si="951"/>
        <v/>
      </c>
      <c r="AM702" t="str">
        <f t="shared" si="999"/>
        <v/>
      </c>
      <c r="AN702" t="str">
        <f t="shared" si="1000"/>
        <v/>
      </c>
      <c r="AO702" s="118" t="str">
        <f t="shared" si="1001"/>
        <v/>
      </c>
      <c r="AP702" s="118" t="str">
        <f t="shared" si="1002"/>
        <v/>
      </c>
      <c r="AQ702" s="119" t="str">
        <f>+IF(OR($W702="",AO702=0),"",ROUND((VLOOKUP(ROUNDDOWN($D702-1/frec,0),cob_adi,Z$40,FALSE)*(1+i/frec)^-0.5*(1+Parámetros!$D$103)*(1+rec_fracc)/frec),6))</f>
        <v/>
      </c>
      <c r="AR702" s="66" t="str">
        <f t="shared" si="958"/>
        <v/>
      </c>
      <c r="AS702" s="119" t="str">
        <f t="shared" si="959"/>
        <v/>
      </c>
      <c r="AT702" s="66" t="str">
        <f>+IF($W702="","",ROUND(IF($B702&gt;Parámetros!$D$107,'Tablas Servicio'!AR702+('Tablas Servicio'!AT701-'Tablas Servicio'!AR701),AR702/(1-IF(B702&lt;=10,Parámetros!$D$100,0))),2))</f>
        <v/>
      </c>
      <c r="AU702" s="66" t="str">
        <f t="shared" si="960"/>
        <v/>
      </c>
      <c r="AV702" s="66" t="str">
        <f t="shared" si="960"/>
        <v/>
      </c>
      <c r="AW702" s="66" t="str">
        <f>+IF($W702="","",ROUND((AT702*Parámetros!$G$85),2))</f>
        <v/>
      </c>
      <c r="AX702" s="66" t="str">
        <f>+IF($W702="","",ROUND((AT702*(Parámetros!$G$86)),2))</f>
        <v/>
      </c>
      <c r="AY702" s="66" t="str">
        <f t="shared" si="961"/>
        <v/>
      </c>
      <c r="AZ702" t="str">
        <f t="shared" si="1003"/>
        <v/>
      </c>
      <c r="BA702" t="str">
        <f t="shared" si="1004"/>
        <v/>
      </c>
      <c r="BB702" s="118" t="str">
        <f t="shared" si="1005"/>
        <v/>
      </c>
      <c r="BC702" s="118" t="str">
        <f t="shared" si="1006"/>
        <v/>
      </c>
      <c r="BD702" s="119" t="str">
        <f>+IF(OR($W702="",BB702=0),"",ROUND((VLOOKUP(ROUNDDOWN($D702-1/frec,0),cob_adi,AO$40,FALSE)*(1+i/frec)^-0.5*(1+Parámetros!$D$103)*(1+rec_fracc)/frec),6))</f>
        <v/>
      </c>
      <c r="BE702" s="66" t="str">
        <f t="shared" si="962"/>
        <v/>
      </c>
      <c r="BF702" s="119" t="str">
        <f t="shared" si="963"/>
        <v/>
      </c>
      <c r="BG702" s="66" t="str">
        <f>+IF($W702="","",ROUND(IF($B702&gt;Parámetros!$D$107,'Tablas Servicio'!BE702+('Tablas Servicio'!BG701-'Tablas Servicio'!BE701),BE702/(1-IF(B702&lt;=10,Parámetros!$D$100,0))),2))</f>
        <v/>
      </c>
      <c r="BH702" s="66" t="str">
        <f t="shared" si="964"/>
        <v/>
      </c>
      <c r="BI702" s="66" t="str">
        <f t="shared" si="965"/>
        <v/>
      </c>
      <c r="BJ702" s="66" t="str">
        <f>+IF($W702="","",ROUND((BG702*Parámetros!$G$85),2))</f>
        <v/>
      </c>
      <c r="BK702" s="66" t="str">
        <f>+IF($W702="","",ROUND((BG702*(Parámetros!$G$86)),2))</f>
        <v/>
      </c>
      <c r="BL702" s="66" t="str">
        <f t="shared" si="966"/>
        <v/>
      </c>
      <c r="BM702" t="str">
        <f t="shared" si="1007"/>
        <v/>
      </c>
      <c r="BN702" t="str">
        <f t="shared" si="1008"/>
        <v/>
      </c>
      <c r="BO702" s="118" t="str">
        <f t="shared" si="1009"/>
        <v/>
      </c>
      <c r="BP702" s="118" t="str">
        <f t="shared" si="1010"/>
        <v/>
      </c>
      <c r="BQ702" s="119" t="str">
        <f>+IF(OR($W702="",BO702=0),"",ROUND((VLOOKUP(ROUNDDOWN($D702-1/frec,0),cob_adi,BB$40,FALSE)*(1+i/frec)^-0.5*(1+Parámetros!$D$103)*(1+rec_fracc)/frec),6))</f>
        <v/>
      </c>
      <c r="BR702" s="66" t="str">
        <f t="shared" si="967"/>
        <v/>
      </c>
      <c r="BS702" s="119" t="str">
        <f t="shared" si="968"/>
        <v/>
      </c>
      <c r="BT702" s="66" t="str">
        <f>+IF($W702="","",ROUND(IF($B702&gt;Parámetros!$D$107,'Tablas Servicio'!BR702+('Tablas Servicio'!BT701-'Tablas Servicio'!BR701),BR702/(1-IF(B702&lt;=10,Parámetros!$D$100,0))),2))</f>
        <v/>
      </c>
      <c r="BU702" s="66" t="str">
        <f t="shared" si="969"/>
        <v/>
      </c>
      <c r="BV702" s="66" t="str">
        <f t="shared" si="969"/>
        <v/>
      </c>
      <c r="BW702" s="66" t="str">
        <f>+IF($W702="","",ROUND((BT702*Parámetros!$G$85),2))</f>
        <v/>
      </c>
      <c r="BX702" s="66" t="str">
        <f>+IF($W702="","",ROUND((BT702*(Parámetros!$G$86)),2))</f>
        <v/>
      </c>
      <c r="BY702" s="66" t="str">
        <f t="shared" si="970"/>
        <v/>
      </c>
      <c r="BZ702" t="str">
        <f t="shared" si="1011"/>
        <v/>
      </c>
      <c r="CA702" t="str">
        <f t="shared" si="1012"/>
        <v/>
      </c>
      <c r="CB702" s="118" t="str">
        <f t="shared" si="1013"/>
        <v/>
      </c>
      <c r="CC702" s="118" t="str">
        <f t="shared" si="1014"/>
        <v/>
      </c>
      <c r="CD702" s="119" t="str">
        <f t="shared" si="971"/>
        <v/>
      </c>
      <c r="CE702" s="66" t="str">
        <f>+IF($W702="","",ROUND((VLOOKUP(ROUNDDOWN($D702-1/frec,0),cob_adi,BO$40,FALSE)*(1+i/frec)^-0.5*(1+Parámetros!$D$103)*(1+rec_fracc)/frec*'TABLAS ADI'!$BC$17),2))</f>
        <v/>
      </c>
      <c r="CF702" s="119" t="str">
        <f t="shared" si="972"/>
        <v/>
      </c>
      <c r="CG702" s="66" t="str">
        <f>+IF($W702="","",ROUND(IF($B702&gt;Parámetros!$D$107,'Tablas Servicio'!CE702+('Tablas Servicio'!CG701-'Tablas Servicio'!CE701),CE702/(1-IF(B702&lt;=10,Parámetros!$D$100,0))),2))</f>
        <v/>
      </c>
      <c r="CH702" s="66" t="str">
        <f t="shared" si="973"/>
        <v/>
      </c>
      <c r="CI702" s="66" t="str">
        <f t="shared" si="973"/>
        <v/>
      </c>
      <c r="CJ702" s="66" t="str">
        <f>+IF($W702="","",ROUND((CG702*Parámetros!$G$85),2))</f>
        <v/>
      </c>
      <c r="CK702" s="66" t="str">
        <f>+IF($W702="","",ROUND((CG702*(Parámetros!$G$86)),2))</f>
        <v/>
      </c>
      <c r="CL702" s="66" t="str">
        <f t="shared" si="974"/>
        <v/>
      </c>
      <c r="CM702" t="str">
        <f t="shared" si="1015"/>
        <v/>
      </c>
      <c r="CN702" s="118" t="str">
        <f t="shared" si="1016"/>
        <v/>
      </c>
      <c r="CO702" s="118" t="str">
        <f t="shared" si="1017"/>
        <v/>
      </c>
      <c r="CP702" s="118" t="str">
        <f t="shared" si="1018"/>
        <v/>
      </c>
      <c r="CQ702" s="119" t="str">
        <f t="shared" si="975"/>
        <v/>
      </c>
      <c r="CR702" s="66" t="str">
        <f>+IF($W702="","",ROUND((VLOOKUP(Parámetros!$F$51,'COBERTURAS ADICIONALES'!$S$4:$T$32,2,FALSE)*(1+i/frec)^-0.5*(1+Parámetros!$D$103)*(1+rec_fracc)/frec*$CO$42),2))</f>
        <v/>
      </c>
      <c r="CS702" s="119" t="str">
        <f t="shared" si="976"/>
        <v/>
      </c>
      <c r="CT702" s="66" t="str">
        <f>+IF($W702="","",ROUND(IF($B702&gt;Parámetros!$D$107,'Tablas Servicio'!CR702+('Tablas Servicio'!CT701-'Tablas Servicio'!CR701),CR702/(1-IF(B702&lt;=10,Parámetros!$D$100,0))),2))</f>
        <v/>
      </c>
      <c r="CU702" s="66" t="str">
        <f t="shared" si="977"/>
        <v/>
      </c>
      <c r="CV702" s="66" t="str">
        <f t="shared" si="977"/>
        <v/>
      </c>
      <c r="CW702" s="66" t="str">
        <f>+IF($W702="","",ROUND((CT702*Parámetros!$G$85),2))</f>
        <v/>
      </c>
      <c r="CX702" s="66" t="str">
        <f>+IF($W702="","",ROUND((CT702*(Parámetros!$G$86)),2))</f>
        <v/>
      </c>
      <c r="CY702" s="66" t="str">
        <f t="shared" si="978"/>
        <v/>
      </c>
      <c r="CZ702" t="str">
        <f t="shared" si="1019"/>
        <v/>
      </c>
      <c r="DA702" s="118" t="str">
        <f t="shared" si="1020"/>
        <v/>
      </c>
      <c r="DB702" s="118" t="str">
        <f t="shared" si="1021"/>
        <v/>
      </c>
      <c r="DC702" s="118" t="str">
        <f t="shared" si="1022"/>
        <v/>
      </c>
      <c r="DD702" s="121" t="str">
        <f>+IF(OR($W702="",DB702=0),"",ROUND((VLOOKUP(ROUNDDOWN($D702-1/frec,0),cob_adi,CO$40,FALSE)*(1+i/frec)^-0.5*(1+Parámetros!$D$103)*(1+rec_fracc)/frec),6))</f>
        <v/>
      </c>
      <c r="DE702" s="66" t="str">
        <f t="shared" si="979"/>
        <v/>
      </c>
      <c r="DF702" s="119" t="str">
        <f t="shared" si="980"/>
        <v/>
      </c>
      <c r="DG702" s="66" t="str">
        <f>+IF($W702="","",ROUND(IF($B702&gt;Parámetros!$D$107,'Tablas Servicio'!DE702+('Tablas Servicio'!DG701-'Tablas Servicio'!DE701),DE702/(1-IF(B702&lt;=10,Parámetros!$D$100,0))),2))</f>
        <v/>
      </c>
      <c r="DH702" s="66" t="str">
        <f t="shared" si="981"/>
        <v/>
      </c>
      <c r="DI702" s="66" t="str">
        <f t="shared" si="981"/>
        <v/>
      </c>
      <c r="DJ702" s="66" t="str">
        <f>+IF($W702="","",ROUND((DG702*Parámetros!$G$85),2))</f>
        <v/>
      </c>
      <c r="DK702" s="66" t="str">
        <f>+IF($W702="","",ROUND((DG702*(Parámetros!$G$86)),2))</f>
        <v/>
      </c>
      <c r="DL702" s="66" t="str">
        <f t="shared" si="982"/>
        <v/>
      </c>
      <c r="DM702" t="str">
        <f t="shared" si="1023"/>
        <v/>
      </c>
      <c r="DN702" s="118" t="str">
        <f t="shared" si="1024"/>
        <v/>
      </c>
      <c r="DO702" s="118" t="str">
        <f t="shared" si="1025"/>
        <v/>
      </c>
      <c r="DP702" s="118" t="str">
        <f t="shared" si="1026"/>
        <v/>
      </c>
      <c r="DQ702" s="122" t="str">
        <f>+IF(OR($W702="",DO702=0),"",ROUND((VLOOKUP(ROUNDDOWN($D702-1/frec,0),cob_adi,DB$40,FALSE)*(1+i/frec)^-0.5*(1+Parámetros!$D$103)*(1+rec_fracc)/frec),6))</f>
        <v/>
      </c>
      <c r="DR702" s="66" t="str">
        <f t="shared" si="983"/>
        <v/>
      </c>
      <c r="DS702" s="68" t="str">
        <f t="shared" si="984"/>
        <v/>
      </c>
      <c r="DT702" s="66" t="str">
        <f>+IF($W702="","",ROUND(IF($B702&gt;Parámetros!$D$107,'Tablas Servicio'!DR702+('Tablas Servicio'!DT701-'Tablas Servicio'!DR701),DR702/(1-IF(B702&lt;=10,Parámetros!$D$100,0))),2))</f>
        <v/>
      </c>
      <c r="DU702" s="66" t="str">
        <f t="shared" si="985"/>
        <v/>
      </c>
      <c r="DV702" s="66" t="str">
        <f t="shared" si="985"/>
        <v/>
      </c>
      <c r="DW702" s="66" t="str">
        <f>+IF($W702="","",ROUND((DT702*Parámetros!$G$85),2))</f>
        <v/>
      </c>
      <c r="DX702" s="66" t="str">
        <f>+IF($W702="","",ROUND((DT702*(Parámetros!$G$86)),2))</f>
        <v/>
      </c>
      <c r="DY702" s="66" t="str">
        <f t="shared" si="986"/>
        <v/>
      </c>
      <c r="DZ702" t="str">
        <f t="shared" si="1027"/>
        <v/>
      </c>
      <c r="EA702" s="118" t="str">
        <f t="shared" si="1027"/>
        <v/>
      </c>
      <c r="EB702" s="118" t="str">
        <f>+IF($W702="","",ROUND(IF(Parámetros!$D$25='TABLAS MORT'!$V$33,EB701,Z702/2),0))</f>
        <v/>
      </c>
      <c r="EC702" s="118" t="str">
        <f t="shared" si="1027"/>
        <v/>
      </c>
      <c r="ED702" s="122" t="str">
        <f>+IF(OR($W702="",EB702=0),"",ROUND((VLOOKUP(ROUNDDOWN($D702-1/frec,0),cob_adi,DO$40,FALSE)*(1+i/frec)^-0.5*(1+Parámetros!$D$103)*(1+rec_fracc)/frec),6))</f>
        <v/>
      </c>
      <c r="EE702" s="66" t="str">
        <f t="shared" si="988"/>
        <v/>
      </c>
      <c r="EF702" s="68" t="str">
        <f t="shared" si="989"/>
        <v/>
      </c>
      <c r="EG702" s="66" t="str">
        <f>+IF($W702="","",ROUND(IF($B702&gt;Parámetros!$D$107,'Tablas Servicio'!EE702+('Tablas Servicio'!EG701-'Tablas Servicio'!EE701),EE702/(1-IF(B702&lt;=10,Parámetros!$D$100,0))),2))</f>
        <v/>
      </c>
      <c r="EH702" s="66" t="str">
        <f t="shared" si="990"/>
        <v/>
      </c>
      <c r="EI702" s="66" t="str">
        <f t="shared" si="990"/>
        <v/>
      </c>
      <c r="EJ702" s="66" t="str">
        <f>+IF($W702="","",ROUND((EG702*Parámetros!$G$85),2))</f>
        <v/>
      </c>
      <c r="EK702" s="66" t="str">
        <f>+IF($W702="","",ROUND((EG702*(Parámetros!$G$86)),2))</f>
        <v/>
      </c>
      <c r="EL702" s="66" t="str">
        <f t="shared" si="991"/>
        <v/>
      </c>
    </row>
    <row r="703" spans="1:142" x14ac:dyDescent="0.25">
      <c r="A703" t="str">
        <f>+IF($C703="","",ROUND(VLOOKUP('Tablas Servicio'!B703,Parámetros!$H$100:$J$159,IF(Parámetros!$E$16="F",2,3),FALSE),2))</f>
        <v/>
      </c>
      <c r="B703" t="str">
        <f t="shared" si="942"/>
        <v/>
      </c>
      <c r="C703" s="57" t="str">
        <f>+IF(D703="","",'Tablas Servicio'!C702+1)</f>
        <v/>
      </c>
      <c r="D703" s="56" t="str">
        <f>+IF(D702&lt;edadmaxtabla,D702+1/Parámetros!$E$25,"")</f>
        <v/>
      </c>
      <c r="E703" s="57" t="str">
        <f t="shared" si="952"/>
        <v/>
      </c>
      <c r="F703" s="59" t="str">
        <f t="shared" si="953"/>
        <v/>
      </c>
      <c r="G703" s="66" t="str">
        <f t="shared" si="943"/>
        <v/>
      </c>
      <c r="H703" s="66" t="str">
        <f t="shared" si="944"/>
        <v/>
      </c>
      <c r="I703" s="66" t="str">
        <f t="shared" si="992"/>
        <v/>
      </c>
      <c r="J703" s="66" t="str">
        <f t="shared" si="945"/>
        <v/>
      </c>
      <c r="K703" s="66" t="str">
        <f t="shared" si="946"/>
        <v/>
      </c>
      <c r="L703" s="66" t="str">
        <f t="shared" si="947"/>
        <v/>
      </c>
      <c r="M703" s="66" t="str">
        <f t="shared" si="948"/>
        <v/>
      </c>
      <c r="N703" s="66" t="str">
        <f>+IF(C703="","",ROUND(Parámetros!$D$23,2))</f>
        <v/>
      </c>
      <c r="O703" s="66" t="str">
        <f t="shared" si="949"/>
        <v/>
      </c>
      <c r="P703" s="66" t="str">
        <f>+IF($C703="","",ROUND(IF(B703&gt;Parámetros!$D$117,0,N703*Parámetros!$D$116-G703*Parámetros!$D$100),2))</f>
        <v/>
      </c>
      <c r="Q703" s="75" t="str">
        <f t="shared" si="993"/>
        <v/>
      </c>
      <c r="R703" s="75" t="str">
        <f t="shared" si="994"/>
        <v/>
      </c>
      <c r="S703" s="117" t="str">
        <f>+IF($C703="","",ROUND((S702+I703)*(1+Parámetros!$D$91),2))</f>
        <v/>
      </c>
      <c r="T703" s="117" t="str">
        <f>+IF($C703="","",ROUND(S703*VLOOKUP(B703,Parámetros!$C$30:$D$39,2,TRUE),2))</f>
        <v/>
      </c>
      <c r="U703" s="117" t="str">
        <f>+IF($C703="","",ROUND((U702+I703)*(1+Parámetros!$D$92),2))</f>
        <v/>
      </c>
      <c r="V703" s="117" t="str">
        <f>+IF($C703="","",ROUND(U703*VLOOKUP(B703,Parámetros!$C$30:$D$39,2,TRUE),2))</f>
        <v/>
      </c>
      <c r="W703" s="57" t="str">
        <f t="shared" si="995"/>
        <v/>
      </c>
      <c r="X703" t="str">
        <f t="shared" si="996"/>
        <v/>
      </c>
      <c r="Y703" t="str">
        <f t="shared" si="997"/>
        <v/>
      </c>
      <c r="Z703" s="118" t="str">
        <f>+IF($W703="","",ROUND(IF(Parámetros!$D$25='TABLAS MORT'!$V$33,Z702,Parámetros!$D$21-'Tablas Servicio'!T702),0))</f>
        <v/>
      </c>
      <c r="AA703" s="118" t="str">
        <f t="shared" si="998"/>
        <v/>
      </c>
      <c r="AB703" s="119" t="str">
        <f>+IF(W703="","",ROUND((VLOOKUP(ROUNDDOWN($D703-1/frec,0),qx_tabla,2,FALSE)*(1+i/frec)^-0.5*(1+Parámetros!$D$103)*(1+rec_fracc)/frec),6))</f>
        <v/>
      </c>
      <c r="AC703" s="66" t="str">
        <f t="shared" si="954"/>
        <v/>
      </c>
      <c r="AD703" s="119" t="str">
        <f t="shared" si="950"/>
        <v/>
      </c>
      <c r="AE703" s="66" t="str">
        <f>+IF($W703="","",ROUND(IF($B703&gt;Parámetros!$D$107,'Tablas Servicio'!AC703+('Tablas Servicio'!AG702-'Tablas Servicio'!AC702),AC703/(1-IF(B703&lt;=10,Parámetros!$D$104,Parámetros!$D$105))),2))</f>
        <v/>
      </c>
      <c r="AF703" s="66" t="str">
        <f>+IF($W703="","",ROUND(IF($B703&gt;Parámetros!$D$107,'Tablas Servicio'!AC703+('Tablas Servicio'!AG702-'Tablas Servicio'!AC702),(AC703+$A702/frec)/(1-IF(B703&lt;=Parámetros!$D$117,Parámetros!$D$100,0))),2))</f>
        <v/>
      </c>
      <c r="AG703" s="66" t="str">
        <f t="shared" si="955"/>
        <v/>
      </c>
      <c r="AH703" s="66" t="str">
        <f t="shared" si="956"/>
        <v/>
      </c>
      <c r="AI703" s="66" t="str">
        <f t="shared" si="957"/>
        <v/>
      </c>
      <c r="AJ703" s="66" t="str">
        <f>+IF($W703="","",ROUND((AG703*Parámetros!$G$85),2))</f>
        <v/>
      </c>
      <c r="AK703" s="66" t="str">
        <f>+IF($W703="","",ROUND((AG703*(Parámetros!$G$86)),2))</f>
        <v/>
      </c>
      <c r="AL703" s="66" t="str">
        <f t="shared" si="951"/>
        <v/>
      </c>
      <c r="AM703" t="str">
        <f t="shared" si="999"/>
        <v/>
      </c>
      <c r="AN703" t="str">
        <f t="shared" si="1000"/>
        <v/>
      </c>
      <c r="AO703" s="118" t="str">
        <f t="shared" si="1001"/>
        <v/>
      </c>
      <c r="AP703" s="118" t="str">
        <f t="shared" si="1002"/>
        <v/>
      </c>
      <c r="AQ703" s="119" t="str">
        <f>+IF(OR($W703="",AO703=0),"",ROUND((VLOOKUP(ROUNDDOWN($D703-1/frec,0),cob_adi,Z$40,FALSE)*(1+i/frec)^-0.5*(1+Parámetros!$D$103)*(1+rec_fracc)/frec),6))</f>
        <v/>
      </c>
      <c r="AR703" s="66" t="str">
        <f t="shared" si="958"/>
        <v/>
      </c>
      <c r="AS703" s="119" t="str">
        <f t="shared" si="959"/>
        <v/>
      </c>
      <c r="AT703" s="66" t="str">
        <f>+IF($W703="","",ROUND(IF($B703&gt;Parámetros!$D$107,'Tablas Servicio'!AR703+('Tablas Servicio'!AT702-'Tablas Servicio'!AR702),AR703/(1-IF(B703&lt;=10,Parámetros!$D$100,0))),2))</f>
        <v/>
      </c>
      <c r="AU703" s="66" t="str">
        <f t="shared" si="960"/>
        <v/>
      </c>
      <c r="AV703" s="66" t="str">
        <f t="shared" si="960"/>
        <v/>
      </c>
      <c r="AW703" s="66" t="str">
        <f>+IF($W703="","",ROUND((AT703*Parámetros!$G$85),2))</f>
        <v/>
      </c>
      <c r="AX703" s="66" t="str">
        <f>+IF($W703="","",ROUND((AT703*(Parámetros!$G$86)),2))</f>
        <v/>
      </c>
      <c r="AY703" s="66" t="str">
        <f t="shared" si="961"/>
        <v/>
      </c>
      <c r="AZ703" t="str">
        <f t="shared" si="1003"/>
        <v/>
      </c>
      <c r="BA703" t="str">
        <f t="shared" si="1004"/>
        <v/>
      </c>
      <c r="BB703" s="118" t="str">
        <f t="shared" si="1005"/>
        <v/>
      </c>
      <c r="BC703" s="118" t="str">
        <f t="shared" si="1006"/>
        <v/>
      </c>
      <c r="BD703" s="119" t="str">
        <f>+IF(OR($W703="",BB703=0),"",ROUND((VLOOKUP(ROUNDDOWN($D703-1/frec,0),cob_adi,AO$40,FALSE)*(1+i/frec)^-0.5*(1+Parámetros!$D$103)*(1+rec_fracc)/frec),6))</f>
        <v/>
      </c>
      <c r="BE703" s="66" t="str">
        <f t="shared" si="962"/>
        <v/>
      </c>
      <c r="BF703" s="119" t="str">
        <f t="shared" si="963"/>
        <v/>
      </c>
      <c r="BG703" s="66" t="str">
        <f>+IF($W703="","",ROUND(IF($B703&gt;Parámetros!$D$107,'Tablas Servicio'!BE703+('Tablas Servicio'!BG702-'Tablas Servicio'!BE702),BE703/(1-IF(B703&lt;=10,Parámetros!$D$100,0))),2))</f>
        <v/>
      </c>
      <c r="BH703" s="66" t="str">
        <f t="shared" si="964"/>
        <v/>
      </c>
      <c r="BI703" s="66" t="str">
        <f t="shared" si="965"/>
        <v/>
      </c>
      <c r="BJ703" s="66" t="str">
        <f>+IF($W703="","",ROUND((BG703*Parámetros!$G$85),2))</f>
        <v/>
      </c>
      <c r="BK703" s="66" t="str">
        <f>+IF($W703="","",ROUND((BG703*(Parámetros!$G$86)),2))</f>
        <v/>
      </c>
      <c r="BL703" s="66" t="str">
        <f t="shared" si="966"/>
        <v/>
      </c>
      <c r="BM703" t="str">
        <f t="shared" si="1007"/>
        <v/>
      </c>
      <c r="BN703" t="str">
        <f t="shared" si="1008"/>
        <v/>
      </c>
      <c r="BO703" s="118" t="str">
        <f t="shared" si="1009"/>
        <v/>
      </c>
      <c r="BP703" s="118" t="str">
        <f t="shared" si="1010"/>
        <v/>
      </c>
      <c r="BQ703" s="119" t="str">
        <f>+IF(OR($W703="",BO703=0),"",ROUND((VLOOKUP(ROUNDDOWN($D703-1/frec,0),cob_adi,BB$40,FALSE)*(1+i/frec)^-0.5*(1+Parámetros!$D$103)*(1+rec_fracc)/frec),6))</f>
        <v/>
      </c>
      <c r="BR703" s="66" t="str">
        <f t="shared" si="967"/>
        <v/>
      </c>
      <c r="BS703" s="119" t="str">
        <f t="shared" si="968"/>
        <v/>
      </c>
      <c r="BT703" s="66" t="str">
        <f>+IF($W703="","",ROUND(IF($B703&gt;Parámetros!$D$107,'Tablas Servicio'!BR703+('Tablas Servicio'!BT702-'Tablas Servicio'!BR702),BR703/(1-IF(B703&lt;=10,Parámetros!$D$100,0))),2))</f>
        <v/>
      </c>
      <c r="BU703" s="66" t="str">
        <f t="shared" si="969"/>
        <v/>
      </c>
      <c r="BV703" s="66" t="str">
        <f t="shared" si="969"/>
        <v/>
      </c>
      <c r="BW703" s="66" t="str">
        <f>+IF($W703="","",ROUND((BT703*Parámetros!$G$85),2))</f>
        <v/>
      </c>
      <c r="BX703" s="66" t="str">
        <f>+IF($W703="","",ROUND((BT703*(Parámetros!$G$86)),2))</f>
        <v/>
      </c>
      <c r="BY703" s="66" t="str">
        <f t="shared" si="970"/>
        <v/>
      </c>
      <c r="BZ703" t="str">
        <f t="shared" si="1011"/>
        <v/>
      </c>
      <c r="CA703" t="str">
        <f t="shared" si="1012"/>
        <v/>
      </c>
      <c r="CB703" s="118" t="str">
        <f t="shared" si="1013"/>
        <v/>
      </c>
      <c r="CC703" s="118" t="str">
        <f t="shared" si="1014"/>
        <v/>
      </c>
      <c r="CD703" s="119" t="str">
        <f t="shared" si="971"/>
        <v/>
      </c>
      <c r="CE703" s="66" t="str">
        <f>+IF($W703="","",ROUND((VLOOKUP(ROUNDDOWN($D703-1/frec,0),cob_adi,BO$40,FALSE)*(1+i/frec)^-0.5*(1+Parámetros!$D$103)*(1+rec_fracc)/frec*'TABLAS ADI'!$BC$17),2))</f>
        <v/>
      </c>
      <c r="CF703" s="119" t="str">
        <f t="shared" si="972"/>
        <v/>
      </c>
      <c r="CG703" s="66" t="str">
        <f>+IF($W703="","",ROUND(IF($B703&gt;Parámetros!$D$107,'Tablas Servicio'!CE703+('Tablas Servicio'!CG702-'Tablas Servicio'!CE702),CE703/(1-IF(B703&lt;=10,Parámetros!$D$100,0))),2))</f>
        <v/>
      </c>
      <c r="CH703" s="66" t="str">
        <f t="shared" si="973"/>
        <v/>
      </c>
      <c r="CI703" s="66" t="str">
        <f t="shared" si="973"/>
        <v/>
      </c>
      <c r="CJ703" s="66" t="str">
        <f>+IF($W703="","",ROUND((CG703*Parámetros!$G$85),2))</f>
        <v/>
      </c>
      <c r="CK703" s="66" t="str">
        <f>+IF($W703="","",ROUND((CG703*(Parámetros!$G$86)),2))</f>
        <v/>
      </c>
      <c r="CL703" s="66" t="str">
        <f t="shared" si="974"/>
        <v/>
      </c>
      <c r="CM703" t="str">
        <f t="shared" si="1015"/>
        <v/>
      </c>
      <c r="CN703" s="118" t="str">
        <f t="shared" si="1016"/>
        <v/>
      </c>
      <c r="CO703" s="118" t="str">
        <f t="shared" si="1017"/>
        <v/>
      </c>
      <c r="CP703" s="118" t="str">
        <f t="shared" si="1018"/>
        <v/>
      </c>
      <c r="CQ703" s="119" t="str">
        <f t="shared" si="975"/>
        <v/>
      </c>
      <c r="CR703" s="66" t="str">
        <f>+IF($W703="","",ROUND((VLOOKUP(Parámetros!$F$51,'COBERTURAS ADICIONALES'!$S$4:$T$32,2,FALSE)*(1+i/frec)^-0.5*(1+Parámetros!$D$103)*(1+rec_fracc)/frec*$CO$42),2))</f>
        <v/>
      </c>
      <c r="CS703" s="119" t="str">
        <f t="shared" si="976"/>
        <v/>
      </c>
      <c r="CT703" s="66" t="str">
        <f>+IF($W703="","",ROUND(IF($B703&gt;Parámetros!$D$107,'Tablas Servicio'!CR703+('Tablas Servicio'!CT702-'Tablas Servicio'!CR702),CR703/(1-IF(B703&lt;=10,Parámetros!$D$100,0))),2))</f>
        <v/>
      </c>
      <c r="CU703" s="66" t="str">
        <f t="shared" si="977"/>
        <v/>
      </c>
      <c r="CV703" s="66" t="str">
        <f t="shared" si="977"/>
        <v/>
      </c>
      <c r="CW703" s="66" t="str">
        <f>+IF($W703="","",ROUND((CT703*Parámetros!$G$85),2))</f>
        <v/>
      </c>
      <c r="CX703" s="66" t="str">
        <f>+IF($W703="","",ROUND((CT703*(Parámetros!$G$86)),2))</f>
        <v/>
      </c>
      <c r="CY703" s="66" t="str">
        <f t="shared" si="978"/>
        <v/>
      </c>
      <c r="CZ703" t="str">
        <f t="shared" si="1019"/>
        <v/>
      </c>
      <c r="DA703" s="118" t="str">
        <f t="shared" si="1020"/>
        <v/>
      </c>
      <c r="DB703" s="118" t="str">
        <f t="shared" si="1021"/>
        <v/>
      </c>
      <c r="DC703" s="118" t="str">
        <f t="shared" si="1022"/>
        <v/>
      </c>
      <c r="DD703" s="121" t="str">
        <f>+IF(OR($W703="",DB703=0),"",ROUND((VLOOKUP(ROUNDDOWN($D703-1/frec,0),cob_adi,CO$40,FALSE)*(1+i/frec)^-0.5*(1+Parámetros!$D$103)*(1+rec_fracc)/frec),6))</f>
        <v/>
      </c>
      <c r="DE703" s="66" t="str">
        <f t="shared" si="979"/>
        <v/>
      </c>
      <c r="DF703" s="119" t="str">
        <f t="shared" si="980"/>
        <v/>
      </c>
      <c r="DG703" s="66" t="str">
        <f>+IF($W703="","",ROUND(IF($B703&gt;Parámetros!$D$107,'Tablas Servicio'!DE703+('Tablas Servicio'!DG702-'Tablas Servicio'!DE702),DE703/(1-IF(B703&lt;=10,Parámetros!$D$100,0))),2))</f>
        <v/>
      </c>
      <c r="DH703" s="66" t="str">
        <f t="shared" si="981"/>
        <v/>
      </c>
      <c r="DI703" s="66" t="str">
        <f t="shared" si="981"/>
        <v/>
      </c>
      <c r="DJ703" s="66" t="str">
        <f>+IF($W703="","",ROUND((DG703*Parámetros!$G$85),2))</f>
        <v/>
      </c>
      <c r="DK703" s="66" t="str">
        <f>+IF($W703="","",ROUND((DG703*(Parámetros!$G$86)),2))</f>
        <v/>
      </c>
      <c r="DL703" s="66" t="str">
        <f t="shared" si="982"/>
        <v/>
      </c>
      <c r="DM703" t="str">
        <f t="shared" si="1023"/>
        <v/>
      </c>
      <c r="DN703" s="118" t="str">
        <f t="shared" si="1024"/>
        <v/>
      </c>
      <c r="DO703" s="118" t="str">
        <f t="shared" si="1025"/>
        <v/>
      </c>
      <c r="DP703" s="118" t="str">
        <f t="shared" si="1026"/>
        <v/>
      </c>
      <c r="DQ703" s="122" t="str">
        <f>+IF(OR($W703="",DO703=0),"",ROUND((VLOOKUP(ROUNDDOWN($D703-1/frec,0),cob_adi,DB$40,FALSE)*(1+i/frec)^-0.5*(1+Parámetros!$D$103)*(1+rec_fracc)/frec),6))</f>
        <v/>
      </c>
      <c r="DR703" s="66" t="str">
        <f t="shared" si="983"/>
        <v/>
      </c>
      <c r="DS703" s="68" t="str">
        <f t="shared" si="984"/>
        <v/>
      </c>
      <c r="DT703" s="66" t="str">
        <f>+IF($W703="","",ROUND(IF($B703&gt;Parámetros!$D$107,'Tablas Servicio'!DR703+('Tablas Servicio'!DT702-'Tablas Servicio'!DR702),DR703/(1-IF(B703&lt;=10,Parámetros!$D$100,0))),2))</f>
        <v/>
      </c>
      <c r="DU703" s="66" t="str">
        <f t="shared" si="985"/>
        <v/>
      </c>
      <c r="DV703" s="66" t="str">
        <f t="shared" si="985"/>
        <v/>
      </c>
      <c r="DW703" s="66" t="str">
        <f>+IF($W703="","",ROUND((DT703*Parámetros!$G$85),2))</f>
        <v/>
      </c>
      <c r="DX703" s="66" t="str">
        <f>+IF($W703="","",ROUND((DT703*(Parámetros!$G$86)),2))</f>
        <v/>
      </c>
      <c r="DY703" s="66" t="str">
        <f t="shared" si="986"/>
        <v/>
      </c>
      <c r="DZ703" t="str">
        <f t="shared" si="1027"/>
        <v/>
      </c>
      <c r="EA703" s="118" t="str">
        <f t="shared" si="1027"/>
        <v/>
      </c>
      <c r="EB703" s="118" t="str">
        <f>+IF($W703="","",ROUND(IF(Parámetros!$D$25='TABLAS MORT'!$V$33,EB702,Z703/2),0))</f>
        <v/>
      </c>
      <c r="EC703" s="118" t="str">
        <f t="shared" si="1027"/>
        <v/>
      </c>
      <c r="ED703" s="122" t="str">
        <f>+IF(OR($W703="",EB703=0),"",ROUND((VLOOKUP(ROUNDDOWN($D703-1/frec,0),cob_adi,DO$40,FALSE)*(1+i/frec)^-0.5*(1+Parámetros!$D$103)*(1+rec_fracc)/frec),6))</f>
        <v/>
      </c>
      <c r="EE703" s="66" t="str">
        <f t="shared" si="988"/>
        <v/>
      </c>
      <c r="EF703" s="68" t="str">
        <f t="shared" si="989"/>
        <v/>
      </c>
      <c r="EG703" s="66" t="str">
        <f>+IF($W703="","",ROUND(IF($B703&gt;Parámetros!$D$107,'Tablas Servicio'!EE703+('Tablas Servicio'!EG702-'Tablas Servicio'!EE702),EE703/(1-IF(B703&lt;=10,Parámetros!$D$100,0))),2))</f>
        <v/>
      </c>
      <c r="EH703" s="66" t="str">
        <f t="shared" si="990"/>
        <v/>
      </c>
      <c r="EI703" s="66" t="str">
        <f t="shared" si="990"/>
        <v/>
      </c>
      <c r="EJ703" s="66" t="str">
        <f>+IF($W703="","",ROUND((EG703*Parámetros!$G$85),2))</f>
        <v/>
      </c>
      <c r="EK703" s="66" t="str">
        <f>+IF($W703="","",ROUND((EG703*(Parámetros!$G$86)),2))</f>
        <v/>
      </c>
      <c r="EL703" s="66" t="str">
        <f t="shared" si="991"/>
        <v/>
      </c>
    </row>
    <row r="704" spans="1:142" x14ac:dyDescent="0.25">
      <c r="A704" t="str">
        <f>+IF($C704="","",ROUND(VLOOKUP('Tablas Servicio'!B704,Parámetros!$H$100:$J$159,IF(Parámetros!$E$16="F",2,3),FALSE),2))</f>
        <v/>
      </c>
      <c r="B704" t="str">
        <f t="shared" si="942"/>
        <v/>
      </c>
      <c r="C704" s="57" t="str">
        <f>+IF(D704="","",'Tablas Servicio'!C703+1)</f>
        <v/>
      </c>
      <c r="D704" s="56" t="str">
        <f>+IF(D703&lt;edadmaxtabla,D703+1/Parámetros!$E$25,"")</f>
        <v/>
      </c>
      <c r="E704" s="57" t="str">
        <f t="shared" si="952"/>
        <v/>
      </c>
      <c r="F704" s="59" t="str">
        <f t="shared" si="953"/>
        <v/>
      </c>
      <c r="G704" s="66" t="str">
        <f t="shared" si="943"/>
        <v/>
      </c>
      <c r="H704" s="66" t="str">
        <f t="shared" si="944"/>
        <v/>
      </c>
      <c r="I704" s="66" t="str">
        <f t="shared" si="992"/>
        <v/>
      </c>
      <c r="J704" s="66" t="str">
        <f t="shared" si="945"/>
        <v/>
      </c>
      <c r="K704" s="66" t="str">
        <f t="shared" si="946"/>
        <v/>
      </c>
      <c r="L704" s="66" t="str">
        <f t="shared" si="947"/>
        <v/>
      </c>
      <c r="M704" s="66" t="str">
        <f t="shared" si="948"/>
        <v/>
      </c>
      <c r="N704" s="66" t="str">
        <f>+IF(C704="","",ROUND(Parámetros!$D$23,2))</f>
        <v/>
      </c>
      <c r="O704" s="66" t="str">
        <f t="shared" si="949"/>
        <v/>
      </c>
      <c r="P704" s="66" t="str">
        <f>+IF($C704="","",ROUND(IF(B704&gt;Parámetros!$D$117,0,N704*Parámetros!$D$116-G704*Parámetros!$D$100),2))</f>
        <v/>
      </c>
      <c r="Q704" s="75" t="str">
        <f t="shared" si="993"/>
        <v/>
      </c>
      <c r="R704" s="75" t="str">
        <f t="shared" si="994"/>
        <v/>
      </c>
      <c r="S704" s="117" t="str">
        <f>+IF($C704="","",ROUND((S703+I704)*(1+Parámetros!$D$91),2))</f>
        <v/>
      </c>
      <c r="T704" s="117" t="str">
        <f>+IF($C704="","",ROUND(S704*VLOOKUP(B704,Parámetros!$C$30:$D$39,2,TRUE),2))</f>
        <v/>
      </c>
      <c r="U704" s="117" t="str">
        <f>+IF($C704="","",ROUND((U703+I704)*(1+Parámetros!$D$92),2))</f>
        <v/>
      </c>
      <c r="V704" s="117" t="str">
        <f>+IF($C704="","",ROUND(U704*VLOOKUP(B704,Parámetros!$C$30:$D$39,2,TRUE),2))</f>
        <v/>
      </c>
      <c r="W704" s="57" t="str">
        <f t="shared" si="995"/>
        <v/>
      </c>
      <c r="X704" t="str">
        <f t="shared" si="996"/>
        <v/>
      </c>
      <c r="Y704" t="str">
        <f t="shared" si="997"/>
        <v/>
      </c>
      <c r="Z704" s="118" t="str">
        <f>+IF($W704="","",ROUND(IF(Parámetros!$D$25='TABLAS MORT'!$V$33,Z703,Parámetros!$D$21-'Tablas Servicio'!T703),0))</f>
        <v/>
      </c>
      <c r="AA704" s="118" t="str">
        <f t="shared" si="998"/>
        <v/>
      </c>
      <c r="AB704" s="119" t="str">
        <f>+IF(W704="","",ROUND((VLOOKUP(ROUNDDOWN($D704-1/frec,0),qx_tabla,2,FALSE)*(1+i/frec)^-0.5*(1+Parámetros!$D$103)*(1+rec_fracc)/frec),6))</f>
        <v/>
      </c>
      <c r="AC704" s="66" t="str">
        <f t="shared" si="954"/>
        <v/>
      </c>
      <c r="AD704" s="119" t="str">
        <f t="shared" si="950"/>
        <v/>
      </c>
      <c r="AE704" s="66" t="str">
        <f>+IF($W704="","",ROUND(IF($B704&gt;Parámetros!$D$107,'Tablas Servicio'!AC704+('Tablas Servicio'!AG703-'Tablas Servicio'!AC703),AC704/(1-IF(B704&lt;=10,Parámetros!$D$104,Parámetros!$D$105))),2))</f>
        <v/>
      </c>
      <c r="AF704" s="66" t="str">
        <f>+IF($W704="","",ROUND(IF($B704&gt;Parámetros!$D$107,'Tablas Servicio'!AC704+('Tablas Servicio'!AG703-'Tablas Servicio'!AC703),(AC704+$A703/frec)/(1-IF(B704&lt;=Parámetros!$D$117,Parámetros!$D$100,0))),2))</f>
        <v/>
      </c>
      <c r="AG704" s="66" t="str">
        <f t="shared" si="955"/>
        <v/>
      </c>
      <c r="AH704" s="66" t="str">
        <f t="shared" si="956"/>
        <v/>
      </c>
      <c r="AI704" s="66" t="str">
        <f t="shared" si="957"/>
        <v/>
      </c>
      <c r="AJ704" s="66" t="str">
        <f>+IF($W704="","",ROUND((AG704*Parámetros!$G$85),2))</f>
        <v/>
      </c>
      <c r="AK704" s="66" t="str">
        <f>+IF($W704="","",ROUND((AG704*(Parámetros!$G$86)),2))</f>
        <v/>
      </c>
      <c r="AL704" s="66" t="str">
        <f t="shared" si="951"/>
        <v/>
      </c>
      <c r="AM704" t="str">
        <f t="shared" si="999"/>
        <v/>
      </c>
      <c r="AN704" t="str">
        <f t="shared" si="1000"/>
        <v/>
      </c>
      <c r="AO704" s="118" t="str">
        <f t="shared" si="1001"/>
        <v/>
      </c>
      <c r="AP704" s="118" t="str">
        <f t="shared" si="1002"/>
        <v/>
      </c>
      <c r="AQ704" s="119" t="str">
        <f>+IF(OR($W704="",AO704=0),"",ROUND((VLOOKUP(ROUNDDOWN($D704-1/frec,0),cob_adi,Z$40,FALSE)*(1+i/frec)^-0.5*(1+Parámetros!$D$103)*(1+rec_fracc)/frec),6))</f>
        <v/>
      </c>
      <c r="AR704" s="66" t="str">
        <f t="shared" si="958"/>
        <v/>
      </c>
      <c r="AS704" s="119" t="str">
        <f t="shared" si="959"/>
        <v/>
      </c>
      <c r="AT704" s="66" t="str">
        <f>+IF($W704="","",ROUND(IF($B704&gt;Parámetros!$D$107,'Tablas Servicio'!AR704+('Tablas Servicio'!AT703-'Tablas Servicio'!AR703),AR704/(1-IF(B704&lt;=10,Parámetros!$D$100,0))),2))</f>
        <v/>
      </c>
      <c r="AU704" s="66" t="str">
        <f t="shared" si="960"/>
        <v/>
      </c>
      <c r="AV704" s="66" t="str">
        <f t="shared" si="960"/>
        <v/>
      </c>
      <c r="AW704" s="66" t="str">
        <f>+IF($W704="","",ROUND((AT704*Parámetros!$G$85),2))</f>
        <v/>
      </c>
      <c r="AX704" s="66" t="str">
        <f>+IF($W704="","",ROUND((AT704*(Parámetros!$G$86)),2))</f>
        <v/>
      </c>
      <c r="AY704" s="66" t="str">
        <f t="shared" si="961"/>
        <v/>
      </c>
      <c r="AZ704" t="str">
        <f t="shared" si="1003"/>
        <v/>
      </c>
      <c r="BA704" t="str">
        <f t="shared" si="1004"/>
        <v/>
      </c>
      <c r="BB704" s="118" t="str">
        <f t="shared" si="1005"/>
        <v/>
      </c>
      <c r="BC704" s="118" t="str">
        <f t="shared" si="1006"/>
        <v/>
      </c>
      <c r="BD704" s="119" t="str">
        <f>+IF(OR($W704="",BB704=0),"",ROUND((VLOOKUP(ROUNDDOWN($D704-1/frec,0),cob_adi,AO$40,FALSE)*(1+i/frec)^-0.5*(1+Parámetros!$D$103)*(1+rec_fracc)/frec),6))</f>
        <v/>
      </c>
      <c r="BE704" s="66" t="str">
        <f t="shared" si="962"/>
        <v/>
      </c>
      <c r="BF704" s="119" t="str">
        <f t="shared" si="963"/>
        <v/>
      </c>
      <c r="BG704" s="66" t="str">
        <f>+IF($W704="","",ROUND(IF($B704&gt;Parámetros!$D$107,'Tablas Servicio'!BE704+('Tablas Servicio'!BG703-'Tablas Servicio'!BE703),BE704/(1-IF(B704&lt;=10,Parámetros!$D$100,0))),2))</f>
        <v/>
      </c>
      <c r="BH704" s="66" t="str">
        <f t="shared" si="964"/>
        <v/>
      </c>
      <c r="BI704" s="66" t="str">
        <f t="shared" si="965"/>
        <v/>
      </c>
      <c r="BJ704" s="66" t="str">
        <f>+IF($W704="","",ROUND((BG704*Parámetros!$G$85),2))</f>
        <v/>
      </c>
      <c r="BK704" s="66" t="str">
        <f>+IF($W704="","",ROUND((BG704*(Parámetros!$G$86)),2))</f>
        <v/>
      </c>
      <c r="BL704" s="66" t="str">
        <f t="shared" si="966"/>
        <v/>
      </c>
      <c r="BM704" t="str">
        <f t="shared" si="1007"/>
        <v/>
      </c>
      <c r="BN704" t="str">
        <f t="shared" si="1008"/>
        <v/>
      </c>
      <c r="BO704" s="118" t="str">
        <f t="shared" si="1009"/>
        <v/>
      </c>
      <c r="BP704" s="118" t="str">
        <f t="shared" si="1010"/>
        <v/>
      </c>
      <c r="BQ704" s="119" t="str">
        <f>+IF(OR($W704="",BO704=0),"",ROUND((VLOOKUP(ROUNDDOWN($D704-1/frec,0),cob_adi,BB$40,FALSE)*(1+i/frec)^-0.5*(1+Parámetros!$D$103)*(1+rec_fracc)/frec),6))</f>
        <v/>
      </c>
      <c r="BR704" s="66" t="str">
        <f t="shared" si="967"/>
        <v/>
      </c>
      <c r="BS704" s="119" t="str">
        <f t="shared" si="968"/>
        <v/>
      </c>
      <c r="BT704" s="66" t="str">
        <f>+IF($W704="","",ROUND(IF($B704&gt;Parámetros!$D$107,'Tablas Servicio'!BR704+('Tablas Servicio'!BT703-'Tablas Servicio'!BR703),BR704/(1-IF(B704&lt;=10,Parámetros!$D$100,0))),2))</f>
        <v/>
      </c>
      <c r="BU704" s="66" t="str">
        <f t="shared" si="969"/>
        <v/>
      </c>
      <c r="BV704" s="66" t="str">
        <f t="shared" si="969"/>
        <v/>
      </c>
      <c r="BW704" s="66" t="str">
        <f>+IF($W704="","",ROUND((BT704*Parámetros!$G$85),2))</f>
        <v/>
      </c>
      <c r="BX704" s="66" t="str">
        <f>+IF($W704="","",ROUND((BT704*(Parámetros!$G$86)),2))</f>
        <v/>
      </c>
      <c r="BY704" s="66" t="str">
        <f t="shared" si="970"/>
        <v/>
      </c>
      <c r="BZ704" t="str">
        <f t="shared" si="1011"/>
        <v/>
      </c>
      <c r="CA704" t="str">
        <f t="shared" si="1012"/>
        <v/>
      </c>
      <c r="CB704" s="118" t="str">
        <f t="shared" si="1013"/>
        <v/>
      </c>
      <c r="CC704" s="118" t="str">
        <f t="shared" si="1014"/>
        <v/>
      </c>
      <c r="CD704" s="119" t="str">
        <f t="shared" si="971"/>
        <v/>
      </c>
      <c r="CE704" s="66" t="str">
        <f>+IF($W704="","",ROUND((VLOOKUP(ROUNDDOWN($D704-1/frec,0),cob_adi,BO$40,FALSE)*(1+i/frec)^-0.5*(1+Parámetros!$D$103)*(1+rec_fracc)/frec*'TABLAS ADI'!$BC$17),2))</f>
        <v/>
      </c>
      <c r="CF704" s="119" t="str">
        <f t="shared" si="972"/>
        <v/>
      </c>
      <c r="CG704" s="66" t="str">
        <f>+IF($W704="","",ROUND(IF($B704&gt;Parámetros!$D$107,'Tablas Servicio'!CE704+('Tablas Servicio'!CG703-'Tablas Servicio'!CE703),CE704/(1-IF(B704&lt;=10,Parámetros!$D$100,0))),2))</f>
        <v/>
      </c>
      <c r="CH704" s="66" t="str">
        <f t="shared" si="973"/>
        <v/>
      </c>
      <c r="CI704" s="66" t="str">
        <f t="shared" si="973"/>
        <v/>
      </c>
      <c r="CJ704" s="66" t="str">
        <f>+IF($W704="","",ROUND((CG704*Parámetros!$G$85),2))</f>
        <v/>
      </c>
      <c r="CK704" s="66" t="str">
        <f>+IF($W704="","",ROUND((CG704*(Parámetros!$G$86)),2))</f>
        <v/>
      </c>
      <c r="CL704" s="66" t="str">
        <f t="shared" si="974"/>
        <v/>
      </c>
      <c r="CM704" t="str">
        <f t="shared" si="1015"/>
        <v/>
      </c>
      <c r="CN704" s="118" t="str">
        <f t="shared" si="1016"/>
        <v/>
      </c>
      <c r="CO704" s="118" t="str">
        <f t="shared" si="1017"/>
        <v/>
      </c>
      <c r="CP704" s="118" t="str">
        <f t="shared" si="1018"/>
        <v/>
      </c>
      <c r="CQ704" s="119" t="str">
        <f t="shared" si="975"/>
        <v/>
      </c>
      <c r="CR704" s="66" t="str">
        <f>+IF($W704="","",ROUND((VLOOKUP(Parámetros!$F$51,'COBERTURAS ADICIONALES'!$S$4:$T$32,2,FALSE)*(1+i/frec)^-0.5*(1+Parámetros!$D$103)*(1+rec_fracc)/frec*$CO$42),2))</f>
        <v/>
      </c>
      <c r="CS704" s="119" t="str">
        <f t="shared" si="976"/>
        <v/>
      </c>
      <c r="CT704" s="66" t="str">
        <f>+IF($W704="","",ROUND(IF($B704&gt;Parámetros!$D$107,'Tablas Servicio'!CR704+('Tablas Servicio'!CT703-'Tablas Servicio'!CR703),CR704/(1-IF(B704&lt;=10,Parámetros!$D$100,0))),2))</f>
        <v/>
      </c>
      <c r="CU704" s="66" t="str">
        <f t="shared" si="977"/>
        <v/>
      </c>
      <c r="CV704" s="66" t="str">
        <f t="shared" si="977"/>
        <v/>
      </c>
      <c r="CW704" s="66" t="str">
        <f>+IF($W704="","",ROUND((CT704*Parámetros!$G$85),2))</f>
        <v/>
      </c>
      <c r="CX704" s="66" t="str">
        <f>+IF($W704="","",ROUND((CT704*(Parámetros!$G$86)),2))</f>
        <v/>
      </c>
      <c r="CY704" s="66" t="str">
        <f t="shared" si="978"/>
        <v/>
      </c>
      <c r="CZ704" t="str">
        <f t="shared" si="1019"/>
        <v/>
      </c>
      <c r="DA704" s="118" t="str">
        <f t="shared" si="1020"/>
        <v/>
      </c>
      <c r="DB704" s="118" t="str">
        <f t="shared" si="1021"/>
        <v/>
      </c>
      <c r="DC704" s="118" t="str">
        <f t="shared" si="1022"/>
        <v/>
      </c>
      <c r="DD704" s="121" t="str">
        <f>+IF(OR($W704="",DB704=0),"",ROUND((VLOOKUP(ROUNDDOWN($D704-1/frec,0),cob_adi,CO$40,FALSE)*(1+i/frec)^-0.5*(1+Parámetros!$D$103)*(1+rec_fracc)/frec),6))</f>
        <v/>
      </c>
      <c r="DE704" s="66" t="str">
        <f t="shared" si="979"/>
        <v/>
      </c>
      <c r="DF704" s="119" t="str">
        <f t="shared" si="980"/>
        <v/>
      </c>
      <c r="DG704" s="66" t="str">
        <f>+IF($W704="","",ROUND(IF($B704&gt;Parámetros!$D$107,'Tablas Servicio'!DE704+('Tablas Servicio'!DG703-'Tablas Servicio'!DE703),DE704/(1-IF(B704&lt;=10,Parámetros!$D$100,0))),2))</f>
        <v/>
      </c>
      <c r="DH704" s="66" t="str">
        <f t="shared" si="981"/>
        <v/>
      </c>
      <c r="DI704" s="66" t="str">
        <f t="shared" si="981"/>
        <v/>
      </c>
      <c r="DJ704" s="66" t="str">
        <f>+IF($W704="","",ROUND((DG704*Parámetros!$G$85),2))</f>
        <v/>
      </c>
      <c r="DK704" s="66" t="str">
        <f>+IF($W704="","",ROUND((DG704*(Parámetros!$G$86)),2))</f>
        <v/>
      </c>
      <c r="DL704" s="66" t="str">
        <f t="shared" si="982"/>
        <v/>
      </c>
      <c r="DM704" t="str">
        <f t="shared" si="1023"/>
        <v/>
      </c>
      <c r="DN704" s="118" t="str">
        <f t="shared" si="1024"/>
        <v/>
      </c>
      <c r="DO704" s="118" t="str">
        <f t="shared" si="1025"/>
        <v/>
      </c>
      <c r="DP704" s="118" t="str">
        <f t="shared" si="1026"/>
        <v/>
      </c>
      <c r="DQ704" s="122" t="str">
        <f>+IF(OR($W704="",DO704=0),"",ROUND((VLOOKUP(ROUNDDOWN($D704-1/frec,0),cob_adi,DB$40,FALSE)*(1+i/frec)^-0.5*(1+Parámetros!$D$103)*(1+rec_fracc)/frec),6))</f>
        <v/>
      </c>
      <c r="DR704" s="66" t="str">
        <f t="shared" si="983"/>
        <v/>
      </c>
      <c r="DS704" s="68" t="str">
        <f t="shared" si="984"/>
        <v/>
      </c>
      <c r="DT704" s="66" t="str">
        <f>+IF($W704="","",ROUND(IF($B704&gt;Parámetros!$D$107,'Tablas Servicio'!DR704+('Tablas Servicio'!DT703-'Tablas Servicio'!DR703),DR704/(1-IF(B704&lt;=10,Parámetros!$D$100,0))),2))</f>
        <v/>
      </c>
      <c r="DU704" s="66" t="str">
        <f t="shared" si="985"/>
        <v/>
      </c>
      <c r="DV704" s="66" t="str">
        <f t="shared" si="985"/>
        <v/>
      </c>
      <c r="DW704" s="66" t="str">
        <f>+IF($W704="","",ROUND((DT704*Parámetros!$G$85),2))</f>
        <v/>
      </c>
      <c r="DX704" s="66" t="str">
        <f>+IF($W704="","",ROUND((DT704*(Parámetros!$G$86)),2))</f>
        <v/>
      </c>
      <c r="DY704" s="66" t="str">
        <f t="shared" si="986"/>
        <v/>
      </c>
      <c r="DZ704" t="str">
        <f t="shared" si="1027"/>
        <v/>
      </c>
      <c r="EA704" s="118" t="str">
        <f t="shared" si="1027"/>
        <v/>
      </c>
      <c r="EB704" s="118" t="str">
        <f>+IF($W704="","",ROUND(IF(Parámetros!$D$25='TABLAS MORT'!$V$33,EB703,Z704/2),0))</f>
        <v/>
      </c>
      <c r="EC704" s="118" t="str">
        <f t="shared" si="1027"/>
        <v/>
      </c>
      <c r="ED704" s="122" t="str">
        <f>+IF(OR($W704="",EB704=0),"",ROUND((VLOOKUP(ROUNDDOWN($D704-1/frec,0),cob_adi,DO$40,FALSE)*(1+i/frec)^-0.5*(1+Parámetros!$D$103)*(1+rec_fracc)/frec),6))</f>
        <v/>
      </c>
      <c r="EE704" s="66" t="str">
        <f t="shared" si="988"/>
        <v/>
      </c>
      <c r="EF704" s="68" t="str">
        <f t="shared" si="989"/>
        <v/>
      </c>
      <c r="EG704" s="66" t="str">
        <f>+IF($W704="","",ROUND(IF($B704&gt;Parámetros!$D$107,'Tablas Servicio'!EE704+('Tablas Servicio'!EG703-'Tablas Servicio'!EE703),EE704/(1-IF(B704&lt;=10,Parámetros!$D$100,0))),2))</f>
        <v/>
      </c>
      <c r="EH704" s="66" t="str">
        <f t="shared" si="990"/>
        <v/>
      </c>
      <c r="EI704" s="66" t="str">
        <f t="shared" si="990"/>
        <v/>
      </c>
      <c r="EJ704" s="66" t="str">
        <f>+IF($W704="","",ROUND((EG704*Parámetros!$G$85),2))</f>
        <v/>
      </c>
      <c r="EK704" s="66" t="str">
        <f>+IF($W704="","",ROUND((EG704*(Parámetros!$G$86)),2))</f>
        <v/>
      </c>
      <c r="EL704" s="66" t="str">
        <f t="shared" si="991"/>
        <v/>
      </c>
    </row>
    <row r="705" spans="1:142" x14ac:dyDescent="0.25">
      <c r="A705" t="str">
        <f>+IF($C705="","",ROUND(VLOOKUP('Tablas Servicio'!B705,Parámetros!$H$100:$J$159,IF(Parámetros!$E$16="F",2,3),FALSE),2))</f>
        <v/>
      </c>
      <c r="B705" t="str">
        <f t="shared" si="942"/>
        <v/>
      </c>
      <c r="C705" s="57" t="str">
        <f>+IF(D705="","",'Tablas Servicio'!C704+1)</f>
        <v/>
      </c>
      <c r="D705" s="56" t="str">
        <f>+IF(D704&lt;edadmaxtabla,D704+1/Parámetros!$E$25,"")</f>
        <v/>
      </c>
      <c r="E705" s="57" t="str">
        <f t="shared" si="952"/>
        <v/>
      </c>
      <c r="F705" s="59" t="str">
        <f t="shared" si="953"/>
        <v/>
      </c>
      <c r="G705" s="66" t="str">
        <f t="shared" si="943"/>
        <v/>
      </c>
      <c r="H705" s="66" t="str">
        <f t="shared" si="944"/>
        <v/>
      </c>
      <c r="I705" s="66" t="str">
        <f t="shared" si="992"/>
        <v/>
      </c>
      <c r="J705" s="66" t="str">
        <f t="shared" si="945"/>
        <v/>
      </c>
      <c r="K705" s="66" t="str">
        <f t="shared" si="946"/>
        <v/>
      </c>
      <c r="L705" s="66" t="str">
        <f t="shared" si="947"/>
        <v/>
      </c>
      <c r="M705" s="66" t="str">
        <f t="shared" si="948"/>
        <v/>
      </c>
      <c r="N705" s="66" t="str">
        <f>+IF(C705="","",ROUND(Parámetros!$D$23,2))</f>
        <v/>
      </c>
      <c r="O705" s="66" t="str">
        <f t="shared" si="949"/>
        <v/>
      </c>
      <c r="P705" s="66" t="str">
        <f>+IF($C705="","",ROUND(IF(B705&gt;Parámetros!$D$117,0,N705*Parámetros!$D$116-G705*Parámetros!$D$100),2))</f>
        <v/>
      </c>
      <c r="Q705" s="75" t="str">
        <f t="shared" si="993"/>
        <v/>
      </c>
      <c r="R705" s="75" t="str">
        <f t="shared" si="994"/>
        <v/>
      </c>
      <c r="S705" s="117" t="str">
        <f>+IF($C705="","",ROUND((S704+I705)*(1+Parámetros!$D$91),2))</f>
        <v/>
      </c>
      <c r="T705" s="117" t="str">
        <f>+IF($C705="","",ROUND(S705*VLOOKUP(B705,Parámetros!$C$30:$D$39,2,TRUE),2))</f>
        <v/>
      </c>
      <c r="U705" s="117" t="str">
        <f>+IF($C705="","",ROUND((U704+I705)*(1+Parámetros!$D$92),2))</f>
        <v/>
      </c>
      <c r="V705" s="117" t="str">
        <f>+IF($C705="","",ROUND(U705*VLOOKUP(B705,Parámetros!$C$30:$D$39,2,TRUE),2))</f>
        <v/>
      </c>
      <c r="W705" s="57" t="str">
        <f t="shared" si="995"/>
        <v/>
      </c>
      <c r="X705" t="str">
        <f t="shared" si="996"/>
        <v/>
      </c>
      <c r="Y705" t="str">
        <f t="shared" si="997"/>
        <v/>
      </c>
      <c r="Z705" s="118" t="str">
        <f>+IF($W705="","",ROUND(IF(Parámetros!$D$25='TABLAS MORT'!$V$33,Z704,Parámetros!$D$21-'Tablas Servicio'!T704),0))</f>
        <v/>
      </c>
      <c r="AA705" s="118" t="str">
        <f t="shared" si="998"/>
        <v/>
      </c>
      <c r="AB705" s="119" t="str">
        <f>+IF(W705="","",ROUND((VLOOKUP(ROUNDDOWN($D705-1/frec,0),qx_tabla,2,FALSE)*(1+i/frec)^-0.5*(1+Parámetros!$D$103)*(1+rec_fracc)/frec),6))</f>
        <v/>
      </c>
      <c r="AC705" s="66" t="str">
        <f t="shared" si="954"/>
        <v/>
      </c>
      <c r="AD705" s="119" t="str">
        <f t="shared" si="950"/>
        <v/>
      </c>
      <c r="AE705" s="66" t="str">
        <f>+IF($W705="","",ROUND(IF($B705&gt;Parámetros!$D$107,'Tablas Servicio'!AC705+('Tablas Servicio'!AG704-'Tablas Servicio'!AC704),AC705/(1-IF(B705&lt;=10,Parámetros!$D$104,Parámetros!$D$105))),2))</f>
        <v/>
      </c>
      <c r="AF705" s="66" t="str">
        <f>+IF($W705="","",ROUND(IF($B705&gt;Parámetros!$D$107,'Tablas Servicio'!AC705+('Tablas Servicio'!AG704-'Tablas Servicio'!AC704),(AC705+$A704/frec)/(1-IF(B705&lt;=Parámetros!$D$117,Parámetros!$D$100,0))),2))</f>
        <v/>
      </c>
      <c r="AG705" s="66" t="str">
        <f t="shared" si="955"/>
        <v/>
      </c>
      <c r="AH705" s="66" t="str">
        <f t="shared" si="956"/>
        <v/>
      </c>
      <c r="AI705" s="66" t="str">
        <f t="shared" si="957"/>
        <v/>
      </c>
      <c r="AJ705" s="66" t="str">
        <f>+IF($W705="","",ROUND((AG705*Parámetros!$G$85),2))</f>
        <v/>
      </c>
      <c r="AK705" s="66" t="str">
        <f>+IF($W705="","",ROUND((AG705*(Parámetros!$G$86)),2))</f>
        <v/>
      </c>
      <c r="AL705" s="66" t="str">
        <f t="shared" si="951"/>
        <v/>
      </c>
      <c r="AM705" t="str">
        <f t="shared" si="999"/>
        <v/>
      </c>
      <c r="AN705" t="str">
        <f t="shared" si="1000"/>
        <v/>
      </c>
      <c r="AO705" s="118" t="str">
        <f t="shared" si="1001"/>
        <v/>
      </c>
      <c r="AP705" s="118" t="str">
        <f t="shared" si="1002"/>
        <v/>
      </c>
      <c r="AQ705" s="119" t="str">
        <f>+IF(OR($W705="",AO705=0),"",ROUND((VLOOKUP(ROUNDDOWN($D705-1/frec,0),cob_adi,Z$40,FALSE)*(1+i/frec)^-0.5*(1+Parámetros!$D$103)*(1+rec_fracc)/frec),6))</f>
        <v/>
      </c>
      <c r="AR705" s="66" t="str">
        <f t="shared" si="958"/>
        <v/>
      </c>
      <c r="AS705" s="119" t="str">
        <f t="shared" si="959"/>
        <v/>
      </c>
      <c r="AT705" s="66" t="str">
        <f>+IF($W705="","",ROUND(IF($B705&gt;Parámetros!$D$107,'Tablas Servicio'!AR705+('Tablas Servicio'!AT704-'Tablas Servicio'!AR704),AR705/(1-IF(B705&lt;=10,Parámetros!$D$100,0))),2))</f>
        <v/>
      </c>
      <c r="AU705" s="66" t="str">
        <f t="shared" si="960"/>
        <v/>
      </c>
      <c r="AV705" s="66" t="str">
        <f t="shared" si="960"/>
        <v/>
      </c>
      <c r="AW705" s="66" t="str">
        <f>+IF($W705="","",ROUND((AT705*Parámetros!$G$85),2))</f>
        <v/>
      </c>
      <c r="AX705" s="66" t="str">
        <f>+IF($W705="","",ROUND((AT705*(Parámetros!$G$86)),2))</f>
        <v/>
      </c>
      <c r="AY705" s="66" t="str">
        <f t="shared" si="961"/>
        <v/>
      </c>
      <c r="AZ705" t="str">
        <f t="shared" si="1003"/>
        <v/>
      </c>
      <c r="BA705" t="str">
        <f t="shared" si="1004"/>
        <v/>
      </c>
      <c r="BB705" s="118" t="str">
        <f t="shared" si="1005"/>
        <v/>
      </c>
      <c r="BC705" s="118" t="str">
        <f t="shared" si="1006"/>
        <v/>
      </c>
      <c r="BD705" s="119" t="str">
        <f>+IF(OR($W705="",BB705=0),"",ROUND((VLOOKUP(ROUNDDOWN($D705-1/frec,0),cob_adi,AO$40,FALSE)*(1+i/frec)^-0.5*(1+Parámetros!$D$103)*(1+rec_fracc)/frec),6))</f>
        <v/>
      </c>
      <c r="BE705" s="66" t="str">
        <f t="shared" si="962"/>
        <v/>
      </c>
      <c r="BF705" s="119" t="str">
        <f t="shared" si="963"/>
        <v/>
      </c>
      <c r="BG705" s="66" t="str">
        <f>+IF($W705="","",ROUND(IF($B705&gt;Parámetros!$D$107,'Tablas Servicio'!BE705+('Tablas Servicio'!BG704-'Tablas Servicio'!BE704),BE705/(1-IF(B705&lt;=10,Parámetros!$D$100,0))),2))</f>
        <v/>
      </c>
      <c r="BH705" s="66" t="str">
        <f t="shared" si="964"/>
        <v/>
      </c>
      <c r="BI705" s="66" t="str">
        <f t="shared" si="965"/>
        <v/>
      </c>
      <c r="BJ705" s="66" t="str">
        <f>+IF($W705="","",ROUND((BG705*Parámetros!$G$85),2))</f>
        <v/>
      </c>
      <c r="BK705" s="66" t="str">
        <f>+IF($W705="","",ROUND((BG705*(Parámetros!$G$86)),2))</f>
        <v/>
      </c>
      <c r="BL705" s="66" t="str">
        <f t="shared" si="966"/>
        <v/>
      </c>
      <c r="BM705" t="str">
        <f t="shared" si="1007"/>
        <v/>
      </c>
      <c r="BN705" t="str">
        <f t="shared" si="1008"/>
        <v/>
      </c>
      <c r="BO705" s="118" t="str">
        <f t="shared" si="1009"/>
        <v/>
      </c>
      <c r="BP705" s="118" t="str">
        <f t="shared" si="1010"/>
        <v/>
      </c>
      <c r="BQ705" s="119" t="str">
        <f>+IF(OR($W705="",BO705=0),"",ROUND((VLOOKUP(ROUNDDOWN($D705-1/frec,0),cob_adi,BB$40,FALSE)*(1+i/frec)^-0.5*(1+Parámetros!$D$103)*(1+rec_fracc)/frec),6))</f>
        <v/>
      </c>
      <c r="BR705" s="66" t="str">
        <f t="shared" si="967"/>
        <v/>
      </c>
      <c r="BS705" s="119" t="str">
        <f t="shared" si="968"/>
        <v/>
      </c>
      <c r="BT705" s="66" t="str">
        <f>+IF($W705="","",ROUND(IF($B705&gt;Parámetros!$D$107,'Tablas Servicio'!BR705+('Tablas Servicio'!BT704-'Tablas Servicio'!BR704),BR705/(1-IF(B705&lt;=10,Parámetros!$D$100,0))),2))</f>
        <v/>
      </c>
      <c r="BU705" s="66" t="str">
        <f t="shared" si="969"/>
        <v/>
      </c>
      <c r="BV705" s="66" t="str">
        <f t="shared" si="969"/>
        <v/>
      </c>
      <c r="BW705" s="66" t="str">
        <f>+IF($W705="","",ROUND((BT705*Parámetros!$G$85),2))</f>
        <v/>
      </c>
      <c r="BX705" s="66" t="str">
        <f>+IF($W705="","",ROUND((BT705*(Parámetros!$G$86)),2))</f>
        <v/>
      </c>
      <c r="BY705" s="66" t="str">
        <f t="shared" si="970"/>
        <v/>
      </c>
      <c r="BZ705" t="str">
        <f t="shared" si="1011"/>
        <v/>
      </c>
      <c r="CA705" t="str">
        <f t="shared" si="1012"/>
        <v/>
      </c>
      <c r="CB705" s="118" t="str">
        <f t="shared" si="1013"/>
        <v/>
      </c>
      <c r="CC705" s="118" t="str">
        <f t="shared" si="1014"/>
        <v/>
      </c>
      <c r="CD705" s="119" t="str">
        <f t="shared" si="971"/>
        <v/>
      </c>
      <c r="CE705" s="66" t="str">
        <f>+IF($W705="","",ROUND((VLOOKUP(ROUNDDOWN($D705-1/frec,0),cob_adi,BO$40,FALSE)*(1+i/frec)^-0.5*(1+Parámetros!$D$103)*(1+rec_fracc)/frec*'TABLAS ADI'!$BC$17),2))</f>
        <v/>
      </c>
      <c r="CF705" s="119" t="str">
        <f t="shared" si="972"/>
        <v/>
      </c>
      <c r="CG705" s="66" t="str">
        <f>+IF($W705="","",ROUND(IF($B705&gt;Parámetros!$D$107,'Tablas Servicio'!CE705+('Tablas Servicio'!CG704-'Tablas Servicio'!CE704),CE705/(1-IF(B705&lt;=10,Parámetros!$D$100,0))),2))</f>
        <v/>
      </c>
      <c r="CH705" s="66" t="str">
        <f t="shared" si="973"/>
        <v/>
      </c>
      <c r="CI705" s="66" t="str">
        <f t="shared" si="973"/>
        <v/>
      </c>
      <c r="CJ705" s="66" t="str">
        <f>+IF($W705="","",ROUND((CG705*Parámetros!$G$85),2))</f>
        <v/>
      </c>
      <c r="CK705" s="66" t="str">
        <f>+IF($W705="","",ROUND((CG705*(Parámetros!$G$86)),2))</f>
        <v/>
      </c>
      <c r="CL705" s="66" t="str">
        <f t="shared" si="974"/>
        <v/>
      </c>
      <c r="CM705" t="str">
        <f t="shared" si="1015"/>
        <v/>
      </c>
      <c r="CN705" s="118" t="str">
        <f t="shared" si="1016"/>
        <v/>
      </c>
      <c r="CO705" s="118" t="str">
        <f t="shared" si="1017"/>
        <v/>
      </c>
      <c r="CP705" s="118" t="str">
        <f t="shared" si="1018"/>
        <v/>
      </c>
      <c r="CQ705" s="119" t="str">
        <f t="shared" si="975"/>
        <v/>
      </c>
      <c r="CR705" s="66" t="str">
        <f>+IF($W705="","",ROUND((VLOOKUP(Parámetros!$F$51,'COBERTURAS ADICIONALES'!$S$4:$T$32,2,FALSE)*(1+i/frec)^-0.5*(1+Parámetros!$D$103)*(1+rec_fracc)/frec*$CO$42),2))</f>
        <v/>
      </c>
      <c r="CS705" s="119" t="str">
        <f t="shared" si="976"/>
        <v/>
      </c>
      <c r="CT705" s="66" t="str">
        <f>+IF($W705="","",ROUND(IF($B705&gt;Parámetros!$D$107,'Tablas Servicio'!CR705+('Tablas Servicio'!CT704-'Tablas Servicio'!CR704),CR705/(1-IF(B705&lt;=10,Parámetros!$D$100,0))),2))</f>
        <v/>
      </c>
      <c r="CU705" s="66" t="str">
        <f t="shared" si="977"/>
        <v/>
      </c>
      <c r="CV705" s="66" t="str">
        <f t="shared" si="977"/>
        <v/>
      </c>
      <c r="CW705" s="66" t="str">
        <f>+IF($W705="","",ROUND((CT705*Parámetros!$G$85),2))</f>
        <v/>
      </c>
      <c r="CX705" s="66" t="str">
        <f>+IF($W705="","",ROUND((CT705*(Parámetros!$G$86)),2))</f>
        <v/>
      </c>
      <c r="CY705" s="66" t="str">
        <f t="shared" si="978"/>
        <v/>
      </c>
      <c r="CZ705" t="str">
        <f t="shared" si="1019"/>
        <v/>
      </c>
      <c r="DA705" s="118" t="str">
        <f t="shared" si="1020"/>
        <v/>
      </c>
      <c r="DB705" s="118" t="str">
        <f t="shared" si="1021"/>
        <v/>
      </c>
      <c r="DC705" s="118" t="str">
        <f t="shared" si="1022"/>
        <v/>
      </c>
      <c r="DD705" s="121" t="str">
        <f>+IF(OR($W705="",DB705=0),"",ROUND((VLOOKUP(ROUNDDOWN($D705-1/frec,0),cob_adi,CO$40,FALSE)*(1+i/frec)^-0.5*(1+Parámetros!$D$103)*(1+rec_fracc)/frec),6))</f>
        <v/>
      </c>
      <c r="DE705" s="66" t="str">
        <f t="shared" si="979"/>
        <v/>
      </c>
      <c r="DF705" s="119" t="str">
        <f t="shared" si="980"/>
        <v/>
      </c>
      <c r="DG705" s="66" t="str">
        <f>+IF($W705="","",ROUND(IF($B705&gt;Parámetros!$D$107,'Tablas Servicio'!DE705+('Tablas Servicio'!DG704-'Tablas Servicio'!DE704),DE705/(1-IF(B705&lt;=10,Parámetros!$D$100,0))),2))</f>
        <v/>
      </c>
      <c r="DH705" s="66" t="str">
        <f t="shared" si="981"/>
        <v/>
      </c>
      <c r="DI705" s="66" t="str">
        <f t="shared" si="981"/>
        <v/>
      </c>
      <c r="DJ705" s="66" t="str">
        <f>+IF($W705="","",ROUND((DG705*Parámetros!$G$85),2))</f>
        <v/>
      </c>
      <c r="DK705" s="66" t="str">
        <f>+IF($W705="","",ROUND((DG705*(Parámetros!$G$86)),2))</f>
        <v/>
      </c>
      <c r="DL705" s="66" t="str">
        <f t="shared" si="982"/>
        <v/>
      </c>
      <c r="DM705" t="str">
        <f t="shared" si="1023"/>
        <v/>
      </c>
      <c r="DN705" s="118" t="str">
        <f t="shared" si="1024"/>
        <v/>
      </c>
      <c r="DO705" s="118" t="str">
        <f t="shared" si="1025"/>
        <v/>
      </c>
      <c r="DP705" s="118" t="str">
        <f t="shared" si="1026"/>
        <v/>
      </c>
      <c r="DQ705" s="122" t="str">
        <f>+IF(OR($W705="",DO705=0),"",ROUND((VLOOKUP(ROUNDDOWN($D705-1/frec,0),cob_adi,DB$40,FALSE)*(1+i/frec)^-0.5*(1+Parámetros!$D$103)*(1+rec_fracc)/frec),6))</f>
        <v/>
      </c>
      <c r="DR705" s="66" t="str">
        <f t="shared" si="983"/>
        <v/>
      </c>
      <c r="DS705" s="68" t="str">
        <f t="shared" si="984"/>
        <v/>
      </c>
      <c r="DT705" s="66" t="str">
        <f>+IF($W705="","",ROUND(IF($B705&gt;Parámetros!$D$107,'Tablas Servicio'!DR705+('Tablas Servicio'!DT704-'Tablas Servicio'!DR704),DR705/(1-IF(B705&lt;=10,Parámetros!$D$100,0))),2))</f>
        <v/>
      </c>
      <c r="DU705" s="66" t="str">
        <f t="shared" si="985"/>
        <v/>
      </c>
      <c r="DV705" s="66" t="str">
        <f t="shared" si="985"/>
        <v/>
      </c>
      <c r="DW705" s="66" t="str">
        <f>+IF($W705="","",ROUND((DT705*Parámetros!$G$85),2))</f>
        <v/>
      </c>
      <c r="DX705" s="66" t="str">
        <f>+IF($W705="","",ROUND((DT705*(Parámetros!$G$86)),2))</f>
        <v/>
      </c>
      <c r="DY705" s="66" t="str">
        <f t="shared" si="986"/>
        <v/>
      </c>
      <c r="DZ705" t="str">
        <f t="shared" si="1027"/>
        <v/>
      </c>
      <c r="EA705" s="118" t="str">
        <f t="shared" si="1027"/>
        <v/>
      </c>
      <c r="EB705" s="118" t="str">
        <f>+IF($W705="","",ROUND(IF(Parámetros!$D$25='TABLAS MORT'!$V$33,EB704,Z705/2),0))</f>
        <v/>
      </c>
      <c r="EC705" s="118" t="str">
        <f t="shared" si="1027"/>
        <v/>
      </c>
      <c r="ED705" s="122" t="str">
        <f>+IF(OR($W705="",EB705=0),"",ROUND((VLOOKUP(ROUNDDOWN($D705-1/frec,0),cob_adi,DO$40,FALSE)*(1+i/frec)^-0.5*(1+Parámetros!$D$103)*(1+rec_fracc)/frec),6))</f>
        <v/>
      </c>
      <c r="EE705" s="66" t="str">
        <f t="shared" si="988"/>
        <v/>
      </c>
      <c r="EF705" s="68" t="str">
        <f t="shared" si="989"/>
        <v/>
      </c>
      <c r="EG705" s="66" t="str">
        <f>+IF($W705="","",ROUND(IF($B705&gt;Parámetros!$D$107,'Tablas Servicio'!EE705+('Tablas Servicio'!EG704-'Tablas Servicio'!EE704),EE705/(1-IF(B705&lt;=10,Parámetros!$D$100,0))),2))</f>
        <v/>
      </c>
      <c r="EH705" s="66" t="str">
        <f t="shared" si="990"/>
        <v/>
      </c>
      <c r="EI705" s="66" t="str">
        <f t="shared" si="990"/>
        <v/>
      </c>
      <c r="EJ705" s="66" t="str">
        <f>+IF($W705="","",ROUND((EG705*Parámetros!$G$85),2))</f>
        <v/>
      </c>
      <c r="EK705" s="66" t="str">
        <f>+IF($W705="","",ROUND((EG705*(Parámetros!$G$86)),2))</f>
        <v/>
      </c>
      <c r="EL705" s="66" t="str">
        <f t="shared" si="991"/>
        <v/>
      </c>
    </row>
    <row r="706" spans="1:142" x14ac:dyDescent="0.25">
      <c r="A706" t="str">
        <f>+IF($C706="","",ROUND(VLOOKUP('Tablas Servicio'!B706,Parámetros!$H$100:$J$159,IF(Parámetros!$E$16="F",2,3),FALSE),2))</f>
        <v/>
      </c>
      <c r="B706" t="str">
        <f t="shared" si="942"/>
        <v/>
      </c>
      <c r="C706" s="57" t="str">
        <f>+IF(D706="","",'Tablas Servicio'!C705+1)</f>
        <v/>
      </c>
      <c r="D706" s="56" t="str">
        <f>+IF(D705&lt;edadmaxtabla,D705+1/Parámetros!$E$25,"")</f>
        <v/>
      </c>
      <c r="E706" s="57" t="str">
        <f t="shared" si="952"/>
        <v/>
      </c>
      <c r="F706" s="59" t="str">
        <f t="shared" si="953"/>
        <v/>
      </c>
      <c r="G706" s="66" t="str">
        <f t="shared" si="943"/>
        <v/>
      </c>
      <c r="H706" s="66" t="str">
        <f t="shared" si="944"/>
        <v/>
      </c>
      <c r="I706" s="66" t="str">
        <f t="shared" si="992"/>
        <v/>
      </c>
      <c r="J706" s="66" t="str">
        <f t="shared" si="945"/>
        <v/>
      </c>
      <c r="K706" s="66" t="str">
        <f t="shared" si="946"/>
        <v/>
      </c>
      <c r="L706" s="66" t="str">
        <f t="shared" si="947"/>
        <v/>
      </c>
      <c r="M706" s="66" t="str">
        <f t="shared" si="948"/>
        <v/>
      </c>
      <c r="N706" s="66" t="str">
        <f>+IF(C706="","",ROUND(Parámetros!$D$23,2))</f>
        <v/>
      </c>
      <c r="O706" s="66" t="str">
        <f t="shared" si="949"/>
        <v/>
      </c>
      <c r="P706" s="66" t="str">
        <f>+IF($C706="","",ROUND(IF(B706&gt;Parámetros!$D$117,0,N706*Parámetros!$D$116-G706*Parámetros!$D$100),2))</f>
        <v/>
      </c>
      <c r="Q706" s="75" t="str">
        <f t="shared" si="993"/>
        <v/>
      </c>
      <c r="R706" s="75" t="str">
        <f t="shared" si="994"/>
        <v/>
      </c>
      <c r="S706" s="117" t="str">
        <f>+IF($C706="","",ROUND((S705+I706)*(1+Parámetros!$D$91),2))</f>
        <v/>
      </c>
      <c r="T706" s="117" t="str">
        <f>+IF($C706="","",ROUND(S706*VLOOKUP(B706,Parámetros!$C$30:$D$39,2,TRUE),2))</f>
        <v/>
      </c>
      <c r="U706" s="117" t="str">
        <f>+IF($C706="","",ROUND((U705+I706)*(1+Parámetros!$D$92),2))</f>
        <v/>
      </c>
      <c r="V706" s="117" t="str">
        <f>+IF($C706="","",ROUND(U706*VLOOKUP(B706,Parámetros!$C$30:$D$39,2,TRUE),2))</f>
        <v/>
      </c>
      <c r="W706" s="57" t="str">
        <f t="shared" si="995"/>
        <v/>
      </c>
      <c r="X706" t="str">
        <f t="shared" si="996"/>
        <v/>
      </c>
      <c r="Y706" t="str">
        <f t="shared" si="997"/>
        <v/>
      </c>
      <c r="Z706" s="118" t="str">
        <f>+IF($W706="","",ROUND(IF(Parámetros!$D$25='TABLAS MORT'!$V$33,Z705,Parámetros!$D$21-'Tablas Servicio'!T705),0))</f>
        <v/>
      </c>
      <c r="AA706" s="118" t="str">
        <f t="shared" si="998"/>
        <v/>
      </c>
      <c r="AB706" s="119" t="str">
        <f>+IF(W706="","",ROUND((VLOOKUP(ROUNDDOWN($D706-1/frec,0),qx_tabla,2,FALSE)*(1+i/frec)^-0.5*(1+Parámetros!$D$103)*(1+rec_fracc)/frec),6))</f>
        <v/>
      </c>
      <c r="AC706" s="66" t="str">
        <f t="shared" si="954"/>
        <v/>
      </c>
      <c r="AD706" s="119" t="str">
        <f t="shared" si="950"/>
        <v/>
      </c>
      <c r="AE706" s="66" t="str">
        <f>+IF($W706="","",ROUND(IF($B706&gt;Parámetros!$D$107,'Tablas Servicio'!AC706+('Tablas Servicio'!AG705-'Tablas Servicio'!AC705),AC706/(1-IF(B706&lt;=10,Parámetros!$D$104,Parámetros!$D$105))),2))</f>
        <v/>
      </c>
      <c r="AF706" s="66" t="str">
        <f>+IF($W706="","",ROUND(IF($B706&gt;Parámetros!$D$107,'Tablas Servicio'!AC706+('Tablas Servicio'!AG705-'Tablas Servicio'!AC705),(AC706+$A705/frec)/(1-IF(B706&lt;=Parámetros!$D$117,Parámetros!$D$100,0))),2))</f>
        <v/>
      </c>
      <c r="AG706" s="66" t="str">
        <f t="shared" si="955"/>
        <v/>
      </c>
      <c r="AH706" s="66" t="str">
        <f t="shared" si="956"/>
        <v/>
      </c>
      <c r="AI706" s="66" t="str">
        <f t="shared" si="957"/>
        <v/>
      </c>
      <c r="AJ706" s="66" t="str">
        <f>+IF($W706="","",ROUND((AG706*Parámetros!$G$85),2))</f>
        <v/>
      </c>
      <c r="AK706" s="66" t="str">
        <f>+IF($W706="","",ROUND((AG706*(Parámetros!$G$86)),2))</f>
        <v/>
      </c>
      <c r="AL706" s="66" t="str">
        <f t="shared" si="951"/>
        <v/>
      </c>
      <c r="AM706" t="str">
        <f t="shared" si="999"/>
        <v/>
      </c>
      <c r="AN706" t="str">
        <f t="shared" si="1000"/>
        <v/>
      </c>
      <c r="AO706" s="118" t="str">
        <f t="shared" si="1001"/>
        <v/>
      </c>
      <c r="AP706" s="118" t="str">
        <f t="shared" si="1002"/>
        <v/>
      </c>
      <c r="AQ706" s="119" t="str">
        <f>+IF(OR($W706="",AO706=0),"",ROUND((VLOOKUP(ROUNDDOWN($D706-1/frec,0),cob_adi,Z$40,FALSE)*(1+i/frec)^-0.5*(1+Parámetros!$D$103)*(1+rec_fracc)/frec),6))</f>
        <v/>
      </c>
      <c r="AR706" s="66" t="str">
        <f t="shared" si="958"/>
        <v/>
      </c>
      <c r="AS706" s="119" t="str">
        <f t="shared" si="959"/>
        <v/>
      </c>
      <c r="AT706" s="66" t="str">
        <f>+IF($W706="","",ROUND(IF($B706&gt;Parámetros!$D$107,'Tablas Servicio'!AR706+('Tablas Servicio'!AT705-'Tablas Servicio'!AR705),AR706/(1-IF(B706&lt;=10,Parámetros!$D$100,0))),2))</f>
        <v/>
      </c>
      <c r="AU706" s="66" t="str">
        <f t="shared" si="960"/>
        <v/>
      </c>
      <c r="AV706" s="66" t="str">
        <f t="shared" si="960"/>
        <v/>
      </c>
      <c r="AW706" s="66" t="str">
        <f>+IF($W706="","",ROUND((AT706*Parámetros!$G$85),2))</f>
        <v/>
      </c>
      <c r="AX706" s="66" t="str">
        <f>+IF($W706="","",ROUND((AT706*(Parámetros!$G$86)),2))</f>
        <v/>
      </c>
      <c r="AY706" s="66" t="str">
        <f t="shared" si="961"/>
        <v/>
      </c>
      <c r="AZ706" t="str">
        <f t="shared" si="1003"/>
        <v/>
      </c>
      <c r="BA706" t="str">
        <f t="shared" si="1004"/>
        <v/>
      </c>
      <c r="BB706" s="118" t="str">
        <f t="shared" si="1005"/>
        <v/>
      </c>
      <c r="BC706" s="118" t="str">
        <f t="shared" si="1006"/>
        <v/>
      </c>
      <c r="BD706" s="119" t="str">
        <f>+IF(OR($W706="",BB706=0),"",ROUND((VLOOKUP(ROUNDDOWN($D706-1/frec,0),cob_adi,AO$40,FALSE)*(1+i/frec)^-0.5*(1+Parámetros!$D$103)*(1+rec_fracc)/frec),6))</f>
        <v/>
      </c>
      <c r="BE706" s="66" t="str">
        <f t="shared" si="962"/>
        <v/>
      </c>
      <c r="BF706" s="119" t="str">
        <f t="shared" si="963"/>
        <v/>
      </c>
      <c r="BG706" s="66" t="str">
        <f>+IF($W706="","",ROUND(IF($B706&gt;Parámetros!$D$107,'Tablas Servicio'!BE706+('Tablas Servicio'!BG705-'Tablas Servicio'!BE705),BE706/(1-IF(B706&lt;=10,Parámetros!$D$100,0))),2))</f>
        <v/>
      </c>
      <c r="BH706" s="66" t="str">
        <f t="shared" si="964"/>
        <v/>
      </c>
      <c r="BI706" s="66" t="str">
        <f t="shared" si="965"/>
        <v/>
      </c>
      <c r="BJ706" s="66" t="str">
        <f>+IF($W706="","",ROUND((BG706*Parámetros!$G$85),2))</f>
        <v/>
      </c>
      <c r="BK706" s="66" t="str">
        <f>+IF($W706="","",ROUND((BG706*(Parámetros!$G$86)),2))</f>
        <v/>
      </c>
      <c r="BL706" s="66" t="str">
        <f t="shared" si="966"/>
        <v/>
      </c>
      <c r="BM706" t="str">
        <f t="shared" si="1007"/>
        <v/>
      </c>
      <c r="BN706" t="str">
        <f t="shared" si="1008"/>
        <v/>
      </c>
      <c r="BO706" s="118" t="str">
        <f t="shared" si="1009"/>
        <v/>
      </c>
      <c r="BP706" s="118" t="str">
        <f t="shared" si="1010"/>
        <v/>
      </c>
      <c r="BQ706" s="119" t="str">
        <f>+IF(OR($W706="",BO706=0),"",ROUND((VLOOKUP(ROUNDDOWN($D706-1/frec,0),cob_adi,BB$40,FALSE)*(1+i/frec)^-0.5*(1+Parámetros!$D$103)*(1+rec_fracc)/frec),6))</f>
        <v/>
      </c>
      <c r="BR706" s="66" t="str">
        <f t="shared" si="967"/>
        <v/>
      </c>
      <c r="BS706" s="119" t="str">
        <f t="shared" si="968"/>
        <v/>
      </c>
      <c r="BT706" s="66" t="str">
        <f>+IF($W706="","",ROUND(IF($B706&gt;Parámetros!$D$107,'Tablas Servicio'!BR706+('Tablas Servicio'!BT705-'Tablas Servicio'!BR705),BR706/(1-IF(B706&lt;=10,Parámetros!$D$100,0))),2))</f>
        <v/>
      </c>
      <c r="BU706" s="66" t="str">
        <f t="shared" si="969"/>
        <v/>
      </c>
      <c r="BV706" s="66" t="str">
        <f t="shared" si="969"/>
        <v/>
      </c>
      <c r="BW706" s="66" t="str">
        <f>+IF($W706="","",ROUND((BT706*Parámetros!$G$85),2))</f>
        <v/>
      </c>
      <c r="BX706" s="66" t="str">
        <f>+IF($W706="","",ROUND((BT706*(Parámetros!$G$86)),2))</f>
        <v/>
      </c>
      <c r="BY706" s="66" t="str">
        <f t="shared" si="970"/>
        <v/>
      </c>
      <c r="BZ706" t="str">
        <f t="shared" si="1011"/>
        <v/>
      </c>
      <c r="CA706" t="str">
        <f t="shared" si="1012"/>
        <v/>
      </c>
      <c r="CB706" s="118" t="str">
        <f t="shared" si="1013"/>
        <v/>
      </c>
      <c r="CC706" s="118" t="str">
        <f t="shared" si="1014"/>
        <v/>
      </c>
      <c r="CD706" s="119" t="str">
        <f t="shared" si="971"/>
        <v/>
      </c>
      <c r="CE706" s="66" t="str">
        <f>+IF($W706="","",ROUND((VLOOKUP(ROUNDDOWN($D706-1/frec,0),cob_adi,BO$40,FALSE)*(1+i/frec)^-0.5*(1+Parámetros!$D$103)*(1+rec_fracc)/frec*'TABLAS ADI'!$BC$17),2))</f>
        <v/>
      </c>
      <c r="CF706" s="119" t="str">
        <f t="shared" si="972"/>
        <v/>
      </c>
      <c r="CG706" s="66" t="str">
        <f>+IF($W706="","",ROUND(IF($B706&gt;Parámetros!$D$107,'Tablas Servicio'!CE706+('Tablas Servicio'!CG705-'Tablas Servicio'!CE705),CE706/(1-IF(B706&lt;=10,Parámetros!$D$100,0))),2))</f>
        <v/>
      </c>
      <c r="CH706" s="66" t="str">
        <f t="shared" si="973"/>
        <v/>
      </c>
      <c r="CI706" s="66" t="str">
        <f t="shared" si="973"/>
        <v/>
      </c>
      <c r="CJ706" s="66" t="str">
        <f>+IF($W706="","",ROUND((CG706*Parámetros!$G$85),2))</f>
        <v/>
      </c>
      <c r="CK706" s="66" t="str">
        <f>+IF($W706="","",ROUND((CG706*(Parámetros!$G$86)),2))</f>
        <v/>
      </c>
      <c r="CL706" s="66" t="str">
        <f t="shared" si="974"/>
        <v/>
      </c>
      <c r="CM706" t="str">
        <f t="shared" si="1015"/>
        <v/>
      </c>
      <c r="CN706" s="118" t="str">
        <f t="shared" si="1016"/>
        <v/>
      </c>
      <c r="CO706" s="118" t="str">
        <f t="shared" si="1017"/>
        <v/>
      </c>
      <c r="CP706" s="118" t="str">
        <f t="shared" si="1018"/>
        <v/>
      </c>
      <c r="CQ706" s="119" t="str">
        <f t="shared" si="975"/>
        <v/>
      </c>
      <c r="CR706" s="66" t="str">
        <f>+IF($W706="","",ROUND((VLOOKUP(Parámetros!$F$51,'COBERTURAS ADICIONALES'!$S$4:$T$32,2,FALSE)*(1+i/frec)^-0.5*(1+Parámetros!$D$103)*(1+rec_fracc)/frec*$CO$42),2))</f>
        <v/>
      </c>
      <c r="CS706" s="119" t="str">
        <f t="shared" si="976"/>
        <v/>
      </c>
      <c r="CT706" s="66" t="str">
        <f>+IF($W706="","",ROUND(IF($B706&gt;Parámetros!$D$107,'Tablas Servicio'!CR706+('Tablas Servicio'!CT705-'Tablas Servicio'!CR705),CR706/(1-IF(B706&lt;=10,Parámetros!$D$100,0))),2))</f>
        <v/>
      </c>
      <c r="CU706" s="66" t="str">
        <f t="shared" si="977"/>
        <v/>
      </c>
      <c r="CV706" s="66" t="str">
        <f t="shared" si="977"/>
        <v/>
      </c>
      <c r="CW706" s="66" t="str">
        <f>+IF($W706="","",ROUND((CT706*Parámetros!$G$85),2))</f>
        <v/>
      </c>
      <c r="CX706" s="66" t="str">
        <f>+IF($W706="","",ROUND((CT706*(Parámetros!$G$86)),2))</f>
        <v/>
      </c>
      <c r="CY706" s="66" t="str">
        <f t="shared" si="978"/>
        <v/>
      </c>
      <c r="CZ706" t="str">
        <f t="shared" si="1019"/>
        <v/>
      </c>
      <c r="DA706" s="118" t="str">
        <f t="shared" si="1020"/>
        <v/>
      </c>
      <c r="DB706" s="118" t="str">
        <f t="shared" si="1021"/>
        <v/>
      </c>
      <c r="DC706" s="118" t="str">
        <f t="shared" si="1022"/>
        <v/>
      </c>
      <c r="DD706" s="121" t="str">
        <f>+IF(OR($W706="",DB706=0),"",ROUND((VLOOKUP(ROUNDDOWN($D706-1/frec,0),cob_adi,CO$40,FALSE)*(1+i/frec)^-0.5*(1+Parámetros!$D$103)*(1+rec_fracc)/frec),6))</f>
        <v/>
      </c>
      <c r="DE706" s="66" t="str">
        <f t="shared" si="979"/>
        <v/>
      </c>
      <c r="DF706" s="119" t="str">
        <f t="shared" si="980"/>
        <v/>
      </c>
      <c r="DG706" s="66" t="str">
        <f>+IF($W706="","",ROUND(IF($B706&gt;Parámetros!$D$107,'Tablas Servicio'!DE706+('Tablas Servicio'!DG705-'Tablas Servicio'!DE705),DE706/(1-IF(B706&lt;=10,Parámetros!$D$100,0))),2))</f>
        <v/>
      </c>
      <c r="DH706" s="66" t="str">
        <f t="shared" si="981"/>
        <v/>
      </c>
      <c r="DI706" s="66" t="str">
        <f t="shared" si="981"/>
        <v/>
      </c>
      <c r="DJ706" s="66" t="str">
        <f>+IF($W706="","",ROUND((DG706*Parámetros!$G$85),2))</f>
        <v/>
      </c>
      <c r="DK706" s="66" t="str">
        <f>+IF($W706="","",ROUND((DG706*(Parámetros!$G$86)),2))</f>
        <v/>
      </c>
      <c r="DL706" s="66" t="str">
        <f t="shared" si="982"/>
        <v/>
      </c>
      <c r="DM706" t="str">
        <f t="shared" si="1023"/>
        <v/>
      </c>
      <c r="DN706" s="118" t="str">
        <f t="shared" si="1024"/>
        <v/>
      </c>
      <c r="DO706" s="118" t="str">
        <f t="shared" si="1025"/>
        <v/>
      </c>
      <c r="DP706" s="118" t="str">
        <f t="shared" si="1026"/>
        <v/>
      </c>
      <c r="DQ706" s="122" t="str">
        <f>+IF(OR($W706="",DO706=0),"",ROUND((VLOOKUP(ROUNDDOWN($D706-1/frec,0),cob_adi,DB$40,FALSE)*(1+i/frec)^-0.5*(1+Parámetros!$D$103)*(1+rec_fracc)/frec),6))</f>
        <v/>
      </c>
      <c r="DR706" s="66" t="str">
        <f t="shared" si="983"/>
        <v/>
      </c>
      <c r="DS706" s="68" t="str">
        <f t="shared" si="984"/>
        <v/>
      </c>
      <c r="DT706" s="66" t="str">
        <f>+IF($W706="","",ROUND(IF($B706&gt;Parámetros!$D$107,'Tablas Servicio'!DR706+('Tablas Servicio'!DT705-'Tablas Servicio'!DR705),DR706/(1-IF(B706&lt;=10,Parámetros!$D$100,0))),2))</f>
        <v/>
      </c>
      <c r="DU706" s="66" t="str">
        <f t="shared" si="985"/>
        <v/>
      </c>
      <c r="DV706" s="66" t="str">
        <f t="shared" si="985"/>
        <v/>
      </c>
      <c r="DW706" s="66" t="str">
        <f>+IF($W706="","",ROUND((DT706*Parámetros!$G$85),2))</f>
        <v/>
      </c>
      <c r="DX706" s="66" t="str">
        <f>+IF($W706="","",ROUND((DT706*(Parámetros!$G$86)),2))</f>
        <v/>
      </c>
      <c r="DY706" s="66" t="str">
        <f t="shared" si="986"/>
        <v/>
      </c>
      <c r="DZ706" t="str">
        <f t="shared" si="1027"/>
        <v/>
      </c>
      <c r="EA706" s="118" t="str">
        <f t="shared" si="1027"/>
        <v/>
      </c>
      <c r="EB706" s="118" t="str">
        <f>+IF($W706="","",ROUND(IF(Parámetros!$D$25='TABLAS MORT'!$V$33,EB705,Z706/2),0))</f>
        <v/>
      </c>
      <c r="EC706" s="118" t="str">
        <f t="shared" si="1027"/>
        <v/>
      </c>
      <c r="ED706" s="122" t="str">
        <f>+IF(OR($W706="",EB706=0),"",ROUND((VLOOKUP(ROUNDDOWN($D706-1/frec,0),cob_adi,DO$40,FALSE)*(1+i/frec)^-0.5*(1+Parámetros!$D$103)*(1+rec_fracc)/frec),6))</f>
        <v/>
      </c>
      <c r="EE706" s="66" t="str">
        <f t="shared" si="988"/>
        <v/>
      </c>
      <c r="EF706" s="68" t="str">
        <f t="shared" si="989"/>
        <v/>
      </c>
      <c r="EG706" s="66" t="str">
        <f>+IF($W706="","",ROUND(IF($B706&gt;Parámetros!$D$107,'Tablas Servicio'!EE706+('Tablas Servicio'!EG705-'Tablas Servicio'!EE705),EE706/(1-IF(B706&lt;=10,Parámetros!$D$100,0))),2))</f>
        <v/>
      </c>
      <c r="EH706" s="66" t="str">
        <f t="shared" si="990"/>
        <v/>
      </c>
      <c r="EI706" s="66" t="str">
        <f t="shared" si="990"/>
        <v/>
      </c>
      <c r="EJ706" s="66" t="str">
        <f>+IF($W706="","",ROUND((EG706*Parámetros!$G$85),2))</f>
        <v/>
      </c>
      <c r="EK706" s="66" t="str">
        <f>+IF($W706="","",ROUND((EG706*(Parámetros!$G$86)),2))</f>
        <v/>
      </c>
      <c r="EL706" s="66" t="str">
        <f t="shared" si="991"/>
        <v/>
      </c>
    </row>
    <row r="707" spans="1:142" x14ac:dyDescent="0.25">
      <c r="A707" t="str">
        <f>+IF($C707="","",ROUND(VLOOKUP('Tablas Servicio'!B707,Parámetros!$H$100:$J$159,IF(Parámetros!$E$16="F",2,3),FALSE),2))</f>
        <v/>
      </c>
      <c r="B707" t="str">
        <f t="shared" si="942"/>
        <v/>
      </c>
      <c r="C707" s="57" t="str">
        <f>+IF(D707="","",'Tablas Servicio'!C706+1)</f>
        <v/>
      </c>
      <c r="D707" s="56" t="str">
        <f>+IF(D706&lt;edadmaxtabla,D706+1/Parámetros!$E$25,"")</f>
        <v/>
      </c>
      <c r="E707" s="57" t="str">
        <f t="shared" si="952"/>
        <v/>
      </c>
      <c r="F707" s="59" t="str">
        <f t="shared" si="953"/>
        <v/>
      </c>
      <c r="G707" s="66" t="str">
        <f t="shared" si="943"/>
        <v/>
      </c>
      <c r="H707" s="66" t="str">
        <f t="shared" si="944"/>
        <v/>
      </c>
      <c r="I707" s="66" t="str">
        <f t="shared" si="992"/>
        <v/>
      </c>
      <c r="J707" s="66" t="str">
        <f t="shared" si="945"/>
        <v/>
      </c>
      <c r="K707" s="66" t="str">
        <f t="shared" si="946"/>
        <v/>
      </c>
      <c r="L707" s="66" t="str">
        <f t="shared" si="947"/>
        <v/>
      </c>
      <c r="M707" s="66" t="str">
        <f t="shared" si="948"/>
        <v/>
      </c>
      <c r="N707" s="66" t="str">
        <f>+IF(C707="","",ROUND(Parámetros!$D$23,2))</f>
        <v/>
      </c>
      <c r="O707" s="66" t="str">
        <f t="shared" si="949"/>
        <v/>
      </c>
      <c r="P707" s="66" t="str">
        <f>+IF($C707="","",ROUND(IF(B707&gt;Parámetros!$D$117,0,N707*Parámetros!$D$116-G707*Parámetros!$D$100),2))</f>
        <v/>
      </c>
      <c r="Q707" s="75" t="str">
        <f t="shared" si="993"/>
        <v/>
      </c>
      <c r="R707" s="75" t="str">
        <f t="shared" si="994"/>
        <v/>
      </c>
      <c r="S707" s="117" t="str">
        <f>+IF($C707="","",ROUND((S706+I707)*(1+Parámetros!$D$91),2))</f>
        <v/>
      </c>
      <c r="T707" s="117" t="str">
        <f>+IF($C707="","",ROUND(S707*VLOOKUP(B707,Parámetros!$C$30:$D$39,2,TRUE),2))</f>
        <v/>
      </c>
      <c r="U707" s="117" t="str">
        <f>+IF($C707="","",ROUND((U706+I707)*(1+Parámetros!$D$92),2))</f>
        <v/>
      </c>
      <c r="V707" s="117" t="str">
        <f>+IF($C707="","",ROUND(U707*VLOOKUP(B707,Parámetros!$C$30:$D$39,2,TRUE),2))</f>
        <v/>
      </c>
      <c r="W707" s="57" t="str">
        <f t="shared" si="995"/>
        <v/>
      </c>
      <c r="X707" t="str">
        <f t="shared" si="996"/>
        <v/>
      </c>
      <c r="Y707" t="str">
        <f t="shared" si="997"/>
        <v/>
      </c>
      <c r="Z707" s="118" t="str">
        <f>+IF($W707="","",ROUND(IF(Parámetros!$D$25='TABLAS MORT'!$V$33,Z706,Parámetros!$D$21-'Tablas Servicio'!T706),0))</f>
        <v/>
      </c>
      <c r="AA707" s="118" t="str">
        <f t="shared" si="998"/>
        <v/>
      </c>
      <c r="AB707" s="119" t="str">
        <f>+IF(W707="","",ROUND((VLOOKUP(ROUNDDOWN($D707-1/frec,0),qx_tabla,2,FALSE)*(1+i/frec)^-0.5*(1+Parámetros!$D$103)*(1+rec_fracc)/frec),6))</f>
        <v/>
      </c>
      <c r="AC707" s="66" t="str">
        <f t="shared" si="954"/>
        <v/>
      </c>
      <c r="AD707" s="119" t="str">
        <f t="shared" si="950"/>
        <v/>
      </c>
      <c r="AE707" s="66" t="str">
        <f>+IF($W707="","",ROUND(IF($B707&gt;Parámetros!$D$107,'Tablas Servicio'!AC707+('Tablas Servicio'!AG706-'Tablas Servicio'!AC706),AC707/(1-IF(B707&lt;=10,Parámetros!$D$104,Parámetros!$D$105))),2))</f>
        <v/>
      </c>
      <c r="AF707" s="66" t="str">
        <f>+IF($W707="","",ROUND(IF($B707&gt;Parámetros!$D$107,'Tablas Servicio'!AC707+('Tablas Servicio'!AG706-'Tablas Servicio'!AC706),(AC707+$A706/frec)/(1-IF(B707&lt;=Parámetros!$D$117,Parámetros!$D$100,0))),2))</f>
        <v/>
      </c>
      <c r="AG707" s="66" t="str">
        <f t="shared" si="955"/>
        <v/>
      </c>
      <c r="AH707" s="66" t="str">
        <f t="shared" si="956"/>
        <v/>
      </c>
      <c r="AI707" s="66" t="str">
        <f t="shared" si="957"/>
        <v/>
      </c>
      <c r="AJ707" s="66" t="str">
        <f>+IF($W707="","",ROUND((AG707*Parámetros!$G$85),2))</f>
        <v/>
      </c>
      <c r="AK707" s="66" t="str">
        <f>+IF($W707="","",ROUND((AG707*(Parámetros!$G$86)),2))</f>
        <v/>
      </c>
      <c r="AL707" s="66" t="str">
        <f t="shared" si="951"/>
        <v/>
      </c>
      <c r="AM707" t="str">
        <f t="shared" si="999"/>
        <v/>
      </c>
      <c r="AN707" t="str">
        <f t="shared" si="1000"/>
        <v/>
      </c>
      <c r="AO707" s="118" t="str">
        <f t="shared" si="1001"/>
        <v/>
      </c>
      <c r="AP707" s="118" t="str">
        <f t="shared" si="1002"/>
        <v/>
      </c>
      <c r="AQ707" s="119" t="str">
        <f>+IF(OR($W707="",AO707=0),"",ROUND((VLOOKUP(ROUNDDOWN($D707-1/frec,0),cob_adi,Z$40,FALSE)*(1+i/frec)^-0.5*(1+Parámetros!$D$103)*(1+rec_fracc)/frec),6))</f>
        <v/>
      </c>
      <c r="AR707" s="66" t="str">
        <f t="shared" si="958"/>
        <v/>
      </c>
      <c r="AS707" s="119" t="str">
        <f t="shared" si="959"/>
        <v/>
      </c>
      <c r="AT707" s="66" t="str">
        <f>+IF($W707="","",ROUND(IF($B707&gt;Parámetros!$D$107,'Tablas Servicio'!AR707+('Tablas Servicio'!AT706-'Tablas Servicio'!AR706),AR707/(1-IF(B707&lt;=10,Parámetros!$D$100,0))),2))</f>
        <v/>
      </c>
      <c r="AU707" s="66" t="str">
        <f t="shared" si="960"/>
        <v/>
      </c>
      <c r="AV707" s="66" t="str">
        <f t="shared" si="960"/>
        <v/>
      </c>
      <c r="AW707" s="66" t="str">
        <f>+IF($W707="","",ROUND((AT707*Parámetros!$G$85),2))</f>
        <v/>
      </c>
      <c r="AX707" s="66" t="str">
        <f>+IF($W707="","",ROUND((AT707*(Parámetros!$G$86)),2))</f>
        <v/>
      </c>
      <c r="AY707" s="66" t="str">
        <f t="shared" si="961"/>
        <v/>
      </c>
      <c r="AZ707" t="str">
        <f t="shared" si="1003"/>
        <v/>
      </c>
      <c r="BA707" t="str">
        <f t="shared" si="1004"/>
        <v/>
      </c>
      <c r="BB707" s="118" t="str">
        <f t="shared" si="1005"/>
        <v/>
      </c>
      <c r="BC707" s="118" t="str">
        <f t="shared" si="1006"/>
        <v/>
      </c>
      <c r="BD707" s="119" t="str">
        <f>+IF(OR($W707="",BB707=0),"",ROUND((VLOOKUP(ROUNDDOWN($D707-1/frec,0),cob_adi,AO$40,FALSE)*(1+i/frec)^-0.5*(1+Parámetros!$D$103)*(1+rec_fracc)/frec),6))</f>
        <v/>
      </c>
      <c r="BE707" s="66" t="str">
        <f t="shared" si="962"/>
        <v/>
      </c>
      <c r="BF707" s="119" t="str">
        <f t="shared" si="963"/>
        <v/>
      </c>
      <c r="BG707" s="66" t="str">
        <f>+IF($W707="","",ROUND(IF($B707&gt;Parámetros!$D$107,'Tablas Servicio'!BE707+('Tablas Servicio'!BG706-'Tablas Servicio'!BE706),BE707/(1-IF(B707&lt;=10,Parámetros!$D$100,0))),2))</f>
        <v/>
      </c>
      <c r="BH707" s="66" t="str">
        <f t="shared" si="964"/>
        <v/>
      </c>
      <c r="BI707" s="66" t="str">
        <f t="shared" si="965"/>
        <v/>
      </c>
      <c r="BJ707" s="66" t="str">
        <f>+IF($W707="","",ROUND((BG707*Parámetros!$G$85),2))</f>
        <v/>
      </c>
      <c r="BK707" s="66" t="str">
        <f>+IF($W707="","",ROUND((BG707*(Parámetros!$G$86)),2))</f>
        <v/>
      </c>
      <c r="BL707" s="66" t="str">
        <f t="shared" si="966"/>
        <v/>
      </c>
      <c r="BM707" t="str">
        <f t="shared" si="1007"/>
        <v/>
      </c>
      <c r="BN707" t="str">
        <f t="shared" si="1008"/>
        <v/>
      </c>
      <c r="BO707" s="118" t="str">
        <f t="shared" si="1009"/>
        <v/>
      </c>
      <c r="BP707" s="118" t="str">
        <f t="shared" si="1010"/>
        <v/>
      </c>
      <c r="BQ707" s="119" t="str">
        <f>+IF(OR($W707="",BO707=0),"",ROUND((VLOOKUP(ROUNDDOWN($D707-1/frec,0),cob_adi,BB$40,FALSE)*(1+i/frec)^-0.5*(1+Parámetros!$D$103)*(1+rec_fracc)/frec),6))</f>
        <v/>
      </c>
      <c r="BR707" s="66" t="str">
        <f t="shared" si="967"/>
        <v/>
      </c>
      <c r="BS707" s="119" t="str">
        <f t="shared" si="968"/>
        <v/>
      </c>
      <c r="BT707" s="66" t="str">
        <f>+IF($W707="","",ROUND(IF($B707&gt;Parámetros!$D$107,'Tablas Servicio'!BR707+('Tablas Servicio'!BT706-'Tablas Servicio'!BR706),BR707/(1-IF(B707&lt;=10,Parámetros!$D$100,0))),2))</f>
        <v/>
      </c>
      <c r="BU707" s="66" t="str">
        <f t="shared" si="969"/>
        <v/>
      </c>
      <c r="BV707" s="66" t="str">
        <f t="shared" si="969"/>
        <v/>
      </c>
      <c r="BW707" s="66" t="str">
        <f>+IF($W707="","",ROUND((BT707*Parámetros!$G$85),2))</f>
        <v/>
      </c>
      <c r="BX707" s="66" t="str">
        <f>+IF($W707="","",ROUND((BT707*(Parámetros!$G$86)),2))</f>
        <v/>
      </c>
      <c r="BY707" s="66" t="str">
        <f t="shared" si="970"/>
        <v/>
      </c>
      <c r="BZ707" t="str">
        <f t="shared" si="1011"/>
        <v/>
      </c>
      <c r="CA707" t="str">
        <f t="shared" si="1012"/>
        <v/>
      </c>
      <c r="CB707" s="118" t="str">
        <f t="shared" si="1013"/>
        <v/>
      </c>
      <c r="CC707" s="118" t="str">
        <f t="shared" si="1014"/>
        <v/>
      </c>
      <c r="CD707" s="119" t="str">
        <f t="shared" si="971"/>
        <v/>
      </c>
      <c r="CE707" s="66" t="str">
        <f>+IF($W707="","",ROUND((VLOOKUP(ROUNDDOWN($D707-1/frec,0),cob_adi,BO$40,FALSE)*(1+i/frec)^-0.5*(1+Parámetros!$D$103)*(1+rec_fracc)/frec*'TABLAS ADI'!$BC$17),2))</f>
        <v/>
      </c>
      <c r="CF707" s="119" t="str">
        <f t="shared" si="972"/>
        <v/>
      </c>
      <c r="CG707" s="66" t="str">
        <f>+IF($W707="","",ROUND(IF($B707&gt;Parámetros!$D$107,'Tablas Servicio'!CE707+('Tablas Servicio'!CG706-'Tablas Servicio'!CE706),CE707/(1-IF(B707&lt;=10,Parámetros!$D$100,0))),2))</f>
        <v/>
      </c>
      <c r="CH707" s="66" t="str">
        <f t="shared" si="973"/>
        <v/>
      </c>
      <c r="CI707" s="66" t="str">
        <f t="shared" si="973"/>
        <v/>
      </c>
      <c r="CJ707" s="66" t="str">
        <f>+IF($W707="","",ROUND((CG707*Parámetros!$G$85),2))</f>
        <v/>
      </c>
      <c r="CK707" s="66" t="str">
        <f>+IF($W707="","",ROUND((CG707*(Parámetros!$G$86)),2))</f>
        <v/>
      </c>
      <c r="CL707" s="66" t="str">
        <f t="shared" si="974"/>
        <v/>
      </c>
      <c r="CM707" t="str">
        <f t="shared" si="1015"/>
        <v/>
      </c>
      <c r="CN707" s="118" t="str">
        <f t="shared" si="1016"/>
        <v/>
      </c>
      <c r="CO707" s="118" t="str">
        <f t="shared" si="1017"/>
        <v/>
      </c>
      <c r="CP707" s="118" t="str">
        <f t="shared" si="1018"/>
        <v/>
      </c>
      <c r="CQ707" s="119" t="str">
        <f t="shared" si="975"/>
        <v/>
      </c>
      <c r="CR707" s="66" t="str">
        <f>+IF($W707="","",ROUND((VLOOKUP(Parámetros!$F$51,'COBERTURAS ADICIONALES'!$S$4:$T$32,2,FALSE)*(1+i/frec)^-0.5*(1+Parámetros!$D$103)*(1+rec_fracc)/frec*$CO$42),2))</f>
        <v/>
      </c>
      <c r="CS707" s="119" t="str">
        <f t="shared" si="976"/>
        <v/>
      </c>
      <c r="CT707" s="66" t="str">
        <f>+IF($W707="","",ROUND(IF($B707&gt;Parámetros!$D$107,'Tablas Servicio'!CR707+('Tablas Servicio'!CT706-'Tablas Servicio'!CR706),CR707/(1-IF(B707&lt;=10,Parámetros!$D$100,0))),2))</f>
        <v/>
      </c>
      <c r="CU707" s="66" t="str">
        <f t="shared" si="977"/>
        <v/>
      </c>
      <c r="CV707" s="66" t="str">
        <f t="shared" si="977"/>
        <v/>
      </c>
      <c r="CW707" s="66" t="str">
        <f>+IF($W707="","",ROUND((CT707*Parámetros!$G$85),2))</f>
        <v/>
      </c>
      <c r="CX707" s="66" t="str">
        <f>+IF($W707="","",ROUND((CT707*(Parámetros!$G$86)),2))</f>
        <v/>
      </c>
      <c r="CY707" s="66" t="str">
        <f t="shared" si="978"/>
        <v/>
      </c>
      <c r="CZ707" t="str">
        <f t="shared" si="1019"/>
        <v/>
      </c>
      <c r="DA707" s="118" t="str">
        <f t="shared" si="1020"/>
        <v/>
      </c>
      <c r="DB707" s="118" t="str">
        <f t="shared" si="1021"/>
        <v/>
      </c>
      <c r="DC707" s="118" t="str">
        <f t="shared" si="1022"/>
        <v/>
      </c>
      <c r="DD707" s="121" t="str">
        <f>+IF(OR($W707="",DB707=0),"",ROUND((VLOOKUP(ROUNDDOWN($D707-1/frec,0),cob_adi,CO$40,FALSE)*(1+i/frec)^-0.5*(1+Parámetros!$D$103)*(1+rec_fracc)/frec),6))</f>
        <v/>
      </c>
      <c r="DE707" s="66" t="str">
        <f t="shared" si="979"/>
        <v/>
      </c>
      <c r="DF707" s="119" t="str">
        <f t="shared" si="980"/>
        <v/>
      </c>
      <c r="DG707" s="66" t="str">
        <f>+IF($W707="","",ROUND(IF($B707&gt;Parámetros!$D$107,'Tablas Servicio'!DE707+('Tablas Servicio'!DG706-'Tablas Servicio'!DE706),DE707/(1-IF(B707&lt;=10,Parámetros!$D$100,0))),2))</f>
        <v/>
      </c>
      <c r="DH707" s="66" t="str">
        <f t="shared" si="981"/>
        <v/>
      </c>
      <c r="DI707" s="66" t="str">
        <f t="shared" si="981"/>
        <v/>
      </c>
      <c r="DJ707" s="66" t="str">
        <f>+IF($W707="","",ROUND((DG707*Parámetros!$G$85),2))</f>
        <v/>
      </c>
      <c r="DK707" s="66" t="str">
        <f>+IF($W707="","",ROUND((DG707*(Parámetros!$G$86)),2))</f>
        <v/>
      </c>
      <c r="DL707" s="66" t="str">
        <f t="shared" si="982"/>
        <v/>
      </c>
      <c r="DM707" t="str">
        <f t="shared" si="1023"/>
        <v/>
      </c>
      <c r="DN707" s="118" t="str">
        <f t="shared" si="1024"/>
        <v/>
      </c>
      <c r="DO707" s="118" t="str">
        <f t="shared" si="1025"/>
        <v/>
      </c>
      <c r="DP707" s="118" t="str">
        <f t="shared" si="1026"/>
        <v/>
      </c>
      <c r="DQ707" s="122" t="str">
        <f>+IF(OR($W707="",DO707=0),"",ROUND((VLOOKUP(ROUNDDOWN($D707-1/frec,0),cob_adi,DB$40,FALSE)*(1+i/frec)^-0.5*(1+Parámetros!$D$103)*(1+rec_fracc)/frec),6))</f>
        <v/>
      </c>
      <c r="DR707" s="66" t="str">
        <f t="shared" si="983"/>
        <v/>
      </c>
      <c r="DS707" s="68" t="str">
        <f t="shared" si="984"/>
        <v/>
      </c>
      <c r="DT707" s="66" t="str">
        <f>+IF($W707="","",ROUND(IF($B707&gt;Parámetros!$D$107,'Tablas Servicio'!DR707+('Tablas Servicio'!DT706-'Tablas Servicio'!DR706),DR707/(1-IF(B707&lt;=10,Parámetros!$D$100,0))),2))</f>
        <v/>
      </c>
      <c r="DU707" s="66" t="str">
        <f t="shared" si="985"/>
        <v/>
      </c>
      <c r="DV707" s="66" t="str">
        <f t="shared" si="985"/>
        <v/>
      </c>
      <c r="DW707" s="66" t="str">
        <f>+IF($W707="","",ROUND((DT707*Parámetros!$G$85),2))</f>
        <v/>
      </c>
      <c r="DX707" s="66" t="str">
        <f>+IF($W707="","",ROUND((DT707*(Parámetros!$G$86)),2))</f>
        <v/>
      </c>
      <c r="DY707" s="66" t="str">
        <f t="shared" si="986"/>
        <v/>
      </c>
      <c r="DZ707" t="str">
        <f t="shared" si="1027"/>
        <v/>
      </c>
      <c r="EA707" s="118" t="str">
        <f t="shared" si="1027"/>
        <v/>
      </c>
      <c r="EB707" s="118" t="str">
        <f>+IF($W707="","",ROUND(IF(Parámetros!$D$25='TABLAS MORT'!$V$33,EB706,Z707/2),0))</f>
        <v/>
      </c>
      <c r="EC707" s="118" t="str">
        <f t="shared" si="1027"/>
        <v/>
      </c>
      <c r="ED707" s="122" t="str">
        <f>+IF(OR($W707="",EB707=0),"",ROUND((VLOOKUP(ROUNDDOWN($D707-1/frec,0),cob_adi,DO$40,FALSE)*(1+i/frec)^-0.5*(1+Parámetros!$D$103)*(1+rec_fracc)/frec),6))</f>
        <v/>
      </c>
      <c r="EE707" s="66" t="str">
        <f t="shared" si="988"/>
        <v/>
      </c>
      <c r="EF707" s="68" t="str">
        <f t="shared" si="989"/>
        <v/>
      </c>
      <c r="EG707" s="66" t="str">
        <f>+IF($W707="","",ROUND(IF($B707&gt;Parámetros!$D$107,'Tablas Servicio'!EE707+('Tablas Servicio'!EG706-'Tablas Servicio'!EE706),EE707/(1-IF(B707&lt;=10,Parámetros!$D$100,0))),2))</f>
        <v/>
      </c>
      <c r="EH707" s="66" t="str">
        <f t="shared" si="990"/>
        <v/>
      </c>
      <c r="EI707" s="66" t="str">
        <f t="shared" si="990"/>
        <v/>
      </c>
      <c r="EJ707" s="66" t="str">
        <f>+IF($W707="","",ROUND((EG707*Parámetros!$G$85),2))</f>
        <v/>
      </c>
      <c r="EK707" s="66" t="str">
        <f>+IF($W707="","",ROUND((EG707*(Parámetros!$G$86)),2))</f>
        <v/>
      </c>
      <c r="EL707" s="66" t="str">
        <f t="shared" si="991"/>
        <v/>
      </c>
    </row>
    <row r="708" spans="1:142" x14ac:dyDescent="0.25">
      <c r="A708" t="str">
        <f>+IF($C708="","",ROUND(VLOOKUP('Tablas Servicio'!B708,Parámetros!$H$100:$J$159,IF(Parámetros!$E$16="F",2,3),FALSE),2))</f>
        <v/>
      </c>
      <c r="B708" t="str">
        <f t="shared" si="942"/>
        <v/>
      </c>
      <c r="C708" s="57" t="str">
        <f>+IF(D708="","",'Tablas Servicio'!C707+1)</f>
        <v/>
      </c>
      <c r="D708" s="56" t="str">
        <f>+IF(D707&lt;edadmaxtabla,D707+1/Parámetros!$E$25,"")</f>
        <v/>
      </c>
      <c r="E708" s="57" t="str">
        <f t="shared" si="952"/>
        <v/>
      </c>
      <c r="F708" s="59" t="str">
        <f t="shared" si="953"/>
        <v/>
      </c>
      <c r="G708" s="66" t="str">
        <f t="shared" si="943"/>
        <v/>
      </c>
      <c r="H708" s="66" t="str">
        <f t="shared" si="944"/>
        <v/>
      </c>
      <c r="I708" s="66" t="str">
        <f t="shared" si="992"/>
        <v/>
      </c>
      <c r="J708" s="66" t="str">
        <f t="shared" si="945"/>
        <v/>
      </c>
      <c r="K708" s="66" t="str">
        <f t="shared" si="946"/>
        <v/>
      </c>
      <c r="L708" s="66" t="str">
        <f t="shared" si="947"/>
        <v/>
      </c>
      <c r="M708" s="66" t="str">
        <f t="shared" si="948"/>
        <v/>
      </c>
      <c r="N708" s="66" t="str">
        <f>+IF(C708="","",ROUND(Parámetros!$D$23,2))</f>
        <v/>
      </c>
      <c r="O708" s="66" t="str">
        <f t="shared" si="949"/>
        <v/>
      </c>
      <c r="P708" s="66" t="str">
        <f>+IF($C708="","",ROUND(IF(B708&gt;Parámetros!$D$117,0,N708*Parámetros!$D$116-G708*Parámetros!$D$100),2))</f>
        <v/>
      </c>
      <c r="Q708" s="75" t="str">
        <f t="shared" si="993"/>
        <v/>
      </c>
      <c r="R708" s="75" t="str">
        <f t="shared" si="994"/>
        <v/>
      </c>
      <c r="S708" s="117" t="str">
        <f>+IF($C708="","",ROUND((S707+I708)*(1+Parámetros!$D$91),2))</f>
        <v/>
      </c>
      <c r="T708" s="117" t="str">
        <f>+IF($C708="","",ROUND(S708*VLOOKUP(B708,Parámetros!$C$30:$D$39,2,TRUE),2))</f>
        <v/>
      </c>
      <c r="U708" s="117" t="str">
        <f>+IF($C708="","",ROUND((U707+I708)*(1+Parámetros!$D$92),2))</f>
        <v/>
      </c>
      <c r="V708" s="117" t="str">
        <f>+IF($C708="","",ROUND(U708*VLOOKUP(B708,Parámetros!$C$30:$D$39,2,TRUE),2))</f>
        <v/>
      </c>
      <c r="W708" s="57" t="str">
        <f t="shared" si="995"/>
        <v/>
      </c>
      <c r="X708" t="str">
        <f t="shared" si="996"/>
        <v/>
      </c>
      <c r="Y708" t="str">
        <f t="shared" si="997"/>
        <v/>
      </c>
      <c r="Z708" s="118" t="str">
        <f>+IF($W708="","",ROUND(IF(Parámetros!$D$25='TABLAS MORT'!$V$33,Z707,Parámetros!$D$21-'Tablas Servicio'!T707),0))</f>
        <v/>
      </c>
      <c r="AA708" s="118" t="str">
        <f t="shared" si="998"/>
        <v/>
      </c>
      <c r="AB708" s="119" t="str">
        <f>+IF(W708="","",ROUND((VLOOKUP(ROUNDDOWN($D708-1/frec,0),qx_tabla,2,FALSE)*(1+i/frec)^-0.5*(1+Parámetros!$D$103)*(1+rec_fracc)/frec),6))</f>
        <v/>
      </c>
      <c r="AC708" s="66" t="str">
        <f t="shared" si="954"/>
        <v/>
      </c>
      <c r="AD708" s="119" t="str">
        <f t="shared" si="950"/>
        <v/>
      </c>
      <c r="AE708" s="66" t="str">
        <f>+IF($W708="","",ROUND(IF($B708&gt;Parámetros!$D$107,'Tablas Servicio'!AC708+('Tablas Servicio'!AG707-'Tablas Servicio'!AC707),AC708/(1-IF(B708&lt;=10,Parámetros!$D$104,Parámetros!$D$105))),2))</f>
        <v/>
      </c>
      <c r="AF708" s="66" t="str">
        <f>+IF($W708="","",ROUND(IF($B708&gt;Parámetros!$D$107,'Tablas Servicio'!AC708+('Tablas Servicio'!AG707-'Tablas Servicio'!AC707),(AC708+$A707/frec)/(1-IF(B708&lt;=Parámetros!$D$117,Parámetros!$D$100,0))),2))</f>
        <v/>
      </c>
      <c r="AG708" s="66" t="str">
        <f t="shared" si="955"/>
        <v/>
      </c>
      <c r="AH708" s="66" t="str">
        <f t="shared" si="956"/>
        <v/>
      </c>
      <c r="AI708" s="66" t="str">
        <f t="shared" si="957"/>
        <v/>
      </c>
      <c r="AJ708" s="66" t="str">
        <f>+IF($W708="","",ROUND((AG708*Parámetros!$G$85),2))</f>
        <v/>
      </c>
      <c r="AK708" s="66" t="str">
        <f>+IF($W708="","",ROUND((AG708*(Parámetros!$G$86)),2))</f>
        <v/>
      </c>
      <c r="AL708" s="66" t="str">
        <f t="shared" si="951"/>
        <v/>
      </c>
      <c r="AM708" t="str">
        <f t="shared" si="999"/>
        <v/>
      </c>
      <c r="AN708" t="str">
        <f t="shared" si="1000"/>
        <v/>
      </c>
      <c r="AO708" s="118" t="str">
        <f t="shared" si="1001"/>
        <v/>
      </c>
      <c r="AP708" s="118" t="str">
        <f t="shared" si="1002"/>
        <v/>
      </c>
      <c r="AQ708" s="119" t="str">
        <f>+IF(OR($W708="",AO708=0),"",ROUND((VLOOKUP(ROUNDDOWN($D708-1/frec,0),cob_adi,Z$40,FALSE)*(1+i/frec)^-0.5*(1+Parámetros!$D$103)*(1+rec_fracc)/frec),6))</f>
        <v/>
      </c>
      <c r="AR708" s="66" t="str">
        <f t="shared" si="958"/>
        <v/>
      </c>
      <c r="AS708" s="119" t="str">
        <f t="shared" si="959"/>
        <v/>
      </c>
      <c r="AT708" s="66" t="str">
        <f>+IF($W708="","",ROUND(IF($B708&gt;Parámetros!$D$107,'Tablas Servicio'!AR708+('Tablas Servicio'!AT707-'Tablas Servicio'!AR707),AR708/(1-IF(B708&lt;=10,Parámetros!$D$100,0))),2))</f>
        <v/>
      </c>
      <c r="AU708" s="66" t="str">
        <f t="shared" si="960"/>
        <v/>
      </c>
      <c r="AV708" s="66" t="str">
        <f t="shared" si="960"/>
        <v/>
      </c>
      <c r="AW708" s="66" t="str">
        <f>+IF($W708="","",ROUND((AT708*Parámetros!$G$85),2))</f>
        <v/>
      </c>
      <c r="AX708" s="66" t="str">
        <f>+IF($W708="","",ROUND((AT708*(Parámetros!$G$86)),2))</f>
        <v/>
      </c>
      <c r="AY708" s="66" t="str">
        <f t="shared" si="961"/>
        <v/>
      </c>
      <c r="AZ708" t="str">
        <f t="shared" si="1003"/>
        <v/>
      </c>
      <c r="BA708" t="str">
        <f t="shared" si="1004"/>
        <v/>
      </c>
      <c r="BB708" s="118" t="str">
        <f t="shared" si="1005"/>
        <v/>
      </c>
      <c r="BC708" s="118" t="str">
        <f t="shared" si="1006"/>
        <v/>
      </c>
      <c r="BD708" s="119" t="str">
        <f>+IF(OR($W708="",BB708=0),"",ROUND((VLOOKUP(ROUNDDOWN($D708-1/frec,0),cob_adi,AO$40,FALSE)*(1+i/frec)^-0.5*(1+Parámetros!$D$103)*(1+rec_fracc)/frec),6))</f>
        <v/>
      </c>
      <c r="BE708" s="66" t="str">
        <f t="shared" si="962"/>
        <v/>
      </c>
      <c r="BF708" s="119" t="str">
        <f t="shared" si="963"/>
        <v/>
      </c>
      <c r="BG708" s="66" t="str">
        <f>+IF($W708="","",ROUND(IF($B708&gt;Parámetros!$D$107,'Tablas Servicio'!BE708+('Tablas Servicio'!BG707-'Tablas Servicio'!BE707),BE708/(1-IF(B708&lt;=10,Parámetros!$D$100,0))),2))</f>
        <v/>
      </c>
      <c r="BH708" s="66" t="str">
        <f t="shared" si="964"/>
        <v/>
      </c>
      <c r="BI708" s="66" t="str">
        <f t="shared" si="965"/>
        <v/>
      </c>
      <c r="BJ708" s="66" t="str">
        <f>+IF($W708="","",ROUND((BG708*Parámetros!$G$85),2))</f>
        <v/>
      </c>
      <c r="BK708" s="66" t="str">
        <f>+IF($W708="","",ROUND((BG708*(Parámetros!$G$86)),2))</f>
        <v/>
      </c>
      <c r="BL708" s="66" t="str">
        <f t="shared" si="966"/>
        <v/>
      </c>
      <c r="BM708" t="str">
        <f t="shared" si="1007"/>
        <v/>
      </c>
      <c r="BN708" t="str">
        <f t="shared" si="1008"/>
        <v/>
      </c>
      <c r="BO708" s="118" t="str">
        <f t="shared" si="1009"/>
        <v/>
      </c>
      <c r="BP708" s="118" t="str">
        <f t="shared" si="1010"/>
        <v/>
      </c>
      <c r="BQ708" s="119" t="str">
        <f>+IF(OR($W708="",BO708=0),"",ROUND((VLOOKUP(ROUNDDOWN($D708-1/frec,0),cob_adi,BB$40,FALSE)*(1+i/frec)^-0.5*(1+Parámetros!$D$103)*(1+rec_fracc)/frec),6))</f>
        <v/>
      </c>
      <c r="BR708" s="66" t="str">
        <f t="shared" si="967"/>
        <v/>
      </c>
      <c r="BS708" s="119" t="str">
        <f t="shared" si="968"/>
        <v/>
      </c>
      <c r="BT708" s="66" t="str">
        <f>+IF($W708="","",ROUND(IF($B708&gt;Parámetros!$D$107,'Tablas Servicio'!BR708+('Tablas Servicio'!BT707-'Tablas Servicio'!BR707),BR708/(1-IF(B708&lt;=10,Parámetros!$D$100,0))),2))</f>
        <v/>
      </c>
      <c r="BU708" s="66" t="str">
        <f t="shared" si="969"/>
        <v/>
      </c>
      <c r="BV708" s="66" t="str">
        <f t="shared" si="969"/>
        <v/>
      </c>
      <c r="BW708" s="66" t="str">
        <f>+IF($W708="","",ROUND((BT708*Parámetros!$G$85),2))</f>
        <v/>
      </c>
      <c r="BX708" s="66" t="str">
        <f>+IF($W708="","",ROUND((BT708*(Parámetros!$G$86)),2))</f>
        <v/>
      </c>
      <c r="BY708" s="66" t="str">
        <f t="shared" si="970"/>
        <v/>
      </c>
      <c r="BZ708" t="str">
        <f t="shared" si="1011"/>
        <v/>
      </c>
      <c r="CA708" t="str">
        <f t="shared" si="1012"/>
        <v/>
      </c>
      <c r="CB708" s="118" t="str">
        <f t="shared" si="1013"/>
        <v/>
      </c>
      <c r="CC708" s="118" t="str">
        <f t="shared" si="1014"/>
        <v/>
      </c>
      <c r="CD708" s="119" t="str">
        <f t="shared" si="971"/>
        <v/>
      </c>
      <c r="CE708" s="66" t="str">
        <f>+IF($W708="","",ROUND((VLOOKUP(ROUNDDOWN($D708-1/frec,0),cob_adi,BO$40,FALSE)*(1+i/frec)^-0.5*(1+Parámetros!$D$103)*(1+rec_fracc)/frec*'TABLAS ADI'!$BC$17),2))</f>
        <v/>
      </c>
      <c r="CF708" s="119" t="str">
        <f t="shared" si="972"/>
        <v/>
      </c>
      <c r="CG708" s="66" t="str">
        <f>+IF($W708="","",ROUND(IF($B708&gt;Parámetros!$D$107,'Tablas Servicio'!CE708+('Tablas Servicio'!CG707-'Tablas Servicio'!CE707),CE708/(1-IF(B708&lt;=10,Parámetros!$D$100,0))),2))</f>
        <v/>
      </c>
      <c r="CH708" s="66" t="str">
        <f t="shared" si="973"/>
        <v/>
      </c>
      <c r="CI708" s="66" t="str">
        <f t="shared" si="973"/>
        <v/>
      </c>
      <c r="CJ708" s="66" t="str">
        <f>+IF($W708="","",ROUND((CG708*Parámetros!$G$85),2))</f>
        <v/>
      </c>
      <c r="CK708" s="66" t="str">
        <f>+IF($W708="","",ROUND((CG708*(Parámetros!$G$86)),2))</f>
        <v/>
      </c>
      <c r="CL708" s="66" t="str">
        <f t="shared" si="974"/>
        <v/>
      </c>
      <c r="CM708" t="str">
        <f t="shared" si="1015"/>
        <v/>
      </c>
      <c r="CN708" s="118" t="str">
        <f t="shared" si="1016"/>
        <v/>
      </c>
      <c r="CO708" s="118" t="str">
        <f t="shared" si="1017"/>
        <v/>
      </c>
      <c r="CP708" s="118" t="str">
        <f t="shared" si="1018"/>
        <v/>
      </c>
      <c r="CQ708" s="119" t="str">
        <f t="shared" si="975"/>
        <v/>
      </c>
      <c r="CR708" s="66" t="str">
        <f>+IF($W708="","",ROUND((VLOOKUP(Parámetros!$F$51,'COBERTURAS ADICIONALES'!$S$4:$T$32,2,FALSE)*(1+i/frec)^-0.5*(1+Parámetros!$D$103)*(1+rec_fracc)/frec*$CO$42),2))</f>
        <v/>
      </c>
      <c r="CS708" s="119" t="str">
        <f t="shared" si="976"/>
        <v/>
      </c>
      <c r="CT708" s="66" t="str">
        <f>+IF($W708="","",ROUND(IF($B708&gt;Parámetros!$D$107,'Tablas Servicio'!CR708+('Tablas Servicio'!CT707-'Tablas Servicio'!CR707),CR708/(1-IF(B708&lt;=10,Parámetros!$D$100,0))),2))</f>
        <v/>
      </c>
      <c r="CU708" s="66" t="str">
        <f t="shared" si="977"/>
        <v/>
      </c>
      <c r="CV708" s="66" t="str">
        <f t="shared" si="977"/>
        <v/>
      </c>
      <c r="CW708" s="66" t="str">
        <f>+IF($W708="","",ROUND((CT708*Parámetros!$G$85),2))</f>
        <v/>
      </c>
      <c r="CX708" s="66" t="str">
        <f>+IF($W708="","",ROUND((CT708*(Parámetros!$G$86)),2))</f>
        <v/>
      </c>
      <c r="CY708" s="66" t="str">
        <f t="shared" si="978"/>
        <v/>
      </c>
      <c r="CZ708" t="str">
        <f t="shared" si="1019"/>
        <v/>
      </c>
      <c r="DA708" s="118" t="str">
        <f t="shared" si="1020"/>
        <v/>
      </c>
      <c r="DB708" s="118" t="str">
        <f t="shared" si="1021"/>
        <v/>
      </c>
      <c r="DC708" s="118" t="str">
        <f t="shared" si="1022"/>
        <v/>
      </c>
      <c r="DD708" s="121" t="str">
        <f>+IF(OR($W708="",DB708=0),"",ROUND((VLOOKUP(ROUNDDOWN($D708-1/frec,0),cob_adi,CO$40,FALSE)*(1+i/frec)^-0.5*(1+Parámetros!$D$103)*(1+rec_fracc)/frec),6))</f>
        <v/>
      </c>
      <c r="DE708" s="66" t="str">
        <f t="shared" si="979"/>
        <v/>
      </c>
      <c r="DF708" s="119" t="str">
        <f t="shared" si="980"/>
        <v/>
      </c>
      <c r="DG708" s="66" t="str">
        <f>+IF($W708="","",ROUND(IF($B708&gt;Parámetros!$D$107,'Tablas Servicio'!DE708+('Tablas Servicio'!DG707-'Tablas Servicio'!DE707),DE708/(1-IF(B708&lt;=10,Parámetros!$D$100,0))),2))</f>
        <v/>
      </c>
      <c r="DH708" s="66" t="str">
        <f t="shared" si="981"/>
        <v/>
      </c>
      <c r="DI708" s="66" t="str">
        <f t="shared" si="981"/>
        <v/>
      </c>
      <c r="DJ708" s="66" t="str">
        <f>+IF($W708="","",ROUND((DG708*Parámetros!$G$85),2))</f>
        <v/>
      </c>
      <c r="DK708" s="66" t="str">
        <f>+IF($W708="","",ROUND((DG708*(Parámetros!$G$86)),2))</f>
        <v/>
      </c>
      <c r="DL708" s="66" t="str">
        <f t="shared" si="982"/>
        <v/>
      </c>
      <c r="DM708" t="str">
        <f t="shared" si="1023"/>
        <v/>
      </c>
      <c r="DN708" s="118" t="str">
        <f t="shared" si="1024"/>
        <v/>
      </c>
      <c r="DO708" s="118" t="str">
        <f t="shared" si="1025"/>
        <v/>
      </c>
      <c r="DP708" s="118" t="str">
        <f t="shared" si="1026"/>
        <v/>
      </c>
      <c r="DQ708" s="122" t="str">
        <f>+IF(OR($W708="",DO708=0),"",ROUND((VLOOKUP(ROUNDDOWN($D708-1/frec,0),cob_adi,DB$40,FALSE)*(1+i/frec)^-0.5*(1+Parámetros!$D$103)*(1+rec_fracc)/frec),6))</f>
        <v/>
      </c>
      <c r="DR708" s="66" t="str">
        <f t="shared" si="983"/>
        <v/>
      </c>
      <c r="DS708" s="68" t="str">
        <f t="shared" si="984"/>
        <v/>
      </c>
      <c r="DT708" s="66" t="str">
        <f>+IF($W708="","",ROUND(IF($B708&gt;Parámetros!$D$107,'Tablas Servicio'!DR708+('Tablas Servicio'!DT707-'Tablas Servicio'!DR707),DR708/(1-IF(B708&lt;=10,Parámetros!$D$100,0))),2))</f>
        <v/>
      </c>
      <c r="DU708" s="66" t="str">
        <f t="shared" si="985"/>
        <v/>
      </c>
      <c r="DV708" s="66" t="str">
        <f t="shared" si="985"/>
        <v/>
      </c>
      <c r="DW708" s="66" t="str">
        <f>+IF($W708="","",ROUND((DT708*Parámetros!$G$85),2))</f>
        <v/>
      </c>
      <c r="DX708" s="66" t="str">
        <f>+IF($W708="","",ROUND((DT708*(Parámetros!$G$86)),2))</f>
        <v/>
      </c>
      <c r="DY708" s="66" t="str">
        <f t="shared" si="986"/>
        <v/>
      </c>
      <c r="DZ708" t="str">
        <f t="shared" si="1027"/>
        <v/>
      </c>
      <c r="EA708" s="118" t="str">
        <f t="shared" si="1027"/>
        <v/>
      </c>
      <c r="EB708" s="118" t="str">
        <f>+IF($W708="","",ROUND(IF(Parámetros!$D$25='TABLAS MORT'!$V$33,EB707,Z708/2),0))</f>
        <v/>
      </c>
      <c r="EC708" s="118" t="str">
        <f t="shared" si="1027"/>
        <v/>
      </c>
      <c r="ED708" s="122" t="str">
        <f>+IF(OR($W708="",EB708=0),"",ROUND((VLOOKUP(ROUNDDOWN($D708-1/frec,0),cob_adi,DO$40,FALSE)*(1+i/frec)^-0.5*(1+Parámetros!$D$103)*(1+rec_fracc)/frec),6))</f>
        <v/>
      </c>
      <c r="EE708" s="66" t="str">
        <f t="shared" si="988"/>
        <v/>
      </c>
      <c r="EF708" s="68" t="str">
        <f t="shared" si="989"/>
        <v/>
      </c>
      <c r="EG708" s="66" t="str">
        <f>+IF($W708="","",ROUND(IF($B708&gt;Parámetros!$D$107,'Tablas Servicio'!EE708+('Tablas Servicio'!EG707-'Tablas Servicio'!EE707),EE708/(1-IF(B708&lt;=10,Parámetros!$D$100,0))),2))</f>
        <v/>
      </c>
      <c r="EH708" s="66" t="str">
        <f t="shared" si="990"/>
        <v/>
      </c>
      <c r="EI708" s="66" t="str">
        <f t="shared" si="990"/>
        <v/>
      </c>
      <c r="EJ708" s="66" t="str">
        <f>+IF($W708="","",ROUND((EG708*Parámetros!$G$85),2))</f>
        <v/>
      </c>
      <c r="EK708" s="66" t="str">
        <f>+IF($W708="","",ROUND((EG708*(Parámetros!$G$86)),2))</f>
        <v/>
      </c>
      <c r="EL708" s="66" t="str">
        <f t="shared" si="991"/>
        <v/>
      </c>
    </row>
    <row r="709" spans="1:142" x14ac:dyDescent="0.25">
      <c r="A709" t="str">
        <f>+IF($C709="","",ROUND(VLOOKUP('Tablas Servicio'!B709,Parámetros!$H$100:$J$159,IF(Parámetros!$E$16="F",2,3),FALSE),2))</f>
        <v/>
      </c>
      <c r="B709" t="str">
        <f t="shared" si="942"/>
        <v/>
      </c>
      <c r="C709" s="57" t="str">
        <f>+IF(D709="","",'Tablas Servicio'!C708+1)</f>
        <v/>
      </c>
      <c r="D709" s="56" t="str">
        <f>+IF(D708&lt;edadmaxtabla,D708+1/Parámetros!$E$25,"")</f>
        <v/>
      </c>
      <c r="E709" s="57" t="str">
        <f t="shared" si="952"/>
        <v/>
      </c>
      <c r="F709" s="59" t="str">
        <f t="shared" si="953"/>
        <v/>
      </c>
      <c r="G709" s="66" t="str">
        <f t="shared" si="943"/>
        <v/>
      </c>
      <c r="H709" s="66" t="str">
        <f t="shared" si="944"/>
        <v/>
      </c>
      <c r="I709" s="66" t="str">
        <f t="shared" si="992"/>
        <v/>
      </c>
      <c r="J709" s="66" t="str">
        <f t="shared" si="945"/>
        <v/>
      </c>
      <c r="K709" s="66" t="str">
        <f t="shared" si="946"/>
        <v/>
      </c>
      <c r="L709" s="66" t="str">
        <f t="shared" si="947"/>
        <v/>
      </c>
      <c r="M709" s="66" t="str">
        <f t="shared" si="948"/>
        <v/>
      </c>
      <c r="N709" s="66" t="str">
        <f>+IF(C709="","",ROUND(Parámetros!$D$23,2))</f>
        <v/>
      </c>
      <c r="O709" s="66" t="str">
        <f t="shared" si="949"/>
        <v/>
      </c>
      <c r="P709" s="66" t="str">
        <f>+IF($C709="","",ROUND(IF(B709&gt;Parámetros!$D$117,0,N709*Parámetros!$D$116-G709*Parámetros!$D$100),2))</f>
        <v/>
      </c>
      <c r="Q709" s="75" t="str">
        <f t="shared" si="993"/>
        <v/>
      </c>
      <c r="R709" s="75" t="str">
        <f t="shared" si="994"/>
        <v/>
      </c>
      <c r="S709" s="117" t="str">
        <f>+IF($C709="","",ROUND((S708+I709)*(1+Parámetros!$D$91),2))</f>
        <v/>
      </c>
      <c r="T709" s="117" t="str">
        <f>+IF($C709="","",ROUND(S709*VLOOKUP(B709,Parámetros!$C$30:$D$39,2,TRUE),2))</f>
        <v/>
      </c>
      <c r="U709" s="117" t="str">
        <f>+IF($C709="","",ROUND((U708+I709)*(1+Parámetros!$D$92),2))</f>
        <v/>
      </c>
      <c r="V709" s="117" t="str">
        <f>+IF($C709="","",ROUND(U709*VLOOKUP(B709,Parámetros!$C$30:$D$39,2,TRUE),2))</f>
        <v/>
      </c>
      <c r="W709" s="57" t="str">
        <f t="shared" si="995"/>
        <v/>
      </c>
      <c r="X709" t="str">
        <f t="shared" si="996"/>
        <v/>
      </c>
      <c r="Y709" t="str">
        <f t="shared" si="997"/>
        <v/>
      </c>
      <c r="Z709" s="118" t="str">
        <f>+IF($W709="","",ROUND(IF(Parámetros!$D$25='TABLAS MORT'!$V$33,Z708,Parámetros!$D$21-'Tablas Servicio'!T708),0))</f>
        <v/>
      </c>
      <c r="AA709" s="118" t="str">
        <f t="shared" si="998"/>
        <v/>
      </c>
      <c r="AB709" s="119" t="str">
        <f>+IF(W709="","",ROUND((VLOOKUP(ROUNDDOWN($D709-1/frec,0),qx_tabla,2,FALSE)*(1+i/frec)^-0.5*(1+Parámetros!$D$103)*(1+rec_fracc)/frec),6))</f>
        <v/>
      </c>
      <c r="AC709" s="66" t="str">
        <f t="shared" si="954"/>
        <v/>
      </c>
      <c r="AD709" s="119" t="str">
        <f t="shared" si="950"/>
        <v/>
      </c>
      <c r="AE709" s="66" t="str">
        <f>+IF($W709="","",ROUND(IF($B709&gt;Parámetros!$D$107,'Tablas Servicio'!AC709+('Tablas Servicio'!AG708-'Tablas Servicio'!AC708),AC709/(1-IF(B709&lt;=10,Parámetros!$D$104,Parámetros!$D$105))),2))</f>
        <v/>
      </c>
      <c r="AF709" s="66" t="str">
        <f>+IF($W709="","",ROUND(IF($B709&gt;Parámetros!$D$107,'Tablas Servicio'!AC709+('Tablas Servicio'!AG708-'Tablas Servicio'!AC708),(AC709+$A708/frec)/(1-IF(B709&lt;=Parámetros!$D$117,Parámetros!$D$100,0))),2))</f>
        <v/>
      </c>
      <c r="AG709" s="66" t="str">
        <f t="shared" si="955"/>
        <v/>
      </c>
      <c r="AH709" s="66" t="str">
        <f t="shared" si="956"/>
        <v/>
      </c>
      <c r="AI709" s="66" t="str">
        <f t="shared" si="957"/>
        <v/>
      </c>
      <c r="AJ709" s="66" t="str">
        <f>+IF($W709="","",ROUND((AG709*Parámetros!$G$85),2))</f>
        <v/>
      </c>
      <c r="AK709" s="66" t="str">
        <f>+IF($W709="","",ROUND((AG709*(Parámetros!$G$86)),2))</f>
        <v/>
      </c>
      <c r="AL709" s="66" t="str">
        <f t="shared" si="951"/>
        <v/>
      </c>
      <c r="AM709" t="str">
        <f t="shared" si="999"/>
        <v/>
      </c>
      <c r="AN709" t="str">
        <f t="shared" si="1000"/>
        <v/>
      </c>
      <c r="AO709" s="118" t="str">
        <f t="shared" si="1001"/>
        <v/>
      </c>
      <c r="AP709" s="118" t="str">
        <f t="shared" si="1002"/>
        <v/>
      </c>
      <c r="AQ709" s="119" t="str">
        <f>+IF(OR($W709="",AO709=0),"",ROUND((VLOOKUP(ROUNDDOWN($D709-1/frec,0),cob_adi,Z$40,FALSE)*(1+i/frec)^-0.5*(1+Parámetros!$D$103)*(1+rec_fracc)/frec),6))</f>
        <v/>
      </c>
      <c r="AR709" s="66" t="str">
        <f t="shared" si="958"/>
        <v/>
      </c>
      <c r="AS709" s="119" t="str">
        <f t="shared" si="959"/>
        <v/>
      </c>
      <c r="AT709" s="66" t="str">
        <f>+IF($W709="","",ROUND(IF($B709&gt;Parámetros!$D$107,'Tablas Servicio'!AR709+('Tablas Servicio'!AT708-'Tablas Servicio'!AR708),AR709/(1-IF(B709&lt;=10,Parámetros!$D$100,0))),2))</f>
        <v/>
      </c>
      <c r="AU709" s="66" t="str">
        <f t="shared" si="960"/>
        <v/>
      </c>
      <c r="AV709" s="66" t="str">
        <f t="shared" si="960"/>
        <v/>
      </c>
      <c r="AW709" s="66" t="str">
        <f>+IF($W709="","",ROUND((AT709*Parámetros!$G$85),2))</f>
        <v/>
      </c>
      <c r="AX709" s="66" t="str">
        <f>+IF($W709="","",ROUND((AT709*(Parámetros!$G$86)),2))</f>
        <v/>
      </c>
      <c r="AY709" s="66" t="str">
        <f t="shared" si="961"/>
        <v/>
      </c>
      <c r="AZ709" t="str">
        <f t="shared" si="1003"/>
        <v/>
      </c>
      <c r="BA709" t="str">
        <f t="shared" si="1004"/>
        <v/>
      </c>
      <c r="BB709" s="118" t="str">
        <f t="shared" si="1005"/>
        <v/>
      </c>
      <c r="BC709" s="118" t="str">
        <f t="shared" si="1006"/>
        <v/>
      </c>
      <c r="BD709" s="119" t="str">
        <f>+IF(OR($W709="",BB709=0),"",ROUND((VLOOKUP(ROUNDDOWN($D709-1/frec,0),cob_adi,AO$40,FALSE)*(1+i/frec)^-0.5*(1+Parámetros!$D$103)*(1+rec_fracc)/frec),6))</f>
        <v/>
      </c>
      <c r="BE709" s="66" t="str">
        <f t="shared" si="962"/>
        <v/>
      </c>
      <c r="BF709" s="119" t="str">
        <f t="shared" si="963"/>
        <v/>
      </c>
      <c r="BG709" s="66" t="str">
        <f>+IF($W709="","",ROUND(IF($B709&gt;Parámetros!$D$107,'Tablas Servicio'!BE709+('Tablas Servicio'!BG708-'Tablas Servicio'!BE708),BE709/(1-IF(B709&lt;=10,Parámetros!$D$100,0))),2))</f>
        <v/>
      </c>
      <c r="BH709" s="66" t="str">
        <f t="shared" si="964"/>
        <v/>
      </c>
      <c r="BI709" s="66" t="str">
        <f t="shared" si="965"/>
        <v/>
      </c>
      <c r="BJ709" s="66" t="str">
        <f>+IF($W709="","",ROUND((BG709*Parámetros!$G$85),2))</f>
        <v/>
      </c>
      <c r="BK709" s="66" t="str">
        <f>+IF($W709="","",ROUND((BG709*(Parámetros!$G$86)),2))</f>
        <v/>
      </c>
      <c r="BL709" s="66" t="str">
        <f t="shared" si="966"/>
        <v/>
      </c>
      <c r="BM709" t="str">
        <f t="shared" si="1007"/>
        <v/>
      </c>
      <c r="BN709" t="str">
        <f t="shared" si="1008"/>
        <v/>
      </c>
      <c r="BO709" s="118" t="str">
        <f t="shared" si="1009"/>
        <v/>
      </c>
      <c r="BP709" s="118" t="str">
        <f t="shared" si="1010"/>
        <v/>
      </c>
      <c r="BQ709" s="119" t="str">
        <f>+IF(OR($W709="",BO709=0),"",ROUND((VLOOKUP(ROUNDDOWN($D709-1/frec,0),cob_adi,BB$40,FALSE)*(1+i/frec)^-0.5*(1+Parámetros!$D$103)*(1+rec_fracc)/frec),6))</f>
        <v/>
      </c>
      <c r="BR709" s="66" t="str">
        <f t="shared" si="967"/>
        <v/>
      </c>
      <c r="BS709" s="119" t="str">
        <f t="shared" si="968"/>
        <v/>
      </c>
      <c r="BT709" s="66" t="str">
        <f>+IF($W709="","",ROUND(IF($B709&gt;Parámetros!$D$107,'Tablas Servicio'!BR709+('Tablas Servicio'!BT708-'Tablas Servicio'!BR708),BR709/(1-IF(B709&lt;=10,Parámetros!$D$100,0))),2))</f>
        <v/>
      </c>
      <c r="BU709" s="66" t="str">
        <f t="shared" si="969"/>
        <v/>
      </c>
      <c r="BV709" s="66" t="str">
        <f t="shared" si="969"/>
        <v/>
      </c>
      <c r="BW709" s="66" t="str">
        <f>+IF($W709="","",ROUND((BT709*Parámetros!$G$85),2))</f>
        <v/>
      </c>
      <c r="BX709" s="66" t="str">
        <f>+IF($W709="","",ROUND((BT709*(Parámetros!$G$86)),2))</f>
        <v/>
      </c>
      <c r="BY709" s="66" t="str">
        <f t="shared" si="970"/>
        <v/>
      </c>
      <c r="BZ709" t="str">
        <f t="shared" si="1011"/>
        <v/>
      </c>
      <c r="CA709" t="str">
        <f t="shared" si="1012"/>
        <v/>
      </c>
      <c r="CB709" s="118" t="str">
        <f t="shared" si="1013"/>
        <v/>
      </c>
      <c r="CC709" s="118" t="str">
        <f t="shared" si="1014"/>
        <v/>
      </c>
      <c r="CD709" s="119" t="str">
        <f t="shared" si="971"/>
        <v/>
      </c>
      <c r="CE709" s="66" t="str">
        <f>+IF($W709="","",ROUND((VLOOKUP(ROUNDDOWN($D709-1/frec,0),cob_adi,BO$40,FALSE)*(1+i/frec)^-0.5*(1+Parámetros!$D$103)*(1+rec_fracc)/frec*'TABLAS ADI'!$BC$17),2))</f>
        <v/>
      </c>
      <c r="CF709" s="119" t="str">
        <f t="shared" si="972"/>
        <v/>
      </c>
      <c r="CG709" s="66" t="str">
        <f>+IF($W709="","",ROUND(IF($B709&gt;Parámetros!$D$107,'Tablas Servicio'!CE709+('Tablas Servicio'!CG708-'Tablas Servicio'!CE708),CE709/(1-IF(B709&lt;=10,Parámetros!$D$100,0))),2))</f>
        <v/>
      </c>
      <c r="CH709" s="66" t="str">
        <f t="shared" si="973"/>
        <v/>
      </c>
      <c r="CI709" s="66" t="str">
        <f t="shared" si="973"/>
        <v/>
      </c>
      <c r="CJ709" s="66" t="str">
        <f>+IF($W709="","",ROUND((CG709*Parámetros!$G$85),2))</f>
        <v/>
      </c>
      <c r="CK709" s="66" t="str">
        <f>+IF($W709="","",ROUND((CG709*(Parámetros!$G$86)),2))</f>
        <v/>
      </c>
      <c r="CL709" s="66" t="str">
        <f t="shared" si="974"/>
        <v/>
      </c>
      <c r="CM709" t="str">
        <f t="shared" si="1015"/>
        <v/>
      </c>
      <c r="CN709" s="118" t="str">
        <f t="shared" si="1016"/>
        <v/>
      </c>
      <c r="CO709" s="118" t="str">
        <f t="shared" si="1017"/>
        <v/>
      </c>
      <c r="CP709" s="118" t="str">
        <f t="shared" si="1018"/>
        <v/>
      </c>
      <c r="CQ709" s="119" t="str">
        <f t="shared" si="975"/>
        <v/>
      </c>
      <c r="CR709" s="66" t="str">
        <f>+IF($W709="","",ROUND((VLOOKUP(Parámetros!$F$51,'COBERTURAS ADICIONALES'!$S$4:$T$32,2,FALSE)*(1+i/frec)^-0.5*(1+Parámetros!$D$103)*(1+rec_fracc)/frec*$CO$42),2))</f>
        <v/>
      </c>
      <c r="CS709" s="119" t="str">
        <f t="shared" si="976"/>
        <v/>
      </c>
      <c r="CT709" s="66" t="str">
        <f>+IF($W709="","",ROUND(IF($B709&gt;Parámetros!$D$107,'Tablas Servicio'!CR709+('Tablas Servicio'!CT708-'Tablas Servicio'!CR708),CR709/(1-IF(B709&lt;=10,Parámetros!$D$100,0))),2))</f>
        <v/>
      </c>
      <c r="CU709" s="66" t="str">
        <f t="shared" si="977"/>
        <v/>
      </c>
      <c r="CV709" s="66" t="str">
        <f t="shared" si="977"/>
        <v/>
      </c>
      <c r="CW709" s="66" t="str">
        <f>+IF($W709="","",ROUND((CT709*Parámetros!$G$85),2))</f>
        <v/>
      </c>
      <c r="CX709" s="66" t="str">
        <f>+IF($W709="","",ROUND((CT709*(Parámetros!$G$86)),2))</f>
        <v/>
      </c>
      <c r="CY709" s="66" t="str">
        <f t="shared" si="978"/>
        <v/>
      </c>
      <c r="CZ709" t="str">
        <f t="shared" si="1019"/>
        <v/>
      </c>
      <c r="DA709" s="118" t="str">
        <f t="shared" si="1020"/>
        <v/>
      </c>
      <c r="DB709" s="118" t="str">
        <f t="shared" si="1021"/>
        <v/>
      </c>
      <c r="DC709" s="118" t="str">
        <f t="shared" si="1022"/>
        <v/>
      </c>
      <c r="DD709" s="121" t="str">
        <f>+IF(OR($W709="",DB709=0),"",ROUND((VLOOKUP(ROUNDDOWN($D709-1/frec,0),cob_adi,CO$40,FALSE)*(1+i/frec)^-0.5*(1+Parámetros!$D$103)*(1+rec_fracc)/frec),6))</f>
        <v/>
      </c>
      <c r="DE709" s="66" t="str">
        <f t="shared" si="979"/>
        <v/>
      </c>
      <c r="DF709" s="119" t="str">
        <f t="shared" si="980"/>
        <v/>
      </c>
      <c r="DG709" s="66" t="str">
        <f>+IF($W709="","",ROUND(IF($B709&gt;Parámetros!$D$107,'Tablas Servicio'!DE709+('Tablas Servicio'!DG708-'Tablas Servicio'!DE708),DE709/(1-IF(B709&lt;=10,Parámetros!$D$100,0))),2))</f>
        <v/>
      </c>
      <c r="DH709" s="66" t="str">
        <f t="shared" si="981"/>
        <v/>
      </c>
      <c r="DI709" s="66" t="str">
        <f t="shared" si="981"/>
        <v/>
      </c>
      <c r="DJ709" s="66" t="str">
        <f>+IF($W709="","",ROUND((DG709*Parámetros!$G$85),2))</f>
        <v/>
      </c>
      <c r="DK709" s="66" t="str">
        <f>+IF($W709="","",ROUND((DG709*(Parámetros!$G$86)),2))</f>
        <v/>
      </c>
      <c r="DL709" s="66" t="str">
        <f t="shared" si="982"/>
        <v/>
      </c>
      <c r="DM709" t="str">
        <f t="shared" si="1023"/>
        <v/>
      </c>
      <c r="DN709" s="118" t="str">
        <f t="shared" si="1024"/>
        <v/>
      </c>
      <c r="DO709" s="118" t="str">
        <f t="shared" si="1025"/>
        <v/>
      </c>
      <c r="DP709" s="118" t="str">
        <f t="shared" si="1026"/>
        <v/>
      </c>
      <c r="DQ709" s="122" t="str">
        <f>+IF(OR($W709="",DO709=0),"",ROUND((VLOOKUP(ROUNDDOWN($D709-1/frec,0),cob_adi,DB$40,FALSE)*(1+i/frec)^-0.5*(1+Parámetros!$D$103)*(1+rec_fracc)/frec),6))</f>
        <v/>
      </c>
      <c r="DR709" s="66" t="str">
        <f t="shared" si="983"/>
        <v/>
      </c>
      <c r="DS709" s="68" t="str">
        <f t="shared" si="984"/>
        <v/>
      </c>
      <c r="DT709" s="66" t="str">
        <f>+IF($W709="","",ROUND(IF($B709&gt;Parámetros!$D$107,'Tablas Servicio'!DR709+('Tablas Servicio'!DT708-'Tablas Servicio'!DR708),DR709/(1-IF(B709&lt;=10,Parámetros!$D$100,0))),2))</f>
        <v/>
      </c>
      <c r="DU709" s="66" t="str">
        <f t="shared" si="985"/>
        <v/>
      </c>
      <c r="DV709" s="66" t="str">
        <f t="shared" si="985"/>
        <v/>
      </c>
      <c r="DW709" s="66" t="str">
        <f>+IF($W709="","",ROUND((DT709*Parámetros!$G$85),2))</f>
        <v/>
      </c>
      <c r="DX709" s="66" t="str">
        <f>+IF($W709="","",ROUND((DT709*(Parámetros!$G$86)),2))</f>
        <v/>
      </c>
      <c r="DY709" s="66" t="str">
        <f t="shared" si="986"/>
        <v/>
      </c>
      <c r="DZ709" t="str">
        <f t="shared" si="1027"/>
        <v/>
      </c>
      <c r="EA709" s="118" t="str">
        <f t="shared" si="1027"/>
        <v/>
      </c>
      <c r="EB709" s="118" t="str">
        <f>+IF($W709="","",ROUND(IF(Parámetros!$D$25='TABLAS MORT'!$V$33,EB708,Z709/2),0))</f>
        <v/>
      </c>
      <c r="EC709" s="118" t="str">
        <f t="shared" si="1027"/>
        <v/>
      </c>
      <c r="ED709" s="122" t="str">
        <f>+IF(OR($W709="",EB709=0),"",ROUND((VLOOKUP(ROUNDDOWN($D709-1/frec,0),cob_adi,DO$40,FALSE)*(1+i/frec)^-0.5*(1+Parámetros!$D$103)*(1+rec_fracc)/frec),6))</f>
        <v/>
      </c>
      <c r="EE709" s="66" t="str">
        <f t="shared" si="988"/>
        <v/>
      </c>
      <c r="EF709" s="68" t="str">
        <f t="shared" si="989"/>
        <v/>
      </c>
      <c r="EG709" s="66" t="str">
        <f>+IF($W709="","",ROUND(IF($B709&gt;Parámetros!$D$107,'Tablas Servicio'!EE709+('Tablas Servicio'!EG708-'Tablas Servicio'!EE708),EE709/(1-IF(B709&lt;=10,Parámetros!$D$100,0))),2))</f>
        <v/>
      </c>
      <c r="EH709" s="66" t="str">
        <f t="shared" si="990"/>
        <v/>
      </c>
      <c r="EI709" s="66" t="str">
        <f t="shared" si="990"/>
        <v/>
      </c>
      <c r="EJ709" s="66" t="str">
        <f>+IF($W709="","",ROUND((EG709*Parámetros!$G$85),2))</f>
        <v/>
      </c>
      <c r="EK709" s="66" t="str">
        <f>+IF($W709="","",ROUND((EG709*(Parámetros!$G$86)),2))</f>
        <v/>
      </c>
      <c r="EL709" s="66" t="str">
        <f t="shared" si="991"/>
        <v/>
      </c>
    </row>
    <row r="710" spans="1:142" x14ac:dyDescent="0.25">
      <c r="A710" t="str">
        <f>+IF($C710="","",ROUND(VLOOKUP('Tablas Servicio'!B710,Parámetros!$H$100:$J$159,IF(Parámetros!$E$16="F",2,3),FALSE),2))</f>
        <v/>
      </c>
      <c r="B710" t="str">
        <f t="shared" si="942"/>
        <v/>
      </c>
      <c r="C710" s="57" t="str">
        <f>+IF(D710="","",'Tablas Servicio'!C709+1)</f>
        <v/>
      </c>
      <c r="D710" s="56" t="str">
        <f>+IF(D709&lt;edadmaxtabla,D709+1/Parámetros!$E$25,"")</f>
        <v/>
      </c>
      <c r="E710" s="57" t="str">
        <f t="shared" si="952"/>
        <v/>
      </c>
      <c r="F710" s="59" t="str">
        <f t="shared" si="953"/>
        <v/>
      </c>
      <c r="G710" s="66" t="str">
        <f t="shared" si="943"/>
        <v/>
      </c>
      <c r="H710" s="66" t="str">
        <f t="shared" si="944"/>
        <v/>
      </c>
      <c r="I710" s="66" t="str">
        <f t="shared" si="992"/>
        <v/>
      </c>
      <c r="J710" s="66" t="str">
        <f t="shared" si="945"/>
        <v/>
      </c>
      <c r="K710" s="66" t="str">
        <f t="shared" si="946"/>
        <v/>
      </c>
      <c r="L710" s="66" t="str">
        <f t="shared" si="947"/>
        <v/>
      </c>
      <c r="M710" s="66" t="str">
        <f t="shared" si="948"/>
        <v/>
      </c>
      <c r="N710" s="66" t="str">
        <f>+IF(C710="","",ROUND(Parámetros!$D$23,2))</f>
        <v/>
      </c>
      <c r="O710" s="66" t="str">
        <f t="shared" si="949"/>
        <v/>
      </c>
      <c r="P710" s="66" t="str">
        <f>+IF($C710="","",ROUND(IF(B710&gt;Parámetros!$D$117,0,N710*Parámetros!$D$116-G710*Parámetros!$D$100),2))</f>
        <v/>
      </c>
      <c r="Q710" s="75" t="str">
        <f t="shared" si="993"/>
        <v/>
      </c>
      <c r="R710" s="75" t="str">
        <f t="shared" si="994"/>
        <v/>
      </c>
      <c r="S710" s="117" t="str">
        <f>+IF($C710="","",ROUND((S709+I710)*(1+Parámetros!$D$91),2))</f>
        <v/>
      </c>
      <c r="T710" s="117" t="str">
        <f>+IF($C710="","",ROUND(S710*VLOOKUP(B710,Parámetros!$C$30:$D$39,2,TRUE),2))</f>
        <v/>
      </c>
      <c r="U710" s="117" t="str">
        <f>+IF($C710="","",ROUND((U709+I710)*(1+Parámetros!$D$92),2))</f>
        <v/>
      </c>
      <c r="V710" s="117" t="str">
        <f>+IF($C710="","",ROUND(U710*VLOOKUP(B710,Parámetros!$C$30:$D$39,2,TRUE),2))</f>
        <v/>
      </c>
      <c r="W710" s="57" t="str">
        <f t="shared" si="995"/>
        <v/>
      </c>
      <c r="X710" t="str">
        <f t="shared" si="996"/>
        <v/>
      </c>
      <c r="Y710" t="str">
        <f t="shared" si="997"/>
        <v/>
      </c>
      <c r="Z710" s="118" t="str">
        <f>+IF($W710="","",ROUND(IF(Parámetros!$D$25='TABLAS MORT'!$V$33,Z709,Parámetros!$D$21-'Tablas Servicio'!T709),0))</f>
        <v/>
      </c>
      <c r="AA710" s="118" t="str">
        <f t="shared" si="998"/>
        <v/>
      </c>
      <c r="AB710" s="119" t="str">
        <f>+IF(W710="","",ROUND((VLOOKUP(ROUNDDOWN($D710-1/frec,0),qx_tabla,2,FALSE)*(1+i/frec)^-0.5*(1+Parámetros!$D$103)*(1+rec_fracc)/frec),6))</f>
        <v/>
      </c>
      <c r="AC710" s="66" t="str">
        <f t="shared" si="954"/>
        <v/>
      </c>
      <c r="AD710" s="119" t="str">
        <f t="shared" si="950"/>
        <v/>
      </c>
      <c r="AE710" s="66" t="str">
        <f>+IF($W710="","",ROUND(IF($B710&gt;Parámetros!$D$107,'Tablas Servicio'!AC710+('Tablas Servicio'!AG709-'Tablas Servicio'!AC709),AC710/(1-IF(B710&lt;=10,Parámetros!$D$104,Parámetros!$D$105))),2))</f>
        <v/>
      </c>
      <c r="AF710" s="66" t="str">
        <f>+IF($W710="","",ROUND(IF($B710&gt;Parámetros!$D$107,'Tablas Servicio'!AC710+('Tablas Servicio'!AG709-'Tablas Servicio'!AC709),(AC710+$A709/frec)/(1-IF(B710&lt;=Parámetros!$D$117,Parámetros!$D$100,0))),2))</f>
        <v/>
      </c>
      <c r="AG710" s="66" t="str">
        <f t="shared" si="955"/>
        <v/>
      </c>
      <c r="AH710" s="66" t="str">
        <f t="shared" si="956"/>
        <v/>
      </c>
      <c r="AI710" s="66" t="str">
        <f t="shared" si="957"/>
        <v/>
      </c>
      <c r="AJ710" s="66" t="str">
        <f>+IF($W710="","",ROUND((AG710*Parámetros!$G$85),2))</f>
        <v/>
      </c>
      <c r="AK710" s="66" t="str">
        <f>+IF($W710="","",ROUND((AG710*(Parámetros!$G$86)),2))</f>
        <v/>
      </c>
      <c r="AL710" s="66" t="str">
        <f t="shared" si="951"/>
        <v/>
      </c>
      <c r="AM710" t="str">
        <f t="shared" si="999"/>
        <v/>
      </c>
      <c r="AN710" t="str">
        <f t="shared" si="1000"/>
        <v/>
      </c>
      <c r="AO710" s="118" t="str">
        <f t="shared" si="1001"/>
        <v/>
      </c>
      <c r="AP710" s="118" t="str">
        <f t="shared" si="1002"/>
        <v/>
      </c>
      <c r="AQ710" s="119" t="str">
        <f>+IF(OR($W710="",AO710=0),"",ROUND((VLOOKUP(ROUNDDOWN($D710-1/frec,0),cob_adi,Z$40,FALSE)*(1+i/frec)^-0.5*(1+Parámetros!$D$103)*(1+rec_fracc)/frec),6))</f>
        <v/>
      </c>
      <c r="AR710" s="66" t="str">
        <f t="shared" si="958"/>
        <v/>
      </c>
      <c r="AS710" s="119" t="str">
        <f t="shared" si="959"/>
        <v/>
      </c>
      <c r="AT710" s="66" t="str">
        <f>+IF($W710="","",ROUND(IF($B710&gt;Parámetros!$D$107,'Tablas Servicio'!AR710+('Tablas Servicio'!AT709-'Tablas Servicio'!AR709),AR710/(1-IF(B710&lt;=10,Parámetros!$D$100,0))),2))</f>
        <v/>
      </c>
      <c r="AU710" s="66" t="str">
        <f t="shared" si="960"/>
        <v/>
      </c>
      <c r="AV710" s="66" t="str">
        <f t="shared" si="960"/>
        <v/>
      </c>
      <c r="AW710" s="66" t="str">
        <f>+IF($W710="","",ROUND((AT710*Parámetros!$G$85),2))</f>
        <v/>
      </c>
      <c r="AX710" s="66" t="str">
        <f>+IF($W710="","",ROUND((AT710*(Parámetros!$G$86)),2))</f>
        <v/>
      </c>
      <c r="AY710" s="66" t="str">
        <f t="shared" si="961"/>
        <v/>
      </c>
      <c r="AZ710" t="str">
        <f t="shared" si="1003"/>
        <v/>
      </c>
      <c r="BA710" t="str">
        <f t="shared" si="1004"/>
        <v/>
      </c>
      <c r="BB710" s="118" t="str">
        <f t="shared" si="1005"/>
        <v/>
      </c>
      <c r="BC710" s="118" t="str">
        <f t="shared" si="1006"/>
        <v/>
      </c>
      <c r="BD710" s="119" t="str">
        <f>+IF(OR($W710="",BB710=0),"",ROUND((VLOOKUP(ROUNDDOWN($D710-1/frec,0),cob_adi,AO$40,FALSE)*(1+i/frec)^-0.5*(1+Parámetros!$D$103)*(1+rec_fracc)/frec),6))</f>
        <v/>
      </c>
      <c r="BE710" s="66" t="str">
        <f t="shared" si="962"/>
        <v/>
      </c>
      <c r="BF710" s="119" t="str">
        <f t="shared" si="963"/>
        <v/>
      </c>
      <c r="BG710" s="66" t="str">
        <f>+IF($W710="","",ROUND(IF($B710&gt;Parámetros!$D$107,'Tablas Servicio'!BE710+('Tablas Servicio'!BG709-'Tablas Servicio'!BE709),BE710/(1-IF(B710&lt;=10,Parámetros!$D$100,0))),2))</f>
        <v/>
      </c>
      <c r="BH710" s="66" t="str">
        <f t="shared" si="964"/>
        <v/>
      </c>
      <c r="BI710" s="66" t="str">
        <f t="shared" si="965"/>
        <v/>
      </c>
      <c r="BJ710" s="66" t="str">
        <f>+IF($W710="","",ROUND((BG710*Parámetros!$G$85),2))</f>
        <v/>
      </c>
      <c r="BK710" s="66" t="str">
        <f>+IF($W710="","",ROUND((BG710*(Parámetros!$G$86)),2))</f>
        <v/>
      </c>
      <c r="BL710" s="66" t="str">
        <f t="shared" si="966"/>
        <v/>
      </c>
      <c r="BM710" t="str">
        <f t="shared" si="1007"/>
        <v/>
      </c>
      <c r="BN710" t="str">
        <f t="shared" si="1008"/>
        <v/>
      </c>
      <c r="BO710" s="118" t="str">
        <f t="shared" si="1009"/>
        <v/>
      </c>
      <c r="BP710" s="118" t="str">
        <f t="shared" si="1010"/>
        <v/>
      </c>
      <c r="BQ710" s="119" t="str">
        <f>+IF(OR($W710="",BO710=0),"",ROUND((VLOOKUP(ROUNDDOWN($D710-1/frec,0),cob_adi,BB$40,FALSE)*(1+i/frec)^-0.5*(1+Parámetros!$D$103)*(1+rec_fracc)/frec),6))</f>
        <v/>
      </c>
      <c r="BR710" s="66" t="str">
        <f t="shared" si="967"/>
        <v/>
      </c>
      <c r="BS710" s="119" t="str">
        <f t="shared" si="968"/>
        <v/>
      </c>
      <c r="BT710" s="66" t="str">
        <f>+IF($W710="","",ROUND(IF($B710&gt;Parámetros!$D$107,'Tablas Servicio'!BR710+('Tablas Servicio'!BT709-'Tablas Servicio'!BR709),BR710/(1-IF(B710&lt;=10,Parámetros!$D$100,0))),2))</f>
        <v/>
      </c>
      <c r="BU710" s="66" t="str">
        <f t="shared" si="969"/>
        <v/>
      </c>
      <c r="BV710" s="66" t="str">
        <f t="shared" si="969"/>
        <v/>
      </c>
      <c r="BW710" s="66" t="str">
        <f>+IF($W710="","",ROUND((BT710*Parámetros!$G$85),2))</f>
        <v/>
      </c>
      <c r="BX710" s="66" t="str">
        <f>+IF($W710="","",ROUND((BT710*(Parámetros!$G$86)),2))</f>
        <v/>
      </c>
      <c r="BY710" s="66" t="str">
        <f t="shared" si="970"/>
        <v/>
      </c>
      <c r="BZ710" t="str">
        <f t="shared" si="1011"/>
        <v/>
      </c>
      <c r="CA710" t="str">
        <f t="shared" si="1012"/>
        <v/>
      </c>
      <c r="CB710" s="118" t="str">
        <f t="shared" si="1013"/>
        <v/>
      </c>
      <c r="CC710" s="118" t="str">
        <f t="shared" si="1014"/>
        <v/>
      </c>
      <c r="CD710" s="119" t="str">
        <f t="shared" si="971"/>
        <v/>
      </c>
      <c r="CE710" s="66" t="str">
        <f>+IF($W710="","",ROUND((VLOOKUP(ROUNDDOWN($D710-1/frec,0),cob_adi,BO$40,FALSE)*(1+i/frec)^-0.5*(1+Parámetros!$D$103)*(1+rec_fracc)/frec*'TABLAS ADI'!$BC$17),2))</f>
        <v/>
      </c>
      <c r="CF710" s="119" t="str">
        <f t="shared" si="972"/>
        <v/>
      </c>
      <c r="CG710" s="66" t="str">
        <f>+IF($W710="","",ROUND(IF($B710&gt;Parámetros!$D$107,'Tablas Servicio'!CE710+('Tablas Servicio'!CG709-'Tablas Servicio'!CE709),CE710/(1-IF(B710&lt;=10,Parámetros!$D$100,0))),2))</f>
        <v/>
      </c>
      <c r="CH710" s="66" t="str">
        <f t="shared" si="973"/>
        <v/>
      </c>
      <c r="CI710" s="66" t="str">
        <f t="shared" si="973"/>
        <v/>
      </c>
      <c r="CJ710" s="66" t="str">
        <f>+IF($W710="","",ROUND((CG710*Parámetros!$G$85),2))</f>
        <v/>
      </c>
      <c r="CK710" s="66" t="str">
        <f>+IF($W710="","",ROUND((CG710*(Parámetros!$G$86)),2))</f>
        <v/>
      </c>
      <c r="CL710" s="66" t="str">
        <f t="shared" si="974"/>
        <v/>
      </c>
      <c r="CM710" t="str">
        <f t="shared" si="1015"/>
        <v/>
      </c>
      <c r="CN710" s="118" t="str">
        <f t="shared" si="1016"/>
        <v/>
      </c>
      <c r="CO710" s="118" t="str">
        <f t="shared" si="1017"/>
        <v/>
      </c>
      <c r="CP710" s="118" t="str">
        <f t="shared" si="1018"/>
        <v/>
      </c>
      <c r="CQ710" s="119" t="str">
        <f t="shared" si="975"/>
        <v/>
      </c>
      <c r="CR710" s="66" t="str">
        <f>+IF($W710="","",ROUND((VLOOKUP(Parámetros!$F$51,'COBERTURAS ADICIONALES'!$S$4:$T$32,2,FALSE)*(1+i/frec)^-0.5*(1+Parámetros!$D$103)*(1+rec_fracc)/frec*$CO$42),2))</f>
        <v/>
      </c>
      <c r="CS710" s="119" t="str">
        <f t="shared" si="976"/>
        <v/>
      </c>
      <c r="CT710" s="66" t="str">
        <f>+IF($W710="","",ROUND(IF($B710&gt;Parámetros!$D$107,'Tablas Servicio'!CR710+('Tablas Servicio'!CT709-'Tablas Servicio'!CR709),CR710/(1-IF(B710&lt;=10,Parámetros!$D$100,0))),2))</f>
        <v/>
      </c>
      <c r="CU710" s="66" t="str">
        <f t="shared" si="977"/>
        <v/>
      </c>
      <c r="CV710" s="66" t="str">
        <f t="shared" si="977"/>
        <v/>
      </c>
      <c r="CW710" s="66" t="str">
        <f>+IF($W710="","",ROUND((CT710*Parámetros!$G$85),2))</f>
        <v/>
      </c>
      <c r="CX710" s="66" t="str">
        <f>+IF($W710="","",ROUND((CT710*(Parámetros!$G$86)),2))</f>
        <v/>
      </c>
      <c r="CY710" s="66" t="str">
        <f t="shared" si="978"/>
        <v/>
      </c>
      <c r="CZ710" t="str">
        <f t="shared" si="1019"/>
        <v/>
      </c>
      <c r="DA710" s="118" t="str">
        <f t="shared" si="1020"/>
        <v/>
      </c>
      <c r="DB710" s="118" t="str">
        <f t="shared" si="1021"/>
        <v/>
      </c>
      <c r="DC710" s="118" t="str">
        <f t="shared" si="1022"/>
        <v/>
      </c>
      <c r="DD710" s="121" t="str">
        <f>+IF(OR($W710="",DB710=0),"",ROUND((VLOOKUP(ROUNDDOWN($D710-1/frec,0),cob_adi,CO$40,FALSE)*(1+i/frec)^-0.5*(1+Parámetros!$D$103)*(1+rec_fracc)/frec),6))</f>
        <v/>
      </c>
      <c r="DE710" s="66" t="str">
        <f t="shared" si="979"/>
        <v/>
      </c>
      <c r="DF710" s="119" t="str">
        <f t="shared" si="980"/>
        <v/>
      </c>
      <c r="DG710" s="66" t="str">
        <f>+IF($W710="","",ROUND(IF($B710&gt;Parámetros!$D$107,'Tablas Servicio'!DE710+('Tablas Servicio'!DG709-'Tablas Servicio'!DE709),DE710/(1-IF(B710&lt;=10,Parámetros!$D$100,0))),2))</f>
        <v/>
      </c>
      <c r="DH710" s="66" t="str">
        <f t="shared" si="981"/>
        <v/>
      </c>
      <c r="DI710" s="66" t="str">
        <f t="shared" si="981"/>
        <v/>
      </c>
      <c r="DJ710" s="66" t="str">
        <f>+IF($W710="","",ROUND((DG710*Parámetros!$G$85),2))</f>
        <v/>
      </c>
      <c r="DK710" s="66" t="str">
        <f>+IF($W710="","",ROUND((DG710*(Parámetros!$G$86)),2))</f>
        <v/>
      </c>
      <c r="DL710" s="66" t="str">
        <f t="shared" si="982"/>
        <v/>
      </c>
      <c r="DM710" t="str">
        <f t="shared" si="1023"/>
        <v/>
      </c>
      <c r="DN710" s="118" t="str">
        <f t="shared" si="1024"/>
        <v/>
      </c>
      <c r="DO710" s="118" t="str">
        <f t="shared" si="1025"/>
        <v/>
      </c>
      <c r="DP710" s="118" t="str">
        <f t="shared" si="1026"/>
        <v/>
      </c>
      <c r="DQ710" s="122" t="str">
        <f>+IF(OR($W710="",DO710=0),"",ROUND((VLOOKUP(ROUNDDOWN($D710-1/frec,0),cob_adi,DB$40,FALSE)*(1+i/frec)^-0.5*(1+Parámetros!$D$103)*(1+rec_fracc)/frec),6))</f>
        <v/>
      </c>
      <c r="DR710" s="66" t="str">
        <f t="shared" si="983"/>
        <v/>
      </c>
      <c r="DS710" s="68" t="str">
        <f t="shared" si="984"/>
        <v/>
      </c>
      <c r="DT710" s="66" t="str">
        <f>+IF($W710="","",ROUND(IF($B710&gt;Parámetros!$D$107,'Tablas Servicio'!DR710+('Tablas Servicio'!DT709-'Tablas Servicio'!DR709),DR710/(1-IF(B710&lt;=10,Parámetros!$D$100,0))),2))</f>
        <v/>
      </c>
      <c r="DU710" s="66" t="str">
        <f t="shared" si="985"/>
        <v/>
      </c>
      <c r="DV710" s="66" t="str">
        <f t="shared" si="985"/>
        <v/>
      </c>
      <c r="DW710" s="66" t="str">
        <f>+IF($W710="","",ROUND((DT710*Parámetros!$G$85),2))</f>
        <v/>
      </c>
      <c r="DX710" s="66" t="str">
        <f>+IF($W710="","",ROUND((DT710*(Parámetros!$G$86)),2))</f>
        <v/>
      </c>
      <c r="DY710" s="66" t="str">
        <f t="shared" si="986"/>
        <v/>
      </c>
      <c r="DZ710" t="str">
        <f t="shared" si="1027"/>
        <v/>
      </c>
      <c r="EA710" s="118" t="str">
        <f t="shared" si="1027"/>
        <v/>
      </c>
      <c r="EB710" s="118" t="str">
        <f>+IF($W710="","",ROUND(IF(Parámetros!$D$25='TABLAS MORT'!$V$33,EB709,Z710/2),0))</f>
        <v/>
      </c>
      <c r="EC710" s="118" t="str">
        <f t="shared" si="1027"/>
        <v/>
      </c>
      <c r="ED710" s="122" t="str">
        <f>+IF(OR($W710="",EB710=0),"",ROUND((VLOOKUP(ROUNDDOWN($D710-1/frec,0),cob_adi,DO$40,FALSE)*(1+i/frec)^-0.5*(1+Parámetros!$D$103)*(1+rec_fracc)/frec),6))</f>
        <v/>
      </c>
      <c r="EE710" s="66" t="str">
        <f t="shared" si="988"/>
        <v/>
      </c>
      <c r="EF710" s="68" t="str">
        <f t="shared" si="989"/>
        <v/>
      </c>
      <c r="EG710" s="66" t="str">
        <f>+IF($W710="","",ROUND(IF($B710&gt;Parámetros!$D$107,'Tablas Servicio'!EE710+('Tablas Servicio'!EG709-'Tablas Servicio'!EE709),EE710/(1-IF(B710&lt;=10,Parámetros!$D$100,0))),2))</f>
        <v/>
      </c>
      <c r="EH710" s="66" t="str">
        <f t="shared" si="990"/>
        <v/>
      </c>
      <c r="EI710" s="66" t="str">
        <f t="shared" si="990"/>
        <v/>
      </c>
      <c r="EJ710" s="66" t="str">
        <f>+IF($W710="","",ROUND((EG710*Parámetros!$G$85),2))</f>
        <v/>
      </c>
      <c r="EK710" s="66" t="str">
        <f>+IF($W710="","",ROUND((EG710*(Parámetros!$G$86)),2))</f>
        <v/>
      </c>
      <c r="EL710" s="66" t="str">
        <f t="shared" si="991"/>
        <v/>
      </c>
    </row>
    <row r="711" spans="1:142" x14ac:dyDescent="0.25">
      <c r="A711" t="str">
        <f>+IF($C711="","",ROUND(VLOOKUP('Tablas Servicio'!B711,Parámetros!$H$100:$J$159,IF(Parámetros!$E$16="F",2,3),FALSE),2))</f>
        <v/>
      </c>
      <c r="B711" t="str">
        <f t="shared" si="942"/>
        <v/>
      </c>
      <c r="C711" s="57" t="str">
        <f>+IF(D711="","",'Tablas Servicio'!C710+1)</f>
        <v/>
      </c>
      <c r="D711" s="56" t="str">
        <f>+IF(D710&lt;edadmaxtabla,D710+1/Parámetros!$E$25,"")</f>
        <v/>
      </c>
      <c r="E711" s="57" t="str">
        <f t="shared" si="952"/>
        <v/>
      </c>
      <c r="F711" s="59" t="str">
        <f t="shared" si="953"/>
        <v/>
      </c>
      <c r="G711" s="66" t="str">
        <f t="shared" si="943"/>
        <v/>
      </c>
      <c r="H711" s="66" t="str">
        <f t="shared" si="944"/>
        <v/>
      </c>
      <c r="I711" s="66" t="str">
        <f t="shared" si="992"/>
        <v/>
      </c>
      <c r="J711" s="66" t="str">
        <f t="shared" si="945"/>
        <v/>
      </c>
      <c r="K711" s="66" t="str">
        <f t="shared" si="946"/>
        <v/>
      </c>
      <c r="L711" s="66" t="str">
        <f t="shared" si="947"/>
        <v/>
      </c>
      <c r="M711" s="66" t="str">
        <f t="shared" si="948"/>
        <v/>
      </c>
      <c r="N711" s="66" t="str">
        <f>+IF(C711="","",ROUND(Parámetros!$D$23,2))</f>
        <v/>
      </c>
      <c r="O711" s="66" t="str">
        <f t="shared" si="949"/>
        <v/>
      </c>
      <c r="P711" s="66" t="str">
        <f>+IF($C711="","",ROUND(IF(B711&gt;Parámetros!$D$117,0,N711*Parámetros!$D$116-G711*Parámetros!$D$100),2))</f>
        <v/>
      </c>
      <c r="Q711" s="75" t="str">
        <f t="shared" si="993"/>
        <v/>
      </c>
      <c r="R711" s="75" t="str">
        <f t="shared" si="994"/>
        <v/>
      </c>
      <c r="S711" s="117" t="str">
        <f>+IF($C711="","",ROUND((S710+I711)*(1+Parámetros!$D$91),2))</f>
        <v/>
      </c>
      <c r="T711" s="117" t="str">
        <f>+IF($C711="","",ROUND(S711*VLOOKUP(B711,Parámetros!$C$30:$D$39,2,TRUE),2))</f>
        <v/>
      </c>
      <c r="U711" s="117" t="str">
        <f>+IF($C711="","",ROUND((U710+I711)*(1+Parámetros!$D$92),2))</f>
        <v/>
      </c>
      <c r="V711" s="117" t="str">
        <f>+IF($C711="","",ROUND(U711*VLOOKUP(B711,Parámetros!$C$30:$D$39,2,TRUE),2))</f>
        <v/>
      </c>
      <c r="W711" s="57" t="str">
        <f t="shared" si="995"/>
        <v/>
      </c>
      <c r="X711" t="str">
        <f t="shared" si="996"/>
        <v/>
      </c>
      <c r="Y711" t="str">
        <f t="shared" si="997"/>
        <v/>
      </c>
      <c r="Z711" s="118" t="str">
        <f>+IF($W711="","",ROUND(IF(Parámetros!$D$25='TABLAS MORT'!$V$33,Z710,Parámetros!$D$21-'Tablas Servicio'!T710),0))</f>
        <v/>
      </c>
      <c r="AA711" s="118" t="str">
        <f t="shared" si="998"/>
        <v/>
      </c>
      <c r="AB711" s="119" t="str">
        <f>+IF(W711="","",ROUND((VLOOKUP(ROUNDDOWN($D711-1/frec,0),qx_tabla,2,FALSE)*(1+i/frec)^-0.5*(1+Parámetros!$D$103)*(1+rec_fracc)/frec),6))</f>
        <v/>
      </c>
      <c r="AC711" s="66" t="str">
        <f t="shared" si="954"/>
        <v/>
      </c>
      <c r="AD711" s="119" t="str">
        <f t="shared" si="950"/>
        <v/>
      </c>
      <c r="AE711" s="66" t="str">
        <f>+IF($W711="","",ROUND(IF($B711&gt;Parámetros!$D$107,'Tablas Servicio'!AC711+('Tablas Servicio'!AG710-'Tablas Servicio'!AC710),AC711/(1-IF(B711&lt;=10,Parámetros!$D$104,Parámetros!$D$105))),2))</f>
        <v/>
      </c>
      <c r="AF711" s="66" t="str">
        <f>+IF($W711="","",ROUND(IF($B711&gt;Parámetros!$D$107,'Tablas Servicio'!AC711+('Tablas Servicio'!AG710-'Tablas Servicio'!AC710),(AC711+$A710/frec)/(1-IF(B711&lt;=Parámetros!$D$117,Parámetros!$D$100,0))),2))</f>
        <v/>
      </c>
      <c r="AG711" s="66" t="str">
        <f t="shared" si="955"/>
        <v/>
      </c>
      <c r="AH711" s="66" t="str">
        <f t="shared" si="956"/>
        <v/>
      </c>
      <c r="AI711" s="66" t="str">
        <f t="shared" si="957"/>
        <v/>
      </c>
      <c r="AJ711" s="66" t="str">
        <f>+IF($W711="","",ROUND((AG711*Parámetros!$G$85),2))</f>
        <v/>
      </c>
      <c r="AK711" s="66" t="str">
        <f>+IF($W711="","",ROUND((AG711*(Parámetros!$G$86)),2))</f>
        <v/>
      </c>
      <c r="AL711" s="66" t="str">
        <f t="shared" si="951"/>
        <v/>
      </c>
      <c r="AM711" t="str">
        <f t="shared" si="999"/>
        <v/>
      </c>
      <c r="AN711" t="str">
        <f t="shared" si="1000"/>
        <v/>
      </c>
      <c r="AO711" s="118" t="str">
        <f t="shared" si="1001"/>
        <v/>
      </c>
      <c r="AP711" s="118" t="str">
        <f t="shared" si="1002"/>
        <v/>
      </c>
      <c r="AQ711" s="119" t="str">
        <f>+IF(OR($W711="",AO711=0),"",ROUND((VLOOKUP(ROUNDDOWN($D711-1/frec,0),cob_adi,Z$40,FALSE)*(1+i/frec)^-0.5*(1+Parámetros!$D$103)*(1+rec_fracc)/frec),6))</f>
        <v/>
      </c>
      <c r="AR711" s="66" t="str">
        <f t="shared" si="958"/>
        <v/>
      </c>
      <c r="AS711" s="119" t="str">
        <f t="shared" si="959"/>
        <v/>
      </c>
      <c r="AT711" s="66" t="str">
        <f>+IF($W711="","",ROUND(IF($B711&gt;Parámetros!$D$107,'Tablas Servicio'!AR711+('Tablas Servicio'!AT710-'Tablas Servicio'!AR710),AR711/(1-IF(B711&lt;=10,Parámetros!$D$100,0))),2))</f>
        <v/>
      </c>
      <c r="AU711" s="66" t="str">
        <f t="shared" si="960"/>
        <v/>
      </c>
      <c r="AV711" s="66" t="str">
        <f t="shared" si="960"/>
        <v/>
      </c>
      <c r="AW711" s="66" t="str">
        <f>+IF($W711="","",ROUND((AT711*Parámetros!$G$85),2))</f>
        <v/>
      </c>
      <c r="AX711" s="66" t="str">
        <f>+IF($W711="","",ROUND((AT711*(Parámetros!$G$86)),2))</f>
        <v/>
      </c>
      <c r="AY711" s="66" t="str">
        <f t="shared" si="961"/>
        <v/>
      </c>
      <c r="AZ711" t="str">
        <f t="shared" si="1003"/>
        <v/>
      </c>
      <c r="BA711" t="str">
        <f t="shared" si="1004"/>
        <v/>
      </c>
      <c r="BB711" s="118" t="str">
        <f t="shared" si="1005"/>
        <v/>
      </c>
      <c r="BC711" s="118" t="str">
        <f t="shared" si="1006"/>
        <v/>
      </c>
      <c r="BD711" s="119" t="str">
        <f>+IF(OR($W711="",BB711=0),"",ROUND((VLOOKUP(ROUNDDOWN($D711-1/frec,0),cob_adi,AO$40,FALSE)*(1+i/frec)^-0.5*(1+Parámetros!$D$103)*(1+rec_fracc)/frec),6))</f>
        <v/>
      </c>
      <c r="BE711" s="66" t="str">
        <f t="shared" si="962"/>
        <v/>
      </c>
      <c r="BF711" s="119" t="str">
        <f t="shared" si="963"/>
        <v/>
      </c>
      <c r="BG711" s="66" t="str">
        <f>+IF($W711="","",ROUND(IF($B711&gt;Parámetros!$D$107,'Tablas Servicio'!BE711+('Tablas Servicio'!BG710-'Tablas Servicio'!BE710),BE711/(1-IF(B711&lt;=10,Parámetros!$D$100,0))),2))</f>
        <v/>
      </c>
      <c r="BH711" s="66" t="str">
        <f t="shared" si="964"/>
        <v/>
      </c>
      <c r="BI711" s="66" t="str">
        <f t="shared" si="965"/>
        <v/>
      </c>
      <c r="BJ711" s="66" t="str">
        <f>+IF($W711="","",ROUND((BG711*Parámetros!$G$85),2))</f>
        <v/>
      </c>
      <c r="BK711" s="66" t="str">
        <f>+IF($W711="","",ROUND((BG711*(Parámetros!$G$86)),2))</f>
        <v/>
      </c>
      <c r="BL711" s="66" t="str">
        <f t="shared" si="966"/>
        <v/>
      </c>
      <c r="BM711" t="str">
        <f t="shared" si="1007"/>
        <v/>
      </c>
      <c r="BN711" t="str">
        <f t="shared" si="1008"/>
        <v/>
      </c>
      <c r="BO711" s="118" t="str">
        <f t="shared" si="1009"/>
        <v/>
      </c>
      <c r="BP711" s="118" t="str">
        <f t="shared" si="1010"/>
        <v/>
      </c>
      <c r="BQ711" s="119" t="str">
        <f>+IF(OR($W711="",BO711=0),"",ROUND((VLOOKUP(ROUNDDOWN($D711-1/frec,0),cob_adi,BB$40,FALSE)*(1+i/frec)^-0.5*(1+Parámetros!$D$103)*(1+rec_fracc)/frec),6))</f>
        <v/>
      </c>
      <c r="BR711" s="66" t="str">
        <f t="shared" si="967"/>
        <v/>
      </c>
      <c r="BS711" s="119" t="str">
        <f t="shared" si="968"/>
        <v/>
      </c>
      <c r="BT711" s="66" t="str">
        <f>+IF($W711="","",ROUND(IF($B711&gt;Parámetros!$D$107,'Tablas Servicio'!BR711+('Tablas Servicio'!BT710-'Tablas Servicio'!BR710),BR711/(1-IF(B711&lt;=10,Parámetros!$D$100,0))),2))</f>
        <v/>
      </c>
      <c r="BU711" s="66" t="str">
        <f t="shared" si="969"/>
        <v/>
      </c>
      <c r="BV711" s="66" t="str">
        <f t="shared" si="969"/>
        <v/>
      </c>
      <c r="BW711" s="66" t="str">
        <f>+IF($W711="","",ROUND((BT711*Parámetros!$G$85),2))</f>
        <v/>
      </c>
      <c r="BX711" s="66" t="str">
        <f>+IF($W711="","",ROUND((BT711*(Parámetros!$G$86)),2))</f>
        <v/>
      </c>
      <c r="BY711" s="66" t="str">
        <f t="shared" si="970"/>
        <v/>
      </c>
      <c r="BZ711" t="str">
        <f t="shared" si="1011"/>
        <v/>
      </c>
      <c r="CA711" t="str">
        <f t="shared" si="1012"/>
        <v/>
      </c>
      <c r="CB711" s="118" t="str">
        <f t="shared" si="1013"/>
        <v/>
      </c>
      <c r="CC711" s="118" t="str">
        <f t="shared" si="1014"/>
        <v/>
      </c>
      <c r="CD711" s="119" t="str">
        <f t="shared" si="971"/>
        <v/>
      </c>
      <c r="CE711" s="66" t="str">
        <f>+IF($W711="","",ROUND((VLOOKUP(ROUNDDOWN($D711-1/frec,0),cob_adi,BO$40,FALSE)*(1+i/frec)^-0.5*(1+Parámetros!$D$103)*(1+rec_fracc)/frec*'TABLAS ADI'!$BC$17),2))</f>
        <v/>
      </c>
      <c r="CF711" s="119" t="str">
        <f t="shared" si="972"/>
        <v/>
      </c>
      <c r="CG711" s="66" t="str">
        <f>+IF($W711="","",ROUND(IF($B711&gt;Parámetros!$D$107,'Tablas Servicio'!CE711+('Tablas Servicio'!CG710-'Tablas Servicio'!CE710),CE711/(1-IF(B711&lt;=10,Parámetros!$D$100,0))),2))</f>
        <v/>
      </c>
      <c r="CH711" s="66" t="str">
        <f t="shared" si="973"/>
        <v/>
      </c>
      <c r="CI711" s="66" t="str">
        <f t="shared" si="973"/>
        <v/>
      </c>
      <c r="CJ711" s="66" t="str">
        <f>+IF($W711="","",ROUND((CG711*Parámetros!$G$85),2))</f>
        <v/>
      </c>
      <c r="CK711" s="66" t="str">
        <f>+IF($W711="","",ROUND((CG711*(Parámetros!$G$86)),2))</f>
        <v/>
      </c>
      <c r="CL711" s="66" t="str">
        <f t="shared" si="974"/>
        <v/>
      </c>
      <c r="CM711" t="str">
        <f t="shared" si="1015"/>
        <v/>
      </c>
      <c r="CN711" s="118" t="str">
        <f t="shared" si="1016"/>
        <v/>
      </c>
      <c r="CO711" s="118" t="str">
        <f t="shared" si="1017"/>
        <v/>
      </c>
      <c r="CP711" s="118" t="str">
        <f t="shared" si="1018"/>
        <v/>
      </c>
      <c r="CQ711" s="119" t="str">
        <f t="shared" si="975"/>
        <v/>
      </c>
      <c r="CR711" s="66" t="str">
        <f>+IF($W711="","",ROUND((VLOOKUP(Parámetros!$F$51,'COBERTURAS ADICIONALES'!$S$4:$T$32,2,FALSE)*(1+i/frec)^-0.5*(1+Parámetros!$D$103)*(1+rec_fracc)/frec*$CO$42),2))</f>
        <v/>
      </c>
      <c r="CS711" s="119" t="str">
        <f t="shared" si="976"/>
        <v/>
      </c>
      <c r="CT711" s="66" t="str">
        <f>+IF($W711="","",ROUND(IF($B711&gt;Parámetros!$D$107,'Tablas Servicio'!CR711+('Tablas Servicio'!CT710-'Tablas Servicio'!CR710),CR711/(1-IF(B711&lt;=10,Parámetros!$D$100,0))),2))</f>
        <v/>
      </c>
      <c r="CU711" s="66" t="str">
        <f t="shared" si="977"/>
        <v/>
      </c>
      <c r="CV711" s="66" t="str">
        <f t="shared" si="977"/>
        <v/>
      </c>
      <c r="CW711" s="66" t="str">
        <f>+IF($W711="","",ROUND((CT711*Parámetros!$G$85),2))</f>
        <v/>
      </c>
      <c r="CX711" s="66" t="str">
        <f>+IF($W711="","",ROUND((CT711*(Parámetros!$G$86)),2))</f>
        <v/>
      </c>
      <c r="CY711" s="66" t="str">
        <f t="shared" si="978"/>
        <v/>
      </c>
      <c r="CZ711" t="str">
        <f t="shared" si="1019"/>
        <v/>
      </c>
      <c r="DA711" s="118" t="str">
        <f t="shared" si="1020"/>
        <v/>
      </c>
      <c r="DB711" s="118" t="str">
        <f t="shared" si="1021"/>
        <v/>
      </c>
      <c r="DC711" s="118" t="str">
        <f t="shared" si="1022"/>
        <v/>
      </c>
      <c r="DD711" s="121" t="str">
        <f>+IF(OR($W711="",DB711=0),"",ROUND((VLOOKUP(ROUNDDOWN($D711-1/frec,0),cob_adi,CO$40,FALSE)*(1+i/frec)^-0.5*(1+Parámetros!$D$103)*(1+rec_fracc)/frec),6))</f>
        <v/>
      </c>
      <c r="DE711" s="66" t="str">
        <f t="shared" si="979"/>
        <v/>
      </c>
      <c r="DF711" s="119" t="str">
        <f t="shared" si="980"/>
        <v/>
      </c>
      <c r="DG711" s="66" t="str">
        <f>+IF($W711="","",ROUND(IF($B711&gt;Parámetros!$D$107,'Tablas Servicio'!DE711+('Tablas Servicio'!DG710-'Tablas Servicio'!DE710),DE711/(1-IF(B711&lt;=10,Parámetros!$D$100,0))),2))</f>
        <v/>
      </c>
      <c r="DH711" s="66" t="str">
        <f t="shared" si="981"/>
        <v/>
      </c>
      <c r="DI711" s="66" t="str">
        <f t="shared" si="981"/>
        <v/>
      </c>
      <c r="DJ711" s="66" t="str">
        <f>+IF($W711="","",ROUND((DG711*Parámetros!$G$85),2))</f>
        <v/>
      </c>
      <c r="DK711" s="66" t="str">
        <f>+IF($W711="","",ROUND((DG711*(Parámetros!$G$86)),2))</f>
        <v/>
      </c>
      <c r="DL711" s="66" t="str">
        <f t="shared" si="982"/>
        <v/>
      </c>
      <c r="DM711" t="str">
        <f t="shared" si="1023"/>
        <v/>
      </c>
      <c r="DN711" s="118" t="str">
        <f t="shared" si="1024"/>
        <v/>
      </c>
      <c r="DO711" s="118" t="str">
        <f t="shared" si="1025"/>
        <v/>
      </c>
      <c r="DP711" s="118" t="str">
        <f t="shared" si="1026"/>
        <v/>
      </c>
      <c r="DQ711" s="122" t="str">
        <f>+IF(OR($W711="",DO711=0),"",ROUND((VLOOKUP(ROUNDDOWN($D711-1/frec,0),cob_adi,DB$40,FALSE)*(1+i/frec)^-0.5*(1+Parámetros!$D$103)*(1+rec_fracc)/frec),6))</f>
        <v/>
      </c>
      <c r="DR711" s="66" t="str">
        <f t="shared" si="983"/>
        <v/>
      </c>
      <c r="DS711" s="68" t="str">
        <f t="shared" si="984"/>
        <v/>
      </c>
      <c r="DT711" s="66" t="str">
        <f>+IF($W711="","",ROUND(IF($B711&gt;Parámetros!$D$107,'Tablas Servicio'!DR711+('Tablas Servicio'!DT710-'Tablas Servicio'!DR710),DR711/(1-IF(B711&lt;=10,Parámetros!$D$100,0))),2))</f>
        <v/>
      </c>
      <c r="DU711" s="66" t="str">
        <f t="shared" si="985"/>
        <v/>
      </c>
      <c r="DV711" s="66" t="str">
        <f t="shared" si="985"/>
        <v/>
      </c>
      <c r="DW711" s="66" t="str">
        <f>+IF($W711="","",ROUND((DT711*Parámetros!$G$85),2))</f>
        <v/>
      </c>
      <c r="DX711" s="66" t="str">
        <f>+IF($W711="","",ROUND((DT711*(Parámetros!$G$86)),2))</f>
        <v/>
      </c>
      <c r="DY711" s="66" t="str">
        <f t="shared" si="986"/>
        <v/>
      </c>
      <c r="DZ711" t="str">
        <f t="shared" si="1027"/>
        <v/>
      </c>
      <c r="EA711" s="118" t="str">
        <f t="shared" si="1027"/>
        <v/>
      </c>
      <c r="EB711" s="118" t="str">
        <f>+IF($W711="","",ROUND(IF(Parámetros!$D$25='TABLAS MORT'!$V$33,EB710,Z711/2),0))</f>
        <v/>
      </c>
      <c r="EC711" s="118" t="str">
        <f t="shared" si="1027"/>
        <v/>
      </c>
      <c r="ED711" s="122" t="str">
        <f>+IF(OR($W711="",EB711=0),"",ROUND((VLOOKUP(ROUNDDOWN($D711-1/frec,0),cob_adi,DO$40,FALSE)*(1+i/frec)^-0.5*(1+Parámetros!$D$103)*(1+rec_fracc)/frec),6))</f>
        <v/>
      </c>
      <c r="EE711" s="66" t="str">
        <f t="shared" si="988"/>
        <v/>
      </c>
      <c r="EF711" s="68" t="str">
        <f t="shared" si="989"/>
        <v/>
      </c>
      <c r="EG711" s="66" t="str">
        <f>+IF($W711="","",ROUND(IF($B711&gt;Parámetros!$D$107,'Tablas Servicio'!EE711+('Tablas Servicio'!EG710-'Tablas Servicio'!EE710),EE711/(1-IF(B711&lt;=10,Parámetros!$D$100,0))),2))</f>
        <v/>
      </c>
      <c r="EH711" s="66" t="str">
        <f t="shared" si="990"/>
        <v/>
      </c>
      <c r="EI711" s="66" t="str">
        <f t="shared" si="990"/>
        <v/>
      </c>
      <c r="EJ711" s="66" t="str">
        <f>+IF($W711="","",ROUND((EG711*Parámetros!$G$85),2))</f>
        <v/>
      </c>
      <c r="EK711" s="66" t="str">
        <f>+IF($W711="","",ROUND((EG711*(Parámetros!$G$86)),2))</f>
        <v/>
      </c>
      <c r="EL711" s="66" t="str">
        <f t="shared" si="991"/>
        <v/>
      </c>
    </row>
    <row r="712" spans="1:142" x14ac:dyDescent="0.25">
      <c r="A712" t="str">
        <f>+IF($C712="","",ROUND(VLOOKUP('Tablas Servicio'!B712,Parámetros!$H$100:$J$159,IF(Parámetros!$E$16="F",2,3),FALSE),2))</f>
        <v/>
      </c>
      <c r="B712" t="str">
        <f t="shared" si="942"/>
        <v/>
      </c>
      <c r="C712" s="57" t="str">
        <f>+IF(D712="","",'Tablas Servicio'!C711+1)</f>
        <v/>
      </c>
      <c r="D712" s="56" t="str">
        <f>+IF(D711&lt;edadmaxtabla,D711+1/Parámetros!$E$25,"")</f>
        <v/>
      </c>
      <c r="E712" s="57" t="str">
        <f t="shared" si="952"/>
        <v/>
      </c>
      <c r="F712" s="59" t="str">
        <f t="shared" si="953"/>
        <v/>
      </c>
      <c r="G712" s="66" t="str">
        <f t="shared" si="943"/>
        <v/>
      </c>
      <c r="H712" s="66" t="str">
        <f t="shared" si="944"/>
        <v/>
      </c>
      <c r="I712" s="66" t="str">
        <f t="shared" si="992"/>
        <v/>
      </c>
      <c r="J712" s="66" t="str">
        <f t="shared" si="945"/>
        <v/>
      </c>
      <c r="K712" s="66" t="str">
        <f t="shared" si="946"/>
        <v/>
      </c>
      <c r="L712" s="66" t="str">
        <f t="shared" si="947"/>
        <v/>
      </c>
      <c r="M712" s="66" t="str">
        <f t="shared" si="948"/>
        <v/>
      </c>
      <c r="N712" s="66" t="str">
        <f>+IF(C712="","",ROUND(Parámetros!$D$23,2))</f>
        <v/>
      </c>
      <c r="O712" s="66" t="str">
        <f t="shared" si="949"/>
        <v/>
      </c>
      <c r="P712" s="66" t="str">
        <f>+IF($C712="","",ROUND(IF(B712&gt;Parámetros!$D$117,0,N712*Parámetros!$D$116-G712*Parámetros!$D$100),2))</f>
        <v/>
      </c>
      <c r="Q712" s="75" t="str">
        <f t="shared" si="993"/>
        <v/>
      </c>
      <c r="R712" s="75" t="str">
        <f t="shared" si="994"/>
        <v/>
      </c>
      <c r="S712" s="117" t="str">
        <f>+IF($C712="","",ROUND((S711+I712)*(1+Parámetros!$D$91),2))</f>
        <v/>
      </c>
      <c r="T712" s="117" t="str">
        <f>+IF($C712="","",ROUND(S712*VLOOKUP(B712,Parámetros!$C$30:$D$39,2,TRUE),2))</f>
        <v/>
      </c>
      <c r="U712" s="117" t="str">
        <f>+IF($C712="","",ROUND((U711+I712)*(1+Parámetros!$D$92),2))</f>
        <v/>
      </c>
      <c r="V712" s="117" t="str">
        <f>+IF($C712="","",ROUND(U712*VLOOKUP(B712,Parámetros!$C$30:$D$39,2,TRUE),2))</f>
        <v/>
      </c>
      <c r="W712" s="57" t="str">
        <f t="shared" si="995"/>
        <v/>
      </c>
      <c r="X712" t="str">
        <f t="shared" si="996"/>
        <v/>
      </c>
      <c r="Y712" t="str">
        <f t="shared" si="997"/>
        <v/>
      </c>
      <c r="Z712" s="118" t="str">
        <f>+IF($W712="","",ROUND(IF(Parámetros!$D$25='TABLAS MORT'!$V$33,Z711,Parámetros!$D$21-'Tablas Servicio'!T711),0))</f>
        <v/>
      </c>
      <c r="AA712" s="118" t="str">
        <f t="shared" si="998"/>
        <v/>
      </c>
      <c r="AB712" s="119" t="str">
        <f>+IF(W712="","",ROUND((VLOOKUP(ROUNDDOWN($D712-1/frec,0),qx_tabla,2,FALSE)*(1+i/frec)^-0.5*(1+Parámetros!$D$103)*(1+rec_fracc)/frec),6))</f>
        <v/>
      </c>
      <c r="AC712" s="66" t="str">
        <f t="shared" si="954"/>
        <v/>
      </c>
      <c r="AD712" s="119" t="str">
        <f t="shared" si="950"/>
        <v/>
      </c>
      <c r="AE712" s="66" t="str">
        <f>+IF($W712="","",ROUND(IF($B712&gt;Parámetros!$D$107,'Tablas Servicio'!AC712+('Tablas Servicio'!AG711-'Tablas Servicio'!AC711),AC712/(1-IF(B712&lt;=10,Parámetros!$D$104,Parámetros!$D$105))),2))</f>
        <v/>
      </c>
      <c r="AF712" s="66" t="str">
        <f>+IF($W712="","",ROUND(IF($B712&gt;Parámetros!$D$107,'Tablas Servicio'!AC712+('Tablas Servicio'!AG711-'Tablas Servicio'!AC711),(AC712+$A711/frec)/(1-IF(B712&lt;=Parámetros!$D$117,Parámetros!$D$100,0))),2))</f>
        <v/>
      </c>
      <c r="AG712" s="66" t="str">
        <f t="shared" si="955"/>
        <v/>
      </c>
      <c r="AH712" s="66" t="str">
        <f t="shared" si="956"/>
        <v/>
      </c>
      <c r="AI712" s="66" t="str">
        <f t="shared" si="957"/>
        <v/>
      </c>
      <c r="AJ712" s="66" t="str">
        <f>+IF($W712="","",ROUND((AG712*Parámetros!$G$85),2))</f>
        <v/>
      </c>
      <c r="AK712" s="66" t="str">
        <f>+IF($W712="","",ROUND((AG712*(Parámetros!$G$86)),2))</f>
        <v/>
      </c>
      <c r="AL712" s="66" t="str">
        <f t="shared" si="951"/>
        <v/>
      </c>
      <c r="AM712" t="str">
        <f t="shared" si="999"/>
        <v/>
      </c>
      <c r="AN712" t="str">
        <f t="shared" si="1000"/>
        <v/>
      </c>
      <c r="AO712" s="118" t="str">
        <f t="shared" si="1001"/>
        <v/>
      </c>
      <c r="AP712" s="118" t="str">
        <f t="shared" si="1002"/>
        <v/>
      </c>
      <c r="AQ712" s="119" t="str">
        <f>+IF(OR($W712="",AO712=0),"",ROUND((VLOOKUP(ROUNDDOWN($D712-1/frec,0),cob_adi,Z$40,FALSE)*(1+i/frec)^-0.5*(1+Parámetros!$D$103)*(1+rec_fracc)/frec),6))</f>
        <v/>
      </c>
      <c r="AR712" s="66" t="str">
        <f t="shared" si="958"/>
        <v/>
      </c>
      <c r="AS712" s="119" t="str">
        <f t="shared" si="959"/>
        <v/>
      </c>
      <c r="AT712" s="66" t="str">
        <f>+IF($W712="","",ROUND(IF($B712&gt;Parámetros!$D$107,'Tablas Servicio'!AR712+('Tablas Servicio'!AT711-'Tablas Servicio'!AR711),AR712/(1-IF(B712&lt;=10,Parámetros!$D$100,0))),2))</f>
        <v/>
      </c>
      <c r="AU712" s="66" t="str">
        <f t="shared" si="960"/>
        <v/>
      </c>
      <c r="AV712" s="66" t="str">
        <f t="shared" si="960"/>
        <v/>
      </c>
      <c r="AW712" s="66" t="str">
        <f>+IF($W712="","",ROUND((AT712*Parámetros!$G$85),2))</f>
        <v/>
      </c>
      <c r="AX712" s="66" t="str">
        <f>+IF($W712="","",ROUND((AT712*(Parámetros!$G$86)),2))</f>
        <v/>
      </c>
      <c r="AY712" s="66" t="str">
        <f t="shared" si="961"/>
        <v/>
      </c>
      <c r="AZ712" t="str">
        <f t="shared" si="1003"/>
        <v/>
      </c>
      <c r="BA712" t="str">
        <f t="shared" si="1004"/>
        <v/>
      </c>
      <c r="BB712" s="118" t="str">
        <f t="shared" si="1005"/>
        <v/>
      </c>
      <c r="BC712" s="118" t="str">
        <f t="shared" si="1006"/>
        <v/>
      </c>
      <c r="BD712" s="119" t="str">
        <f>+IF(OR($W712="",BB712=0),"",ROUND((VLOOKUP(ROUNDDOWN($D712-1/frec,0),cob_adi,AO$40,FALSE)*(1+i/frec)^-0.5*(1+Parámetros!$D$103)*(1+rec_fracc)/frec),6))</f>
        <v/>
      </c>
      <c r="BE712" s="66" t="str">
        <f t="shared" si="962"/>
        <v/>
      </c>
      <c r="BF712" s="119" t="str">
        <f t="shared" si="963"/>
        <v/>
      </c>
      <c r="BG712" s="66" t="str">
        <f>+IF($W712="","",ROUND(IF($B712&gt;Parámetros!$D$107,'Tablas Servicio'!BE712+('Tablas Servicio'!BG711-'Tablas Servicio'!BE711),BE712/(1-IF(B712&lt;=10,Parámetros!$D$100,0))),2))</f>
        <v/>
      </c>
      <c r="BH712" s="66" t="str">
        <f t="shared" si="964"/>
        <v/>
      </c>
      <c r="BI712" s="66" t="str">
        <f t="shared" si="965"/>
        <v/>
      </c>
      <c r="BJ712" s="66" t="str">
        <f>+IF($W712="","",ROUND((BG712*Parámetros!$G$85),2))</f>
        <v/>
      </c>
      <c r="BK712" s="66" t="str">
        <f>+IF($W712="","",ROUND((BG712*(Parámetros!$G$86)),2))</f>
        <v/>
      </c>
      <c r="BL712" s="66" t="str">
        <f t="shared" si="966"/>
        <v/>
      </c>
      <c r="BM712" t="str">
        <f t="shared" si="1007"/>
        <v/>
      </c>
      <c r="BN712" t="str">
        <f t="shared" si="1008"/>
        <v/>
      </c>
      <c r="BO712" s="118" t="str">
        <f t="shared" si="1009"/>
        <v/>
      </c>
      <c r="BP712" s="118" t="str">
        <f t="shared" si="1010"/>
        <v/>
      </c>
      <c r="BQ712" s="119" t="str">
        <f>+IF(OR($W712="",BO712=0),"",ROUND((VLOOKUP(ROUNDDOWN($D712-1/frec,0),cob_adi,BB$40,FALSE)*(1+i/frec)^-0.5*(1+Parámetros!$D$103)*(1+rec_fracc)/frec),6))</f>
        <v/>
      </c>
      <c r="BR712" s="66" t="str">
        <f t="shared" si="967"/>
        <v/>
      </c>
      <c r="BS712" s="119" t="str">
        <f t="shared" si="968"/>
        <v/>
      </c>
      <c r="BT712" s="66" t="str">
        <f>+IF($W712="","",ROUND(IF($B712&gt;Parámetros!$D$107,'Tablas Servicio'!BR712+('Tablas Servicio'!BT711-'Tablas Servicio'!BR711),BR712/(1-IF(B712&lt;=10,Parámetros!$D$100,0))),2))</f>
        <v/>
      </c>
      <c r="BU712" s="66" t="str">
        <f t="shared" si="969"/>
        <v/>
      </c>
      <c r="BV712" s="66" t="str">
        <f t="shared" si="969"/>
        <v/>
      </c>
      <c r="BW712" s="66" t="str">
        <f>+IF($W712="","",ROUND((BT712*Parámetros!$G$85),2))</f>
        <v/>
      </c>
      <c r="BX712" s="66" t="str">
        <f>+IF($W712="","",ROUND((BT712*(Parámetros!$G$86)),2))</f>
        <v/>
      </c>
      <c r="BY712" s="66" t="str">
        <f t="shared" si="970"/>
        <v/>
      </c>
      <c r="BZ712" t="str">
        <f t="shared" si="1011"/>
        <v/>
      </c>
      <c r="CA712" t="str">
        <f t="shared" si="1012"/>
        <v/>
      </c>
      <c r="CB712" s="118" t="str">
        <f t="shared" si="1013"/>
        <v/>
      </c>
      <c r="CC712" s="118" t="str">
        <f t="shared" si="1014"/>
        <v/>
      </c>
      <c r="CD712" s="119" t="str">
        <f t="shared" si="971"/>
        <v/>
      </c>
      <c r="CE712" s="66" t="str">
        <f>+IF($W712="","",ROUND((VLOOKUP(ROUNDDOWN($D712-1/frec,0),cob_adi,BO$40,FALSE)*(1+i/frec)^-0.5*(1+Parámetros!$D$103)*(1+rec_fracc)/frec*'TABLAS ADI'!$BC$17),2))</f>
        <v/>
      </c>
      <c r="CF712" s="119" t="str">
        <f t="shared" si="972"/>
        <v/>
      </c>
      <c r="CG712" s="66" t="str">
        <f>+IF($W712="","",ROUND(IF($B712&gt;Parámetros!$D$107,'Tablas Servicio'!CE712+('Tablas Servicio'!CG711-'Tablas Servicio'!CE711),CE712/(1-IF(B712&lt;=10,Parámetros!$D$100,0))),2))</f>
        <v/>
      </c>
      <c r="CH712" s="66" t="str">
        <f t="shared" si="973"/>
        <v/>
      </c>
      <c r="CI712" s="66" t="str">
        <f t="shared" si="973"/>
        <v/>
      </c>
      <c r="CJ712" s="66" t="str">
        <f>+IF($W712="","",ROUND((CG712*Parámetros!$G$85),2))</f>
        <v/>
      </c>
      <c r="CK712" s="66" t="str">
        <f>+IF($W712="","",ROUND((CG712*(Parámetros!$G$86)),2))</f>
        <v/>
      </c>
      <c r="CL712" s="66" t="str">
        <f t="shared" si="974"/>
        <v/>
      </c>
      <c r="CM712" t="str">
        <f t="shared" si="1015"/>
        <v/>
      </c>
      <c r="CN712" s="118" t="str">
        <f t="shared" si="1016"/>
        <v/>
      </c>
      <c r="CO712" s="118" t="str">
        <f t="shared" si="1017"/>
        <v/>
      </c>
      <c r="CP712" s="118" t="str">
        <f t="shared" si="1018"/>
        <v/>
      </c>
      <c r="CQ712" s="119" t="str">
        <f t="shared" si="975"/>
        <v/>
      </c>
      <c r="CR712" s="66" t="str">
        <f>+IF($W712="","",ROUND((VLOOKUP(Parámetros!$F$51,'COBERTURAS ADICIONALES'!$S$4:$T$32,2,FALSE)*(1+i/frec)^-0.5*(1+Parámetros!$D$103)*(1+rec_fracc)/frec*$CO$42),2))</f>
        <v/>
      </c>
      <c r="CS712" s="119" t="str">
        <f t="shared" si="976"/>
        <v/>
      </c>
      <c r="CT712" s="66" t="str">
        <f>+IF($W712="","",ROUND(IF($B712&gt;Parámetros!$D$107,'Tablas Servicio'!CR712+('Tablas Servicio'!CT711-'Tablas Servicio'!CR711),CR712/(1-IF(B712&lt;=10,Parámetros!$D$100,0))),2))</f>
        <v/>
      </c>
      <c r="CU712" s="66" t="str">
        <f t="shared" si="977"/>
        <v/>
      </c>
      <c r="CV712" s="66" t="str">
        <f t="shared" si="977"/>
        <v/>
      </c>
      <c r="CW712" s="66" t="str">
        <f>+IF($W712="","",ROUND((CT712*Parámetros!$G$85),2))</f>
        <v/>
      </c>
      <c r="CX712" s="66" t="str">
        <f>+IF($W712="","",ROUND((CT712*(Parámetros!$G$86)),2))</f>
        <v/>
      </c>
      <c r="CY712" s="66" t="str">
        <f t="shared" si="978"/>
        <v/>
      </c>
      <c r="CZ712" t="str">
        <f t="shared" si="1019"/>
        <v/>
      </c>
      <c r="DA712" s="118" t="str">
        <f t="shared" si="1020"/>
        <v/>
      </c>
      <c r="DB712" s="118" t="str">
        <f t="shared" si="1021"/>
        <v/>
      </c>
      <c r="DC712" s="118" t="str">
        <f t="shared" si="1022"/>
        <v/>
      </c>
      <c r="DD712" s="121" t="str">
        <f>+IF(OR($W712="",DB712=0),"",ROUND((VLOOKUP(ROUNDDOWN($D712-1/frec,0),cob_adi,CO$40,FALSE)*(1+i/frec)^-0.5*(1+Parámetros!$D$103)*(1+rec_fracc)/frec),6))</f>
        <v/>
      </c>
      <c r="DE712" s="66" t="str">
        <f t="shared" si="979"/>
        <v/>
      </c>
      <c r="DF712" s="119" t="str">
        <f t="shared" si="980"/>
        <v/>
      </c>
      <c r="DG712" s="66" t="str">
        <f>+IF($W712="","",ROUND(IF($B712&gt;Parámetros!$D$107,'Tablas Servicio'!DE712+('Tablas Servicio'!DG711-'Tablas Servicio'!DE711),DE712/(1-IF(B712&lt;=10,Parámetros!$D$100,0))),2))</f>
        <v/>
      </c>
      <c r="DH712" s="66" t="str">
        <f t="shared" si="981"/>
        <v/>
      </c>
      <c r="DI712" s="66" t="str">
        <f t="shared" si="981"/>
        <v/>
      </c>
      <c r="DJ712" s="66" t="str">
        <f>+IF($W712="","",ROUND((DG712*Parámetros!$G$85),2))</f>
        <v/>
      </c>
      <c r="DK712" s="66" t="str">
        <f>+IF($W712="","",ROUND((DG712*(Parámetros!$G$86)),2))</f>
        <v/>
      </c>
      <c r="DL712" s="66" t="str">
        <f t="shared" si="982"/>
        <v/>
      </c>
      <c r="DM712" t="str">
        <f t="shared" si="1023"/>
        <v/>
      </c>
      <c r="DN712" s="118" t="str">
        <f t="shared" si="1024"/>
        <v/>
      </c>
      <c r="DO712" s="118" t="str">
        <f t="shared" si="1025"/>
        <v/>
      </c>
      <c r="DP712" s="118" t="str">
        <f t="shared" si="1026"/>
        <v/>
      </c>
      <c r="DQ712" s="122" t="str">
        <f>+IF(OR($W712="",DO712=0),"",ROUND((VLOOKUP(ROUNDDOWN($D712-1/frec,0),cob_adi,DB$40,FALSE)*(1+i/frec)^-0.5*(1+Parámetros!$D$103)*(1+rec_fracc)/frec),6))</f>
        <v/>
      </c>
      <c r="DR712" s="66" t="str">
        <f t="shared" si="983"/>
        <v/>
      </c>
      <c r="DS712" s="68" t="str">
        <f t="shared" si="984"/>
        <v/>
      </c>
      <c r="DT712" s="66" t="str">
        <f>+IF($W712="","",ROUND(IF($B712&gt;Parámetros!$D$107,'Tablas Servicio'!DR712+('Tablas Servicio'!DT711-'Tablas Servicio'!DR711),DR712/(1-IF(B712&lt;=10,Parámetros!$D$100,0))),2))</f>
        <v/>
      </c>
      <c r="DU712" s="66" t="str">
        <f t="shared" si="985"/>
        <v/>
      </c>
      <c r="DV712" s="66" t="str">
        <f t="shared" si="985"/>
        <v/>
      </c>
      <c r="DW712" s="66" t="str">
        <f>+IF($W712="","",ROUND((DT712*Parámetros!$G$85),2))</f>
        <v/>
      </c>
      <c r="DX712" s="66" t="str">
        <f>+IF($W712="","",ROUND((DT712*(Parámetros!$G$86)),2))</f>
        <v/>
      </c>
      <c r="DY712" s="66" t="str">
        <f t="shared" si="986"/>
        <v/>
      </c>
      <c r="DZ712" t="str">
        <f t="shared" si="1027"/>
        <v/>
      </c>
      <c r="EA712" s="118" t="str">
        <f t="shared" si="1027"/>
        <v/>
      </c>
      <c r="EB712" s="118" t="str">
        <f>+IF($W712="","",ROUND(IF(Parámetros!$D$25='TABLAS MORT'!$V$33,EB711,Z712/2),0))</f>
        <v/>
      </c>
      <c r="EC712" s="118" t="str">
        <f t="shared" si="1027"/>
        <v/>
      </c>
      <c r="ED712" s="122" t="str">
        <f>+IF(OR($W712="",EB712=0),"",ROUND((VLOOKUP(ROUNDDOWN($D712-1/frec,0),cob_adi,DO$40,FALSE)*(1+i/frec)^-0.5*(1+Parámetros!$D$103)*(1+rec_fracc)/frec),6))</f>
        <v/>
      </c>
      <c r="EE712" s="66" t="str">
        <f t="shared" si="988"/>
        <v/>
      </c>
      <c r="EF712" s="68" t="str">
        <f t="shared" si="989"/>
        <v/>
      </c>
      <c r="EG712" s="66" t="str">
        <f>+IF($W712="","",ROUND(IF($B712&gt;Parámetros!$D$107,'Tablas Servicio'!EE712+('Tablas Servicio'!EG711-'Tablas Servicio'!EE711),EE712/(1-IF(B712&lt;=10,Parámetros!$D$100,0))),2))</f>
        <v/>
      </c>
      <c r="EH712" s="66" t="str">
        <f t="shared" si="990"/>
        <v/>
      </c>
      <c r="EI712" s="66" t="str">
        <f t="shared" si="990"/>
        <v/>
      </c>
      <c r="EJ712" s="66" t="str">
        <f>+IF($W712="","",ROUND((EG712*Parámetros!$G$85),2))</f>
        <v/>
      </c>
      <c r="EK712" s="66" t="str">
        <f>+IF($W712="","",ROUND((EG712*(Parámetros!$G$86)),2))</f>
        <v/>
      </c>
      <c r="EL712" s="66" t="str">
        <f t="shared" si="991"/>
        <v/>
      </c>
    </row>
    <row r="713" spans="1:142" x14ac:dyDescent="0.25">
      <c r="A713" t="str">
        <f>+IF($C713="","",ROUND(VLOOKUP('Tablas Servicio'!B713,Parámetros!$H$100:$J$159,IF(Parámetros!$E$16="F",2,3),FALSE),2))</f>
        <v/>
      </c>
      <c r="B713" t="str">
        <f t="shared" si="942"/>
        <v/>
      </c>
      <c r="C713" s="57" t="str">
        <f>+IF(D713="","",'Tablas Servicio'!C712+1)</f>
        <v/>
      </c>
      <c r="D713" s="56" t="str">
        <f>+IF(D712&lt;edadmaxtabla,D712+1/Parámetros!$E$25,"")</f>
        <v/>
      </c>
      <c r="E713" s="57" t="str">
        <f t="shared" si="952"/>
        <v/>
      </c>
      <c r="F713" s="59" t="str">
        <f t="shared" si="953"/>
        <v/>
      </c>
      <c r="G713" s="66" t="str">
        <f t="shared" si="943"/>
        <v/>
      </c>
      <c r="H713" s="66" t="str">
        <f t="shared" si="944"/>
        <v/>
      </c>
      <c r="I713" s="66" t="str">
        <f t="shared" si="992"/>
        <v/>
      </c>
      <c r="J713" s="66" t="str">
        <f t="shared" si="945"/>
        <v/>
      </c>
      <c r="K713" s="66" t="str">
        <f t="shared" si="946"/>
        <v/>
      </c>
      <c r="L713" s="66" t="str">
        <f t="shared" si="947"/>
        <v/>
      </c>
      <c r="M713" s="66" t="str">
        <f t="shared" si="948"/>
        <v/>
      </c>
      <c r="N713" s="66" t="str">
        <f>+IF(C713="","",ROUND(Parámetros!$D$23,2))</f>
        <v/>
      </c>
      <c r="O713" s="66" t="str">
        <f t="shared" si="949"/>
        <v/>
      </c>
      <c r="P713" s="66" t="str">
        <f>+IF($C713="","",ROUND(IF(B713&gt;Parámetros!$D$117,0,N713*Parámetros!$D$116-G713*Parámetros!$D$100),2))</f>
        <v/>
      </c>
      <c r="Q713" s="75" t="str">
        <f t="shared" si="993"/>
        <v/>
      </c>
      <c r="R713" s="75" t="str">
        <f t="shared" si="994"/>
        <v/>
      </c>
      <c r="S713" s="117" t="str">
        <f>+IF($C713="","",ROUND((S712+I713)*(1+Parámetros!$D$91),2))</f>
        <v/>
      </c>
      <c r="T713" s="117" t="str">
        <f>+IF($C713="","",ROUND(S713*VLOOKUP(B713,Parámetros!$C$30:$D$39,2,TRUE),2))</f>
        <v/>
      </c>
      <c r="U713" s="117" t="str">
        <f>+IF($C713="","",ROUND((U712+I713)*(1+Parámetros!$D$92),2))</f>
        <v/>
      </c>
      <c r="V713" s="117" t="str">
        <f>+IF($C713="","",ROUND(U713*VLOOKUP(B713,Parámetros!$C$30:$D$39,2,TRUE),2))</f>
        <v/>
      </c>
      <c r="W713" s="57" t="str">
        <f t="shared" si="995"/>
        <v/>
      </c>
      <c r="X713" t="str">
        <f t="shared" si="996"/>
        <v/>
      </c>
      <c r="Y713" t="str">
        <f t="shared" si="997"/>
        <v/>
      </c>
      <c r="Z713" s="118" t="str">
        <f>+IF($W713="","",ROUND(IF(Parámetros!$D$25='TABLAS MORT'!$V$33,Z712,Parámetros!$D$21-'Tablas Servicio'!T712),0))</f>
        <v/>
      </c>
      <c r="AA713" s="118" t="str">
        <f t="shared" si="998"/>
        <v/>
      </c>
      <c r="AB713" s="119" t="str">
        <f>+IF(W713="","",ROUND((VLOOKUP(ROUNDDOWN($D713-1/frec,0),qx_tabla,2,FALSE)*(1+i/frec)^-0.5*(1+Parámetros!$D$103)*(1+rec_fracc)/frec),6))</f>
        <v/>
      </c>
      <c r="AC713" s="66" t="str">
        <f t="shared" si="954"/>
        <v/>
      </c>
      <c r="AD713" s="119" t="str">
        <f t="shared" si="950"/>
        <v/>
      </c>
      <c r="AE713" s="66" t="str">
        <f>+IF($W713="","",ROUND(IF($B713&gt;Parámetros!$D$107,'Tablas Servicio'!AC713+('Tablas Servicio'!AG712-'Tablas Servicio'!AC712),AC713/(1-IF(B713&lt;=10,Parámetros!$D$104,Parámetros!$D$105))),2))</f>
        <v/>
      </c>
      <c r="AF713" s="66" t="str">
        <f>+IF($W713="","",ROUND(IF($B713&gt;Parámetros!$D$107,'Tablas Servicio'!AC713+('Tablas Servicio'!AG712-'Tablas Servicio'!AC712),(AC713+$A712/frec)/(1-IF(B713&lt;=Parámetros!$D$117,Parámetros!$D$100,0))),2))</f>
        <v/>
      </c>
      <c r="AG713" s="66" t="str">
        <f t="shared" si="955"/>
        <v/>
      </c>
      <c r="AH713" s="66" t="str">
        <f t="shared" si="956"/>
        <v/>
      </c>
      <c r="AI713" s="66" t="str">
        <f t="shared" si="957"/>
        <v/>
      </c>
      <c r="AJ713" s="66" t="str">
        <f>+IF($W713="","",ROUND((AG713*Parámetros!$G$85),2))</f>
        <v/>
      </c>
      <c r="AK713" s="66" t="str">
        <f>+IF($W713="","",ROUND((AG713*(Parámetros!$G$86)),2))</f>
        <v/>
      </c>
      <c r="AL713" s="66" t="str">
        <f t="shared" si="951"/>
        <v/>
      </c>
      <c r="AM713" t="str">
        <f t="shared" si="999"/>
        <v/>
      </c>
      <c r="AN713" t="str">
        <f t="shared" si="1000"/>
        <v/>
      </c>
      <c r="AO713" s="118" t="str">
        <f t="shared" si="1001"/>
        <v/>
      </c>
      <c r="AP713" s="118" t="str">
        <f t="shared" si="1002"/>
        <v/>
      </c>
      <c r="AQ713" s="119" t="str">
        <f>+IF(OR($W713="",AO713=0),"",ROUND((VLOOKUP(ROUNDDOWN($D713-1/frec,0),cob_adi,Z$40,FALSE)*(1+i/frec)^-0.5*(1+Parámetros!$D$103)*(1+rec_fracc)/frec),6))</f>
        <v/>
      </c>
      <c r="AR713" s="66" t="str">
        <f t="shared" si="958"/>
        <v/>
      </c>
      <c r="AS713" s="119" t="str">
        <f t="shared" si="959"/>
        <v/>
      </c>
      <c r="AT713" s="66" t="str">
        <f>+IF($W713="","",ROUND(IF($B713&gt;Parámetros!$D$107,'Tablas Servicio'!AR713+('Tablas Servicio'!AT712-'Tablas Servicio'!AR712),AR713/(1-IF(B713&lt;=10,Parámetros!$D$100,0))),2))</f>
        <v/>
      </c>
      <c r="AU713" s="66" t="str">
        <f t="shared" si="960"/>
        <v/>
      </c>
      <c r="AV713" s="66" t="str">
        <f t="shared" si="960"/>
        <v/>
      </c>
      <c r="AW713" s="66" t="str">
        <f>+IF($W713="","",ROUND((AT713*Parámetros!$G$85),2))</f>
        <v/>
      </c>
      <c r="AX713" s="66" t="str">
        <f>+IF($W713="","",ROUND((AT713*(Parámetros!$G$86)),2))</f>
        <v/>
      </c>
      <c r="AY713" s="66" t="str">
        <f t="shared" si="961"/>
        <v/>
      </c>
      <c r="AZ713" t="str">
        <f t="shared" si="1003"/>
        <v/>
      </c>
      <c r="BA713" t="str">
        <f t="shared" si="1004"/>
        <v/>
      </c>
      <c r="BB713" s="118" t="str">
        <f t="shared" si="1005"/>
        <v/>
      </c>
      <c r="BC713" s="118" t="str">
        <f t="shared" si="1006"/>
        <v/>
      </c>
      <c r="BD713" s="119" t="str">
        <f>+IF(OR($W713="",BB713=0),"",ROUND((VLOOKUP(ROUNDDOWN($D713-1/frec,0),cob_adi,AO$40,FALSE)*(1+i/frec)^-0.5*(1+Parámetros!$D$103)*(1+rec_fracc)/frec),6))</f>
        <v/>
      </c>
      <c r="BE713" s="66" t="str">
        <f t="shared" si="962"/>
        <v/>
      </c>
      <c r="BF713" s="119" t="str">
        <f t="shared" si="963"/>
        <v/>
      </c>
      <c r="BG713" s="66" t="str">
        <f>+IF($W713="","",ROUND(IF($B713&gt;Parámetros!$D$107,'Tablas Servicio'!BE713+('Tablas Servicio'!BG712-'Tablas Servicio'!BE712),BE713/(1-IF(B713&lt;=10,Parámetros!$D$100,0))),2))</f>
        <v/>
      </c>
      <c r="BH713" s="66" t="str">
        <f t="shared" si="964"/>
        <v/>
      </c>
      <c r="BI713" s="66" t="str">
        <f t="shared" si="965"/>
        <v/>
      </c>
      <c r="BJ713" s="66" t="str">
        <f>+IF($W713="","",ROUND((BG713*Parámetros!$G$85),2))</f>
        <v/>
      </c>
      <c r="BK713" s="66" t="str">
        <f>+IF($W713="","",ROUND((BG713*(Parámetros!$G$86)),2))</f>
        <v/>
      </c>
      <c r="BL713" s="66" t="str">
        <f t="shared" si="966"/>
        <v/>
      </c>
      <c r="BM713" t="str">
        <f t="shared" si="1007"/>
        <v/>
      </c>
      <c r="BN713" t="str">
        <f t="shared" si="1008"/>
        <v/>
      </c>
      <c r="BO713" s="118" t="str">
        <f t="shared" si="1009"/>
        <v/>
      </c>
      <c r="BP713" s="118" t="str">
        <f t="shared" si="1010"/>
        <v/>
      </c>
      <c r="BQ713" s="119" t="str">
        <f>+IF(OR($W713="",BO713=0),"",ROUND((VLOOKUP(ROUNDDOWN($D713-1/frec,0),cob_adi,BB$40,FALSE)*(1+i/frec)^-0.5*(1+Parámetros!$D$103)*(1+rec_fracc)/frec),6))</f>
        <v/>
      </c>
      <c r="BR713" s="66" t="str">
        <f t="shared" si="967"/>
        <v/>
      </c>
      <c r="BS713" s="119" t="str">
        <f t="shared" si="968"/>
        <v/>
      </c>
      <c r="BT713" s="66" t="str">
        <f>+IF($W713="","",ROUND(IF($B713&gt;Parámetros!$D$107,'Tablas Servicio'!BR713+('Tablas Servicio'!BT712-'Tablas Servicio'!BR712),BR713/(1-IF(B713&lt;=10,Parámetros!$D$100,0))),2))</f>
        <v/>
      </c>
      <c r="BU713" s="66" t="str">
        <f t="shared" si="969"/>
        <v/>
      </c>
      <c r="BV713" s="66" t="str">
        <f t="shared" si="969"/>
        <v/>
      </c>
      <c r="BW713" s="66" t="str">
        <f>+IF($W713="","",ROUND((BT713*Parámetros!$G$85),2))</f>
        <v/>
      </c>
      <c r="BX713" s="66" t="str">
        <f>+IF($W713="","",ROUND((BT713*(Parámetros!$G$86)),2))</f>
        <v/>
      </c>
      <c r="BY713" s="66" t="str">
        <f t="shared" si="970"/>
        <v/>
      </c>
      <c r="BZ713" t="str">
        <f t="shared" si="1011"/>
        <v/>
      </c>
      <c r="CA713" t="str">
        <f t="shared" si="1012"/>
        <v/>
      </c>
      <c r="CB713" s="118" t="str">
        <f t="shared" si="1013"/>
        <v/>
      </c>
      <c r="CC713" s="118" t="str">
        <f t="shared" si="1014"/>
        <v/>
      </c>
      <c r="CD713" s="119" t="str">
        <f t="shared" si="971"/>
        <v/>
      </c>
      <c r="CE713" s="66" t="str">
        <f>+IF($W713="","",ROUND((VLOOKUP(ROUNDDOWN($D713-1/frec,0),cob_adi,BO$40,FALSE)*(1+i/frec)^-0.5*(1+Parámetros!$D$103)*(1+rec_fracc)/frec*'TABLAS ADI'!$BC$17),2))</f>
        <v/>
      </c>
      <c r="CF713" s="119" t="str">
        <f t="shared" si="972"/>
        <v/>
      </c>
      <c r="CG713" s="66" t="str">
        <f>+IF($W713="","",ROUND(IF($B713&gt;Parámetros!$D$107,'Tablas Servicio'!CE713+('Tablas Servicio'!CG712-'Tablas Servicio'!CE712),CE713/(1-IF(B713&lt;=10,Parámetros!$D$100,0))),2))</f>
        <v/>
      </c>
      <c r="CH713" s="66" t="str">
        <f t="shared" si="973"/>
        <v/>
      </c>
      <c r="CI713" s="66" t="str">
        <f t="shared" si="973"/>
        <v/>
      </c>
      <c r="CJ713" s="66" t="str">
        <f>+IF($W713="","",ROUND((CG713*Parámetros!$G$85),2))</f>
        <v/>
      </c>
      <c r="CK713" s="66" t="str">
        <f>+IF($W713="","",ROUND((CG713*(Parámetros!$G$86)),2))</f>
        <v/>
      </c>
      <c r="CL713" s="66" t="str">
        <f t="shared" si="974"/>
        <v/>
      </c>
      <c r="CM713" t="str">
        <f t="shared" si="1015"/>
        <v/>
      </c>
      <c r="CN713" s="118" t="str">
        <f t="shared" si="1016"/>
        <v/>
      </c>
      <c r="CO713" s="118" t="str">
        <f t="shared" si="1017"/>
        <v/>
      </c>
      <c r="CP713" s="118" t="str">
        <f t="shared" si="1018"/>
        <v/>
      </c>
      <c r="CQ713" s="119" t="str">
        <f t="shared" si="975"/>
        <v/>
      </c>
      <c r="CR713" s="66" t="str">
        <f>+IF($W713="","",ROUND((VLOOKUP(Parámetros!$F$51,'COBERTURAS ADICIONALES'!$S$4:$T$32,2,FALSE)*(1+i/frec)^-0.5*(1+Parámetros!$D$103)*(1+rec_fracc)/frec*$CO$42),2))</f>
        <v/>
      </c>
      <c r="CS713" s="119" t="str">
        <f t="shared" si="976"/>
        <v/>
      </c>
      <c r="CT713" s="66" t="str">
        <f>+IF($W713="","",ROUND(IF($B713&gt;Parámetros!$D$107,'Tablas Servicio'!CR713+('Tablas Servicio'!CT712-'Tablas Servicio'!CR712),CR713/(1-IF(B713&lt;=10,Parámetros!$D$100,0))),2))</f>
        <v/>
      </c>
      <c r="CU713" s="66" t="str">
        <f t="shared" si="977"/>
        <v/>
      </c>
      <c r="CV713" s="66" t="str">
        <f t="shared" si="977"/>
        <v/>
      </c>
      <c r="CW713" s="66" t="str">
        <f>+IF($W713="","",ROUND((CT713*Parámetros!$G$85),2))</f>
        <v/>
      </c>
      <c r="CX713" s="66" t="str">
        <f>+IF($W713="","",ROUND((CT713*(Parámetros!$G$86)),2))</f>
        <v/>
      </c>
      <c r="CY713" s="66" t="str">
        <f t="shared" si="978"/>
        <v/>
      </c>
      <c r="CZ713" t="str">
        <f t="shared" si="1019"/>
        <v/>
      </c>
      <c r="DA713" s="118" t="str">
        <f t="shared" si="1020"/>
        <v/>
      </c>
      <c r="DB713" s="118" t="str">
        <f t="shared" si="1021"/>
        <v/>
      </c>
      <c r="DC713" s="118" t="str">
        <f t="shared" si="1022"/>
        <v/>
      </c>
      <c r="DD713" s="121" t="str">
        <f>+IF(OR($W713="",DB713=0),"",ROUND((VLOOKUP(ROUNDDOWN($D713-1/frec,0),cob_adi,CO$40,FALSE)*(1+i/frec)^-0.5*(1+Parámetros!$D$103)*(1+rec_fracc)/frec),6))</f>
        <v/>
      </c>
      <c r="DE713" s="66" t="str">
        <f t="shared" si="979"/>
        <v/>
      </c>
      <c r="DF713" s="119" t="str">
        <f t="shared" si="980"/>
        <v/>
      </c>
      <c r="DG713" s="66" t="str">
        <f>+IF($W713="","",ROUND(IF($B713&gt;Parámetros!$D$107,'Tablas Servicio'!DE713+('Tablas Servicio'!DG712-'Tablas Servicio'!DE712),DE713/(1-IF(B713&lt;=10,Parámetros!$D$100,0))),2))</f>
        <v/>
      </c>
      <c r="DH713" s="66" t="str">
        <f t="shared" si="981"/>
        <v/>
      </c>
      <c r="DI713" s="66" t="str">
        <f t="shared" si="981"/>
        <v/>
      </c>
      <c r="DJ713" s="66" t="str">
        <f>+IF($W713="","",ROUND((DG713*Parámetros!$G$85),2))</f>
        <v/>
      </c>
      <c r="DK713" s="66" t="str">
        <f>+IF($W713="","",ROUND((DG713*(Parámetros!$G$86)),2))</f>
        <v/>
      </c>
      <c r="DL713" s="66" t="str">
        <f t="shared" si="982"/>
        <v/>
      </c>
      <c r="DM713" t="str">
        <f t="shared" si="1023"/>
        <v/>
      </c>
      <c r="DN713" s="118" t="str">
        <f t="shared" si="1024"/>
        <v/>
      </c>
      <c r="DO713" s="118" t="str">
        <f t="shared" si="1025"/>
        <v/>
      </c>
      <c r="DP713" s="118" t="str">
        <f t="shared" si="1026"/>
        <v/>
      </c>
      <c r="DQ713" s="122" t="str">
        <f>+IF(OR($W713="",DO713=0),"",ROUND((VLOOKUP(ROUNDDOWN($D713-1/frec,0),cob_adi,DB$40,FALSE)*(1+i/frec)^-0.5*(1+Parámetros!$D$103)*(1+rec_fracc)/frec),6))</f>
        <v/>
      </c>
      <c r="DR713" s="66" t="str">
        <f t="shared" si="983"/>
        <v/>
      </c>
      <c r="DS713" s="68" t="str">
        <f t="shared" si="984"/>
        <v/>
      </c>
      <c r="DT713" s="66" t="str">
        <f>+IF($W713="","",ROUND(IF($B713&gt;Parámetros!$D$107,'Tablas Servicio'!DR713+('Tablas Servicio'!DT712-'Tablas Servicio'!DR712),DR713/(1-IF(B713&lt;=10,Parámetros!$D$100,0))),2))</f>
        <v/>
      </c>
      <c r="DU713" s="66" t="str">
        <f t="shared" si="985"/>
        <v/>
      </c>
      <c r="DV713" s="66" t="str">
        <f t="shared" si="985"/>
        <v/>
      </c>
      <c r="DW713" s="66" t="str">
        <f>+IF($W713="","",ROUND((DT713*Parámetros!$G$85),2))</f>
        <v/>
      </c>
      <c r="DX713" s="66" t="str">
        <f>+IF($W713="","",ROUND((DT713*(Parámetros!$G$86)),2))</f>
        <v/>
      </c>
      <c r="DY713" s="66" t="str">
        <f t="shared" si="986"/>
        <v/>
      </c>
      <c r="DZ713" t="str">
        <f t="shared" si="1027"/>
        <v/>
      </c>
      <c r="EA713" s="118" t="str">
        <f t="shared" si="1027"/>
        <v/>
      </c>
      <c r="EB713" s="118" t="str">
        <f>+IF($W713="","",ROUND(IF(Parámetros!$D$25='TABLAS MORT'!$V$33,EB712,Z713/2),0))</f>
        <v/>
      </c>
      <c r="EC713" s="118" t="str">
        <f t="shared" si="1027"/>
        <v/>
      </c>
      <c r="ED713" s="122" t="str">
        <f>+IF(OR($W713="",EB713=0),"",ROUND((VLOOKUP(ROUNDDOWN($D713-1/frec,0),cob_adi,DO$40,FALSE)*(1+i/frec)^-0.5*(1+Parámetros!$D$103)*(1+rec_fracc)/frec),6))</f>
        <v/>
      </c>
      <c r="EE713" s="66" t="str">
        <f t="shared" si="988"/>
        <v/>
      </c>
      <c r="EF713" s="68" t="str">
        <f t="shared" si="989"/>
        <v/>
      </c>
      <c r="EG713" s="66" t="str">
        <f>+IF($W713="","",ROUND(IF($B713&gt;Parámetros!$D$107,'Tablas Servicio'!EE713+('Tablas Servicio'!EG712-'Tablas Servicio'!EE712),EE713/(1-IF(B713&lt;=10,Parámetros!$D$100,0))),2))</f>
        <v/>
      </c>
      <c r="EH713" s="66" t="str">
        <f t="shared" si="990"/>
        <v/>
      </c>
      <c r="EI713" s="66" t="str">
        <f t="shared" si="990"/>
        <v/>
      </c>
      <c r="EJ713" s="66" t="str">
        <f>+IF($W713="","",ROUND((EG713*Parámetros!$G$85),2))</f>
        <v/>
      </c>
      <c r="EK713" s="66" t="str">
        <f>+IF($W713="","",ROUND((EG713*(Parámetros!$G$86)),2))</f>
        <v/>
      </c>
      <c r="EL713" s="66" t="str">
        <f t="shared" si="991"/>
        <v/>
      </c>
    </row>
    <row r="714" spans="1:142" x14ac:dyDescent="0.25">
      <c r="A714" t="str">
        <f>+IF($C714="","",ROUND(VLOOKUP('Tablas Servicio'!B714,Parámetros!$H$100:$J$159,IF(Parámetros!$E$16="F",2,3),FALSE),2))</f>
        <v/>
      </c>
      <c r="B714" t="str">
        <f t="shared" si="942"/>
        <v/>
      </c>
      <c r="C714" s="57" t="str">
        <f>+IF(D714="","",'Tablas Servicio'!C713+1)</f>
        <v/>
      </c>
      <c r="D714" s="56" t="str">
        <f>+IF(D713&lt;edadmaxtabla,D713+1/Parámetros!$E$25,"")</f>
        <v/>
      </c>
      <c r="E714" s="57" t="str">
        <f t="shared" si="952"/>
        <v/>
      </c>
      <c r="F714" s="59" t="str">
        <f t="shared" si="953"/>
        <v/>
      </c>
      <c r="G714" s="66" t="str">
        <f t="shared" si="943"/>
        <v/>
      </c>
      <c r="H714" s="66" t="str">
        <f t="shared" si="944"/>
        <v/>
      </c>
      <c r="I714" s="66" t="str">
        <f t="shared" si="992"/>
        <v/>
      </c>
      <c r="J714" s="66" t="str">
        <f t="shared" si="945"/>
        <v/>
      </c>
      <c r="K714" s="66" t="str">
        <f t="shared" si="946"/>
        <v/>
      </c>
      <c r="L714" s="66" t="str">
        <f t="shared" si="947"/>
        <v/>
      </c>
      <c r="M714" s="66" t="str">
        <f t="shared" si="948"/>
        <v/>
      </c>
      <c r="N714" s="66" t="str">
        <f>+IF(C714="","",ROUND(Parámetros!$D$23,2))</f>
        <v/>
      </c>
      <c r="O714" s="66" t="str">
        <f t="shared" si="949"/>
        <v/>
      </c>
      <c r="P714" s="66" t="str">
        <f>+IF($C714="","",ROUND(IF(B714&gt;Parámetros!$D$117,0,N714*Parámetros!$D$116-G714*Parámetros!$D$100),2))</f>
        <v/>
      </c>
      <c r="Q714" s="75" t="str">
        <f t="shared" si="993"/>
        <v/>
      </c>
      <c r="R714" s="75" t="str">
        <f t="shared" si="994"/>
        <v/>
      </c>
      <c r="S714" s="117" t="str">
        <f>+IF($C714="","",ROUND((S713+I714)*(1+Parámetros!$D$91),2))</f>
        <v/>
      </c>
      <c r="T714" s="117" t="str">
        <f>+IF($C714="","",ROUND(S714*VLOOKUP(B714,Parámetros!$C$30:$D$39,2,TRUE),2))</f>
        <v/>
      </c>
      <c r="U714" s="117" t="str">
        <f>+IF($C714="","",ROUND((U713+I714)*(1+Parámetros!$D$92),2))</f>
        <v/>
      </c>
      <c r="V714" s="117" t="str">
        <f>+IF($C714="","",ROUND(U714*VLOOKUP(B714,Parámetros!$C$30:$D$39,2,TRUE),2))</f>
        <v/>
      </c>
      <c r="W714" s="57" t="str">
        <f t="shared" si="995"/>
        <v/>
      </c>
      <c r="X714" t="str">
        <f t="shared" si="996"/>
        <v/>
      </c>
      <c r="Y714" t="str">
        <f t="shared" si="997"/>
        <v/>
      </c>
      <c r="Z714" s="118" t="str">
        <f>+IF($W714="","",ROUND(IF(Parámetros!$D$25='TABLAS MORT'!$V$33,Z713,Parámetros!$D$21-'Tablas Servicio'!T713),0))</f>
        <v/>
      </c>
      <c r="AA714" s="118" t="str">
        <f t="shared" si="998"/>
        <v/>
      </c>
      <c r="AB714" s="119" t="str">
        <f>+IF(W714="","",ROUND((VLOOKUP(ROUNDDOWN($D714-1/frec,0),qx_tabla,2,FALSE)*(1+i/frec)^-0.5*(1+Parámetros!$D$103)*(1+rec_fracc)/frec),6))</f>
        <v/>
      </c>
      <c r="AC714" s="66" t="str">
        <f t="shared" si="954"/>
        <v/>
      </c>
      <c r="AD714" s="119" t="str">
        <f t="shared" si="950"/>
        <v/>
      </c>
      <c r="AE714" s="66" t="str">
        <f>+IF($W714="","",ROUND(IF($B714&gt;Parámetros!$D$107,'Tablas Servicio'!AC714+('Tablas Servicio'!AG713-'Tablas Servicio'!AC713),AC714/(1-IF(B714&lt;=10,Parámetros!$D$104,Parámetros!$D$105))),2))</f>
        <v/>
      </c>
      <c r="AF714" s="66" t="str">
        <f>+IF($W714="","",ROUND(IF($B714&gt;Parámetros!$D$107,'Tablas Servicio'!AC714+('Tablas Servicio'!AG713-'Tablas Servicio'!AC713),(AC714+$A713/frec)/(1-IF(B714&lt;=Parámetros!$D$117,Parámetros!$D$100,0))),2))</f>
        <v/>
      </c>
      <c r="AG714" s="66" t="str">
        <f t="shared" si="955"/>
        <v/>
      </c>
      <c r="AH714" s="66" t="str">
        <f t="shared" si="956"/>
        <v/>
      </c>
      <c r="AI714" s="66" t="str">
        <f t="shared" si="957"/>
        <v/>
      </c>
      <c r="AJ714" s="66" t="str">
        <f>+IF($W714="","",ROUND((AG714*Parámetros!$G$85),2))</f>
        <v/>
      </c>
      <c r="AK714" s="66" t="str">
        <f>+IF($W714="","",ROUND((AG714*(Parámetros!$G$86)),2))</f>
        <v/>
      </c>
      <c r="AL714" s="66" t="str">
        <f t="shared" si="951"/>
        <v/>
      </c>
      <c r="AM714" t="str">
        <f t="shared" si="999"/>
        <v/>
      </c>
      <c r="AN714" t="str">
        <f t="shared" si="1000"/>
        <v/>
      </c>
      <c r="AO714" s="118" t="str">
        <f t="shared" si="1001"/>
        <v/>
      </c>
      <c r="AP714" s="118" t="str">
        <f t="shared" si="1002"/>
        <v/>
      </c>
      <c r="AQ714" s="119" t="str">
        <f>+IF(OR($W714="",AO714=0),"",ROUND((VLOOKUP(ROUNDDOWN($D714-1/frec,0),cob_adi,Z$40,FALSE)*(1+i/frec)^-0.5*(1+Parámetros!$D$103)*(1+rec_fracc)/frec),6))</f>
        <v/>
      </c>
      <c r="AR714" s="66" t="str">
        <f t="shared" si="958"/>
        <v/>
      </c>
      <c r="AS714" s="119" t="str">
        <f t="shared" si="959"/>
        <v/>
      </c>
      <c r="AT714" s="66" t="str">
        <f>+IF($W714="","",ROUND(IF($B714&gt;Parámetros!$D$107,'Tablas Servicio'!AR714+('Tablas Servicio'!AT713-'Tablas Servicio'!AR713),AR714/(1-IF(B714&lt;=10,Parámetros!$D$100,0))),2))</f>
        <v/>
      </c>
      <c r="AU714" s="66" t="str">
        <f t="shared" si="960"/>
        <v/>
      </c>
      <c r="AV714" s="66" t="str">
        <f t="shared" si="960"/>
        <v/>
      </c>
      <c r="AW714" s="66" t="str">
        <f>+IF($W714="","",ROUND((AT714*Parámetros!$G$85),2))</f>
        <v/>
      </c>
      <c r="AX714" s="66" t="str">
        <f>+IF($W714="","",ROUND((AT714*(Parámetros!$G$86)),2))</f>
        <v/>
      </c>
      <c r="AY714" s="66" t="str">
        <f t="shared" si="961"/>
        <v/>
      </c>
      <c r="AZ714" t="str">
        <f t="shared" si="1003"/>
        <v/>
      </c>
      <c r="BA714" t="str">
        <f t="shared" si="1004"/>
        <v/>
      </c>
      <c r="BB714" s="118" t="str">
        <f t="shared" si="1005"/>
        <v/>
      </c>
      <c r="BC714" s="118" t="str">
        <f t="shared" si="1006"/>
        <v/>
      </c>
      <c r="BD714" s="119" t="str">
        <f>+IF(OR($W714="",BB714=0),"",ROUND((VLOOKUP(ROUNDDOWN($D714-1/frec,0),cob_adi,AO$40,FALSE)*(1+i/frec)^-0.5*(1+Parámetros!$D$103)*(1+rec_fracc)/frec),6))</f>
        <v/>
      </c>
      <c r="BE714" s="66" t="str">
        <f t="shared" si="962"/>
        <v/>
      </c>
      <c r="BF714" s="119" t="str">
        <f t="shared" si="963"/>
        <v/>
      </c>
      <c r="BG714" s="66" t="str">
        <f>+IF($W714="","",ROUND(IF($B714&gt;Parámetros!$D$107,'Tablas Servicio'!BE714+('Tablas Servicio'!BG713-'Tablas Servicio'!BE713),BE714/(1-IF(B714&lt;=10,Parámetros!$D$100,0))),2))</f>
        <v/>
      </c>
      <c r="BH714" s="66" t="str">
        <f t="shared" si="964"/>
        <v/>
      </c>
      <c r="BI714" s="66" t="str">
        <f t="shared" si="965"/>
        <v/>
      </c>
      <c r="BJ714" s="66" t="str">
        <f>+IF($W714="","",ROUND((BG714*Parámetros!$G$85),2))</f>
        <v/>
      </c>
      <c r="BK714" s="66" t="str">
        <f>+IF($W714="","",ROUND((BG714*(Parámetros!$G$86)),2))</f>
        <v/>
      </c>
      <c r="BL714" s="66" t="str">
        <f t="shared" si="966"/>
        <v/>
      </c>
      <c r="BM714" t="str">
        <f t="shared" si="1007"/>
        <v/>
      </c>
      <c r="BN714" t="str">
        <f t="shared" si="1008"/>
        <v/>
      </c>
      <c r="BO714" s="118" t="str">
        <f t="shared" si="1009"/>
        <v/>
      </c>
      <c r="BP714" s="118" t="str">
        <f t="shared" si="1010"/>
        <v/>
      </c>
      <c r="BQ714" s="119" t="str">
        <f>+IF(OR($W714="",BO714=0),"",ROUND((VLOOKUP(ROUNDDOWN($D714-1/frec,0),cob_adi,BB$40,FALSE)*(1+i/frec)^-0.5*(1+Parámetros!$D$103)*(1+rec_fracc)/frec),6))</f>
        <v/>
      </c>
      <c r="BR714" s="66" t="str">
        <f t="shared" si="967"/>
        <v/>
      </c>
      <c r="BS714" s="119" t="str">
        <f t="shared" si="968"/>
        <v/>
      </c>
      <c r="BT714" s="66" t="str">
        <f>+IF($W714="","",ROUND(IF($B714&gt;Parámetros!$D$107,'Tablas Servicio'!BR714+('Tablas Servicio'!BT713-'Tablas Servicio'!BR713),BR714/(1-IF(B714&lt;=10,Parámetros!$D$100,0))),2))</f>
        <v/>
      </c>
      <c r="BU714" s="66" t="str">
        <f t="shared" si="969"/>
        <v/>
      </c>
      <c r="BV714" s="66" t="str">
        <f t="shared" si="969"/>
        <v/>
      </c>
      <c r="BW714" s="66" t="str">
        <f>+IF($W714="","",ROUND((BT714*Parámetros!$G$85),2))</f>
        <v/>
      </c>
      <c r="BX714" s="66" t="str">
        <f>+IF($W714="","",ROUND((BT714*(Parámetros!$G$86)),2))</f>
        <v/>
      </c>
      <c r="BY714" s="66" t="str">
        <f t="shared" si="970"/>
        <v/>
      </c>
      <c r="BZ714" t="str">
        <f t="shared" si="1011"/>
        <v/>
      </c>
      <c r="CA714" t="str">
        <f t="shared" si="1012"/>
        <v/>
      </c>
      <c r="CB714" s="118" t="str">
        <f t="shared" si="1013"/>
        <v/>
      </c>
      <c r="CC714" s="118" t="str">
        <f t="shared" si="1014"/>
        <v/>
      </c>
      <c r="CD714" s="119" t="str">
        <f t="shared" si="971"/>
        <v/>
      </c>
      <c r="CE714" s="66" t="str">
        <f>+IF($W714="","",ROUND((VLOOKUP(ROUNDDOWN($D714-1/frec,0),cob_adi,BO$40,FALSE)*(1+i/frec)^-0.5*(1+Parámetros!$D$103)*(1+rec_fracc)/frec*'TABLAS ADI'!$BC$17),2))</f>
        <v/>
      </c>
      <c r="CF714" s="119" t="str">
        <f t="shared" si="972"/>
        <v/>
      </c>
      <c r="CG714" s="66" t="str">
        <f>+IF($W714="","",ROUND(IF($B714&gt;Parámetros!$D$107,'Tablas Servicio'!CE714+('Tablas Servicio'!CG713-'Tablas Servicio'!CE713),CE714/(1-IF(B714&lt;=10,Parámetros!$D$100,0))),2))</f>
        <v/>
      </c>
      <c r="CH714" s="66" t="str">
        <f t="shared" si="973"/>
        <v/>
      </c>
      <c r="CI714" s="66" t="str">
        <f t="shared" si="973"/>
        <v/>
      </c>
      <c r="CJ714" s="66" t="str">
        <f>+IF($W714="","",ROUND((CG714*Parámetros!$G$85),2))</f>
        <v/>
      </c>
      <c r="CK714" s="66" t="str">
        <f>+IF($W714="","",ROUND((CG714*(Parámetros!$G$86)),2))</f>
        <v/>
      </c>
      <c r="CL714" s="66" t="str">
        <f t="shared" si="974"/>
        <v/>
      </c>
      <c r="CM714" t="str">
        <f t="shared" si="1015"/>
        <v/>
      </c>
      <c r="CN714" s="118" t="str">
        <f t="shared" si="1016"/>
        <v/>
      </c>
      <c r="CO714" s="118" t="str">
        <f t="shared" si="1017"/>
        <v/>
      </c>
      <c r="CP714" s="118" t="str">
        <f t="shared" si="1018"/>
        <v/>
      </c>
      <c r="CQ714" s="119" t="str">
        <f t="shared" si="975"/>
        <v/>
      </c>
      <c r="CR714" s="66" t="str">
        <f>+IF($W714="","",ROUND((VLOOKUP(Parámetros!$F$51,'COBERTURAS ADICIONALES'!$S$4:$T$32,2,FALSE)*(1+i/frec)^-0.5*(1+Parámetros!$D$103)*(1+rec_fracc)/frec*$CO$42),2))</f>
        <v/>
      </c>
      <c r="CS714" s="119" t="str">
        <f t="shared" si="976"/>
        <v/>
      </c>
      <c r="CT714" s="66" t="str">
        <f>+IF($W714="","",ROUND(IF($B714&gt;Parámetros!$D$107,'Tablas Servicio'!CR714+('Tablas Servicio'!CT713-'Tablas Servicio'!CR713),CR714/(1-IF(B714&lt;=10,Parámetros!$D$100,0))),2))</f>
        <v/>
      </c>
      <c r="CU714" s="66" t="str">
        <f t="shared" si="977"/>
        <v/>
      </c>
      <c r="CV714" s="66" t="str">
        <f t="shared" si="977"/>
        <v/>
      </c>
      <c r="CW714" s="66" t="str">
        <f>+IF($W714="","",ROUND((CT714*Parámetros!$G$85),2))</f>
        <v/>
      </c>
      <c r="CX714" s="66" t="str">
        <f>+IF($W714="","",ROUND((CT714*(Parámetros!$G$86)),2))</f>
        <v/>
      </c>
      <c r="CY714" s="66" t="str">
        <f t="shared" si="978"/>
        <v/>
      </c>
      <c r="CZ714" t="str">
        <f t="shared" si="1019"/>
        <v/>
      </c>
      <c r="DA714" s="118" t="str">
        <f t="shared" si="1020"/>
        <v/>
      </c>
      <c r="DB714" s="118" t="str">
        <f t="shared" si="1021"/>
        <v/>
      </c>
      <c r="DC714" s="118" t="str">
        <f t="shared" si="1022"/>
        <v/>
      </c>
      <c r="DD714" s="121" t="str">
        <f>+IF(OR($W714="",DB714=0),"",ROUND((VLOOKUP(ROUNDDOWN($D714-1/frec,0),cob_adi,CO$40,FALSE)*(1+i/frec)^-0.5*(1+Parámetros!$D$103)*(1+rec_fracc)/frec),6))</f>
        <v/>
      </c>
      <c r="DE714" s="66" t="str">
        <f t="shared" si="979"/>
        <v/>
      </c>
      <c r="DF714" s="119" t="str">
        <f t="shared" si="980"/>
        <v/>
      </c>
      <c r="DG714" s="66" t="str">
        <f>+IF($W714="","",ROUND(IF($B714&gt;Parámetros!$D$107,'Tablas Servicio'!DE714+('Tablas Servicio'!DG713-'Tablas Servicio'!DE713),DE714/(1-IF(B714&lt;=10,Parámetros!$D$100,0))),2))</f>
        <v/>
      </c>
      <c r="DH714" s="66" t="str">
        <f t="shared" si="981"/>
        <v/>
      </c>
      <c r="DI714" s="66" t="str">
        <f t="shared" si="981"/>
        <v/>
      </c>
      <c r="DJ714" s="66" t="str">
        <f>+IF($W714="","",ROUND((DG714*Parámetros!$G$85),2))</f>
        <v/>
      </c>
      <c r="DK714" s="66" t="str">
        <f>+IF($W714="","",ROUND((DG714*(Parámetros!$G$86)),2))</f>
        <v/>
      </c>
      <c r="DL714" s="66" t="str">
        <f t="shared" si="982"/>
        <v/>
      </c>
      <c r="DM714" t="str">
        <f t="shared" si="1023"/>
        <v/>
      </c>
      <c r="DN714" s="118" t="str">
        <f t="shared" si="1024"/>
        <v/>
      </c>
      <c r="DO714" s="118" t="str">
        <f t="shared" si="1025"/>
        <v/>
      </c>
      <c r="DP714" s="118" t="str">
        <f t="shared" si="1026"/>
        <v/>
      </c>
      <c r="DQ714" s="122" t="str">
        <f>+IF(OR($W714="",DO714=0),"",ROUND((VLOOKUP(ROUNDDOWN($D714-1/frec,0),cob_adi,DB$40,FALSE)*(1+i/frec)^-0.5*(1+Parámetros!$D$103)*(1+rec_fracc)/frec),6))</f>
        <v/>
      </c>
      <c r="DR714" s="66" t="str">
        <f t="shared" si="983"/>
        <v/>
      </c>
      <c r="DS714" s="68" t="str">
        <f t="shared" si="984"/>
        <v/>
      </c>
      <c r="DT714" s="66" t="str">
        <f>+IF($W714="","",ROUND(IF($B714&gt;Parámetros!$D$107,'Tablas Servicio'!DR714+('Tablas Servicio'!DT713-'Tablas Servicio'!DR713),DR714/(1-IF(B714&lt;=10,Parámetros!$D$100,0))),2))</f>
        <v/>
      </c>
      <c r="DU714" s="66" t="str">
        <f t="shared" si="985"/>
        <v/>
      </c>
      <c r="DV714" s="66" t="str">
        <f t="shared" si="985"/>
        <v/>
      </c>
      <c r="DW714" s="66" t="str">
        <f>+IF($W714="","",ROUND((DT714*Parámetros!$G$85),2))</f>
        <v/>
      </c>
      <c r="DX714" s="66" t="str">
        <f>+IF($W714="","",ROUND((DT714*(Parámetros!$G$86)),2))</f>
        <v/>
      </c>
      <c r="DY714" s="66" t="str">
        <f t="shared" si="986"/>
        <v/>
      </c>
      <c r="DZ714" t="str">
        <f t="shared" si="1027"/>
        <v/>
      </c>
      <c r="EA714" s="118" t="str">
        <f t="shared" si="1027"/>
        <v/>
      </c>
      <c r="EB714" s="118" t="str">
        <f>+IF($W714="","",ROUND(IF(Parámetros!$D$25='TABLAS MORT'!$V$33,EB713,Z714/2),0))</f>
        <v/>
      </c>
      <c r="EC714" s="118" t="str">
        <f t="shared" si="1027"/>
        <v/>
      </c>
      <c r="ED714" s="122" t="str">
        <f>+IF(OR($W714="",EB714=0),"",ROUND((VLOOKUP(ROUNDDOWN($D714-1/frec,0),cob_adi,DO$40,FALSE)*(1+i/frec)^-0.5*(1+Parámetros!$D$103)*(1+rec_fracc)/frec),6))</f>
        <v/>
      </c>
      <c r="EE714" s="66" t="str">
        <f t="shared" si="988"/>
        <v/>
      </c>
      <c r="EF714" s="68" t="str">
        <f t="shared" si="989"/>
        <v/>
      </c>
      <c r="EG714" s="66" t="str">
        <f>+IF($W714="","",ROUND(IF($B714&gt;Parámetros!$D$107,'Tablas Servicio'!EE714+('Tablas Servicio'!EG713-'Tablas Servicio'!EE713),EE714/(1-IF(B714&lt;=10,Parámetros!$D$100,0))),2))</f>
        <v/>
      </c>
      <c r="EH714" s="66" t="str">
        <f t="shared" si="990"/>
        <v/>
      </c>
      <c r="EI714" s="66" t="str">
        <f t="shared" si="990"/>
        <v/>
      </c>
      <c r="EJ714" s="66" t="str">
        <f>+IF($W714="","",ROUND((EG714*Parámetros!$G$85),2))</f>
        <v/>
      </c>
      <c r="EK714" s="66" t="str">
        <f>+IF($W714="","",ROUND((EG714*(Parámetros!$G$86)),2))</f>
        <v/>
      </c>
      <c r="EL714" s="66" t="str">
        <f t="shared" si="991"/>
        <v/>
      </c>
    </row>
    <row r="715" spans="1:142" x14ac:dyDescent="0.25">
      <c r="A715" t="str">
        <f>+IF($C715="","",ROUND(VLOOKUP('Tablas Servicio'!B715,Parámetros!$H$100:$J$159,IF(Parámetros!$E$16="F",2,3),FALSE),2))</f>
        <v/>
      </c>
      <c r="B715" t="str">
        <f t="shared" si="942"/>
        <v/>
      </c>
      <c r="C715" s="57" t="str">
        <f>+IF(D715="","",'Tablas Servicio'!C714+1)</f>
        <v/>
      </c>
      <c r="D715" s="56" t="str">
        <f>+IF(D714&lt;edadmaxtabla,D714+1/Parámetros!$E$25,"")</f>
        <v/>
      </c>
      <c r="E715" s="57" t="str">
        <f t="shared" si="952"/>
        <v/>
      </c>
      <c r="F715" s="59" t="str">
        <f t="shared" si="953"/>
        <v/>
      </c>
      <c r="G715" s="66" t="str">
        <f t="shared" si="943"/>
        <v/>
      </c>
      <c r="H715" s="66" t="str">
        <f t="shared" si="944"/>
        <v/>
      </c>
      <c r="I715" s="66" t="str">
        <f t="shared" si="992"/>
        <v/>
      </c>
      <c r="J715" s="66" t="str">
        <f t="shared" si="945"/>
        <v/>
      </c>
      <c r="K715" s="66" t="str">
        <f t="shared" si="946"/>
        <v/>
      </c>
      <c r="L715" s="66" t="str">
        <f t="shared" si="947"/>
        <v/>
      </c>
      <c r="M715" s="66" t="str">
        <f t="shared" si="948"/>
        <v/>
      </c>
      <c r="N715" s="66" t="str">
        <f>+IF(C715="","",ROUND(Parámetros!$D$23,2))</f>
        <v/>
      </c>
      <c r="O715" s="66" t="str">
        <f t="shared" si="949"/>
        <v/>
      </c>
      <c r="P715" s="66" t="str">
        <f>+IF($C715="","",ROUND(IF(B715&gt;Parámetros!$D$117,0,N715*Parámetros!$D$116-G715*Parámetros!$D$100),2))</f>
        <v/>
      </c>
      <c r="Q715" s="75" t="str">
        <f t="shared" si="993"/>
        <v/>
      </c>
      <c r="R715" s="75" t="str">
        <f t="shared" si="994"/>
        <v/>
      </c>
      <c r="S715" s="117" t="str">
        <f>+IF($C715="","",ROUND((S714+I715)*(1+Parámetros!$D$91),2))</f>
        <v/>
      </c>
      <c r="T715" s="117" t="str">
        <f>+IF($C715="","",ROUND(S715*VLOOKUP(B715,Parámetros!$C$30:$D$39,2,TRUE),2))</f>
        <v/>
      </c>
      <c r="U715" s="117" t="str">
        <f>+IF($C715="","",ROUND((U714+I715)*(1+Parámetros!$D$92),2))</f>
        <v/>
      </c>
      <c r="V715" s="117" t="str">
        <f>+IF($C715="","",ROUND(U715*VLOOKUP(B715,Parámetros!$C$30:$D$39,2,TRUE),2))</f>
        <v/>
      </c>
      <c r="W715" s="57" t="str">
        <f t="shared" si="995"/>
        <v/>
      </c>
      <c r="X715" t="str">
        <f t="shared" si="996"/>
        <v/>
      </c>
      <c r="Y715" t="str">
        <f t="shared" si="997"/>
        <v/>
      </c>
      <c r="Z715" s="118" t="str">
        <f>+IF($W715="","",ROUND(IF(Parámetros!$D$25='TABLAS MORT'!$V$33,Z714,Parámetros!$D$21-'Tablas Servicio'!T714),0))</f>
        <v/>
      </c>
      <c r="AA715" s="118" t="str">
        <f t="shared" si="998"/>
        <v/>
      </c>
      <c r="AB715" s="119" t="str">
        <f>+IF(W715="","",ROUND((VLOOKUP(ROUNDDOWN($D715-1/frec,0),qx_tabla,2,FALSE)*(1+i/frec)^-0.5*(1+Parámetros!$D$103)*(1+rec_fracc)/frec),6))</f>
        <v/>
      </c>
      <c r="AC715" s="66" t="str">
        <f t="shared" si="954"/>
        <v/>
      </c>
      <c r="AD715" s="119" t="str">
        <f t="shared" si="950"/>
        <v/>
      </c>
      <c r="AE715" s="66" t="str">
        <f>+IF($W715="","",ROUND(IF($B715&gt;Parámetros!$D$107,'Tablas Servicio'!AC715+('Tablas Servicio'!AG714-'Tablas Servicio'!AC714),AC715/(1-IF(B715&lt;=10,Parámetros!$D$104,Parámetros!$D$105))),2))</f>
        <v/>
      </c>
      <c r="AF715" s="66" t="str">
        <f>+IF($W715="","",ROUND(IF($B715&gt;Parámetros!$D$107,'Tablas Servicio'!AC715+('Tablas Servicio'!AG714-'Tablas Servicio'!AC714),(AC715+$A714/frec)/(1-IF(B715&lt;=Parámetros!$D$117,Parámetros!$D$100,0))),2))</f>
        <v/>
      </c>
      <c r="AG715" s="66" t="str">
        <f t="shared" si="955"/>
        <v/>
      </c>
      <c r="AH715" s="66" t="str">
        <f t="shared" si="956"/>
        <v/>
      </c>
      <c r="AI715" s="66" t="str">
        <f t="shared" si="957"/>
        <v/>
      </c>
      <c r="AJ715" s="66" t="str">
        <f>+IF($W715="","",ROUND((AG715*Parámetros!$G$85),2))</f>
        <v/>
      </c>
      <c r="AK715" s="66" t="str">
        <f>+IF($W715="","",ROUND((AG715*(Parámetros!$G$86)),2))</f>
        <v/>
      </c>
      <c r="AL715" s="66" t="str">
        <f t="shared" si="951"/>
        <v/>
      </c>
      <c r="AM715" t="str">
        <f t="shared" si="999"/>
        <v/>
      </c>
      <c r="AN715" t="str">
        <f t="shared" si="1000"/>
        <v/>
      </c>
      <c r="AO715" s="118" t="str">
        <f t="shared" si="1001"/>
        <v/>
      </c>
      <c r="AP715" s="118" t="str">
        <f t="shared" si="1002"/>
        <v/>
      </c>
      <c r="AQ715" s="119" t="str">
        <f>+IF(OR($W715="",AO715=0),"",ROUND((VLOOKUP(ROUNDDOWN($D715-1/frec,0),cob_adi,Z$40,FALSE)*(1+i/frec)^-0.5*(1+Parámetros!$D$103)*(1+rec_fracc)/frec),6))</f>
        <v/>
      </c>
      <c r="AR715" s="66" t="str">
        <f t="shared" si="958"/>
        <v/>
      </c>
      <c r="AS715" s="119" t="str">
        <f t="shared" si="959"/>
        <v/>
      </c>
      <c r="AT715" s="66" t="str">
        <f>+IF($W715="","",ROUND(IF($B715&gt;Parámetros!$D$107,'Tablas Servicio'!AR715+('Tablas Servicio'!AT714-'Tablas Servicio'!AR714),AR715/(1-IF(B715&lt;=10,Parámetros!$D$100,0))),2))</f>
        <v/>
      </c>
      <c r="AU715" s="66" t="str">
        <f t="shared" ref="AU715:AV746" si="1028">+IF($W715="","",0)</f>
        <v/>
      </c>
      <c r="AV715" s="66" t="str">
        <f t="shared" si="1028"/>
        <v/>
      </c>
      <c r="AW715" s="66" t="str">
        <f>+IF($W715="","",ROUND((AT715*Parámetros!$G$85),2))</f>
        <v/>
      </c>
      <c r="AX715" s="66" t="str">
        <f>+IF($W715="","",ROUND((AT715*(Parámetros!$G$86)),2))</f>
        <v/>
      </c>
      <c r="AY715" s="66" t="str">
        <f t="shared" si="961"/>
        <v/>
      </c>
      <c r="AZ715" t="str">
        <f t="shared" si="1003"/>
        <v/>
      </c>
      <c r="BA715" t="str">
        <f t="shared" si="1004"/>
        <v/>
      </c>
      <c r="BB715" s="118" t="str">
        <f t="shared" si="1005"/>
        <v/>
      </c>
      <c r="BC715" s="118" t="str">
        <f t="shared" si="1006"/>
        <v/>
      </c>
      <c r="BD715" s="119" t="str">
        <f>+IF(OR($W715="",BB715=0),"",ROUND((VLOOKUP(ROUNDDOWN($D715-1/frec,0),cob_adi,AO$40,FALSE)*(1+i/frec)^-0.5*(1+Parámetros!$D$103)*(1+rec_fracc)/frec),6))</f>
        <v/>
      </c>
      <c r="BE715" s="66" t="str">
        <f t="shared" si="962"/>
        <v/>
      </c>
      <c r="BF715" s="119" t="str">
        <f t="shared" si="963"/>
        <v/>
      </c>
      <c r="BG715" s="66" t="str">
        <f>+IF($W715="","",ROUND(IF($B715&gt;Parámetros!$D$107,'Tablas Servicio'!BE715+('Tablas Servicio'!BG714-'Tablas Servicio'!BE714),BE715/(1-IF(B715&lt;=10,Parámetros!$D$100,0))),2))</f>
        <v/>
      </c>
      <c r="BH715" s="66" t="str">
        <f t="shared" si="964"/>
        <v/>
      </c>
      <c r="BI715" s="66" t="str">
        <f t="shared" si="965"/>
        <v/>
      </c>
      <c r="BJ715" s="66" t="str">
        <f>+IF($W715="","",ROUND((BG715*Parámetros!$G$85),2))</f>
        <v/>
      </c>
      <c r="BK715" s="66" t="str">
        <f>+IF($W715="","",ROUND((BG715*(Parámetros!$G$86)),2))</f>
        <v/>
      </c>
      <c r="BL715" s="66" t="str">
        <f t="shared" si="966"/>
        <v/>
      </c>
      <c r="BM715" t="str">
        <f t="shared" si="1007"/>
        <v/>
      </c>
      <c r="BN715" t="str">
        <f t="shared" si="1008"/>
        <v/>
      </c>
      <c r="BO715" s="118" t="str">
        <f t="shared" si="1009"/>
        <v/>
      </c>
      <c r="BP715" s="118" t="str">
        <f t="shared" si="1010"/>
        <v/>
      </c>
      <c r="BQ715" s="119" t="str">
        <f>+IF(OR($W715="",BO715=0),"",ROUND((VLOOKUP(ROUNDDOWN($D715-1/frec,0),cob_adi,BB$40,FALSE)*(1+i/frec)^-0.5*(1+Parámetros!$D$103)*(1+rec_fracc)/frec),6))</f>
        <v/>
      </c>
      <c r="BR715" s="66" t="str">
        <f t="shared" si="967"/>
        <v/>
      </c>
      <c r="BS715" s="119" t="str">
        <f t="shared" si="968"/>
        <v/>
      </c>
      <c r="BT715" s="66" t="str">
        <f>+IF($W715="","",ROUND(IF($B715&gt;Parámetros!$D$107,'Tablas Servicio'!BR715+('Tablas Servicio'!BT714-'Tablas Servicio'!BR714),BR715/(1-IF(B715&lt;=10,Parámetros!$D$100,0))),2))</f>
        <v/>
      </c>
      <c r="BU715" s="66" t="str">
        <f t="shared" ref="BU715:BV746" si="1029">+IF($W715="","",0)</f>
        <v/>
      </c>
      <c r="BV715" s="66" t="str">
        <f t="shared" si="1029"/>
        <v/>
      </c>
      <c r="BW715" s="66" t="str">
        <f>+IF($W715="","",ROUND((BT715*Parámetros!$G$85),2))</f>
        <v/>
      </c>
      <c r="BX715" s="66" t="str">
        <f>+IF($W715="","",ROUND((BT715*(Parámetros!$G$86)),2))</f>
        <v/>
      </c>
      <c r="BY715" s="66" t="str">
        <f t="shared" si="970"/>
        <v/>
      </c>
      <c r="BZ715" t="str">
        <f t="shared" si="1011"/>
        <v/>
      </c>
      <c r="CA715" t="str">
        <f t="shared" si="1012"/>
        <v/>
      </c>
      <c r="CB715" s="118" t="str">
        <f t="shared" si="1013"/>
        <v/>
      </c>
      <c r="CC715" s="118" t="str">
        <f t="shared" si="1014"/>
        <v/>
      </c>
      <c r="CD715" s="119" t="str">
        <f t="shared" si="971"/>
        <v/>
      </c>
      <c r="CE715" s="66" t="str">
        <f>+IF($W715="","",ROUND((VLOOKUP(ROUNDDOWN($D715-1/frec,0),cob_adi,BO$40,FALSE)*(1+i/frec)^-0.5*(1+Parámetros!$D$103)*(1+rec_fracc)/frec*'TABLAS ADI'!$BC$17),2))</f>
        <v/>
      </c>
      <c r="CF715" s="119" t="str">
        <f t="shared" si="972"/>
        <v/>
      </c>
      <c r="CG715" s="66" t="str">
        <f>+IF($W715="","",ROUND(IF($B715&gt;Parámetros!$D$107,'Tablas Servicio'!CE715+('Tablas Servicio'!CG714-'Tablas Servicio'!CE714),CE715/(1-IF(B715&lt;=10,Parámetros!$D$100,0))),2))</f>
        <v/>
      </c>
      <c r="CH715" s="66" t="str">
        <f t="shared" ref="CH715:CI746" si="1030">+IF($W715="","",0)</f>
        <v/>
      </c>
      <c r="CI715" s="66" t="str">
        <f t="shared" si="1030"/>
        <v/>
      </c>
      <c r="CJ715" s="66" t="str">
        <f>+IF($W715="","",ROUND((CG715*Parámetros!$G$85),2))</f>
        <v/>
      </c>
      <c r="CK715" s="66" t="str">
        <f>+IF($W715="","",ROUND((CG715*(Parámetros!$G$86)),2))</f>
        <v/>
      </c>
      <c r="CL715" s="66" t="str">
        <f t="shared" si="974"/>
        <v/>
      </c>
      <c r="CM715" t="str">
        <f t="shared" si="1015"/>
        <v/>
      </c>
      <c r="CN715" s="118" t="str">
        <f t="shared" si="1016"/>
        <v/>
      </c>
      <c r="CO715" s="118" t="str">
        <f t="shared" si="1017"/>
        <v/>
      </c>
      <c r="CP715" s="118" t="str">
        <f t="shared" si="1018"/>
        <v/>
      </c>
      <c r="CQ715" s="119" t="str">
        <f t="shared" si="975"/>
        <v/>
      </c>
      <c r="CR715" s="66" t="str">
        <f>+IF($W715="","",ROUND((VLOOKUP(Parámetros!$F$51,'COBERTURAS ADICIONALES'!$S$4:$T$32,2,FALSE)*(1+i/frec)^-0.5*(1+Parámetros!$D$103)*(1+rec_fracc)/frec*$CO$42),2))</f>
        <v/>
      </c>
      <c r="CS715" s="119" t="str">
        <f t="shared" si="976"/>
        <v/>
      </c>
      <c r="CT715" s="66" t="str">
        <f>+IF($W715="","",ROUND(IF($B715&gt;Parámetros!$D$107,'Tablas Servicio'!CR715+('Tablas Servicio'!CT714-'Tablas Servicio'!CR714),CR715/(1-IF(B715&lt;=10,Parámetros!$D$100,0))),2))</f>
        <v/>
      </c>
      <c r="CU715" s="66" t="str">
        <f t="shared" ref="CU715:CV746" si="1031">+IF($W715="","",0)</f>
        <v/>
      </c>
      <c r="CV715" s="66" t="str">
        <f t="shared" si="1031"/>
        <v/>
      </c>
      <c r="CW715" s="66" t="str">
        <f>+IF($W715="","",ROUND((CT715*Parámetros!$G$85),2))</f>
        <v/>
      </c>
      <c r="CX715" s="66" t="str">
        <f>+IF($W715="","",ROUND((CT715*(Parámetros!$G$86)),2))</f>
        <v/>
      </c>
      <c r="CY715" s="66" t="str">
        <f t="shared" si="978"/>
        <v/>
      </c>
      <c r="CZ715" t="str">
        <f t="shared" si="1019"/>
        <v/>
      </c>
      <c r="DA715" s="118" t="str">
        <f t="shared" si="1020"/>
        <v/>
      </c>
      <c r="DB715" s="118" t="str">
        <f t="shared" si="1021"/>
        <v/>
      </c>
      <c r="DC715" s="118" t="str">
        <f t="shared" si="1022"/>
        <v/>
      </c>
      <c r="DD715" s="121" t="str">
        <f>+IF(OR($W715="",DB715=0),"",ROUND((VLOOKUP(ROUNDDOWN($D715-1/frec,0),cob_adi,CO$40,FALSE)*(1+i/frec)^-0.5*(1+Parámetros!$D$103)*(1+rec_fracc)/frec),6))</f>
        <v/>
      </c>
      <c r="DE715" s="66" t="str">
        <f t="shared" si="979"/>
        <v/>
      </c>
      <c r="DF715" s="119" t="str">
        <f t="shared" si="980"/>
        <v/>
      </c>
      <c r="DG715" s="66" t="str">
        <f>+IF($W715="","",ROUND(IF($B715&gt;Parámetros!$D$107,'Tablas Servicio'!DE715+('Tablas Servicio'!DG714-'Tablas Servicio'!DE714),DE715/(1-IF(B715&lt;=10,Parámetros!$D$100,0))),2))</f>
        <v/>
      </c>
      <c r="DH715" s="66" t="str">
        <f t="shared" ref="DH715:DI746" si="1032">+IF($W715="","",0)</f>
        <v/>
      </c>
      <c r="DI715" s="66" t="str">
        <f t="shared" si="1032"/>
        <v/>
      </c>
      <c r="DJ715" s="66" t="str">
        <f>+IF($W715="","",ROUND((DG715*Parámetros!$G$85),2))</f>
        <v/>
      </c>
      <c r="DK715" s="66" t="str">
        <f>+IF($W715="","",ROUND((DG715*(Parámetros!$G$86)),2))</f>
        <v/>
      </c>
      <c r="DL715" s="66" t="str">
        <f t="shared" si="982"/>
        <v/>
      </c>
      <c r="DM715" t="str">
        <f t="shared" si="1023"/>
        <v/>
      </c>
      <c r="DN715" s="118" t="str">
        <f t="shared" si="1024"/>
        <v/>
      </c>
      <c r="DO715" s="118" t="str">
        <f t="shared" si="1025"/>
        <v/>
      </c>
      <c r="DP715" s="118" t="str">
        <f t="shared" si="1026"/>
        <v/>
      </c>
      <c r="DQ715" s="122" t="str">
        <f>+IF(OR($W715="",DO715=0),"",ROUND((VLOOKUP(ROUNDDOWN($D715-1/frec,0),cob_adi,DB$40,FALSE)*(1+i/frec)^-0.5*(1+Parámetros!$D$103)*(1+rec_fracc)/frec),6))</f>
        <v/>
      </c>
      <c r="DR715" s="66" t="str">
        <f t="shared" si="983"/>
        <v/>
      </c>
      <c r="DS715" s="68" t="str">
        <f t="shared" si="984"/>
        <v/>
      </c>
      <c r="DT715" s="66" t="str">
        <f>+IF($W715="","",ROUND(IF($B715&gt;Parámetros!$D$107,'Tablas Servicio'!DR715+('Tablas Servicio'!DT714-'Tablas Servicio'!DR714),DR715/(1-IF(B715&lt;=10,Parámetros!$D$100,0))),2))</f>
        <v/>
      </c>
      <c r="DU715" s="66" t="str">
        <f t="shared" ref="DU715:DV746" si="1033">+IF($W715="","",0)</f>
        <v/>
      </c>
      <c r="DV715" s="66" t="str">
        <f t="shared" si="1033"/>
        <v/>
      </c>
      <c r="DW715" s="66" t="str">
        <f>+IF($W715="","",ROUND((DT715*Parámetros!$G$85),2))</f>
        <v/>
      </c>
      <c r="DX715" s="66" t="str">
        <f>+IF($W715="","",ROUND((DT715*(Parámetros!$G$86)),2))</f>
        <v/>
      </c>
      <c r="DY715" s="66" t="str">
        <f t="shared" si="986"/>
        <v/>
      </c>
      <c r="DZ715" t="str">
        <f t="shared" ref="DZ715:EC730" si="1034">+IF($W715="","",DZ714)</f>
        <v/>
      </c>
      <c r="EA715" s="118" t="str">
        <f t="shared" si="1034"/>
        <v/>
      </c>
      <c r="EB715" s="118" t="str">
        <f>+IF($W715="","",ROUND(IF(Parámetros!$D$25='TABLAS MORT'!$V$33,EB714,Z715/2),0))</f>
        <v/>
      </c>
      <c r="EC715" s="118" t="str">
        <f t="shared" si="1034"/>
        <v/>
      </c>
      <c r="ED715" s="122" t="str">
        <f>+IF(OR($W715="",EB715=0),"",ROUND((VLOOKUP(ROUNDDOWN($D715-1/frec,0),cob_adi,DO$40,FALSE)*(1+i/frec)^-0.5*(1+Parámetros!$D$103)*(1+rec_fracc)/frec),6))</f>
        <v/>
      </c>
      <c r="EE715" s="66" t="str">
        <f t="shared" si="988"/>
        <v/>
      </c>
      <c r="EF715" s="68" t="str">
        <f t="shared" si="989"/>
        <v/>
      </c>
      <c r="EG715" s="66" t="str">
        <f>+IF($W715="","",ROUND(IF($B715&gt;Parámetros!$D$107,'Tablas Servicio'!EE715+('Tablas Servicio'!EG714-'Tablas Servicio'!EE714),EE715/(1-IF(B715&lt;=10,Parámetros!$D$100,0))),2))</f>
        <v/>
      </c>
      <c r="EH715" s="66" t="str">
        <f t="shared" ref="EH715:EI746" si="1035">+IF($W715="","",0)</f>
        <v/>
      </c>
      <c r="EI715" s="66" t="str">
        <f t="shared" si="1035"/>
        <v/>
      </c>
      <c r="EJ715" s="66" t="str">
        <f>+IF($W715="","",ROUND((EG715*Parámetros!$G$85),2))</f>
        <v/>
      </c>
      <c r="EK715" s="66" t="str">
        <f>+IF($W715="","",ROUND((EG715*(Parámetros!$G$86)),2))</f>
        <v/>
      </c>
      <c r="EL715" s="66" t="str">
        <f t="shared" si="991"/>
        <v/>
      </c>
    </row>
    <row r="716" spans="1:142" x14ac:dyDescent="0.25">
      <c r="A716" t="str">
        <f>+IF($C716="","",ROUND(VLOOKUP('Tablas Servicio'!B716,Parámetros!$H$100:$J$159,IF(Parámetros!$E$16="F",2,3),FALSE),2))</f>
        <v/>
      </c>
      <c r="B716" t="str">
        <f t="shared" si="942"/>
        <v/>
      </c>
      <c r="C716" s="57" t="str">
        <f>+IF(D716="","",'Tablas Servicio'!C715+1)</f>
        <v/>
      </c>
      <c r="D716" s="56" t="str">
        <f>+IF(D715&lt;edadmaxtabla,D715+1/Parámetros!$E$25,"")</f>
        <v/>
      </c>
      <c r="E716" s="57" t="str">
        <f t="shared" si="952"/>
        <v/>
      </c>
      <c r="F716" s="59" t="str">
        <f t="shared" si="953"/>
        <v/>
      </c>
      <c r="G716" s="66" t="str">
        <f t="shared" si="943"/>
        <v/>
      </c>
      <c r="H716" s="66" t="str">
        <f t="shared" si="944"/>
        <v/>
      </c>
      <c r="I716" s="66" t="str">
        <f t="shared" si="992"/>
        <v/>
      </c>
      <c r="J716" s="66" t="str">
        <f t="shared" si="945"/>
        <v/>
      </c>
      <c r="K716" s="66" t="str">
        <f t="shared" si="946"/>
        <v/>
      </c>
      <c r="L716" s="66" t="str">
        <f t="shared" si="947"/>
        <v/>
      </c>
      <c r="M716" s="66" t="str">
        <f t="shared" si="948"/>
        <v/>
      </c>
      <c r="N716" s="66" t="str">
        <f>+IF(C716="","",ROUND(Parámetros!$D$23,2))</f>
        <v/>
      </c>
      <c r="O716" s="66" t="str">
        <f t="shared" si="949"/>
        <v/>
      </c>
      <c r="P716" s="66" t="str">
        <f>+IF($C716="","",ROUND(IF(B716&gt;Parámetros!$D$117,0,N716*Parámetros!$D$116-G716*Parámetros!$D$100),2))</f>
        <v/>
      </c>
      <c r="Q716" s="75" t="str">
        <f t="shared" si="993"/>
        <v/>
      </c>
      <c r="R716" s="75" t="str">
        <f t="shared" si="994"/>
        <v/>
      </c>
      <c r="S716" s="117" t="str">
        <f>+IF($C716="","",ROUND((S715+I716)*(1+Parámetros!$D$91),2))</f>
        <v/>
      </c>
      <c r="T716" s="117" t="str">
        <f>+IF($C716="","",ROUND(S716*VLOOKUP(B716,Parámetros!$C$30:$D$39,2,TRUE),2))</f>
        <v/>
      </c>
      <c r="U716" s="117" t="str">
        <f>+IF($C716="","",ROUND((U715+I716)*(1+Parámetros!$D$92),2))</f>
        <v/>
      </c>
      <c r="V716" s="117" t="str">
        <f>+IF($C716="","",ROUND(U716*VLOOKUP(B716,Parámetros!$C$30:$D$39,2,TRUE),2))</f>
        <v/>
      </c>
      <c r="W716" s="57" t="str">
        <f t="shared" si="995"/>
        <v/>
      </c>
      <c r="X716" t="str">
        <f t="shared" si="996"/>
        <v/>
      </c>
      <c r="Y716" t="str">
        <f t="shared" si="997"/>
        <v/>
      </c>
      <c r="Z716" s="118" t="str">
        <f>+IF($W716="","",ROUND(IF(Parámetros!$D$25='TABLAS MORT'!$V$33,Z715,Parámetros!$D$21-'Tablas Servicio'!T715),0))</f>
        <v/>
      </c>
      <c r="AA716" s="118" t="str">
        <f t="shared" si="998"/>
        <v/>
      </c>
      <c r="AB716" s="119" t="str">
        <f>+IF(W716="","",ROUND((VLOOKUP(ROUNDDOWN($D716-1/frec,0),qx_tabla,2,FALSE)*(1+i/frec)^-0.5*(1+Parámetros!$D$103)*(1+rec_fracc)/frec),6))</f>
        <v/>
      </c>
      <c r="AC716" s="66" t="str">
        <f t="shared" si="954"/>
        <v/>
      </c>
      <c r="AD716" s="119" t="str">
        <f t="shared" si="950"/>
        <v/>
      </c>
      <c r="AE716" s="66" t="str">
        <f>+IF($W716="","",ROUND(IF($B716&gt;Parámetros!$D$107,'Tablas Servicio'!AC716+('Tablas Servicio'!AG715-'Tablas Servicio'!AC715),AC716/(1-IF(B716&lt;=10,Parámetros!$D$104,Parámetros!$D$105))),2))</f>
        <v/>
      </c>
      <c r="AF716" s="66" t="str">
        <f>+IF($W716="","",ROUND(IF($B716&gt;Parámetros!$D$107,'Tablas Servicio'!AC716+('Tablas Servicio'!AG715-'Tablas Servicio'!AC715),(AC716+$A715/frec)/(1-IF(B716&lt;=Parámetros!$D$117,Parámetros!$D$100,0))),2))</f>
        <v/>
      </c>
      <c r="AG716" s="66" t="str">
        <f t="shared" si="955"/>
        <v/>
      </c>
      <c r="AH716" s="66" t="str">
        <f t="shared" si="956"/>
        <v/>
      </c>
      <c r="AI716" s="66" t="str">
        <f t="shared" si="957"/>
        <v/>
      </c>
      <c r="AJ716" s="66" t="str">
        <f>+IF($W716="","",ROUND((AG716*Parámetros!$G$85),2))</f>
        <v/>
      </c>
      <c r="AK716" s="66" t="str">
        <f>+IF($W716="","",ROUND((AG716*(Parámetros!$G$86)),2))</f>
        <v/>
      </c>
      <c r="AL716" s="66" t="str">
        <f t="shared" si="951"/>
        <v/>
      </c>
      <c r="AM716" t="str">
        <f t="shared" si="999"/>
        <v/>
      </c>
      <c r="AN716" t="str">
        <f t="shared" si="1000"/>
        <v/>
      </c>
      <c r="AO716" s="118" t="str">
        <f t="shared" si="1001"/>
        <v/>
      </c>
      <c r="AP716" s="118" t="str">
        <f t="shared" si="1002"/>
        <v/>
      </c>
      <c r="AQ716" s="119" t="str">
        <f>+IF(OR($W716="",AO716=0),"",ROUND((VLOOKUP(ROUNDDOWN($D716-1/frec,0),cob_adi,Z$40,FALSE)*(1+i/frec)^-0.5*(1+Parámetros!$D$103)*(1+rec_fracc)/frec),6))</f>
        <v/>
      </c>
      <c r="AR716" s="66" t="str">
        <f t="shared" si="958"/>
        <v/>
      </c>
      <c r="AS716" s="119" t="str">
        <f t="shared" si="959"/>
        <v/>
      </c>
      <c r="AT716" s="66" t="str">
        <f>+IF($W716="","",ROUND(IF($B716&gt;Parámetros!$D$107,'Tablas Servicio'!AR716+('Tablas Servicio'!AT715-'Tablas Servicio'!AR715),AR716/(1-IF(B716&lt;=10,Parámetros!$D$100,0))),2))</f>
        <v/>
      </c>
      <c r="AU716" s="66" t="str">
        <f t="shared" si="1028"/>
        <v/>
      </c>
      <c r="AV716" s="66" t="str">
        <f t="shared" si="1028"/>
        <v/>
      </c>
      <c r="AW716" s="66" t="str">
        <f>+IF($W716="","",ROUND((AT716*Parámetros!$G$85),2))</f>
        <v/>
      </c>
      <c r="AX716" s="66" t="str">
        <f>+IF($W716="","",ROUND((AT716*(Parámetros!$G$86)),2))</f>
        <v/>
      </c>
      <c r="AY716" s="66" t="str">
        <f t="shared" si="961"/>
        <v/>
      </c>
      <c r="AZ716" t="str">
        <f t="shared" si="1003"/>
        <v/>
      </c>
      <c r="BA716" t="str">
        <f t="shared" si="1004"/>
        <v/>
      </c>
      <c r="BB716" s="118" t="str">
        <f t="shared" si="1005"/>
        <v/>
      </c>
      <c r="BC716" s="118" t="str">
        <f t="shared" si="1006"/>
        <v/>
      </c>
      <c r="BD716" s="119" t="str">
        <f>+IF(OR($W716="",BB716=0),"",ROUND((VLOOKUP(ROUNDDOWN($D716-1/frec,0),cob_adi,AO$40,FALSE)*(1+i/frec)^-0.5*(1+Parámetros!$D$103)*(1+rec_fracc)/frec),6))</f>
        <v/>
      </c>
      <c r="BE716" s="66" t="str">
        <f t="shared" si="962"/>
        <v/>
      </c>
      <c r="BF716" s="119" t="str">
        <f t="shared" si="963"/>
        <v/>
      </c>
      <c r="BG716" s="66" t="str">
        <f>+IF($W716="","",ROUND(IF($B716&gt;Parámetros!$D$107,'Tablas Servicio'!BE716+('Tablas Servicio'!BG715-'Tablas Servicio'!BE715),BE716/(1-IF(B716&lt;=10,Parámetros!$D$100,0))),2))</f>
        <v/>
      </c>
      <c r="BH716" s="66" t="str">
        <f t="shared" si="964"/>
        <v/>
      </c>
      <c r="BI716" s="66" t="str">
        <f t="shared" si="965"/>
        <v/>
      </c>
      <c r="BJ716" s="66" t="str">
        <f>+IF($W716="","",ROUND((BG716*Parámetros!$G$85),2))</f>
        <v/>
      </c>
      <c r="BK716" s="66" t="str">
        <f>+IF($W716="","",ROUND((BG716*(Parámetros!$G$86)),2))</f>
        <v/>
      </c>
      <c r="BL716" s="66" t="str">
        <f t="shared" si="966"/>
        <v/>
      </c>
      <c r="BM716" t="str">
        <f t="shared" si="1007"/>
        <v/>
      </c>
      <c r="BN716" t="str">
        <f t="shared" si="1008"/>
        <v/>
      </c>
      <c r="BO716" s="118" t="str">
        <f t="shared" si="1009"/>
        <v/>
      </c>
      <c r="BP716" s="118" t="str">
        <f t="shared" si="1010"/>
        <v/>
      </c>
      <c r="BQ716" s="119" t="str">
        <f>+IF(OR($W716="",BO716=0),"",ROUND((VLOOKUP(ROUNDDOWN($D716-1/frec,0),cob_adi,BB$40,FALSE)*(1+i/frec)^-0.5*(1+Parámetros!$D$103)*(1+rec_fracc)/frec),6))</f>
        <v/>
      </c>
      <c r="BR716" s="66" t="str">
        <f t="shared" si="967"/>
        <v/>
      </c>
      <c r="BS716" s="119" t="str">
        <f t="shared" si="968"/>
        <v/>
      </c>
      <c r="BT716" s="66" t="str">
        <f>+IF($W716="","",ROUND(IF($B716&gt;Parámetros!$D$107,'Tablas Servicio'!BR716+('Tablas Servicio'!BT715-'Tablas Servicio'!BR715),BR716/(1-IF(B716&lt;=10,Parámetros!$D$100,0))),2))</f>
        <v/>
      </c>
      <c r="BU716" s="66" t="str">
        <f t="shared" si="1029"/>
        <v/>
      </c>
      <c r="BV716" s="66" t="str">
        <f t="shared" si="1029"/>
        <v/>
      </c>
      <c r="BW716" s="66" t="str">
        <f>+IF($W716="","",ROUND((BT716*Parámetros!$G$85),2))</f>
        <v/>
      </c>
      <c r="BX716" s="66" t="str">
        <f>+IF($W716="","",ROUND((BT716*(Parámetros!$G$86)),2))</f>
        <v/>
      </c>
      <c r="BY716" s="66" t="str">
        <f t="shared" si="970"/>
        <v/>
      </c>
      <c r="BZ716" t="str">
        <f t="shared" si="1011"/>
        <v/>
      </c>
      <c r="CA716" t="str">
        <f t="shared" si="1012"/>
        <v/>
      </c>
      <c r="CB716" s="118" t="str">
        <f t="shared" si="1013"/>
        <v/>
      </c>
      <c r="CC716" s="118" t="str">
        <f t="shared" si="1014"/>
        <v/>
      </c>
      <c r="CD716" s="119" t="str">
        <f t="shared" si="971"/>
        <v/>
      </c>
      <c r="CE716" s="66" t="str">
        <f>+IF($W716="","",ROUND((VLOOKUP(ROUNDDOWN($D716-1/frec,0),cob_adi,BO$40,FALSE)*(1+i/frec)^-0.5*(1+Parámetros!$D$103)*(1+rec_fracc)/frec*'TABLAS ADI'!$BC$17),2))</f>
        <v/>
      </c>
      <c r="CF716" s="119" t="str">
        <f t="shared" si="972"/>
        <v/>
      </c>
      <c r="CG716" s="66" t="str">
        <f>+IF($W716="","",ROUND(IF($B716&gt;Parámetros!$D$107,'Tablas Servicio'!CE716+('Tablas Servicio'!CG715-'Tablas Servicio'!CE715),CE716/(1-IF(B716&lt;=10,Parámetros!$D$100,0))),2))</f>
        <v/>
      </c>
      <c r="CH716" s="66" t="str">
        <f t="shared" si="1030"/>
        <v/>
      </c>
      <c r="CI716" s="66" t="str">
        <f t="shared" si="1030"/>
        <v/>
      </c>
      <c r="CJ716" s="66" t="str">
        <f>+IF($W716="","",ROUND((CG716*Parámetros!$G$85),2))</f>
        <v/>
      </c>
      <c r="CK716" s="66" t="str">
        <f>+IF($W716="","",ROUND((CG716*(Parámetros!$G$86)),2))</f>
        <v/>
      </c>
      <c r="CL716" s="66" t="str">
        <f t="shared" si="974"/>
        <v/>
      </c>
      <c r="CM716" t="str">
        <f t="shared" si="1015"/>
        <v/>
      </c>
      <c r="CN716" s="118" t="str">
        <f t="shared" si="1016"/>
        <v/>
      </c>
      <c r="CO716" s="118" t="str">
        <f t="shared" si="1017"/>
        <v/>
      </c>
      <c r="CP716" s="118" t="str">
        <f t="shared" si="1018"/>
        <v/>
      </c>
      <c r="CQ716" s="119" t="str">
        <f t="shared" si="975"/>
        <v/>
      </c>
      <c r="CR716" s="66" t="str">
        <f>+IF($W716="","",ROUND((VLOOKUP(Parámetros!$F$51,'COBERTURAS ADICIONALES'!$S$4:$T$32,2,FALSE)*(1+i/frec)^-0.5*(1+Parámetros!$D$103)*(1+rec_fracc)/frec*$CO$42),2))</f>
        <v/>
      </c>
      <c r="CS716" s="119" t="str">
        <f t="shared" si="976"/>
        <v/>
      </c>
      <c r="CT716" s="66" t="str">
        <f>+IF($W716="","",ROUND(IF($B716&gt;Parámetros!$D$107,'Tablas Servicio'!CR716+('Tablas Servicio'!CT715-'Tablas Servicio'!CR715),CR716/(1-IF(B716&lt;=10,Parámetros!$D$100,0))),2))</f>
        <v/>
      </c>
      <c r="CU716" s="66" t="str">
        <f t="shared" si="1031"/>
        <v/>
      </c>
      <c r="CV716" s="66" t="str">
        <f t="shared" si="1031"/>
        <v/>
      </c>
      <c r="CW716" s="66" t="str">
        <f>+IF($W716="","",ROUND((CT716*Parámetros!$G$85),2))</f>
        <v/>
      </c>
      <c r="CX716" s="66" t="str">
        <f>+IF($W716="","",ROUND((CT716*(Parámetros!$G$86)),2))</f>
        <v/>
      </c>
      <c r="CY716" s="66" t="str">
        <f t="shared" si="978"/>
        <v/>
      </c>
      <c r="CZ716" t="str">
        <f t="shared" si="1019"/>
        <v/>
      </c>
      <c r="DA716" s="118" t="str">
        <f t="shared" si="1020"/>
        <v/>
      </c>
      <c r="DB716" s="118" t="str">
        <f t="shared" si="1021"/>
        <v/>
      </c>
      <c r="DC716" s="118" t="str">
        <f t="shared" si="1022"/>
        <v/>
      </c>
      <c r="DD716" s="121" t="str">
        <f>+IF(OR($W716="",DB716=0),"",ROUND((VLOOKUP(ROUNDDOWN($D716-1/frec,0),cob_adi,CO$40,FALSE)*(1+i/frec)^-0.5*(1+Parámetros!$D$103)*(1+rec_fracc)/frec),6))</f>
        <v/>
      </c>
      <c r="DE716" s="66" t="str">
        <f t="shared" si="979"/>
        <v/>
      </c>
      <c r="DF716" s="119" t="str">
        <f t="shared" si="980"/>
        <v/>
      </c>
      <c r="DG716" s="66" t="str">
        <f>+IF($W716="","",ROUND(IF($B716&gt;Parámetros!$D$107,'Tablas Servicio'!DE716+('Tablas Servicio'!DG715-'Tablas Servicio'!DE715),DE716/(1-IF(B716&lt;=10,Parámetros!$D$100,0))),2))</f>
        <v/>
      </c>
      <c r="DH716" s="66" t="str">
        <f t="shared" si="1032"/>
        <v/>
      </c>
      <c r="DI716" s="66" t="str">
        <f t="shared" si="1032"/>
        <v/>
      </c>
      <c r="DJ716" s="66" t="str">
        <f>+IF($W716="","",ROUND((DG716*Parámetros!$G$85),2))</f>
        <v/>
      </c>
      <c r="DK716" s="66" t="str">
        <f>+IF($W716="","",ROUND((DG716*(Parámetros!$G$86)),2))</f>
        <v/>
      </c>
      <c r="DL716" s="66" t="str">
        <f t="shared" si="982"/>
        <v/>
      </c>
      <c r="DM716" t="str">
        <f t="shared" si="1023"/>
        <v/>
      </c>
      <c r="DN716" s="118" t="str">
        <f t="shared" si="1024"/>
        <v/>
      </c>
      <c r="DO716" s="118" t="str">
        <f t="shared" si="1025"/>
        <v/>
      </c>
      <c r="DP716" s="118" t="str">
        <f t="shared" si="1026"/>
        <v/>
      </c>
      <c r="DQ716" s="122" t="str">
        <f>+IF(OR($W716="",DO716=0),"",ROUND((VLOOKUP(ROUNDDOWN($D716-1/frec,0),cob_adi,DB$40,FALSE)*(1+i/frec)^-0.5*(1+Parámetros!$D$103)*(1+rec_fracc)/frec),6))</f>
        <v/>
      </c>
      <c r="DR716" s="66" t="str">
        <f t="shared" si="983"/>
        <v/>
      </c>
      <c r="DS716" s="68" t="str">
        <f t="shared" si="984"/>
        <v/>
      </c>
      <c r="DT716" s="66" t="str">
        <f>+IF($W716="","",ROUND(IF($B716&gt;Parámetros!$D$107,'Tablas Servicio'!DR716+('Tablas Servicio'!DT715-'Tablas Servicio'!DR715),DR716/(1-IF(B716&lt;=10,Parámetros!$D$100,0))),2))</f>
        <v/>
      </c>
      <c r="DU716" s="66" t="str">
        <f t="shared" si="1033"/>
        <v/>
      </c>
      <c r="DV716" s="66" t="str">
        <f t="shared" si="1033"/>
        <v/>
      </c>
      <c r="DW716" s="66" t="str">
        <f>+IF($W716="","",ROUND((DT716*Parámetros!$G$85),2))</f>
        <v/>
      </c>
      <c r="DX716" s="66" t="str">
        <f>+IF($W716="","",ROUND((DT716*(Parámetros!$G$86)),2))</f>
        <v/>
      </c>
      <c r="DY716" s="66" t="str">
        <f t="shared" si="986"/>
        <v/>
      </c>
      <c r="DZ716" t="str">
        <f t="shared" si="1034"/>
        <v/>
      </c>
      <c r="EA716" s="118" t="str">
        <f t="shared" si="1034"/>
        <v/>
      </c>
      <c r="EB716" s="118" t="str">
        <f>+IF($W716="","",ROUND(IF(Parámetros!$D$25='TABLAS MORT'!$V$33,EB715,Z716/2),0))</f>
        <v/>
      </c>
      <c r="EC716" s="118" t="str">
        <f t="shared" si="1034"/>
        <v/>
      </c>
      <c r="ED716" s="122" t="str">
        <f>+IF(OR($W716="",EB716=0),"",ROUND((VLOOKUP(ROUNDDOWN($D716-1/frec,0),cob_adi,DO$40,FALSE)*(1+i/frec)^-0.5*(1+Parámetros!$D$103)*(1+rec_fracc)/frec),6))</f>
        <v/>
      </c>
      <c r="EE716" s="66" t="str">
        <f t="shared" si="988"/>
        <v/>
      </c>
      <c r="EF716" s="68" t="str">
        <f t="shared" si="989"/>
        <v/>
      </c>
      <c r="EG716" s="66" t="str">
        <f>+IF($W716="","",ROUND(IF($B716&gt;Parámetros!$D$107,'Tablas Servicio'!EE716+('Tablas Servicio'!EG715-'Tablas Servicio'!EE715),EE716/(1-IF(B716&lt;=10,Parámetros!$D$100,0))),2))</f>
        <v/>
      </c>
      <c r="EH716" s="66" t="str">
        <f t="shared" si="1035"/>
        <v/>
      </c>
      <c r="EI716" s="66" t="str">
        <f t="shared" si="1035"/>
        <v/>
      </c>
      <c r="EJ716" s="66" t="str">
        <f>+IF($W716="","",ROUND((EG716*Parámetros!$G$85),2))</f>
        <v/>
      </c>
      <c r="EK716" s="66" t="str">
        <f>+IF($W716="","",ROUND((EG716*(Parámetros!$G$86)),2))</f>
        <v/>
      </c>
      <c r="EL716" s="66" t="str">
        <f t="shared" si="991"/>
        <v/>
      </c>
    </row>
    <row r="717" spans="1:142" x14ac:dyDescent="0.25">
      <c r="A717" t="str">
        <f>+IF($C717="","",ROUND(VLOOKUP('Tablas Servicio'!B717,Parámetros!$H$100:$J$159,IF(Parámetros!$E$16="F",2,3),FALSE),2))</f>
        <v/>
      </c>
      <c r="B717" t="str">
        <f t="shared" si="942"/>
        <v/>
      </c>
      <c r="C717" s="57" t="str">
        <f>+IF(D717="","",'Tablas Servicio'!C716+1)</f>
        <v/>
      </c>
      <c r="D717" s="56" t="str">
        <f>+IF(D716&lt;edadmaxtabla,D716+1/Parámetros!$E$25,"")</f>
        <v/>
      </c>
      <c r="E717" s="57" t="str">
        <f t="shared" si="952"/>
        <v/>
      </c>
      <c r="F717" s="59" t="str">
        <f t="shared" si="953"/>
        <v/>
      </c>
      <c r="G717" s="66" t="str">
        <f t="shared" si="943"/>
        <v/>
      </c>
      <c r="H717" s="66" t="str">
        <f t="shared" si="944"/>
        <v/>
      </c>
      <c r="I717" s="66" t="str">
        <f t="shared" si="992"/>
        <v/>
      </c>
      <c r="J717" s="66" t="str">
        <f t="shared" si="945"/>
        <v/>
      </c>
      <c r="K717" s="66" t="str">
        <f t="shared" si="946"/>
        <v/>
      </c>
      <c r="L717" s="66" t="str">
        <f t="shared" si="947"/>
        <v/>
      </c>
      <c r="M717" s="66" t="str">
        <f t="shared" si="948"/>
        <v/>
      </c>
      <c r="N717" s="66" t="str">
        <f>+IF(C717="","",ROUND(Parámetros!$D$23,2))</f>
        <v/>
      </c>
      <c r="O717" s="66" t="str">
        <f t="shared" si="949"/>
        <v/>
      </c>
      <c r="P717" s="66" t="str">
        <f>+IF($C717="","",ROUND(IF(B717&gt;Parámetros!$D$117,0,N717*Parámetros!$D$116-G717*Parámetros!$D$100),2))</f>
        <v/>
      </c>
      <c r="Q717" s="75" t="str">
        <f t="shared" si="993"/>
        <v/>
      </c>
      <c r="R717" s="75" t="str">
        <f t="shared" si="994"/>
        <v/>
      </c>
      <c r="S717" s="117" t="str">
        <f>+IF($C717="","",ROUND((S716+I717)*(1+Parámetros!$D$91),2))</f>
        <v/>
      </c>
      <c r="T717" s="117" t="str">
        <f>+IF($C717="","",ROUND(S717*VLOOKUP(B717,Parámetros!$C$30:$D$39,2,TRUE),2))</f>
        <v/>
      </c>
      <c r="U717" s="117" t="str">
        <f>+IF($C717="","",ROUND((U716+I717)*(1+Parámetros!$D$92),2))</f>
        <v/>
      </c>
      <c r="V717" s="117" t="str">
        <f>+IF($C717="","",ROUND(U717*VLOOKUP(B717,Parámetros!$C$30:$D$39,2,TRUE),2))</f>
        <v/>
      </c>
      <c r="W717" s="57" t="str">
        <f t="shared" si="995"/>
        <v/>
      </c>
      <c r="X717" t="str">
        <f t="shared" si="996"/>
        <v/>
      </c>
      <c r="Y717" t="str">
        <f t="shared" si="997"/>
        <v/>
      </c>
      <c r="Z717" s="118" t="str">
        <f>+IF($W717="","",ROUND(IF(Parámetros!$D$25='TABLAS MORT'!$V$33,Z716,Parámetros!$D$21-'Tablas Servicio'!T716),0))</f>
        <v/>
      </c>
      <c r="AA717" s="118" t="str">
        <f t="shared" si="998"/>
        <v/>
      </c>
      <c r="AB717" s="119" t="str">
        <f>+IF(W717="","",ROUND((VLOOKUP(ROUNDDOWN($D717-1/frec,0),qx_tabla,2,FALSE)*(1+i/frec)^-0.5*(1+Parámetros!$D$103)*(1+rec_fracc)/frec),6))</f>
        <v/>
      </c>
      <c r="AC717" s="66" t="str">
        <f t="shared" si="954"/>
        <v/>
      </c>
      <c r="AD717" s="119" t="str">
        <f t="shared" si="950"/>
        <v/>
      </c>
      <c r="AE717" s="66" t="str">
        <f>+IF($W717="","",ROUND(IF($B717&gt;Parámetros!$D$107,'Tablas Servicio'!AC717+('Tablas Servicio'!AG716-'Tablas Servicio'!AC716),AC717/(1-IF(B717&lt;=10,Parámetros!$D$104,Parámetros!$D$105))),2))</f>
        <v/>
      </c>
      <c r="AF717" s="66" t="str">
        <f>+IF($W717="","",ROUND(IF($B717&gt;Parámetros!$D$107,'Tablas Servicio'!AC717+('Tablas Servicio'!AG716-'Tablas Servicio'!AC716),(AC717+$A716/frec)/(1-IF(B717&lt;=Parámetros!$D$117,Parámetros!$D$100,0))),2))</f>
        <v/>
      </c>
      <c r="AG717" s="66" t="str">
        <f t="shared" si="955"/>
        <v/>
      </c>
      <c r="AH717" s="66" t="str">
        <f t="shared" si="956"/>
        <v/>
      </c>
      <c r="AI717" s="66" t="str">
        <f t="shared" si="957"/>
        <v/>
      </c>
      <c r="AJ717" s="66" t="str">
        <f>+IF($W717="","",ROUND((AG717*Parámetros!$G$85),2))</f>
        <v/>
      </c>
      <c r="AK717" s="66" t="str">
        <f>+IF($W717="","",ROUND((AG717*(Parámetros!$G$86)),2))</f>
        <v/>
      </c>
      <c r="AL717" s="66" t="str">
        <f t="shared" si="951"/>
        <v/>
      </c>
      <c r="AM717" t="str">
        <f t="shared" si="999"/>
        <v/>
      </c>
      <c r="AN717" t="str">
        <f t="shared" si="1000"/>
        <v/>
      </c>
      <c r="AO717" s="118" t="str">
        <f t="shared" si="1001"/>
        <v/>
      </c>
      <c r="AP717" s="118" t="str">
        <f t="shared" si="1002"/>
        <v/>
      </c>
      <c r="AQ717" s="119" t="str">
        <f>+IF(OR($W717="",AO717=0),"",ROUND((VLOOKUP(ROUNDDOWN($D717-1/frec,0),cob_adi,Z$40,FALSE)*(1+i/frec)^-0.5*(1+Parámetros!$D$103)*(1+rec_fracc)/frec),6))</f>
        <v/>
      </c>
      <c r="AR717" s="66" t="str">
        <f t="shared" si="958"/>
        <v/>
      </c>
      <c r="AS717" s="119" t="str">
        <f t="shared" si="959"/>
        <v/>
      </c>
      <c r="AT717" s="66" t="str">
        <f>+IF($W717="","",ROUND(IF($B717&gt;Parámetros!$D$107,'Tablas Servicio'!AR717+('Tablas Servicio'!AT716-'Tablas Servicio'!AR716),AR717/(1-IF(B717&lt;=10,Parámetros!$D$100,0))),2))</f>
        <v/>
      </c>
      <c r="AU717" s="66" t="str">
        <f t="shared" si="1028"/>
        <v/>
      </c>
      <c r="AV717" s="66" t="str">
        <f t="shared" si="1028"/>
        <v/>
      </c>
      <c r="AW717" s="66" t="str">
        <f>+IF($W717="","",ROUND((AT717*Parámetros!$G$85),2))</f>
        <v/>
      </c>
      <c r="AX717" s="66" t="str">
        <f>+IF($W717="","",ROUND((AT717*(Parámetros!$G$86)),2))</f>
        <v/>
      </c>
      <c r="AY717" s="66" t="str">
        <f t="shared" si="961"/>
        <v/>
      </c>
      <c r="AZ717" t="str">
        <f t="shared" si="1003"/>
        <v/>
      </c>
      <c r="BA717" t="str">
        <f t="shared" si="1004"/>
        <v/>
      </c>
      <c r="BB717" s="118" t="str">
        <f t="shared" si="1005"/>
        <v/>
      </c>
      <c r="BC717" s="118" t="str">
        <f t="shared" si="1006"/>
        <v/>
      </c>
      <c r="BD717" s="119" t="str">
        <f>+IF(OR($W717="",BB717=0),"",ROUND((VLOOKUP(ROUNDDOWN($D717-1/frec,0),cob_adi,AO$40,FALSE)*(1+i/frec)^-0.5*(1+Parámetros!$D$103)*(1+rec_fracc)/frec),6))</f>
        <v/>
      </c>
      <c r="BE717" s="66" t="str">
        <f t="shared" si="962"/>
        <v/>
      </c>
      <c r="BF717" s="119" t="str">
        <f t="shared" si="963"/>
        <v/>
      </c>
      <c r="BG717" s="66" t="str">
        <f>+IF($W717="","",ROUND(IF($B717&gt;Parámetros!$D$107,'Tablas Servicio'!BE717+('Tablas Servicio'!BG716-'Tablas Servicio'!BE716),BE717/(1-IF(B717&lt;=10,Parámetros!$D$100,0))),2))</f>
        <v/>
      </c>
      <c r="BH717" s="66" t="str">
        <f t="shared" si="964"/>
        <v/>
      </c>
      <c r="BI717" s="66" t="str">
        <f t="shared" si="965"/>
        <v/>
      </c>
      <c r="BJ717" s="66" t="str">
        <f>+IF($W717="","",ROUND((BG717*Parámetros!$G$85),2))</f>
        <v/>
      </c>
      <c r="BK717" s="66" t="str">
        <f>+IF($W717="","",ROUND((BG717*(Parámetros!$G$86)),2))</f>
        <v/>
      </c>
      <c r="BL717" s="66" t="str">
        <f t="shared" si="966"/>
        <v/>
      </c>
      <c r="BM717" t="str">
        <f t="shared" si="1007"/>
        <v/>
      </c>
      <c r="BN717" t="str">
        <f t="shared" si="1008"/>
        <v/>
      </c>
      <c r="BO717" s="118" t="str">
        <f t="shared" si="1009"/>
        <v/>
      </c>
      <c r="BP717" s="118" t="str">
        <f t="shared" si="1010"/>
        <v/>
      </c>
      <c r="BQ717" s="119" t="str">
        <f>+IF(OR($W717="",BO717=0),"",ROUND((VLOOKUP(ROUNDDOWN($D717-1/frec,0),cob_adi,BB$40,FALSE)*(1+i/frec)^-0.5*(1+Parámetros!$D$103)*(1+rec_fracc)/frec),6))</f>
        <v/>
      </c>
      <c r="BR717" s="66" t="str">
        <f t="shared" si="967"/>
        <v/>
      </c>
      <c r="BS717" s="119" t="str">
        <f t="shared" si="968"/>
        <v/>
      </c>
      <c r="BT717" s="66" t="str">
        <f>+IF($W717="","",ROUND(IF($B717&gt;Parámetros!$D$107,'Tablas Servicio'!BR717+('Tablas Servicio'!BT716-'Tablas Servicio'!BR716),BR717/(1-IF(B717&lt;=10,Parámetros!$D$100,0))),2))</f>
        <v/>
      </c>
      <c r="BU717" s="66" t="str">
        <f t="shared" si="1029"/>
        <v/>
      </c>
      <c r="BV717" s="66" t="str">
        <f t="shared" si="1029"/>
        <v/>
      </c>
      <c r="BW717" s="66" t="str">
        <f>+IF($W717="","",ROUND((BT717*Parámetros!$G$85),2))</f>
        <v/>
      </c>
      <c r="BX717" s="66" t="str">
        <f>+IF($W717="","",ROUND((BT717*(Parámetros!$G$86)),2))</f>
        <v/>
      </c>
      <c r="BY717" s="66" t="str">
        <f t="shared" si="970"/>
        <v/>
      </c>
      <c r="BZ717" t="str">
        <f t="shared" si="1011"/>
        <v/>
      </c>
      <c r="CA717" t="str">
        <f t="shared" si="1012"/>
        <v/>
      </c>
      <c r="CB717" s="118" t="str">
        <f t="shared" si="1013"/>
        <v/>
      </c>
      <c r="CC717" s="118" t="str">
        <f t="shared" si="1014"/>
        <v/>
      </c>
      <c r="CD717" s="119" t="str">
        <f t="shared" si="971"/>
        <v/>
      </c>
      <c r="CE717" s="66" t="str">
        <f>+IF($W717="","",ROUND((VLOOKUP(ROUNDDOWN($D717-1/frec,0),cob_adi,BO$40,FALSE)*(1+i/frec)^-0.5*(1+Parámetros!$D$103)*(1+rec_fracc)/frec*'TABLAS ADI'!$BC$17),2))</f>
        <v/>
      </c>
      <c r="CF717" s="119" t="str">
        <f t="shared" si="972"/>
        <v/>
      </c>
      <c r="CG717" s="66" t="str">
        <f>+IF($W717="","",ROUND(IF($B717&gt;Parámetros!$D$107,'Tablas Servicio'!CE717+('Tablas Servicio'!CG716-'Tablas Servicio'!CE716),CE717/(1-IF(B717&lt;=10,Parámetros!$D$100,0))),2))</f>
        <v/>
      </c>
      <c r="CH717" s="66" t="str">
        <f t="shared" si="1030"/>
        <v/>
      </c>
      <c r="CI717" s="66" t="str">
        <f t="shared" si="1030"/>
        <v/>
      </c>
      <c r="CJ717" s="66" t="str">
        <f>+IF($W717="","",ROUND((CG717*Parámetros!$G$85),2))</f>
        <v/>
      </c>
      <c r="CK717" s="66" t="str">
        <f>+IF($W717="","",ROUND((CG717*(Parámetros!$G$86)),2))</f>
        <v/>
      </c>
      <c r="CL717" s="66" t="str">
        <f t="shared" si="974"/>
        <v/>
      </c>
      <c r="CM717" t="str">
        <f t="shared" si="1015"/>
        <v/>
      </c>
      <c r="CN717" s="118" t="str">
        <f t="shared" si="1016"/>
        <v/>
      </c>
      <c r="CO717" s="118" t="str">
        <f t="shared" si="1017"/>
        <v/>
      </c>
      <c r="CP717" s="118" t="str">
        <f t="shared" si="1018"/>
        <v/>
      </c>
      <c r="CQ717" s="119" t="str">
        <f t="shared" si="975"/>
        <v/>
      </c>
      <c r="CR717" s="66" t="str">
        <f>+IF($W717="","",ROUND((VLOOKUP(Parámetros!$F$51,'COBERTURAS ADICIONALES'!$S$4:$T$32,2,FALSE)*(1+i/frec)^-0.5*(1+Parámetros!$D$103)*(1+rec_fracc)/frec*$CO$42),2))</f>
        <v/>
      </c>
      <c r="CS717" s="119" t="str">
        <f t="shared" si="976"/>
        <v/>
      </c>
      <c r="CT717" s="66" t="str">
        <f>+IF($W717="","",ROUND(IF($B717&gt;Parámetros!$D$107,'Tablas Servicio'!CR717+('Tablas Servicio'!CT716-'Tablas Servicio'!CR716),CR717/(1-IF(B717&lt;=10,Parámetros!$D$100,0))),2))</f>
        <v/>
      </c>
      <c r="CU717" s="66" t="str">
        <f t="shared" si="1031"/>
        <v/>
      </c>
      <c r="CV717" s="66" t="str">
        <f t="shared" si="1031"/>
        <v/>
      </c>
      <c r="CW717" s="66" t="str">
        <f>+IF($W717="","",ROUND((CT717*Parámetros!$G$85),2))</f>
        <v/>
      </c>
      <c r="CX717" s="66" t="str">
        <f>+IF($W717="","",ROUND((CT717*(Parámetros!$G$86)),2))</f>
        <v/>
      </c>
      <c r="CY717" s="66" t="str">
        <f t="shared" si="978"/>
        <v/>
      </c>
      <c r="CZ717" t="str">
        <f t="shared" si="1019"/>
        <v/>
      </c>
      <c r="DA717" s="118" t="str">
        <f t="shared" si="1020"/>
        <v/>
      </c>
      <c r="DB717" s="118" t="str">
        <f t="shared" si="1021"/>
        <v/>
      </c>
      <c r="DC717" s="118" t="str">
        <f t="shared" si="1022"/>
        <v/>
      </c>
      <c r="DD717" s="121" t="str">
        <f>+IF(OR($W717="",DB717=0),"",ROUND((VLOOKUP(ROUNDDOWN($D717-1/frec,0),cob_adi,CO$40,FALSE)*(1+i/frec)^-0.5*(1+Parámetros!$D$103)*(1+rec_fracc)/frec),6))</f>
        <v/>
      </c>
      <c r="DE717" s="66" t="str">
        <f t="shared" si="979"/>
        <v/>
      </c>
      <c r="DF717" s="119" t="str">
        <f t="shared" si="980"/>
        <v/>
      </c>
      <c r="DG717" s="66" t="str">
        <f>+IF($W717="","",ROUND(IF($B717&gt;Parámetros!$D$107,'Tablas Servicio'!DE717+('Tablas Servicio'!DG716-'Tablas Servicio'!DE716),DE717/(1-IF(B717&lt;=10,Parámetros!$D$100,0))),2))</f>
        <v/>
      </c>
      <c r="DH717" s="66" t="str">
        <f t="shared" si="1032"/>
        <v/>
      </c>
      <c r="DI717" s="66" t="str">
        <f t="shared" si="1032"/>
        <v/>
      </c>
      <c r="DJ717" s="66" t="str">
        <f>+IF($W717="","",ROUND((DG717*Parámetros!$G$85),2))</f>
        <v/>
      </c>
      <c r="DK717" s="66" t="str">
        <f>+IF($W717="","",ROUND((DG717*(Parámetros!$G$86)),2))</f>
        <v/>
      </c>
      <c r="DL717" s="66" t="str">
        <f t="shared" si="982"/>
        <v/>
      </c>
      <c r="DM717" t="str">
        <f t="shared" si="1023"/>
        <v/>
      </c>
      <c r="DN717" s="118" t="str">
        <f t="shared" si="1024"/>
        <v/>
      </c>
      <c r="DO717" s="118" t="str">
        <f t="shared" si="1025"/>
        <v/>
      </c>
      <c r="DP717" s="118" t="str">
        <f t="shared" si="1026"/>
        <v/>
      </c>
      <c r="DQ717" s="122" t="str">
        <f>+IF(OR($W717="",DO717=0),"",ROUND((VLOOKUP(ROUNDDOWN($D717-1/frec,0),cob_adi,DB$40,FALSE)*(1+i/frec)^-0.5*(1+Parámetros!$D$103)*(1+rec_fracc)/frec),6))</f>
        <v/>
      </c>
      <c r="DR717" s="66" t="str">
        <f t="shared" si="983"/>
        <v/>
      </c>
      <c r="DS717" s="68" t="str">
        <f t="shared" si="984"/>
        <v/>
      </c>
      <c r="DT717" s="66" t="str">
        <f>+IF($W717="","",ROUND(IF($B717&gt;Parámetros!$D$107,'Tablas Servicio'!DR717+('Tablas Servicio'!DT716-'Tablas Servicio'!DR716),DR717/(1-IF(B717&lt;=10,Parámetros!$D$100,0))),2))</f>
        <v/>
      </c>
      <c r="DU717" s="66" t="str">
        <f t="shared" si="1033"/>
        <v/>
      </c>
      <c r="DV717" s="66" t="str">
        <f t="shared" si="1033"/>
        <v/>
      </c>
      <c r="DW717" s="66" t="str">
        <f>+IF($W717="","",ROUND((DT717*Parámetros!$G$85),2))</f>
        <v/>
      </c>
      <c r="DX717" s="66" t="str">
        <f>+IF($W717="","",ROUND((DT717*(Parámetros!$G$86)),2))</f>
        <v/>
      </c>
      <c r="DY717" s="66" t="str">
        <f t="shared" si="986"/>
        <v/>
      </c>
      <c r="DZ717" t="str">
        <f t="shared" si="1034"/>
        <v/>
      </c>
      <c r="EA717" s="118" t="str">
        <f t="shared" si="1034"/>
        <v/>
      </c>
      <c r="EB717" s="118" t="str">
        <f>+IF($W717="","",ROUND(IF(Parámetros!$D$25='TABLAS MORT'!$V$33,EB716,Z717/2),0))</f>
        <v/>
      </c>
      <c r="EC717" s="118" t="str">
        <f t="shared" si="1034"/>
        <v/>
      </c>
      <c r="ED717" s="122" t="str">
        <f>+IF(OR($W717="",EB717=0),"",ROUND((VLOOKUP(ROUNDDOWN($D717-1/frec,0),cob_adi,DO$40,FALSE)*(1+i/frec)^-0.5*(1+Parámetros!$D$103)*(1+rec_fracc)/frec),6))</f>
        <v/>
      </c>
      <c r="EE717" s="66" t="str">
        <f t="shared" si="988"/>
        <v/>
      </c>
      <c r="EF717" s="68" t="str">
        <f t="shared" si="989"/>
        <v/>
      </c>
      <c r="EG717" s="66" t="str">
        <f>+IF($W717="","",ROUND(IF($B717&gt;Parámetros!$D$107,'Tablas Servicio'!EE717+('Tablas Servicio'!EG716-'Tablas Servicio'!EE716),EE717/(1-IF(B717&lt;=10,Parámetros!$D$100,0))),2))</f>
        <v/>
      </c>
      <c r="EH717" s="66" t="str">
        <f t="shared" si="1035"/>
        <v/>
      </c>
      <c r="EI717" s="66" t="str">
        <f t="shared" si="1035"/>
        <v/>
      </c>
      <c r="EJ717" s="66" t="str">
        <f>+IF($W717="","",ROUND((EG717*Parámetros!$G$85),2))</f>
        <v/>
      </c>
      <c r="EK717" s="66" t="str">
        <f>+IF($W717="","",ROUND((EG717*(Parámetros!$G$86)),2))</f>
        <v/>
      </c>
      <c r="EL717" s="66" t="str">
        <f t="shared" si="991"/>
        <v/>
      </c>
    </row>
    <row r="718" spans="1:142" x14ac:dyDescent="0.25">
      <c r="A718" t="str">
        <f>+IF($C718="","",ROUND(VLOOKUP('Tablas Servicio'!B718,Parámetros!$H$100:$J$159,IF(Parámetros!$E$16="F",2,3),FALSE),2))</f>
        <v/>
      </c>
      <c r="B718" t="str">
        <f t="shared" si="942"/>
        <v/>
      </c>
      <c r="C718" s="57" t="str">
        <f>+IF(D718="","",'Tablas Servicio'!C717+1)</f>
        <v/>
      </c>
      <c r="D718" s="56" t="str">
        <f>+IF(D717&lt;edadmaxtabla,D717+1/Parámetros!$E$25,"")</f>
        <v/>
      </c>
      <c r="E718" s="57" t="str">
        <f t="shared" si="952"/>
        <v/>
      </c>
      <c r="F718" s="59" t="str">
        <f t="shared" si="953"/>
        <v/>
      </c>
      <c r="G718" s="66" t="str">
        <f t="shared" si="943"/>
        <v/>
      </c>
      <c r="H718" s="66" t="str">
        <f t="shared" si="944"/>
        <v/>
      </c>
      <c r="I718" s="66" t="str">
        <f t="shared" si="992"/>
        <v/>
      </c>
      <c r="J718" s="66" t="str">
        <f t="shared" si="945"/>
        <v/>
      </c>
      <c r="K718" s="66" t="str">
        <f t="shared" si="946"/>
        <v/>
      </c>
      <c r="L718" s="66" t="str">
        <f t="shared" si="947"/>
        <v/>
      </c>
      <c r="M718" s="66" t="str">
        <f t="shared" si="948"/>
        <v/>
      </c>
      <c r="N718" s="66" t="str">
        <f>+IF(C718="","",ROUND(Parámetros!$D$23,2))</f>
        <v/>
      </c>
      <c r="O718" s="66" t="str">
        <f t="shared" si="949"/>
        <v/>
      </c>
      <c r="P718" s="66" t="str">
        <f>+IF($C718="","",ROUND(IF(B718&gt;Parámetros!$D$117,0,N718*Parámetros!$D$116-G718*Parámetros!$D$100),2))</f>
        <v/>
      </c>
      <c r="Q718" s="75" t="str">
        <f t="shared" si="993"/>
        <v/>
      </c>
      <c r="R718" s="75" t="str">
        <f t="shared" si="994"/>
        <v/>
      </c>
      <c r="S718" s="117" t="str">
        <f>+IF($C718="","",ROUND((S717+I718)*(1+Parámetros!$D$91),2))</f>
        <v/>
      </c>
      <c r="T718" s="117" t="str">
        <f>+IF($C718="","",ROUND(S718*VLOOKUP(B718,Parámetros!$C$30:$D$39,2,TRUE),2))</f>
        <v/>
      </c>
      <c r="U718" s="117" t="str">
        <f>+IF($C718="","",ROUND((U717+I718)*(1+Parámetros!$D$92),2))</f>
        <v/>
      </c>
      <c r="V718" s="117" t="str">
        <f>+IF($C718="","",ROUND(U718*VLOOKUP(B718,Parámetros!$C$30:$D$39,2,TRUE),2))</f>
        <v/>
      </c>
      <c r="W718" s="57" t="str">
        <f t="shared" si="995"/>
        <v/>
      </c>
      <c r="X718" t="str">
        <f t="shared" si="996"/>
        <v/>
      </c>
      <c r="Y718" t="str">
        <f t="shared" si="997"/>
        <v/>
      </c>
      <c r="Z718" s="118" t="str">
        <f>+IF($W718="","",ROUND(IF(Parámetros!$D$25='TABLAS MORT'!$V$33,Z717,Parámetros!$D$21-'Tablas Servicio'!T717),0))</f>
        <v/>
      </c>
      <c r="AA718" s="118" t="str">
        <f t="shared" si="998"/>
        <v/>
      </c>
      <c r="AB718" s="119" t="str">
        <f>+IF(W718="","",ROUND((VLOOKUP(ROUNDDOWN($D718-1/frec,0),qx_tabla,2,FALSE)*(1+i/frec)^-0.5*(1+Parámetros!$D$103)*(1+rec_fracc)/frec),6))</f>
        <v/>
      </c>
      <c r="AC718" s="66" t="str">
        <f t="shared" si="954"/>
        <v/>
      </c>
      <c r="AD718" s="119" t="str">
        <f t="shared" si="950"/>
        <v/>
      </c>
      <c r="AE718" s="66" t="str">
        <f>+IF($W718="","",ROUND(IF($B718&gt;Parámetros!$D$107,'Tablas Servicio'!AC718+('Tablas Servicio'!AG717-'Tablas Servicio'!AC717),AC718/(1-IF(B718&lt;=10,Parámetros!$D$104,Parámetros!$D$105))),2))</f>
        <v/>
      </c>
      <c r="AF718" s="66" t="str">
        <f>+IF($W718="","",ROUND(IF($B718&gt;Parámetros!$D$107,'Tablas Servicio'!AC718+('Tablas Servicio'!AG717-'Tablas Servicio'!AC717),(AC718+$A717/frec)/(1-IF(B718&lt;=Parámetros!$D$117,Parámetros!$D$100,0))),2))</f>
        <v/>
      </c>
      <c r="AG718" s="66" t="str">
        <f t="shared" si="955"/>
        <v/>
      </c>
      <c r="AH718" s="66" t="str">
        <f t="shared" si="956"/>
        <v/>
      </c>
      <c r="AI718" s="66" t="str">
        <f t="shared" si="957"/>
        <v/>
      </c>
      <c r="AJ718" s="66" t="str">
        <f>+IF($W718="","",ROUND((AG718*Parámetros!$G$85),2))</f>
        <v/>
      </c>
      <c r="AK718" s="66" t="str">
        <f>+IF($W718="","",ROUND((AG718*(Parámetros!$G$86)),2))</f>
        <v/>
      </c>
      <c r="AL718" s="66" t="str">
        <f t="shared" si="951"/>
        <v/>
      </c>
      <c r="AM718" t="str">
        <f t="shared" si="999"/>
        <v/>
      </c>
      <c r="AN718" t="str">
        <f t="shared" si="1000"/>
        <v/>
      </c>
      <c r="AO718" s="118" t="str">
        <f t="shared" si="1001"/>
        <v/>
      </c>
      <c r="AP718" s="118" t="str">
        <f t="shared" si="1002"/>
        <v/>
      </c>
      <c r="AQ718" s="119" t="str">
        <f>+IF(OR($W718="",AO718=0),"",ROUND((VLOOKUP(ROUNDDOWN($D718-1/frec,0),cob_adi,Z$40,FALSE)*(1+i/frec)^-0.5*(1+Parámetros!$D$103)*(1+rec_fracc)/frec),6))</f>
        <v/>
      </c>
      <c r="AR718" s="66" t="str">
        <f t="shared" si="958"/>
        <v/>
      </c>
      <c r="AS718" s="119" t="str">
        <f t="shared" si="959"/>
        <v/>
      </c>
      <c r="AT718" s="66" t="str">
        <f>+IF($W718="","",ROUND(IF($B718&gt;Parámetros!$D$107,'Tablas Servicio'!AR718+('Tablas Servicio'!AT717-'Tablas Servicio'!AR717),AR718/(1-IF(B718&lt;=10,Parámetros!$D$100,0))),2))</f>
        <v/>
      </c>
      <c r="AU718" s="66" t="str">
        <f t="shared" si="1028"/>
        <v/>
      </c>
      <c r="AV718" s="66" t="str">
        <f t="shared" si="1028"/>
        <v/>
      </c>
      <c r="AW718" s="66" t="str">
        <f>+IF($W718="","",ROUND((AT718*Parámetros!$G$85),2))</f>
        <v/>
      </c>
      <c r="AX718" s="66" t="str">
        <f>+IF($W718="","",ROUND((AT718*(Parámetros!$G$86)),2))</f>
        <v/>
      </c>
      <c r="AY718" s="66" t="str">
        <f t="shared" si="961"/>
        <v/>
      </c>
      <c r="AZ718" t="str">
        <f t="shared" si="1003"/>
        <v/>
      </c>
      <c r="BA718" t="str">
        <f t="shared" si="1004"/>
        <v/>
      </c>
      <c r="BB718" s="118" t="str">
        <f t="shared" si="1005"/>
        <v/>
      </c>
      <c r="BC718" s="118" t="str">
        <f t="shared" si="1006"/>
        <v/>
      </c>
      <c r="BD718" s="119" t="str">
        <f>+IF(OR($W718="",BB718=0),"",ROUND((VLOOKUP(ROUNDDOWN($D718-1/frec,0),cob_adi,AO$40,FALSE)*(1+i/frec)^-0.5*(1+Parámetros!$D$103)*(1+rec_fracc)/frec),6))</f>
        <v/>
      </c>
      <c r="BE718" s="66" t="str">
        <f t="shared" si="962"/>
        <v/>
      </c>
      <c r="BF718" s="119" t="str">
        <f t="shared" si="963"/>
        <v/>
      </c>
      <c r="BG718" s="66" t="str">
        <f>+IF($W718="","",ROUND(IF($B718&gt;Parámetros!$D$107,'Tablas Servicio'!BE718+('Tablas Servicio'!BG717-'Tablas Servicio'!BE717),BE718/(1-IF(B718&lt;=10,Parámetros!$D$100,0))),2))</f>
        <v/>
      </c>
      <c r="BH718" s="66" t="str">
        <f t="shared" si="964"/>
        <v/>
      </c>
      <c r="BI718" s="66" t="str">
        <f t="shared" si="965"/>
        <v/>
      </c>
      <c r="BJ718" s="66" t="str">
        <f>+IF($W718="","",ROUND((BG718*Parámetros!$G$85),2))</f>
        <v/>
      </c>
      <c r="BK718" s="66" t="str">
        <f>+IF($W718="","",ROUND((BG718*(Parámetros!$G$86)),2))</f>
        <v/>
      </c>
      <c r="BL718" s="66" t="str">
        <f t="shared" si="966"/>
        <v/>
      </c>
      <c r="BM718" t="str">
        <f t="shared" si="1007"/>
        <v/>
      </c>
      <c r="BN718" t="str">
        <f t="shared" si="1008"/>
        <v/>
      </c>
      <c r="BO718" s="118" t="str">
        <f t="shared" si="1009"/>
        <v/>
      </c>
      <c r="BP718" s="118" t="str">
        <f t="shared" si="1010"/>
        <v/>
      </c>
      <c r="BQ718" s="119" t="str">
        <f>+IF(OR($W718="",BO718=0),"",ROUND((VLOOKUP(ROUNDDOWN($D718-1/frec,0),cob_adi,BB$40,FALSE)*(1+i/frec)^-0.5*(1+Parámetros!$D$103)*(1+rec_fracc)/frec),6))</f>
        <v/>
      </c>
      <c r="BR718" s="66" t="str">
        <f t="shared" si="967"/>
        <v/>
      </c>
      <c r="BS718" s="119" t="str">
        <f t="shared" si="968"/>
        <v/>
      </c>
      <c r="BT718" s="66" t="str">
        <f>+IF($W718="","",ROUND(IF($B718&gt;Parámetros!$D$107,'Tablas Servicio'!BR718+('Tablas Servicio'!BT717-'Tablas Servicio'!BR717),BR718/(1-IF(B718&lt;=10,Parámetros!$D$100,0))),2))</f>
        <v/>
      </c>
      <c r="BU718" s="66" t="str">
        <f t="shared" si="1029"/>
        <v/>
      </c>
      <c r="BV718" s="66" t="str">
        <f t="shared" si="1029"/>
        <v/>
      </c>
      <c r="BW718" s="66" t="str">
        <f>+IF($W718="","",ROUND((BT718*Parámetros!$G$85),2))</f>
        <v/>
      </c>
      <c r="BX718" s="66" t="str">
        <f>+IF($W718="","",ROUND((BT718*(Parámetros!$G$86)),2))</f>
        <v/>
      </c>
      <c r="BY718" s="66" t="str">
        <f t="shared" si="970"/>
        <v/>
      </c>
      <c r="BZ718" t="str">
        <f t="shared" si="1011"/>
        <v/>
      </c>
      <c r="CA718" t="str">
        <f t="shared" si="1012"/>
        <v/>
      </c>
      <c r="CB718" s="118" t="str">
        <f t="shared" si="1013"/>
        <v/>
      </c>
      <c r="CC718" s="118" t="str">
        <f t="shared" si="1014"/>
        <v/>
      </c>
      <c r="CD718" s="119" t="str">
        <f t="shared" si="971"/>
        <v/>
      </c>
      <c r="CE718" s="66" t="str">
        <f>+IF($W718="","",ROUND((VLOOKUP(ROUNDDOWN($D718-1/frec,0),cob_adi,BO$40,FALSE)*(1+i/frec)^-0.5*(1+Parámetros!$D$103)*(1+rec_fracc)/frec*'TABLAS ADI'!$BC$17),2))</f>
        <v/>
      </c>
      <c r="CF718" s="119" t="str">
        <f t="shared" si="972"/>
        <v/>
      </c>
      <c r="CG718" s="66" t="str">
        <f>+IF($W718="","",ROUND(IF($B718&gt;Parámetros!$D$107,'Tablas Servicio'!CE718+('Tablas Servicio'!CG717-'Tablas Servicio'!CE717),CE718/(1-IF(B718&lt;=10,Parámetros!$D$100,0))),2))</f>
        <v/>
      </c>
      <c r="CH718" s="66" t="str">
        <f t="shared" si="1030"/>
        <v/>
      </c>
      <c r="CI718" s="66" t="str">
        <f t="shared" si="1030"/>
        <v/>
      </c>
      <c r="CJ718" s="66" t="str">
        <f>+IF($W718="","",ROUND((CG718*Parámetros!$G$85),2))</f>
        <v/>
      </c>
      <c r="CK718" s="66" t="str">
        <f>+IF($W718="","",ROUND((CG718*(Parámetros!$G$86)),2))</f>
        <v/>
      </c>
      <c r="CL718" s="66" t="str">
        <f t="shared" si="974"/>
        <v/>
      </c>
      <c r="CM718" t="str">
        <f t="shared" si="1015"/>
        <v/>
      </c>
      <c r="CN718" s="118" t="str">
        <f t="shared" si="1016"/>
        <v/>
      </c>
      <c r="CO718" s="118" t="str">
        <f t="shared" si="1017"/>
        <v/>
      </c>
      <c r="CP718" s="118" t="str">
        <f t="shared" si="1018"/>
        <v/>
      </c>
      <c r="CQ718" s="119" t="str">
        <f t="shared" si="975"/>
        <v/>
      </c>
      <c r="CR718" s="66" t="str">
        <f>+IF($W718="","",ROUND((VLOOKUP(Parámetros!$F$51,'COBERTURAS ADICIONALES'!$S$4:$T$32,2,FALSE)*(1+i/frec)^-0.5*(1+Parámetros!$D$103)*(1+rec_fracc)/frec*$CO$42),2))</f>
        <v/>
      </c>
      <c r="CS718" s="119" t="str">
        <f t="shared" si="976"/>
        <v/>
      </c>
      <c r="CT718" s="66" t="str">
        <f>+IF($W718="","",ROUND(IF($B718&gt;Parámetros!$D$107,'Tablas Servicio'!CR718+('Tablas Servicio'!CT717-'Tablas Servicio'!CR717),CR718/(1-IF(B718&lt;=10,Parámetros!$D$100,0))),2))</f>
        <v/>
      </c>
      <c r="CU718" s="66" t="str">
        <f t="shared" si="1031"/>
        <v/>
      </c>
      <c r="CV718" s="66" t="str">
        <f t="shared" si="1031"/>
        <v/>
      </c>
      <c r="CW718" s="66" t="str">
        <f>+IF($W718="","",ROUND((CT718*Parámetros!$G$85),2))</f>
        <v/>
      </c>
      <c r="CX718" s="66" t="str">
        <f>+IF($W718="","",ROUND((CT718*(Parámetros!$G$86)),2))</f>
        <v/>
      </c>
      <c r="CY718" s="66" t="str">
        <f t="shared" si="978"/>
        <v/>
      </c>
      <c r="CZ718" t="str">
        <f t="shared" si="1019"/>
        <v/>
      </c>
      <c r="DA718" s="118" t="str">
        <f t="shared" si="1020"/>
        <v/>
      </c>
      <c r="DB718" s="118" t="str">
        <f t="shared" si="1021"/>
        <v/>
      </c>
      <c r="DC718" s="118" t="str">
        <f t="shared" si="1022"/>
        <v/>
      </c>
      <c r="DD718" s="121" t="str">
        <f>+IF(OR($W718="",DB718=0),"",ROUND((VLOOKUP(ROUNDDOWN($D718-1/frec,0),cob_adi,CO$40,FALSE)*(1+i/frec)^-0.5*(1+Parámetros!$D$103)*(1+rec_fracc)/frec),6))</f>
        <v/>
      </c>
      <c r="DE718" s="66" t="str">
        <f t="shared" si="979"/>
        <v/>
      </c>
      <c r="DF718" s="119" t="str">
        <f t="shared" si="980"/>
        <v/>
      </c>
      <c r="DG718" s="66" t="str">
        <f>+IF($W718="","",ROUND(IF($B718&gt;Parámetros!$D$107,'Tablas Servicio'!DE718+('Tablas Servicio'!DG717-'Tablas Servicio'!DE717),DE718/(1-IF(B718&lt;=10,Parámetros!$D$100,0))),2))</f>
        <v/>
      </c>
      <c r="DH718" s="66" t="str">
        <f t="shared" si="1032"/>
        <v/>
      </c>
      <c r="DI718" s="66" t="str">
        <f t="shared" si="1032"/>
        <v/>
      </c>
      <c r="DJ718" s="66" t="str">
        <f>+IF($W718="","",ROUND((DG718*Parámetros!$G$85),2))</f>
        <v/>
      </c>
      <c r="DK718" s="66" t="str">
        <f>+IF($W718="","",ROUND((DG718*(Parámetros!$G$86)),2))</f>
        <v/>
      </c>
      <c r="DL718" s="66" t="str">
        <f t="shared" si="982"/>
        <v/>
      </c>
      <c r="DM718" t="str">
        <f t="shared" si="1023"/>
        <v/>
      </c>
      <c r="DN718" s="118" t="str">
        <f t="shared" si="1024"/>
        <v/>
      </c>
      <c r="DO718" s="118" t="str">
        <f t="shared" si="1025"/>
        <v/>
      </c>
      <c r="DP718" s="118" t="str">
        <f t="shared" si="1026"/>
        <v/>
      </c>
      <c r="DQ718" s="122" t="str">
        <f>+IF(OR($W718="",DO718=0),"",ROUND((VLOOKUP(ROUNDDOWN($D718-1/frec,0),cob_adi,DB$40,FALSE)*(1+i/frec)^-0.5*(1+Parámetros!$D$103)*(1+rec_fracc)/frec),6))</f>
        <v/>
      </c>
      <c r="DR718" s="66" t="str">
        <f t="shared" si="983"/>
        <v/>
      </c>
      <c r="DS718" s="68" t="str">
        <f t="shared" si="984"/>
        <v/>
      </c>
      <c r="DT718" s="66" t="str">
        <f>+IF($W718="","",ROUND(IF($B718&gt;Parámetros!$D$107,'Tablas Servicio'!DR718+('Tablas Servicio'!DT717-'Tablas Servicio'!DR717),DR718/(1-IF(B718&lt;=10,Parámetros!$D$100,0))),2))</f>
        <v/>
      </c>
      <c r="DU718" s="66" t="str">
        <f t="shared" si="1033"/>
        <v/>
      </c>
      <c r="DV718" s="66" t="str">
        <f t="shared" si="1033"/>
        <v/>
      </c>
      <c r="DW718" s="66" t="str">
        <f>+IF($W718="","",ROUND((DT718*Parámetros!$G$85),2))</f>
        <v/>
      </c>
      <c r="DX718" s="66" t="str">
        <f>+IF($W718="","",ROUND((DT718*(Parámetros!$G$86)),2))</f>
        <v/>
      </c>
      <c r="DY718" s="66" t="str">
        <f t="shared" si="986"/>
        <v/>
      </c>
      <c r="DZ718" t="str">
        <f t="shared" si="1034"/>
        <v/>
      </c>
      <c r="EA718" s="118" t="str">
        <f t="shared" si="1034"/>
        <v/>
      </c>
      <c r="EB718" s="118" t="str">
        <f>+IF($W718="","",ROUND(IF(Parámetros!$D$25='TABLAS MORT'!$V$33,EB717,Z718/2),0))</f>
        <v/>
      </c>
      <c r="EC718" s="118" t="str">
        <f t="shared" si="1034"/>
        <v/>
      </c>
      <c r="ED718" s="122" t="str">
        <f>+IF(OR($W718="",EB718=0),"",ROUND((VLOOKUP(ROUNDDOWN($D718-1/frec,0),cob_adi,DO$40,FALSE)*(1+i/frec)^-0.5*(1+Parámetros!$D$103)*(1+rec_fracc)/frec),6))</f>
        <v/>
      </c>
      <c r="EE718" s="66" t="str">
        <f t="shared" si="988"/>
        <v/>
      </c>
      <c r="EF718" s="68" t="str">
        <f t="shared" si="989"/>
        <v/>
      </c>
      <c r="EG718" s="66" t="str">
        <f>+IF($W718="","",ROUND(IF($B718&gt;Parámetros!$D$107,'Tablas Servicio'!EE718+('Tablas Servicio'!EG717-'Tablas Servicio'!EE717),EE718/(1-IF(B718&lt;=10,Parámetros!$D$100,0))),2))</f>
        <v/>
      </c>
      <c r="EH718" s="66" t="str">
        <f t="shared" si="1035"/>
        <v/>
      </c>
      <c r="EI718" s="66" t="str">
        <f t="shared" si="1035"/>
        <v/>
      </c>
      <c r="EJ718" s="66" t="str">
        <f>+IF($W718="","",ROUND((EG718*Parámetros!$G$85),2))</f>
        <v/>
      </c>
      <c r="EK718" s="66" t="str">
        <f>+IF($W718="","",ROUND((EG718*(Parámetros!$G$86)),2))</f>
        <v/>
      </c>
      <c r="EL718" s="66" t="str">
        <f t="shared" si="991"/>
        <v/>
      </c>
    </row>
    <row r="719" spans="1:142" x14ac:dyDescent="0.25">
      <c r="A719" t="str">
        <f>+IF($C719="","",ROUND(VLOOKUP('Tablas Servicio'!B719,Parámetros!$H$100:$J$159,IF(Parámetros!$E$16="F",2,3),FALSE),2))</f>
        <v/>
      </c>
      <c r="B719" t="str">
        <f t="shared" si="942"/>
        <v/>
      </c>
      <c r="C719" s="57" t="str">
        <f>+IF(D719="","",'Tablas Servicio'!C718+1)</f>
        <v/>
      </c>
      <c r="D719" s="56" t="str">
        <f>+IF(D718&lt;edadmaxtabla,D718+1/Parámetros!$E$25,"")</f>
        <v/>
      </c>
      <c r="E719" s="57" t="str">
        <f t="shared" si="952"/>
        <v/>
      </c>
      <c r="F719" s="59" t="str">
        <f t="shared" si="953"/>
        <v/>
      </c>
      <c r="G719" s="66" t="str">
        <f t="shared" si="943"/>
        <v/>
      </c>
      <c r="H719" s="66" t="str">
        <f t="shared" si="944"/>
        <v/>
      </c>
      <c r="I719" s="66" t="str">
        <f t="shared" si="992"/>
        <v/>
      </c>
      <c r="J719" s="66" t="str">
        <f t="shared" si="945"/>
        <v/>
      </c>
      <c r="K719" s="66" t="str">
        <f t="shared" si="946"/>
        <v/>
      </c>
      <c r="L719" s="66" t="str">
        <f t="shared" si="947"/>
        <v/>
      </c>
      <c r="M719" s="66" t="str">
        <f t="shared" si="948"/>
        <v/>
      </c>
      <c r="N719" s="66" t="str">
        <f>+IF(C719="","",ROUND(Parámetros!$D$23,2))</f>
        <v/>
      </c>
      <c r="O719" s="66" t="str">
        <f t="shared" si="949"/>
        <v/>
      </c>
      <c r="P719" s="66" t="str">
        <f>+IF($C719="","",ROUND(IF(B719&gt;Parámetros!$D$117,0,N719*Parámetros!$D$116-G719*Parámetros!$D$100),2))</f>
        <v/>
      </c>
      <c r="Q719" s="75" t="str">
        <f t="shared" si="993"/>
        <v/>
      </c>
      <c r="R719" s="75" t="str">
        <f t="shared" si="994"/>
        <v/>
      </c>
      <c r="S719" s="117" t="str">
        <f>+IF($C719="","",ROUND((S718+I719)*(1+Parámetros!$D$91),2))</f>
        <v/>
      </c>
      <c r="T719" s="117" t="str">
        <f>+IF($C719="","",ROUND(S719*VLOOKUP(B719,Parámetros!$C$30:$D$39,2,TRUE),2))</f>
        <v/>
      </c>
      <c r="U719" s="117" t="str">
        <f>+IF($C719="","",ROUND((U718+I719)*(1+Parámetros!$D$92),2))</f>
        <v/>
      </c>
      <c r="V719" s="117" t="str">
        <f>+IF($C719="","",ROUND(U719*VLOOKUP(B719,Parámetros!$C$30:$D$39,2,TRUE),2))</f>
        <v/>
      </c>
      <c r="W719" s="57" t="str">
        <f t="shared" si="995"/>
        <v/>
      </c>
      <c r="X719" t="str">
        <f t="shared" si="996"/>
        <v/>
      </c>
      <c r="Y719" t="str">
        <f t="shared" si="997"/>
        <v/>
      </c>
      <c r="Z719" s="118" t="str">
        <f>+IF($W719="","",ROUND(IF(Parámetros!$D$25='TABLAS MORT'!$V$33,Z718,Parámetros!$D$21-'Tablas Servicio'!T718),0))</f>
        <v/>
      </c>
      <c r="AA719" s="118" t="str">
        <f t="shared" si="998"/>
        <v/>
      </c>
      <c r="AB719" s="119" t="str">
        <f>+IF(W719="","",ROUND((VLOOKUP(ROUNDDOWN($D719-1/frec,0),qx_tabla,2,FALSE)*(1+i/frec)^-0.5*(1+Parámetros!$D$103)*(1+rec_fracc)/frec),6))</f>
        <v/>
      </c>
      <c r="AC719" s="66" t="str">
        <f t="shared" si="954"/>
        <v/>
      </c>
      <c r="AD719" s="119" t="str">
        <f t="shared" si="950"/>
        <v/>
      </c>
      <c r="AE719" s="66" t="str">
        <f>+IF($W719="","",ROUND(IF($B719&gt;Parámetros!$D$107,'Tablas Servicio'!AC719+('Tablas Servicio'!AG718-'Tablas Servicio'!AC718),AC719/(1-IF(B719&lt;=10,Parámetros!$D$104,Parámetros!$D$105))),2))</f>
        <v/>
      </c>
      <c r="AF719" s="66" t="str">
        <f>+IF($W719="","",ROUND(IF($B719&gt;Parámetros!$D$107,'Tablas Servicio'!AC719+('Tablas Servicio'!AG718-'Tablas Servicio'!AC718),(AC719+$A718/frec)/(1-IF(B719&lt;=Parámetros!$D$117,Parámetros!$D$100,0))),2))</f>
        <v/>
      </c>
      <c r="AG719" s="66" t="str">
        <f t="shared" si="955"/>
        <v/>
      </c>
      <c r="AH719" s="66" t="str">
        <f t="shared" si="956"/>
        <v/>
      </c>
      <c r="AI719" s="66" t="str">
        <f t="shared" si="957"/>
        <v/>
      </c>
      <c r="AJ719" s="66" t="str">
        <f>+IF($W719="","",ROUND((AG719*Parámetros!$G$85),2))</f>
        <v/>
      </c>
      <c r="AK719" s="66" t="str">
        <f>+IF($W719="","",ROUND((AG719*(Parámetros!$G$86)),2))</f>
        <v/>
      </c>
      <c r="AL719" s="66" t="str">
        <f t="shared" si="951"/>
        <v/>
      </c>
      <c r="AM719" t="str">
        <f t="shared" si="999"/>
        <v/>
      </c>
      <c r="AN719" t="str">
        <f t="shared" si="1000"/>
        <v/>
      </c>
      <c r="AO719" s="118" t="str">
        <f t="shared" si="1001"/>
        <v/>
      </c>
      <c r="AP719" s="118" t="str">
        <f t="shared" si="1002"/>
        <v/>
      </c>
      <c r="AQ719" s="119" t="str">
        <f>+IF(OR($W719="",AO719=0),"",ROUND((VLOOKUP(ROUNDDOWN($D719-1/frec,0),cob_adi,Z$40,FALSE)*(1+i/frec)^-0.5*(1+Parámetros!$D$103)*(1+rec_fracc)/frec),6))</f>
        <v/>
      </c>
      <c r="AR719" s="66" t="str">
        <f t="shared" si="958"/>
        <v/>
      </c>
      <c r="AS719" s="119" t="str">
        <f t="shared" si="959"/>
        <v/>
      </c>
      <c r="AT719" s="66" t="str">
        <f>+IF($W719="","",ROUND(IF($B719&gt;Parámetros!$D$107,'Tablas Servicio'!AR719+('Tablas Servicio'!AT718-'Tablas Servicio'!AR718),AR719/(1-IF(B719&lt;=10,Parámetros!$D$100,0))),2))</f>
        <v/>
      </c>
      <c r="AU719" s="66" t="str">
        <f t="shared" si="1028"/>
        <v/>
      </c>
      <c r="AV719" s="66" t="str">
        <f t="shared" si="1028"/>
        <v/>
      </c>
      <c r="AW719" s="66" t="str">
        <f>+IF($W719="","",ROUND((AT719*Parámetros!$G$85),2))</f>
        <v/>
      </c>
      <c r="AX719" s="66" t="str">
        <f>+IF($W719="","",ROUND((AT719*(Parámetros!$G$86)),2))</f>
        <v/>
      </c>
      <c r="AY719" s="66" t="str">
        <f t="shared" si="961"/>
        <v/>
      </c>
      <c r="AZ719" t="str">
        <f t="shared" si="1003"/>
        <v/>
      </c>
      <c r="BA719" t="str">
        <f t="shared" si="1004"/>
        <v/>
      </c>
      <c r="BB719" s="118" t="str">
        <f t="shared" si="1005"/>
        <v/>
      </c>
      <c r="BC719" s="118" t="str">
        <f t="shared" si="1006"/>
        <v/>
      </c>
      <c r="BD719" s="119" t="str">
        <f>+IF(OR($W719="",BB719=0),"",ROUND((VLOOKUP(ROUNDDOWN($D719-1/frec,0),cob_adi,AO$40,FALSE)*(1+i/frec)^-0.5*(1+Parámetros!$D$103)*(1+rec_fracc)/frec),6))</f>
        <v/>
      </c>
      <c r="BE719" s="66" t="str">
        <f t="shared" si="962"/>
        <v/>
      </c>
      <c r="BF719" s="119" t="str">
        <f t="shared" si="963"/>
        <v/>
      </c>
      <c r="BG719" s="66" t="str">
        <f>+IF($W719="","",ROUND(IF($B719&gt;Parámetros!$D$107,'Tablas Servicio'!BE719+('Tablas Servicio'!BG718-'Tablas Servicio'!BE718),BE719/(1-IF(B719&lt;=10,Parámetros!$D$100,0))),2))</f>
        <v/>
      </c>
      <c r="BH719" s="66" t="str">
        <f t="shared" si="964"/>
        <v/>
      </c>
      <c r="BI719" s="66" t="str">
        <f t="shared" si="965"/>
        <v/>
      </c>
      <c r="BJ719" s="66" t="str">
        <f>+IF($W719="","",ROUND((BG719*Parámetros!$G$85),2))</f>
        <v/>
      </c>
      <c r="BK719" s="66" t="str">
        <f>+IF($W719="","",ROUND((BG719*(Parámetros!$G$86)),2))</f>
        <v/>
      </c>
      <c r="BL719" s="66" t="str">
        <f t="shared" si="966"/>
        <v/>
      </c>
      <c r="BM719" t="str">
        <f t="shared" si="1007"/>
        <v/>
      </c>
      <c r="BN719" t="str">
        <f t="shared" si="1008"/>
        <v/>
      </c>
      <c r="BO719" s="118" t="str">
        <f t="shared" si="1009"/>
        <v/>
      </c>
      <c r="BP719" s="118" t="str">
        <f t="shared" si="1010"/>
        <v/>
      </c>
      <c r="BQ719" s="119" t="str">
        <f>+IF(OR($W719="",BO719=0),"",ROUND((VLOOKUP(ROUNDDOWN($D719-1/frec,0),cob_adi,BB$40,FALSE)*(1+i/frec)^-0.5*(1+Parámetros!$D$103)*(1+rec_fracc)/frec),6))</f>
        <v/>
      </c>
      <c r="BR719" s="66" t="str">
        <f t="shared" si="967"/>
        <v/>
      </c>
      <c r="BS719" s="119" t="str">
        <f t="shared" si="968"/>
        <v/>
      </c>
      <c r="BT719" s="66" t="str">
        <f>+IF($W719="","",ROUND(IF($B719&gt;Parámetros!$D$107,'Tablas Servicio'!BR719+('Tablas Servicio'!BT718-'Tablas Servicio'!BR718),BR719/(1-IF(B719&lt;=10,Parámetros!$D$100,0))),2))</f>
        <v/>
      </c>
      <c r="BU719" s="66" t="str">
        <f t="shared" si="1029"/>
        <v/>
      </c>
      <c r="BV719" s="66" t="str">
        <f t="shared" si="1029"/>
        <v/>
      </c>
      <c r="BW719" s="66" t="str">
        <f>+IF($W719="","",ROUND((BT719*Parámetros!$G$85),2))</f>
        <v/>
      </c>
      <c r="BX719" s="66" t="str">
        <f>+IF($W719="","",ROUND((BT719*(Parámetros!$G$86)),2))</f>
        <v/>
      </c>
      <c r="BY719" s="66" t="str">
        <f t="shared" si="970"/>
        <v/>
      </c>
      <c r="BZ719" t="str">
        <f t="shared" si="1011"/>
        <v/>
      </c>
      <c r="CA719" t="str">
        <f t="shared" si="1012"/>
        <v/>
      </c>
      <c r="CB719" s="118" t="str">
        <f t="shared" si="1013"/>
        <v/>
      </c>
      <c r="CC719" s="118" t="str">
        <f t="shared" si="1014"/>
        <v/>
      </c>
      <c r="CD719" s="119" t="str">
        <f t="shared" si="971"/>
        <v/>
      </c>
      <c r="CE719" s="66" t="str">
        <f>+IF($W719="","",ROUND((VLOOKUP(ROUNDDOWN($D719-1/frec,0),cob_adi,BO$40,FALSE)*(1+i/frec)^-0.5*(1+Parámetros!$D$103)*(1+rec_fracc)/frec*'TABLAS ADI'!$BC$17),2))</f>
        <v/>
      </c>
      <c r="CF719" s="119" t="str">
        <f t="shared" si="972"/>
        <v/>
      </c>
      <c r="CG719" s="66" t="str">
        <f>+IF($W719="","",ROUND(IF($B719&gt;Parámetros!$D$107,'Tablas Servicio'!CE719+('Tablas Servicio'!CG718-'Tablas Servicio'!CE718),CE719/(1-IF(B719&lt;=10,Parámetros!$D$100,0))),2))</f>
        <v/>
      </c>
      <c r="CH719" s="66" t="str">
        <f t="shared" si="1030"/>
        <v/>
      </c>
      <c r="CI719" s="66" t="str">
        <f t="shared" si="1030"/>
        <v/>
      </c>
      <c r="CJ719" s="66" t="str">
        <f>+IF($W719="","",ROUND((CG719*Parámetros!$G$85),2))</f>
        <v/>
      </c>
      <c r="CK719" s="66" t="str">
        <f>+IF($W719="","",ROUND((CG719*(Parámetros!$G$86)),2))</f>
        <v/>
      </c>
      <c r="CL719" s="66" t="str">
        <f t="shared" si="974"/>
        <v/>
      </c>
      <c r="CM719" t="str">
        <f t="shared" si="1015"/>
        <v/>
      </c>
      <c r="CN719" s="118" t="str">
        <f t="shared" si="1016"/>
        <v/>
      </c>
      <c r="CO719" s="118" t="str">
        <f t="shared" si="1017"/>
        <v/>
      </c>
      <c r="CP719" s="118" t="str">
        <f t="shared" si="1018"/>
        <v/>
      </c>
      <c r="CQ719" s="119" t="str">
        <f t="shared" si="975"/>
        <v/>
      </c>
      <c r="CR719" s="66" t="str">
        <f>+IF($W719="","",ROUND((VLOOKUP(Parámetros!$F$51,'COBERTURAS ADICIONALES'!$S$4:$T$32,2,FALSE)*(1+i/frec)^-0.5*(1+Parámetros!$D$103)*(1+rec_fracc)/frec*$CO$42),2))</f>
        <v/>
      </c>
      <c r="CS719" s="119" t="str">
        <f t="shared" si="976"/>
        <v/>
      </c>
      <c r="CT719" s="66" t="str">
        <f>+IF($W719="","",ROUND(IF($B719&gt;Parámetros!$D$107,'Tablas Servicio'!CR719+('Tablas Servicio'!CT718-'Tablas Servicio'!CR718),CR719/(1-IF(B719&lt;=10,Parámetros!$D$100,0))),2))</f>
        <v/>
      </c>
      <c r="CU719" s="66" t="str">
        <f t="shared" si="1031"/>
        <v/>
      </c>
      <c r="CV719" s="66" t="str">
        <f t="shared" si="1031"/>
        <v/>
      </c>
      <c r="CW719" s="66" t="str">
        <f>+IF($W719="","",ROUND((CT719*Parámetros!$G$85),2))</f>
        <v/>
      </c>
      <c r="CX719" s="66" t="str">
        <f>+IF($W719="","",ROUND((CT719*(Parámetros!$G$86)),2))</f>
        <v/>
      </c>
      <c r="CY719" s="66" t="str">
        <f t="shared" si="978"/>
        <v/>
      </c>
      <c r="CZ719" t="str">
        <f t="shared" si="1019"/>
        <v/>
      </c>
      <c r="DA719" s="118" t="str">
        <f t="shared" si="1020"/>
        <v/>
      </c>
      <c r="DB719" s="118" t="str">
        <f t="shared" si="1021"/>
        <v/>
      </c>
      <c r="DC719" s="118" t="str">
        <f t="shared" si="1022"/>
        <v/>
      </c>
      <c r="DD719" s="121" t="str">
        <f>+IF(OR($W719="",DB719=0),"",ROUND((VLOOKUP(ROUNDDOWN($D719-1/frec,0),cob_adi,CO$40,FALSE)*(1+i/frec)^-0.5*(1+Parámetros!$D$103)*(1+rec_fracc)/frec),6))</f>
        <v/>
      </c>
      <c r="DE719" s="66" t="str">
        <f t="shared" si="979"/>
        <v/>
      </c>
      <c r="DF719" s="119" t="str">
        <f t="shared" si="980"/>
        <v/>
      </c>
      <c r="DG719" s="66" t="str">
        <f>+IF($W719="","",ROUND(IF($B719&gt;Parámetros!$D$107,'Tablas Servicio'!DE719+('Tablas Servicio'!DG718-'Tablas Servicio'!DE718),DE719/(1-IF(B719&lt;=10,Parámetros!$D$100,0))),2))</f>
        <v/>
      </c>
      <c r="DH719" s="66" t="str">
        <f t="shared" si="1032"/>
        <v/>
      </c>
      <c r="DI719" s="66" t="str">
        <f t="shared" si="1032"/>
        <v/>
      </c>
      <c r="DJ719" s="66" t="str">
        <f>+IF($W719="","",ROUND((DG719*Parámetros!$G$85),2))</f>
        <v/>
      </c>
      <c r="DK719" s="66" t="str">
        <f>+IF($W719="","",ROUND((DG719*(Parámetros!$G$86)),2))</f>
        <v/>
      </c>
      <c r="DL719" s="66" t="str">
        <f t="shared" si="982"/>
        <v/>
      </c>
      <c r="DM719" t="str">
        <f t="shared" si="1023"/>
        <v/>
      </c>
      <c r="DN719" s="118" t="str">
        <f t="shared" si="1024"/>
        <v/>
      </c>
      <c r="DO719" s="118" t="str">
        <f t="shared" si="1025"/>
        <v/>
      </c>
      <c r="DP719" s="118" t="str">
        <f t="shared" si="1026"/>
        <v/>
      </c>
      <c r="DQ719" s="122" t="str">
        <f>+IF(OR($W719="",DO719=0),"",ROUND((VLOOKUP(ROUNDDOWN($D719-1/frec,0),cob_adi,DB$40,FALSE)*(1+i/frec)^-0.5*(1+Parámetros!$D$103)*(1+rec_fracc)/frec),6))</f>
        <v/>
      </c>
      <c r="DR719" s="66" t="str">
        <f t="shared" si="983"/>
        <v/>
      </c>
      <c r="DS719" s="68" t="str">
        <f t="shared" si="984"/>
        <v/>
      </c>
      <c r="DT719" s="66" t="str">
        <f>+IF($W719="","",ROUND(IF($B719&gt;Parámetros!$D$107,'Tablas Servicio'!DR719+('Tablas Servicio'!DT718-'Tablas Servicio'!DR718),DR719/(1-IF(B719&lt;=10,Parámetros!$D$100,0))),2))</f>
        <v/>
      </c>
      <c r="DU719" s="66" t="str">
        <f t="shared" si="1033"/>
        <v/>
      </c>
      <c r="DV719" s="66" t="str">
        <f t="shared" si="1033"/>
        <v/>
      </c>
      <c r="DW719" s="66" t="str">
        <f>+IF($W719="","",ROUND((DT719*Parámetros!$G$85),2))</f>
        <v/>
      </c>
      <c r="DX719" s="66" t="str">
        <f>+IF($W719="","",ROUND((DT719*(Parámetros!$G$86)),2))</f>
        <v/>
      </c>
      <c r="DY719" s="66" t="str">
        <f t="shared" si="986"/>
        <v/>
      </c>
      <c r="DZ719" t="str">
        <f t="shared" si="1034"/>
        <v/>
      </c>
      <c r="EA719" s="118" t="str">
        <f t="shared" si="1034"/>
        <v/>
      </c>
      <c r="EB719" s="118" t="str">
        <f>+IF($W719="","",ROUND(IF(Parámetros!$D$25='TABLAS MORT'!$V$33,EB718,Z719/2),0))</f>
        <v/>
      </c>
      <c r="EC719" s="118" t="str">
        <f t="shared" si="1034"/>
        <v/>
      </c>
      <c r="ED719" s="122" t="str">
        <f>+IF(OR($W719="",EB719=0),"",ROUND((VLOOKUP(ROUNDDOWN($D719-1/frec,0),cob_adi,DO$40,FALSE)*(1+i/frec)^-0.5*(1+Parámetros!$D$103)*(1+rec_fracc)/frec),6))</f>
        <v/>
      </c>
      <c r="EE719" s="66" t="str">
        <f t="shared" si="988"/>
        <v/>
      </c>
      <c r="EF719" s="68" t="str">
        <f t="shared" si="989"/>
        <v/>
      </c>
      <c r="EG719" s="66" t="str">
        <f>+IF($W719="","",ROUND(IF($B719&gt;Parámetros!$D$107,'Tablas Servicio'!EE719+('Tablas Servicio'!EG718-'Tablas Servicio'!EE718),EE719/(1-IF(B719&lt;=10,Parámetros!$D$100,0))),2))</f>
        <v/>
      </c>
      <c r="EH719" s="66" t="str">
        <f t="shared" si="1035"/>
        <v/>
      </c>
      <c r="EI719" s="66" t="str">
        <f t="shared" si="1035"/>
        <v/>
      </c>
      <c r="EJ719" s="66" t="str">
        <f>+IF($W719="","",ROUND((EG719*Parámetros!$G$85),2))</f>
        <v/>
      </c>
      <c r="EK719" s="66" t="str">
        <f>+IF($W719="","",ROUND((EG719*(Parámetros!$G$86)),2))</f>
        <v/>
      </c>
      <c r="EL719" s="66" t="str">
        <f t="shared" si="991"/>
        <v/>
      </c>
    </row>
    <row r="720" spans="1:142" x14ac:dyDescent="0.25">
      <c r="A720" t="str">
        <f>+IF($C720="","",ROUND(VLOOKUP('Tablas Servicio'!B720,Parámetros!$H$100:$J$159,IF(Parámetros!$E$16="F",2,3),FALSE),2))</f>
        <v/>
      </c>
      <c r="B720" t="str">
        <f t="shared" si="942"/>
        <v/>
      </c>
      <c r="C720" s="57" t="str">
        <f>+IF(D720="","",'Tablas Servicio'!C719+1)</f>
        <v/>
      </c>
      <c r="D720" s="56" t="str">
        <f>+IF(D719&lt;edadmaxtabla,D719+1/Parámetros!$E$25,"")</f>
        <v/>
      </c>
      <c r="E720" s="57" t="str">
        <f t="shared" si="952"/>
        <v/>
      </c>
      <c r="F720" s="59" t="str">
        <f t="shared" si="953"/>
        <v/>
      </c>
      <c r="G720" s="66" t="str">
        <f t="shared" si="943"/>
        <v/>
      </c>
      <c r="H720" s="66" t="str">
        <f t="shared" si="944"/>
        <v/>
      </c>
      <c r="I720" s="66" t="str">
        <f t="shared" si="992"/>
        <v/>
      </c>
      <c r="J720" s="66" t="str">
        <f t="shared" si="945"/>
        <v/>
      </c>
      <c r="K720" s="66" t="str">
        <f t="shared" si="946"/>
        <v/>
      </c>
      <c r="L720" s="66" t="str">
        <f t="shared" si="947"/>
        <v/>
      </c>
      <c r="M720" s="66" t="str">
        <f t="shared" si="948"/>
        <v/>
      </c>
      <c r="N720" s="66" t="str">
        <f>+IF(C720="","",ROUND(Parámetros!$D$23,2))</f>
        <v/>
      </c>
      <c r="O720" s="66" t="str">
        <f t="shared" si="949"/>
        <v/>
      </c>
      <c r="P720" s="66" t="str">
        <f>+IF($C720="","",ROUND(IF(B720&gt;Parámetros!$D$117,0,N720*Parámetros!$D$116-G720*Parámetros!$D$100),2))</f>
        <v/>
      </c>
      <c r="Q720" s="75" t="str">
        <f t="shared" si="993"/>
        <v/>
      </c>
      <c r="R720" s="75" t="str">
        <f t="shared" si="994"/>
        <v/>
      </c>
      <c r="S720" s="117" t="str">
        <f>+IF($C720="","",ROUND((S719+I720)*(1+Parámetros!$D$91),2))</f>
        <v/>
      </c>
      <c r="T720" s="117" t="str">
        <f>+IF($C720="","",ROUND(S720*VLOOKUP(B720,Parámetros!$C$30:$D$39,2,TRUE),2))</f>
        <v/>
      </c>
      <c r="U720" s="117" t="str">
        <f>+IF($C720="","",ROUND((U719+I720)*(1+Parámetros!$D$92),2))</f>
        <v/>
      </c>
      <c r="V720" s="117" t="str">
        <f>+IF($C720="","",ROUND(U720*VLOOKUP(B720,Parámetros!$C$30:$D$39,2,TRUE),2))</f>
        <v/>
      </c>
      <c r="W720" s="57" t="str">
        <f t="shared" si="995"/>
        <v/>
      </c>
      <c r="X720" t="str">
        <f t="shared" si="996"/>
        <v/>
      </c>
      <c r="Y720" t="str">
        <f t="shared" si="997"/>
        <v/>
      </c>
      <c r="Z720" s="118" t="str">
        <f>+IF($W720="","",ROUND(IF(Parámetros!$D$25='TABLAS MORT'!$V$33,Z719,Parámetros!$D$21-'Tablas Servicio'!T719),0))</f>
        <v/>
      </c>
      <c r="AA720" s="118" t="str">
        <f t="shared" si="998"/>
        <v/>
      </c>
      <c r="AB720" s="119" t="str">
        <f>+IF(W720="","",ROUND((VLOOKUP(ROUNDDOWN($D720-1/frec,0),qx_tabla,2,FALSE)*(1+i/frec)^-0.5*(1+Parámetros!$D$103)*(1+rec_fracc)/frec),6))</f>
        <v/>
      </c>
      <c r="AC720" s="66" t="str">
        <f t="shared" si="954"/>
        <v/>
      </c>
      <c r="AD720" s="119" t="str">
        <f t="shared" si="950"/>
        <v/>
      </c>
      <c r="AE720" s="66" t="str">
        <f>+IF($W720="","",ROUND(IF($B720&gt;Parámetros!$D$107,'Tablas Servicio'!AC720+('Tablas Servicio'!AG719-'Tablas Servicio'!AC719),AC720/(1-IF(B720&lt;=10,Parámetros!$D$104,Parámetros!$D$105))),2))</f>
        <v/>
      </c>
      <c r="AF720" s="66" t="str">
        <f>+IF($W720="","",ROUND(IF($B720&gt;Parámetros!$D$107,'Tablas Servicio'!AC720+('Tablas Servicio'!AG719-'Tablas Servicio'!AC719),(AC720+$A719/frec)/(1-IF(B720&lt;=Parámetros!$D$117,Parámetros!$D$100,0))),2))</f>
        <v/>
      </c>
      <c r="AG720" s="66" t="str">
        <f t="shared" si="955"/>
        <v/>
      </c>
      <c r="AH720" s="66" t="str">
        <f t="shared" si="956"/>
        <v/>
      </c>
      <c r="AI720" s="66" t="str">
        <f t="shared" si="957"/>
        <v/>
      </c>
      <c r="AJ720" s="66" t="str">
        <f>+IF($W720="","",ROUND((AG720*Parámetros!$G$85),2))</f>
        <v/>
      </c>
      <c r="AK720" s="66" t="str">
        <f>+IF($W720="","",ROUND((AG720*(Parámetros!$G$86)),2))</f>
        <v/>
      </c>
      <c r="AL720" s="66" t="str">
        <f t="shared" si="951"/>
        <v/>
      </c>
      <c r="AM720" t="str">
        <f t="shared" si="999"/>
        <v/>
      </c>
      <c r="AN720" t="str">
        <f t="shared" si="1000"/>
        <v/>
      </c>
      <c r="AO720" s="118" t="str">
        <f t="shared" si="1001"/>
        <v/>
      </c>
      <c r="AP720" s="118" t="str">
        <f t="shared" si="1002"/>
        <v/>
      </c>
      <c r="AQ720" s="119" t="str">
        <f>+IF(OR($W720="",AO720=0),"",ROUND((VLOOKUP(ROUNDDOWN($D720-1/frec,0),cob_adi,Z$40,FALSE)*(1+i/frec)^-0.5*(1+Parámetros!$D$103)*(1+rec_fracc)/frec),6))</f>
        <v/>
      </c>
      <c r="AR720" s="66" t="str">
        <f t="shared" si="958"/>
        <v/>
      </c>
      <c r="AS720" s="119" t="str">
        <f t="shared" si="959"/>
        <v/>
      </c>
      <c r="AT720" s="66" t="str">
        <f>+IF($W720="","",ROUND(IF($B720&gt;Parámetros!$D$107,'Tablas Servicio'!AR720+('Tablas Servicio'!AT719-'Tablas Servicio'!AR719),AR720/(1-IF(B720&lt;=10,Parámetros!$D$100,0))),2))</f>
        <v/>
      </c>
      <c r="AU720" s="66" t="str">
        <f t="shared" si="1028"/>
        <v/>
      </c>
      <c r="AV720" s="66" t="str">
        <f t="shared" si="1028"/>
        <v/>
      </c>
      <c r="AW720" s="66" t="str">
        <f>+IF($W720="","",ROUND((AT720*Parámetros!$G$85),2))</f>
        <v/>
      </c>
      <c r="AX720" s="66" t="str">
        <f>+IF($W720="","",ROUND((AT720*(Parámetros!$G$86)),2))</f>
        <v/>
      </c>
      <c r="AY720" s="66" t="str">
        <f t="shared" si="961"/>
        <v/>
      </c>
      <c r="AZ720" t="str">
        <f t="shared" si="1003"/>
        <v/>
      </c>
      <c r="BA720" t="str">
        <f t="shared" si="1004"/>
        <v/>
      </c>
      <c r="BB720" s="118" t="str">
        <f t="shared" si="1005"/>
        <v/>
      </c>
      <c r="BC720" s="118" t="str">
        <f t="shared" si="1006"/>
        <v/>
      </c>
      <c r="BD720" s="119" t="str">
        <f>+IF(OR($W720="",BB720=0),"",ROUND((VLOOKUP(ROUNDDOWN($D720-1/frec,0),cob_adi,AO$40,FALSE)*(1+i/frec)^-0.5*(1+Parámetros!$D$103)*(1+rec_fracc)/frec),6))</f>
        <v/>
      </c>
      <c r="BE720" s="66" t="str">
        <f t="shared" si="962"/>
        <v/>
      </c>
      <c r="BF720" s="119" t="str">
        <f t="shared" si="963"/>
        <v/>
      </c>
      <c r="BG720" s="66" t="str">
        <f>+IF($W720="","",ROUND(IF($B720&gt;Parámetros!$D$107,'Tablas Servicio'!BE720+('Tablas Servicio'!BG719-'Tablas Servicio'!BE719),BE720/(1-IF(B720&lt;=10,Parámetros!$D$100,0))),2))</f>
        <v/>
      </c>
      <c r="BH720" s="66" t="str">
        <f t="shared" si="964"/>
        <v/>
      </c>
      <c r="BI720" s="66" t="str">
        <f t="shared" si="965"/>
        <v/>
      </c>
      <c r="BJ720" s="66" t="str">
        <f>+IF($W720="","",ROUND((BG720*Parámetros!$G$85),2))</f>
        <v/>
      </c>
      <c r="BK720" s="66" t="str">
        <f>+IF($W720="","",ROUND((BG720*(Parámetros!$G$86)),2))</f>
        <v/>
      </c>
      <c r="BL720" s="66" t="str">
        <f t="shared" si="966"/>
        <v/>
      </c>
      <c r="BM720" t="str">
        <f t="shared" si="1007"/>
        <v/>
      </c>
      <c r="BN720" t="str">
        <f t="shared" si="1008"/>
        <v/>
      </c>
      <c r="BO720" s="118" t="str">
        <f t="shared" si="1009"/>
        <v/>
      </c>
      <c r="BP720" s="118" t="str">
        <f t="shared" si="1010"/>
        <v/>
      </c>
      <c r="BQ720" s="119" t="str">
        <f>+IF(OR($W720="",BO720=0),"",ROUND((VLOOKUP(ROUNDDOWN($D720-1/frec,0),cob_adi,BB$40,FALSE)*(1+i/frec)^-0.5*(1+Parámetros!$D$103)*(1+rec_fracc)/frec),6))</f>
        <v/>
      </c>
      <c r="BR720" s="66" t="str">
        <f t="shared" si="967"/>
        <v/>
      </c>
      <c r="BS720" s="119" t="str">
        <f t="shared" si="968"/>
        <v/>
      </c>
      <c r="BT720" s="66" t="str">
        <f>+IF($W720="","",ROUND(IF($B720&gt;Parámetros!$D$107,'Tablas Servicio'!BR720+('Tablas Servicio'!BT719-'Tablas Servicio'!BR719),BR720/(1-IF(B720&lt;=10,Parámetros!$D$100,0))),2))</f>
        <v/>
      </c>
      <c r="BU720" s="66" t="str">
        <f t="shared" si="1029"/>
        <v/>
      </c>
      <c r="BV720" s="66" t="str">
        <f t="shared" si="1029"/>
        <v/>
      </c>
      <c r="BW720" s="66" t="str">
        <f>+IF($W720="","",ROUND((BT720*Parámetros!$G$85),2))</f>
        <v/>
      </c>
      <c r="BX720" s="66" t="str">
        <f>+IF($W720="","",ROUND((BT720*(Parámetros!$G$86)),2))</f>
        <v/>
      </c>
      <c r="BY720" s="66" t="str">
        <f t="shared" si="970"/>
        <v/>
      </c>
      <c r="BZ720" t="str">
        <f t="shared" si="1011"/>
        <v/>
      </c>
      <c r="CA720" t="str">
        <f t="shared" si="1012"/>
        <v/>
      </c>
      <c r="CB720" s="118" t="str">
        <f t="shared" si="1013"/>
        <v/>
      </c>
      <c r="CC720" s="118" t="str">
        <f t="shared" si="1014"/>
        <v/>
      </c>
      <c r="CD720" s="119" t="str">
        <f t="shared" si="971"/>
        <v/>
      </c>
      <c r="CE720" s="66" t="str">
        <f>+IF($W720="","",ROUND((VLOOKUP(ROUNDDOWN($D720-1/frec,0),cob_adi,BO$40,FALSE)*(1+i/frec)^-0.5*(1+Parámetros!$D$103)*(1+rec_fracc)/frec*'TABLAS ADI'!$BC$17),2))</f>
        <v/>
      </c>
      <c r="CF720" s="119" t="str">
        <f t="shared" si="972"/>
        <v/>
      </c>
      <c r="CG720" s="66" t="str">
        <f>+IF($W720="","",ROUND(IF($B720&gt;Parámetros!$D$107,'Tablas Servicio'!CE720+('Tablas Servicio'!CG719-'Tablas Servicio'!CE719),CE720/(1-IF(B720&lt;=10,Parámetros!$D$100,0))),2))</f>
        <v/>
      </c>
      <c r="CH720" s="66" t="str">
        <f t="shared" si="1030"/>
        <v/>
      </c>
      <c r="CI720" s="66" t="str">
        <f t="shared" si="1030"/>
        <v/>
      </c>
      <c r="CJ720" s="66" t="str">
        <f>+IF($W720="","",ROUND((CG720*Parámetros!$G$85),2))</f>
        <v/>
      </c>
      <c r="CK720" s="66" t="str">
        <f>+IF($W720="","",ROUND((CG720*(Parámetros!$G$86)),2))</f>
        <v/>
      </c>
      <c r="CL720" s="66" t="str">
        <f t="shared" si="974"/>
        <v/>
      </c>
      <c r="CM720" t="str">
        <f t="shared" si="1015"/>
        <v/>
      </c>
      <c r="CN720" s="118" t="str">
        <f t="shared" si="1016"/>
        <v/>
      </c>
      <c r="CO720" s="118" t="str">
        <f t="shared" si="1017"/>
        <v/>
      </c>
      <c r="CP720" s="118" t="str">
        <f t="shared" si="1018"/>
        <v/>
      </c>
      <c r="CQ720" s="119" t="str">
        <f t="shared" si="975"/>
        <v/>
      </c>
      <c r="CR720" s="66" t="str">
        <f>+IF($W720="","",ROUND((VLOOKUP(Parámetros!$F$51,'COBERTURAS ADICIONALES'!$S$4:$T$32,2,FALSE)*(1+i/frec)^-0.5*(1+Parámetros!$D$103)*(1+rec_fracc)/frec*$CO$42),2))</f>
        <v/>
      </c>
      <c r="CS720" s="119" t="str">
        <f t="shared" si="976"/>
        <v/>
      </c>
      <c r="CT720" s="66" t="str">
        <f>+IF($W720="","",ROUND(IF($B720&gt;Parámetros!$D$107,'Tablas Servicio'!CR720+('Tablas Servicio'!CT719-'Tablas Servicio'!CR719),CR720/(1-IF(B720&lt;=10,Parámetros!$D$100,0))),2))</f>
        <v/>
      </c>
      <c r="CU720" s="66" t="str">
        <f t="shared" si="1031"/>
        <v/>
      </c>
      <c r="CV720" s="66" t="str">
        <f t="shared" si="1031"/>
        <v/>
      </c>
      <c r="CW720" s="66" t="str">
        <f>+IF($W720="","",ROUND((CT720*Parámetros!$G$85),2))</f>
        <v/>
      </c>
      <c r="CX720" s="66" t="str">
        <f>+IF($W720="","",ROUND((CT720*(Parámetros!$G$86)),2))</f>
        <v/>
      </c>
      <c r="CY720" s="66" t="str">
        <f t="shared" si="978"/>
        <v/>
      </c>
      <c r="CZ720" t="str">
        <f t="shared" si="1019"/>
        <v/>
      </c>
      <c r="DA720" s="118" t="str">
        <f t="shared" si="1020"/>
        <v/>
      </c>
      <c r="DB720" s="118" t="str">
        <f t="shared" si="1021"/>
        <v/>
      </c>
      <c r="DC720" s="118" t="str">
        <f t="shared" si="1022"/>
        <v/>
      </c>
      <c r="DD720" s="121" t="str">
        <f>+IF(OR($W720="",DB720=0),"",ROUND((VLOOKUP(ROUNDDOWN($D720-1/frec,0),cob_adi,CO$40,FALSE)*(1+i/frec)^-0.5*(1+Parámetros!$D$103)*(1+rec_fracc)/frec),6))</f>
        <v/>
      </c>
      <c r="DE720" s="66" t="str">
        <f t="shared" si="979"/>
        <v/>
      </c>
      <c r="DF720" s="119" t="str">
        <f t="shared" si="980"/>
        <v/>
      </c>
      <c r="DG720" s="66" t="str">
        <f>+IF($W720="","",ROUND(IF($B720&gt;Parámetros!$D$107,'Tablas Servicio'!DE720+('Tablas Servicio'!DG719-'Tablas Servicio'!DE719),DE720/(1-IF(B720&lt;=10,Parámetros!$D$100,0))),2))</f>
        <v/>
      </c>
      <c r="DH720" s="66" t="str">
        <f t="shared" si="1032"/>
        <v/>
      </c>
      <c r="DI720" s="66" t="str">
        <f t="shared" si="1032"/>
        <v/>
      </c>
      <c r="DJ720" s="66" t="str">
        <f>+IF($W720="","",ROUND((DG720*Parámetros!$G$85),2))</f>
        <v/>
      </c>
      <c r="DK720" s="66" t="str">
        <f>+IF($W720="","",ROUND((DG720*(Parámetros!$G$86)),2))</f>
        <v/>
      </c>
      <c r="DL720" s="66" t="str">
        <f t="shared" si="982"/>
        <v/>
      </c>
      <c r="DM720" t="str">
        <f t="shared" si="1023"/>
        <v/>
      </c>
      <c r="DN720" s="118" t="str">
        <f t="shared" si="1024"/>
        <v/>
      </c>
      <c r="DO720" s="118" t="str">
        <f t="shared" si="1025"/>
        <v/>
      </c>
      <c r="DP720" s="118" t="str">
        <f t="shared" si="1026"/>
        <v/>
      </c>
      <c r="DQ720" s="122" t="str">
        <f>+IF(OR($W720="",DO720=0),"",ROUND((VLOOKUP(ROUNDDOWN($D720-1/frec,0),cob_adi,DB$40,FALSE)*(1+i/frec)^-0.5*(1+Parámetros!$D$103)*(1+rec_fracc)/frec),6))</f>
        <v/>
      </c>
      <c r="DR720" s="66" t="str">
        <f t="shared" si="983"/>
        <v/>
      </c>
      <c r="DS720" s="68" t="str">
        <f t="shared" si="984"/>
        <v/>
      </c>
      <c r="DT720" s="66" t="str">
        <f>+IF($W720="","",ROUND(IF($B720&gt;Parámetros!$D$107,'Tablas Servicio'!DR720+('Tablas Servicio'!DT719-'Tablas Servicio'!DR719),DR720/(1-IF(B720&lt;=10,Parámetros!$D$100,0))),2))</f>
        <v/>
      </c>
      <c r="DU720" s="66" t="str">
        <f t="shared" si="1033"/>
        <v/>
      </c>
      <c r="DV720" s="66" t="str">
        <f t="shared" si="1033"/>
        <v/>
      </c>
      <c r="DW720" s="66" t="str">
        <f>+IF($W720="","",ROUND((DT720*Parámetros!$G$85),2))</f>
        <v/>
      </c>
      <c r="DX720" s="66" t="str">
        <f>+IF($W720="","",ROUND((DT720*(Parámetros!$G$86)),2))</f>
        <v/>
      </c>
      <c r="DY720" s="66" t="str">
        <f t="shared" si="986"/>
        <v/>
      </c>
      <c r="DZ720" t="str">
        <f t="shared" si="1034"/>
        <v/>
      </c>
      <c r="EA720" s="118" t="str">
        <f t="shared" si="1034"/>
        <v/>
      </c>
      <c r="EB720" s="118" t="str">
        <f>+IF($W720="","",ROUND(IF(Parámetros!$D$25='TABLAS MORT'!$V$33,EB719,Z720/2),0))</f>
        <v/>
      </c>
      <c r="EC720" s="118" t="str">
        <f t="shared" si="1034"/>
        <v/>
      </c>
      <c r="ED720" s="122" t="str">
        <f>+IF(OR($W720="",EB720=0),"",ROUND((VLOOKUP(ROUNDDOWN($D720-1/frec,0),cob_adi,DO$40,FALSE)*(1+i/frec)^-0.5*(1+Parámetros!$D$103)*(1+rec_fracc)/frec),6))</f>
        <v/>
      </c>
      <c r="EE720" s="66" t="str">
        <f t="shared" si="988"/>
        <v/>
      </c>
      <c r="EF720" s="68" t="str">
        <f t="shared" si="989"/>
        <v/>
      </c>
      <c r="EG720" s="66" t="str">
        <f>+IF($W720="","",ROUND(IF($B720&gt;Parámetros!$D$107,'Tablas Servicio'!EE720+('Tablas Servicio'!EG719-'Tablas Servicio'!EE719),EE720/(1-IF(B720&lt;=10,Parámetros!$D$100,0))),2))</f>
        <v/>
      </c>
      <c r="EH720" s="66" t="str">
        <f t="shared" si="1035"/>
        <v/>
      </c>
      <c r="EI720" s="66" t="str">
        <f t="shared" si="1035"/>
        <v/>
      </c>
      <c r="EJ720" s="66" t="str">
        <f>+IF($W720="","",ROUND((EG720*Parámetros!$G$85),2))</f>
        <v/>
      </c>
      <c r="EK720" s="66" t="str">
        <f>+IF($W720="","",ROUND((EG720*(Parámetros!$G$86)),2))</f>
        <v/>
      </c>
      <c r="EL720" s="66" t="str">
        <f t="shared" si="991"/>
        <v/>
      </c>
    </row>
    <row r="721" spans="1:142" x14ac:dyDescent="0.25">
      <c r="A721" t="str">
        <f>+IF($C721="","",ROUND(VLOOKUP('Tablas Servicio'!B721,Parámetros!$H$100:$J$159,IF(Parámetros!$E$16="F",2,3),FALSE),2))</f>
        <v/>
      </c>
      <c r="B721" t="str">
        <f t="shared" si="942"/>
        <v/>
      </c>
      <c r="C721" s="57" t="str">
        <f>+IF(D721="","",'Tablas Servicio'!C720+1)</f>
        <v/>
      </c>
      <c r="D721" s="56" t="str">
        <f>+IF(D720&lt;edadmaxtabla,D720+1/Parámetros!$E$25,"")</f>
        <v/>
      </c>
      <c r="E721" s="57" t="str">
        <f t="shared" si="952"/>
        <v/>
      </c>
      <c r="F721" s="59" t="str">
        <f t="shared" si="953"/>
        <v/>
      </c>
      <c r="G721" s="66" t="str">
        <f t="shared" si="943"/>
        <v/>
      </c>
      <c r="H721" s="66" t="str">
        <f t="shared" si="944"/>
        <v/>
      </c>
      <c r="I721" s="66" t="str">
        <f t="shared" si="992"/>
        <v/>
      </c>
      <c r="J721" s="66" t="str">
        <f t="shared" si="945"/>
        <v/>
      </c>
      <c r="K721" s="66" t="str">
        <f t="shared" si="946"/>
        <v/>
      </c>
      <c r="L721" s="66" t="str">
        <f t="shared" si="947"/>
        <v/>
      </c>
      <c r="M721" s="66" t="str">
        <f t="shared" si="948"/>
        <v/>
      </c>
      <c r="N721" s="66" t="str">
        <f>+IF(C721="","",ROUND(Parámetros!$D$23,2))</f>
        <v/>
      </c>
      <c r="O721" s="66" t="str">
        <f t="shared" si="949"/>
        <v/>
      </c>
      <c r="P721" s="66" t="str">
        <f>+IF($C721="","",ROUND(IF(B721&gt;Parámetros!$D$117,0,N721*Parámetros!$D$116-G721*Parámetros!$D$100),2))</f>
        <v/>
      </c>
      <c r="Q721" s="75" t="str">
        <f t="shared" si="993"/>
        <v/>
      </c>
      <c r="R721" s="75" t="str">
        <f t="shared" si="994"/>
        <v/>
      </c>
      <c r="S721" s="117" t="str">
        <f>+IF($C721="","",ROUND((S720+I721)*(1+Parámetros!$D$91),2))</f>
        <v/>
      </c>
      <c r="T721" s="117" t="str">
        <f>+IF($C721="","",ROUND(S721*VLOOKUP(B721,Parámetros!$C$30:$D$39,2,TRUE),2))</f>
        <v/>
      </c>
      <c r="U721" s="117" t="str">
        <f>+IF($C721="","",ROUND((U720+I721)*(1+Parámetros!$D$92),2))</f>
        <v/>
      </c>
      <c r="V721" s="117" t="str">
        <f>+IF($C721="","",ROUND(U721*VLOOKUP(B721,Parámetros!$C$30:$D$39,2,TRUE),2))</f>
        <v/>
      </c>
      <c r="W721" s="57" t="str">
        <f t="shared" si="995"/>
        <v/>
      </c>
      <c r="X721" t="str">
        <f t="shared" si="996"/>
        <v/>
      </c>
      <c r="Y721" t="str">
        <f t="shared" si="997"/>
        <v/>
      </c>
      <c r="Z721" s="118" t="str">
        <f>+IF($W721="","",ROUND(IF(Parámetros!$D$25='TABLAS MORT'!$V$33,Z720,Parámetros!$D$21-'Tablas Servicio'!T720),0))</f>
        <v/>
      </c>
      <c r="AA721" s="118" t="str">
        <f t="shared" si="998"/>
        <v/>
      </c>
      <c r="AB721" s="119" t="str">
        <f>+IF(W721="","",ROUND((VLOOKUP(ROUNDDOWN($D721-1/frec,0),qx_tabla,2,FALSE)*(1+i/frec)^-0.5*(1+Parámetros!$D$103)*(1+rec_fracc)/frec),6))</f>
        <v/>
      </c>
      <c r="AC721" s="66" t="str">
        <f t="shared" si="954"/>
        <v/>
      </c>
      <c r="AD721" s="119" t="str">
        <f t="shared" si="950"/>
        <v/>
      </c>
      <c r="AE721" s="66" t="str">
        <f>+IF($W721="","",ROUND(IF($B721&gt;Parámetros!$D$107,'Tablas Servicio'!AC721+('Tablas Servicio'!AG720-'Tablas Servicio'!AC720),AC721/(1-IF(B721&lt;=10,Parámetros!$D$104,Parámetros!$D$105))),2))</f>
        <v/>
      </c>
      <c r="AF721" s="66" t="str">
        <f>+IF($W721="","",ROUND(IF($B721&gt;Parámetros!$D$107,'Tablas Servicio'!AC721+('Tablas Servicio'!AG720-'Tablas Servicio'!AC720),(AC721+$A720/frec)/(1-IF(B721&lt;=Parámetros!$D$117,Parámetros!$D$100,0))),2))</f>
        <v/>
      </c>
      <c r="AG721" s="66" t="str">
        <f t="shared" si="955"/>
        <v/>
      </c>
      <c r="AH721" s="66" t="str">
        <f t="shared" si="956"/>
        <v/>
      </c>
      <c r="AI721" s="66" t="str">
        <f t="shared" si="957"/>
        <v/>
      </c>
      <c r="AJ721" s="66" t="str">
        <f>+IF($W721="","",ROUND((AG721*Parámetros!$G$85),2))</f>
        <v/>
      </c>
      <c r="AK721" s="66" t="str">
        <f>+IF($W721="","",ROUND((AG721*(Parámetros!$G$86)),2))</f>
        <v/>
      </c>
      <c r="AL721" s="66" t="str">
        <f t="shared" si="951"/>
        <v/>
      </c>
      <c r="AM721" t="str">
        <f t="shared" si="999"/>
        <v/>
      </c>
      <c r="AN721" t="str">
        <f t="shared" si="1000"/>
        <v/>
      </c>
      <c r="AO721" s="118" t="str">
        <f t="shared" si="1001"/>
        <v/>
      </c>
      <c r="AP721" s="118" t="str">
        <f t="shared" si="1002"/>
        <v/>
      </c>
      <c r="AQ721" s="119" t="str">
        <f>+IF(OR($W721="",AO721=0),"",ROUND((VLOOKUP(ROUNDDOWN($D721-1/frec,0),cob_adi,Z$40,FALSE)*(1+i/frec)^-0.5*(1+Parámetros!$D$103)*(1+rec_fracc)/frec),6))</f>
        <v/>
      </c>
      <c r="AR721" s="66" t="str">
        <f t="shared" si="958"/>
        <v/>
      </c>
      <c r="AS721" s="119" t="str">
        <f t="shared" si="959"/>
        <v/>
      </c>
      <c r="AT721" s="66" t="str">
        <f>+IF($W721="","",ROUND(IF($B721&gt;Parámetros!$D$107,'Tablas Servicio'!AR721+('Tablas Servicio'!AT720-'Tablas Servicio'!AR720),AR721/(1-IF(B721&lt;=10,Parámetros!$D$100,0))),2))</f>
        <v/>
      </c>
      <c r="AU721" s="66" t="str">
        <f t="shared" si="1028"/>
        <v/>
      </c>
      <c r="AV721" s="66" t="str">
        <f t="shared" si="1028"/>
        <v/>
      </c>
      <c r="AW721" s="66" t="str">
        <f>+IF($W721="","",ROUND((AT721*Parámetros!$G$85),2))</f>
        <v/>
      </c>
      <c r="AX721" s="66" t="str">
        <f>+IF($W721="","",ROUND((AT721*(Parámetros!$G$86)),2))</f>
        <v/>
      </c>
      <c r="AY721" s="66" t="str">
        <f t="shared" si="961"/>
        <v/>
      </c>
      <c r="AZ721" t="str">
        <f t="shared" si="1003"/>
        <v/>
      </c>
      <c r="BA721" t="str">
        <f t="shared" si="1004"/>
        <v/>
      </c>
      <c r="BB721" s="118" t="str">
        <f t="shared" si="1005"/>
        <v/>
      </c>
      <c r="BC721" s="118" t="str">
        <f t="shared" si="1006"/>
        <v/>
      </c>
      <c r="BD721" s="119" t="str">
        <f>+IF(OR($W721="",BB721=0),"",ROUND((VLOOKUP(ROUNDDOWN($D721-1/frec,0),cob_adi,AO$40,FALSE)*(1+i/frec)^-0.5*(1+Parámetros!$D$103)*(1+rec_fracc)/frec),6))</f>
        <v/>
      </c>
      <c r="BE721" s="66" t="str">
        <f t="shared" si="962"/>
        <v/>
      </c>
      <c r="BF721" s="119" t="str">
        <f t="shared" si="963"/>
        <v/>
      </c>
      <c r="BG721" s="66" t="str">
        <f>+IF($W721="","",ROUND(IF($B721&gt;Parámetros!$D$107,'Tablas Servicio'!BE721+('Tablas Servicio'!BG720-'Tablas Servicio'!BE720),BE721/(1-IF(B721&lt;=10,Parámetros!$D$100,0))),2))</f>
        <v/>
      </c>
      <c r="BH721" s="66" t="str">
        <f t="shared" si="964"/>
        <v/>
      </c>
      <c r="BI721" s="66" t="str">
        <f t="shared" si="965"/>
        <v/>
      </c>
      <c r="BJ721" s="66" t="str">
        <f>+IF($W721="","",ROUND((BG721*Parámetros!$G$85),2))</f>
        <v/>
      </c>
      <c r="BK721" s="66" t="str">
        <f>+IF($W721="","",ROUND((BG721*(Parámetros!$G$86)),2))</f>
        <v/>
      </c>
      <c r="BL721" s="66" t="str">
        <f t="shared" si="966"/>
        <v/>
      </c>
      <c r="BM721" t="str">
        <f t="shared" si="1007"/>
        <v/>
      </c>
      <c r="BN721" t="str">
        <f t="shared" si="1008"/>
        <v/>
      </c>
      <c r="BO721" s="118" t="str">
        <f t="shared" si="1009"/>
        <v/>
      </c>
      <c r="BP721" s="118" t="str">
        <f t="shared" si="1010"/>
        <v/>
      </c>
      <c r="BQ721" s="119" t="str">
        <f>+IF(OR($W721="",BO721=0),"",ROUND((VLOOKUP(ROUNDDOWN($D721-1/frec,0),cob_adi,BB$40,FALSE)*(1+i/frec)^-0.5*(1+Parámetros!$D$103)*(1+rec_fracc)/frec),6))</f>
        <v/>
      </c>
      <c r="BR721" s="66" t="str">
        <f t="shared" si="967"/>
        <v/>
      </c>
      <c r="BS721" s="119" t="str">
        <f t="shared" si="968"/>
        <v/>
      </c>
      <c r="BT721" s="66" t="str">
        <f>+IF($W721="","",ROUND(IF($B721&gt;Parámetros!$D$107,'Tablas Servicio'!BR721+('Tablas Servicio'!BT720-'Tablas Servicio'!BR720),BR721/(1-IF(B721&lt;=10,Parámetros!$D$100,0))),2))</f>
        <v/>
      </c>
      <c r="BU721" s="66" t="str">
        <f t="shared" si="1029"/>
        <v/>
      </c>
      <c r="BV721" s="66" t="str">
        <f t="shared" si="1029"/>
        <v/>
      </c>
      <c r="BW721" s="66" t="str">
        <f>+IF($W721="","",ROUND((BT721*Parámetros!$G$85),2))</f>
        <v/>
      </c>
      <c r="BX721" s="66" t="str">
        <f>+IF($W721="","",ROUND((BT721*(Parámetros!$G$86)),2))</f>
        <v/>
      </c>
      <c r="BY721" s="66" t="str">
        <f t="shared" si="970"/>
        <v/>
      </c>
      <c r="BZ721" t="str">
        <f t="shared" si="1011"/>
        <v/>
      </c>
      <c r="CA721" t="str">
        <f t="shared" si="1012"/>
        <v/>
      </c>
      <c r="CB721" s="118" t="str">
        <f t="shared" si="1013"/>
        <v/>
      </c>
      <c r="CC721" s="118" t="str">
        <f t="shared" si="1014"/>
        <v/>
      </c>
      <c r="CD721" s="119" t="str">
        <f t="shared" si="971"/>
        <v/>
      </c>
      <c r="CE721" s="66" t="str">
        <f>+IF($W721="","",ROUND((VLOOKUP(ROUNDDOWN($D721-1/frec,0),cob_adi,BO$40,FALSE)*(1+i/frec)^-0.5*(1+Parámetros!$D$103)*(1+rec_fracc)/frec*'TABLAS ADI'!$BC$17),2))</f>
        <v/>
      </c>
      <c r="CF721" s="119" t="str">
        <f t="shared" si="972"/>
        <v/>
      </c>
      <c r="CG721" s="66" t="str">
        <f>+IF($W721="","",ROUND(IF($B721&gt;Parámetros!$D$107,'Tablas Servicio'!CE721+('Tablas Servicio'!CG720-'Tablas Servicio'!CE720),CE721/(1-IF(B721&lt;=10,Parámetros!$D$100,0))),2))</f>
        <v/>
      </c>
      <c r="CH721" s="66" t="str">
        <f t="shared" si="1030"/>
        <v/>
      </c>
      <c r="CI721" s="66" t="str">
        <f t="shared" si="1030"/>
        <v/>
      </c>
      <c r="CJ721" s="66" t="str">
        <f>+IF($W721="","",ROUND((CG721*Parámetros!$G$85),2))</f>
        <v/>
      </c>
      <c r="CK721" s="66" t="str">
        <f>+IF($W721="","",ROUND((CG721*(Parámetros!$G$86)),2))</f>
        <v/>
      </c>
      <c r="CL721" s="66" t="str">
        <f t="shared" si="974"/>
        <v/>
      </c>
      <c r="CM721" t="str">
        <f t="shared" si="1015"/>
        <v/>
      </c>
      <c r="CN721" s="118" t="str">
        <f t="shared" si="1016"/>
        <v/>
      </c>
      <c r="CO721" s="118" t="str">
        <f t="shared" si="1017"/>
        <v/>
      </c>
      <c r="CP721" s="118" t="str">
        <f t="shared" si="1018"/>
        <v/>
      </c>
      <c r="CQ721" s="119" t="str">
        <f t="shared" si="975"/>
        <v/>
      </c>
      <c r="CR721" s="66" t="str">
        <f>+IF($W721="","",ROUND((VLOOKUP(Parámetros!$F$51,'COBERTURAS ADICIONALES'!$S$4:$T$32,2,FALSE)*(1+i/frec)^-0.5*(1+Parámetros!$D$103)*(1+rec_fracc)/frec*$CO$42),2))</f>
        <v/>
      </c>
      <c r="CS721" s="119" t="str">
        <f t="shared" si="976"/>
        <v/>
      </c>
      <c r="CT721" s="66" t="str">
        <f>+IF($W721="","",ROUND(IF($B721&gt;Parámetros!$D$107,'Tablas Servicio'!CR721+('Tablas Servicio'!CT720-'Tablas Servicio'!CR720),CR721/(1-IF(B721&lt;=10,Parámetros!$D$100,0))),2))</f>
        <v/>
      </c>
      <c r="CU721" s="66" t="str">
        <f t="shared" si="1031"/>
        <v/>
      </c>
      <c r="CV721" s="66" t="str">
        <f t="shared" si="1031"/>
        <v/>
      </c>
      <c r="CW721" s="66" t="str">
        <f>+IF($W721="","",ROUND((CT721*Parámetros!$G$85),2))</f>
        <v/>
      </c>
      <c r="CX721" s="66" t="str">
        <f>+IF($W721="","",ROUND((CT721*(Parámetros!$G$86)),2))</f>
        <v/>
      </c>
      <c r="CY721" s="66" t="str">
        <f t="shared" si="978"/>
        <v/>
      </c>
      <c r="CZ721" t="str">
        <f t="shared" si="1019"/>
        <v/>
      </c>
      <c r="DA721" s="118" t="str">
        <f t="shared" si="1020"/>
        <v/>
      </c>
      <c r="DB721" s="118" t="str">
        <f t="shared" si="1021"/>
        <v/>
      </c>
      <c r="DC721" s="118" t="str">
        <f t="shared" si="1022"/>
        <v/>
      </c>
      <c r="DD721" s="121" t="str">
        <f>+IF(OR($W721="",DB721=0),"",ROUND((VLOOKUP(ROUNDDOWN($D721-1/frec,0),cob_adi,CO$40,FALSE)*(1+i/frec)^-0.5*(1+Parámetros!$D$103)*(1+rec_fracc)/frec),6))</f>
        <v/>
      </c>
      <c r="DE721" s="66" t="str">
        <f t="shared" si="979"/>
        <v/>
      </c>
      <c r="DF721" s="119" t="str">
        <f t="shared" si="980"/>
        <v/>
      </c>
      <c r="DG721" s="66" t="str">
        <f>+IF($W721="","",ROUND(IF($B721&gt;Parámetros!$D$107,'Tablas Servicio'!DE721+('Tablas Servicio'!DG720-'Tablas Servicio'!DE720),DE721/(1-IF(B721&lt;=10,Parámetros!$D$100,0))),2))</f>
        <v/>
      </c>
      <c r="DH721" s="66" t="str">
        <f t="shared" si="1032"/>
        <v/>
      </c>
      <c r="DI721" s="66" t="str">
        <f t="shared" si="1032"/>
        <v/>
      </c>
      <c r="DJ721" s="66" t="str">
        <f>+IF($W721="","",ROUND((DG721*Parámetros!$G$85),2))</f>
        <v/>
      </c>
      <c r="DK721" s="66" t="str">
        <f>+IF($W721="","",ROUND((DG721*(Parámetros!$G$86)),2))</f>
        <v/>
      </c>
      <c r="DL721" s="66" t="str">
        <f t="shared" si="982"/>
        <v/>
      </c>
      <c r="DM721" t="str">
        <f t="shared" si="1023"/>
        <v/>
      </c>
      <c r="DN721" s="118" t="str">
        <f t="shared" si="1024"/>
        <v/>
      </c>
      <c r="DO721" s="118" t="str">
        <f t="shared" si="1025"/>
        <v/>
      </c>
      <c r="DP721" s="118" t="str">
        <f t="shared" si="1026"/>
        <v/>
      </c>
      <c r="DQ721" s="122" t="str">
        <f>+IF(OR($W721="",DO721=0),"",ROUND((VLOOKUP(ROUNDDOWN($D721-1/frec,0),cob_adi,DB$40,FALSE)*(1+i/frec)^-0.5*(1+Parámetros!$D$103)*(1+rec_fracc)/frec),6))</f>
        <v/>
      </c>
      <c r="DR721" s="66" t="str">
        <f t="shared" si="983"/>
        <v/>
      </c>
      <c r="DS721" s="68" t="str">
        <f t="shared" si="984"/>
        <v/>
      </c>
      <c r="DT721" s="66" t="str">
        <f>+IF($W721="","",ROUND(IF($B721&gt;Parámetros!$D$107,'Tablas Servicio'!DR721+('Tablas Servicio'!DT720-'Tablas Servicio'!DR720),DR721/(1-IF(B721&lt;=10,Parámetros!$D$100,0))),2))</f>
        <v/>
      </c>
      <c r="DU721" s="66" t="str">
        <f t="shared" si="1033"/>
        <v/>
      </c>
      <c r="DV721" s="66" t="str">
        <f t="shared" si="1033"/>
        <v/>
      </c>
      <c r="DW721" s="66" t="str">
        <f>+IF($W721="","",ROUND((DT721*Parámetros!$G$85),2))</f>
        <v/>
      </c>
      <c r="DX721" s="66" t="str">
        <f>+IF($W721="","",ROUND((DT721*(Parámetros!$G$86)),2))</f>
        <v/>
      </c>
      <c r="DY721" s="66" t="str">
        <f t="shared" si="986"/>
        <v/>
      </c>
      <c r="DZ721" t="str">
        <f t="shared" si="1034"/>
        <v/>
      </c>
      <c r="EA721" s="118" t="str">
        <f t="shared" si="1034"/>
        <v/>
      </c>
      <c r="EB721" s="118" t="str">
        <f>+IF($W721="","",ROUND(IF(Parámetros!$D$25='TABLAS MORT'!$V$33,EB720,Z721/2),0))</f>
        <v/>
      </c>
      <c r="EC721" s="118" t="str">
        <f t="shared" si="1034"/>
        <v/>
      </c>
      <c r="ED721" s="122" t="str">
        <f>+IF(OR($W721="",EB721=0),"",ROUND((VLOOKUP(ROUNDDOWN($D721-1/frec,0),cob_adi,DO$40,FALSE)*(1+i/frec)^-0.5*(1+Parámetros!$D$103)*(1+rec_fracc)/frec),6))</f>
        <v/>
      </c>
      <c r="EE721" s="66" t="str">
        <f t="shared" si="988"/>
        <v/>
      </c>
      <c r="EF721" s="68" t="str">
        <f t="shared" si="989"/>
        <v/>
      </c>
      <c r="EG721" s="66" t="str">
        <f>+IF($W721="","",ROUND(IF($B721&gt;Parámetros!$D$107,'Tablas Servicio'!EE721+('Tablas Servicio'!EG720-'Tablas Servicio'!EE720),EE721/(1-IF(B721&lt;=10,Parámetros!$D$100,0))),2))</f>
        <v/>
      </c>
      <c r="EH721" s="66" t="str">
        <f t="shared" si="1035"/>
        <v/>
      </c>
      <c r="EI721" s="66" t="str">
        <f t="shared" si="1035"/>
        <v/>
      </c>
      <c r="EJ721" s="66" t="str">
        <f>+IF($W721="","",ROUND((EG721*Parámetros!$G$85),2))</f>
        <v/>
      </c>
      <c r="EK721" s="66" t="str">
        <f>+IF($W721="","",ROUND((EG721*(Parámetros!$G$86)),2))</f>
        <v/>
      </c>
      <c r="EL721" s="66" t="str">
        <f t="shared" si="991"/>
        <v/>
      </c>
    </row>
    <row r="722" spans="1:142" x14ac:dyDescent="0.25">
      <c r="A722" t="str">
        <f>+IF($C722="","",ROUND(VLOOKUP('Tablas Servicio'!B722,Parámetros!$H$100:$J$159,IF(Parámetros!$E$16="F",2,3),FALSE),2))</f>
        <v/>
      </c>
      <c r="B722" t="str">
        <f t="shared" si="942"/>
        <v/>
      </c>
      <c r="C722" s="57" t="str">
        <f>+IF(D722="","",'Tablas Servicio'!C721+1)</f>
        <v/>
      </c>
      <c r="D722" s="56" t="str">
        <f>+IF(D721&lt;edadmaxtabla,D721+1/Parámetros!$E$25,"")</f>
        <v/>
      </c>
      <c r="E722" s="57" t="str">
        <f t="shared" si="952"/>
        <v/>
      </c>
      <c r="F722" s="59" t="str">
        <f t="shared" si="953"/>
        <v/>
      </c>
      <c r="G722" s="66" t="str">
        <f t="shared" si="943"/>
        <v/>
      </c>
      <c r="H722" s="66" t="str">
        <f t="shared" si="944"/>
        <v/>
      </c>
      <c r="I722" s="66" t="str">
        <f t="shared" si="992"/>
        <v/>
      </c>
      <c r="J722" s="66" t="str">
        <f t="shared" si="945"/>
        <v/>
      </c>
      <c r="K722" s="66" t="str">
        <f t="shared" si="946"/>
        <v/>
      </c>
      <c r="L722" s="66" t="str">
        <f t="shared" si="947"/>
        <v/>
      </c>
      <c r="M722" s="66" t="str">
        <f t="shared" si="948"/>
        <v/>
      </c>
      <c r="N722" s="66" t="str">
        <f>+IF(C722="","",ROUND(Parámetros!$D$23,2))</f>
        <v/>
      </c>
      <c r="O722" s="66" t="str">
        <f t="shared" si="949"/>
        <v/>
      </c>
      <c r="P722" s="66" t="str">
        <f>+IF($C722="","",ROUND(IF(B722&gt;Parámetros!$D$117,0,N722*Parámetros!$D$116-G722*Parámetros!$D$100),2))</f>
        <v/>
      </c>
      <c r="Q722" s="75" t="str">
        <f t="shared" si="993"/>
        <v/>
      </c>
      <c r="R722" s="75" t="str">
        <f t="shared" si="994"/>
        <v/>
      </c>
      <c r="S722" s="117" t="str">
        <f>+IF($C722="","",ROUND((S721+I722)*(1+Parámetros!$D$91),2))</f>
        <v/>
      </c>
      <c r="T722" s="117" t="str">
        <f>+IF($C722="","",ROUND(S722*VLOOKUP(B722,Parámetros!$C$30:$D$39,2,TRUE),2))</f>
        <v/>
      </c>
      <c r="U722" s="117" t="str">
        <f>+IF($C722="","",ROUND((U721+I722)*(1+Parámetros!$D$92),2))</f>
        <v/>
      </c>
      <c r="V722" s="117" t="str">
        <f>+IF($C722="","",ROUND(U722*VLOOKUP(B722,Parámetros!$C$30:$D$39,2,TRUE),2))</f>
        <v/>
      </c>
      <c r="W722" s="57" t="str">
        <f t="shared" si="995"/>
        <v/>
      </c>
      <c r="X722" t="str">
        <f t="shared" si="996"/>
        <v/>
      </c>
      <c r="Y722" t="str">
        <f t="shared" si="997"/>
        <v/>
      </c>
      <c r="Z722" s="118" t="str">
        <f>+IF($W722="","",ROUND(IF(Parámetros!$D$25='TABLAS MORT'!$V$33,Z721,Parámetros!$D$21-'Tablas Servicio'!T721),0))</f>
        <v/>
      </c>
      <c r="AA722" s="118" t="str">
        <f t="shared" si="998"/>
        <v/>
      </c>
      <c r="AB722" s="119" t="str">
        <f>+IF(W722="","",ROUND((VLOOKUP(ROUNDDOWN($D722-1/frec,0),qx_tabla,2,FALSE)*(1+i/frec)^-0.5*(1+Parámetros!$D$103)*(1+rec_fracc)/frec),6))</f>
        <v/>
      </c>
      <c r="AC722" s="66" t="str">
        <f t="shared" si="954"/>
        <v/>
      </c>
      <c r="AD722" s="119" t="str">
        <f t="shared" si="950"/>
        <v/>
      </c>
      <c r="AE722" s="66" t="str">
        <f>+IF($W722="","",ROUND(IF($B722&gt;Parámetros!$D$107,'Tablas Servicio'!AC722+('Tablas Servicio'!AG721-'Tablas Servicio'!AC721),AC722/(1-IF(B722&lt;=10,Parámetros!$D$104,Parámetros!$D$105))),2))</f>
        <v/>
      </c>
      <c r="AF722" s="66" t="str">
        <f>+IF($W722="","",ROUND(IF($B722&gt;Parámetros!$D$107,'Tablas Servicio'!AC722+('Tablas Servicio'!AG721-'Tablas Servicio'!AC721),(AC722+$A721/frec)/(1-IF(B722&lt;=Parámetros!$D$117,Parámetros!$D$100,0))),2))</f>
        <v/>
      </c>
      <c r="AG722" s="66" t="str">
        <f t="shared" si="955"/>
        <v/>
      </c>
      <c r="AH722" s="66" t="str">
        <f t="shared" si="956"/>
        <v/>
      </c>
      <c r="AI722" s="66" t="str">
        <f t="shared" si="957"/>
        <v/>
      </c>
      <c r="AJ722" s="66" t="str">
        <f>+IF($W722="","",ROUND((AG722*Parámetros!$G$85),2))</f>
        <v/>
      </c>
      <c r="AK722" s="66" t="str">
        <f>+IF($W722="","",ROUND((AG722*(Parámetros!$G$86)),2))</f>
        <v/>
      </c>
      <c r="AL722" s="66" t="str">
        <f t="shared" si="951"/>
        <v/>
      </c>
      <c r="AM722" t="str">
        <f t="shared" si="999"/>
        <v/>
      </c>
      <c r="AN722" t="str">
        <f t="shared" si="1000"/>
        <v/>
      </c>
      <c r="AO722" s="118" t="str">
        <f t="shared" si="1001"/>
        <v/>
      </c>
      <c r="AP722" s="118" t="str">
        <f t="shared" si="1002"/>
        <v/>
      </c>
      <c r="AQ722" s="119" t="str">
        <f>+IF(OR($W722="",AO722=0),"",ROUND((VLOOKUP(ROUNDDOWN($D722-1/frec,0),cob_adi,Z$40,FALSE)*(1+i/frec)^-0.5*(1+Parámetros!$D$103)*(1+rec_fracc)/frec),6))</f>
        <v/>
      </c>
      <c r="AR722" s="66" t="str">
        <f t="shared" si="958"/>
        <v/>
      </c>
      <c r="AS722" s="119" t="str">
        <f t="shared" si="959"/>
        <v/>
      </c>
      <c r="AT722" s="66" t="str">
        <f>+IF($W722="","",ROUND(IF($B722&gt;Parámetros!$D$107,'Tablas Servicio'!AR722+('Tablas Servicio'!AT721-'Tablas Servicio'!AR721),AR722/(1-IF(B722&lt;=10,Parámetros!$D$100,0))),2))</f>
        <v/>
      </c>
      <c r="AU722" s="66" t="str">
        <f t="shared" si="1028"/>
        <v/>
      </c>
      <c r="AV722" s="66" t="str">
        <f t="shared" si="1028"/>
        <v/>
      </c>
      <c r="AW722" s="66" t="str">
        <f>+IF($W722="","",ROUND((AT722*Parámetros!$G$85),2))</f>
        <v/>
      </c>
      <c r="AX722" s="66" t="str">
        <f>+IF($W722="","",ROUND((AT722*(Parámetros!$G$86)),2))</f>
        <v/>
      </c>
      <c r="AY722" s="66" t="str">
        <f t="shared" si="961"/>
        <v/>
      </c>
      <c r="AZ722" t="str">
        <f t="shared" si="1003"/>
        <v/>
      </c>
      <c r="BA722" t="str">
        <f t="shared" si="1004"/>
        <v/>
      </c>
      <c r="BB722" s="118" t="str">
        <f t="shared" si="1005"/>
        <v/>
      </c>
      <c r="BC722" s="118" t="str">
        <f t="shared" si="1006"/>
        <v/>
      </c>
      <c r="BD722" s="119" t="str">
        <f>+IF(OR($W722="",BB722=0),"",ROUND((VLOOKUP(ROUNDDOWN($D722-1/frec,0),cob_adi,AO$40,FALSE)*(1+i/frec)^-0.5*(1+Parámetros!$D$103)*(1+rec_fracc)/frec),6))</f>
        <v/>
      </c>
      <c r="BE722" s="66" t="str">
        <f t="shared" si="962"/>
        <v/>
      </c>
      <c r="BF722" s="119" t="str">
        <f t="shared" si="963"/>
        <v/>
      </c>
      <c r="BG722" s="66" t="str">
        <f>+IF($W722="","",ROUND(IF($B722&gt;Parámetros!$D$107,'Tablas Servicio'!BE722+('Tablas Servicio'!BG721-'Tablas Servicio'!BE721),BE722/(1-IF(B722&lt;=10,Parámetros!$D$100,0))),2))</f>
        <v/>
      </c>
      <c r="BH722" s="66" t="str">
        <f t="shared" si="964"/>
        <v/>
      </c>
      <c r="BI722" s="66" t="str">
        <f t="shared" si="965"/>
        <v/>
      </c>
      <c r="BJ722" s="66" t="str">
        <f>+IF($W722="","",ROUND((BG722*Parámetros!$G$85),2))</f>
        <v/>
      </c>
      <c r="BK722" s="66" t="str">
        <f>+IF($W722="","",ROUND((BG722*(Parámetros!$G$86)),2))</f>
        <v/>
      </c>
      <c r="BL722" s="66" t="str">
        <f t="shared" si="966"/>
        <v/>
      </c>
      <c r="BM722" t="str">
        <f t="shared" si="1007"/>
        <v/>
      </c>
      <c r="BN722" t="str">
        <f t="shared" si="1008"/>
        <v/>
      </c>
      <c r="BO722" s="118" t="str">
        <f t="shared" si="1009"/>
        <v/>
      </c>
      <c r="BP722" s="118" t="str">
        <f t="shared" si="1010"/>
        <v/>
      </c>
      <c r="BQ722" s="119" t="str">
        <f>+IF(OR($W722="",BO722=0),"",ROUND((VLOOKUP(ROUNDDOWN($D722-1/frec,0),cob_adi,BB$40,FALSE)*(1+i/frec)^-0.5*(1+Parámetros!$D$103)*(1+rec_fracc)/frec),6))</f>
        <v/>
      </c>
      <c r="BR722" s="66" t="str">
        <f t="shared" si="967"/>
        <v/>
      </c>
      <c r="BS722" s="119" t="str">
        <f t="shared" si="968"/>
        <v/>
      </c>
      <c r="BT722" s="66" t="str">
        <f>+IF($W722="","",ROUND(IF($B722&gt;Parámetros!$D$107,'Tablas Servicio'!BR722+('Tablas Servicio'!BT721-'Tablas Servicio'!BR721),BR722/(1-IF(B722&lt;=10,Parámetros!$D$100,0))),2))</f>
        <v/>
      </c>
      <c r="BU722" s="66" t="str">
        <f t="shared" si="1029"/>
        <v/>
      </c>
      <c r="BV722" s="66" t="str">
        <f t="shared" si="1029"/>
        <v/>
      </c>
      <c r="BW722" s="66" t="str">
        <f>+IF($W722="","",ROUND((BT722*Parámetros!$G$85),2))</f>
        <v/>
      </c>
      <c r="BX722" s="66" t="str">
        <f>+IF($W722="","",ROUND((BT722*(Parámetros!$G$86)),2))</f>
        <v/>
      </c>
      <c r="BY722" s="66" t="str">
        <f t="shared" si="970"/>
        <v/>
      </c>
      <c r="BZ722" t="str">
        <f t="shared" si="1011"/>
        <v/>
      </c>
      <c r="CA722" t="str">
        <f t="shared" si="1012"/>
        <v/>
      </c>
      <c r="CB722" s="118" t="str">
        <f t="shared" si="1013"/>
        <v/>
      </c>
      <c r="CC722" s="118" t="str">
        <f t="shared" si="1014"/>
        <v/>
      </c>
      <c r="CD722" s="119" t="str">
        <f t="shared" si="971"/>
        <v/>
      </c>
      <c r="CE722" s="66" t="str">
        <f>+IF($W722="","",ROUND((VLOOKUP(ROUNDDOWN($D722-1/frec,0),cob_adi,BO$40,FALSE)*(1+i/frec)^-0.5*(1+Parámetros!$D$103)*(1+rec_fracc)/frec*'TABLAS ADI'!$BC$17),2))</f>
        <v/>
      </c>
      <c r="CF722" s="119" t="str">
        <f t="shared" si="972"/>
        <v/>
      </c>
      <c r="CG722" s="66" t="str">
        <f>+IF($W722="","",ROUND(IF($B722&gt;Parámetros!$D$107,'Tablas Servicio'!CE722+('Tablas Servicio'!CG721-'Tablas Servicio'!CE721),CE722/(1-IF(B722&lt;=10,Parámetros!$D$100,0))),2))</f>
        <v/>
      </c>
      <c r="CH722" s="66" t="str">
        <f t="shared" si="1030"/>
        <v/>
      </c>
      <c r="CI722" s="66" t="str">
        <f t="shared" si="1030"/>
        <v/>
      </c>
      <c r="CJ722" s="66" t="str">
        <f>+IF($W722="","",ROUND((CG722*Parámetros!$G$85),2))</f>
        <v/>
      </c>
      <c r="CK722" s="66" t="str">
        <f>+IF($W722="","",ROUND((CG722*(Parámetros!$G$86)),2))</f>
        <v/>
      </c>
      <c r="CL722" s="66" t="str">
        <f t="shared" si="974"/>
        <v/>
      </c>
      <c r="CM722" t="str">
        <f t="shared" si="1015"/>
        <v/>
      </c>
      <c r="CN722" s="118" t="str">
        <f t="shared" si="1016"/>
        <v/>
      </c>
      <c r="CO722" s="118" t="str">
        <f t="shared" si="1017"/>
        <v/>
      </c>
      <c r="CP722" s="118" t="str">
        <f t="shared" si="1018"/>
        <v/>
      </c>
      <c r="CQ722" s="119" t="str">
        <f t="shared" si="975"/>
        <v/>
      </c>
      <c r="CR722" s="66" t="str">
        <f>+IF($W722="","",ROUND((VLOOKUP(Parámetros!$F$51,'COBERTURAS ADICIONALES'!$S$4:$T$32,2,FALSE)*(1+i/frec)^-0.5*(1+Parámetros!$D$103)*(1+rec_fracc)/frec*$CO$42),2))</f>
        <v/>
      </c>
      <c r="CS722" s="119" t="str">
        <f t="shared" si="976"/>
        <v/>
      </c>
      <c r="CT722" s="66" t="str">
        <f>+IF($W722="","",ROUND(IF($B722&gt;Parámetros!$D$107,'Tablas Servicio'!CR722+('Tablas Servicio'!CT721-'Tablas Servicio'!CR721),CR722/(1-IF(B722&lt;=10,Parámetros!$D$100,0))),2))</f>
        <v/>
      </c>
      <c r="CU722" s="66" t="str">
        <f t="shared" si="1031"/>
        <v/>
      </c>
      <c r="CV722" s="66" t="str">
        <f t="shared" si="1031"/>
        <v/>
      </c>
      <c r="CW722" s="66" t="str">
        <f>+IF($W722="","",ROUND((CT722*Parámetros!$G$85),2))</f>
        <v/>
      </c>
      <c r="CX722" s="66" t="str">
        <f>+IF($W722="","",ROUND((CT722*(Parámetros!$G$86)),2))</f>
        <v/>
      </c>
      <c r="CY722" s="66" t="str">
        <f t="shared" si="978"/>
        <v/>
      </c>
      <c r="CZ722" t="str">
        <f t="shared" si="1019"/>
        <v/>
      </c>
      <c r="DA722" s="118" t="str">
        <f t="shared" si="1020"/>
        <v/>
      </c>
      <c r="DB722" s="118" t="str">
        <f t="shared" si="1021"/>
        <v/>
      </c>
      <c r="DC722" s="118" t="str">
        <f t="shared" si="1022"/>
        <v/>
      </c>
      <c r="DD722" s="121" t="str">
        <f>+IF(OR($W722="",DB722=0),"",ROUND((VLOOKUP(ROUNDDOWN($D722-1/frec,0),cob_adi,CO$40,FALSE)*(1+i/frec)^-0.5*(1+Parámetros!$D$103)*(1+rec_fracc)/frec),6))</f>
        <v/>
      </c>
      <c r="DE722" s="66" t="str">
        <f t="shared" si="979"/>
        <v/>
      </c>
      <c r="DF722" s="119" t="str">
        <f t="shared" si="980"/>
        <v/>
      </c>
      <c r="DG722" s="66" t="str">
        <f>+IF($W722="","",ROUND(IF($B722&gt;Parámetros!$D$107,'Tablas Servicio'!DE722+('Tablas Servicio'!DG721-'Tablas Servicio'!DE721),DE722/(1-IF(B722&lt;=10,Parámetros!$D$100,0))),2))</f>
        <v/>
      </c>
      <c r="DH722" s="66" t="str">
        <f t="shared" si="1032"/>
        <v/>
      </c>
      <c r="DI722" s="66" t="str">
        <f t="shared" si="1032"/>
        <v/>
      </c>
      <c r="DJ722" s="66" t="str">
        <f>+IF($W722="","",ROUND((DG722*Parámetros!$G$85),2))</f>
        <v/>
      </c>
      <c r="DK722" s="66" t="str">
        <f>+IF($W722="","",ROUND((DG722*(Parámetros!$G$86)),2))</f>
        <v/>
      </c>
      <c r="DL722" s="66" t="str">
        <f t="shared" si="982"/>
        <v/>
      </c>
      <c r="DM722" t="str">
        <f t="shared" si="1023"/>
        <v/>
      </c>
      <c r="DN722" s="118" t="str">
        <f t="shared" si="1024"/>
        <v/>
      </c>
      <c r="DO722" s="118" t="str">
        <f t="shared" si="1025"/>
        <v/>
      </c>
      <c r="DP722" s="118" t="str">
        <f t="shared" si="1026"/>
        <v/>
      </c>
      <c r="DQ722" s="122" t="str">
        <f>+IF(OR($W722="",DO722=0),"",ROUND((VLOOKUP(ROUNDDOWN($D722-1/frec,0),cob_adi,DB$40,FALSE)*(1+i/frec)^-0.5*(1+Parámetros!$D$103)*(1+rec_fracc)/frec),6))</f>
        <v/>
      </c>
      <c r="DR722" s="66" t="str">
        <f t="shared" si="983"/>
        <v/>
      </c>
      <c r="DS722" s="68" t="str">
        <f t="shared" si="984"/>
        <v/>
      </c>
      <c r="DT722" s="66" t="str">
        <f>+IF($W722="","",ROUND(IF($B722&gt;Parámetros!$D$107,'Tablas Servicio'!DR722+('Tablas Servicio'!DT721-'Tablas Servicio'!DR721),DR722/(1-IF(B722&lt;=10,Parámetros!$D$100,0))),2))</f>
        <v/>
      </c>
      <c r="DU722" s="66" t="str">
        <f t="shared" si="1033"/>
        <v/>
      </c>
      <c r="DV722" s="66" t="str">
        <f t="shared" si="1033"/>
        <v/>
      </c>
      <c r="DW722" s="66" t="str">
        <f>+IF($W722="","",ROUND((DT722*Parámetros!$G$85),2))</f>
        <v/>
      </c>
      <c r="DX722" s="66" t="str">
        <f>+IF($W722="","",ROUND((DT722*(Parámetros!$G$86)),2))</f>
        <v/>
      </c>
      <c r="DY722" s="66" t="str">
        <f t="shared" si="986"/>
        <v/>
      </c>
      <c r="DZ722" t="str">
        <f t="shared" si="1034"/>
        <v/>
      </c>
      <c r="EA722" s="118" t="str">
        <f t="shared" si="1034"/>
        <v/>
      </c>
      <c r="EB722" s="118" t="str">
        <f>+IF($W722="","",ROUND(IF(Parámetros!$D$25='TABLAS MORT'!$V$33,EB721,Z722/2),0))</f>
        <v/>
      </c>
      <c r="EC722" s="118" t="str">
        <f t="shared" si="1034"/>
        <v/>
      </c>
      <c r="ED722" s="122" t="str">
        <f>+IF(OR($W722="",EB722=0),"",ROUND((VLOOKUP(ROUNDDOWN($D722-1/frec,0),cob_adi,DO$40,FALSE)*(1+i/frec)^-0.5*(1+Parámetros!$D$103)*(1+rec_fracc)/frec),6))</f>
        <v/>
      </c>
      <c r="EE722" s="66" t="str">
        <f t="shared" si="988"/>
        <v/>
      </c>
      <c r="EF722" s="68" t="str">
        <f t="shared" si="989"/>
        <v/>
      </c>
      <c r="EG722" s="66" t="str">
        <f>+IF($W722="","",ROUND(IF($B722&gt;Parámetros!$D$107,'Tablas Servicio'!EE722+('Tablas Servicio'!EG721-'Tablas Servicio'!EE721),EE722/(1-IF(B722&lt;=10,Parámetros!$D$100,0))),2))</f>
        <v/>
      </c>
      <c r="EH722" s="66" t="str">
        <f t="shared" si="1035"/>
        <v/>
      </c>
      <c r="EI722" s="66" t="str">
        <f t="shared" si="1035"/>
        <v/>
      </c>
      <c r="EJ722" s="66" t="str">
        <f>+IF($W722="","",ROUND((EG722*Parámetros!$G$85),2))</f>
        <v/>
      </c>
      <c r="EK722" s="66" t="str">
        <f>+IF($W722="","",ROUND((EG722*(Parámetros!$G$86)),2))</f>
        <v/>
      </c>
      <c r="EL722" s="66" t="str">
        <f t="shared" si="991"/>
        <v/>
      </c>
    </row>
    <row r="723" spans="1:142" x14ac:dyDescent="0.25">
      <c r="A723" t="str">
        <f>+IF($C723="","",ROUND(VLOOKUP('Tablas Servicio'!B723,Parámetros!$H$100:$J$159,IF(Parámetros!$E$16="F",2,3),FALSE),2))</f>
        <v/>
      </c>
      <c r="B723" t="str">
        <f t="shared" si="942"/>
        <v/>
      </c>
      <c r="C723" s="57" t="str">
        <f>+IF(D723="","",'Tablas Servicio'!C722+1)</f>
        <v/>
      </c>
      <c r="D723" s="56" t="str">
        <f>+IF(D722&lt;edadmaxtabla,D722+1/Parámetros!$E$25,"")</f>
        <v/>
      </c>
      <c r="E723" s="57" t="str">
        <f t="shared" si="952"/>
        <v/>
      </c>
      <c r="F723" s="59" t="str">
        <f t="shared" si="953"/>
        <v/>
      </c>
      <c r="G723" s="66" t="str">
        <f t="shared" si="943"/>
        <v/>
      </c>
      <c r="H723" s="66" t="str">
        <f t="shared" si="944"/>
        <v/>
      </c>
      <c r="I723" s="66" t="str">
        <f t="shared" si="992"/>
        <v/>
      </c>
      <c r="J723" s="66" t="str">
        <f t="shared" si="945"/>
        <v/>
      </c>
      <c r="K723" s="66" t="str">
        <f t="shared" si="946"/>
        <v/>
      </c>
      <c r="L723" s="66" t="str">
        <f t="shared" si="947"/>
        <v/>
      </c>
      <c r="M723" s="66" t="str">
        <f t="shared" si="948"/>
        <v/>
      </c>
      <c r="N723" s="66" t="str">
        <f>+IF(C723="","",ROUND(Parámetros!$D$23,2))</f>
        <v/>
      </c>
      <c r="O723" s="66" t="str">
        <f t="shared" si="949"/>
        <v/>
      </c>
      <c r="P723" s="66" t="str">
        <f>+IF($C723="","",ROUND(IF(B723&gt;Parámetros!$D$117,0,N723*Parámetros!$D$116-G723*Parámetros!$D$100),2))</f>
        <v/>
      </c>
      <c r="Q723" s="75" t="str">
        <f t="shared" si="993"/>
        <v/>
      </c>
      <c r="R723" s="75" t="str">
        <f t="shared" si="994"/>
        <v/>
      </c>
      <c r="S723" s="117" t="str">
        <f>+IF($C723="","",ROUND((S722+I723)*(1+Parámetros!$D$91),2))</f>
        <v/>
      </c>
      <c r="T723" s="117" t="str">
        <f>+IF($C723="","",ROUND(S723*VLOOKUP(B723,Parámetros!$C$30:$D$39,2,TRUE),2))</f>
        <v/>
      </c>
      <c r="U723" s="117" t="str">
        <f>+IF($C723="","",ROUND((U722+I723)*(1+Parámetros!$D$92),2))</f>
        <v/>
      </c>
      <c r="V723" s="117" t="str">
        <f>+IF($C723="","",ROUND(U723*VLOOKUP(B723,Parámetros!$C$30:$D$39,2,TRUE),2))</f>
        <v/>
      </c>
      <c r="W723" s="57" t="str">
        <f t="shared" si="995"/>
        <v/>
      </c>
      <c r="X723" t="str">
        <f t="shared" si="996"/>
        <v/>
      </c>
      <c r="Y723" t="str">
        <f t="shared" si="997"/>
        <v/>
      </c>
      <c r="Z723" s="118" t="str">
        <f>+IF($W723="","",ROUND(IF(Parámetros!$D$25='TABLAS MORT'!$V$33,Z722,Parámetros!$D$21-'Tablas Servicio'!T722),0))</f>
        <v/>
      </c>
      <c r="AA723" s="118" t="str">
        <f t="shared" si="998"/>
        <v/>
      </c>
      <c r="AB723" s="119" t="str">
        <f>+IF(W723="","",ROUND((VLOOKUP(ROUNDDOWN($D723-1/frec,0),qx_tabla,2,FALSE)*(1+i/frec)^-0.5*(1+Parámetros!$D$103)*(1+rec_fracc)/frec),6))</f>
        <v/>
      </c>
      <c r="AC723" s="66" t="str">
        <f t="shared" si="954"/>
        <v/>
      </c>
      <c r="AD723" s="119" t="str">
        <f t="shared" si="950"/>
        <v/>
      </c>
      <c r="AE723" s="66" t="str">
        <f>+IF($W723="","",ROUND(IF($B723&gt;Parámetros!$D$107,'Tablas Servicio'!AC723+('Tablas Servicio'!AG722-'Tablas Servicio'!AC722),AC723/(1-IF(B723&lt;=10,Parámetros!$D$104,Parámetros!$D$105))),2))</f>
        <v/>
      </c>
      <c r="AF723" s="66" t="str">
        <f>+IF($W723="","",ROUND(IF($B723&gt;Parámetros!$D$107,'Tablas Servicio'!AC723+('Tablas Servicio'!AG722-'Tablas Servicio'!AC722),(AC723+$A722/frec)/(1-IF(B723&lt;=Parámetros!$D$117,Parámetros!$D$100,0))),2))</f>
        <v/>
      </c>
      <c r="AG723" s="66" t="str">
        <f t="shared" si="955"/>
        <v/>
      </c>
      <c r="AH723" s="66" t="str">
        <f t="shared" si="956"/>
        <v/>
      </c>
      <c r="AI723" s="66" t="str">
        <f t="shared" si="957"/>
        <v/>
      </c>
      <c r="AJ723" s="66" t="str">
        <f>+IF($W723="","",ROUND((AG723*Parámetros!$G$85),2))</f>
        <v/>
      </c>
      <c r="AK723" s="66" t="str">
        <f>+IF($W723="","",ROUND((AG723*(Parámetros!$G$86)),2))</f>
        <v/>
      </c>
      <c r="AL723" s="66" t="str">
        <f t="shared" si="951"/>
        <v/>
      </c>
      <c r="AM723" t="str">
        <f t="shared" si="999"/>
        <v/>
      </c>
      <c r="AN723" t="str">
        <f t="shared" si="1000"/>
        <v/>
      </c>
      <c r="AO723" s="118" t="str">
        <f t="shared" si="1001"/>
        <v/>
      </c>
      <c r="AP723" s="118" t="str">
        <f t="shared" si="1002"/>
        <v/>
      </c>
      <c r="AQ723" s="119" t="str">
        <f>+IF(OR($W723="",AO723=0),"",ROUND((VLOOKUP(ROUNDDOWN($D723-1/frec,0),cob_adi,Z$40,FALSE)*(1+i/frec)^-0.5*(1+Parámetros!$D$103)*(1+rec_fracc)/frec),6))</f>
        <v/>
      </c>
      <c r="AR723" s="66" t="str">
        <f t="shared" si="958"/>
        <v/>
      </c>
      <c r="AS723" s="119" t="str">
        <f t="shared" si="959"/>
        <v/>
      </c>
      <c r="AT723" s="66" t="str">
        <f>+IF($W723="","",ROUND(IF($B723&gt;Parámetros!$D$107,'Tablas Servicio'!AR723+('Tablas Servicio'!AT722-'Tablas Servicio'!AR722),AR723/(1-IF(B723&lt;=10,Parámetros!$D$100,0))),2))</f>
        <v/>
      </c>
      <c r="AU723" s="66" t="str">
        <f t="shared" si="1028"/>
        <v/>
      </c>
      <c r="AV723" s="66" t="str">
        <f t="shared" si="1028"/>
        <v/>
      </c>
      <c r="AW723" s="66" t="str">
        <f>+IF($W723="","",ROUND((AT723*Parámetros!$G$85),2))</f>
        <v/>
      </c>
      <c r="AX723" s="66" t="str">
        <f>+IF($W723="","",ROUND((AT723*(Parámetros!$G$86)),2))</f>
        <v/>
      </c>
      <c r="AY723" s="66" t="str">
        <f t="shared" si="961"/>
        <v/>
      </c>
      <c r="AZ723" t="str">
        <f t="shared" si="1003"/>
        <v/>
      </c>
      <c r="BA723" t="str">
        <f t="shared" si="1004"/>
        <v/>
      </c>
      <c r="BB723" s="118" t="str">
        <f t="shared" si="1005"/>
        <v/>
      </c>
      <c r="BC723" s="118" t="str">
        <f t="shared" si="1006"/>
        <v/>
      </c>
      <c r="BD723" s="119" t="str">
        <f>+IF(OR($W723="",BB723=0),"",ROUND((VLOOKUP(ROUNDDOWN($D723-1/frec,0),cob_adi,AO$40,FALSE)*(1+i/frec)^-0.5*(1+Parámetros!$D$103)*(1+rec_fracc)/frec),6))</f>
        <v/>
      </c>
      <c r="BE723" s="66" t="str">
        <f t="shared" si="962"/>
        <v/>
      </c>
      <c r="BF723" s="119" t="str">
        <f t="shared" si="963"/>
        <v/>
      </c>
      <c r="BG723" s="66" t="str">
        <f>+IF($W723="","",ROUND(IF($B723&gt;Parámetros!$D$107,'Tablas Servicio'!BE723+('Tablas Servicio'!BG722-'Tablas Servicio'!BE722),BE723/(1-IF(B723&lt;=10,Parámetros!$D$100,0))),2))</f>
        <v/>
      </c>
      <c r="BH723" s="66" t="str">
        <f t="shared" si="964"/>
        <v/>
      </c>
      <c r="BI723" s="66" t="str">
        <f t="shared" si="965"/>
        <v/>
      </c>
      <c r="BJ723" s="66" t="str">
        <f>+IF($W723="","",ROUND((BG723*Parámetros!$G$85),2))</f>
        <v/>
      </c>
      <c r="BK723" s="66" t="str">
        <f>+IF($W723="","",ROUND((BG723*(Parámetros!$G$86)),2))</f>
        <v/>
      </c>
      <c r="BL723" s="66" t="str">
        <f t="shared" si="966"/>
        <v/>
      </c>
      <c r="BM723" t="str">
        <f t="shared" si="1007"/>
        <v/>
      </c>
      <c r="BN723" t="str">
        <f t="shared" si="1008"/>
        <v/>
      </c>
      <c r="BO723" s="118" t="str">
        <f t="shared" si="1009"/>
        <v/>
      </c>
      <c r="BP723" s="118" t="str">
        <f t="shared" si="1010"/>
        <v/>
      </c>
      <c r="BQ723" s="119" t="str">
        <f>+IF(OR($W723="",BO723=0),"",ROUND((VLOOKUP(ROUNDDOWN($D723-1/frec,0),cob_adi,BB$40,FALSE)*(1+i/frec)^-0.5*(1+Parámetros!$D$103)*(1+rec_fracc)/frec),6))</f>
        <v/>
      </c>
      <c r="BR723" s="66" t="str">
        <f t="shared" si="967"/>
        <v/>
      </c>
      <c r="BS723" s="119" t="str">
        <f t="shared" si="968"/>
        <v/>
      </c>
      <c r="BT723" s="66" t="str">
        <f>+IF($W723="","",ROUND(IF($B723&gt;Parámetros!$D$107,'Tablas Servicio'!BR723+('Tablas Servicio'!BT722-'Tablas Servicio'!BR722),BR723/(1-IF(B723&lt;=10,Parámetros!$D$100,0))),2))</f>
        <v/>
      </c>
      <c r="BU723" s="66" t="str">
        <f t="shared" si="1029"/>
        <v/>
      </c>
      <c r="BV723" s="66" t="str">
        <f t="shared" si="1029"/>
        <v/>
      </c>
      <c r="BW723" s="66" t="str">
        <f>+IF($W723="","",ROUND((BT723*Parámetros!$G$85),2))</f>
        <v/>
      </c>
      <c r="BX723" s="66" t="str">
        <f>+IF($W723="","",ROUND((BT723*(Parámetros!$G$86)),2))</f>
        <v/>
      </c>
      <c r="BY723" s="66" t="str">
        <f t="shared" si="970"/>
        <v/>
      </c>
      <c r="BZ723" t="str">
        <f t="shared" si="1011"/>
        <v/>
      </c>
      <c r="CA723" t="str">
        <f t="shared" si="1012"/>
        <v/>
      </c>
      <c r="CB723" s="118" t="str">
        <f t="shared" si="1013"/>
        <v/>
      </c>
      <c r="CC723" s="118" t="str">
        <f t="shared" si="1014"/>
        <v/>
      </c>
      <c r="CD723" s="119" t="str">
        <f t="shared" si="971"/>
        <v/>
      </c>
      <c r="CE723" s="66" t="str">
        <f>+IF($W723="","",ROUND((VLOOKUP(ROUNDDOWN($D723-1/frec,0),cob_adi,BO$40,FALSE)*(1+i/frec)^-0.5*(1+Parámetros!$D$103)*(1+rec_fracc)/frec*'TABLAS ADI'!$BC$17),2))</f>
        <v/>
      </c>
      <c r="CF723" s="119" t="str">
        <f t="shared" si="972"/>
        <v/>
      </c>
      <c r="CG723" s="66" t="str">
        <f>+IF($W723="","",ROUND(IF($B723&gt;Parámetros!$D$107,'Tablas Servicio'!CE723+('Tablas Servicio'!CG722-'Tablas Servicio'!CE722),CE723/(1-IF(B723&lt;=10,Parámetros!$D$100,0))),2))</f>
        <v/>
      </c>
      <c r="CH723" s="66" t="str">
        <f t="shared" si="1030"/>
        <v/>
      </c>
      <c r="CI723" s="66" t="str">
        <f t="shared" si="1030"/>
        <v/>
      </c>
      <c r="CJ723" s="66" t="str">
        <f>+IF($W723="","",ROUND((CG723*Parámetros!$G$85),2))</f>
        <v/>
      </c>
      <c r="CK723" s="66" t="str">
        <f>+IF($W723="","",ROUND((CG723*(Parámetros!$G$86)),2))</f>
        <v/>
      </c>
      <c r="CL723" s="66" t="str">
        <f t="shared" si="974"/>
        <v/>
      </c>
      <c r="CM723" t="str">
        <f t="shared" si="1015"/>
        <v/>
      </c>
      <c r="CN723" s="118" t="str">
        <f t="shared" si="1016"/>
        <v/>
      </c>
      <c r="CO723" s="118" t="str">
        <f t="shared" si="1017"/>
        <v/>
      </c>
      <c r="CP723" s="118" t="str">
        <f t="shared" si="1018"/>
        <v/>
      </c>
      <c r="CQ723" s="119" t="str">
        <f t="shared" si="975"/>
        <v/>
      </c>
      <c r="CR723" s="66" t="str">
        <f>+IF($W723="","",ROUND((VLOOKUP(Parámetros!$F$51,'COBERTURAS ADICIONALES'!$S$4:$T$32,2,FALSE)*(1+i/frec)^-0.5*(1+Parámetros!$D$103)*(1+rec_fracc)/frec*$CO$42),2))</f>
        <v/>
      </c>
      <c r="CS723" s="119" t="str">
        <f t="shared" si="976"/>
        <v/>
      </c>
      <c r="CT723" s="66" t="str">
        <f>+IF($W723="","",ROUND(IF($B723&gt;Parámetros!$D$107,'Tablas Servicio'!CR723+('Tablas Servicio'!CT722-'Tablas Servicio'!CR722),CR723/(1-IF(B723&lt;=10,Parámetros!$D$100,0))),2))</f>
        <v/>
      </c>
      <c r="CU723" s="66" t="str">
        <f t="shared" si="1031"/>
        <v/>
      </c>
      <c r="CV723" s="66" t="str">
        <f t="shared" si="1031"/>
        <v/>
      </c>
      <c r="CW723" s="66" t="str">
        <f>+IF($W723="","",ROUND((CT723*Parámetros!$G$85),2))</f>
        <v/>
      </c>
      <c r="CX723" s="66" t="str">
        <f>+IF($W723="","",ROUND((CT723*(Parámetros!$G$86)),2))</f>
        <v/>
      </c>
      <c r="CY723" s="66" t="str">
        <f t="shared" si="978"/>
        <v/>
      </c>
      <c r="CZ723" t="str">
        <f t="shared" si="1019"/>
        <v/>
      </c>
      <c r="DA723" s="118" t="str">
        <f t="shared" si="1020"/>
        <v/>
      </c>
      <c r="DB723" s="118" t="str">
        <f t="shared" si="1021"/>
        <v/>
      </c>
      <c r="DC723" s="118" t="str">
        <f t="shared" si="1022"/>
        <v/>
      </c>
      <c r="DD723" s="121" t="str">
        <f>+IF(OR($W723="",DB723=0),"",ROUND((VLOOKUP(ROUNDDOWN($D723-1/frec,0),cob_adi,CO$40,FALSE)*(1+i/frec)^-0.5*(1+Parámetros!$D$103)*(1+rec_fracc)/frec),6))</f>
        <v/>
      </c>
      <c r="DE723" s="66" t="str">
        <f t="shared" si="979"/>
        <v/>
      </c>
      <c r="DF723" s="119" t="str">
        <f t="shared" si="980"/>
        <v/>
      </c>
      <c r="DG723" s="66" t="str">
        <f>+IF($W723="","",ROUND(IF($B723&gt;Parámetros!$D$107,'Tablas Servicio'!DE723+('Tablas Servicio'!DG722-'Tablas Servicio'!DE722),DE723/(1-IF(B723&lt;=10,Parámetros!$D$100,0))),2))</f>
        <v/>
      </c>
      <c r="DH723" s="66" t="str">
        <f t="shared" si="1032"/>
        <v/>
      </c>
      <c r="DI723" s="66" t="str">
        <f t="shared" si="1032"/>
        <v/>
      </c>
      <c r="DJ723" s="66" t="str">
        <f>+IF($W723="","",ROUND((DG723*Parámetros!$G$85),2))</f>
        <v/>
      </c>
      <c r="DK723" s="66" t="str">
        <f>+IF($W723="","",ROUND((DG723*(Parámetros!$G$86)),2))</f>
        <v/>
      </c>
      <c r="DL723" s="66" t="str">
        <f t="shared" si="982"/>
        <v/>
      </c>
      <c r="DM723" t="str">
        <f t="shared" si="1023"/>
        <v/>
      </c>
      <c r="DN723" s="118" t="str">
        <f t="shared" si="1024"/>
        <v/>
      </c>
      <c r="DO723" s="118" t="str">
        <f t="shared" si="1025"/>
        <v/>
      </c>
      <c r="DP723" s="118" t="str">
        <f t="shared" si="1026"/>
        <v/>
      </c>
      <c r="DQ723" s="122" t="str">
        <f>+IF(OR($W723="",DO723=0),"",ROUND((VLOOKUP(ROUNDDOWN($D723-1/frec,0),cob_adi,DB$40,FALSE)*(1+i/frec)^-0.5*(1+Parámetros!$D$103)*(1+rec_fracc)/frec),6))</f>
        <v/>
      </c>
      <c r="DR723" s="66" t="str">
        <f t="shared" si="983"/>
        <v/>
      </c>
      <c r="DS723" s="68" t="str">
        <f t="shared" si="984"/>
        <v/>
      </c>
      <c r="DT723" s="66" t="str">
        <f>+IF($W723="","",ROUND(IF($B723&gt;Parámetros!$D$107,'Tablas Servicio'!DR723+('Tablas Servicio'!DT722-'Tablas Servicio'!DR722),DR723/(1-IF(B723&lt;=10,Parámetros!$D$100,0))),2))</f>
        <v/>
      </c>
      <c r="DU723" s="66" t="str">
        <f t="shared" si="1033"/>
        <v/>
      </c>
      <c r="DV723" s="66" t="str">
        <f t="shared" si="1033"/>
        <v/>
      </c>
      <c r="DW723" s="66" t="str">
        <f>+IF($W723="","",ROUND((DT723*Parámetros!$G$85),2))</f>
        <v/>
      </c>
      <c r="DX723" s="66" t="str">
        <f>+IF($W723="","",ROUND((DT723*(Parámetros!$G$86)),2))</f>
        <v/>
      </c>
      <c r="DY723" s="66" t="str">
        <f t="shared" si="986"/>
        <v/>
      </c>
      <c r="DZ723" t="str">
        <f t="shared" si="1034"/>
        <v/>
      </c>
      <c r="EA723" s="118" t="str">
        <f t="shared" si="1034"/>
        <v/>
      </c>
      <c r="EB723" s="118" t="str">
        <f>+IF($W723="","",ROUND(IF(Parámetros!$D$25='TABLAS MORT'!$V$33,EB722,Z723/2),0))</f>
        <v/>
      </c>
      <c r="EC723" s="118" t="str">
        <f t="shared" si="1034"/>
        <v/>
      </c>
      <c r="ED723" s="122" t="str">
        <f>+IF(OR($W723="",EB723=0),"",ROUND((VLOOKUP(ROUNDDOWN($D723-1/frec,0),cob_adi,DO$40,FALSE)*(1+i/frec)^-0.5*(1+Parámetros!$D$103)*(1+rec_fracc)/frec),6))</f>
        <v/>
      </c>
      <c r="EE723" s="66" t="str">
        <f t="shared" si="988"/>
        <v/>
      </c>
      <c r="EF723" s="68" t="str">
        <f t="shared" si="989"/>
        <v/>
      </c>
      <c r="EG723" s="66" t="str">
        <f>+IF($W723="","",ROUND(IF($B723&gt;Parámetros!$D$107,'Tablas Servicio'!EE723+('Tablas Servicio'!EG722-'Tablas Servicio'!EE722),EE723/(1-IF(B723&lt;=10,Parámetros!$D$100,0))),2))</f>
        <v/>
      </c>
      <c r="EH723" s="66" t="str">
        <f t="shared" si="1035"/>
        <v/>
      </c>
      <c r="EI723" s="66" t="str">
        <f t="shared" si="1035"/>
        <v/>
      </c>
      <c r="EJ723" s="66" t="str">
        <f>+IF($W723="","",ROUND((EG723*Parámetros!$G$85),2))</f>
        <v/>
      </c>
      <c r="EK723" s="66" t="str">
        <f>+IF($W723="","",ROUND((EG723*(Parámetros!$G$86)),2))</f>
        <v/>
      </c>
      <c r="EL723" s="66" t="str">
        <f t="shared" si="991"/>
        <v/>
      </c>
    </row>
    <row r="724" spans="1:142" x14ac:dyDescent="0.25">
      <c r="A724" t="str">
        <f>+IF($C724="","",ROUND(VLOOKUP('Tablas Servicio'!B724,Parámetros!$H$100:$J$159,IF(Parámetros!$E$16="F",2,3),FALSE),2))</f>
        <v/>
      </c>
      <c r="B724" t="str">
        <f t="shared" si="942"/>
        <v/>
      </c>
      <c r="C724" s="57" t="str">
        <f>+IF(D724="","",'Tablas Servicio'!C723+1)</f>
        <v/>
      </c>
      <c r="D724" s="56" t="str">
        <f>+IF(D723&lt;edadmaxtabla,D723+1/Parámetros!$E$25,"")</f>
        <v/>
      </c>
      <c r="E724" s="57" t="str">
        <f t="shared" si="952"/>
        <v/>
      </c>
      <c r="F724" s="59" t="str">
        <f t="shared" si="953"/>
        <v/>
      </c>
      <c r="G724" s="66" t="str">
        <f t="shared" si="943"/>
        <v/>
      </c>
      <c r="H724" s="66" t="str">
        <f t="shared" si="944"/>
        <v/>
      </c>
      <c r="I724" s="66" t="str">
        <f t="shared" si="992"/>
        <v/>
      </c>
      <c r="J724" s="66" t="str">
        <f t="shared" si="945"/>
        <v/>
      </c>
      <c r="K724" s="66" t="str">
        <f t="shared" si="946"/>
        <v/>
      </c>
      <c r="L724" s="66" t="str">
        <f t="shared" si="947"/>
        <v/>
      </c>
      <c r="M724" s="66" t="str">
        <f t="shared" si="948"/>
        <v/>
      </c>
      <c r="N724" s="66" t="str">
        <f>+IF(C724="","",ROUND(Parámetros!$D$23,2))</f>
        <v/>
      </c>
      <c r="O724" s="66" t="str">
        <f t="shared" si="949"/>
        <v/>
      </c>
      <c r="P724" s="66" t="str">
        <f>+IF($C724="","",ROUND(IF(B724&gt;Parámetros!$D$117,0,N724*Parámetros!$D$116-G724*Parámetros!$D$100),2))</f>
        <v/>
      </c>
      <c r="Q724" s="75" t="str">
        <f t="shared" si="993"/>
        <v/>
      </c>
      <c r="R724" s="75" t="str">
        <f t="shared" si="994"/>
        <v/>
      </c>
      <c r="S724" s="117" t="str">
        <f>+IF($C724="","",ROUND((S723+I724)*(1+Parámetros!$D$91),2))</f>
        <v/>
      </c>
      <c r="T724" s="117" t="str">
        <f>+IF($C724="","",ROUND(S724*VLOOKUP(B724,Parámetros!$C$30:$D$39,2,TRUE),2))</f>
        <v/>
      </c>
      <c r="U724" s="117" t="str">
        <f>+IF($C724="","",ROUND((U723+I724)*(1+Parámetros!$D$92),2))</f>
        <v/>
      </c>
      <c r="V724" s="117" t="str">
        <f>+IF($C724="","",ROUND(U724*VLOOKUP(B724,Parámetros!$C$30:$D$39,2,TRUE),2))</f>
        <v/>
      </c>
      <c r="W724" s="57" t="str">
        <f t="shared" si="995"/>
        <v/>
      </c>
      <c r="X724" t="str">
        <f t="shared" si="996"/>
        <v/>
      </c>
      <c r="Y724" t="str">
        <f t="shared" si="997"/>
        <v/>
      </c>
      <c r="Z724" s="118" t="str">
        <f>+IF($W724="","",ROUND(IF(Parámetros!$D$25='TABLAS MORT'!$V$33,Z723,Parámetros!$D$21-'Tablas Servicio'!T723),0))</f>
        <v/>
      </c>
      <c r="AA724" s="118" t="str">
        <f t="shared" si="998"/>
        <v/>
      </c>
      <c r="AB724" s="119" t="str">
        <f>+IF(W724="","",ROUND((VLOOKUP(ROUNDDOWN($D724-1/frec,0),qx_tabla,2,FALSE)*(1+i/frec)^-0.5*(1+Parámetros!$D$103)*(1+rec_fracc)/frec),6))</f>
        <v/>
      </c>
      <c r="AC724" s="66" t="str">
        <f t="shared" si="954"/>
        <v/>
      </c>
      <c r="AD724" s="119" t="str">
        <f t="shared" si="950"/>
        <v/>
      </c>
      <c r="AE724" s="66" t="str">
        <f>+IF($W724="","",ROUND(IF($B724&gt;Parámetros!$D$107,'Tablas Servicio'!AC724+('Tablas Servicio'!AG723-'Tablas Servicio'!AC723),AC724/(1-IF(B724&lt;=10,Parámetros!$D$104,Parámetros!$D$105))),2))</f>
        <v/>
      </c>
      <c r="AF724" s="66" t="str">
        <f>+IF($W724="","",ROUND(IF($B724&gt;Parámetros!$D$107,'Tablas Servicio'!AC724+('Tablas Servicio'!AG723-'Tablas Servicio'!AC723),(AC724+$A723/frec)/(1-IF(B724&lt;=Parámetros!$D$117,Parámetros!$D$100,0))),2))</f>
        <v/>
      </c>
      <c r="AG724" s="66" t="str">
        <f t="shared" si="955"/>
        <v/>
      </c>
      <c r="AH724" s="66" t="str">
        <f t="shared" si="956"/>
        <v/>
      </c>
      <c r="AI724" s="66" t="str">
        <f t="shared" si="957"/>
        <v/>
      </c>
      <c r="AJ724" s="66" t="str">
        <f>+IF($W724="","",ROUND((AG724*Parámetros!$G$85),2))</f>
        <v/>
      </c>
      <c r="AK724" s="66" t="str">
        <f>+IF($W724="","",ROUND((AG724*(Parámetros!$G$86)),2))</f>
        <v/>
      </c>
      <c r="AL724" s="66" t="str">
        <f t="shared" si="951"/>
        <v/>
      </c>
      <c r="AM724" t="str">
        <f t="shared" si="999"/>
        <v/>
      </c>
      <c r="AN724" t="str">
        <f t="shared" si="1000"/>
        <v/>
      </c>
      <c r="AO724" s="118" t="str">
        <f t="shared" si="1001"/>
        <v/>
      </c>
      <c r="AP724" s="118" t="str">
        <f t="shared" si="1002"/>
        <v/>
      </c>
      <c r="AQ724" s="119" t="str">
        <f>+IF(OR($W724="",AO724=0),"",ROUND((VLOOKUP(ROUNDDOWN($D724-1/frec,0),cob_adi,Z$40,FALSE)*(1+i/frec)^-0.5*(1+Parámetros!$D$103)*(1+rec_fracc)/frec),6))</f>
        <v/>
      </c>
      <c r="AR724" s="66" t="str">
        <f t="shared" si="958"/>
        <v/>
      </c>
      <c r="AS724" s="119" t="str">
        <f t="shared" si="959"/>
        <v/>
      </c>
      <c r="AT724" s="66" t="str">
        <f>+IF($W724="","",ROUND(IF($B724&gt;Parámetros!$D$107,'Tablas Servicio'!AR724+('Tablas Servicio'!AT723-'Tablas Servicio'!AR723),AR724/(1-IF(B724&lt;=10,Parámetros!$D$100,0))),2))</f>
        <v/>
      </c>
      <c r="AU724" s="66" t="str">
        <f t="shared" si="1028"/>
        <v/>
      </c>
      <c r="AV724" s="66" t="str">
        <f t="shared" si="1028"/>
        <v/>
      </c>
      <c r="AW724" s="66" t="str">
        <f>+IF($W724="","",ROUND((AT724*Parámetros!$G$85),2))</f>
        <v/>
      </c>
      <c r="AX724" s="66" t="str">
        <f>+IF($W724="","",ROUND((AT724*(Parámetros!$G$86)),2))</f>
        <v/>
      </c>
      <c r="AY724" s="66" t="str">
        <f t="shared" si="961"/>
        <v/>
      </c>
      <c r="AZ724" t="str">
        <f t="shared" si="1003"/>
        <v/>
      </c>
      <c r="BA724" t="str">
        <f t="shared" si="1004"/>
        <v/>
      </c>
      <c r="BB724" s="118" t="str">
        <f t="shared" si="1005"/>
        <v/>
      </c>
      <c r="BC724" s="118" t="str">
        <f t="shared" si="1006"/>
        <v/>
      </c>
      <c r="BD724" s="119" t="str">
        <f>+IF(OR($W724="",BB724=0),"",ROUND((VLOOKUP(ROUNDDOWN($D724-1/frec,0),cob_adi,AO$40,FALSE)*(1+i/frec)^-0.5*(1+Parámetros!$D$103)*(1+rec_fracc)/frec),6))</f>
        <v/>
      </c>
      <c r="BE724" s="66" t="str">
        <f t="shared" si="962"/>
        <v/>
      </c>
      <c r="BF724" s="119" t="str">
        <f t="shared" si="963"/>
        <v/>
      </c>
      <c r="BG724" s="66" t="str">
        <f>+IF($W724="","",ROUND(IF($B724&gt;Parámetros!$D$107,'Tablas Servicio'!BE724+('Tablas Servicio'!BG723-'Tablas Servicio'!BE723),BE724/(1-IF(B724&lt;=10,Parámetros!$D$100,0))),2))</f>
        <v/>
      </c>
      <c r="BH724" s="66" t="str">
        <f t="shared" si="964"/>
        <v/>
      </c>
      <c r="BI724" s="66" t="str">
        <f t="shared" si="965"/>
        <v/>
      </c>
      <c r="BJ724" s="66" t="str">
        <f>+IF($W724="","",ROUND((BG724*Parámetros!$G$85),2))</f>
        <v/>
      </c>
      <c r="BK724" s="66" t="str">
        <f>+IF($W724="","",ROUND((BG724*(Parámetros!$G$86)),2))</f>
        <v/>
      </c>
      <c r="BL724" s="66" t="str">
        <f t="shared" si="966"/>
        <v/>
      </c>
      <c r="BM724" t="str">
        <f t="shared" si="1007"/>
        <v/>
      </c>
      <c r="BN724" t="str">
        <f t="shared" si="1008"/>
        <v/>
      </c>
      <c r="BO724" s="118" t="str">
        <f t="shared" si="1009"/>
        <v/>
      </c>
      <c r="BP724" s="118" t="str">
        <f t="shared" si="1010"/>
        <v/>
      </c>
      <c r="BQ724" s="119" t="str">
        <f>+IF(OR($W724="",BO724=0),"",ROUND((VLOOKUP(ROUNDDOWN($D724-1/frec,0),cob_adi,BB$40,FALSE)*(1+i/frec)^-0.5*(1+Parámetros!$D$103)*(1+rec_fracc)/frec),6))</f>
        <v/>
      </c>
      <c r="BR724" s="66" t="str">
        <f t="shared" si="967"/>
        <v/>
      </c>
      <c r="BS724" s="119" t="str">
        <f t="shared" si="968"/>
        <v/>
      </c>
      <c r="BT724" s="66" t="str">
        <f>+IF($W724="","",ROUND(IF($B724&gt;Parámetros!$D$107,'Tablas Servicio'!BR724+('Tablas Servicio'!BT723-'Tablas Servicio'!BR723),BR724/(1-IF(B724&lt;=10,Parámetros!$D$100,0))),2))</f>
        <v/>
      </c>
      <c r="BU724" s="66" t="str">
        <f t="shared" si="1029"/>
        <v/>
      </c>
      <c r="BV724" s="66" t="str">
        <f t="shared" si="1029"/>
        <v/>
      </c>
      <c r="BW724" s="66" t="str">
        <f>+IF($W724="","",ROUND((BT724*Parámetros!$G$85),2))</f>
        <v/>
      </c>
      <c r="BX724" s="66" t="str">
        <f>+IF($W724="","",ROUND((BT724*(Parámetros!$G$86)),2))</f>
        <v/>
      </c>
      <c r="BY724" s="66" t="str">
        <f t="shared" si="970"/>
        <v/>
      </c>
      <c r="BZ724" t="str">
        <f t="shared" si="1011"/>
        <v/>
      </c>
      <c r="CA724" t="str">
        <f t="shared" si="1012"/>
        <v/>
      </c>
      <c r="CB724" s="118" t="str">
        <f t="shared" si="1013"/>
        <v/>
      </c>
      <c r="CC724" s="118" t="str">
        <f t="shared" si="1014"/>
        <v/>
      </c>
      <c r="CD724" s="119" t="str">
        <f t="shared" si="971"/>
        <v/>
      </c>
      <c r="CE724" s="66" t="str">
        <f>+IF($W724="","",ROUND((VLOOKUP(ROUNDDOWN($D724-1/frec,0),cob_adi,BO$40,FALSE)*(1+i/frec)^-0.5*(1+Parámetros!$D$103)*(1+rec_fracc)/frec*'TABLAS ADI'!$BC$17),2))</f>
        <v/>
      </c>
      <c r="CF724" s="119" t="str">
        <f t="shared" si="972"/>
        <v/>
      </c>
      <c r="CG724" s="66" t="str">
        <f>+IF($W724="","",ROUND(IF($B724&gt;Parámetros!$D$107,'Tablas Servicio'!CE724+('Tablas Servicio'!CG723-'Tablas Servicio'!CE723),CE724/(1-IF(B724&lt;=10,Parámetros!$D$100,0))),2))</f>
        <v/>
      </c>
      <c r="CH724" s="66" t="str">
        <f t="shared" si="1030"/>
        <v/>
      </c>
      <c r="CI724" s="66" t="str">
        <f t="shared" si="1030"/>
        <v/>
      </c>
      <c r="CJ724" s="66" t="str">
        <f>+IF($W724="","",ROUND((CG724*Parámetros!$G$85),2))</f>
        <v/>
      </c>
      <c r="CK724" s="66" t="str">
        <f>+IF($W724="","",ROUND((CG724*(Parámetros!$G$86)),2))</f>
        <v/>
      </c>
      <c r="CL724" s="66" t="str">
        <f t="shared" si="974"/>
        <v/>
      </c>
      <c r="CM724" t="str">
        <f t="shared" si="1015"/>
        <v/>
      </c>
      <c r="CN724" s="118" t="str">
        <f t="shared" si="1016"/>
        <v/>
      </c>
      <c r="CO724" s="118" t="str">
        <f t="shared" si="1017"/>
        <v/>
      </c>
      <c r="CP724" s="118" t="str">
        <f t="shared" si="1018"/>
        <v/>
      </c>
      <c r="CQ724" s="119" t="str">
        <f t="shared" si="975"/>
        <v/>
      </c>
      <c r="CR724" s="66" t="str">
        <f>+IF($W724="","",ROUND((VLOOKUP(Parámetros!$F$51,'COBERTURAS ADICIONALES'!$S$4:$T$32,2,FALSE)*(1+i/frec)^-0.5*(1+Parámetros!$D$103)*(1+rec_fracc)/frec*$CO$42),2))</f>
        <v/>
      </c>
      <c r="CS724" s="119" t="str">
        <f t="shared" si="976"/>
        <v/>
      </c>
      <c r="CT724" s="66" t="str">
        <f>+IF($W724="","",ROUND(IF($B724&gt;Parámetros!$D$107,'Tablas Servicio'!CR724+('Tablas Servicio'!CT723-'Tablas Servicio'!CR723),CR724/(1-IF(B724&lt;=10,Parámetros!$D$100,0))),2))</f>
        <v/>
      </c>
      <c r="CU724" s="66" t="str">
        <f t="shared" si="1031"/>
        <v/>
      </c>
      <c r="CV724" s="66" t="str">
        <f t="shared" si="1031"/>
        <v/>
      </c>
      <c r="CW724" s="66" t="str">
        <f>+IF($W724="","",ROUND((CT724*Parámetros!$G$85),2))</f>
        <v/>
      </c>
      <c r="CX724" s="66" t="str">
        <f>+IF($W724="","",ROUND((CT724*(Parámetros!$G$86)),2))</f>
        <v/>
      </c>
      <c r="CY724" s="66" t="str">
        <f t="shared" si="978"/>
        <v/>
      </c>
      <c r="CZ724" t="str">
        <f t="shared" si="1019"/>
        <v/>
      </c>
      <c r="DA724" s="118" t="str">
        <f t="shared" si="1020"/>
        <v/>
      </c>
      <c r="DB724" s="118" t="str">
        <f t="shared" si="1021"/>
        <v/>
      </c>
      <c r="DC724" s="118" t="str">
        <f t="shared" si="1022"/>
        <v/>
      </c>
      <c r="DD724" s="121" t="str">
        <f>+IF(OR($W724="",DB724=0),"",ROUND((VLOOKUP(ROUNDDOWN($D724-1/frec,0),cob_adi,CO$40,FALSE)*(1+i/frec)^-0.5*(1+Parámetros!$D$103)*(1+rec_fracc)/frec),6))</f>
        <v/>
      </c>
      <c r="DE724" s="66" t="str">
        <f t="shared" si="979"/>
        <v/>
      </c>
      <c r="DF724" s="119" t="str">
        <f t="shared" si="980"/>
        <v/>
      </c>
      <c r="DG724" s="66" t="str">
        <f>+IF($W724="","",ROUND(IF($B724&gt;Parámetros!$D$107,'Tablas Servicio'!DE724+('Tablas Servicio'!DG723-'Tablas Servicio'!DE723),DE724/(1-IF(B724&lt;=10,Parámetros!$D$100,0))),2))</f>
        <v/>
      </c>
      <c r="DH724" s="66" t="str">
        <f t="shared" si="1032"/>
        <v/>
      </c>
      <c r="DI724" s="66" t="str">
        <f t="shared" si="1032"/>
        <v/>
      </c>
      <c r="DJ724" s="66" t="str">
        <f>+IF($W724="","",ROUND((DG724*Parámetros!$G$85),2))</f>
        <v/>
      </c>
      <c r="DK724" s="66" t="str">
        <f>+IF($W724="","",ROUND((DG724*(Parámetros!$G$86)),2))</f>
        <v/>
      </c>
      <c r="DL724" s="66" t="str">
        <f t="shared" si="982"/>
        <v/>
      </c>
      <c r="DM724" t="str">
        <f t="shared" si="1023"/>
        <v/>
      </c>
      <c r="DN724" s="118" t="str">
        <f t="shared" si="1024"/>
        <v/>
      </c>
      <c r="DO724" s="118" t="str">
        <f t="shared" si="1025"/>
        <v/>
      </c>
      <c r="DP724" s="118" t="str">
        <f t="shared" si="1026"/>
        <v/>
      </c>
      <c r="DQ724" s="122" t="str">
        <f>+IF(OR($W724="",DO724=0),"",ROUND((VLOOKUP(ROUNDDOWN($D724-1/frec,0),cob_adi,DB$40,FALSE)*(1+i/frec)^-0.5*(1+Parámetros!$D$103)*(1+rec_fracc)/frec),6))</f>
        <v/>
      </c>
      <c r="DR724" s="66" t="str">
        <f t="shared" si="983"/>
        <v/>
      </c>
      <c r="DS724" s="68" t="str">
        <f t="shared" si="984"/>
        <v/>
      </c>
      <c r="DT724" s="66" t="str">
        <f>+IF($W724="","",ROUND(IF($B724&gt;Parámetros!$D$107,'Tablas Servicio'!DR724+('Tablas Servicio'!DT723-'Tablas Servicio'!DR723),DR724/(1-IF(B724&lt;=10,Parámetros!$D$100,0))),2))</f>
        <v/>
      </c>
      <c r="DU724" s="66" t="str">
        <f t="shared" si="1033"/>
        <v/>
      </c>
      <c r="DV724" s="66" t="str">
        <f t="shared" si="1033"/>
        <v/>
      </c>
      <c r="DW724" s="66" t="str">
        <f>+IF($W724="","",ROUND((DT724*Parámetros!$G$85),2))</f>
        <v/>
      </c>
      <c r="DX724" s="66" t="str">
        <f>+IF($W724="","",ROUND((DT724*(Parámetros!$G$86)),2))</f>
        <v/>
      </c>
      <c r="DY724" s="66" t="str">
        <f t="shared" si="986"/>
        <v/>
      </c>
      <c r="DZ724" t="str">
        <f t="shared" si="1034"/>
        <v/>
      </c>
      <c r="EA724" s="118" t="str">
        <f t="shared" si="1034"/>
        <v/>
      </c>
      <c r="EB724" s="118" t="str">
        <f>+IF($W724="","",ROUND(IF(Parámetros!$D$25='TABLAS MORT'!$V$33,EB723,Z724/2),0))</f>
        <v/>
      </c>
      <c r="EC724" s="118" t="str">
        <f t="shared" si="1034"/>
        <v/>
      </c>
      <c r="ED724" s="122" t="str">
        <f>+IF(OR($W724="",EB724=0),"",ROUND((VLOOKUP(ROUNDDOWN($D724-1/frec,0),cob_adi,DO$40,FALSE)*(1+i/frec)^-0.5*(1+Parámetros!$D$103)*(1+rec_fracc)/frec),6))</f>
        <v/>
      </c>
      <c r="EE724" s="66" t="str">
        <f t="shared" si="988"/>
        <v/>
      </c>
      <c r="EF724" s="68" t="str">
        <f t="shared" si="989"/>
        <v/>
      </c>
      <c r="EG724" s="66" t="str">
        <f>+IF($W724="","",ROUND(IF($B724&gt;Parámetros!$D$107,'Tablas Servicio'!EE724+('Tablas Servicio'!EG723-'Tablas Servicio'!EE723),EE724/(1-IF(B724&lt;=10,Parámetros!$D$100,0))),2))</f>
        <v/>
      </c>
      <c r="EH724" s="66" t="str">
        <f t="shared" si="1035"/>
        <v/>
      </c>
      <c r="EI724" s="66" t="str">
        <f t="shared" si="1035"/>
        <v/>
      </c>
      <c r="EJ724" s="66" t="str">
        <f>+IF($W724="","",ROUND((EG724*Parámetros!$G$85),2))</f>
        <v/>
      </c>
      <c r="EK724" s="66" t="str">
        <f>+IF($W724="","",ROUND((EG724*(Parámetros!$G$86)),2))</f>
        <v/>
      </c>
      <c r="EL724" s="66" t="str">
        <f t="shared" si="991"/>
        <v/>
      </c>
    </row>
    <row r="725" spans="1:142" x14ac:dyDescent="0.25">
      <c r="A725" t="str">
        <f>+IF($C725="","",ROUND(VLOOKUP('Tablas Servicio'!B725,Parámetros!$H$100:$J$159,IF(Parámetros!$E$16="F",2,3),FALSE),2))</f>
        <v/>
      </c>
      <c r="B725" t="str">
        <f t="shared" si="942"/>
        <v/>
      </c>
      <c r="C725" s="57" t="str">
        <f>+IF(D725="","",'Tablas Servicio'!C724+1)</f>
        <v/>
      </c>
      <c r="D725" s="56" t="str">
        <f>+IF(D724&lt;edadmaxtabla,D724+1/Parámetros!$E$25,"")</f>
        <v/>
      </c>
      <c r="E725" s="57" t="str">
        <f t="shared" si="952"/>
        <v/>
      </c>
      <c r="F725" s="59" t="str">
        <f t="shared" si="953"/>
        <v/>
      </c>
      <c r="G725" s="66" t="str">
        <f t="shared" si="943"/>
        <v/>
      </c>
      <c r="H725" s="66" t="str">
        <f t="shared" si="944"/>
        <v/>
      </c>
      <c r="I725" s="66" t="str">
        <f t="shared" si="992"/>
        <v/>
      </c>
      <c r="J725" s="66" t="str">
        <f t="shared" si="945"/>
        <v/>
      </c>
      <c r="K725" s="66" t="str">
        <f t="shared" si="946"/>
        <v/>
      </c>
      <c r="L725" s="66" t="str">
        <f t="shared" si="947"/>
        <v/>
      </c>
      <c r="M725" s="66" t="str">
        <f t="shared" si="948"/>
        <v/>
      </c>
      <c r="N725" s="66" t="str">
        <f>+IF(C725="","",ROUND(Parámetros!$D$23,2))</f>
        <v/>
      </c>
      <c r="O725" s="66" t="str">
        <f t="shared" si="949"/>
        <v/>
      </c>
      <c r="P725" s="66" t="str">
        <f>+IF($C725="","",ROUND(IF(B725&gt;Parámetros!$D$117,0,N725*Parámetros!$D$116-G725*Parámetros!$D$100),2))</f>
        <v/>
      </c>
      <c r="Q725" s="75" t="str">
        <f t="shared" si="993"/>
        <v/>
      </c>
      <c r="R725" s="75" t="str">
        <f t="shared" si="994"/>
        <v/>
      </c>
      <c r="S725" s="117" t="str">
        <f>+IF($C725="","",ROUND((S724+I725)*(1+Parámetros!$D$91),2))</f>
        <v/>
      </c>
      <c r="T725" s="117" t="str">
        <f>+IF($C725="","",ROUND(S725*VLOOKUP(B725,Parámetros!$C$30:$D$39,2,TRUE),2))</f>
        <v/>
      </c>
      <c r="U725" s="117" t="str">
        <f>+IF($C725="","",ROUND((U724+I725)*(1+Parámetros!$D$92),2))</f>
        <v/>
      </c>
      <c r="V725" s="117" t="str">
        <f>+IF($C725="","",ROUND(U725*VLOOKUP(B725,Parámetros!$C$30:$D$39,2,TRUE),2))</f>
        <v/>
      </c>
      <c r="W725" s="57" t="str">
        <f t="shared" si="995"/>
        <v/>
      </c>
      <c r="X725" t="str">
        <f t="shared" si="996"/>
        <v/>
      </c>
      <c r="Y725" t="str">
        <f t="shared" si="997"/>
        <v/>
      </c>
      <c r="Z725" s="118" t="str">
        <f>+IF($W725="","",ROUND(IF(Parámetros!$D$25='TABLAS MORT'!$V$33,Z724,Parámetros!$D$21-'Tablas Servicio'!T724),0))</f>
        <v/>
      </c>
      <c r="AA725" s="118" t="str">
        <f t="shared" si="998"/>
        <v/>
      </c>
      <c r="AB725" s="119" t="str">
        <f>+IF(W725="","",ROUND((VLOOKUP(ROUNDDOWN($D725-1/frec,0),qx_tabla,2,FALSE)*(1+i/frec)^-0.5*(1+Parámetros!$D$103)*(1+rec_fracc)/frec),6))</f>
        <v/>
      </c>
      <c r="AC725" s="66" t="str">
        <f t="shared" si="954"/>
        <v/>
      </c>
      <c r="AD725" s="119" t="str">
        <f t="shared" si="950"/>
        <v/>
      </c>
      <c r="AE725" s="66" t="str">
        <f>+IF($W725="","",ROUND(IF($B725&gt;Parámetros!$D$107,'Tablas Servicio'!AC725+('Tablas Servicio'!AG724-'Tablas Servicio'!AC724),AC725/(1-IF(B725&lt;=10,Parámetros!$D$104,Parámetros!$D$105))),2))</f>
        <v/>
      </c>
      <c r="AF725" s="66" t="str">
        <f>+IF($W725="","",ROUND(IF($B725&gt;Parámetros!$D$107,'Tablas Servicio'!AC725+('Tablas Servicio'!AG724-'Tablas Servicio'!AC724),(AC725+$A724/frec)/(1-IF(B725&lt;=Parámetros!$D$117,Parámetros!$D$100,0))),2))</f>
        <v/>
      </c>
      <c r="AG725" s="66" t="str">
        <f t="shared" si="955"/>
        <v/>
      </c>
      <c r="AH725" s="66" t="str">
        <f t="shared" si="956"/>
        <v/>
      </c>
      <c r="AI725" s="66" t="str">
        <f t="shared" si="957"/>
        <v/>
      </c>
      <c r="AJ725" s="66" t="str">
        <f>+IF($W725="","",ROUND((AG725*Parámetros!$G$85),2))</f>
        <v/>
      </c>
      <c r="AK725" s="66" t="str">
        <f>+IF($W725="","",ROUND((AG725*(Parámetros!$G$86)),2))</f>
        <v/>
      </c>
      <c r="AL725" s="66" t="str">
        <f t="shared" si="951"/>
        <v/>
      </c>
      <c r="AM725" t="str">
        <f t="shared" si="999"/>
        <v/>
      </c>
      <c r="AN725" t="str">
        <f t="shared" si="1000"/>
        <v/>
      </c>
      <c r="AO725" s="118" t="str">
        <f t="shared" si="1001"/>
        <v/>
      </c>
      <c r="AP725" s="118" t="str">
        <f t="shared" si="1002"/>
        <v/>
      </c>
      <c r="AQ725" s="119" t="str">
        <f>+IF(OR($W725="",AO725=0),"",ROUND((VLOOKUP(ROUNDDOWN($D725-1/frec,0),cob_adi,Z$40,FALSE)*(1+i/frec)^-0.5*(1+Parámetros!$D$103)*(1+rec_fracc)/frec),6))</f>
        <v/>
      </c>
      <c r="AR725" s="66" t="str">
        <f t="shared" si="958"/>
        <v/>
      </c>
      <c r="AS725" s="119" t="str">
        <f t="shared" si="959"/>
        <v/>
      </c>
      <c r="AT725" s="66" t="str">
        <f>+IF($W725="","",ROUND(IF($B725&gt;Parámetros!$D$107,'Tablas Servicio'!AR725+('Tablas Servicio'!AT724-'Tablas Servicio'!AR724),AR725/(1-IF(B725&lt;=10,Parámetros!$D$100,0))),2))</f>
        <v/>
      </c>
      <c r="AU725" s="66" t="str">
        <f t="shared" si="1028"/>
        <v/>
      </c>
      <c r="AV725" s="66" t="str">
        <f t="shared" si="1028"/>
        <v/>
      </c>
      <c r="AW725" s="66" t="str">
        <f>+IF($W725="","",ROUND((AT725*Parámetros!$G$85),2))</f>
        <v/>
      </c>
      <c r="AX725" s="66" t="str">
        <f>+IF($W725="","",ROUND((AT725*(Parámetros!$G$86)),2))</f>
        <v/>
      </c>
      <c r="AY725" s="66" t="str">
        <f t="shared" si="961"/>
        <v/>
      </c>
      <c r="AZ725" t="str">
        <f t="shared" si="1003"/>
        <v/>
      </c>
      <c r="BA725" t="str">
        <f t="shared" si="1004"/>
        <v/>
      </c>
      <c r="BB725" s="118" t="str">
        <f t="shared" si="1005"/>
        <v/>
      </c>
      <c r="BC725" s="118" t="str">
        <f t="shared" si="1006"/>
        <v/>
      </c>
      <c r="BD725" s="119" t="str">
        <f>+IF(OR($W725="",BB725=0),"",ROUND((VLOOKUP(ROUNDDOWN($D725-1/frec,0),cob_adi,AO$40,FALSE)*(1+i/frec)^-0.5*(1+Parámetros!$D$103)*(1+rec_fracc)/frec),6))</f>
        <v/>
      </c>
      <c r="BE725" s="66" t="str">
        <f t="shared" si="962"/>
        <v/>
      </c>
      <c r="BF725" s="119" t="str">
        <f t="shared" si="963"/>
        <v/>
      </c>
      <c r="BG725" s="66" t="str">
        <f>+IF($W725="","",ROUND(IF($B725&gt;Parámetros!$D$107,'Tablas Servicio'!BE725+('Tablas Servicio'!BG724-'Tablas Servicio'!BE724),BE725/(1-IF(B725&lt;=10,Parámetros!$D$100,0))),2))</f>
        <v/>
      </c>
      <c r="BH725" s="66" t="str">
        <f t="shared" si="964"/>
        <v/>
      </c>
      <c r="BI725" s="66" t="str">
        <f t="shared" si="965"/>
        <v/>
      </c>
      <c r="BJ725" s="66" t="str">
        <f>+IF($W725="","",ROUND((BG725*Parámetros!$G$85),2))</f>
        <v/>
      </c>
      <c r="BK725" s="66" t="str">
        <f>+IF($W725="","",ROUND((BG725*(Parámetros!$G$86)),2))</f>
        <v/>
      </c>
      <c r="BL725" s="66" t="str">
        <f t="shared" si="966"/>
        <v/>
      </c>
      <c r="BM725" t="str">
        <f t="shared" si="1007"/>
        <v/>
      </c>
      <c r="BN725" t="str">
        <f t="shared" si="1008"/>
        <v/>
      </c>
      <c r="BO725" s="118" t="str">
        <f t="shared" si="1009"/>
        <v/>
      </c>
      <c r="BP725" s="118" t="str">
        <f t="shared" si="1010"/>
        <v/>
      </c>
      <c r="BQ725" s="119" t="str">
        <f>+IF(OR($W725="",BO725=0),"",ROUND((VLOOKUP(ROUNDDOWN($D725-1/frec,0),cob_adi,BB$40,FALSE)*(1+i/frec)^-0.5*(1+Parámetros!$D$103)*(1+rec_fracc)/frec),6))</f>
        <v/>
      </c>
      <c r="BR725" s="66" t="str">
        <f t="shared" si="967"/>
        <v/>
      </c>
      <c r="BS725" s="119" t="str">
        <f t="shared" si="968"/>
        <v/>
      </c>
      <c r="BT725" s="66" t="str">
        <f>+IF($W725="","",ROUND(IF($B725&gt;Parámetros!$D$107,'Tablas Servicio'!BR725+('Tablas Servicio'!BT724-'Tablas Servicio'!BR724),BR725/(1-IF(B725&lt;=10,Parámetros!$D$100,0))),2))</f>
        <v/>
      </c>
      <c r="BU725" s="66" t="str">
        <f t="shared" si="1029"/>
        <v/>
      </c>
      <c r="BV725" s="66" t="str">
        <f t="shared" si="1029"/>
        <v/>
      </c>
      <c r="BW725" s="66" t="str">
        <f>+IF($W725="","",ROUND((BT725*Parámetros!$G$85),2))</f>
        <v/>
      </c>
      <c r="BX725" s="66" t="str">
        <f>+IF($W725="","",ROUND((BT725*(Parámetros!$G$86)),2))</f>
        <v/>
      </c>
      <c r="BY725" s="66" t="str">
        <f t="shared" si="970"/>
        <v/>
      </c>
      <c r="BZ725" t="str">
        <f t="shared" si="1011"/>
        <v/>
      </c>
      <c r="CA725" t="str">
        <f t="shared" si="1012"/>
        <v/>
      </c>
      <c r="CB725" s="118" t="str">
        <f t="shared" si="1013"/>
        <v/>
      </c>
      <c r="CC725" s="118" t="str">
        <f t="shared" si="1014"/>
        <v/>
      </c>
      <c r="CD725" s="119" t="str">
        <f t="shared" si="971"/>
        <v/>
      </c>
      <c r="CE725" s="66" t="str">
        <f>+IF($W725="","",ROUND((VLOOKUP(ROUNDDOWN($D725-1/frec,0),cob_adi,BO$40,FALSE)*(1+i/frec)^-0.5*(1+Parámetros!$D$103)*(1+rec_fracc)/frec*'TABLAS ADI'!$BC$17),2))</f>
        <v/>
      </c>
      <c r="CF725" s="119" t="str">
        <f t="shared" si="972"/>
        <v/>
      </c>
      <c r="CG725" s="66" t="str">
        <f>+IF($W725="","",ROUND(IF($B725&gt;Parámetros!$D$107,'Tablas Servicio'!CE725+('Tablas Servicio'!CG724-'Tablas Servicio'!CE724),CE725/(1-IF(B725&lt;=10,Parámetros!$D$100,0))),2))</f>
        <v/>
      </c>
      <c r="CH725" s="66" t="str">
        <f t="shared" si="1030"/>
        <v/>
      </c>
      <c r="CI725" s="66" t="str">
        <f t="shared" si="1030"/>
        <v/>
      </c>
      <c r="CJ725" s="66" t="str">
        <f>+IF($W725="","",ROUND((CG725*Parámetros!$G$85),2))</f>
        <v/>
      </c>
      <c r="CK725" s="66" t="str">
        <f>+IF($W725="","",ROUND((CG725*(Parámetros!$G$86)),2))</f>
        <v/>
      </c>
      <c r="CL725" s="66" t="str">
        <f t="shared" si="974"/>
        <v/>
      </c>
      <c r="CM725" t="str">
        <f t="shared" si="1015"/>
        <v/>
      </c>
      <c r="CN725" s="118" t="str">
        <f t="shared" si="1016"/>
        <v/>
      </c>
      <c r="CO725" s="118" t="str">
        <f t="shared" si="1017"/>
        <v/>
      </c>
      <c r="CP725" s="118" t="str">
        <f t="shared" si="1018"/>
        <v/>
      </c>
      <c r="CQ725" s="119" t="str">
        <f t="shared" si="975"/>
        <v/>
      </c>
      <c r="CR725" s="66" t="str">
        <f>+IF($W725="","",ROUND((VLOOKUP(Parámetros!$F$51,'COBERTURAS ADICIONALES'!$S$4:$T$32,2,FALSE)*(1+i/frec)^-0.5*(1+Parámetros!$D$103)*(1+rec_fracc)/frec*$CO$42),2))</f>
        <v/>
      </c>
      <c r="CS725" s="119" t="str">
        <f t="shared" si="976"/>
        <v/>
      </c>
      <c r="CT725" s="66" t="str">
        <f>+IF($W725="","",ROUND(IF($B725&gt;Parámetros!$D$107,'Tablas Servicio'!CR725+('Tablas Servicio'!CT724-'Tablas Servicio'!CR724),CR725/(1-IF(B725&lt;=10,Parámetros!$D$100,0))),2))</f>
        <v/>
      </c>
      <c r="CU725" s="66" t="str">
        <f t="shared" si="1031"/>
        <v/>
      </c>
      <c r="CV725" s="66" t="str">
        <f t="shared" si="1031"/>
        <v/>
      </c>
      <c r="CW725" s="66" t="str">
        <f>+IF($W725="","",ROUND((CT725*Parámetros!$G$85),2))</f>
        <v/>
      </c>
      <c r="CX725" s="66" t="str">
        <f>+IF($W725="","",ROUND((CT725*(Parámetros!$G$86)),2))</f>
        <v/>
      </c>
      <c r="CY725" s="66" t="str">
        <f t="shared" si="978"/>
        <v/>
      </c>
      <c r="CZ725" t="str">
        <f t="shared" si="1019"/>
        <v/>
      </c>
      <c r="DA725" s="118" t="str">
        <f t="shared" si="1020"/>
        <v/>
      </c>
      <c r="DB725" s="118" t="str">
        <f t="shared" si="1021"/>
        <v/>
      </c>
      <c r="DC725" s="118" t="str">
        <f t="shared" si="1022"/>
        <v/>
      </c>
      <c r="DD725" s="121" t="str">
        <f>+IF(OR($W725="",DB725=0),"",ROUND((VLOOKUP(ROUNDDOWN($D725-1/frec,0),cob_adi,CO$40,FALSE)*(1+i/frec)^-0.5*(1+Parámetros!$D$103)*(1+rec_fracc)/frec),6))</f>
        <v/>
      </c>
      <c r="DE725" s="66" t="str">
        <f t="shared" si="979"/>
        <v/>
      </c>
      <c r="DF725" s="119" t="str">
        <f t="shared" si="980"/>
        <v/>
      </c>
      <c r="DG725" s="66" t="str">
        <f>+IF($W725="","",ROUND(IF($B725&gt;Parámetros!$D$107,'Tablas Servicio'!DE725+('Tablas Servicio'!DG724-'Tablas Servicio'!DE724),DE725/(1-IF(B725&lt;=10,Parámetros!$D$100,0))),2))</f>
        <v/>
      </c>
      <c r="DH725" s="66" t="str">
        <f t="shared" si="1032"/>
        <v/>
      </c>
      <c r="DI725" s="66" t="str">
        <f t="shared" si="1032"/>
        <v/>
      </c>
      <c r="DJ725" s="66" t="str">
        <f>+IF($W725="","",ROUND((DG725*Parámetros!$G$85),2))</f>
        <v/>
      </c>
      <c r="DK725" s="66" t="str">
        <f>+IF($W725="","",ROUND((DG725*(Parámetros!$G$86)),2))</f>
        <v/>
      </c>
      <c r="DL725" s="66" t="str">
        <f t="shared" si="982"/>
        <v/>
      </c>
      <c r="DM725" t="str">
        <f t="shared" si="1023"/>
        <v/>
      </c>
      <c r="DN725" s="118" t="str">
        <f t="shared" si="1024"/>
        <v/>
      </c>
      <c r="DO725" s="118" t="str">
        <f t="shared" si="1025"/>
        <v/>
      </c>
      <c r="DP725" s="118" t="str">
        <f t="shared" si="1026"/>
        <v/>
      </c>
      <c r="DQ725" s="122" t="str">
        <f>+IF(OR($W725="",DO725=0),"",ROUND((VLOOKUP(ROUNDDOWN($D725-1/frec,0),cob_adi,DB$40,FALSE)*(1+i/frec)^-0.5*(1+Parámetros!$D$103)*(1+rec_fracc)/frec),6))</f>
        <v/>
      </c>
      <c r="DR725" s="66" t="str">
        <f t="shared" si="983"/>
        <v/>
      </c>
      <c r="DS725" s="68" t="str">
        <f t="shared" si="984"/>
        <v/>
      </c>
      <c r="DT725" s="66" t="str">
        <f>+IF($W725="","",ROUND(IF($B725&gt;Parámetros!$D$107,'Tablas Servicio'!DR725+('Tablas Servicio'!DT724-'Tablas Servicio'!DR724),DR725/(1-IF(B725&lt;=10,Parámetros!$D$100,0))),2))</f>
        <v/>
      </c>
      <c r="DU725" s="66" t="str">
        <f t="shared" si="1033"/>
        <v/>
      </c>
      <c r="DV725" s="66" t="str">
        <f t="shared" si="1033"/>
        <v/>
      </c>
      <c r="DW725" s="66" t="str">
        <f>+IF($W725="","",ROUND((DT725*Parámetros!$G$85),2))</f>
        <v/>
      </c>
      <c r="DX725" s="66" t="str">
        <f>+IF($W725="","",ROUND((DT725*(Parámetros!$G$86)),2))</f>
        <v/>
      </c>
      <c r="DY725" s="66" t="str">
        <f t="shared" si="986"/>
        <v/>
      </c>
      <c r="DZ725" t="str">
        <f t="shared" si="1034"/>
        <v/>
      </c>
      <c r="EA725" s="118" t="str">
        <f t="shared" si="1034"/>
        <v/>
      </c>
      <c r="EB725" s="118" t="str">
        <f>+IF($W725="","",ROUND(IF(Parámetros!$D$25='TABLAS MORT'!$V$33,EB724,Z725/2),0))</f>
        <v/>
      </c>
      <c r="EC725" s="118" t="str">
        <f t="shared" si="1034"/>
        <v/>
      </c>
      <c r="ED725" s="122" t="str">
        <f>+IF(OR($W725="",EB725=0),"",ROUND((VLOOKUP(ROUNDDOWN($D725-1/frec,0),cob_adi,DO$40,FALSE)*(1+i/frec)^-0.5*(1+Parámetros!$D$103)*(1+rec_fracc)/frec),6))</f>
        <v/>
      </c>
      <c r="EE725" s="66" t="str">
        <f t="shared" si="988"/>
        <v/>
      </c>
      <c r="EF725" s="68" t="str">
        <f t="shared" si="989"/>
        <v/>
      </c>
      <c r="EG725" s="66" t="str">
        <f>+IF($W725="","",ROUND(IF($B725&gt;Parámetros!$D$107,'Tablas Servicio'!EE725+('Tablas Servicio'!EG724-'Tablas Servicio'!EE724),EE725/(1-IF(B725&lt;=10,Parámetros!$D$100,0))),2))</f>
        <v/>
      </c>
      <c r="EH725" s="66" t="str">
        <f t="shared" si="1035"/>
        <v/>
      </c>
      <c r="EI725" s="66" t="str">
        <f t="shared" si="1035"/>
        <v/>
      </c>
      <c r="EJ725" s="66" t="str">
        <f>+IF($W725="","",ROUND((EG725*Parámetros!$G$85),2))</f>
        <v/>
      </c>
      <c r="EK725" s="66" t="str">
        <f>+IF($W725="","",ROUND((EG725*(Parámetros!$G$86)),2))</f>
        <v/>
      </c>
      <c r="EL725" s="66" t="str">
        <f t="shared" si="991"/>
        <v/>
      </c>
    </row>
    <row r="726" spans="1:142" x14ac:dyDescent="0.25">
      <c r="A726" t="str">
        <f>+IF($C726="","",ROUND(VLOOKUP('Tablas Servicio'!B726,Parámetros!$H$100:$J$159,IF(Parámetros!$E$16="F",2,3),FALSE),2))</f>
        <v/>
      </c>
      <c r="B726" t="str">
        <f t="shared" si="942"/>
        <v/>
      </c>
      <c r="C726" s="57" t="str">
        <f>+IF(D726="","",'Tablas Servicio'!C725+1)</f>
        <v/>
      </c>
      <c r="D726" s="56" t="str">
        <f>+IF(D725&lt;edadmaxtabla,D725+1/Parámetros!$E$25,"")</f>
        <v/>
      </c>
      <c r="E726" s="57" t="str">
        <f t="shared" si="952"/>
        <v/>
      </c>
      <c r="F726" s="59" t="str">
        <f t="shared" si="953"/>
        <v/>
      </c>
      <c r="G726" s="66" t="str">
        <f t="shared" si="943"/>
        <v/>
      </c>
      <c r="H726" s="66" t="str">
        <f t="shared" si="944"/>
        <v/>
      </c>
      <c r="I726" s="66" t="str">
        <f t="shared" si="992"/>
        <v/>
      </c>
      <c r="J726" s="66" t="str">
        <f t="shared" si="945"/>
        <v/>
      </c>
      <c r="K726" s="66" t="str">
        <f t="shared" si="946"/>
        <v/>
      </c>
      <c r="L726" s="66" t="str">
        <f t="shared" si="947"/>
        <v/>
      </c>
      <c r="M726" s="66" t="str">
        <f t="shared" si="948"/>
        <v/>
      </c>
      <c r="N726" s="66" t="str">
        <f>+IF(C726="","",ROUND(Parámetros!$D$23,2))</f>
        <v/>
      </c>
      <c r="O726" s="66" t="str">
        <f t="shared" si="949"/>
        <v/>
      </c>
      <c r="P726" s="66" t="str">
        <f>+IF($C726="","",ROUND(IF(B726&gt;Parámetros!$D$117,0,N726*Parámetros!$D$116-G726*Parámetros!$D$100),2))</f>
        <v/>
      </c>
      <c r="Q726" s="75" t="str">
        <f t="shared" si="993"/>
        <v/>
      </c>
      <c r="R726" s="75" t="str">
        <f t="shared" si="994"/>
        <v/>
      </c>
      <c r="S726" s="117" t="str">
        <f>+IF($C726="","",ROUND((S725+I726)*(1+Parámetros!$D$91),2))</f>
        <v/>
      </c>
      <c r="T726" s="117" t="str">
        <f>+IF($C726="","",ROUND(S726*VLOOKUP(B726,Parámetros!$C$30:$D$39,2,TRUE),2))</f>
        <v/>
      </c>
      <c r="U726" s="117" t="str">
        <f>+IF($C726="","",ROUND((U725+I726)*(1+Parámetros!$D$92),2))</f>
        <v/>
      </c>
      <c r="V726" s="117" t="str">
        <f>+IF($C726="","",ROUND(U726*VLOOKUP(B726,Parámetros!$C$30:$D$39,2,TRUE),2))</f>
        <v/>
      </c>
      <c r="W726" s="57" t="str">
        <f t="shared" si="995"/>
        <v/>
      </c>
      <c r="X726" t="str">
        <f t="shared" si="996"/>
        <v/>
      </c>
      <c r="Y726" t="str">
        <f t="shared" si="997"/>
        <v/>
      </c>
      <c r="Z726" s="118" t="str">
        <f>+IF($W726="","",ROUND(IF(Parámetros!$D$25='TABLAS MORT'!$V$33,Z725,Parámetros!$D$21-'Tablas Servicio'!T725),0))</f>
        <v/>
      </c>
      <c r="AA726" s="118" t="str">
        <f t="shared" si="998"/>
        <v/>
      </c>
      <c r="AB726" s="119" t="str">
        <f>+IF(W726="","",ROUND((VLOOKUP(ROUNDDOWN($D726-1/frec,0),qx_tabla,2,FALSE)*(1+i/frec)^-0.5*(1+Parámetros!$D$103)*(1+rec_fracc)/frec),6))</f>
        <v/>
      </c>
      <c r="AC726" s="66" t="str">
        <f t="shared" si="954"/>
        <v/>
      </c>
      <c r="AD726" s="119" t="str">
        <f t="shared" si="950"/>
        <v/>
      </c>
      <c r="AE726" s="66" t="str">
        <f>+IF($W726="","",ROUND(IF($B726&gt;Parámetros!$D$107,'Tablas Servicio'!AC726+('Tablas Servicio'!AG725-'Tablas Servicio'!AC725),AC726/(1-IF(B726&lt;=10,Parámetros!$D$104,Parámetros!$D$105))),2))</f>
        <v/>
      </c>
      <c r="AF726" s="66" t="str">
        <f>+IF($W726="","",ROUND(IF($B726&gt;Parámetros!$D$107,'Tablas Servicio'!AC726+('Tablas Servicio'!AG725-'Tablas Servicio'!AC725),(AC726+$A725/frec)/(1-IF(B726&lt;=Parámetros!$D$117,Parámetros!$D$100,0))),2))</f>
        <v/>
      </c>
      <c r="AG726" s="66" t="str">
        <f t="shared" si="955"/>
        <v/>
      </c>
      <c r="AH726" s="66" t="str">
        <f t="shared" si="956"/>
        <v/>
      </c>
      <c r="AI726" s="66" t="str">
        <f t="shared" si="957"/>
        <v/>
      </c>
      <c r="AJ726" s="66" t="str">
        <f>+IF($W726="","",ROUND((AG726*Parámetros!$G$85),2))</f>
        <v/>
      </c>
      <c r="AK726" s="66" t="str">
        <f>+IF($W726="","",ROUND((AG726*(Parámetros!$G$86)),2))</f>
        <v/>
      </c>
      <c r="AL726" s="66" t="str">
        <f t="shared" si="951"/>
        <v/>
      </c>
      <c r="AM726" t="str">
        <f t="shared" si="999"/>
        <v/>
      </c>
      <c r="AN726" t="str">
        <f t="shared" si="1000"/>
        <v/>
      </c>
      <c r="AO726" s="118" t="str">
        <f t="shared" si="1001"/>
        <v/>
      </c>
      <c r="AP726" s="118" t="str">
        <f t="shared" si="1002"/>
        <v/>
      </c>
      <c r="AQ726" s="119" t="str">
        <f>+IF(OR($W726="",AO726=0),"",ROUND((VLOOKUP(ROUNDDOWN($D726-1/frec,0),cob_adi,Z$40,FALSE)*(1+i/frec)^-0.5*(1+Parámetros!$D$103)*(1+rec_fracc)/frec),6))</f>
        <v/>
      </c>
      <c r="AR726" s="66" t="str">
        <f t="shared" si="958"/>
        <v/>
      </c>
      <c r="AS726" s="119" t="str">
        <f t="shared" si="959"/>
        <v/>
      </c>
      <c r="AT726" s="66" t="str">
        <f>+IF($W726="","",ROUND(IF($B726&gt;Parámetros!$D$107,'Tablas Servicio'!AR726+('Tablas Servicio'!AT725-'Tablas Servicio'!AR725),AR726/(1-IF(B726&lt;=10,Parámetros!$D$100,0))),2))</f>
        <v/>
      </c>
      <c r="AU726" s="66" t="str">
        <f t="shared" si="1028"/>
        <v/>
      </c>
      <c r="AV726" s="66" t="str">
        <f t="shared" si="1028"/>
        <v/>
      </c>
      <c r="AW726" s="66" t="str">
        <f>+IF($W726="","",ROUND((AT726*Parámetros!$G$85),2))</f>
        <v/>
      </c>
      <c r="AX726" s="66" t="str">
        <f>+IF($W726="","",ROUND((AT726*(Parámetros!$G$86)),2))</f>
        <v/>
      </c>
      <c r="AY726" s="66" t="str">
        <f t="shared" si="961"/>
        <v/>
      </c>
      <c r="AZ726" t="str">
        <f t="shared" si="1003"/>
        <v/>
      </c>
      <c r="BA726" t="str">
        <f t="shared" si="1004"/>
        <v/>
      </c>
      <c r="BB726" s="118" t="str">
        <f t="shared" si="1005"/>
        <v/>
      </c>
      <c r="BC726" s="118" t="str">
        <f t="shared" si="1006"/>
        <v/>
      </c>
      <c r="BD726" s="119" t="str">
        <f>+IF(OR($W726="",BB726=0),"",ROUND((VLOOKUP(ROUNDDOWN($D726-1/frec,0),cob_adi,AO$40,FALSE)*(1+i/frec)^-0.5*(1+Parámetros!$D$103)*(1+rec_fracc)/frec),6))</f>
        <v/>
      </c>
      <c r="BE726" s="66" t="str">
        <f t="shared" si="962"/>
        <v/>
      </c>
      <c r="BF726" s="119" t="str">
        <f t="shared" si="963"/>
        <v/>
      </c>
      <c r="BG726" s="66" t="str">
        <f>+IF($W726="","",ROUND(IF($B726&gt;Parámetros!$D$107,'Tablas Servicio'!BE726+('Tablas Servicio'!BG725-'Tablas Servicio'!BE725),BE726/(1-IF(B726&lt;=10,Parámetros!$D$100,0))),2))</f>
        <v/>
      </c>
      <c r="BH726" s="66" t="str">
        <f t="shared" si="964"/>
        <v/>
      </c>
      <c r="BI726" s="66" t="str">
        <f t="shared" si="965"/>
        <v/>
      </c>
      <c r="BJ726" s="66" t="str">
        <f>+IF($W726="","",ROUND((BG726*Parámetros!$G$85),2))</f>
        <v/>
      </c>
      <c r="BK726" s="66" t="str">
        <f>+IF($W726="","",ROUND((BG726*(Parámetros!$G$86)),2))</f>
        <v/>
      </c>
      <c r="BL726" s="66" t="str">
        <f t="shared" si="966"/>
        <v/>
      </c>
      <c r="BM726" t="str">
        <f t="shared" si="1007"/>
        <v/>
      </c>
      <c r="BN726" t="str">
        <f t="shared" si="1008"/>
        <v/>
      </c>
      <c r="BO726" s="118" t="str">
        <f t="shared" si="1009"/>
        <v/>
      </c>
      <c r="BP726" s="118" t="str">
        <f t="shared" si="1010"/>
        <v/>
      </c>
      <c r="BQ726" s="119" t="str">
        <f>+IF(OR($W726="",BO726=0),"",ROUND((VLOOKUP(ROUNDDOWN($D726-1/frec,0),cob_adi,BB$40,FALSE)*(1+i/frec)^-0.5*(1+Parámetros!$D$103)*(1+rec_fracc)/frec),6))</f>
        <v/>
      </c>
      <c r="BR726" s="66" t="str">
        <f t="shared" si="967"/>
        <v/>
      </c>
      <c r="BS726" s="119" t="str">
        <f t="shared" si="968"/>
        <v/>
      </c>
      <c r="BT726" s="66" t="str">
        <f>+IF($W726="","",ROUND(IF($B726&gt;Parámetros!$D$107,'Tablas Servicio'!BR726+('Tablas Servicio'!BT725-'Tablas Servicio'!BR725),BR726/(1-IF(B726&lt;=10,Parámetros!$D$100,0))),2))</f>
        <v/>
      </c>
      <c r="BU726" s="66" t="str">
        <f t="shared" si="1029"/>
        <v/>
      </c>
      <c r="BV726" s="66" t="str">
        <f t="shared" si="1029"/>
        <v/>
      </c>
      <c r="BW726" s="66" t="str">
        <f>+IF($W726="","",ROUND((BT726*Parámetros!$G$85),2))</f>
        <v/>
      </c>
      <c r="BX726" s="66" t="str">
        <f>+IF($W726="","",ROUND((BT726*(Parámetros!$G$86)),2))</f>
        <v/>
      </c>
      <c r="BY726" s="66" t="str">
        <f t="shared" si="970"/>
        <v/>
      </c>
      <c r="BZ726" t="str">
        <f t="shared" si="1011"/>
        <v/>
      </c>
      <c r="CA726" t="str">
        <f t="shared" si="1012"/>
        <v/>
      </c>
      <c r="CB726" s="118" t="str">
        <f t="shared" si="1013"/>
        <v/>
      </c>
      <c r="CC726" s="118" t="str">
        <f t="shared" si="1014"/>
        <v/>
      </c>
      <c r="CD726" s="119" t="str">
        <f t="shared" si="971"/>
        <v/>
      </c>
      <c r="CE726" s="66" t="str">
        <f>+IF($W726="","",ROUND((VLOOKUP(ROUNDDOWN($D726-1/frec,0),cob_adi,BO$40,FALSE)*(1+i/frec)^-0.5*(1+Parámetros!$D$103)*(1+rec_fracc)/frec*'TABLAS ADI'!$BC$17),2))</f>
        <v/>
      </c>
      <c r="CF726" s="119" t="str">
        <f t="shared" si="972"/>
        <v/>
      </c>
      <c r="CG726" s="66" t="str">
        <f>+IF($W726="","",ROUND(IF($B726&gt;Parámetros!$D$107,'Tablas Servicio'!CE726+('Tablas Servicio'!CG725-'Tablas Servicio'!CE725),CE726/(1-IF(B726&lt;=10,Parámetros!$D$100,0))),2))</f>
        <v/>
      </c>
      <c r="CH726" s="66" t="str">
        <f t="shared" si="1030"/>
        <v/>
      </c>
      <c r="CI726" s="66" t="str">
        <f t="shared" si="1030"/>
        <v/>
      </c>
      <c r="CJ726" s="66" t="str">
        <f>+IF($W726="","",ROUND((CG726*Parámetros!$G$85),2))</f>
        <v/>
      </c>
      <c r="CK726" s="66" t="str">
        <f>+IF($W726="","",ROUND((CG726*(Parámetros!$G$86)),2))</f>
        <v/>
      </c>
      <c r="CL726" s="66" t="str">
        <f t="shared" si="974"/>
        <v/>
      </c>
      <c r="CM726" t="str">
        <f t="shared" si="1015"/>
        <v/>
      </c>
      <c r="CN726" s="118" t="str">
        <f t="shared" si="1016"/>
        <v/>
      </c>
      <c r="CO726" s="118" t="str">
        <f t="shared" si="1017"/>
        <v/>
      </c>
      <c r="CP726" s="118" t="str">
        <f t="shared" si="1018"/>
        <v/>
      </c>
      <c r="CQ726" s="119" t="str">
        <f t="shared" si="975"/>
        <v/>
      </c>
      <c r="CR726" s="66" t="str">
        <f>+IF($W726="","",ROUND((VLOOKUP(Parámetros!$F$51,'COBERTURAS ADICIONALES'!$S$4:$T$32,2,FALSE)*(1+i/frec)^-0.5*(1+Parámetros!$D$103)*(1+rec_fracc)/frec*$CO$42),2))</f>
        <v/>
      </c>
      <c r="CS726" s="119" t="str">
        <f t="shared" si="976"/>
        <v/>
      </c>
      <c r="CT726" s="66" t="str">
        <f>+IF($W726="","",ROUND(IF($B726&gt;Parámetros!$D$107,'Tablas Servicio'!CR726+('Tablas Servicio'!CT725-'Tablas Servicio'!CR725),CR726/(1-IF(B726&lt;=10,Parámetros!$D$100,0))),2))</f>
        <v/>
      </c>
      <c r="CU726" s="66" t="str">
        <f t="shared" si="1031"/>
        <v/>
      </c>
      <c r="CV726" s="66" t="str">
        <f t="shared" si="1031"/>
        <v/>
      </c>
      <c r="CW726" s="66" t="str">
        <f>+IF($W726="","",ROUND((CT726*Parámetros!$G$85),2))</f>
        <v/>
      </c>
      <c r="CX726" s="66" t="str">
        <f>+IF($W726="","",ROUND((CT726*(Parámetros!$G$86)),2))</f>
        <v/>
      </c>
      <c r="CY726" s="66" t="str">
        <f t="shared" si="978"/>
        <v/>
      </c>
      <c r="CZ726" t="str">
        <f t="shared" si="1019"/>
        <v/>
      </c>
      <c r="DA726" s="118" t="str">
        <f t="shared" si="1020"/>
        <v/>
      </c>
      <c r="DB726" s="118" t="str">
        <f t="shared" si="1021"/>
        <v/>
      </c>
      <c r="DC726" s="118" t="str">
        <f t="shared" si="1022"/>
        <v/>
      </c>
      <c r="DD726" s="121" t="str">
        <f>+IF(OR($W726="",DB726=0),"",ROUND((VLOOKUP(ROUNDDOWN($D726-1/frec,0),cob_adi,CO$40,FALSE)*(1+i/frec)^-0.5*(1+Parámetros!$D$103)*(1+rec_fracc)/frec),6))</f>
        <v/>
      </c>
      <c r="DE726" s="66" t="str">
        <f t="shared" si="979"/>
        <v/>
      </c>
      <c r="DF726" s="119" t="str">
        <f t="shared" si="980"/>
        <v/>
      </c>
      <c r="DG726" s="66" t="str">
        <f>+IF($W726="","",ROUND(IF($B726&gt;Parámetros!$D$107,'Tablas Servicio'!DE726+('Tablas Servicio'!DG725-'Tablas Servicio'!DE725),DE726/(1-IF(B726&lt;=10,Parámetros!$D$100,0))),2))</f>
        <v/>
      </c>
      <c r="DH726" s="66" t="str">
        <f t="shared" si="1032"/>
        <v/>
      </c>
      <c r="DI726" s="66" t="str">
        <f t="shared" si="1032"/>
        <v/>
      </c>
      <c r="DJ726" s="66" t="str">
        <f>+IF($W726="","",ROUND((DG726*Parámetros!$G$85),2))</f>
        <v/>
      </c>
      <c r="DK726" s="66" t="str">
        <f>+IF($W726="","",ROUND((DG726*(Parámetros!$G$86)),2))</f>
        <v/>
      </c>
      <c r="DL726" s="66" t="str">
        <f t="shared" si="982"/>
        <v/>
      </c>
      <c r="DM726" t="str">
        <f t="shared" si="1023"/>
        <v/>
      </c>
      <c r="DN726" s="118" t="str">
        <f t="shared" si="1024"/>
        <v/>
      </c>
      <c r="DO726" s="118" t="str">
        <f t="shared" si="1025"/>
        <v/>
      </c>
      <c r="DP726" s="118" t="str">
        <f t="shared" si="1026"/>
        <v/>
      </c>
      <c r="DQ726" s="122" t="str">
        <f>+IF(OR($W726="",DO726=0),"",ROUND((VLOOKUP(ROUNDDOWN($D726-1/frec,0),cob_adi,DB$40,FALSE)*(1+i/frec)^-0.5*(1+Parámetros!$D$103)*(1+rec_fracc)/frec),6))</f>
        <v/>
      </c>
      <c r="DR726" s="66" t="str">
        <f t="shared" si="983"/>
        <v/>
      </c>
      <c r="DS726" s="68" t="str">
        <f t="shared" si="984"/>
        <v/>
      </c>
      <c r="DT726" s="66" t="str">
        <f>+IF($W726="","",ROUND(IF($B726&gt;Parámetros!$D$107,'Tablas Servicio'!DR726+('Tablas Servicio'!DT725-'Tablas Servicio'!DR725),DR726/(1-IF(B726&lt;=10,Parámetros!$D$100,0))),2))</f>
        <v/>
      </c>
      <c r="DU726" s="66" t="str">
        <f t="shared" si="1033"/>
        <v/>
      </c>
      <c r="DV726" s="66" t="str">
        <f t="shared" si="1033"/>
        <v/>
      </c>
      <c r="DW726" s="66" t="str">
        <f>+IF($W726="","",ROUND((DT726*Parámetros!$G$85),2))</f>
        <v/>
      </c>
      <c r="DX726" s="66" t="str">
        <f>+IF($W726="","",ROUND((DT726*(Parámetros!$G$86)),2))</f>
        <v/>
      </c>
      <c r="DY726" s="66" t="str">
        <f t="shared" si="986"/>
        <v/>
      </c>
      <c r="DZ726" t="str">
        <f t="shared" si="1034"/>
        <v/>
      </c>
      <c r="EA726" s="118" t="str">
        <f t="shared" si="1034"/>
        <v/>
      </c>
      <c r="EB726" s="118" t="str">
        <f>+IF($W726="","",ROUND(IF(Parámetros!$D$25='TABLAS MORT'!$V$33,EB725,Z726/2),0))</f>
        <v/>
      </c>
      <c r="EC726" s="118" t="str">
        <f t="shared" si="1034"/>
        <v/>
      </c>
      <c r="ED726" s="122" t="str">
        <f>+IF(OR($W726="",EB726=0),"",ROUND((VLOOKUP(ROUNDDOWN($D726-1/frec,0),cob_adi,DO$40,FALSE)*(1+i/frec)^-0.5*(1+Parámetros!$D$103)*(1+rec_fracc)/frec),6))</f>
        <v/>
      </c>
      <c r="EE726" s="66" t="str">
        <f t="shared" si="988"/>
        <v/>
      </c>
      <c r="EF726" s="68" t="str">
        <f t="shared" si="989"/>
        <v/>
      </c>
      <c r="EG726" s="66" t="str">
        <f>+IF($W726="","",ROUND(IF($B726&gt;Parámetros!$D$107,'Tablas Servicio'!EE726+('Tablas Servicio'!EG725-'Tablas Servicio'!EE725),EE726/(1-IF(B726&lt;=10,Parámetros!$D$100,0))),2))</f>
        <v/>
      </c>
      <c r="EH726" s="66" t="str">
        <f t="shared" si="1035"/>
        <v/>
      </c>
      <c r="EI726" s="66" t="str">
        <f t="shared" si="1035"/>
        <v/>
      </c>
      <c r="EJ726" s="66" t="str">
        <f>+IF($W726="","",ROUND((EG726*Parámetros!$G$85),2))</f>
        <v/>
      </c>
      <c r="EK726" s="66" t="str">
        <f>+IF($W726="","",ROUND((EG726*(Parámetros!$G$86)),2))</f>
        <v/>
      </c>
      <c r="EL726" s="66" t="str">
        <f t="shared" si="991"/>
        <v/>
      </c>
    </row>
    <row r="727" spans="1:142" x14ac:dyDescent="0.25">
      <c r="A727" t="str">
        <f>+IF($C727="","",ROUND(VLOOKUP('Tablas Servicio'!B727,Parámetros!$H$100:$J$159,IF(Parámetros!$E$16="F",2,3),FALSE),2))</f>
        <v/>
      </c>
      <c r="B727" t="str">
        <f t="shared" si="942"/>
        <v/>
      </c>
      <c r="C727" s="57" t="str">
        <f>+IF(D727="","",'Tablas Servicio'!C726+1)</f>
        <v/>
      </c>
      <c r="D727" s="56" t="str">
        <f>+IF(D726&lt;edadmaxtabla,D726+1/Parámetros!$E$25,"")</f>
        <v/>
      </c>
      <c r="E727" s="57" t="str">
        <f t="shared" si="952"/>
        <v/>
      </c>
      <c r="F727" s="59" t="str">
        <f t="shared" si="953"/>
        <v/>
      </c>
      <c r="G727" s="66" t="str">
        <f t="shared" si="943"/>
        <v/>
      </c>
      <c r="H727" s="66" t="str">
        <f t="shared" si="944"/>
        <v/>
      </c>
      <c r="I727" s="66" t="str">
        <f t="shared" si="992"/>
        <v/>
      </c>
      <c r="J727" s="66" t="str">
        <f t="shared" si="945"/>
        <v/>
      </c>
      <c r="K727" s="66" t="str">
        <f t="shared" si="946"/>
        <v/>
      </c>
      <c r="L727" s="66" t="str">
        <f t="shared" si="947"/>
        <v/>
      </c>
      <c r="M727" s="66" t="str">
        <f t="shared" si="948"/>
        <v/>
      </c>
      <c r="N727" s="66" t="str">
        <f>+IF(C727="","",ROUND(Parámetros!$D$23,2))</f>
        <v/>
      </c>
      <c r="O727" s="66" t="str">
        <f t="shared" si="949"/>
        <v/>
      </c>
      <c r="P727" s="66" t="str">
        <f>+IF($C727="","",ROUND(IF(B727&gt;Parámetros!$D$117,0,N727*Parámetros!$D$116-G727*Parámetros!$D$100),2))</f>
        <v/>
      </c>
      <c r="Q727" s="75" t="str">
        <f t="shared" si="993"/>
        <v/>
      </c>
      <c r="R727" s="75" t="str">
        <f t="shared" si="994"/>
        <v/>
      </c>
      <c r="S727" s="117" t="str">
        <f>+IF($C727="","",ROUND((S726+I727)*(1+Parámetros!$D$91),2))</f>
        <v/>
      </c>
      <c r="T727" s="117" t="str">
        <f>+IF($C727="","",ROUND(S727*VLOOKUP(B727,Parámetros!$C$30:$D$39,2,TRUE),2))</f>
        <v/>
      </c>
      <c r="U727" s="117" t="str">
        <f>+IF($C727="","",ROUND((U726+I727)*(1+Parámetros!$D$92),2))</f>
        <v/>
      </c>
      <c r="V727" s="117" t="str">
        <f>+IF($C727="","",ROUND(U727*VLOOKUP(B727,Parámetros!$C$30:$D$39,2,TRUE),2))</f>
        <v/>
      </c>
      <c r="W727" s="57" t="str">
        <f t="shared" si="995"/>
        <v/>
      </c>
      <c r="X727" t="str">
        <f t="shared" si="996"/>
        <v/>
      </c>
      <c r="Y727" t="str">
        <f t="shared" si="997"/>
        <v/>
      </c>
      <c r="Z727" s="118" t="str">
        <f>+IF($W727="","",ROUND(IF(Parámetros!$D$25='TABLAS MORT'!$V$33,Z726,Parámetros!$D$21-'Tablas Servicio'!T726),0))</f>
        <v/>
      </c>
      <c r="AA727" s="118" t="str">
        <f t="shared" si="998"/>
        <v/>
      </c>
      <c r="AB727" s="119" t="str">
        <f>+IF(W727="","",ROUND((VLOOKUP(ROUNDDOWN($D727-1/frec,0),qx_tabla,2,FALSE)*(1+i/frec)^-0.5*(1+Parámetros!$D$103)*(1+rec_fracc)/frec),6))</f>
        <v/>
      </c>
      <c r="AC727" s="66" t="str">
        <f t="shared" si="954"/>
        <v/>
      </c>
      <c r="AD727" s="119" t="str">
        <f t="shared" si="950"/>
        <v/>
      </c>
      <c r="AE727" s="66" t="str">
        <f>+IF($W727="","",ROUND(IF($B727&gt;Parámetros!$D$107,'Tablas Servicio'!AC727+('Tablas Servicio'!AG726-'Tablas Servicio'!AC726),AC727/(1-IF(B727&lt;=10,Parámetros!$D$104,Parámetros!$D$105))),2))</f>
        <v/>
      </c>
      <c r="AF727" s="66" t="str">
        <f>+IF($W727="","",ROUND(IF($B727&gt;Parámetros!$D$107,'Tablas Servicio'!AC727+('Tablas Servicio'!AG726-'Tablas Servicio'!AC726),(AC727+$A726/frec)/(1-IF(B727&lt;=Parámetros!$D$117,Parámetros!$D$100,0))),2))</f>
        <v/>
      </c>
      <c r="AG727" s="66" t="str">
        <f t="shared" si="955"/>
        <v/>
      </c>
      <c r="AH727" s="66" t="str">
        <f t="shared" si="956"/>
        <v/>
      </c>
      <c r="AI727" s="66" t="str">
        <f t="shared" si="957"/>
        <v/>
      </c>
      <c r="AJ727" s="66" t="str">
        <f>+IF($W727="","",ROUND((AG727*Parámetros!$G$85),2))</f>
        <v/>
      </c>
      <c r="AK727" s="66" t="str">
        <f>+IF($W727="","",ROUND((AG727*(Parámetros!$G$86)),2))</f>
        <v/>
      </c>
      <c r="AL727" s="66" t="str">
        <f t="shared" si="951"/>
        <v/>
      </c>
      <c r="AM727" t="str">
        <f t="shared" si="999"/>
        <v/>
      </c>
      <c r="AN727" t="str">
        <f t="shared" si="1000"/>
        <v/>
      </c>
      <c r="AO727" s="118" t="str">
        <f t="shared" si="1001"/>
        <v/>
      </c>
      <c r="AP727" s="118" t="str">
        <f t="shared" si="1002"/>
        <v/>
      </c>
      <c r="AQ727" s="119" t="str">
        <f>+IF(OR($W727="",AO727=0),"",ROUND((VLOOKUP(ROUNDDOWN($D727-1/frec,0),cob_adi,Z$40,FALSE)*(1+i/frec)^-0.5*(1+Parámetros!$D$103)*(1+rec_fracc)/frec),6))</f>
        <v/>
      </c>
      <c r="AR727" s="66" t="str">
        <f t="shared" si="958"/>
        <v/>
      </c>
      <c r="AS727" s="119" t="str">
        <f t="shared" si="959"/>
        <v/>
      </c>
      <c r="AT727" s="66" t="str">
        <f>+IF($W727="","",ROUND(IF($B727&gt;Parámetros!$D$107,'Tablas Servicio'!AR727+('Tablas Servicio'!AT726-'Tablas Servicio'!AR726),AR727/(1-IF(B727&lt;=10,Parámetros!$D$100,0))),2))</f>
        <v/>
      </c>
      <c r="AU727" s="66" t="str">
        <f t="shared" si="1028"/>
        <v/>
      </c>
      <c r="AV727" s="66" t="str">
        <f t="shared" si="1028"/>
        <v/>
      </c>
      <c r="AW727" s="66" t="str">
        <f>+IF($W727="","",ROUND((AT727*Parámetros!$G$85),2))</f>
        <v/>
      </c>
      <c r="AX727" s="66" t="str">
        <f>+IF($W727="","",ROUND((AT727*(Parámetros!$G$86)),2))</f>
        <v/>
      </c>
      <c r="AY727" s="66" t="str">
        <f t="shared" si="961"/>
        <v/>
      </c>
      <c r="AZ727" t="str">
        <f t="shared" si="1003"/>
        <v/>
      </c>
      <c r="BA727" t="str">
        <f t="shared" si="1004"/>
        <v/>
      </c>
      <c r="BB727" s="118" t="str">
        <f t="shared" si="1005"/>
        <v/>
      </c>
      <c r="BC727" s="118" t="str">
        <f t="shared" si="1006"/>
        <v/>
      </c>
      <c r="BD727" s="119" t="str">
        <f>+IF(OR($W727="",BB727=0),"",ROUND((VLOOKUP(ROUNDDOWN($D727-1/frec,0),cob_adi,AO$40,FALSE)*(1+i/frec)^-0.5*(1+Parámetros!$D$103)*(1+rec_fracc)/frec),6))</f>
        <v/>
      </c>
      <c r="BE727" s="66" t="str">
        <f t="shared" si="962"/>
        <v/>
      </c>
      <c r="BF727" s="119" t="str">
        <f t="shared" si="963"/>
        <v/>
      </c>
      <c r="BG727" s="66" t="str">
        <f>+IF($W727="","",ROUND(IF($B727&gt;Parámetros!$D$107,'Tablas Servicio'!BE727+('Tablas Servicio'!BG726-'Tablas Servicio'!BE726),BE727/(1-IF(B727&lt;=10,Parámetros!$D$100,0))),2))</f>
        <v/>
      </c>
      <c r="BH727" s="66" t="str">
        <f t="shared" si="964"/>
        <v/>
      </c>
      <c r="BI727" s="66" t="str">
        <f t="shared" si="965"/>
        <v/>
      </c>
      <c r="BJ727" s="66" t="str">
        <f>+IF($W727="","",ROUND((BG727*Parámetros!$G$85),2))</f>
        <v/>
      </c>
      <c r="BK727" s="66" t="str">
        <f>+IF($W727="","",ROUND((BG727*(Parámetros!$G$86)),2))</f>
        <v/>
      </c>
      <c r="BL727" s="66" t="str">
        <f t="shared" si="966"/>
        <v/>
      </c>
      <c r="BM727" t="str">
        <f t="shared" si="1007"/>
        <v/>
      </c>
      <c r="BN727" t="str">
        <f t="shared" si="1008"/>
        <v/>
      </c>
      <c r="BO727" s="118" t="str">
        <f t="shared" si="1009"/>
        <v/>
      </c>
      <c r="BP727" s="118" t="str">
        <f t="shared" si="1010"/>
        <v/>
      </c>
      <c r="BQ727" s="119" t="str">
        <f>+IF(OR($W727="",BO727=0),"",ROUND((VLOOKUP(ROUNDDOWN($D727-1/frec,0),cob_adi,BB$40,FALSE)*(1+i/frec)^-0.5*(1+Parámetros!$D$103)*(1+rec_fracc)/frec),6))</f>
        <v/>
      </c>
      <c r="BR727" s="66" t="str">
        <f t="shared" si="967"/>
        <v/>
      </c>
      <c r="BS727" s="119" t="str">
        <f t="shared" si="968"/>
        <v/>
      </c>
      <c r="BT727" s="66" t="str">
        <f>+IF($W727="","",ROUND(IF($B727&gt;Parámetros!$D$107,'Tablas Servicio'!BR727+('Tablas Servicio'!BT726-'Tablas Servicio'!BR726),BR727/(1-IF(B727&lt;=10,Parámetros!$D$100,0))),2))</f>
        <v/>
      </c>
      <c r="BU727" s="66" t="str">
        <f t="shared" si="1029"/>
        <v/>
      </c>
      <c r="BV727" s="66" t="str">
        <f t="shared" si="1029"/>
        <v/>
      </c>
      <c r="BW727" s="66" t="str">
        <f>+IF($W727="","",ROUND((BT727*Parámetros!$G$85),2))</f>
        <v/>
      </c>
      <c r="BX727" s="66" t="str">
        <f>+IF($W727="","",ROUND((BT727*(Parámetros!$G$86)),2))</f>
        <v/>
      </c>
      <c r="BY727" s="66" t="str">
        <f t="shared" si="970"/>
        <v/>
      </c>
      <c r="BZ727" t="str">
        <f t="shared" si="1011"/>
        <v/>
      </c>
      <c r="CA727" t="str">
        <f t="shared" si="1012"/>
        <v/>
      </c>
      <c r="CB727" s="118" t="str">
        <f t="shared" si="1013"/>
        <v/>
      </c>
      <c r="CC727" s="118" t="str">
        <f t="shared" si="1014"/>
        <v/>
      </c>
      <c r="CD727" s="119" t="str">
        <f t="shared" si="971"/>
        <v/>
      </c>
      <c r="CE727" s="66" t="str">
        <f>+IF($W727="","",ROUND((VLOOKUP(ROUNDDOWN($D727-1/frec,0),cob_adi,BO$40,FALSE)*(1+i/frec)^-0.5*(1+Parámetros!$D$103)*(1+rec_fracc)/frec*'TABLAS ADI'!$BC$17),2))</f>
        <v/>
      </c>
      <c r="CF727" s="119" t="str">
        <f t="shared" si="972"/>
        <v/>
      </c>
      <c r="CG727" s="66" t="str">
        <f>+IF($W727="","",ROUND(IF($B727&gt;Parámetros!$D$107,'Tablas Servicio'!CE727+('Tablas Servicio'!CG726-'Tablas Servicio'!CE726),CE727/(1-IF(B727&lt;=10,Parámetros!$D$100,0))),2))</f>
        <v/>
      </c>
      <c r="CH727" s="66" t="str">
        <f t="shared" si="1030"/>
        <v/>
      </c>
      <c r="CI727" s="66" t="str">
        <f t="shared" si="1030"/>
        <v/>
      </c>
      <c r="CJ727" s="66" t="str">
        <f>+IF($W727="","",ROUND((CG727*Parámetros!$G$85),2))</f>
        <v/>
      </c>
      <c r="CK727" s="66" t="str">
        <f>+IF($W727="","",ROUND((CG727*(Parámetros!$G$86)),2))</f>
        <v/>
      </c>
      <c r="CL727" s="66" t="str">
        <f t="shared" si="974"/>
        <v/>
      </c>
      <c r="CM727" t="str">
        <f t="shared" si="1015"/>
        <v/>
      </c>
      <c r="CN727" s="118" t="str">
        <f t="shared" si="1016"/>
        <v/>
      </c>
      <c r="CO727" s="118" t="str">
        <f t="shared" si="1017"/>
        <v/>
      </c>
      <c r="CP727" s="118" t="str">
        <f t="shared" si="1018"/>
        <v/>
      </c>
      <c r="CQ727" s="119" t="str">
        <f t="shared" si="975"/>
        <v/>
      </c>
      <c r="CR727" s="66" t="str">
        <f>+IF($W727="","",ROUND((VLOOKUP(Parámetros!$F$51,'COBERTURAS ADICIONALES'!$S$4:$T$32,2,FALSE)*(1+i/frec)^-0.5*(1+Parámetros!$D$103)*(1+rec_fracc)/frec*$CO$42),2))</f>
        <v/>
      </c>
      <c r="CS727" s="119" t="str">
        <f t="shared" si="976"/>
        <v/>
      </c>
      <c r="CT727" s="66" t="str">
        <f>+IF($W727="","",ROUND(IF($B727&gt;Parámetros!$D$107,'Tablas Servicio'!CR727+('Tablas Servicio'!CT726-'Tablas Servicio'!CR726),CR727/(1-IF(B727&lt;=10,Parámetros!$D$100,0))),2))</f>
        <v/>
      </c>
      <c r="CU727" s="66" t="str">
        <f t="shared" si="1031"/>
        <v/>
      </c>
      <c r="CV727" s="66" t="str">
        <f t="shared" si="1031"/>
        <v/>
      </c>
      <c r="CW727" s="66" t="str">
        <f>+IF($W727="","",ROUND((CT727*Parámetros!$G$85),2))</f>
        <v/>
      </c>
      <c r="CX727" s="66" t="str">
        <f>+IF($W727="","",ROUND((CT727*(Parámetros!$G$86)),2))</f>
        <v/>
      </c>
      <c r="CY727" s="66" t="str">
        <f t="shared" si="978"/>
        <v/>
      </c>
      <c r="CZ727" t="str">
        <f t="shared" si="1019"/>
        <v/>
      </c>
      <c r="DA727" s="118" t="str">
        <f t="shared" si="1020"/>
        <v/>
      </c>
      <c r="DB727" s="118" t="str">
        <f t="shared" si="1021"/>
        <v/>
      </c>
      <c r="DC727" s="118" t="str">
        <f t="shared" si="1022"/>
        <v/>
      </c>
      <c r="DD727" s="121" t="str">
        <f>+IF(OR($W727="",DB727=0),"",ROUND((VLOOKUP(ROUNDDOWN($D727-1/frec,0),cob_adi,CO$40,FALSE)*(1+i/frec)^-0.5*(1+Parámetros!$D$103)*(1+rec_fracc)/frec),6))</f>
        <v/>
      </c>
      <c r="DE727" s="66" t="str">
        <f t="shared" si="979"/>
        <v/>
      </c>
      <c r="DF727" s="119" t="str">
        <f t="shared" si="980"/>
        <v/>
      </c>
      <c r="DG727" s="66" t="str">
        <f>+IF($W727="","",ROUND(IF($B727&gt;Parámetros!$D$107,'Tablas Servicio'!DE727+('Tablas Servicio'!DG726-'Tablas Servicio'!DE726),DE727/(1-IF(B727&lt;=10,Parámetros!$D$100,0))),2))</f>
        <v/>
      </c>
      <c r="DH727" s="66" t="str">
        <f t="shared" si="1032"/>
        <v/>
      </c>
      <c r="DI727" s="66" t="str">
        <f t="shared" si="1032"/>
        <v/>
      </c>
      <c r="DJ727" s="66" t="str">
        <f>+IF($W727="","",ROUND((DG727*Parámetros!$G$85),2))</f>
        <v/>
      </c>
      <c r="DK727" s="66" t="str">
        <f>+IF($W727="","",ROUND((DG727*(Parámetros!$G$86)),2))</f>
        <v/>
      </c>
      <c r="DL727" s="66" t="str">
        <f t="shared" si="982"/>
        <v/>
      </c>
      <c r="DM727" t="str">
        <f t="shared" si="1023"/>
        <v/>
      </c>
      <c r="DN727" s="118" t="str">
        <f t="shared" si="1024"/>
        <v/>
      </c>
      <c r="DO727" s="118" t="str">
        <f t="shared" si="1025"/>
        <v/>
      </c>
      <c r="DP727" s="118" t="str">
        <f t="shared" si="1026"/>
        <v/>
      </c>
      <c r="DQ727" s="122" t="str">
        <f>+IF(OR($W727="",DO727=0),"",ROUND((VLOOKUP(ROUNDDOWN($D727-1/frec,0),cob_adi,DB$40,FALSE)*(1+i/frec)^-0.5*(1+Parámetros!$D$103)*(1+rec_fracc)/frec),6))</f>
        <v/>
      </c>
      <c r="DR727" s="66" t="str">
        <f t="shared" si="983"/>
        <v/>
      </c>
      <c r="DS727" s="68" t="str">
        <f t="shared" si="984"/>
        <v/>
      </c>
      <c r="DT727" s="66" t="str">
        <f>+IF($W727="","",ROUND(IF($B727&gt;Parámetros!$D$107,'Tablas Servicio'!DR727+('Tablas Servicio'!DT726-'Tablas Servicio'!DR726),DR727/(1-IF(B727&lt;=10,Parámetros!$D$100,0))),2))</f>
        <v/>
      </c>
      <c r="DU727" s="66" t="str">
        <f t="shared" si="1033"/>
        <v/>
      </c>
      <c r="DV727" s="66" t="str">
        <f t="shared" si="1033"/>
        <v/>
      </c>
      <c r="DW727" s="66" t="str">
        <f>+IF($W727="","",ROUND((DT727*Parámetros!$G$85),2))</f>
        <v/>
      </c>
      <c r="DX727" s="66" t="str">
        <f>+IF($W727="","",ROUND((DT727*(Parámetros!$G$86)),2))</f>
        <v/>
      </c>
      <c r="DY727" s="66" t="str">
        <f t="shared" si="986"/>
        <v/>
      </c>
      <c r="DZ727" t="str">
        <f t="shared" si="1034"/>
        <v/>
      </c>
      <c r="EA727" s="118" t="str">
        <f t="shared" si="1034"/>
        <v/>
      </c>
      <c r="EB727" s="118" t="str">
        <f>+IF($W727="","",ROUND(IF(Parámetros!$D$25='TABLAS MORT'!$V$33,EB726,Z727/2),0))</f>
        <v/>
      </c>
      <c r="EC727" s="118" t="str">
        <f t="shared" si="1034"/>
        <v/>
      </c>
      <c r="ED727" s="122" t="str">
        <f>+IF(OR($W727="",EB727=0),"",ROUND((VLOOKUP(ROUNDDOWN($D727-1/frec,0),cob_adi,DO$40,FALSE)*(1+i/frec)^-0.5*(1+Parámetros!$D$103)*(1+rec_fracc)/frec),6))</f>
        <v/>
      </c>
      <c r="EE727" s="66" t="str">
        <f t="shared" si="988"/>
        <v/>
      </c>
      <c r="EF727" s="68" t="str">
        <f t="shared" si="989"/>
        <v/>
      </c>
      <c r="EG727" s="66" t="str">
        <f>+IF($W727="","",ROUND(IF($B727&gt;Parámetros!$D$107,'Tablas Servicio'!EE727+('Tablas Servicio'!EG726-'Tablas Servicio'!EE726),EE727/(1-IF(B727&lt;=10,Parámetros!$D$100,0))),2))</f>
        <v/>
      </c>
      <c r="EH727" s="66" t="str">
        <f t="shared" si="1035"/>
        <v/>
      </c>
      <c r="EI727" s="66" t="str">
        <f t="shared" si="1035"/>
        <v/>
      </c>
      <c r="EJ727" s="66" t="str">
        <f>+IF($W727="","",ROUND((EG727*Parámetros!$G$85),2))</f>
        <v/>
      </c>
      <c r="EK727" s="66" t="str">
        <f>+IF($W727="","",ROUND((EG727*(Parámetros!$G$86)),2))</f>
        <v/>
      </c>
      <c r="EL727" s="66" t="str">
        <f t="shared" si="991"/>
        <v/>
      </c>
    </row>
    <row r="728" spans="1:142" x14ac:dyDescent="0.25">
      <c r="A728" t="str">
        <f>+IF($C728="","",ROUND(VLOOKUP('Tablas Servicio'!B728,Parámetros!$H$100:$J$159,IF(Parámetros!$E$16="F",2,3),FALSE),2))</f>
        <v/>
      </c>
      <c r="B728" t="str">
        <f t="shared" si="942"/>
        <v/>
      </c>
      <c r="C728" s="57" t="str">
        <f>+IF(D728="","",'Tablas Servicio'!C727+1)</f>
        <v/>
      </c>
      <c r="D728" s="56" t="str">
        <f>+IF(D727&lt;edadmaxtabla,D727+1/Parámetros!$E$25,"")</f>
        <v/>
      </c>
      <c r="E728" s="57" t="str">
        <f t="shared" si="952"/>
        <v/>
      </c>
      <c r="F728" s="59" t="str">
        <f t="shared" si="953"/>
        <v/>
      </c>
      <c r="G728" s="66" t="str">
        <f t="shared" si="943"/>
        <v/>
      </c>
      <c r="H728" s="66" t="str">
        <f t="shared" si="944"/>
        <v/>
      </c>
      <c r="I728" s="66" t="str">
        <f t="shared" si="992"/>
        <v/>
      </c>
      <c r="J728" s="66" t="str">
        <f t="shared" si="945"/>
        <v/>
      </c>
      <c r="K728" s="66" t="str">
        <f t="shared" si="946"/>
        <v/>
      </c>
      <c r="L728" s="66" t="str">
        <f t="shared" si="947"/>
        <v/>
      </c>
      <c r="M728" s="66" t="str">
        <f t="shared" si="948"/>
        <v/>
      </c>
      <c r="N728" s="66" t="str">
        <f>+IF(C728="","",ROUND(Parámetros!$D$23,2))</f>
        <v/>
      </c>
      <c r="O728" s="66" t="str">
        <f t="shared" si="949"/>
        <v/>
      </c>
      <c r="P728" s="66" t="str">
        <f>+IF($C728="","",ROUND(IF(B728&gt;Parámetros!$D$117,0,N728*Parámetros!$D$116-G728*Parámetros!$D$100),2))</f>
        <v/>
      </c>
      <c r="Q728" s="75" t="str">
        <f t="shared" si="993"/>
        <v/>
      </c>
      <c r="R728" s="75" t="str">
        <f t="shared" si="994"/>
        <v/>
      </c>
      <c r="S728" s="117" t="str">
        <f>+IF($C728="","",ROUND((S727+I728)*(1+Parámetros!$D$91),2))</f>
        <v/>
      </c>
      <c r="T728" s="117" t="str">
        <f>+IF($C728="","",ROUND(S728*VLOOKUP(B728,Parámetros!$C$30:$D$39,2,TRUE),2))</f>
        <v/>
      </c>
      <c r="U728" s="117" t="str">
        <f>+IF($C728="","",ROUND((U727+I728)*(1+Parámetros!$D$92),2))</f>
        <v/>
      </c>
      <c r="V728" s="117" t="str">
        <f>+IF($C728="","",ROUND(U728*VLOOKUP(B728,Parámetros!$C$30:$D$39,2,TRUE),2))</f>
        <v/>
      </c>
      <c r="W728" s="57" t="str">
        <f t="shared" si="995"/>
        <v/>
      </c>
      <c r="X728" t="str">
        <f t="shared" si="996"/>
        <v/>
      </c>
      <c r="Y728" t="str">
        <f t="shared" si="997"/>
        <v/>
      </c>
      <c r="Z728" s="118" t="str">
        <f>+IF($W728="","",ROUND(IF(Parámetros!$D$25='TABLAS MORT'!$V$33,Z727,Parámetros!$D$21-'Tablas Servicio'!T727),0))</f>
        <v/>
      </c>
      <c r="AA728" s="118" t="str">
        <f t="shared" si="998"/>
        <v/>
      </c>
      <c r="AB728" s="119" t="str">
        <f>+IF(W728="","",ROUND((VLOOKUP(ROUNDDOWN($D728-1/frec,0),qx_tabla,2,FALSE)*(1+i/frec)^-0.5*(1+Parámetros!$D$103)*(1+rec_fracc)/frec),6))</f>
        <v/>
      </c>
      <c r="AC728" s="66" t="str">
        <f t="shared" si="954"/>
        <v/>
      </c>
      <c r="AD728" s="119" t="str">
        <f t="shared" si="950"/>
        <v/>
      </c>
      <c r="AE728" s="66" t="str">
        <f>+IF($W728="","",ROUND(IF($B728&gt;Parámetros!$D$107,'Tablas Servicio'!AC728+('Tablas Servicio'!AG727-'Tablas Servicio'!AC727),AC728/(1-IF(B728&lt;=10,Parámetros!$D$104,Parámetros!$D$105))),2))</f>
        <v/>
      </c>
      <c r="AF728" s="66" t="str">
        <f>+IF($W728="","",ROUND(IF($B728&gt;Parámetros!$D$107,'Tablas Servicio'!AC728+('Tablas Servicio'!AG727-'Tablas Servicio'!AC727),(AC728+$A727/frec)/(1-IF(B728&lt;=Parámetros!$D$117,Parámetros!$D$100,0))),2))</f>
        <v/>
      </c>
      <c r="AG728" s="66" t="str">
        <f t="shared" si="955"/>
        <v/>
      </c>
      <c r="AH728" s="66" t="str">
        <f t="shared" si="956"/>
        <v/>
      </c>
      <c r="AI728" s="66" t="str">
        <f t="shared" si="957"/>
        <v/>
      </c>
      <c r="AJ728" s="66" t="str">
        <f>+IF($W728="","",ROUND((AG728*Parámetros!$G$85),2))</f>
        <v/>
      </c>
      <c r="AK728" s="66" t="str">
        <f>+IF($W728="","",ROUND((AG728*(Parámetros!$G$86)),2))</f>
        <v/>
      </c>
      <c r="AL728" s="66" t="str">
        <f t="shared" si="951"/>
        <v/>
      </c>
      <c r="AM728" t="str">
        <f t="shared" si="999"/>
        <v/>
      </c>
      <c r="AN728" t="str">
        <f t="shared" si="1000"/>
        <v/>
      </c>
      <c r="AO728" s="118" t="str">
        <f t="shared" si="1001"/>
        <v/>
      </c>
      <c r="AP728" s="118" t="str">
        <f t="shared" si="1002"/>
        <v/>
      </c>
      <c r="AQ728" s="119" t="str">
        <f>+IF(OR($W728="",AO728=0),"",ROUND((VLOOKUP(ROUNDDOWN($D728-1/frec,0),cob_adi,Z$40,FALSE)*(1+i/frec)^-0.5*(1+Parámetros!$D$103)*(1+rec_fracc)/frec),6))</f>
        <v/>
      </c>
      <c r="AR728" s="66" t="str">
        <f t="shared" si="958"/>
        <v/>
      </c>
      <c r="AS728" s="119" t="str">
        <f t="shared" si="959"/>
        <v/>
      </c>
      <c r="AT728" s="66" t="str">
        <f>+IF($W728="","",ROUND(IF($B728&gt;Parámetros!$D$107,'Tablas Servicio'!AR728+('Tablas Servicio'!AT727-'Tablas Servicio'!AR727),AR728/(1-IF(B728&lt;=10,Parámetros!$D$100,0))),2))</f>
        <v/>
      </c>
      <c r="AU728" s="66" t="str">
        <f t="shared" si="1028"/>
        <v/>
      </c>
      <c r="AV728" s="66" t="str">
        <f t="shared" si="1028"/>
        <v/>
      </c>
      <c r="AW728" s="66" t="str">
        <f>+IF($W728="","",ROUND((AT728*Parámetros!$G$85),2))</f>
        <v/>
      </c>
      <c r="AX728" s="66" t="str">
        <f>+IF($W728="","",ROUND((AT728*(Parámetros!$G$86)),2))</f>
        <v/>
      </c>
      <c r="AY728" s="66" t="str">
        <f t="shared" si="961"/>
        <v/>
      </c>
      <c r="AZ728" t="str">
        <f t="shared" si="1003"/>
        <v/>
      </c>
      <c r="BA728" t="str">
        <f t="shared" si="1004"/>
        <v/>
      </c>
      <c r="BB728" s="118" t="str">
        <f t="shared" si="1005"/>
        <v/>
      </c>
      <c r="BC728" s="118" t="str">
        <f t="shared" si="1006"/>
        <v/>
      </c>
      <c r="BD728" s="119" t="str">
        <f>+IF(OR($W728="",BB728=0),"",ROUND((VLOOKUP(ROUNDDOWN($D728-1/frec,0),cob_adi,AO$40,FALSE)*(1+i/frec)^-0.5*(1+Parámetros!$D$103)*(1+rec_fracc)/frec),6))</f>
        <v/>
      </c>
      <c r="BE728" s="66" t="str">
        <f t="shared" si="962"/>
        <v/>
      </c>
      <c r="BF728" s="119" t="str">
        <f t="shared" si="963"/>
        <v/>
      </c>
      <c r="BG728" s="66" t="str">
        <f>+IF($W728="","",ROUND(IF($B728&gt;Parámetros!$D$107,'Tablas Servicio'!BE728+('Tablas Servicio'!BG727-'Tablas Servicio'!BE727),BE728/(1-IF(B728&lt;=10,Parámetros!$D$100,0))),2))</f>
        <v/>
      </c>
      <c r="BH728" s="66" t="str">
        <f t="shared" si="964"/>
        <v/>
      </c>
      <c r="BI728" s="66" t="str">
        <f t="shared" si="965"/>
        <v/>
      </c>
      <c r="BJ728" s="66" t="str">
        <f>+IF($W728="","",ROUND((BG728*Parámetros!$G$85),2))</f>
        <v/>
      </c>
      <c r="BK728" s="66" t="str">
        <f>+IF($W728="","",ROUND((BG728*(Parámetros!$G$86)),2))</f>
        <v/>
      </c>
      <c r="BL728" s="66" t="str">
        <f t="shared" si="966"/>
        <v/>
      </c>
      <c r="BM728" t="str">
        <f t="shared" si="1007"/>
        <v/>
      </c>
      <c r="BN728" t="str">
        <f t="shared" si="1008"/>
        <v/>
      </c>
      <c r="BO728" s="118" t="str">
        <f t="shared" si="1009"/>
        <v/>
      </c>
      <c r="BP728" s="118" t="str">
        <f t="shared" si="1010"/>
        <v/>
      </c>
      <c r="BQ728" s="119" t="str">
        <f>+IF(OR($W728="",BO728=0),"",ROUND((VLOOKUP(ROUNDDOWN($D728-1/frec,0),cob_adi,BB$40,FALSE)*(1+i/frec)^-0.5*(1+Parámetros!$D$103)*(1+rec_fracc)/frec),6))</f>
        <v/>
      </c>
      <c r="BR728" s="66" t="str">
        <f t="shared" si="967"/>
        <v/>
      </c>
      <c r="BS728" s="119" t="str">
        <f t="shared" si="968"/>
        <v/>
      </c>
      <c r="BT728" s="66" t="str">
        <f>+IF($W728="","",ROUND(IF($B728&gt;Parámetros!$D$107,'Tablas Servicio'!BR728+('Tablas Servicio'!BT727-'Tablas Servicio'!BR727),BR728/(1-IF(B728&lt;=10,Parámetros!$D$100,0))),2))</f>
        <v/>
      </c>
      <c r="BU728" s="66" t="str">
        <f t="shared" si="1029"/>
        <v/>
      </c>
      <c r="BV728" s="66" t="str">
        <f t="shared" si="1029"/>
        <v/>
      </c>
      <c r="BW728" s="66" t="str">
        <f>+IF($W728="","",ROUND((BT728*Parámetros!$G$85),2))</f>
        <v/>
      </c>
      <c r="BX728" s="66" t="str">
        <f>+IF($W728="","",ROUND((BT728*(Parámetros!$G$86)),2))</f>
        <v/>
      </c>
      <c r="BY728" s="66" t="str">
        <f t="shared" si="970"/>
        <v/>
      </c>
      <c r="BZ728" t="str">
        <f t="shared" si="1011"/>
        <v/>
      </c>
      <c r="CA728" t="str">
        <f t="shared" si="1012"/>
        <v/>
      </c>
      <c r="CB728" s="118" t="str">
        <f t="shared" si="1013"/>
        <v/>
      </c>
      <c r="CC728" s="118" t="str">
        <f t="shared" si="1014"/>
        <v/>
      </c>
      <c r="CD728" s="119" t="str">
        <f t="shared" si="971"/>
        <v/>
      </c>
      <c r="CE728" s="66" t="str">
        <f>+IF($W728="","",ROUND((VLOOKUP(ROUNDDOWN($D728-1/frec,0),cob_adi,BO$40,FALSE)*(1+i/frec)^-0.5*(1+Parámetros!$D$103)*(1+rec_fracc)/frec*'TABLAS ADI'!$BC$17),2))</f>
        <v/>
      </c>
      <c r="CF728" s="119" t="str">
        <f t="shared" si="972"/>
        <v/>
      </c>
      <c r="CG728" s="66" t="str">
        <f>+IF($W728="","",ROUND(IF($B728&gt;Parámetros!$D$107,'Tablas Servicio'!CE728+('Tablas Servicio'!CG727-'Tablas Servicio'!CE727),CE728/(1-IF(B728&lt;=10,Parámetros!$D$100,0))),2))</f>
        <v/>
      </c>
      <c r="CH728" s="66" t="str">
        <f t="shared" si="1030"/>
        <v/>
      </c>
      <c r="CI728" s="66" t="str">
        <f t="shared" si="1030"/>
        <v/>
      </c>
      <c r="CJ728" s="66" t="str">
        <f>+IF($W728="","",ROUND((CG728*Parámetros!$G$85),2))</f>
        <v/>
      </c>
      <c r="CK728" s="66" t="str">
        <f>+IF($W728="","",ROUND((CG728*(Parámetros!$G$86)),2))</f>
        <v/>
      </c>
      <c r="CL728" s="66" t="str">
        <f t="shared" si="974"/>
        <v/>
      </c>
      <c r="CM728" t="str">
        <f t="shared" si="1015"/>
        <v/>
      </c>
      <c r="CN728" s="118" t="str">
        <f t="shared" si="1016"/>
        <v/>
      </c>
      <c r="CO728" s="118" t="str">
        <f t="shared" si="1017"/>
        <v/>
      </c>
      <c r="CP728" s="118" t="str">
        <f t="shared" si="1018"/>
        <v/>
      </c>
      <c r="CQ728" s="119" t="str">
        <f t="shared" si="975"/>
        <v/>
      </c>
      <c r="CR728" s="66" t="str">
        <f>+IF($W728="","",ROUND((VLOOKUP(Parámetros!$F$51,'COBERTURAS ADICIONALES'!$S$4:$T$32,2,FALSE)*(1+i/frec)^-0.5*(1+Parámetros!$D$103)*(1+rec_fracc)/frec*$CO$42),2))</f>
        <v/>
      </c>
      <c r="CS728" s="119" t="str">
        <f t="shared" si="976"/>
        <v/>
      </c>
      <c r="CT728" s="66" t="str">
        <f>+IF($W728="","",ROUND(IF($B728&gt;Parámetros!$D$107,'Tablas Servicio'!CR728+('Tablas Servicio'!CT727-'Tablas Servicio'!CR727),CR728/(1-IF(B728&lt;=10,Parámetros!$D$100,0))),2))</f>
        <v/>
      </c>
      <c r="CU728" s="66" t="str">
        <f t="shared" si="1031"/>
        <v/>
      </c>
      <c r="CV728" s="66" t="str">
        <f t="shared" si="1031"/>
        <v/>
      </c>
      <c r="CW728" s="66" t="str">
        <f>+IF($W728="","",ROUND((CT728*Parámetros!$G$85),2))</f>
        <v/>
      </c>
      <c r="CX728" s="66" t="str">
        <f>+IF($W728="","",ROUND((CT728*(Parámetros!$G$86)),2))</f>
        <v/>
      </c>
      <c r="CY728" s="66" t="str">
        <f t="shared" si="978"/>
        <v/>
      </c>
      <c r="CZ728" t="str">
        <f t="shared" si="1019"/>
        <v/>
      </c>
      <c r="DA728" s="118" t="str">
        <f t="shared" si="1020"/>
        <v/>
      </c>
      <c r="DB728" s="118" t="str">
        <f t="shared" si="1021"/>
        <v/>
      </c>
      <c r="DC728" s="118" t="str">
        <f t="shared" si="1022"/>
        <v/>
      </c>
      <c r="DD728" s="121" t="str">
        <f>+IF(OR($W728="",DB728=0),"",ROUND((VLOOKUP(ROUNDDOWN($D728-1/frec,0),cob_adi,CO$40,FALSE)*(1+i/frec)^-0.5*(1+Parámetros!$D$103)*(1+rec_fracc)/frec),6))</f>
        <v/>
      </c>
      <c r="DE728" s="66" t="str">
        <f t="shared" si="979"/>
        <v/>
      </c>
      <c r="DF728" s="119" t="str">
        <f t="shared" si="980"/>
        <v/>
      </c>
      <c r="DG728" s="66" t="str">
        <f>+IF($W728="","",ROUND(IF($B728&gt;Parámetros!$D$107,'Tablas Servicio'!DE728+('Tablas Servicio'!DG727-'Tablas Servicio'!DE727),DE728/(1-IF(B728&lt;=10,Parámetros!$D$100,0))),2))</f>
        <v/>
      </c>
      <c r="DH728" s="66" t="str">
        <f t="shared" si="1032"/>
        <v/>
      </c>
      <c r="DI728" s="66" t="str">
        <f t="shared" si="1032"/>
        <v/>
      </c>
      <c r="DJ728" s="66" t="str">
        <f>+IF($W728="","",ROUND((DG728*Parámetros!$G$85),2))</f>
        <v/>
      </c>
      <c r="DK728" s="66" t="str">
        <f>+IF($W728="","",ROUND((DG728*(Parámetros!$G$86)),2))</f>
        <v/>
      </c>
      <c r="DL728" s="66" t="str">
        <f t="shared" si="982"/>
        <v/>
      </c>
      <c r="DM728" t="str">
        <f t="shared" si="1023"/>
        <v/>
      </c>
      <c r="DN728" s="118" t="str">
        <f t="shared" si="1024"/>
        <v/>
      </c>
      <c r="DO728" s="118" t="str">
        <f t="shared" si="1025"/>
        <v/>
      </c>
      <c r="DP728" s="118" t="str">
        <f t="shared" si="1026"/>
        <v/>
      </c>
      <c r="DQ728" s="122" t="str">
        <f>+IF(OR($W728="",DO728=0),"",ROUND((VLOOKUP(ROUNDDOWN($D728-1/frec,0),cob_adi,DB$40,FALSE)*(1+i/frec)^-0.5*(1+Parámetros!$D$103)*(1+rec_fracc)/frec),6))</f>
        <v/>
      </c>
      <c r="DR728" s="66" t="str">
        <f t="shared" si="983"/>
        <v/>
      </c>
      <c r="DS728" s="68" t="str">
        <f t="shared" si="984"/>
        <v/>
      </c>
      <c r="DT728" s="66" t="str">
        <f>+IF($W728="","",ROUND(IF($B728&gt;Parámetros!$D$107,'Tablas Servicio'!DR728+('Tablas Servicio'!DT727-'Tablas Servicio'!DR727),DR728/(1-IF(B728&lt;=10,Parámetros!$D$100,0))),2))</f>
        <v/>
      </c>
      <c r="DU728" s="66" t="str">
        <f t="shared" si="1033"/>
        <v/>
      </c>
      <c r="DV728" s="66" t="str">
        <f t="shared" si="1033"/>
        <v/>
      </c>
      <c r="DW728" s="66" t="str">
        <f>+IF($W728="","",ROUND((DT728*Parámetros!$G$85),2))</f>
        <v/>
      </c>
      <c r="DX728" s="66" t="str">
        <f>+IF($W728="","",ROUND((DT728*(Parámetros!$G$86)),2))</f>
        <v/>
      </c>
      <c r="DY728" s="66" t="str">
        <f t="shared" si="986"/>
        <v/>
      </c>
      <c r="DZ728" t="str">
        <f t="shared" si="1034"/>
        <v/>
      </c>
      <c r="EA728" s="118" t="str">
        <f t="shared" si="1034"/>
        <v/>
      </c>
      <c r="EB728" s="118" t="str">
        <f>+IF($W728="","",ROUND(IF(Parámetros!$D$25='TABLAS MORT'!$V$33,EB727,Z728/2),0))</f>
        <v/>
      </c>
      <c r="EC728" s="118" t="str">
        <f t="shared" si="1034"/>
        <v/>
      </c>
      <c r="ED728" s="122" t="str">
        <f>+IF(OR($W728="",EB728=0),"",ROUND((VLOOKUP(ROUNDDOWN($D728-1/frec,0),cob_adi,DO$40,FALSE)*(1+i/frec)^-0.5*(1+Parámetros!$D$103)*(1+rec_fracc)/frec),6))</f>
        <v/>
      </c>
      <c r="EE728" s="66" t="str">
        <f t="shared" si="988"/>
        <v/>
      </c>
      <c r="EF728" s="68" t="str">
        <f t="shared" si="989"/>
        <v/>
      </c>
      <c r="EG728" s="66" t="str">
        <f>+IF($W728="","",ROUND(IF($B728&gt;Parámetros!$D$107,'Tablas Servicio'!EE728+('Tablas Servicio'!EG727-'Tablas Servicio'!EE727),EE728/(1-IF(B728&lt;=10,Parámetros!$D$100,0))),2))</f>
        <v/>
      </c>
      <c r="EH728" s="66" t="str">
        <f t="shared" si="1035"/>
        <v/>
      </c>
      <c r="EI728" s="66" t="str">
        <f t="shared" si="1035"/>
        <v/>
      </c>
      <c r="EJ728" s="66" t="str">
        <f>+IF($W728="","",ROUND((EG728*Parámetros!$G$85),2))</f>
        <v/>
      </c>
      <c r="EK728" s="66" t="str">
        <f>+IF($W728="","",ROUND((EG728*(Parámetros!$G$86)),2))</f>
        <v/>
      </c>
      <c r="EL728" s="66" t="str">
        <f t="shared" si="991"/>
        <v/>
      </c>
    </row>
    <row r="729" spans="1:142" x14ac:dyDescent="0.25">
      <c r="A729" t="str">
        <f>+IF($C729="","",ROUND(VLOOKUP('Tablas Servicio'!B729,Parámetros!$H$100:$J$159,IF(Parámetros!$E$16="F",2,3),FALSE),2))</f>
        <v/>
      </c>
      <c r="B729" t="str">
        <f t="shared" si="942"/>
        <v/>
      </c>
      <c r="C729" s="57" t="str">
        <f>+IF(D729="","",'Tablas Servicio'!C728+1)</f>
        <v/>
      </c>
      <c r="D729" s="56" t="str">
        <f>+IF(D728&lt;edadmaxtabla,D728+1/Parámetros!$E$25,"")</f>
        <v/>
      </c>
      <c r="E729" s="57" t="str">
        <f t="shared" si="952"/>
        <v/>
      </c>
      <c r="F729" s="59" t="str">
        <f t="shared" si="953"/>
        <v/>
      </c>
      <c r="G729" s="66" t="str">
        <f t="shared" si="943"/>
        <v/>
      </c>
      <c r="H729" s="66" t="str">
        <f t="shared" si="944"/>
        <v/>
      </c>
      <c r="I729" s="66" t="str">
        <f t="shared" si="992"/>
        <v/>
      </c>
      <c r="J729" s="66" t="str">
        <f t="shared" si="945"/>
        <v/>
      </c>
      <c r="K729" s="66" t="str">
        <f t="shared" si="946"/>
        <v/>
      </c>
      <c r="L729" s="66" t="str">
        <f t="shared" si="947"/>
        <v/>
      </c>
      <c r="M729" s="66" t="str">
        <f t="shared" si="948"/>
        <v/>
      </c>
      <c r="N729" s="66" t="str">
        <f>+IF(C729="","",ROUND(Parámetros!$D$23,2))</f>
        <v/>
      </c>
      <c r="O729" s="66" t="str">
        <f t="shared" si="949"/>
        <v/>
      </c>
      <c r="P729" s="66" t="str">
        <f>+IF($C729="","",ROUND(IF(B729&gt;Parámetros!$D$117,0,N729*Parámetros!$D$116-G729*Parámetros!$D$100),2))</f>
        <v/>
      </c>
      <c r="Q729" s="75" t="str">
        <f t="shared" si="993"/>
        <v/>
      </c>
      <c r="R729" s="75" t="str">
        <f t="shared" si="994"/>
        <v/>
      </c>
      <c r="S729" s="117" t="str">
        <f>+IF($C729="","",ROUND((S728+I729)*(1+Parámetros!$D$91),2))</f>
        <v/>
      </c>
      <c r="T729" s="117" t="str">
        <f>+IF($C729="","",ROUND(S729*VLOOKUP(B729,Parámetros!$C$30:$D$39,2,TRUE),2))</f>
        <v/>
      </c>
      <c r="U729" s="117" t="str">
        <f>+IF($C729="","",ROUND((U728+I729)*(1+Parámetros!$D$92),2))</f>
        <v/>
      </c>
      <c r="V729" s="117" t="str">
        <f>+IF($C729="","",ROUND(U729*VLOOKUP(B729,Parámetros!$C$30:$D$39,2,TRUE),2))</f>
        <v/>
      </c>
      <c r="W729" s="57" t="str">
        <f t="shared" si="995"/>
        <v/>
      </c>
      <c r="X729" t="str">
        <f t="shared" si="996"/>
        <v/>
      </c>
      <c r="Y729" t="str">
        <f t="shared" si="997"/>
        <v/>
      </c>
      <c r="Z729" s="118" t="str">
        <f>+IF($W729="","",ROUND(IF(Parámetros!$D$25='TABLAS MORT'!$V$33,Z728,Parámetros!$D$21-'Tablas Servicio'!T728),0))</f>
        <v/>
      </c>
      <c r="AA729" s="118" t="str">
        <f t="shared" si="998"/>
        <v/>
      </c>
      <c r="AB729" s="119" t="str">
        <f>+IF(W729="","",ROUND((VLOOKUP(ROUNDDOWN($D729-1/frec,0),qx_tabla,2,FALSE)*(1+i/frec)^-0.5*(1+Parámetros!$D$103)*(1+rec_fracc)/frec),6))</f>
        <v/>
      </c>
      <c r="AC729" s="66" t="str">
        <f t="shared" si="954"/>
        <v/>
      </c>
      <c r="AD729" s="119" t="str">
        <f t="shared" si="950"/>
        <v/>
      </c>
      <c r="AE729" s="66" t="str">
        <f>+IF($W729="","",ROUND(IF($B729&gt;Parámetros!$D$107,'Tablas Servicio'!AC729+('Tablas Servicio'!AG728-'Tablas Servicio'!AC728),AC729/(1-IF(B729&lt;=10,Parámetros!$D$104,Parámetros!$D$105))),2))</f>
        <v/>
      </c>
      <c r="AF729" s="66" t="str">
        <f>+IF($W729="","",ROUND(IF($B729&gt;Parámetros!$D$107,'Tablas Servicio'!AC729+('Tablas Servicio'!AG728-'Tablas Servicio'!AC728),(AC729+$A728/frec)/(1-IF(B729&lt;=Parámetros!$D$117,Parámetros!$D$100,0))),2))</f>
        <v/>
      </c>
      <c r="AG729" s="66" t="str">
        <f t="shared" si="955"/>
        <v/>
      </c>
      <c r="AH729" s="66" t="str">
        <f t="shared" si="956"/>
        <v/>
      </c>
      <c r="AI729" s="66" t="str">
        <f t="shared" si="957"/>
        <v/>
      </c>
      <c r="AJ729" s="66" t="str">
        <f>+IF($W729="","",ROUND((AG729*Parámetros!$G$85),2))</f>
        <v/>
      </c>
      <c r="AK729" s="66" t="str">
        <f>+IF($W729="","",ROUND((AG729*(Parámetros!$G$86)),2))</f>
        <v/>
      </c>
      <c r="AL729" s="66" t="str">
        <f t="shared" si="951"/>
        <v/>
      </c>
      <c r="AM729" t="str">
        <f t="shared" si="999"/>
        <v/>
      </c>
      <c r="AN729" t="str">
        <f t="shared" si="1000"/>
        <v/>
      </c>
      <c r="AO729" s="118" t="str">
        <f t="shared" si="1001"/>
        <v/>
      </c>
      <c r="AP729" s="118" t="str">
        <f t="shared" si="1002"/>
        <v/>
      </c>
      <c r="AQ729" s="119" t="str">
        <f>+IF(OR($W729="",AO729=0),"",ROUND((VLOOKUP(ROUNDDOWN($D729-1/frec,0),cob_adi,Z$40,FALSE)*(1+i/frec)^-0.5*(1+Parámetros!$D$103)*(1+rec_fracc)/frec),6))</f>
        <v/>
      </c>
      <c r="AR729" s="66" t="str">
        <f t="shared" si="958"/>
        <v/>
      </c>
      <c r="AS729" s="119" t="str">
        <f t="shared" si="959"/>
        <v/>
      </c>
      <c r="AT729" s="66" t="str">
        <f>+IF($W729="","",ROUND(IF($B729&gt;Parámetros!$D$107,'Tablas Servicio'!AR729+('Tablas Servicio'!AT728-'Tablas Servicio'!AR728),AR729/(1-IF(B729&lt;=10,Parámetros!$D$100,0))),2))</f>
        <v/>
      </c>
      <c r="AU729" s="66" t="str">
        <f t="shared" si="1028"/>
        <v/>
      </c>
      <c r="AV729" s="66" t="str">
        <f t="shared" si="1028"/>
        <v/>
      </c>
      <c r="AW729" s="66" t="str">
        <f>+IF($W729="","",ROUND((AT729*Parámetros!$G$85),2))</f>
        <v/>
      </c>
      <c r="AX729" s="66" t="str">
        <f>+IF($W729="","",ROUND((AT729*(Parámetros!$G$86)),2))</f>
        <v/>
      </c>
      <c r="AY729" s="66" t="str">
        <f t="shared" si="961"/>
        <v/>
      </c>
      <c r="AZ729" t="str">
        <f t="shared" si="1003"/>
        <v/>
      </c>
      <c r="BA729" t="str">
        <f t="shared" si="1004"/>
        <v/>
      </c>
      <c r="BB729" s="118" t="str">
        <f t="shared" si="1005"/>
        <v/>
      </c>
      <c r="BC729" s="118" t="str">
        <f t="shared" si="1006"/>
        <v/>
      </c>
      <c r="BD729" s="119" t="str">
        <f>+IF(OR($W729="",BB729=0),"",ROUND((VLOOKUP(ROUNDDOWN($D729-1/frec,0),cob_adi,AO$40,FALSE)*(1+i/frec)^-0.5*(1+Parámetros!$D$103)*(1+rec_fracc)/frec),6))</f>
        <v/>
      </c>
      <c r="BE729" s="66" t="str">
        <f t="shared" si="962"/>
        <v/>
      </c>
      <c r="BF729" s="119" t="str">
        <f t="shared" si="963"/>
        <v/>
      </c>
      <c r="BG729" s="66" t="str">
        <f>+IF($W729="","",ROUND(IF($B729&gt;Parámetros!$D$107,'Tablas Servicio'!BE729+('Tablas Servicio'!BG728-'Tablas Servicio'!BE728),BE729/(1-IF(B729&lt;=10,Parámetros!$D$100,0))),2))</f>
        <v/>
      </c>
      <c r="BH729" s="66" t="str">
        <f t="shared" si="964"/>
        <v/>
      </c>
      <c r="BI729" s="66" t="str">
        <f t="shared" si="965"/>
        <v/>
      </c>
      <c r="BJ729" s="66" t="str">
        <f>+IF($W729="","",ROUND((BG729*Parámetros!$G$85),2))</f>
        <v/>
      </c>
      <c r="BK729" s="66" t="str">
        <f>+IF($W729="","",ROUND((BG729*(Parámetros!$G$86)),2))</f>
        <v/>
      </c>
      <c r="BL729" s="66" t="str">
        <f t="shared" si="966"/>
        <v/>
      </c>
      <c r="BM729" t="str">
        <f t="shared" si="1007"/>
        <v/>
      </c>
      <c r="BN729" t="str">
        <f t="shared" si="1008"/>
        <v/>
      </c>
      <c r="BO729" s="118" t="str">
        <f t="shared" si="1009"/>
        <v/>
      </c>
      <c r="BP729" s="118" t="str">
        <f t="shared" si="1010"/>
        <v/>
      </c>
      <c r="BQ729" s="119" t="str">
        <f>+IF(OR($W729="",BO729=0),"",ROUND((VLOOKUP(ROUNDDOWN($D729-1/frec,0),cob_adi,BB$40,FALSE)*(1+i/frec)^-0.5*(1+Parámetros!$D$103)*(1+rec_fracc)/frec),6))</f>
        <v/>
      </c>
      <c r="BR729" s="66" t="str">
        <f t="shared" si="967"/>
        <v/>
      </c>
      <c r="BS729" s="119" t="str">
        <f t="shared" si="968"/>
        <v/>
      </c>
      <c r="BT729" s="66" t="str">
        <f>+IF($W729="","",ROUND(IF($B729&gt;Parámetros!$D$107,'Tablas Servicio'!BR729+('Tablas Servicio'!BT728-'Tablas Servicio'!BR728),BR729/(1-IF(B729&lt;=10,Parámetros!$D$100,0))),2))</f>
        <v/>
      </c>
      <c r="BU729" s="66" t="str">
        <f t="shared" si="1029"/>
        <v/>
      </c>
      <c r="BV729" s="66" t="str">
        <f t="shared" si="1029"/>
        <v/>
      </c>
      <c r="BW729" s="66" t="str">
        <f>+IF($W729="","",ROUND((BT729*Parámetros!$G$85),2))</f>
        <v/>
      </c>
      <c r="BX729" s="66" t="str">
        <f>+IF($W729="","",ROUND((BT729*(Parámetros!$G$86)),2))</f>
        <v/>
      </c>
      <c r="BY729" s="66" t="str">
        <f t="shared" si="970"/>
        <v/>
      </c>
      <c r="BZ729" t="str">
        <f t="shared" si="1011"/>
        <v/>
      </c>
      <c r="CA729" t="str">
        <f t="shared" si="1012"/>
        <v/>
      </c>
      <c r="CB729" s="118" t="str">
        <f t="shared" si="1013"/>
        <v/>
      </c>
      <c r="CC729" s="118" t="str">
        <f t="shared" si="1014"/>
        <v/>
      </c>
      <c r="CD729" s="119" t="str">
        <f t="shared" si="971"/>
        <v/>
      </c>
      <c r="CE729" s="66" t="str">
        <f>+IF($W729="","",ROUND((VLOOKUP(ROUNDDOWN($D729-1/frec,0),cob_adi,BO$40,FALSE)*(1+i/frec)^-0.5*(1+Parámetros!$D$103)*(1+rec_fracc)/frec*'TABLAS ADI'!$BC$17),2))</f>
        <v/>
      </c>
      <c r="CF729" s="119" t="str">
        <f t="shared" si="972"/>
        <v/>
      </c>
      <c r="CG729" s="66" t="str">
        <f>+IF($W729="","",ROUND(IF($B729&gt;Parámetros!$D$107,'Tablas Servicio'!CE729+('Tablas Servicio'!CG728-'Tablas Servicio'!CE728),CE729/(1-IF(B729&lt;=10,Parámetros!$D$100,0))),2))</f>
        <v/>
      </c>
      <c r="CH729" s="66" t="str">
        <f t="shared" si="1030"/>
        <v/>
      </c>
      <c r="CI729" s="66" t="str">
        <f t="shared" si="1030"/>
        <v/>
      </c>
      <c r="CJ729" s="66" t="str">
        <f>+IF($W729="","",ROUND((CG729*Parámetros!$G$85),2))</f>
        <v/>
      </c>
      <c r="CK729" s="66" t="str">
        <f>+IF($W729="","",ROUND((CG729*(Parámetros!$G$86)),2))</f>
        <v/>
      </c>
      <c r="CL729" s="66" t="str">
        <f t="shared" si="974"/>
        <v/>
      </c>
      <c r="CM729" t="str">
        <f t="shared" si="1015"/>
        <v/>
      </c>
      <c r="CN729" s="118" t="str">
        <f t="shared" si="1016"/>
        <v/>
      </c>
      <c r="CO729" s="118" t="str">
        <f t="shared" si="1017"/>
        <v/>
      </c>
      <c r="CP729" s="118" t="str">
        <f t="shared" si="1018"/>
        <v/>
      </c>
      <c r="CQ729" s="119" t="str">
        <f t="shared" si="975"/>
        <v/>
      </c>
      <c r="CR729" s="66" t="str">
        <f>+IF($W729="","",ROUND((VLOOKUP(Parámetros!$F$51,'COBERTURAS ADICIONALES'!$S$4:$T$32,2,FALSE)*(1+i/frec)^-0.5*(1+Parámetros!$D$103)*(1+rec_fracc)/frec*$CO$42),2))</f>
        <v/>
      </c>
      <c r="CS729" s="119" t="str">
        <f t="shared" si="976"/>
        <v/>
      </c>
      <c r="CT729" s="66" t="str">
        <f>+IF($W729="","",ROUND(IF($B729&gt;Parámetros!$D$107,'Tablas Servicio'!CR729+('Tablas Servicio'!CT728-'Tablas Servicio'!CR728),CR729/(1-IF(B729&lt;=10,Parámetros!$D$100,0))),2))</f>
        <v/>
      </c>
      <c r="CU729" s="66" t="str">
        <f t="shared" si="1031"/>
        <v/>
      </c>
      <c r="CV729" s="66" t="str">
        <f t="shared" si="1031"/>
        <v/>
      </c>
      <c r="CW729" s="66" t="str">
        <f>+IF($W729="","",ROUND((CT729*Parámetros!$G$85),2))</f>
        <v/>
      </c>
      <c r="CX729" s="66" t="str">
        <f>+IF($W729="","",ROUND((CT729*(Parámetros!$G$86)),2))</f>
        <v/>
      </c>
      <c r="CY729" s="66" t="str">
        <f t="shared" si="978"/>
        <v/>
      </c>
      <c r="CZ729" t="str">
        <f t="shared" si="1019"/>
        <v/>
      </c>
      <c r="DA729" s="118" t="str">
        <f t="shared" si="1020"/>
        <v/>
      </c>
      <c r="DB729" s="118" t="str">
        <f t="shared" si="1021"/>
        <v/>
      </c>
      <c r="DC729" s="118" t="str">
        <f t="shared" si="1022"/>
        <v/>
      </c>
      <c r="DD729" s="121" t="str">
        <f>+IF(OR($W729="",DB729=0),"",ROUND((VLOOKUP(ROUNDDOWN($D729-1/frec,0),cob_adi,CO$40,FALSE)*(1+i/frec)^-0.5*(1+Parámetros!$D$103)*(1+rec_fracc)/frec),6))</f>
        <v/>
      </c>
      <c r="DE729" s="66" t="str">
        <f t="shared" si="979"/>
        <v/>
      </c>
      <c r="DF729" s="119" t="str">
        <f t="shared" si="980"/>
        <v/>
      </c>
      <c r="DG729" s="66" t="str">
        <f>+IF($W729="","",ROUND(IF($B729&gt;Parámetros!$D$107,'Tablas Servicio'!DE729+('Tablas Servicio'!DG728-'Tablas Servicio'!DE728),DE729/(1-IF(B729&lt;=10,Parámetros!$D$100,0))),2))</f>
        <v/>
      </c>
      <c r="DH729" s="66" t="str">
        <f t="shared" si="1032"/>
        <v/>
      </c>
      <c r="DI729" s="66" t="str">
        <f t="shared" si="1032"/>
        <v/>
      </c>
      <c r="DJ729" s="66" t="str">
        <f>+IF($W729="","",ROUND((DG729*Parámetros!$G$85),2))</f>
        <v/>
      </c>
      <c r="DK729" s="66" t="str">
        <f>+IF($W729="","",ROUND((DG729*(Parámetros!$G$86)),2))</f>
        <v/>
      </c>
      <c r="DL729" s="66" t="str">
        <f t="shared" si="982"/>
        <v/>
      </c>
      <c r="DM729" t="str">
        <f t="shared" si="1023"/>
        <v/>
      </c>
      <c r="DN729" s="118" t="str">
        <f t="shared" si="1024"/>
        <v/>
      </c>
      <c r="DO729" s="118" t="str">
        <f t="shared" si="1025"/>
        <v/>
      </c>
      <c r="DP729" s="118" t="str">
        <f t="shared" si="1026"/>
        <v/>
      </c>
      <c r="DQ729" s="122" t="str">
        <f>+IF(OR($W729="",DO729=0),"",ROUND((VLOOKUP(ROUNDDOWN($D729-1/frec,0),cob_adi,DB$40,FALSE)*(1+i/frec)^-0.5*(1+Parámetros!$D$103)*(1+rec_fracc)/frec),6))</f>
        <v/>
      </c>
      <c r="DR729" s="66" t="str">
        <f t="shared" si="983"/>
        <v/>
      </c>
      <c r="DS729" s="68" t="str">
        <f t="shared" si="984"/>
        <v/>
      </c>
      <c r="DT729" s="66" t="str">
        <f>+IF($W729="","",ROUND(IF($B729&gt;Parámetros!$D$107,'Tablas Servicio'!DR729+('Tablas Servicio'!DT728-'Tablas Servicio'!DR728),DR729/(1-IF(B729&lt;=10,Parámetros!$D$100,0))),2))</f>
        <v/>
      </c>
      <c r="DU729" s="66" t="str">
        <f t="shared" si="1033"/>
        <v/>
      </c>
      <c r="DV729" s="66" t="str">
        <f t="shared" si="1033"/>
        <v/>
      </c>
      <c r="DW729" s="66" t="str">
        <f>+IF($W729="","",ROUND((DT729*Parámetros!$G$85),2))</f>
        <v/>
      </c>
      <c r="DX729" s="66" t="str">
        <f>+IF($W729="","",ROUND((DT729*(Parámetros!$G$86)),2))</f>
        <v/>
      </c>
      <c r="DY729" s="66" t="str">
        <f t="shared" si="986"/>
        <v/>
      </c>
      <c r="DZ729" t="str">
        <f t="shared" si="1034"/>
        <v/>
      </c>
      <c r="EA729" s="118" t="str">
        <f t="shared" si="1034"/>
        <v/>
      </c>
      <c r="EB729" s="118" t="str">
        <f>+IF($W729="","",ROUND(IF(Parámetros!$D$25='TABLAS MORT'!$V$33,EB728,Z729/2),0))</f>
        <v/>
      </c>
      <c r="EC729" s="118" t="str">
        <f t="shared" si="1034"/>
        <v/>
      </c>
      <c r="ED729" s="122" t="str">
        <f>+IF(OR($W729="",EB729=0),"",ROUND((VLOOKUP(ROUNDDOWN($D729-1/frec,0),cob_adi,DO$40,FALSE)*(1+i/frec)^-0.5*(1+Parámetros!$D$103)*(1+rec_fracc)/frec),6))</f>
        <v/>
      </c>
      <c r="EE729" s="66" t="str">
        <f t="shared" si="988"/>
        <v/>
      </c>
      <c r="EF729" s="68" t="str">
        <f t="shared" si="989"/>
        <v/>
      </c>
      <c r="EG729" s="66" t="str">
        <f>+IF($W729="","",ROUND(IF($B729&gt;Parámetros!$D$107,'Tablas Servicio'!EE729+('Tablas Servicio'!EG728-'Tablas Servicio'!EE728),EE729/(1-IF(B729&lt;=10,Parámetros!$D$100,0))),2))</f>
        <v/>
      </c>
      <c r="EH729" s="66" t="str">
        <f t="shared" si="1035"/>
        <v/>
      </c>
      <c r="EI729" s="66" t="str">
        <f t="shared" si="1035"/>
        <v/>
      </c>
      <c r="EJ729" s="66" t="str">
        <f>+IF($W729="","",ROUND((EG729*Parámetros!$G$85),2))</f>
        <v/>
      </c>
      <c r="EK729" s="66" t="str">
        <f>+IF($W729="","",ROUND((EG729*(Parámetros!$G$86)),2))</f>
        <v/>
      </c>
      <c r="EL729" s="66" t="str">
        <f t="shared" si="991"/>
        <v/>
      </c>
    </row>
    <row r="730" spans="1:142" x14ac:dyDescent="0.25">
      <c r="A730" t="str">
        <f>+IF($C730="","",ROUND(VLOOKUP('Tablas Servicio'!B730,Parámetros!$H$100:$J$159,IF(Parámetros!$E$16="F",2,3),FALSE),2))</f>
        <v/>
      </c>
      <c r="B730" t="str">
        <f t="shared" si="942"/>
        <v/>
      </c>
      <c r="C730" s="57" t="str">
        <f>+IF(D730="","",'Tablas Servicio'!C729+1)</f>
        <v/>
      </c>
      <c r="D730" s="56" t="str">
        <f>+IF(D729&lt;edadmaxtabla,D729+1/Parámetros!$E$25,"")</f>
        <v/>
      </c>
      <c r="E730" s="57" t="str">
        <f t="shared" si="952"/>
        <v/>
      </c>
      <c r="F730" s="59" t="str">
        <f t="shared" si="953"/>
        <v/>
      </c>
      <c r="G730" s="66" t="str">
        <f t="shared" si="943"/>
        <v/>
      </c>
      <c r="H730" s="66" t="str">
        <f t="shared" si="944"/>
        <v/>
      </c>
      <c r="I730" s="66" t="str">
        <f t="shared" si="992"/>
        <v/>
      </c>
      <c r="J730" s="66" t="str">
        <f t="shared" si="945"/>
        <v/>
      </c>
      <c r="K730" s="66" t="str">
        <f t="shared" si="946"/>
        <v/>
      </c>
      <c r="L730" s="66" t="str">
        <f t="shared" si="947"/>
        <v/>
      </c>
      <c r="M730" s="66" t="str">
        <f t="shared" si="948"/>
        <v/>
      </c>
      <c r="N730" s="66" t="str">
        <f>+IF(C730="","",ROUND(Parámetros!$D$23,2))</f>
        <v/>
      </c>
      <c r="O730" s="66" t="str">
        <f t="shared" si="949"/>
        <v/>
      </c>
      <c r="P730" s="66" t="str">
        <f>+IF($C730="","",ROUND(IF(B730&gt;Parámetros!$D$117,0,N730*Parámetros!$D$116-G730*Parámetros!$D$100),2))</f>
        <v/>
      </c>
      <c r="Q730" s="75" t="str">
        <f t="shared" si="993"/>
        <v/>
      </c>
      <c r="R730" s="75" t="str">
        <f t="shared" si="994"/>
        <v/>
      </c>
      <c r="S730" s="117" t="str">
        <f>+IF($C730="","",ROUND((S729+I730)*(1+Parámetros!$D$91),2))</f>
        <v/>
      </c>
      <c r="T730" s="117" t="str">
        <f>+IF($C730="","",ROUND(S730*VLOOKUP(B730,Parámetros!$C$30:$D$39,2,TRUE),2))</f>
        <v/>
      </c>
      <c r="U730" s="117" t="str">
        <f>+IF($C730="","",ROUND((U729+I730)*(1+Parámetros!$D$92),2))</f>
        <v/>
      </c>
      <c r="V730" s="117" t="str">
        <f>+IF($C730="","",ROUND(U730*VLOOKUP(B730,Parámetros!$C$30:$D$39,2,TRUE),2))</f>
        <v/>
      </c>
      <c r="W730" s="57" t="str">
        <f t="shared" si="995"/>
        <v/>
      </c>
      <c r="X730" t="str">
        <f t="shared" si="996"/>
        <v/>
      </c>
      <c r="Y730" t="str">
        <f t="shared" si="997"/>
        <v/>
      </c>
      <c r="Z730" s="118" t="str">
        <f>+IF($W730="","",ROUND(IF(Parámetros!$D$25='TABLAS MORT'!$V$33,Z729,Parámetros!$D$21-'Tablas Servicio'!T729),0))</f>
        <v/>
      </c>
      <c r="AA730" s="118" t="str">
        <f t="shared" si="998"/>
        <v/>
      </c>
      <c r="AB730" s="119" t="str">
        <f>+IF(W730="","",ROUND((VLOOKUP(ROUNDDOWN($D730-1/frec,0),qx_tabla,2,FALSE)*(1+i/frec)^-0.5*(1+Parámetros!$D$103)*(1+rec_fracc)/frec),6))</f>
        <v/>
      </c>
      <c r="AC730" s="66" t="str">
        <f t="shared" si="954"/>
        <v/>
      </c>
      <c r="AD730" s="119" t="str">
        <f t="shared" si="950"/>
        <v/>
      </c>
      <c r="AE730" s="66" t="str">
        <f>+IF($W730="","",ROUND(IF($B730&gt;Parámetros!$D$107,'Tablas Servicio'!AC730+('Tablas Servicio'!AG729-'Tablas Servicio'!AC729),AC730/(1-IF(B730&lt;=10,Parámetros!$D$104,Parámetros!$D$105))),2))</f>
        <v/>
      </c>
      <c r="AF730" s="66" t="str">
        <f>+IF($W730="","",ROUND(IF($B730&gt;Parámetros!$D$107,'Tablas Servicio'!AC730+('Tablas Servicio'!AG729-'Tablas Servicio'!AC729),(AC730+$A729/frec)/(1-IF(B730&lt;=Parámetros!$D$117,Parámetros!$D$100,0))),2))</f>
        <v/>
      </c>
      <c r="AG730" s="66" t="str">
        <f t="shared" si="955"/>
        <v/>
      </c>
      <c r="AH730" s="66" t="str">
        <f t="shared" si="956"/>
        <v/>
      </c>
      <c r="AI730" s="66" t="str">
        <f t="shared" si="957"/>
        <v/>
      </c>
      <c r="AJ730" s="66" t="str">
        <f>+IF($W730="","",ROUND((AG730*Parámetros!$G$85),2))</f>
        <v/>
      </c>
      <c r="AK730" s="66" t="str">
        <f>+IF($W730="","",ROUND((AG730*(Parámetros!$G$86)),2))</f>
        <v/>
      </c>
      <c r="AL730" s="66" t="str">
        <f t="shared" si="951"/>
        <v/>
      </c>
      <c r="AM730" t="str">
        <f t="shared" si="999"/>
        <v/>
      </c>
      <c r="AN730" t="str">
        <f t="shared" si="1000"/>
        <v/>
      </c>
      <c r="AO730" s="118" t="str">
        <f t="shared" si="1001"/>
        <v/>
      </c>
      <c r="AP730" s="118" t="str">
        <f t="shared" si="1002"/>
        <v/>
      </c>
      <c r="AQ730" s="119" t="str">
        <f>+IF(OR($W730="",AO730=0),"",ROUND((VLOOKUP(ROUNDDOWN($D730-1/frec,0),cob_adi,Z$40,FALSE)*(1+i/frec)^-0.5*(1+Parámetros!$D$103)*(1+rec_fracc)/frec),6))</f>
        <v/>
      </c>
      <c r="AR730" s="66" t="str">
        <f t="shared" si="958"/>
        <v/>
      </c>
      <c r="AS730" s="119" t="str">
        <f t="shared" si="959"/>
        <v/>
      </c>
      <c r="AT730" s="66" t="str">
        <f>+IF($W730="","",ROUND(IF($B730&gt;Parámetros!$D$107,'Tablas Servicio'!AR730+('Tablas Servicio'!AT729-'Tablas Servicio'!AR729),AR730/(1-IF(B730&lt;=10,Parámetros!$D$100,0))),2))</f>
        <v/>
      </c>
      <c r="AU730" s="66" t="str">
        <f t="shared" si="1028"/>
        <v/>
      </c>
      <c r="AV730" s="66" t="str">
        <f t="shared" si="1028"/>
        <v/>
      </c>
      <c r="AW730" s="66" t="str">
        <f>+IF($W730="","",ROUND((AT730*Parámetros!$G$85),2))</f>
        <v/>
      </c>
      <c r="AX730" s="66" t="str">
        <f>+IF($W730="","",ROUND((AT730*(Parámetros!$G$86)),2))</f>
        <v/>
      </c>
      <c r="AY730" s="66" t="str">
        <f t="shared" si="961"/>
        <v/>
      </c>
      <c r="AZ730" t="str">
        <f t="shared" si="1003"/>
        <v/>
      </c>
      <c r="BA730" t="str">
        <f t="shared" si="1004"/>
        <v/>
      </c>
      <c r="BB730" s="118" t="str">
        <f t="shared" si="1005"/>
        <v/>
      </c>
      <c r="BC730" s="118" t="str">
        <f t="shared" si="1006"/>
        <v/>
      </c>
      <c r="BD730" s="119" t="str">
        <f>+IF(OR($W730="",BB730=0),"",ROUND((VLOOKUP(ROUNDDOWN($D730-1/frec,0),cob_adi,AO$40,FALSE)*(1+i/frec)^-0.5*(1+Parámetros!$D$103)*(1+rec_fracc)/frec),6))</f>
        <v/>
      </c>
      <c r="BE730" s="66" t="str">
        <f t="shared" si="962"/>
        <v/>
      </c>
      <c r="BF730" s="119" t="str">
        <f t="shared" si="963"/>
        <v/>
      </c>
      <c r="BG730" s="66" t="str">
        <f>+IF($W730="","",ROUND(IF($B730&gt;Parámetros!$D$107,'Tablas Servicio'!BE730+('Tablas Servicio'!BG729-'Tablas Servicio'!BE729),BE730/(1-IF(B730&lt;=10,Parámetros!$D$100,0))),2))</f>
        <v/>
      </c>
      <c r="BH730" s="66" t="str">
        <f t="shared" si="964"/>
        <v/>
      </c>
      <c r="BI730" s="66" t="str">
        <f t="shared" si="965"/>
        <v/>
      </c>
      <c r="BJ730" s="66" t="str">
        <f>+IF($W730="","",ROUND((BG730*Parámetros!$G$85),2))</f>
        <v/>
      </c>
      <c r="BK730" s="66" t="str">
        <f>+IF($W730="","",ROUND((BG730*(Parámetros!$G$86)),2))</f>
        <v/>
      </c>
      <c r="BL730" s="66" t="str">
        <f t="shared" si="966"/>
        <v/>
      </c>
      <c r="BM730" t="str">
        <f t="shared" si="1007"/>
        <v/>
      </c>
      <c r="BN730" t="str">
        <f t="shared" si="1008"/>
        <v/>
      </c>
      <c r="BO730" s="118" t="str">
        <f t="shared" si="1009"/>
        <v/>
      </c>
      <c r="BP730" s="118" t="str">
        <f t="shared" si="1010"/>
        <v/>
      </c>
      <c r="BQ730" s="119" t="str">
        <f>+IF(OR($W730="",BO730=0),"",ROUND((VLOOKUP(ROUNDDOWN($D730-1/frec,0),cob_adi,BB$40,FALSE)*(1+i/frec)^-0.5*(1+Parámetros!$D$103)*(1+rec_fracc)/frec),6))</f>
        <v/>
      </c>
      <c r="BR730" s="66" t="str">
        <f t="shared" si="967"/>
        <v/>
      </c>
      <c r="BS730" s="119" t="str">
        <f t="shared" si="968"/>
        <v/>
      </c>
      <c r="BT730" s="66" t="str">
        <f>+IF($W730="","",ROUND(IF($B730&gt;Parámetros!$D$107,'Tablas Servicio'!BR730+('Tablas Servicio'!BT729-'Tablas Servicio'!BR729),BR730/(1-IF(B730&lt;=10,Parámetros!$D$100,0))),2))</f>
        <v/>
      </c>
      <c r="BU730" s="66" t="str">
        <f t="shared" si="1029"/>
        <v/>
      </c>
      <c r="BV730" s="66" t="str">
        <f t="shared" si="1029"/>
        <v/>
      </c>
      <c r="BW730" s="66" t="str">
        <f>+IF($W730="","",ROUND((BT730*Parámetros!$G$85),2))</f>
        <v/>
      </c>
      <c r="BX730" s="66" t="str">
        <f>+IF($W730="","",ROUND((BT730*(Parámetros!$G$86)),2))</f>
        <v/>
      </c>
      <c r="BY730" s="66" t="str">
        <f t="shared" si="970"/>
        <v/>
      </c>
      <c r="BZ730" t="str">
        <f t="shared" si="1011"/>
        <v/>
      </c>
      <c r="CA730" t="str">
        <f t="shared" si="1012"/>
        <v/>
      </c>
      <c r="CB730" s="118" t="str">
        <f t="shared" si="1013"/>
        <v/>
      </c>
      <c r="CC730" s="118" t="str">
        <f t="shared" si="1014"/>
        <v/>
      </c>
      <c r="CD730" s="119" t="str">
        <f t="shared" si="971"/>
        <v/>
      </c>
      <c r="CE730" s="66" t="str">
        <f>+IF($W730="","",ROUND((VLOOKUP(ROUNDDOWN($D730-1/frec,0),cob_adi,BO$40,FALSE)*(1+i/frec)^-0.5*(1+Parámetros!$D$103)*(1+rec_fracc)/frec*'TABLAS ADI'!$BC$17),2))</f>
        <v/>
      </c>
      <c r="CF730" s="119" t="str">
        <f t="shared" si="972"/>
        <v/>
      </c>
      <c r="CG730" s="66" t="str">
        <f>+IF($W730="","",ROUND(IF($B730&gt;Parámetros!$D$107,'Tablas Servicio'!CE730+('Tablas Servicio'!CG729-'Tablas Servicio'!CE729),CE730/(1-IF(B730&lt;=10,Parámetros!$D$100,0))),2))</f>
        <v/>
      </c>
      <c r="CH730" s="66" t="str">
        <f t="shared" si="1030"/>
        <v/>
      </c>
      <c r="CI730" s="66" t="str">
        <f t="shared" si="1030"/>
        <v/>
      </c>
      <c r="CJ730" s="66" t="str">
        <f>+IF($W730="","",ROUND((CG730*Parámetros!$G$85),2))</f>
        <v/>
      </c>
      <c r="CK730" s="66" t="str">
        <f>+IF($W730="","",ROUND((CG730*(Parámetros!$G$86)),2))</f>
        <v/>
      </c>
      <c r="CL730" s="66" t="str">
        <f t="shared" si="974"/>
        <v/>
      </c>
      <c r="CM730" t="str">
        <f t="shared" si="1015"/>
        <v/>
      </c>
      <c r="CN730" s="118" t="str">
        <f t="shared" si="1016"/>
        <v/>
      </c>
      <c r="CO730" s="118" t="str">
        <f t="shared" si="1017"/>
        <v/>
      </c>
      <c r="CP730" s="118" t="str">
        <f t="shared" si="1018"/>
        <v/>
      </c>
      <c r="CQ730" s="119" t="str">
        <f t="shared" si="975"/>
        <v/>
      </c>
      <c r="CR730" s="66" t="str">
        <f>+IF($W730="","",ROUND((VLOOKUP(Parámetros!$F$51,'COBERTURAS ADICIONALES'!$S$4:$T$32,2,FALSE)*(1+i/frec)^-0.5*(1+Parámetros!$D$103)*(1+rec_fracc)/frec*$CO$42),2))</f>
        <v/>
      </c>
      <c r="CS730" s="119" t="str">
        <f t="shared" si="976"/>
        <v/>
      </c>
      <c r="CT730" s="66" t="str">
        <f>+IF($W730="","",ROUND(IF($B730&gt;Parámetros!$D$107,'Tablas Servicio'!CR730+('Tablas Servicio'!CT729-'Tablas Servicio'!CR729),CR730/(1-IF(B730&lt;=10,Parámetros!$D$100,0))),2))</f>
        <v/>
      </c>
      <c r="CU730" s="66" t="str">
        <f t="shared" si="1031"/>
        <v/>
      </c>
      <c r="CV730" s="66" t="str">
        <f t="shared" si="1031"/>
        <v/>
      </c>
      <c r="CW730" s="66" t="str">
        <f>+IF($W730="","",ROUND((CT730*Parámetros!$G$85),2))</f>
        <v/>
      </c>
      <c r="CX730" s="66" t="str">
        <f>+IF($W730="","",ROUND((CT730*(Parámetros!$G$86)),2))</f>
        <v/>
      </c>
      <c r="CY730" s="66" t="str">
        <f t="shared" si="978"/>
        <v/>
      </c>
      <c r="CZ730" t="str">
        <f t="shared" si="1019"/>
        <v/>
      </c>
      <c r="DA730" s="118" t="str">
        <f t="shared" si="1020"/>
        <v/>
      </c>
      <c r="DB730" s="118" t="str">
        <f t="shared" si="1021"/>
        <v/>
      </c>
      <c r="DC730" s="118" t="str">
        <f t="shared" si="1022"/>
        <v/>
      </c>
      <c r="DD730" s="121" t="str">
        <f>+IF(OR($W730="",DB730=0),"",ROUND((VLOOKUP(ROUNDDOWN($D730-1/frec,0),cob_adi,CO$40,FALSE)*(1+i/frec)^-0.5*(1+Parámetros!$D$103)*(1+rec_fracc)/frec),6))</f>
        <v/>
      </c>
      <c r="DE730" s="66" t="str">
        <f t="shared" si="979"/>
        <v/>
      </c>
      <c r="DF730" s="119" t="str">
        <f t="shared" si="980"/>
        <v/>
      </c>
      <c r="DG730" s="66" t="str">
        <f>+IF($W730="","",ROUND(IF($B730&gt;Parámetros!$D$107,'Tablas Servicio'!DE730+('Tablas Servicio'!DG729-'Tablas Servicio'!DE729),DE730/(1-IF(B730&lt;=10,Parámetros!$D$100,0))),2))</f>
        <v/>
      </c>
      <c r="DH730" s="66" t="str">
        <f t="shared" si="1032"/>
        <v/>
      </c>
      <c r="DI730" s="66" t="str">
        <f t="shared" si="1032"/>
        <v/>
      </c>
      <c r="DJ730" s="66" t="str">
        <f>+IF($W730="","",ROUND((DG730*Parámetros!$G$85),2))</f>
        <v/>
      </c>
      <c r="DK730" s="66" t="str">
        <f>+IF($W730="","",ROUND((DG730*(Parámetros!$G$86)),2))</f>
        <v/>
      </c>
      <c r="DL730" s="66" t="str">
        <f t="shared" si="982"/>
        <v/>
      </c>
      <c r="DM730" t="str">
        <f t="shared" si="1023"/>
        <v/>
      </c>
      <c r="DN730" s="118" t="str">
        <f t="shared" si="1024"/>
        <v/>
      </c>
      <c r="DO730" s="118" t="str">
        <f t="shared" si="1025"/>
        <v/>
      </c>
      <c r="DP730" s="118" t="str">
        <f t="shared" si="1026"/>
        <v/>
      </c>
      <c r="DQ730" s="122" t="str">
        <f>+IF(OR($W730="",DO730=0),"",ROUND((VLOOKUP(ROUNDDOWN($D730-1/frec,0),cob_adi,DB$40,FALSE)*(1+i/frec)^-0.5*(1+Parámetros!$D$103)*(1+rec_fracc)/frec),6))</f>
        <v/>
      </c>
      <c r="DR730" s="66" t="str">
        <f t="shared" si="983"/>
        <v/>
      </c>
      <c r="DS730" s="68" t="str">
        <f t="shared" si="984"/>
        <v/>
      </c>
      <c r="DT730" s="66" t="str">
        <f>+IF($W730="","",ROUND(IF($B730&gt;Parámetros!$D$107,'Tablas Servicio'!DR730+('Tablas Servicio'!DT729-'Tablas Servicio'!DR729),DR730/(1-IF(B730&lt;=10,Parámetros!$D$100,0))),2))</f>
        <v/>
      </c>
      <c r="DU730" s="66" t="str">
        <f t="shared" si="1033"/>
        <v/>
      </c>
      <c r="DV730" s="66" t="str">
        <f t="shared" si="1033"/>
        <v/>
      </c>
      <c r="DW730" s="66" t="str">
        <f>+IF($W730="","",ROUND((DT730*Parámetros!$G$85),2))</f>
        <v/>
      </c>
      <c r="DX730" s="66" t="str">
        <f>+IF($W730="","",ROUND((DT730*(Parámetros!$G$86)),2))</f>
        <v/>
      </c>
      <c r="DY730" s="66" t="str">
        <f t="shared" si="986"/>
        <v/>
      </c>
      <c r="DZ730" t="str">
        <f t="shared" si="1034"/>
        <v/>
      </c>
      <c r="EA730" s="118" t="str">
        <f t="shared" si="1034"/>
        <v/>
      </c>
      <c r="EB730" s="118" t="str">
        <f>+IF($W730="","",ROUND(IF(Parámetros!$D$25='TABLAS MORT'!$V$33,EB729,Z730/2),0))</f>
        <v/>
      </c>
      <c r="EC730" s="118" t="str">
        <f t="shared" si="1034"/>
        <v/>
      </c>
      <c r="ED730" s="122" t="str">
        <f>+IF(OR($W730="",EB730=0),"",ROUND((VLOOKUP(ROUNDDOWN($D730-1/frec,0),cob_adi,DO$40,FALSE)*(1+i/frec)^-0.5*(1+Parámetros!$D$103)*(1+rec_fracc)/frec),6))</f>
        <v/>
      </c>
      <c r="EE730" s="66" t="str">
        <f t="shared" si="988"/>
        <v/>
      </c>
      <c r="EF730" s="68" t="str">
        <f t="shared" si="989"/>
        <v/>
      </c>
      <c r="EG730" s="66" t="str">
        <f>+IF($W730="","",ROUND(IF($B730&gt;Parámetros!$D$107,'Tablas Servicio'!EE730+('Tablas Servicio'!EG729-'Tablas Servicio'!EE729),EE730/(1-IF(B730&lt;=10,Parámetros!$D$100,0))),2))</f>
        <v/>
      </c>
      <c r="EH730" s="66" t="str">
        <f t="shared" si="1035"/>
        <v/>
      </c>
      <c r="EI730" s="66" t="str">
        <f t="shared" si="1035"/>
        <v/>
      </c>
      <c r="EJ730" s="66" t="str">
        <f>+IF($W730="","",ROUND((EG730*Parámetros!$G$85),2))</f>
        <v/>
      </c>
      <c r="EK730" s="66" t="str">
        <f>+IF($W730="","",ROUND((EG730*(Parámetros!$G$86)),2))</f>
        <v/>
      </c>
      <c r="EL730" s="66" t="str">
        <f t="shared" si="991"/>
        <v/>
      </c>
    </row>
    <row r="731" spans="1:142" x14ac:dyDescent="0.25">
      <c r="A731" t="str">
        <f>+IF($C731="","",ROUND(VLOOKUP('Tablas Servicio'!B731,Parámetros!$H$100:$J$159,IF(Parámetros!$E$16="F",2,3),FALSE),2))</f>
        <v/>
      </c>
      <c r="B731" t="str">
        <f t="shared" si="942"/>
        <v/>
      </c>
      <c r="C731" s="57" t="str">
        <f>+IF(D731="","",'Tablas Servicio'!C730+1)</f>
        <v/>
      </c>
      <c r="D731" s="56" t="str">
        <f>+IF(D730&lt;edadmaxtabla,D730+1/Parámetros!$E$25,"")</f>
        <v/>
      </c>
      <c r="E731" s="57" t="str">
        <f t="shared" si="952"/>
        <v/>
      </c>
      <c r="F731" s="59" t="str">
        <f t="shared" si="953"/>
        <v/>
      </c>
      <c r="G731" s="66" t="str">
        <f t="shared" si="943"/>
        <v/>
      </c>
      <c r="H731" s="66" t="str">
        <f t="shared" si="944"/>
        <v/>
      </c>
      <c r="I731" s="66" t="str">
        <f t="shared" si="992"/>
        <v/>
      </c>
      <c r="J731" s="66" t="str">
        <f t="shared" si="945"/>
        <v/>
      </c>
      <c r="K731" s="66" t="str">
        <f t="shared" si="946"/>
        <v/>
      </c>
      <c r="L731" s="66" t="str">
        <f t="shared" si="947"/>
        <v/>
      </c>
      <c r="M731" s="66" t="str">
        <f t="shared" si="948"/>
        <v/>
      </c>
      <c r="N731" s="66" t="str">
        <f>+IF(C731="","",ROUND(Parámetros!$D$23,2))</f>
        <v/>
      </c>
      <c r="O731" s="66" t="str">
        <f t="shared" si="949"/>
        <v/>
      </c>
      <c r="P731" s="66" t="str">
        <f>+IF($C731="","",ROUND(IF(B731&gt;Parámetros!$D$117,0,N731*Parámetros!$D$116-G731*Parámetros!$D$100),2))</f>
        <v/>
      </c>
      <c r="Q731" s="75" t="str">
        <f t="shared" si="993"/>
        <v/>
      </c>
      <c r="R731" s="75" t="str">
        <f t="shared" si="994"/>
        <v/>
      </c>
      <c r="S731" s="117" t="str">
        <f>+IF($C731="","",ROUND((S730+I731)*(1+Parámetros!$D$91),2))</f>
        <v/>
      </c>
      <c r="T731" s="117" t="str">
        <f>+IF($C731="","",ROUND(S731*VLOOKUP(B731,Parámetros!$C$30:$D$39,2,TRUE),2))</f>
        <v/>
      </c>
      <c r="U731" s="117" t="str">
        <f>+IF($C731="","",ROUND((U730+I731)*(1+Parámetros!$D$92),2))</f>
        <v/>
      </c>
      <c r="V731" s="117" t="str">
        <f>+IF($C731="","",ROUND(U731*VLOOKUP(B731,Parámetros!$C$30:$D$39,2,TRUE),2))</f>
        <v/>
      </c>
      <c r="W731" s="57" t="str">
        <f t="shared" si="995"/>
        <v/>
      </c>
      <c r="X731" t="str">
        <f t="shared" si="996"/>
        <v/>
      </c>
      <c r="Y731" t="str">
        <f t="shared" si="997"/>
        <v/>
      </c>
      <c r="Z731" s="118" t="str">
        <f>+IF($W731="","",ROUND(IF(Parámetros!$D$25='TABLAS MORT'!$V$33,Z730,Parámetros!$D$21-'Tablas Servicio'!T730),0))</f>
        <v/>
      </c>
      <c r="AA731" s="118" t="str">
        <f t="shared" si="998"/>
        <v/>
      </c>
      <c r="AB731" s="119" t="str">
        <f>+IF(W731="","",ROUND((VLOOKUP(ROUNDDOWN($D731-1/frec,0),qx_tabla,2,FALSE)*(1+i/frec)^-0.5*(1+Parámetros!$D$103)*(1+rec_fracc)/frec),6))</f>
        <v/>
      </c>
      <c r="AC731" s="66" t="str">
        <f t="shared" si="954"/>
        <v/>
      </c>
      <c r="AD731" s="119" t="str">
        <f t="shared" si="950"/>
        <v/>
      </c>
      <c r="AE731" s="66" t="str">
        <f>+IF($W731="","",ROUND(IF($B731&gt;Parámetros!$D$107,'Tablas Servicio'!AC731+('Tablas Servicio'!AG730-'Tablas Servicio'!AC730),AC731/(1-IF(B731&lt;=10,Parámetros!$D$104,Parámetros!$D$105))),2))</f>
        <v/>
      </c>
      <c r="AF731" s="66" t="str">
        <f>+IF($W731="","",ROUND(IF($B731&gt;Parámetros!$D$107,'Tablas Servicio'!AC731+('Tablas Servicio'!AG730-'Tablas Servicio'!AC730),(AC731+$A730/frec)/(1-IF(B731&lt;=Parámetros!$D$117,Parámetros!$D$100,0))),2))</f>
        <v/>
      </c>
      <c r="AG731" s="66" t="str">
        <f t="shared" si="955"/>
        <v/>
      </c>
      <c r="AH731" s="66" t="str">
        <f t="shared" si="956"/>
        <v/>
      </c>
      <c r="AI731" s="66" t="str">
        <f t="shared" si="957"/>
        <v/>
      </c>
      <c r="AJ731" s="66" t="str">
        <f>+IF($W731="","",ROUND((AG731*Parámetros!$G$85),2))</f>
        <v/>
      </c>
      <c r="AK731" s="66" t="str">
        <f>+IF($W731="","",ROUND((AG731*(Parámetros!$G$86)),2))</f>
        <v/>
      </c>
      <c r="AL731" s="66" t="str">
        <f t="shared" si="951"/>
        <v/>
      </c>
      <c r="AM731" t="str">
        <f t="shared" si="999"/>
        <v/>
      </c>
      <c r="AN731" t="str">
        <f t="shared" si="1000"/>
        <v/>
      </c>
      <c r="AO731" s="118" t="str">
        <f t="shared" si="1001"/>
        <v/>
      </c>
      <c r="AP731" s="118" t="str">
        <f t="shared" si="1002"/>
        <v/>
      </c>
      <c r="AQ731" s="119" t="str">
        <f>+IF(OR($W731="",AO731=0),"",ROUND((VLOOKUP(ROUNDDOWN($D731-1/frec,0),cob_adi,Z$40,FALSE)*(1+i/frec)^-0.5*(1+Parámetros!$D$103)*(1+rec_fracc)/frec),6))</f>
        <v/>
      </c>
      <c r="AR731" s="66" t="str">
        <f t="shared" si="958"/>
        <v/>
      </c>
      <c r="AS731" s="119" t="str">
        <f t="shared" si="959"/>
        <v/>
      </c>
      <c r="AT731" s="66" t="str">
        <f>+IF($W731="","",ROUND(IF($B731&gt;Parámetros!$D$107,'Tablas Servicio'!AR731+('Tablas Servicio'!AT730-'Tablas Servicio'!AR730),AR731/(1-IF(B731&lt;=10,Parámetros!$D$100,0))),2))</f>
        <v/>
      </c>
      <c r="AU731" s="66" t="str">
        <f t="shared" si="1028"/>
        <v/>
      </c>
      <c r="AV731" s="66" t="str">
        <f t="shared" si="1028"/>
        <v/>
      </c>
      <c r="AW731" s="66" t="str">
        <f>+IF($W731="","",ROUND((AT731*Parámetros!$G$85),2))</f>
        <v/>
      </c>
      <c r="AX731" s="66" t="str">
        <f>+IF($W731="","",ROUND((AT731*(Parámetros!$G$86)),2))</f>
        <v/>
      </c>
      <c r="AY731" s="66" t="str">
        <f t="shared" si="961"/>
        <v/>
      </c>
      <c r="AZ731" t="str">
        <f t="shared" si="1003"/>
        <v/>
      </c>
      <c r="BA731" t="str">
        <f t="shared" si="1004"/>
        <v/>
      </c>
      <c r="BB731" s="118" t="str">
        <f t="shared" si="1005"/>
        <v/>
      </c>
      <c r="BC731" s="118" t="str">
        <f t="shared" si="1006"/>
        <v/>
      </c>
      <c r="BD731" s="119" t="str">
        <f>+IF(OR($W731="",BB731=0),"",ROUND((VLOOKUP(ROUNDDOWN($D731-1/frec,0),cob_adi,AO$40,FALSE)*(1+i/frec)^-0.5*(1+Parámetros!$D$103)*(1+rec_fracc)/frec),6))</f>
        <v/>
      </c>
      <c r="BE731" s="66" t="str">
        <f t="shared" si="962"/>
        <v/>
      </c>
      <c r="BF731" s="119" t="str">
        <f t="shared" si="963"/>
        <v/>
      </c>
      <c r="BG731" s="66" t="str">
        <f>+IF($W731="","",ROUND(IF($B731&gt;Parámetros!$D$107,'Tablas Servicio'!BE731+('Tablas Servicio'!BG730-'Tablas Servicio'!BE730),BE731/(1-IF(B731&lt;=10,Parámetros!$D$100,0))),2))</f>
        <v/>
      </c>
      <c r="BH731" s="66" t="str">
        <f t="shared" si="964"/>
        <v/>
      </c>
      <c r="BI731" s="66" t="str">
        <f t="shared" si="965"/>
        <v/>
      </c>
      <c r="BJ731" s="66" t="str">
        <f>+IF($W731="","",ROUND((BG731*Parámetros!$G$85),2))</f>
        <v/>
      </c>
      <c r="BK731" s="66" t="str">
        <f>+IF($W731="","",ROUND((BG731*(Parámetros!$G$86)),2))</f>
        <v/>
      </c>
      <c r="BL731" s="66" t="str">
        <f t="shared" si="966"/>
        <v/>
      </c>
      <c r="BM731" t="str">
        <f t="shared" si="1007"/>
        <v/>
      </c>
      <c r="BN731" t="str">
        <f t="shared" si="1008"/>
        <v/>
      </c>
      <c r="BO731" s="118" t="str">
        <f t="shared" si="1009"/>
        <v/>
      </c>
      <c r="BP731" s="118" t="str">
        <f t="shared" si="1010"/>
        <v/>
      </c>
      <c r="BQ731" s="119" t="str">
        <f>+IF(OR($W731="",BO731=0),"",ROUND((VLOOKUP(ROUNDDOWN($D731-1/frec,0),cob_adi,BB$40,FALSE)*(1+i/frec)^-0.5*(1+Parámetros!$D$103)*(1+rec_fracc)/frec),6))</f>
        <v/>
      </c>
      <c r="BR731" s="66" t="str">
        <f t="shared" si="967"/>
        <v/>
      </c>
      <c r="BS731" s="119" t="str">
        <f t="shared" si="968"/>
        <v/>
      </c>
      <c r="BT731" s="66" t="str">
        <f>+IF($W731="","",ROUND(IF($B731&gt;Parámetros!$D$107,'Tablas Servicio'!BR731+('Tablas Servicio'!BT730-'Tablas Servicio'!BR730),BR731/(1-IF(B731&lt;=10,Parámetros!$D$100,0))),2))</f>
        <v/>
      </c>
      <c r="BU731" s="66" t="str">
        <f t="shared" si="1029"/>
        <v/>
      </c>
      <c r="BV731" s="66" t="str">
        <f t="shared" si="1029"/>
        <v/>
      </c>
      <c r="BW731" s="66" t="str">
        <f>+IF($W731="","",ROUND((BT731*Parámetros!$G$85),2))</f>
        <v/>
      </c>
      <c r="BX731" s="66" t="str">
        <f>+IF($W731="","",ROUND((BT731*(Parámetros!$G$86)),2))</f>
        <v/>
      </c>
      <c r="BY731" s="66" t="str">
        <f t="shared" si="970"/>
        <v/>
      </c>
      <c r="BZ731" t="str">
        <f t="shared" si="1011"/>
        <v/>
      </c>
      <c r="CA731" t="str">
        <f t="shared" si="1012"/>
        <v/>
      </c>
      <c r="CB731" s="118" t="str">
        <f t="shared" si="1013"/>
        <v/>
      </c>
      <c r="CC731" s="118" t="str">
        <f t="shared" si="1014"/>
        <v/>
      </c>
      <c r="CD731" s="119" t="str">
        <f t="shared" si="971"/>
        <v/>
      </c>
      <c r="CE731" s="66" t="str">
        <f>+IF($W731="","",ROUND((VLOOKUP(ROUNDDOWN($D731-1/frec,0),cob_adi,BO$40,FALSE)*(1+i/frec)^-0.5*(1+Parámetros!$D$103)*(1+rec_fracc)/frec*'TABLAS ADI'!$BC$17),2))</f>
        <v/>
      </c>
      <c r="CF731" s="119" t="str">
        <f t="shared" si="972"/>
        <v/>
      </c>
      <c r="CG731" s="66" t="str">
        <f>+IF($W731="","",ROUND(IF($B731&gt;Parámetros!$D$107,'Tablas Servicio'!CE731+('Tablas Servicio'!CG730-'Tablas Servicio'!CE730),CE731/(1-IF(B731&lt;=10,Parámetros!$D$100,0))),2))</f>
        <v/>
      </c>
      <c r="CH731" s="66" t="str">
        <f t="shared" si="1030"/>
        <v/>
      </c>
      <c r="CI731" s="66" t="str">
        <f t="shared" si="1030"/>
        <v/>
      </c>
      <c r="CJ731" s="66" t="str">
        <f>+IF($W731="","",ROUND((CG731*Parámetros!$G$85),2))</f>
        <v/>
      </c>
      <c r="CK731" s="66" t="str">
        <f>+IF($W731="","",ROUND((CG731*(Parámetros!$G$86)),2))</f>
        <v/>
      </c>
      <c r="CL731" s="66" t="str">
        <f t="shared" si="974"/>
        <v/>
      </c>
      <c r="CM731" t="str">
        <f t="shared" si="1015"/>
        <v/>
      </c>
      <c r="CN731" s="118" t="str">
        <f t="shared" si="1016"/>
        <v/>
      </c>
      <c r="CO731" s="118" t="str">
        <f t="shared" si="1017"/>
        <v/>
      </c>
      <c r="CP731" s="118" t="str">
        <f t="shared" si="1018"/>
        <v/>
      </c>
      <c r="CQ731" s="119" t="str">
        <f t="shared" si="975"/>
        <v/>
      </c>
      <c r="CR731" s="66" t="str">
        <f>+IF($W731="","",ROUND((VLOOKUP(Parámetros!$F$51,'COBERTURAS ADICIONALES'!$S$4:$T$32,2,FALSE)*(1+i/frec)^-0.5*(1+Parámetros!$D$103)*(1+rec_fracc)/frec*$CO$42),2))</f>
        <v/>
      </c>
      <c r="CS731" s="119" t="str">
        <f t="shared" si="976"/>
        <v/>
      </c>
      <c r="CT731" s="66" t="str">
        <f>+IF($W731="","",ROUND(IF($B731&gt;Parámetros!$D$107,'Tablas Servicio'!CR731+('Tablas Servicio'!CT730-'Tablas Servicio'!CR730),CR731/(1-IF(B731&lt;=10,Parámetros!$D$100,0))),2))</f>
        <v/>
      </c>
      <c r="CU731" s="66" t="str">
        <f t="shared" si="1031"/>
        <v/>
      </c>
      <c r="CV731" s="66" t="str">
        <f t="shared" si="1031"/>
        <v/>
      </c>
      <c r="CW731" s="66" t="str">
        <f>+IF($W731="","",ROUND((CT731*Parámetros!$G$85),2))</f>
        <v/>
      </c>
      <c r="CX731" s="66" t="str">
        <f>+IF($W731="","",ROUND((CT731*(Parámetros!$G$86)),2))</f>
        <v/>
      </c>
      <c r="CY731" s="66" t="str">
        <f t="shared" si="978"/>
        <v/>
      </c>
      <c r="CZ731" t="str">
        <f t="shared" si="1019"/>
        <v/>
      </c>
      <c r="DA731" s="118" t="str">
        <f t="shared" si="1020"/>
        <v/>
      </c>
      <c r="DB731" s="118" t="str">
        <f t="shared" si="1021"/>
        <v/>
      </c>
      <c r="DC731" s="118" t="str">
        <f t="shared" si="1022"/>
        <v/>
      </c>
      <c r="DD731" s="121" t="str">
        <f>+IF(OR($W731="",DB731=0),"",ROUND((VLOOKUP(ROUNDDOWN($D731-1/frec,0),cob_adi,CO$40,FALSE)*(1+i/frec)^-0.5*(1+Parámetros!$D$103)*(1+rec_fracc)/frec),6))</f>
        <v/>
      </c>
      <c r="DE731" s="66" t="str">
        <f t="shared" si="979"/>
        <v/>
      </c>
      <c r="DF731" s="119" t="str">
        <f t="shared" si="980"/>
        <v/>
      </c>
      <c r="DG731" s="66" t="str">
        <f>+IF($W731="","",ROUND(IF($B731&gt;Parámetros!$D$107,'Tablas Servicio'!DE731+('Tablas Servicio'!DG730-'Tablas Servicio'!DE730),DE731/(1-IF(B731&lt;=10,Parámetros!$D$100,0))),2))</f>
        <v/>
      </c>
      <c r="DH731" s="66" t="str">
        <f t="shared" si="1032"/>
        <v/>
      </c>
      <c r="DI731" s="66" t="str">
        <f t="shared" si="1032"/>
        <v/>
      </c>
      <c r="DJ731" s="66" t="str">
        <f>+IF($W731="","",ROUND((DG731*Parámetros!$G$85),2))</f>
        <v/>
      </c>
      <c r="DK731" s="66" t="str">
        <f>+IF($W731="","",ROUND((DG731*(Parámetros!$G$86)),2))</f>
        <v/>
      </c>
      <c r="DL731" s="66" t="str">
        <f t="shared" si="982"/>
        <v/>
      </c>
      <c r="DM731" t="str">
        <f t="shared" si="1023"/>
        <v/>
      </c>
      <c r="DN731" s="118" t="str">
        <f t="shared" si="1024"/>
        <v/>
      </c>
      <c r="DO731" s="118" t="str">
        <f t="shared" si="1025"/>
        <v/>
      </c>
      <c r="DP731" s="118" t="str">
        <f t="shared" si="1026"/>
        <v/>
      </c>
      <c r="DQ731" s="122" t="str">
        <f>+IF(OR($W731="",DO731=0),"",ROUND((VLOOKUP(ROUNDDOWN($D731-1/frec,0),cob_adi,DB$40,FALSE)*(1+i/frec)^-0.5*(1+Parámetros!$D$103)*(1+rec_fracc)/frec),6))</f>
        <v/>
      </c>
      <c r="DR731" s="66" t="str">
        <f t="shared" si="983"/>
        <v/>
      </c>
      <c r="DS731" s="68" t="str">
        <f t="shared" si="984"/>
        <v/>
      </c>
      <c r="DT731" s="66" t="str">
        <f>+IF($W731="","",ROUND(IF($B731&gt;Parámetros!$D$107,'Tablas Servicio'!DR731+('Tablas Servicio'!DT730-'Tablas Servicio'!DR730),DR731/(1-IF(B731&lt;=10,Parámetros!$D$100,0))),2))</f>
        <v/>
      </c>
      <c r="DU731" s="66" t="str">
        <f t="shared" si="1033"/>
        <v/>
      </c>
      <c r="DV731" s="66" t="str">
        <f t="shared" si="1033"/>
        <v/>
      </c>
      <c r="DW731" s="66" t="str">
        <f>+IF($W731="","",ROUND((DT731*Parámetros!$G$85),2))</f>
        <v/>
      </c>
      <c r="DX731" s="66" t="str">
        <f>+IF($W731="","",ROUND((DT731*(Parámetros!$G$86)),2))</f>
        <v/>
      </c>
      <c r="DY731" s="66" t="str">
        <f t="shared" si="986"/>
        <v/>
      </c>
      <c r="DZ731" t="str">
        <f t="shared" ref="DZ731:EC746" si="1036">+IF($W731="","",DZ730)</f>
        <v/>
      </c>
      <c r="EA731" s="118" t="str">
        <f t="shared" si="1036"/>
        <v/>
      </c>
      <c r="EB731" s="118" t="str">
        <f>+IF($W731="","",ROUND(IF(Parámetros!$D$25='TABLAS MORT'!$V$33,EB730,Z731/2),0))</f>
        <v/>
      </c>
      <c r="EC731" s="118" t="str">
        <f t="shared" si="1036"/>
        <v/>
      </c>
      <c r="ED731" s="122" t="str">
        <f>+IF(OR($W731="",EB731=0),"",ROUND((VLOOKUP(ROUNDDOWN($D731-1/frec,0),cob_adi,DO$40,FALSE)*(1+i/frec)^-0.5*(1+Parámetros!$D$103)*(1+rec_fracc)/frec),6))</f>
        <v/>
      </c>
      <c r="EE731" s="66" t="str">
        <f t="shared" si="988"/>
        <v/>
      </c>
      <c r="EF731" s="68" t="str">
        <f t="shared" si="989"/>
        <v/>
      </c>
      <c r="EG731" s="66" t="str">
        <f>+IF($W731="","",ROUND(IF($B731&gt;Parámetros!$D$107,'Tablas Servicio'!EE731+('Tablas Servicio'!EG730-'Tablas Servicio'!EE730),EE731/(1-IF(B731&lt;=10,Parámetros!$D$100,0))),2))</f>
        <v/>
      </c>
      <c r="EH731" s="66" t="str">
        <f t="shared" si="1035"/>
        <v/>
      </c>
      <c r="EI731" s="66" t="str">
        <f t="shared" si="1035"/>
        <v/>
      </c>
      <c r="EJ731" s="66" t="str">
        <f>+IF($W731="","",ROUND((EG731*Parámetros!$G$85),2))</f>
        <v/>
      </c>
      <c r="EK731" s="66" t="str">
        <f>+IF($W731="","",ROUND((EG731*(Parámetros!$G$86)),2))</f>
        <v/>
      </c>
      <c r="EL731" s="66" t="str">
        <f t="shared" si="991"/>
        <v/>
      </c>
    </row>
    <row r="732" spans="1:142" x14ac:dyDescent="0.25">
      <c r="A732" t="str">
        <f>+IF($C732="","",ROUND(VLOOKUP('Tablas Servicio'!B732,Parámetros!$H$100:$J$159,IF(Parámetros!$E$16="F",2,3),FALSE),2))</f>
        <v/>
      </c>
      <c r="B732" t="str">
        <f t="shared" si="942"/>
        <v/>
      </c>
      <c r="C732" s="57" t="str">
        <f>+IF(D732="","",'Tablas Servicio'!C731+1)</f>
        <v/>
      </c>
      <c r="D732" s="56" t="str">
        <f>+IF(D731&lt;edadmaxtabla,D731+1/Parámetros!$E$25,"")</f>
        <v/>
      </c>
      <c r="E732" s="57" t="str">
        <f t="shared" si="952"/>
        <v/>
      </c>
      <c r="F732" s="59" t="str">
        <f t="shared" si="953"/>
        <v/>
      </c>
      <c r="G732" s="66" t="str">
        <f t="shared" si="943"/>
        <v/>
      </c>
      <c r="H732" s="66" t="str">
        <f t="shared" si="944"/>
        <v/>
      </c>
      <c r="I732" s="66" t="str">
        <f t="shared" si="992"/>
        <v/>
      </c>
      <c r="J732" s="66" t="str">
        <f t="shared" si="945"/>
        <v/>
      </c>
      <c r="K732" s="66" t="str">
        <f t="shared" si="946"/>
        <v/>
      </c>
      <c r="L732" s="66" t="str">
        <f t="shared" si="947"/>
        <v/>
      </c>
      <c r="M732" s="66" t="str">
        <f t="shared" si="948"/>
        <v/>
      </c>
      <c r="N732" s="66" t="str">
        <f>+IF(C732="","",ROUND(Parámetros!$D$23,2))</f>
        <v/>
      </c>
      <c r="O732" s="66" t="str">
        <f t="shared" si="949"/>
        <v/>
      </c>
      <c r="P732" s="66" t="str">
        <f>+IF($C732="","",ROUND(IF(B732&gt;Parámetros!$D$117,0,N732*Parámetros!$D$116-G732*Parámetros!$D$100),2))</f>
        <v/>
      </c>
      <c r="Q732" s="75" t="str">
        <f t="shared" si="993"/>
        <v/>
      </c>
      <c r="R732" s="75" t="str">
        <f t="shared" si="994"/>
        <v/>
      </c>
      <c r="S732" s="117" t="str">
        <f>+IF($C732="","",ROUND((S731+I732)*(1+Parámetros!$D$91),2))</f>
        <v/>
      </c>
      <c r="T732" s="117" t="str">
        <f>+IF($C732="","",ROUND(S732*VLOOKUP(B732,Parámetros!$C$30:$D$39,2,TRUE),2))</f>
        <v/>
      </c>
      <c r="U732" s="117" t="str">
        <f>+IF($C732="","",ROUND((U731+I732)*(1+Parámetros!$D$92),2))</f>
        <v/>
      </c>
      <c r="V732" s="117" t="str">
        <f>+IF($C732="","",ROUND(U732*VLOOKUP(B732,Parámetros!$C$30:$D$39,2,TRUE),2))</f>
        <v/>
      </c>
      <c r="W732" s="57" t="str">
        <f t="shared" si="995"/>
        <v/>
      </c>
      <c r="X732" t="str">
        <f t="shared" si="996"/>
        <v/>
      </c>
      <c r="Y732" t="str">
        <f t="shared" si="997"/>
        <v/>
      </c>
      <c r="Z732" s="118" t="str">
        <f>+IF($W732="","",ROUND(IF(Parámetros!$D$25='TABLAS MORT'!$V$33,Z731,Parámetros!$D$21-'Tablas Servicio'!T731),0))</f>
        <v/>
      </c>
      <c r="AA732" s="118" t="str">
        <f t="shared" si="998"/>
        <v/>
      </c>
      <c r="AB732" s="119" t="str">
        <f>+IF(W732="","",ROUND((VLOOKUP(ROUNDDOWN($D732-1/frec,0),qx_tabla,2,FALSE)*(1+i/frec)^-0.5*(1+Parámetros!$D$103)*(1+rec_fracc)/frec),6))</f>
        <v/>
      </c>
      <c r="AC732" s="66" t="str">
        <f t="shared" si="954"/>
        <v/>
      </c>
      <c r="AD732" s="119" t="str">
        <f t="shared" si="950"/>
        <v/>
      </c>
      <c r="AE732" s="66" t="str">
        <f>+IF($W732="","",ROUND(IF($B732&gt;Parámetros!$D$107,'Tablas Servicio'!AC732+('Tablas Servicio'!AG731-'Tablas Servicio'!AC731),AC732/(1-IF(B732&lt;=10,Parámetros!$D$104,Parámetros!$D$105))),2))</f>
        <v/>
      </c>
      <c r="AF732" s="66" t="str">
        <f>+IF($W732="","",ROUND(IF($B732&gt;Parámetros!$D$107,'Tablas Servicio'!AC732+('Tablas Servicio'!AG731-'Tablas Servicio'!AC731),(AC732+$A731/frec)/(1-IF(B732&lt;=Parámetros!$D$117,Parámetros!$D$100,0))),2))</f>
        <v/>
      </c>
      <c r="AG732" s="66" t="str">
        <f t="shared" si="955"/>
        <v/>
      </c>
      <c r="AH732" s="66" t="str">
        <f t="shared" si="956"/>
        <v/>
      </c>
      <c r="AI732" s="66" t="str">
        <f t="shared" si="957"/>
        <v/>
      </c>
      <c r="AJ732" s="66" t="str">
        <f>+IF($W732="","",ROUND((AG732*Parámetros!$G$85),2))</f>
        <v/>
      </c>
      <c r="AK732" s="66" t="str">
        <f>+IF($W732="","",ROUND((AG732*(Parámetros!$G$86)),2))</f>
        <v/>
      </c>
      <c r="AL732" s="66" t="str">
        <f t="shared" si="951"/>
        <v/>
      </c>
      <c r="AM732" t="str">
        <f t="shared" si="999"/>
        <v/>
      </c>
      <c r="AN732" t="str">
        <f t="shared" si="1000"/>
        <v/>
      </c>
      <c r="AO732" s="118" t="str">
        <f t="shared" si="1001"/>
        <v/>
      </c>
      <c r="AP732" s="118" t="str">
        <f t="shared" si="1002"/>
        <v/>
      </c>
      <c r="AQ732" s="119" t="str">
        <f>+IF(OR($W732="",AO732=0),"",ROUND((VLOOKUP(ROUNDDOWN($D732-1/frec,0),cob_adi,Z$40,FALSE)*(1+i/frec)^-0.5*(1+Parámetros!$D$103)*(1+rec_fracc)/frec),6))</f>
        <v/>
      </c>
      <c r="AR732" s="66" t="str">
        <f t="shared" si="958"/>
        <v/>
      </c>
      <c r="AS732" s="119" t="str">
        <f t="shared" si="959"/>
        <v/>
      </c>
      <c r="AT732" s="66" t="str">
        <f>+IF($W732="","",ROUND(IF($B732&gt;Parámetros!$D$107,'Tablas Servicio'!AR732+('Tablas Servicio'!AT731-'Tablas Servicio'!AR731),AR732/(1-IF(B732&lt;=10,Parámetros!$D$100,0))),2))</f>
        <v/>
      </c>
      <c r="AU732" s="66" t="str">
        <f t="shared" si="1028"/>
        <v/>
      </c>
      <c r="AV732" s="66" t="str">
        <f t="shared" si="1028"/>
        <v/>
      </c>
      <c r="AW732" s="66" t="str">
        <f>+IF($W732="","",ROUND((AT732*Parámetros!$G$85),2))</f>
        <v/>
      </c>
      <c r="AX732" s="66" t="str">
        <f>+IF($W732="","",ROUND((AT732*(Parámetros!$G$86)),2))</f>
        <v/>
      </c>
      <c r="AY732" s="66" t="str">
        <f t="shared" si="961"/>
        <v/>
      </c>
      <c r="AZ732" t="str">
        <f t="shared" si="1003"/>
        <v/>
      </c>
      <c r="BA732" t="str">
        <f t="shared" si="1004"/>
        <v/>
      </c>
      <c r="BB732" s="118" t="str">
        <f t="shared" si="1005"/>
        <v/>
      </c>
      <c r="BC732" s="118" t="str">
        <f t="shared" si="1006"/>
        <v/>
      </c>
      <c r="BD732" s="119" t="str">
        <f>+IF(OR($W732="",BB732=0),"",ROUND((VLOOKUP(ROUNDDOWN($D732-1/frec,0),cob_adi,AO$40,FALSE)*(1+i/frec)^-0.5*(1+Parámetros!$D$103)*(1+rec_fracc)/frec),6))</f>
        <v/>
      </c>
      <c r="BE732" s="66" t="str">
        <f t="shared" si="962"/>
        <v/>
      </c>
      <c r="BF732" s="119" t="str">
        <f t="shared" si="963"/>
        <v/>
      </c>
      <c r="BG732" s="66" t="str">
        <f>+IF($W732="","",ROUND(IF($B732&gt;Parámetros!$D$107,'Tablas Servicio'!BE732+('Tablas Servicio'!BG731-'Tablas Servicio'!BE731),BE732/(1-IF(B732&lt;=10,Parámetros!$D$100,0))),2))</f>
        <v/>
      </c>
      <c r="BH732" s="66" t="str">
        <f t="shared" si="964"/>
        <v/>
      </c>
      <c r="BI732" s="66" t="str">
        <f t="shared" si="965"/>
        <v/>
      </c>
      <c r="BJ732" s="66" t="str">
        <f>+IF($W732="","",ROUND((BG732*Parámetros!$G$85),2))</f>
        <v/>
      </c>
      <c r="BK732" s="66" t="str">
        <f>+IF($W732="","",ROUND((BG732*(Parámetros!$G$86)),2))</f>
        <v/>
      </c>
      <c r="BL732" s="66" t="str">
        <f t="shared" si="966"/>
        <v/>
      </c>
      <c r="BM732" t="str">
        <f t="shared" si="1007"/>
        <v/>
      </c>
      <c r="BN732" t="str">
        <f t="shared" si="1008"/>
        <v/>
      </c>
      <c r="BO732" s="118" t="str">
        <f t="shared" si="1009"/>
        <v/>
      </c>
      <c r="BP732" s="118" t="str">
        <f t="shared" si="1010"/>
        <v/>
      </c>
      <c r="BQ732" s="119" t="str">
        <f>+IF(OR($W732="",BO732=0),"",ROUND((VLOOKUP(ROUNDDOWN($D732-1/frec,0),cob_adi,BB$40,FALSE)*(1+i/frec)^-0.5*(1+Parámetros!$D$103)*(1+rec_fracc)/frec),6))</f>
        <v/>
      </c>
      <c r="BR732" s="66" t="str">
        <f t="shared" si="967"/>
        <v/>
      </c>
      <c r="BS732" s="119" t="str">
        <f t="shared" si="968"/>
        <v/>
      </c>
      <c r="BT732" s="66" t="str">
        <f>+IF($W732="","",ROUND(IF($B732&gt;Parámetros!$D$107,'Tablas Servicio'!BR732+('Tablas Servicio'!BT731-'Tablas Servicio'!BR731),BR732/(1-IF(B732&lt;=10,Parámetros!$D$100,0))),2))</f>
        <v/>
      </c>
      <c r="BU732" s="66" t="str">
        <f t="shared" si="1029"/>
        <v/>
      </c>
      <c r="BV732" s="66" t="str">
        <f t="shared" si="1029"/>
        <v/>
      </c>
      <c r="BW732" s="66" t="str">
        <f>+IF($W732="","",ROUND((BT732*Parámetros!$G$85),2))</f>
        <v/>
      </c>
      <c r="BX732" s="66" t="str">
        <f>+IF($W732="","",ROUND((BT732*(Parámetros!$G$86)),2))</f>
        <v/>
      </c>
      <c r="BY732" s="66" t="str">
        <f t="shared" si="970"/>
        <v/>
      </c>
      <c r="BZ732" t="str">
        <f t="shared" si="1011"/>
        <v/>
      </c>
      <c r="CA732" t="str">
        <f t="shared" si="1012"/>
        <v/>
      </c>
      <c r="CB732" s="118" t="str">
        <f t="shared" si="1013"/>
        <v/>
      </c>
      <c r="CC732" s="118" t="str">
        <f t="shared" si="1014"/>
        <v/>
      </c>
      <c r="CD732" s="119" t="str">
        <f t="shared" si="971"/>
        <v/>
      </c>
      <c r="CE732" s="66" t="str">
        <f>+IF($W732="","",ROUND((VLOOKUP(ROUNDDOWN($D732-1/frec,0),cob_adi,BO$40,FALSE)*(1+i/frec)^-0.5*(1+Parámetros!$D$103)*(1+rec_fracc)/frec*'TABLAS ADI'!$BC$17),2))</f>
        <v/>
      </c>
      <c r="CF732" s="119" t="str">
        <f t="shared" si="972"/>
        <v/>
      </c>
      <c r="CG732" s="66" t="str">
        <f>+IF($W732="","",ROUND(IF($B732&gt;Parámetros!$D$107,'Tablas Servicio'!CE732+('Tablas Servicio'!CG731-'Tablas Servicio'!CE731),CE732/(1-IF(B732&lt;=10,Parámetros!$D$100,0))),2))</f>
        <v/>
      </c>
      <c r="CH732" s="66" t="str">
        <f t="shared" si="1030"/>
        <v/>
      </c>
      <c r="CI732" s="66" t="str">
        <f t="shared" si="1030"/>
        <v/>
      </c>
      <c r="CJ732" s="66" t="str">
        <f>+IF($W732="","",ROUND((CG732*Parámetros!$G$85),2))</f>
        <v/>
      </c>
      <c r="CK732" s="66" t="str">
        <f>+IF($W732="","",ROUND((CG732*(Parámetros!$G$86)),2))</f>
        <v/>
      </c>
      <c r="CL732" s="66" t="str">
        <f t="shared" si="974"/>
        <v/>
      </c>
      <c r="CM732" t="str">
        <f t="shared" si="1015"/>
        <v/>
      </c>
      <c r="CN732" s="118" t="str">
        <f t="shared" si="1016"/>
        <v/>
      </c>
      <c r="CO732" s="118" t="str">
        <f t="shared" si="1017"/>
        <v/>
      </c>
      <c r="CP732" s="118" t="str">
        <f t="shared" si="1018"/>
        <v/>
      </c>
      <c r="CQ732" s="119" t="str">
        <f t="shared" si="975"/>
        <v/>
      </c>
      <c r="CR732" s="66" t="str">
        <f>+IF($W732="","",ROUND((VLOOKUP(Parámetros!$F$51,'COBERTURAS ADICIONALES'!$S$4:$T$32,2,FALSE)*(1+i/frec)^-0.5*(1+Parámetros!$D$103)*(1+rec_fracc)/frec*$CO$42),2))</f>
        <v/>
      </c>
      <c r="CS732" s="119" t="str">
        <f t="shared" si="976"/>
        <v/>
      </c>
      <c r="CT732" s="66" t="str">
        <f>+IF($W732="","",ROUND(IF($B732&gt;Parámetros!$D$107,'Tablas Servicio'!CR732+('Tablas Servicio'!CT731-'Tablas Servicio'!CR731),CR732/(1-IF(B732&lt;=10,Parámetros!$D$100,0))),2))</f>
        <v/>
      </c>
      <c r="CU732" s="66" t="str">
        <f t="shared" si="1031"/>
        <v/>
      </c>
      <c r="CV732" s="66" t="str">
        <f t="shared" si="1031"/>
        <v/>
      </c>
      <c r="CW732" s="66" t="str">
        <f>+IF($W732="","",ROUND((CT732*Parámetros!$G$85),2))</f>
        <v/>
      </c>
      <c r="CX732" s="66" t="str">
        <f>+IF($W732="","",ROUND((CT732*(Parámetros!$G$86)),2))</f>
        <v/>
      </c>
      <c r="CY732" s="66" t="str">
        <f t="shared" si="978"/>
        <v/>
      </c>
      <c r="CZ732" t="str">
        <f t="shared" si="1019"/>
        <v/>
      </c>
      <c r="DA732" s="118" t="str">
        <f t="shared" si="1020"/>
        <v/>
      </c>
      <c r="DB732" s="118" t="str">
        <f t="shared" si="1021"/>
        <v/>
      </c>
      <c r="DC732" s="118" t="str">
        <f t="shared" si="1022"/>
        <v/>
      </c>
      <c r="DD732" s="121" t="str">
        <f>+IF(OR($W732="",DB732=0),"",ROUND((VLOOKUP(ROUNDDOWN($D732-1/frec,0),cob_adi,CO$40,FALSE)*(1+i/frec)^-0.5*(1+Parámetros!$D$103)*(1+rec_fracc)/frec),6))</f>
        <v/>
      </c>
      <c r="DE732" s="66" t="str">
        <f t="shared" si="979"/>
        <v/>
      </c>
      <c r="DF732" s="119" t="str">
        <f t="shared" si="980"/>
        <v/>
      </c>
      <c r="DG732" s="66" t="str">
        <f>+IF($W732="","",ROUND(IF($B732&gt;Parámetros!$D$107,'Tablas Servicio'!DE732+('Tablas Servicio'!DG731-'Tablas Servicio'!DE731),DE732/(1-IF(B732&lt;=10,Parámetros!$D$100,0))),2))</f>
        <v/>
      </c>
      <c r="DH732" s="66" t="str">
        <f t="shared" si="1032"/>
        <v/>
      </c>
      <c r="DI732" s="66" t="str">
        <f t="shared" si="1032"/>
        <v/>
      </c>
      <c r="DJ732" s="66" t="str">
        <f>+IF($W732="","",ROUND((DG732*Parámetros!$G$85),2))</f>
        <v/>
      </c>
      <c r="DK732" s="66" t="str">
        <f>+IF($W732="","",ROUND((DG732*(Parámetros!$G$86)),2))</f>
        <v/>
      </c>
      <c r="DL732" s="66" t="str">
        <f t="shared" si="982"/>
        <v/>
      </c>
      <c r="DM732" t="str">
        <f t="shared" si="1023"/>
        <v/>
      </c>
      <c r="DN732" s="118" t="str">
        <f t="shared" si="1024"/>
        <v/>
      </c>
      <c r="DO732" s="118" t="str">
        <f t="shared" si="1025"/>
        <v/>
      </c>
      <c r="DP732" s="118" t="str">
        <f t="shared" si="1026"/>
        <v/>
      </c>
      <c r="DQ732" s="122" t="str">
        <f>+IF(OR($W732="",DO732=0),"",ROUND((VLOOKUP(ROUNDDOWN($D732-1/frec,0),cob_adi,DB$40,FALSE)*(1+i/frec)^-0.5*(1+Parámetros!$D$103)*(1+rec_fracc)/frec),6))</f>
        <v/>
      </c>
      <c r="DR732" s="66" t="str">
        <f t="shared" si="983"/>
        <v/>
      </c>
      <c r="DS732" s="68" t="str">
        <f t="shared" si="984"/>
        <v/>
      </c>
      <c r="DT732" s="66" t="str">
        <f>+IF($W732="","",ROUND(IF($B732&gt;Parámetros!$D$107,'Tablas Servicio'!DR732+('Tablas Servicio'!DT731-'Tablas Servicio'!DR731),DR732/(1-IF(B732&lt;=10,Parámetros!$D$100,0))),2))</f>
        <v/>
      </c>
      <c r="DU732" s="66" t="str">
        <f t="shared" si="1033"/>
        <v/>
      </c>
      <c r="DV732" s="66" t="str">
        <f t="shared" si="1033"/>
        <v/>
      </c>
      <c r="DW732" s="66" t="str">
        <f>+IF($W732="","",ROUND((DT732*Parámetros!$G$85),2))</f>
        <v/>
      </c>
      <c r="DX732" s="66" t="str">
        <f>+IF($W732="","",ROUND((DT732*(Parámetros!$G$86)),2))</f>
        <v/>
      </c>
      <c r="DY732" s="66" t="str">
        <f t="shared" si="986"/>
        <v/>
      </c>
      <c r="DZ732" t="str">
        <f t="shared" si="1036"/>
        <v/>
      </c>
      <c r="EA732" s="118" t="str">
        <f t="shared" si="1036"/>
        <v/>
      </c>
      <c r="EB732" s="118" t="str">
        <f>+IF($W732="","",ROUND(IF(Parámetros!$D$25='TABLAS MORT'!$V$33,EB731,Z732/2),0))</f>
        <v/>
      </c>
      <c r="EC732" s="118" t="str">
        <f t="shared" si="1036"/>
        <v/>
      </c>
      <c r="ED732" s="122" t="str">
        <f>+IF(OR($W732="",EB732=0),"",ROUND((VLOOKUP(ROUNDDOWN($D732-1/frec,0),cob_adi,DO$40,FALSE)*(1+i/frec)^-0.5*(1+Parámetros!$D$103)*(1+rec_fracc)/frec),6))</f>
        <v/>
      </c>
      <c r="EE732" s="66" t="str">
        <f t="shared" si="988"/>
        <v/>
      </c>
      <c r="EF732" s="68" t="str">
        <f t="shared" si="989"/>
        <v/>
      </c>
      <c r="EG732" s="66" t="str">
        <f>+IF($W732="","",ROUND(IF($B732&gt;Parámetros!$D$107,'Tablas Servicio'!EE732+('Tablas Servicio'!EG731-'Tablas Servicio'!EE731),EE732/(1-IF(B732&lt;=10,Parámetros!$D$100,0))),2))</f>
        <v/>
      </c>
      <c r="EH732" s="66" t="str">
        <f t="shared" si="1035"/>
        <v/>
      </c>
      <c r="EI732" s="66" t="str">
        <f t="shared" si="1035"/>
        <v/>
      </c>
      <c r="EJ732" s="66" t="str">
        <f>+IF($W732="","",ROUND((EG732*Parámetros!$G$85),2))</f>
        <v/>
      </c>
      <c r="EK732" s="66" t="str">
        <f>+IF($W732="","",ROUND((EG732*(Parámetros!$G$86)),2))</f>
        <v/>
      </c>
      <c r="EL732" s="66" t="str">
        <f t="shared" si="991"/>
        <v/>
      </c>
    </row>
    <row r="733" spans="1:142" x14ac:dyDescent="0.25">
      <c r="A733" t="str">
        <f>+IF($C733="","",ROUND(VLOOKUP('Tablas Servicio'!B733,Parámetros!$H$100:$J$159,IF(Parámetros!$E$16="F",2,3),FALSE),2))</f>
        <v/>
      </c>
      <c r="B733" t="str">
        <f t="shared" si="942"/>
        <v/>
      </c>
      <c r="C733" s="57" t="str">
        <f>+IF(D733="","",'Tablas Servicio'!C732+1)</f>
        <v/>
      </c>
      <c r="D733" s="56" t="str">
        <f>+IF(D732&lt;edadmaxtabla,D732+1/Parámetros!$E$25,"")</f>
        <v/>
      </c>
      <c r="E733" s="57" t="str">
        <f t="shared" si="952"/>
        <v/>
      </c>
      <c r="F733" s="59" t="str">
        <f t="shared" si="953"/>
        <v/>
      </c>
      <c r="G733" s="66" t="str">
        <f t="shared" si="943"/>
        <v/>
      </c>
      <c r="H733" s="66" t="str">
        <f t="shared" si="944"/>
        <v/>
      </c>
      <c r="I733" s="66" t="str">
        <f t="shared" si="992"/>
        <v/>
      </c>
      <c r="J733" s="66" t="str">
        <f t="shared" si="945"/>
        <v/>
      </c>
      <c r="K733" s="66" t="str">
        <f t="shared" si="946"/>
        <v/>
      </c>
      <c r="L733" s="66" t="str">
        <f t="shared" si="947"/>
        <v/>
      </c>
      <c r="M733" s="66" t="str">
        <f t="shared" si="948"/>
        <v/>
      </c>
      <c r="N733" s="66" t="str">
        <f>+IF(C733="","",ROUND(Parámetros!$D$23,2))</f>
        <v/>
      </c>
      <c r="O733" s="66" t="str">
        <f t="shared" si="949"/>
        <v/>
      </c>
      <c r="P733" s="66" t="str">
        <f>+IF($C733="","",ROUND(IF(B733&gt;Parámetros!$D$117,0,N733*Parámetros!$D$116-G733*Parámetros!$D$100),2))</f>
        <v/>
      </c>
      <c r="Q733" s="75" t="str">
        <f t="shared" si="993"/>
        <v/>
      </c>
      <c r="R733" s="75" t="str">
        <f t="shared" si="994"/>
        <v/>
      </c>
      <c r="S733" s="117" t="str">
        <f>+IF($C733="","",ROUND((S732+I733)*(1+Parámetros!$D$91),2))</f>
        <v/>
      </c>
      <c r="T733" s="117" t="str">
        <f>+IF($C733="","",ROUND(S733*VLOOKUP(B733,Parámetros!$C$30:$D$39,2,TRUE),2))</f>
        <v/>
      </c>
      <c r="U733" s="117" t="str">
        <f>+IF($C733="","",ROUND((U732+I733)*(1+Parámetros!$D$92),2))</f>
        <v/>
      </c>
      <c r="V733" s="117" t="str">
        <f>+IF($C733="","",ROUND(U733*VLOOKUP(B733,Parámetros!$C$30:$D$39,2,TRUE),2))</f>
        <v/>
      </c>
      <c r="W733" s="57" t="str">
        <f t="shared" si="995"/>
        <v/>
      </c>
      <c r="X733" t="str">
        <f t="shared" si="996"/>
        <v/>
      </c>
      <c r="Y733" t="str">
        <f t="shared" si="997"/>
        <v/>
      </c>
      <c r="Z733" s="118" t="str">
        <f>+IF($W733="","",ROUND(IF(Parámetros!$D$25='TABLAS MORT'!$V$33,Z732,Parámetros!$D$21-'Tablas Servicio'!T732),0))</f>
        <v/>
      </c>
      <c r="AA733" s="118" t="str">
        <f t="shared" si="998"/>
        <v/>
      </c>
      <c r="AB733" s="119" t="str">
        <f>+IF(W733="","",ROUND((VLOOKUP(ROUNDDOWN($D733-1/frec,0),qx_tabla,2,FALSE)*(1+i/frec)^-0.5*(1+Parámetros!$D$103)*(1+rec_fracc)/frec),6))</f>
        <v/>
      </c>
      <c r="AC733" s="66" t="str">
        <f t="shared" si="954"/>
        <v/>
      </c>
      <c r="AD733" s="119" t="str">
        <f t="shared" si="950"/>
        <v/>
      </c>
      <c r="AE733" s="66" t="str">
        <f>+IF($W733="","",ROUND(IF($B733&gt;Parámetros!$D$107,'Tablas Servicio'!AC733+('Tablas Servicio'!AG732-'Tablas Servicio'!AC732),AC733/(1-IF(B733&lt;=10,Parámetros!$D$104,Parámetros!$D$105))),2))</f>
        <v/>
      </c>
      <c r="AF733" s="66" t="str">
        <f>+IF($W733="","",ROUND(IF($B733&gt;Parámetros!$D$107,'Tablas Servicio'!AC733+('Tablas Servicio'!AG732-'Tablas Servicio'!AC732),(AC733+$A732/frec)/(1-IF(B733&lt;=Parámetros!$D$117,Parámetros!$D$100,0))),2))</f>
        <v/>
      </c>
      <c r="AG733" s="66" t="str">
        <f t="shared" si="955"/>
        <v/>
      </c>
      <c r="AH733" s="66" t="str">
        <f t="shared" si="956"/>
        <v/>
      </c>
      <c r="AI733" s="66" t="str">
        <f t="shared" si="957"/>
        <v/>
      </c>
      <c r="AJ733" s="66" t="str">
        <f>+IF($W733="","",ROUND((AG733*Parámetros!$G$85),2))</f>
        <v/>
      </c>
      <c r="AK733" s="66" t="str">
        <f>+IF($W733="","",ROUND((AG733*(Parámetros!$G$86)),2))</f>
        <v/>
      </c>
      <c r="AL733" s="66" t="str">
        <f t="shared" si="951"/>
        <v/>
      </c>
      <c r="AM733" t="str">
        <f t="shared" si="999"/>
        <v/>
      </c>
      <c r="AN733" t="str">
        <f t="shared" si="1000"/>
        <v/>
      </c>
      <c r="AO733" s="118" t="str">
        <f t="shared" si="1001"/>
        <v/>
      </c>
      <c r="AP733" s="118" t="str">
        <f t="shared" si="1002"/>
        <v/>
      </c>
      <c r="AQ733" s="119" t="str">
        <f>+IF(OR($W733="",AO733=0),"",ROUND((VLOOKUP(ROUNDDOWN($D733-1/frec,0),cob_adi,Z$40,FALSE)*(1+i/frec)^-0.5*(1+Parámetros!$D$103)*(1+rec_fracc)/frec),6))</f>
        <v/>
      </c>
      <c r="AR733" s="66" t="str">
        <f t="shared" si="958"/>
        <v/>
      </c>
      <c r="AS733" s="119" t="str">
        <f t="shared" si="959"/>
        <v/>
      </c>
      <c r="AT733" s="66" t="str">
        <f>+IF($W733="","",ROUND(IF($B733&gt;Parámetros!$D$107,'Tablas Servicio'!AR733+('Tablas Servicio'!AT732-'Tablas Servicio'!AR732),AR733/(1-IF(B733&lt;=10,Parámetros!$D$100,0))),2))</f>
        <v/>
      </c>
      <c r="AU733" s="66" t="str">
        <f t="shared" si="1028"/>
        <v/>
      </c>
      <c r="AV733" s="66" t="str">
        <f t="shared" si="1028"/>
        <v/>
      </c>
      <c r="AW733" s="66" t="str">
        <f>+IF($W733="","",ROUND((AT733*Parámetros!$G$85),2))</f>
        <v/>
      </c>
      <c r="AX733" s="66" t="str">
        <f>+IF($W733="","",ROUND((AT733*(Parámetros!$G$86)),2))</f>
        <v/>
      </c>
      <c r="AY733" s="66" t="str">
        <f t="shared" si="961"/>
        <v/>
      </c>
      <c r="AZ733" t="str">
        <f t="shared" si="1003"/>
        <v/>
      </c>
      <c r="BA733" t="str">
        <f t="shared" si="1004"/>
        <v/>
      </c>
      <c r="BB733" s="118" t="str">
        <f t="shared" si="1005"/>
        <v/>
      </c>
      <c r="BC733" s="118" t="str">
        <f t="shared" si="1006"/>
        <v/>
      </c>
      <c r="BD733" s="119" t="str">
        <f>+IF(OR($W733="",BB733=0),"",ROUND((VLOOKUP(ROUNDDOWN($D733-1/frec,0),cob_adi,AO$40,FALSE)*(1+i/frec)^-0.5*(1+Parámetros!$D$103)*(1+rec_fracc)/frec),6))</f>
        <v/>
      </c>
      <c r="BE733" s="66" t="str">
        <f t="shared" si="962"/>
        <v/>
      </c>
      <c r="BF733" s="119" t="str">
        <f t="shared" si="963"/>
        <v/>
      </c>
      <c r="BG733" s="66" t="str">
        <f>+IF($W733="","",ROUND(IF($B733&gt;Parámetros!$D$107,'Tablas Servicio'!BE733+('Tablas Servicio'!BG732-'Tablas Servicio'!BE732),BE733/(1-IF(B733&lt;=10,Parámetros!$D$100,0))),2))</f>
        <v/>
      </c>
      <c r="BH733" s="66" t="str">
        <f t="shared" si="964"/>
        <v/>
      </c>
      <c r="BI733" s="66" t="str">
        <f t="shared" si="965"/>
        <v/>
      </c>
      <c r="BJ733" s="66" t="str">
        <f>+IF($W733="","",ROUND((BG733*Parámetros!$G$85),2))</f>
        <v/>
      </c>
      <c r="BK733" s="66" t="str">
        <f>+IF($W733="","",ROUND((BG733*(Parámetros!$G$86)),2))</f>
        <v/>
      </c>
      <c r="BL733" s="66" t="str">
        <f t="shared" si="966"/>
        <v/>
      </c>
      <c r="BM733" t="str">
        <f t="shared" si="1007"/>
        <v/>
      </c>
      <c r="BN733" t="str">
        <f t="shared" si="1008"/>
        <v/>
      </c>
      <c r="BO733" s="118" t="str">
        <f t="shared" si="1009"/>
        <v/>
      </c>
      <c r="BP733" s="118" t="str">
        <f t="shared" si="1010"/>
        <v/>
      </c>
      <c r="BQ733" s="119" t="str">
        <f>+IF(OR($W733="",BO733=0),"",ROUND((VLOOKUP(ROUNDDOWN($D733-1/frec,0),cob_adi,BB$40,FALSE)*(1+i/frec)^-0.5*(1+Parámetros!$D$103)*(1+rec_fracc)/frec),6))</f>
        <v/>
      </c>
      <c r="BR733" s="66" t="str">
        <f t="shared" si="967"/>
        <v/>
      </c>
      <c r="BS733" s="119" t="str">
        <f t="shared" si="968"/>
        <v/>
      </c>
      <c r="BT733" s="66" t="str">
        <f>+IF($W733="","",ROUND(IF($B733&gt;Parámetros!$D$107,'Tablas Servicio'!BR733+('Tablas Servicio'!BT732-'Tablas Servicio'!BR732),BR733/(1-IF(B733&lt;=10,Parámetros!$D$100,0))),2))</f>
        <v/>
      </c>
      <c r="BU733" s="66" t="str">
        <f t="shared" si="1029"/>
        <v/>
      </c>
      <c r="BV733" s="66" t="str">
        <f t="shared" si="1029"/>
        <v/>
      </c>
      <c r="BW733" s="66" t="str">
        <f>+IF($W733="","",ROUND((BT733*Parámetros!$G$85),2))</f>
        <v/>
      </c>
      <c r="BX733" s="66" t="str">
        <f>+IF($W733="","",ROUND((BT733*(Parámetros!$G$86)),2))</f>
        <v/>
      </c>
      <c r="BY733" s="66" t="str">
        <f t="shared" si="970"/>
        <v/>
      </c>
      <c r="BZ733" t="str">
        <f t="shared" si="1011"/>
        <v/>
      </c>
      <c r="CA733" t="str">
        <f t="shared" si="1012"/>
        <v/>
      </c>
      <c r="CB733" s="118" t="str">
        <f t="shared" si="1013"/>
        <v/>
      </c>
      <c r="CC733" s="118" t="str">
        <f t="shared" si="1014"/>
        <v/>
      </c>
      <c r="CD733" s="119" t="str">
        <f t="shared" si="971"/>
        <v/>
      </c>
      <c r="CE733" s="66" t="str">
        <f>+IF($W733="","",ROUND((VLOOKUP(ROUNDDOWN($D733-1/frec,0),cob_adi,BO$40,FALSE)*(1+i/frec)^-0.5*(1+Parámetros!$D$103)*(1+rec_fracc)/frec*'TABLAS ADI'!$BC$17),2))</f>
        <v/>
      </c>
      <c r="CF733" s="119" t="str">
        <f t="shared" si="972"/>
        <v/>
      </c>
      <c r="CG733" s="66" t="str">
        <f>+IF($W733="","",ROUND(IF($B733&gt;Parámetros!$D$107,'Tablas Servicio'!CE733+('Tablas Servicio'!CG732-'Tablas Servicio'!CE732),CE733/(1-IF(B733&lt;=10,Parámetros!$D$100,0))),2))</f>
        <v/>
      </c>
      <c r="CH733" s="66" t="str">
        <f t="shared" si="1030"/>
        <v/>
      </c>
      <c r="CI733" s="66" t="str">
        <f t="shared" si="1030"/>
        <v/>
      </c>
      <c r="CJ733" s="66" t="str">
        <f>+IF($W733="","",ROUND((CG733*Parámetros!$G$85),2))</f>
        <v/>
      </c>
      <c r="CK733" s="66" t="str">
        <f>+IF($W733="","",ROUND((CG733*(Parámetros!$G$86)),2))</f>
        <v/>
      </c>
      <c r="CL733" s="66" t="str">
        <f t="shared" si="974"/>
        <v/>
      </c>
      <c r="CM733" t="str">
        <f t="shared" si="1015"/>
        <v/>
      </c>
      <c r="CN733" s="118" t="str">
        <f t="shared" si="1016"/>
        <v/>
      </c>
      <c r="CO733" s="118" t="str">
        <f t="shared" si="1017"/>
        <v/>
      </c>
      <c r="CP733" s="118" t="str">
        <f t="shared" si="1018"/>
        <v/>
      </c>
      <c r="CQ733" s="119" t="str">
        <f t="shared" si="975"/>
        <v/>
      </c>
      <c r="CR733" s="66" t="str">
        <f>+IF($W733="","",ROUND((VLOOKUP(Parámetros!$F$51,'COBERTURAS ADICIONALES'!$S$4:$T$32,2,FALSE)*(1+i/frec)^-0.5*(1+Parámetros!$D$103)*(1+rec_fracc)/frec*$CO$42),2))</f>
        <v/>
      </c>
      <c r="CS733" s="119" t="str">
        <f t="shared" si="976"/>
        <v/>
      </c>
      <c r="CT733" s="66" t="str">
        <f>+IF($W733="","",ROUND(IF($B733&gt;Parámetros!$D$107,'Tablas Servicio'!CR733+('Tablas Servicio'!CT732-'Tablas Servicio'!CR732),CR733/(1-IF(B733&lt;=10,Parámetros!$D$100,0))),2))</f>
        <v/>
      </c>
      <c r="CU733" s="66" t="str">
        <f t="shared" si="1031"/>
        <v/>
      </c>
      <c r="CV733" s="66" t="str">
        <f t="shared" si="1031"/>
        <v/>
      </c>
      <c r="CW733" s="66" t="str">
        <f>+IF($W733="","",ROUND((CT733*Parámetros!$G$85),2))</f>
        <v/>
      </c>
      <c r="CX733" s="66" t="str">
        <f>+IF($W733="","",ROUND((CT733*(Parámetros!$G$86)),2))</f>
        <v/>
      </c>
      <c r="CY733" s="66" t="str">
        <f t="shared" si="978"/>
        <v/>
      </c>
      <c r="CZ733" t="str">
        <f t="shared" si="1019"/>
        <v/>
      </c>
      <c r="DA733" s="118" t="str">
        <f t="shared" si="1020"/>
        <v/>
      </c>
      <c r="DB733" s="118" t="str">
        <f t="shared" si="1021"/>
        <v/>
      </c>
      <c r="DC733" s="118" t="str">
        <f t="shared" si="1022"/>
        <v/>
      </c>
      <c r="DD733" s="121" t="str">
        <f>+IF(OR($W733="",DB733=0),"",ROUND((VLOOKUP(ROUNDDOWN($D733-1/frec,0),cob_adi,CO$40,FALSE)*(1+i/frec)^-0.5*(1+Parámetros!$D$103)*(1+rec_fracc)/frec),6))</f>
        <v/>
      </c>
      <c r="DE733" s="66" t="str">
        <f t="shared" si="979"/>
        <v/>
      </c>
      <c r="DF733" s="119" t="str">
        <f t="shared" si="980"/>
        <v/>
      </c>
      <c r="DG733" s="66" t="str">
        <f>+IF($W733="","",ROUND(IF($B733&gt;Parámetros!$D$107,'Tablas Servicio'!DE733+('Tablas Servicio'!DG732-'Tablas Servicio'!DE732),DE733/(1-IF(B733&lt;=10,Parámetros!$D$100,0))),2))</f>
        <v/>
      </c>
      <c r="DH733" s="66" t="str">
        <f t="shared" si="1032"/>
        <v/>
      </c>
      <c r="DI733" s="66" t="str">
        <f t="shared" si="1032"/>
        <v/>
      </c>
      <c r="DJ733" s="66" t="str">
        <f>+IF($W733="","",ROUND((DG733*Parámetros!$G$85),2))</f>
        <v/>
      </c>
      <c r="DK733" s="66" t="str">
        <f>+IF($W733="","",ROUND((DG733*(Parámetros!$G$86)),2))</f>
        <v/>
      </c>
      <c r="DL733" s="66" t="str">
        <f t="shared" si="982"/>
        <v/>
      </c>
      <c r="DM733" t="str">
        <f t="shared" si="1023"/>
        <v/>
      </c>
      <c r="DN733" s="118" t="str">
        <f t="shared" si="1024"/>
        <v/>
      </c>
      <c r="DO733" s="118" t="str">
        <f t="shared" si="1025"/>
        <v/>
      </c>
      <c r="DP733" s="118" t="str">
        <f t="shared" si="1026"/>
        <v/>
      </c>
      <c r="DQ733" s="122" t="str">
        <f>+IF(OR($W733="",DO733=0),"",ROUND((VLOOKUP(ROUNDDOWN($D733-1/frec,0),cob_adi,DB$40,FALSE)*(1+i/frec)^-0.5*(1+Parámetros!$D$103)*(1+rec_fracc)/frec),6))</f>
        <v/>
      </c>
      <c r="DR733" s="66" t="str">
        <f t="shared" si="983"/>
        <v/>
      </c>
      <c r="DS733" s="68" t="str">
        <f t="shared" si="984"/>
        <v/>
      </c>
      <c r="DT733" s="66" t="str">
        <f>+IF($W733="","",ROUND(IF($B733&gt;Parámetros!$D$107,'Tablas Servicio'!DR733+('Tablas Servicio'!DT732-'Tablas Servicio'!DR732),DR733/(1-IF(B733&lt;=10,Parámetros!$D$100,0))),2))</f>
        <v/>
      </c>
      <c r="DU733" s="66" t="str">
        <f t="shared" si="1033"/>
        <v/>
      </c>
      <c r="DV733" s="66" t="str">
        <f t="shared" si="1033"/>
        <v/>
      </c>
      <c r="DW733" s="66" t="str">
        <f>+IF($W733="","",ROUND((DT733*Parámetros!$G$85),2))</f>
        <v/>
      </c>
      <c r="DX733" s="66" t="str">
        <f>+IF($W733="","",ROUND((DT733*(Parámetros!$G$86)),2))</f>
        <v/>
      </c>
      <c r="DY733" s="66" t="str">
        <f t="shared" si="986"/>
        <v/>
      </c>
      <c r="DZ733" t="str">
        <f t="shared" si="1036"/>
        <v/>
      </c>
      <c r="EA733" s="118" t="str">
        <f t="shared" si="1036"/>
        <v/>
      </c>
      <c r="EB733" s="118" t="str">
        <f>+IF($W733="","",ROUND(IF(Parámetros!$D$25='TABLAS MORT'!$V$33,EB732,Z733/2),0))</f>
        <v/>
      </c>
      <c r="EC733" s="118" t="str">
        <f t="shared" si="1036"/>
        <v/>
      </c>
      <c r="ED733" s="122" t="str">
        <f>+IF(OR($W733="",EB733=0),"",ROUND((VLOOKUP(ROUNDDOWN($D733-1/frec,0),cob_adi,DO$40,FALSE)*(1+i/frec)^-0.5*(1+Parámetros!$D$103)*(1+rec_fracc)/frec),6))</f>
        <v/>
      </c>
      <c r="EE733" s="66" t="str">
        <f t="shared" si="988"/>
        <v/>
      </c>
      <c r="EF733" s="68" t="str">
        <f t="shared" si="989"/>
        <v/>
      </c>
      <c r="EG733" s="66" t="str">
        <f>+IF($W733="","",ROUND(IF($B733&gt;Parámetros!$D$107,'Tablas Servicio'!EE733+('Tablas Servicio'!EG732-'Tablas Servicio'!EE732),EE733/(1-IF(B733&lt;=10,Parámetros!$D$100,0))),2))</f>
        <v/>
      </c>
      <c r="EH733" s="66" t="str">
        <f t="shared" si="1035"/>
        <v/>
      </c>
      <c r="EI733" s="66" t="str">
        <f t="shared" si="1035"/>
        <v/>
      </c>
      <c r="EJ733" s="66" t="str">
        <f>+IF($W733="","",ROUND((EG733*Parámetros!$G$85),2))</f>
        <v/>
      </c>
      <c r="EK733" s="66" t="str">
        <f>+IF($W733="","",ROUND((EG733*(Parámetros!$G$86)),2))</f>
        <v/>
      </c>
      <c r="EL733" s="66" t="str">
        <f t="shared" si="991"/>
        <v/>
      </c>
    </row>
    <row r="734" spans="1:142" x14ac:dyDescent="0.25">
      <c r="A734" t="str">
        <f>+IF($C734="","",ROUND(VLOOKUP('Tablas Servicio'!B734,Parámetros!$H$100:$J$159,IF(Parámetros!$E$16="F",2,3),FALSE),2))</f>
        <v/>
      </c>
      <c r="B734" t="str">
        <f t="shared" si="942"/>
        <v/>
      </c>
      <c r="C734" s="57" t="str">
        <f>+IF(D734="","",'Tablas Servicio'!C733+1)</f>
        <v/>
      </c>
      <c r="D734" s="56" t="str">
        <f>+IF(D733&lt;edadmaxtabla,D733+1/Parámetros!$E$25,"")</f>
        <v/>
      </c>
      <c r="E734" s="57" t="str">
        <f t="shared" si="952"/>
        <v/>
      </c>
      <c r="F734" s="59" t="str">
        <f t="shared" si="953"/>
        <v/>
      </c>
      <c r="G734" s="66" t="str">
        <f t="shared" si="943"/>
        <v/>
      </c>
      <c r="H734" s="66" t="str">
        <f t="shared" si="944"/>
        <v/>
      </c>
      <c r="I734" s="66" t="str">
        <f t="shared" si="992"/>
        <v/>
      </c>
      <c r="J734" s="66" t="str">
        <f t="shared" si="945"/>
        <v/>
      </c>
      <c r="K734" s="66" t="str">
        <f t="shared" si="946"/>
        <v/>
      </c>
      <c r="L734" s="66" t="str">
        <f t="shared" si="947"/>
        <v/>
      </c>
      <c r="M734" s="66" t="str">
        <f t="shared" si="948"/>
        <v/>
      </c>
      <c r="N734" s="66" t="str">
        <f>+IF(C734="","",ROUND(Parámetros!$D$23,2))</f>
        <v/>
      </c>
      <c r="O734" s="66" t="str">
        <f t="shared" si="949"/>
        <v/>
      </c>
      <c r="P734" s="66" t="str">
        <f>+IF($C734="","",ROUND(IF(B734&gt;Parámetros!$D$117,0,N734*Parámetros!$D$116-G734*Parámetros!$D$100),2))</f>
        <v/>
      </c>
      <c r="Q734" s="75" t="str">
        <f t="shared" si="993"/>
        <v/>
      </c>
      <c r="R734" s="75" t="str">
        <f t="shared" si="994"/>
        <v/>
      </c>
      <c r="S734" s="117" t="str">
        <f>+IF($C734="","",ROUND((S733+I734)*(1+Parámetros!$D$91),2))</f>
        <v/>
      </c>
      <c r="T734" s="117" t="str">
        <f>+IF($C734="","",ROUND(S734*VLOOKUP(B734,Parámetros!$C$30:$D$39,2,TRUE),2))</f>
        <v/>
      </c>
      <c r="U734" s="117" t="str">
        <f>+IF($C734="","",ROUND((U733+I734)*(1+Parámetros!$D$92),2))</f>
        <v/>
      </c>
      <c r="V734" s="117" t="str">
        <f>+IF($C734="","",ROUND(U734*VLOOKUP(B734,Parámetros!$C$30:$D$39,2,TRUE),2))</f>
        <v/>
      </c>
      <c r="W734" s="57" t="str">
        <f t="shared" si="995"/>
        <v/>
      </c>
      <c r="X734" t="str">
        <f t="shared" si="996"/>
        <v/>
      </c>
      <c r="Y734" t="str">
        <f t="shared" si="997"/>
        <v/>
      </c>
      <c r="Z734" s="118" t="str">
        <f>+IF($W734="","",ROUND(IF(Parámetros!$D$25='TABLAS MORT'!$V$33,Z733,Parámetros!$D$21-'Tablas Servicio'!T733),0))</f>
        <v/>
      </c>
      <c r="AA734" s="118" t="str">
        <f t="shared" si="998"/>
        <v/>
      </c>
      <c r="AB734" s="119" t="str">
        <f>+IF(W734="","",ROUND((VLOOKUP(ROUNDDOWN($D734-1/frec,0),qx_tabla,2,FALSE)*(1+i/frec)^-0.5*(1+Parámetros!$D$103)*(1+rec_fracc)/frec),6))</f>
        <v/>
      </c>
      <c r="AC734" s="66" t="str">
        <f t="shared" si="954"/>
        <v/>
      </c>
      <c r="AD734" s="119" t="str">
        <f t="shared" si="950"/>
        <v/>
      </c>
      <c r="AE734" s="66" t="str">
        <f>+IF($W734="","",ROUND(IF($B734&gt;Parámetros!$D$107,'Tablas Servicio'!AC734+('Tablas Servicio'!AG733-'Tablas Servicio'!AC733),AC734/(1-IF(B734&lt;=10,Parámetros!$D$104,Parámetros!$D$105))),2))</f>
        <v/>
      </c>
      <c r="AF734" s="66" t="str">
        <f>+IF($W734="","",ROUND(IF($B734&gt;Parámetros!$D$107,'Tablas Servicio'!AC734+('Tablas Servicio'!AG733-'Tablas Servicio'!AC733),(AC734+$A733/frec)/(1-IF(B734&lt;=Parámetros!$D$117,Parámetros!$D$100,0))),2))</f>
        <v/>
      </c>
      <c r="AG734" s="66" t="str">
        <f t="shared" si="955"/>
        <v/>
      </c>
      <c r="AH734" s="66" t="str">
        <f t="shared" si="956"/>
        <v/>
      </c>
      <c r="AI734" s="66" t="str">
        <f t="shared" si="957"/>
        <v/>
      </c>
      <c r="AJ734" s="66" t="str">
        <f>+IF($W734="","",ROUND((AG734*Parámetros!$G$85),2))</f>
        <v/>
      </c>
      <c r="AK734" s="66" t="str">
        <f>+IF($W734="","",ROUND((AG734*(Parámetros!$G$86)),2))</f>
        <v/>
      </c>
      <c r="AL734" s="66" t="str">
        <f t="shared" si="951"/>
        <v/>
      </c>
      <c r="AM734" t="str">
        <f t="shared" si="999"/>
        <v/>
      </c>
      <c r="AN734" t="str">
        <f t="shared" si="1000"/>
        <v/>
      </c>
      <c r="AO734" s="118" t="str">
        <f t="shared" si="1001"/>
        <v/>
      </c>
      <c r="AP734" s="118" t="str">
        <f t="shared" si="1002"/>
        <v/>
      </c>
      <c r="AQ734" s="119" t="str">
        <f>+IF(OR($W734="",AO734=0),"",ROUND((VLOOKUP(ROUNDDOWN($D734-1/frec,0),cob_adi,Z$40,FALSE)*(1+i/frec)^-0.5*(1+Parámetros!$D$103)*(1+rec_fracc)/frec),6))</f>
        <v/>
      </c>
      <c r="AR734" s="66" t="str">
        <f t="shared" si="958"/>
        <v/>
      </c>
      <c r="AS734" s="119" t="str">
        <f t="shared" si="959"/>
        <v/>
      </c>
      <c r="AT734" s="66" t="str">
        <f>+IF($W734="","",ROUND(IF($B734&gt;Parámetros!$D$107,'Tablas Servicio'!AR734+('Tablas Servicio'!AT733-'Tablas Servicio'!AR733),AR734/(1-IF(B734&lt;=10,Parámetros!$D$100,0))),2))</f>
        <v/>
      </c>
      <c r="AU734" s="66" t="str">
        <f t="shared" si="1028"/>
        <v/>
      </c>
      <c r="AV734" s="66" t="str">
        <f t="shared" si="1028"/>
        <v/>
      </c>
      <c r="AW734" s="66" t="str">
        <f>+IF($W734="","",ROUND((AT734*Parámetros!$G$85),2))</f>
        <v/>
      </c>
      <c r="AX734" s="66" t="str">
        <f>+IF($W734="","",ROUND((AT734*(Parámetros!$G$86)),2))</f>
        <v/>
      </c>
      <c r="AY734" s="66" t="str">
        <f t="shared" si="961"/>
        <v/>
      </c>
      <c r="AZ734" t="str">
        <f t="shared" si="1003"/>
        <v/>
      </c>
      <c r="BA734" t="str">
        <f t="shared" si="1004"/>
        <v/>
      </c>
      <c r="BB734" s="118" t="str">
        <f t="shared" si="1005"/>
        <v/>
      </c>
      <c r="BC734" s="118" t="str">
        <f t="shared" si="1006"/>
        <v/>
      </c>
      <c r="BD734" s="119" t="str">
        <f>+IF(OR($W734="",BB734=0),"",ROUND((VLOOKUP(ROUNDDOWN($D734-1/frec,0),cob_adi,AO$40,FALSE)*(1+i/frec)^-0.5*(1+Parámetros!$D$103)*(1+rec_fracc)/frec),6))</f>
        <v/>
      </c>
      <c r="BE734" s="66" t="str">
        <f t="shared" si="962"/>
        <v/>
      </c>
      <c r="BF734" s="119" t="str">
        <f t="shared" si="963"/>
        <v/>
      </c>
      <c r="BG734" s="66" t="str">
        <f>+IF($W734="","",ROUND(IF($B734&gt;Parámetros!$D$107,'Tablas Servicio'!BE734+('Tablas Servicio'!BG733-'Tablas Servicio'!BE733),BE734/(1-IF(B734&lt;=10,Parámetros!$D$100,0))),2))</f>
        <v/>
      </c>
      <c r="BH734" s="66" t="str">
        <f t="shared" si="964"/>
        <v/>
      </c>
      <c r="BI734" s="66" t="str">
        <f t="shared" si="965"/>
        <v/>
      </c>
      <c r="BJ734" s="66" t="str">
        <f>+IF($W734="","",ROUND((BG734*Parámetros!$G$85),2))</f>
        <v/>
      </c>
      <c r="BK734" s="66" t="str">
        <f>+IF($W734="","",ROUND((BG734*(Parámetros!$G$86)),2))</f>
        <v/>
      </c>
      <c r="BL734" s="66" t="str">
        <f t="shared" si="966"/>
        <v/>
      </c>
      <c r="BM734" t="str">
        <f t="shared" si="1007"/>
        <v/>
      </c>
      <c r="BN734" t="str">
        <f t="shared" si="1008"/>
        <v/>
      </c>
      <c r="BO734" s="118" t="str">
        <f t="shared" si="1009"/>
        <v/>
      </c>
      <c r="BP734" s="118" t="str">
        <f t="shared" si="1010"/>
        <v/>
      </c>
      <c r="BQ734" s="119" t="str">
        <f>+IF(OR($W734="",BO734=0),"",ROUND((VLOOKUP(ROUNDDOWN($D734-1/frec,0),cob_adi,BB$40,FALSE)*(1+i/frec)^-0.5*(1+Parámetros!$D$103)*(1+rec_fracc)/frec),6))</f>
        <v/>
      </c>
      <c r="BR734" s="66" t="str">
        <f t="shared" si="967"/>
        <v/>
      </c>
      <c r="BS734" s="119" t="str">
        <f t="shared" si="968"/>
        <v/>
      </c>
      <c r="BT734" s="66" t="str">
        <f>+IF($W734="","",ROUND(IF($B734&gt;Parámetros!$D$107,'Tablas Servicio'!BR734+('Tablas Servicio'!BT733-'Tablas Servicio'!BR733),BR734/(1-IF(B734&lt;=10,Parámetros!$D$100,0))),2))</f>
        <v/>
      </c>
      <c r="BU734" s="66" t="str">
        <f t="shared" si="1029"/>
        <v/>
      </c>
      <c r="BV734" s="66" t="str">
        <f t="shared" si="1029"/>
        <v/>
      </c>
      <c r="BW734" s="66" t="str">
        <f>+IF($W734="","",ROUND((BT734*Parámetros!$G$85),2))</f>
        <v/>
      </c>
      <c r="BX734" s="66" t="str">
        <f>+IF($W734="","",ROUND((BT734*(Parámetros!$G$86)),2))</f>
        <v/>
      </c>
      <c r="BY734" s="66" t="str">
        <f t="shared" si="970"/>
        <v/>
      </c>
      <c r="BZ734" t="str">
        <f t="shared" si="1011"/>
        <v/>
      </c>
      <c r="CA734" t="str">
        <f t="shared" si="1012"/>
        <v/>
      </c>
      <c r="CB734" s="118" t="str">
        <f t="shared" si="1013"/>
        <v/>
      </c>
      <c r="CC734" s="118" t="str">
        <f t="shared" si="1014"/>
        <v/>
      </c>
      <c r="CD734" s="119" t="str">
        <f t="shared" si="971"/>
        <v/>
      </c>
      <c r="CE734" s="66" t="str">
        <f>+IF($W734="","",ROUND((VLOOKUP(ROUNDDOWN($D734-1/frec,0),cob_adi,BO$40,FALSE)*(1+i/frec)^-0.5*(1+Parámetros!$D$103)*(1+rec_fracc)/frec*'TABLAS ADI'!$BC$17),2))</f>
        <v/>
      </c>
      <c r="CF734" s="119" t="str">
        <f t="shared" si="972"/>
        <v/>
      </c>
      <c r="CG734" s="66" t="str">
        <f>+IF($W734="","",ROUND(IF($B734&gt;Parámetros!$D$107,'Tablas Servicio'!CE734+('Tablas Servicio'!CG733-'Tablas Servicio'!CE733),CE734/(1-IF(B734&lt;=10,Parámetros!$D$100,0))),2))</f>
        <v/>
      </c>
      <c r="CH734" s="66" t="str">
        <f t="shared" si="1030"/>
        <v/>
      </c>
      <c r="CI734" s="66" t="str">
        <f t="shared" si="1030"/>
        <v/>
      </c>
      <c r="CJ734" s="66" t="str">
        <f>+IF($W734="","",ROUND((CG734*Parámetros!$G$85),2))</f>
        <v/>
      </c>
      <c r="CK734" s="66" t="str">
        <f>+IF($W734="","",ROUND((CG734*(Parámetros!$G$86)),2))</f>
        <v/>
      </c>
      <c r="CL734" s="66" t="str">
        <f t="shared" si="974"/>
        <v/>
      </c>
      <c r="CM734" t="str">
        <f t="shared" si="1015"/>
        <v/>
      </c>
      <c r="CN734" s="118" t="str">
        <f t="shared" si="1016"/>
        <v/>
      </c>
      <c r="CO734" s="118" t="str">
        <f t="shared" si="1017"/>
        <v/>
      </c>
      <c r="CP734" s="118" t="str">
        <f t="shared" si="1018"/>
        <v/>
      </c>
      <c r="CQ734" s="119" t="str">
        <f t="shared" si="975"/>
        <v/>
      </c>
      <c r="CR734" s="66" t="str">
        <f>+IF($W734="","",ROUND((VLOOKUP(Parámetros!$F$51,'COBERTURAS ADICIONALES'!$S$4:$T$32,2,FALSE)*(1+i/frec)^-0.5*(1+Parámetros!$D$103)*(1+rec_fracc)/frec*$CO$42),2))</f>
        <v/>
      </c>
      <c r="CS734" s="119" t="str">
        <f t="shared" si="976"/>
        <v/>
      </c>
      <c r="CT734" s="66" t="str">
        <f>+IF($W734="","",ROUND(IF($B734&gt;Parámetros!$D$107,'Tablas Servicio'!CR734+('Tablas Servicio'!CT733-'Tablas Servicio'!CR733),CR734/(1-IF(B734&lt;=10,Parámetros!$D$100,0))),2))</f>
        <v/>
      </c>
      <c r="CU734" s="66" t="str">
        <f t="shared" si="1031"/>
        <v/>
      </c>
      <c r="CV734" s="66" t="str">
        <f t="shared" si="1031"/>
        <v/>
      </c>
      <c r="CW734" s="66" t="str">
        <f>+IF($W734="","",ROUND((CT734*Parámetros!$G$85),2))</f>
        <v/>
      </c>
      <c r="CX734" s="66" t="str">
        <f>+IF($W734="","",ROUND((CT734*(Parámetros!$G$86)),2))</f>
        <v/>
      </c>
      <c r="CY734" s="66" t="str">
        <f t="shared" si="978"/>
        <v/>
      </c>
      <c r="CZ734" t="str">
        <f t="shared" si="1019"/>
        <v/>
      </c>
      <c r="DA734" s="118" t="str">
        <f t="shared" si="1020"/>
        <v/>
      </c>
      <c r="DB734" s="118" t="str">
        <f t="shared" si="1021"/>
        <v/>
      </c>
      <c r="DC734" s="118" t="str">
        <f t="shared" si="1022"/>
        <v/>
      </c>
      <c r="DD734" s="121" t="str">
        <f>+IF(OR($W734="",DB734=0),"",ROUND((VLOOKUP(ROUNDDOWN($D734-1/frec,0),cob_adi,CO$40,FALSE)*(1+i/frec)^-0.5*(1+Parámetros!$D$103)*(1+rec_fracc)/frec),6))</f>
        <v/>
      </c>
      <c r="DE734" s="66" t="str">
        <f t="shared" si="979"/>
        <v/>
      </c>
      <c r="DF734" s="119" t="str">
        <f t="shared" si="980"/>
        <v/>
      </c>
      <c r="DG734" s="66" t="str">
        <f>+IF($W734="","",ROUND(IF($B734&gt;Parámetros!$D$107,'Tablas Servicio'!DE734+('Tablas Servicio'!DG733-'Tablas Servicio'!DE733),DE734/(1-IF(B734&lt;=10,Parámetros!$D$100,0))),2))</f>
        <v/>
      </c>
      <c r="DH734" s="66" t="str">
        <f t="shared" si="1032"/>
        <v/>
      </c>
      <c r="DI734" s="66" t="str">
        <f t="shared" si="1032"/>
        <v/>
      </c>
      <c r="DJ734" s="66" t="str">
        <f>+IF($W734="","",ROUND((DG734*Parámetros!$G$85),2))</f>
        <v/>
      </c>
      <c r="DK734" s="66" t="str">
        <f>+IF($W734="","",ROUND((DG734*(Parámetros!$G$86)),2))</f>
        <v/>
      </c>
      <c r="DL734" s="66" t="str">
        <f t="shared" si="982"/>
        <v/>
      </c>
      <c r="DM734" t="str">
        <f t="shared" si="1023"/>
        <v/>
      </c>
      <c r="DN734" s="118" t="str">
        <f t="shared" si="1024"/>
        <v/>
      </c>
      <c r="DO734" s="118" t="str">
        <f t="shared" si="1025"/>
        <v/>
      </c>
      <c r="DP734" s="118" t="str">
        <f t="shared" si="1026"/>
        <v/>
      </c>
      <c r="DQ734" s="122" t="str">
        <f>+IF(OR($W734="",DO734=0),"",ROUND((VLOOKUP(ROUNDDOWN($D734-1/frec,0),cob_adi,DB$40,FALSE)*(1+i/frec)^-0.5*(1+Parámetros!$D$103)*(1+rec_fracc)/frec),6))</f>
        <v/>
      </c>
      <c r="DR734" s="66" t="str">
        <f t="shared" si="983"/>
        <v/>
      </c>
      <c r="DS734" s="68" t="str">
        <f t="shared" si="984"/>
        <v/>
      </c>
      <c r="DT734" s="66" t="str">
        <f>+IF($W734="","",ROUND(IF($B734&gt;Parámetros!$D$107,'Tablas Servicio'!DR734+('Tablas Servicio'!DT733-'Tablas Servicio'!DR733),DR734/(1-IF(B734&lt;=10,Parámetros!$D$100,0))),2))</f>
        <v/>
      </c>
      <c r="DU734" s="66" t="str">
        <f t="shared" si="1033"/>
        <v/>
      </c>
      <c r="DV734" s="66" t="str">
        <f t="shared" si="1033"/>
        <v/>
      </c>
      <c r="DW734" s="66" t="str">
        <f>+IF($W734="","",ROUND((DT734*Parámetros!$G$85),2))</f>
        <v/>
      </c>
      <c r="DX734" s="66" t="str">
        <f>+IF($W734="","",ROUND((DT734*(Parámetros!$G$86)),2))</f>
        <v/>
      </c>
      <c r="DY734" s="66" t="str">
        <f t="shared" si="986"/>
        <v/>
      </c>
      <c r="DZ734" t="str">
        <f t="shared" si="1036"/>
        <v/>
      </c>
      <c r="EA734" s="118" t="str">
        <f t="shared" si="1036"/>
        <v/>
      </c>
      <c r="EB734" s="118" t="str">
        <f>+IF($W734="","",ROUND(IF(Parámetros!$D$25='TABLAS MORT'!$V$33,EB733,Z734/2),0))</f>
        <v/>
      </c>
      <c r="EC734" s="118" t="str">
        <f t="shared" si="1036"/>
        <v/>
      </c>
      <c r="ED734" s="122" t="str">
        <f>+IF(OR($W734="",EB734=0),"",ROUND((VLOOKUP(ROUNDDOWN($D734-1/frec,0),cob_adi,DO$40,FALSE)*(1+i/frec)^-0.5*(1+Parámetros!$D$103)*(1+rec_fracc)/frec),6))</f>
        <v/>
      </c>
      <c r="EE734" s="66" t="str">
        <f t="shared" si="988"/>
        <v/>
      </c>
      <c r="EF734" s="68" t="str">
        <f t="shared" si="989"/>
        <v/>
      </c>
      <c r="EG734" s="66" t="str">
        <f>+IF($W734="","",ROUND(IF($B734&gt;Parámetros!$D$107,'Tablas Servicio'!EE734+('Tablas Servicio'!EG733-'Tablas Servicio'!EE733),EE734/(1-IF(B734&lt;=10,Parámetros!$D$100,0))),2))</f>
        <v/>
      </c>
      <c r="EH734" s="66" t="str">
        <f t="shared" si="1035"/>
        <v/>
      </c>
      <c r="EI734" s="66" t="str">
        <f t="shared" si="1035"/>
        <v/>
      </c>
      <c r="EJ734" s="66" t="str">
        <f>+IF($W734="","",ROUND((EG734*Parámetros!$G$85),2))</f>
        <v/>
      </c>
      <c r="EK734" s="66" t="str">
        <f>+IF($W734="","",ROUND((EG734*(Parámetros!$G$86)),2))</f>
        <v/>
      </c>
      <c r="EL734" s="66" t="str">
        <f t="shared" si="991"/>
        <v/>
      </c>
    </row>
    <row r="735" spans="1:142" x14ac:dyDescent="0.25">
      <c r="A735" t="str">
        <f>+IF($C735="","",ROUND(VLOOKUP('Tablas Servicio'!B735,Parámetros!$H$100:$J$159,IF(Parámetros!$E$16="F",2,3),FALSE),2))</f>
        <v/>
      </c>
      <c r="B735" t="str">
        <f t="shared" si="942"/>
        <v/>
      </c>
      <c r="C735" s="57" t="str">
        <f>+IF(D735="","",'Tablas Servicio'!C734+1)</f>
        <v/>
      </c>
      <c r="D735" s="56" t="str">
        <f>+IF(D734&lt;edadmaxtabla,D734+1/Parámetros!$E$25,"")</f>
        <v/>
      </c>
      <c r="E735" s="57" t="str">
        <f t="shared" si="952"/>
        <v/>
      </c>
      <c r="F735" s="59" t="str">
        <f t="shared" si="953"/>
        <v/>
      </c>
      <c r="G735" s="66" t="str">
        <f t="shared" si="943"/>
        <v/>
      </c>
      <c r="H735" s="66" t="str">
        <f t="shared" si="944"/>
        <v/>
      </c>
      <c r="I735" s="66" t="str">
        <f t="shared" si="992"/>
        <v/>
      </c>
      <c r="J735" s="66" t="str">
        <f t="shared" si="945"/>
        <v/>
      </c>
      <c r="K735" s="66" t="str">
        <f t="shared" si="946"/>
        <v/>
      </c>
      <c r="L735" s="66" t="str">
        <f t="shared" si="947"/>
        <v/>
      </c>
      <c r="M735" s="66" t="str">
        <f t="shared" si="948"/>
        <v/>
      </c>
      <c r="N735" s="66" t="str">
        <f>+IF(C735="","",ROUND(Parámetros!$D$23,2))</f>
        <v/>
      </c>
      <c r="O735" s="66" t="str">
        <f t="shared" si="949"/>
        <v/>
      </c>
      <c r="P735" s="66" t="str">
        <f>+IF($C735="","",ROUND(IF(B735&gt;Parámetros!$D$117,0,N735*Parámetros!$D$116-G735*Parámetros!$D$100),2))</f>
        <v/>
      </c>
      <c r="Q735" s="75" t="str">
        <f t="shared" si="993"/>
        <v/>
      </c>
      <c r="R735" s="75" t="str">
        <f t="shared" si="994"/>
        <v/>
      </c>
      <c r="S735" s="117" t="str">
        <f>+IF($C735="","",ROUND((S734+I735)*(1+Parámetros!$D$91),2))</f>
        <v/>
      </c>
      <c r="T735" s="117" t="str">
        <f>+IF($C735="","",ROUND(S735*VLOOKUP(B735,Parámetros!$C$30:$D$39,2,TRUE),2))</f>
        <v/>
      </c>
      <c r="U735" s="117" t="str">
        <f>+IF($C735="","",ROUND((U734+I735)*(1+Parámetros!$D$92),2))</f>
        <v/>
      </c>
      <c r="V735" s="117" t="str">
        <f>+IF($C735="","",ROUND(U735*VLOOKUP(B735,Parámetros!$C$30:$D$39,2,TRUE),2))</f>
        <v/>
      </c>
      <c r="W735" s="57" t="str">
        <f t="shared" si="995"/>
        <v/>
      </c>
      <c r="X735" t="str">
        <f t="shared" si="996"/>
        <v/>
      </c>
      <c r="Y735" t="str">
        <f t="shared" si="997"/>
        <v/>
      </c>
      <c r="Z735" s="118" t="str">
        <f>+IF($W735="","",ROUND(IF(Parámetros!$D$25='TABLAS MORT'!$V$33,Z734,Parámetros!$D$21-'Tablas Servicio'!T734),0))</f>
        <v/>
      </c>
      <c r="AA735" s="118" t="str">
        <f t="shared" si="998"/>
        <v/>
      </c>
      <c r="AB735" s="119" t="str">
        <f>+IF(W735="","",ROUND((VLOOKUP(ROUNDDOWN($D735-1/frec,0),qx_tabla,2,FALSE)*(1+i/frec)^-0.5*(1+Parámetros!$D$103)*(1+rec_fracc)/frec),6))</f>
        <v/>
      </c>
      <c r="AC735" s="66" t="str">
        <f t="shared" si="954"/>
        <v/>
      </c>
      <c r="AD735" s="119" t="str">
        <f t="shared" si="950"/>
        <v/>
      </c>
      <c r="AE735" s="66" t="str">
        <f>+IF($W735="","",ROUND(IF($B735&gt;Parámetros!$D$107,'Tablas Servicio'!AC735+('Tablas Servicio'!AG734-'Tablas Servicio'!AC734),AC735/(1-IF(B735&lt;=10,Parámetros!$D$104,Parámetros!$D$105))),2))</f>
        <v/>
      </c>
      <c r="AF735" s="66" t="str">
        <f>+IF($W735="","",ROUND(IF($B735&gt;Parámetros!$D$107,'Tablas Servicio'!AC735+('Tablas Servicio'!AG734-'Tablas Servicio'!AC734),(AC735+$A734/frec)/(1-IF(B735&lt;=Parámetros!$D$117,Parámetros!$D$100,0))),2))</f>
        <v/>
      </c>
      <c r="AG735" s="66" t="str">
        <f t="shared" si="955"/>
        <v/>
      </c>
      <c r="AH735" s="66" t="str">
        <f t="shared" si="956"/>
        <v/>
      </c>
      <c r="AI735" s="66" t="str">
        <f t="shared" si="957"/>
        <v/>
      </c>
      <c r="AJ735" s="66" t="str">
        <f>+IF($W735="","",ROUND((AG735*Parámetros!$G$85),2))</f>
        <v/>
      </c>
      <c r="AK735" s="66" t="str">
        <f>+IF($W735="","",ROUND((AG735*(Parámetros!$G$86)),2))</f>
        <v/>
      </c>
      <c r="AL735" s="66" t="str">
        <f t="shared" si="951"/>
        <v/>
      </c>
      <c r="AM735" t="str">
        <f t="shared" si="999"/>
        <v/>
      </c>
      <c r="AN735" t="str">
        <f t="shared" si="1000"/>
        <v/>
      </c>
      <c r="AO735" s="118" t="str">
        <f t="shared" si="1001"/>
        <v/>
      </c>
      <c r="AP735" s="118" t="str">
        <f t="shared" si="1002"/>
        <v/>
      </c>
      <c r="AQ735" s="119" t="str">
        <f>+IF(OR($W735="",AO735=0),"",ROUND((VLOOKUP(ROUNDDOWN($D735-1/frec,0),cob_adi,Z$40,FALSE)*(1+i/frec)^-0.5*(1+Parámetros!$D$103)*(1+rec_fracc)/frec),6))</f>
        <v/>
      </c>
      <c r="AR735" s="66" t="str">
        <f t="shared" si="958"/>
        <v/>
      </c>
      <c r="AS735" s="119" t="str">
        <f t="shared" si="959"/>
        <v/>
      </c>
      <c r="AT735" s="66" t="str">
        <f>+IF($W735="","",ROUND(IF($B735&gt;Parámetros!$D$107,'Tablas Servicio'!AR735+('Tablas Servicio'!AT734-'Tablas Servicio'!AR734),AR735/(1-IF(B735&lt;=10,Parámetros!$D$100,0))),2))</f>
        <v/>
      </c>
      <c r="AU735" s="66" t="str">
        <f t="shared" si="1028"/>
        <v/>
      </c>
      <c r="AV735" s="66" t="str">
        <f t="shared" si="1028"/>
        <v/>
      </c>
      <c r="AW735" s="66" t="str">
        <f>+IF($W735="","",ROUND((AT735*Parámetros!$G$85),2))</f>
        <v/>
      </c>
      <c r="AX735" s="66" t="str">
        <f>+IF($W735="","",ROUND((AT735*(Parámetros!$G$86)),2))</f>
        <v/>
      </c>
      <c r="AY735" s="66" t="str">
        <f t="shared" si="961"/>
        <v/>
      </c>
      <c r="AZ735" t="str">
        <f t="shared" si="1003"/>
        <v/>
      </c>
      <c r="BA735" t="str">
        <f t="shared" si="1004"/>
        <v/>
      </c>
      <c r="BB735" s="118" t="str">
        <f t="shared" si="1005"/>
        <v/>
      </c>
      <c r="BC735" s="118" t="str">
        <f t="shared" si="1006"/>
        <v/>
      </c>
      <c r="BD735" s="119" t="str">
        <f>+IF(OR($W735="",BB735=0),"",ROUND((VLOOKUP(ROUNDDOWN($D735-1/frec,0),cob_adi,AO$40,FALSE)*(1+i/frec)^-0.5*(1+Parámetros!$D$103)*(1+rec_fracc)/frec),6))</f>
        <v/>
      </c>
      <c r="BE735" s="66" t="str">
        <f t="shared" si="962"/>
        <v/>
      </c>
      <c r="BF735" s="119" t="str">
        <f t="shared" si="963"/>
        <v/>
      </c>
      <c r="BG735" s="66" t="str">
        <f>+IF($W735="","",ROUND(IF($B735&gt;Parámetros!$D$107,'Tablas Servicio'!BE735+('Tablas Servicio'!BG734-'Tablas Servicio'!BE734),BE735/(1-IF(B735&lt;=10,Parámetros!$D$100,0))),2))</f>
        <v/>
      </c>
      <c r="BH735" s="66" t="str">
        <f t="shared" si="964"/>
        <v/>
      </c>
      <c r="BI735" s="66" t="str">
        <f t="shared" si="965"/>
        <v/>
      </c>
      <c r="BJ735" s="66" t="str">
        <f>+IF($W735="","",ROUND((BG735*Parámetros!$G$85),2))</f>
        <v/>
      </c>
      <c r="BK735" s="66" t="str">
        <f>+IF($W735="","",ROUND((BG735*(Parámetros!$G$86)),2))</f>
        <v/>
      </c>
      <c r="BL735" s="66" t="str">
        <f t="shared" si="966"/>
        <v/>
      </c>
      <c r="BM735" t="str">
        <f t="shared" si="1007"/>
        <v/>
      </c>
      <c r="BN735" t="str">
        <f t="shared" si="1008"/>
        <v/>
      </c>
      <c r="BO735" s="118" t="str">
        <f t="shared" si="1009"/>
        <v/>
      </c>
      <c r="BP735" s="118" t="str">
        <f t="shared" si="1010"/>
        <v/>
      </c>
      <c r="BQ735" s="119" t="str">
        <f>+IF(OR($W735="",BO735=0),"",ROUND((VLOOKUP(ROUNDDOWN($D735-1/frec,0),cob_adi,BB$40,FALSE)*(1+i/frec)^-0.5*(1+Parámetros!$D$103)*(1+rec_fracc)/frec),6))</f>
        <v/>
      </c>
      <c r="BR735" s="66" t="str">
        <f t="shared" si="967"/>
        <v/>
      </c>
      <c r="BS735" s="119" t="str">
        <f t="shared" si="968"/>
        <v/>
      </c>
      <c r="BT735" s="66" t="str">
        <f>+IF($W735="","",ROUND(IF($B735&gt;Parámetros!$D$107,'Tablas Servicio'!BR735+('Tablas Servicio'!BT734-'Tablas Servicio'!BR734),BR735/(1-IF(B735&lt;=10,Parámetros!$D$100,0))),2))</f>
        <v/>
      </c>
      <c r="BU735" s="66" t="str">
        <f t="shared" si="1029"/>
        <v/>
      </c>
      <c r="BV735" s="66" t="str">
        <f t="shared" si="1029"/>
        <v/>
      </c>
      <c r="BW735" s="66" t="str">
        <f>+IF($W735="","",ROUND((BT735*Parámetros!$G$85),2))</f>
        <v/>
      </c>
      <c r="BX735" s="66" t="str">
        <f>+IF($W735="","",ROUND((BT735*(Parámetros!$G$86)),2))</f>
        <v/>
      </c>
      <c r="BY735" s="66" t="str">
        <f t="shared" si="970"/>
        <v/>
      </c>
      <c r="BZ735" t="str">
        <f t="shared" si="1011"/>
        <v/>
      </c>
      <c r="CA735" t="str">
        <f t="shared" si="1012"/>
        <v/>
      </c>
      <c r="CB735" s="118" t="str">
        <f t="shared" si="1013"/>
        <v/>
      </c>
      <c r="CC735" s="118" t="str">
        <f t="shared" si="1014"/>
        <v/>
      </c>
      <c r="CD735" s="119" t="str">
        <f t="shared" si="971"/>
        <v/>
      </c>
      <c r="CE735" s="66" t="str">
        <f>+IF($W735="","",ROUND((VLOOKUP(ROUNDDOWN($D735-1/frec,0),cob_adi,BO$40,FALSE)*(1+i/frec)^-0.5*(1+Parámetros!$D$103)*(1+rec_fracc)/frec*'TABLAS ADI'!$BC$17),2))</f>
        <v/>
      </c>
      <c r="CF735" s="119" t="str">
        <f t="shared" si="972"/>
        <v/>
      </c>
      <c r="CG735" s="66" t="str">
        <f>+IF($W735="","",ROUND(IF($B735&gt;Parámetros!$D$107,'Tablas Servicio'!CE735+('Tablas Servicio'!CG734-'Tablas Servicio'!CE734),CE735/(1-IF(B735&lt;=10,Parámetros!$D$100,0))),2))</f>
        <v/>
      </c>
      <c r="CH735" s="66" t="str">
        <f t="shared" si="1030"/>
        <v/>
      </c>
      <c r="CI735" s="66" t="str">
        <f t="shared" si="1030"/>
        <v/>
      </c>
      <c r="CJ735" s="66" t="str">
        <f>+IF($W735="","",ROUND((CG735*Parámetros!$G$85),2))</f>
        <v/>
      </c>
      <c r="CK735" s="66" t="str">
        <f>+IF($W735="","",ROUND((CG735*(Parámetros!$G$86)),2))</f>
        <v/>
      </c>
      <c r="CL735" s="66" t="str">
        <f t="shared" si="974"/>
        <v/>
      </c>
      <c r="CM735" t="str">
        <f t="shared" si="1015"/>
        <v/>
      </c>
      <c r="CN735" s="118" t="str">
        <f t="shared" si="1016"/>
        <v/>
      </c>
      <c r="CO735" s="118" t="str">
        <f t="shared" si="1017"/>
        <v/>
      </c>
      <c r="CP735" s="118" t="str">
        <f t="shared" si="1018"/>
        <v/>
      </c>
      <c r="CQ735" s="119" t="str">
        <f t="shared" si="975"/>
        <v/>
      </c>
      <c r="CR735" s="66" t="str">
        <f>+IF($W735="","",ROUND((VLOOKUP(Parámetros!$F$51,'COBERTURAS ADICIONALES'!$S$4:$T$32,2,FALSE)*(1+i/frec)^-0.5*(1+Parámetros!$D$103)*(1+rec_fracc)/frec*$CO$42),2))</f>
        <v/>
      </c>
      <c r="CS735" s="119" t="str">
        <f t="shared" si="976"/>
        <v/>
      </c>
      <c r="CT735" s="66" t="str">
        <f>+IF($W735="","",ROUND(IF($B735&gt;Parámetros!$D$107,'Tablas Servicio'!CR735+('Tablas Servicio'!CT734-'Tablas Servicio'!CR734),CR735/(1-IF(B735&lt;=10,Parámetros!$D$100,0))),2))</f>
        <v/>
      </c>
      <c r="CU735" s="66" t="str">
        <f t="shared" si="1031"/>
        <v/>
      </c>
      <c r="CV735" s="66" t="str">
        <f t="shared" si="1031"/>
        <v/>
      </c>
      <c r="CW735" s="66" t="str">
        <f>+IF($W735="","",ROUND((CT735*Parámetros!$G$85),2))</f>
        <v/>
      </c>
      <c r="CX735" s="66" t="str">
        <f>+IF($W735="","",ROUND((CT735*(Parámetros!$G$86)),2))</f>
        <v/>
      </c>
      <c r="CY735" s="66" t="str">
        <f t="shared" si="978"/>
        <v/>
      </c>
      <c r="CZ735" t="str">
        <f t="shared" si="1019"/>
        <v/>
      </c>
      <c r="DA735" s="118" t="str">
        <f t="shared" si="1020"/>
        <v/>
      </c>
      <c r="DB735" s="118" t="str">
        <f t="shared" si="1021"/>
        <v/>
      </c>
      <c r="DC735" s="118" t="str">
        <f t="shared" si="1022"/>
        <v/>
      </c>
      <c r="DD735" s="121" t="str">
        <f>+IF(OR($W735="",DB735=0),"",ROUND((VLOOKUP(ROUNDDOWN($D735-1/frec,0),cob_adi,CO$40,FALSE)*(1+i/frec)^-0.5*(1+Parámetros!$D$103)*(1+rec_fracc)/frec),6))</f>
        <v/>
      </c>
      <c r="DE735" s="66" t="str">
        <f t="shared" si="979"/>
        <v/>
      </c>
      <c r="DF735" s="119" t="str">
        <f t="shared" si="980"/>
        <v/>
      </c>
      <c r="DG735" s="66" t="str">
        <f>+IF($W735="","",ROUND(IF($B735&gt;Parámetros!$D$107,'Tablas Servicio'!DE735+('Tablas Servicio'!DG734-'Tablas Servicio'!DE734),DE735/(1-IF(B735&lt;=10,Parámetros!$D$100,0))),2))</f>
        <v/>
      </c>
      <c r="DH735" s="66" t="str">
        <f t="shared" si="1032"/>
        <v/>
      </c>
      <c r="DI735" s="66" t="str">
        <f t="shared" si="1032"/>
        <v/>
      </c>
      <c r="DJ735" s="66" t="str">
        <f>+IF($W735="","",ROUND((DG735*Parámetros!$G$85),2))</f>
        <v/>
      </c>
      <c r="DK735" s="66" t="str">
        <f>+IF($W735="","",ROUND((DG735*(Parámetros!$G$86)),2))</f>
        <v/>
      </c>
      <c r="DL735" s="66" t="str">
        <f t="shared" si="982"/>
        <v/>
      </c>
      <c r="DM735" t="str">
        <f t="shared" si="1023"/>
        <v/>
      </c>
      <c r="DN735" s="118" t="str">
        <f t="shared" si="1024"/>
        <v/>
      </c>
      <c r="DO735" s="118" t="str">
        <f t="shared" si="1025"/>
        <v/>
      </c>
      <c r="DP735" s="118" t="str">
        <f t="shared" si="1026"/>
        <v/>
      </c>
      <c r="DQ735" s="122" t="str">
        <f>+IF(OR($W735="",DO735=0),"",ROUND((VLOOKUP(ROUNDDOWN($D735-1/frec,0),cob_adi,DB$40,FALSE)*(1+i/frec)^-0.5*(1+Parámetros!$D$103)*(1+rec_fracc)/frec),6))</f>
        <v/>
      </c>
      <c r="DR735" s="66" t="str">
        <f t="shared" si="983"/>
        <v/>
      </c>
      <c r="DS735" s="68" t="str">
        <f t="shared" si="984"/>
        <v/>
      </c>
      <c r="DT735" s="66" t="str">
        <f>+IF($W735="","",ROUND(IF($B735&gt;Parámetros!$D$107,'Tablas Servicio'!DR735+('Tablas Servicio'!DT734-'Tablas Servicio'!DR734),DR735/(1-IF(B735&lt;=10,Parámetros!$D$100,0))),2))</f>
        <v/>
      </c>
      <c r="DU735" s="66" t="str">
        <f t="shared" si="1033"/>
        <v/>
      </c>
      <c r="DV735" s="66" t="str">
        <f t="shared" si="1033"/>
        <v/>
      </c>
      <c r="DW735" s="66" t="str">
        <f>+IF($W735="","",ROUND((DT735*Parámetros!$G$85),2))</f>
        <v/>
      </c>
      <c r="DX735" s="66" t="str">
        <f>+IF($W735="","",ROUND((DT735*(Parámetros!$G$86)),2))</f>
        <v/>
      </c>
      <c r="DY735" s="66" t="str">
        <f t="shared" si="986"/>
        <v/>
      </c>
      <c r="DZ735" t="str">
        <f t="shared" si="1036"/>
        <v/>
      </c>
      <c r="EA735" s="118" t="str">
        <f t="shared" si="1036"/>
        <v/>
      </c>
      <c r="EB735" s="118" t="str">
        <f>+IF($W735="","",ROUND(IF(Parámetros!$D$25='TABLAS MORT'!$V$33,EB734,Z735/2),0))</f>
        <v/>
      </c>
      <c r="EC735" s="118" t="str">
        <f t="shared" si="1036"/>
        <v/>
      </c>
      <c r="ED735" s="122" t="str">
        <f>+IF(OR($W735="",EB735=0),"",ROUND((VLOOKUP(ROUNDDOWN($D735-1/frec,0),cob_adi,DO$40,FALSE)*(1+i/frec)^-0.5*(1+Parámetros!$D$103)*(1+rec_fracc)/frec),6))</f>
        <v/>
      </c>
      <c r="EE735" s="66" t="str">
        <f t="shared" si="988"/>
        <v/>
      </c>
      <c r="EF735" s="68" t="str">
        <f t="shared" si="989"/>
        <v/>
      </c>
      <c r="EG735" s="66" t="str">
        <f>+IF($W735="","",ROUND(IF($B735&gt;Parámetros!$D$107,'Tablas Servicio'!EE735+('Tablas Servicio'!EG734-'Tablas Servicio'!EE734),EE735/(1-IF(B735&lt;=10,Parámetros!$D$100,0))),2))</f>
        <v/>
      </c>
      <c r="EH735" s="66" t="str">
        <f t="shared" si="1035"/>
        <v/>
      </c>
      <c r="EI735" s="66" t="str">
        <f t="shared" si="1035"/>
        <v/>
      </c>
      <c r="EJ735" s="66" t="str">
        <f>+IF($W735="","",ROUND((EG735*Parámetros!$G$85),2))</f>
        <v/>
      </c>
      <c r="EK735" s="66" t="str">
        <f>+IF($W735="","",ROUND((EG735*(Parámetros!$G$86)),2))</f>
        <v/>
      </c>
      <c r="EL735" s="66" t="str">
        <f t="shared" si="991"/>
        <v/>
      </c>
    </row>
    <row r="736" spans="1:142" x14ac:dyDescent="0.25">
      <c r="A736" t="str">
        <f>+IF($C736="","",ROUND(VLOOKUP('Tablas Servicio'!B736,Parámetros!$H$100:$J$159,IF(Parámetros!$E$16="F",2,3),FALSE),2))</f>
        <v/>
      </c>
      <c r="B736" t="str">
        <f t="shared" si="942"/>
        <v/>
      </c>
      <c r="C736" s="57" t="str">
        <f>+IF(D736="","",'Tablas Servicio'!C735+1)</f>
        <v/>
      </c>
      <c r="D736" s="56" t="str">
        <f>+IF(D735&lt;edadmaxtabla,D735+1/Parámetros!$E$25,"")</f>
        <v/>
      </c>
      <c r="E736" s="57" t="str">
        <f t="shared" si="952"/>
        <v/>
      </c>
      <c r="F736" s="59" t="str">
        <f t="shared" si="953"/>
        <v/>
      </c>
      <c r="G736" s="66" t="str">
        <f t="shared" si="943"/>
        <v/>
      </c>
      <c r="H736" s="66" t="str">
        <f t="shared" si="944"/>
        <v/>
      </c>
      <c r="I736" s="66" t="str">
        <f t="shared" si="992"/>
        <v/>
      </c>
      <c r="J736" s="66" t="str">
        <f t="shared" si="945"/>
        <v/>
      </c>
      <c r="K736" s="66" t="str">
        <f t="shared" si="946"/>
        <v/>
      </c>
      <c r="L736" s="66" t="str">
        <f t="shared" si="947"/>
        <v/>
      </c>
      <c r="M736" s="66" t="str">
        <f t="shared" si="948"/>
        <v/>
      </c>
      <c r="N736" s="66" t="str">
        <f>+IF(C736="","",ROUND(Parámetros!$D$23,2))</f>
        <v/>
      </c>
      <c r="O736" s="66" t="str">
        <f t="shared" si="949"/>
        <v/>
      </c>
      <c r="P736" s="66" t="str">
        <f>+IF($C736="","",ROUND(IF(B736&gt;Parámetros!$D$117,0,N736*Parámetros!$D$116-G736*Parámetros!$D$100),2))</f>
        <v/>
      </c>
      <c r="Q736" s="75" t="str">
        <f t="shared" si="993"/>
        <v/>
      </c>
      <c r="R736" s="75" t="str">
        <f t="shared" si="994"/>
        <v/>
      </c>
      <c r="S736" s="117" t="str">
        <f>+IF($C736="","",ROUND((S735+I736)*(1+Parámetros!$D$91),2))</f>
        <v/>
      </c>
      <c r="T736" s="117" t="str">
        <f>+IF($C736="","",ROUND(S736*VLOOKUP(B736,Parámetros!$C$30:$D$39,2,TRUE),2))</f>
        <v/>
      </c>
      <c r="U736" s="117" t="str">
        <f>+IF($C736="","",ROUND((U735+I736)*(1+Parámetros!$D$92),2))</f>
        <v/>
      </c>
      <c r="V736" s="117" t="str">
        <f>+IF($C736="","",ROUND(U736*VLOOKUP(B736,Parámetros!$C$30:$D$39,2,TRUE),2))</f>
        <v/>
      </c>
      <c r="W736" s="57" t="str">
        <f t="shared" si="995"/>
        <v/>
      </c>
      <c r="X736" t="str">
        <f t="shared" si="996"/>
        <v/>
      </c>
      <c r="Y736" t="str">
        <f t="shared" si="997"/>
        <v/>
      </c>
      <c r="Z736" s="118" t="str">
        <f>+IF($W736="","",ROUND(IF(Parámetros!$D$25='TABLAS MORT'!$V$33,Z735,Parámetros!$D$21-'Tablas Servicio'!T735),0))</f>
        <v/>
      </c>
      <c r="AA736" s="118" t="str">
        <f t="shared" si="998"/>
        <v/>
      </c>
      <c r="AB736" s="119" t="str">
        <f>+IF(W736="","",ROUND((VLOOKUP(ROUNDDOWN($D736-1/frec,0),qx_tabla,2,FALSE)*(1+i/frec)^-0.5*(1+Parámetros!$D$103)*(1+rec_fracc)/frec),6))</f>
        <v/>
      </c>
      <c r="AC736" s="66" t="str">
        <f t="shared" si="954"/>
        <v/>
      </c>
      <c r="AD736" s="119" t="str">
        <f t="shared" si="950"/>
        <v/>
      </c>
      <c r="AE736" s="66" t="str">
        <f>+IF($W736="","",ROUND(IF($B736&gt;Parámetros!$D$107,'Tablas Servicio'!AC736+('Tablas Servicio'!AG735-'Tablas Servicio'!AC735),AC736/(1-IF(B736&lt;=10,Parámetros!$D$104,Parámetros!$D$105))),2))</f>
        <v/>
      </c>
      <c r="AF736" s="66" t="str">
        <f>+IF($W736="","",ROUND(IF($B736&gt;Parámetros!$D$107,'Tablas Servicio'!AC736+('Tablas Servicio'!AG735-'Tablas Servicio'!AC735),(AC736+$A735/frec)/(1-IF(B736&lt;=Parámetros!$D$117,Parámetros!$D$100,0))),2))</f>
        <v/>
      </c>
      <c r="AG736" s="66" t="str">
        <f t="shared" si="955"/>
        <v/>
      </c>
      <c r="AH736" s="66" t="str">
        <f t="shared" si="956"/>
        <v/>
      </c>
      <c r="AI736" s="66" t="str">
        <f t="shared" si="957"/>
        <v/>
      </c>
      <c r="AJ736" s="66" t="str">
        <f>+IF($W736="","",ROUND((AG736*Parámetros!$G$85),2))</f>
        <v/>
      </c>
      <c r="AK736" s="66" t="str">
        <f>+IF($W736="","",ROUND((AG736*(Parámetros!$G$86)),2))</f>
        <v/>
      </c>
      <c r="AL736" s="66" t="str">
        <f t="shared" si="951"/>
        <v/>
      </c>
      <c r="AM736" t="str">
        <f t="shared" si="999"/>
        <v/>
      </c>
      <c r="AN736" t="str">
        <f t="shared" si="1000"/>
        <v/>
      </c>
      <c r="AO736" s="118" t="str">
        <f t="shared" si="1001"/>
        <v/>
      </c>
      <c r="AP736" s="118" t="str">
        <f t="shared" si="1002"/>
        <v/>
      </c>
      <c r="AQ736" s="119" t="str">
        <f>+IF(OR($W736="",AO736=0),"",ROUND((VLOOKUP(ROUNDDOWN($D736-1/frec,0),cob_adi,Z$40,FALSE)*(1+i/frec)^-0.5*(1+Parámetros!$D$103)*(1+rec_fracc)/frec),6))</f>
        <v/>
      </c>
      <c r="AR736" s="66" t="str">
        <f t="shared" si="958"/>
        <v/>
      </c>
      <c r="AS736" s="119" t="str">
        <f t="shared" si="959"/>
        <v/>
      </c>
      <c r="AT736" s="66" t="str">
        <f>+IF($W736="","",ROUND(IF($B736&gt;Parámetros!$D$107,'Tablas Servicio'!AR736+('Tablas Servicio'!AT735-'Tablas Servicio'!AR735),AR736/(1-IF(B736&lt;=10,Parámetros!$D$100,0))),2))</f>
        <v/>
      </c>
      <c r="AU736" s="66" t="str">
        <f t="shared" si="1028"/>
        <v/>
      </c>
      <c r="AV736" s="66" t="str">
        <f t="shared" si="1028"/>
        <v/>
      </c>
      <c r="AW736" s="66" t="str">
        <f>+IF($W736="","",ROUND((AT736*Parámetros!$G$85),2))</f>
        <v/>
      </c>
      <c r="AX736" s="66" t="str">
        <f>+IF($W736="","",ROUND((AT736*(Parámetros!$G$86)),2))</f>
        <v/>
      </c>
      <c r="AY736" s="66" t="str">
        <f t="shared" si="961"/>
        <v/>
      </c>
      <c r="AZ736" t="str">
        <f t="shared" si="1003"/>
        <v/>
      </c>
      <c r="BA736" t="str">
        <f t="shared" si="1004"/>
        <v/>
      </c>
      <c r="BB736" s="118" t="str">
        <f t="shared" si="1005"/>
        <v/>
      </c>
      <c r="BC736" s="118" t="str">
        <f t="shared" si="1006"/>
        <v/>
      </c>
      <c r="BD736" s="119" t="str">
        <f>+IF(OR($W736="",BB736=0),"",ROUND((VLOOKUP(ROUNDDOWN($D736-1/frec,0),cob_adi,AO$40,FALSE)*(1+i/frec)^-0.5*(1+Parámetros!$D$103)*(1+rec_fracc)/frec),6))</f>
        <v/>
      </c>
      <c r="BE736" s="66" t="str">
        <f t="shared" si="962"/>
        <v/>
      </c>
      <c r="BF736" s="119" t="str">
        <f t="shared" si="963"/>
        <v/>
      </c>
      <c r="BG736" s="66" t="str">
        <f>+IF($W736="","",ROUND(IF($B736&gt;Parámetros!$D$107,'Tablas Servicio'!BE736+('Tablas Servicio'!BG735-'Tablas Servicio'!BE735),BE736/(1-IF(B736&lt;=10,Parámetros!$D$100,0))),2))</f>
        <v/>
      </c>
      <c r="BH736" s="66" t="str">
        <f t="shared" si="964"/>
        <v/>
      </c>
      <c r="BI736" s="66" t="str">
        <f t="shared" si="965"/>
        <v/>
      </c>
      <c r="BJ736" s="66" t="str">
        <f>+IF($W736="","",ROUND((BG736*Parámetros!$G$85),2))</f>
        <v/>
      </c>
      <c r="BK736" s="66" t="str">
        <f>+IF($W736="","",ROUND((BG736*(Parámetros!$G$86)),2))</f>
        <v/>
      </c>
      <c r="BL736" s="66" t="str">
        <f t="shared" si="966"/>
        <v/>
      </c>
      <c r="BM736" t="str">
        <f t="shared" si="1007"/>
        <v/>
      </c>
      <c r="BN736" t="str">
        <f t="shared" si="1008"/>
        <v/>
      </c>
      <c r="BO736" s="118" t="str">
        <f t="shared" si="1009"/>
        <v/>
      </c>
      <c r="BP736" s="118" t="str">
        <f t="shared" si="1010"/>
        <v/>
      </c>
      <c r="BQ736" s="119" t="str">
        <f>+IF(OR($W736="",BO736=0),"",ROUND((VLOOKUP(ROUNDDOWN($D736-1/frec,0),cob_adi,BB$40,FALSE)*(1+i/frec)^-0.5*(1+Parámetros!$D$103)*(1+rec_fracc)/frec),6))</f>
        <v/>
      </c>
      <c r="BR736" s="66" t="str">
        <f t="shared" si="967"/>
        <v/>
      </c>
      <c r="BS736" s="119" t="str">
        <f t="shared" si="968"/>
        <v/>
      </c>
      <c r="BT736" s="66" t="str">
        <f>+IF($W736="","",ROUND(IF($B736&gt;Parámetros!$D$107,'Tablas Servicio'!BR736+('Tablas Servicio'!BT735-'Tablas Servicio'!BR735),BR736/(1-IF(B736&lt;=10,Parámetros!$D$100,0))),2))</f>
        <v/>
      </c>
      <c r="BU736" s="66" t="str">
        <f t="shared" si="1029"/>
        <v/>
      </c>
      <c r="BV736" s="66" t="str">
        <f t="shared" si="1029"/>
        <v/>
      </c>
      <c r="BW736" s="66" t="str">
        <f>+IF($W736="","",ROUND((BT736*Parámetros!$G$85),2))</f>
        <v/>
      </c>
      <c r="BX736" s="66" t="str">
        <f>+IF($W736="","",ROUND((BT736*(Parámetros!$G$86)),2))</f>
        <v/>
      </c>
      <c r="BY736" s="66" t="str">
        <f t="shared" si="970"/>
        <v/>
      </c>
      <c r="BZ736" t="str">
        <f t="shared" si="1011"/>
        <v/>
      </c>
      <c r="CA736" t="str">
        <f t="shared" si="1012"/>
        <v/>
      </c>
      <c r="CB736" s="118" t="str">
        <f t="shared" si="1013"/>
        <v/>
      </c>
      <c r="CC736" s="118" t="str">
        <f t="shared" si="1014"/>
        <v/>
      </c>
      <c r="CD736" s="119" t="str">
        <f t="shared" si="971"/>
        <v/>
      </c>
      <c r="CE736" s="66" t="str">
        <f>+IF($W736="","",ROUND((VLOOKUP(ROUNDDOWN($D736-1/frec,0),cob_adi,BO$40,FALSE)*(1+i/frec)^-0.5*(1+Parámetros!$D$103)*(1+rec_fracc)/frec*'TABLAS ADI'!$BC$17),2))</f>
        <v/>
      </c>
      <c r="CF736" s="119" t="str">
        <f t="shared" si="972"/>
        <v/>
      </c>
      <c r="CG736" s="66" t="str">
        <f>+IF($W736="","",ROUND(IF($B736&gt;Parámetros!$D$107,'Tablas Servicio'!CE736+('Tablas Servicio'!CG735-'Tablas Servicio'!CE735),CE736/(1-IF(B736&lt;=10,Parámetros!$D$100,0))),2))</f>
        <v/>
      </c>
      <c r="CH736" s="66" t="str">
        <f t="shared" si="1030"/>
        <v/>
      </c>
      <c r="CI736" s="66" t="str">
        <f t="shared" si="1030"/>
        <v/>
      </c>
      <c r="CJ736" s="66" t="str">
        <f>+IF($W736="","",ROUND((CG736*Parámetros!$G$85),2))</f>
        <v/>
      </c>
      <c r="CK736" s="66" t="str">
        <f>+IF($W736="","",ROUND((CG736*(Parámetros!$G$86)),2))</f>
        <v/>
      </c>
      <c r="CL736" s="66" t="str">
        <f t="shared" si="974"/>
        <v/>
      </c>
      <c r="CM736" t="str">
        <f t="shared" si="1015"/>
        <v/>
      </c>
      <c r="CN736" s="118" t="str">
        <f t="shared" si="1016"/>
        <v/>
      </c>
      <c r="CO736" s="118" t="str">
        <f t="shared" si="1017"/>
        <v/>
      </c>
      <c r="CP736" s="118" t="str">
        <f t="shared" si="1018"/>
        <v/>
      </c>
      <c r="CQ736" s="119" t="str">
        <f t="shared" si="975"/>
        <v/>
      </c>
      <c r="CR736" s="66" t="str">
        <f>+IF($W736="","",ROUND((VLOOKUP(Parámetros!$F$51,'COBERTURAS ADICIONALES'!$S$4:$T$32,2,FALSE)*(1+i/frec)^-0.5*(1+Parámetros!$D$103)*(1+rec_fracc)/frec*$CO$42),2))</f>
        <v/>
      </c>
      <c r="CS736" s="119" t="str">
        <f t="shared" si="976"/>
        <v/>
      </c>
      <c r="CT736" s="66" t="str">
        <f>+IF($W736="","",ROUND(IF($B736&gt;Parámetros!$D$107,'Tablas Servicio'!CR736+('Tablas Servicio'!CT735-'Tablas Servicio'!CR735),CR736/(1-IF(B736&lt;=10,Parámetros!$D$100,0))),2))</f>
        <v/>
      </c>
      <c r="CU736" s="66" t="str">
        <f t="shared" si="1031"/>
        <v/>
      </c>
      <c r="CV736" s="66" t="str">
        <f t="shared" si="1031"/>
        <v/>
      </c>
      <c r="CW736" s="66" t="str">
        <f>+IF($W736="","",ROUND((CT736*Parámetros!$G$85),2))</f>
        <v/>
      </c>
      <c r="CX736" s="66" t="str">
        <f>+IF($W736="","",ROUND((CT736*(Parámetros!$G$86)),2))</f>
        <v/>
      </c>
      <c r="CY736" s="66" t="str">
        <f t="shared" si="978"/>
        <v/>
      </c>
      <c r="CZ736" t="str">
        <f t="shared" si="1019"/>
        <v/>
      </c>
      <c r="DA736" s="118" t="str">
        <f t="shared" si="1020"/>
        <v/>
      </c>
      <c r="DB736" s="118" t="str">
        <f t="shared" si="1021"/>
        <v/>
      </c>
      <c r="DC736" s="118" t="str">
        <f t="shared" si="1022"/>
        <v/>
      </c>
      <c r="DD736" s="121" t="str">
        <f>+IF(OR($W736="",DB736=0),"",ROUND((VLOOKUP(ROUNDDOWN($D736-1/frec,0),cob_adi,CO$40,FALSE)*(1+i/frec)^-0.5*(1+Parámetros!$D$103)*(1+rec_fracc)/frec),6))</f>
        <v/>
      </c>
      <c r="DE736" s="66" t="str">
        <f t="shared" si="979"/>
        <v/>
      </c>
      <c r="DF736" s="119" t="str">
        <f t="shared" si="980"/>
        <v/>
      </c>
      <c r="DG736" s="66" t="str">
        <f>+IF($W736="","",ROUND(IF($B736&gt;Parámetros!$D$107,'Tablas Servicio'!DE736+('Tablas Servicio'!DG735-'Tablas Servicio'!DE735),DE736/(1-IF(B736&lt;=10,Parámetros!$D$100,0))),2))</f>
        <v/>
      </c>
      <c r="DH736" s="66" t="str">
        <f t="shared" si="1032"/>
        <v/>
      </c>
      <c r="DI736" s="66" t="str">
        <f t="shared" si="1032"/>
        <v/>
      </c>
      <c r="DJ736" s="66" t="str">
        <f>+IF($W736="","",ROUND((DG736*Parámetros!$G$85),2))</f>
        <v/>
      </c>
      <c r="DK736" s="66" t="str">
        <f>+IF($W736="","",ROUND((DG736*(Parámetros!$G$86)),2))</f>
        <v/>
      </c>
      <c r="DL736" s="66" t="str">
        <f t="shared" si="982"/>
        <v/>
      </c>
      <c r="DM736" t="str">
        <f t="shared" si="1023"/>
        <v/>
      </c>
      <c r="DN736" s="118" t="str">
        <f t="shared" si="1024"/>
        <v/>
      </c>
      <c r="DO736" s="118" t="str">
        <f t="shared" si="1025"/>
        <v/>
      </c>
      <c r="DP736" s="118" t="str">
        <f t="shared" si="1026"/>
        <v/>
      </c>
      <c r="DQ736" s="122" t="str">
        <f>+IF(OR($W736="",DO736=0),"",ROUND((VLOOKUP(ROUNDDOWN($D736-1/frec,0),cob_adi,DB$40,FALSE)*(1+i/frec)^-0.5*(1+Parámetros!$D$103)*(1+rec_fracc)/frec),6))</f>
        <v/>
      </c>
      <c r="DR736" s="66" t="str">
        <f t="shared" si="983"/>
        <v/>
      </c>
      <c r="DS736" s="68" t="str">
        <f t="shared" si="984"/>
        <v/>
      </c>
      <c r="DT736" s="66" t="str">
        <f>+IF($W736="","",ROUND(IF($B736&gt;Parámetros!$D$107,'Tablas Servicio'!DR736+('Tablas Servicio'!DT735-'Tablas Servicio'!DR735),DR736/(1-IF(B736&lt;=10,Parámetros!$D$100,0))),2))</f>
        <v/>
      </c>
      <c r="DU736" s="66" t="str">
        <f t="shared" si="1033"/>
        <v/>
      </c>
      <c r="DV736" s="66" t="str">
        <f t="shared" si="1033"/>
        <v/>
      </c>
      <c r="DW736" s="66" t="str">
        <f>+IF($W736="","",ROUND((DT736*Parámetros!$G$85),2))</f>
        <v/>
      </c>
      <c r="DX736" s="66" t="str">
        <f>+IF($W736="","",ROUND((DT736*(Parámetros!$G$86)),2))</f>
        <v/>
      </c>
      <c r="DY736" s="66" t="str">
        <f t="shared" si="986"/>
        <v/>
      </c>
      <c r="DZ736" t="str">
        <f t="shared" si="1036"/>
        <v/>
      </c>
      <c r="EA736" s="118" t="str">
        <f t="shared" si="1036"/>
        <v/>
      </c>
      <c r="EB736" s="118" t="str">
        <f>+IF($W736="","",ROUND(IF(Parámetros!$D$25='TABLAS MORT'!$V$33,EB735,Z736/2),0))</f>
        <v/>
      </c>
      <c r="EC736" s="118" t="str">
        <f t="shared" si="1036"/>
        <v/>
      </c>
      <c r="ED736" s="122" t="str">
        <f>+IF(OR($W736="",EB736=0),"",ROUND((VLOOKUP(ROUNDDOWN($D736-1/frec,0),cob_adi,DO$40,FALSE)*(1+i/frec)^-0.5*(1+Parámetros!$D$103)*(1+rec_fracc)/frec),6))</f>
        <v/>
      </c>
      <c r="EE736" s="66" t="str">
        <f t="shared" si="988"/>
        <v/>
      </c>
      <c r="EF736" s="68" t="str">
        <f t="shared" si="989"/>
        <v/>
      </c>
      <c r="EG736" s="66" t="str">
        <f>+IF($W736="","",ROUND(IF($B736&gt;Parámetros!$D$107,'Tablas Servicio'!EE736+('Tablas Servicio'!EG735-'Tablas Servicio'!EE735),EE736/(1-IF(B736&lt;=10,Parámetros!$D$100,0))),2))</f>
        <v/>
      </c>
      <c r="EH736" s="66" t="str">
        <f t="shared" si="1035"/>
        <v/>
      </c>
      <c r="EI736" s="66" t="str">
        <f t="shared" si="1035"/>
        <v/>
      </c>
      <c r="EJ736" s="66" t="str">
        <f>+IF($W736="","",ROUND((EG736*Parámetros!$G$85),2))</f>
        <v/>
      </c>
      <c r="EK736" s="66" t="str">
        <f>+IF($W736="","",ROUND((EG736*(Parámetros!$G$86)),2))</f>
        <v/>
      </c>
      <c r="EL736" s="66" t="str">
        <f t="shared" si="991"/>
        <v/>
      </c>
    </row>
    <row r="737" spans="1:142" x14ac:dyDescent="0.25">
      <c r="A737" t="str">
        <f>+IF($C737="","",ROUND(VLOOKUP('Tablas Servicio'!B737,Parámetros!$H$100:$J$159,IF(Parámetros!$E$16="F",2,3),FALSE),2))</f>
        <v/>
      </c>
      <c r="B737" t="str">
        <f t="shared" si="942"/>
        <v/>
      </c>
      <c r="C737" s="57" t="str">
        <f>+IF(D737="","",'Tablas Servicio'!C736+1)</f>
        <v/>
      </c>
      <c r="D737" s="56" t="str">
        <f>+IF(D736&lt;edadmaxtabla,D736+1/Parámetros!$E$25,"")</f>
        <v/>
      </c>
      <c r="E737" s="57" t="str">
        <f t="shared" si="952"/>
        <v/>
      </c>
      <c r="F737" s="59" t="str">
        <f t="shared" si="953"/>
        <v/>
      </c>
      <c r="G737" s="66" t="str">
        <f t="shared" si="943"/>
        <v/>
      </c>
      <c r="H737" s="66" t="str">
        <f t="shared" si="944"/>
        <v/>
      </c>
      <c r="I737" s="66" t="str">
        <f t="shared" si="992"/>
        <v/>
      </c>
      <c r="J737" s="66" t="str">
        <f t="shared" si="945"/>
        <v/>
      </c>
      <c r="K737" s="66" t="str">
        <f t="shared" si="946"/>
        <v/>
      </c>
      <c r="L737" s="66" t="str">
        <f t="shared" si="947"/>
        <v/>
      </c>
      <c r="M737" s="66" t="str">
        <f t="shared" si="948"/>
        <v/>
      </c>
      <c r="N737" s="66" t="str">
        <f>+IF(C737="","",ROUND(Parámetros!$D$23,2))</f>
        <v/>
      </c>
      <c r="O737" s="66" t="str">
        <f t="shared" si="949"/>
        <v/>
      </c>
      <c r="P737" s="66" t="str">
        <f>+IF($C737="","",ROUND(IF(B737&gt;Parámetros!$D$117,0,N737*Parámetros!$D$116-G737*Parámetros!$D$100),2))</f>
        <v/>
      </c>
      <c r="Q737" s="75" t="str">
        <f t="shared" si="993"/>
        <v/>
      </c>
      <c r="R737" s="75" t="str">
        <f t="shared" si="994"/>
        <v/>
      </c>
      <c r="S737" s="117" t="str">
        <f>+IF($C737="","",ROUND((S736+I737)*(1+Parámetros!$D$91),2))</f>
        <v/>
      </c>
      <c r="T737" s="117" t="str">
        <f>+IF($C737="","",ROUND(S737*VLOOKUP(B737,Parámetros!$C$30:$D$39,2,TRUE),2))</f>
        <v/>
      </c>
      <c r="U737" s="117" t="str">
        <f>+IF($C737="","",ROUND((U736+I737)*(1+Parámetros!$D$92),2))</f>
        <v/>
      </c>
      <c r="V737" s="117" t="str">
        <f>+IF($C737="","",ROUND(U737*VLOOKUP(B737,Parámetros!$C$30:$D$39,2,TRUE),2))</f>
        <v/>
      </c>
      <c r="W737" s="57" t="str">
        <f t="shared" si="995"/>
        <v/>
      </c>
      <c r="X737" t="str">
        <f t="shared" si="996"/>
        <v/>
      </c>
      <c r="Y737" t="str">
        <f t="shared" si="997"/>
        <v/>
      </c>
      <c r="Z737" s="118" t="str">
        <f>+IF($W737="","",ROUND(IF(Parámetros!$D$25='TABLAS MORT'!$V$33,Z736,Parámetros!$D$21-'Tablas Servicio'!T736),0))</f>
        <v/>
      </c>
      <c r="AA737" s="118" t="str">
        <f t="shared" si="998"/>
        <v/>
      </c>
      <c r="AB737" s="119" t="str">
        <f>+IF(W737="","",ROUND((VLOOKUP(ROUNDDOWN($D737-1/frec,0),qx_tabla,2,FALSE)*(1+i/frec)^-0.5*(1+Parámetros!$D$103)*(1+rec_fracc)/frec),6))</f>
        <v/>
      </c>
      <c r="AC737" s="66" t="str">
        <f t="shared" si="954"/>
        <v/>
      </c>
      <c r="AD737" s="119" t="str">
        <f t="shared" si="950"/>
        <v/>
      </c>
      <c r="AE737" s="66" t="str">
        <f>+IF($W737="","",ROUND(IF($B737&gt;Parámetros!$D$107,'Tablas Servicio'!AC737+('Tablas Servicio'!AG736-'Tablas Servicio'!AC736),AC737/(1-IF(B737&lt;=10,Parámetros!$D$104,Parámetros!$D$105))),2))</f>
        <v/>
      </c>
      <c r="AF737" s="66" t="str">
        <f>+IF($W737="","",ROUND(IF($B737&gt;Parámetros!$D$107,'Tablas Servicio'!AC737+('Tablas Servicio'!AG736-'Tablas Servicio'!AC736),(AC737+$A736/frec)/(1-IF(B737&lt;=Parámetros!$D$117,Parámetros!$D$100,0))),2))</f>
        <v/>
      </c>
      <c r="AG737" s="66" t="str">
        <f t="shared" si="955"/>
        <v/>
      </c>
      <c r="AH737" s="66" t="str">
        <f t="shared" si="956"/>
        <v/>
      </c>
      <c r="AI737" s="66" t="str">
        <f t="shared" si="957"/>
        <v/>
      </c>
      <c r="AJ737" s="66" t="str">
        <f>+IF($W737="","",ROUND((AG737*Parámetros!$G$85),2))</f>
        <v/>
      </c>
      <c r="AK737" s="66" t="str">
        <f>+IF($W737="","",ROUND((AG737*(Parámetros!$G$86)),2))</f>
        <v/>
      </c>
      <c r="AL737" s="66" t="str">
        <f t="shared" si="951"/>
        <v/>
      </c>
      <c r="AM737" t="str">
        <f t="shared" si="999"/>
        <v/>
      </c>
      <c r="AN737" t="str">
        <f t="shared" si="1000"/>
        <v/>
      </c>
      <c r="AO737" s="118" t="str">
        <f t="shared" si="1001"/>
        <v/>
      </c>
      <c r="AP737" s="118" t="str">
        <f t="shared" si="1002"/>
        <v/>
      </c>
      <c r="AQ737" s="119" t="str">
        <f>+IF(OR($W737="",AO737=0),"",ROUND((VLOOKUP(ROUNDDOWN($D737-1/frec,0),cob_adi,Z$40,FALSE)*(1+i/frec)^-0.5*(1+Parámetros!$D$103)*(1+rec_fracc)/frec),6))</f>
        <v/>
      </c>
      <c r="AR737" s="66" t="str">
        <f t="shared" si="958"/>
        <v/>
      </c>
      <c r="AS737" s="119" t="str">
        <f t="shared" si="959"/>
        <v/>
      </c>
      <c r="AT737" s="66" t="str">
        <f>+IF($W737="","",ROUND(IF($B737&gt;Parámetros!$D$107,'Tablas Servicio'!AR737+('Tablas Servicio'!AT736-'Tablas Servicio'!AR736),AR737/(1-IF(B737&lt;=10,Parámetros!$D$100,0))),2))</f>
        <v/>
      </c>
      <c r="AU737" s="66" t="str">
        <f t="shared" si="1028"/>
        <v/>
      </c>
      <c r="AV737" s="66" t="str">
        <f t="shared" si="1028"/>
        <v/>
      </c>
      <c r="AW737" s="66" t="str">
        <f>+IF($W737="","",ROUND((AT737*Parámetros!$G$85),2))</f>
        <v/>
      </c>
      <c r="AX737" s="66" t="str">
        <f>+IF($W737="","",ROUND((AT737*(Parámetros!$G$86)),2))</f>
        <v/>
      </c>
      <c r="AY737" s="66" t="str">
        <f t="shared" si="961"/>
        <v/>
      </c>
      <c r="AZ737" t="str">
        <f t="shared" si="1003"/>
        <v/>
      </c>
      <c r="BA737" t="str">
        <f t="shared" si="1004"/>
        <v/>
      </c>
      <c r="BB737" s="118" t="str">
        <f t="shared" si="1005"/>
        <v/>
      </c>
      <c r="BC737" s="118" t="str">
        <f t="shared" si="1006"/>
        <v/>
      </c>
      <c r="BD737" s="119" t="str">
        <f>+IF(OR($W737="",BB737=0),"",ROUND((VLOOKUP(ROUNDDOWN($D737-1/frec,0),cob_adi,AO$40,FALSE)*(1+i/frec)^-0.5*(1+Parámetros!$D$103)*(1+rec_fracc)/frec),6))</f>
        <v/>
      </c>
      <c r="BE737" s="66" t="str">
        <f t="shared" si="962"/>
        <v/>
      </c>
      <c r="BF737" s="119" t="str">
        <f t="shared" si="963"/>
        <v/>
      </c>
      <c r="BG737" s="66" t="str">
        <f>+IF($W737="","",ROUND(IF($B737&gt;Parámetros!$D$107,'Tablas Servicio'!BE737+('Tablas Servicio'!BG736-'Tablas Servicio'!BE736),BE737/(1-IF(B737&lt;=10,Parámetros!$D$100,0))),2))</f>
        <v/>
      </c>
      <c r="BH737" s="66" t="str">
        <f t="shared" si="964"/>
        <v/>
      </c>
      <c r="BI737" s="66" t="str">
        <f t="shared" si="965"/>
        <v/>
      </c>
      <c r="BJ737" s="66" t="str">
        <f>+IF($W737="","",ROUND((BG737*Parámetros!$G$85),2))</f>
        <v/>
      </c>
      <c r="BK737" s="66" t="str">
        <f>+IF($W737="","",ROUND((BG737*(Parámetros!$G$86)),2))</f>
        <v/>
      </c>
      <c r="BL737" s="66" t="str">
        <f t="shared" si="966"/>
        <v/>
      </c>
      <c r="BM737" t="str">
        <f t="shared" si="1007"/>
        <v/>
      </c>
      <c r="BN737" t="str">
        <f t="shared" si="1008"/>
        <v/>
      </c>
      <c r="BO737" s="118" t="str">
        <f t="shared" si="1009"/>
        <v/>
      </c>
      <c r="BP737" s="118" t="str">
        <f t="shared" si="1010"/>
        <v/>
      </c>
      <c r="BQ737" s="119" t="str">
        <f>+IF(OR($W737="",BO737=0),"",ROUND((VLOOKUP(ROUNDDOWN($D737-1/frec,0),cob_adi,BB$40,FALSE)*(1+i/frec)^-0.5*(1+Parámetros!$D$103)*(1+rec_fracc)/frec),6))</f>
        <v/>
      </c>
      <c r="BR737" s="66" t="str">
        <f t="shared" si="967"/>
        <v/>
      </c>
      <c r="BS737" s="119" t="str">
        <f t="shared" si="968"/>
        <v/>
      </c>
      <c r="BT737" s="66" t="str">
        <f>+IF($W737="","",ROUND(IF($B737&gt;Parámetros!$D$107,'Tablas Servicio'!BR737+('Tablas Servicio'!BT736-'Tablas Servicio'!BR736),BR737/(1-IF(B737&lt;=10,Parámetros!$D$100,0))),2))</f>
        <v/>
      </c>
      <c r="BU737" s="66" t="str">
        <f t="shared" si="1029"/>
        <v/>
      </c>
      <c r="BV737" s="66" t="str">
        <f t="shared" si="1029"/>
        <v/>
      </c>
      <c r="BW737" s="66" t="str">
        <f>+IF($W737="","",ROUND((BT737*Parámetros!$G$85),2))</f>
        <v/>
      </c>
      <c r="BX737" s="66" t="str">
        <f>+IF($W737="","",ROUND((BT737*(Parámetros!$G$86)),2))</f>
        <v/>
      </c>
      <c r="BY737" s="66" t="str">
        <f t="shared" si="970"/>
        <v/>
      </c>
      <c r="BZ737" t="str">
        <f t="shared" si="1011"/>
        <v/>
      </c>
      <c r="CA737" t="str">
        <f t="shared" si="1012"/>
        <v/>
      </c>
      <c r="CB737" s="118" t="str">
        <f t="shared" si="1013"/>
        <v/>
      </c>
      <c r="CC737" s="118" t="str">
        <f t="shared" si="1014"/>
        <v/>
      </c>
      <c r="CD737" s="119" t="str">
        <f t="shared" si="971"/>
        <v/>
      </c>
      <c r="CE737" s="66" t="str">
        <f>+IF($W737="","",ROUND((VLOOKUP(ROUNDDOWN($D737-1/frec,0),cob_adi,BO$40,FALSE)*(1+i/frec)^-0.5*(1+Parámetros!$D$103)*(1+rec_fracc)/frec*'TABLAS ADI'!$BC$17),2))</f>
        <v/>
      </c>
      <c r="CF737" s="119" t="str">
        <f t="shared" si="972"/>
        <v/>
      </c>
      <c r="CG737" s="66" t="str">
        <f>+IF($W737="","",ROUND(IF($B737&gt;Parámetros!$D$107,'Tablas Servicio'!CE737+('Tablas Servicio'!CG736-'Tablas Servicio'!CE736),CE737/(1-IF(B737&lt;=10,Parámetros!$D$100,0))),2))</f>
        <v/>
      </c>
      <c r="CH737" s="66" t="str">
        <f t="shared" si="1030"/>
        <v/>
      </c>
      <c r="CI737" s="66" t="str">
        <f t="shared" si="1030"/>
        <v/>
      </c>
      <c r="CJ737" s="66" t="str">
        <f>+IF($W737="","",ROUND((CG737*Parámetros!$G$85),2))</f>
        <v/>
      </c>
      <c r="CK737" s="66" t="str">
        <f>+IF($W737="","",ROUND((CG737*(Parámetros!$G$86)),2))</f>
        <v/>
      </c>
      <c r="CL737" s="66" t="str">
        <f t="shared" si="974"/>
        <v/>
      </c>
      <c r="CM737" t="str">
        <f t="shared" si="1015"/>
        <v/>
      </c>
      <c r="CN737" s="118" t="str">
        <f t="shared" si="1016"/>
        <v/>
      </c>
      <c r="CO737" s="118" t="str">
        <f t="shared" si="1017"/>
        <v/>
      </c>
      <c r="CP737" s="118" t="str">
        <f t="shared" si="1018"/>
        <v/>
      </c>
      <c r="CQ737" s="119" t="str">
        <f t="shared" si="975"/>
        <v/>
      </c>
      <c r="CR737" s="66" t="str">
        <f>+IF($W737="","",ROUND((VLOOKUP(Parámetros!$F$51,'COBERTURAS ADICIONALES'!$S$4:$T$32,2,FALSE)*(1+i/frec)^-0.5*(1+Parámetros!$D$103)*(1+rec_fracc)/frec*$CO$42),2))</f>
        <v/>
      </c>
      <c r="CS737" s="119" t="str">
        <f t="shared" si="976"/>
        <v/>
      </c>
      <c r="CT737" s="66" t="str">
        <f>+IF($W737="","",ROUND(IF($B737&gt;Parámetros!$D$107,'Tablas Servicio'!CR737+('Tablas Servicio'!CT736-'Tablas Servicio'!CR736),CR737/(1-IF(B737&lt;=10,Parámetros!$D$100,0))),2))</f>
        <v/>
      </c>
      <c r="CU737" s="66" t="str">
        <f t="shared" si="1031"/>
        <v/>
      </c>
      <c r="CV737" s="66" t="str">
        <f t="shared" si="1031"/>
        <v/>
      </c>
      <c r="CW737" s="66" t="str">
        <f>+IF($W737="","",ROUND((CT737*Parámetros!$G$85),2))</f>
        <v/>
      </c>
      <c r="CX737" s="66" t="str">
        <f>+IF($W737="","",ROUND((CT737*(Parámetros!$G$86)),2))</f>
        <v/>
      </c>
      <c r="CY737" s="66" t="str">
        <f t="shared" si="978"/>
        <v/>
      </c>
      <c r="CZ737" t="str">
        <f t="shared" si="1019"/>
        <v/>
      </c>
      <c r="DA737" s="118" t="str">
        <f t="shared" si="1020"/>
        <v/>
      </c>
      <c r="DB737" s="118" t="str">
        <f t="shared" si="1021"/>
        <v/>
      </c>
      <c r="DC737" s="118" t="str">
        <f t="shared" si="1022"/>
        <v/>
      </c>
      <c r="DD737" s="121" t="str">
        <f>+IF(OR($W737="",DB737=0),"",ROUND((VLOOKUP(ROUNDDOWN($D737-1/frec,0),cob_adi,CO$40,FALSE)*(1+i/frec)^-0.5*(1+Parámetros!$D$103)*(1+rec_fracc)/frec),6))</f>
        <v/>
      </c>
      <c r="DE737" s="66" t="str">
        <f t="shared" si="979"/>
        <v/>
      </c>
      <c r="DF737" s="119" t="str">
        <f t="shared" si="980"/>
        <v/>
      </c>
      <c r="DG737" s="66" t="str">
        <f>+IF($W737="","",ROUND(IF($B737&gt;Parámetros!$D$107,'Tablas Servicio'!DE737+('Tablas Servicio'!DG736-'Tablas Servicio'!DE736),DE737/(1-IF(B737&lt;=10,Parámetros!$D$100,0))),2))</f>
        <v/>
      </c>
      <c r="DH737" s="66" t="str">
        <f t="shared" si="1032"/>
        <v/>
      </c>
      <c r="DI737" s="66" t="str">
        <f t="shared" si="1032"/>
        <v/>
      </c>
      <c r="DJ737" s="66" t="str">
        <f>+IF($W737="","",ROUND((DG737*Parámetros!$G$85),2))</f>
        <v/>
      </c>
      <c r="DK737" s="66" t="str">
        <f>+IF($W737="","",ROUND((DG737*(Parámetros!$G$86)),2))</f>
        <v/>
      </c>
      <c r="DL737" s="66" t="str">
        <f t="shared" si="982"/>
        <v/>
      </c>
      <c r="DM737" t="str">
        <f t="shared" si="1023"/>
        <v/>
      </c>
      <c r="DN737" s="118" t="str">
        <f t="shared" si="1024"/>
        <v/>
      </c>
      <c r="DO737" s="118" t="str">
        <f t="shared" si="1025"/>
        <v/>
      </c>
      <c r="DP737" s="118" t="str">
        <f t="shared" si="1026"/>
        <v/>
      </c>
      <c r="DQ737" s="122" t="str">
        <f>+IF(OR($W737="",DO737=0),"",ROUND((VLOOKUP(ROUNDDOWN($D737-1/frec,0),cob_adi,DB$40,FALSE)*(1+i/frec)^-0.5*(1+Parámetros!$D$103)*(1+rec_fracc)/frec),6))</f>
        <v/>
      </c>
      <c r="DR737" s="66" t="str">
        <f t="shared" si="983"/>
        <v/>
      </c>
      <c r="DS737" s="68" t="str">
        <f t="shared" si="984"/>
        <v/>
      </c>
      <c r="DT737" s="66" t="str">
        <f>+IF($W737="","",ROUND(IF($B737&gt;Parámetros!$D$107,'Tablas Servicio'!DR737+('Tablas Servicio'!DT736-'Tablas Servicio'!DR736),DR737/(1-IF(B737&lt;=10,Parámetros!$D$100,0))),2))</f>
        <v/>
      </c>
      <c r="DU737" s="66" t="str">
        <f t="shared" si="1033"/>
        <v/>
      </c>
      <c r="DV737" s="66" t="str">
        <f t="shared" si="1033"/>
        <v/>
      </c>
      <c r="DW737" s="66" t="str">
        <f>+IF($W737="","",ROUND((DT737*Parámetros!$G$85),2))</f>
        <v/>
      </c>
      <c r="DX737" s="66" t="str">
        <f>+IF($W737="","",ROUND((DT737*(Parámetros!$G$86)),2))</f>
        <v/>
      </c>
      <c r="DY737" s="66" t="str">
        <f t="shared" si="986"/>
        <v/>
      </c>
      <c r="DZ737" t="str">
        <f t="shared" si="1036"/>
        <v/>
      </c>
      <c r="EA737" s="118" t="str">
        <f t="shared" si="1036"/>
        <v/>
      </c>
      <c r="EB737" s="118" t="str">
        <f>+IF($W737="","",ROUND(IF(Parámetros!$D$25='TABLAS MORT'!$V$33,EB736,Z737/2),0))</f>
        <v/>
      </c>
      <c r="EC737" s="118" t="str">
        <f t="shared" si="1036"/>
        <v/>
      </c>
      <c r="ED737" s="122" t="str">
        <f>+IF(OR($W737="",EB737=0),"",ROUND((VLOOKUP(ROUNDDOWN($D737-1/frec,0),cob_adi,DO$40,FALSE)*(1+i/frec)^-0.5*(1+Parámetros!$D$103)*(1+rec_fracc)/frec),6))</f>
        <v/>
      </c>
      <c r="EE737" s="66" t="str">
        <f t="shared" si="988"/>
        <v/>
      </c>
      <c r="EF737" s="68" t="str">
        <f t="shared" si="989"/>
        <v/>
      </c>
      <c r="EG737" s="66" t="str">
        <f>+IF($W737="","",ROUND(IF($B737&gt;Parámetros!$D$107,'Tablas Servicio'!EE737+('Tablas Servicio'!EG736-'Tablas Servicio'!EE736),EE737/(1-IF(B737&lt;=10,Parámetros!$D$100,0))),2))</f>
        <v/>
      </c>
      <c r="EH737" s="66" t="str">
        <f t="shared" si="1035"/>
        <v/>
      </c>
      <c r="EI737" s="66" t="str">
        <f t="shared" si="1035"/>
        <v/>
      </c>
      <c r="EJ737" s="66" t="str">
        <f>+IF($W737="","",ROUND((EG737*Parámetros!$G$85),2))</f>
        <v/>
      </c>
      <c r="EK737" s="66" t="str">
        <f>+IF($W737="","",ROUND((EG737*(Parámetros!$G$86)),2))</f>
        <v/>
      </c>
      <c r="EL737" s="66" t="str">
        <f t="shared" si="991"/>
        <v/>
      </c>
    </row>
    <row r="738" spans="1:142" x14ac:dyDescent="0.25">
      <c r="A738" t="str">
        <f>+IF($C738="","",ROUND(VLOOKUP('Tablas Servicio'!B738,Parámetros!$H$100:$J$159,IF(Parámetros!$E$16="F",2,3),FALSE),2))</f>
        <v/>
      </c>
      <c r="B738" t="str">
        <f t="shared" si="942"/>
        <v/>
      </c>
      <c r="C738" s="57" t="str">
        <f>+IF(D738="","",'Tablas Servicio'!C737+1)</f>
        <v/>
      </c>
      <c r="D738" s="56" t="str">
        <f>+IF(D737&lt;edadmaxtabla,D737+1/Parámetros!$E$25,"")</f>
        <v/>
      </c>
      <c r="E738" s="57" t="str">
        <f t="shared" si="952"/>
        <v/>
      </c>
      <c r="F738" s="59" t="str">
        <f t="shared" si="953"/>
        <v/>
      </c>
      <c r="G738" s="66" t="str">
        <f t="shared" si="943"/>
        <v/>
      </c>
      <c r="H738" s="66" t="str">
        <f t="shared" si="944"/>
        <v/>
      </c>
      <c r="I738" s="66" t="str">
        <f t="shared" si="992"/>
        <v/>
      </c>
      <c r="J738" s="66" t="str">
        <f t="shared" si="945"/>
        <v/>
      </c>
      <c r="K738" s="66" t="str">
        <f t="shared" si="946"/>
        <v/>
      </c>
      <c r="L738" s="66" t="str">
        <f t="shared" si="947"/>
        <v/>
      </c>
      <c r="M738" s="66" t="str">
        <f t="shared" si="948"/>
        <v/>
      </c>
      <c r="N738" s="66" t="str">
        <f>+IF(C738="","",ROUND(Parámetros!$D$23,2))</f>
        <v/>
      </c>
      <c r="O738" s="66" t="str">
        <f t="shared" si="949"/>
        <v/>
      </c>
      <c r="P738" s="66" t="str">
        <f>+IF($C738="","",ROUND(IF(B738&gt;Parámetros!$D$117,0,N738*Parámetros!$D$116-G738*Parámetros!$D$100),2))</f>
        <v/>
      </c>
      <c r="Q738" s="75" t="str">
        <f t="shared" si="993"/>
        <v/>
      </c>
      <c r="R738" s="75" t="str">
        <f t="shared" si="994"/>
        <v/>
      </c>
      <c r="S738" s="117" t="str">
        <f>+IF($C738="","",ROUND((S737+I738)*(1+Parámetros!$D$91),2))</f>
        <v/>
      </c>
      <c r="T738" s="117" t="str">
        <f>+IF($C738="","",ROUND(S738*VLOOKUP(B738,Parámetros!$C$30:$D$39,2,TRUE),2))</f>
        <v/>
      </c>
      <c r="U738" s="117" t="str">
        <f>+IF($C738="","",ROUND((U737+I738)*(1+Parámetros!$D$92),2))</f>
        <v/>
      </c>
      <c r="V738" s="117" t="str">
        <f>+IF($C738="","",ROUND(U738*VLOOKUP(B738,Parámetros!$C$30:$D$39,2,TRUE),2))</f>
        <v/>
      </c>
      <c r="W738" s="57" t="str">
        <f t="shared" si="995"/>
        <v/>
      </c>
      <c r="X738" t="str">
        <f t="shared" si="996"/>
        <v/>
      </c>
      <c r="Y738" t="str">
        <f t="shared" si="997"/>
        <v/>
      </c>
      <c r="Z738" s="118" t="str">
        <f>+IF($W738="","",ROUND(IF(Parámetros!$D$25='TABLAS MORT'!$V$33,Z737,Parámetros!$D$21-'Tablas Servicio'!T737),0))</f>
        <v/>
      </c>
      <c r="AA738" s="118" t="str">
        <f t="shared" si="998"/>
        <v/>
      </c>
      <c r="AB738" s="119" t="str">
        <f>+IF(W738="","",ROUND((VLOOKUP(ROUNDDOWN($D738-1/frec,0),qx_tabla,2,FALSE)*(1+i/frec)^-0.5*(1+Parámetros!$D$103)*(1+rec_fracc)/frec),6))</f>
        <v/>
      </c>
      <c r="AC738" s="66" t="str">
        <f t="shared" si="954"/>
        <v/>
      </c>
      <c r="AD738" s="119" t="str">
        <f t="shared" si="950"/>
        <v/>
      </c>
      <c r="AE738" s="66" t="str">
        <f>+IF($W738="","",ROUND(IF($B738&gt;Parámetros!$D$107,'Tablas Servicio'!AC738+('Tablas Servicio'!AG737-'Tablas Servicio'!AC737),AC738/(1-IF(B738&lt;=10,Parámetros!$D$104,Parámetros!$D$105))),2))</f>
        <v/>
      </c>
      <c r="AF738" s="66" t="str">
        <f>+IF($W738="","",ROUND(IF($B738&gt;Parámetros!$D$107,'Tablas Servicio'!AC738+('Tablas Servicio'!AG737-'Tablas Servicio'!AC737),(AC738+$A737/frec)/(1-IF(B738&lt;=Parámetros!$D$117,Parámetros!$D$100,0))),2))</f>
        <v/>
      </c>
      <c r="AG738" s="66" t="str">
        <f t="shared" si="955"/>
        <v/>
      </c>
      <c r="AH738" s="66" t="str">
        <f t="shared" si="956"/>
        <v/>
      </c>
      <c r="AI738" s="66" t="str">
        <f t="shared" si="957"/>
        <v/>
      </c>
      <c r="AJ738" s="66" t="str">
        <f>+IF($W738="","",ROUND((AG738*Parámetros!$G$85),2))</f>
        <v/>
      </c>
      <c r="AK738" s="66" t="str">
        <f>+IF($W738="","",ROUND((AG738*(Parámetros!$G$86)),2))</f>
        <v/>
      </c>
      <c r="AL738" s="66" t="str">
        <f t="shared" si="951"/>
        <v/>
      </c>
      <c r="AM738" t="str">
        <f t="shared" si="999"/>
        <v/>
      </c>
      <c r="AN738" t="str">
        <f t="shared" si="1000"/>
        <v/>
      </c>
      <c r="AO738" s="118" t="str">
        <f t="shared" si="1001"/>
        <v/>
      </c>
      <c r="AP738" s="118" t="str">
        <f t="shared" si="1002"/>
        <v/>
      </c>
      <c r="AQ738" s="119" t="str">
        <f>+IF(OR($W738="",AO738=0),"",ROUND((VLOOKUP(ROUNDDOWN($D738-1/frec,0),cob_adi,Z$40,FALSE)*(1+i/frec)^-0.5*(1+Parámetros!$D$103)*(1+rec_fracc)/frec),6))</f>
        <v/>
      </c>
      <c r="AR738" s="66" t="str">
        <f t="shared" si="958"/>
        <v/>
      </c>
      <c r="AS738" s="119" t="str">
        <f t="shared" si="959"/>
        <v/>
      </c>
      <c r="AT738" s="66" t="str">
        <f>+IF($W738="","",ROUND(IF($B738&gt;Parámetros!$D$107,'Tablas Servicio'!AR738+('Tablas Servicio'!AT737-'Tablas Servicio'!AR737),AR738/(1-IF(B738&lt;=10,Parámetros!$D$100,0))),2))</f>
        <v/>
      </c>
      <c r="AU738" s="66" t="str">
        <f t="shared" si="1028"/>
        <v/>
      </c>
      <c r="AV738" s="66" t="str">
        <f t="shared" si="1028"/>
        <v/>
      </c>
      <c r="AW738" s="66" t="str">
        <f>+IF($W738="","",ROUND((AT738*Parámetros!$G$85),2))</f>
        <v/>
      </c>
      <c r="AX738" s="66" t="str">
        <f>+IF($W738="","",ROUND((AT738*(Parámetros!$G$86)),2))</f>
        <v/>
      </c>
      <c r="AY738" s="66" t="str">
        <f t="shared" si="961"/>
        <v/>
      </c>
      <c r="AZ738" t="str">
        <f t="shared" si="1003"/>
        <v/>
      </c>
      <c r="BA738" t="str">
        <f t="shared" si="1004"/>
        <v/>
      </c>
      <c r="BB738" s="118" t="str">
        <f t="shared" si="1005"/>
        <v/>
      </c>
      <c r="BC738" s="118" t="str">
        <f t="shared" si="1006"/>
        <v/>
      </c>
      <c r="BD738" s="119" t="str">
        <f>+IF(OR($W738="",BB738=0),"",ROUND((VLOOKUP(ROUNDDOWN($D738-1/frec,0),cob_adi,AO$40,FALSE)*(1+i/frec)^-0.5*(1+Parámetros!$D$103)*(1+rec_fracc)/frec),6))</f>
        <v/>
      </c>
      <c r="BE738" s="66" t="str">
        <f t="shared" si="962"/>
        <v/>
      </c>
      <c r="BF738" s="119" t="str">
        <f t="shared" si="963"/>
        <v/>
      </c>
      <c r="BG738" s="66" t="str">
        <f>+IF($W738="","",ROUND(IF($B738&gt;Parámetros!$D$107,'Tablas Servicio'!BE738+('Tablas Servicio'!BG737-'Tablas Servicio'!BE737),BE738/(1-IF(B738&lt;=10,Parámetros!$D$100,0))),2))</f>
        <v/>
      </c>
      <c r="BH738" s="66" t="str">
        <f t="shared" si="964"/>
        <v/>
      </c>
      <c r="BI738" s="66" t="str">
        <f t="shared" si="965"/>
        <v/>
      </c>
      <c r="BJ738" s="66" t="str">
        <f>+IF($W738="","",ROUND((BG738*Parámetros!$G$85),2))</f>
        <v/>
      </c>
      <c r="BK738" s="66" t="str">
        <f>+IF($W738="","",ROUND((BG738*(Parámetros!$G$86)),2))</f>
        <v/>
      </c>
      <c r="BL738" s="66" t="str">
        <f t="shared" si="966"/>
        <v/>
      </c>
      <c r="BM738" t="str">
        <f t="shared" si="1007"/>
        <v/>
      </c>
      <c r="BN738" t="str">
        <f t="shared" si="1008"/>
        <v/>
      </c>
      <c r="BO738" s="118" t="str">
        <f t="shared" si="1009"/>
        <v/>
      </c>
      <c r="BP738" s="118" t="str">
        <f t="shared" si="1010"/>
        <v/>
      </c>
      <c r="BQ738" s="119" t="str">
        <f>+IF(OR($W738="",BO738=0),"",ROUND((VLOOKUP(ROUNDDOWN($D738-1/frec,0),cob_adi,BB$40,FALSE)*(1+i/frec)^-0.5*(1+Parámetros!$D$103)*(1+rec_fracc)/frec),6))</f>
        <v/>
      </c>
      <c r="BR738" s="66" t="str">
        <f t="shared" si="967"/>
        <v/>
      </c>
      <c r="BS738" s="119" t="str">
        <f t="shared" si="968"/>
        <v/>
      </c>
      <c r="BT738" s="66" t="str">
        <f>+IF($W738="","",ROUND(IF($B738&gt;Parámetros!$D$107,'Tablas Servicio'!BR738+('Tablas Servicio'!BT737-'Tablas Servicio'!BR737),BR738/(1-IF(B738&lt;=10,Parámetros!$D$100,0))),2))</f>
        <v/>
      </c>
      <c r="BU738" s="66" t="str">
        <f t="shared" si="1029"/>
        <v/>
      </c>
      <c r="BV738" s="66" t="str">
        <f t="shared" si="1029"/>
        <v/>
      </c>
      <c r="BW738" s="66" t="str">
        <f>+IF($W738="","",ROUND((BT738*Parámetros!$G$85),2))</f>
        <v/>
      </c>
      <c r="BX738" s="66" t="str">
        <f>+IF($W738="","",ROUND((BT738*(Parámetros!$G$86)),2))</f>
        <v/>
      </c>
      <c r="BY738" s="66" t="str">
        <f t="shared" si="970"/>
        <v/>
      </c>
      <c r="BZ738" t="str">
        <f t="shared" si="1011"/>
        <v/>
      </c>
      <c r="CA738" t="str">
        <f t="shared" si="1012"/>
        <v/>
      </c>
      <c r="CB738" s="118" t="str">
        <f t="shared" si="1013"/>
        <v/>
      </c>
      <c r="CC738" s="118" t="str">
        <f t="shared" si="1014"/>
        <v/>
      </c>
      <c r="CD738" s="119" t="str">
        <f t="shared" si="971"/>
        <v/>
      </c>
      <c r="CE738" s="66" t="str">
        <f>+IF($W738="","",ROUND((VLOOKUP(ROUNDDOWN($D738-1/frec,0),cob_adi,BO$40,FALSE)*(1+i/frec)^-0.5*(1+Parámetros!$D$103)*(1+rec_fracc)/frec*'TABLAS ADI'!$BC$17),2))</f>
        <v/>
      </c>
      <c r="CF738" s="119" t="str">
        <f t="shared" si="972"/>
        <v/>
      </c>
      <c r="CG738" s="66" t="str">
        <f>+IF($W738="","",ROUND(IF($B738&gt;Parámetros!$D$107,'Tablas Servicio'!CE738+('Tablas Servicio'!CG737-'Tablas Servicio'!CE737),CE738/(1-IF(B738&lt;=10,Parámetros!$D$100,0))),2))</f>
        <v/>
      </c>
      <c r="CH738" s="66" t="str">
        <f t="shared" si="1030"/>
        <v/>
      </c>
      <c r="CI738" s="66" t="str">
        <f t="shared" si="1030"/>
        <v/>
      </c>
      <c r="CJ738" s="66" t="str">
        <f>+IF($W738="","",ROUND((CG738*Parámetros!$G$85),2))</f>
        <v/>
      </c>
      <c r="CK738" s="66" t="str">
        <f>+IF($W738="","",ROUND((CG738*(Parámetros!$G$86)),2))</f>
        <v/>
      </c>
      <c r="CL738" s="66" t="str">
        <f t="shared" si="974"/>
        <v/>
      </c>
      <c r="CM738" t="str">
        <f t="shared" si="1015"/>
        <v/>
      </c>
      <c r="CN738" s="118" t="str">
        <f t="shared" si="1016"/>
        <v/>
      </c>
      <c r="CO738" s="118" t="str">
        <f t="shared" si="1017"/>
        <v/>
      </c>
      <c r="CP738" s="118" t="str">
        <f t="shared" si="1018"/>
        <v/>
      </c>
      <c r="CQ738" s="119" t="str">
        <f t="shared" si="975"/>
        <v/>
      </c>
      <c r="CR738" s="66" t="str">
        <f>+IF($W738="","",ROUND((VLOOKUP(Parámetros!$F$51,'COBERTURAS ADICIONALES'!$S$4:$T$32,2,FALSE)*(1+i/frec)^-0.5*(1+Parámetros!$D$103)*(1+rec_fracc)/frec*$CO$42),2))</f>
        <v/>
      </c>
      <c r="CS738" s="119" t="str">
        <f t="shared" si="976"/>
        <v/>
      </c>
      <c r="CT738" s="66" t="str">
        <f>+IF($W738="","",ROUND(IF($B738&gt;Parámetros!$D$107,'Tablas Servicio'!CR738+('Tablas Servicio'!CT737-'Tablas Servicio'!CR737),CR738/(1-IF(B738&lt;=10,Parámetros!$D$100,0))),2))</f>
        <v/>
      </c>
      <c r="CU738" s="66" t="str">
        <f t="shared" si="1031"/>
        <v/>
      </c>
      <c r="CV738" s="66" t="str">
        <f t="shared" si="1031"/>
        <v/>
      </c>
      <c r="CW738" s="66" t="str">
        <f>+IF($W738="","",ROUND((CT738*Parámetros!$G$85),2))</f>
        <v/>
      </c>
      <c r="CX738" s="66" t="str">
        <f>+IF($W738="","",ROUND((CT738*(Parámetros!$G$86)),2))</f>
        <v/>
      </c>
      <c r="CY738" s="66" t="str">
        <f t="shared" si="978"/>
        <v/>
      </c>
      <c r="CZ738" t="str">
        <f t="shared" si="1019"/>
        <v/>
      </c>
      <c r="DA738" s="118" t="str">
        <f t="shared" si="1020"/>
        <v/>
      </c>
      <c r="DB738" s="118" t="str">
        <f t="shared" si="1021"/>
        <v/>
      </c>
      <c r="DC738" s="118" t="str">
        <f t="shared" si="1022"/>
        <v/>
      </c>
      <c r="DD738" s="121" t="str">
        <f>+IF(OR($W738="",DB738=0),"",ROUND((VLOOKUP(ROUNDDOWN($D738-1/frec,0),cob_adi,CO$40,FALSE)*(1+i/frec)^-0.5*(1+Parámetros!$D$103)*(1+rec_fracc)/frec),6))</f>
        <v/>
      </c>
      <c r="DE738" s="66" t="str">
        <f t="shared" si="979"/>
        <v/>
      </c>
      <c r="DF738" s="119" t="str">
        <f t="shared" si="980"/>
        <v/>
      </c>
      <c r="DG738" s="66" t="str">
        <f>+IF($W738="","",ROUND(IF($B738&gt;Parámetros!$D$107,'Tablas Servicio'!DE738+('Tablas Servicio'!DG737-'Tablas Servicio'!DE737),DE738/(1-IF(B738&lt;=10,Parámetros!$D$100,0))),2))</f>
        <v/>
      </c>
      <c r="DH738" s="66" t="str">
        <f t="shared" si="1032"/>
        <v/>
      </c>
      <c r="DI738" s="66" t="str">
        <f t="shared" si="1032"/>
        <v/>
      </c>
      <c r="DJ738" s="66" t="str">
        <f>+IF($W738="","",ROUND((DG738*Parámetros!$G$85),2))</f>
        <v/>
      </c>
      <c r="DK738" s="66" t="str">
        <f>+IF($W738="","",ROUND((DG738*(Parámetros!$G$86)),2))</f>
        <v/>
      </c>
      <c r="DL738" s="66" t="str">
        <f t="shared" si="982"/>
        <v/>
      </c>
      <c r="DM738" t="str">
        <f t="shared" si="1023"/>
        <v/>
      </c>
      <c r="DN738" s="118" t="str">
        <f t="shared" si="1024"/>
        <v/>
      </c>
      <c r="DO738" s="118" t="str">
        <f t="shared" si="1025"/>
        <v/>
      </c>
      <c r="DP738" s="118" t="str">
        <f t="shared" si="1026"/>
        <v/>
      </c>
      <c r="DQ738" s="122" t="str">
        <f>+IF(OR($W738="",DO738=0),"",ROUND((VLOOKUP(ROUNDDOWN($D738-1/frec,0),cob_adi,DB$40,FALSE)*(1+i/frec)^-0.5*(1+Parámetros!$D$103)*(1+rec_fracc)/frec),6))</f>
        <v/>
      </c>
      <c r="DR738" s="66" t="str">
        <f t="shared" si="983"/>
        <v/>
      </c>
      <c r="DS738" s="68" t="str">
        <f t="shared" si="984"/>
        <v/>
      </c>
      <c r="DT738" s="66" t="str">
        <f>+IF($W738="","",ROUND(IF($B738&gt;Parámetros!$D$107,'Tablas Servicio'!DR738+('Tablas Servicio'!DT737-'Tablas Servicio'!DR737),DR738/(1-IF(B738&lt;=10,Parámetros!$D$100,0))),2))</f>
        <v/>
      </c>
      <c r="DU738" s="66" t="str">
        <f t="shared" si="1033"/>
        <v/>
      </c>
      <c r="DV738" s="66" t="str">
        <f t="shared" si="1033"/>
        <v/>
      </c>
      <c r="DW738" s="66" t="str">
        <f>+IF($W738="","",ROUND((DT738*Parámetros!$G$85),2))</f>
        <v/>
      </c>
      <c r="DX738" s="66" t="str">
        <f>+IF($W738="","",ROUND((DT738*(Parámetros!$G$86)),2))</f>
        <v/>
      </c>
      <c r="DY738" s="66" t="str">
        <f t="shared" si="986"/>
        <v/>
      </c>
      <c r="DZ738" t="str">
        <f t="shared" si="1036"/>
        <v/>
      </c>
      <c r="EA738" s="118" t="str">
        <f t="shared" si="1036"/>
        <v/>
      </c>
      <c r="EB738" s="118" t="str">
        <f>+IF($W738="","",ROUND(IF(Parámetros!$D$25='TABLAS MORT'!$V$33,EB737,Z738/2),0))</f>
        <v/>
      </c>
      <c r="EC738" s="118" t="str">
        <f t="shared" si="1036"/>
        <v/>
      </c>
      <c r="ED738" s="122" t="str">
        <f>+IF(OR($W738="",EB738=0),"",ROUND((VLOOKUP(ROUNDDOWN($D738-1/frec,0),cob_adi,DO$40,FALSE)*(1+i/frec)^-0.5*(1+Parámetros!$D$103)*(1+rec_fracc)/frec),6))</f>
        <v/>
      </c>
      <c r="EE738" s="66" t="str">
        <f t="shared" si="988"/>
        <v/>
      </c>
      <c r="EF738" s="68" t="str">
        <f t="shared" si="989"/>
        <v/>
      </c>
      <c r="EG738" s="66" t="str">
        <f>+IF($W738="","",ROUND(IF($B738&gt;Parámetros!$D$107,'Tablas Servicio'!EE738+('Tablas Servicio'!EG737-'Tablas Servicio'!EE737),EE738/(1-IF(B738&lt;=10,Parámetros!$D$100,0))),2))</f>
        <v/>
      </c>
      <c r="EH738" s="66" t="str">
        <f t="shared" si="1035"/>
        <v/>
      </c>
      <c r="EI738" s="66" t="str">
        <f t="shared" si="1035"/>
        <v/>
      </c>
      <c r="EJ738" s="66" t="str">
        <f>+IF($W738="","",ROUND((EG738*Parámetros!$G$85),2))</f>
        <v/>
      </c>
      <c r="EK738" s="66" t="str">
        <f>+IF($W738="","",ROUND((EG738*(Parámetros!$G$86)),2))</f>
        <v/>
      </c>
      <c r="EL738" s="66" t="str">
        <f t="shared" si="991"/>
        <v/>
      </c>
    </row>
    <row r="739" spans="1:142" x14ac:dyDescent="0.25">
      <c r="A739" t="str">
        <f>+IF($C739="","",ROUND(VLOOKUP('Tablas Servicio'!B739,Parámetros!$H$100:$J$159,IF(Parámetros!$E$16="F",2,3),FALSE),2))</f>
        <v/>
      </c>
      <c r="B739" t="str">
        <f t="shared" si="942"/>
        <v/>
      </c>
      <c r="C739" s="57" t="str">
        <f>+IF(D739="","",'Tablas Servicio'!C738+1)</f>
        <v/>
      </c>
      <c r="D739" s="56" t="str">
        <f>+IF(D738&lt;edadmaxtabla,D738+1/Parámetros!$E$25,"")</f>
        <v/>
      </c>
      <c r="E739" s="57" t="str">
        <f t="shared" si="952"/>
        <v/>
      </c>
      <c r="F739" s="59" t="str">
        <f t="shared" si="953"/>
        <v/>
      </c>
      <c r="G739" s="66" t="str">
        <f t="shared" si="943"/>
        <v/>
      </c>
      <c r="H739" s="66" t="str">
        <f t="shared" si="944"/>
        <v/>
      </c>
      <c r="I739" s="66" t="str">
        <f t="shared" si="992"/>
        <v/>
      </c>
      <c r="J739" s="66" t="str">
        <f t="shared" si="945"/>
        <v/>
      </c>
      <c r="K739" s="66" t="str">
        <f t="shared" si="946"/>
        <v/>
      </c>
      <c r="L739" s="66" t="str">
        <f t="shared" si="947"/>
        <v/>
      </c>
      <c r="M739" s="66" t="str">
        <f t="shared" si="948"/>
        <v/>
      </c>
      <c r="N739" s="66" t="str">
        <f>+IF(C739="","",ROUND(Parámetros!$D$23,2))</f>
        <v/>
      </c>
      <c r="O739" s="66" t="str">
        <f t="shared" si="949"/>
        <v/>
      </c>
      <c r="P739" s="66" t="str">
        <f>+IF($C739="","",ROUND(IF(B739&gt;Parámetros!$D$117,0,N739*Parámetros!$D$116-G739*Parámetros!$D$100),2))</f>
        <v/>
      </c>
      <c r="Q739" s="75" t="str">
        <f t="shared" si="993"/>
        <v/>
      </c>
      <c r="R739" s="75" t="str">
        <f t="shared" si="994"/>
        <v/>
      </c>
      <c r="S739" s="117" t="str">
        <f>+IF($C739="","",ROUND((S738+I739)*(1+Parámetros!$D$91),2))</f>
        <v/>
      </c>
      <c r="T739" s="117" t="str">
        <f>+IF($C739="","",ROUND(S739*VLOOKUP(B739,Parámetros!$C$30:$D$39,2,TRUE),2))</f>
        <v/>
      </c>
      <c r="U739" s="117" t="str">
        <f>+IF($C739="","",ROUND((U738+I739)*(1+Parámetros!$D$92),2))</f>
        <v/>
      </c>
      <c r="V739" s="117" t="str">
        <f>+IF($C739="","",ROUND(U739*VLOOKUP(B739,Parámetros!$C$30:$D$39,2,TRUE),2))</f>
        <v/>
      </c>
      <c r="W739" s="57" t="str">
        <f t="shared" si="995"/>
        <v/>
      </c>
      <c r="X739" t="str">
        <f t="shared" si="996"/>
        <v/>
      </c>
      <c r="Y739" t="str">
        <f t="shared" si="997"/>
        <v/>
      </c>
      <c r="Z739" s="118" t="str">
        <f>+IF($W739="","",ROUND(IF(Parámetros!$D$25='TABLAS MORT'!$V$33,Z738,Parámetros!$D$21-'Tablas Servicio'!T738),0))</f>
        <v/>
      </c>
      <c r="AA739" s="118" t="str">
        <f t="shared" si="998"/>
        <v/>
      </c>
      <c r="AB739" s="119" t="str">
        <f>+IF(W739="","",ROUND((VLOOKUP(ROUNDDOWN($D739-1/frec,0),qx_tabla,2,FALSE)*(1+i/frec)^-0.5*(1+Parámetros!$D$103)*(1+rec_fracc)/frec),6))</f>
        <v/>
      </c>
      <c r="AC739" s="66" t="str">
        <f t="shared" si="954"/>
        <v/>
      </c>
      <c r="AD739" s="119" t="str">
        <f t="shared" si="950"/>
        <v/>
      </c>
      <c r="AE739" s="66" t="str">
        <f>+IF($W739="","",ROUND(IF($B739&gt;Parámetros!$D$107,'Tablas Servicio'!AC739+('Tablas Servicio'!AG738-'Tablas Servicio'!AC738),AC739/(1-IF(B739&lt;=10,Parámetros!$D$104,Parámetros!$D$105))),2))</f>
        <v/>
      </c>
      <c r="AF739" s="66" t="str">
        <f>+IF($W739="","",ROUND(IF($B739&gt;Parámetros!$D$107,'Tablas Servicio'!AC739+('Tablas Servicio'!AG738-'Tablas Servicio'!AC738),(AC739+$A738/frec)/(1-IF(B739&lt;=Parámetros!$D$117,Parámetros!$D$100,0))),2))</f>
        <v/>
      </c>
      <c r="AG739" s="66" t="str">
        <f t="shared" si="955"/>
        <v/>
      </c>
      <c r="AH739" s="66" t="str">
        <f t="shared" si="956"/>
        <v/>
      </c>
      <c r="AI739" s="66" t="str">
        <f t="shared" si="957"/>
        <v/>
      </c>
      <c r="AJ739" s="66" t="str">
        <f>+IF($W739="","",ROUND((AG739*Parámetros!$G$85),2))</f>
        <v/>
      </c>
      <c r="AK739" s="66" t="str">
        <f>+IF($W739="","",ROUND((AG739*(Parámetros!$G$86)),2))</f>
        <v/>
      </c>
      <c r="AL739" s="66" t="str">
        <f t="shared" si="951"/>
        <v/>
      </c>
      <c r="AM739" t="str">
        <f t="shared" si="999"/>
        <v/>
      </c>
      <c r="AN739" t="str">
        <f t="shared" si="1000"/>
        <v/>
      </c>
      <c r="AO739" s="118" t="str">
        <f t="shared" si="1001"/>
        <v/>
      </c>
      <c r="AP739" s="118" t="str">
        <f t="shared" si="1002"/>
        <v/>
      </c>
      <c r="AQ739" s="119" t="str">
        <f>+IF(OR($W739="",AO739=0),"",ROUND((VLOOKUP(ROUNDDOWN($D739-1/frec,0),cob_adi,Z$40,FALSE)*(1+i/frec)^-0.5*(1+Parámetros!$D$103)*(1+rec_fracc)/frec),6))</f>
        <v/>
      </c>
      <c r="AR739" s="66" t="str">
        <f t="shared" si="958"/>
        <v/>
      </c>
      <c r="AS739" s="119" t="str">
        <f t="shared" si="959"/>
        <v/>
      </c>
      <c r="AT739" s="66" t="str">
        <f>+IF($W739="","",ROUND(IF($B739&gt;Parámetros!$D$107,'Tablas Servicio'!AR739+('Tablas Servicio'!AT738-'Tablas Servicio'!AR738),AR739/(1-IF(B739&lt;=10,Parámetros!$D$100,0))),2))</f>
        <v/>
      </c>
      <c r="AU739" s="66" t="str">
        <f t="shared" si="1028"/>
        <v/>
      </c>
      <c r="AV739" s="66" t="str">
        <f t="shared" si="1028"/>
        <v/>
      </c>
      <c r="AW739" s="66" t="str">
        <f>+IF($W739="","",ROUND((AT739*Parámetros!$G$85),2))</f>
        <v/>
      </c>
      <c r="AX739" s="66" t="str">
        <f>+IF($W739="","",ROUND((AT739*(Parámetros!$G$86)),2))</f>
        <v/>
      </c>
      <c r="AY739" s="66" t="str">
        <f t="shared" si="961"/>
        <v/>
      </c>
      <c r="AZ739" t="str">
        <f t="shared" si="1003"/>
        <v/>
      </c>
      <c r="BA739" t="str">
        <f t="shared" si="1004"/>
        <v/>
      </c>
      <c r="BB739" s="118" t="str">
        <f t="shared" si="1005"/>
        <v/>
      </c>
      <c r="BC739" s="118" t="str">
        <f t="shared" si="1006"/>
        <v/>
      </c>
      <c r="BD739" s="119" t="str">
        <f>+IF(OR($W739="",BB739=0),"",ROUND((VLOOKUP(ROUNDDOWN($D739-1/frec,0),cob_adi,AO$40,FALSE)*(1+i/frec)^-0.5*(1+Parámetros!$D$103)*(1+rec_fracc)/frec),6))</f>
        <v/>
      </c>
      <c r="BE739" s="66" t="str">
        <f t="shared" si="962"/>
        <v/>
      </c>
      <c r="BF739" s="119" t="str">
        <f t="shared" si="963"/>
        <v/>
      </c>
      <c r="BG739" s="66" t="str">
        <f>+IF($W739="","",ROUND(IF($B739&gt;Parámetros!$D$107,'Tablas Servicio'!BE739+('Tablas Servicio'!BG738-'Tablas Servicio'!BE738),BE739/(1-IF(B739&lt;=10,Parámetros!$D$100,0))),2))</f>
        <v/>
      </c>
      <c r="BH739" s="66" t="str">
        <f t="shared" si="964"/>
        <v/>
      </c>
      <c r="BI739" s="66" t="str">
        <f t="shared" si="965"/>
        <v/>
      </c>
      <c r="BJ739" s="66" t="str">
        <f>+IF($W739="","",ROUND((BG739*Parámetros!$G$85),2))</f>
        <v/>
      </c>
      <c r="BK739" s="66" t="str">
        <f>+IF($W739="","",ROUND((BG739*(Parámetros!$G$86)),2))</f>
        <v/>
      </c>
      <c r="BL739" s="66" t="str">
        <f t="shared" si="966"/>
        <v/>
      </c>
      <c r="BM739" t="str">
        <f t="shared" si="1007"/>
        <v/>
      </c>
      <c r="BN739" t="str">
        <f t="shared" si="1008"/>
        <v/>
      </c>
      <c r="BO739" s="118" t="str">
        <f t="shared" si="1009"/>
        <v/>
      </c>
      <c r="BP739" s="118" t="str">
        <f t="shared" si="1010"/>
        <v/>
      </c>
      <c r="BQ739" s="119" t="str">
        <f>+IF(OR($W739="",BO739=0),"",ROUND((VLOOKUP(ROUNDDOWN($D739-1/frec,0),cob_adi,BB$40,FALSE)*(1+i/frec)^-0.5*(1+Parámetros!$D$103)*(1+rec_fracc)/frec),6))</f>
        <v/>
      </c>
      <c r="BR739" s="66" t="str">
        <f t="shared" si="967"/>
        <v/>
      </c>
      <c r="BS739" s="119" t="str">
        <f t="shared" si="968"/>
        <v/>
      </c>
      <c r="BT739" s="66" t="str">
        <f>+IF($W739="","",ROUND(IF($B739&gt;Parámetros!$D$107,'Tablas Servicio'!BR739+('Tablas Servicio'!BT738-'Tablas Servicio'!BR738),BR739/(1-IF(B739&lt;=10,Parámetros!$D$100,0))),2))</f>
        <v/>
      </c>
      <c r="BU739" s="66" t="str">
        <f t="shared" si="1029"/>
        <v/>
      </c>
      <c r="BV739" s="66" t="str">
        <f t="shared" si="1029"/>
        <v/>
      </c>
      <c r="BW739" s="66" t="str">
        <f>+IF($W739="","",ROUND((BT739*Parámetros!$G$85),2))</f>
        <v/>
      </c>
      <c r="BX739" s="66" t="str">
        <f>+IF($W739="","",ROUND((BT739*(Parámetros!$G$86)),2))</f>
        <v/>
      </c>
      <c r="BY739" s="66" t="str">
        <f t="shared" si="970"/>
        <v/>
      </c>
      <c r="BZ739" t="str">
        <f t="shared" si="1011"/>
        <v/>
      </c>
      <c r="CA739" t="str">
        <f t="shared" si="1012"/>
        <v/>
      </c>
      <c r="CB739" s="118" t="str">
        <f t="shared" si="1013"/>
        <v/>
      </c>
      <c r="CC739" s="118" t="str">
        <f t="shared" si="1014"/>
        <v/>
      </c>
      <c r="CD739" s="119" t="str">
        <f t="shared" si="971"/>
        <v/>
      </c>
      <c r="CE739" s="66" t="str">
        <f>+IF($W739="","",ROUND((VLOOKUP(ROUNDDOWN($D739-1/frec,0),cob_adi,BO$40,FALSE)*(1+i/frec)^-0.5*(1+Parámetros!$D$103)*(1+rec_fracc)/frec*'TABLAS ADI'!$BC$17),2))</f>
        <v/>
      </c>
      <c r="CF739" s="119" t="str">
        <f t="shared" si="972"/>
        <v/>
      </c>
      <c r="CG739" s="66" t="str">
        <f>+IF($W739="","",ROUND(IF($B739&gt;Parámetros!$D$107,'Tablas Servicio'!CE739+('Tablas Servicio'!CG738-'Tablas Servicio'!CE738),CE739/(1-IF(B739&lt;=10,Parámetros!$D$100,0))),2))</f>
        <v/>
      </c>
      <c r="CH739" s="66" t="str">
        <f t="shared" si="1030"/>
        <v/>
      </c>
      <c r="CI739" s="66" t="str">
        <f t="shared" si="1030"/>
        <v/>
      </c>
      <c r="CJ739" s="66" t="str">
        <f>+IF($W739="","",ROUND((CG739*Parámetros!$G$85),2))</f>
        <v/>
      </c>
      <c r="CK739" s="66" t="str">
        <f>+IF($W739="","",ROUND((CG739*(Parámetros!$G$86)),2))</f>
        <v/>
      </c>
      <c r="CL739" s="66" t="str">
        <f t="shared" si="974"/>
        <v/>
      </c>
      <c r="CM739" t="str">
        <f t="shared" si="1015"/>
        <v/>
      </c>
      <c r="CN739" s="118" t="str">
        <f t="shared" si="1016"/>
        <v/>
      </c>
      <c r="CO739" s="118" t="str">
        <f t="shared" si="1017"/>
        <v/>
      </c>
      <c r="CP739" s="118" t="str">
        <f t="shared" si="1018"/>
        <v/>
      </c>
      <c r="CQ739" s="119" t="str">
        <f t="shared" si="975"/>
        <v/>
      </c>
      <c r="CR739" s="66" t="str">
        <f>+IF($W739="","",ROUND((VLOOKUP(Parámetros!$F$51,'COBERTURAS ADICIONALES'!$S$4:$T$32,2,FALSE)*(1+i/frec)^-0.5*(1+Parámetros!$D$103)*(1+rec_fracc)/frec*$CO$42),2))</f>
        <v/>
      </c>
      <c r="CS739" s="119" t="str">
        <f t="shared" si="976"/>
        <v/>
      </c>
      <c r="CT739" s="66" t="str">
        <f>+IF($W739="","",ROUND(IF($B739&gt;Parámetros!$D$107,'Tablas Servicio'!CR739+('Tablas Servicio'!CT738-'Tablas Servicio'!CR738),CR739/(1-IF(B739&lt;=10,Parámetros!$D$100,0))),2))</f>
        <v/>
      </c>
      <c r="CU739" s="66" t="str">
        <f t="shared" si="1031"/>
        <v/>
      </c>
      <c r="CV739" s="66" t="str">
        <f t="shared" si="1031"/>
        <v/>
      </c>
      <c r="CW739" s="66" t="str">
        <f>+IF($W739="","",ROUND((CT739*Parámetros!$G$85),2))</f>
        <v/>
      </c>
      <c r="CX739" s="66" t="str">
        <f>+IF($W739="","",ROUND((CT739*(Parámetros!$G$86)),2))</f>
        <v/>
      </c>
      <c r="CY739" s="66" t="str">
        <f t="shared" si="978"/>
        <v/>
      </c>
      <c r="CZ739" t="str">
        <f t="shared" si="1019"/>
        <v/>
      </c>
      <c r="DA739" s="118" t="str">
        <f t="shared" si="1020"/>
        <v/>
      </c>
      <c r="DB739" s="118" t="str">
        <f t="shared" si="1021"/>
        <v/>
      </c>
      <c r="DC739" s="118" t="str">
        <f t="shared" si="1022"/>
        <v/>
      </c>
      <c r="DD739" s="121" t="str">
        <f>+IF(OR($W739="",DB739=0),"",ROUND((VLOOKUP(ROUNDDOWN($D739-1/frec,0),cob_adi,CO$40,FALSE)*(1+i/frec)^-0.5*(1+Parámetros!$D$103)*(1+rec_fracc)/frec),6))</f>
        <v/>
      </c>
      <c r="DE739" s="66" t="str">
        <f t="shared" si="979"/>
        <v/>
      </c>
      <c r="DF739" s="119" t="str">
        <f t="shared" si="980"/>
        <v/>
      </c>
      <c r="DG739" s="66" t="str">
        <f>+IF($W739="","",ROUND(IF($B739&gt;Parámetros!$D$107,'Tablas Servicio'!DE739+('Tablas Servicio'!DG738-'Tablas Servicio'!DE738),DE739/(1-IF(B739&lt;=10,Parámetros!$D$100,0))),2))</f>
        <v/>
      </c>
      <c r="DH739" s="66" t="str">
        <f t="shared" si="1032"/>
        <v/>
      </c>
      <c r="DI739" s="66" t="str">
        <f t="shared" si="1032"/>
        <v/>
      </c>
      <c r="DJ739" s="66" t="str">
        <f>+IF($W739="","",ROUND((DG739*Parámetros!$G$85),2))</f>
        <v/>
      </c>
      <c r="DK739" s="66" t="str">
        <f>+IF($W739="","",ROUND((DG739*(Parámetros!$G$86)),2))</f>
        <v/>
      </c>
      <c r="DL739" s="66" t="str">
        <f t="shared" si="982"/>
        <v/>
      </c>
      <c r="DM739" t="str">
        <f t="shared" si="1023"/>
        <v/>
      </c>
      <c r="DN739" s="118" t="str">
        <f t="shared" si="1024"/>
        <v/>
      </c>
      <c r="DO739" s="118" t="str">
        <f t="shared" si="1025"/>
        <v/>
      </c>
      <c r="DP739" s="118" t="str">
        <f t="shared" si="1026"/>
        <v/>
      </c>
      <c r="DQ739" s="122" t="str">
        <f>+IF(OR($W739="",DO739=0),"",ROUND((VLOOKUP(ROUNDDOWN($D739-1/frec,0),cob_adi,DB$40,FALSE)*(1+i/frec)^-0.5*(1+Parámetros!$D$103)*(1+rec_fracc)/frec),6))</f>
        <v/>
      </c>
      <c r="DR739" s="66" t="str">
        <f t="shared" si="983"/>
        <v/>
      </c>
      <c r="DS739" s="68" t="str">
        <f t="shared" si="984"/>
        <v/>
      </c>
      <c r="DT739" s="66" t="str">
        <f>+IF($W739="","",ROUND(IF($B739&gt;Parámetros!$D$107,'Tablas Servicio'!DR739+('Tablas Servicio'!DT738-'Tablas Servicio'!DR738),DR739/(1-IF(B739&lt;=10,Parámetros!$D$100,0))),2))</f>
        <v/>
      </c>
      <c r="DU739" s="66" t="str">
        <f t="shared" si="1033"/>
        <v/>
      </c>
      <c r="DV739" s="66" t="str">
        <f t="shared" si="1033"/>
        <v/>
      </c>
      <c r="DW739" s="66" t="str">
        <f>+IF($W739="","",ROUND((DT739*Parámetros!$G$85),2))</f>
        <v/>
      </c>
      <c r="DX739" s="66" t="str">
        <f>+IF($W739="","",ROUND((DT739*(Parámetros!$G$86)),2))</f>
        <v/>
      </c>
      <c r="DY739" s="66" t="str">
        <f t="shared" si="986"/>
        <v/>
      </c>
      <c r="DZ739" t="str">
        <f t="shared" si="1036"/>
        <v/>
      </c>
      <c r="EA739" s="118" t="str">
        <f t="shared" si="1036"/>
        <v/>
      </c>
      <c r="EB739" s="118" t="str">
        <f>+IF($W739="","",ROUND(IF(Parámetros!$D$25='TABLAS MORT'!$V$33,EB738,Z739/2),0))</f>
        <v/>
      </c>
      <c r="EC739" s="118" t="str">
        <f t="shared" si="1036"/>
        <v/>
      </c>
      <c r="ED739" s="122" t="str">
        <f>+IF(OR($W739="",EB739=0),"",ROUND((VLOOKUP(ROUNDDOWN($D739-1/frec,0),cob_adi,DO$40,FALSE)*(1+i/frec)^-0.5*(1+Parámetros!$D$103)*(1+rec_fracc)/frec),6))</f>
        <v/>
      </c>
      <c r="EE739" s="66" t="str">
        <f t="shared" si="988"/>
        <v/>
      </c>
      <c r="EF739" s="68" t="str">
        <f t="shared" si="989"/>
        <v/>
      </c>
      <c r="EG739" s="66" t="str">
        <f>+IF($W739="","",ROUND(IF($B739&gt;Parámetros!$D$107,'Tablas Servicio'!EE739+('Tablas Servicio'!EG738-'Tablas Servicio'!EE738),EE739/(1-IF(B739&lt;=10,Parámetros!$D$100,0))),2))</f>
        <v/>
      </c>
      <c r="EH739" s="66" t="str">
        <f t="shared" si="1035"/>
        <v/>
      </c>
      <c r="EI739" s="66" t="str">
        <f t="shared" si="1035"/>
        <v/>
      </c>
      <c r="EJ739" s="66" t="str">
        <f>+IF($W739="","",ROUND((EG739*Parámetros!$G$85),2))</f>
        <v/>
      </c>
      <c r="EK739" s="66" t="str">
        <f>+IF($W739="","",ROUND((EG739*(Parámetros!$G$86)),2))</f>
        <v/>
      </c>
      <c r="EL739" s="66" t="str">
        <f t="shared" si="991"/>
        <v/>
      </c>
    </row>
    <row r="740" spans="1:142" x14ac:dyDescent="0.25">
      <c r="A740" t="str">
        <f>+IF($C740="","",ROUND(VLOOKUP('Tablas Servicio'!B740,Parámetros!$H$100:$J$159,IF(Parámetros!$E$16="F",2,3),FALSE),2))</f>
        <v/>
      </c>
      <c r="B740" t="str">
        <f t="shared" si="942"/>
        <v/>
      </c>
      <c r="C740" s="57" t="str">
        <f>+IF(D740="","",'Tablas Servicio'!C739+1)</f>
        <v/>
      </c>
      <c r="D740" s="56" t="str">
        <f>+IF(D739&lt;edadmaxtabla,D739+1/Parámetros!$E$25,"")</f>
        <v/>
      </c>
      <c r="E740" s="57" t="str">
        <f t="shared" si="952"/>
        <v/>
      </c>
      <c r="F740" s="59" t="str">
        <f t="shared" si="953"/>
        <v/>
      </c>
      <c r="G740" s="66" t="str">
        <f t="shared" si="943"/>
        <v/>
      </c>
      <c r="H740" s="66" t="str">
        <f t="shared" si="944"/>
        <v/>
      </c>
      <c r="I740" s="66" t="str">
        <f t="shared" si="992"/>
        <v/>
      </c>
      <c r="J740" s="66" t="str">
        <f t="shared" si="945"/>
        <v/>
      </c>
      <c r="K740" s="66" t="str">
        <f t="shared" si="946"/>
        <v/>
      </c>
      <c r="L740" s="66" t="str">
        <f t="shared" si="947"/>
        <v/>
      </c>
      <c r="M740" s="66" t="str">
        <f t="shared" si="948"/>
        <v/>
      </c>
      <c r="N740" s="66" t="str">
        <f>+IF(C740="","",ROUND(Parámetros!$D$23,2))</f>
        <v/>
      </c>
      <c r="O740" s="66" t="str">
        <f t="shared" si="949"/>
        <v/>
      </c>
      <c r="P740" s="66" t="str">
        <f>+IF($C740="","",ROUND(IF(B740&gt;Parámetros!$D$117,0,N740*Parámetros!$D$116-G740*Parámetros!$D$100),2))</f>
        <v/>
      </c>
      <c r="Q740" s="75" t="str">
        <f t="shared" si="993"/>
        <v/>
      </c>
      <c r="R740" s="75" t="str">
        <f t="shared" si="994"/>
        <v/>
      </c>
      <c r="S740" s="117" t="str">
        <f>+IF($C740="","",ROUND((S739+I740)*(1+Parámetros!$D$91),2))</f>
        <v/>
      </c>
      <c r="T740" s="117" t="str">
        <f>+IF($C740="","",ROUND(S740*VLOOKUP(B740,Parámetros!$C$30:$D$39,2,TRUE),2))</f>
        <v/>
      </c>
      <c r="U740" s="117" t="str">
        <f>+IF($C740="","",ROUND((U739+I740)*(1+Parámetros!$D$92),2))</f>
        <v/>
      </c>
      <c r="V740" s="117" t="str">
        <f>+IF($C740="","",ROUND(U740*VLOOKUP(B740,Parámetros!$C$30:$D$39,2,TRUE),2))</f>
        <v/>
      </c>
      <c r="W740" s="57" t="str">
        <f t="shared" si="995"/>
        <v/>
      </c>
      <c r="X740" t="str">
        <f t="shared" si="996"/>
        <v/>
      </c>
      <c r="Y740" t="str">
        <f t="shared" si="997"/>
        <v/>
      </c>
      <c r="Z740" s="118" t="str">
        <f>+IF($W740="","",ROUND(IF(Parámetros!$D$25='TABLAS MORT'!$V$33,Z739,Parámetros!$D$21-'Tablas Servicio'!T739),0))</f>
        <v/>
      </c>
      <c r="AA740" s="118" t="str">
        <f t="shared" si="998"/>
        <v/>
      </c>
      <c r="AB740" s="119" t="str">
        <f>+IF(W740="","",ROUND((VLOOKUP(ROUNDDOWN($D740-1/frec,0),qx_tabla,2,FALSE)*(1+i/frec)^-0.5*(1+Parámetros!$D$103)*(1+rec_fracc)/frec),6))</f>
        <v/>
      </c>
      <c r="AC740" s="66" t="str">
        <f t="shared" si="954"/>
        <v/>
      </c>
      <c r="AD740" s="119" t="str">
        <f t="shared" si="950"/>
        <v/>
      </c>
      <c r="AE740" s="66" t="str">
        <f>+IF($W740="","",ROUND(IF($B740&gt;Parámetros!$D$107,'Tablas Servicio'!AC740+('Tablas Servicio'!AG739-'Tablas Servicio'!AC739),AC740/(1-IF(B740&lt;=10,Parámetros!$D$104,Parámetros!$D$105))),2))</f>
        <v/>
      </c>
      <c r="AF740" s="66" t="str">
        <f>+IF($W740="","",ROUND(IF($B740&gt;Parámetros!$D$107,'Tablas Servicio'!AC740+('Tablas Servicio'!AG739-'Tablas Servicio'!AC739),(AC740+$A739/frec)/(1-IF(B740&lt;=Parámetros!$D$117,Parámetros!$D$100,0))),2))</f>
        <v/>
      </c>
      <c r="AG740" s="66" t="str">
        <f t="shared" si="955"/>
        <v/>
      </c>
      <c r="AH740" s="66" t="str">
        <f t="shared" si="956"/>
        <v/>
      </c>
      <c r="AI740" s="66" t="str">
        <f t="shared" si="957"/>
        <v/>
      </c>
      <c r="AJ740" s="66" t="str">
        <f>+IF($W740="","",ROUND((AG740*Parámetros!$G$85),2))</f>
        <v/>
      </c>
      <c r="AK740" s="66" t="str">
        <f>+IF($W740="","",ROUND((AG740*(Parámetros!$G$86)),2))</f>
        <v/>
      </c>
      <c r="AL740" s="66" t="str">
        <f t="shared" si="951"/>
        <v/>
      </c>
      <c r="AM740" t="str">
        <f t="shared" si="999"/>
        <v/>
      </c>
      <c r="AN740" t="str">
        <f t="shared" si="1000"/>
        <v/>
      </c>
      <c r="AO740" s="118" t="str">
        <f t="shared" si="1001"/>
        <v/>
      </c>
      <c r="AP740" s="118" t="str">
        <f t="shared" si="1002"/>
        <v/>
      </c>
      <c r="AQ740" s="119" t="str">
        <f>+IF(OR($W740="",AO740=0),"",ROUND((VLOOKUP(ROUNDDOWN($D740-1/frec,0),cob_adi,Z$40,FALSE)*(1+i/frec)^-0.5*(1+Parámetros!$D$103)*(1+rec_fracc)/frec),6))</f>
        <v/>
      </c>
      <c r="AR740" s="66" t="str">
        <f t="shared" si="958"/>
        <v/>
      </c>
      <c r="AS740" s="119" t="str">
        <f t="shared" si="959"/>
        <v/>
      </c>
      <c r="AT740" s="66" t="str">
        <f>+IF($W740="","",ROUND(IF($B740&gt;Parámetros!$D$107,'Tablas Servicio'!AR740+('Tablas Servicio'!AT739-'Tablas Servicio'!AR739),AR740/(1-IF(B740&lt;=10,Parámetros!$D$100,0))),2))</f>
        <v/>
      </c>
      <c r="AU740" s="66" t="str">
        <f t="shared" si="1028"/>
        <v/>
      </c>
      <c r="AV740" s="66" t="str">
        <f t="shared" si="1028"/>
        <v/>
      </c>
      <c r="AW740" s="66" t="str">
        <f>+IF($W740="","",ROUND((AT740*Parámetros!$G$85),2))</f>
        <v/>
      </c>
      <c r="AX740" s="66" t="str">
        <f>+IF($W740="","",ROUND((AT740*(Parámetros!$G$86)),2))</f>
        <v/>
      </c>
      <c r="AY740" s="66" t="str">
        <f t="shared" si="961"/>
        <v/>
      </c>
      <c r="AZ740" t="str">
        <f t="shared" si="1003"/>
        <v/>
      </c>
      <c r="BA740" t="str">
        <f t="shared" si="1004"/>
        <v/>
      </c>
      <c r="BB740" s="118" t="str">
        <f t="shared" si="1005"/>
        <v/>
      </c>
      <c r="BC740" s="118" t="str">
        <f t="shared" si="1006"/>
        <v/>
      </c>
      <c r="BD740" s="119" t="str">
        <f>+IF(OR($W740="",BB740=0),"",ROUND((VLOOKUP(ROUNDDOWN($D740-1/frec,0),cob_adi,AO$40,FALSE)*(1+i/frec)^-0.5*(1+Parámetros!$D$103)*(1+rec_fracc)/frec),6))</f>
        <v/>
      </c>
      <c r="BE740" s="66" t="str">
        <f t="shared" si="962"/>
        <v/>
      </c>
      <c r="BF740" s="119" t="str">
        <f t="shared" si="963"/>
        <v/>
      </c>
      <c r="BG740" s="66" t="str">
        <f>+IF($W740="","",ROUND(IF($B740&gt;Parámetros!$D$107,'Tablas Servicio'!BE740+('Tablas Servicio'!BG739-'Tablas Servicio'!BE739),BE740/(1-IF(B740&lt;=10,Parámetros!$D$100,0))),2))</f>
        <v/>
      </c>
      <c r="BH740" s="66" t="str">
        <f t="shared" si="964"/>
        <v/>
      </c>
      <c r="BI740" s="66" t="str">
        <f t="shared" si="965"/>
        <v/>
      </c>
      <c r="BJ740" s="66" t="str">
        <f>+IF($W740="","",ROUND((BG740*Parámetros!$G$85),2))</f>
        <v/>
      </c>
      <c r="BK740" s="66" t="str">
        <f>+IF($W740="","",ROUND((BG740*(Parámetros!$G$86)),2))</f>
        <v/>
      </c>
      <c r="BL740" s="66" t="str">
        <f t="shared" si="966"/>
        <v/>
      </c>
      <c r="BM740" t="str">
        <f t="shared" si="1007"/>
        <v/>
      </c>
      <c r="BN740" t="str">
        <f t="shared" si="1008"/>
        <v/>
      </c>
      <c r="BO740" s="118" t="str">
        <f t="shared" si="1009"/>
        <v/>
      </c>
      <c r="BP740" s="118" t="str">
        <f t="shared" si="1010"/>
        <v/>
      </c>
      <c r="BQ740" s="119" t="str">
        <f>+IF(OR($W740="",BO740=0),"",ROUND((VLOOKUP(ROUNDDOWN($D740-1/frec,0),cob_adi,BB$40,FALSE)*(1+i/frec)^-0.5*(1+Parámetros!$D$103)*(1+rec_fracc)/frec),6))</f>
        <v/>
      </c>
      <c r="BR740" s="66" t="str">
        <f t="shared" si="967"/>
        <v/>
      </c>
      <c r="BS740" s="119" t="str">
        <f t="shared" si="968"/>
        <v/>
      </c>
      <c r="BT740" s="66" t="str">
        <f>+IF($W740="","",ROUND(IF($B740&gt;Parámetros!$D$107,'Tablas Servicio'!BR740+('Tablas Servicio'!BT739-'Tablas Servicio'!BR739),BR740/(1-IF(B740&lt;=10,Parámetros!$D$100,0))),2))</f>
        <v/>
      </c>
      <c r="BU740" s="66" t="str">
        <f t="shared" si="1029"/>
        <v/>
      </c>
      <c r="BV740" s="66" t="str">
        <f t="shared" si="1029"/>
        <v/>
      </c>
      <c r="BW740" s="66" t="str">
        <f>+IF($W740="","",ROUND((BT740*Parámetros!$G$85),2))</f>
        <v/>
      </c>
      <c r="BX740" s="66" t="str">
        <f>+IF($W740="","",ROUND((BT740*(Parámetros!$G$86)),2))</f>
        <v/>
      </c>
      <c r="BY740" s="66" t="str">
        <f t="shared" si="970"/>
        <v/>
      </c>
      <c r="BZ740" t="str">
        <f t="shared" si="1011"/>
        <v/>
      </c>
      <c r="CA740" t="str">
        <f t="shared" si="1012"/>
        <v/>
      </c>
      <c r="CB740" s="118" t="str">
        <f t="shared" si="1013"/>
        <v/>
      </c>
      <c r="CC740" s="118" t="str">
        <f t="shared" si="1014"/>
        <v/>
      </c>
      <c r="CD740" s="119" t="str">
        <f t="shared" si="971"/>
        <v/>
      </c>
      <c r="CE740" s="66" t="str">
        <f>+IF($W740="","",ROUND((VLOOKUP(ROUNDDOWN($D740-1/frec,0),cob_adi,BO$40,FALSE)*(1+i/frec)^-0.5*(1+Parámetros!$D$103)*(1+rec_fracc)/frec*'TABLAS ADI'!$BC$17),2))</f>
        <v/>
      </c>
      <c r="CF740" s="119" t="str">
        <f t="shared" si="972"/>
        <v/>
      </c>
      <c r="CG740" s="66" t="str">
        <f>+IF($W740="","",ROUND(IF($B740&gt;Parámetros!$D$107,'Tablas Servicio'!CE740+('Tablas Servicio'!CG739-'Tablas Servicio'!CE739),CE740/(1-IF(B740&lt;=10,Parámetros!$D$100,0))),2))</f>
        <v/>
      </c>
      <c r="CH740" s="66" t="str">
        <f t="shared" si="1030"/>
        <v/>
      </c>
      <c r="CI740" s="66" t="str">
        <f t="shared" si="1030"/>
        <v/>
      </c>
      <c r="CJ740" s="66" t="str">
        <f>+IF($W740="","",ROUND((CG740*Parámetros!$G$85),2))</f>
        <v/>
      </c>
      <c r="CK740" s="66" t="str">
        <f>+IF($W740="","",ROUND((CG740*(Parámetros!$G$86)),2))</f>
        <v/>
      </c>
      <c r="CL740" s="66" t="str">
        <f t="shared" si="974"/>
        <v/>
      </c>
      <c r="CM740" t="str">
        <f t="shared" si="1015"/>
        <v/>
      </c>
      <c r="CN740" s="118" t="str">
        <f t="shared" si="1016"/>
        <v/>
      </c>
      <c r="CO740" s="118" t="str">
        <f t="shared" si="1017"/>
        <v/>
      </c>
      <c r="CP740" s="118" t="str">
        <f t="shared" si="1018"/>
        <v/>
      </c>
      <c r="CQ740" s="119" t="str">
        <f t="shared" si="975"/>
        <v/>
      </c>
      <c r="CR740" s="66" t="str">
        <f>+IF($W740="","",ROUND((VLOOKUP(Parámetros!$F$51,'COBERTURAS ADICIONALES'!$S$4:$T$32,2,FALSE)*(1+i/frec)^-0.5*(1+Parámetros!$D$103)*(1+rec_fracc)/frec*$CO$42),2))</f>
        <v/>
      </c>
      <c r="CS740" s="119" t="str">
        <f t="shared" si="976"/>
        <v/>
      </c>
      <c r="CT740" s="66" t="str">
        <f>+IF($W740="","",ROUND(IF($B740&gt;Parámetros!$D$107,'Tablas Servicio'!CR740+('Tablas Servicio'!CT739-'Tablas Servicio'!CR739),CR740/(1-IF(B740&lt;=10,Parámetros!$D$100,0))),2))</f>
        <v/>
      </c>
      <c r="CU740" s="66" t="str">
        <f t="shared" si="1031"/>
        <v/>
      </c>
      <c r="CV740" s="66" t="str">
        <f t="shared" si="1031"/>
        <v/>
      </c>
      <c r="CW740" s="66" t="str">
        <f>+IF($W740="","",ROUND((CT740*Parámetros!$G$85),2))</f>
        <v/>
      </c>
      <c r="CX740" s="66" t="str">
        <f>+IF($W740="","",ROUND((CT740*(Parámetros!$G$86)),2))</f>
        <v/>
      </c>
      <c r="CY740" s="66" t="str">
        <f t="shared" si="978"/>
        <v/>
      </c>
      <c r="CZ740" t="str">
        <f t="shared" si="1019"/>
        <v/>
      </c>
      <c r="DA740" s="118" t="str">
        <f t="shared" si="1020"/>
        <v/>
      </c>
      <c r="DB740" s="118" t="str">
        <f t="shared" si="1021"/>
        <v/>
      </c>
      <c r="DC740" s="118" t="str">
        <f t="shared" si="1022"/>
        <v/>
      </c>
      <c r="DD740" s="121" t="str">
        <f>+IF(OR($W740="",DB740=0),"",ROUND((VLOOKUP(ROUNDDOWN($D740-1/frec,0),cob_adi,CO$40,FALSE)*(1+i/frec)^-0.5*(1+Parámetros!$D$103)*(1+rec_fracc)/frec),6))</f>
        <v/>
      </c>
      <c r="DE740" s="66" t="str">
        <f t="shared" si="979"/>
        <v/>
      </c>
      <c r="DF740" s="119" t="str">
        <f t="shared" si="980"/>
        <v/>
      </c>
      <c r="DG740" s="66" t="str">
        <f>+IF($W740="","",ROUND(IF($B740&gt;Parámetros!$D$107,'Tablas Servicio'!DE740+('Tablas Servicio'!DG739-'Tablas Servicio'!DE739),DE740/(1-IF(B740&lt;=10,Parámetros!$D$100,0))),2))</f>
        <v/>
      </c>
      <c r="DH740" s="66" t="str">
        <f t="shared" si="1032"/>
        <v/>
      </c>
      <c r="DI740" s="66" t="str">
        <f t="shared" si="1032"/>
        <v/>
      </c>
      <c r="DJ740" s="66" t="str">
        <f>+IF($W740="","",ROUND((DG740*Parámetros!$G$85),2))</f>
        <v/>
      </c>
      <c r="DK740" s="66" t="str">
        <f>+IF($W740="","",ROUND((DG740*(Parámetros!$G$86)),2))</f>
        <v/>
      </c>
      <c r="DL740" s="66" t="str">
        <f t="shared" si="982"/>
        <v/>
      </c>
      <c r="DM740" t="str">
        <f t="shared" si="1023"/>
        <v/>
      </c>
      <c r="DN740" s="118" t="str">
        <f t="shared" si="1024"/>
        <v/>
      </c>
      <c r="DO740" s="118" t="str">
        <f t="shared" si="1025"/>
        <v/>
      </c>
      <c r="DP740" s="118" t="str">
        <f t="shared" si="1026"/>
        <v/>
      </c>
      <c r="DQ740" s="122" t="str">
        <f>+IF(OR($W740="",DO740=0),"",ROUND((VLOOKUP(ROUNDDOWN($D740-1/frec,0),cob_adi,DB$40,FALSE)*(1+i/frec)^-0.5*(1+Parámetros!$D$103)*(1+rec_fracc)/frec),6))</f>
        <v/>
      </c>
      <c r="DR740" s="66" t="str">
        <f t="shared" si="983"/>
        <v/>
      </c>
      <c r="DS740" s="68" t="str">
        <f t="shared" si="984"/>
        <v/>
      </c>
      <c r="DT740" s="66" t="str">
        <f>+IF($W740="","",ROUND(IF($B740&gt;Parámetros!$D$107,'Tablas Servicio'!DR740+('Tablas Servicio'!DT739-'Tablas Servicio'!DR739),DR740/(1-IF(B740&lt;=10,Parámetros!$D$100,0))),2))</f>
        <v/>
      </c>
      <c r="DU740" s="66" t="str">
        <f t="shared" si="1033"/>
        <v/>
      </c>
      <c r="DV740" s="66" t="str">
        <f t="shared" si="1033"/>
        <v/>
      </c>
      <c r="DW740" s="66" t="str">
        <f>+IF($W740="","",ROUND((DT740*Parámetros!$G$85),2))</f>
        <v/>
      </c>
      <c r="DX740" s="66" t="str">
        <f>+IF($W740="","",ROUND((DT740*(Parámetros!$G$86)),2))</f>
        <v/>
      </c>
      <c r="DY740" s="66" t="str">
        <f t="shared" si="986"/>
        <v/>
      </c>
      <c r="DZ740" t="str">
        <f t="shared" si="1036"/>
        <v/>
      </c>
      <c r="EA740" s="118" t="str">
        <f t="shared" si="1036"/>
        <v/>
      </c>
      <c r="EB740" s="118" t="str">
        <f>+IF($W740="","",ROUND(IF(Parámetros!$D$25='TABLAS MORT'!$V$33,EB739,Z740/2),0))</f>
        <v/>
      </c>
      <c r="EC740" s="118" t="str">
        <f t="shared" si="1036"/>
        <v/>
      </c>
      <c r="ED740" s="122" t="str">
        <f>+IF(OR($W740="",EB740=0),"",ROUND((VLOOKUP(ROUNDDOWN($D740-1/frec,0),cob_adi,DO$40,FALSE)*(1+i/frec)^-0.5*(1+Parámetros!$D$103)*(1+rec_fracc)/frec),6))</f>
        <v/>
      </c>
      <c r="EE740" s="66" t="str">
        <f t="shared" si="988"/>
        <v/>
      </c>
      <c r="EF740" s="68" t="str">
        <f t="shared" si="989"/>
        <v/>
      </c>
      <c r="EG740" s="66" t="str">
        <f>+IF($W740="","",ROUND(IF($B740&gt;Parámetros!$D$107,'Tablas Servicio'!EE740+('Tablas Servicio'!EG739-'Tablas Servicio'!EE739),EE740/(1-IF(B740&lt;=10,Parámetros!$D$100,0))),2))</f>
        <v/>
      </c>
      <c r="EH740" s="66" t="str">
        <f t="shared" si="1035"/>
        <v/>
      </c>
      <c r="EI740" s="66" t="str">
        <f t="shared" si="1035"/>
        <v/>
      </c>
      <c r="EJ740" s="66" t="str">
        <f>+IF($W740="","",ROUND((EG740*Parámetros!$G$85),2))</f>
        <v/>
      </c>
      <c r="EK740" s="66" t="str">
        <f>+IF($W740="","",ROUND((EG740*(Parámetros!$G$86)),2))</f>
        <v/>
      </c>
      <c r="EL740" s="66" t="str">
        <f t="shared" si="991"/>
        <v/>
      </c>
    </row>
    <row r="741" spans="1:142" x14ac:dyDescent="0.25">
      <c r="A741" t="str">
        <f>+IF($C741="","",ROUND(VLOOKUP('Tablas Servicio'!B741,Parámetros!$H$100:$J$159,IF(Parámetros!$E$16="F",2,3),FALSE),2))</f>
        <v/>
      </c>
      <c r="B741" t="str">
        <f t="shared" si="942"/>
        <v/>
      </c>
      <c r="C741" s="57" t="str">
        <f>+IF(D741="","",'Tablas Servicio'!C740+1)</f>
        <v/>
      </c>
      <c r="D741" s="56" t="str">
        <f>+IF(D740&lt;edadmaxtabla,D740+1/Parámetros!$E$25,"")</f>
        <v/>
      </c>
      <c r="E741" s="57" t="str">
        <f t="shared" si="952"/>
        <v/>
      </c>
      <c r="F741" s="59" t="str">
        <f t="shared" si="953"/>
        <v/>
      </c>
      <c r="G741" s="66" t="str">
        <f t="shared" si="943"/>
        <v/>
      </c>
      <c r="H741" s="66" t="str">
        <f t="shared" si="944"/>
        <v/>
      </c>
      <c r="I741" s="66" t="str">
        <f t="shared" si="992"/>
        <v/>
      </c>
      <c r="J741" s="66" t="str">
        <f t="shared" si="945"/>
        <v/>
      </c>
      <c r="K741" s="66" t="str">
        <f t="shared" si="946"/>
        <v/>
      </c>
      <c r="L741" s="66" t="str">
        <f t="shared" si="947"/>
        <v/>
      </c>
      <c r="M741" s="66" t="str">
        <f t="shared" si="948"/>
        <v/>
      </c>
      <c r="N741" s="66" t="str">
        <f>+IF(C741="","",ROUND(Parámetros!$D$23,2))</f>
        <v/>
      </c>
      <c r="O741" s="66" t="str">
        <f t="shared" si="949"/>
        <v/>
      </c>
      <c r="P741" s="66" t="str">
        <f>+IF($C741="","",ROUND(IF(B741&gt;Parámetros!$D$117,0,N741*Parámetros!$D$116-G741*Parámetros!$D$100),2))</f>
        <v/>
      </c>
      <c r="Q741" s="75" t="str">
        <f t="shared" si="993"/>
        <v/>
      </c>
      <c r="R741" s="75" t="str">
        <f t="shared" si="994"/>
        <v/>
      </c>
      <c r="S741" s="117" t="str">
        <f>+IF($C741="","",ROUND((S740+I741)*(1+Parámetros!$D$91),2))</f>
        <v/>
      </c>
      <c r="T741" s="117" t="str">
        <f>+IF($C741="","",ROUND(S741*VLOOKUP(B741,Parámetros!$C$30:$D$39,2,TRUE),2))</f>
        <v/>
      </c>
      <c r="U741" s="117" t="str">
        <f>+IF($C741="","",ROUND((U740+I741)*(1+Parámetros!$D$92),2))</f>
        <v/>
      </c>
      <c r="V741" s="117" t="str">
        <f>+IF($C741="","",ROUND(U741*VLOOKUP(B741,Parámetros!$C$30:$D$39,2,TRUE),2))</f>
        <v/>
      </c>
      <c r="W741" s="57" t="str">
        <f t="shared" si="995"/>
        <v/>
      </c>
      <c r="X741" t="str">
        <f t="shared" si="996"/>
        <v/>
      </c>
      <c r="Y741" t="str">
        <f t="shared" si="997"/>
        <v/>
      </c>
      <c r="Z741" s="118" t="str">
        <f>+IF($W741="","",ROUND(IF(Parámetros!$D$25='TABLAS MORT'!$V$33,Z740,Parámetros!$D$21-'Tablas Servicio'!T740),0))</f>
        <v/>
      </c>
      <c r="AA741" s="118" t="str">
        <f t="shared" si="998"/>
        <v/>
      </c>
      <c r="AB741" s="119" t="str">
        <f>+IF(W741="","",ROUND((VLOOKUP(ROUNDDOWN($D741-1/frec,0),qx_tabla,2,FALSE)*(1+i/frec)^-0.5*(1+Parámetros!$D$103)*(1+rec_fracc)/frec),6))</f>
        <v/>
      </c>
      <c r="AC741" s="66" t="str">
        <f t="shared" si="954"/>
        <v/>
      </c>
      <c r="AD741" s="119" t="str">
        <f t="shared" si="950"/>
        <v/>
      </c>
      <c r="AE741" s="66" t="str">
        <f>+IF($W741="","",ROUND(IF($B741&gt;Parámetros!$D$107,'Tablas Servicio'!AC741+('Tablas Servicio'!AG740-'Tablas Servicio'!AC740),AC741/(1-IF(B741&lt;=10,Parámetros!$D$104,Parámetros!$D$105))),2))</f>
        <v/>
      </c>
      <c r="AF741" s="66" t="str">
        <f>+IF($W741="","",ROUND(IF($B741&gt;Parámetros!$D$107,'Tablas Servicio'!AC741+('Tablas Servicio'!AG740-'Tablas Servicio'!AC740),(AC741+$A740/frec)/(1-IF(B741&lt;=Parámetros!$D$117,Parámetros!$D$100,0))),2))</f>
        <v/>
      </c>
      <c r="AG741" s="66" t="str">
        <f t="shared" si="955"/>
        <v/>
      </c>
      <c r="AH741" s="66" t="str">
        <f t="shared" si="956"/>
        <v/>
      </c>
      <c r="AI741" s="66" t="str">
        <f t="shared" si="957"/>
        <v/>
      </c>
      <c r="AJ741" s="66" t="str">
        <f>+IF($W741="","",ROUND((AG741*Parámetros!$G$85),2))</f>
        <v/>
      </c>
      <c r="AK741" s="66" t="str">
        <f>+IF($W741="","",ROUND((AG741*(Parámetros!$G$86)),2))</f>
        <v/>
      </c>
      <c r="AL741" s="66" t="str">
        <f t="shared" si="951"/>
        <v/>
      </c>
      <c r="AM741" t="str">
        <f t="shared" si="999"/>
        <v/>
      </c>
      <c r="AN741" t="str">
        <f t="shared" si="1000"/>
        <v/>
      </c>
      <c r="AO741" s="118" t="str">
        <f t="shared" si="1001"/>
        <v/>
      </c>
      <c r="AP741" s="118" t="str">
        <f t="shared" si="1002"/>
        <v/>
      </c>
      <c r="AQ741" s="119" t="str">
        <f>+IF(OR($W741="",AO741=0),"",ROUND((VLOOKUP(ROUNDDOWN($D741-1/frec,0),cob_adi,Z$40,FALSE)*(1+i/frec)^-0.5*(1+Parámetros!$D$103)*(1+rec_fracc)/frec),6))</f>
        <v/>
      </c>
      <c r="AR741" s="66" t="str">
        <f t="shared" si="958"/>
        <v/>
      </c>
      <c r="AS741" s="119" t="str">
        <f t="shared" si="959"/>
        <v/>
      </c>
      <c r="AT741" s="66" t="str">
        <f>+IF($W741="","",ROUND(IF($B741&gt;Parámetros!$D$107,'Tablas Servicio'!AR741+('Tablas Servicio'!AT740-'Tablas Servicio'!AR740),AR741/(1-IF(B741&lt;=10,Parámetros!$D$100,0))),2))</f>
        <v/>
      </c>
      <c r="AU741" s="66" t="str">
        <f t="shared" si="1028"/>
        <v/>
      </c>
      <c r="AV741" s="66" t="str">
        <f t="shared" si="1028"/>
        <v/>
      </c>
      <c r="AW741" s="66" t="str">
        <f>+IF($W741="","",ROUND((AT741*Parámetros!$G$85),2))</f>
        <v/>
      </c>
      <c r="AX741" s="66" t="str">
        <f>+IF($W741="","",ROUND((AT741*(Parámetros!$G$86)),2))</f>
        <v/>
      </c>
      <c r="AY741" s="66" t="str">
        <f t="shared" si="961"/>
        <v/>
      </c>
      <c r="AZ741" t="str">
        <f t="shared" si="1003"/>
        <v/>
      </c>
      <c r="BA741" t="str">
        <f t="shared" si="1004"/>
        <v/>
      </c>
      <c r="BB741" s="118" t="str">
        <f t="shared" si="1005"/>
        <v/>
      </c>
      <c r="BC741" s="118" t="str">
        <f t="shared" si="1006"/>
        <v/>
      </c>
      <c r="BD741" s="119" t="str">
        <f>+IF(OR($W741="",BB741=0),"",ROUND((VLOOKUP(ROUNDDOWN($D741-1/frec,0),cob_adi,AO$40,FALSE)*(1+i/frec)^-0.5*(1+Parámetros!$D$103)*(1+rec_fracc)/frec),6))</f>
        <v/>
      </c>
      <c r="BE741" s="66" t="str">
        <f t="shared" si="962"/>
        <v/>
      </c>
      <c r="BF741" s="119" t="str">
        <f t="shared" si="963"/>
        <v/>
      </c>
      <c r="BG741" s="66" t="str">
        <f>+IF($W741="","",ROUND(IF($B741&gt;Parámetros!$D$107,'Tablas Servicio'!BE741+('Tablas Servicio'!BG740-'Tablas Servicio'!BE740),BE741/(1-IF(B741&lt;=10,Parámetros!$D$100,0))),2))</f>
        <v/>
      </c>
      <c r="BH741" s="66" t="str">
        <f t="shared" si="964"/>
        <v/>
      </c>
      <c r="BI741" s="66" t="str">
        <f t="shared" si="965"/>
        <v/>
      </c>
      <c r="BJ741" s="66" t="str">
        <f>+IF($W741="","",ROUND((BG741*Parámetros!$G$85),2))</f>
        <v/>
      </c>
      <c r="BK741" s="66" t="str">
        <f>+IF($W741="","",ROUND((BG741*(Parámetros!$G$86)),2))</f>
        <v/>
      </c>
      <c r="BL741" s="66" t="str">
        <f t="shared" si="966"/>
        <v/>
      </c>
      <c r="BM741" t="str">
        <f t="shared" si="1007"/>
        <v/>
      </c>
      <c r="BN741" t="str">
        <f t="shared" si="1008"/>
        <v/>
      </c>
      <c r="BO741" s="118" t="str">
        <f t="shared" si="1009"/>
        <v/>
      </c>
      <c r="BP741" s="118" t="str">
        <f t="shared" si="1010"/>
        <v/>
      </c>
      <c r="BQ741" s="119" t="str">
        <f>+IF(OR($W741="",BO741=0),"",ROUND((VLOOKUP(ROUNDDOWN($D741-1/frec,0),cob_adi,BB$40,FALSE)*(1+i/frec)^-0.5*(1+Parámetros!$D$103)*(1+rec_fracc)/frec),6))</f>
        <v/>
      </c>
      <c r="BR741" s="66" t="str">
        <f t="shared" si="967"/>
        <v/>
      </c>
      <c r="BS741" s="119" t="str">
        <f t="shared" si="968"/>
        <v/>
      </c>
      <c r="BT741" s="66" t="str">
        <f>+IF($W741="","",ROUND(IF($B741&gt;Parámetros!$D$107,'Tablas Servicio'!BR741+('Tablas Servicio'!BT740-'Tablas Servicio'!BR740),BR741/(1-IF(B741&lt;=10,Parámetros!$D$100,0))),2))</f>
        <v/>
      </c>
      <c r="BU741" s="66" t="str">
        <f t="shared" si="1029"/>
        <v/>
      </c>
      <c r="BV741" s="66" t="str">
        <f t="shared" si="1029"/>
        <v/>
      </c>
      <c r="BW741" s="66" t="str">
        <f>+IF($W741="","",ROUND((BT741*Parámetros!$G$85),2))</f>
        <v/>
      </c>
      <c r="BX741" s="66" t="str">
        <f>+IF($W741="","",ROUND((BT741*(Parámetros!$G$86)),2))</f>
        <v/>
      </c>
      <c r="BY741" s="66" t="str">
        <f t="shared" si="970"/>
        <v/>
      </c>
      <c r="BZ741" t="str">
        <f t="shared" si="1011"/>
        <v/>
      </c>
      <c r="CA741" t="str">
        <f t="shared" si="1012"/>
        <v/>
      </c>
      <c r="CB741" s="118" t="str">
        <f t="shared" si="1013"/>
        <v/>
      </c>
      <c r="CC741" s="118" t="str">
        <f t="shared" si="1014"/>
        <v/>
      </c>
      <c r="CD741" s="119" t="str">
        <f t="shared" si="971"/>
        <v/>
      </c>
      <c r="CE741" s="66" t="str">
        <f>+IF($W741="","",ROUND((VLOOKUP(ROUNDDOWN($D741-1/frec,0),cob_adi,BO$40,FALSE)*(1+i/frec)^-0.5*(1+Parámetros!$D$103)*(1+rec_fracc)/frec*'TABLAS ADI'!$BC$17),2))</f>
        <v/>
      </c>
      <c r="CF741" s="119" t="str">
        <f t="shared" si="972"/>
        <v/>
      </c>
      <c r="CG741" s="66" t="str">
        <f>+IF($W741="","",ROUND(IF($B741&gt;Parámetros!$D$107,'Tablas Servicio'!CE741+('Tablas Servicio'!CG740-'Tablas Servicio'!CE740),CE741/(1-IF(B741&lt;=10,Parámetros!$D$100,0))),2))</f>
        <v/>
      </c>
      <c r="CH741" s="66" t="str">
        <f t="shared" si="1030"/>
        <v/>
      </c>
      <c r="CI741" s="66" t="str">
        <f t="shared" si="1030"/>
        <v/>
      </c>
      <c r="CJ741" s="66" t="str">
        <f>+IF($W741="","",ROUND((CG741*Parámetros!$G$85),2))</f>
        <v/>
      </c>
      <c r="CK741" s="66" t="str">
        <f>+IF($W741="","",ROUND((CG741*(Parámetros!$G$86)),2))</f>
        <v/>
      </c>
      <c r="CL741" s="66" t="str">
        <f t="shared" si="974"/>
        <v/>
      </c>
      <c r="CM741" t="str">
        <f t="shared" si="1015"/>
        <v/>
      </c>
      <c r="CN741" s="118" t="str">
        <f t="shared" si="1016"/>
        <v/>
      </c>
      <c r="CO741" s="118" t="str">
        <f t="shared" si="1017"/>
        <v/>
      </c>
      <c r="CP741" s="118" t="str">
        <f t="shared" si="1018"/>
        <v/>
      </c>
      <c r="CQ741" s="119" t="str">
        <f t="shared" si="975"/>
        <v/>
      </c>
      <c r="CR741" s="66" t="str">
        <f>+IF($W741="","",ROUND((VLOOKUP(Parámetros!$F$51,'COBERTURAS ADICIONALES'!$S$4:$T$32,2,FALSE)*(1+i/frec)^-0.5*(1+Parámetros!$D$103)*(1+rec_fracc)/frec*$CO$42),2))</f>
        <v/>
      </c>
      <c r="CS741" s="119" t="str">
        <f t="shared" si="976"/>
        <v/>
      </c>
      <c r="CT741" s="66" t="str">
        <f>+IF($W741="","",ROUND(IF($B741&gt;Parámetros!$D$107,'Tablas Servicio'!CR741+('Tablas Servicio'!CT740-'Tablas Servicio'!CR740),CR741/(1-IF(B741&lt;=10,Parámetros!$D$100,0))),2))</f>
        <v/>
      </c>
      <c r="CU741" s="66" t="str">
        <f t="shared" si="1031"/>
        <v/>
      </c>
      <c r="CV741" s="66" t="str">
        <f t="shared" si="1031"/>
        <v/>
      </c>
      <c r="CW741" s="66" t="str">
        <f>+IF($W741="","",ROUND((CT741*Parámetros!$G$85),2))</f>
        <v/>
      </c>
      <c r="CX741" s="66" t="str">
        <f>+IF($W741="","",ROUND((CT741*(Parámetros!$G$86)),2))</f>
        <v/>
      </c>
      <c r="CY741" s="66" t="str">
        <f t="shared" si="978"/>
        <v/>
      </c>
      <c r="CZ741" t="str">
        <f t="shared" si="1019"/>
        <v/>
      </c>
      <c r="DA741" s="118" t="str">
        <f t="shared" si="1020"/>
        <v/>
      </c>
      <c r="DB741" s="118" t="str">
        <f t="shared" si="1021"/>
        <v/>
      </c>
      <c r="DC741" s="118" t="str">
        <f t="shared" si="1022"/>
        <v/>
      </c>
      <c r="DD741" s="121" t="str">
        <f>+IF(OR($W741="",DB741=0),"",ROUND((VLOOKUP(ROUNDDOWN($D741-1/frec,0),cob_adi,CO$40,FALSE)*(1+i/frec)^-0.5*(1+Parámetros!$D$103)*(1+rec_fracc)/frec),6))</f>
        <v/>
      </c>
      <c r="DE741" s="66" t="str">
        <f t="shared" si="979"/>
        <v/>
      </c>
      <c r="DF741" s="119" t="str">
        <f t="shared" si="980"/>
        <v/>
      </c>
      <c r="DG741" s="66" t="str">
        <f>+IF($W741="","",ROUND(IF($B741&gt;Parámetros!$D$107,'Tablas Servicio'!DE741+('Tablas Servicio'!DG740-'Tablas Servicio'!DE740),DE741/(1-IF(B741&lt;=10,Parámetros!$D$100,0))),2))</f>
        <v/>
      </c>
      <c r="DH741" s="66" t="str">
        <f t="shared" si="1032"/>
        <v/>
      </c>
      <c r="DI741" s="66" t="str">
        <f t="shared" si="1032"/>
        <v/>
      </c>
      <c r="DJ741" s="66" t="str">
        <f>+IF($W741="","",ROUND((DG741*Parámetros!$G$85),2))</f>
        <v/>
      </c>
      <c r="DK741" s="66" t="str">
        <f>+IF($W741="","",ROUND((DG741*(Parámetros!$G$86)),2))</f>
        <v/>
      </c>
      <c r="DL741" s="66" t="str">
        <f t="shared" si="982"/>
        <v/>
      </c>
      <c r="DM741" t="str">
        <f t="shared" si="1023"/>
        <v/>
      </c>
      <c r="DN741" s="118" t="str">
        <f t="shared" si="1024"/>
        <v/>
      </c>
      <c r="DO741" s="118" t="str">
        <f t="shared" si="1025"/>
        <v/>
      </c>
      <c r="DP741" s="118" t="str">
        <f t="shared" si="1026"/>
        <v/>
      </c>
      <c r="DQ741" s="122" t="str">
        <f>+IF(OR($W741="",DO741=0),"",ROUND((VLOOKUP(ROUNDDOWN($D741-1/frec,0),cob_adi,DB$40,FALSE)*(1+i/frec)^-0.5*(1+Parámetros!$D$103)*(1+rec_fracc)/frec),6))</f>
        <v/>
      </c>
      <c r="DR741" s="66" t="str">
        <f t="shared" si="983"/>
        <v/>
      </c>
      <c r="DS741" s="68" t="str">
        <f t="shared" si="984"/>
        <v/>
      </c>
      <c r="DT741" s="66" t="str">
        <f>+IF($W741="","",ROUND(IF($B741&gt;Parámetros!$D$107,'Tablas Servicio'!DR741+('Tablas Servicio'!DT740-'Tablas Servicio'!DR740),DR741/(1-IF(B741&lt;=10,Parámetros!$D$100,0))),2))</f>
        <v/>
      </c>
      <c r="DU741" s="66" t="str">
        <f t="shared" si="1033"/>
        <v/>
      </c>
      <c r="DV741" s="66" t="str">
        <f t="shared" si="1033"/>
        <v/>
      </c>
      <c r="DW741" s="66" t="str">
        <f>+IF($W741="","",ROUND((DT741*Parámetros!$G$85),2))</f>
        <v/>
      </c>
      <c r="DX741" s="66" t="str">
        <f>+IF($W741="","",ROUND((DT741*(Parámetros!$G$86)),2))</f>
        <v/>
      </c>
      <c r="DY741" s="66" t="str">
        <f t="shared" si="986"/>
        <v/>
      </c>
      <c r="DZ741" t="str">
        <f t="shared" si="1036"/>
        <v/>
      </c>
      <c r="EA741" s="118" t="str">
        <f t="shared" si="1036"/>
        <v/>
      </c>
      <c r="EB741" s="118" t="str">
        <f>+IF($W741="","",ROUND(IF(Parámetros!$D$25='TABLAS MORT'!$V$33,EB740,Z741/2),0))</f>
        <v/>
      </c>
      <c r="EC741" s="118" t="str">
        <f t="shared" si="1036"/>
        <v/>
      </c>
      <c r="ED741" s="122" t="str">
        <f>+IF(OR($W741="",EB741=0),"",ROUND((VLOOKUP(ROUNDDOWN($D741-1/frec,0),cob_adi,DO$40,FALSE)*(1+i/frec)^-0.5*(1+Parámetros!$D$103)*(1+rec_fracc)/frec),6))</f>
        <v/>
      </c>
      <c r="EE741" s="66" t="str">
        <f t="shared" si="988"/>
        <v/>
      </c>
      <c r="EF741" s="68" t="str">
        <f t="shared" si="989"/>
        <v/>
      </c>
      <c r="EG741" s="66" t="str">
        <f>+IF($W741="","",ROUND(IF($B741&gt;Parámetros!$D$107,'Tablas Servicio'!EE741+('Tablas Servicio'!EG740-'Tablas Servicio'!EE740),EE741/(1-IF(B741&lt;=10,Parámetros!$D$100,0))),2))</f>
        <v/>
      </c>
      <c r="EH741" s="66" t="str">
        <f t="shared" si="1035"/>
        <v/>
      </c>
      <c r="EI741" s="66" t="str">
        <f t="shared" si="1035"/>
        <v/>
      </c>
      <c r="EJ741" s="66" t="str">
        <f>+IF($W741="","",ROUND((EG741*Parámetros!$G$85),2))</f>
        <v/>
      </c>
      <c r="EK741" s="66" t="str">
        <f>+IF($W741="","",ROUND((EG741*(Parámetros!$G$86)),2))</f>
        <v/>
      </c>
      <c r="EL741" s="66" t="str">
        <f t="shared" si="991"/>
        <v/>
      </c>
    </row>
    <row r="742" spans="1:142" x14ac:dyDescent="0.25">
      <c r="A742" t="str">
        <f>+IF($C742="","",ROUND(VLOOKUP('Tablas Servicio'!B742,Parámetros!$H$100:$J$159,IF(Parámetros!$E$16="F",2,3),FALSE),2))</f>
        <v/>
      </c>
      <c r="B742" t="str">
        <f t="shared" si="942"/>
        <v/>
      </c>
      <c r="C742" s="57" t="str">
        <f>+IF(D742="","",'Tablas Servicio'!C741+1)</f>
        <v/>
      </c>
      <c r="D742" s="56" t="str">
        <f>+IF(D741&lt;edadmaxtabla,D741+1/Parámetros!$E$25,"")</f>
        <v/>
      </c>
      <c r="E742" s="57" t="str">
        <f t="shared" si="952"/>
        <v/>
      </c>
      <c r="F742" s="59" t="str">
        <f t="shared" si="953"/>
        <v/>
      </c>
      <c r="G742" s="66" t="str">
        <f t="shared" si="943"/>
        <v/>
      </c>
      <c r="H742" s="66" t="str">
        <f t="shared" si="944"/>
        <v/>
      </c>
      <c r="I742" s="66" t="str">
        <f t="shared" si="992"/>
        <v/>
      </c>
      <c r="J742" s="66" t="str">
        <f t="shared" si="945"/>
        <v/>
      </c>
      <c r="K742" s="66" t="str">
        <f t="shared" si="946"/>
        <v/>
      </c>
      <c r="L742" s="66" t="str">
        <f t="shared" si="947"/>
        <v/>
      </c>
      <c r="M742" s="66" t="str">
        <f t="shared" si="948"/>
        <v/>
      </c>
      <c r="N742" s="66" t="str">
        <f>+IF(C742="","",ROUND(Parámetros!$D$23,2))</f>
        <v/>
      </c>
      <c r="O742" s="66" t="str">
        <f t="shared" si="949"/>
        <v/>
      </c>
      <c r="P742" s="66" t="str">
        <f>+IF($C742="","",ROUND(IF(B742&gt;Parámetros!$D$117,0,N742*Parámetros!$D$116-G742*Parámetros!$D$100),2))</f>
        <v/>
      </c>
      <c r="Q742" s="75" t="str">
        <f t="shared" si="993"/>
        <v/>
      </c>
      <c r="R742" s="75" t="str">
        <f t="shared" si="994"/>
        <v/>
      </c>
      <c r="S742" s="117" t="str">
        <f>+IF($C742="","",ROUND((S741+I742)*(1+Parámetros!$D$91),2))</f>
        <v/>
      </c>
      <c r="T742" s="117" t="str">
        <f>+IF($C742="","",ROUND(S742*VLOOKUP(B742,Parámetros!$C$30:$D$39,2,TRUE),2))</f>
        <v/>
      </c>
      <c r="U742" s="117" t="str">
        <f>+IF($C742="","",ROUND((U741+I742)*(1+Parámetros!$D$92),2))</f>
        <v/>
      </c>
      <c r="V742" s="117" t="str">
        <f>+IF($C742="","",ROUND(U742*VLOOKUP(B742,Parámetros!$C$30:$D$39,2,TRUE),2))</f>
        <v/>
      </c>
      <c r="W742" s="57" t="str">
        <f t="shared" si="995"/>
        <v/>
      </c>
      <c r="X742" t="str">
        <f t="shared" si="996"/>
        <v/>
      </c>
      <c r="Y742" t="str">
        <f t="shared" si="997"/>
        <v/>
      </c>
      <c r="Z742" s="118" t="str">
        <f>+IF($W742="","",ROUND(IF(Parámetros!$D$25='TABLAS MORT'!$V$33,Z741,Parámetros!$D$21-'Tablas Servicio'!T741),0))</f>
        <v/>
      </c>
      <c r="AA742" s="118" t="str">
        <f t="shared" si="998"/>
        <v/>
      </c>
      <c r="AB742" s="119" t="str">
        <f>+IF(W742="","",ROUND((VLOOKUP(ROUNDDOWN($D742-1/frec,0),qx_tabla,2,FALSE)*(1+i/frec)^-0.5*(1+Parámetros!$D$103)*(1+rec_fracc)/frec),6))</f>
        <v/>
      </c>
      <c r="AC742" s="66" t="str">
        <f t="shared" si="954"/>
        <v/>
      </c>
      <c r="AD742" s="119" t="str">
        <f t="shared" si="950"/>
        <v/>
      </c>
      <c r="AE742" s="66" t="str">
        <f>+IF($W742="","",ROUND(IF($B742&gt;Parámetros!$D$107,'Tablas Servicio'!AC742+('Tablas Servicio'!AG741-'Tablas Servicio'!AC741),AC742/(1-IF(B742&lt;=10,Parámetros!$D$104,Parámetros!$D$105))),2))</f>
        <v/>
      </c>
      <c r="AF742" s="66" t="str">
        <f>+IF($W742="","",ROUND(IF($B742&gt;Parámetros!$D$107,'Tablas Servicio'!AC742+('Tablas Servicio'!AG741-'Tablas Servicio'!AC741),(AC742+$A741/frec)/(1-IF(B742&lt;=Parámetros!$D$117,Parámetros!$D$100,0))),2))</f>
        <v/>
      </c>
      <c r="AG742" s="66" t="str">
        <f t="shared" si="955"/>
        <v/>
      </c>
      <c r="AH742" s="66" t="str">
        <f t="shared" si="956"/>
        <v/>
      </c>
      <c r="AI742" s="66" t="str">
        <f t="shared" si="957"/>
        <v/>
      </c>
      <c r="AJ742" s="66" t="str">
        <f>+IF($W742="","",ROUND((AG742*Parámetros!$G$85),2))</f>
        <v/>
      </c>
      <c r="AK742" s="66" t="str">
        <f>+IF($W742="","",ROUND((AG742*(Parámetros!$G$86)),2))</f>
        <v/>
      </c>
      <c r="AL742" s="66" t="str">
        <f t="shared" si="951"/>
        <v/>
      </c>
      <c r="AM742" t="str">
        <f t="shared" si="999"/>
        <v/>
      </c>
      <c r="AN742" t="str">
        <f t="shared" si="1000"/>
        <v/>
      </c>
      <c r="AO742" s="118" t="str">
        <f t="shared" si="1001"/>
        <v/>
      </c>
      <c r="AP742" s="118" t="str">
        <f t="shared" si="1002"/>
        <v/>
      </c>
      <c r="AQ742" s="119" t="str">
        <f>+IF(OR($W742="",AO742=0),"",ROUND((VLOOKUP(ROUNDDOWN($D742-1/frec,0),cob_adi,Z$40,FALSE)*(1+i/frec)^-0.5*(1+Parámetros!$D$103)*(1+rec_fracc)/frec),6))</f>
        <v/>
      </c>
      <c r="AR742" s="66" t="str">
        <f t="shared" si="958"/>
        <v/>
      </c>
      <c r="AS742" s="119" t="str">
        <f t="shared" si="959"/>
        <v/>
      </c>
      <c r="AT742" s="66" t="str">
        <f>+IF($W742="","",ROUND(IF($B742&gt;Parámetros!$D$107,'Tablas Servicio'!AR742+('Tablas Servicio'!AT741-'Tablas Servicio'!AR741),AR742/(1-IF(B742&lt;=10,Parámetros!$D$100,0))),2))</f>
        <v/>
      </c>
      <c r="AU742" s="66" t="str">
        <f t="shared" si="1028"/>
        <v/>
      </c>
      <c r="AV742" s="66" t="str">
        <f t="shared" si="1028"/>
        <v/>
      </c>
      <c r="AW742" s="66" t="str">
        <f>+IF($W742="","",ROUND((AT742*Parámetros!$G$85),2))</f>
        <v/>
      </c>
      <c r="AX742" s="66" t="str">
        <f>+IF($W742="","",ROUND((AT742*(Parámetros!$G$86)),2))</f>
        <v/>
      </c>
      <c r="AY742" s="66" t="str">
        <f t="shared" si="961"/>
        <v/>
      </c>
      <c r="AZ742" t="str">
        <f t="shared" si="1003"/>
        <v/>
      </c>
      <c r="BA742" t="str">
        <f t="shared" si="1004"/>
        <v/>
      </c>
      <c r="BB742" s="118" t="str">
        <f t="shared" si="1005"/>
        <v/>
      </c>
      <c r="BC742" s="118" t="str">
        <f t="shared" si="1006"/>
        <v/>
      </c>
      <c r="BD742" s="119" t="str">
        <f>+IF(OR($W742="",BB742=0),"",ROUND((VLOOKUP(ROUNDDOWN($D742-1/frec,0),cob_adi,AO$40,FALSE)*(1+i/frec)^-0.5*(1+Parámetros!$D$103)*(1+rec_fracc)/frec),6))</f>
        <v/>
      </c>
      <c r="BE742" s="66" t="str">
        <f t="shared" si="962"/>
        <v/>
      </c>
      <c r="BF742" s="119" t="str">
        <f t="shared" si="963"/>
        <v/>
      </c>
      <c r="BG742" s="66" t="str">
        <f>+IF($W742="","",ROUND(IF($B742&gt;Parámetros!$D$107,'Tablas Servicio'!BE742+('Tablas Servicio'!BG741-'Tablas Servicio'!BE741),BE742/(1-IF(B742&lt;=10,Parámetros!$D$100,0))),2))</f>
        <v/>
      </c>
      <c r="BH742" s="66" t="str">
        <f t="shared" si="964"/>
        <v/>
      </c>
      <c r="BI742" s="66" t="str">
        <f t="shared" si="965"/>
        <v/>
      </c>
      <c r="BJ742" s="66" t="str">
        <f>+IF($W742="","",ROUND((BG742*Parámetros!$G$85),2))</f>
        <v/>
      </c>
      <c r="BK742" s="66" t="str">
        <f>+IF($W742="","",ROUND((BG742*(Parámetros!$G$86)),2))</f>
        <v/>
      </c>
      <c r="BL742" s="66" t="str">
        <f t="shared" si="966"/>
        <v/>
      </c>
      <c r="BM742" t="str">
        <f t="shared" si="1007"/>
        <v/>
      </c>
      <c r="BN742" t="str">
        <f t="shared" si="1008"/>
        <v/>
      </c>
      <c r="BO742" s="118" t="str">
        <f t="shared" si="1009"/>
        <v/>
      </c>
      <c r="BP742" s="118" t="str">
        <f t="shared" si="1010"/>
        <v/>
      </c>
      <c r="BQ742" s="119" t="str">
        <f>+IF(OR($W742="",BO742=0),"",ROUND((VLOOKUP(ROUNDDOWN($D742-1/frec,0),cob_adi,BB$40,FALSE)*(1+i/frec)^-0.5*(1+Parámetros!$D$103)*(1+rec_fracc)/frec),6))</f>
        <v/>
      </c>
      <c r="BR742" s="66" t="str">
        <f t="shared" si="967"/>
        <v/>
      </c>
      <c r="BS742" s="119" t="str">
        <f t="shared" si="968"/>
        <v/>
      </c>
      <c r="BT742" s="66" t="str">
        <f>+IF($W742="","",ROUND(IF($B742&gt;Parámetros!$D$107,'Tablas Servicio'!BR742+('Tablas Servicio'!BT741-'Tablas Servicio'!BR741),BR742/(1-IF(B742&lt;=10,Parámetros!$D$100,0))),2))</f>
        <v/>
      </c>
      <c r="BU742" s="66" t="str">
        <f t="shared" si="1029"/>
        <v/>
      </c>
      <c r="BV742" s="66" t="str">
        <f t="shared" si="1029"/>
        <v/>
      </c>
      <c r="BW742" s="66" t="str">
        <f>+IF($W742="","",ROUND((BT742*Parámetros!$G$85),2))</f>
        <v/>
      </c>
      <c r="BX742" s="66" t="str">
        <f>+IF($W742="","",ROUND((BT742*(Parámetros!$G$86)),2))</f>
        <v/>
      </c>
      <c r="BY742" s="66" t="str">
        <f t="shared" si="970"/>
        <v/>
      </c>
      <c r="BZ742" t="str">
        <f t="shared" si="1011"/>
        <v/>
      </c>
      <c r="CA742" t="str">
        <f t="shared" si="1012"/>
        <v/>
      </c>
      <c r="CB742" s="118" t="str">
        <f t="shared" si="1013"/>
        <v/>
      </c>
      <c r="CC742" s="118" t="str">
        <f t="shared" si="1014"/>
        <v/>
      </c>
      <c r="CD742" s="119" t="str">
        <f t="shared" si="971"/>
        <v/>
      </c>
      <c r="CE742" s="66" t="str">
        <f>+IF($W742="","",ROUND((VLOOKUP(ROUNDDOWN($D742-1/frec,0),cob_adi,BO$40,FALSE)*(1+i/frec)^-0.5*(1+Parámetros!$D$103)*(1+rec_fracc)/frec*'TABLAS ADI'!$BC$17),2))</f>
        <v/>
      </c>
      <c r="CF742" s="119" t="str">
        <f t="shared" si="972"/>
        <v/>
      </c>
      <c r="CG742" s="66" t="str">
        <f>+IF($W742="","",ROUND(IF($B742&gt;Parámetros!$D$107,'Tablas Servicio'!CE742+('Tablas Servicio'!CG741-'Tablas Servicio'!CE741),CE742/(1-IF(B742&lt;=10,Parámetros!$D$100,0))),2))</f>
        <v/>
      </c>
      <c r="CH742" s="66" t="str">
        <f t="shared" si="1030"/>
        <v/>
      </c>
      <c r="CI742" s="66" t="str">
        <f t="shared" si="1030"/>
        <v/>
      </c>
      <c r="CJ742" s="66" t="str">
        <f>+IF($W742="","",ROUND((CG742*Parámetros!$G$85),2))</f>
        <v/>
      </c>
      <c r="CK742" s="66" t="str">
        <f>+IF($W742="","",ROUND((CG742*(Parámetros!$G$86)),2))</f>
        <v/>
      </c>
      <c r="CL742" s="66" t="str">
        <f t="shared" si="974"/>
        <v/>
      </c>
      <c r="CM742" t="str">
        <f t="shared" si="1015"/>
        <v/>
      </c>
      <c r="CN742" s="118" t="str">
        <f t="shared" si="1016"/>
        <v/>
      </c>
      <c r="CO742" s="118" t="str">
        <f t="shared" si="1017"/>
        <v/>
      </c>
      <c r="CP742" s="118" t="str">
        <f t="shared" si="1018"/>
        <v/>
      </c>
      <c r="CQ742" s="119" t="str">
        <f t="shared" si="975"/>
        <v/>
      </c>
      <c r="CR742" s="66" t="str">
        <f>+IF($W742="","",ROUND((VLOOKUP(Parámetros!$F$51,'COBERTURAS ADICIONALES'!$S$4:$T$32,2,FALSE)*(1+i/frec)^-0.5*(1+Parámetros!$D$103)*(1+rec_fracc)/frec*$CO$42),2))</f>
        <v/>
      </c>
      <c r="CS742" s="119" t="str">
        <f t="shared" si="976"/>
        <v/>
      </c>
      <c r="CT742" s="66" t="str">
        <f>+IF($W742="","",ROUND(IF($B742&gt;Parámetros!$D$107,'Tablas Servicio'!CR742+('Tablas Servicio'!CT741-'Tablas Servicio'!CR741),CR742/(1-IF(B742&lt;=10,Parámetros!$D$100,0))),2))</f>
        <v/>
      </c>
      <c r="CU742" s="66" t="str">
        <f t="shared" si="1031"/>
        <v/>
      </c>
      <c r="CV742" s="66" t="str">
        <f t="shared" si="1031"/>
        <v/>
      </c>
      <c r="CW742" s="66" t="str">
        <f>+IF($W742="","",ROUND((CT742*Parámetros!$G$85),2))</f>
        <v/>
      </c>
      <c r="CX742" s="66" t="str">
        <f>+IF($W742="","",ROUND((CT742*(Parámetros!$G$86)),2))</f>
        <v/>
      </c>
      <c r="CY742" s="66" t="str">
        <f t="shared" si="978"/>
        <v/>
      </c>
      <c r="CZ742" t="str">
        <f t="shared" si="1019"/>
        <v/>
      </c>
      <c r="DA742" s="118" t="str">
        <f t="shared" si="1020"/>
        <v/>
      </c>
      <c r="DB742" s="118" t="str">
        <f t="shared" si="1021"/>
        <v/>
      </c>
      <c r="DC742" s="118" t="str">
        <f t="shared" si="1022"/>
        <v/>
      </c>
      <c r="DD742" s="121" t="str">
        <f>+IF(OR($W742="",DB742=0),"",ROUND((VLOOKUP(ROUNDDOWN($D742-1/frec,0),cob_adi,CO$40,FALSE)*(1+i/frec)^-0.5*(1+Parámetros!$D$103)*(1+rec_fracc)/frec),6))</f>
        <v/>
      </c>
      <c r="DE742" s="66" t="str">
        <f t="shared" si="979"/>
        <v/>
      </c>
      <c r="DF742" s="119" t="str">
        <f t="shared" si="980"/>
        <v/>
      </c>
      <c r="DG742" s="66" t="str">
        <f>+IF($W742="","",ROUND(IF($B742&gt;Parámetros!$D$107,'Tablas Servicio'!DE742+('Tablas Servicio'!DG741-'Tablas Servicio'!DE741),DE742/(1-IF(B742&lt;=10,Parámetros!$D$100,0))),2))</f>
        <v/>
      </c>
      <c r="DH742" s="66" t="str">
        <f t="shared" si="1032"/>
        <v/>
      </c>
      <c r="DI742" s="66" t="str">
        <f t="shared" si="1032"/>
        <v/>
      </c>
      <c r="DJ742" s="66" t="str">
        <f>+IF($W742="","",ROUND((DG742*Parámetros!$G$85),2))</f>
        <v/>
      </c>
      <c r="DK742" s="66" t="str">
        <f>+IF($W742="","",ROUND((DG742*(Parámetros!$G$86)),2))</f>
        <v/>
      </c>
      <c r="DL742" s="66" t="str">
        <f t="shared" si="982"/>
        <v/>
      </c>
      <c r="DM742" t="str">
        <f t="shared" si="1023"/>
        <v/>
      </c>
      <c r="DN742" s="118" t="str">
        <f t="shared" si="1024"/>
        <v/>
      </c>
      <c r="DO742" s="118" t="str">
        <f t="shared" si="1025"/>
        <v/>
      </c>
      <c r="DP742" s="118" t="str">
        <f t="shared" si="1026"/>
        <v/>
      </c>
      <c r="DQ742" s="122" t="str">
        <f>+IF(OR($W742="",DO742=0),"",ROUND((VLOOKUP(ROUNDDOWN($D742-1/frec,0),cob_adi,DB$40,FALSE)*(1+i/frec)^-0.5*(1+Parámetros!$D$103)*(1+rec_fracc)/frec),6))</f>
        <v/>
      </c>
      <c r="DR742" s="66" t="str">
        <f t="shared" si="983"/>
        <v/>
      </c>
      <c r="DS742" s="68" t="str">
        <f t="shared" si="984"/>
        <v/>
      </c>
      <c r="DT742" s="66" t="str">
        <f>+IF($W742="","",ROUND(IF($B742&gt;Parámetros!$D$107,'Tablas Servicio'!DR742+('Tablas Servicio'!DT741-'Tablas Servicio'!DR741),DR742/(1-IF(B742&lt;=10,Parámetros!$D$100,0))),2))</f>
        <v/>
      </c>
      <c r="DU742" s="66" t="str">
        <f t="shared" si="1033"/>
        <v/>
      </c>
      <c r="DV742" s="66" t="str">
        <f t="shared" si="1033"/>
        <v/>
      </c>
      <c r="DW742" s="66" t="str">
        <f>+IF($W742="","",ROUND((DT742*Parámetros!$G$85),2))</f>
        <v/>
      </c>
      <c r="DX742" s="66" t="str">
        <f>+IF($W742="","",ROUND((DT742*(Parámetros!$G$86)),2))</f>
        <v/>
      </c>
      <c r="DY742" s="66" t="str">
        <f t="shared" si="986"/>
        <v/>
      </c>
      <c r="DZ742" t="str">
        <f t="shared" si="1036"/>
        <v/>
      </c>
      <c r="EA742" s="118" t="str">
        <f t="shared" si="1036"/>
        <v/>
      </c>
      <c r="EB742" s="118" t="str">
        <f>+IF($W742="","",ROUND(IF(Parámetros!$D$25='TABLAS MORT'!$V$33,EB741,Z742/2),0))</f>
        <v/>
      </c>
      <c r="EC742" s="118" t="str">
        <f t="shared" si="1036"/>
        <v/>
      </c>
      <c r="ED742" s="122" t="str">
        <f>+IF(OR($W742="",EB742=0),"",ROUND((VLOOKUP(ROUNDDOWN($D742-1/frec,0),cob_adi,DO$40,FALSE)*(1+i/frec)^-0.5*(1+Parámetros!$D$103)*(1+rec_fracc)/frec),6))</f>
        <v/>
      </c>
      <c r="EE742" s="66" t="str">
        <f t="shared" si="988"/>
        <v/>
      </c>
      <c r="EF742" s="68" t="str">
        <f t="shared" si="989"/>
        <v/>
      </c>
      <c r="EG742" s="66" t="str">
        <f>+IF($W742="","",ROUND(IF($B742&gt;Parámetros!$D$107,'Tablas Servicio'!EE742+('Tablas Servicio'!EG741-'Tablas Servicio'!EE741),EE742/(1-IF(B742&lt;=10,Parámetros!$D$100,0))),2))</f>
        <v/>
      </c>
      <c r="EH742" s="66" t="str">
        <f t="shared" si="1035"/>
        <v/>
      </c>
      <c r="EI742" s="66" t="str">
        <f t="shared" si="1035"/>
        <v/>
      </c>
      <c r="EJ742" s="66" t="str">
        <f>+IF($W742="","",ROUND((EG742*Parámetros!$G$85),2))</f>
        <v/>
      </c>
      <c r="EK742" s="66" t="str">
        <f>+IF($W742="","",ROUND((EG742*(Parámetros!$G$86)),2))</f>
        <v/>
      </c>
      <c r="EL742" s="66" t="str">
        <f t="shared" si="991"/>
        <v/>
      </c>
    </row>
    <row r="743" spans="1:142" x14ac:dyDescent="0.25">
      <c r="A743" t="str">
        <f>+IF($C743="","",ROUND(VLOOKUP('Tablas Servicio'!B743,Parámetros!$H$100:$J$159,IF(Parámetros!$E$16="F",2,3),FALSE),2))</f>
        <v/>
      </c>
      <c r="B743" t="str">
        <f t="shared" si="942"/>
        <v/>
      </c>
      <c r="C743" s="57" t="str">
        <f>+IF(D743="","",'Tablas Servicio'!C742+1)</f>
        <v/>
      </c>
      <c r="D743" s="56" t="str">
        <f>+IF(D742&lt;edadmaxtabla,D742+1/Parámetros!$E$25,"")</f>
        <v/>
      </c>
      <c r="E743" s="57" t="str">
        <f t="shared" si="952"/>
        <v/>
      </c>
      <c r="F743" s="59" t="str">
        <f t="shared" si="953"/>
        <v/>
      </c>
      <c r="G743" s="66" t="str">
        <f t="shared" si="943"/>
        <v/>
      </c>
      <c r="H743" s="66" t="str">
        <f t="shared" si="944"/>
        <v/>
      </c>
      <c r="I743" s="66" t="str">
        <f t="shared" si="992"/>
        <v/>
      </c>
      <c r="J743" s="66" t="str">
        <f t="shared" si="945"/>
        <v/>
      </c>
      <c r="K743" s="66" t="str">
        <f t="shared" si="946"/>
        <v/>
      </c>
      <c r="L743" s="66" t="str">
        <f t="shared" si="947"/>
        <v/>
      </c>
      <c r="M743" s="66" t="str">
        <f t="shared" si="948"/>
        <v/>
      </c>
      <c r="N743" s="66" t="str">
        <f>+IF(C743="","",ROUND(Parámetros!$D$23,2))</f>
        <v/>
      </c>
      <c r="O743" s="66" t="str">
        <f t="shared" si="949"/>
        <v/>
      </c>
      <c r="P743" s="66" t="str">
        <f>+IF($C743="","",ROUND(IF(B743&gt;Parámetros!$D$117,0,N743*Parámetros!$D$116-G743*Parámetros!$D$100),2))</f>
        <v/>
      </c>
      <c r="Q743" s="75" t="str">
        <f t="shared" si="993"/>
        <v/>
      </c>
      <c r="R743" s="75" t="str">
        <f t="shared" si="994"/>
        <v/>
      </c>
      <c r="S743" s="117" t="str">
        <f>+IF($C743="","",ROUND((S742+I743)*(1+Parámetros!$D$91),2))</f>
        <v/>
      </c>
      <c r="T743" s="117" t="str">
        <f>+IF($C743="","",ROUND(S743*VLOOKUP(B743,Parámetros!$C$30:$D$39,2,TRUE),2))</f>
        <v/>
      </c>
      <c r="U743" s="117" t="str">
        <f>+IF($C743="","",ROUND((U742+I743)*(1+Parámetros!$D$92),2))</f>
        <v/>
      </c>
      <c r="V743" s="117" t="str">
        <f>+IF($C743="","",ROUND(U743*VLOOKUP(B743,Parámetros!$C$30:$D$39,2,TRUE),2))</f>
        <v/>
      </c>
      <c r="W743" s="57" t="str">
        <f t="shared" si="995"/>
        <v/>
      </c>
      <c r="X743" t="str">
        <f t="shared" si="996"/>
        <v/>
      </c>
      <c r="Y743" t="str">
        <f t="shared" si="997"/>
        <v/>
      </c>
      <c r="Z743" s="118" t="str">
        <f>+IF($W743="","",ROUND(IF(Parámetros!$D$25='TABLAS MORT'!$V$33,Z742,Parámetros!$D$21-'Tablas Servicio'!T742),0))</f>
        <v/>
      </c>
      <c r="AA743" s="118" t="str">
        <f t="shared" si="998"/>
        <v/>
      </c>
      <c r="AB743" s="119" t="str">
        <f>+IF(W743="","",ROUND((VLOOKUP(ROUNDDOWN($D743-1/frec,0),qx_tabla,2,FALSE)*(1+i/frec)^-0.5*(1+Parámetros!$D$103)*(1+rec_fracc)/frec),6))</f>
        <v/>
      </c>
      <c r="AC743" s="66" t="str">
        <f t="shared" si="954"/>
        <v/>
      </c>
      <c r="AD743" s="119" t="str">
        <f t="shared" si="950"/>
        <v/>
      </c>
      <c r="AE743" s="66" t="str">
        <f>+IF($W743="","",ROUND(IF($B743&gt;Parámetros!$D$107,'Tablas Servicio'!AC743+('Tablas Servicio'!AG742-'Tablas Servicio'!AC742),AC743/(1-IF(B743&lt;=10,Parámetros!$D$104,Parámetros!$D$105))),2))</f>
        <v/>
      </c>
      <c r="AF743" s="66" t="str">
        <f>+IF($W743="","",ROUND(IF($B743&gt;Parámetros!$D$107,'Tablas Servicio'!AC743+('Tablas Servicio'!AG742-'Tablas Servicio'!AC742),(AC743+$A742/frec)/(1-IF(B743&lt;=Parámetros!$D$117,Parámetros!$D$100,0))),2))</f>
        <v/>
      </c>
      <c r="AG743" s="66" t="str">
        <f t="shared" si="955"/>
        <v/>
      </c>
      <c r="AH743" s="66" t="str">
        <f t="shared" si="956"/>
        <v/>
      </c>
      <c r="AI743" s="66" t="str">
        <f t="shared" si="957"/>
        <v/>
      </c>
      <c r="AJ743" s="66" t="str">
        <f>+IF($W743="","",ROUND((AG743*Parámetros!$G$85),2))</f>
        <v/>
      </c>
      <c r="AK743" s="66" t="str">
        <f>+IF($W743="","",ROUND((AG743*(Parámetros!$G$86)),2))</f>
        <v/>
      </c>
      <c r="AL743" s="66" t="str">
        <f t="shared" si="951"/>
        <v/>
      </c>
      <c r="AM743" t="str">
        <f t="shared" si="999"/>
        <v/>
      </c>
      <c r="AN743" t="str">
        <f t="shared" si="1000"/>
        <v/>
      </c>
      <c r="AO743" s="118" t="str">
        <f t="shared" si="1001"/>
        <v/>
      </c>
      <c r="AP743" s="118" t="str">
        <f t="shared" si="1002"/>
        <v/>
      </c>
      <c r="AQ743" s="119" t="str">
        <f>+IF(OR($W743="",AO743=0),"",ROUND((VLOOKUP(ROUNDDOWN($D743-1/frec,0),cob_adi,Z$40,FALSE)*(1+i/frec)^-0.5*(1+Parámetros!$D$103)*(1+rec_fracc)/frec),6))</f>
        <v/>
      </c>
      <c r="AR743" s="66" t="str">
        <f t="shared" si="958"/>
        <v/>
      </c>
      <c r="AS743" s="119" t="str">
        <f t="shared" si="959"/>
        <v/>
      </c>
      <c r="AT743" s="66" t="str">
        <f>+IF($W743="","",ROUND(IF($B743&gt;Parámetros!$D$107,'Tablas Servicio'!AR743+('Tablas Servicio'!AT742-'Tablas Servicio'!AR742),AR743/(1-IF(B743&lt;=10,Parámetros!$D$100,0))),2))</f>
        <v/>
      </c>
      <c r="AU743" s="66" t="str">
        <f t="shared" si="1028"/>
        <v/>
      </c>
      <c r="AV743" s="66" t="str">
        <f t="shared" si="1028"/>
        <v/>
      </c>
      <c r="AW743" s="66" t="str">
        <f>+IF($W743="","",ROUND((AT743*Parámetros!$G$85),2))</f>
        <v/>
      </c>
      <c r="AX743" s="66" t="str">
        <f>+IF($W743="","",ROUND((AT743*(Parámetros!$G$86)),2))</f>
        <v/>
      </c>
      <c r="AY743" s="66" t="str">
        <f t="shared" si="961"/>
        <v/>
      </c>
      <c r="AZ743" t="str">
        <f t="shared" si="1003"/>
        <v/>
      </c>
      <c r="BA743" t="str">
        <f t="shared" si="1004"/>
        <v/>
      </c>
      <c r="BB743" s="118" t="str">
        <f t="shared" si="1005"/>
        <v/>
      </c>
      <c r="BC743" s="118" t="str">
        <f t="shared" si="1006"/>
        <v/>
      </c>
      <c r="BD743" s="119" t="str">
        <f>+IF(OR($W743="",BB743=0),"",ROUND((VLOOKUP(ROUNDDOWN($D743-1/frec,0),cob_adi,AO$40,FALSE)*(1+i/frec)^-0.5*(1+Parámetros!$D$103)*(1+rec_fracc)/frec),6))</f>
        <v/>
      </c>
      <c r="BE743" s="66" t="str">
        <f t="shared" si="962"/>
        <v/>
      </c>
      <c r="BF743" s="119" t="str">
        <f t="shared" si="963"/>
        <v/>
      </c>
      <c r="BG743" s="66" t="str">
        <f>+IF($W743="","",ROUND(IF($B743&gt;Parámetros!$D$107,'Tablas Servicio'!BE743+('Tablas Servicio'!BG742-'Tablas Servicio'!BE742),BE743/(1-IF(B743&lt;=10,Parámetros!$D$100,0))),2))</f>
        <v/>
      </c>
      <c r="BH743" s="66" t="str">
        <f t="shared" si="964"/>
        <v/>
      </c>
      <c r="BI743" s="66" t="str">
        <f t="shared" si="965"/>
        <v/>
      </c>
      <c r="BJ743" s="66" t="str">
        <f>+IF($W743="","",ROUND((BG743*Parámetros!$G$85),2))</f>
        <v/>
      </c>
      <c r="BK743" s="66" t="str">
        <f>+IF($W743="","",ROUND((BG743*(Parámetros!$G$86)),2))</f>
        <v/>
      </c>
      <c r="BL743" s="66" t="str">
        <f t="shared" si="966"/>
        <v/>
      </c>
      <c r="BM743" t="str">
        <f t="shared" si="1007"/>
        <v/>
      </c>
      <c r="BN743" t="str">
        <f t="shared" si="1008"/>
        <v/>
      </c>
      <c r="BO743" s="118" t="str">
        <f t="shared" si="1009"/>
        <v/>
      </c>
      <c r="BP743" s="118" t="str">
        <f t="shared" si="1010"/>
        <v/>
      </c>
      <c r="BQ743" s="119" t="str">
        <f>+IF(OR($W743="",BO743=0),"",ROUND((VLOOKUP(ROUNDDOWN($D743-1/frec,0),cob_adi,BB$40,FALSE)*(1+i/frec)^-0.5*(1+Parámetros!$D$103)*(1+rec_fracc)/frec),6))</f>
        <v/>
      </c>
      <c r="BR743" s="66" t="str">
        <f t="shared" si="967"/>
        <v/>
      </c>
      <c r="BS743" s="119" t="str">
        <f t="shared" si="968"/>
        <v/>
      </c>
      <c r="BT743" s="66" t="str">
        <f>+IF($W743="","",ROUND(IF($B743&gt;Parámetros!$D$107,'Tablas Servicio'!BR743+('Tablas Servicio'!BT742-'Tablas Servicio'!BR742),BR743/(1-IF(B743&lt;=10,Parámetros!$D$100,0))),2))</f>
        <v/>
      </c>
      <c r="BU743" s="66" t="str">
        <f t="shared" si="1029"/>
        <v/>
      </c>
      <c r="BV743" s="66" t="str">
        <f t="shared" si="1029"/>
        <v/>
      </c>
      <c r="BW743" s="66" t="str">
        <f>+IF($W743="","",ROUND((BT743*Parámetros!$G$85),2))</f>
        <v/>
      </c>
      <c r="BX743" s="66" t="str">
        <f>+IF($W743="","",ROUND((BT743*(Parámetros!$G$86)),2))</f>
        <v/>
      </c>
      <c r="BY743" s="66" t="str">
        <f t="shared" si="970"/>
        <v/>
      </c>
      <c r="BZ743" t="str">
        <f t="shared" si="1011"/>
        <v/>
      </c>
      <c r="CA743" t="str">
        <f t="shared" si="1012"/>
        <v/>
      </c>
      <c r="CB743" s="118" t="str">
        <f t="shared" si="1013"/>
        <v/>
      </c>
      <c r="CC743" s="118" t="str">
        <f t="shared" si="1014"/>
        <v/>
      </c>
      <c r="CD743" s="119" t="str">
        <f t="shared" si="971"/>
        <v/>
      </c>
      <c r="CE743" s="66" t="str">
        <f>+IF($W743="","",ROUND((VLOOKUP(ROUNDDOWN($D743-1/frec,0),cob_adi,BO$40,FALSE)*(1+i/frec)^-0.5*(1+Parámetros!$D$103)*(1+rec_fracc)/frec*'TABLAS ADI'!$BC$17),2))</f>
        <v/>
      </c>
      <c r="CF743" s="119" t="str">
        <f t="shared" si="972"/>
        <v/>
      </c>
      <c r="CG743" s="66" t="str">
        <f>+IF($W743="","",ROUND(IF($B743&gt;Parámetros!$D$107,'Tablas Servicio'!CE743+('Tablas Servicio'!CG742-'Tablas Servicio'!CE742),CE743/(1-IF(B743&lt;=10,Parámetros!$D$100,0))),2))</f>
        <v/>
      </c>
      <c r="CH743" s="66" t="str">
        <f t="shared" si="1030"/>
        <v/>
      </c>
      <c r="CI743" s="66" t="str">
        <f t="shared" si="1030"/>
        <v/>
      </c>
      <c r="CJ743" s="66" t="str">
        <f>+IF($W743="","",ROUND((CG743*Parámetros!$G$85),2))</f>
        <v/>
      </c>
      <c r="CK743" s="66" t="str">
        <f>+IF($W743="","",ROUND((CG743*(Parámetros!$G$86)),2))</f>
        <v/>
      </c>
      <c r="CL743" s="66" t="str">
        <f t="shared" si="974"/>
        <v/>
      </c>
      <c r="CM743" t="str">
        <f t="shared" si="1015"/>
        <v/>
      </c>
      <c r="CN743" s="118" t="str">
        <f t="shared" si="1016"/>
        <v/>
      </c>
      <c r="CO743" s="118" t="str">
        <f t="shared" si="1017"/>
        <v/>
      </c>
      <c r="CP743" s="118" t="str">
        <f t="shared" si="1018"/>
        <v/>
      </c>
      <c r="CQ743" s="119" t="str">
        <f t="shared" si="975"/>
        <v/>
      </c>
      <c r="CR743" s="66" t="str">
        <f>+IF($W743="","",ROUND((VLOOKUP(Parámetros!$F$51,'COBERTURAS ADICIONALES'!$S$4:$T$32,2,FALSE)*(1+i/frec)^-0.5*(1+Parámetros!$D$103)*(1+rec_fracc)/frec*$CO$42),2))</f>
        <v/>
      </c>
      <c r="CS743" s="119" t="str">
        <f t="shared" si="976"/>
        <v/>
      </c>
      <c r="CT743" s="66" t="str">
        <f>+IF($W743="","",ROUND(IF($B743&gt;Parámetros!$D$107,'Tablas Servicio'!CR743+('Tablas Servicio'!CT742-'Tablas Servicio'!CR742),CR743/(1-IF(B743&lt;=10,Parámetros!$D$100,0))),2))</f>
        <v/>
      </c>
      <c r="CU743" s="66" t="str">
        <f t="shared" si="1031"/>
        <v/>
      </c>
      <c r="CV743" s="66" t="str">
        <f t="shared" si="1031"/>
        <v/>
      </c>
      <c r="CW743" s="66" t="str">
        <f>+IF($W743="","",ROUND((CT743*Parámetros!$G$85),2))</f>
        <v/>
      </c>
      <c r="CX743" s="66" t="str">
        <f>+IF($W743="","",ROUND((CT743*(Parámetros!$G$86)),2))</f>
        <v/>
      </c>
      <c r="CY743" s="66" t="str">
        <f t="shared" si="978"/>
        <v/>
      </c>
      <c r="CZ743" t="str">
        <f t="shared" si="1019"/>
        <v/>
      </c>
      <c r="DA743" s="118" t="str">
        <f t="shared" si="1020"/>
        <v/>
      </c>
      <c r="DB743" s="118" t="str">
        <f t="shared" si="1021"/>
        <v/>
      </c>
      <c r="DC743" s="118" t="str">
        <f t="shared" si="1022"/>
        <v/>
      </c>
      <c r="DD743" s="121" t="str">
        <f>+IF(OR($W743="",DB743=0),"",ROUND((VLOOKUP(ROUNDDOWN($D743-1/frec,0),cob_adi,CO$40,FALSE)*(1+i/frec)^-0.5*(1+Parámetros!$D$103)*(1+rec_fracc)/frec),6))</f>
        <v/>
      </c>
      <c r="DE743" s="66" t="str">
        <f t="shared" si="979"/>
        <v/>
      </c>
      <c r="DF743" s="119" t="str">
        <f t="shared" si="980"/>
        <v/>
      </c>
      <c r="DG743" s="66" t="str">
        <f>+IF($W743="","",ROUND(IF($B743&gt;Parámetros!$D$107,'Tablas Servicio'!DE743+('Tablas Servicio'!DG742-'Tablas Servicio'!DE742),DE743/(1-IF(B743&lt;=10,Parámetros!$D$100,0))),2))</f>
        <v/>
      </c>
      <c r="DH743" s="66" t="str">
        <f t="shared" si="1032"/>
        <v/>
      </c>
      <c r="DI743" s="66" t="str">
        <f t="shared" si="1032"/>
        <v/>
      </c>
      <c r="DJ743" s="66" t="str">
        <f>+IF($W743="","",ROUND((DG743*Parámetros!$G$85),2))</f>
        <v/>
      </c>
      <c r="DK743" s="66" t="str">
        <f>+IF($W743="","",ROUND((DG743*(Parámetros!$G$86)),2))</f>
        <v/>
      </c>
      <c r="DL743" s="66" t="str">
        <f t="shared" si="982"/>
        <v/>
      </c>
      <c r="DM743" t="str">
        <f t="shared" si="1023"/>
        <v/>
      </c>
      <c r="DN743" s="118" t="str">
        <f t="shared" si="1024"/>
        <v/>
      </c>
      <c r="DO743" s="118" t="str">
        <f t="shared" si="1025"/>
        <v/>
      </c>
      <c r="DP743" s="118" t="str">
        <f t="shared" si="1026"/>
        <v/>
      </c>
      <c r="DQ743" s="122" t="str">
        <f>+IF(OR($W743="",DO743=0),"",ROUND((VLOOKUP(ROUNDDOWN($D743-1/frec,0),cob_adi,DB$40,FALSE)*(1+i/frec)^-0.5*(1+Parámetros!$D$103)*(1+rec_fracc)/frec),6))</f>
        <v/>
      </c>
      <c r="DR743" s="66" t="str">
        <f t="shared" si="983"/>
        <v/>
      </c>
      <c r="DS743" s="68" t="str">
        <f t="shared" si="984"/>
        <v/>
      </c>
      <c r="DT743" s="66" t="str">
        <f>+IF($W743="","",ROUND(IF($B743&gt;Parámetros!$D$107,'Tablas Servicio'!DR743+('Tablas Servicio'!DT742-'Tablas Servicio'!DR742),DR743/(1-IF(B743&lt;=10,Parámetros!$D$100,0))),2))</f>
        <v/>
      </c>
      <c r="DU743" s="66" t="str">
        <f t="shared" si="1033"/>
        <v/>
      </c>
      <c r="DV743" s="66" t="str">
        <f t="shared" si="1033"/>
        <v/>
      </c>
      <c r="DW743" s="66" t="str">
        <f>+IF($W743="","",ROUND((DT743*Parámetros!$G$85),2))</f>
        <v/>
      </c>
      <c r="DX743" s="66" t="str">
        <f>+IF($W743="","",ROUND((DT743*(Parámetros!$G$86)),2))</f>
        <v/>
      </c>
      <c r="DY743" s="66" t="str">
        <f t="shared" si="986"/>
        <v/>
      </c>
      <c r="DZ743" t="str">
        <f t="shared" si="1036"/>
        <v/>
      </c>
      <c r="EA743" s="118" t="str">
        <f t="shared" si="1036"/>
        <v/>
      </c>
      <c r="EB743" s="118" t="str">
        <f>+IF($W743="","",ROUND(IF(Parámetros!$D$25='TABLAS MORT'!$V$33,EB742,Z743/2),0))</f>
        <v/>
      </c>
      <c r="EC743" s="118" t="str">
        <f t="shared" si="1036"/>
        <v/>
      </c>
      <c r="ED743" s="122" t="str">
        <f>+IF(OR($W743="",EB743=0),"",ROUND((VLOOKUP(ROUNDDOWN($D743-1/frec,0),cob_adi,DO$40,FALSE)*(1+i/frec)^-0.5*(1+Parámetros!$D$103)*(1+rec_fracc)/frec),6))</f>
        <v/>
      </c>
      <c r="EE743" s="66" t="str">
        <f t="shared" si="988"/>
        <v/>
      </c>
      <c r="EF743" s="68" t="str">
        <f t="shared" si="989"/>
        <v/>
      </c>
      <c r="EG743" s="66" t="str">
        <f>+IF($W743="","",ROUND(IF($B743&gt;Parámetros!$D$107,'Tablas Servicio'!EE743+('Tablas Servicio'!EG742-'Tablas Servicio'!EE742),EE743/(1-IF(B743&lt;=10,Parámetros!$D$100,0))),2))</f>
        <v/>
      </c>
      <c r="EH743" s="66" t="str">
        <f t="shared" si="1035"/>
        <v/>
      </c>
      <c r="EI743" s="66" t="str">
        <f t="shared" si="1035"/>
        <v/>
      </c>
      <c r="EJ743" s="66" t="str">
        <f>+IF($W743="","",ROUND((EG743*Parámetros!$G$85),2))</f>
        <v/>
      </c>
      <c r="EK743" s="66" t="str">
        <f>+IF($W743="","",ROUND((EG743*(Parámetros!$G$86)),2))</f>
        <v/>
      </c>
      <c r="EL743" s="66" t="str">
        <f t="shared" si="991"/>
        <v/>
      </c>
    </row>
    <row r="744" spans="1:142" x14ac:dyDescent="0.25">
      <c r="A744" t="str">
        <f>+IF($C744="","",ROUND(VLOOKUP('Tablas Servicio'!B744,Parámetros!$H$100:$J$159,IF(Parámetros!$E$16="F",2,3),FALSE),2))</f>
        <v/>
      </c>
      <c r="B744" t="str">
        <f t="shared" si="942"/>
        <v/>
      </c>
      <c r="C744" s="57" t="str">
        <f>+IF(D744="","",'Tablas Servicio'!C743+1)</f>
        <v/>
      </c>
      <c r="D744" s="56" t="str">
        <f>+IF(D743&lt;edadmaxtabla,D743+1/Parámetros!$E$25,"")</f>
        <v/>
      </c>
      <c r="E744" s="57" t="str">
        <f t="shared" si="952"/>
        <v/>
      </c>
      <c r="F744" s="59" t="str">
        <f t="shared" si="953"/>
        <v/>
      </c>
      <c r="G744" s="66" t="str">
        <f t="shared" si="943"/>
        <v/>
      </c>
      <c r="H744" s="66" t="str">
        <f t="shared" si="944"/>
        <v/>
      </c>
      <c r="I744" s="66" t="str">
        <f t="shared" si="992"/>
        <v/>
      </c>
      <c r="J744" s="66" t="str">
        <f t="shared" si="945"/>
        <v/>
      </c>
      <c r="K744" s="66" t="str">
        <f t="shared" si="946"/>
        <v/>
      </c>
      <c r="L744" s="66" t="str">
        <f t="shared" si="947"/>
        <v/>
      </c>
      <c r="M744" s="66" t="str">
        <f t="shared" si="948"/>
        <v/>
      </c>
      <c r="N744" s="66" t="str">
        <f>+IF(C744="","",ROUND(Parámetros!$D$23,2))</f>
        <v/>
      </c>
      <c r="O744" s="66" t="str">
        <f t="shared" si="949"/>
        <v/>
      </c>
      <c r="P744" s="66" t="str">
        <f>+IF($C744="","",ROUND(IF(B744&gt;Parámetros!$D$117,0,N744*Parámetros!$D$116-G744*Parámetros!$D$100),2))</f>
        <v/>
      </c>
      <c r="Q744" s="75" t="str">
        <f t="shared" si="993"/>
        <v/>
      </c>
      <c r="R744" s="75" t="str">
        <f t="shared" si="994"/>
        <v/>
      </c>
      <c r="S744" s="117" t="str">
        <f>+IF($C744="","",ROUND((S743+I744)*(1+Parámetros!$D$91),2))</f>
        <v/>
      </c>
      <c r="T744" s="117" t="str">
        <f>+IF($C744="","",ROUND(S744*VLOOKUP(B744,Parámetros!$C$30:$D$39,2,TRUE),2))</f>
        <v/>
      </c>
      <c r="U744" s="117" t="str">
        <f>+IF($C744="","",ROUND((U743+I744)*(1+Parámetros!$D$92),2))</f>
        <v/>
      </c>
      <c r="V744" s="117" t="str">
        <f>+IF($C744="","",ROUND(U744*VLOOKUP(B744,Parámetros!$C$30:$D$39,2,TRUE),2))</f>
        <v/>
      </c>
      <c r="W744" s="57" t="str">
        <f t="shared" si="995"/>
        <v/>
      </c>
      <c r="X744" t="str">
        <f t="shared" si="996"/>
        <v/>
      </c>
      <c r="Y744" t="str">
        <f t="shared" si="997"/>
        <v/>
      </c>
      <c r="Z744" s="118" t="str">
        <f>+IF($W744="","",ROUND(IF(Parámetros!$D$25='TABLAS MORT'!$V$33,Z743,Parámetros!$D$21-'Tablas Servicio'!T743),0))</f>
        <v/>
      </c>
      <c r="AA744" s="118" t="str">
        <f t="shared" si="998"/>
        <v/>
      </c>
      <c r="AB744" s="119" t="str">
        <f>+IF(W744="","",ROUND((VLOOKUP(ROUNDDOWN($D744-1/frec,0),qx_tabla,2,FALSE)*(1+i/frec)^-0.5*(1+Parámetros!$D$103)*(1+rec_fracc)/frec),6))</f>
        <v/>
      </c>
      <c r="AC744" s="66" t="str">
        <f t="shared" si="954"/>
        <v/>
      </c>
      <c r="AD744" s="119" t="str">
        <f t="shared" si="950"/>
        <v/>
      </c>
      <c r="AE744" s="66" t="str">
        <f>+IF($W744="","",ROUND(IF($B744&gt;Parámetros!$D$107,'Tablas Servicio'!AC744+('Tablas Servicio'!AG743-'Tablas Servicio'!AC743),AC744/(1-IF(B744&lt;=10,Parámetros!$D$104,Parámetros!$D$105))),2))</f>
        <v/>
      </c>
      <c r="AF744" s="66" t="str">
        <f>+IF($W744="","",ROUND(IF($B744&gt;Parámetros!$D$107,'Tablas Servicio'!AC744+('Tablas Servicio'!AG743-'Tablas Servicio'!AC743),(AC744+$A743/frec)/(1-IF(B744&lt;=Parámetros!$D$117,Parámetros!$D$100,0))),2))</f>
        <v/>
      </c>
      <c r="AG744" s="66" t="str">
        <f t="shared" si="955"/>
        <v/>
      </c>
      <c r="AH744" s="66" t="str">
        <f t="shared" si="956"/>
        <v/>
      </c>
      <c r="AI744" s="66" t="str">
        <f t="shared" si="957"/>
        <v/>
      </c>
      <c r="AJ744" s="66" t="str">
        <f>+IF($W744="","",ROUND((AG744*Parámetros!$G$85),2))</f>
        <v/>
      </c>
      <c r="AK744" s="66" t="str">
        <f>+IF($W744="","",ROUND((AG744*(Parámetros!$G$86)),2))</f>
        <v/>
      </c>
      <c r="AL744" s="66" t="str">
        <f t="shared" si="951"/>
        <v/>
      </c>
      <c r="AM744" t="str">
        <f t="shared" si="999"/>
        <v/>
      </c>
      <c r="AN744" t="str">
        <f t="shared" si="1000"/>
        <v/>
      </c>
      <c r="AO744" s="118" t="str">
        <f t="shared" si="1001"/>
        <v/>
      </c>
      <c r="AP744" s="118" t="str">
        <f t="shared" si="1002"/>
        <v/>
      </c>
      <c r="AQ744" s="119" t="str">
        <f>+IF(OR($W744="",AO744=0),"",ROUND((VLOOKUP(ROUNDDOWN($D744-1/frec,0),cob_adi,Z$40,FALSE)*(1+i/frec)^-0.5*(1+Parámetros!$D$103)*(1+rec_fracc)/frec),6))</f>
        <v/>
      </c>
      <c r="AR744" s="66" t="str">
        <f t="shared" si="958"/>
        <v/>
      </c>
      <c r="AS744" s="119" t="str">
        <f t="shared" si="959"/>
        <v/>
      </c>
      <c r="AT744" s="66" t="str">
        <f>+IF($W744="","",ROUND(IF($B744&gt;Parámetros!$D$107,'Tablas Servicio'!AR744+('Tablas Servicio'!AT743-'Tablas Servicio'!AR743),AR744/(1-IF(B744&lt;=10,Parámetros!$D$100,0))),2))</f>
        <v/>
      </c>
      <c r="AU744" s="66" t="str">
        <f t="shared" si="1028"/>
        <v/>
      </c>
      <c r="AV744" s="66" t="str">
        <f t="shared" si="1028"/>
        <v/>
      </c>
      <c r="AW744" s="66" t="str">
        <f>+IF($W744="","",ROUND((AT744*Parámetros!$G$85),2))</f>
        <v/>
      </c>
      <c r="AX744" s="66" t="str">
        <f>+IF($W744="","",ROUND((AT744*(Parámetros!$G$86)),2))</f>
        <v/>
      </c>
      <c r="AY744" s="66" t="str">
        <f t="shared" si="961"/>
        <v/>
      </c>
      <c r="AZ744" t="str">
        <f t="shared" si="1003"/>
        <v/>
      </c>
      <c r="BA744" t="str">
        <f t="shared" si="1004"/>
        <v/>
      </c>
      <c r="BB744" s="118" t="str">
        <f t="shared" si="1005"/>
        <v/>
      </c>
      <c r="BC744" s="118" t="str">
        <f t="shared" si="1006"/>
        <v/>
      </c>
      <c r="BD744" s="119" t="str">
        <f>+IF(OR($W744="",BB744=0),"",ROUND((VLOOKUP(ROUNDDOWN($D744-1/frec,0),cob_adi,AO$40,FALSE)*(1+i/frec)^-0.5*(1+Parámetros!$D$103)*(1+rec_fracc)/frec),6))</f>
        <v/>
      </c>
      <c r="BE744" s="66" t="str">
        <f t="shared" si="962"/>
        <v/>
      </c>
      <c r="BF744" s="119" t="str">
        <f t="shared" si="963"/>
        <v/>
      </c>
      <c r="BG744" s="66" t="str">
        <f>+IF($W744="","",ROUND(IF($B744&gt;Parámetros!$D$107,'Tablas Servicio'!BE744+('Tablas Servicio'!BG743-'Tablas Servicio'!BE743),BE744/(1-IF(B744&lt;=10,Parámetros!$D$100,0))),2))</f>
        <v/>
      </c>
      <c r="BH744" s="66" t="str">
        <f t="shared" si="964"/>
        <v/>
      </c>
      <c r="BI744" s="66" t="str">
        <f t="shared" si="965"/>
        <v/>
      </c>
      <c r="BJ744" s="66" t="str">
        <f>+IF($W744="","",ROUND((BG744*Parámetros!$G$85),2))</f>
        <v/>
      </c>
      <c r="BK744" s="66" t="str">
        <f>+IF($W744="","",ROUND((BG744*(Parámetros!$G$86)),2))</f>
        <v/>
      </c>
      <c r="BL744" s="66" t="str">
        <f t="shared" si="966"/>
        <v/>
      </c>
      <c r="BM744" t="str">
        <f t="shared" si="1007"/>
        <v/>
      </c>
      <c r="BN744" t="str">
        <f t="shared" si="1008"/>
        <v/>
      </c>
      <c r="BO744" s="118" t="str">
        <f t="shared" si="1009"/>
        <v/>
      </c>
      <c r="BP744" s="118" t="str">
        <f t="shared" si="1010"/>
        <v/>
      </c>
      <c r="BQ744" s="119" t="str">
        <f>+IF(OR($W744="",BO744=0),"",ROUND((VLOOKUP(ROUNDDOWN($D744-1/frec,0),cob_adi,BB$40,FALSE)*(1+i/frec)^-0.5*(1+Parámetros!$D$103)*(1+rec_fracc)/frec),6))</f>
        <v/>
      </c>
      <c r="BR744" s="66" t="str">
        <f t="shared" si="967"/>
        <v/>
      </c>
      <c r="BS744" s="119" t="str">
        <f t="shared" si="968"/>
        <v/>
      </c>
      <c r="BT744" s="66" t="str">
        <f>+IF($W744="","",ROUND(IF($B744&gt;Parámetros!$D$107,'Tablas Servicio'!BR744+('Tablas Servicio'!BT743-'Tablas Servicio'!BR743),BR744/(1-IF(B744&lt;=10,Parámetros!$D$100,0))),2))</f>
        <v/>
      </c>
      <c r="BU744" s="66" t="str">
        <f t="shared" si="1029"/>
        <v/>
      </c>
      <c r="BV744" s="66" t="str">
        <f t="shared" si="1029"/>
        <v/>
      </c>
      <c r="BW744" s="66" t="str">
        <f>+IF($W744="","",ROUND((BT744*Parámetros!$G$85),2))</f>
        <v/>
      </c>
      <c r="BX744" s="66" t="str">
        <f>+IF($W744="","",ROUND((BT744*(Parámetros!$G$86)),2))</f>
        <v/>
      </c>
      <c r="BY744" s="66" t="str">
        <f t="shared" si="970"/>
        <v/>
      </c>
      <c r="BZ744" t="str">
        <f t="shared" si="1011"/>
        <v/>
      </c>
      <c r="CA744" t="str">
        <f t="shared" si="1012"/>
        <v/>
      </c>
      <c r="CB744" s="118" t="str">
        <f t="shared" si="1013"/>
        <v/>
      </c>
      <c r="CC744" s="118" t="str">
        <f t="shared" si="1014"/>
        <v/>
      </c>
      <c r="CD744" s="119" t="str">
        <f t="shared" si="971"/>
        <v/>
      </c>
      <c r="CE744" s="66" t="str">
        <f>+IF($W744="","",ROUND((VLOOKUP(ROUNDDOWN($D744-1/frec,0),cob_adi,BO$40,FALSE)*(1+i/frec)^-0.5*(1+Parámetros!$D$103)*(1+rec_fracc)/frec*'TABLAS ADI'!$BC$17),2))</f>
        <v/>
      </c>
      <c r="CF744" s="119" t="str">
        <f t="shared" si="972"/>
        <v/>
      </c>
      <c r="CG744" s="66" t="str">
        <f>+IF($W744="","",ROUND(IF($B744&gt;Parámetros!$D$107,'Tablas Servicio'!CE744+('Tablas Servicio'!CG743-'Tablas Servicio'!CE743),CE744/(1-IF(B744&lt;=10,Parámetros!$D$100,0))),2))</f>
        <v/>
      </c>
      <c r="CH744" s="66" t="str">
        <f t="shared" si="1030"/>
        <v/>
      </c>
      <c r="CI744" s="66" t="str">
        <f t="shared" si="1030"/>
        <v/>
      </c>
      <c r="CJ744" s="66" t="str">
        <f>+IF($W744="","",ROUND((CG744*Parámetros!$G$85),2))</f>
        <v/>
      </c>
      <c r="CK744" s="66" t="str">
        <f>+IF($W744="","",ROUND((CG744*(Parámetros!$G$86)),2))</f>
        <v/>
      </c>
      <c r="CL744" s="66" t="str">
        <f t="shared" si="974"/>
        <v/>
      </c>
      <c r="CM744" t="str">
        <f t="shared" si="1015"/>
        <v/>
      </c>
      <c r="CN744" s="118" t="str">
        <f t="shared" si="1016"/>
        <v/>
      </c>
      <c r="CO744" s="118" t="str">
        <f t="shared" si="1017"/>
        <v/>
      </c>
      <c r="CP744" s="118" t="str">
        <f t="shared" si="1018"/>
        <v/>
      </c>
      <c r="CQ744" s="119" t="str">
        <f t="shared" si="975"/>
        <v/>
      </c>
      <c r="CR744" s="66" t="str">
        <f>+IF($W744="","",ROUND((VLOOKUP(Parámetros!$F$51,'COBERTURAS ADICIONALES'!$S$4:$T$32,2,FALSE)*(1+i/frec)^-0.5*(1+Parámetros!$D$103)*(1+rec_fracc)/frec*$CO$42),2))</f>
        <v/>
      </c>
      <c r="CS744" s="119" t="str">
        <f t="shared" si="976"/>
        <v/>
      </c>
      <c r="CT744" s="66" t="str">
        <f>+IF($W744="","",ROUND(IF($B744&gt;Parámetros!$D$107,'Tablas Servicio'!CR744+('Tablas Servicio'!CT743-'Tablas Servicio'!CR743),CR744/(1-IF(B744&lt;=10,Parámetros!$D$100,0))),2))</f>
        <v/>
      </c>
      <c r="CU744" s="66" t="str">
        <f t="shared" si="1031"/>
        <v/>
      </c>
      <c r="CV744" s="66" t="str">
        <f t="shared" si="1031"/>
        <v/>
      </c>
      <c r="CW744" s="66" t="str">
        <f>+IF($W744="","",ROUND((CT744*Parámetros!$G$85),2))</f>
        <v/>
      </c>
      <c r="CX744" s="66" t="str">
        <f>+IF($W744="","",ROUND((CT744*(Parámetros!$G$86)),2))</f>
        <v/>
      </c>
      <c r="CY744" s="66" t="str">
        <f t="shared" si="978"/>
        <v/>
      </c>
      <c r="CZ744" t="str">
        <f t="shared" si="1019"/>
        <v/>
      </c>
      <c r="DA744" s="118" t="str">
        <f t="shared" si="1020"/>
        <v/>
      </c>
      <c r="DB744" s="118" t="str">
        <f t="shared" si="1021"/>
        <v/>
      </c>
      <c r="DC744" s="118" t="str">
        <f t="shared" si="1022"/>
        <v/>
      </c>
      <c r="DD744" s="121" t="str">
        <f>+IF(OR($W744="",DB744=0),"",ROUND((VLOOKUP(ROUNDDOWN($D744-1/frec,0),cob_adi,CO$40,FALSE)*(1+i/frec)^-0.5*(1+Parámetros!$D$103)*(1+rec_fracc)/frec),6))</f>
        <v/>
      </c>
      <c r="DE744" s="66" t="str">
        <f t="shared" si="979"/>
        <v/>
      </c>
      <c r="DF744" s="119" t="str">
        <f t="shared" si="980"/>
        <v/>
      </c>
      <c r="DG744" s="66" t="str">
        <f>+IF($W744="","",ROUND(IF($B744&gt;Parámetros!$D$107,'Tablas Servicio'!DE744+('Tablas Servicio'!DG743-'Tablas Servicio'!DE743),DE744/(1-IF(B744&lt;=10,Parámetros!$D$100,0))),2))</f>
        <v/>
      </c>
      <c r="DH744" s="66" t="str">
        <f t="shared" si="1032"/>
        <v/>
      </c>
      <c r="DI744" s="66" t="str">
        <f t="shared" si="1032"/>
        <v/>
      </c>
      <c r="DJ744" s="66" t="str">
        <f>+IF($W744="","",ROUND((DG744*Parámetros!$G$85),2))</f>
        <v/>
      </c>
      <c r="DK744" s="66" t="str">
        <f>+IF($W744="","",ROUND((DG744*(Parámetros!$G$86)),2))</f>
        <v/>
      </c>
      <c r="DL744" s="66" t="str">
        <f t="shared" si="982"/>
        <v/>
      </c>
      <c r="DM744" t="str">
        <f t="shared" si="1023"/>
        <v/>
      </c>
      <c r="DN744" s="118" t="str">
        <f t="shared" si="1024"/>
        <v/>
      </c>
      <c r="DO744" s="118" t="str">
        <f t="shared" si="1025"/>
        <v/>
      </c>
      <c r="DP744" s="118" t="str">
        <f t="shared" si="1026"/>
        <v/>
      </c>
      <c r="DQ744" s="122" t="str">
        <f>+IF(OR($W744="",DO744=0),"",ROUND((VLOOKUP(ROUNDDOWN($D744-1/frec,0),cob_adi,DB$40,FALSE)*(1+i/frec)^-0.5*(1+Parámetros!$D$103)*(1+rec_fracc)/frec),6))</f>
        <v/>
      </c>
      <c r="DR744" s="66" t="str">
        <f t="shared" si="983"/>
        <v/>
      </c>
      <c r="DS744" s="68" t="str">
        <f t="shared" si="984"/>
        <v/>
      </c>
      <c r="DT744" s="66" t="str">
        <f>+IF($W744="","",ROUND(IF($B744&gt;Parámetros!$D$107,'Tablas Servicio'!DR744+('Tablas Servicio'!DT743-'Tablas Servicio'!DR743),DR744/(1-IF(B744&lt;=10,Parámetros!$D$100,0))),2))</f>
        <v/>
      </c>
      <c r="DU744" s="66" t="str">
        <f t="shared" si="1033"/>
        <v/>
      </c>
      <c r="DV744" s="66" t="str">
        <f t="shared" si="1033"/>
        <v/>
      </c>
      <c r="DW744" s="66" t="str">
        <f>+IF($W744="","",ROUND((DT744*Parámetros!$G$85),2))</f>
        <v/>
      </c>
      <c r="DX744" s="66" t="str">
        <f>+IF($W744="","",ROUND((DT744*(Parámetros!$G$86)),2))</f>
        <v/>
      </c>
      <c r="DY744" s="66" t="str">
        <f t="shared" si="986"/>
        <v/>
      </c>
      <c r="DZ744" t="str">
        <f t="shared" si="1036"/>
        <v/>
      </c>
      <c r="EA744" s="118" t="str">
        <f t="shared" si="1036"/>
        <v/>
      </c>
      <c r="EB744" s="118" t="str">
        <f>+IF($W744="","",ROUND(IF(Parámetros!$D$25='TABLAS MORT'!$V$33,EB743,Z744/2),0))</f>
        <v/>
      </c>
      <c r="EC744" s="118" t="str">
        <f t="shared" si="1036"/>
        <v/>
      </c>
      <c r="ED744" s="122" t="str">
        <f>+IF(OR($W744="",EB744=0),"",ROUND((VLOOKUP(ROUNDDOWN($D744-1/frec,0),cob_adi,DO$40,FALSE)*(1+i/frec)^-0.5*(1+Parámetros!$D$103)*(1+rec_fracc)/frec),6))</f>
        <v/>
      </c>
      <c r="EE744" s="66" t="str">
        <f t="shared" si="988"/>
        <v/>
      </c>
      <c r="EF744" s="68" t="str">
        <f t="shared" si="989"/>
        <v/>
      </c>
      <c r="EG744" s="66" t="str">
        <f>+IF($W744="","",ROUND(IF($B744&gt;Parámetros!$D$107,'Tablas Servicio'!EE744+('Tablas Servicio'!EG743-'Tablas Servicio'!EE743),EE744/(1-IF(B744&lt;=10,Parámetros!$D$100,0))),2))</f>
        <v/>
      </c>
      <c r="EH744" s="66" t="str">
        <f t="shared" si="1035"/>
        <v/>
      </c>
      <c r="EI744" s="66" t="str">
        <f t="shared" si="1035"/>
        <v/>
      </c>
      <c r="EJ744" s="66" t="str">
        <f>+IF($W744="","",ROUND((EG744*Parámetros!$G$85),2))</f>
        <v/>
      </c>
      <c r="EK744" s="66" t="str">
        <f>+IF($W744="","",ROUND((EG744*(Parámetros!$G$86)),2))</f>
        <v/>
      </c>
      <c r="EL744" s="66" t="str">
        <f t="shared" si="991"/>
        <v/>
      </c>
    </row>
    <row r="745" spans="1:142" x14ac:dyDescent="0.25">
      <c r="A745" t="str">
        <f>+IF($C745="","",ROUND(VLOOKUP('Tablas Servicio'!B745,Parámetros!$H$100:$J$159,IF(Parámetros!$E$16="F",2,3),FALSE),2))</f>
        <v/>
      </c>
      <c r="B745" t="str">
        <f t="shared" si="942"/>
        <v/>
      </c>
      <c r="C745" s="57" t="str">
        <f>+IF(D745="","",'Tablas Servicio'!C744+1)</f>
        <v/>
      </c>
      <c r="D745" s="56" t="str">
        <f>+IF(D744&lt;edadmaxtabla,D744+1/Parámetros!$E$25,"")</f>
        <v/>
      </c>
      <c r="E745" s="57" t="str">
        <f t="shared" si="952"/>
        <v/>
      </c>
      <c r="F745" s="59" t="str">
        <f t="shared" si="953"/>
        <v/>
      </c>
      <c r="G745" s="66" t="str">
        <f t="shared" si="943"/>
        <v/>
      </c>
      <c r="H745" s="66" t="str">
        <f t="shared" si="944"/>
        <v/>
      </c>
      <c r="I745" s="66" t="str">
        <f t="shared" si="992"/>
        <v/>
      </c>
      <c r="J745" s="66" t="str">
        <f t="shared" si="945"/>
        <v/>
      </c>
      <c r="K745" s="66" t="str">
        <f t="shared" si="946"/>
        <v/>
      </c>
      <c r="L745" s="66" t="str">
        <f t="shared" si="947"/>
        <v/>
      </c>
      <c r="M745" s="66" t="str">
        <f t="shared" si="948"/>
        <v/>
      </c>
      <c r="N745" s="66" t="str">
        <f>+IF(C745="","",ROUND(Parámetros!$D$23,2))</f>
        <v/>
      </c>
      <c r="O745" s="66" t="str">
        <f t="shared" si="949"/>
        <v/>
      </c>
      <c r="P745" s="66" t="str">
        <f>+IF($C745="","",ROUND(IF(B745&gt;Parámetros!$D$117,0,N745*Parámetros!$D$116-G745*Parámetros!$D$100),2))</f>
        <v/>
      </c>
      <c r="Q745" s="75" t="str">
        <f t="shared" si="993"/>
        <v/>
      </c>
      <c r="R745" s="75" t="str">
        <f t="shared" si="994"/>
        <v/>
      </c>
      <c r="S745" s="117" t="str">
        <f>+IF($C745="","",ROUND((S744+I745)*(1+Parámetros!$D$91),2))</f>
        <v/>
      </c>
      <c r="T745" s="117" t="str">
        <f>+IF($C745="","",ROUND(S745*VLOOKUP(B745,Parámetros!$C$30:$D$39,2,TRUE),2))</f>
        <v/>
      </c>
      <c r="U745" s="117" t="str">
        <f>+IF($C745="","",ROUND((U744+I745)*(1+Parámetros!$D$92),2))</f>
        <v/>
      </c>
      <c r="V745" s="117" t="str">
        <f>+IF($C745="","",ROUND(U745*VLOOKUP(B745,Parámetros!$C$30:$D$39,2,TRUE),2))</f>
        <v/>
      </c>
      <c r="W745" s="57" t="str">
        <f t="shared" si="995"/>
        <v/>
      </c>
      <c r="X745" t="str">
        <f t="shared" si="996"/>
        <v/>
      </c>
      <c r="Y745" t="str">
        <f t="shared" si="997"/>
        <v/>
      </c>
      <c r="Z745" s="118" t="str">
        <f>+IF($W745="","",ROUND(IF(Parámetros!$D$25='TABLAS MORT'!$V$33,Z744,Parámetros!$D$21-'Tablas Servicio'!T744),0))</f>
        <v/>
      </c>
      <c r="AA745" s="118" t="str">
        <f t="shared" si="998"/>
        <v/>
      </c>
      <c r="AB745" s="119" t="str">
        <f>+IF(W745="","",ROUND((VLOOKUP(ROUNDDOWN($D745-1/frec,0),qx_tabla,2,FALSE)*(1+i/frec)^-0.5*(1+Parámetros!$D$103)*(1+rec_fracc)/frec),6))</f>
        <v/>
      </c>
      <c r="AC745" s="66" t="str">
        <f t="shared" si="954"/>
        <v/>
      </c>
      <c r="AD745" s="119" t="str">
        <f t="shared" si="950"/>
        <v/>
      </c>
      <c r="AE745" s="66" t="str">
        <f>+IF($W745="","",ROUND(IF($B745&gt;Parámetros!$D$107,'Tablas Servicio'!AC745+('Tablas Servicio'!AG744-'Tablas Servicio'!AC744),AC745/(1-IF(B745&lt;=10,Parámetros!$D$104,Parámetros!$D$105))),2))</f>
        <v/>
      </c>
      <c r="AF745" s="66" t="str">
        <f>+IF($W745="","",ROUND(IF($B745&gt;Parámetros!$D$107,'Tablas Servicio'!AC745+('Tablas Servicio'!AG744-'Tablas Servicio'!AC744),(AC745+$A744/frec)/(1-IF(B745&lt;=Parámetros!$D$117,Parámetros!$D$100,0))),2))</f>
        <v/>
      </c>
      <c r="AG745" s="66" t="str">
        <f t="shared" si="955"/>
        <v/>
      </c>
      <c r="AH745" s="66" t="str">
        <f t="shared" si="956"/>
        <v/>
      </c>
      <c r="AI745" s="66" t="str">
        <f t="shared" si="957"/>
        <v/>
      </c>
      <c r="AJ745" s="66" t="str">
        <f>+IF($W745="","",ROUND((AG745*Parámetros!$G$85),2))</f>
        <v/>
      </c>
      <c r="AK745" s="66" t="str">
        <f>+IF($W745="","",ROUND((AG745*(Parámetros!$G$86)),2))</f>
        <v/>
      </c>
      <c r="AL745" s="66" t="str">
        <f t="shared" si="951"/>
        <v/>
      </c>
      <c r="AM745" t="str">
        <f t="shared" si="999"/>
        <v/>
      </c>
      <c r="AN745" t="str">
        <f t="shared" si="1000"/>
        <v/>
      </c>
      <c r="AO745" s="118" t="str">
        <f t="shared" si="1001"/>
        <v/>
      </c>
      <c r="AP745" s="118" t="str">
        <f t="shared" si="1002"/>
        <v/>
      </c>
      <c r="AQ745" s="119" t="str">
        <f>+IF(OR($W745="",AO745=0),"",ROUND((VLOOKUP(ROUNDDOWN($D745-1/frec,0),cob_adi,Z$40,FALSE)*(1+i/frec)^-0.5*(1+Parámetros!$D$103)*(1+rec_fracc)/frec),6))</f>
        <v/>
      </c>
      <c r="AR745" s="66" t="str">
        <f t="shared" si="958"/>
        <v/>
      </c>
      <c r="AS745" s="119" t="str">
        <f t="shared" si="959"/>
        <v/>
      </c>
      <c r="AT745" s="66" t="str">
        <f>+IF($W745="","",ROUND(IF($B745&gt;Parámetros!$D$107,'Tablas Servicio'!AR745+('Tablas Servicio'!AT744-'Tablas Servicio'!AR744),AR745/(1-IF(B745&lt;=10,Parámetros!$D$100,0))),2))</f>
        <v/>
      </c>
      <c r="AU745" s="66" t="str">
        <f t="shared" si="1028"/>
        <v/>
      </c>
      <c r="AV745" s="66" t="str">
        <f t="shared" si="1028"/>
        <v/>
      </c>
      <c r="AW745" s="66" t="str">
        <f>+IF($W745="","",ROUND((AT745*Parámetros!$G$85),2))</f>
        <v/>
      </c>
      <c r="AX745" s="66" t="str">
        <f>+IF($W745="","",ROUND((AT745*(Parámetros!$G$86)),2))</f>
        <v/>
      </c>
      <c r="AY745" s="66" t="str">
        <f t="shared" si="961"/>
        <v/>
      </c>
      <c r="AZ745" t="str">
        <f t="shared" si="1003"/>
        <v/>
      </c>
      <c r="BA745" t="str">
        <f t="shared" si="1004"/>
        <v/>
      </c>
      <c r="BB745" s="118" t="str">
        <f t="shared" si="1005"/>
        <v/>
      </c>
      <c r="BC745" s="118" t="str">
        <f t="shared" si="1006"/>
        <v/>
      </c>
      <c r="BD745" s="119" t="str">
        <f>+IF(OR($W745="",BB745=0),"",ROUND((VLOOKUP(ROUNDDOWN($D745-1/frec,0),cob_adi,AO$40,FALSE)*(1+i/frec)^-0.5*(1+Parámetros!$D$103)*(1+rec_fracc)/frec),6))</f>
        <v/>
      </c>
      <c r="BE745" s="66" t="str">
        <f t="shared" si="962"/>
        <v/>
      </c>
      <c r="BF745" s="119" t="str">
        <f t="shared" si="963"/>
        <v/>
      </c>
      <c r="BG745" s="66" t="str">
        <f>+IF($W745="","",ROUND(IF($B745&gt;Parámetros!$D$107,'Tablas Servicio'!BE745+('Tablas Servicio'!BG744-'Tablas Servicio'!BE744),BE745/(1-IF(B745&lt;=10,Parámetros!$D$100,0))),2))</f>
        <v/>
      </c>
      <c r="BH745" s="66" t="str">
        <f t="shared" si="964"/>
        <v/>
      </c>
      <c r="BI745" s="66" t="str">
        <f t="shared" si="965"/>
        <v/>
      </c>
      <c r="BJ745" s="66" t="str">
        <f>+IF($W745="","",ROUND((BG745*Parámetros!$G$85),2))</f>
        <v/>
      </c>
      <c r="BK745" s="66" t="str">
        <f>+IF($W745="","",ROUND((BG745*(Parámetros!$G$86)),2))</f>
        <v/>
      </c>
      <c r="BL745" s="66" t="str">
        <f t="shared" si="966"/>
        <v/>
      </c>
      <c r="BM745" t="str">
        <f t="shared" si="1007"/>
        <v/>
      </c>
      <c r="BN745" t="str">
        <f t="shared" si="1008"/>
        <v/>
      </c>
      <c r="BO745" s="118" t="str">
        <f t="shared" si="1009"/>
        <v/>
      </c>
      <c r="BP745" s="118" t="str">
        <f t="shared" si="1010"/>
        <v/>
      </c>
      <c r="BQ745" s="119" t="str">
        <f>+IF(OR($W745="",BO745=0),"",ROUND((VLOOKUP(ROUNDDOWN($D745-1/frec,0),cob_adi,BB$40,FALSE)*(1+i/frec)^-0.5*(1+Parámetros!$D$103)*(1+rec_fracc)/frec),6))</f>
        <v/>
      </c>
      <c r="BR745" s="66" t="str">
        <f t="shared" si="967"/>
        <v/>
      </c>
      <c r="BS745" s="119" t="str">
        <f t="shared" si="968"/>
        <v/>
      </c>
      <c r="BT745" s="66" t="str">
        <f>+IF($W745="","",ROUND(IF($B745&gt;Parámetros!$D$107,'Tablas Servicio'!BR745+('Tablas Servicio'!BT744-'Tablas Servicio'!BR744),BR745/(1-IF(B745&lt;=10,Parámetros!$D$100,0))),2))</f>
        <v/>
      </c>
      <c r="BU745" s="66" t="str">
        <f t="shared" si="1029"/>
        <v/>
      </c>
      <c r="BV745" s="66" t="str">
        <f t="shared" si="1029"/>
        <v/>
      </c>
      <c r="BW745" s="66" t="str">
        <f>+IF($W745="","",ROUND((BT745*Parámetros!$G$85),2))</f>
        <v/>
      </c>
      <c r="BX745" s="66" t="str">
        <f>+IF($W745="","",ROUND((BT745*(Parámetros!$G$86)),2))</f>
        <v/>
      </c>
      <c r="BY745" s="66" t="str">
        <f t="shared" si="970"/>
        <v/>
      </c>
      <c r="BZ745" t="str">
        <f t="shared" si="1011"/>
        <v/>
      </c>
      <c r="CA745" t="str">
        <f t="shared" si="1012"/>
        <v/>
      </c>
      <c r="CB745" s="118" t="str">
        <f t="shared" si="1013"/>
        <v/>
      </c>
      <c r="CC745" s="118" t="str">
        <f t="shared" si="1014"/>
        <v/>
      </c>
      <c r="CD745" s="119" t="str">
        <f t="shared" si="971"/>
        <v/>
      </c>
      <c r="CE745" s="66" t="str">
        <f>+IF($W745="","",ROUND((VLOOKUP(ROUNDDOWN($D745-1/frec,0),cob_adi,BO$40,FALSE)*(1+i/frec)^-0.5*(1+Parámetros!$D$103)*(1+rec_fracc)/frec*'TABLAS ADI'!$BC$17),2))</f>
        <v/>
      </c>
      <c r="CF745" s="119" t="str">
        <f t="shared" si="972"/>
        <v/>
      </c>
      <c r="CG745" s="66" t="str">
        <f>+IF($W745="","",ROUND(IF($B745&gt;Parámetros!$D$107,'Tablas Servicio'!CE745+('Tablas Servicio'!CG744-'Tablas Servicio'!CE744),CE745/(1-IF(B745&lt;=10,Parámetros!$D$100,0))),2))</f>
        <v/>
      </c>
      <c r="CH745" s="66" t="str">
        <f t="shared" si="1030"/>
        <v/>
      </c>
      <c r="CI745" s="66" t="str">
        <f t="shared" si="1030"/>
        <v/>
      </c>
      <c r="CJ745" s="66" t="str">
        <f>+IF($W745="","",ROUND((CG745*Parámetros!$G$85),2))</f>
        <v/>
      </c>
      <c r="CK745" s="66" t="str">
        <f>+IF($W745="","",ROUND((CG745*(Parámetros!$G$86)),2))</f>
        <v/>
      </c>
      <c r="CL745" s="66" t="str">
        <f t="shared" si="974"/>
        <v/>
      </c>
      <c r="CM745" t="str">
        <f t="shared" si="1015"/>
        <v/>
      </c>
      <c r="CN745" s="118" t="str">
        <f t="shared" si="1016"/>
        <v/>
      </c>
      <c r="CO745" s="118" t="str">
        <f t="shared" si="1017"/>
        <v/>
      </c>
      <c r="CP745" s="118" t="str">
        <f t="shared" si="1018"/>
        <v/>
      </c>
      <c r="CQ745" s="119" t="str">
        <f t="shared" si="975"/>
        <v/>
      </c>
      <c r="CR745" s="66" t="str">
        <f>+IF($W745="","",ROUND((VLOOKUP(Parámetros!$F$51,'COBERTURAS ADICIONALES'!$S$4:$T$32,2,FALSE)*(1+i/frec)^-0.5*(1+Parámetros!$D$103)*(1+rec_fracc)/frec*$CO$42),2))</f>
        <v/>
      </c>
      <c r="CS745" s="119" t="str">
        <f t="shared" si="976"/>
        <v/>
      </c>
      <c r="CT745" s="66" t="str">
        <f>+IF($W745="","",ROUND(IF($B745&gt;Parámetros!$D$107,'Tablas Servicio'!CR745+('Tablas Servicio'!CT744-'Tablas Servicio'!CR744),CR745/(1-IF(B745&lt;=10,Parámetros!$D$100,0))),2))</f>
        <v/>
      </c>
      <c r="CU745" s="66" t="str">
        <f t="shared" si="1031"/>
        <v/>
      </c>
      <c r="CV745" s="66" t="str">
        <f t="shared" si="1031"/>
        <v/>
      </c>
      <c r="CW745" s="66" t="str">
        <f>+IF($W745="","",ROUND((CT745*Parámetros!$G$85),2))</f>
        <v/>
      </c>
      <c r="CX745" s="66" t="str">
        <f>+IF($W745="","",ROUND((CT745*(Parámetros!$G$86)),2))</f>
        <v/>
      </c>
      <c r="CY745" s="66" t="str">
        <f t="shared" si="978"/>
        <v/>
      </c>
      <c r="CZ745" t="str">
        <f t="shared" si="1019"/>
        <v/>
      </c>
      <c r="DA745" s="118" t="str">
        <f t="shared" si="1020"/>
        <v/>
      </c>
      <c r="DB745" s="118" t="str">
        <f t="shared" si="1021"/>
        <v/>
      </c>
      <c r="DC745" s="118" t="str">
        <f t="shared" si="1022"/>
        <v/>
      </c>
      <c r="DD745" s="121" t="str">
        <f>+IF(OR($W745="",DB745=0),"",ROUND((VLOOKUP(ROUNDDOWN($D745-1/frec,0),cob_adi,CO$40,FALSE)*(1+i/frec)^-0.5*(1+Parámetros!$D$103)*(1+rec_fracc)/frec),6))</f>
        <v/>
      </c>
      <c r="DE745" s="66" t="str">
        <f t="shared" si="979"/>
        <v/>
      </c>
      <c r="DF745" s="119" t="str">
        <f t="shared" si="980"/>
        <v/>
      </c>
      <c r="DG745" s="66" t="str">
        <f>+IF($W745="","",ROUND(IF($B745&gt;Parámetros!$D$107,'Tablas Servicio'!DE745+('Tablas Servicio'!DG744-'Tablas Servicio'!DE744),DE745/(1-IF(B745&lt;=10,Parámetros!$D$100,0))),2))</f>
        <v/>
      </c>
      <c r="DH745" s="66" t="str">
        <f t="shared" si="1032"/>
        <v/>
      </c>
      <c r="DI745" s="66" t="str">
        <f t="shared" si="1032"/>
        <v/>
      </c>
      <c r="DJ745" s="66" t="str">
        <f>+IF($W745="","",ROUND((DG745*Parámetros!$G$85),2))</f>
        <v/>
      </c>
      <c r="DK745" s="66" t="str">
        <f>+IF($W745="","",ROUND((DG745*(Parámetros!$G$86)),2))</f>
        <v/>
      </c>
      <c r="DL745" s="66" t="str">
        <f t="shared" si="982"/>
        <v/>
      </c>
      <c r="DM745" t="str">
        <f t="shared" si="1023"/>
        <v/>
      </c>
      <c r="DN745" s="118" t="str">
        <f t="shared" si="1024"/>
        <v/>
      </c>
      <c r="DO745" s="118" t="str">
        <f t="shared" si="1025"/>
        <v/>
      </c>
      <c r="DP745" s="118" t="str">
        <f t="shared" si="1026"/>
        <v/>
      </c>
      <c r="DQ745" s="122" t="str">
        <f>+IF(OR($W745="",DO745=0),"",ROUND((VLOOKUP(ROUNDDOWN($D745-1/frec,0),cob_adi,DB$40,FALSE)*(1+i/frec)^-0.5*(1+Parámetros!$D$103)*(1+rec_fracc)/frec),6))</f>
        <v/>
      </c>
      <c r="DR745" s="66" t="str">
        <f t="shared" si="983"/>
        <v/>
      </c>
      <c r="DS745" s="68" t="str">
        <f t="shared" si="984"/>
        <v/>
      </c>
      <c r="DT745" s="66" t="str">
        <f>+IF($W745="","",ROUND(IF($B745&gt;Parámetros!$D$107,'Tablas Servicio'!DR745+('Tablas Servicio'!DT744-'Tablas Servicio'!DR744),DR745/(1-IF(B745&lt;=10,Parámetros!$D$100,0))),2))</f>
        <v/>
      </c>
      <c r="DU745" s="66" t="str">
        <f t="shared" si="1033"/>
        <v/>
      </c>
      <c r="DV745" s="66" t="str">
        <f t="shared" si="1033"/>
        <v/>
      </c>
      <c r="DW745" s="66" t="str">
        <f>+IF($W745="","",ROUND((DT745*Parámetros!$G$85),2))</f>
        <v/>
      </c>
      <c r="DX745" s="66" t="str">
        <f>+IF($W745="","",ROUND((DT745*(Parámetros!$G$86)),2))</f>
        <v/>
      </c>
      <c r="DY745" s="66" t="str">
        <f t="shared" si="986"/>
        <v/>
      </c>
      <c r="DZ745" t="str">
        <f t="shared" si="1036"/>
        <v/>
      </c>
      <c r="EA745" s="118" t="str">
        <f t="shared" si="1036"/>
        <v/>
      </c>
      <c r="EB745" s="118" t="str">
        <f>+IF($W745="","",ROUND(IF(Parámetros!$D$25='TABLAS MORT'!$V$33,EB744,Z745/2),0))</f>
        <v/>
      </c>
      <c r="EC745" s="118" t="str">
        <f t="shared" si="1036"/>
        <v/>
      </c>
      <c r="ED745" s="122" t="str">
        <f>+IF(OR($W745="",EB745=0),"",ROUND((VLOOKUP(ROUNDDOWN($D745-1/frec,0),cob_adi,DO$40,FALSE)*(1+i/frec)^-0.5*(1+Parámetros!$D$103)*(1+rec_fracc)/frec),6))</f>
        <v/>
      </c>
      <c r="EE745" s="66" t="str">
        <f t="shared" si="988"/>
        <v/>
      </c>
      <c r="EF745" s="68" t="str">
        <f t="shared" si="989"/>
        <v/>
      </c>
      <c r="EG745" s="66" t="str">
        <f>+IF($W745="","",ROUND(IF($B745&gt;Parámetros!$D$107,'Tablas Servicio'!EE745+('Tablas Servicio'!EG744-'Tablas Servicio'!EE744),EE745/(1-IF(B745&lt;=10,Parámetros!$D$100,0))),2))</f>
        <v/>
      </c>
      <c r="EH745" s="66" t="str">
        <f t="shared" si="1035"/>
        <v/>
      </c>
      <c r="EI745" s="66" t="str">
        <f t="shared" si="1035"/>
        <v/>
      </c>
      <c r="EJ745" s="66" t="str">
        <f>+IF($W745="","",ROUND((EG745*Parámetros!$G$85),2))</f>
        <v/>
      </c>
      <c r="EK745" s="66" t="str">
        <f>+IF($W745="","",ROUND((EG745*(Parámetros!$G$86)),2))</f>
        <v/>
      </c>
      <c r="EL745" s="66" t="str">
        <f t="shared" si="991"/>
        <v/>
      </c>
    </row>
    <row r="746" spans="1:142" x14ac:dyDescent="0.25">
      <c r="A746" t="str">
        <f>+IF($C746="","",ROUND(VLOOKUP('Tablas Servicio'!B746,Parámetros!$H$100:$J$159,IF(Parámetros!$E$16="F",2,3),FALSE),2))</f>
        <v/>
      </c>
      <c r="B746" t="str">
        <f t="shared" ref="B746:B809" si="1037">+IF(D746="","",ROUNDUP(C746/frec,0))</f>
        <v/>
      </c>
      <c r="C746" s="57" t="str">
        <f>+IF(D746="","",'Tablas Servicio'!C745+1)</f>
        <v/>
      </c>
      <c r="D746" s="56" t="str">
        <f>+IF(D745&lt;edadmaxtabla,D745+1/Parámetros!$E$25,"")</f>
        <v/>
      </c>
      <c r="E746" s="57" t="str">
        <f t="shared" si="952"/>
        <v/>
      </c>
      <c r="F746" s="59" t="str">
        <f t="shared" si="953"/>
        <v/>
      </c>
      <c r="G746" s="66" t="str">
        <f t="shared" ref="G746:G809" si="1038">+IF($C746="","",AG746+AT746+BG746+BT746+CG746+CT746+DG746+DT746+EG746)</f>
        <v/>
      </c>
      <c r="H746" s="66" t="str">
        <f t="shared" ref="H746:H809" si="1039">+IF($C746="","",AL746+AY746+BL746+BY746+CL746+CY746+DL746+DY746+EL746)</f>
        <v/>
      </c>
      <c r="I746" s="66" t="str">
        <f t="shared" si="992"/>
        <v/>
      </c>
      <c r="J746" s="66" t="str">
        <f t="shared" ref="J746:J809" si="1040">+IF($C746="","",AJ746+AW746+BJ746+BW746+CJ746+CW746+DJ746+DW746+EJ746)</f>
        <v/>
      </c>
      <c r="K746" s="66" t="str">
        <f t="shared" ref="K746:K809" si="1041">+IF($C746="","",AK746+AX746+BK746+BX746+CK746+CX746+DK746+DX746+EK746)</f>
        <v/>
      </c>
      <c r="L746" s="66" t="str">
        <f t="shared" ref="L746:L809" si="1042">+IF($C746="","",AH746+AU746+BH746+BU746+CH746+CU746+DH746+DU746+EH746)</f>
        <v/>
      </c>
      <c r="M746" s="66" t="str">
        <f t="shared" ref="M746:M809" si="1043">+IF($C746="","",AI746+AV746+BI746+BV746+CI746+CV746+DI746+DV746+EI746)</f>
        <v/>
      </c>
      <c r="N746" s="66" t="str">
        <f>+IF(C746="","",ROUND(Parámetros!$D$23,2))</f>
        <v/>
      </c>
      <c r="O746" s="66" t="str">
        <f t="shared" ref="O746:O809" si="1044">+IF($C746="","",AC746+AR746+BE746+BR746+CE746+CR746+DE746+DR746+EE746)</f>
        <v/>
      </c>
      <c r="P746" s="66" t="str">
        <f>+IF($C746="","",ROUND(IF(B746&gt;Parámetros!$D$117,0,N746*Parámetros!$D$116-G746*Parámetros!$D$100),2))</f>
        <v/>
      </c>
      <c r="Q746" s="75" t="str">
        <f t="shared" si="993"/>
        <v/>
      </c>
      <c r="R746" s="75" t="str">
        <f t="shared" si="994"/>
        <v/>
      </c>
      <c r="S746" s="117" t="str">
        <f>+IF($C746="","",ROUND((S745+I746)*(1+Parámetros!$D$91),2))</f>
        <v/>
      </c>
      <c r="T746" s="117" t="str">
        <f>+IF($C746="","",ROUND(S746*VLOOKUP(B746,Parámetros!$C$30:$D$39,2,TRUE),2))</f>
        <v/>
      </c>
      <c r="U746" s="117" t="str">
        <f>+IF($C746="","",ROUND((U745+I746)*(1+Parámetros!$D$92),2))</f>
        <v/>
      </c>
      <c r="V746" s="117" t="str">
        <f>+IF($C746="","",ROUND(U746*VLOOKUP(B746,Parámetros!$C$30:$D$39,2,TRUE),2))</f>
        <v/>
      </c>
      <c r="W746" s="57" t="str">
        <f t="shared" si="995"/>
        <v/>
      </c>
      <c r="X746" t="str">
        <f t="shared" si="996"/>
        <v/>
      </c>
      <c r="Y746" t="str">
        <f t="shared" si="997"/>
        <v/>
      </c>
      <c r="Z746" s="118" t="str">
        <f>+IF($W746="","",ROUND(IF(Parámetros!$D$25='TABLAS MORT'!$V$33,Z745,Parámetros!$D$21-'Tablas Servicio'!T745),0))</f>
        <v/>
      </c>
      <c r="AA746" s="118" t="str">
        <f t="shared" si="998"/>
        <v/>
      </c>
      <c r="AB746" s="119" t="str">
        <f>+IF(W746="","",ROUND((VLOOKUP(ROUNDDOWN($D746-1/frec,0),qx_tabla,2,FALSE)*(1+i/frec)^-0.5*(1+Parámetros!$D$103)*(1+rec_fracc)/frec),6))</f>
        <v/>
      </c>
      <c r="AC746" s="66" t="str">
        <f t="shared" si="954"/>
        <v/>
      </c>
      <c r="AD746" s="119" t="str">
        <f t="shared" ref="AD746:AD809" si="1045">+IF($W746="","",ROUND((AG746/Z746),6))</f>
        <v/>
      </c>
      <c r="AE746" s="66" t="str">
        <f>+IF($W746="","",ROUND(IF($B746&gt;Parámetros!$D$107,'Tablas Servicio'!AC746+('Tablas Servicio'!AG745-'Tablas Servicio'!AC745),AC746/(1-IF(B746&lt;=10,Parámetros!$D$104,Parámetros!$D$105))),2))</f>
        <v/>
      </c>
      <c r="AF746" s="66" t="str">
        <f>+IF($W746="","",ROUND(IF($B746&gt;Parámetros!$D$107,'Tablas Servicio'!AC746+('Tablas Servicio'!AG745-'Tablas Servicio'!AC745),(AC746+$A745/frec)/(1-IF(B746&lt;=Parámetros!$D$117,Parámetros!$D$100,0))),2))</f>
        <v/>
      </c>
      <c r="AG746" s="66" t="str">
        <f t="shared" si="955"/>
        <v/>
      </c>
      <c r="AH746" s="66" t="str">
        <f t="shared" si="956"/>
        <v/>
      </c>
      <c r="AI746" s="66" t="str">
        <f t="shared" si="957"/>
        <v/>
      </c>
      <c r="AJ746" s="66" t="str">
        <f>+IF($W746="","",ROUND((AG746*Parámetros!$G$85),2))</f>
        <v/>
      </c>
      <c r="AK746" s="66" t="str">
        <f>+IF($W746="","",ROUND((AG746*(Parámetros!$G$86)),2))</f>
        <v/>
      </c>
      <c r="AL746" s="66" t="str">
        <f t="shared" ref="AL746:AL809" si="1046">+IF($W746="","",ROUND((AG746+AJ746+AK746),2))</f>
        <v/>
      </c>
      <c r="AM746" t="str">
        <f t="shared" si="999"/>
        <v/>
      </c>
      <c r="AN746" t="str">
        <f t="shared" si="1000"/>
        <v/>
      </c>
      <c r="AO746" s="118" t="str">
        <f t="shared" si="1001"/>
        <v/>
      </c>
      <c r="AP746" s="118" t="str">
        <f t="shared" si="1002"/>
        <v/>
      </c>
      <c r="AQ746" s="119" t="str">
        <f>+IF(OR($W746="",AO746=0),"",ROUND((VLOOKUP(ROUNDDOWN($D746-1/frec,0),cob_adi,Z$40,FALSE)*(1+i/frec)^-0.5*(1+Parámetros!$D$103)*(1+rec_fracc)/frec),6))</f>
        <v/>
      </c>
      <c r="AR746" s="66" t="str">
        <f t="shared" si="958"/>
        <v/>
      </c>
      <c r="AS746" s="119" t="str">
        <f t="shared" si="959"/>
        <v/>
      </c>
      <c r="AT746" s="66" t="str">
        <f>+IF($W746="","",ROUND(IF($B746&gt;Parámetros!$D$107,'Tablas Servicio'!AR746+('Tablas Servicio'!AT745-'Tablas Servicio'!AR745),AR746/(1-IF(B746&lt;=10,Parámetros!$D$100,0))),2))</f>
        <v/>
      </c>
      <c r="AU746" s="66" t="str">
        <f t="shared" si="1028"/>
        <v/>
      </c>
      <c r="AV746" s="66" t="str">
        <f t="shared" si="1028"/>
        <v/>
      </c>
      <c r="AW746" s="66" t="str">
        <f>+IF($W746="","",ROUND((AT746*Parámetros!$G$85),2))</f>
        <v/>
      </c>
      <c r="AX746" s="66" t="str">
        <f>+IF($W746="","",ROUND((AT746*(Parámetros!$G$86)),2))</f>
        <v/>
      </c>
      <c r="AY746" s="66" t="str">
        <f t="shared" si="961"/>
        <v/>
      </c>
      <c r="AZ746" t="str">
        <f t="shared" si="1003"/>
        <v/>
      </c>
      <c r="BA746" t="str">
        <f t="shared" si="1004"/>
        <v/>
      </c>
      <c r="BB746" s="118" t="str">
        <f t="shared" si="1005"/>
        <v/>
      </c>
      <c r="BC746" s="118" t="str">
        <f t="shared" si="1006"/>
        <v/>
      </c>
      <c r="BD746" s="119" t="str">
        <f>+IF(OR($W746="",BB746=0),"",ROUND((VLOOKUP(ROUNDDOWN($D746-1/frec,0),cob_adi,AO$40,FALSE)*(1+i/frec)^-0.5*(1+Parámetros!$D$103)*(1+rec_fracc)/frec),6))</f>
        <v/>
      </c>
      <c r="BE746" s="66" t="str">
        <f t="shared" si="962"/>
        <v/>
      </c>
      <c r="BF746" s="119" t="str">
        <f t="shared" si="963"/>
        <v/>
      </c>
      <c r="BG746" s="66" t="str">
        <f>+IF($W746="","",ROUND(IF($B746&gt;Parámetros!$D$107,'Tablas Servicio'!BE746+('Tablas Servicio'!BG745-'Tablas Servicio'!BE745),BE746/(1-IF(B746&lt;=10,Parámetros!$D$100,0))),2))</f>
        <v/>
      </c>
      <c r="BH746" s="66" t="str">
        <f t="shared" si="964"/>
        <v/>
      </c>
      <c r="BI746" s="66" t="str">
        <f t="shared" si="965"/>
        <v/>
      </c>
      <c r="BJ746" s="66" t="str">
        <f>+IF($W746="","",ROUND((BG746*Parámetros!$G$85),2))</f>
        <v/>
      </c>
      <c r="BK746" s="66" t="str">
        <f>+IF($W746="","",ROUND((BG746*(Parámetros!$G$86)),2))</f>
        <v/>
      </c>
      <c r="BL746" s="66" t="str">
        <f t="shared" si="966"/>
        <v/>
      </c>
      <c r="BM746" t="str">
        <f t="shared" si="1007"/>
        <v/>
      </c>
      <c r="BN746" t="str">
        <f t="shared" si="1008"/>
        <v/>
      </c>
      <c r="BO746" s="118" t="str">
        <f t="shared" si="1009"/>
        <v/>
      </c>
      <c r="BP746" s="118" t="str">
        <f t="shared" si="1010"/>
        <v/>
      </c>
      <c r="BQ746" s="119" t="str">
        <f>+IF(OR($W746="",BO746=0),"",ROUND((VLOOKUP(ROUNDDOWN($D746-1/frec,0),cob_adi,BB$40,FALSE)*(1+i/frec)^-0.5*(1+Parámetros!$D$103)*(1+rec_fracc)/frec),6))</f>
        <v/>
      </c>
      <c r="BR746" s="66" t="str">
        <f t="shared" si="967"/>
        <v/>
      </c>
      <c r="BS746" s="119" t="str">
        <f t="shared" si="968"/>
        <v/>
      </c>
      <c r="BT746" s="66" t="str">
        <f>+IF($W746="","",ROUND(IF($B746&gt;Parámetros!$D$107,'Tablas Servicio'!BR746+('Tablas Servicio'!BT745-'Tablas Servicio'!BR745),BR746/(1-IF(B746&lt;=10,Parámetros!$D$100,0))),2))</f>
        <v/>
      </c>
      <c r="BU746" s="66" t="str">
        <f t="shared" si="1029"/>
        <v/>
      </c>
      <c r="BV746" s="66" t="str">
        <f t="shared" si="1029"/>
        <v/>
      </c>
      <c r="BW746" s="66" t="str">
        <f>+IF($W746="","",ROUND((BT746*Parámetros!$G$85),2))</f>
        <v/>
      </c>
      <c r="BX746" s="66" t="str">
        <f>+IF($W746="","",ROUND((BT746*(Parámetros!$G$86)),2))</f>
        <v/>
      </c>
      <c r="BY746" s="66" t="str">
        <f t="shared" si="970"/>
        <v/>
      </c>
      <c r="BZ746" t="str">
        <f t="shared" si="1011"/>
        <v/>
      </c>
      <c r="CA746" t="str">
        <f t="shared" si="1012"/>
        <v/>
      </c>
      <c r="CB746" s="118" t="str">
        <f t="shared" si="1013"/>
        <v/>
      </c>
      <c r="CC746" s="118" t="str">
        <f t="shared" si="1014"/>
        <v/>
      </c>
      <c r="CD746" s="119" t="str">
        <f t="shared" si="971"/>
        <v/>
      </c>
      <c r="CE746" s="66" t="str">
        <f>+IF($W746="","",ROUND((VLOOKUP(ROUNDDOWN($D746-1/frec,0),cob_adi,BO$40,FALSE)*(1+i/frec)^-0.5*(1+Parámetros!$D$103)*(1+rec_fracc)/frec*'TABLAS ADI'!$BC$17),2))</f>
        <v/>
      </c>
      <c r="CF746" s="119" t="str">
        <f t="shared" si="972"/>
        <v/>
      </c>
      <c r="CG746" s="66" t="str">
        <f>+IF($W746="","",ROUND(IF($B746&gt;Parámetros!$D$107,'Tablas Servicio'!CE746+('Tablas Servicio'!CG745-'Tablas Servicio'!CE745),CE746/(1-IF(B746&lt;=10,Parámetros!$D$100,0))),2))</f>
        <v/>
      </c>
      <c r="CH746" s="66" t="str">
        <f t="shared" si="1030"/>
        <v/>
      </c>
      <c r="CI746" s="66" t="str">
        <f t="shared" si="1030"/>
        <v/>
      </c>
      <c r="CJ746" s="66" t="str">
        <f>+IF($W746="","",ROUND((CG746*Parámetros!$G$85),2))</f>
        <v/>
      </c>
      <c r="CK746" s="66" t="str">
        <f>+IF($W746="","",ROUND((CG746*(Parámetros!$G$86)),2))</f>
        <v/>
      </c>
      <c r="CL746" s="66" t="str">
        <f t="shared" si="974"/>
        <v/>
      </c>
      <c r="CM746" t="str">
        <f t="shared" si="1015"/>
        <v/>
      </c>
      <c r="CN746" s="118" t="str">
        <f t="shared" si="1016"/>
        <v/>
      </c>
      <c r="CO746" s="118" t="str">
        <f t="shared" si="1017"/>
        <v/>
      </c>
      <c r="CP746" s="118" t="str">
        <f t="shared" si="1018"/>
        <v/>
      </c>
      <c r="CQ746" s="119" t="str">
        <f t="shared" si="975"/>
        <v/>
      </c>
      <c r="CR746" s="66" t="str">
        <f>+IF($W746="","",ROUND((VLOOKUP(Parámetros!$F$51,'COBERTURAS ADICIONALES'!$S$4:$T$32,2,FALSE)*(1+i/frec)^-0.5*(1+Parámetros!$D$103)*(1+rec_fracc)/frec*$CO$42),2))</f>
        <v/>
      </c>
      <c r="CS746" s="119" t="str">
        <f t="shared" si="976"/>
        <v/>
      </c>
      <c r="CT746" s="66" t="str">
        <f>+IF($W746="","",ROUND(IF($B746&gt;Parámetros!$D$107,'Tablas Servicio'!CR746+('Tablas Servicio'!CT745-'Tablas Servicio'!CR745),CR746/(1-IF(B746&lt;=10,Parámetros!$D$100,0))),2))</f>
        <v/>
      </c>
      <c r="CU746" s="66" t="str">
        <f t="shared" si="1031"/>
        <v/>
      </c>
      <c r="CV746" s="66" t="str">
        <f t="shared" si="1031"/>
        <v/>
      </c>
      <c r="CW746" s="66" t="str">
        <f>+IF($W746="","",ROUND((CT746*Parámetros!$G$85),2))</f>
        <v/>
      </c>
      <c r="CX746" s="66" t="str">
        <f>+IF($W746="","",ROUND((CT746*(Parámetros!$G$86)),2))</f>
        <v/>
      </c>
      <c r="CY746" s="66" t="str">
        <f t="shared" si="978"/>
        <v/>
      </c>
      <c r="CZ746" t="str">
        <f t="shared" si="1019"/>
        <v/>
      </c>
      <c r="DA746" s="118" t="str">
        <f t="shared" si="1020"/>
        <v/>
      </c>
      <c r="DB746" s="118" t="str">
        <f t="shared" si="1021"/>
        <v/>
      </c>
      <c r="DC746" s="118" t="str">
        <f t="shared" si="1022"/>
        <v/>
      </c>
      <c r="DD746" s="121" t="str">
        <f>+IF(OR($W746="",DB746=0),"",ROUND((VLOOKUP(ROUNDDOWN($D746-1/frec,0),cob_adi,CO$40,FALSE)*(1+i/frec)^-0.5*(1+Parámetros!$D$103)*(1+rec_fracc)/frec),6))</f>
        <v/>
      </c>
      <c r="DE746" s="66" t="str">
        <f t="shared" si="979"/>
        <v/>
      </c>
      <c r="DF746" s="119" t="str">
        <f t="shared" si="980"/>
        <v/>
      </c>
      <c r="DG746" s="66" t="str">
        <f>+IF($W746="","",ROUND(IF($B746&gt;Parámetros!$D$107,'Tablas Servicio'!DE746+('Tablas Servicio'!DG745-'Tablas Servicio'!DE745),DE746/(1-IF(B746&lt;=10,Parámetros!$D$100,0))),2))</f>
        <v/>
      </c>
      <c r="DH746" s="66" t="str">
        <f t="shared" si="1032"/>
        <v/>
      </c>
      <c r="DI746" s="66" t="str">
        <f t="shared" si="1032"/>
        <v/>
      </c>
      <c r="DJ746" s="66" t="str">
        <f>+IF($W746="","",ROUND((DG746*Parámetros!$G$85),2))</f>
        <v/>
      </c>
      <c r="DK746" s="66" t="str">
        <f>+IF($W746="","",ROUND((DG746*(Parámetros!$G$86)),2))</f>
        <v/>
      </c>
      <c r="DL746" s="66" t="str">
        <f t="shared" si="982"/>
        <v/>
      </c>
      <c r="DM746" t="str">
        <f t="shared" si="1023"/>
        <v/>
      </c>
      <c r="DN746" s="118" t="str">
        <f t="shared" si="1024"/>
        <v/>
      </c>
      <c r="DO746" s="118" t="str">
        <f t="shared" si="1025"/>
        <v/>
      </c>
      <c r="DP746" s="118" t="str">
        <f t="shared" si="1026"/>
        <v/>
      </c>
      <c r="DQ746" s="122" t="str">
        <f>+IF(OR($W746="",DO746=0),"",ROUND((VLOOKUP(ROUNDDOWN($D746-1/frec,0),cob_adi,DB$40,FALSE)*(1+i/frec)^-0.5*(1+Parámetros!$D$103)*(1+rec_fracc)/frec),6))</f>
        <v/>
      </c>
      <c r="DR746" s="66" t="str">
        <f t="shared" si="983"/>
        <v/>
      </c>
      <c r="DS746" s="68" t="str">
        <f t="shared" si="984"/>
        <v/>
      </c>
      <c r="DT746" s="66" t="str">
        <f>+IF($W746="","",ROUND(IF($B746&gt;Parámetros!$D$107,'Tablas Servicio'!DR746+('Tablas Servicio'!DT745-'Tablas Servicio'!DR745),DR746/(1-IF(B746&lt;=10,Parámetros!$D$100,0))),2))</f>
        <v/>
      </c>
      <c r="DU746" s="66" t="str">
        <f t="shared" si="1033"/>
        <v/>
      </c>
      <c r="DV746" s="66" t="str">
        <f t="shared" si="1033"/>
        <v/>
      </c>
      <c r="DW746" s="66" t="str">
        <f>+IF($W746="","",ROUND((DT746*Parámetros!$G$85),2))</f>
        <v/>
      </c>
      <c r="DX746" s="66" t="str">
        <f>+IF($W746="","",ROUND((DT746*(Parámetros!$G$86)),2))</f>
        <v/>
      </c>
      <c r="DY746" s="66" t="str">
        <f t="shared" si="986"/>
        <v/>
      </c>
      <c r="DZ746" t="str">
        <f t="shared" si="1036"/>
        <v/>
      </c>
      <c r="EA746" s="118" t="str">
        <f t="shared" si="1036"/>
        <v/>
      </c>
      <c r="EB746" s="118" t="str">
        <f>+IF($W746="","",ROUND(IF(Parámetros!$D$25='TABLAS MORT'!$V$33,EB745,Z746/2),0))</f>
        <v/>
      </c>
      <c r="EC746" s="118" t="str">
        <f t="shared" si="1036"/>
        <v/>
      </c>
      <c r="ED746" s="122" t="str">
        <f>+IF(OR($W746="",EB746=0),"",ROUND((VLOOKUP(ROUNDDOWN($D746-1/frec,0),cob_adi,DO$40,FALSE)*(1+i/frec)^-0.5*(1+Parámetros!$D$103)*(1+rec_fracc)/frec),6))</f>
        <v/>
      </c>
      <c r="EE746" s="66" t="str">
        <f t="shared" si="988"/>
        <v/>
      </c>
      <c r="EF746" s="68" t="str">
        <f t="shared" si="989"/>
        <v/>
      </c>
      <c r="EG746" s="66" t="str">
        <f>+IF($W746="","",ROUND(IF($B746&gt;Parámetros!$D$107,'Tablas Servicio'!EE746+('Tablas Servicio'!EG745-'Tablas Servicio'!EE745),EE746/(1-IF(B746&lt;=10,Parámetros!$D$100,0))),2))</f>
        <v/>
      </c>
      <c r="EH746" s="66" t="str">
        <f t="shared" si="1035"/>
        <v/>
      </c>
      <c r="EI746" s="66" t="str">
        <f t="shared" si="1035"/>
        <v/>
      </c>
      <c r="EJ746" s="66" t="str">
        <f>+IF($W746="","",ROUND((EG746*Parámetros!$G$85),2))</f>
        <v/>
      </c>
      <c r="EK746" s="66" t="str">
        <f>+IF($W746="","",ROUND((EG746*(Parámetros!$G$86)),2))</f>
        <v/>
      </c>
      <c r="EL746" s="66" t="str">
        <f t="shared" si="991"/>
        <v/>
      </c>
    </row>
    <row r="747" spans="1:142" x14ac:dyDescent="0.25">
      <c r="A747" t="str">
        <f>+IF($C747="","",ROUND(VLOOKUP('Tablas Servicio'!B747,Parámetros!$H$100:$J$159,IF(Parámetros!$E$16="F",2,3),FALSE),2))</f>
        <v/>
      </c>
      <c r="B747" t="str">
        <f t="shared" si="1037"/>
        <v/>
      </c>
      <c r="C747" s="57" t="str">
        <f>+IF(D747="","",'Tablas Servicio'!C746+1)</f>
        <v/>
      </c>
      <c r="D747" s="56" t="str">
        <f>+IF(D746&lt;edadmaxtabla,D746+1/Parámetros!$E$25,"")</f>
        <v/>
      </c>
      <c r="E747" s="57" t="str">
        <f t="shared" ref="E747:E810" si="1047">+IF(D747="","",ROUNDDOWN(D747,0))</f>
        <v/>
      </c>
      <c r="F747" s="59" t="str">
        <f t="shared" ref="F747:F810" si="1048">+Z747</f>
        <v/>
      </c>
      <c r="G747" s="66" t="str">
        <f t="shared" si="1038"/>
        <v/>
      </c>
      <c r="H747" s="66" t="str">
        <f t="shared" si="1039"/>
        <v/>
      </c>
      <c r="I747" s="66" t="str">
        <f t="shared" si="992"/>
        <v/>
      </c>
      <c r="J747" s="66" t="str">
        <f t="shared" si="1040"/>
        <v/>
      </c>
      <c r="K747" s="66" t="str">
        <f t="shared" si="1041"/>
        <v/>
      </c>
      <c r="L747" s="66" t="str">
        <f t="shared" si="1042"/>
        <v/>
      </c>
      <c r="M747" s="66" t="str">
        <f t="shared" si="1043"/>
        <v/>
      </c>
      <c r="N747" s="66" t="str">
        <f>+IF(C747="","",ROUND(Parámetros!$D$23,2))</f>
        <v/>
      </c>
      <c r="O747" s="66" t="str">
        <f t="shared" si="1044"/>
        <v/>
      </c>
      <c r="P747" s="66" t="str">
        <f>+IF($C747="","",ROUND(IF(B747&gt;Parámetros!$D$117,0,N747*Parámetros!$D$116-G747*Parámetros!$D$100),2))</f>
        <v/>
      </c>
      <c r="Q747" s="75" t="str">
        <f t="shared" si="993"/>
        <v/>
      </c>
      <c r="R747" s="75" t="str">
        <f t="shared" si="994"/>
        <v/>
      </c>
      <c r="S747" s="117" t="str">
        <f>+IF($C747="","",ROUND((S746+I747)*(1+Parámetros!$D$91),2))</f>
        <v/>
      </c>
      <c r="T747" s="117" t="str">
        <f>+IF($C747="","",ROUND(S747*VLOOKUP(B747,Parámetros!$C$30:$D$39,2,TRUE),2))</f>
        <v/>
      </c>
      <c r="U747" s="117" t="str">
        <f>+IF($C747="","",ROUND((U746+I747)*(1+Parámetros!$D$92),2))</f>
        <v/>
      </c>
      <c r="V747" s="117" t="str">
        <f>+IF($C747="","",ROUND(U747*VLOOKUP(B747,Parámetros!$C$30:$D$39,2,TRUE),2))</f>
        <v/>
      </c>
      <c r="W747" s="57" t="str">
        <f t="shared" si="995"/>
        <v/>
      </c>
      <c r="X747" t="str">
        <f t="shared" si="996"/>
        <v/>
      </c>
      <c r="Y747" t="str">
        <f t="shared" si="997"/>
        <v/>
      </c>
      <c r="Z747" s="118" t="str">
        <f>+IF($W747="","",ROUND(IF(Parámetros!$D$25='TABLAS MORT'!$V$33,Z746,Parámetros!$D$21-'Tablas Servicio'!T746),0))</f>
        <v/>
      </c>
      <c r="AA747" s="118" t="str">
        <f t="shared" si="998"/>
        <v/>
      </c>
      <c r="AB747" s="119" t="str">
        <f>+IF(W747="","",ROUND((VLOOKUP(ROUNDDOWN($D747-1/frec,0),qx_tabla,2,FALSE)*(1+i/frec)^-0.5*(1+Parámetros!$D$103)*(1+rec_fracc)/frec),6))</f>
        <v/>
      </c>
      <c r="AC747" s="66" t="str">
        <f t="shared" ref="AC747:AC810" si="1049">+IF($W747="","",ROUND((AB747*Z747),2))</f>
        <v/>
      </c>
      <c r="AD747" s="119" t="str">
        <f t="shared" si="1045"/>
        <v/>
      </c>
      <c r="AE747" s="66" t="str">
        <f>+IF($W747="","",ROUND(IF($B747&gt;Parámetros!$D$107,'Tablas Servicio'!AC747+('Tablas Servicio'!AG746-'Tablas Servicio'!AC746),AC747/(1-IF(B747&lt;=10,Parámetros!$D$104,Parámetros!$D$105))),2))</f>
        <v/>
      </c>
      <c r="AF747" s="66" t="str">
        <f>+IF($W747="","",ROUND(IF($B747&gt;Parámetros!$D$107,'Tablas Servicio'!AC747+('Tablas Servicio'!AG746-'Tablas Servicio'!AC746),(AC747+$A746/frec)/(1-IF(B747&lt;=Parámetros!$D$117,Parámetros!$D$100,0))),2))</f>
        <v/>
      </c>
      <c r="AG747" s="66" t="str">
        <f t="shared" ref="AG747:AG810" si="1050">+IF($W747="","",MIN(AE747,AF747))</f>
        <v/>
      </c>
      <c r="AH747" s="66" t="str">
        <f t="shared" ref="AH747:AH810" si="1051">+IF($W747="","",0)</f>
        <v/>
      </c>
      <c r="AI747" s="66" t="str">
        <f t="shared" ref="AI747:AI810" si="1052">IF($W747="","",0)</f>
        <v/>
      </c>
      <c r="AJ747" s="66" t="str">
        <f>+IF($W747="","",ROUND((AG747*Parámetros!$G$85),2))</f>
        <v/>
      </c>
      <c r="AK747" s="66" t="str">
        <f>+IF($W747="","",ROUND((AG747*(Parámetros!$G$86)),2))</f>
        <v/>
      </c>
      <c r="AL747" s="66" t="str">
        <f t="shared" si="1046"/>
        <v/>
      </c>
      <c r="AM747" t="str">
        <f t="shared" si="999"/>
        <v/>
      </c>
      <c r="AN747" t="str">
        <f t="shared" si="1000"/>
        <v/>
      </c>
      <c r="AO747" s="118" t="str">
        <f t="shared" si="1001"/>
        <v/>
      </c>
      <c r="AP747" s="118" t="str">
        <f t="shared" si="1002"/>
        <v/>
      </c>
      <c r="AQ747" s="119" t="str">
        <f>+IF(OR($W747="",AO747=0),"",ROUND((VLOOKUP(ROUNDDOWN($D747-1/frec,0),cob_adi,Z$40,FALSE)*(1+i/frec)^-0.5*(1+Parámetros!$D$103)*(1+rec_fracc)/frec),6))</f>
        <v/>
      </c>
      <c r="AR747" s="66" t="str">
        <f t="shared" ref="AR747:AR810" si="1053">+IF(AO747=0,0,IF($W747="","",ROUND((AQ747*AO747),2)))</f>
        <v/>
      </c>
      <c r="AS747" s="119" t="str">
        <f t="shared" ref="AS747:AS810" si="1054">+IF(OR($W747="",AO747=0),"",ROUND((AT747/AO747),6))</f>
        <v/>
      </c>
      <c r="AT747" s="66" t="str">
        <f>+IF($W747="","",ROUND(IF($B747&gt;Parámetros!$D$107,'Tablas Servicio'!AR747+('Tablas Servicio'!AT746-'Tablas Servicio'!AR746),AR747/(1-IF(B747&lt;=10,Parámetros!$D$100,0))),2))</f>
        <v/>
      </c>
      <c r="AU747" s="66" t="str">
        <f t="shared" ref="AU747:AV778" si="1055">+IF($W747="","",0)</f>
        <v/>
      </c>
      <c r="AV747" s="66" t="str">
        <f t="shared" si="1055"/>
        <v/>
      </c>
      <c r="AW747" s="66" t="str">
        <f>+IF($W747="","",ROUND((AT747*Parámetros!$G$85),2))</f>
        <v/>
      </c>
      <c r="AX747" s="66" t="str">
        <f>+IF($W747="","",ROUND((AT747*(Parámetros!$G$86)),2))</f>
        <v/>
      </c>
      <c r="AY747" s="66" t="str">
        <f t="shared" ref="AY747:AY810" si="1056">+IF($W747="","",ROUND((AT747+AW747+AX747),2))</f>
        <v/>
      </c>
      <c r="AZ747" t="str">
        <f t="shared" si="1003"/>
        <v/>
      </c>
      <c r="BA747" t="str">
        <f t="shared" si="1004"/>
        <v/>
      </c>
      <c r="BB747" s="118" t="str">
        <f t="shared" si="1005"/>
        <v/>
      </c>
      <c r="BC747" s="118" t="str">
        <f t="shared" si="1006"/>
        <v/>
      </c>
      <c r="BD747" s="119" t="str">
        <f>+IF(OR($W747="",BB747=0),"",ROUND((VLOOKUP(ROUNDDOWN($D747-1/frec,0),cob_adi,AO$40,FALSE)*(1+i/frec)^-0.5*(1+Parámetros!$D$103)*(1+rec_fracc)/frec),6))</f>
        <v/>
      </c>
      <c r="BE747" s="66" t="str">
        <f t="shared" ref="BE747:BE810" si="1057">+IF(BB747=0,0,IF($W747="","",ROUND(((BD747*BB747)),2)))</f>
        <v/>
      </c>
      <c r="BF747" s="119" t="str">
        <f t="shared" ref="BF747:BF810" si="1058">+IF(OR($W747="",BB747=0),"",ROUND((BG747/BB747),6))</f>
        <v/>
      </c>
      <c r="BG747" s="66" t="str">
        <f>+IF($W747="","",ROUND(IF($B747&gt;Parámetros!$D$107,'Tablas Servicio'!BE747+('Tablas Servicio'!BG746-'Tablas Servicio'!BE746),BE747/(1-IF(B747&lt;=10,Parámetros!$D$100,0))),2))</f>
        <v/>
      </c>
      <c r="BH747" s="66" t="str">
        <f t="shared" ref="BH747:BH810" si="1059">IF($W747="","",0)</f>
        <v/>
      </c>
      <c r="BI747" s="66" t="str">
        <f t="shared" ref="BI747:BI810" si="1060">+IF($W747="","",0)</f>
        <v/>
      </c>
      <c r="BJ747" s="66" t="str">
        <f>+IF($W747="","",ROUND((BG747*Parámetros!$G$85),2))</f>
        <v/>
      </c>
      <c r="BK747" s="66" t="str">
        <f>+IF($W747="","",ROUND((BG747*(Parámetros!$G$86)),2))</f>
        <v/>
      </c>
      <c r="BL747" s="66" t="str">
        <f t="shared" ref="BL747:BL810" si="1061">+IF($W747="","",ROUND((BG747+BJ747+BK747),2))</f>
        <v/>
      </c>
      <c r="BM747" t="str">
        <f t="shared" si="1007"/>
        <v/>
      </c>
      <c r="BN747" t="str">
        <f t="shared" si="1008"/>
        <v/>
      </c>
      <c r="BO747" s="118" t="str">
        <f t="shared" si="1009"/>
        <v/>
      </c>
      <c r="BP747" s="118" t="str">
        <f t="shared" si="1010"/>
        <v/>
      </c>
      <c r="BQ747" s="119" t="str">
        <f>+IF(OR($W747="",BO747=0),"",ROUND((VLOOKUP(ROUNDDOWN($D747-1/frec,0),cob_adi,BB$40,FALSE)*(1+i/frec)^-0.5*(1+Parámetros!$D$103)*(1+rec_fracc)/frec),6))</f>
        <v/>
      </c>
      <c r="BR747" s="66" t="str">
        <f t="shared" ref="BR747:BR810" si="1062">+IF(BO747=0,0,IF($W747="","",ROUND(((BQ747*BO747)),2)))</f>
        <v/>
      </c>
      <c r="BS747" s="119" t="str">
        <f t="shared" ref="BS747:BS810" si="1063">+IF(OR($W747="",BO747=0),"",ROUND((BT747/BO747),6))</f>
        <v/>
      </c>
      <c r="BT747" s="66" t="str">
        <f>+IF($W747="","",ROUND(IF($B747&gt;Parámetros!$D$107,'Tablas Servicio'!BR747+('Tablas Servicio'!BT746-'Tablas Servicio'!BR746),BR747/(1-IF(B747&lt;=10,Parámetros!$D$100,0))),2))</f>
        <v/>
      </c>
      <c r="BU747" s="66" t="str">
        <f t="shared" ref="BU747:BV778" si="1064">+IF($W747="","",0)</f>
        <v/>
      </c>
      <c r="BV747" s="66" t="str">
        <f t="shared" si="1064"/>
        <v/>
      </c>
      <c r="BW747" s="66" t="str">
        <f>+IF($W747="","",ROUND((BT747*Parámetros!$G$85),2))</f>
        <v/>
      </c>
      <c r="BX747" s="66" t="str">
        <f>+IF($W747="","",ROUND((BT747*(Parámetros!$G$86)),2))</f>
        <v/>
      </c>
      <c r="BY747" s="66" t="str">
        <f t="shared" ref="BY747:BY810" si="1065">+IF($W747="","",ROUND((BT747+BW747+BX747),2))</f>
        <v/>
      </c>
      <c r="BZ747" t="str">
        <f t="shared" si="1011"/>
        <v/>
      </c>
      <c r="CA747" t="str">
        <f t="shared" si="1012"/>
        <v/>
      </c>
      <c r="CB747" s="118" t="str">
        <f t="shared" si="1013"/>
        <v/>
      </c>
      <c r="CC747" s="118" t="str">
        <f t="shared" si="1014"/>
        <v/>
      </c>
      <c r="CD747" s="119" t="str">
        <f t="shared" ref="CD747:CD810" si="1066">+IF(OR($W747="",CB747=0),"",ROUND((CE747/CB747),6))</f>
        <v/>
      </c>
      <c r="CE747" s="66" t="str">
        <f>+IF($W747="","",ROUND((VLOOKUP(ROUNDDOWN($D747-1/frec,0),cob_adi,BO$40,FALSE)*(1+i/frec)^-0.5*(1+Parámetros!$D$103)*(1+rec_fracc)/frec*'TABLAS ADI'!$BC$17),2))</f>
        <v/>
      </c>
      <c r="CF747" s="119" t="str">
        <f t="shared" ref="CF747:CF810" si="1067">+IF(OR($W747="",CB747=0),"",ROUND((CG747/CB747),6))</f>
        <v/>
      </c>
      <c r="CG747" s="66" t="str">
        <f>+IF($W747="","",ROUND(IF($B747&gt;Parámetros!$D$107,'Tablas Servicio'!CE747+('Tablas Servicio'!CG746-'Tablas Servicio'!CE746),CE747/(1-IF(B747&lt;=10,Parámetros!$D$100,0))),2))</f>
        <v/>
      </c>
      <c r="CH747" s="66" t="str">
        <f t="shared" ref="CH747:CI778" si="1068">+IF($W747="","",0)</f>
        <v/>
      </c>
      <c r="CI747" s="66" t="str">
        <f t="shared" si="1068"/>
        <v/>
      </c>
      <c r="CJ747" s="66" t="str">
        <f>+IF($W747="","",ROUND((CG747*Parámetros!$G$85),2))</f>
        <v/>
      </c>
      <c r="CK747" s="66" t="str">
        <f>+IF($W747="","",ROUND((CG747*(Parámetros!$G$86)),2))</f>
        <v/>
      </c>
      <c r="CL747" s="66" t="str">
        <f t="shared" ref="CL747:CL810" si="1069">+IF($W747="","",ROUND((CG747+CJ747+CK747),2))</f>
        <v/>
      </c>
      <c r="CM747" t="str">
        <f t="shared" si="1015"/>
        <v/>
      </c>
      <c r="CN747" s="118" t="str">
        <f t="shared" si="1016"/>
        <v/>
      </c>
      <c r="CO747" s="118" t="str">
        <f t="shared" si="1017"/>
        <v/>
      </c>
      <c r="CP747" s="118" t="str">
        <f t="shared" si="1018"/>
        <v/>
      </c>
      <c r="CQ747" s="119" t="str">
        <f t="shared" ref="CQ747:CQ810" si="1070">+IF(OR($W747="",CO747=0),"",ROUND((CR747/CO747),6))</f>
        <v/>
      </c>
      <c r="CR747" s="66" t="str">
        <f>+IF($W747="","",ROUND((VLOOKUP(Parámetros!$F$51,'COBERTURAS ADICIONALES'!$S$4:$T$32,2,FALSE)*(1+i/frec)^-0.5*(1+Parámetros!$D$103)*(1+rec_fracc)/frec*$CO$42),2))</f>
        <v/>
      </c>
      <c r="CS747" s="119" t="str">
        <f t="shared" ref="CS747:CS810" si="1071">+IF(OR($W747="",CO747=0),"",ROUND((CT747/CO747),6))</f>
        <v/>
      </c>
      <c r="CT747" s="66" t="str">
        <f>+IF($W747="","",ROUND(IF($B747&gt;Parámetros!$D$107,'Tablas Servicio'!CR747+('Tablas Servicio'!CT746-'Tablas Servicio'!CR746),CR747/(1-IF(B747&lt;=10,Parámetros!$D$100,0))),2))</f>
        <v/>
      </c>
      <c r="CU747" s="66" t="str">
        <f t="shared" ref="CU747:CV778" si="1072">+IF($W747="","",0)</f>
        <v/>
      </c>
      <c r="CV747" s="66" t="str">
        <f t="shared" si="1072"/>
        <v/>
      </c>
      <c r="CW747" s="66" t="str">
        <f>+IF($W747="","",ROUND((CT747*Parámetros!$G$85),2))</f>
        <v/>
      </c>
      <c r="CX747" s="66" t="str">
        <f>+IF($W747="","",ROUND((CT747*(Parámetros!$G$86)),2))</f>
        <v/>
      </c>
      <c r="CY747" s="66" t="str">
        <f t="shared" ref="CY747:CY810" si="1073">+IF($W747="","",ROUND((CT747+CW747+CX747),2))</f>
        <v/>
      </c>
      <c r="CZ747" t="str">
        <f t="shared" si="1019"/>
        <v/>
      </c>
      <c r="DA747" s="118" t="str">
        <f t="shared" si="1020"/>
        <v/>
      </c>
      <c r="DB747" s="118" t="str">
        <f t="shared" si="1021"/>
        <v/>
      </c>
      <c r="DC747" s="118" t="str">
        <f t="shared" si="1022"/>
        <v/>
      </c>
      <c r="DD747" s="121" t="str">
        <f>+IF(OR($W747="",DB747=0),"",ROUND((VLOOKUP(ROUNDDOWN($D747-1/frec,0),cob_adi,CO$40,FALSE)*(1+i/frec)^-0.5*(1+Parámetros!$D$103)*(1+rec_fracc)/frec),6))</f>
        <v/>
      </c>
      <c r="DE747" s="66" t="str">
        <f t="shared" ref="DE747:DE810" si="1074">+IF(DB747=0,0,IF($W747="","",ROUND(((DD747*DB747)),2)))</f>
        <v/>
      </c>
      <c r="DF747" s="119" t="str">
        <f t="shared" ref="DF747:DF810" si="1075">+IF(OR($W747="",DB747=0),"",ROUND((DG747/DB747),6))</f>
        <v/>
      </c>
      <c r="DG747" s="66" t="str">
        <f>+IF($W747="","",ROUND(IF($B747&gt;Parámetros!$D$107,'Tablas Servicio'!DE747+('Tablas Servicio'!DG746-'Tablas Servicio'!DE746),DE747/(1-IF(B747&lt;=10,Parámetros!$D$100,0))),2))</f>
        <v/>
      </c>
      <c r="DH747" s="66" t="str">
        <f t="shared" ref="DH747:DI778" si="1076">+IF($W747="","",0)</f>
        <v/>
      </c>
      <c r="DI747" s="66" t="str">
        <f t="shared" si="1076"/>
        <v/>
      </c>
      <c r="DJ747" s="66" t="str">
        <f>+IF($W747="","",ROUND((DG747*Parámetros!$G$85),2))</f>
        <v/>
      </c>
      <c r="DK747" s="66" t="str">
        <f>+IF($W747="","",ROUND((DG747*(Parámetros!$G$86)),2))</f>
        <v/>
      </c>
      <c r="DL747" s="66" t="str">
        <f t="shared" ref="DL747:DL810" si="1077">+IF($W747="","",ROUND((DG747+DJ747+DK747),2))</f>
        <v/>
      </c>
      <c r="DM747" t="str">
        <f t="shared" si="1023"/>
        <v/>
      </c>
      <c r="DN747" s="118" t="str">
        <f t="shared" si="1024"/>
        <v/>
      </c>
      <c r="DO747" s="118" t="str">
        <f t="shared" si="1025"/>
        <v/>
      </c>
      <c r="DP747" s="118" t="str">
        <f t="shared" si="1026"/>
        <v/>
      </c>
      <c r="DQ747" s="122" t="str">
        <f>+IF(OR($W747="",DO747=0),"",ROUND((VLOOKUP(ROUNDDOWN($D747-1/frec,0),cob_adi,DB$40,FALSE)*(1+i/frec)^-0.5*(1+Parámetros!$D$103)*(1+rec_fracc)/frec),6))</f>
        <v/>
      </c>
      <c r="DR747" s="66" t="str">
        <f t="shared" ref="DR747:DR810" si="1078">+IF(DO747=0,0,IF($W747="","",ROUND(((DQ747*DO747)),2)))</f>
        <v/>
      </c>
      <c r="DS747" s="68" t="str">
        <f t="shared" ref="DS747:DS810" si="1079">+IF(OR($W747="",DO747=0),"",ROUND((DT747/DO747),6))</f>
        <v/>
      </c>
      <c r="DT747" s="66" t="str">
        <f>+IF($W747="","",ROUND(IF($B747&gt;Parámetros!$D$107,'Tablas Servicio'!DR747+('Tablas Servicio'!DT746-'Tablas Servicio'!DR746),DR747/(1-IF(B747&lt;=10,Parámetros!$D$100,0))),2))</f>
        <v/>
      </c>
      <c r="DU747" s="66" t="str">
        <f t="shared" ref="DU747:DV778" si="1080">+IF($W747="","",0)</f>
        <v/>
      </c>
      <c r="DV747" s="66" t="str">
        <f t="shared" si="1080"/>
        <v/>
      </c>
      <c r="DW747" s="66" t="str">
        <f>+IF($W747="","",ROUND((DT747*Parámetros!$G$85),2))</f>
        <v/>
      </c>
      <c r="DX747" s="66" t="str">
        <f>+IF($W747="","",ROUND((DT747*(Parámetros!$G$86)),2))</f>
        <v/>
      </c>
      <c r="DY747" s="66" t="str">
        <f t="shared" ref="DY747:DY810" si="1081">+IF($W747="","",ROUND((DT747+DW747+DX747),2))</f>
        <v/>
      </c>
      <c r="DZ747" t="str">
        <f t="shared" ref="DZ747:EC762" si="1082">+IF($W747="","",DZ746)</f>
        <v/>
      </c>
      <c r="EA747" s="118" t="str">
        <f t="shared" si="1082"/>
        <v/>
      </c>
      <c r="EB747" s="118" t="str">
        <f>+IF($W747="","",ROUND(IF(Parámetros!$D$25='TABLAS MORT'!$V$33,EB746,Z747/2),0))</f>
        <v/>
      </c>
      <c r="EC747" s="118" t="str">
        <f t="shared" si="1082"/>
        <v/>
      </c>
      <c r="ED747" s="122" t="str">
        <f>+IF(OR($W747="",EB747=0),"",ROUND((VLOOKUP(ROUNDDOWN($D747-1/frec,0),cob_adi,DO$40,FALSE)*(1+i/frec)^-0.5*(1+Parámetros!$D$103)*(1+rec_fracc)/frec),6))</f>
        <v/>
      </c>
      <c r="EE747" s="66" t="str">
        <f t="shared" ref="EE747:EE810" si="1083">+IF(EB747=0,0,IF($W747="","",ROUND(((ED747*EB747)),2)))</f>
        <v/>
      </c>
      <c r="EF747" s="68" t="str">
        <f t="shared" ref="EF747:EF810" si="1084">+IF(OR($W747="",EB747=0),"",ROUND((EG747/EB747),6))</f>
        <v/>
      </c>
      <c r="EG747" s="66" t="str">
        <f>+IF($W747="","",ROUND(IF($B747&gt;Parámetros!$D$107,'Tablas Servicio'!EE747+('Tablas Servicio'!EG746-'Tablas Servicio'!EE746),EE747/(1-IF(B747&lt;=10,Parámetros!$D$100,0))),2))</f>
        <v/>
      </c>
      <c r="EH747" s="66" t="str">
        <f t="shared" ref="EH747:EI778" si="1085">+IF($W747="","",0)</f>
        <v/>
      </c>
      <c r="EI747" s="66" t="str">
        <f t="shared" si="1085"/>
        <v/>
      </c>
      <c r="EJ747" s="66" t="str">
        <f>+IF($W747="","",ROUND((EG747*Parámetros!$G$85),2))</f>
        <v/>
      </c>
      <c r="EK747" s="66" t="str">
        <f>+IF($W747="","",ROUND((EG747*(Parámetros!$G$86)),2))</f>
        <v/>
      </c>
      <c r="EL747" s="66" t="str">
        <f t="shared" ref="EL747:EL810" si="1086">+IF($W747="","",ROUND((EG747+EJ747+EK747),2))</f>
        <v/>
      </c>
    </row>
    <row r="748" spans="1:142" x14ac:dyDescent="0.25">
      <c r="A748" t="str">
        <f>+IF($C748="","",ROUND(VLOOKUP('Tablas Servicio'!B748,Parámetros!$H$100:$J$159,IF(Parámetros!$E$16="F",2,3),FALSE),2))</f>
        <v/>
      </c>
      <c r="B748" t="str">
        <f t="shared" si="1037"/>
        <v/>
      </c>
      <c r="C748" s="57" t="str">
        <f>+IF(D748="","",'Tablas Servicio'!C747+1)</f>
        <v/>
      </c>
      <c r="D748" s="56" t="str">
        <f>+IF(D747&lt;edadmaxtabla,D747+1/Parámetros!$E$25,"")</f>
        <v/>
      </c>
      <c r="E748" s="57" t="str">
        <f t="shared" si="1047"/>
        <v/>
      </c>
      <c r="F748" s="59" t="str">
        <f t="shared" si="1048"/>
        <v/>
      </c>
      <c r="G748" s="66" t="str">
        <f t="shared" si="1038"/>
        <v/>
      </c>
      <c r="H748" s="66" t="str">
        <f t="shared" si="1039"/>
        <v/>
      </c>
      <c r="I748" s="66" t="str">
        <f t="shared" si="992"/>
        <v/>
      </c>
      <c r="J748" s="66" t="str">
        <f t="shared" si="1040"/>
        <v/>
      </c>
      <c r="K748" s="66" t="str">
        <f t="shared" si="1041"/>
        <v/>
      </c>
      <c r="L748" s="66" t="str">
        <f t="shared" si="1042"/>
        <v/>
      </c>
      <c r="M748" s="66" t="str">
        <f t="shared" si="1043"/>
        <v/>
      </c>
      <c r="N748" s="66" t="str">
        <f>+IF(C748="","",ROUND(Parámetros!$D$23,2))</f>
        <v/>
      </c>
      <c r="O748" s="66" t="str">
        <f t="shared" si="1044"/>
        <v/>
      </c>
      <c r="P748" s="66" t="str">
        <f>+IF($C748="","",ROUND(IF(B748&gt;Parámetros!$D$117,0,N748*Parámetros!$D$116-G748*Parámetros!$D$100),2))</f>
        <v/>
      </c>
      <c r="Q748" s="75" t="str">
        <f t="shared" si="993"/>
        <v/>
      </c>
      <c r="R748" s="75" t="str">
        <f t="shared" si="994"/>
        <v/>
      </c>
      <c r="S748" s="117" t="str">
        <f>+IF($C748="","",ROUND((S747+I748)*(1+Parámetros!$D$91),2))</f>
        <v/>
      </c>
      <c r="T748" s="117" t="str">
        <f>+IF($C748="","",ROUND(S748*VLOOKUP(B748,Parámetros!$C$30:$D$39,2,TRUE),2))</f>
        <v/>
      </c>
      <c r="U748" s="117" t="str">
        <f>+IF($C748="","",ROUND((U747+I748)*(1+Parámetros!$D$92),2))</f>
        <v/>
      </c>
      <c r="V748" s="117" t="str">
        <f>+IF($C748="","",ROUND(U748*VLOOKUP(B748,Parámetros!$C$30:$D$39,2,TRUE),2))</f>
        <v/>
      </c>
      <c r="W748" s="57" t="str">
        <f t="shared" si="995"/>
        <v/>
      </c>
      <c r="X748" t="str">
        <f t="shared" si="996"/>
        <v/>
      </c>
      <c r="Y748" t="str">
        <f t="shared" si="997"/>
        <v/>
      </c>
      <c r="Z748" s="118" t="str">
        <f>+IF($W748="","",ROUND(IF(Parámetros!$D$25='TABLAS MORT'!$V$33,Z747,Parámetros!$D$21-'Tablas Servicio'!T747),0))</f>
        <v/>
      </c>
      <c r="AA748" s="118" t="str">
        <f t="shared" si="998"/>
        <v/>
      </c>
      <c r="AB748" s="119" t="str">
        <f>+IF(W748="","",ROUND((VLOOKUP(ROUNDDOWN($D748-1/frec,0),qx_tabla,2,FALSE)*(1+i/frec)^-0.5*(1+Parámetros!$D$103)*(1+rec_fracc)/frec),6))</f>
        <v/>
      </c>
      <c r="AC748" s="66" t="str">
        <f t="shared" si="1049"/>
        <v/>
      </c>
      <c r="AD748" s="119" t="str">
        <f t="shared" si="1045"/>
        <v/>
      </c>
      <c r="AE748" s="66" t="str">
        <f>+IF($W748="","",ROUND(IF($B748&gt;Parámetros!$D$107,'Tablas Servicio'!AC748+('Tablas Servicio'!AG747-'Tablas Servicio'!AC747),AC748/(1-IF(B748&lt;=10,Parámetros!$D$104,Parámetros!$D$105))),2))</f>
        <v/>
      </c>
      <c r="AF748" s="66" t="str">
        <f>+IF($W748="","",ROUND(IF($B748&gt;Parámetros!$D$107,'Tablas Servicio'!AC748+('Tablas Servicio'!AG747-'Tablas Servicio'!AC747),(AC748+$A747/frec)/(1-IF(B748&lt;=Parámetros!$D$117,Parámetros!$D$100,0))),2))</f>
        <v/>
      </c>
      <c r="AG748" s="66" t="str">
        <f t="shared" si="1050"/>
        <v/>
      </c>
      <c r="AH748" s="66" t="str">
        <f t="shared" si="1051"/>
        <v/>
      </c>
      <c r="AI748" s="66" t="str">
        <f t="shared" si="1052"/>
        <v/>
      </c>
      <c r="AJ748" s="66" t="str">
        <f>+IF($W748="","",ROUND((AG748*Parámetros!$G$85),2))</f>
        <v/>
      </c>
      <c r="AK748" s="66" t="str">
        <f>+IF($W748="","",ROUND((AG748*(Parámetros!$G$86)),2))</f>
        <v/>
      </c>
      <c r="AL748" s="66" t="str">
        <f t="shared" si="1046"/>
        <v/>
      </c>
      <c r="AM748" t="str">
        <f t="shared" si="999"/>
        <v/>
      </c>
      <c r="AN748" t="str">
        <f t="shared" si="1000"/>
        <v/>
      </c>
      <c r="AO748" s="118" t="str">
        <f t="shared" si="1001"/>
        <v/>
      </c>
      <c r="AP748" s="118" t="str">
        <f t="shared" si="1002"/>
        <v/>
      </c>
      <c r="AQ748" s="119" t="str">
        <f>+IF(OR($W748="",AO748=0),"",ROUND((VLOOKUP(ROUNDDOWN($D748-1/frec,0),cob_adi,Z$40,FALSE)*(1+i/frec)^-0.5*(1+Parámetros!$D$103)*(1+rec_fracc)/frec),6))</f>
        <v/>
      </c>
      <c r="AR748" s="66" t="str">
        <f t="shared" si="1053"/>
        <v/>
      </c>
      <c r="AS748" s="119" t="str">
        <f t="shared" si="1054"/>
        <v/>
      </c>
      <c r="AT748" s="66" t="str">
        <f>+IF($W748="","",ROUND(IF($B748&gt;Parámetros!$D$107,'Tablas Servicio'!AR748+('Tablas Servicio'!AT747-'Tablas Servicio'!AR747),AR748/(1-IF(B748&lt;=10,Parámetros!$D$100,0))),2))</f>
        <v/>
      </c>
      <c r="AU748" s="66" t="str">
        <f t="shared" si="1055"/>
        <v/>
      </c>
      <c r="AV748" s="66" t="str">
        <f t="shared" si="1055"/>
        <v/>
      </c>
      <c r="AW748" s="66" t="str">
        <f>+IF($W748="","",ROUND((AT748*Parámetros!$G$85),2))</f>
        <v/>
      </c>
      <c r="AX748" s="66" t="str">
        <f>+IF($W748="","",ROUND((AT748*(Parámetros!$G$86)),2))</f>
        <v/>
      </c>
      <c r="AY748" s="66" t="str">
        <f t="shared" si="1056"/>
        <v/>
      </c>
      <c r="AZ748" t="str">
        <f t="shared" si="1003"/>
        <v/>
      </c>
      <c r="BA748" t="str">
        <f t="shared" si="1004"/>
        <v/>
      </c>
      <c r="BB748" s="118" t="str">
        <f t="shared" si="1005"/>
        <v/>
      </c>
      <c r="BC748" s="118" t="str">
        <f t="shared" si="1006"/>
        <v/>
      </c>
      <c r="BD748" s="119" t="str">
        <f>+IF(OR($W748="",BB748=0),"",ROUND((VLOOKUP(ROUNDDOWN($D748-1/frec,0),cob_adi,AO$40,FALSE)*(1+i/frec)^-0.5*(1+Parámetros!$D$103)*(1+rec_fracc)/frec),6))</f>
        <v/>
      </c>
      <c r="BE748" s="66" t="str">
        <f t="shared" si="1057"/>
        <v/>
      </c>
      <c r="BF748" s="119" t="str">
        <f t="shared" si="1058"/>
        <v/>
      </c>
      <c r="BG748" s="66" t="str">
        <f>+IF($W748="","",ROUND(IF($B748&gt;Parámetros!$D$107,'Tablas Servicio'!BE748+('Tablas Servicio'!BG747-'Tablas Servicio'!BE747),BE748/(1-IF(B748&lt;=10,Parámetros!$D$100,0))),2))</f>
        <v/>
      </c>
      <c r="BH748" s="66" t="str">
        <f t="shared" si="1059"/>
        <v/>
      </c>
      <c r="BI748" s="66" t="str">
        <f t="shared" si="1060"/>
        <v/>
      </c>
      <c r="BJ748" s="66" t="str">
        <f>+IF($W748="","",ROUND((BG748*Parámetros!$G$85),2))</f>
        <v/>
      </c>
      <c r="BK748" s="66" t="str">
        <f>+IF($W748="","",ROUND((BG748*(Parámetros!$G$86)),2))</f>
        <v/>
      </c>
      <c r="BL748" s="66" t="str">
        <f t="shared" si="1061"/>
        <v/>
      </c>
      <c r="BM748" t="str">
        <f t="shared" si="1007"/>
        <v/>
      </c>
      <c r="BN748" t="str">
        <f t="shared" si="1008"/>
        <v/>
      </c>
      <c r="BO748" s="118" t="str">
        <f t="shared" si="1009"/>
        <v/>
      </c>
      <c r="BP748" s="118" t="str">
        <f t="shared" si="1010"/>
        <v/>
      </c>
      <c r="BQ748" s="119" t="str">
        <f>+IF(OR($W748="",BO748=0),"",ROUND((VLOOKUP(ROUNDDOWN($D748-1/frec,0),cob_adi,BB$40,FALSE)*(1+i/frec)^-0.5*(1+Parámetros!$D$103)*(1+rec_fracc)/frec),6))</f>
        <v/>
      </c>
      <c r="BR748" s="66" t="str">
        <f t="shared" si="1062"/>
        <v/>
      </c>
      <c r="BS748" s="119" t="str">
        <f t="shared" si="1063"/>
        <v/>
      </c>
      <c r="BT748" s="66" t="str">
        <f>+IF($W748="","",ROUND(IF($B748&gt;Parámetros!$D$107,'Tablas Servicio'!BR748+('Tablas Servicio'!BT747-'Tablas Servicio'!BR747),BR748/(1-IF(B748&lt;=10,Parámetros!$D$100,0))),2))</f>
        <v/>
      </c>
      <c r="BU748" s="66" t="str">
        <f t="shared" si="1064"/>
        <v/>
      </c>
      <c r="BV748" s="66" t="str">
        <f t="shared" si="1064"/>
        <v/>
      </c>
      <c r="BW748" s="66" t="str">
        <f>+IF($W748="","",ROUND((BT748*Parámetros!$G$85),2))</f>
        <v/>
      </c>
      <c r="BX748" s="66" t="str">
        <f>+IF($W748="","",ROUND((BT748*(Parámetros!$G$86)),2))</f>
        <v/>
      </c>
      <c r="BY748" s="66" t="str">
        <f t="shared" si="1065"/>
        <v/>
      </c>
      <c r="BZ748" t="str">
        <f t="shared" si="1011"/>
        <v/>
      </c>
      <c r="CA748" t="str">
        <f t="shared" si="1012"/>
        <v/>
      </c>
      <c r="CB748" s="118" t="str">
        <f t="shared" si="1013"/>
        <v/>
      </c>
      <c r="CC748" s="118" t="str">
        <f t="shared" si="1014"/>
        <v/>
      </c>
      <c r="CD748" s="119" t="str">
        <f t="shared" si="1066"/>
        <v/>
      </c>
      <c r="CE748" s="66" t="str">
        <f>+IF($W748="","",ROUND((VLOOKUP(ROUNDDOWN($D748-1/frec,0),cob_adi,BO$40,FALSE)*(1+i/frec)^-0.5*(1+Parámetros!$D$103)*(1+rec_fracc)/frec*'TABLAS ADI'!$BC$17),2))</f>
        <v/>
      </c>
      <c r="CF748" s="119" t="str">
        <f t="shared" si="1067"/>
        <v/>
      </c>
      <c r="CG748" s="66" t="str">
        <f>+IF($W748="","",ROUND(IF($B748&gt;Parámetros!$D$107,'Tablas Servicio'!CE748+('Tablas Servicio'!CG747-'Tablas Servicio'!CE747),CE748/(1-IF(B748&lt;=10,Parámetros!$D$100,0))),2))</f>
        <v/>
      </c>
      <c r="CH748" s="66" t="str">
        <f t="shared" si="1068"/>
        <v/>
      </c>
      <c r="CI748" s="66" t="str">
        <f t="shared" si="1068"/>
        <v/>
      </c>
      <c r="CJ748" s="66" t="str">
        <f>+IF($W748="","",ROUND((CG748*Parámetros!$G$85),2))</f>
        <v/>
      </c>
      <c r="CK748" s="66" t="str">
        <f>+IF($W748="","",ROUND((CG748*(Parámetros!$G$86)),2))</f>
        <v/>
      </c>
      <c r="CL748" s="66" t="str">
        <f t="shared" si="1069"/>
        <v/>
      </c>
      <c r="CM748" t="str">
        <f t="shared" si="1015"/>
        <v/>
      </c>
      <c r="CN748" s="118" t="str">
        <f t="shared" si="1016"/>
        <v/>
      </c>
      <c r="CO748" s="118" t="str">
        <f t="shared" si="1017"/>
        <v/>
      </c>
      <c r="CP748" s="118" t="str">
        <f t="shared" si="1018"/>
        <v/>
      </c>
      <c r="CQ748" s="119" t="str">
        <f t="shared" si="1070"/>
        <v/>
      </c>
      <c r="CR748" s="66" t="str">
        <f>+IF($W748="","",ROUND((VLOOKUP(Parámetros!$F$51,'COBERTURAS ADICIONALES'!$S$4:$T$32,2,FALSE)*(1+i/frec)^-0.5*(1+Parámetros!$D$103)*(1+rec_fracc)/frec*$CO$42),2))</f>
        <v/>
      </c>
      <c r="CS748" s="119" t="str">
        <f t="shared" si="1071"/>
        <v/>
      </c>
      <c r="CT748" s="66" t="str">
        <f>+IF($W748="","",ROUND(IF($B748&gt;Parámetros!$D$107,'Tablas Servicio'!CR748+('Tablas Servicio'!CT747-'Tablas Servicio'!CR747),CR748/(1-IF(B748&lt;=10,Parámetros!$D$100,0))),2))</f>
        <v/>
      </c>
      <c r="CU748" s="66" t="str">
        <f t="shared" si="1072"/>
        <v/>
      </c>
      <c r="CV748" s="66" t="str">
        <f t="shared" si="1072"/>
        <v/>
      </c>
      <c r="CW748" s="66" t="str">
        <f>+IF($W748="","",ROUND((CT748*Parámetros!$G$85),2))</f>
        <v/>
      </c>
      <c r="CX748" s="66" t="str">
        <f>+IF($W748="","",ROUND((CT748*(Parámetros!$G$86)),2))</f>
        <v/>
      </c>
      <c r="CY748" s="66" t="str">
        <f t="shared" si="1073"/>
        <v/>
      </c>
      <c r="CZ748" t="str">
        <f t="shared" si="1019"/>
        <v/>
      </c>
      <c r="DA748" s="118" t="str">
        <f t="shared" si="1020"/>
        <v/>
      </c>
      <c r="DB748" s="118" t="str">
        <f t="shared" si="1021"/>
        <v/>
      </c>
      <c r="DC748" s="118" t="str">
        <f t="shared" si="1022"/>
        <v/>
      </c>
      <c r="DD748" s="121" t="str">
        <f>+IF(OR($W748="",DB748=0),"",ROUND((VLOOKUP(ROUNDDOWN($D748-1/frec,0),cob_adi,CO$40,FALSE)*(1+i/frec)^-0.5*(1+Parámetros!$D$103)*(1+rec_fracc)/frec),6))</f>
        <v/>
      </c>
      <c r="DE748" s="66" t="str">
        <f t="shared" si="1074"/>
        <v/>
      </c>
      <c r="DF748" s="119" t="str">
        <f t="shared" si="1075"/>
        <v/>
      </c>
      <c r="DG748" s="66" t="str">
        <f>+IF($W748="","",ROUND(IF($B748&gt;Parámetros!$D$107,'Tablas Servicio'!DE748+('Tablas Servicio'!DG747-'Tablas Servicio'!DE747),DE748/(1-IF(B748&lt;=10,Parámetros!$D$100,0))),2))</f>
        <v/>
      </c>
      <c r="DH748" s="66" t="str">
        <f t="shared" si="1076"/>
        <v/>
      </c>
      <c r="DI748" s="66" t="str">
        <f t="shared" si="1076"/>
        <v/>
      </c>
      <c r="DJ748" s="66" t="str">
        <f>+IF($W748="","",ROUND((DG748*Parámetros!$G$85),2))</f>
        <v/>
      </c>
      <c r="DK748" s="66" t="str">
        <f>+IF($W748="","",ROUND((DG748*(Parámetros!$G$86)),2))</f>
        <v/>
      </c>
      <c r="DL748" s="66" t="str">
        <f t="shared" si="1077"/>
        <v/>
      </c>
      <c r="DM748" t="str">
        <f t="shared" si="1023"/>
        <v/>
      </c>
      <c r="DN748" s="118" t="str">
        <f t="shared" si="1024"/>
        <v/>
      </c>
      <c r="DO748" s="118" t="str">
        <f t="shared" si="1025"/>
        <v/>
      </c>
      <c r="DP748" s="118" t="str">
        <f t="shared" si="1026"/>
        <v/>
      </c>
      <c r="DQ748" s="122" t="str">
        <f>+IF(OR($W748="",DO748=0),"",ROUND((VLOOKUP(ROUNDDOWN($D748-1/frec,0),cob_adi,DB$40,FALSE)*(1+i/frec)^-0.5*(1+Parámetros!$D$103)*(1+rec_fracc)/frec),6))</f>
        <v/>
      </c>
      <c r="DR748" s="66" t="str">
        <f t="shared" si="1078"/>
        <v/>
      </c>
      <c r="DS748" s="68" t="str">
        <f t="shared" si="1079"/>
        <v/>
      </c>
      <c r="DT748" s="66" t="str">
        <f>+IF($W748="","",ROUND(IF($B748&gt;Parámetros!$D$107,'Tablas Servicio'!DR748+('Tablas Servicio'!DT747-'Tablas Servicio'!DR747),DR748/(1-IF(B748&lt;=10,Parámetros!$D$100,0))),2))</f>
        <v/>
      </c>
      <c r="DU748" s="66" t="str">
        <f t="shared" si="1080"/>
        <v/>
      </c>
      <c r="DV748" s="66" t="str">
        <f t="shared" si="1080"/>
        <v/>
      </c>
      <c r="DW748" s="66" t="str">
        <f>+IF($W748="","",ROUND((DT748*Parámetros!$G$85),2))</f>
        <v/>
      </c>
      <c r="DX748" s="66" t="str">
        <f>+IF($W748="","",ROUND((DT748*(Parámetros!$G$86)),2))</f>
        <v/>
      </c>
      <c r="DY748" s="66" t="str">
        <f t="shared" si="1081"/>
        <v/>
      </c>
      <c r="DZ748" t="str">
        <f t="shared" si="1082"/>
        <v/>
      </c>
      <c r="EA748" s="118" t="str">
        <f t="shared" si="1082"/>
        <v/>
      </c>
      <c r="EB748" s="118" t="str">
        <f>+IF($W748="","",ROUND(IF(Parámetros!$D$25='TABLAS MORT'!$V$33,EB747,Z748/2),0))</f>
        <v/>
      </c>
      <c r="EC748" s="118" t="str">
        <f t="shared" si="1082"/>
        <v/>
      </c>
      <c r="ED748" s="122" t="str">
        <f>+IF(OR($W748="",EB748=0),"",ROUND((VLOOKUP(ROUNDDOWN($D748-1/frec,0),cob_adi,DO$40,FALSE)*(1+i/frec)^-0.5*(1+Parámetros!$D$103)*(1+rec_fracc)/frec),6))</f>
        <v/>
      </c>
      <c r="EE748" s="66" t="str">
        <f t="shared" si="1083"/>
        <v/>
      </c>
      <c r="EF748" s="68" t="str">
        <f t="shared" si="1084"/>
        <v/>
      </c>
      <c r="EG748" s="66" t="str">
        <f>+IF($W748="","",ROUND(IF($B748&gt;Parámetros!$D$107,'Tablas Servicio'!EE748+('Tablas Servicio'!EG747-'Tablas Servicio'!EE747),EE748/(1-IF(B748&lt;=10,Parámetros!$D$100,0))),2))</f>
        <v/>
      </c>
      <c r="EH748" s="66" t="str">
        <f t="shared" si="1085"/>
        <v/>
      </c>
      <c r="EI748" s="66" t="str">
        <f t="shared" si="1085"/>
        <v/>
      </c>
      <c r="EJ748" s="66" t="str">
        <f>+IF($W748="","",ROUND((EG748*Parámetros!$G$85),2))</f>
        <v/>
      </c>
      <c r="EK748" s="66" t="str">
        <f>+IF($W748="","",ROUND((EG748*(Parámetros!$G$86)),2))</f>
        <v/>
      </c>
      <c r="EL748" s="66" t="str">
        <f t="shared" si="1086"/>
        <v/>
      </c>
    </row>
    <row r="749" spans="1:142" x14ac:dyDescent="0.25">
      <c r="A749" t="str">
        <f>+IF($C749="","",ROUND(VLOOKUP('Tablas Servicio'!B749,Parámetros!$H$100:$J$159,IF(Parámetros!$E$16="F",2,3),FALSE),2))</f>
        <v/>
      </c>
      <c r="B749" t="str">
        <f t="shared" si="1037"/>
        <v/>
      </c>
      <c r="C749" s="57" t="str">
        <f>+IF(D749="","",'Tablas Servicio'!C748+1)</f>
        <v/>
      </c>
      <c r="D749" s="56" t="str">
        <f>+IF(D748&lt;edadmaxtabla,D748+1/Parámetros!$E$25,"")</f>
        <v/>
      </c>
      <c r="E749" s="57" t="str">
        <f t="shared" si="1047"/>
        <v/>
      </c>
      <c r="F749" s="59" t="str">
        <f t="shared" si="1048"/>
        <v/>
      </c>
      <c r="G749" s="66" t="str">
        <f t="shared" si="1038"/>
        <v/>
      </c>
      <c r="H749" s="66" t="str">
        <f t="shared" si="1039"/>
        <v/>
      </c>
      <c r="I749" s="66" t="str">
        <f t="shared" si="992"/>
        <v/>
      </c>
      <c r="J749" s="66" t="str">
        <f t="shared" si="1040"/>
        <v/>
      </c>
      <c r="K749" s="66" t="str">
        <f t="shared" si="1041"/>
        <v/>
      </c>
      <c r="L749" s="66" t="str">
        <f t="shared" si="1042"/>
        <v/>
      </c>
      <c r="M749" s="66" t="str">
        <f t="shared" si="1043"/>
        <v/>
      </c>
      <c r="N749" s="66" t="str">
        <f>+IF(C749="","",ROUND(Parámetros!$D$23,2))</f>
        <v/>
      </c>
      <c r="O749" s="66" t="str">
        <f t="shared" si="1044"/>
        <v/>
      </c>
      <c r="P749" s="66" t="str">
        <f>+IF($C749="","",ROUND(IF(B749&gt;Parámetros!$D$117,0,N749*Parámetros!$D$116-G749*Parámetros!$D$100),2))</f>
        <v/>
      </c>
      <c r="Q749" s="75" t="str">
        <f t="shared" si="993"/>
        <v/>
      </c>
      <c r="R749" s="75" t="str">
        <f t="shared" si="994"/>
        <v/>
      </c>
      <c r="S749" s="117" t="str">
        <f>+IF($C749="","",ROUND((S748+I749)*(1+Parámetros!$D$91),2))</f>
        <v/>
      </c>
      <c r="T749" s="117" t="str">
        <f>+IF($C749="","",ROUND(S749*VLOOKUP(B749,Parámetros!$C$30:$D$39,2,TRUE),2))</f>
        <v/>
      </c>
      <c r="U749" s="117" t="str">
        <f>+IF($C749="","",ROUND((U748+I749)*(1+Parámetros!$D$92),2))</f>
        <v/>
      </c>
      <c r="V749" s="117" t="str">
        <f>+IF($C749="","",ROUND(U749*VLOOKUP(B749,Parámetros!$C$30:$D$39,2,TRUE),2))</f>
        <v/>
      </c>
      <c r="W749" s="57" t="str">
        <f t="shared" si="995"/>
        <v/>
      </c>
      <c r="X749" t="str">
        <f t="shared" si="996"/>
        <v/>
      </c>
      <c r="Y749" t="str">
        <f t="shared" si="997"/>
        <v/>
      </c>
      <c r="Z749" s="118" t="str">
        <f>+IF($W749="","",ROUND(IF(Parámetros!$D$25='TABLAS MORT'!$V$33,Z748,Parámetros!$D$21-'Tablas Servicio'!T748),0))</f>
        <v/>
      </c>
      <c r="AA749" s="118" t="str">
        <f t="shared" si="998"/>
        <v/>
      </c>
      <c r="AB749" s="119" t="str">
        <f>+IF(W749="","",ROUND((VLOOKUP(ROUNDDOWN($D749-1/frec,0),qx_tabla,2,FALSE)*(1+i/frec)^-0.5*(1+Parámetros!$D$103)*(1+rec_fracc)/frec),6))</f>
        <v/>
      </c>
      <c r="AC749" s="66" t="str">
        <f t="shared" si="1049"/>
        <v/>
      </c>
      <c r="AD749" s="119" t="str">
        <f t="shared" si="1045"/>
        <v/>
      </c>
      <c r="AE749" s="66" t="str">
        <f>+IF($W749="","",ROUND(IF($B749&gt;Parámetros!$D$107,'Tablas Servicio'!AC749+('Tablas Servicio'!AG748-'Tablas Servicio'!AC748),AC749/(1-IF(B749&lt;=10,Parámetros!$D$104,Parámetros!$D$105))),2))</f>
        <v/>
      </c>
      <c r="AF749" s="66" t="str">
        <f>+IF($W749="","",ROUND(IF($B749&gt;Parámetros!$D$107,'Tablas Servicio'!AC749+('Tablas Servicio'!AG748-'Tablas Servicio'!AC748),(AC749+$A748/frec)/(1-IF(B749&lt;=Parámetros!$D$117,Parámetros!$D$100,0))),2))</f>
        <v/>
      </c>
      <c r="AG749" s="66" t="str">
        <f t="shared" si="1050"/>
        <v/>
      </c>
      <c r="AH749" s="66" t="str">
        <f t="shared" si="1051"/>
        <v/>
      </c>
      <c r="AI749" s="66" t="str">
        <f t="shared" si="1052"/>
        <v/>
      </c>
      <c r="AJ749" s="66" t="str">
        <f>+IF($W749="","",ROUND((AG749*Parámetros!$G$85),2))</f>
        <v/>
      </c>
      <c r="AK749" s="66" t="str">
        <f>+IF($W749="","",ROUND((AG749*(Parámetros!$G$86)),2))</f>
        <v/>
      </c>
      <c r="AL749" s="66" t="str">
        <f t="shared" si="1046"/>
        <v/>
      </c>
      <c r="AM749" t="str">
        <f t="shared" si="999"/>
        <v/>
      </c>
      <c r="AN749" t="str">
        <f t="shared" si="1000"/>
        <v/>
      </c>
      <c r="AO749" s="118" t="str">
        <f t="shared" si="1001"/>
        <v/>
      </c>
      <c r="AP749" s="118" t="str">
        <f t="shared" si="1002"/>
        <v/>
      </c>
      <c r="AQ749" s="119" t="str">
        <f>+IF(OR($W749="",AO749=0),"",ROUND((VLOOKUP(ROUNDDOWN($D749-1/frec,0),cob_adi,Z$40,FALSE)*(1+i/frec)^-0.5*(1+Parámetros!$D$103)*(1+rec_fracc)/frec),6))</f>
        <v/>
      </c>
      <c r="AR749" s="66" t="str">
        <f t="shared" si="1053"/>
        <v/>
      </c>
      <c r="AS749" s="119" t="str">
        <f t="shared" si="1054"/>
        <v/>
      </c>
      <c r="AT749" s="66" t="str">
        <f>+IF($W749="","",ROUND(IF($B749&gt;Parámetros!$D$107,'Tablas Servicio'!AR749+('Tablas Servicio'!AT748-'Tablas Servicio'!AR748),AR749/(1-IF(B749&lt;=10,Parámetros!$D$100,0))),2))</f>
        <v/>
      </c>
      <c r="AU749" s="66" t="str">
        <f t="shared" si="1055"/>
        <v/>
      </c>
      <c r="AV749" s="66" t="str">
        <f t="shared" si="1055"/>
        <v/>
      </c>
      <c r="AW749" s="66" t="str">
        <f>+IF($W749="","",ROUND((AT749*Parámetros!$G$85),2))</f>
        <v/>
      </c>
      <c r="AX749" s="66" t="str">
        <f>+IF($W749="","",ROUND((AT749*(Parámetros!$G$86)),2))</f>
        <v/>
      </c>
      <c r="AY749" s="66" t="str">
        <f t="shared" si="1056"/>
        <v/>
      </c>
      <c r="AZ749" t="str">
        <f t="shared" si="1003"/>
        <v/>
      </c>
      <c r="BA749" t="str">
        <f t="shared" si="1004"/>
        <v/>
      </c>
      <c r="BB749" s="118" t="str">
        <f t="shared" si="1005"/>
        <v/>
      </c>
      <c r="BC749" s="118" t="str">
        <f t="shared" si="1006"/>
        <v/>
      </c>
      <c r="BD749" s="119" t="str">
        <f>+IF(OR($W749="",BB749=0),"",ROUND((VLOOKUP(ROUNDDOWN($D749-1/frec,0),cob_adi,AO$40,FALSE)*(1+i/frec)^-0.5*(1+Parámetros!$D$103)*(1+rec_fracc)/frec),6))</f>
        <v/>
      </c>
      <c r="BE749" s="66" t="str">
        <f t="shared" si="1057"/>
        <v/>
      </c>
      <c r="BF749" s="119" t="str">
        <f t="shared" si="1058"/>
        <v/>
      </c>
      <c r="BG749" s="66" t="str">
        <f>+IF($W749="","",ROUND(IF($B749&gt;Parámetros!$D$107,'Tablas Servicio'!BE749+('Tablas Servicio'!BG748-'Tablas Servicio'!BE748),BE749/(1-IF(B749&lt;=10,Parámetros!$D$100,0))),2))</f>
        <v/>
      </c>
      <c r="BH749" s="66" t="str">
        <f t="shared" si="1059"/>
        <v/>
      </c>
      <c r="BI749" s="66" t="str">
        <f t="shared" si="1060"/>
        <v/>
      </c>
      <c r="BJ749" s="66" t="str">
        <f>+IF($W749="","",ROUND((BG749*Parámetros!$G$85),2))</f>
        <v/>
      </c>
      <c r="BK749" s="66" t="str">
        <f>+IF($W749="","",ROUND((BG749*(Parámetros!$G$86)),2))</f>
        <v/>
      </c>
      <c r="BL749" s="66" t="str">
        <f t="shared" si="1061"/>
        <v/>
      </c>
      <c r="BM749" t="str">
        <f t="shared" si="1007"/>
        <v/>
      </c>
      <c r="BN749" t="str">
        <f t="shared" si="1008"/>
        <v/>
      </c>
      <c r="BO749" s="118" t="str">
        <f t="shared" si="1009"/>
        <v/>
      </c>
      <c r="BP749" s="118" t="str">
        <f t="shared" si="1010"/>
        <v/>
      </c>
      <c r="BQ749" s="119" t="str">
        <f>+IF(OR($W749="",BO749=0),"",ROUND((VLOOKUP(ROUNDDOWN($D749-1/frec,0),cob_adi,BB$40,FALSE)*(1+i/frec)^-0.5*(1+Parámetros!$D$103)*(1+rec_fracc)/frec),6))</f>
        <v/>
      </c>
      <c r="BR749" s="66" t="str">
        <f t="shared" si="1062"/>
        <v/>
      </c>
      <c r="BS749" s="119" t="str">
        <f t="shared" si="1063"/>
        <v/>
      </c>
      <c r="BT749" s="66" t="str">
        <f>+IF($W749="","",ROUND(IF($B749&gt;Parámetros!$D$107,'Tablas Servicio'!BR749+('Tablas Servicio'!BT748-'Tablas Servicio'!BR748),BR749/(1-IF(B749&lt;=10,Parámetros!$D$100,0))),2))</f>
        <v/>
      </c>
      <c r="BU749" s="66" t="str">
        <f t="shared" si="1064"/>
        <v/>
      </c>
      <c r="BV749" s="66" t="str">
        <f t="shared" si="1064"/>
        <v/>
      </c>
      <c r="BW749" s="66" t="str">
        <f>+IF($W749="","",ROUND((BT749*Parámetros!$G$85),2))</f>
        <v/>
      </c>
      <c r="BX749" s="66" t="str">
        <f>+IF($W749="","",ROUND((BT749*(Parámetros!$G$86)),2))</f>
        <v/>
      </c>
      <c r="BY749" s="66" t="str">
        <f t="shared" si="1065"/>
        <v/>
      </c>
      <c r="BZ749" t="str">
        <f t="shared" si="1011"/>
        <v/>
      </c>
      <c r="CA749" t="str">
        <f t="shared" si="1012"/>
        <v/>
      </c>
      <c r="CB749" s="118" t="str">
        <f t="shared" si="1013"/>
        <v/>
      </c>
      <c r="CC749" s="118" t="str">
        <f t="shared" si="1014"/>
        <v/>
      </c>
      <c r="CD749" s="119" t="str">
        <f t="shared" si="1066"/>
        <v/>
      </c>
      <c r="CE749" s="66" t="str">
        <f>+IF($W749="","",ROUND((VLOOKUP(ROUNDDOWN($D749-1/frec,0),cob_adi,BO$40,FALSE)*(1+i/frec)^-0.5*(1+Parámetros!$D$103)*(1+rec_fracc)/frec*'TABLAS ADI'!$BC$17),2))</f>
        <v/>
      </c>
      <c r="CF749" s="119" t="str">
        <f t="shared" si="1067"/>
        <v/>
      </c>
      <c r="CG749" s="66" t="str">
        <f>+IF($W749="","",ROUND(IF($B749&gt;Parámetros!$D$107,'Tablas Servicio'!CE749+('Tablas Servicio'!CG748-'Tablas Servicio'!CE748),CE749/(1-IF(B749&lt;=10,Parámetros!$D$100,0))),2))</f>
        <v/>
      </c>
      <c r="CH749" s="66" t="str">
        <f t="shared" si="1068"/>
        <v/>
      </c>
      <c r="CI749" s="66" t="str">
        <f t="shared" si="1068"/>
        <v/>
      </c>
      <c r="CJ749" s="66" t="str">
        <f>+IF($W749="","",ROUND((CG749*Parámetros!$G$85),2))</f>
        <v/>
      </c>
      <c r="CK749" s="66" t="str">
        <f>+IF($W749="","",ROUND((CG749*(Parámetros!$G$86)),2))</f>
        <v/>
      </c>
      <c r="CL749" s="66" t="str">
        <f t="shared" si="1069"/>
        <v/>
      </c>
      <c r="CM749" t="str">
        <f t="shared" si="1015"/>
        <v/>
      </c>
      <c r="CN749" s="118" t="str">
        <f t="shared" si="1016"/>
        <v/>
      </c>
      <c r="CO749" s="118" t="str">
        <f t="shared" si="1017"/>
        <v/>
      </c>
      <c r="CP749" s="118" t="str">
        <f t="shared" si="1018"/>
        <v/>
      </c>
      <c r="CQ749" s="119" t="str">
        <f t="shared" si="1070"/>
        <v/>
      </c>
      <c r="CR749" s="66" t="str">
        <f>+IF($W749="","",ROUND((VLOOKUP(Parámetros!$F$51,'COBERTURAS ADICIONALES'!$S$4:$T$32,2,FALSE)*(1+i/frec)^-0.5*(1+Parámetros!$D$103)*(1+rec_fracc)/frec*$CO$42),2))</f>
        <v/>
      </c>
      <c r="CS749" s="119" t="str">
        <f t="shared" si="1071"/>
        <v/>
      </c>
      <c r="CT749" s="66" t="str">
        <f>+IF($W749="","",ROUND(IF($B749&gt;Parámetros!$D$107,'Tablas Servicio'!CR749+('Tablas Servicio'!CT748-'Tablas Servicio'!CR748),CR749/(1-IF(B749&lt;=10,Parámetros!$D$100,0))),2))</f>
        <v/>
      </c>
      <c r="CU749" s="66" t="str">
        <f t="shared" si="1072"/>
        <v/>
      </c>
      <c r="CV749" s="66" t="str">
        <f t="shared" si="1072"/>
        <v/>
      </c>
      <c r="CW749" s="66" t="str">
        <f>+IF($W749="","",ROUND((CT749*Parámetros!$G$85),2))</f>
        <v/>
      </c>
      <c r="CX749" s="66" t="str">
        <f>+IF($W749="","",ROUND((CT749*(Parámetros!$G$86)),2))</f>
        <v/>
      </c>
      <c r="CY749" s="66" t="str">
        <f t="shared" si="1073"/>
        <v/>
      </c>
      <c r="CZ749" t="str">
        <f t="shared" si="1019"/>
        <v/>
      </c>
      <c r="DA749" s="118" t="str">
        <f t="shared" si="1020"/>
        <v/>
      </c>
      <c r="DB749" s="118" t="str">
        <f t="shared" si="1021"/>
        <v/>
      </c>
      <c r="DC749" s="118" t="str">
        <f t="shared" si="1022"/>
        <v/>
      </c>
      <c r="DD749" s="121" t="str">
        <f>+IF(OR($W749="",DB749=0),"",ROUND((VLOOKUP(ROUNDDOWN($D749-1/frec,0),cob_adi,CO$40,FALSE)*(1+i/frec)^-0.5*(1+Parámetros!$D$103)*(1+rec_fracc)/frec),6))</f>
        <v/>
      </c>
      <c r="DE749" s="66" t="str">
        <f t="shared" si="1074"/>
        <v/>
      </c>
      <c r="DF749" s="119" t="str">
        <f t="shared" si="1075"/>
        <v/>
      </c>
      <c r="DG749" s="66" t="str">
        <f>+IF($W749="","",ROUND(IF($B749&gt;Parámetros!$D$107,'Tablas Servicio'!DE749+('Tablas Servicio'!DG748-'Tablas Servicio'!DE748),DE749/(1-IF(B749&lt;=10,Parámetros!$D$100,0))),2))</f>
        <v/>
      </c>
      <c r="DH749" s="66" t="str">
        <f t="shared" si="1076"/>
        <v/>
      </c>
      <c r="DI749" s="66" t="str">
        <f t="shared" si="1076"/>
        <v/>
      </c>
      <c r="DJ749" s="66" t="str">
        <f>+IF($W749="","",ROUND((DG749*Parámetros!$G$85),2))</f>
        <v/>
      </c>
      <c r="DK749" s="66" t="str">
        <f>+IF($W749="","",ROUND((DG749*(Parámetros!$G$86)),2))</f>
        <v/>
      </c>
      <c r="DL749" s="66" t="str">
        <f t="shared" si="1077"/>
        <v/>
      </c>
      <c r="DM749" t="str">
        <f t="shared" si="1023"/>
        <v/>
      </c>
      <c r="DN749" s="118" t="str">
        <f t="shared" si="1024"/>
        <v/>
      </c>
      <c r="DO749" s="118" t="str">
        <f t="shared" si="1025"/>
        <v/>
      </c>
      <c r="DP749" s="118" t="str">
        <f t="shared" si="1026"/>
        <v/>
      </c>
      <c r="DQ749" s="122" t="str">
        <f>+IF(OR($W749="",DO749=0),"",ROUND((VLOOKUP(ROUNDDOWN($D749-1/frec,0),cob_adi,DB$40,FALSE)*(1+i/frec)^-0.5*(1+Parámetros!$D$103)*(1+rec_fracc)/frec),6))</f>
        <v/>
      </c>
      <c r="DR749" s="66" t="str">
        <f t="shared" si="1078"/>
        <v/>
      </c>
      <c r="DS749" s="68" t="str">
        <f t="shared" si="1079"/>
        <v/>
      </c>
      <c r="DT749" s="66" t="str">
        <f>+IF($W749="","",ROUND(IF($B749&gt;Parámetros!$D$107,'Tablas Servicio'!DR749+('Tablas Servicio'!DT748-'Tablas Servicio'!DR748),DR749/(1-IF(B749&lt;=10,Parámetros!$D$100,0))),2))</f>
        <v/>
      </c>
      <c r="DU749" s="66" t="str">
        <f t="shared" si="1080"/>
        <v/>
      </c>
      <c r="DV749" s="66" t="str">
        <f t="shared" si="1080"/>
        <v/>
      </c>
      <c r="DW749" s="66" t="str">
        <f>+IF($W749="","",ROUND((DT749*Parámetros!$G$85),2))</f>
        <v/>
      </c>
      <c r="DX749" s="66" t="str">
        <f>+IF($W749="","",ROUND((DT749*(Parámetros!$G$86)),2))</f>
        <v/>
      </c>
      <c r="DY749" s="66" t="str">
        <f t="shared" si="1081"/>
        <v/>
      </c>
      <c r="DZ749" t="str">
        <f t="shared" si="1082"/>
        <v/>
      </c>
      <c r="EA749" s="118" t="str">
        <f t="shared" si="1082"/>
        <v/>
      </c>
      <c r="EB749" s="118" t="str">
        <f>+IF($W749="","",ROUND(IF(Parámetros!$D$25='TABLAS MORT'!$V$33,EB748,Z749/2),0))</f>
        <v/>
      </c>
      <c r="EC749" s="118" t="str">
        <f t="shared" si="1082"/>
        <v/>
      </c>
      <c r="ED749" s="122" t="str">
        <f>+IF(OR($W749="",EB749=0),"",ROUND((VLOOKUP(ROUNDDOWN($D749-1/frec,0),cob_adi,DO$40,FALSE)*(1+i/frec)^-0.5*(1+Parámetros!$D$103)*(1+rec_fracc)/frec),6))</f>
        <v/>
      </c>
      <c r="EE749" s="66" t="str">
        <f t="shared" si="1083"/>
        <v/>
      </c>
      <c r="EF749" s="68" t="str">
        <f t="shared" si="1084"/>
        <v/>
      </c>
      <c r="EG749" s="66" t="str">
        <f>+IF($W749="","",ROUND(IF($B749&gt;Parámetros!$D$107,'Tablas Servicio'!EE749+('Tablas Servicio'!EG748-'Tablas Servicio'!EE748),EE749/(1-IF(B749&lt;=10,Parámetros!$D$100,0))),2))</f>
        <v/>
      </c>
      <c r="EH749" s="66" t="str">
        <f t="shared" si="1085"/>
        <v/>
      </c>
      <c r="EI749" s="66" t="str">
        <f t="shared" si="1085"/>
        <v/>
      </c>
      <c r="EJ749" s="66" t="str">
        <f>+IF($W749="","",ROUND((EG749*Parámetros!$G$85),2))</f>
        <v/>
      </c>
      <c r="EK749" s="66" t="str">
        <f>+IF($W749="","",ROUND((EG749*(Parámetros!$G$86)),2))</f>
        <v/>
      </c>
      <c r="EL749" s="66" t="str">
        <f t="shared" si="1086"/>
        <v/>
      </c>
    </row>
    <row r="750" spans="1:142" x14ac:dyDescent="0.25">
      <c r="A750" t="str">
        <f>+IF($C750="","",ROUND(VLOOKUP('Tablas Servicio'!B750,Parámetros!$H$100:$J$159,IF(Parámetros!$E$16="F",2,3),FALSE),2))</f>
        <v/>
      </c>
      <c r="B750" t="str">
        <f t="shared" si="1037"/>
        <v/>
      </c>
      <c r="C750" s="57" t="str">
        <f>+IF(D750="","",'Tablas Servicio'!C749+1)</f>
        <v/>
      </c>
      <c r="D750" s="56" t="str">
        <f>+IF(D749&lt;edadmaxtabla,D749+1/Parámetros!$E$25,"")</f>
        <v/>
      </c>
      <c r="E750" s="57" t="str">
        <f t="shared" si="1047"/>
        <v/>
      </c>
      <c r="F750" s="59" t="str">
        <f t="shared" si="1048"/>
        <v/>
      </c>
      <c r="G750" s="66" t="str">
        <f t="shared" si="1038"/>
        <v/>
      </c>
      <c r="H750" s="66" t="str">
        <f t="shared" si="1039"/>
        <v/>
      </c>
      <c r="I750" s="66" t="str">
        <f t="shared" si="992"/>
        <v/>
      </c>
      <c r="J750" s="66" t="str">
        <f t="shared" si="1040"/>
        <v/>
      </c>
      <c r="K750" s="66" t="str">
        <f t="shared" si="1041"/>
        <v/>
      </c>
      <c r="L750" s="66" t="str">
        <f t="shared" si="1042"/>
        <v/>
      </c>
      <c r="M750" s="66" t="str">
        <f t="shared" si="1043"/>
        <v/>
      </c>
      <c r="N750" s="66" t="str">
        <f>+IF(C750="","",ROUND(Parámetros!$D$23,2))</f>
        <v/>
      </c>
      <c r="O750" s="66" t="str">
        <f t="shared" si="1044"/>
        <v/>
      </c>
      <c r="P750" s="66" t="str">
        <f>+IF($C750="","",ROUND(IF(B750&gt;Parámetros!$D$117,0,N750*Parámetros!$D$116-G750*Parámetros!$D$100),2))</f>
        <v/>
      </c>
      <c r="Q750" s="75" t="str">
        <f t="shared" si="993"/>
        <v/>
      </c>
      <c r="R750" s="75" t="str">
        <f t="shared" si="994"/>
        <v/>
      </c>
      <c r="S750" s="117" t="str">
        <f>+IF($C750="","",ROUND((S749+I750)*(1+Parámetros!$D$91),2))</f>
        <v/>
      </c>
      <c r="T750" s="117" t="str">
        <f>+IF($C750="","",ROUND(S750*VLOOKUP(B750,Parámetros!$C$30:$D$39,2,TRUE),2))</f>
        <v/>
      </c>
      <c r="U750" s="117" t="str">
        <f>+IF($C750="","",ROUND((U749+I750)*(1+Parámetros!$D$92),2))</f>
        <v/>
      </c>
      <c r="V750" s="117" t="str">
        <f>+IF($C750="","",ROUND(U750*VLOOKUP(B750,Parámetros!$C$30:$D$39,2,TRUE),2))</f>
        <v/>
      </c>
      <c r="W750" s="57" t="str">
        <f t="shared" si="995"/>
        <v/>
      </c>
      <c r="X750" t="str">
        <f t="shared" si="996"/>
        <v/>
      </c>
      <c r="Y750" t="str">
        <f t="shared" si="997"/>
        <v/>
      </c>
      <c r="Z750" s="118" t="str">
        <f>+IF($W750="","",ROUND(IF(Parámetros!$D$25='TABLAS MORT'!$V$33,Z749,Parámetros!$D$21-'Tablas Servicio'!T749),0))</f>
        <v/>
      </c>
      <c r="AA750" s="118" t="str">
        <f t="shared" si="998"/>
        <v/>
      </c>
      <c r="AB750" s="119" t="str">
        <f>+IF(W750="","",ROUND((VLOOKUP(ROUNDDOWN($D750-1/frec,0),qx_tabla,2,FALSE)*(1+i/frec)^-0.5*(1+Parámetros!$D$103)*(1+rec_fracc)/frec),6))</f>
        <v/>
      </c>
      <c r="AC750" s="66" t="str">
        <f t="shared" si="1049"/>
        <v/>
      </c>
      <c r="AD750" s="119" t="str">
        <f t="shared" si="1045"/>
        <v/>
      </c>
      <c r="AE750" s="66" t="str">
        <f>+IF($W750="","",ROUND(IF($B750&gt;Parámetros!$D$107,'Tablas Servicio'!AC750+('Tablas Servicio'!AG749-'Tablas Servicio'!AC749),AC750/(1-IF(B750&lt;=10,Parámetros!$D$104,Parámetros!$D$105))),2))</f>
        <v/>
      </c>
      <c r="AF750" s="66" t="str">
        <f>+IF($W750="","",ROUND(IF($B750&gt;Parámetros!$D$107,'Tablas Servicio'!AC750+('Tablas Servicio'!AG749-'Tablas Servicio'!AC749),(AC750+$A749/frec)/(1-IF(B750&lt;=Parámetros!$D$117,Parámetros!$D$100,0))),2))</f>
        <v/>
      </c>
      <c r="AG750" s="66" t="str">
        <f t="shared" si="1050"/>
        <v/>
      </c>
      <c r="AH750" s="66" t="str">
        <f t="shared" si="1051"/>
        <v/>
      </c>
      <c r="AI750" s="66" t="str">
        <f t="shared" si="1052"/>
        <v/>
      </c>
      <c r="AJ750" s="66" t="str">
        <f>+IF($W750="","",ROUND((AG750*Parámetros!$G$85),2))</f>
        <v/>
      </c>
      <c r="AK750" s="66" t="str">
        <f>+IF($W750="","",ROUND((AG750*(Parámetros!$G$86)),2))</f>
        <v/>
      </c>
      <c r="AL750" s="66" t="str">
        <f t="shared" si="1046"/>
        <v/>
      </c>
      <c r="AM750" t="str">
        <f t="shared" si="999"/>
        <v/>
      </c>
      <c r="AN750" t="str">
        <f t="shared" si="1000"/>
        <v/>
      </c>
      <c r="AO750" s="118" t="str">
        <f t="shared" si="1001"/>
        <v/>
      </c>
      <c r="AP750" s="118" t="str">
        <f t="shared" si="1002"/>
        <v/>
      </c>
      <c r="AQ750" s="119" t="str">
        <f>+IF(OR($W750="",AO750=0),"",ROUND((VLOOKUP(ROUNDDOWN($D750-1/frec,0),cob_adi,Z$40,FALSE)*(1+i/frec)^-0.5*(1+Parámetros!$D$103)*(1+rec_fracc)/frec),6))</f>
        <v/>
      </c>
      <c r="AR750" s="66" t="str">
        <f t="shared" si="1053"/>
        <v/>
      </c>
      <c r="AS750" s="119" t="str">
        <f t="shared" si="1054"/>
        <v/>
      </c>
      <c r="AT750" s="66" t="str">
        <f>+IF($W750="","",ROUND(IF($B750&gt;Parámetros!$D$107,'Tablas Servicio'!AR750+('Tablas Servicio'!AT749-'Tablas Servicio'!AR749),AR750/(1-IF(B750&lt;=10,Parámetros!$D$100,0))),2))</f>
        <v/>
      </c>
      <c r="AU750" s="66" t="str">
        <f t="shared" si="1055"/>
        <v/>
      </c>
      <c r="AV750" s="66" t="str">
        <f t="shared" si="1055"/>
        <v/>
      </c>
      <c r="AW750" s="66" t="str">
        <f>+IF($W750="","",ROUND((AT750*Parámetros!$G$85),2))</f>
        <v/>
      </c>
      <c r="AX750" s="66" t="str">
        <f>+IF($W750="","",ROUND((AT750*(Parámetros!$G$86)),2))</f>
        <v/>
      </c>
      <c r="AY750" s="66" t="str">
        <f t="shared" si="1056"/>
        <v/>
      </c>
      <c r="AZ750" t="str">
        <f t="shared" si="1003"/>
        <v/>
      </c>
      <c r="BA750" t="str">
        <f t="shared" si="1004"/>
        <v/>
      </c>
      <c r="BB750" s="118" t="str">
        <f t="shared" si="1005"/>
        <v/>
      </c>
      <c r="BC750" s="118" t="str">
        <f t="shared" si="1006"/>
        <v/>
      </c>
      <c r="BD750" s="119" t="str">
        <f>+IF(OR($W750="",BB750=0),"",ROUND((VLOOKUP(ROUNDDOWN($D750-1/frec,0),cob_adi,AO$40,FALSE)*(1+i/frec)^-0.5*(1+Parámetros!$D$103)*(1+rec_fracc)/frec),6))</f>
        <v/>
      </c>
      <c r="BE750" s="66" t="str">
        <f t="shared" si="1057"/>
        <v/>
      </c>
      <c r="BF750" s="119" t="str">
        <f t="shared" si="1058"/>
        <v/>
      </c>
      <c r="BG750" s="66" t="str">
        <f>+IF($W750="","",ROUND(IF($B750&gt;Parámetros!$D$107,'Tablas Servicio'!BE750+('Tablas Servicio'!BG749-'Tablas Servicio'!BE749),BE750/(1-IF(B750&lt;=10,Parámetros!$D$100,0))),2))</f>
        <v/>
      </c>
      <c r="BH750" s="66" t="str">
        <f t="shared" si="1059"/>
        <v/>
      </c>
      <c r="BI750" s="66" t="str">
        <f t="shared" si="1060"/>
        <v/>
      </c>
      <c r="BJ750" s="66" t="str">
        <f>+IF($W750="","",ROUND((BG750*Parámetros!$G$85),2))</f>
        <v/>
      </c>
      <c r="BK750" s="66" t="str">
        <f>+IF($W750="","",ROUND((BG750*(Parámetros!$G$86)),2))</f>
        <v/>
      </c>
      <c r="BL750" s="66" t="str">
        <f t="shared" si="1061"/>
        <v/>
      </c>
      <c r="BM750" t="str">
        <f t="shared" si="1007"/>
        <v/>
      </c>
      <c r="BN750" t="str">
        <f t="shared" si="1008"/>
        <v/>
      </c>
      <c r="BO750" s="118" t="str">
        <f t="shared" si="1009"/>
        <v/>
      </c>
      <c r="BP750" s="118" t="str">
        <f t="shared" si="1010"/>
        <v/>
      </c>
      <c r="BQ750" s="119" t="str">
        <f>+IF(OR($W750="",BO750=0),"",ROUND((VLOOKUP(ROUNDDOWN($D750-1/frec,0),cob_adi,BB$40,FALSE)*(1+i/frec)^-0.5*(1+Parámetros!$D$103)*(1+rec_fracc)/frec),6))</f>
        <v/>
      </c>
      <c r="BR750" s="66" t="str">
        <f t="shared" si="1062"/>
        <v/>
      </c>
      <c r="BS750" s="119" t="str">
        <f t="shared" si="1063"/>
        <v/>
      </c>
      <c r="BT750" s="66" t="str">
        <f>+IF($W750="","",ROUND(IF($B750&gt;Parámetros!$D$107,'Tablas Servicio'!BR750+('Tablas Servicio'!BT749-'Tablas Servicio'!BR749),BR750/(1-IF(B750&lt;=10,Parámetros!$D$100,0))),2))</f>
        <v/>
      </c>
      <c r="BU750" s="66" t="str">
        <f t="shared" si="1064"/>
        <v/>
      </c>
      <c r="BV750" s="66" t="str">
        <f t="shared" si="1064"/>
        <v/>
      </c>
      <c r="BW750" s="66" t="str">
        <f>+IF($W750="","",ROUND((BT750*Parámetros!$G$85),2))</f>
        <v/>
      </c>
      <c r="BX750" s="66" t="str">
        <f>+IF($W750="","",ROUND((BT750*(Parámetros!$G$86)),2))</f>
        <v/>
      </c>
      <c r="BY750" s="66" t="str">
        <f t="shared" si="1065"/>
        <v/>
      </c>
      <c r="BZ750" t="str">
        <f t="shared" si="1011"/>
        <v/>
      </c>
      <c r="CA750" t="str">
        <f t="shared" si="1012"/>
        <v/>
      </c>
      <c r="CB750" s="118" t="str">
        <f t="shared" si="1013"/>
        <v/>
      </c>
      <c r="CC750" s="118" t="str">
        <f t="shared" si="1014"/>
        <v/>
      </c>
      <c r="CD750" s="119" t="str">
        <f t="shared" si="1066"/>
        <v/>
      </c>
      <c r="CE750" s="66" t="str">
        <f>+IF($W750="","",ROUND((VLOOKUP(ROUNDDOWN($D750-1/frec,0),cob_adi,BO$40,FALSE)*(1+i/frec)^-0.5*(1+Parámetros!$D$103)*(1+rec_fracc)/frec*'TABLAS ADI'!$BC$17),2))</f>
        <v/>
      </c>
      <c r="CF750" s="119" t="str">
        <f t="shared" si="1067"/>
        <v/>
      </c>
      <c r="CG750" s="66" t="str">
        <f>+IF($W750="","",ROUND(IF($B750&gt;Parámetros!$D$107,'Tablas Servicio'!CE750+('Tablas Servicio'!CG749-'Tablas Servicio'!CE749),CE750/(1-IF(B750&lt;=10,Parámetros!$D$100,0))),2))</f>
        <v/>
      </c>
      <c r="CH750" s="66" t="str">
        <f t="shared" si="1068"/>
        <v/>
      </c>
      <c r="CI750" s="66" t="str">
        <f t="shared" si="1068"/>
        <v/>
      </c>
      <c r="CJ750" s="66" t="str">
        <f>+IF($W750="","",ROUND((CG750*Parámetros!$G$85),2))</f>
        <v/>
      </c>
      <c r="CK750" s="66" t="str">
        <f>+IF($W750="","",ROUND((CG750*(Parámetros!$G$86)),2))</f>
        <v/>
      </c>
      <c r="CL750" s="66" t="str">
        <f t="shared" si="1069"/>
        <v/>
      </c>
      <c r="CM750" t="str">
        <f t="shared" si="1015"/>
        <v/>
      </c>
      <c r="CN750" s="118" t="str">
        <f t="shared" si="1016"/>
        <v/>
      </c>
      <c r="CO750" s="118" t="str">
        <f t="shared" si="1017"/>
        <v/>
      </c>
      <c r="CP750" s="118" t="str">
        <f t="shared" si="1018"/>
        <v/>
      </c>
      <c r="CQ750" s="119" t="str">
        <f t="shared" si="1070"/>
        <v/>
      </c>
      <c r="CR750" s="66" t="str">
        <f>+IF($W750="","",ROUND((VLOOKUP(Parámetros!$F$51,'COBERTURAS ADICIONALES'!$S$4:$T$32,2,FALSE)*(1+i/frec)^-0.5*(1+Parámetros!$D$103)*(1+rec_fracc)/frec*$CO$42),2))</f>
        <v/>
      </c>
      <c r="CS750" s="119" t="str">
        <f t="shared" si="1071"/>
        <v/>
      </c>
      <c r="CT750" s="66" t="str">
        <f>+IF($W750="","",ROUND(IF($B750&gt;Parámetros!$D$107,'Tablas Servicio'!CR750+('Tablas Servicio'!CT749-'Tablas Servicio'!CR749),CR750/(1-IF(B750&lt;=10,Parámetros!$D$100,0))),2))</f>
        <v/>
      </c>
      <c r="CU750" s="66" t="str">
        <f t="shared" si="1072"/>
        <v/>
      </c>
      <c r="CV750" s="66" t="str">
        <f t="shared" si="1072"/>
        <v/>
      </c>
      <c r="CW750" s="66" t="str">
        <f>+IF($W750="","",ROUND((CT750*Parámetros!$G$85),2))</f>
        <v/>
      </c>
      <c r="CX750" s="66" t="str">
        <f>+IF($W750="","",ROUND((CT750*(Parámetros!$G$86)),2))</f>
        <v/>
      </c>
      <c r="CY750" s="66" t="str">
        <f t="shared" si="1073"/>
        <v/>
      </c>
      <c r="CZ750" t="str">
        <f t="shared" si="1019"/>
        <v/>
      </c>
      <c r="DA750" s="118" t="str">
        <f t="shared" si="1020"/>
        <v/>
      </c>
      <c r="DB750" s="118" t="str">
        <f t="shared" si="1021"/>
        <v/>
      </c>
      <c r="DC750" s="118" t="str">
        <f t="shared" si="1022"/>
        <v/>
      </c>
      <c r="DD750" s="121" t="str">
        <f>+IF(OR($W750="",DB750=0),"",ROUND((VLOOKUP(ROUNDDOWN($D750-1/frec,0),cob_adi,CO$40,FALSE)*(1+i/frec)^-0.5*(1+Parámetros!$D$103)*(1+rec_fracc)/frec),6))</f>
        <v/>
      </c>
      <c r="DE750" s="66" t="str">
        <f t="shared" si="1074"/>
        <v/>
      </c>
      <c r="DF750" s="119" t="str">
        <f t="shared" si="1075"/>
        <v/>
      </c>
      <c r="DG750" s="66" t="str">
        <f>+IF($W750="","",ROUND(IF($B750&gt;Parámetros!$D$107,'Tablas Servicio'!DE750+('Tablas Servicio'!DG749-'Tablas Servicio'!DE749),DE750/(1-IF(B750&lt;=10,Parámetros!$D$100,0))),2))</f>
        <v/>
      </c>
      <c r="DH750" s="66" t="str">
        <f t="shared" si="1076"/>
        <v/>
      </c>
      <c r="DI750" s="66" t="str">
        <f t="shared" si="1076"/>
        <v/>
      </c>
      <c r="DJ750" s="66" t="str">
        <f>+IF($W750="","",ROUND((DG750*Parámetros!$G$85),2))</f>
        <v/>
      </c>
      <c r="DK750" s="66" t="str">
        <f>+IF($W750="","",ROUND((DG750*(Parámetros!$G$86)),2))</f>
        <v/>
      </c>
      <c r="DL750" s="66" t="str">
        <f t="shared" si="1077"/>
        <v/>
      </c>
      <c r="DM750" t="str">
        <f t="shared" si="1023"/>
        <v/>
      </c>
      <c r="DN750" s="118" t="str">
        <f t="shared" si="1024"/>
        <v/>
      </c>
      <c r="DO750" s="118" t="str">
        <f t="shared" si="1025"/>
        <v/>
      </c>
      <c r="DP750" s="118" t="str">
        <f t="shared" si="1026"/>
        <v/>
      </c>
      <c r="DQ750" s="122" t="str">
        <f>+IF(OR($W750="",DO750=0),"",ROUND((VLOOKUP(ROUNDDOWN($D750-1/frec,0),cob_adi,DB$40,FALSE)*(1+i/frec)^-0.5*(1+Parámetros!$D$103)*(1+rec_fracc)/frec),6))</f>
        <v/>
      </c>
      <c r="DR750" s="66" t="str">
        <f t="shared" si="1078"/>
        <v/>
      </c>
      <c r="DS750" s="68" t="str">
        <f t="shared" si="1079"/>
        <v/>
      </c>
      <c r="DT750" s="66" t="str">
        <f>+IF($W750="","",ROUND(IF($B750&gt;Parámetros!$D$107,'Tablas Servicio'!DR750+('Tablas Servicio'!DT749-'Tablas Servicio'!DR749),DR750/(1-IF(B750&lt;=10,Parámetros!$D$100,0))),2))</f>
        <v/>
      </c>
      <c r="DU750" s="66" t="str">
        <f t="shared" si="1080"/>
        <v/>
      </c>
      <c r="DV750" s="66" t="str">
        <f t="shared" si="1080"/>
        <v/>
      </c>
      <c r="DW750" s="66" t="str">
        <f>+IF($W750="","",ROUND((DT750*Parámetros!$G$85),2))</f>
        <v/>
      </c>
      <c r="DX750" s="66" t="str">
        <f>+IF($W750="","",ROUND((DT750*(Parámetros!$G$86)),2))</f>
        <v/>
      </c>
      <c r="DY750" s="66" t="str">
        <f t="shared" si="1081"/>
        <v/>
      </c>
      <c r="DZ750" t="str">
        <f t="shared" si="1082"/>
        <v/>
      </c>
      <c r="EA750" s="118" t="str">
        <f t="shared" si="1082"/>
        <v/>
      </c>
      <c r="EB750" s="118" t="str">
        <f>+IF($W750="","",ROUND(IF(Parámetros!$D$25='TABLAS MORT'!$V$33,EB749,Z750/2),0))</f>
        <v/>
      </c>
      <c r="EC750" s="118" t="str">
        <f t="shared" si="1082"/>
        <v/>
      </c>
      <c r="ED750" s="122" t="str">
        <f>+IF(OR($W750="",EB750=0),"",ROUND((VLOOKUP(ROUNDDOWN($D750-1/frec,0),cob_adi,DO$40,FALSE)*(1+i/frec)^-0.5*(1+Parámetros!$D$103)*(1+rec_fracc)/frec),6))</f>
        <v/>
      </c>
      <c r="EE750" s="66" t="str">
        <f t="shared" si="1083"/>
        <v/>
      </c>
      <c r="EF750" s="68" t="str">
        <f t="shared" si="1084"/>
        <v/>
      </c>
      <c r="EG750" s="66" t="str">
        <f>+IF($W750="","",ROUND(IF($B750&gt;Parámetros!$D$107,'Tablas Servicio'!EE750+('Tablas Servicio'!EG749-'Tablas Servicio'!EE749),EE750/(1-IF(B750&lt;=10,Parámetros!$D$100,0))),2))</f>
        <v/>
      </c>
      <c r="EH750" s="66" t="str">
        <f t="shared" si="1085"/>
        <v/>
      </c>
      <c r="EI750" s="66" t="str">
        <f t="shared" si="1085"/>
        <v/>
      </c>
      <c r="EJ750" s="66" t="str">
        <f>+IF($W750="","",ROUND((EG750*Parámetros!$G$85),2))</f>
        <v/>
      </c>
      <c r="EK750" s="66" t="str">
        <f>+IF($W750="","",ROUND((EG750*(Parámetros!$G$86)),2))</f>
        <v/>
      </c>
      <c r="EL750" s="66" t="str">
        <f t="shared" si="1086"/>
        <v/>
      </c>
    </row>
    <row r="751" spans="1:142" x14ac:dyDescent="0.25">
      <c r="A751" t="str">
        <f>+IF($C751="","",ROUND(VLOOKUP('Tablas Servicio'!B751,Parámetros!$H$100:$J$159,IF(Parámetros!$E$16="F",2,3),FALSE),2))</f>
        <v/>
      </c>
      <c r="B751" t="str">
        <f t="shared" si="1037"/>
        <v/>
      </c>
      <c r="C751" s="57" t="str">
        <f>+IF(D751="","",'Tablas Servicio'!C750+1)</f>
        <v/>
      </c>
      <c r="D751" s="56" t="str">
        <f>+IF(D750&lt;edadmaxtabla,D750+1/Parámetros!$E$25,"")</f>
        <v/>
      </c>
      <c r="E751" s="57" t="str">
        <f t="shared" si="1047"/>
        <v/>
      </c>
      <c r="F751" s="59" t="str">
        <f t="shared" si="1048"/>
        <v/>
      </c>
      <c r="G751" s="66" t="str">
        <f t="shared" si="1038"/>
        <v/>
      </c>
      <c r="H751" s="66" t="str">
        <f t="shared" si="1039"/>
        <v/>
      </c>
      <c r="I751" s="66" t="str">
        <f t="shared" si="992"/>
        <v/>
      </c>
      <c r="J751" s="66" t="str">
        <f t="shared" si="1040"/>
        <v/>
      </c>
      <c r="K751" s="66" t="str">
        <f t="shared" si="1041"/>
        <v/>
      </c>
      <c r="L751" s="66" t="str">
        <f t="shared" si="1042"/>
        <v/>
      </c>
      <c r="M751" s="66" t="str">
        <f t="shared" si="1043"/>
        <v/>
      </c>
      <c r="N751" s="66" t="str">
        <f>+IF(C751="","",ROUND(Parámetros!$D$23,2))</f>
        <v/>
      </c>
      <c r="O751" s="66" t="str">
        <f t="shared" si="1044"/>
        <v/>
      </c>
      <c r="P751" s="66" t="str">
        <f>+IF($C751="","",ROUND(IF(B751&gt;Parámetros!$D$117,0,N751*Parámetros!$D$116-G751*Parámetros!$D$100),2))</f>
        <v/>
      </c>
      <c r="Q751" s="75" t="str">
        <f t="shared" si="993"/>
        <v/>
      </c>
      <c r="R751" s="75" t="str">
        <f t="shared" si="994"/>
        <v/>
      </c>
      <c r="S751" s="117" t="str">
        <f>+IF($C751="","",ROUND((S750+I751)*(1+Parámetros!$D$91),2))</f>
        <v/>
      </c>
      <c r="T751" s="117" t="str">
        <f>+IF($C751="","",ROUND(S751*VLOOKUP(B751,Parámetros!$C$30:$D$39,2,TRUE),2))</f>
        <v/>
      </c>
      <c r="U751" s="117" t="str">
        <f>+IF($C751="","",ROUND((U750+I751)*(1+Parámetros!$D$92),2))</f>
        <v/>
      </c>
      <c r="V751" s="117" t="str">
        <f>+IF($C751="","",ROUND(U751*VLOOKUP(B751,Parámetros!$C$30:$D$39,2,TRUE),2))</f>
        <v/>
      </c>
      <c r="W751" s="57" t="str">
        <f t="shared" si="995"/>
        <v/>
      </c>
      <c r="X751" t="str">
        <f t="shared" si="996"/>
        <v/>
      </c>
      <c r="Y751" t="str">
        <f t="shared" si="997"/>
        <v/>
      </c>
      <c r="Z751" s="118" t="str">
        <f>+IF($W751="","",ROUND(IF(Parámetros!$D$25='TABLAS MORT'!$V$33,Z750,Parámetros!$D$21-'Tablas Servicio'!T750),0))</f>
        <v/>
      </c>
      <c r="AA751" s="118" t="str">
        <f t="shared" si="998"/>
        <v/>
      </c>
      <c r="AB751" s="119" t="str">
        <f>+IF(W751="","",ROUND((VLOOKUP(ROUNDDOWN($D751-1/frec,0),qx_tabla,2,FALSE)*(1+i/frec)^-0.5*(1+Parámetros!$D$103)*(1+rec_fracc)/frec),6))</f>
        <v/>
      </c>
      <c r="AC751" s="66" t="str">
        <f t="shared" si="1049"/>
        <v/>
      </c>
      <c r="AD751" s="119" t="str">
        <f t="shared" si="1045"/>
        <v/>
      </c>
      <c r="AE751" s="66" t="str">
        <f>+IF($W751="","",ROUND(IF($B751&gt;Parámetros!$D$107,'Tablas Servicio'!AC751+('Tablas Servicio'!AG750-'Tablas Servicio'!AC750),AC751/(1-IF(B751&lt;=10,Parámetros!$D$104,Parámetros!$D$105))),2))</f>
        <v/>
      </c>
      <c r="AF751" s="66" t="str">
        <f>+IF($W751="","",ROUND(IF($B751&gt;Parámetros!$D$107,'Tablas Servicio'!AC751+('Tablas Servicio'!AG750-'Tablas Servicio'!AC750),(AC751+$A750/frec)/(1-IF(B751&lt;=Parámetros!$D$117,Parámetros!$D$100,0))),2))</f>
        <v/>
      </c>
      <c r="AG751" s="66" t="str">
        <f t="shared" si="1050"/>
        <v/>
      </c>
      <c r="AH751" s="66" t="str">
        <f t="shared" si="1051"/>
        <v/>
      </c>
      <c r="AI751" s="66" t="str">
        <f t="shared" si="1052"/>
        <v/>
      </c>
      <c r="AJ751" s="66" t="str">
        <f>+IF($W751="","",ROUND((AG751*Parámetros!$G$85),2))</f>
        <v/>
      </c>
      <c r="AK751" s="66" t="str">
        <f>+IF($W751="","",ROUND((AG751*(Parámetros!$G$86)),2))</f>
        <v/>
      </c>
      <c r="AL751" s="66" t="str">
        <f t="shared" si="1046"/>
        <v/>
      </c>
      <c r="AM751" t="str">
        <f t="shared" si="999"/>
        <v/>
      </c>
      <c r="AN751" t="str">
        <f t="shared" si="1000"/>
        <v/>
      </c>
      <c r="AO751" s="118" t="str">
        <f t="shared" si="1001"/>
        <v/>
      </c>
      <c r="AP751" s="118" t="str">
        <f t="shared" si="1002"/>
        <v/>
      </c>
      <c r="AQ751" s="119" t="str">
        <f>+IF(OR($W751="",AO751=0),"",ROUND((VLOOKUP(ROUNDDOWN($D751-1/frec,0),cob_adi,Z$40,FALSE)*(1+i/frec)^-0.5*(1+Parámetros!$D$103)*(1+rec_fracc)/frec),6))</f>
        <v/>
      </c>
      <c r="AR751" s="66" t="str">
        <f t="shared" si="1053"/>
        <v/>
      </c>
      <c r="AS751" s="119" t="str">
        <f t="shared" si="1054"/>
        <v/>
      </c>
      <c r="AT751" s="66" t="str">
        <f>+IF($W751="","",ROUND(IF($B751&gt;Parámetros!$D$107,'Tablas Servicio'!AR751+('Tablas Servicio'!AT750-'Tablas Servicio'!AR750),AR751/(1-IF(B751&lt;=10,Parámetros!$D$100,0))),2))</f>
        <v/>
      </c>
      <c r="AU751" s="66" t="str">
        <f t="shared" si="1055"/>
        <v/>
      </c>
      <c r="AV751" s="66" t="str">
        <f t="shared" si="1055"/>
        <v/>
      </c>
      <c r="AW751" s="66" t="str">
        <f>+IF($W751="","",ROUND((AT751*Parámetros!$G$85),2))</f>
        <v/>
      </c>
      <c r="AX751" s="66" t="str">
        <f>+IF($W751="","",ROUND((AT751*(Parámetros!$G$86)),2))</f>
        <v/>
      </c>
      <c r="AY751" s="66" t="str">
        <f t="shared" si="1056"/>
        <v/>
      </c>
      <c r="AZ751" t="str">
        <f t="shared" si="1003"/>
        <v/>
      </c>
      <c r="BA751" t="str">
        <f t="shared" si="1004"/>
        <v/>
      </c>
      <c r="BB751" s="118" t="str">
        <f t="shared" si="1005"/>
        <v/>
      </c>
      <c r="BC751" s="118" t="str">
        <f t="shared" si="1006"/>
        <v/>
      </c>
      <c r="BD751" s="119" t="str">
        <f>+IF(OR($W751="",BB751=0),"",ROUND((VLOOKUP(ROUNDDOWN($D751-1/frec,0),cob_adi,AO$40,FALSE)*(1+i/frec)^-0.5*(1+Parámetros!$D$103)*(1+rec_fracc)/frec),6))</f>
        <v/>
      </c>
      <c r="BE751" s="66" t="str">
        <f t="shared" si="1057"/>
        <v/>
      </c>
      <c r="BF751" s="119" t="str">
        <f t="shared" si="1058"/>
        <v/>
      </c>
      <c r="BG751" s="66" t="str">
        <f>+IF($W751="","",ROUND(IF($B751&gt;Parámetros!$D$107,'Tablas Servicio'!BE751+('Tablas Servicio'!BG750-'Tablas Servicio'!BE750),BE751/(1-IF(B751&lt;=10,Parámetros!$D$100,0))),2))</f>
        <v/>
      </c>
      <c r="BH751" s="66" t="str">
        <f t="shared" si="1059"/>
        <v/>
      </c>
      <c r="BI751" s="66" t="str">
        <f t="shared" si="1060"/>
        <v/>
      </c>
      <c r="BJ751" s="66" t="str">
        <f>+IF($W751="","",ROUND((BG751*Parámetros!$G$85),2))</f>
        <v/>
      </c>
      <c r="BK751" s="66" t="str">
        <f>+IF($W751="","",ROUND((BG751*(Parámetros!$G$86)),2))</f>
        <v/>
      </c>
      <c r="BL751" s="66" t="str">
        <f t="shared" si="1061"/>
        <v/>
      </c>
      <c r="BM751" t="str">
        <f t="shared" si="1007"/>
        <v/>
      </c>
      <c r="BN751" t="str">
        <f t="shared" si="1008"/>
        <v/>
      </c>
      <c r="BO751" s="118" t="str">
        <f t="shared" si="1009"/>
        <v/>
      </c>
      <c r="BP751" s="118" t="str">
        <f t="shared" si="1010"/>
        <v/>
      </c>
      <c r="BQ751" s="119" t="str">
        <f>+IF(OR($W751="",BO751=0),"",ROUND((VLOOKUP(ROUNDDOWN($D751-1/frec,0),cob_adi,BB$40,FALSE)*(1+i/frec)^-0.5*(1+Parámetros!$D$103)*(1+rec_fracc)/frec),6))</f>
        <v/>
      </c>
      <c r="BR751" s="66" t="str">
        <f t="shared" si="1062"/>
        <v/>
      </c>
      <c r="BS751" s="119" t="str">
        <f t="shared" si="1063"/>
        <v/>
      </c>
      <c r="BT751" s="66" t="str">
        <f>+IF($W751="","",ROUND(IF($B751&gt;Parámetros!$D$107,'Tablas Servicio'!BR751+('Tablas Servicio'!BT750-'Tablas Servicio'!BR750),BR751/(1-IF(B751&lt;=10,Parámetros!$D$100,0))),2))</f>
        <v/>
      </c>
      <c r="BU751" s="66" t="str">
        <f t="shared" si="1064"/>
        <v/>
      </c>
      <c r="BV751" s="66" t="str">
        <f t="shared" si="1064"/>
        <v/>
      </c>
      <c r="BW751" s="66" t="str">
        <f>+IF($W751="","",ROUND((BT751*Parámetros!$G$85),2))</f>
        <v/>
      </c>
      <c r="BX751" s="66" t="str">
        <f>+IF($W751="","",ROUND((BT751*(Parámetros!$G$86)),2))</f>
        <v/>
      </c>
      <c r="BY751" s="66" t="str">
        <f t="shared" si="1065"/>
        <v/>
      </c>
      <c r="BZ751" t="str">
        <f t="shared" si="1011"/>
        <v/>
      </c>
      <c r="CA751" t="str">
        <f t="shared" si="1012"/>
        <v/>
      </c>
      <c r="CB751" s="118" t="str">
        <f t="shared" si="1013"/>
        <v/>
      </c>
      <c r="CC751" s="118" t="str">
        <f t="shared" si="1014"/>
        <v/>
      </c>
      <c r="CD751" s="119" t="str">
        <f t="shared" si="1066"/>
        <v/>
      </c>
      <c r="CE751" s="66" t="str">
        <f>+IF($W751="","",ROUND((VLOOKUP(ROUNDDOWN($D751-1/frec,0),cob_adi,BO$40,FALSE)*(1+i/frec)^-0.5*(1+Parámetros!$D$103)*(1+rec_fracc)/frec*'TABLAS ADI'!$BC$17),2))</f>
        <v/>
      </c>
      <c r="CF751" s="119" t="str">
        <f t="shared" si="1067"/>
        <v/>
      </c>
      <c r="CG751" s="66" t="str">
        <f>+IF($W751="","",ROUND(IF($B751&gt;Parámetros!$D$107,'Tablas Servicio'!CE751+('Tablas Servicio'!CG750-'Tablas Servicio'!CE750),CE751/(1-IF(B751&lt;=10,Parámetros!$D$100,0))),2))</f>
        <v/>
      </c>
      <c r="CH751" s="66" t="str">
        <f t="shared" si="1068"/>
        <v/>
      </c>
      <c r="CI751" s="66" t="str">
        <f t="shared" si="1068"/>
        <v/>
      </c>
      <c r="CJ751" s="66" t="str">
        <f>+IF($W751="","",ROUND((CG751*Parámetros!$G$85),2))</f>
        <v/>
      </c>
      <c r="CK751" s="66" t="str">
        <f>+IF($W751="","",ROUND((CG751*(Parámetros!$G$86)),2))</f>
        <v/>
      </c>
      <c r="CL751" s="66" t="str">
        <f t="shared" si="1069"/>
        <v/>
      </c>
      <c r="CM751" t="str">
        <f t="shared" si="1015"/>
        <v/>
      </c>
      <c r="CN751" s="118" t="str">
        <f t="shared" si="1016"/>
        <v/>
      </c>
      <c r="CO751" s="118" t="str">
        <f t="shared" si="1017"/>
        <v/>
      </c>
      <c r="CP751" s="118" t="str">
        <f t="shared" si="1018"/>
        <v/>
      </c>
      <c r="CQ751" s="119" t="str">
        <f t="shared" si="1070"/>
        <v/>
      </c>
      <c r="CR751" s="66" t="str">
        <f>+IF($W751="","",ROUND((VLOOKUP(Parámetros!$F$51,'COBERTURAS ADICIONALES'!$S$4:$T$32,2,FALSE)*(1+i/frec)^-0.5*(1+Parámetros!$D$103)*(1+rec_fracc)/frec*$CO$42),2))</f>
        <v/>
      </c>
      <c r="CS751" s="119" t="str">
        <f t="shared" si="1071"/>
        <v/>
      </c>
      <c r="CT751" s="66" t="str">
        <f>+IF($W751="","",ROUND(IF($B751&gt;Parámetros!$D$107,'Tablas Servicio'!CR751+('Tablas Servicio'!CT750-'Tablas Servicio'!CR750),CR751/(1-IF(B751&lt;=10,Parámetros!$D$100,0))),2))</f>
        <v/>
      </c>
      <c r="CU751" s="66" t="str">
        <f t="shared" si="1072"/>
        <v/>
      </c>
      <c r="CV751" s="66" t="str">
        <f t="shared" si="1072"/>
        <v/>
      </c>
      <c r="CW751" s="66" t="str">
        <f>+IF($W751="","",ROUND((CT751*Parámetros!$G$85),2))</f>
        <v/>
      </c>
      <c r="CX751" s="66" t="str">
        <f>+IF($W751="","",ROUND((CT751*(Parámetros!$G$86)),2))</f>
        <v/>
      </c>
      <c r="CY751" s="66" t="str">
        <f t="shared" si="1073"/>
        <v/>
      </c>
      <c r="CZ751" t="str">
        <f t="shared" si="1019"/>
        <v/>
      </c>
      <c r="DA751" s="118" t="str">
        <f t="shared" si="1020"/>
        <v/>
      </c>
      <c r="DB751" s="118" t="str">
        <f t="shared" si="1021"/>
        <v/>
      </c>
      <c r="DC751" s="118" t="str">
        <f t="shared" si="1022"/>
        <v/>
      </c>
      <c r="DD751" s="121" t="str">
        <f>+IF(OR($W751="",DB751=0),"",ROUND((VLOOKUP(ROUNDDOWN($D751-1/frec,0),cob_adi,CO$40,FALSE)*(1+i/frec)^-0.5*(1+Parámetros!$D$103)*(1+rec_fracc)/frec),6))</f>
        <v/>
      </c>
      <c r="DE751" s="66" t="str">
        <f t="shared" si="1074"/>
        <v/>
      </c>
      <c r="DF751" s="119" t="str">
        <f t="shared" si="1075"/>
        <v/>
      </c>
      <c r="DG751" s="66" t="str">
        <f>+IF($W751="","",ROUND(IF($B751&gt;Parámetros!$D$107,'Tablas Servicio'!DE751+('Tablas Servicio'!DG750-'Tablas Servicio'!DE750),DE751/(1-IF(B751&lt;=10,Parámetros!$D$100,0))),2))</f>
        <v/>
      </c>
      <c r="DH751" s="66" t="str">
        <f t="shared" si="1076"/>
        <v/>
      </c>
      <c r="DI751" s="66" t="str">
        <f t="shared" si="1076"/>
        <v/>
      </c>
      <c r="DJ751" s="66" t="str">
        <f>+IF($W751="","",ROUND((DG751*Parámetros!$G$85),2))</f>
        <v/>
      </c>
      <c r="DK751" s="66" t="str">
        <f>+IF($W751="","",ROUND((DG751*(Parámetros!$G$86)),2))</f>
        <v/>
      </c>
      <c r="DL751" s="66" t="str">
        <f t="shared" si="1077"/>
        <v/>
      </c>
      <c r="DM751" t="str">
        <f t="shared" si="1023"/>
        <v/>
      </c>
      <c r="DN751" s="118" t="str">
        <f t="shared" si="1024"/>
        <v/>
      </c>
      <c r="DO751" s="118" t="str">
        <f t="shared" si="1025"/>
        <v/>
      </c>
      <c r="DP751" s="118" t="str">
        <f t="shared" si="1026"/>
        <v/>
      </c>
      <c r="DQ751" s="122" t="str">
        <f>+IF(OR($W751="",DO751=0),"",ROUND((VLOOKUP(ROUNDDOWN($D751-1/frec,0),cob_adi,DB$40,FALSE)*(1+i/frec)^-0.5*(1+Parámetros!$D$103)*(1+rec_fracc)/frec),6))</f>
        <v/>
      </c>
      <c r="DR751" s="66" t="str">
        <f t="shared" si="1078"/>
        <v/>
      </c>
      <c r="DS751" s="68" t="str">
        <f t="shared" si="1079"/>
        <v/>
      </c>
      <c r="DT751" s="66" t="str">
        <f>+IF($W751="","",ROUND(IF($B751&gt;Parámetros!$D$107,'Tablas Servicio'!DR751+('Tablas Servicio'!DT750-'Tablas Servicio'!DR750),DR751/(1-IF(B751&lt;=10,Parámetros!$D$100,0))),2))</f>
        <v/>
      </c>
      <c r="DU751" s="66" t="str">
        <f t="shared" si="1080"/>
        <v/>
      </c>
      <c r="DV751" s="66" t="str">
        <f t="shared" si="1080"/>
        <v/>
      </c>
      <c r="DW751" s="66" t="str">
        <f>+IF($W751="","",ROUND((DT751*Parámetros!$G$85),2))</f>
        <v/>
      </c>
      <c r="DX751" s="66" t="str">
        <f>+IF($W751="","",ROUND((DT751*(Parámetros!$G$86)),2))</f>
        <v/>
      </c>
      <c r="DY751" s="66" t="str">
        <f t="shared" si="1081"/>
        <v/>
      </c>
      <c r="DZ751" t="str">
        <f t="shared" si="1082"/>
        <v/>
      </c>
      <c r="EA751" s="118" t="str">
        <f t="shared" si="1082"/>
        <v/>
      </c>
      <c r="EB751" s="118" t="str">
        <f>+IF($W751="","",ROUND(IF(Parámetros!$D$25='TABLAS MORT'!$V$33,EB750,Z751/2),0))</f>
        <v/>
      </c>
      <c r="EC751" s="118" t="str">
        <f t="shared" si="1082"/>
        <v/>
      </c>
      <c r="ED751" s="122" t="str">
        <f>+IF(OR($W751="",EB751=0),"",ROUND((VLOOKUP(ROUNDDOWN($D751-1/frec,0),cob_adi,DO$40,FALSE)*(1+i/frec)^-0.5*(1+Parámetros!$D$103)*(1+rec_fracc)/frec),6))</f>
        <v/>
      </c>
      <c r="EE751" s="66" t="str">
        <f t="shared" si="1083"/>
        <v/>
      </c>
      <c r="EF751" s="68" t="str">
        <f t="shared" si="1084"/>
        <v/>
      </c>
      <c r="EG751" s="66" t="str">
        <f>+IF($W751="","",ROUND(IF($B751&gt;Parámetros!$D$107,'Tablas Servicio'!EE751+('Tablas Servicio'!EG750-'Tablas Servicio'!EE750),EE751/(1-IF(B751&lt;=10,Parámetros!$D$100,0))),2))</f>
        <v/>
      </c>
      <c r="EH751" s="66" t="str">
        <f t="shared" si="1085"/>
        <v/>
      </c>
      <c r="EI751" s="66" t="str">
        <f t="shared" si="1085"/>
        <v/>
      </c>
      <c r="EJ751" s="66" t="str">
        <f>+IF($W751="","",ROUND((EG751*Parámetros!$G$85),2))</f>
        <v/>
      </c>
      <c r="EK751" s="66" t="str">
        <f>+IF($W751="","",ROUND((EG751*(Parámetros!$G$86)),2))</f>
        <v/>
      </c>
      <c r="EL751" s="66" t="str">
        <f t="shared" si="1086"/>
        <v/>
      </c>
    </row>
    <row r="752" spans="1:142" x14ac:dyDescent="0.25">
      <c r="A752" t="str">
        <f>+IF($C752="","",ROUND(VLOOKUP('Tablas Servicio'!B752,Parámetros!$H$100:$J$159,IF(Parámetros!$E$16="F",2,3),FALSE),2))</f>
        <v/>
      </c>
      <c r="B752" t="str">
        <f t="shared" si="1037"/>
        <v/>
      </c>
      <c r="C752" s="57" t="str">
        <f>+IF(D752="","",'Tablas Servicio'!C751+1)</f>
        <v/>
      </c>
      <c r="D752" s="56" t="str">
        <f>+IF(D751&lt;edadmaxtabla,D751+1/Parámetros!$E$25,"")</f>
        <v/>
      </c>
      <c r="E752" s="57" t="str">
        <f t="shared" si="1047"/>
        <v/>
      </c>
      <c r="F752" s="59" t="str">
        <f t="shared" si="1048"/>
        <v/>
      </c>
      <c r="G752" s="66" t="str">
        <f t="shared" si="1038"/>
        <v/>
      </c>
      <c r="H752" s="66" t="str">
        <f t="shared" si="1039"/>
        <v/>
      </c>
      <c r="I752" s="66" t="str">
        <f t="shared" si="992"/>
        <v/>
      </c>
      <c r="J752" s="66" t="str">
        <f t="shared" si="1040"/>
        <v/>
      </c>
      <c r="K752" s="66" t="str">
        <f t="shared" si="1041"/>
        <v/>
      </c>
      <c r="L752" s="66" t="str">
        <f t="shared" si="1042"/>
        <v/>
      </c>
      <c r="M752" s="66" t="str">
        <f t="shared" si="1043"/>
        <v/>
      </c>
      <c r="N752" s="66" t="str">
        <f>+IF(C752="","",ROUND(Parámetros!$D$23,2))</f>
        <v/>
      </c>
      <c r="O752" s="66" t="str">
        <f t="shared" si="1044"/>
        <v/>
      </c>
      <c r="P752" s="66" t="str">
        <f>+IF($C752="","",ROUND(IF(B752&gt;Parámetros!$D$117,0,N752*Parámetros!$D$116-G752*Parámetros!$D$100),2))</f>
        <v/>
      </c>
      <c r="Q752" s="75" t="str">
        <f t="shared" si="993"/>
        <v/>
      </c>
      <c r="R752" s="75" t="str">
        <f t="shared" si="994"/>
        <v/>
      </c>
      <c r="S752" s="117" t="str">
        <f>+IF($C752="","",ROUND((S751+I752)*(1+Parámetros!$D$91),2))</f>
        <v/>
      </c>
      <c r="T752" s="117" t="str">
        <f>+IF($C752="","",ROUND(S752*VLOOKUP(B752,Parámetros!$C$30:$D$39,2,TRUE),2))</f>
        <v/>
      </c>
      <c r="U752" s="117" t="str">
        <f>+IF($C752="","",ROUND((U751+I752)*(1+Parámetros!$D$92),2))</f>
        <v/>
      </c>
      <c r="V752" s="117" t="str">
        <f>+IF($C752="","",ROUND(U752*VLOOKUP(B752,Parámetros!$C$30:$D$39,2,TRUE),2))</f>
        <v/>
      </c>
      <c r="W752" s="57" t="str">
        <f t="shared" si="995"/>
        <v/>
      </c>
      <c r="X752" t="str">
        <f t="shared" si="996"/>
        <v/>
      </c>
      <c r="Y752" t="str">
        <f t="shared" si="997"/>
        <v/>
      </c>
      <c r="Z752" s="118" t="str">
        <f>+IF($W752="","",ROUND(IF(Parámetros!$D$25='TABLAS MORT'!$V$33,Z751,Parámetros!$D$21-'Tablas Servicio'!T751),0))</f>
        <v/>
      </c>
      <c r="AA752" s="118" t="str">
        <f t="shared" si="998"/>
        <v/>
      </c>
      <c r="AB752" s="119" t="str">
        <f>+IF(W752="","",ROUND((VLOOKUP(ROUNDDOWN($D752-1/frec,0),qx_tabla,2,FALSE)*(1+i/frec)^-0.5*(1+Parámetros!$D$103)*(1+rec_fracc)/frec),6))</f>
        <v/>
      </c>
      <c r="AC752" s="66" t="str">
        <f t="shared" si="1049"/>
        <v/>
      </c>
      <c r="AD752" s="119" t="str">
        <f t="shared" si="1045"/>
        <v/>
      </c>
      <c r="AE752" s="66" t="str">
        <f>+IF($W752="","",ROUND(IF($B752&gt;Parámetros!$D$107,'Tablas Servicio'!AC752+('Tablas Servicio'!AG751-'Tablas Servicio'!AC751),AC752/(1-IF(B752&lt;=10,Parámetros!$D$104,Parámetros!$D$105))),2))</f>
        <v/>
      </c>
      <c r="AF752" s="66" t="str">
        <f>+IF($W752="","",ROUND(IF($B752&gt;Parámetros!$D$107,'Tablas Servicio'!AC752+('Tablas Servicio'!AG751-'Tablas Servicio'!AC751),(AC752+$A751/frec)/(1-IF(B752&lt;=Parámetros!$D$117,Parámetros!$D$100,0))),2))</f>
        <v/>
      </c>
      <c r="AG752" s="66" t="str">
        <f t="shared" si="1050"/>
        <v/>
      </c>
      <c r="AH752" s="66" t="str">
        <f t="shared" si="1051"/>
        <v/>
      </c>
      <c r="AI752" s="66" t="str">
        <f t="shared" si="1052"/>
        <v/>
      </c>
      <c r="AJ752" s="66" t="str">
        <f>+IF($W752="","",ROUND((AG752*Parámetros!$G$85),2))</f>
        <v/>
      </c>
      <c r="AK752" s="66" t="str">
        <f>+IF($W752="","",ROUND((AG752*(Parámetros!$G$86)),2))</f>
        <v/>
      </c>
      <c r="AL752" s="66" t="str">
        <f t="shared" si="1046"/>
        <v/>
      </c>
      <c r="AM752" t="str">
        <f t="shared" si="999"/>
        <v/>
      </c>
      <c r="AN752" t="str">
        <f t="shared" si="1000"/>
        <v/>
      </c>
      <c r="AO752" s="118" t="str">
        <f t="shared" si="1001"/>
        <v/>
      </c>
      <c r="AP752" s="118" t="str">
        <f t="shared" si="1002"/>
        <v/>
      </c>
      <c r="AQ752" s="119" t="str">
        <f>+IF(OR($W752="",AO752=0),"",ROUND((VLOOKUP(ROUNDDOWN($D752-1/frec,0),cob_adi,Z$40,FALSE)*(1+i/frec)^-0.5*(1+Parámetros!$D$103)*(1+rec_fracc)/frec),6))</f>
        <v/>
      </c>
      <c r="AR752" s="66" t="str">
        <f t="shared" si="1053"/>
        <v/>
      </c>
      <c r="AS752" s="119" t="str">
        <f t="shared" si="1054"/>
        <v/>
      </c>
      <c r="AT752" s="66" t="str">
        <f>+IF($W752="","",ROUND(IF($B752&gt;Parámetros!$D$107,'Tablas Servicio'!AR752+('Tablas Servicio'!AT751-'Tablas Servicio'!AR751),AR752/(1-IF(B752&lt;=10,Parámetros!$D$100,0))),2))</f>
        <v/>
      </c>
      <c r="AU752" s="66" t="str">
        <f t="shared" si="1055"/>
        <v/>
      </c>
      <c r="AV752" s="66" t="str">
        <f t="shared" si="1055"/>
        <v/>
      </c>
      <c r="AW752" s="66" t="str">
        <f>+IF($W752="","",ROUND((AT752*Parámetros!$G$85),2))</f>
        <v/>
      </c>
      <c r="AX752" s="66" t="str">
        <f>+IF($W752="","",ROUND((AT752*(Parámetros!$G$86)),2))</f>
        <v/>
      </c>
      <c r="AY752" s="66" t="str">
        <f t="shared" si="1056"/>
        <v/>
      </c>
      <c r="AZ752" t="str">
        <f t="shared" si="1003"/>
        <v/>
      </c>
      <c r="BA752" t="str">
        <f t="shared" si="1004"/>
        <v/>
      </c>
      <c r="BB752" s="118" t="str">
        <f t="shared" si="1005"/>
        <v/>
      </c>
      <c r="BC752" s="118" t="str">
        <f t="shared" si="1006"/>
        <v/>
      </c>
      <c r="BD752" s="119" t="str">
        <f>+IF(OR($W752="",BB752=0),"",ROUND((VLOOKUP(ROUNDDOWN($D752-1/frec,0),cob_adi,AO$40,FALSE)*(1+i/frec)^-0.5*(1+Parámetros!$D$103)*(1+rec_fracc)/frec),6))</f>
        <v/>
      </c>
      <c r="BE752" s="66" t="str">
        <f t="shared" si="1057"/>
        <v/>
      </c>
      <c r="BF752" s="119" t="str">
        <f t="shared" si="1058"/>
        <v/>
      </c>
      <c r="BG752" s="66" t="str">
        <f>+IF($W752="","",ROUND(IF($B752&gt;Parámetros!$D$107,'Tablas Servicio'!BE752+('Tablas Servicio'!BG751-'Tablas Servicio'!BE751),BE752/(1-IF(B752&lt;=10,Parámetros!$D$100,0))),2))</f>
        <v/>
      </c>
      <c r="BH752" s="66" t="str">
        <f t="shared" si="1059"/>
        <v/>
      </c>
      <c r="BI752" s="66" t="str">
        <f t="shared" si="1060"/>
        <v/>
      </c>
      <c r="BJ752" s="66" t="str">
        <f>+IF($W752="","",ROUND((BG752*Parámetros!$G$85),2))</f>
        <v/>
      </c>
      <c r="BK752" s="66" t="str">
        <f>+IF($W752="","",ROUND((BG752*(Parámetros!$G$86)),2))</f>
        <v/>
      </c>
      <c r="BL752" s="66" t="str">
        <f t="shared" si="1061"/>
        <v/>
      </c>
      <c r="BM752" t="str">
        <f t="shared" si="1007"/>
        <v/>
      </c>
      <c r="BN752" t="str">
        <f t="shared" si="1008"/>
        <v/>
      </c>
      <c r="BO752" s="118" t="str">
        <f t="shared" si="1009"/>
        <v/>
      </c>
      <c r="BP752" s="118" t="str">
        <f t="shared" si="1010"/>
        <v/>
      </c>
      <c r="BQ752" s="119" t="str">
        <f>+IF(OR($W752="",BO752=0),"",ROUND((VLOOKUP(ROUNDDOWN($D752-1/frec,0),cob_adi,BB$40,FALSE)*(1+i/frec)^-0.5*(1+Parámetros!$D$103)*(1+rec_fracc)/frec),6))</f>
        <v/>
      </c>
      <c r="BR752" s="66" t="str">
        <f t="shared" si="1062"/>
        <v/>
      </c>
      <c r="BS752" s="119" t="str">
        <f t="shared" si="1063"/>
        <v/>
      </c>
      <c r="BT752" s="66" t="str">
        <f>+IF($W752="","",ROUND(IF($B752&gt;Parámetros!$D$107,'Tablas Servicio'!BR752+('Tablas Servicio'!BT751-'Tablas Servicio'!BR751),BR752/(1-IF(B752&lt;=10,Parámetros!$D$100,0))),2))</f>
        <v/>
      </c>
      <c r="BU752" s="66" t="str">
        <f t="shared" si="1064"/>
        <v/>
      </c>
      <c r="BV752" s="66" t="str">
        <f t="shared" si="1064"/>
        <v/>
      </c>
      <c r="BW752" s="66" t="str">
        <f>+IF($W752="","",ROUND((BT752*Parámetros!$G$85),2))</f>
        <v/>
      </c>
      <c r="BX752" s="66" t="str">
        <f>+IF($W752="","",ROUND((BT752*(Parámetros!$G$86)),2))</f>
        <v/>
      </c>
      <c r="BY752" s="66" t="str">
        <f t="shared" si="1065"/>
        <v/>
      </c>
      <c r="BZ752" t="str">
        <f t="shared" si="1011"/>
        <v/>
      </c>
      <c r="CA752" t="str">
        <f t="shared" si="1012"/>
        <v/>
      </c>
      <c r="CB752" s="118" t="str">
        <f t="shared" si="1013"/>
        <v/>
      </c>
      <c r="CC752" s="118" t="str">
        <f t="shared" si="1014"/>
        <v/>
      </c>
      <c r="CD752" s="119" t="str">
        <f t="shared" si="1066"/>
        <v/>
      </c>
      <c r="CE752" s="66" t="str">
        <f>+IF($W752="","",ROUND((VLOOKUP(ROUNDDOWN($D752-1/frec,0),cob_adi,BO$40,FALSE)*(1+i/frec)^-0.5*(1+Parámetros!$D$103)*(1+rec_fracc)/frec*'TABLAS ADI'!$BC$17),2))</f>
        <v/>
      </c>
      <c r="CF752" s="119" t="str">
        <f t="shared" si="1067"/>
        <v/>
      </c>
      <c r="CG752" s="66" t="str">
        <f>+IF($W752="","",ROUND(IF($B752&gt;Parámetros!$D$107,'Tablas Servicio'!CE752+('Tablas Servicio'!CG751-'Tablas Servicio'!CE751),CE752/(1-IF(B752&lt;=10,Parámetros!$D$100,0))),2))</f>
        <v/>
      </c>
      <c r="CH752" s="66" t="str">
        <f t="shared" si="1068"/>
        <v/>
      </c>
      <c r="CI752" s="66" t="str">
        <f t="shared" si="1068"/>
        <v/>
      </c>
      <c r="CJ752" s="66" t="str">
        <f>+IF($W752="","",ROUND((CG752*Parámetros!$G$85),2))</f>
        <v/>
      </c>
      <c r="CK752" s="66" t="str">
        <f>+IF($W752="","",ROUND((CG752*(Parámetros!$G$86)),2))</f>
        <v/>
      </c>
      <c r="CL752" s="66" t="str">
        <f t="shared" si="1069"/>
        <v/>
      </c>
      <c r="CM752" t="str">
        <f t="shared" si="1015"/>
        <v/>
      </c>
      <c r="CN752" s="118" t="str">
        <f t="shared" si="1016"/>
        <v/>
      </c>
      <c r="CO752" s="118" t="str">
        <f t="shared" si="1017"/>
        <v/>
      </c>
      <c r="CP752" s="118" t="str">
        <f t="shared" si="1018"/>
        <v/>
      </c>
      <c r="CQ752" s="119" t="str">
        <f t="shared" si="1070"/>
        <v/>
      </c>
      <c r="CR752" s="66" t="str">
        <f>+IF($W752="","",ROUND((VLOOKUP(Parámetros!$F$51,'COBERTURAS ADICIONALES'!$S$4:$T$32,2,FALSE)*(1+i/frec)^-0.5*(1+Parámetros!$D$103)*(1+rec_fracc)/frec*$CO$42),2))</f>
        <v/>
      </c>
      <c r="CS752" s="119" t="str">
        <f t="shared" si="1071"/>
        <v/>
      </c>
      <c r="CT752" s="66" t="str">
        <f>+IF($W752="","",ROUND(IF($B752&gt;Parámetros!$D$107,'Tablas Servicio'!CR752+('Tablas Servicio'!CT751-'Tablas Servicio'!CR751),CR752/(1-IF(B752&lt;=10,Parámetros!$D$100,0))),2))</f>
        <v/>
      </c>
      <c r="CU752" s="66" t="str">
        <f t="shared" si="1072"/>
        <v/>
      </c>
      <c r="CV752" s="66" t="str">
        <f t="shared" si="1072"/>
        <v/>
      </c>
      <c r="CW752" s="66" t="str">
        <f>+IF($W752="","",ROUND((CT752*Parámetros!$G$85),2))</f>
        <v/>
      </c>
      <c r="CX752" s="66" t="str">
        <f>+IF($W752="","",ROUND((CT752*(Parámetros!$G$86)),2))</f>
        <v/>
      </c>
      <c r="CY752" s="66" t="str">
        <f t="shared" si="1073"/>
        <v/>
      </c>
      <c r="CZ752" t="str">
        <f t="shared" si="1019"/>
        <v/>
      </c>
      <c r="DA752" s="118" t="str">
        <f t="shared" si="1020"/>
        <v/>
      </c>
      <c r="DB752" s="118" t="str">
        <f t="shared" si="1021"/>
        <v/>
      </c>
      <c r="DC752" s="118" t="str">
        <f t="shared" si="1022"/>
        <v/>
      </c>
      <c r="DD752" s="121" t="str">
        <f>+IF(OR($W752="",DB752=0),"",ROUND((VLOOKUP(ROUNDDOWN($D752-1/frec,0),cob_adi,CO$40,FALSE)*(1+i/frec)^-0.5*(1+Parámetros!$D$103)*(1+rec_fracc)/frec),6))</f>
        <v/>
      </c>
      <c r="DE752" s="66" t="str">
        <f t="shared" si="1074"/>
        <v/>
      </c>
      <c r="DF752" s="119" t="str">
        <f t="shared" si="1075"/>
        <v/>
      </c>
      <c r="DG752" s="66" t="str">
        <f>+IF($W752="","",ROUND(IF($B752&gt;Parámetros!$D$107,'Tablas Servicio'!DE752+('Tablas Servicio'!DG751-'Tablas Servicio'!DE751),DE752/(1-IF(B752&lt;=10,Parámetros!$D$100,0))),2))</f>
        <v/>
      </c>
      <c r="DH752" s="66" t="str">
        <f t="shared" si="1076"/>
        <v/>
      </c>
      <c r="DI752" s="66" t="str">
        <f t="shared" si="1076"/>
        <v/>
      </c>
      <c r="DJ752" s="66" t="str">
        <f>+IF($W752="","",ROUND((DG752*Parámetros!$G$85),2))</f>
        <v/>
      </c>
      <c r="DK752" s="66" t="str">
        <f>+IF($W752="","",ROUND((DG752*(Parámetros!$G$86)),2))</f>
        <v/>
      </c>
      <c r="DL752" s="66" t="str">
        <f t="shared" si="1077"/>
        <v/>
      </c>
      <c r="DM752" t="str">
        <f t="shared" si="1023"/>
        <v/>
      </c>
      <c r="DN752" s="118" t="str">
        <f t="shared" si="1024"/>
        <v/>
      </c>
      <c r="DO752" s="118" t="str">
        <f t="shared" si="1025"/>
        <v/>
      </c>
      <c r="DP752" s="118" t="str">
        <f t="shared" si="1026"/>
        <v/>
      </c>
      <c r="DQ752" s="122" t="str">
        <f>+IF(OR($W752="",DO752=0),"",ROUND((VLOOKUP(ROUNDDOWN($D752-1/frec,0),cob_adi,DB$40,FALSE)*(1+i/frec)^-0.5*(1+Parámetros!$D$103)*(1+rec_fracc)/frec),6))</f>
        <v/>
      </c>
      <c r="DR752" s="66" t="str">
        <f t="shared" si="1078"/>
        <v/>
      </c>
      <c r="DS752" s="68" t="str">
        <f t="shared" si="1079"/>
        <v/>
      </c>
      <c r="DT752" s="66" t="str">
        <f>+IF($W752="","",ROUND(IF($B752&gt;Parámetros!$D$107,'Tablas Servicio'!DR752+('Tablas Servicio'!DT751-'Tablas Servicio'!DR751),DR752/(1-IF(B752&lt;=10,Parámetros!$D$100,0))),2))</f>
        <v/>
      </c>
      <c r="DU752" s="66" t="str">
        <f t="shared" si="1080"/>
        <v/>
      </c>
      <c r="DV752" s="66" t="str">
        <f t="shared" si="1080"/>
        <v/>
      </c>
      <c r="DW752" s="66" t="str">
        <f>+IF($W752="","",ROUND((DT752*Parámetros!$G$85),2))</f>
        <v/>
      </c>
      <c r="DX752" s="66" t="str">
        <f>+IF($W752="","",ROUND((DT752*(Parámetros!$G$86)),2))</f>
        <v/>
      </c>
      <c r="DY752" s="66" t="str">
        <f t="shared" si="1081"/>
        <v/>
      </c>
      <c r="DZ752" t="str">
        <f t="shared" si="1082"/>
        <v/>
      </c>
      <c r="EA752" s="118" t="str">
        <f t="shared" si="1082"/>
        <v/>
      </c>
      <c r="EB752" s="118" t="str">
        <f>+IF($W752="","",ROUND(IF(Parámetros!$D$25='TABLAS MORT'!$V$33,EB751,Z752/2),0))</f>
        <v/>
      </c>
      <c r="EC752" s="118" t="str">
        <f t="shared" si="1082"/>
        <v/>
      </c>
      <c r="ED752" s="122" t="str">
        <f>+IF(OR($W752="",EB752=0),"",ROUND((VLOOKUP(ROUNDDOWN($D752-1/frec,0),cob_adi,DO$40,FALSE)*(1+i/frec)^-0.5*(1+Parámetros!$D$103)*(1+rec_fracc)/frec),6))</f>
        <v/>
      </c>
      <c r="EE752" s="66" t="str">
        <f t="shared" si="1083"/>
        <v/>
      </c>
      <c r="EF752" s="68" t="str">
        <f t="shared" si="1084"/>
        <v/>
      </c>
      <c r="EG752" s="66" t="str">
        <f>+IF($W752="","",ROUND(IF($B752&gt;Parámetros!$D$107,'Tablas Servicio'!EE752+('Tablas Servicio'!EG751-'Tablas Servicio'!EE751),EE752/(1-IF(B752&lt;=10,Parámetros!$D$100,0))),2))</f>
        <v/>
      </c>
      <c r="EH752" s="66" t="str">
        <f t="shared" si="1085"/>
        <v/>
      </c>
      <c r="EI752" s="66" t="str">
        <f t="shared" si="1085"/>
        <v/>
      </c>
      <c r="EJ752" s="66" t="str">
        <f>+IF($W752="","",ROUND((EG752*Parámetros!$G$85),2))</f>
        <v/>
      </c>
      <c r="EK752" s="66" t="str">
        <f>+IF($W752="","",ROUND((EG752*(Parámetros!$G$86)),2))</f>
        <v/>
      </c>
      <c r="EL752" s="66" t="str">
        <f t="shared" si="1086"/>
        <v/>
      </c>
    </row>
    <row r="753" spans="1:142" x14ac:dyDescent="0.25">
      <c r="A753" t="str">
        <f>+IF($C753="","",ROUND(VLOOKUP('Tablas Servicio'!B753,Parámetros!$H$100:$J$159,IF(Parámetros!$E$16="F",2,3),FALSE),2))</f>
        <v/>
      </c>
      <c r="B753" t="str">
        <f t="shared" si="1037"/>
        <v/>
      </c>
      <c r="C753" s="57" t="str">
        <f>+IF(D753="","",'Tablas Servicio'!C752+1)</f>
        <v/>
      </c>
      <c r="D753" s="56" t="str">
        <f>+IF(D752&lt;edadmaxtabla,D752+1/Parámetros!$E$25,"")</f>
        <v/>
      </c>
      <c r="E753" s="57" t="str">
        <f t="shared" si="1047"/>
        <v/>
      </c>
      <c r="F753" s="59" t="str">
        <f t="shared" si="1048"/>
        <v/>
      </c>
      <c r="G753" s="66" t="str">
        <f t="shared" si="1038"/>
        <v/>
      </c>
      <c r="H753" s="66" t="str">
        <f t="shared" si="1039"/>
        <v/>
      </c>
      <c r="I753" s="66" t="str">
        <f t="shared" si="992"/>
        <v/>
      </c>
      <c r="J753" s="66" t="str">
        <f t="shared" si="1040"/>
        <v/>
      </c>
      <c r="K753" s="66" t="str">
        <f t="shared" si="1041"/>
        <v/>
      </c>
      <c r="L753" s="66" t="str">
        <f t="shared" si="1042"/>
        <v/>
      </c>
      <c r="M753" s="66" t="str">
        <f t="shared" si="1043"/>
        <v/>
      </c>
      <c r="N753" s="66" t="str">
        <f>+IF(C753="","",ROUND(Parámetros!$D$23,2))</f>
        <v/>
      </c>
      <c r="O753" s="66" t="str">
        <f t="shared" si="1044"/>
        <v/>
      </c>
      <c r="P753" s="66" t="str">
        <f>+IF($C753="","",ROUND(IF(B753&gt;Parámetros!$D$117,0,N753*Parámetros!$D$116-G753*Parámetros!$D$100),2))</f>
        <v/>
      </c>
      <c r="Q753" s="75" t="str">
        <f t="shared" si="993"/>
        <v/>
      </c>
      <c r="R753" s="75" t="str">
        <f t="shared" si="994"/>
        <v/>
      </c>
      <c r="S753" s="117" t="str">
        <f>+IF($C753="","",ROUND((S752+I753)*(1+Parámetros!$D$91),2))</f>
        <v/>
      </c>
      <c r="T753" s="117" t="str">
        <f>+IF($C753="","",ROUND(S753*VLOOKUP(B753,Parámetros!$C$30:$D$39,2,TRUE),2))</f>
        <v/>
      </c>
      <c r="U753" s="117" t="str">
        <f>+IF($C753="","",ROUND((U752+I753)*(1+Parámetros!$D$92),2))</f>
        <v/>
      </c>
      <c r="V753" s="117" t="str">
        <f>+IF($C753="","",ROUND(U753*VLOOKUP(B753,Parámetros!$C$30:$D$39,2,TRUE),2))</f>
        <v/>
      </c>
      <c r="W753" s="57" t="str">
        <f t="shared" si="995"/>
        <v/>
      </c>
      <c r="X753" t="str">
        <f t="shared" si="996"/>
        <v/>
      </c>
      <c r="Y753" t="str">
        <f t="shared" si="997"/>
        <v/>
      </c>
      <c r="Z753" s="118" t="str">
        <f>+IF($W753="","",ROUND(IF(Parámetros!$D$25='TABLAS MORT'!$V$33,Z752,Parámetros!$D$21-'Tablas Servicio'!T752),0))</f>
        <v/>
      </c>
      <c r="AA753" s="118" t="str">
        <f t="shared" si="998"/>
        <v/>
      </c>
      <c r="AB753" s="119" t="str">
        <f>+IF(W753="","",ROUND((VLOOKUP(ROUNDDOWN($D753-1/frec,0),qx_tabla,2,FALSE)*(1+i/frec)^-0.5*(1+Parámetros!$D$103)*(1+rec_fracc)/frec),6))</f>
        <v/>
      </c>
      <c r="AC753" s="66" t="str">
        <f t="shared" si="1049"/>
        <v/>
      </c>
      <c r="AD753" s="119" t="str">
        <f t="shared" si="1045"/>
        <v/>
      </c>
      <c r="AE753" s="66" t="str">
        <f>+IF($W753="","",ROUND(IF($B753&gt;Parámetros!$D$107,'Tablas Servicio'!AC753+('Tablas Servicio'!AG752-'Tablas Servicio'!AC752),AC753/(1-IF(B753&lt;=10,Parámetros!$D$104,Parámetros!$D$105))),2))</f>
        <v/>
      </c>
      <c r="AF753" s="66" t="str">
        <f>+IF($W753="","",ROUND(IF($B753&gt;Parámetros!$D$107,'Tablas Servicio'!AC753+('Tablas Servicio'!AG752-'Tablas Servicio'!AC752),(AC753+$A752/frec)/(1-IF(B753&lt;=Parámetros!$D$117,Parámetros!$D$100,0))),2))</f>
        <v/>
      </c>
      <c r="AG753" s="66" t="str">
        <f t="shared" si="1050"/>
        <v/>
      </c>
      <c r="AH753" s="66" t="str">
        <f t="shared" si="1051"/>
        <v/>
      </c>
      <c r="AI753" s="66" t="str">
        <f t="shared" si="1052"/>
        <v/>
      </c>
      <c r="AJ753" s="66" t="str">
        <f>+IF($W753="","",ROUND((AG753*Parámetros!$G$85),2))</f>
        <v/>
      </c>
      <c r="AK753" s="66" t="str">
        <f>+IF($W753="","",ROUND((AG753*(Parámetros!$G$86)),2))</f>
        <v/>
      </c>
      <c r="AL753" s="66" t="str">
        <f t="shared" si="1046"/>
        <v/>
      </c>
      <c r="AM753" t="str">
        <f t="shared" si="999"/>
        <v/>
      </c>
      <c r="AN753" t="str">
        <f t="shared" si="1000"/>
        <v/>
      </c>
      <c r="AO753" s="118" t="str">
        <f t="shared" si="1001"/>
        <v/>
      </c>
      <c r="AP753" s="118" t="str">
        <f t="shared" si="1002"/>
        <v/>
      </c>
      <c r="AQ753" s="119" t="str">
        <f>+IF(OR($W753="",AO753=0),"",ROUND((VLOOKUP(ROUNDDOWN($D753-1/frec,0),cob_adi,Z$40,FALSE)*(1+i/frec)^-0.5*(1+Parámetros!$D$103)*(1+rec_fracc)/frec),6))</f>
        <v/>
      </c>
      <c r="AR753" s="66" t="str">
        <f t="shared" si="1053"/>
        <v/>
      </c>
      <c r="AS753" s="119" t="str">
        <f t="shared" si="1054"/>
        <v/>
      </c>
      <c r="AT753" s="66" t="str">
        <f>+IF($W753="","",ROUND(IF($B753&gt;Parámetros!$D$107,'Tablas Servicio'!AR753+('Tablas Servicio'!AT752-'Tablas Servicio'!AR752),AR753/(1-IF(B753&lt;=10,Parámetros!$D$100,0))),2))</f>
        <v/>
      </c>
      <c r="AU753" s="66" t="str">
        <f t="shared" si="1055"/>
        <v/>
      </c>
      <c r="AV753" s="66" t="str">
        <f t="shared" si="1055"/>
        <v/>
      </c>
      <c r="AW753" s="66" t="str">
        <f>+IF($W753="","",ROUND((AT753*Parámetros!$G$85),2))</f>
        <v/>
      </c>
      <c r="AX753" s="66" t="str">
        <f>+IF($W753="","",ROUND((AT753*(Parámetros!$G$86)),2))</f>
        <v/>
      </c>
      <c r="AY753" s="66" t="str">
        <f t="shared" si="1056"/>
        <v/>
      </c>
      <c r="AZ753" t="str">
        <f t="shared" si="1003"/>
        <v/>
      </c>
      <c r="BA753" t="str">
        <f t="shared" si="1004"/>
        <v/>
      </c>
      <c r="BB753" s="118" t="str">
        <f t="shared" si="1005"/>
        <v/>
      </c>
      <c r="BC753" s="118" t="str">
        <f t="shared" si="1006"/>
        <v/>
      </c>
      <c r="BD753" s="119" t="str">
        <f>+IF(OR($W753="",BB753=0),"",ROUND((VLOOKUP(ROUNDDOWN($D753-1/frec,0),cob_adi,AO$40,FALSE)*(1+i/frec)^-0.5*(1+Parámetros!$D$103)*(1+rec_fracc)/frec),6))</f>
        <v/>
      </c>
      <c r="BE753" s="66" t="str">
        <f t="shared" si="1057"/>
        <v/>
      </c>
      <c r="BF753" s="119" t="str">
        <f t="shared" si="1058"/>
        <v/>
      </c>
      <c r="BG753" s="66" t="str">
        <f>+IF($W753="","",ROUND(IF($B753&gt;Parámetros!$D$107,'Tablas Servicio'!BE753+('Tablas Servicio'!BG752-'Tablas Servicio'!BE752),BE753/(1-IF(B753&lt;=10,Parámetros!$D$100,0))),2))</f>
        <v/>
      </c>
      <c r="BH753" s="66" t="str">
        <f t="shared" si="1059"/>
        <v/>
      </c>
      <c r="BI753" s="66" t="str">
        <f t="shared" si="1060"/>
        <v/>
      </c>
      <c r="BJ753" s="66" t="str">
        <f>+IF($W753="","",ROUND((BG753*Parámetros!$G$85),2))</f>
        <v/>
      </c>
      <c r="BK753" s="66" t="str">
        <f>+IF($W753="","",ROUND((BG753*(Parámetros!$G$86)),2))</f>
        <v/>
      </c>
      <c r="BL753" s="66" t="str">
        <f t="shared" si="1061"/>
        <v/>
      </c>
      <c r="BM753" t="str">
        <f t="shared" si="1007"/>
        <v/>
      </c>
      <c r="BN753" t="str">
        <f t="shared" si="1008"/>
        <v/>
      </c>
      <c r="BO753" s="118" t="str">
        <f t="shared" si="1009"/>
        <v/>
      </c>
      <c r="BP753" s="118" t="str">
        <f t="shared" si="1010"/>
        <v/>
      </c>
      <c r="BQ753" s="119" t="str">
        <f>+IF(OR($W753="",BO753=0),"",ROUND((VLOOKUP(ROUNDDOWN($D753-1/frec,0),cob_adi,BB$40,FALSE)*(1+i/frec)^-0.5*(1+Parámetros!$D$103)*(1+rec_fracc)/frec),6))</f>
        <v/>
      </c>
      <c r="BR753" s="66" t="str">
        <f t="shared" si="1062"/>
        <v/>
      </c>
      <c r="BS753" s="119" t="str">
        <f t="shared" si="1063"/>
        <v/>
      </c>
      <c r="BT753" s="66" t="str">
        <f>+IF($W753="","",ROUND(IF($B753&gt;Parámetros!$D$107,'Tablas Servicio'!BR753+('Tablas Servicio'!BT752-'Tablas Servicio'!BR752),BR753/(1-IF(B753&lt;=10,Parámetros!$D$100,0))),2))</f>
        <v/>
      </c>
      <c r="BU753" s="66" t="str">
        <f t="shared" si="1064"/>
        <v/>
      </c>
      <c r="BV753" s="66" t="str">
        <f t="shared" si="1064"/>
        <v/>
      </c>
      <c r="BW753" s="66" t="str">
        <f>+IF($W753="","",ROUND((BT753*Parámetros!$G$85),2))</f>
        <v/>
      </c>
      <c r="BX753" s="66" t="str">
        <f>+IF($W753="","",ROUND((BT753*(Parámetros!$G$86)),2))</f>
        <v/>
      </c>
      <c r="BY753" s="66" t="str">
        <f t="shared" si="1065"/>
        <v/>
      </c>
      <c r="BZ753" t="str">
        <f t="shared" si="1011"/>
        <v/>
      </c>
      <c r="CA753" t="str">
        <f t="shared" si="1012"/>
        <v/>
      </c>
      <c r="CB753" s="118" t="str">
        <f t="shared" si="1013"/>
        <v/>
      </c>
      <c r="CC753" s="118" t="str">
        <f t="shared" si="1014"/>
        <v/>
      </c>
      <c r="CD753" s="119" t="str">
        <f t="shared" si="1066"/>
        <v/>
      </c>
      <c r="CE753" s="66" t="str">
        <f>+IF($W753="","",ROUND((VLOOKUP(ROUNDDOWN($D753-1/frec,0),cob_adi,BO$40,FALSE)*(1+i/frec)^-0.5*(1+Parámetros!$D$103)*(1+rec_fracc)/frec*'TABLAS ADI'!$BC$17),2))</f>
        <v/>
      </c>
      <c r="CF753" s="119" t="str">
        <f t="shared" si="1067"/>
        <v/>
      </c>
      <c r="CG753" s="66" t="str">
        <f>+IF($W753="","",ROUND(IF($B753&gt;Parámetros!$D$107,'Tablas Servicio'!CE753+('Tablas Servicio'!CG752-'Tablas Servicio'!CE752),CE753/(1-IF(B753&lt;=10,Parámetros!$D$100,0))),2))</f>
        <v/>
      </c>
      <c r="CH753" s="66" t="str">
        <f t="shared" si="1068"/>
        <v/>
      </c>
      <c r="CI753" s="66" t="str">
        <f t="shared" si="1068"/>
        <v/>
      </c>
      <c r="CJ753" s="66" t="str">
        <f>+IF($W753="","",ROUND((CG753*Parámetros!$G$85),2))</f>
        <v/>
      </c>
      <c r="CK753" s="66" t="str">
        <f>+IF($W753="","",ROUND((CG753*(Parámetros!$G$86)),2))</f>
        <v/>
      </c>
      <c r="CL753" s="66" t="str">
        <f t="shared" si="1069"/>
        <v/>
      </c>
      <c r="CM753" t="str">
        <f t="shared" si="1015"/>
        <v/>
      </c>
      <c r="CN753" s="118" t="str">
        <f t="shared" si="1016"/>
        <v/>
      </c>
      <c r="CO753" s="118" t="str">
        <f t="shared" si="1017"/>
        <v/>
      </c>
      <c r="CP753" s="118" t="str">
        <f t="shared" si="1018"/>
        <v/>
      </c>
      <c r="CQ753" s="119" t="str">
        <f t="shared" si="1070"/>
        <v/>
      </c>
      <c r="CR753" s="66" t="str">
        <f>+IF($W753="","",ROUND((VLOOKUP(Parámetros!$F$51,'COBERTURAS ADICIONALES'!$S$4:$T$32,2,FALSE)*(1+i/frec)^-0.5*(1+Parámetros!$D$103)*(1+rec_fracc)/frec*$CO$42),2))</f>
        <v/>
      </c>
      <c r="CS753" s="119" t="str">
        <f t="shared" si="1071"/>
        <v/>
      </c>
      <c r="CT753" s="66" t="str">
        <f>+IF($W753="","",ROUND(IF($B753&gt;Parámetros!$D$107,'Tablas Servicio'!CR753+('Tablas Servicio'!CT752-'Tablas Servicio'!CR752),CR753/(1-IF(B753&lt;=10,Parámetros!$D$100,0))),2))</f>
        <v/>
      </c>
      <c r="CU753" s="66" t="str">
        <f t="shared" si="1072"/>
        <v/>
      </c>
      <c r="CV753" s="66" t="str">
        <f t="shared" si="1072"/>
        <v/>
      </c>
      <c r="CW753" s="66" t="str">
        <f>+IF($W753="","",ROUND((CT753*Parámetros!$G$85),2))</f>
        <v/>
      </c>
      <c r="CX753" s="66" t="str">
        <f>+IF($W753="","",ROUND((CT753*(Parámetros!$G$86)),2))</f>
        <v/>
      </c>
      <c r="CY753" s="66" t="str">
        <f t="shared" si="1073"/>
        <v/>
      </c>
      <c r="CZ753" t="str">
        <f t="shared" si="1019"/>
        <v/>
      </c>
      <c r="DA753" s="118" t="str">
        <f t="shared" si="1020"/>
        <v/>
      </c>
      <c r="DB753" s="118" t="str">
        <f t="shared" si="1021"/>
        <v/>
      </c>
      <c r="DC753" s="118" t="str">
        <f t="shared" si="1022"/>
        <v/>
      </c>
      <c r="DD753" s="121" t="str">
        <f>+IF(OR($W753="",DB753=0),"",ROUND((VLOOKUP(ROUNDDOWN($D753-1/frec,0),cob_adi,CO$40,FALSE)*(1+i/frec)^-0.5*(1+Parámetros!$D$103)*(1+rec_fracc)/frec),6))</f>
        <v/>
      </c>
      <c r="DE753" s="66" t="str">
        <f t="shared" si="1074"/>
        <v/>
      </c>
      <c r="DF753" s="119" t="str">
        <f t="shared" si="1075"/>
        <v/>
      </c>
      <c r="DG753" s="66" t="str">
        <f>+IF($W753="","",ROUND(IF($B753&gt;Parámetros!$D$107,'Tablas Servicio'!DE753+('Tablas Servicio'!DG752-'Tablas Servicio'!DE752),DE753/(1-IF(B753&lt;=10,Parámetros!$D$100,0))),2))</f>
        <v/>
      </c>
      <c r="DH753" s="66" t="str">
        <f t="shared" si="1076"/>
        <v/>
      </c>
      <c r="DI753" s="66" t="str">
        <f t="shared" si="1076"/>
        <v/>
      </c>
      <c r="DJ753" s="66" t="str">
        <f>+IF($W753="","",ROUND((DG753*Parámetros!$G$85),2))</f>
        <v/>
      </c>
      <c r="DK753" s="66" t="str">
        <f>+IF($W753="","",ROUND((DG753*(Parámetros!$G$86)),2))</f>
        <v/>
      </c>
      <c r="DL753" s="66" t="str">
        <f t="shared" si="1077"/>
        <v/>
      </c>
      <c r="DM753" t="str">
        <f t="shared" si="1023"/>
        <v/>
      </c>
      <c r="DN753" s="118" t="str">
        <f t="shared" si="1024"/>
        <v/>
      </c>
      <c r="DO753" s="118" t="str">
        <f t="shared" si="1025"/>
        <v/>
      </c>
      <c r="DP753" s="118" t="str">
        <f t="shared" si="1026"/>
        <v/>
      </c>
      <c r="DQ753" s="122" t="str">
        <f>+IF(OR($W753="",DO753=0),"",ROUND((VLOOKUP(ROUNDDOWN($D753-1/frec,0),cob_adi,DB$40,FALSE)*(1+i/frec)^-0.5*(1+Parámetros!$D$103)*(1+rec_fracc)/frec),6))</f>
        <v/>
      </c>
      <c r="DR753" s="66" t="str">
        <f t="shared" si="1078"/>
        <v/>
      </c>
      <c r="DS753" s="68" t="str">
        <f t="shared" si="1079"/>
        <v/>
      </c>
      <c r="DT753" s="66" t="str">
        <f>+IF($W753="","",ROUND(IF($B753&gt;Parámetros!$D$107,'Tablas Servicio'!DR753+('Tablas Servicio'!DT752-'Tablas Servicio'!DR752),DR753/(1-IF(B753&lt;=10,Parámetros!$D$100,0))),2))</f>
        <v/>
      </c>
      <c r="DU753" s="66" t="str">
        <f t="shared" si="1080"/>
        <v/>
      </c>
      <c r="DV753" s="66" t="str">
        <f t="shared" si="1080"/>
        <v/>
      </c>
      <c r="DW753" s="66" t="str">
        <f>+IF($W753="","",ROUND((DT753*Parámetros!$G$85),2))</f>
        <v/>
      </c>
      <c r="DX753" s="66" t="str">
        <f>+IF($W753="","",ROUND((DT753*(Parámetros!$G$86)),2))</f>
        <v/>
      </c>
      <c r="DY753" s="66" t="str">
        <f t="shared" si="1081"/>
        <v/>
      </c>
      <c r="DZ753" t="str">
        <f t="shared" si="1082"/>
        <v/>
      </c>
      <c r="EA753" s="118" t="str">
        <f t="shared" si="1082"/>
        <v/>
      </c>
      <c r="EB753" s="118" t="str">
        <f>+IF($W753="","",ROUND(IF(Parámetros!$D$25='TABLAS MORT'!$V$33,EB752,Z753/2),0))</f>
        <v/>
      </c>
      <c r="EC753" s="118" t="str">
        <f t="shared" si="1082"/>
        <v/>
      </c>
      <c r="ED753" s="122" t="str">
        <f>+IF(OR($W753="",EB753=0),"",ROUND((VLOOKUP(ROUNDDOWN($D753-1/frec,0),cob_adi,DO$40,FALSE)*(1+i/frec)^-0.5*(1+Parámetros!$D$103)*(1+rec_fracc)/frec),6))</f>
        <v/>
      </c>
      <c r="EE753" s="66" t="str">
        <f t="shared" si="1083"/>
        <v/>
      </c>
      <c r="EF753" s="68" t="str">
        <f t="shared" si="1084"/>
        <v/>
      </c>
      <c r="EG753" s="66" t="str">
        <f>+IF($W753="","",ROUND(IF($B753&gt;Parámetros!$D$107,'Tablas Servicio'!EE753+('Tablas Servicio'!EG752-'Tablas Servicio'!EE752),EE753/(1-IF(B753&lt;=10,Parámetros!$D$100,0))),2))</f>
        <v/>
      </c>
      <c r="EH753" s="66" t="str">
        <f t="shared" si="1085"/>
        <v/>
      </c>
      <c r="EI753" s="66" t="str">
        <f t="shared" si="1085"/>
        <v/>
      </c>
      <c r="EJ753" s="66" t="str">
        <f>+IF($W753="","",ROUND((EG753*Parámetros!$G$85),2))</f>
        <v/>
      </c>
      <c r="EK753" s="66" t="str">
        <f>+IF($W753="","",ROUND((EG753*(Parámetros!$G$86)),2))</f>
        <v/>
      </c>
      <c r="EL753" s="66" t="str">
        <f t="shared" si="1086"/>
        <v/>
      </c>
    </row>
    <row r="754" spans="1:142" x14ac:dyDescent="0.25">
      <c r="A754" t="str">
        <f>+IF($C754="","",ROUND(VLOOKUP('Tablas Servicio'!B754,Parámetros!$H$100:$J$159,IF(Parámetros!$E$16="F",2,3),FALSE),2))</f>
        <v/>
      </c>
      <c r="B754" t="str">
        <f t="shared" si="1037"/>
        <v/>
      </c>
      <c r="C754" s="57" t="str">
        <f>+IF(D754="","",'Tablas Servicio'!C753+1)</f>
        <v/>
      </c>
      <c r="D754" s="56" t="str">
        <f>+IF(D753&lt;edadmaxtabla,D753+1/Parámetros!$E$25,"")</f>
        <v/>
      </c>
      <c r="E754" s="57" t="str">
        <f t="shared" si="1047"/>
        <v/>
      </c>
      <c r="F754" s="59" t="str">
        <f t="shared" si="1048"/>
        <v/>
      </c>
      <c r="G754" s="66" t="str">
        <f t="shared" si="1038"/>
        <v/>
      </c>
      <c r="H754" s="66" t="str">
        <f t="shared" si="1039"/>
        <v/>
      </c>
      <c r="I754" s="66" t="str">
        <f t="shared" si="992"/>
        <v/>
      </c>
      <c r="J754" s="66" t="str">
        <f t="shared" si="1040"/>
        <v/>
      </c>
      <c r="K754" s="66" t="str">
        <f t="shared" si="1041"/>
        <v/>
      </c>
      <c r="L754" s="66" t="str">
        <f t="shared" si="1042"/>
        <v/>
      </c>
      <c r="M754" s="66" t="str">
        <f t="shared" si="1043"/>
        <v/>
      </c>
      <c r="N754" s="66" t="str">
        <f>+IF(C754="","",ROUND(Parámetros!$D$23,2))</f>
        <v/>
      </c>
      <c r="O754" s="66" t="str">
        <f t="shared" si="1044"/>
        <v/>
      </c>
      <c r="P754" s="66" t="str">
        <f>+IF($C754="","",ROUND(IF(B754&gt;Parámetros!$D$117,0,N754*Parámetros!$D$116-G754*Parámetros!$D$100),2))</f>
        <v/>
      </c>
      <c r="Q754" s="75" t="str">
        <f t="shared" si="993"/>
        <v/>
      </c>
      <c r="R754" s="75" t="str">
        <f t="shared" si="994"/>
        <v/>
      </c>
      <c r="S754" s="117" t="str">
        <f>+IF($C754="","",ROUND((S753+I754)*(1+Parámetros!$D$91),2))</f>
        <v/>
      </c>
      <c r="T754" s="117" t="str">
        <f>+IF($C754="","",ROUND(S754*VLOOKUP(B754,Parámetros!$C$30:$D$39,2,TRUE),2))</f>
        <v/>
      </c>
      <c r="U754" s="117" t="str">
        <f>+IF($C754="","",ROUND((U753+I754)*(1+Parámetros!$D$92),2))</f>
        <v/>
      </c>
      <c r="V754" s="117" t="str">
        <f>+IF($C754="","",ROUND(U754*VLOOKUP(B754,Parámetros!$C$30:$D$39,2,TRUE),2))</f>
        <v/>
      </c>
      <c r="W754" s="57" t="str">
        <f t="shared" si="995"/>
        <v/>
      </c>
      <c r="X754" t="str">
        <f t="shared" si="996"/>
        <v/>
      </c>
      <c r="Y754" t="str">
        <f t="shared" si="997"/>
        <v/>
      </c>
      <c r="Z754" s="118" t="str">
        <f>+IF($W754="","",ROUND(IF(Parámetros!$D$25='TABLAS MORT'!$V$33,Z753,Parámetros!$D$21-'Tablas Servicio'!T753),0))</f>
        <v/>
      </c>
      <c r="AA754" s="118" t="str">
        <f t="shared" si="998"/>
        <v/>
      </c>
      <c r="AB754" s="119" t="str">
        <f>+IF(W754="","",ROUND((VLOOKUP(ROUNDDOWN($D754-1/frec,0),qx_tabla,2,FALSE)*(1+i/frec)^-0.5*(1+Parámetros!$D$103)*(1+rec_fracc)/frec),6))</f>
        <v/>
      </c>
      <c r="AC754" s="66" t="str">
        <f t="shared" si="1049"/>
        <v/>
      </c>
      <c r="AD754" s="119" t="str">
        <f t="shared" si="1045"/>
        <v/>
      </c>
      <c r="AE754" s="66" t="str">
        <f>+IF($W754="","",ROUND(IF($B754&gt;Parámetros!$D$107,'Tablas Servicio'!AC754+('Tablas Servicio'!AG753-'Tablas Servicio'!AC753),AC754/(1-IF(B754&lt;=10,Parámetros!$D$104,Parámetros!$D$105))),2))</f>
        <v/>
      </c>
      <c r="AF754" s="66" t="str">
        <f>+IF($W754="","",ROUND(IF($B754&gt;Parámetros!$D$107,'Tablas Servicio'!AC754+('Tablas Servicio'!AG753-'Tablas Servicio'!AC753),(AC754+$A753/frec)/(1-IF(B754&lt;=Parámetros!$D$117,Parámetros!$D$100,0))),2))</f>
        <v/>
      </c>
      <c r="AG754" s="66" t="str">
        <f t="shared" si="1050"/>
        <v/>
      </c>
      <c r="AH754" s="66" t="str">
        <f t="shared" si="1051"/>
        <v/>
      </c>
      <c r="AI754" s="66" t="str">
        <f t="shared" si="1052"/>
        <v/>
      </c>
      <c r="AJ754" s="66" t="str">
        <f>+IF($W754="","",ROUND((AG754*Parámetros!$G$85),2))</f>
        <v/>
      </c>
      <c r="AK754" s="66" t="str">
        <f>+IF($W754="","",ROUND((AG754*(Parámetros!$G$86)),2))</f>
        <v/>
      </c>
      <c r="AL754" s="66" t="str">
        <f t="shared" si="1046"/>
        <v/>
      </c>
      <c r="AM754" t="str">
        <f t="shared" si="999"/>
        <v/>
      </c>
      <c r="AN754" t="str">
        <f t="shared" si="1000"/>
        <v/>
      </c>
      <c r="AO754" s="118" t="str">
        <f t="shared" si="1001"/>
        <v/>
      </c>
      <c r="AP754" s="118" t="str">
        <f t="shared" si="1002"/>
        <v/>
      </c>
      <c r="AQ754" s="119" t="str">
        <f>+IF(OR($W754="",AO754=0),"",ROUND((VLOOKUP(ROUNDDOWN($D754-1/frec,0),cob_adi,Z$40,FALSE)*(1+i/frec)^-0.5*(1+Parámetros!$D$103)*(1+rec_fracc)/frec),6))</f>
        <v/>
      </c>
      <c r="AR754" s="66" t="str">
        <f t="shared" si="1053"/>
        <v/>
      </c>
      <c r="AS754" s="119" t="str">
        <f t="shared" si="1054"/>
        <v/>
      </c>
      <c r="AT754" s="66" t="str">
        <f>+IF($W754="","",ROUND(IF($B754&gt;Parámetros!$D$107,'Tablas Servicio'!AR754+('Tablas Servicio'!AT753-'Tablas Servicio'!AR753),AR754/(1-IF(B754&lt;=10,Parámetros!$D$100,0))),2))</f>
        <v/>
      </c>
      <c r="AU754" s="66" t="str">
        <f t="shared" si="1055"/>
        <v/>
      </c>
      <c r="AV754" s="66" t="str">
        <f t="shared" si="1055"/>
        <v/>
      </c>
      <c r="AW754" s="66" t="str">
        <f>+IF($W754="","",ROUND((AT754*Parámetros!$G$85),2))</f>
        <v/>
      </c>
      <c r="AX754" s="66" t="str">
        <f>+IF($W754="","",ROUND((AT754*(Parámetros!$G$86)),2))</f>
        <v/>
      </c>
      <c r="AY754" s="66" t="str">
        <f t="shared" si="1056"/>
        <v/>
      </c>
      <c r="AZ754" t="str">
        <f t="shared" si="1003"/>
        <v/>
      </c>
      <c r="BA754" t="str">
        <f t="shared" si="1004"/>
        <v/>
      </c>
      <c r="BB754" s="118" t="str">
        <f t="shared" si="1005"/>
        <v/>
      </c>
      <c r="BC754" s="118" t="str">
        <f t="shared" si="1006"/>
        <v/>
      </c>
      <c r="BD754" s="119" t="str">
        <f>+IF(OR($W754="",BB754=0),"",ROUND((VLOOKUP(ROUNDDOWN($D754-1/frec,0),cob_adi,AO$40,FALSE)*(1+i/frec)^-0.5*(1+Parámetros!$D$103)*(1+rec_fracc)/frec),6))</f>
        <v/>
      </c>
      <c r="BE754" s="66" t="str">
        <f t="shared" si="1057"/>
        <v/>
      </c>
      <c r="BF754" s="119" t="str">
        <f t="shared" si="1058"/>
        <v/>
      </c>
      <c r="BG754" s="66" t="str">
        <f>+IF($W754="","",ROUND(IF($B754&gt;Parámetros!$D$107,'Tablas Servicio'!BE754+('Tablas Servicio'!BG753-'Tablas Servicio'!BE753),BE754/(1-IF(B754&lt;=10,Parámetros!$D$100,0))),2))</f>
        <v/>
      </c>
      <c r="BH754" s="66" t="str">
        <f t="shared" si="1059"/>
        <v/>
      </c>
      <c r="BI754" s="66" t="str">
        <f t="shared" si="1060"/>
        <v/>
      </c>
      <c r="BJ754" s="66" t="str">
        <f>+IF($W754="","",ROUND((BG754*Parámetros!$G$85),2))</f>
        <v/>
      </c>
      <c r="BK754" s="66" t="str">
        <f>+IF($W754="","",ROUND((BG754*(Parámetros!$G$86)),2))</f>
        <v/>
      </c>
      <c r="BL754" s="66" t="str">
        <f t="shared" si="1061"/>
        <v/>
      </c>
      <c r="BM754" t="str">
        <f t="shared" si="1007"/>
        <v/>
      </c>
      <c r="BN754" t="str">
        <f t="shared" si="1008"/>
        <v/>
      </c>
      <c r="BO754" s="118" t="str">
        <f t="shared" si="1009"/>
        <v/>
      </c>
      <c r="BP754" s="118" t="str">
        <f t="shared" si="1010"/>
        <v/>
      </c>
      <c r="BQ754" s="119" t="str">
        <f>+IF(OR($W754="",BO754=0),"",ROUND((VLOOKUP(ROUNDDOWN($D754-1/frec,0),cob_adi,BB$40,FALSE)*(1+i/frec)^-0.5*(1+Parámetros!$D$103)*(1+rec_fracc)/frec),6))</f>
        <v/>
      </c>
      <c r="BR754" s="66" t="str">
        <f t="shared" si="1062"/>
        <v/>
      </c>
      <c r="BS754" s="119" t="str">
        <f t="shared" si="1063"/>
        <v/>
      </c>
      <c r="BT754" s="66" t="str">
        <f>+IF($W754="","",ROUND(IF($B754&gt;Parámetros!$D$107,'Tablas Servicio'!BR754+('Tablas Servicio'!BT753-'Tablas Servicio'!BR753),BR754/(1-IF(B754&lt;=10,Parámetros!$D$100,0))),2))</f>
        <v/>
      </c>
      <c r="BU754" s="66" t="str">
        <f t="shared" si="1064"/>
        <v/>
      </c>
      <c r="BV754" s="66" t="str">
        <f t="shared" si="1064"/>
        <v/>
      </c>
      <c r="BW754" s="66" t="str">
        <f>+IF($W754="","",ROUND((BT754*Parámetros!$G$85),2))</f>
        <v/>
      </c>
      <c r="BX754" s="66" t="str">
        <f>+IF($W754="","",ROUND((BT754*(Parámetros!$G$86)),2))</f>
        <v/>
      </c>
      <c r="BY754" s="66" t="str">
        <f t="shared" si="1065"/>
        <v/>
      </c>
      <c r="BZ754" t="str">
        <f t="shared" si="1011"/>
        <v/>
      </c>
      <c r="CA754" t="str">
        <f t="shared" si="1012"/>
        <v/>
      </c>
      <c r="CB754" s="118" t="str">
        <f t="shared" si="1013"/>
        <v/>
      </c>
      <c r="CC754" s="118" t="str">
        <f t="shared" si="1014"/>
        <v/>
      </c>
      <c r="CD754" s="119" t="str">
        <f t="shared" si="1066"/>
        <v/>
      </c>
      <c r="CE754" s="66" t="str">
        <f>+IF($W754="","",ROUND((VLOOKUP(ROUNDDOWN($D754-1/frec,0),cob_adi,BO$40,FALSE)*(1+i/frec)^-0.5*(1+Parámetros!$D$103)*(1+rec_fracc)/frec*'TABLAS ADI'!$BC$17),2))</f>
        <v/>
      </c>
      <c r="CF754" s="119" t="str">
        <f t="shared" si="1067"/>
        <v/>
      </c>
      <c r="CG754" s="66" t="str">
        <f>+IF($W754="","",ROUND(IF($B754&gt;Parámetros!$D$107,'Tablas Servicio'!CE754+('Tablas Servicio'!CG753-'Tablas Servicio'!CE753),CE754/(1-IF(B754&lt;=10,Parámetros!$D$100,0))),2))</f>
        <v/>
      </c>
      <c r="CH754" s="66" t="str">
        <f t="shared" si="1068"/>
        <v/>
      </c>
      <c r="CI754" s="66" t="str">
        <f t="shared" si="1068"/>
        <v/>
      </c>
      <c r="CJ754" s="66" t="str">
        <f>+IF($W754="","",ROUND((CG754*Parámetros!$G$85),2))</f>
        <v/>
      </c>
      <c r="CK754" s="66" t="str">
        <f>+IF($W754="","",ROUND((CG754*(Parámetros!$G$86)),2))</f>
        <v/>
      </c>
      <c r="CL754" s="66" t="str">
        <f t="shared" si="1069"/>
        <v/>
      </c>
      <c r="CM754" t="str">
        <f t="shared" si="1015"/>
        <v/>
      </c>
      <c r="CN754" s="118" t="str">
        <f t="shared" si="1016"/>
        <v/>
      </c>
      <c r="CO754" s="118" t="str">
        <f t="shared" si="1017"/>
        <v/>
      </c>
      <c r="CP754" s="118" t="str">
        <f t="shared" si="1018"/>
        <v/>
      </c>
      <c r="CQ754" s="119" t="str">
        <f t="shared" si="1070"/>
        <v/>
      </c>
      <c r="CR754" s="66" t="str">
        <f>+IF($W754="","",ROUND((VLOOKUP(Parámetros!$F$51,'COBERTURAS ADICIONALES'!$S$4:$T$32,2,FALSE)*(1+i/frec)^-0.5*(1+Parámetros!$D$103)*(1+rec_fracc)/frec*$CO$42),2))</f>
        <v/>
      </c>
      <c r="CS754" s="119" t="str">
        <f t="shared" si="1071"/>
        <v/>
      </c>
      <c r="CT754" s="66" t="str">
        <f>+IF($W754="","",ROUND(IF($B754&gt;Parámetros!$D$107,'Tablas Servicio'!CR754+('Tablas Servicio'!CT753-'Tablas Servicio'!CR753),CR754/(1-IF(B754&lt;=10,Parámetros!$D$100,0))),2))</f>
        <v/>
      </c>
      <c r="CU754" s="66" t="str">
        <f t="shared" si="1072"/>
        <v/>
      </c>
      <c r="CV754" s="66" t="str">
        <f t="shared" si="1072"/>
        <v/>
      </c>
      <c r="CW754" s="66" t="str">
        <f>+IF($W754="","",ROUND((CT754*Parámetros!$G$85),2))</f>
        <v/>
      </c>
      <c r="CX754" s="66" t="str">
        <f>+IF($W754="","",ROUND((CT754*(Parámetros!$G$86)),2))</f>
        <v/>
      </c>
      <c r="CY754" s="66" t="str">
        <f t="shared" si="1073"/>
        <v/>
      </c>
      <c r="CZ754" t="str">
        <f t="shared" si="1019"/>
        <v/>
      </c>
      <c r="DA754" s="118" t="str">
        <f t="shared" si="1020"/>
        <v/>
      </c>
      <c r="DB754" s="118" t="str">
        <f t="shared" si="1021"/>
        <v/>
      </c>
      <c r="DC754" s="118" t="str">
        <f t="shared" si="1022"/>
        <v/>
      </c>
      <c r="DD754" s="121" t="str">
        <f>+IF(OR($W754="",DB754=0),"",ROUND((VLOOKUP(ROUNDDOWN($D754-1/frec,0),cob_adi,CO$40,FALSE)*(1+i/frec)^-0.5*(1+Parámetros!$D$103)*(1+rec_fracc)/frec),6))</f>
        <v/>
      </c>
      <c r="DE754" s="66" t="str">
        <f t="shared" si="1074"/>
        <v/>
      </c>
      <c r="DF754" s="119" t="str">
        <f t="shared" si="1075"/>
        <v/>
      </c>
      <c r="DG754" s="66" t="str">
        <f>+IF($W754="","",ROUND(IF($B754&gt;Parámetros!$D$107,'Tablas Servicio'!DE754+('Tablas Servicio'!DG753-'Tablas Servicio'!DE753),DE754/(1-IF(B754&lt;=10,Parámetros!$D$100,0))),2))</f>
        <v/>
      </c>
      <c r="DH754" s="66" t="str">
        <f t="shared" si="1076"/>
        <v/>
      </c>
      <c r="DI754" s="66" t="str">
        <f t="shared" si="1076"/>
        <v/>
      </c>
      <c r="DJ754" s="66" t="str">
        <f>+IF($W754="","",ROUND((DG754*Parámetros!$G$85),2))</f>
        <v/>
      </c>
      <c r="DK754" s="66" t="str">
        <f>+IF($W754="","",ROUND((DG754*(Parámetros!$G$86)),2))</f>
        <v/>
      </c>
      <c r="DL754" s="66" t="str">
        <f t="shared" si="1077"/>
        <v/>
      </c>
      <c r="DM754" t="str">
        <f t="shared" si="1023"/>
        <v/>
      </c>
      <c r="DN754" s="118" t="str">
        <f t="shared" si="1024"/>
        <v/>
      </c>
      <c r="DO754" s="118" t="str">
        <f t="shared" si="1025"/>
        <v/>
      </c>
      <c r="DP754" s="118" t="str">
        <f t="shared" si="1026"/>
        <v/>
      </c>
      <c r="DQ754" s="122" t="str">
        <f>+IF(OR($W754="",DO754=0),"",ROUND((VLOOKUP(ROUNDDOWN($D754-1/frec,0),cob_adi,DB$40,FALSE)*(1+i/frec)^-0.5*(1+Parámetros!$D$103)*(1+rec_fracc)/frec),6))</f>
        <v/>
      </c>
      <c r="DR754" s="66" t="str">
        <f t="shared" si="1078"/>
        <v/>
      </c>
      <c r="DS754" s="68" t="str">
        <f t="shared" si="1079"/>
        <v/>
      </c>
      <c r="DT754" s="66" t="str">
        <f>+IF($W754="","",ROUND(IF($B754&gt;Parámetros!$D$107,'Tablas Servicio'!DR754+('Tablas Servicio'!DT753-'Tablas Servicio'!DR753),DR754/(1-IF(B754&lt;=10,Parámetros!$D$100,0))),2))</f>
        <v/>
      </c>
      <c r="DU754" s="66" t="str">
        <f t="shared" si="1080"/>
        <v/>
      </c>
      <c r="DV754" s="66" t="str">
        <f t="shared" si="1080"/>
        <v/>
      </c>
      <c r="DW754" s="66" t="str">
        <f>+IF($W754="","",ROUND((DT754*Parámetros!$G$85),2))</f>
        <v/>
      </c>
      <c r="DX754" s="66" t="str">
        <f>+IF($W754="","",ROUND((DT754*(Parámetros!$G$86)),2))</f>
        <v/>
      </c>
      <c r="DY754" s="66" t="str">
        <f t="shared" si="1081"/>
        <v/>
      </c>
      <c r="DZ754" t="str">
        <f t="shared" si="1082"/>
        <v/>
      </c>
      <c r="EA754" s="118" t="str">
        <f t="shared" si="1082"/>
        <v/>
      </c>
      <c r="EB754" s="118" t="str">
        <f>+IF($W754="","",ROUND(IF(Parámetros!$D$25='TABLAS MORT'!$V$33,EB753,Z754/2),0))</f>
        <v/>
      </c>
      <c r="EC754" s="118" t="str">
        <f t="shared" si="1082"/>
        <v/>
      </c>
      <c r="ED754" s="122" t="str">
        <f>+IF(OR($W754="",EB754=0),"",ROUND((VLOOKUP(ROUNDDOWN($D754-1/frec,0),cob_adi,DO$40,FALSE)*(1+i/frec)^-0.5*(1+Parámetros!$D$103)*(1+rec_fracc)/frec),6))</f>
        <v/>
      </c>
      <c r="EE754" s="66" t="str">
        <f t="shared" si="1083"/>
        <v/>
      </c>
      <c r="EF754" s="68" t="str">
        <f t="shared" si="1084"/>
        <v/>
      </c>
      <c r="EG754" s="66" t="str">
        <f>+IF($W754="","",ROUND(IF($B754&gt;Parámetros!$D$107,'Tablas Servicio'!EE754+('Tablas Servicio'!EG753-'Tablas Servicio'!EE753),EE754/(1-IF(B754&lt;=10,Parámetros!$D$100,0))),2))</f>
        <v/>
      </c>
      <c r="EH754" s="66" t="str">
        <f t="shared" si="1085"/>
        <v/>
      </c>
      <c r="EI754" s="66" t="str">
        <f t="shared" si="1085"/>
        <v/>
      </c>
      <c r="EJ754" s="66" t="str">
        <f>+IF($W754="","",ROUND((EG754*Parámetros!$G$85),2))</f>
        <v/>
      </c>
      <c r="EK754" s="66" t="str">
        <f>+IF($W754="","",ROUND((EG754*(Parámetros!$G$86)),2))</f>
        <v/>
      </c>
      <c r="EL754" s="66" t="str">
        <f t="shared" si="1086"/>
        <v/>
      </c>
    </row>
    <row r="755" spans="1:142" x14ac:dyDescent="0.25">
      <c r="A755" t="str">
        <f>+IF($C755="","",ROUND(VLOOKUP('Tablas Servicio'!B755,Parámetros!$H$100:$J$159,IF(Parámetros!$E$16="F",2,3),FALSE),2))</f>
        <v/>
      </c>
      <c r="B755" t="str">
        <f t="shared" si="1037"/>
        <v/>
      </c>
      <c r="C755" s="57" t="str">
        <f>+IF(D755="","",'Tablas Servicio'!C754+1)</f>
        <v/>
      </c>
      <c r="D755" s="56" t="str">
        <f>+IF(D754&lt;edadmaxtabla,D754+1/Parámetros!$E$25,"")</f>
        <v/>
      </c>
      <c r="E755" s="57" t="str">
        <f t="shared" si="1047"/>
        <v/>
      </c>
      <c r="F755" s="59" t="str">
        <f t="shared" si="1048"/>
        <v/>
      </c>
      <c r="G755" s="66" t="str">
        <f t="shared" si="1038"/>
        <v/>
      </c>
      <c r="H755" s="66" t="str">
        <f t="shared" si="1039"/>
        <v/>
      </c>
      <c r="I755" s="66" t="str">
        <f t="shared" si="992"/>
        <v/>
      </c>
      <c r="J755" s="66" t="str">
        <f t="shared" si="1040"/>
        <v/>
      </c>
      <c r="K755" s="66" t="str">
        <f t="shared" si="1041"/>
        <v/>
      </c>
      <c r="L755" s="66" t="str">
        <f t="shared" si="1042"/>
        <v/>
      </c>
      <c r="M755" s="66" t="str">
        <f t="shared" si="1043"/>
        <v/>
      </c>
      <c r="N755" s="66" t="str">
        <f>+IF(C755="","",ROUND(Parámetros!$D$23,2))</f>
        <v/>
      </c>
      <c r="O755" s="66" t="str">
        <f t="shared" si="1044"/>
        <v/>
      </c>
      <c r="P755" s="66" t="str">
        <f>+IF($C755="","",ROUND(IF(B755&gt;Parámetros!$D$117,0,N755*Parámetros!$D$116-G755*Parámetros!$D$100),2))</f>
        <v/>
      </c>
      <c r="Q755" s="75" t="str">
        <f t="shared" si="993"/>
        <v/>
      </c>
      <c r="R755" s="75" t="str">
        <f t="shared" si="994"/>
        <v/>
      </c>
      <c r="S755" s="117" t="str">
        <f>+IF($C755="","",ROUND((S754+I755)*(1+Parámetros!$D$91),2))</f>
        <v/>
      </c>
      <c r="T755" s="117" t="str">
        <f>+IF($C755="","",ROUND(S755*VLOOKUP(B755,Parámetros!$C$30:$D$39,2,TRUE),2))</f>
        <v/>
      </c>
      <c r="U755" s="117" t="str">
        <f>+IF($C755="","",ROUND((U754+I755)*(1+Parámetros!$D$92),2))</f>
        <v/>
      </c>
      <c r="V755" s="117" t="str">
        <f>+IF($C755="","",ROUND(U755*VLOOKUP(B755,Parámetros!$C$30:$D$39,2,TRUE),2))</f>
        <v/>
      </c>
      <c r="W755" s="57" t="str">
        <f t="shared" si="995"/>
        <v/>
      </c>
      <c r="X755" t="str">
        <f t="shared" si="996"/>
        <v/>
      </c>
      <c r="Y755" t="str">
        <f t="shared" si="997"/>
        <v/>
      </c>
      <c r="Z755" s="118" t="str">
        <f>+IF($W755="","",ROUND(IF(Parámetros!$D$25='TABLAS MORT'!$V$33,Z754,Parámetros!$D$21-'Tablas Servicio'!T754),0))</f>
        <v/>
      </c>
      <c r="AA755" s="118" t="str">
        <f t="shared" si="998"/>
        <v/>
      </c>
      <c r="AB755" s="119" t="str">
        <f>+IF(W755="","",ROUND((VLOOKUP(ROUNDDOWN($D755-1/frec,0),qx_tabla,2,FALSE)*(1+i/frec)^-0.5*(1+Parámetros!$D$103)*(1+rec_fracc)/frec),6))</f>
        <v/>
      </c>
      <c r="AC755" s="66" t="str">
        <f t="shared" si="1049"/>
        <v/>
      </c>
      <c r="AD755" s="119" t="str">
        <f t="shared" si="1045"/>
        <v/>
      </c>
      <c r="AE755" s="66" t="str">
        <f>+IF($W755="","",ROUND(IF($B755&gt;Parámetros!$D$107,'Tablas Servicio'!AC755+('Tablas Servicio'!AG754-'Tablas Servicio'!AC754),AC755/(1-IF(B755&lt;=10,Parámetros!$D$104,Parámetros!$D$105))),2))</f>
        <v/>
      </c>
      <c r="AF755" s="66" t="str">
        <f>+IF($W755="","",ROUND(IF($B755&gt;Parámetros!$D$107,'Tablas Servicio'!AC755+('Tablas Servicio'!AG754-'Tablas Servicio'!AC754),(AC755+$A754/frec)/(1-IF(B755&lt;=Parámetros!$D$117,Parámetros!$D$100,0))),2))</f>
        <v/>
      </c>
      <c r="AG755" s="66" t="str">
        <f t="shared" si="1050"/>
        <v/>
      </c>
      <c r="AH755" s="66" t="str">
        <f t="shared" si="1051"/>
        <v/>
      </c>
      <c r="AI755" s="66" t="str">
        <f t="shared" si="1052"/>
        <v/>
      </c>
      <c r="AJ755" s="66" t="str">
        <f>+IF($W755="","",ROUND((AG755*Parámetros!$G$85),2))</f>
        <v/>
      </c>
      <c r="AK755" s="66" t="str">
        <f>+IF($W755="","",ROUND((AG755*(Parámetros!$G$86)),2))</f>
        <v/>
      </c>
      <c r="AL755" s="66" t="str">
        <f t="shared" si="1046"/>
        <v/>
      </c>
      <c r="AM755" t="str">
        <f t="shared" si="999"/>
        <v/>
      </c>
      <c r="AN755" t="str">
        <f t="shared" si="1000"/>
        <v/>
      </c>
      <c r="AO755" s="118" t="str">
        <f t="shared" si="1001"/>
        <v/>
      </c>
      <c r="AP755" s="118" t="str">
        <f t="shared" si="1002"/>
        <v/>
      </c>
      <c r="AQ755" s="119" t="str">
        <f>+IF(OR($W755="",AO755=0),"",ROUND((VLOOKUP(ROUNDDOWN($D755-1/frec,0),cob_adi,Z$40,FALSE)*(1+i/frec)^-0.5*(1+Parámetros!$D$103)*(1+rec_fracc)/frec),6))</f>
        <v/>
      </c>
      <c r="AR755" s="66" t="str">
        <f t="shared" si="1053"/>
        <v/>
      </c>
      <c r="AS755" s="119" t="str">
        <f t="shared" si="1054"/>
        <v/>
      </c>
      <c r="AT755" s="66" t="str">
        <f>+IF($W755="","",ROUND(IF($B755&gt;Parámetros!$D$107,'Tablas Servicio'!AR755+('Tablas Servicio'!AT754-'Tablas Servicio'!AR754),AR755/(1-IF(B755&lt;=10,Parámetros!$D$100,0))),2))</f>
        <v/>
      </c>
      <c r="AU755" s="66" t="str">
        <f t="shared" si="1055"/>
        <v/>
      </c>
      <c r="AV755" s="66" t="str">
        <f t="shared" si="1055"/>
        <v/>
      </c>
      <c r="AW755" s="66" t="str">
        <f>+IF($W755="","",ROUND((AT755*Parámetros!$G$85),2))</f>
        <v/>
      </c>
      <c r="AX755" s="66" t="str">
        <f>+IF($W755="","",ROUND((AT755*(Parámetros!$G$86)),2))</f>
        <v/>
      </c>
      <c r="AY755" s="66" t="str">
        <f t="shared" si="1056"/>
        <v/>
      </c>
      <c r="AZ755" t="str">
        <f t="shared" si="1003"/>
        <v/>
      </c>
      <c r="BA755" t="str">
        <f t="shared" si="1004"/>
        <v/>
      </c>
      <c r="BB755" s="118" t="str">
        <f t="shared" si="1005"/>
        <v/>
      </c>
      <c r="BC755" s="118" t="str">
        <f t="shared" si="1006"/>
        <v/>
      </c>
      <c r="BD755" s="119" t="str">
        <f>+IF(OR($W755="",BB755=0),"",ROUND((VLOOKUP(ROUNDDOWN($D755-1/frec,0),cob_adi,AO$40,FALSE)*(1+i/frec)^-0.5*(1+Parámetros!$D$103)*(1+rec_fracc)/frec),6))</f>
        <v/>
      </c>
      <c r="BE755" s="66" t="str">
        <f t="shared" si="1057"/>
        <v/>
      </c>
      <c r="BF755" s="119" t="str">
        <f t="shared" si="1058"/>
        <v/>
      </c>
      <c r="BG755" s="66" t="str">
        <f>+IF($W755="","",ROUND(IF($B755&gt;Parámetros!$D$107,'Tablas Servicio'!BE755+('Tablas Servicio'!BG754-'Tablas Servicio'!BE754),BE755/(1-IF(B755&lt;=10,Parámetros!$D$100,0))),2))</f>
        <v/>
      </c>
      <c r="BH755" s="66" t="str">
        <f t="shared" si="1059"/>
        <v/>
      </c>
      <c r="BI755" s="66" t="str">
        <f t="shared" si="1060"/>
        <v/>
      </c>
      <c r="BJ755" s="66" t="str">
        <f>+IF($W755="","",ROUND((BG755*Parámetros!$G$85),2))</f>
        <v/>
      </c>
      <c r="BK755" s="66" t="str">
        <f>+IF($W755="","",ROUND((BG755*(Parámetros!$G$86)),2))</f>
        <v/>
      </c>
      <c r="BL755" s="66" t="str">
        <f t="shared" si="1061"/>
        <v/>
      </c>
      <c r="BM755" t="str">
        <f t="shared" si="1007"/>
        <v/>
      </c>
      <c r="BN755" t="str">
        <f t="shared" si="1008"/>
        <v/>
      </c>
      <c r="BO755" s="118" t="str">
        <f t="shared" si="1009"/>
        <v/>
      </c>
      <c r="BP755" s="118" t="str">
        <f t="shared" si="1010"/>
        <v/>
      </c>
      <c r="BQ755" s="119" t="str">
        <f>+IF(OR($W755="",BO755=0),"",ROUND((VLOOKUP(ROUNDDOWN($D755-1/frec,0),cob_adi,BB$40,FALSE)*(1+i/frec)^-0.5*(1+Parámetros!$D$103)*(1+rec_fracc)/frec),6))</f>
        <v/>
      </c>
      <c r="BR755" s="66" t="str">
        <f t="shared" si="1062"/>
        <v/>
      </c>
      <c r="BS755" s="119" t="str">
        <f t="shared" si="1063"/>
        <v/>
      </c>
      <c r="BT755" s="66" t="str">
        <f>+IF($W755="","",ROUND(IF($B755&gt;Parámetros!$D$107,'Tablas Servicio'!BR755+('Tablas Servicio'!BT754-'Tablas Servicio'!BR754),BR755/(1-IF(B755&lt;=10,Parámetros!$D$100,0))),2))</f>
        <v/>
      </c>
      <c r="BU755" s="66" t="str">
        <f t="shared" si="1064"/>
        <v/>
      </c>
      <c r="BV755" s="66" t="str">
        <f t="shared" si="1064"/>
        <v/>
      </c>
      <c r="BW755" s="66" t="str">
        <f>+IF($W755="","",ROUND((BT755*Parámetros!$G$85),2))</f>
        <v/>
      </c>
      <c r="BX755" s="66" t="str">
        <f>+IF($W755="","",ROUND((BT755*(Parámetros!$G$86)),2))</f>
        <v/>
      </c>
      <c r="BY755" s="66" t="str">
        <f t="shared" si="1065"/>
        <v/>
      </c>
      <c r="BZ755" t="str">
        <f t="shared" si="1011"/>
        <v/>
      </c>
      <c r="CA755" t="str">
        <f t="shared" si="1012"/>
        <v/>
      </c>
      <c r="CB755" s="118" t="str">
        <f t="shared" si="1013"/>
        <v/>
      </c>
      <c r="CC755" s="118" t="str">
        <f t="shared" si="1014"/>
        <v/>
      </c>
      <c r="CD755" s="119" t="str">
        <f t="shared" si="1066"/>
        <v/>
      </c>
      <c r="CE755" s="66" t="str">
        <f>+IF($W755="","",ROUND((VLOOKUP(ROUNDDOWN($D755-1/frec,0),cob_adi,BO$40,FALSE)*(1+i/frec)^-0.5*(1+Parámetros!$D$103)*(1+rec_fracc)/frec*'TABLAS ADI'!$BC$17),2))</f>
        <v/>
      </c>
      <c r="CF755" s="119" t="str">
        <f t="shared" si="1067"/>
        <v/>
      </c>
      <c r="CG755" s="66" t="str">
        <f>+IF($W755="","",ROUND(IF($B755&gt;Parámetros!$D$107,'Tablas Servicio'!CE755+('Tablas Servicio'!CG754-'Tablas Servicio'!CE754),CE755/(1-IF(B755&lt;=10,Parámetros!$D$100,0))),2))</f>
        <v/>
      </c>
      <c r="CH755" s="66" t="str">
        <f t="shared" si="1068"/>
        <v/>
      </c>
      <c r="CI755" s="66" t="str">
        <f t="shared" si="1068"/>
        <v/>
      </c>
      <c r="CJ755" s="66" t="str">
        <f>+IF($W755="","",ROUND((CG755*Parámetros!$G$85),2))</f>
        <v/>
      </c>
      <c r="CK755" s="66" t="str">
        <f>+IF($W755="","",ROUND((CG755*(Parámetros!$G$86)),2))</f>
        <v/>
      </c>
      <c r="CL755" s="66" t="str">
        <f t="shared" si="1069"/>
        <v/>
      </c>
      <c r="CM755" t="str">
        <f t="shared" si="1015"/>
        <v/>
      </c>
      <c r="CN755" s="118" t="str">
        <f t="shared" si="1016"/>
        <v/>
      </c>
      <c r="CO755" s="118" t="str">
        <f t="shared" si="1017"/>
        <v/>
      </c>
      <c r="CP755" s="118" t="str">
        <f t="shared" si="1018"/>
        <v/>
      </c>
      <c r="CQ755" s="119" t="str">
        <f t="shared" si="1070"/>
        <v/>
      </c>
      <c r="CR755" s="66" t="str">
        <f>+IF($W755="","",ROUND((VLOOKUP(Parámetros!$F$51,'COBERTURAS ADICIONALES'!$S$4:$T$32,2,FALSE)*(1+i/frec)^-0.5*(1+Parámetros!$D$103)*(1+rec_fracc)/frec*$CO$42),2))</f>
        <v/>
      </c>
      <c r="CS755" s="119" t="str">
        <f t="shared" si="1071"/>
        <v/>
      </c>
      <c r="CT755" s="66" t="str">
        <f>+IF($W755="","",ROUND(IF($B755&gt;Parámetros!$D$107,'Tablas Servicio'!CR755+('Tablas Servicio'!CT754-'Tablas Servicio'!CR754),CR755/(1-IF(B755&lt;=10,Parámetros!$D$100,0))),2))</f>
        <v/>
      </c>
      <c r="CU755" s="66" t="str">
        <f t="shared" si="1072"/>
        <v/>
      </c>
      <c r="CV755" s="66" t="str">
        <f t="shared" si="1072"/>
        <v/>
      </c>
      <c r="CW755" s="66" t="str">
        <f>+IF($W755="","",ROUND((CT755*Parámetros!$G$85),2))</f>
        <v/>
      </c>
      <c r="CX755" s="66" t="str">
        <f>+IF($W755="","",ROUND((CT755*(Parámetros!$G$86)),2))</f>
        <v/>
      </c>
      <c r="CY755" s="66" t="str">
        <f t="shared" si="1073"/>
        <v/>
      </c>
      <c r="CZ755" t="str">
        <f t="shared" si="1019"/>
        <v/>
      </c>
      <c r="DA755" s="118" t="str">
        <f t="shared" si="1020"/>
        <v/>
      </c>
      <c r="DB755" s="118" t="str">
        <f t="shared" si="1021"/>
        <v/>
      </c>
      <c r="DC755" s="118" t="str">
        <f t="shared" si="1022"/>
        <v/>
      </c>
      <c r="DD755" s="121" t="str">
        <f>+IF(OR($W755="",DB755=0),"",ROUND((VLOOKUP(ROUNDDOWN($D755-1/frec,0),cob_adi,CO$40,FALSE)*(1+i/frec)^-0.5*(1+Parámetros!$D$103)*(1+rec_fracc)/frec),6))</f>
        <v/>
      </c>
      <c r="DE755" s="66" t="str">
        <f t="shared" si="1074"/>
        <v/>
      </c>
      <c r="DF755" s="119" t="str">
        <f t="shared" si="1075"/>
        <v/>
      </c>
      <c r="DG755" s="66" t="str">
        <f>+IF($W755="","",ROUND(IF($B755&gt;Parámetros!$D$107,'Tablas Servicio'!DE755+('Tablas Servicio'!DG754-'Tablas Servicio'!DE754),DE755/(1-IF(B755&lt;=10,Parámetros!$D$100,0))),2))</f>
        <v/>
      </c>
      <c r="DH755" s="66" t="str">
        <f t="shared" si="1076"/>
        <v/>
      </c>
      <c r="DI755" s="66" t="str">
        <f t="shared" si="1076"/>
        <v/>
      </c>
      <c r="DJ755" s="66" t="str">
        <f>+IF($W755="","",ROUND((DG755*Parámetros!$G$85),2))</f>
        <v/>
      </c>
      <c r="DK755" s="66" t="str">
        <f>+IF($W755="","",ROUND((DG755*(Parámetros!$G$86)),2))</f>
        <v/>
      </c>
      <c r="DL755" s="66" t="str">
        <f t="shared" si="1077"/>
        <v/>
      </c>
      <c r="DM755" t="str">
        <f t="shared" si="1023"/>
        <v/>
      </c>
      <c r="DN755" s="118" t="str">
        <f t="shared" si="1024"/>
        <v/>
      </c>
      <c r="DO755" s="118" t="str">
        <f t="shared" si="1025"/>
        <v/>
      </c>
      <c r="DP755" s="118" t="str">
        <f t="shared" si="1026"/>
        <v/>
      </c>
      <c r="DQ755" s="122" t="str">
        <f>+IF(OR($W755="",DO755=0),"",ROUND((VLOOKUP(ROUNDDOWN($D755-1/frec,0),cob_adi,DB$40,FALSE)*(1+i/frec)^-0.5*(1+Parámetros!$D$103)*(1+rec_fracc)/frec),6))</f>
        <v/>
      </c>
      <c r="DR755" s="66" t="str">
        <f t="shared" si="1078"/>
        <v/>
      </c>
      <c r="DS755" s="68" t="str">
        <f t="shared" si="1079"/>
        <v/>
      </c>
      <c r="DT755" s="66" t="str">
        <f>+IF($W755="","",ROUND(IF($B755&gt;Parámetros!$D$107,'Tablas Servicio'!DR755+('Tablas Servicio'!DT754-'Tablas Servicio'!DR754),DR755/(1-IF(B755&lt;=10,Parámetros!$D$100,0))),2))</f>
        <v/>
      </c>
      <c r="DU755" s="66" t="str">
        <f t="shared" si="1080"/>
        <v/>
      </c>
      <c r="DV755" s="66" t="str">
        <f t="shared" si="1080"/>
        <v/>
      </c>
      <c r="DW755" s="66" t="str">
        <f>+IF($W755="","",ROUND((DT755*Parámetros!$G$85),2))</f>
        <v/>
      </c>
      <c r="DX755" s="66" t="str">
        <f>+IF($W755="","",ROUND((DT755*(Parámetros!$G$86)),2))</f>
        <v/>
      </c>
      <c r="DY755" s="66" t="str">
        <f t="shared" si="1081"/>
        <v/>
      </c>
      <c r="DZ755" t="str">
        <f t="shared" si="1082"/>
        <v/>
      </c>
      <c r="EA755" s="118" t="str">
        <f t="shared" si="1082"/>
        <v/>
      </c>
      <c r="EB755" s="118" t="str">
        <f>+IF($W755="","",ROUND(IF(Parámetros!$D$25='TABLAS MORT'!$V$33,EB754,Z755/2),0))</f>
        <v/>
      </c>
      <c r="EC755" s="118" t="str">
        <f t="shared" si="1082"/>
        <v/>
      </c>
      <c r="ED755" s="122" t="str">
        <f>+IF(OR($W755="",EB755=0),"",ROUND((VLOOKUP(ROUNDDOWN($D755-1/frec,0),cob_adi,DO$40,FALSE)*(1+i/frec)^-0.5*(1+Parámetros!$D$103)*(1+rec_fracc)/frec),6))</f>
        <v/>
      </c>
      <c r="EE755" s="66" t="str">
        <f t="shared" si="1083"/>
        <v/>
      </c>
      <c r="EF755" s="68" t="str">
        <f t="shared" si="1084"/>
        <v/>
      </c>
      <c r="EG755" s="66" t="str">
        <f>+IF($W755="","",ROUND(IF($B755&gt;Parámetros!$D$107,'Tablas Servicio'!EE755+('Tablas Servicio'!EG754-'Tablas Servicio'!EE754),EE755/(1-IF(B755&lt;=10,Parámetros!$D$100,0))),2))</f>
        <v/>
      </c>
      <c r="EH755" s="66" t="str">
        <f t="shared" si="1085"/>
        <v/>
      </c>
      <c r="EI755" s="66" t="str">
        <f t="shared" si="1085"/>
        <v/>
      </c>
      <c r="EJ755" s="66" t="str">
        <f>+IF($W755="","",ROUND((EG755*Parámetros!$G$85),2))</f>
        <v/>
      </c>
      <c r="EK755" s="66" t="str">
        <f>+IF($W755="","",ROUND((EG755*(Parámetros!$G$86)),2))</f>
        <v/>
      </c>
      <c r="EL755" s="66" t="str">
        <f t="shared" si="1086"/>
        <v/>
      </c>
    </row>
    <row r="756" spans="1:142" x14ac:dyDescent="0.25">
      <c r="A756" t="str">
        <f>+IF($C756="","",ROUND(VLOOKUP('Tablas Servicio'!B756,Parámetros!$H$100:$J$159,IF(Parámetros!$E$16="F",2,3),FALSE),2))</f>
        <v/>
      </c>
      <c r="B756" t="str">
        <f t="shared" si="1037"/>
        <v/>
      </c>
      <c r="C756" s="57" t="str">
        <f>+IF(D756="","",'Tablas Servicio'!C755+1)</f>
        <v/>
      </c>
      <c r="D756" s="56" t="str">
        <f>+IF(D755&lt;edadmaxtabla,D755+1/Parámetros!$E$25,"")</f>
        <v/>
      </c>
      <c r="E756" s="57" t="str">
        <f t="shared" si="1047"/>
        <v/>
      </c>
      <c r="F756" s="59" t="str">
        <f t="shared" si="1048"/>
        <v/>
      </c>
      <c r="G756" s="66" t="str">
        <f t="shared" si="1038"/>
        <v/>
      </c>
      <c r="H756" s="66" t="str">
        <f t="shared" si="1039"/>
        <v/>
      </c>
      <c r="I756" s="66" t="str">
        <f t="shared" si="992"/>
        <v/>
      </c>
      <c r="J756" s="66" t="str">
        <f t="shared" si="1040"/>
        <v/>
      </c>
      <c r="K756" s="66" t="str">
        <f t="shared" si="1041"/>
        <v/>
      </c>
      <c r="L756" s="66" t="str">
        <f t="shared" si="1042"/>
        <v/>
      </c>
      <c r="M756" s="66" t="str">
        <f t="shared" si="1043"/>
        <v/>
      </c>
      <c r="N756" s="66" t="str">
        <f>+IF(C756="","",ROUND(Parámetros!$D$23,2))</f>
        <v/>
      </c>
      <c r="O756" s="66" t="str">
        <f t="shared" si="1044"/>
        <v/>
      </c>
      <c r="P756" s="66" t="str">
        <f>+IF($C756="","",ROUND(IF(B756&gt;Parámetros!$D$117,0,N756*Parámetros!$D$116-G756*Parámetros!$D$100),2))</f>
        <v/>
      </c>
      <c r="Q756" s="75" t="str">
        <f t="shared" si="993"/>
        <v/>
      </c>
      <c r="R756" s="75" t="str">
        <f t="shared" si="994"/>
        <v/>
      </c>
      <c r="S756" s="117" t="str">
        <f>+IF($C756="","",ROUND((S755+I756)*(1+Parámetros!$D$91),2))</f>
        <v/>
      </c>
      <c r="T756" s="117" t="str">
        <f>+IF($C756="","",ROUND(S756*VLOOKUP(B756,Parámetros!$C$30:$D$39,2,TRUE),2))</f>
        <v/>
      </c>
      <c r="U756" s="117" t="str">
        <f>+IF($C756="","",ROUND((U755+I756)*(1+Parámetros!$D$92),2))</f>
        <v/>
      </c>
      <c r="V756" s="117" t="str">
        <f>+IF($C756="","",ROUND(U756*VLOOKUP(B756,Parámetros!$C$30:$D$39,2,TRUE),2))</f>
        <v/>
      </c>
      <c r="W756" s="57" t="str">
        <f t="shared" si="995"/>
        <v/>
      </c>
      <c r="X756" t="str">
        <f t="shared" si="996"/>
        <v/>
      </c>
      <c r="Y756" t="str">
        <f t="shared" si="997"/>
        <v/>
      </c>
      <c r="Z756" s="118" t="str">
        <f>+IF($W756="","",ROUND(IF(Parámetros!$D$25='TABLAS MORT'!$V$33,Z755,Parámetros!$D$21-'Tablas Servicio'!T755),0))</f>
        <v/>
      </c>
      <c r="AA756" s="118" t="str">
        <f t="shared" si="998"/>
        <v/>
      </c>
      <c r="AB756" s="119" t="str">
        <f>+IF(W756="","",ROUND((VLOOKUP(ROUNDDOWN($D756-1/frec,0),qx_tabla,2,FALSE)*(1+i/frec)^-0.5*(1+Parámetros!$D$103)*(1+rec_fracc)/frec),6))</f>
        <v/>
      </c>
      <c r="AC756" s="66" t="str">
        <f t="shared" si="1049"/>
        <v/>
      </c>
      <c r="AD756" s="119" t="str">
        <f t="shared" si="1045"/>
        <v/>
      </c>
      <c r="AE756" s="66" t="str">
        <f>+IF($W756="","",ROUND(IF($B756&gt;Parámetros!$D$107,'Tablas Servicio'!AC756+('Tablas Servicio'!AG755-'Tablas Servicio'!AC755),AC756/(1-IF(B756&lt;=10,Parámetros!$D$104,Parámetros!$D$105))),2))</f>
        <v/>
      </c>
      <c r="AF756" s="66" t="str">
        <f>+IF($W756="","",ROUND(IF($B756&gt;Parámetros!$D$107,'Tablas Servicio'!AC756+('Tablas Servicio'!AG755-'Tablas Servicio'!AC755),(AC756+$A755/frec)/(1-IF(B756&lt;=Parámetros!$D$117,Parámetros!$D$100,0))),2))</f>
        <v/>
      </c>
      <c r="AG756" s="66" t="str">
        <f t="shared" si="1050"/>
        <v/>
      </c>
      <c r="AH756" s="66" t="str">
        <f t="shared" si="1051"/>
        <v/>
      </c>
      <c r="AI756" s="66" t="str">
        <f t="shared" si="1052"/>
        <v/>
      </c>
      <c r="AJ756" s="66" t="str">
        <f>+IF($W756="","",ROUND((AG756*Parámetros!$G$85),2))</f>
        <v/>
      </c>
      <c r="AK756" s="66" t="str">
        <f>+IF($W756="","",ROUND((AG756*(Parámetros!$G$86)),2))</f>
        <v/>
      </c>
      <c r="AL756" s="66" t="str">
        <f t="shared" si="1046"/>
        <v/>
      </c>
      <c r="AM756" t="str">
        <f t="shared" si="999"/>
        <v/>
      </c>
      <c r="AN756" t="str">
        <f t="shared" si="1000"/>
        <v/>
      </c>
      <c r="AO756" s="118" t="str">
        <f t="shared" si="1001"/>
        <v/>
      </c>
      <c r="AP756" s="118" t="str">
        <f t="shared" si="1002"/>
        <v/>
      </c>
      <c r="AQ756" s="119" t="str">
        <f>+IF(OR($W756="",AO756=0),"",ROUND((VLOOKUP(ROUNDDOWN($D756-1/frec,0),cob_adi,Z$40,FALSE)*(1+i/frec)^-0.5*(1+Parámetros!$D$103)*(1+rec_fracc)/frec),6))</f>
        <v/>
      </c>
      <c r="AR756" s="66" t="str">
        <f t="shared" si="1053"/>
        <v/>
      </c>
      <c r="AS756" s="119" t="str">
        <f t="shared" si="1054"/>
        <v/>
      </c>
      <c r="AT756" s="66" t="str">
        <f>+IF($W756="","",ROUND(IF($B756&gt;Parámetros!$D$107,'Tablas Servicio'!AR756+('Tablas Servicio'!AT755-'Tablas Servicio'!AR755),AR756/(1-IF(B756&lt;=10,Parámetros!$D$100,0))),2))</f>
        <v/>
      </c>
      <c r="AU756" s="66" t="str">
        <f t="shared" si="1055"/>
        <v/>
      </c>
      <c r="AV756" s="66" t="str">
        <f t="shared" si="1055"/>
        <v/>
      </c>
      <c r="AW756" s="66" t="str">
        <f>+IF($W756="","",ROUND((AT756*Parámetros!$G$85),2))</f>
        <v/>
      </c>
      <c r="AX756" s="66" t="str">
        <f>+IF($W756="","",ROUND((AT756*(Parámetros!$G$86)),2))</f>
        <v/>
      </c>
      <c r="AY756" s="66" t="str">
        <f t="shared" si="1056"/>
        <v/>
      </c>
      <c r="AZ756" t="str">
        <f t="shared" si="1003"/>
        <v/>
      </c>
      <c r="BA756" t="str">
        <f t="shared" si="1004"/>
        <v/>
      </c>
      <c r="BB756" s="118" t="str">
        <f t="shared" si="1005"/>
        <v/>
      </c>
      <c r="BC756" s="118" t="str">
        <f t="shared" si="1006"/>
        <v/>
      </c>
      <c r="BD756" s="119" t="str">
        <f>+IF(OR($W756="",BB756=0),"",ROUND((VLOOKUP(ROUNDDOWN($D756-1/frec,0),cob_adi,AO$40,FALSE)*(1+i/frec)^-0.5*(1+Parámetros!$D$103)*(1+rec_fracc)/frec),6))</f>
        <v/>
      </c>
      <c r="BE756" s="66" t="str">
        <f t="shared" si="1057"/>
        <v/>
      </c>
      <c r="BF756" s="119" t="str">
        <f t="shared" si="1058"/>
        <v/>
      </c>
      <c r="BG756" s="66" t="str">
        <f>+IF($W756="","",ROUND(IF($B756&gt;Parámetros!$D$107,'Tablas Servicio'!BE756+('Tablas Servicio'!BG755-'Tablas Servicio'!BE755),BE756/(1-IF(B756&lt;=10,Parámetros!$D$100,0))),2))</f>
        <v/>
      </c>
      <c r="BH756" s="66" t="str">
        <f t="shared" si="1059"/>
        <v/>
      </c>
      <c r="BI756" s="66" t="str">
        <f t="shared" si="1060"/>
        <v/>
      </c>
      <c r="BJ756" s="66" t="str">
        <f>+IF($W756="","",ROUND((BG756*Parámetros!$G$85),2))</f>
        <v/>
      </c>
      <c r="BK756" s="66" t="str">
        <f>+IF($W756="","",ROUND((BG756*(Parámetros!$G$86)),2))</f>
        <v/>
      </c>
      <c r="BL756" s="66" t="str">
        <f t="shared" si="1061"/>
        <v/>
      </c>
      <c r="BM756" t="str">
        <f t="shared" si="1007"/>
        <v/>
      </c>
      <c r="BN756" t="str">
        <f t="shared" si="1008"/>
        <v/>
      </c>
      <c r="BO756" s="118" t="str">
        <f t="shared" si="1009"/>
        <v/>
      </c>
      <c r="BP756" s="118" t="str">
        <f t="shared" si="1010"/>
        <v/>
      </c>
      <c r="BQ756" s="119" t="str">
        <f>+IF(OR($W756="",BO756=0),"",ROUND((VLOOKUP(ROUNDDOWN($D756-1/frec,0),cob_adi,BB$40,FALSE)*(1+i/frec)^-0.5*(1+Parámetros!$D$103)*(1+rec_fracc)/frec),6))</f>
        <v/>
      </c>
      <c r="BR756" s="66" t="str">
        <f t="shared" si="1062"/>
        <v/>
      </c>
      <c r="BS756" s="119" t="str">
        <f t="shared" si="1063"/>
        <v/>
      </c>
      <c r="BT756" s="66" t="str">
        <f>+IF($W756="","",ROUND(IF($B756&gt;Parámetros!$D$107,'Tablas Servicio'!BR756+('Tablas Servicio'!BT755-'Tablas Servicio'!BR755),BR756/(1-IF(B756&lt;=10,Parámetros!$D$100,0))),2))</f>
        <v/>
      </c>
      <c r="BU756" s="66" t="str">
        <f t="shared" si="1064"/>
        <v/>
      </c>
      <c r="BV756" s="66" t="str">
        <f t="shared" si="1064"/>
        <v/>
      </c>
      <c r="BW756" s="66" t="str">
        <f>+IF($W756="","",ROUND((BT756*Parámetros!$G$85),2))</f>
        <v/>
      </c>
      <c r="BX756" s="66" t="str">
        <f>+IF($W756="","",ROUND((BT756*(Parámetros!$G$86)),2))</f>
        <v/>
      </c>
      <c r="BY756" s="66" t="str">
        <f t="shared" si="1065"/>
        <v/>
      </c>
      <c r="BZ756" t="str">
        <f t="shared" si="1011"/>
        <v/>
      </c>
      <c r="CA756" t="str">
        <f t="shared" si="1012"/>
        <v/>
      </c>
      <c r="CB756" s="118" t="str">
        <f t="shared" si="1013"/>
        <v/>
      </c>
      <c r="CC756" s="118" t="str">
        <f t="shared" si="1014"/>
        <v/>
      </c>
      <c r="CD756" s="119" t="str">
        <f t="shared" si="1066"/>
        <v/>
      </c>
      <c r="CE756" s="66" t="str">
        <f>+IF($W756="","",ROUND((VLOOKUP(ROUNDDOWN($D756-1/frec,0),cob_adi,BO$40,FALSE)*(1+i/frec)^-0.5*(1+Parámetros!$D$103)*(1+rec_fracc)/frec*'TABLAS ADI'!$BC$17),2))</f>
        <v/>
      </c>
      <c r="CF756" s="119" t="str">
        <f t="shared" si="1067"/>
        <v/>
      </c>
      <c r="CG756" s="66" t="str">
        <f>+IF($W756="","",ROUND(IF($B756&gt;Parámetros!$D$107,'Tablas Servicio'!CE756+('Tablas Servicio'!CG755-'Tablas Servicio'!CE755),CE756/(1-IF(B756&lt;=10,Parámetros!$D$100,0))),2))</f>
        <v/>
      </c>
      <c r="CH756" s="66" t="str">
        <f t="shared" si="1068"/>
        <v/>
      </c>
      <c r="CI756" s="66" t="str">
        <f t="shared" si="1068"/>
        <v/>
      </c>
      <c r="CJ756" s="66" t="str">
        <f>+IF($W756="","",ROUND((CG756*Parámetros!$G$85),2))</f>
        <v/>
      </c>
      <c r="CK756" s="66" t="str">
        <f>+IF($W756="","",ROUND((CG756*(Parámetros!$G$86)),2))</f>
        <v/>
      </c>
      <c r="CL756" s="66" t="str">
        <f t="shared" si="1069"/>
        <v/>
      </c>
      <c r="CM756" t="str">
        <f t="shared" si="1015"/>
        <v/>
      </c>
      <c r="CN756" s="118" t="str">
        <f t="shared" si="1016"/>
        <v/>
      </c>
      <c r="CO756" s="118" t="str">
        <f t="shared" si="1017"/>
        <v/>
      </c>
      <c r="CP756" s="118" t="str">
        <f t="shared" si="1018"/>
        <v/>
      </c>
      <c r="CQ756" s="119" t="str">
        <f t="shared" si="1070"/>
        <v/>
      </c>
      <c r="CR756" s="66" t="str">
        <f>+IF($W756="","",ROUND((VLOOKUP(Parámetros!$F$51,'COBERTURAS ADICIONALES'!$S$4:$T$32,2,FALSE)*(1+i/frec)^-0.5*(1+Parámetros!$D$103)*(1+rec_fracc)/frec*$CO$42),2))</f>
        <v/>
      </c>
      <c r="CS756" s="119" t="str">
        <f t="shared" si="1071"/>
        <v/>
      </c>
      <c r="CT756" s="66" t="str">
        <f>+IF($W756="","",ROUND(IF($B756&gt;Parámetros!$D$107,'Tablas Servicio'!CR756+('Tablas Servicio'!CT755-'Tablas Servicio'!CR755),CR756/(1-IF(B756&lt;=10,Parámetros!$D$100,0))),2))</f>
        <v/>
      </c>
      <c r="CU756" s="66" t="str">
        <f t="shared" si="1072"/>
        <v/>
      </c>
      <c r="CV756" s="66" t="str">
        <f t="shared" si="1072"/>
        <v/>
      </c>
      <c r="CW756" s="66" t="str">
        <f>+IF($W756="","",ROUND((CT756*Parámetros!$G$85),2))</f>
        <v/>
      </c>
      <c r="CX756" s="66" t="str">
        <f>+IF($W756="","",ROUND((CT756*(Parámetros!$G$86)),2))</f>
        <v/>
      </c>
      <c r="CY756" s="66" t="str">
        <f t="shared" si="1073"/>
        <v/>
      </c>
      <c r="CZ756" t="str">
        <f t="shared" si="1019"/>
        <v/>
      </c>
      <c r="DA756" s="118" t="str">
        <f t="shared" si="1020"/>
        <v/>
      </c>
      <c r="DB756" s="118" t="str">
        <f t="shared" si="1021"/>
        <v/>
      </c>
      <c r="DC756" s="118" t="str">
        <f t="shared" si="1022"/>
        <v/>
      </c>
      <c r="DD756" s="121" t="str">
        <f>+IF(OR($W756="",DB756=0),"",ROUND((VLOOKUP(ROUNDDOWN($D756-1/frec,0),cob_adi,CO$40,FALSE)*(1+i/frec)^-0.5*(1+Parámetros!$D$103)*(1+rec_fracc)/frec),6))</f>
        <v/>
      </c>
      <c r="DE756" s="66" t="str">
        <f t="shared" si="1074"/>
        <v/>
      </c>
      <c r="DF756" s="119" t="str">
        <f t="shared" si="1075"/>
        <v/>
      </c>
      <c r="DG756" s="66" t="str">
        <f>+IF($W756="","",ROUND(IF($B756&gt;Parámetros!$D$107,'Tablas Servicio'!DE756+('Tablas Servicio'!DG755-'Tablas Servicio'!DE755),DE756/(1-IF(B756&lt;=10,Parámetros!$D$100,0))),2))</f>
        <v/>
      </c>
      <c r="DH756" s="66" t="str">
        <f t="shared" si="1076"/>
        <v/>
      </c>
      <c r="DI756" s="66" t="str">
        <f t="shared" si="1076"/>
        <v/>
      </c>
      <c r="DJ756" s="66" t="str">
        <f>+IF($W756="","",ROUND((DG756*Parámetros!$G$85),2))</f>
        <v/>
      </c>
      <c r="DK756" s="66" t="str">
        <f>+IF($W756="","",ROUND((DG756*(Parámetros!$G$86)),2))</f>
        <v/>
      </c>
      <c r="DL756" s="66" t="str">
        <f t="shared" si="1077"/>
        <v/>
      </c>
      <c r="DM756" t="str">
        <f t="shared" si="1023"/>
        <v/>
      </c>
      <c r="DN756" s="118" t="str">
        <f t="shared" si="1024"/>
        <v/>
      </c>
      <c r="DO756" s="118" t="str">
        <f t="shared" si="1025"/>
        <v/>
      </c>
      <c r="DP756" s="118" t="str">
        <f t="shared" si="1026"/>
        <v/>
      </c>
      <c r="DQ756" s="122" t="str">
        <f>+IF(OR($W756="",DO756=0),"",ROUND((VLOOKUP(ROUNDDOWN($D756-1/frec,0),cob_adi,DB$40,FALSE)*(1+i/frec)^-0.5*(1+Parámetros!$D$103)*(1+rec_fracc)/frec),6))</f>
        <v/>
      </c>
      <c r="DR756" s="66" t="str">
        <f t="shared" si="1078"/>
        <v/>
      </c>
      <c r="DS756" s="68" t="str">
        <f t="shared" si="1079"/>
        <v/>
      </c>
      <c r="DT756" s="66" t="str">
        <f>+IF($W756="","",ROUND(IF($B756&gt;Parámetros!$D$107,'Tablas Servicio'!DR756+('Tablas Servicio'!DT755-'Tablas Servicio'!DR755),DR756/(1-IF(B756&lt;=10,Parámetros!$D$100,0))),2))</f>
        <v/>
      </c>
      <c r="DU756" s="66" t="str">
        <f t="shared" si="1080"/>
        <v/>
      </c>
      <c r="DV756" s="66" t="str">
        <f t="shared" si="1080"/>
        <v/>
      </c>
      <c r="DW756" s="66" t="str">
        <f>+IF($W756="","",ROUND((DT756*Parámetros!$G$85),2))</f>
        <v/>
      </c>
      <c r="DX756" s="66" t="str">
        <f>+IF($W756="","",ROUND((DT756*(Parámetros!$G$86)),2))</f>
        <v/>
      </c>
      <c r="DY756" s="66" t="str">
        <f t="shared" si="1081"/>
        <v/>
      </c>
      <c r="DZ756" t="str">
        <f t="shared" si="1082"/>
        <v/>
      </c>
      <c r="EA756" s="118" t="str">
        <f t="shared" si="1082"/>
        <v/>
      </c>
      <c r="EB756" s="118" t="str">
        <f>+IF($W756="","",ROUND(IF(Parámetros!$D$25='TABLAS MORT'!$V$33,EB755,Z756/2),0))</f>
        <v/>
      </c>
      <c r="EC756" s="118" t="str">
        <f t="shared" si="1082"/>
        <v/>
      </c>
      <c r="ED756" s="122" t="str">
        <f>+IF(OR($W756="",EB756=0),"",ROUND((VLOOKUP(ROUNDDOWN($D756-1/frec,0),cob_adi,DO$40,FALSE)*(1+i/frec)^-0.5*(1+Parámetros!$D$103)*(1+rec_fracc)/frec),6))</f>
        <v/>
      </c>
      <c r="EE756" s="66" t="str">
        <f t="shared" si="1083"/>
        <v/>
      </c>
      <c r="EF756" s="68" t="str">
        <f t="shared" si="1084"/>
        <v/>
      </c>
      <c r="EG756" s="66" t="str">
        <f>+IF($W756="","",ROUND(IF($B756&gt;Parámetros!$D$107,'Tablas Servicio'!EE756+('Tablas Servicio'!EG755-'Tablas Servicio'!EE755),EE756/(1-IF(B756&lt;=10,Parámetros!$D$100,0))),2))</f>
        <v/>
      </c>
      <c r="EH756" s="66" t="str">
        <f t="shared" si="1085"/>
        <v/>
      </c>
      <c r="EI756" s="66" t="str">
        <f t="shared" si="1085"/>
        <v/>
      </c>
      <c r="EJ756" s="66" t="str">
        <f>+IF($W756="","",ROUND((EG756*Parámetros!$G$85),2))</f>
        <v/>
      </c>
      <c r="EK756" s="66" t="str">
        <f>+IF($W756="","",ROUND((EG756*(Parámetros!$G$86)),2))</f>
        <v/>
      </c>
      <c r="EL756" s="66" t="str">
        <f t="shared" si="1086"/>
        <v/>
      </c>
    </row>
    <row r="757" spans="1:142" x14ac:dyDescent="0.25">
      <c r="A757" t="str">
        <f>+IF($C757="","",ROUND(VLOOKUP('Tablas Servicio'!B757,Parámetros!$H$100:$J$159,IF(Parámetros!$E$16="F",2,3),FALSE),2))</f>
        <v/>
      </c>
      <c r="B757" t="str">
        <f t="shared" si="1037"/>
        <v/>
      </c>
      <c r="C757" s="57" t="str">
        <f>+IF(D757="","",'Tablas Servicio'!C756+1)</f>
        <v/>
      </c>
      <c r="D757" s="56" t="str">
        <f>+IF(D756&lt;edadmaxtabla,D756+1/Parámetros!$E$25,"")</f>
        <v/>
      </c>
      <c r="E757" s="57" t="str">
        <f t="shared" si="1047"/>
        <v/>
      </c>
      <c r="F757" s="59" t="str">
        <f t="shared" si="1048"/>
        <v/>
      </c>
      <c r="G757" s="66" t="str">
        <f t="shared" si="1038"/>
        <v/>
      </c>
      <c r="H757" s="66" t="str">
        <f t="shared" si="1039"/>
        <v/>
      </c>
      <c r="I757" s="66" t="str">
        <f t="shared" si="992"/>
        <v/>
      </c>
      <c r="J757" s="66" t="str">
        <f t="shared" si="1040"/>
        <v/>
      </c>
      <c r="K757" s="66" t="str">
        <f t="shared" si="1041"/>
        <v/>
      </c>
      <c r="L757" s="66" t="str">
        <f t="shared" si="1042"/>
        <v/>
      </c>
      <c r="M757" s="66" t="str">
        <f t="shared" si="1043"/>
        <v/>
      </c>
      <c r="N757" s="66" t="str">
        <f>+IF(C757="","",ROUND(Parámetros!$D$23,2))</f>
        <v/>
      </c>
      <c r="O757" s="66" t="str">
        <f t="shared" si="1044"/>
        <v/>
      </c>
      <c r="P757" s="66" t="str">
        <f>+IF($C757="","",ROUND(IF(B757&gt;Parámetros!$D$117,0,N757*Parámetros!$D$116-G757*Parámetros!$D$100),2))</f>
        <v/>
      </c>
      <c r="Q757" s="75" t="str">
        <f t="shared" si="993"/>
        <v/>
      </c>
      <c r="R757" s="75" t="str">
        <f t="shared" si="994"/>
        <v/>
      </c>
      <c r="S757" s="117" t="str">
        <f>+IF($C757="","",ROUND((S756+I757)*(1+Parámetros!$D$91),2))</f>
        <v/>
      </c>
      <c r="T757" s="117" t="str">
        <f>+IF($C757="","",ROUND(S757*VLOOKUP(B757,Parámetros!$C$30:$D$39,2,TRUE),2))</f>
        <v/>
      </c>
      <c r="U757" s="117" t="str">
        <f>+IF($C757="","",ROUND((U756+I757)*(1+Parámetros!$D$92),2))</f>
        <v/>
      </c>
      <c r="V757" s="117" t="str">
        <f>+IF($C757="","",ROUND(U757*VLOOKUP(B757,Parámetros!$C$30:$D$39,2,TRUE),2))</f>
        <v/>
      </c>
      <c r="W757" s="57" t="str">
        <f t="shared" si="995"/>
        <v/>
      </c>
      <c r="X757" t="str">
        <f t="shared" si="996"/>
        <v/>
      </c>
      <c r="Y757" t="str">
        <f t="shared" si="997"/>
        <v/>
      </c>
      <c r="Z757" s="118" t="str">
        <f>+IF($W757="","",ROUND(IF(Parámetros!$D$25='TABLAS MORT'!$V$33,Z756,Parámetros!$D$21-'Tablas Servicio'!T756),0))</f>
        <v/>
      </c>
      <c r="AA757" s="118" t="str">
        <f t="shared" si="998"/>
        <v/>
      </c>
      <c r="AB757" s="119" t="str">
        <f>+IF(W757="","",ROUND((VLOOKUP(ROUNDDOWN($D757-1/frec,0),qx_tabla,2,FALSE)*(1+i/frec)^-0.5*(1+Parámetros!$D$103)*(1+rec_fracc)/frec),6))</f>
        <v/>
      </c>
      <c r="AC757" s="66" t="str">
        <f t="shared" si="1049"/>
        <v/>
      </c>
      <c r="AD757" s="119" t="str">
        <f t="shared" si="1045"/>
        <v/>
      </c>
      <c r="AE757" s="66" t="str">
        <f>+IF($W757="","",ROUND(IF($B757&gt;Parámetros!$D$107,'Tablas Servicio'!AC757+('Tablas Servicio'!AG756-'Tablas Servicio'!AC756),AC757/(1-IF(B757&lt;=10,Parámetros!$D$104,Parámetros!$D$105))),2))</f>
        <v/>
      </c>
      <c r="AF757" s="66" t="str">
        <f>+IF($W757="","",ROUND(IF($B757&gt;Parámetros!$D$107,'Tablas Servicio'!AC757+('Tablas Servicio'!AG756-'Tablas Servicio'!AC756),(AC757+$A756/frec)/(1-IF(B757&lt;=Parámetros!$D$117,Parámetros!$D$100,0))),2))</f>
        <v/>
      </c>
      <c r="AG757" s="66" t="str">
        <f t="shared" si="1050"/>
        <v/>
      </c>
      <c r="AH757" s="66" t="str">
        <f t="shared" si="1051"/>
        <v/>
      </c>
      <c r="AI757" s="66" t="str">
        <f t="shared" si="1052"/>
        <v/>
      </c>
      <c r="AJ757" s="66" t="str">
        <f>+IF($W757="","",ROUND((AG757*Parámetros!$G$85),2))</f>
        <v/>
      </c>
      <c r="AK757" s="66" t="str">
        <f>+IF($W757="","",ROUND((AG757*(Parámetros!$G$86)),2))</f>
        <v/>
      </c>
      <c r="AL757" s="66" t="str">
        <f t="shared" si="1046"/>
        <v/>
      </c>
      <c r="AM757" t="str">
        <f t="shared" si="999"/>
        <v/>
      </c>
      <c r="AN757" t="str">
        <f t="shared" si="1000"/>
        <v/>
      </c>
      <c r="AO757" s="118" t="str">
        <f t="shared" si="1001"/>
        <v/>
      </c>
      <c r="AP757" s="118" t="str">
        <f t="shared" si="1002"/>
        <v/>
      </c>
      <c r="AQ757" s="119" t="str">
        <f>+IF(OR($W757="",AO757=0),"",ROUND((VLOOKUP(ROUNDDOWN($D757-1/frec,0),cob_adi,Z$40,FALSE)*(1+i/frec)^-0.5*(1+Parámetros!$D$103)*(1+rec_fracc)/frec),6))</f>
        <v/>
      </c>
      <c r="AR757" s="66" t="str">
        <f t="shared" si="1053"/>
        <v/>
      </c>
      <c r="AS757" s="119" t="str">
        <f t="shared" si="1054"/>
        <v/>
      </c>
      <c r="AT757" s="66" t="str">
        <f>+IF($W757="","",ROUND(IF($B757&gt;Parámetros!$D$107,'Tablas Servicio'!AR757+('Tablas Servicio'!AT756-'Tablas Servicio'!AR756),AR757/(1-IF(B757&lt;=10,Parámetros!$D$100,0))),2))</f>
        <v/>
      </c>
      <c r="AU757" s="66" t="str">
        <f t="shared" si="1055"/>
        <v/>
      </c>
      <c r="AV757" s="66" t="str">
        <f t="shared" si="1055"/>
        <v/>
      </c>
      <c r="AW757" s="66" t="str">
        <f>+IF($W757="","",ROUND((AT757*Parámetros!$G$85),2))</f>
        <v/>
      </c>
      <c r="AX757" s="66" t="str">
        <f>+IF($W757="","",ROUND((AT757*(Parámetros!$G$86)),2))</f>
        <v/>
      </c>
      <c r="AY757" s="66" t="str">
        <f t="shared" si="1056"/>
        <v/>
      </c>
      <c r="AZ757" t="str">
        <f t="shared" si="1003"/>
        <v/>
      </c>
      <c r="BA757" t="str">
        <f t="shared" si="1004"/>
        <v/>
      </c>
      <c r="BB757" s="118" t="str">
        <f t="shared" si="1005"/>
        <v/>
      </c>
      <c r="BC757" s="118" t="str">
        <f t="shared" si="1006"/>
        <v/>
      </c>
      <c r="BD757" s="119" t="str">
        <f>+IF(OR($W757="",BB757=0),"",ROUND((VLOOKUP(ROUNDDOWN($D757-1/frec,0),cob_adi,AO$40,FALSE)*(1+i/frec)^-0.5*(1+Parámetros!$D$103)*(1+rec_fracc)/frec),6))</f>
        <v/>
      </c>
      <c r="BE757" s="66" t="str">
        <f t="shared" si="1057"/>
        <v/>
      </c>
      <c r="BF757" s="119" t="str">
        <f t="shared" si="1058"/>
        <v/>
      </c>
      <c r="BG757" s="66" t="str">
        <f>+IF($W757="","",ROUND(IF($B757&gt;Parámetros!$D$107,'Tablas Servicio'!BE757+('Tablas Servicio'!BG756-'Tablas Servicio'!BE756),BE757/(1-IF(B757&lt;=10,Parámetros!$D$100,0))),2))</f>
        <v/>
      </c>
      <c r="BH757" s="66" t="str">
        <f t="shared" si="1059"/>
        <v/>
      </c>
      <c r="BI757" s="66" t="str">
        <f t="shared" si="1060"/>
        <v/>
      </c>
      <c r="BJ757" s="66" t="str">
        <f>+IF($W757="","",ROUND((BG757*Parámetros!$G$85),2))</f>
        <v/>
      </c>
      <c r="BK757" s="66" t="str">
        <f>+IF($W757="","",ROUND((BG757*(Parámetros!$G$86)),2))</f>
        <v/>
      </c>
      <c r="BL757" s="66" t="str">
        <f t="shared" si="1061"/>
        <v/>
      </c>
      <c r="BM757" t="str">
        <f t="shared" si="1007"/>
        <v/>
      </c>
      <c r="BN757" t="str">
        <f t="shared" si="1008"/>
        <v/>
      </c>
      <c r="BO757" s="118" t="str">
        <f t="shared" si="1009"/>
        <v/>
      </c>
      <c r="BP757" s="118" t="str">
        <f t="shared" si="1010"/>
        <v/>
      </c>
      <c r="BQ757" s="119" t="str">
        <f>+IF(OR($W757="",BO757=0),"",ROUND((VLOOKUP(ROUNDDOWN($D757-1/frec,0),cob_adi,BB$40,FALSE)*(1+i/frec)^-0.5*(1+Parámetros!$D$103)*(1+rec_fracc)/frec),6))</f>
        <v/>
      </c>
      <c r="BR757" s="66" t="str">
        <f t="shared" si="1062"/>
        <v/>
      </c>
      <c r="BS757" s="119" t="str">
        <f t="shared" si="1063"/>
        <v/>
      </c>
      <c r="BT757" s="66" t="str">
        <f>+IF($W757="","",ROUND(IF($B757&gt;Parámetros!$D$107,'Tablas Servicio'!BR757+('Tablas Servicio'!BT756-'Tablas Servicio'!BR756),BR757/(1-IF(B757&lt;=10,Parámetros!$D$100,0))),2))</f>
        <v/>
      </c>
      <c r="BU757" s="66" t="str">
        <f t="shared" si="1064"/>
        <v/>
      </c>
      <c r="BV757" s="66" t="str">
        <f t="shared" si="1064"/>
        <v/>
      </c>
      <c r="BW757" s="66" t="str">
        <f>+IF($W757="","",ROUND((BT757*Parámetros!$G$85),2))</f>
        <v/>
      </c>
      <c r="BX757" s="66" t="str">
        <f>+IF($W757="","",ROUND((BT757*(Parámetros!$G$86)),2))</f>
        <v/>
      </c>
      <c r="BY757" s="66" t="str">
        <f t="shared" si="1065"/>
        <v/>
      </c>
      <c r="BZ757" t="str">
        <f t="shared" si="1011"/>
        <v/>
      </c>
      <c r="CA757" t="str">
        <f t="shared" si="1012"/>
        <v/>
      </c>
      <c r="CB757" s="118" t="str">
        <f t="shared" si="1013"/>
        <v/>
      </c>
      <c r="CC757" s="118" t="str">
        <f t="shared" si="1014"/>
        <v/>
      </c>
      <c r="CD757" s="119" t="str">
        <f t="shared" si="1066"/>
        <v/>
      </c>
      <c r="CE757" s="66" t="str">
        <f>+IF($W757="","",ROUND((VLOOKUP(ROUNDDOWN($D757-1/frec,0),cob_adi,BO$40,FALSE)*(1+i/frec)^-0.5*(1+Parámetros!$D$103)*(1+rec_fracc)/frec*'TABLAS ADI'!$BC$17),2))</f>
        <v/>
      </c>
      <c r="CF757" s="119" t="str">
        <f t="shared" si="1067"/>
        <v/>
      </c>
      <c r="CG757" s="66" t="str">
        <f>+IF($W757="","",ROUND(IF($B757&gt;Parámetros!$D$107,'Tablas Servicio'!CE757+('Tablas Servicio'!CG756-'Tablas Servicio'!CE756),CE757/(1-IF(B757&lt;=10,Parámetros!$D$100,0))),2))</f>
        <v/>
      </c>
      <c r="CH757" s="66" t="str">
        <f t="shared" si="1068"/>
        <v/>
      </c>
      <c r="CI757" s="66" t="str">
        <f t="shared" si="1068"/>
        <v/>
      </c>
      <c r="CJ757" s="66" t="str">
        <f>+IF($W757="","",ROUND((CG757*Parámetros!$G$85),2))</f>
        <v/>
      </c>
      <c r="CK757" s="66" t="str">
        <f>+IF($W757="","",ROUND((CG757*(Parámetros!$G$86)),2))</f>
        <v/>
      </c>
      <c r="CL757" s="66" t="str">
        <f t="shared" si="1069"/>
        <v/>
      </c>
      <c r="CM757" t="str">
        <f t="shared" si="1015"/>
        <v/>
      </c>
      <c r="CN757" s="118" t="str">
        <f t="shared" si="1016"/>
        <v/>
      </c>
      <c r="CO757" s="118" t="str">
        <f t="shared" si="1017"/>
        <v/>
      </c>
      <c r="CP757" s="118" t="str">
        <f t="shared" si="1018"/>
        <v/>
      </c>
      <c r="CQ757" s="119" t="str">
        <f t="shared" si="1070"/>
        <v/>
      </c>
      <c r="CR757" s="66" t="str">
        <f>+IF($W757="","",ROUND((VLOOKUP(Parámetros!$F$51,'COBERTURAS ADICIONALES'!$S$4:$T$32,2,FALSE)*(1+i/frec)^-0.5*(1+Parámetros!$D$103)*(1+rec_fracc)/frec*$CO$42),2))</f>
        <v/>
      </c>
      <c r="CS757" s="119" t="str">
        <f t="shared" si="1071"/>
        <v/>
      </c>
      <c r="CT757" s="66" t="str">
        <f>+IF($W757="","",ROUND(IF($B757&gt;Parámetros!$D$107,'Tablas Servicio'!CR757+('Tablas Servicio'!CT756-'Tablas Servicio'!CR756),CR757/(1-IF(B757&lt;=10,Parámetros!$D$100,0))),2))</f>
        <v/>
      </c>
      <c r="CU757" s="66" t="str">
        <f t="shared" si="1072"/>
        <v/>
      </c>
      <c r="CV757" s="66" t="str">
        <f t="shared" si="1072"/>
        <v/>
      </c>
      <c r="CW757" s="66" t="str">
        <f>+IF($W757="","",ROUND((CT757*Parámetros!$G$85),2))</f>
        <v/>
      </c>
      <c r="CX757" s="66" t="str">
        <f>+IF($W757="","",ROUND((CT757*(Parámetros!$G$86)),2))</f>
        <v/>
      </c>
      <c r="CY757" s="66" t="str">
        <f t="shared" si="1073"/>
        <v/>
      </c>
      <c r="CZ757" t="str">
        <f t="shared" si="1019"/>
        <v/>
      </c>
      <c r="DA757" s="118" t="str">
        <f t="shared" si="1020"/>
        <v/>
      </c>
      <c r="DB757" s="118" t="str">
        <f t="shared" si="1021"/>
        <v/>
      </c>
      <c r="DC757" s="118" t="str">
        <f t="shared" si="1022"/>
        <v/>
      </c>
      <c r="DD757" s="121" t="str">
        <f>+IF(OR($W757="",DB757=0),"",ROUND((VLOOKUP(ROUNDDOWN($D757-1/frec,0),cob_adi,CO$40,FALSE)*(1+i/frec)^-0.5*(1+Parámetros!$D$103)*(1+rec_fracc)/frec),6))</f>
        <v/>
      </c>
      <c r="DE757" s="66" t="str">
        <f t="shared" si="1074"/>
        <v/>
      </c>
      <c r="DF757" s="119" t="str">
        <f t="shared" si="1075"/>
        <v/>
      </c>
      <c r="DG757" s="66" t="str">
        <f>+IF($W757="","",ROUND(IF($B757&gt;Parámetros!$D$107,'Tablas Servicio'!DE757+('Tablas Servicio'!DG756-'Tablas Servicio'!DE756),DE757/(1-IF(B757&lt;=10,Parámetros!$D$100,0))),2))</f>
        <v/>
      </c>
      <c r="DH757" s="66" t="str">
        <f t="shared" si="1076"/>
        <v/>
      </c>
      <c r="DI757" s="66" t="str">
        <f t="shared" si="1076"/>
        <v/>
      </c>
      <c r="DJ757" s="66" t="str">
        <f>+IF($W757="","",ROUND((DG757*Parámetros!$G$85),2))</f>
        <v/>
      </c>
      <c r="DK757" s="66" t="str">
        <f>+IF($W757="","",ROUND((DG757*(Parámetros!$G$86)),2))</f>
        <v/>
      </c>
      <c r="DL757" s="66" t="str">
        <f t="shared" si="1077"/>
        <v/>
      </c>
      <c r="DM757" t="str">
        <f t="shared" si="1023"/>
        <v/>
      </c>
      <c r="DN757" s="118" t="str">
        <f t="shared" si="1024"/>
        <v/>
      </c>
      <c r="DO757" s="118" t="str">
        <f t="shared" si="1025"/>
        <v/>
      </c>
      <c r="DP757" s="118" t="str">
        <f t="shared" si="1026"/>
        <v/>
      </c>
      <c r="DQ757" s="122" t="str">
        <f>+IF(OR($W757="",DO757=0),"",ROUND((VLOOKUP(ROUNDDOWN($D757-1/frec,0),cob_adi,DB$40,FALSE)*(1+i/frec)^-0.5*(1+Parámetros!$D$103)*(1+rec_fracc)/frec),6))</f>
        <v/>
      </c>
      <c r="DR757" s="66" t="str">
        <f t="shared" si="1078"/>
        <v/>
      </c>
      <c r="DS757" s="68" t="str">
        <f t="shared" si="1079"/>
        <v/>
      </c>
      <c r="DT757" s="66" t="str">
        <f>+IF($W757="","",ROUND(IF($B757&gt;Parámetros!$D$107,'Tablas Servicio'!DR757+('Tablas Servicio'!DT756-'Tablas Servicio'!DR756),DR757/(1-IF(B757&lt;=10,Parámetros!$D$100,0))),2))</f>
        <v/>
      </c>
      <c r="DU757" s="66" t="str">
        <f t="shared" si="1080"/>
        <v/>
      </c>
      <c r="DV757" s="66" t="str">
        <f t="shared" si="1080"/>
        <v/>
      </c>
      <c r="DW757" s="66" t="str">
        <f>+IF($W757="","",ROUND((DT757*Parámetros!$G$85),2))</f>
        <v/>
      </c>
      <c r="DX757" s="66" t="str">
        <f>+IF($W757="","",ROUND((DT757*(Parámetros!$G$86)),2))</f>
        <v/>
      </c>
      <c r="DY757" s="66" t="str">
        <f t="shared" si="1081"/>
        <v/>
      </c>
      <c r="DZ757" t="str">
        <f t="shared" si="1082"/>
        <v/>
      </c>
      <c r="EA757" s="118" t="str">
        <f t="shared" si="1082"/>
        <v/>
      </c>
      <c r="EB757" s="118" t="str">
        <f>+IF($W757="","",ROUND(IF(Parámetros!$D$25='TABLAS MORT'!$V$33,EB756,Z757/2),0))</f>
        <v/>
      </c>
      <c r="EC757" s="118" t="str">
        <f t="shared" si="1082"/>
        <v/>
      </c>
      <c r="ED757" s="122" t="str">
        <f>+IF(OR($W757="",EB757=0),"",ROUND((VLOOKUP(ROUNDDOWN($D757-1/frec,0),cob_adi,DO$40,FALSE)*(1+i/frec)^-0.5*(1+Parámetros!$D$103)*(1+rec_fracc)/frec),6))</f>
        <v/>
      </c>
      <c r="EE757" s="66" t="str">
        <f t="shared" si="1083"/>
        <v/>
      </c>
      <c r="EF757" s="68" t="str">
        <f t="shared" si="1084"/>
        <v/>
      </c>
      <c r="EG757" s="66" t="str">
        <f>+IF($W757="","",ROUND(IF($B757&gt;Parámetros!$D$107,'Tablas Servicio'!EE757+('Tablas Servicio'!EG756-'Tablas Servicio'!EE756),EE757/(1-IF(B757&lt;=10,Parámetros!$D$100,0))),2))</f>
        <v/>
      </c>
      <c r="EH757" s="66" t="str">
        <f t="shared" si="1085"/>
        <v/>
      </c>
      <c r="EI757" s="66" t="str">
        <f t="shared" si="1085"/>
        <v/>
      </c>
      <c r="EJ757" s="66" t="str">
        <f>+IF($W757="","",ROUND((EG757*Parámetros!$G$85),2))</f>
        <v/>
      </c>
      <c r="EK757" s="66" t="str">
        <f>+IF($W757="","",ROUND((EG757*(Parámetros!$G$86)),2))</f>
        <v/>
      </c>
      <c r="EL757" s="66" t="str">
        <f t="shared" si="1086"/>
        <v/>
      </c>
    </row>
    <row r="758" spans="1:142" x14ac:dyDescent="0.25">
      <c r="A758" t="str">
        <f>+IF($C758="","",ROUND(VLOOKUP('Tablas Servicio'!B758,Parámetros!$H$100:$J$159,IF(Parámetros!$E$16="F",2,3),FALSE),2))</f>
        <v/>
      </c>
      <c r="B758" t="str">
        <f t="shared" si="1037"/>
        <v/>
      </c>
      <c r="C758" s="57" t="str">
        <f>+IF(D758="","",'Tablas Servicio'!C757+1)</f>
        <v/>
      </c>
      <c r="D758" s="56" t="str">
        <f>+IF(D757&lt;edadmaxtabla,D757+1/Parámetros!$E$25,"")</f>
        <v/>
      </c>
      <c r="E758" s="57" t="str">
        <f t="shared" si="1047"/>
        <v/>
      </c>
      <c r="F758" s="59" t="str">
        <f t="shared" si="1048"/>
        <v/>
      </c>
      <c r="G758" s="66" t="str">
        <f t="shared" si="1038"/>
        <v/>
      </c>
      <c r="H758" s="66" t="str">
        <f t="shared" si="1039"/>
        <v/>
      </c>
      <c r="I758" s="66" t="str">
        <f t="shared" ref="I758:I821" si="1087">+IF($C758="","",N758-H758-P758)</f>
        <v/>
      </c>
      <c r="J758" s="66" t="str">
        <f t="shared" si="1040"/>
        <v/>
      </c>
      <c r="K758" s="66" t="str">
        <f t="shared" si="1041"/>
        <v/>
      </c>
      <c r="L758" s="66" t="str">
        <f t="shared" si="1042"/>
        <v/>
      </c>
      <c r="M758" s="66" t="str">
        <f t="shared" si="1043"/>
        <v/>
      </c>
      <c r="N758" s="66" t="str">
        <f>+IF(C758="","",ROUND(Parámetros!$D$23,2))</f>
        <v/>
      </c>
      <c r="O758" s="66" t="str">
        <f t="shared" si="1044"/>
        <v/>
      </c>
      <c r="P758" s="66" t="str">
        <f>+IF($C758="","",ROUND(IF(B758&gt;Parámetros!$D$117,0,N758*Parámetros!$D$116-G758*Parámetros!$D$100),2))</f>
        <v/>
      </c>
      <c r="Q758" s="75" t="str">
        <f t="shared" ref="Q758:Q821" si="1088">+IF($C758="","",J758/$G758)</f>
        <v/>
      </c>
      <c r="R758" s="75" t="str">
        <f t="shared" ref="R758:R821" si="1089">+IF($C758="","",K758/$G758)</f>
        <v/>
      </c>
      <c r="S758" s="117" t="str">
        <f>+IF($C758="","",ROUND((S757+I758)*(1+Parámetros!$D$91),2))</f>
        <v/>
      </c>
      <c r="T758" s="117" t="str">
        <f>+IF($C758="","",ROUND(S758*VLOOKUP(B758,Parámetros!$C$30:$D$39,2,TRUE),2))</f>
        <v/>
      </c>
      <c r="U758" s="117" t="str">
        <f>+IF($C758="","",ROUND((U757+I758)*(1+Parámetros!$D$92),2))</f>
        <v/>
      </c>
      <c r="V758" s="117" t="str">
        <f>+IF($C758="","",ROUND(U758*VLOOKUP(B758,Parámetros!$C$30:$D$39,2,TRUE),2))</f>
        <v/>
      </c>
      <c r="W758" s="57" t="str">
        <f t="shared" ref="W758:W821" si="1090">+C758</f>
        <v/>
      </c>
      <c r="X758" t="str">
        <f t="shared" ref="X758:X821" si="1091">+IF($W758="","",X757)</f>
        <v/>
      </c>
      <c r="Y758" t="str">
        <f t="shared" ref="Y758:Y821" si="1092">+IF($W758="","",Y757)</f>
        <v/>
      </c>
      <c r="Z758" s="118" t="str">
        <f>+IF($W758="","",ROUND(IF(Parámetros!$D$25='TABLAS MORT'!$V$33,Z757,Parámetros!$D$21-'Tablas Servicio'!T757),0))</f>
        <v/>
      </c>
      <c r="AA758" s="118" t="str">
        <f t="shared" ref="AA758:AA821" si="1093">+IF($W758="","",AA757)</f>
        <v/>
      </c>
      <c r="AB758" s="119" t="str">
        <f>+IF(W758="","",ROUND((VLOOKUP(ROUNDDOWN($D758-1/frec,0),qx_tabla,2,FALSE)*(1+i/frec)^-0.5*(1+Parámetros!$D$103)*(1+rec_fracc)/frec),6))</f>
        <v/>
      </c>
      <c r="AC758" s="66" t="str">
        <f t="shared" si="1049"/>
        <v/>
      </c>
      <c r="AD758" s="119" t="str">
        <f t="shared" si="1045"/>
        <v/>
      </c>
      <c r="AE758" s="66" t="str">
        <f>+IF($W758="","",ROUND(IF($B758&gt;Parámetros!$D$107,'Tablas Servicio'!AC758+('Tablas Servicio'!AG757-'Tablas Servicio'!AC757),AC758/(1-IF(B758&lt;=10,Parámetros!$D$104,Parámetros!$D$105))),2))</f>
        <v/>
      </c>
      <c r="AF758" s="66" t="str">
        <f>+IF($W758="","",ROUND(IF($B758&gt;Parámetros!$D$107,'Tablas Servicio'!AC758+('Tablas Servicio'!AG757-'Tablas Servicio'!AC757),(AC758+$A757/frec)/(1-IF(B758&lt;=Parámetros!$D$117,Parámetros!$D$100,0))),2))</f>
        <v/>
      </c>
      <c r="AG758" s="66" t="str">
        <f t="shared" si="1050"/>
        <v/>
      </c>
      <c r="AH758" s="66" t="str">
        <f t="shared" si="1051"/>
        <v/>
      </c>
      <c r="AI758" s="66" t="str">
        <f t="shared" si="1052"/>
        <v/>
      </c>
      <c r="AJ758" s="66" t="str">
        <f>+IF($W758="","",ROUND((AG758*Parámetros!$G$85),2))</f>
        <v/>
      </c>
      <c r="AK758" s="66" t="str">
        <f>+IF($W758="","",ROUND((AG758*(Parámetros!$G$86)),2))</f>
        <v/>
      </c>
      <c r="AL758" s="66" t="str">
        <f t="shared" si="1046"/>
        <v/>
      </c>
      <c r="AM758" t="str">
        <f t="shared" ref="AM758:AM821" si="1094">+IF($W758="","",AM757)</f>
        <v/>
      </c>
      <c r="AN758" t="str">
        <f t="shared" ref="AN758:AN821" si="1095">+IF($W758="","",AN757)</f>
        <v/>
      </c>
      <c r="AO758" s="118" t="str">
        <f t="shared" ref="AO758:AO821" si="1096">+IF($W758="","",AO757)</f>
        <v/>
      </c>
      <c r="AP758" s="118" t="str">
        <f t="shared" ref="AP758:AP821" si="1097">+IF($W758="","",AP757)</f>
        <v/>
      </c>
      <c r="AQ758" s="119" t="str">
        <f>+IF(OR($W758="",AO758=0),"",ROUND((VLOOKUP(ROUNDDOWN($D758-1/frec,0),cob_adi,Z$40,FALSE)*(1+i/frec)^-0.5*(1+Parámetros!$D$103)*(1+rec_fracc)/frec),6))</f>
        <v/>
      </c>
      <c r="AR758" s="66" t="str">
        <f t="shared" si="1053"/>
        <v/>
      </c>
      <c r="AS758" s="119" t="str">
        <f t="shared" si="1054"/>
        <v/>
      </c>
      <c r="AT758" s="66" t="str">
        <f>+IF($W758="","",ROUND(IF($B758&gt;Parámetros!$D$107,'Tablas Servicio'!AR758+('Tablas Servicio'!AT757-'Tablas Servicio'!AR757),AR758/(1-IF(B758&lt;=10,Parámetros!$D$100,0))),2))</f>
        <v/>
      </c>
      <c r="AU758" s="66" t="str">
        <f t="shared" si="1055"/>
        <v/>
      </c>
      <c r="AV758" s="66" t="str">
        <f t="shared" si="1055"/>
        <v/>
      </c>
      <c r="AW758" s="66" t="str">
        <f>+IF($W758="","",ROUND((AT758*Parámetros!$G$85),2))</f>
        <v/>
      </c>
      <c r="AX758" s="66" t="str">
        <f>+IF($W758="","",ROUND((AT758*(Parámetros!$G$86)),2))</f>
        <v/>
      </c>
      <c r="AY758" s="66" t="str">
        <f t="shared" si="1056"/>
        <v/>
      </c>
      <c r="AZ758" t="str">
        <f t="shared" ref="AZ758:AZ821" si="1098">+IF($W758="","",AZ757)</f>
        <v/>
      </c>
      <c r="BA758" t="str">
        <f t="shared" ref="BA758:BA821" si="1099">+IF($W758="","",BA757)</f>
        <v/>
      </c>
      <c r="BB758" s="118" t="str">
        <f t="shared" ref="BB758:BB821" si="1100">+IF($W758="","",BB757)</f>
        <v/>
      </c>
      <c r="BC758" s="118" t="str">
        <f t="shared" ref="BC758:BC821" si="1101">+IF($W758="","",BC757)</f>
        <v/>
      </c>
      <c r="BD758" s="119" t="str">
        <f>+IF(OR($W758="",BB758=0),"",ROUND((VLOOKUP(ROUNDDOWN($D758-1/frec,0),cob_adi,AO$40,FALSE)*(1+i/frec)^-0.5*(1+Parámetros!$D$103)*(1+rec_fracc)/frec),6))</f>
        <v/>
      </c>
      <c r="BE758" s="66" t="str">
        <f t="shared" si="1057"/>
        <v/>
      </c>
      <c r="BF758" s="119" t="str">
        <f t="shared" si="1058"/>
        <v/>
      </c>
      <c r="BG758" s="66" t="str">
        <f>+IF($W758="","",ROUND(IF($B758&gt;Parámetros!$D$107,'Tablas Servicio'!BE758+('Tablas Servicio'!BG757-'Tablas Servicio'!BE757),BE758/(1-IF(B758&lt;=10,Parámetros!$D$100,0))),2))</f>
        <v/>
      </c>
      <c r="BH758" s="66" t="str">
        <f t="shared" si="1059"/>
        <v/>
      </c>
      <c r="BI758" s="66" t="str">
        <f t="shared" si="1060"/>
        <v/>
      </c>
      <c r="BJ758" s="66" t="str">
        <f>+IF($W758="","",ROUND((BG758*Parámetros!$G$85),2))</f>
        <v/>
      </c>
      <c r="BK758" s="66" t="str">
        <f>+IF($W758="","",ROUND((BG758*(Parámetros!$G$86)),2))</f>
        <v/>
      </c>
      <c r="BL758" s="66" t="str">
        <f t="shared" si="1061"/>
        <v/>
      </c>
      <c r="BM758" t="str">
        <f t="shared" ref="BM758:BM821" si="1102">+IF($W758="","",BM757)</f>
        <v/>
      </c>
      <c r="BN758" t="str">
        <f t="shared" ref="BN758:BN821" si="1103">+IF($W758="","",BN757)</f>
        <v/>
      </c>
      <c r="BO758" s="118" t="str">
        <f t="shared" ref="BO758:BO821" si="1104">+IF($W758="","",BO757)</f>
        <v/>
      </c>
      <c r="BP758" s="118" t="str">
        <f t="shared" ref="BP758:BP821" si="1105">+IF($W758="","",BP757)</f>
        <v/>
      </c>
      <c r="BQ758" s="119" t="str">
        <f>+IF(OR($W758="",BO758=0),"",ROUND((VLOOKUP(ROUNDDOWN($D758-1/frec,0),cob_adi,BB$40,FALSE)*(1+i/frec)^-0.5*(1+Parámetros!$D$103)*(1+rec_fracc)/frec),6))</f>
        <v/>
      </c>
      <c r="BR758" s="66" t="str">
        <f t="shared" si="1062"/>
        <v/>
      </c>
      <c r="BS758" s="119" t="str">
        <f t="shared" si="1063"/>
        <v/>
      </c>
      <c r="BT758" s="66" t="str">
        <f>+IF($W758="","",ROUND(IF($B758&gt;Parámetros!$D$107,'Tablas Servicio'!BR758+('Tablas Servicio'!BT757-'Tablas Servicio'!BR757),BR758/(1-IF(B758&lt;=10,Parámetros!$D$100,0))),2))</f>
        <v/>
      </c>
      <c r="BU758" s="66" t="str">
        <f t="shared" si="1064"/>
        <v/>
      </c>
      <c r="BV758" s="66" t="str">
        <f t="shared" si="1064"/>
        <v/>
      </c>
      <c r="BW758" s="66" t="str">
        <f>+IF($W758="","",ROUND((BT758*Parámetros!$G$85),2))</f>
        <v/>
      </c>
      <c r="BX758" s="66" t="str">
        <f>+IF($W758="","",ROUND((BT758*(Parámetros!$G$86)),2))</f>
        <v/>
      </c>
      <c r="BY758" s="66" t="str">
        <f t="shared" si="1065"/>
        <v/>
      </c>
      <c r="BZ758" t="str">
        <f t="shared" ref="BZ758:BZ821" si="1106">+IF($W758="","",BZ757)</f>
        <v/>
      </c>
      <c r="CA758" t="str">
        <f t="shared" ref="CA758:CA821" si="1107">+IF($W758="","",CA757)</f>
        <v/>
      </c>
      <c r="CB758" s="118" t="str">
        <f t="shared" ref="CB758:CB821" si="1108">+IF($W758="","",CB757)</f>
        <v/>
      </c>
      <c r="CC758" s="118" t="str">
        <f t="shared" ref="CC758:CC821" si="1109">+IF($W758="","",CC757)</f>
        <v/>
      </c>
      <c r="CD758" s="119" t="str">
        <f t="shared" si="1066"/>
        <v/>
      </c>
      <c r="CE758" s="66" t="str">
        <f>+IF($W758="","",ROUND((VLOOKUP(ROUNDDOWN($D758-1/frec,0),cob_adi,BO$40,FALSE)*(1+i/frec)^-0.5*(1+Parámetros!$D$103)*(1+rec_fracc)/frec*'TABLAS ADI'!$BC$17),2))</f>
        <v/>
      </c>
      <c r="CF758" s="119" t="str">
        <f t="shared" si="1067"/>
        <v/>
      </c>
      <c r="CG758" s="66" t="str">
        <f>+IF($W758="","",ROUND(IF($B758&gt;Parámetros!$D$107,'Tablas Servicio'!CE758+('Tablas Servicio'!CG757-'Tablas Servicio'!CE757),CE758/(1-IF(B758&lt;=10,Parámetros!$D$100,0))),2))</f>
        <v/>
      </c>
      <c r="CH758" s="66" t="str">
        <f t="shared" si="1068"/>
        <v/>
      </c>
      <c r="CI758" s="66" t="str">
        <f t="shared" si="1068"/>
        <v/>
      </c>
      <c r="CJ758" s="66" t="str">
        <f>+IF($W758="","",ROUND((CG758*Parámetros!$G$85),2))</f>
        <v/>
      </c>
      <c r="CK758" s="66" t="str">
        <f>+IF($W758="","",ROUND((CG758*(Parámetros!$G$86)),2))</f>
        <v/>
      </c>
      <c r="CL758" s="66" t="str">
        <f t="shared" si="1069"/>
        <v/>
      </c>
      <c r="CM758" t="str">
        <f t="shared" ref="CM758:CM821" si="1110">+IF($W758="","",CM757)</f>
        <v/>
      </c>
      <c r="CN758" s="118" t="str">
        <f t="shared" ref="CN758:CN821" si="1111">+IF($W758="","",CN757)</f>
        <v/>
      </c>
      <c r="CO758" s="118" t="str">
        <f t="shared" ref="CO758:CO821" si="1112">+IF($W758="","",CO757)</f>
        <v/>
      </c>
      <c r="CP758" s="118" t="str">
        <f t="shared" ref="CP758:CP821" si="1113">+IF($W758="","",CP757)</f>
        <v/>
      </c>
      <c r="CQ758" s="119" t="str">
        <f t="shared" si="1070"/>
        <v/>
      </c>
      <c r="CR758" s="66" t="str">
        <f>+IF($W758="","",ROUND((VLOOKUP(Parámetros!$F$51,'COBERTURAS ADICIONALES'!$S$4:$T$32,2,FALSE)*(1+i/frec)^-0.5*(1+Parámetros!$D$103)*(1+rec_fracc)/frec*$CO$42),2))</f>
        <v/>
      </c>
      <c r="CS758" s="119" t="str">
        <f t="shared" si="1071"/>
        <v/>
      </c>
      <c r="CT758" s="66" t="str">
        <f>+IF($W758="","",ROUND(IF($B758&gt;Parámetros!$D$107,'Tablas Servicio'!CR758+('Tablas Servicio'!CT757-'Tablas Servicio'!CR757),CR758/(1-IF(B758&lt;=10,Parámetros!$D$100,0))),2))</f>
        <v/>
      </c>
      <c r="CU758" s="66" t="str">
        <f t="shared" si="1072"/>
        <v/>
      </c>
      <c r="CV758" s="66" t="str">
        <f t="shared" si="1072"/>
        <v/>
      </c>
      <c r="CW758" s="66" t="str">
        <f>+IF($W758="","",ROUND((CT758*Parámetros!$G$85),2))</f>
        <v/>
      </c>
      <c r="CX758" s="66" t="str">
        <f>+IF($W758="","",ROUND((CT758*(Parámetros!$G$86)),2))</f>
        <v/>
      </c>
      <c r="CY758" s="66" t="str">
        <f t="shared" si="1073"/>
        <v/>
      </c>
      <c r="CZ758" t="str">
        <f t="shared" ref="CZ758:CZ821" si="1114">+IF($W758="","",CZ757)</f>
        <v/>
      </c>
      <c r="DA758" s="118" t="str">
        <f t="shared" ref="DA758:DA821" si="1115">+IF($W758="","",DA757)</f>
        <v/>
      </c>
      <c r="DB758" s="118" t="str">
        <f t="shared" ref="DB758:DB821" si="1116">+IF($W758="","",DB757)</f>
        <v/>
      </c>
      <c r="DC758" s="118" t="str">
        <f t="shared" ref="DC758:DC821" si="1117">+IF($W758="","",DC757)</f>
        <v/>
      </c>
      <c r="DD758" s="121" t="str">
        <f>+IF(OR($W758="",DB758=0),"",ROUND((VLOOKUP(ROUNDDOWN($D758-1/frec,0),cob_adi,CO$40,FALSE)*(1+i/frec)^-0.5*(1+Parámetros!$D$103)*(1+rec_fracc)/frec),6))</f>
        <v/>
      </c>
      <c r="DE758" s="66" t="str">
        <f t="shared" si="1074"/>
        <v/>
      </c>
      <c r="DF758" s="119" t="str">
        <f t="shared" si="1075"/>
        <v/>
      </c>
      <c r="DG758" s="66" t="str">
        <f>+IF($W758="","",ROUND(IF($B758&gt;Parámetros!$D$107,'Tablas Servicio'!DE758+('Tablas Servicio'!DG757-'Tablas Servicio'!DE757),DE758/(1-IF(B758&lt;=10,Parámetros!$D$100,0))),2))</f>
        <v/>
      </c>
      <c r="DH758" s="66" t="str">
        <f t="shared" si="1076"/>
        <v/>
      </c>
      <c r="DI758" s="66" t="str">
        <f t="shared" si="1076"/>
        <v/>
      </c>
      <c r="DJ758" s="66" t="str">
        <f>+IF($W758="","",ROUND((DG758*Parámetros!$G$85),2))</f>
        <v/>
      </c>
      <c r="DK758" s="66" t="str">
        <f>+IF($W758="","",ROUND((DG758*(Parámetros!$G$86)),2))</f>
        <v/>
      </c>
      <c r="DL758" s="66" t="str">
        <f t="shared" si="1077"/>
        <v/>
      </c>
      <c r="DM758" t="str">
        <f t="shared" ref="DM758:DM821" si="1118">+IF($W758="","",DM757)</f>
        <v/>
      </c>
      <c r="DN758" s="118" t="str">
        <f t="shared" ref="DN758:DN821" si="1119">+IF($W758="","",DN757)</f>
        <v/>
      </c>
      <c r="DO758" s="118" t="str">
        <f t="shared" ref="DO758:DO821" si="1120">+IF($W758="","",DO757)</f>
        <v/>
      </c>
      <c r="DP758" s="118" t="str">
        <f t="shared" ref="DP758:DP821" si="1121">+IF($W758="","",DP757)</f>
        <v/>
      </c>
      <c r="DQ758" s="122" t="str">
        <f>+IF(OR($W758="",DO758=0),"",ROUND((VLOOKUP(ROUNDDOWN($D758-1/frec,0),cob_adi,DB$40,FALSE)*(1+i/frec)^-0.5*(1+Parámetros!$D$103)*(1+rec_fracc)/frec),6))</f>
        <v/>
      </c>
      <c r="DR758" s="66" t="str">
        <f t="shared" si="1078"/>
        <v/>
      </c>
      <c r="DS758" s="68" t="str">
        <f t="shared" si="1079"/>
        <v/>
      </c>
      <c r="DT758" s="66" t="str">
        <f>+IF($W758="","",ROUND(IF($B758&gt;Parámetros!$D$107,'Tablas Servicio'!DR758+('Tablas Servicio'!DT757-'Tablas Servicio'!DR757),DR758/(1-IF(B758&lt;=10,Parámetros!$D$100,0))),2))</f>
        <v/>
      </c>
      <c r="DU758" s="66" t="str">
        <f t="shared" si="1080"/>
        <v/>
      </c>
      <c r="DV758" s="66" t="str">
        <f t="shared" si="1080"/>
        <v/>
      </c>
      <c r="DW758" s="66" t="str">
        <f>+IF($W758="","",ROUND((DT758*Parámetros!$G$85),2))</f>
        <v/>
      </c>
      <c r="DX758" s="66" t="str">
        <f>+IF($W758="","",ROUND((DT758*(Parámetros!$G$86)),2))</f>
        <v/>
      </c>
      <c r="DY758" s="66" t="str">
        <f t="shared" si="1081"/>
        <v/>
      </c>
      <c r="DZ758" t="str">
        <f t="shared" si="1082"/>
        <v/>
      </c>
      <c r="EA758" s="118" t="str">
        <f t="shared" si="1082"/>
        <v/>
      </c>
      <c r="EB758" s="118" t="str">
        <f>+IF($W758="","",ROUND(IF(Parámetros!$D$25='TABLAS MORT'!$V$33,EB757,Z758/2),0))</f>
        <v/>
      </c>
      <c r="EC758" s="118" t="str">
        <f t="shared" si="1082"/>
        <v/>
      </c>
      <c r="ED758" s="122" t="str">
        <f>+IF(OR($W758="",EB758=0),"",ROUND((VLOOKUP(ROUNDDOWN($D758-1/frec,0),cob_adi,DO$40,FALSE)*(1+i/frec)^-0.5*(1+Parámetros!$D$103)*(1+rec_fracc)/frec),6))</f>
        <v/>
      </c>
      <c r="EE758" s="66" t="str">
        <f t="shared" si="1083"/>
        <v/>
      </c>
      <c r="EF758" s="68" t="str">
        <f t="shared" si="1084"/>
        <v/>
      </c>
      <c r="EG758" s="66" t="str">
        <f>+IF($W758="","",ROUND(IF($B758&gt;Parámetros!$D$107,'Tablas Servicio'!EE758+('Tablas Servicio'!EG757-'Tablas Servicio'!EE757),EE758/(1-IF(B758&lt;=10,Parámetros!$D$100,0))),2))</f>
        <v/>
      </c>
      <c r="EH758" s="66" t="str">
        <f t="shared" si="1085"/>
        <v/>
      </c>
      <c r="EI758" s="66" t="str">
        <f t="shared" si="1085"/>
        <v/>
      </c>
      <c r="EJ758" s="66" t="str">
        <f>+IF($W758="","",ROUND((EG758*Parámetros!$G$85),2))</f>
        <v/>
      </c>
      <c r="EK758" s="66" t="str">
        <f>+IF($W758="","",ROUND((EG758*(Parámetros!$G$86)),2))</f>
        <v/>
      </c>
      <c r="EL758" s="66" t="str">
        <f t="shared" si="1086"/>
        <v/>
      </c>
    </row>
    <row r="759" spans="1:142" x14ac:dyDescent="0.25">
      <c r="A759" t="str">
        <f>+IF($C759="","",ROUND(VLOOKUP('Tablas Servicio'!B759,Parámetros!$H$100:$J$159,IF(Parámetros!$E$16="F",2,3),FALSE),2))</f>
        <v/>
      </c>
      <c r="B759" t="str">
        <f t="shared" si="1037"/>
        <v/>
      </c>
      <c r="C759" s="57" t="str">
        <f>+IF(D759="","",'Tablas Servicio'!C758+1)</f>
        <v/>
      </c>
      <c r="D759" s="56" t="str">
        <f>+IF(D758&lt;edadmaxtabla,D758+1/Parámetros!$E$25,"")</f>
        <v/>
      </c>
      <c r="E759" s="57" t="str">
        <f t="shared" si="1047"/>
        <v/>
      </c>
      <c r="F759" s="59" t="str">
        <f t="shared" si="1048"/>
        <v/>
      </c>
      <c r="G759" s="66" t="str">
        <f t="shared" si="1038"/>
        <v/>
      </c>
      <c r="H759" s="66" t="str">
        <f t="shared" si="1039"/>
        <v/>
      </c>
      <c r="I759" s="66" t="str">
        <f t="shared" si="1087"/>
        <v/>
      </c>
      <c r="J759" s="66" t="str">
        <f t="shared" si="1040"/>
        <v/>
      </c>
      <c r="K759" s="66" t="str">
        <f t="shared" si="1041"/>
        <v/>
      </c>
      <c r="L759" s="66" t="str">
        <f t="shared" si="1042"/>
        <v/>
      </c>
      <c r="M759" s="66" t="str">
        <f t="shared" si="1043"/>
        <v/>
      </c>
      <c r="N759" s="66" t="str">
        <f>+IF(C759="","",ROUND(Parámetros!$D$23,2))</f>
        <v/>
      </c>
      <c r="O759" s="66" t="str">
        <f t="shared" si="1044"/>
        <v/>
      </c>
      <c r="P759" s="66" t="str">
        <f>+IF($C759="","",ROUND(IF(B759&gt;Parámetros!$D$117,0,N759*Parámetros!$D$116-G759*Parámetros!$D$100),2))</f>
        <v/>
      </c>
      <c r="Q759" s="75" t="str">
        <f t="shared" si="1088"/>
        <v/>
      </c>
      <c r="R759" s="75" t="str">
        <f t="shared" si="1089"/>
        <v/>
      </c>
      <c r="S759" s="117" t="str">
        <f>+IF($C759="","",ROUND((S758+I759)*(1+Parámetros!$D$91),2))</f>
        <v/>
      </c>
      <c r="T759" s="117" t="str">
        <f>+IF($C759="","",ROUND(S759*VLOOKUP(B759,Parámetros!$C$30:$D$39,2,TRUE),2))</f>
        <v/>
      </c>
      <c r="U759" s="117" t="str">
        <f>+IF($C759="","",ROUND((U758+I759)*(1+Parámetros!$D$92),2))</f>
        <v/>
      </c>
      <c r="V759" s="117" t="str">
        <f>+IF($C759="","",ROUND(U759*VLOOKUP(B759,Parámetros!$C$30:$D$39,2,TRUE),2))</f>
        <v/>
      </c>
      <c r="W759" s="57" t="str">
        <f t="shared" si="1090"/>
        <v/>
      </c>
      <c r="X759" t="str">
        <f t="shared" si="1091"/>
        <v/>
      </c>
      <c r="Y759" t="str">
        <f t="shared" si="1092"/>
        <v/>
      </c>
      <c r="Z759" s="118" t="str">
        <f>+IF($W759="","",ROUND(IF(Parámetros!$D$25='TABLAS MORT'!$V$33,Z758,Parámetros!$D$21-'Tablas Servicio'!T758),0))</f>
        <v/>
      </c>
      <c r="AA759" s="118" t="str">
        <f t="shared" si="1093"/>
        <v/>
      </c>
      <c r="AB759" s="119" t="str">
        <f>+IF(W759="","",ROUND((VLOOKUP(ROUNDDOWN($D759-1/frec,0),qx_tabla,2,FALSE)*(1+i/frec)^-0.5*(1+Parámetros!$D$103)*(1+rec_fracc)/frec),6))</f>
        <v/>
      </c>
      <c r="AC759" s="66" t="str">
        <f t="shared" si="1049"/>
        <v/>
      </c>
      <c r="AD759" s="119" t="str">
        <f t="shared" si="1045"/>
        <v/>
      </c>
      <c r="AE759" s="66" t="str">
        <f>+IF($W759="","",ROUND(IF($B759&gt;Parámetros!$D$107,'Tablas Servicio'!AC759+('Tablas Servicio'!AG758-'Tablas Servicio'!AC758),AC759/(1-IF(B759&lt;=10,Parámetros!$D$104,Parámetros!$D$105))),2))</f>
        <v/>
      </c>
      <c r="AF759" s="66" t="str">
        <f>+IF($W759="","",ROUND(IF($B759&gt;Parámetros!$D$107,'Tablas Servicio'!AC759+('Tablas Servicio'!AG758-'Tablas Servicio'!AC758),(AC759+$A758/frec)/(1-IF(B759&lt;=Parámetros!$D$117,Parámetros!$D$100,0))),2))</f>
        <v/>
      </c>
      <c r="AG759" s="66" t="str">
        <f t="shared" si="1050"/>
        <v/>
      </c>
      <c r="AH759" s="66" t="str">
        <f t="shared" si="1051"/>
        <v/>
      </c>
      <c r="AI759" s="66" t="str">
        <f t="shared" si="1052"/>
        <v/>
      </c>
      <c r="AJ759" s="66" t="str">
        <f>+IF($W759="","",ROUND((AG759*Parámetros!$G$85),2))</f>
        <v/>
      </c>
      <c r="AK759" s="66" t="str">
        <f>+IF($W759="","",ROUND((AG759*(Parámetros!$G$86)),2))</f>
        <v/>
      </c>
      <c r="AL759" s="66" t="str">
        <f t="shared" si="1046"/>
        <v/>
      </c>
      <c r="AM759" t="str">
        <f t="shared" si="1094"/>
        <v/>
      </c>
      <c r="AN759" t="str">
        <f t="shared" si="1095"/>
        <v/>
      </c>
      <c r="AO759" s="118" t="str">
        <f t="shared" si="1096"/>
        <v/>
      </c>
      <c r="AP759" s="118" t="str">
        <f t="shared" si="1097"/>
        <v/>
      </c>
      <c r="AQ759" s="119" t="str">
        <f>+IF(OR($W759="",AO759=0),"",ROUND((VLOOKUP(ROUNDDOWN($D759-1/frec,0),cob_adi,Z$40,FALSE)*(1+i/frec)^-0.5*(1+Parámetros!$D$103)*(1+rec_fracc)/frec),6))</f>
        <v/>
      </c>
      <c r="AR759" s="66" t="str">
        <f t="shared" si="1053"/>
        <v/>
      </c>
      <c r="AS759" s="119" t="str">
        <f t="shared" si="1054"/>
        <v/>
      </c>
      <c r="AT759" s="66" t="str">
        <f>+IF($W759="","",ROUND(IF($B759&gt;Parámetros!$D$107,'Tablas Servicio'!AR759+('Tablas Servicio'!AT758-'Tablas Servicio'!AR758),AR759/(1-IF(B759&lt;=10,Parámetros!$D$100,0))),2))</f>
        <v/>
      </c>
      <c r="AU759" s="66" t="str">
        <f t="shared" si="1055"/>
        <v/>
      </c>
      <c r="AV759" s="66" t="str">
        <f t="shared" si="1055"/>
        <v/>
      </c>
      <c r="AW759" s="66" t="str">
        <f>+IF($W759="","",ROUND((AT759*Parámetros!$G$85),2))</f>
        <v/>
      </c>
      <c r="AX759" s="66" t="str">
        <f>+IF($W759="","",ROUND((AT759*(Parámetros!$G$86)),2))</f>
        <v/>
      </c>
      <c r="AY759" s="66" t="str">
        <f t="shared" si="1056"/>
        <v/>
      </c>
      <c r="AZ759" t="str">
        <f t="shared" si="1098"/>
        <v/>
      </c>
      <c r="BA759" t="str">
        <f t="shared" si="1099"/>
        <v/>
      </c>
      <c r="BB759" s="118" t="str">
        <f t="shared" si="1100"/>
        <v/>
      </c>
      <c r="BC759" s="118" t="str">
        <f t="shared" si="1101"/>
        <v/>
      </c>
      <c r="BD759" s="119" t="str">
        <f>+IF(OR($W759="",BB759=0),"",ROUND((VLOOKUP(ROUNDDOWN($D759-1/frec,0),cob_adi,AO$40,FALSE)*(1+i/frec)^-0.5*(1+Parámetros!$D$103)*(1+rec_fracc)/frec),6))</f>
        <v/>
      </c>
      <c r="BE759" s="66" t="str">
        <f t="shared" si="1057"/>
        <v/>
      </c>
      <c r="BF759" s="119" t="str">
        <f t="shared" si="1058"/>
        <v/>
      </c>
      <c r="BG759" s="66" t="str">
        <f>+IF($W759="","",ROUND(IF($B759&gt;Parámetros!$D$107,'Tablas Servicio'!BE759+('Tablas Servicio'!BG758-'Tablas Servicio'!BE758),BE759/(1-IF(B759&lt;=10,Parámetros!$D$100,0))),2))</f>
        <v/>
      </c>
      <c r="BH759" s="66" t="str">
        <f t="shared" si="1059"/>
        <v/>
      </c>
      <c r="BI759" s="66" t="str">
        <f t="shared" si="1060"/>
        <v/>
      </c>
      <c r="BJ759" s="66" t="str">
        <f>+IF($W759="","",ROUND((BG759*Parámetros!$G$85),2))</f>
        <v/>
      </c>
      <c r="BK759" s="66" t="str">
        <f>+IF($W759="","",ROUND((BG759*(Parámetros!$G$86)),2))</f>
        <v/>
      </c>
      <c r="BL759" s="66" t="str">
        <f t="shared" si="1061"/>
        <v/>
      </c>
      <c r="BM759" t="str">
        <f t="shared" si="1102"/>
        <v/>
      </c>
      <c r="BN759" t="str">
        <f t="shared" si="1103"/>
        <v/>
      </c>
      <c r="BO759" s="118" t="str">
        <f t="shared" si="1104"/>
        <v/>
      </c>
      <c r="BP759" s="118" t="str">
        <f t="shared" si="1105"/>
        <v/>
      </c>
      <c r="BQ759" s="119" t="str">
        <f>+IF(OR($W759="",BO759=0),"",ROUND((VLOOKUP(ROUNDDOWN($D759-1/frec,0),cob_adi,BB$40,FALSE)*(1+i/frec)^-0.5*(1+Parámetros!$D$103)*(1+rec_fracc)/frec),6))</f>
        <v/>
      </c>
      <c r="BR759" s="66" t="str">
        <f t="shared" si="1062"/>
        <v/>
      </c>
      <c r="BS759" s="119" t="str">
        <f t="shared" si="1063"/>
        <v/>
      </c>
      <c r="BT759" s="66" t="str">
        <f>+IF($W759="","",ROUND(IF($B759&gt;Parámetros!$D$107,'Tablas Servicio'!BR759+('Tablas Servicio'!BT758-'Tablas Servicio'!BR758),BR759/(1-IF(B759&lt;=10,Parámetros!$D$100,0))),2))</f>
        <v/>
      </c>
      <c r="BU759" s="66" t="str">
        <f t="shared" si="1064"/>
        <v/>
      </c>
      <c r="BV759" s="66" t="str">
        <f t="shared" si="1064"/>
        <v/>
      </c>
      <c r="BW759" s="66" t="str">
        <f>+IF($W759="","",ROUND((BT759*Parámetros!$G$85),2))</f>
        <v/>
      </c>
      <c r="BX759" s="66" t="str">
        <f>+IF($W759="","",ROUND((BT759*(Parámetros!$G$86)),2))</f>
        <v/>
      </c>
      <c r="BY759" s="66" t="str">
        <f t="shared" si="1065"/>
        <v/>
      </c>
      <c r="BZ759" t="str">
        <f t="shared" si="1106"/>
        <v/>
      </c>
      <c r="CA759" t="str">
        <f t="shared" si="1107"/>
        <v/>
      </c>
      <c r="CB759" s="118" t="str">
        <f t="shared" si="1108"/>
        <v/>
      </c>
      <c r="CC759" s="118" t="str">
        <f t="shared" si="1109"/>
        <v/>
      </c>
      <c r="CD759" s="119" t="str">
        <f t="shared" si="1066"/>
        <v/>
      </c>
      <c r="CE759" s="66" t="str">
        <f>+IF($W759="","",ROUND((VLOOKUP(ROUNDDOWN($D759-1/frec,0),cob_adi,BO$40,FALSE)*(1+i/frec)^-0.5*(1+Parámetros!$D$103)*(1+rec_fracc)/frec*'TABLAS ADI'!$BC$17),2))</f>
        <v/>
      </c>
      <c r="CF759" s="119" t="str">
        <f t="shared" si="1067"/>
        <v/>
      </c>
      <c r="CG759" s="66" t="str">
        <f>+IF($W759="","",ROUND(IF($B759&gt;Parámetros!$D$107,'Tablas Servicio'!CE759+('Tablas Servicio'!CG758-'Tablas Servicio'!CE758),CE759/(1-IF(B759&lt;=10,Parámetros!$D$100,0))),2))</f>
        <v/>
      </c>
      <c r="CH759" s="66" t="str">
        <f t="shared" si="1068"/>
        <v/>
      </c>
      <c r="CI759" s="66" t="str">
        <f t="shared" si="1068"/>
        <v/>
      </c>
      <c r="CJ759" s="66" t="str">
        <f>+IF($W759="","",ROUND((CG759*Parámetros!$G$85),2))</f>
        <v/>
      </c>
      <c r="CK759" s="66" t="str">
        <f>+IF($W759="","",ROUND((CG759*(Parámetros!$G$86)),2))</f>
        <v/>
      </c>
      <c r="CL759" s="66" t="str">
        <f t="shared" si="1069"/>
        <v/>
      </c>
      <c r="CM759" t="str">
        <f t="shared" si="1110"/>
        <v/>
      </c>
      <c r="CN759" s="118" t="str">
        <f t="shared" si="1111"/>
        <v/>
      </c>
      <c r="CO759" s="118" t="str">
        <f t="shared" si="1112"/>
        <v/>
      </c>
      <c r="CP759" s="118" t="str">
        <f t="shared" si="1113"/>
        <v/>
      </c>
      <c r="CQ759" s="119" t="str">
        <f t="shared" si="1070"/>
        <v/>
      </c>
      <c r="CR759" s="66" t="str">
        <f>+IF($W759="","",ROUND((VLOOKUP(Parámetros!$F$51,'COBERTURAS ADICIONALES'!$S$4:$T$32,2,FALSE)*(1+i/frec)^-0.5*(1+Parámetros!$D$103)*(1+rec_fracc)/frec*$CO$42),2))</f>
        <v/>
      </c>
      <c r="CS759" s="119" t="str">
        <f t="shared" si="1071"/>
        <v/>
      </c>
      <c r="CT759" s="66" t="str">
        <f>+IF($W759="","",ROUND(IF($B759&gt;Parámetros!$D$107,'Tablas Servicio'!CR759+('Tablas Servicio'!CT758-'Tablas Servicio'!CR758),CR759/(1-IF(B759&lt;=10,Parámetros!$D$100,0))),2))</f>
        <v/>
      </c>
      <c r="CU759" s="66" t="str">
        <f t="shared" si="1072"/>
        <v/>
      </c>
      <c r="CV759" s="66" t="str">
        <f t="shared" si="1072"/>
        <v/>
      </c>
      <c r="CW759" s="66" t="str">
        <f>+IF($W759="","",ROUND((CT759*Parámetros!$G$85),2))</f>
        <v/>
      </c>
      <c r="CX759" s="66" t="str">
        <f>+IF($W759="","",ROUND((CT759*(Parámetros!$G$86)),2))</f>
        <v/>
      </c>
      <c r="CY759" s="66" t="str">
        <f t="shared" si="1073"/>
        <v/>
      </c>
      <c r="CZ759" t="str">
        <f t="shared" si="1114"/>
        <v/>
      </c>
      <c r="DA759" s="118" t="str">
        <f t="shared" si="1115"/>
        <v/>
      </c>
      <c r="DB759" s="118" t="str">
        <f t="shared" si="1116"/>
        <v/>
      </c>
      <c r="DC759" s="118" t="str">
        <f t="shared" si="1117"/>
        <v/>
      </c>
      <c r="DD759" s="121" t="str">
        <f>+IF(OR($W759="",DB759=0),"",ROUND((VLOOKUP(ROUNDDOWN($D759-1/frec,0),cob_adi,CO$40,FALSE)*(1+i/frec)^-0.5*(1+Parámetros!$D$103)*(1+rec_fracc)/frec),6))</f>
        <v/>
      </c>
      <c r="DE759" s="66" t="str">
        <f t="shared" si="1074"/>
        <v/>
      </c>
      <c r="DF759" s="119" t="str">
        <f t="shared" si="1075"/>
        <v/>
      </c>
      <c r="DG759" s="66" t="str">
        <f>+IF($W759="","",ROUND(IF($B759&gt;Parámetros!$D$107,'Tablas Servicio'!DE759+('Tablas Servicio'!DG758-'Tablas Servicio'!DE758),DE759/(1-IF(B759&lt;=10,Parámetros!$D$100,0))),2))</f>
        <v/>
      </c>
      <c r="DH759" s="66" t="str">
        <f t="shared" si="1076"/>
        <v/>
      </c>
      <c r="DI759" s="66" t="str">
        <f t="shared" si="1076"/>
        <v/>
      </c>
      <c r="DJ759" s="66" t="str">
        <f>+IF($W759="","",ROUND((DG759*Parámetros!$G$85),2))</f>
        <v/>
      </c>
      <c r="DK759" s="66" t="str">
        <f>+IF($W759="","",ROUND((DG759*(Parámetros!$G$86)),2))</f>
        <v/>
      </c>
      <c r="DL759" s="66" t="str">
        <f t="shared" si="1077"/>
        <v/>
      </c>
      <c r="DM759" t="str">
        <f t="shared" si="1118"/>
        <v/>
      </c>
      <c r="DN759" s="118" t="str">
        <f t="shared" si="1119"/>
        <v/>
      </c>
      <c r="DO759" s="118" t="str">
        <f t="shared" si="1120"/>
        <v/>
      </c>
      <c r="DP759" s="118" t="str">
        <f t="shared" si="1121"/>
        <v/>
      </c>
      <c r="DQ759" s="122" t="str">
        <f>+IF(OR($W759="",DO759=0),"",ROUND((VLOOKUP(ROUNDDOWN($D759-1/frec,0),cob_adi,DB$40,FALSE)*(1+i/frec)^-0.5*(1+Parámetros!$D$103)*(1+rec_fracc)/frec),6))</f>
        <v/>
      </c>
      <c r="DR759" s="66" t="str">
        <f t="shared" si="1078"/>
        <v/>
      </c>
      <c r="DS759" s="68" t="str">
        <f t="shared" si="1079"/>
        <v/>
      </c>
      <c r="DT759" s="66" t="str">
        <f>+IF($W759="","",ROUND(IF($B759&gt;Parámetros!$D$107,'Tablas Servicio'!DR759+('Tablas Servicio'!DT758-'Tablas Servicio'!DR758),DR759/(1-IF(B759&lt;=10,Parámetros!$D$100,0))),2))</f>
        <v/>
      </c>
      <c r="DU759" s="66" t="str">
        <f t="shared" si="1080"/>
        <v/>
      </c>
      <c r="DV759" s="66" t="str">
        <f t="shared" si="1080"/>
        <v/>
      </c>
      <c r="DW759" s="66" t="str">
        <f>+IF($W759="","",ROUND((DT759*Parámetros!$G$85),2))</f>
        <v/>
      </c>
      <c r="DX759" s="66" t="str">
        <f>+IF($W759="","",ROUND((DT759*(Parámetros!$G$86)),2))</f>
        <v/>
      </c>
      <c r="DY759" s="66" t="str">
        <f t="shared" si="1081"/>
        <v/>
      </c>
      <c r="DZ759" t="str">
        <f t="shared" si="1082"/>
        <v/>
      </c>
      <c r="EA759" s="118" t="str">
        <f t="shared" si="1082"/>
        <v/>
      </c>
      <c r="EB759" s="118" t="str">
        <f>+IF($W759="","",ROUND(IF(Parámetros!$D$25='TABLAS MORT'!$V$33,EB758,Z759/2),0))</f>
        <v/>
      </c>
      <c r="EC759" s="118" t="str">
        <f t="shared" si="1082"/>
        <v/>
      </c>
      <c r="ED759" s="122" t="str">
        <f>+IF(OR($W759="",EB759=0),"",ROUND((VLOOKUP(ROUNDDOWN($D759-1/frec,0),cob_adi,DO$40,FALSE)*(1+i/frec)^-0.5*(1+Parámetros!$D$103)*(1+rec_fracc)/frec),6))</f>
        <v/>
      </c>
      <c r="EE759" s="66" t="str">
        <f t="shared" si="1083"/>
        <v/>
      </c>
      <c r="EF759" s="68" t="str">
        <f t="shared" si="1084"/>
        <v/>
      </c>
      <c r="EG759" s="66" t="str">
        <f>+IF($W759="","",ROUND(IF($B759&gt;Parámetros!$D$107,'Tablas Servicio'!EE759+('Tablas Servicio'!EG758-'Tablas Servicio'!EE758),EE759/(1-IF(B759&lt;=10,Parámetros!$D$100,0))),2))</f>
        <v/>
      </c>
      <c r="EH759" s="66" t="str">
        <f t="shared" si="1085"/>
        <v/>
      </c>
      <c r="EI759" s="66" t="str">
        <f t="shared" si="1085"/>
        <v/>
      </c>
      <c r="EJ759" s="66" t="str">
        <f>+IF($W759="","",ROUND((EG759*Parámetros!$G$85),2))</f>
        <v/>
      </c>
      <c r="EK759" s="66" t="str">
        <f>+IF($W759="","",ROUND((EG759*(Parámetros!$G$86)),2))</f>
        <v/>
      </c>
      <c r="EL759" s="66" t="str">
        <f t="shared" si="1086"/>
        <v/>
      </c>
    </row>
    <row r="760" spans="1:142" x14ac:dyDescent="0.25">
      <c r="A760" t="str">
        <f>+IF($C760="","",ROUND(VLOOKUP('Tablas Servicio'!B760,Parámetros!$H$100:$J$159,IF(Parámetros!$E$16="F",2,3),FALSE),2))</f>
        <v/>
      </c>
      <c r="B760" t="str">
        <f t="shared" si="1037"/>
        <v/>
      </c>
      <c r="C760" s="57" t="str">
        <f>+IF(D760="","",'Tablas Servicio'!C759+1)</f>
        <v/>
      </c>
      <c r="D760" s="56" t="str">
        <f>+IF(D759&lt;edadmaxtabla,D759+1/Parámetros!$E$25,"")</f>
        <v/>
      </c>
      <c r="E760" s="57" t="str">
        <f t="shared" si="1047"/>
        <v/>
      </c>
      <c r="F760" s="59" t="str">
        <f t="shared" si="1048"/>
        <v/>
      </c>
      <c r="G760" s="66" t="str">
        <f t="shared" si="1038"/>
        <v/>
      </c>
      <c r="H760" s="66" t="str">
        <f t="shared" si="1039"/>
        <v/>
      </c>
      <c r="I760" s="66" t="str">
        <f t="shared" si="1087"/>
        <v/>
      </c>
      <c r="J760" s="66" t="str">
        <f t="shared" si="1040"/>
        <v/>
      </c>
      <c r="K760" s="66" t="str">
        <f t="shared" si="1041"/>
        <v/>
      </c>
      <c r="L760" s="66" t="str">
        <f t="shared" si="1042"/>
        <v/>
      </c>
      <c r="M760" s="66" t="str">
        <f t="shared" si="1043"/>
        <v/>
      </c>
      <c r="N760" s="66" t="str">
        <f>+IF(C760="","",ROUND(Parámetros!$D$23,2))</f>
        <v/>
      </c>
      <c r="O760" s="66" t="str">
        <f t="shared" si="1044"/>
        <v/>
      </c>
      <c r="P760" s="66" t="str">
        <f>+IF($C760="","",ROUND(IF(B760&gt;Parámetros!$D$117,0,N760*Parámetros!$D$116-G760*Parámetros!$D$100),2))</f>
        <v/>
      </c>
      <c r="Q760" s="75" t="str">
        <f t="shared" si="1088"/>
        <v/>
      </c>
      <c r="R760" s="75" t="str">
        <f t="shared" si="1089"/>
        <v/>
      </c>
      <c r="S760" s="117" t="str">
        <f>+IF($C760="","",ROUND((S759+I760)*(1+Parámetros!$D$91),2))</f>
        <v/>
      </c>
      <c r="T760" s="117" t="str">
        <f>+IF($C760="","",ROUND(S760*VLOOKUP(B760,Parámetros!$C$30:$D$39,2,TRUE),2))</f>
        <v/>
      </c>
      <c r="U760" s="117" t="str">
        <f>+IF($C760="","",ROUND((U759+I760)*(1+Parámetros!$D$92),2))</f>
        <v/>
      </c>
      <c r="V760" s="117" t="str">
        <f>+IF($C760="","",ROUND(U760*VLOOKUP(B760,Parámetros!$C$30:$D$39,2,TRUE),2))</f>
        <v/>
      </c>
      <c r="W760" s="57" t="str">
        <f t="shared" si="1090"/>
        <v/>
      </c>
      <c r="X760" t="str">
        <f t="shared" si="1091"/>
        <v/>
      </c>
      <c r="Y760" t="str">
        <f t="shared" si="1092"/>
        <v/>
      </c>
      <c r="Z760" s="118" t="str">
        <f>+IF($W760="","",ROUND(IF(Parámetros!$D$25='TABLAS MORT'!$V$33,Z759,Parámetros!$D$21-'Tablas Servicio'!T759),0))</f>
        <v/>
      </c>
      <c r="AA760" s="118" t="str">
        <f t="shared" si="1093"/>
        <v/>
      </c>
      <c r="AB760" s="119" t="str">
        <f>+IF(W760="","",ROUND((VLOOKUP(ROUNDDOWN($D760-1/frec,0),qx_tabla,2,FALSE)*(1+i/frec)^-0.5*(1+Parámetros!$D$103)*(1+rec_fracc)/frec),6))</f>
        <v/>
      </c>
      <c r="AC760" s="66" t="str">
        <f t="shared" si="1049"/>
        <v/>
      </c>
      <c r="AD760" s="119" t="str">
        <f t="shared" si="1045"/>
        <v/>
      </c>
      <c r="AE760" s="66" t="str">
        <f>+IF($W760="","",ROUND(IF($B760&gt;Parámetros!$D$107,'Tablas Servicio'!AC760+('Tablas Servicio'!AG759-'Tablas Servicio'!AC759),AC760/(1-IF(B760&lt;=10,Parámetros!$D$104,Parámetros!$D$105))),2))</f>
        <v/>
      </c>
      <c r="AF760" s="66" t="str">
        <f>+IF($W760="","",ROUND(IF($B760&gt;Parámetros!$D$107,'Tablas Servicio'!AC760+('Tablas Servicio'!AG759-'Tablas Servicio'!AC759),(AC760+$A759/frec)/(1-IF(B760&lt;=Parámetros!$D$117,Parámetros!$D$100,0))),2))</f>
        <v/>
      </c>
      <c r="AG760" s="66" t="str">
        <f t="shared" si="1050"/>
        <v/>
      </c>
      <c r="AH760" s="66" t="str">
        <f t="shared" si="1051"/>
        <v/>
      </c>
      <c r="AI760" s="66" t="str">
        <f t="shared" si="1052"/>
        <v/>
      </c>
      <c r="AJ760" s="66" t="str">
        <f>+IF($W760="","",ROUND((AG760*Parámetros!$G$85),2))</f>
        <v/>
      </c>
      <c r="AK760" s="66" t="str">
        <f>+IF($W760="","",ROUND((AG760*(Parámetros!$G$86)),2))</f>
        <v/>
      </c>
      <c r="AL760" s="66" t="str">
        <f t="shared" si="1046"/>
        <v/>
      </c>
      <c r="AM760" t="str">
        <f t="shared" si="1094"/>
        <v/>
      </c>
      <c r="AN760" t="str">
        <f t="shared" si="1095"/>
        <v/>
      </c>
      <c r="AO760" s="118" t="str">
        <f t="shared" si="1096"/>
        <v/>
      </c>
      <c r="AP760" s="118" t="str">
        <f t="shared" si="1097"/>
        <v/>
      </c>
      <c r="AQ760" s="119" t="str">
        <f>+IF(OR($W760="",AO760=0),"",ROUND((VLOOKUP(ROUNDDOWN($D760-1/frec,0),cob_adi,Z$40,FALSE)*(1+i/frec)^-0.5*(1+Parámetros!$D$103)*(1+rec_fracc)/frec),6))</f>
        <v/>
      </c>
      <c r="AR760" s="66" t="str">
        <f t="shared" si="1053"/>
        <v/>
      </c>
      <c r="AS760" s="119" t="str">
        <f t="shared" si="1054"/>
        <v/>
      </c>
      <c r="AT760" s="66" t="str">
        <f>+IF($W760="","",ROUND(IF($B760&gt;Parámetros!$D$107,'Tablas Servicio'!AR760+('Tablas Servicio'!AT759-'Tablas Servicio'!AR759),AR760/(1-IF(B760&lt;=10,Parámetros!$D$100,0))),2))</f>
        <v/>
      </c>
      <c r="AU760" s="66" t="str">
        <f t="shared" si="1055"/>
        <v/>
      </c>
      <c r="AV760" s="66" t="str">
        <f t="shared" si="1055"/>
        <v/>
      </c>
      <c r="AW760" s="66" t="str">
        <f>+IF($W760="","",ROUND((AT760*Parámetros!$G$85),2))</f>
        <v/>
      </c>
      <c r="AX760" s="66" t="str">
        <f>+IF($W760="","",ROUND((AT760*(Parámetros!$G$86)),2))</f>
        <v/>
      </c>
      <c r="AY760" s="66" t="str">
        <f t="shared" si="1056"/>
        <v/>
      </c>
      <c r="AZ760" t="str">
        <f t="shared" si="1098"/>
        <v/>
      </c>
      <c r="BA760" t="str">
        <f t="shared" si="1099"/>
        <v/>
      </c>
      <c r="BB760" s="118" t="str">
        <f t="shared" si="1100"/>
        <v/>
      </c>
      <c r="BC760" s="118" t="str">
        <f t="shared" si="1101"/>
        <v/>
      </c>
      <c r="BD760" s="119" t="str">
        <f>+IF(OR($W760="",BB760=0),"",ROUND((VLOOKUP(ROUNDDOWN($D760-1/frec,0),cob_adi,AO$40,FALSE)*(1+i/frec)^-0.5*(1+Parámetros!$D$103)*(1+rec_fracc)/frec),6))</f>
        <v/>
      </c>
      <c r="BE760" s="66" t="str">
        <f t="shared" si="1057"/>
        <v/>
      </c>
      <c r="BF760" s="119" t="str">
        <f t="shared" si="1058"/>
        <v/>
      </c>
      <c r="BG760" s="66" t="str">
        <f>+IF($W760="","",ROUND(IF($B760&gt;Parámetros!$D$107,'Tablas Servicio'!BE760+('Tablas Servicio'!BG759-'Tablas Servicio'!BE759),BE760/(1-IF(B760&lt;=10,Parámetros!$D$100,0))),2))</f>
        <v/>
      </c>
      <c r="BH760" s="66" t="str">
        <f t="shared" si="1059"/>
        <v/>
      </c>
      <c r="BI760" s="66" t="str">
        <f t="shared" si="1060"/>
        <v/>
      </c>
      <c r="BJ760" s="66" t="str">
        <f>+IF($W760="","",ROUND((BG760*Parámetros!$G$85),2))</f>
        <v/>
      </c>
      <c r="BK760" s="66" t="str">
        <f>+IF($W760="","",ROUND((BG760*(Parámetros!$G$86)),2))</f>
        <v/>
      </c>
      <c r="BL760" s="66" t="str">
        <f t="shared" si="1061"/>
        <v/>
      </c>
      <c r="BM760" t="str">
        <f t="shared" si="1102"/>
        <v/>
      </c>
      <c r="BN760" t="str">
        <f t="shared" si="1103"/>
        <v/>
      </c>
      <c r="BO760" s="118" t="str">
        <f t="shared" si="1104"/>
        <v/>
      </c>
      <c r="BP760" s="118" t="str">
        <f t="shared" si="1105"/>
        <v/>
      </c>
      <c r="BQ760" s="119" t="str">
        <f>+IF(OR($W760="",BO760=0),"",ROUND((VLOOKUP(ROUNDDOWN($D760-1/frec,0),cob_adi,BB$40,FALSE)*(1+i/frec)^-0.5*(1+Parámetros!$D$103)*(1+rec_fracc)/frec),6))</f>
        <v/>
      </c>
      <c r="BR760" s="66" t="str">
        <f t="shared" si="1062"/>
        <v/>
      </c>
      <c r="BS760" s="119" t="str">
        <f t="shared" si="1063"/>
        <v/>
      </c>
      <c r="BT760" s="66" t="str">
        <f>+IF($W760="","",ROUND(IF($B760&gt;Parámetros!$D$107,'Tablas Servicio'!BR760+('Tablas Servicio'!BT759-'Tablas Servicio'!BR759),BR760/(1-IF(B760&lt;=10,Parámetros!$D$100,0))),2))</f>
        <v/>
      </c>
      <c r="BU760" s="66" t="str">
        <f t="shared" si="1064"/>
        <v/>
      </c>
      <c r="BV760" s="66" t="str">
        <f t="shared" si="1064"/>
        <v/>
      </c>
      <c r="BW760" s="66" t="str">
        <f>+IF($W760="","",ROUND((BT760*Parámetros!$G$85),2))</f>
        <v/>
      </c>
      <c r="BX760" s="66" t="str">
        <f>+IF($W760="","",ROUND((BT760*(Parámetros!$G$86)),2))</f>
        <v/>
      </c>
      <c r="BY760" s="66" t="str">
        <f t="shared" si="1065"/>
        <v/>
      </c>
      <c r="BZ760" t="str">
        <f t="shared" si="1106"/>
        <v/>
      </c>
      <c r="CA760" t="str">
        <f t="shared" si="1107"/>
        <v/>
      </c>
      <c r="CB760" s="118" t="str">
        <f t="shared" si="1108"/>
        <v/>
      </c>
      <c r="CC760" s="118" t="str">
        <f t="shared" si="1109"/>
        <v/>
      </c>
      <c r="CD760" s="119" t="str">
        <f t="shared" si="1066"/>
        <v/>
      </c>
      <c r="CE760" s="66" t="str">
        <f>+IF($W760="","",ROUND((VLOOKUP(ROUNDDOWN($D760-1/frec,0),cob_adi,BO$40,FALSE)*(1+i/frec)^-0.5*(1+Parámetros!$D$103)*(1+rec_fracc)/frec*'TABLAS ADI'!$BC$17),2))</f>
        <v/>
      </c>
      <c r="CF760" s="119" t="str">
        <f t="shared" si="1067"/>
        <v/>
      </c>
      <c r="CG760" s="66" t="str">
        <f>+IF($W760="","",ROUND(IF($B760&gt;Parámetros!$D$107,'Tablas Servicio'!CE760+('Tablas Servicio'!CG759-'Tablas Servicio'!CE759),CE760/(1-IF(B760&lt;=10,Parámetros!$D$100,0))),2))</f>
        <v/>
      </c>
      <c r="CH760" s="66" t="str">
        <f t="shared" si="1068"/>
        <v/>
      </c>
      <c r="CI760" s="66" t="str">
        <f t="shared" si="1068"/>
        <v/>
      </c>
      <c r="CJ760" s="66" t="str">
        <f>+IF($W760="","",ROUND((CG760*Parámetros!$G$85),2))</f>
        <v/>
      </c>
      <c r="CK760" s="66" t="str">
        <f>+IF($W760="","",ROUND((CG760*(Parámetros!$G$86)),2))</f>
        <v/>
      </c>
      <c r="CL760" s="66" t="str">
        <f t="shared" si="1069"/>
        <v/>
      </c>
      <c r="CM760" t="str">
        <f t="shared" si="1110"/>
        <v/>
      </c>
      <c r="CN760" s="118" t="str">
        <f t="shared" si="1111"/>
        <v/>
      </c>
      <c r="CO760" s="118" t="str">
        <f t="shared" si="1112"/>
        <v/>
      </c>
      <c r="CP760" s="118" t="str">
        <f t="shared" si="1113"/>
        <v/>
      </c>
      <c r="CQ760" s="119" t="str">
        <f t="shared" si="1070"/>
        <v/>
      </c>
      <c r="CR760" s="66" t="str">
        <f>+IF($W760="","",ROUND((VLOOKUP(Parámetros!$F$51,'COBERTURAS ADICIONALES'!$S$4:$T$32,2,FALSE)*(1+i/frec)^-0.5*(1+Parámetros!$D$103)*(1+rec_fracc)/frec*$CO$42),2))</f>
        <v/>
      </c>
      <c r="CS760" s="119" t="str">
        <f t="shared" si="1071"/>
        <v/>
      </c>
      <c r="CT760" s="66" t="str">
        <f>+IF($W760="","",ROUND(IF($B760&gt;Parámetros!$D$107,'Tablas Servicio'!CR760+('Tablas Servicio'!CT759-'Tablas Servicio'!CR759),CR760/(1-IF(B760&lt;=10,Parámetros!$D$100,0))),2))</f>
        <v/>
      </c>
      <c r="CU760" s="66" t="str">
        <f t="shared" si="1072"/>
        <v/>
      </c>
      <c r="CV760" s="66" t="str">
        <f t="shared" si="1072"/>
        <v/>
      </c>
      <c r="CW760" s="66" t="str">
        <f>+IF($W760="","",ROUND((CT760*Parámetros!$G$85),2))</f>
        <v/>
      </c>
      <c r="CX760" s="66" t="str">
        <f>+IF($W760="","",ROUND((CT760*(Parámetros!$G$86)),2))</f>
        <v/>
      </c>
      <c r="CY760" s="66" t="str">
        <f t="shared" si="1073"/>
        <v/>
      </c>
      <c r="CZ760" t="str">
        <f t="shared" si="1114"/>
        <v/>
      </c>
      <c r="DA760" s="118" t="str">
        <f t="shared" si="1115"/>
        <v/>
      </c>
      <c r="DB760" s="118" t="str">
        <f t="shared" si="1116"/>
        <v/>
      </c>
      <c r="DC760" s="118" t="str">
        <f t="shared" si="1117"/>
        <v/>
      </c>
      <c r="DD760" s="121" t="str">
        <f>+IF(OR($W760="",DB760=0),"",ROUND((VLOOKUP(ROUNDDOWN($D760-1/frec,0),cob_adi,CO$40,FALSE)*(1+i/frec)^-0.5*(1+Parámetros!$D$103)*(1+rec_fracc)/frec),6))</f>
        <v/>
      </c>
      <c r="DE760" s="66" t="str">
        <f t="shared" si="1074"/>
        <v/>
      </c>
      <c r="DF760" s="119" t="str">
        <f t="shared" si="1075"/>
        <v/>
      </c>
      <c r="DG760" s="66" t="str">
        <f>+IF($W760="","",ROUND(IF($B760&gt;Parámetros!$D$107,'Tablas Servicio'!DE760+('Tablas Servicio'!DG759-'Tablas Servicio'!DE759),DE760/(1-IF(B760&lt;=10,Parámetros!$D$100,0))),2))</f>
        <v/>
      </c>
      <c r="DH760" s="66" t="str">
        <f t="shared" si="1076"/>
        <v/>
      </c>
      <c r="DI760" s="66" t="str">
        <f t="shared" si="1076"/>
        <v/>
      </c>
      <c r="DJ760" s="66" t="str">
        <f>+IF($W760="","",ROUND((DG760*Parámetros!$G$85),2))</f>
        <v/>
      </c>
      <c r="DK760" s="66" t="str">
        <f>+IF($W760="","",ROUND((DG760*(Parámetros!$G$86)),2))</f>
        <v/>
      </c>
      <c r="DL760" s="66" t="str">
        <f t="shared" si="1077"/>
        <v/>
      </c>
      <c r="DM760" t="str">
        <f t="shared" si="1118"/>
        <v/>
      </c>
      <c r="DN760" s="118" t="str">
        <f t="shared" si="1119"/>
        <v/>
      </c>
      <c r="DO760" s="118" t="str">
        <f t="shared" si="1120"/>
        <v/>
      </c>
      <c r="DP760" s="118" t="str">
        <f t="shared" si="1121"/>
        <v/>
      </c>
      <c r="DQ760" s="122" t="str">
        <f>+IF(OR($W760="",DO760=0),"",ROUND((VLOOKUP(ROUNDDOWN($D760-1/frec,0),cob_adi,DB$40,FALSE)*(1+i/frec)^-0.5*(1+Parámetros!$D$103)*(1+rec_fracc)/frec),6))</f>
        <v/>
      </c>
      <c r="DR760" s="66" t="str">
        <f t="shared" si="1078"/>
        <v/>
      </c>
      <c r="DS760" s="68" t="str">
        <f t="shared" si="1079"/>
        <v/>
      </c>
      <c r="DT760" s="66" t="str">
        <f>+IF($W760="","",ROUND(IF($B760&gt;Parámetros!$D$107,'Tablas Servicio'!DR760+('Tablas Servicio'!DT759-'Tablas Servicio'!DR759),DR760/(1-IF(B760&lt;=10,Parámetros!$D$100,0))),2))</f>
        <v/>
      </c>
      <c r="DU760" s="66" t="str">
        <f t="shared" si="1080"/>
        <v/>
      </c>
      <c r="DV760" s="66" t="str">
        <f t="shared" si="1080"/>
        <v/>
      </c>
      <c r="DW760" s="66" t="str">
        <f>+IF($W760="","",ROUND((DT760*Parámetros!$G$85),2))</f>
        <v/>
      </c>
      <c r="DX760" s="66" t="str">
        <f>+IF($W760="","",ROUND((DT760*(Parámetros!$G$86)),2))</f>
        <v/>
      </c>
      <c r="DY760" s="66" t="str">
        <f t="shared" si="1081"/>
        <v/>
      </c>
      <c r="DZ760" t="str">
        <f t="shared" si="1082"/>
        <v/>
      </c>
      <c r="EA760" s="118" t="str">
        <f t="shared" si="1082"/>
        <v/>
      </c>
      <c r="EB760" s="118" t="str">
        <f>+IF($W760="","",ROUND(IF(Parámetros!$D$25='TABLAS MORT'!$V$33,EB759,Z760/2),0))</f>
        <v/>
      </c>
      <c r="EC760" s="118" t="str">
        <f t="shared" si="1082"/>
        <v/>
      </c>
      <c r="ED760" s="122" t="str">
        <f>+IF(OR($W760="",EB760=0),"",ROUND((VLOOKUP(ROUNDDOWN($D760-1/frec,0),cob_adi,DO$40,FALSE)*(1+i/frec)^-0.5*(1+Parámetros!$D$103)*(1+rec_fracc)/frec),6))</f>
        <v/>
      </c>
      <c r="EE760" s="66" t="str">
        <f t="shared" si="1083"/>
        <v/>
      </c>
      <c r="EF760" s="68" t="str">
        <f t="shared" si="1084"/>
        <v/>
      </c>
      <c r="EG760" s="66" t="str">
        <f>+IF($W760="","",ROUND(IF($B760&gt;Parámetros!$D$107,'Tablas Servicio'!EE760+('Tablas Servicio'!EG759-'Tablas Servicio'!EE759),EE760/(1-IF(B760&lt;=10,Parámetros!$D$100,0))),2))</f>
        <v/>
      </c>
      <c r="EH760" s="66" t="str">
        <f t="shared" si="1085"/>
        <v/>
      </c>
      <c r="EI760" s="66" t="str">
        <f t="shared" si="1085"/>
        <v/>
      </c>
      <c r="EJ760" s="66" t="str">
        <f>+IF($W760="","",ROUND((EG760*Parámetros!$G$85),2))</f>
        <v/>
      </c>
      <c r="EK760" s="66" t="str">
        <f>+IF($W760="","",ROUND((EG760*(Parámetros!$G$86)),2))</f>
        <v/>
      </c>
      <c r="EL760" s="66" t="str">
        <f t="shared" si="1086"/>
        <v/>
      </c>
    </row>
    <row r="761" spans="1:142" x14ac:dyDescent="0.25">
      <c r="A761" t="str">
        <f>+IF($C761="","",ROUND(VLOOKUP('Tablas Servicio'!B761,Parámetros!$H$100:$J$159,IF(Parámetros!$E$16="F",2,3),FALSE),2))</f>
        <v/>
      </c>
      <c r="B761" t="str">
        <f t="shared" si="1037"/>
        <v/>
      </c>
      <c r="C761" s="57" t="str">
        <f>+IF(D761="","",'Tablas Servicio'!C760+1)</f>
        <v/>
      </c>
      <c r="D761" s="56" t="str">
        <f>+IF(D760&lt;edadmaxtabla,D760+1/Parámetros!$E$25,"")</f>
        <v/>
      </c>
      <c r="E761" s="57" t="str">
        <f t="shared" si="1047"/>
        <v/>
      </c>
      <c r="F761" s="59" t="str">
        <f t="shared" si="1048"/>
        <v/>
      </c>
      <c r="G761" s="66" t="str">
        <f t="shared" si="1038"/>
        <v/>
      </c>
      <c r="H761" s="66" t="str">
        <f t="shared" si="1039"/>
        <v/>
      </c>
      <c r="I761" s="66" t="str">
        <f t="shared" si="1087"/>
        <v/>
      </c>
      <c r="J761" s="66" t="str">
        <f t="shared" si="1040"/>
        <v/>
      </c>
      <c r="K761" s="66" t="str">
        <f t="shared" si="1041"/>
        <v/>
      </c>
      <c r="L761" s="66" t="str">
        <f t="shared" si="1042"/>
        <v/>
      </c>
      <c r="M761" s="66" t="str">
        <f t="shared" si="1043"/>
        <v/>
      </c>
      <c r="N761" s="66" t="str">
        <f>+IF(C761="","",ROUND(Parámetros!$D$23,2))</f>
        <v/>
      </c>
      <c r="O761" s="66" t="str">
        <f t="shared" si="1044"/>
        <v/>
      </c>
      <c r="P761" s="66" t="str">
        <f>+IF($C761="","",ROUND(IF(B761&gt;Parámetros!$D$117,0,N761*Parámetros!$D$116-G761*Parámetros!$D$100),2))</f>
        <v/>
      </c>
      <c r="Q761" s="75" t="str">
        <f t="shared" si="1088"/>
        <v/>
      </c>
      <c r="R761" s="75" t="str">
        <f t="shared" si="1089"/>
        <v/>
      </c>
      <c r="S761" s="117" t="str">
        <f>+IF($C761="","",ROUND((S760+I761)*(1+Parámetros!$D$91),2))</f>
        <v/>
      </c>
      <c r="T761" s="117" t="str">
        <f>+IF($C761="","",ROUND(S761*VLOOKUP(B761,Parámetros!$C$30:$D$39,2,TRUE),2))</f>
        <v/>
      </c>
      <c r="U761" s="117" t="str">
        <f>+IF($C761="","",ROUND((U760+I761)*(1+Parámetros!$D$92),2))</f>
        <v/>
      </c>
      <c r="V761" s="117" t="str">
        <f>+IF($C761="","",ROUND(U761*VLOOKUP(B761,Parámetros!$C$30:$D$39,2,TRUE),2))</f>
        <v/>
      </c>
      <c r="W761" s="57" t="str">
        <f t="shared" si="1090"/>
        <v/>
      </c>
      <c r="X761" t="str">
        <f t="shared" si="1091"/>
        <v/>
      </c>
      <c r="Y761" t="str">
        <f t="shared" si="1092"/>
        <v/>
      </c>
      <c r="Z761" s="118" t="str">
        <f>+IF($W761="","",ROUND(IF(Parámetros!$D$25='TABLAS MORT'!$V$33,Z760,Parámetros!$D$21-'Tablas Servicio'!T760),0))</f>
        <v/>
      </c>
      <c r="AA761" s="118" t="str">
        <f t="shared" si="1093"/>
        <v/>
      </c>
      <c r="AB761" s="119" t="str">
        <f>+IF(W761="","",ROUND((VLOOKUP(ROUNDDOWN($D761-1/frec,0),qx_tabla,2,FALSE)*(1+i/frec)^-0.5*(1+Parámetros!$D$103)*(1+rec_fracc)/frec),6))</f>
        <v/>
      </c>
      <c r="AC761" s="66" t="str">
        <f t="shared" si="1049"/>
        <v/>
      </c>
      <c r="AD761" s="119" t="str">
        <f t="shared" si="1045"/>
        <v/>
      </c>
      <c r="AE761" s="66" t="str">
        <f>+IF($W761="","",ROUND(IF($B761&gt;Parámetros!$D$107,'Tablas Servicio'!AC761+('Tablas Servicio'!AG760-'Tablas Servicio'!AC760),AC761/(1-IF(B761&lt;=10,Parámetros!$D$104,Parámetros!$D$105))),2))</f>
        <v/>
      </c>
      <c r="AF761" s="66" t="str">
        <f>+IF($W761="","",ROUND(IF($B761&gt;Parámetros!$D$107,'Tablas Servicio'!AC761+('Tablas Servicio'!AG760-'Tablas Servicio'!AC760),(AC761+$A760/frec)/(1-IF(B761&lt;=Parámetros!$D$117,Parámetros!$D$100,0))),2))</f>
        <v/>
      </c>
      <c r="AG761" s="66" t="str">
        <f t="shared" si="1050"/>
        <v/>
      </c>
      <c r="AH761" s="66" t="str">
        <f t="shared" si="1051"/>
        <v/>
      </c>
      <c r="AI761" s="66" t="str">
        <f t="shared" si="1052"/>
        <v/>
      </c>
      <c r="AJ761" s="66" t="str">
        <f>+IF($W761="","",ROUND((AG761*Parámetros!$G$85),2))</f>
        <v/>
      </c>
      <c r="AK761" s="66" t="str">
        <f>+IF($W761="","",ROUND((AG761*(Parámetros!$G$86)),2))</f>
        <v/>
      </c>
      <c r="AL761" s="66" t="str">
        <f t="shared" si="1046"/>
        <v/>
      </c>
      <c r="AM761" t="str">
        <f t="shared" si="1094"/>
        <v/>
      </c>
      <c r="AN761" t="str">
        <f t="shared" si="1095"/>
        <v/>
      </c>
      <c r="AO761" s="118" t="str">
        <f t="shared" si="1096"/>
        <v/>
      </c>
      <c r="AP761" s="118" t="str">
        <f t="shared" si="1097"/>
        <v/>
      </c>
      <c r="AQ761" s="119" t="str">
        <f>+IF(OR($W761="",AO761=0),"",ROUND((VLOOKUP(ROUNDDOWN($D761-1/frec,0),cob_adi,Z$40,FALSE)*(1+i/frec)^-0.5*(1+Parámetros!$D$103)*(1+rec_fracc)/frec),6))</f>
        <v/>
      </c>
      <c r="AR761" s="66" t="str">
        <f t="shared" si="1053"/>
        <v/>
      </c>
      <c r="AS761" s="119" t="str">
        <f t="shared" si="1054"/>
        <v/>
      </c>
      <c r="AT761" s="66" t="str">
        <f>+IF($W761="","",ROUND(IF($B761&gt;Parámetros!$D$107,'Tablas Servicio'!AR761+('Tablas Servicio'!AT760-'Tablas Servicio'!AR760),AR761/(1-IF(B761&lt;=10,Parámetros!$D$100,0))),2))</f>
        <v/>
      </c>
      <c r="AU761" s="66" t="str">
        <f t="shared" si="1055"/>
        <v/>
      </c>
      <c r="AV761" s="66" t="str">
        <f t="shared" si="1055"/>
        <v/>
      </c>
      <c r="AW761" s="66" t="str">
        <f>+IF($W761="","",ROUND((AT761*Parámetros!$G$85),2))</f>
        <v/>
      </c>
      <c r="AX761" s="66" t="str">
        <f>+IF($W761="","",ROUND((AT761*(Parámetros!$G$86)),2))</f>
        <v/>
      </c>
      <c r="AY761" s="66" t="str">
        <f t="shared" si="1056"/>
        <v/>
      </c>
      <c r="AZ761" t="str">
        <f t="shared" si="1098"/>
        <v/>
      </c>
      <c r="BA761" t="str">
        <f t="shared" si="1099"/>
        <v/>
      </c>
      <c r="BB761" s="118" t="str">
        <f t="shared" si="1100"/>
        <v/>
      </c>
      <c r="BC761" s="118" t="str">
        <f t="shared" si="1101"/>
        <v/>
      </c>
      <c r="BD761" s="119" t="str">
        <f>+IF(OR($W761="",BB761=0),"",ROUND((VLOOKUP(ROUNDDOWN($D761-1/frec,0),cob_adi,AO$40,FALSE)*(1+i/frec)^-0.5*(1+Parámetros!$D$103)*(1+rec_fracc)/frec),6))</f>
        <v/>
      </c>
      <c r="BE761" s="66" t="str">
        <f t="shared" si="1057"/>
        <v/>
      </c>
      <c r="BF761" s="119" t="str">
        <f t="shared" si="1058"/>
        <v/>
      </c>
      <c r="BG761" s="66" t="str">
        <f>+IF($W761="","",ROUND(IF($B761&gt;Parámetros!$D$107,'Tablas Servicio'!BE761+('Tablas Servicio'!BG760-'Tablas Servicio'!BE760),BE761/(1-IF(B761&lt;=10,Parámetros!$D$100,0))),2))</f>
        <v/>
      </c>
      <c r="BH761" s="66" t="str">
        <f t="shared" si="1059"/>
        <v/>
      </c>
      <c r="BI761" s="66" t="str">
        <f t="shared" si="1060"/>
        <v/>
      </c>
      <c r="BJ761" s="66" t="str">
        <f>+IF($W761="","",ROUND((BG761*Parámetros!$G$85),2))</f>
        <v/>
      </c>
      <c r="BK761" s="66" t="str">
        <f>+IF($W761="","",ROUND((BG761*(Parámetros!$G$86)),2))</f>
        <v/>
      </c>
      <c r="BL761" s="66" t="str">
        <f t="shared" si="1061"/>
        <v/>
      </c>
      <c r="BM761" t="str">
        <f t="shared" si="1102"/>
        <v/>
      </c>
      <c r="BN761" t="str">
        <f t="shared" si="1103"/>
        <v/>
      </c>
      <c r="BO761" s="118" t="str">
        <f t="shared" si="1104"/>
        <v/>
      </c>
      <c r="BP761" s="118" t="str">
        <f t="shared" si="1105"/>
        <v/>
      </c>
      <c r="BQ761" s="119" t="str">
        <f>+IF(OR($W761="",BO761=0),"",ROUND((VLOOKUP(ROUNDDOWN($D761-1/frec,0),cob_adi,BB$40,FALSE)*(1+i/frec)^-0.5*(1+Parámetros!$D$103)*(1+rec_fracc)/frec),6))</f>
        <v/>
      </c>
      <c r="BR761" s="66" t="str">
        <f t="shared" si="1062"/>
        <v/>
      </c>
      <c r="BS761" s="119" t="str">
        <f t="shared" si="1063"/>
        <v/>
      </c>
      <c r="BT761" s="66" t="str">
        <f>+IF($W761="","",ROUND(IF($B761&gt;Parámetros!$D$107,'Tablas Servicio'!BR761+('Tablas Servicio'!BT760-'Tablas Servicio'!BR760),BR761/(1-IF(B761&lt;=10,Parámetros!$D$100,0))),2))</f>
        <v/>
      </c>
      <c r="BU761" s="66" t="str">
        <f t="shared" si="1064"/>
        <v/>
      </c>
      <c r="BV761" s="66" t="str">
        <f t="shared" si="1064"/>
        <v/>
      </c>
      <c r="BW761" s="66" t="str">
        <f>+IF($W761="","",ROUND((BT761*Parámetros!$G$85),2))</f>
        <v/>
      </c>
      <c r="BX761" s="66" t="str">
        <f>+IF($W761="","",ROUND((BT761*(Parámetros!$G$86)),2))</f>
        <v/>
      </c>
      <c r="BY761" s="66" t="str">
        <f t="shared" si="1065"/>
        <v/>
      </c>
      <c r="BZ761" t="str">
        <f t="shared" si="1106"/>
        <v/>
      </c>
      <c r="CA761" t="str">
        <f t="shared" si="1107"/>
        <v/>
      </c>
      <c r="CB761" s="118" t="str">
        <f t="shared" si="1108"/>
        <v/>
      </c>
      <c r="CC761" s="118" t="str">
        <f t="shared" si="1109"/>
        <v/>
      </c>
      <c r="CD761" s="119" t="str">
        <f t="shared" si="1066"/>
        <v/>
      </c>
      <c r="CE761" s="66" t="str">
        <f>+IF($W761="","",ROUND((VLOOKUP(ROUNDDOWN($D761-1/frec,0),cob_adi,BO$40,FALSE)*(1+i/frec)^-0.5*(1+Parámetros!$D$103)*(1+rec_fracc)/frec*'TABLAS ADI'!$BC$17),2))</f>
        <v/>
      </c>
      <c r="CF761" s="119" t="str">
        <f t="shared" si="1067"/>
        <v/>
      </c>
      <c r="CG761" s="66" t="str">
        <f>+IF($W761="","",ROUND(IF($B761&gt;Parámetros!$D$107,'Tablas Servicio'!CE761+('Tablas Servicio'!CG760-'Tablas Servicio'!CE760),CE761/(1-IF(B761&lt;=10,Parámetros!$D$100,0))),2))</f>
        <v/>
      </c>
      <c r="CH761" s="66" t="str">
        <f t="shared" si="1068"/>
        <v/>
      </c>
      <c r="CI761" s="66" t="str">
        <f t="shared" si="1068"/>
        <v/>
      </c>
      <c r="CJ761" s="66" t="str">
        <f>+IF($W761="","",ROUND((CG761*Parámetros!$G$85),2))</f>
        <v/>
      </c>
      <c r="CK761" s="66" t="str">
        <f>+IF($W761="","",ROUND((CG761*(Parámetros!$G$86)),2))</f>
        <v/>
      </c>
      <c r="CL761" s="66" t="str">
        <f t="shared" si="1069"/>
        <v/>
      </c>
      <c r="CM761" t="str">
        <f t="shared" si="1110"/>
        <v/>
      </c>
      <c r="CN761" s="118" t="str">
        <f t="shared" si="1111"/>
        <v/>
      </c>
      <c r="CO761" s="118" t="str">
        <f t="shared" si="1112"/>
        <v/>
      </c>
      <c r="CP761" s="118" t="str">
        <f t="shared" si="1113"/>
        <v/>
      </c>
      <c r="CQ761" s="119" t="str">
        <f t="shared" si="1070"/>
        <v/>
      </c>
      <c r="CR761" s="66" t="str">
        <f>+IF($W761="","",ROUND((VLOOKUP(Parámetros!$F$51,'COBERTURAS ADICIONALES'!$S$4:$T$32,2,FALSE)*(1+i/frec)^-0.5*(1+Parámetros!$D$103)*(1+rec_fracc)/frec*$CO$42),2))</f>
        <v/>
      </c>
      <c r="CS761" s="119" t="str">
        <f t="shared" si="1071"/>
        <v/>
      </c>
      <c r="CT761" s="66" t="str">
        <f>+IF($W761="","",ROUND(IF($B761&gt;Parámetros!$D$107,'Tablas Servicio'!CR761+('Tablas Servicio'!CT760-'Tablas Servicio'!CR760),CR761/(1-IF(B761&lt;=10,Parámetros!$D$100,0))),2))</f>
        <v/>
      </c>
      <c r="CU761" s="66" t="str">
        <f t="shared" si="1072"/>
        <v/>
      </c>
      <c r="CV761" s="66" t="str">
        <f t="shared" si="1072"/>
        <v/>
      </c>
      <c r="CW761" s="66" t="str">
        <f>+IF($W761="","",ROUND((CT761*Parámetros!$G$85),2))</f>
        <v/>
      </c>
      <c r="CX761" s="66" t="str">
        <f>+IF($W761="","",ROUND((CT761*(Parámetros!$G$86)),2))</f>
        <v/>
      </c>
      <c r="CY761" s="66" t="str">
        <f t="shared" si="1073"/>
        <v/>
      </c>
      <c r="CZ761" t="str">
        <f t="shared" si="1114"/>
        <v/>
      </c>
      <c r="DA761" s="118" t="str">
        <f t="shared" si="1115"/>
        <v/>
      </c>
      <c r="DB761" s="118" t="str">
        <f t="shared" si="1116"/>
        <v/>
      </c>
      <c r="DC761" s="118" t="str">
        <f t="shared" si="1117"/>
        <v/>
      </c>
      <c r="DD761" s="121" t="str">
        <f>+IF(OR($W761="",DB761=0),"",ROUND((VLOOKUP(ROUNDDOWN($D761-1/frec,0),cob_adi,CO$40,FALSE)*(1+i/frec)^-0.5*(1+Parámetros!$D$103)*(1+rec_fracc)/frec),6))</f>
        <v/>
      </c>
      <c r="DE761" s="66" t="str">
        <f t="shared" si="1074"/>
        <v/>
      </c>
      <c r="DF761" s="119" t="str">
        <f t="shared" si="1075"/>
        <v/>
      </c>
      <c r="DG761" s="66" t="str">
        <f>+IF($W761="","",ROUND(IF($B761&gt;Parámetros!$D$107,'Tablas Servicio'!DE761+('Tablas Servicio'!DG760-'Tablas Servicio'!DE760),DE761/(1-IF(B761&lt;=10,Parámetros!$D$100,0))),2))</f>
        <v/>
      </c>
      <c r="DH761" s="66" t="str">
        <f t="shared" si="1076"/>
        <v/>
      </c>
      <c r="DI761" s="66" t="str">
        <f t="shared" si="1076"/>
        <v/>
      </c>
      <c r="DJ761" s="66" t="str">
        <f>+IF($W761="","",ROUND((DG761*Parámetros!$G$85),2))</f>
        <v/>
      </c>
      <c r="DK761" s="66" t="str">
        <f>+IF($W761="","",ROUND((DG761*(Parámetros!$G$86)),2))</f>
        <v/>
      </c>
      <c r="DL761" s="66" t="str">
        <f t="shared" si="1077"/>
        <v/>
      </c>
      <c r="DM761" t="str">
        <f t="shared" si="1118"/>
        <v/>
      </c>
      <c r="DN761" s="118" t="str">
        <f t="shared" si="1119"/>
        <v/>
      </c>
      <c r="DO761" s="118" t="str">
        <f t="shared" si="1120"/>
        <v/>
      </c>
      <c r="DP761" s="118" t="str">
        <f t="shared" si="1121"/>
        <v/>
      </c>
      <c r="DQ761" s="122" t="str">
        <f>+IF(OR($W761="",DO761=0),"",ROUND((VLOOKUP(ROUNDDOWN($D761-1/frec,0),cob_adi,DB$40,FALSE)*(1+i/frec)^-0.5*(1+Parámetros!$D$103)*(1+rec_fracc)/frec),6))</f>
        <v/>
      </c>
      <c r="DR761" s="66" t="str">
        <f t="shared" si="1078"/>
        <v/>
      </c>
      <c r="DS761" s="68" t="str">
        <f t="shared" si="1079"/>
        <v/>
      </c>
      <c r="DT761" s="66" t="str">
        <f>+IF($W761="","",ROUND(IF($B761&gt;Parámetros!$D$107,'Tablas Servicio'!DR761+('Tablas Servicio'!DT760-'Tablas Servicio'!DR760),DR761/(1-IF(B761&lt;=10,Parámetros!$D$100,0))),2))</f>
        <v/>
      </c>
      <c r="DU761" s="66" t="str">
        <f t="shared" si="1080"/>
        <v/>
      </c>
      <c r="DV761" s="66" t="str">
        <f t="shared" si="1080"/>
        <v/>
      </c>
      <c r="DW761" s="66" t="str">
        <f>+IF($W761="","",ROUND((DT761*Parámetros!$G$85),2))</f>
        <v/>
      </c>
      <c r="DX761" s="66" t="str">
        <f>+IF($W761="","",ROUND((DT761*(Parámetros!$G$86)),2))</f>
        <v/>
      </c>
      <c r="DY761" s="66" t="str">
        <f t="shared" si="1081"/>
        <v/>
      </c>
      <c r="DZ761" t="str">
        <f t="shared" si="1082"/>
        <v/>
      </c>
      <c r="EA761" s="118" t="str">
        <f t="shared" si="1082"/>
        <v/>
      </c>
      <c r="EB761" s="118" t="str">
        <f>+IF($W761="","",ROUND(IF(Parámetros!$D$25='TABLAS MORT'!$V$33,EB760,Z761/2),0))</f>
        <v/>
      </c>
      <c r="EC761" s="118" t="str">
        <f t="shared" si="1082"/>
        <v/>
      </c>
      <c r="ED761" s="122" t="str">
        <f>+IF(OR($W761="",EB761=0),"",ROUND((VLOOKUP(ROUNDDOWN($D761-1/frec,0),cob_adi,DO$40,FALSE)*(1+i/frec)^-0.5*(1+Parámetros!$D$103)*(1+rec_fracc)/frec),6))</f>
        <v/>
      </c>
      <c r="EE761" s="66" t="str">
        <f t="shared" si="1083"/>
        <v/>
      </c>
      <c r="EF761" s="68" t="str">
        <f t="shared" si="1084"/>
        <v/>
      </c>
      <c r="EG761" s="66" t="str">
        <f>+IF($W761="","",ROUND(IF($B761&gt;Parámetros!$D$107,'Tablas Servicio'!EE761+('Tablas Servicio'!EG760-'Tablas Servicio'!EE760),EE761/(1-IF(B761&lt;=10,Parámetros!$D$100,0))),2))</f>
        <v/>
      </c>
      <c r="EH761" s="66" t="str">
        <f t="shared" si="1085"/>
        <v/>
      </c>
      <c r="EI761" s="66" t="str">
        <f t="shared" si="1085"/>
        <v/>
      </c>
      <c r="EJ761" s="66" t="str">
        <f>+IF($W761="","",ROUND((EG761*Parámetros!$G$85),2))</f>
        <v/>
      </c>
      <c r="EK761" s="66" t="str">
        <f>+IF($W761="","",ROUND((EG761*(Parámetros!$G$86)),2))</f>
        <v/>
      </c>
      <c r="EL761" s="66" t="str">
        <f t="shared" si="1086"/>
        <v/>
      </c>
    </row>
    <row r="762" spans="1:142" x14ac:dyDescent="0.25">
      <c r="A762" t="str">
        <f>+IF($C762="","",ROUND(VLOOKUP('Tablas Servicio'!B762,Parámetros!$H$100:$J$159,IF(Parámetros!$E$16="F",2,3),FALSE),2))</f>
        <v/>
      </c>
      <c r="B762" t="str">
        <f t="shared" si="1037"/>
        <v/>
      </c>
      <c r="C762" s="57" t="str">
        <f>+IF(D762="","",'Tablas Servicio'!C761+1)</f>
        <v/>
      </c>
      <c r="D762" s="56" t="str">
        <f>+IF(D761&lt;edadmaxtabla,D761+1/Parámetros!$E$25,"")</f>
        <v/>
      </c>
      <c r="E762" s="57" t="str">
        <f t="shared" si="1047"/>
        <v/>
      </c>
      <c r="F762" s="59" t="str">
        <f t="shared" si="1048"/>
        <v/>
      </c>
      <c r="G762" s="66" t="str">
        <f t="shared" si="1038"/>
        <v/>
      </c>
      <c r="H762" s="66" t="str">
        <f t="shared" si="1039"/>
        <v/>
      </c>
      <c r="I762" s="66" t="str">
        <f t="shared" si="1087"/>
        <v/>
      </c>
      <c r="J762" s="66" t="str">
        <f t="shared" si="1040"/>
        <v/>
      </c>
      <c r="K762" s="66" t="str">
        <f t="shared" si="1041"/>
        <v/>
      </c>
      <c r="L762" s="66" t="str">
        <f t="shared" si="1042"/>
        <v/>
      </c>
      <c r="M762" s="66" t="str">
        <f t="shared" si="1043"/>
        <v/>
      </c>
      <c r="N762" s="66" t="str">
        <f>+IF(C762="","",ROUND(Parámetros!$D$23,2))</f>
        <v/>
      </c>
      <c r="O762" s="66" t="str">
        <f t="shared" si="1044"/>
        <v/>
      </c>
      <c r="P762" s="66" t="str">
        <f>+IF($C762="","",ROUND(IF(B762&gt;Parámetros!$D$117,0,N762*Parámetros!$D$116-G762*Parámetros!$D$100),2))</f>
        <v/>
      </c>
      <c r="Q762" s="75" t="str">
        <f t="shared" si="1088"/>
        <v/>
      </c>
      <c r="R762" s="75" t="str">
        <f t="shared" si="1089"/>
        <v/>
      </c>
      <c r="S762" s="117" t="str">
        <f>+IF($C762="","",ROUND((S761+I762)*(1+Parámetros!$D$91),2))</f>
        <v/>
      </c>
      <c r="T762" s="117" t="str">
        <f>+IF($C762="","",ROUND(S762*VLOOKUP(B762,Parámetros!$C$30:$D$39,2,TRUE),2))</f>
        <v/>
      </c>
      <c r="U762" s="117" t="str">
        <f>+IF($C762="","",ROUND((U761+I762)*(1+Parámetros!$D$92),2))</f>
        <v/>
      </c>
      <c r="V762" s="117" t="str">
        <f>+IF($C762="","",ROUND(U762*VLOOKUP(B762,Parámetros!$C$30:$D$39,2,TRUE),2))</f>
        <v/>
      </c>
      <c r="W762" s="57" t="str">
        <f t="shared" si="1090"/>
        <v/>
      </c>
      <c r="X762" t="str">
        <f t="shared" si="1091"/>
        <v/>
      </c>
      <c r="Y762" t="str">
        <f t="shared" si="1092"/>
        <v/>
      </c>
      <c r="Z762" s="118" t="str">
        <f>+IF($W762="","",ROUND(IF(Parámetros!$D$25='TABLAS MORT'!$V$33,Z761,Parámetros!$D$21-'Tablas Servicio'!T761),0))</f>
        <v/>
      </c>
      <c r="AA762" s="118" t="str">
        <f t="shared" si="1093"/>
        <v/>
      </c>
      <c r="AB762" s="119" t="str">
        <f>+IF(W762="","",ROUND((VLOOKUP(ROUNDDOWN($D762-1/frec,0),qx_tabla,2,FALSE)*(1+i/frec)^-0.5*(1+Parámetros!$D$103)*(1+rec_fracc)/frec),6))</f>
        <v/>
      </c>
      <c r="AC762" s="66" t="str">
        <f t="shared" si="1049"/>
        <v/>
      </c>
      <c r="AD762" s="119" t="str">
        <f t="shared" si="1045"/>
        <v/>
      </c>
      <c r="AE762" s="66" t="str">
        <f>+IF($W762="","",ROUND(IF($B762&gt;Parámetros!$D$107,'Tablas Servicio'!AC762+('Tablas Servicio'!AG761-'Tablas Servicio'!AC761),AC762/(1-IF(B762&lt;=10,Parámetros!$D$104,Parámetros!$D$105))),2))</f>
        <v/>
      </c>
      <c r="AF762" s="66" t="str">
        <f>+IF($W762="","",ROUND(IF($B762&gt;Parámetros!$D$107,'Tablas Servicio'!AC762+('Tablas Servicio'!AG761-'Tablas Servicio'!AC761),(AC762+$A761/frec)/(1-IF(B762&lt;=Parámetros!$D$117,Parámetros!$D$100,0))),2))</f>
        <v/>
      </c>
      <c r="AG762" s="66" t="str">
        <f t="shared" si="1050"/>
        <v/>
      </c>
      <c r="AH762" s="66" t="str">
        <f t="shared" si="1051"/>
        <v/>
      </c>
      <c r="AI762" s="66" t="str">
        <f t="shared" si="1052"/>
        <v/>
      </c>
      <c r="AJ762" s="66" t="str">
        <f>+IF($W762="","",ROUND((AG762*Parámetros!$G$85),2))</f>
        <v/>
      </c>
      <c r="AK762" s="66" t="str">
        <f>+IF($W762="","",ROUND((AG762*(Parámetros!$G$86)),2))</f>
        <v/>
      </c>
      <c r="AL762" s="66" t="str">
        <f t="shared" si="1046"/>
        <v/>
      </c>
      <c r="AM762" t="str">
        <f t="shared" si="1094"/>
        <v/>
      </c>
      <c r="AN762" t="str">
        <f t="shared" si="1095"/>
        <v/>
      </c>
      <c r="AO762" s="118" t="str">
        <f t="shared" si="1096"/>
        <v/>
      </c>
      <c r="AP762" s="118" t="str">
        <f t="shared" si="1097"/>
        <v/>
      </c>
      <c r="AQ762" s="119" t="str">
        <f>+IF(OR($W762="",AO762=0),"",ROUND((VLOOKUP(ROUNDDOWN($D762-1/frec,0),cob_adi,Z$40,FALSE)*(1+i/frec)^-0.5*(1+Parámetros!$D$103)*(1+rec_fracc)/frec),6))</f>
        <v/>
      </c>
      <c r="AR762" s="66" t="str">
        <f t="shared" si="1053"/>
        <v/>
      </c>
      <c r="AS762" s="119" t="str">
        <f t="shared" si="1054"/>
        <v/>
      </c>
      <c r="AT762" s="66" t="str">
        <f>+IF($W762="","",ROUND(IF($B762&gt;Parámetros!$D$107,'Tablas Servicio'!AR762+('Tablas Servicio'!AT761-'Tablas Servicio'!AR761),AR762/(1-IF(B762&lt;=10,Parámetros!$D$100,0))),2))</f>
        <v/>
      </c>
      <c r="AU762" s="66" t="str">
        <f t="shared" si="1055"/>
        <v/>
      </c>
      <c r="AV762" s="66" t="str">
        <f t="shared" si="1055"/>
        <v/>
      </c>
      <c r="AW762" s="66" t="str">
        <f>+IF($W762="","",ROUND((AT762*Parámetros!$G$85),2))</f>
        <v/>
      </c>
      <c r="AX762" s="66" t="str">
        <f>+IF($W762="","",ROUND((AT762*(Parámetros!$G$86)),2))</f>
        <v/>
      </c>
      <c r="AY762" s="66" t="str">
        <f t="shared" si="1056"/>
        <v/>
      </c>
      <c r="AZ762" t="str">
        <f t="shared" si="1098"/>
        <v/>
      </c>
      <c r="BA762" t="str">
        <f t="shared" si="1099"/>
        <v/>
      </c>
      <c r="BB762" s="118" t="str">
        <f t="shared" si="1100"/>
        <v/>
      </c>
      <c r="BC762" s="118" t="str">
        <f t="shared" si="1101"/>
        <v/>
      </c>
      <c r="BD762" s="119" t="str">
        <f>+IF(OR($W762="",BB762=0),"",ROUND((VLOOKUP(ROUNDDOWN($D762-1/frec,0),cob_adi,AO$40,FALSE)*(1+i/frec)^-0.5*(1+Parámetros!$D$103)*(1+rec_fracc)/frec),6))</f>
        <v/>
      </c>
      <c r="BE762" s="66" t="str">
        <f t="shared" si="1057"/>
        <v/>
      </c>
      <c r="BF762" s="119" t="str">
        <f t="shared" si="1058"/>
        <v/>
      </c>
      <c r="BG762" s="66" t="str">
        <f>+IF($W762="","",ROUND(IF($B762&gt;Parámetros!$D$107,'Tablas Servicio'!BE762+('Tablas Servicio'!BG761-'Tablas Servicio'!BE761),BE762/(1-IF(B762&lt;=10,Parámetros!$D$100,0))),2))</f>
        <v/>
      </c>
      <c r="BH762" s="66" t="str">
        <f t="shared" si="1059"/>
        <v/>
      </c>
      <c r="BI762" s="66" t="str">
        <f t="shared" si="1060"/>
        <v/>
      </c>
      <c r="BJ762" s="66" t="str">
        <f>+IF($W762="","",ROUND((BG762*Parámetros!$G$85),2))</f>
        <v/>
      </c>
      <c r="BK762" s="66" t="str">
        <f>+IF($W762="","",ROUND((BG762*(Parámetros!$G$86)),2))</f>
        <v/>
      </c>
      <c r="BL762" s="66" t="str">
        <f t="shared" si="1061"/>
        <v/>
      </c>
      <c r="BM762" t="str">
        <f t="shared" si="1102"/>
        <v/>
      </c>
      <c r="BN762" t="str">
        <f t="shared" si="1103"/>
        <v/>
      </c>
      <c r="BO762" s="118" t="str">
        <f t="shared" si="1104"/>
        <v/>
      </c>
      <c r="BP762" s="118" t="str">
        <f t="shared" si="1105"/>
        <v/>
      </c>
      <c r="BQ762" s="119" t="str">
        <f>+IF(OR($W762="",BO762=0),"",ROUND((VLOOKUP(ROUNDDOWN($D762-1/frec,0),cob_adi,BB$40,FALSE)*(1+i/frec)^-0.5*(1+Parámetros!$D$103)*(1+rec_fracc)/frec),6))</f>
        <v/>
      </c>
      <c r="BR762" s="66" t="str">
        <f t="shared" si="1062"/>
        <v/>
      </c>
      <c r="BS762" s="119" t="str">
        <f t="shared" si="1063"/>
        <v/>
      </c>
      <c r="BT762" s="66" t="str">
        <f>+IF($W762="","",ROUND(IF($B762&gt;Parámetros!$D$107,'Tablas Servicio'!BR762+('Tablas Servicio'!BT761-'Tablas Servicio'!BR761),BR762/(1-IF(B762&lt;=10,Parámetros!$D$100,0))),2))</f>
        <v/>
      </c>
      <c r="BU762" s="66" t="str">
        <f t="shared" si="1064"/>
        <v/>
      </c>
      <c r="BV762" s="66" t="str">
        <f t="shared" si="1064"/>
        <v/>
      </c>
      <c r="BW762" s="66" t="str">
        <f>+IF($W762="","",ROUND((BT762*Parámetros!$G$85),2))</f>
        <v/>
      </c>
      <c r="BX762" s="66" t="str">
        <f>+IF($W762="","",ROUND((BT762*(Parámetros!$G$86)),2))</f>
        <v/>
      </c>
      <c r="BY762" s="66" t="str">
        <f t="shared" si="1065"/>
        <v/>
      </c>
      <c r="BZ762" t="str">
        <f t="shared" si="1106"/>
        <v/>
      </c>
      <c r="CA762" t="str">
        <f t="shared" si="1107"/>
        <v/>
      </c>
      <c r="CB762" s="118" t="str">
        <f t="shared" si="1108"/>
        <v/>
      </c>
      <c r="CC762" s="118" t="str">
        <f t="shared" si="1109"/>
        <v/>
      </c>
      <c r="CD762" s="119" t="str">
        <f t="shared" si="1066"/>
        <v/>
      </c>
      <c r="CE762" s="66" t="str">
        <f>+IF($W762="","",ROUND((VLOOKUP(ROUNDDOWN($D762-1/frec,0),cob_adi,BO$40,FALSE)*(1+i/frec)^-0.5*(1+Parámetros!$D$103)*(1+rec_fracc)/frec*'TABLAS ADI'!$BC$17),2))</f>
        <v/>
      </c>
      <c r="CF762" s="119" t="str">
        <f t="shared" si="1067"/>
        <v/>
      </c>
      <c r="CG762" s="66" t="str">
        <f>+IF($W762="","",ROUND(IF($B762&gt;Parámetros!$D$107,'Tablas Servicio'!CE762+('Tablas Servicio'!CG761-'Tablas Servicio'!CE761),CE762/(1-IF(B762&lt;=10,Parámetros!$D$100,0))),2))</f>
        <v/>
      </c>
      <c r="CH762" s="66" t="str">
        <f t="shared" si="1068"/>
        <v/>
      </c>
      <c r="CI762" s="66" t="str">
        <f t="shared" si="1068"/>
        <v/>
      </c>
      <c r="CJ762" s="66" t="str">
        <f>+IF($W762="","",ROUND((CG762*Parámetros!$G$85),2))</f>
        <v/>
      </c>
      <c r="CK762" s="66" t="str">
        <f>+IF($W762="","",ROUND((CG762*(Parámetros!$G$86)),2))</f>
        <v/>
      </c>
      <c r="CL762" s="66" t="str">
        <f t="shared" si="1069"/>
        <v/>
      </c>
      <c r="CM762" t="str">
        <f t="shared" si="1110"/>
        <v/>
      </c>
      <c r="CN762" s="118" t="str">
        <f t="shared" si="1111"/>
        <v/>
      </c>
      <c r="CO762" s="118" t="str">
        <f t="shared" si="1112"/>
        <v/>
      </c>
      <c r="CP762" s="118" t="str">
        <f t="shared" si="1113"/>
        <v/>
      </c>
      <c r="CQ762" s="119" t="str">
        <f t="shared" si="1070"/>
        <v/>
      </c>
      <c r="CR762" s="66" t="str">
        <f>+IF($W762="","",ROUND((VLOOKUP(Parámetros!$F$51,'COBERTURAS ADICIONALES'!$S$4:$T$32,2,FALSE)*(1+i/frec)^-0.5*(1+Parámetros!$D$103)*(1+rec_fracc)/frec*$CO$42),2))</f>
        <v/>
      </c>
      <c r="CS762" s="119" t="str">
        <f t="shared" si="1071"/>
        <v/>
      </c>
      <c r="CT762" s="66" t="str">
        <f>+IF($W762="","",ROUND(IF($B762&gt;Parámetros!$D$107,'Tablas Servicio'!CR762+('Tablas Servicio'!CT761-'Tablas Servicio'!CR761),CR762/(1-IF(B762&lt;=10,Parámetros!$D$100,0))),2))</f>
        <v/>
      </c>
      <c r="CU762" s="66" t="str">
        <f t="shared" si="1072"/>
        <v/>
      </c>
      <c r="CV762" s="66" t="str">
        <f t="shared" si="1072"/>
        <v/>
      </c>
      <c r="CW762" s="66" t="str">
        <f>+IF($W762="","",ROUND((CT762*Parámetros!$G$85),2))</f>
        <v/>
      </c>
      <c r="CX762" s="66" t="str">
        <f>+IF($W762="","",ROUND((CT762*(Parámetros!$G$86)),2))</f>
        <v/>
      </c>
      <c r="CY762" s="66" t="str">
        <f t="shared" si="1073"/>
        <v/>
      </c>
      <c r="CZ762" t="str">
        <f t="shared" si="1114"/>
        <v/>
      </c>
      <c r="DA762" s="118" t="str">
        <f t="shared" si="1115"/>
        <v/>
      </c>
      <c r="DB762" s="118" t="str">
        <f t="shared" si="1116"/>
        <v/>
      </c>
      <c r="DC762" s="118" t="str">
        <f t="shared" si="1117"/>
        <v/>
      </c>
      <c r="DD762" s="121" t="str">
        <f>+IF(OR($W762="",DB762=0),"",ROUND((VLOOKUP(ROUNDDOWN($D762-1/frec,0),cob_adi,CO$40,FALSE)*(1+i/frec)^-0.5*(1+Parámetros!$D$103)*(1+rec_fracc)/frec),6))</f>
        <v/>
      </c>
      <c r="DE762" s="66" t="str">
        <f t="shared" si="1074"/>
        <v/>
      </c>
      <c r="DF762" s="119" t="str">
        <f t="shared" si="1075"/>
        <v/>
      </c>
      <c r="DG762" s="66" t="str">
        <f>+IF($W762="","",ROUND(IF($B762&gt;Parámetros!$D$107,'Tablas Servicio'!DE762+('Tablas Servicio'!DG761-'Tablas Servicio'!DE761),DE762/(1-IF(B762&lt;=10,Parámetros!$D$100,0))),2))</f>
        <v/>
      </c>
      <c r="DH762" s="66" t="str">
        <f t="shared" si="1076"/>
        <v/>
      </c>
      <c r="DI762" s="66" t="str">
        <f t="shared" si="1076"/>
        <v/>
      </c>
      <c r="DJ762" s="66" t="str">
        <f>+IF($W762="","",ROUND((DG762*Parámetros!$G$85),2))</f>
        <v/>
      </c>
      <c r="DK762" s="66" t="str">
        <f>+IF($W762="","",ROUND((DG762*(Parámetros!$G$86)),2))</f>
        <v/>
      </c>
      <c r="DL762" s="66" t="str">
        <f t="shared" si="1077"/>
        <v/>
      </c>
      <c r="DM762" t="str">
        <f t="shared" si="1118"/>
        <v/>
      </c>
      <c r="DN762" s="118" t="str">
        <f t="shared" si="1119"/>
        <v/>
      </c>
      <c r="DO762" s="118" t="str">
        <f t="shared" si="1120"/>
        <v/>
      </c>
      <c r="DP762" s="118" t="str">
        <f t="shared" si="1121"/>
        <v/>
      </c>
      <c r="DQ762" s="122" t="str">
        <f>+IF(OR($W762="",DO762=0),"",ROUND((VLOOKUP(ROUNDDOWN($D762-1/frec,0),cob_adi,DB$40,FALSE)*(1+i/frec)^-0.5*(1+Parámetros!$D$103)*(1+rec_fracc)/frec),6))</f>
        <v/>
      </c>
      <c r="DR762" s="66" t="str">
        <f t="shared" si="1078"/>
        <v/>
      </c>
      <c r="DS762" s="68" t="str">
        <f t="shared" si="1079"/>
        <v/>
      </c>
      <c r="DT762" s="66" t="str">
        <f>+IF($W762="","",ROUND(IF($B762&gt;Parámetros!$D$107,'Tablas Servicio'!DR762+('Tablas Servicio'!DT761-'Tablas Servicio'!DR761),DR762/(1-IF(B762&lt;=10,Parámetros!$D$100,0))),2))</f>
        <v/>
      </c>
      <c r="DU762" s="66" t="str">
        <f t="shared" si="1080"/>
        <v/>
      </c>
      <c r="DV762" s="66" t="str">
        <f t="shared" si="1080"/>
        <v/>
      </c>
      <c r="DW762" s="66" t="str">
        <f>+IF($W762="","",ROUND((DT762*Parámetros!$G$85),2))</f>
        <v/>
      </c>
      <c r="DX762" s="66" t="str">
        <f>+IF($W762="","",ROUND((DT762*(Parámetros!$G$86)),2))</f>
        <v/>
      </c>
      <c r="DY762" s="66" t="str">
        <f t="shared" si="1081"/>
        <v/>
      </c>
      <c r="DZ762" t="str">
        <f t="shared" si="1082"/>
        <v/>
      </c>
      <c r="EA762" s="118" t="str">
        <f t="shared" si="1082"/>
        <v/>
      </c>
      <c r="EB762" s="118" t="str">
        <f>+IF($W762="","",ROUND(IF(Parámetros!$D$25='TABLAS MORT'!$V$33,EB761,Z762/2),0))</f>
        <v/>
      </c>
      <c r="EC762" s="118" t="str">
        <f t="shared" si="1082"/>
        <v/>
      </c>
      <c r="ED762" s="122" t="str">
        <f>+IF(OR($W762="",EB762=0),"",ROUND((VLOOKUP(ROUNDDOWN($D762-1/frec,0),cob_adi,DO$40,FALSE)*(1+i/frec)^-0.5*(1+Parámetros!$D$103)*(1+rec_fracc)/frec),6))</f>
        <v/>
      </c>
      <c r="EE762" s="66" t="str">
        <f t="shared" si="1083"/>
        <v/>
      </c>
      <c r="EF762" s="68" t="str">
        <f t="shared" si="1084"/>
        <v/>
      </c>
      <c r="EG762" s="66" t="str">
        <f>+IF($W762="","",ROUND(IF($B762&gt;Parámetros!$D$107,'Tablas Servicio'!EE762+('Tablas Servicio'!EG761-'Tablas Servicio'!EE761),EE762/(1-IF(B762&lt;=10,Parámetros!$D$100,0))),2))</f>
        <v/>
      </c>
      <c r="EH762" s="66" t="str">
        <f t="shared" si="1085"/>
        <v/>
      </c>
      <c r="EI762" s="66" t="str">
        <f t="shared" si="1085"/>
        <v/>
      </c>
      <c r="EJ762" s="66" t="str">
        <f>+IF($W762="","",ROUND((EG762*Parámetros!$G$85),2))</f>
        <v/>
      </c>
      <c r="EK762" s="66" t="str">
        <f>+IF($W762="","",ROUND((EG762*(Parámetros!$G$86)),2))</f>
        <v/>
      </c>
      <c r="EL762" s="66" t="str">
        <f t="shared" si="1086"/>
        <v/>
      </c>
    </row>
    <row r="763" spans="1:142" x14ac:dyDescent="0.25">
      <c r="A763" t="str">
        <f>+IF($C763="","",ROUND(VLOOKUP('Tablas Servicio'!B763,Parámetros!$H$100:$J$159,IF(Parámetros!$E$16="F",2,3),FALSE),2))</f>
        <v/>
      </c>
      <c r="B763" t="str">
        <f t="shared" si="1037"/>
        <v/>
      </c>
      <c r="C763" s="57" t="str">
        <f>+IF(D763="","",'Tablas Servicio'!C762+1)</f>
        <v/>
      </c>
      <c r="D763" s="56" t="str">
        <f>+IF(D762&lt;edadmaxtabla,D762+1/Parámetros!$E$25,"")</f>
        <v/>
      </c>
      <c r="E763" s="57" t="str">
        <f t="shared" si="1047"/>
        <v/>
      </c>
      <c r="F763" s="59" t="str">
        <f t="shared" si="1048"/>
        <v/>
      </c>
      <c r="G763" s="66" t="str">
        <f t="shared" si="1038"/>
        <v/>
      </c>
      <c r="H763" s="66" t="str">
        <f t="shared" si="1039"/>
        <v/>
      </c>
      <c r="I763" s="66" t="str">
        <f t="shared" si="1087"/>
        <v/>
      </c>
      <c r="J763" s="66" t="str">
        <f t="shared" si="1040"/>
        <v/>
      </c>
      <c r="K763" s="66" t="str">
        <f t="shared" si="1041"/>
        <v/>
      </c>
      <c r="L763" s="66" t="str">
        <f t="shared" si="1042"/>
        <v/>
      </c>
      <c r="M763" s="66" t="str">
        <f t="shared" si="1043"/>
        <v/>
      </c>
      <c r="N763" s="66" t="str">
        <f>+IF(C763="","",ROUND(Parámetros!$D$23,2))</f>
        <v/>
      </c>
      <c r="O763" s="66" t="str">
        <f t="shared" si="1044"/>
        <v/>
      </c>
      <c r="P763" s="66" t="str">
        <f>+IF($C763="","",ROUND(IF(B763&gt;Parámetros!$D$117,0,N763*Parámetros!$D$116-G763*Parámetros!$D$100),2))</f>
        <v/>
      </c>
      <c r="Q763" s="75" t="str">
        <f t="shared" si="1088"/>
        <v/>
      </c>
      <c r="R763" s="75" t="str">
        <f t="shared" si="1089"/>
        <v/>
      </c>
      <c r="S763" s="117" t="str">
        <f>+IF($C763="","",ROUND((S762+I763)*(1+Parámetros!$D$91),2))</f>
        <v/>
      </c>
      <c r="T763" s="117" t="str">
        <f>+IF($C763="","",ROUND(S763*VLOOKUP(B763,Parámetros!$C$30:$D$39,2,TRUE),2))</f>
        <v/>
      </c>
      <c r="U763" s="117" t="str">
        <f>+IF($C763="","",ROUND((U762+I763)*(1+Parámetros!$D$92),2))</f>
        <v/>
      </c>
      <c r="V763" s="117" t="str">
        <f>+IF($C763="","",ROUND(U763*VLOOKUP(B763,Parámetros!$C$30:$D$39,2,TRUE),2))</f>
        <v/>
      </c>
      <c r="W763" s="57" t="str">
        <f t="shared" si="1090"/>
        <v/>
      </c>
      <c r="X763" t="str">
        <f t="shared" si="1091"/>
        <v/>
      </c>
      <c r="Y763" t="str">
        <f t="shared" si="1092"/>
        <v/>
      </c>
      <c r="Z763" s="118" t="str">
        <f>+IF($W763="","",ROUND(IF(Parámetros!$D$25='TABLAS MORT'!$V$33,Z762,Parámetros!$D$21-'Tablas Servicio'!T762),0))</f>
        <v/>
      </c>
      <c r="AA763" s="118" t="str">
        <f t="shared" si="1093"/>
        <v/>
      </c>
      <c r="AB763" s="119" t="str">
        <f>+IF(W763="","",ROUND((VLOOKUP(ROUNDDOWN($D763-1/frec,0),qx_tabla,2,FALSE)*(1+i/frec)^-0.5*(1+Parámetros!$D$103)*(1+rec_fracc)/frec),6))</f>
        <v/>
      </c>
      <c r="AC763" s="66" t="str">
        <f t="shared" si="1049"/>
        <v/>
      </c>
      <c r="AD763" s="119" t="str">
        <f t="shared" si="1045"/>
        <v/>
      </c>
      <c r="AE763" s="66" t="str">
        <f>+IF($W763="","",ROUND(IF($B763&gt;Parámetros!$D$107,'Tablas Servicio'!AC763+('Tablas Servicio'!AG762-'Tablas Servicio'!AC762),AC763/(1-IF(B763&lt;=10,Parámetros!$D$104,Parámetros!$D$105))),2))</f>
        <v/>
      </c>
      <c r="AF763" s="66" t="str">
        <f>+IF($W763="","",ROUND(IF($B763&gt;Parámetros!$D$107,'Tablas Servicio'!AC763+('Tablas Servicio'!AG762-'Tablas Servicio'!AC762),(AC763+$A762/frec)/(1-IF(B763&lt;=Parámetros!$D$117,Parámetros!$D$100,0))),2))</f>
        <v/>
      </c>
      <c r="AG763" s="66" t="str">
        <f t="shared" si="1050"/>
        <v/>
      </c>
      <c r="AH763" s="66" t="str">
        <f t="shared" si="1051"/>
        <v/>
      </c>
      <c r="AI763" s="66" t="str">
        <f t="shared" si="1052"/>
        <v/>
      </c>
      <c r="AJ763" s="66" t="str">
        <f>+IF($W763="","",ROUND((AG763*Parámetros!$G$85),2))</f>
        <v/>
      </c>
      <c r="AK763" s="66" t="str">
        <f>+IF($W763="","",ROUND((AG763*(Parámetros!$G$86)),2))</f>
        <v/>
      </c>
      <c r="AL763" s="66" t="str">
        <f t="shared" si="1046"/>
        <v/>
      </c>
      <c r="AM763" t="str">
        <f t="shared" si="1094"/>
        <v/>
      </c>
      <c r="AN763" t="str">
        <f t="shared" si="1095"/>
        <v/>
      </c>
      <c r="AO763" s="118" t="str">
        <f t="shared" si="1096"/>
        <v/>
      </c>
      <c r="AP763" s="118" t="str">
        <f t="shared" si="1097"/>
        <v/>
      </c>
      <c r="AQ763" s="119" t="str">
        <f>+IF(OR($W763="",AO763=0),"",ROUND((VLOOKUP(ROUNDDOWN($D763-1/frec,0),cob_adi,Z$40,FALSE)*(1+i/frec)^-0.5*(1+Parámetros!$D$103)*(1+rec_fracc)/frec),6))</f>
        <v/>
      </c>
      <c r="AR763" s="66" t="str">
        <f t="shared" si="1053"/>
        <v/>
      </c>
      <c r="AS763" s="119" t="str">
        <f t="shared" si="1054"/>
        <v/>
      </c>
      <c r="AT763" s="66" t="str">
        <f>+IF($W763="","",ROUND(IF($B763&gt;Parámetros!$D$107,'Tablas Servicio'!AR763+('Tablas Servicio'!AT762-'Tablas Servicio'!AR762),AR763/(1-IF(B763&lt;=10,Parámetros!$D$100,0))),2))</f>
        <v/>
      </c>
      <c r="AU763" s="66" t="str">
        <f t="shared" si="1055"/>
        <v/>
      </c>
      <c r="AV763" s="66" t="str">
        <f t="shared" si="1055"/>
        <v/>
      </c>
      <c r="AW763" s="66" t="str">
        <f>+IF($W763="","",ROUND((AT763*Parámetros!$G$85),2))</f>
        <v/>
      </c>
      <c r="AX763" s="66" t="str">
        <f>+IF($W763="","",ROUND((AT763*(Parámetros!$G$86)),2))</f>
        <v/>
      </c>
      <c r="AY763" s="66" t="str">
        <f t="shared" si="1056"/>
        <v/>
      </c>
      <c r="AZ763" t="str">
        <f t="shared" si="1098"/>
        <v/>
      </c>
      <c r="BA763" t="str">
        <f t="shared" si="1099"/>
        <v/>
      </c>
      <c r="BB763" s="118" t="str">
        <f t="shared" si="1100"/>
        <v/>
      </c>
      <c r="BC763" s="118" t="str">
        <f t="shared" si="1101"/>
        <v/>
      </c>
      <c r="BD763" s="119" t="str">
        <f>+IF(OR($W763="",BB763=0),"",ROUND((VLOOKUP(ROUNDDOWN($D763-1/frec,0),cob_adi,AO$40,FALSE)*(1+i/frec)^-0.5*(1+Parámetros!$D$103)*(1+rec_fracc)/frec),6))</f>
        <v/>
      </c>
      <c r="BE763" s="66" t="str">
        <f t="shared" si="1057"/>
        <v/>
      </c>
      <c r="BF763" s="119" t="str">
        <f t="shared" si="1058"/>
        <v/>
      </c>
      <c r="BG763" s="66" t="str">
        <f>+IF($W763="","",ROUND(IF($B763&gt;Parámetros!$D$107,'Tablas Servicio'!BE763+('Tablas Servicio'!BG762-'Tablas Servicio'!BE762),BE763/(1-IF(B763&lt;=10,Parámetros!$D$100,0))),2))</f>
        <v/>
      </c>
      <c r="BH763" s="66" t="str">
        <f t="shared" si="1059"/>
        <v/>
      </c>
      <c r="BI763" s="66" t="str">
        <f t="shared" si="1060"/>
        <v/>
      </c>
      <c r="BJ763" s="66" t="str">
        <f>+IF($W763="","",ROUND((BG763*Parámetros!$G$85),2))</f>
        <v/>
      </c>
      <c r="BK763" s="66" t="str">
        <f>+IF($W763="","",ROUND((BG763*(Parámetros!$G$86)),2))</f>
        <v/>
      </c>
      <c r="BL763" s="66" t="str">
        <f t="shared" si="1061"/>
        <v/>
      </c>
      <c r="BM763" t="str">
        <f t="shared" si="1102"/>
        <v/>
      </c>
      <c r="BN763" t="str">
        <f t="shared" si="1103"/>
        <v/>
      </c>
      <c r="BO763" s="118" t="str">
        <f t="shared" si="1104"/>
        <v/>
      </c>
      <c r="BP763" s="118" t="str">
        <f t="shared" si="1105"/>
        <v/>
      </c>
      <c r="BQ763" s="119" t="str">
        <f>+IF(OR($W763="",BO763=0),"",ROUND((VLOOKUP(ROUNDDOWN($D763-1/frec,0),cob_adi,BB$40,FALSE)*(1+i/frec)^-0.5*(1+Parámetros!$D$103)*(1+rec_fracc)/frec),6))</f>
        <v/>
      </c>
      <c r="BR763" s="66" t="str">
        <f t="shared" si="1062"/>
        <v/>
      </c>
      <c r="BS763" s="119" t="str">
        <f t="shared" si="1063"/>
        <v/>
      </c>
      <c r="BT763" s="66" t="str">
        <f>+IF($W763="","",ROUND(IF($B763&gt;Parámetros!$D$107,'Tablas Servicio'!BR763+('Tablas Servicio'!BT762-'Tablas Servicio'!BR762),BR763/(1-IF(B763&lt;=10,Parámetros!$D$100,0))),2))</f>
        <v/>
      </c>
      <c r="BU763" s="66" t="str">
        <f t="shared" si="1064"/>
        <v/>
      </c>
      <c r="BV763" s="66" t="str">
        <f t="shared" si="1064"/>
        <v/>
      </c>
      <c r="BW763" s="66" t="str">
        <f>+IF($W763="","",ROUND((BT763*Parámetros!$G$85),2))</f>
        <v/>
      </c>
      <c r="BX763" s="66" t="str">
        <f>+IF($W763="","",ROUND((BT763*(Parámetros!$G$86)),2))</f>
        <v/>
      </c>
      <c r="BY763" s="66" t="str">
        <f t="shared" si="1065"/>
        <v/>
      </c>
      <c r="BZ763" t="str">
        <f t="shared" si="1106"/>
        <v/>
      </c>
      <c r="CA763" t="str">
        <f t="shared" si="1107"/>
        <v/>
      </c>
      <c r="CB763" s="118" t="str">
        <f t="shared" si="1108"/>
        <v/>
      </c>
      <c r="CC763" s="118" t="str">
        <f t="shared" si="1109"/>
        <v/>
      </c>
      <c r="CD763" s="119" t="str">
        <f t="shared" si="1066"/>
        <v/>
      </c>
      <c r="CE763" s="66" t="str">
        <f>+IF($W763="","",ROUND((VLOOKUP(ROUNDDOWN($D763-1/frec,0),cob_adi,BO$40,FALSE)*(1+i/frec)^-0.5*(1+Parámetros!$D$103)*(1+rec_fracc)/frec*'TABLAS ADI'!$BC$17),2))</f>
        <v/>
      </c>
      <c r="CF763" s="119" t="str">
        <f t="shared" si="1067"/>
        <v/>
      </c>
      <c r="CG763" s="66" t="str">
        <f>+IF($W763="","",ROUND(IF($B763&gt;Parámetros!$D$107,'Tablas Servicio'!CE763+('Tablas Servicio'!CG762-'Tablas Servicio'!CE762),CE763/(1-IF(B763&lt;=10,Parámetros!$D$100,0))),2))</f>
        <v/>
      </c>
      <c r="CH763" s="66" t="str">
        <f t="shared" si="1068"/>
        <v/>
      </c>
      <c r="CI763" s="66" t="str">
        <f t="shared" si="1068"/>
        <v/>
      </c>
      <c r="CJ763" s="66" t="str">
        <f>+IF($W763="","",ROUND((CG763*Parámetros!$G$85),2))</f>
        <v/>
      </c>
      <c r="CK763" s="66" t="str">
        <f>+IF($W763="","",ROUND((CG763*(Parámetros!$G$86)),2))</f>
        <v/>
      </c>
      <c r="CL763" s="66" t="str">
        <f t="shared" si="1069"/>
        <v/>
      </c>
      <c r="CM763" t="str">
        <f t="shared" si="1110"/>
        <v/>
      </c>
      <c r="CN763" s="118" t="str">
        <f t="shared" si="1111"/>
        <v/>
      </c>
      <c r="CO763" s="118" t="str">
        <f t="shared" si="1112"/>
        <v/>
      </c>
      <c r="CP763" s="118" t="str">
        <f t="shared" si="1113"/>
        <v/>
      </c>
      <c r="CQ763" s="119" t="str">
        <f t="shared" si="1070"/>
        <v/>
      </c>
      <c r="CR763" s="66" t="str">
        <f>+IF($W763="","",ROUND((VLOOKUP(Parámetros!$F$51,'COBERTURAS ADICIONALES'!$S$4:$T$32,2,FALSE)*(1+i/frec)^-0.5*(1+Parámetros!$D$103)*(1+rec_fracc)/frec*$CO$42),2))</f>
        <v/>
      </c>
      <c r="CS763" s="119" t="str">
        <f t="shared" si="1071"/>
        <v/>
      </c>
      <c r="CT763" s="66" t="str">
        <f>+IF($W763="","",ROUND(IF($B763&gt;Parámetros!$D$107,'Tablas Servicio'!CR763+('Tablas Servicio'!CT762-'Tablas Servicio'!CR762),CR763/(1-IF(B763&lt;=10,Parámetros!$D$100,0))),2))</f>
        <v/>
      </c>
      <c r="CU763" s="66" t="str">
        <f t="shared" si="1072"/>
        <v/>
      </c>
      <c r="CV763" s="66" t="str">
        <f t="shared" si="1072"/>
        <v/>
      </c>
      <c r="CW763" s="66" t="str">
        <f>+IF($W763="","",ROUND((CT763*Parámetros!$G$85),2))</f>
        <v/>
      </c>
      <c r="CX763" s="66" t="str">
        <f>+IF($W763="","",ROUND((CT763*(Parámetros!$G$86)),2))</f>
        <v/>
      </c>
      <c r="CY763" s="66" t="str">
        <f t="shared" si="1073"/>
        <v/>
      </c>
      <c r="CZ763" t="str">
        <f t="shared" si="1114"/>
        <v/>
      </c>
      <c r="DA763" s="118" t="str">
        <f t="shared" si="1115"/>
        <v/>
      </c>
      <c r="DB763" s="118" t="str">
        <f t="shared" si="1116"/>
        <v/>
      </c>
      <c r="DC763" s="118" t="str">
        <f t="shared" si="1117"/>
        <v/>
      </c>
      <c r="DD763" s="121" t="str">
        <f>+IF(OR($W763="",DB763=0),"",ROUND((VLOOKUP(ROUNDDOWN($D763-1/frec,0),cob_adi,CO$40,FALSE)*(1+i/frec)^-0.5*(1+Parámetros!$D$103)*(1+rec_fracc)/frec),6))</f>
        <v/>
      </c>
      <c r="DE763" s="66" t="str">
        <f t="shared" si="1074"/>
        <v/>
      </c>
      <c r="DF763" s="119" t="str">
        <f t="shared" si="1075"/>
        <v/>
      </c>
      <c r="DG763" s="66" t="str">
        <f>+IF($W763="","",ROUND(IF($B763&gt;Parámetros!$D$107,'Tablas Servicio'!DE763+('Tablas Servicio'!DG762-'Tablas Servicio'!DE762),DE763/(1-IF(B763&lt;=10,Parámetros!$D$100,0))),2))</f>
        <v/>
      </c>
      <c r="DH763" s="66" t="str">
        <f t="shared" si="1076"/>
        <v/>
      </c>
      <c r="DI763" s="66" t="str">
        <f t="shared" si="1076"/>
        <v/>
      </c>
      <c r="DJ763" s="66" t="str">
        <f>+IF($W763="","",ROUND((DG763*Parámetros!$G$85),2))</f>
        <v/>
      </c>
      <c r="DK763" s="66" t="str">
        <f>+IF($W763="","",ROUND((DG763*(Parámetros!$G$86)),2))</f>
        <v/>
      </c>
      <c r="DL763" s="66" t="str">
        <f t="shared" si="1077"/>
        <v/>
      </c>
      <c r="DM763" t="str">
        <f t="shared" si="1118"/>
        <v/>
      </c>
      <c r="DN763" s="118" t="str">
        <f t="shared" si="1119"/>
        <v/>
      </c>
      <c r="DO763" s="118" t="str">
        <f t="shared" si="1120"/>
        <v/>
      </c>
      <c r="DP763" s="118" t="str">
        <f t="shared" si="1121"/>
        <v/>
      </c>
      <c r="DQ763" s="122" t="str">
        <f>+IF(OR($W763="",DO763=0),"",ROUND((VLOOKUP(ROUNDDOWN($D763-1/frec,0),cob_adi,DB$40,FALSE)*(1+i/frec)^-0.5*(1+Parámetros!$D$103)*(1+rec_fracc)/frec),6))</f>
        <v/>
      </c>
      <c r="DR763" s="66" t="str">
        <f t="shared" si="1078"/>
        <v/>
      </c>
      <c r="DS763" s="68" t="str">
        <f t="shared" si="1079"/>
        <v/>
      </c>
      <c r="DT763" s="66" t="str">
        <f>+IF($W763="","",ROUND(IF($B763&gt;Parámetros!$D$107,'Tablas Servicio'!DR763+('Tablas Servicio'!DT762-'Tablas Servicio'!DR762),DR763/(1-IF(B763&lt;=10,Parámetros!$D$100,0))),2))</f>
        <v/>
      </c>
      <c r="DU763" s="66" t="str">
        <f t="shared" si="1080"/>
        <v/>
      </c>
      <c r="DV763" s="66" t="str">
        <f t="shared" si="1080"/>
        <v/>
      </c>
      <c r="DW763" s="66" t="str">
        <f>+IF($W763="","",ROUND((DT763*Parámetros!$G$85),2))</f>
        <v/>
      </c>
      <c r="DX763" s="66" t="str">
        <f>+IF($W763="","",ROUND((DT763*(Parámetros!$G$86)),2))</f>
        <v/>
      </c>
      <c r="DY763" s="66" t="str">
        <f t="shared" si="1081"/>
        <v/>
      </c>
      <c r="DZ763" t="str">
        <f t="shared" ref="DZ763:EC778" si="1122">+IF($W763="","",DZ762)</f>
        <v/>
      </c>
      <c r="EA763" s="118" t="str">
        <f t="shared" si="1122"/>
        <v/>
      </c>
      <c r="EB763" s="118" t="str">
        <f>+IF($W763="","",ROUND(IF(Parámetros!$D$25='TABLAS MORT'!$V$33,EB762,Z763/2),0))</f>
        <v/>
      </c>
      <c r="EC763" s="118" t="str">
        <f t="shared" si="1122"/>
        <v/>
      </c>
      <c r="ED763" s="122" t="str">
        <f>+IF(OR($W763="",EB763=0),"",ROUND((VLOOKUP(ROUNDDOWN($D763-1/frec,0),cob_adi,DO$40,FALSE)*(1+i/frec)^-0.5*(1+Parámetros!$D$103)*(1+rec_fracc)/frec),6))</f>
        <v/>
      </c>
      <c r="EE763" s="66" t="str">
        <f t="shared" si="1083"/>
        <v/>
      </c>
      <c r="EF763" s="68" t="str">
        <f t="shared" si="1084"/>
        <v/>
      </c>
      <c r="EG763" s="66" t="str">
        <f>+IF($W763="","",ROUND(IF($B763&gt;Parámetros!$D$107,'Tablas Servicio'!EE763+('Tablas Servicio'!EG762-'Tablas Servicio'!EE762),EE763/(1-IF(B763&lt;=10,Parámetros!$D$100,0))),2))</f>
        <v/>
      </c>
      <c r="EH763" s="66" t="str">
        <f t="shared" si="1085"/>
        <v/>
      </c>
      <c r="EI763" s="66" t="str">
        <f t="shared" si="1085"/>
        <v/>
      </c>
      <c r="EJ763" s="66" t="str">
        <f>+IF($W763="","",ROUND((EG763*Parámetros!$G$85),2))</f>
        <v/>
      </c>
      <c r="EK763" s="66" t="str">
        <f>+IF($W763="","",ROUND((EG763*(Parámetros!$G$86)),2))</f>
        <v/>
      </c>
      <c r="EL763" s="66" t="str">
        <f t="shared" si="1086"/>
        <v/>
      </c>
    </row>
    <row r="764" spans="1:142" x14ac:dyDescent="0.25">
      <c r="A764" t="str">
        <f>+IF($C764="","",ROUND(VLOOKUP('Tablas Servicio'!B764,Parámetros!$H$100:$J$159,IF(Parámetros!$E$16="F",2,3),FALSE),2))</f>
        <v/>
      </c>
      <c r="B764" t="str">
        <f t="shared" si="1037"/>
        <v/>
      </c>
      <c r="C764" s="57" t="str">
        <f>+IF(D764="","",'Tablas Servicio'!C763+1)</f>
        <v/>
      </c>
      <c r="D764" s="56" t="str">
        <f>+IF(D763&lt;edadmaxtabla,D763+1/Parámetros!$E$25,"")</f>
        <v/>
      </c>
      <c r="E764" s="57" t="str">
        <f t="shared" si="1047"/>
        <v/>
      </c>
      <c r="F764" s="59" t="str">
        <f t="shared" si="1048"/>
        <v/>
      </c>
      <c r="G764" s="66" t="str">
        <f t="shared" si="1038"/>
        <v/>
      </c>
      <c r="H764" s="66" t="str">
        <f t="shared" si="1039"/>
        <v/>
      </c>
      <c r="I764" s="66" t="str">
        <f t="shared" si="1087"/>
        <v/>
      </c>
      <c r="J764" s="66" t="str">
        <f t="shared" si="1040"/>
        <v/>
      </c>
      <c r="K764" s="66" t="str">
        <f t="shared" si="1041"/>
        <v/>
      </c>
      <c r="L764" s="66" t="str">
        <f t="shared" si="1042"/>
        <v/>
      </c>
      <c r="M764" s="66" t="str">
        <f t="shared" si="1043"/>
        <v/>
      </c>
      <c r="N764" s="66" t="str">
        <f>+IF(C764="","",ROUND(Parámetros!$D$23,2))</f>
        <v/>
      </c>
      <c r="O764" s="66" t="str">
        <f t="shared" si="1044"/>
        <v/>
      </c>
      <c r="P764" s="66" t="str">
        <f>+IF($C764="","",ROUND(IF(B764&gt;Parámetros!$D$117,0,N764*Parámetros!$D$116-G764*Parámetros!$D$100),2))</f>
        <v/>
      </c>
      <c r="Q764" s="75" t="str">
        <f t="shared" si="1088"/>
        <v/>
      </c>
      <c r="R764" s="75" t="str">
        <f t="shared" si="1089"/>
        <v/>
      </c>
      <c r="S764" s="117" t="str">
        <f>+IF($C764="","",ROUND((S763+I764)*(1+Parámetros!$D$91),2))</f>
        <v/>
      </c>
      <c r="T764" s="117" t="str">
        <f>+IF($C764="","",ROUND(S764*VLOOKUP(B764,Parámetros!$C$30:$D$39,2,TRUE),2))</f>
        <v/>
      </c>
      <c r="U764" s="117" t="str">
        <f>+IF($C764="","",ROUND((U763+I764)*(1+Parámetros!$D$92),2))</f>
        <v/>
      </c>
      <c r="V764" s="117" t="str">
        <f>+IF($C764="","",ROUND(U764*VLOOKUP(B764,Parámetros!$C$30:$D$39,2,TRUE),2))</f>
        <v/>
      </c>
      <c r="W764" s="57" t="str">
        <f t="shared" si="1090"/>
        <v/>
      </c>
      <c r="X764" t="str">
        <f t="shared" si="1091"/>
        <v/>
      </c>
      <c r="Y764" t="str">
        <f t="shared" si="1092"/>
        <v/>
      </c>
      <c r="Z764" s="118" t="str">
        <f>+IF($W764="","",ROUND(IF(Parámetros!$D$25='TABLAS MORT'!$V$33,Z763,Parámetros!$D$21-'Tablas Servicio'!T763),0))</f>
        <v/>
      </c>
      <c r="AA764" s="118" t="str">
        <f t="shared" si="1093"/>
        <v/>
      </c>
      <c r="AB764" s="119" t="str">
        <f>+IF(W764="","",ROUND((VLOOKUP(ROUNDDOWN($D764-1/frec,0),qx_tabla,2,FALSE)*(1+i/frec)^-0.5*(1+Parámetros!$D$103)*(1+rec_fracc)/frec),6))</f>
        <v/>
      </c>
      <c r="AC764" s="66" t="str">
        <f t="shared" si="1049"/>
        <v/>
      </c>
      <c r="AD764" s="119" t="str">
        <f t="shared" si="1045"/>
        <v/>
      </c>
      <c r="AE764" s="66" t="str">
        <f>+IF($W764="","",ROUND(IF($B764&gt;Parámetros!$D$107,'Tablas Servicio'!AC764+('Tablas Servicio'!AG763-'Tablas Servicio'!AC763),AC764/(1-IF(B764&lt;=10,Parámetros!$D$104,Parámetros!$D$105))),2))</f>
        <v/>
      </c>
      <c r="AF764" s="66" t="str">
        <f>+IF($W764="","",ROUND(IF($B764&gt;Parámetros!$D$107,'Tablas Servicio'!AC764+('Tablas Servicio'!AG763-'Tablas Servicio'!AC763),(AC764+$A763/frec)/(1-IF(B764&lt;=Parámetros!$D$117,Parámetros!$D$100,0))),2))</f>
        <v/>
      </c>
      <c r="AG764" s="66" t="str">
        <f t="shared" si="1050"/>
        <v/>
      </c>
      <c r="AH764" s="66" t="str">
        <f t="shared" si="1051"/>
        <v/>
      </c>
      <c r="AI764" s="66" t="str">
        <f t="shared" si="1052"/>
        <v/>
      </c>
      <c r="AJ764" s="66" t="str">
        <f>+IF($W764="","",ROUND((AG764*Parámetros!$G$85),2))</f>
        <v/>
      </c>
      <c r="AK764" s="66" t="str">
        <f>+IF($W764="","",ROUND((AG764*(Parámetros!$G$86)),2))</f>
        <v/>
      </c>
      <c r="AL764" s="66" t="str">
        <f t="shared" si="1046"/>
        <v/>
      </c>
      <c r="AM764" t="str">
        <f t="shared" si="1094"/>
        <v/>
      </c>
      <c r="AN764" t="str">
        <f t="shared" si="1095"/>
        <v/>
      </c>
      <c r="AO764" s="118" t="str">
        <f t="shared" si="1096"/>
        <v/>
      </c>
      <c r="AP764" s="118" t="str">
        <f t="shared" si="1097"/>
        <v/>
      </c>
      <c r="AQ764" s="119" t="str">
        <f>+IF(OR($W764="",AO764=0),"",ROUND((VLOOKUP(ROUNDDOWN($D764-1/frec,0),cob_adi,Z$40,FALSE)*(1+i/frec)^-0.5*(1+Parámetros!$D$103)*(1+rec_fracc)/frec),6))</f>
        <v/>
      </c>
      <c r="AR764" s="66" t="str">
        <f t="shared" si="1053"/>
        <v/>
      </c>
      <c r="AS764" s="119" t="str">
        <f t="shared" si="1054"/>
        <v/>
      </c>
      <c r="AT764" s="66" t="str">
        <f>+IF($W764="","",ROUND(IF($B764&gt;Parámetros!$D$107,'Tablas Servicio'!AR764+('Tablas Servicio'!AT763-'Tablas Servicio'!AR763),AR764/(1-IF(B764&lt;=10,Parámetros!$D$100,0))),2))</f>
        <v/>
      </c>
      <c r="AU764" s="66" t="str">
        <f t="shared" si="1055"/>
        <v/>
      </c>
      <c r="AV764" s="66" t="str">
        <f t="shared" si="1055"/>
        <v/>
      </c>
      <c r="AW764" s="66" t="str">
        <f>+IF($W764="","",ROUND((AT764*Parámetros!$G$85),2))</f>
        <v/>
      </c>
      <c r="AX764" s="66" t="str">
        <f>+IF($W764="","",ROUND((AT764*(Parámetros!$G$86)),2))</f>
        <v/>
      </c>
      <c r="AY764" s="66" t="str">
        <f t="shared" si="1056"/>
        <v/>
      </c>
      <c r="AZ764" t="str">
        <f t="shared" si="1098"/>
        <v/>
      </c>
      <c r="BA764" t="str">
        <f t="shared" si="1099"/>
        <v/>
      </c>
      <c r="BB764" s="118" t="str">
        <f t="shared" si="1100"/>
        <v/>
      </c>
      <c r="BC764" s="118" t="str">
        <f t="shared" si="1101"/>
        <v/>
      </c>
      <c r="BD764" s="119" t="str">
        <f>+IF(OR($W764="",BB764=0),"",ROUND((VLOOKUP(ROUNDDOWN($D764-1/frec,0),cob_adi,AO$40,FALSE)*(1+i/frec)^-0.5*(1+Parámetros!$D$103)*(1+rec_fracc)/frec),6))</f>
        <v/>
      </c>
      <c r="BE764" s="66" t="str">
        <f t="shared" si="1057"/>
        <v/>
      </c>
      <c r="BF764" s="119" t="str">
        <f t="shared" si="1058"/>
        <v/>
      </c>
      <c r="BG764" s="66" t="str">
        <f>+IF($W764="","",ROUND(IF($B764&gt;Parámetros!$D$107,'Tablas Servicio'!BE764+('Tablas Servicio'!BG763-'Tablas Servicio'!BE763),BE764/(1-IF(B764&lt;=10,Parámetros!$D$100,0))),2))</f>
        <v/>
      </c>
      <c r="BH764" s="66" t="str">
        <f t="shared" si="1059"/>
        <v/>
      </c>
      <c r="BI764" s="66" t="str">
        <f t="shared" si="1060"/>
        <v/>
      </c>
      <c r="BJ764" s="66" t="str">
        <f>+IF($W764="","",ROUND((BG764*Parámetros!$G$85),2))</f>
        <v/>
      </c>
      <c r="BK764" s="66" t="str">
        <f>+IF($W764="","",ROUND((BG764*(Parámetros!$G$86)),2))</f>
        <v/>
      </c>
      <c r="BL764" s="66" t="str">
        <f t="shared" si="1061"/>
        <v/>
      </c>
      <c r="BM764" t="str">
        <f t="shared" si="1102"/>
        <v/>
      </c>
      <c r="BN764" t="str">
        <f t="shared" si="1103"/>
        <v/>
      </c>
      <c r="BO764" s="118" t="str">
        <f t="shared" si="1104"/>
        <v/>
      </c>
      <c r="BP764" s="118" t="str">
        <f t="shared" si="1105"/>
        <v/>
      </c>
      <c r="BQ764" s="119" t="str">
        <f>+IF(OR($W764="",BO764=0),"",ROUND((VLOOKUP(ROUNDDOWN($D764-1/frec,0),cob_adi,BB$40,FALSE)*(1+i/frec)^-0.5*(1+Parámetros!$D$103)*(1+rec_fracc)/frec),6))</f>
        <v/>
      </c>
      <c r="BR764" s="66" t="str">
        <f t="shared" si="1062"/>
        <v/>
      </c>
      <c r="BS764" s="119" t="str">
        <f t="shared" si="1063"/>
        <v/>
      </c>
      <c r="BT764" s="66" t="str">
        <f>+IF($W764="","",ROUND(IF($B764&gt;Parámetros!$D$107,'Tablas Servicio'!BR764+('Tablas Servicio'!BT763-'Tablas Servicio'!BR763),BR764/(1-IF(B764&lt;=10,Parámetros!$D$100,0))),2))</f>
        <v/>
      </c>
      <c r="BU764" s="66" t="str">
        <f t="shared" si="1064"/>
        <v/>
      </c>
      <c r="BV764" s="66" t="str">
        <f t="shared" si="1064"/>
        <v/>
      </c>
      <c r="BW764" s="66" t="str">
        <f>+IF($W764="","",ROUND((BT764*Parámetros!$G$85),2))</f>
        <v/>
      </c>
      <c r="BX764" s="66" t="str">
        <f>+IF($W764="","",ROUND((BT764*(Parámetros!$G$86)),2))</f>
        <v/>
      </c>
      <c r="BY764" s="66" t="str">
        <f t="shared" si="1065"/>
        <v/>
      </c>
      <c r="BZ764" t="str">
        <f t="shared" si="1106"/>
        <v/>
      </c>
      <c r="CA764" t="str">
        <f t="shared" si="1107"/>
        <v/>
      </c>
      <c r="CB764" s="118" t="str">
        <f t="shared" si="1108"/>
        <v/>
      </c>
      <c r="CC764" s="118" t="str">
        <f t="shared" si="1109"/>
        <v/>
      </c>
      <c r="CD764" s="119" t="str">
        <f t="shared" si="1066"/>
        <v/>
      </c>
      <c r="CE764" s="66" t="str">
        <f>+IF($W764="","",ROUND((VLOOKUP(ROUNDDOWN($D764-1/frec,0),cob_adi,BO$40,FALSE)*(1+i/frec)^-0.5*(1+Parámetros!$D$103)*(1+rec_fracc)/frec*'TABLAS ADI'!$BC$17),2))</f>
        <v/>
      </c>
      <c r="CF764" s="119" t="str">
        <f t="shared" si="1067"/>
        <v/>
      </c>
      <c r="CG764" s="66" t="str">
        <f>+IF($W764="","",ROUND(IF($B764&gt;Parámetros!$D$107,'Tablas Servicio'!CE764+('Tablas Servicio'!CG763-'Tablas Servicio'!CE763),CE764/(1-IF(B764&lt;=10,Parámetros!$D$100,0))),2))</f>
        <v/>
      </c>
      <c r="CH764" s="66" t="str">
        <f t="shared" si="1068"/>
        <v/>
      </c>
      <c r="CI764" s="66" t="str">
        <f t="shared" si="1068"/>
        <v/>
      </c>
      <c r="CJ764" s="66" t="str">
        <f>+IF($W764="","",ROUND((CG764*Parámetros!$G$85),2))</f>
        <v/>
      </c>
      <c r="CK764" s="66" t="str">
        <f>+IF($W764="","",ROUND((CG764*(Parámetros!$G$86)),2))</f>
        <v/>
      </c>
      <c r="CL764" s="66" t="str">
        <f t="shared" si="1069"/>
        <v/>
      </c>
      <c r="CM764" t="str">
        <f t="shared" si="1110"/>
        <v/>
      </c>
      <c r="CN764" s="118" t="str">
        <f t="shared" si="1111"/>
        <v/>
      </c>
      <c r="CO764" s="118" t="str">
        <f t="shared" si="1112"/>
        <v/>
      </c>
      <c r="CP764" s="118" t="str">
        <f t="shared" si="1113"/>
        <v/>
      </c>
      <c r="CQ764" s="119" t="str">
        <f t="shared" si="1070"/>
        <v/>
      </c>
      <c r="CR764" s="66" t="str">
        <f>+IF($W764="","",ROUND((VLOOKUP(Parámetros!$F$51,'COBERTURAS ADICIONALES'!$S$4:$T$32,2,FALSE)*(1+i/frec)^-0.5*(1+Parámetros!$D$103)*(1+rec_fracc)/frec*$CO$42),2))</f>
        <v/>
      </c>
      <c r="CS764" s="119" t="str">
        <f t="shared" si="1071"/>
        <v/>
      </c>
      <c r="CT764" s="66" t="str">
        <f>+IF($W764="","",ROUND(IF($B764&gt;Parámetros!$D$107,'Tablas Servicio'!CR764+('Tablas Servicio'!CT763-'Tablas Servicio'!CR763),CR764/(1-IF(B764&lt;=10,Parámetros!$D$100,0))),2))</f>
        <v/>
      </c>
      <c r="CU764" s="66" t="str">
        <f t="shared" si="1072"/>
        <v/>
      </c>
      <c r="CV764" s="66" t="str">
        <f t="shared" si="1072"/>
        <v/>
      </c>
      <c r="CW764" s="66" t="str">
        <f>+IF($W764="","",ROUND((CT764*Parámetros!$G$85),2))</f>
        <v/>
      </c>
      <c r="CX764" s="66" t="str">
        <f>+IF($W764="","",ROUND((CT764*(Parámetros!$G$86)),2))</f>
        <v/>
      </c>
      <c r="CY764" s="66" t="str">
        <f t="shared" si="1073"/>
        <v/>
      </c>
      <c r="CZ764" t="str">
        <f t="shared" si="1114"/>
        <v/>
      </c>
      <c r="DA764" s="118" t="str">
        <f t="shared" si="1115"/>
        <v/>
      </c>
      <c r="DB764" s="118" t="str">
        <f t="shared" si="1116"/>
        <v/>
      </c>
      <c r="DC764" s="118" t="str">
        <f t="shared" si="1117"/>
        <v/>
      </c>
      <c r="DD764" s="121" t="str">
        <f>+IF(OR($W764="",DB764=0),"",ROUND((VLOOKUP(ROUNDDOWN($D764-1/frec,0),cob_adi,CO$40,FALSE)*(1+i/frec)^-0.5*(1+Parámetros!$D$103)*(1+rec_fracc)/frec),6))</f>
        <v/>
      </c>
      <c r="DE764" s="66" t="str">
        <f t="shared" si="1074"/>
        <v/>
      </c>
      <c r="DF764" s="119" t="str">
        <f t="shared" si="1075"/>
        <v/>
      </c>
      <c r="DG764" s="66" t="str">
        <f>+IF($W764="","",ROUND(IF($B764&gt;Parámetros!$D$107,'Tablas Servicio'!DE764+('Tablas Servicio'!DG763-'Tablas Servicio'!DE763),DE764/(1-IF(B764&lt;=10,Parámetros!$D$100,0))),2))</f>
        <v/>
      </c>
      <c r="DH764" s="66" t="str">
        <f t="shared" si="1076"/>
        <v/>
      </c>
      <c r="DI764" s="66" t="str">
        <f t="shared" si="1076"/>
        <v/>
      </c>
      <c r="DJ764" s="66" t="str">
        <f>+IF($W764="","",ROUND((DG764*Parámetros!$G$85),2))</f>
        <v/>
      </c>
      <c r="DK764" s="66" t="str">
        <f>+IF($W764="","",ROUND((DG764*(Parámetros!$G$86)),2))</f>
        <v/>
      </c>
      <c r="DL764" s="66" t="str">
        <f t="shared" si="1077"/>
        <v/>
      </c>
      <c r="DM764" t="str">
        <f t="shared" si="1118"/>
        <v/>
      </c>
      <c r="DN764" s="118" t="str">
        <f t="shared" si="1119"/>
        <v/>
      </c>
      <c r="DO764" s="118" t="str">
        <f t="shared" si="1120"/>
        <v/>
      </c>
      <c r="DP764" s="118" t="str">
        <f t="shared" si="1121"/>
        <v/>
      </c>
      <c r="DQ764" s="122" t="str">
        <f>+IF(OR($W764="",DO764=0),"",ROUND((VLOOKUP(ROUNDDOWN($D764-1/frec,0),cob_adi,DB$40,FALSE)*(1+i/frec)^-0.5*(1+Parámetros!$D$103)*(1+rec_fracc)/frec),6))</f>
        <v/>
      </c>
      <c r="DR764" s="66" t="str">
        <f t="shared" si="1078"/>
        <v/>
      </c>
      <c r="DS764" s="68" t="str">
        <f t="shared" si="1079"/>
        <v/>
      </c>
      <c r="DT764" s="66" t="str">
        <f>+IF($W764="","",ROUND(IF($B764&gt;Parámetros!$D$107,'Tablas Servicio'!DR764+('Tablas Servicio'!DT763-'Tablas Servicio'!DR763),DR764/(1-IF(B764&lt;=10,Parámetros!$D$100,0))),2))</f>
        <v/>
      </c>
      <c r="DU764" s="66" t="str">
        <f t="shared" si="1080"/>
        <v/>
      </c>
      <c r="DV764" s="66" t="str">
        <f t="shared" si="1080"/>
        <v/>
      </c>
      <c r="DW764" s="66" t="str">
        <f>+IF($W764="","",ROUND((DT764*Parámetros!$G$85),2))</f>
        <v/>
      </c>
      <c r="DX764" s="66" t="str">
        <f>+IF($W764="","",ROUND((DT764*(Parámetros!$G$86)),2))</f>
        <v/>
      </c>
      <c r="DY764" s="66" t="str">
        <f t="shared" si="1081"/>
        <v/>
      </c>
      <c r="DZ764" t="str">
        <f t="shared" si="1122"/>
        <v/>
      </c>
      <c r="EA764" s="118" t="str">
        <f t="shared" si="1122"/>
        <v/>
      </c>
      <c r="EB764" s="118" t="str">
        <f>+IF($W764="","",ROUND(IF(Parámetros!$D$25='TABLAS MORT'!$V$33,EB763,Z764/2),0))</f>
        <v/>
      </c>
      <c r="EC764" s="118" t="str">
        <f t="shared" si="1122"/>
        <v/>
      </c>
      <c r="ED764" s="122" t="str">
        <f>+IF(OR($W764="",EB764=0),"",ROUND((VLOOKUP(ROUNDDOWN($D764-1/frec,0),cob_adi,DO$40,FALSE)*(1+i/frec)^-0.5*(1+Parámetros!$D$103)*(1+rec_fracc)/frec),6))</f>
        <v/>
      </c>
      <c r="EE764" s="66" t="str">
        <f t="shared" si="1083"/>
        <v/>
      </c>
      <c r="EF764" s="68" t="str">
        <f t="shared" si="1084"/>
        <v/>
      </c>
      <c r="EG764" s="66" t="str">
        <f>+IF($W764="","",ROUND(IF($B764&gt;Parámetros!$D$107,'Tablas Servicio'!EE764+('Tablas Servicio'!EG763-'Tablas Servicio'!EE763),EE764/(1-IF(B764&lt;=10,Parámetros!$D$100,0))),2))</f>
        <v/>
      </c>
      <c r="EH764" s="66" t="str">
        <f t="shared" si="1085"/>
        <v/>
      </c>
      <c r="EI764" s="66" t="str">
        <f t="shared" si="1085"/>
        <v/>
      </c>
      <c r="EJ764" s="66" t="str">
        <f>+IF($W764="","",ROUND((EG764*Parámetros!$G$85),2))</f>
        <v/>
      </c>
      <c r="EK764" s="66" t="str">
        <f>+IF($W764="","",ROUND((EG764*(Parámetros!$G$86)),2))</f>
        <v/>
      </c>
      <c r="EL764" s="66" t="str">
        <f t="shared" si="1086"/>
        <v/>
      </c>
    </row>
    <row r="765" spans="1:142" x14ac:dyDescent="0.25">
      <c r="A765" t="str">
        <f>+IF($C765="","",ROUND(VLOOKUP('Tablas Servicio'!B765,Parámetros!$H$100:$J$159,IF(Parámetros!$E$16="F",2,3),FALSE),2))</f>
        <v/>
      </c>
      <c r="B765" t="str">
        <f t="shared" si="1037"/>
        <v/>
      </c>
      <c r="C765" s="57" t="str">
        <f>+IF(D765="","",'Tablas Servicio'!C764+1)</f>
        <v/>
      </c>
      <c r="D765" s="56" t="str">
        <f>+IF(D764&lt;edadmaxtabla,D764+1/Parámetros!$E$25,"")</f>
        <v/>
      </c>
      <c r="E765" s="57" t="str">
        <f t="shared" si="1047"/>
        <v/>
      </c>
      <c r="F765" s="59" t="str">
        <f t="shared" si="1048"/>
        <v/>
      </c>
      <c r="G765" s="66" t="str">
        <f t="shared" si="1038"/>
        <v/>
      </c>
      <c r="H765" s="66" t="str">
        <f t="shared" si="1039"/>
        <v/>
      </c>
      <c r="I765" s="66" t="str">
        <f t="shared" si="1087"/>
        <v/>
      </c>
      <c r="J765" s="66" t="str">
        <f t="shared" si="1040"/>
        <v/>
      </c>
      <c r="K765" s="66" t="str">
        <f t="shared" si="1041"/>
        <v/>
      </c>
      <c r="L765" s="66" t="str">
        <f t="shared" si="1042"/>
        <v/>
      </c>
      <c r="M765" s="66" t="str">
        <f t="shared" si="1043"/>
        <v/>
      </c>
      <c r="N765" s="66" t="str">
        <f>+IF(C765="","",ROUND(Parámetros!$D$23,2))</f>
        <v/>
      </c>
      <c r="O765" s="66" t="str">
        <f t="shared" si="1044"/>
        <v/>
      </c>
      <c r="P765" s="66" t="str">
        <f>+IF($C765="","",ROUND(IF(B765&gt;Parámetros!$D$117,0,N765*Parámetros!$D$116-G765*Parámetros!$D$100),2))</f>
        <v/>
      </c>
      <c r="Q765" s="75" t="str">
        <f t="shared" si="1088"/>
        <v/>
      </c>
      <c r="R765" s="75" t="str">
        <f t="shared" si="1089"/>
        <v/>
      </c>
      <c r="S765" s="117" t="str">
        <f>+IF($C765="","",ROUND((S764+I765)*(1+Parámetros!$D$91),2))</f>
        <v/>
      </c>
      <c r="T765" s="117" t="str">
        <f>+IF($C765="","",ROUND(S765*VLOOKUP(B765,Parámetros!$C$30:$D$39,2,TRUE),2))</f>
        <v/>
      </c>
      <c r="U765" s="117" t="str">
        <f>+IF($C765="","",ROUND((U764+I765)*(1+Parámetros!$D$92),2))</f>
        <v/>
      </c>
      <c r="V765" s="117" t="str">
        <f>+IF($C765="","",ROUND(U765*VLOOKUP(B765,Parámetros!$C$30:$D$39,2,TRUE),2))</f>
        <v/>
      </c>
      <c r="W765" s="57" t="str">
        <f t="shared" si="1090"/>
        <v/>
      </c>
      <c r="X765" t="str">
        <f t="shared" si="1091"/>
        <v/>
      </c>
      <c r="Y765" t="str">
        <f t="shared" si="1092"/>
        <v/>
      </c>
      <c r="Z765" s="118" t="str">
        <f>+IF($W765="","",ROUND(IF(Parámetros!$D$25='TABLAS MORT'!$V$33,Z764,Parámetros!$D$21-'Tablas Servicio'!T764),0))</f>
        <v/>
      </c>
      <c r="AA765" s="118" t="str">
        <f t="shared" si="1093"/>
        <v/>
      </c>
      <c r="AB765" s="119" t="str">
        <f>+IF(W765="","",ROUND((VLOOKUP(ROUNDDOWN($D765-1/frec,0),qx_tabla,2,FALSE)*(1+i/frec)^-0.5*(1+Parámetros!$D$103)*(1+rec_fracc)/frec),6))</f>
        <v/>
      </c>
      <c r="AC765" s="66" t="str">
        <f t="shared" si="1049"/>
        <v/>
      </c>
      <c r="AD765" s="119" t="str">
        <f t="shared" si="1045"/>
        <v/>
      </c>
      <c r="AE765" s="66" t="str">
        <f>+IF($W765="","",ROUND(IF($B765&gt;Parámetros!$D$107,'Tablas Servicio'!AC765+('Tablas Servicio'!AG764-'Tablas Servicio'!AC764),AC765/(1-IF(B765&lt;=10,Parámetros!$D$104,Parámetros!$D$105))),2))</f>
        <v/>
      </c>
      <c r="AF765" s="66" t="str">
        <f>+IF($W765="","",ROUND(IF($B765&gt;Parámetros!$D$107,'Tablas Servicio'!AC765+('Tablas Servicio'!AG764-'Tablas Servicio'!AC764),(AC765+$A764/frec)/(1-IF(B765&lt;=Parámetros!$D$117,Parámetros!$D$100,0))),2))</f>
        <v/>
      </c>
      <c r="AG765" s="66" t="str">
        <f t="shared" si="1050"/>
        <v/>
      </c>
      <c r="AH765" s="66" t="str">
        <f t="shared" si="1051"/>
        <v/>
      </c>
      <c r="AI765" s="66" t="str">
        <f t="shared" si="1052"/>
        <v/>
      </c>
      <c r="AJ765" s="66" t="str">
        <f>+IF($W765="","",ROUND((AG765*Parámetros!$G$85),2))</f>
        <v/>
      </c>
      <c r="AK765" s="66" t="str">
        <f>+IF($W765="","",ROUND((AG765*(Parámetros!$G$86)),2))</f>
        <v/>
      </c>
      <c r="AL765" s="66" t="str">
        <f t="shared" si="1046"/>
        <v/>
      </c>
      <c r="AM765" t="str">
        <f t="shared" si="1094"/>
        <v/>
      </c>
      <c r="AN765" t="str">
        <f t="shared" si="1095"/>
        <v/>
      </c>
      <c r="AO765" s="118" t="str">
        <f t="shared" si="1096"/>
        <v/>
      </c>
      <c r="AP765" s="118" t="str">
        <f t="shared" si="1097"/>
        <v/>
      </c>
      <c r="AQ765" s="119" t="str">
        <f>+IF(OR($W765="",AO765=0),"",ROUND((VLOOKUP(ROUNDDOWN($D765-1/frec,0),cob_adi,Z$40,FALSE)*(1+i/frec)^-0.5*(1+Parámetros!$D$103)*(1+rec_fracc)/frec),6))</f>
        <v/>
      </c>
      <c r="AR765" s="66" t="str">
        <f t="shared" si="1053"/>
        <v/>
      </c>
      <c r="AS765" s="119" t="str">
        <f t="shared" si="1054"/>
        <v/>
      </c>
      <c r="AT765" s="66" t="str">
        <f>+IF($W765="","",ROUND(IF($B765&gt;Parámetros!$D$107,'Tablas Servicio'!AR765+('Tablas Servicio'!AT764-'Tablas Servicio'!AR764),AR765/(1-IF(B765&lt;=10,Parámetros!$D$100,0))),2))</f>
        <v/>
      </c>
      <c r="AU765" s="66" t="str">
        <f t="shared" si="1055"/>
        <v/>
      </c>
      <c r="AV765" s="66" t="str">
        <f t="shared" si="1055"/>
        <v/>
      </c>
      <c r="AW765" s="66" t="str">
        <f>+IF($W765="","",ROUND((AT765*Parámetros!$G$85),2))</f>
        <v/>
      </c>
      <c r="AX765" s="66" t="str">
        <f>+IF($W765="","",ROUND((AT765*(Parámetros!$G$86)),2))</f>
        <v/>
      </c>
      <c r="AY765" s="66" t="str">
        <f t="shared" si="1056"/>
        <v/>
      </c>
      <c r="AZ765" t="str">
        <f t="shared" si="1098"/>
        <v/>
      </c>
      <c r="BA765" t="str">
        <f t="shared" si="1099"/>
        <v/>
      </c>
      <c r="BB765" s="118" t="str">
        <f t="shared" si="1100"/>
        <v/>
      </c>
      <c r="BC765" s="118" t="str">
        <f t="shared" si="1101"/>
        <v/>
      </c>
      <c r="BD765" s="119" t="str">
        <f>+IF(OR($W765="",BB765=0),"",ROUND((VLOOKUP(ROUNDDOWN($D765-1/frec,0),cob_adi,AO$40,FALSE)*(1+i/frec)^-0.5*(1+Parámetros!$D$103)*(1+rec_fracc)/frec),6))</f>
        <v/>
      </c>
      <c r="BE765" s="66" t="str">
        <f t="shared" si="1057"/>
        <v/>
      </c>
      <c r="BF765" s="119" t="str">
        <f t="shared" si="1058"/>
        <v/>
      </c>
      <c r="BG765" s="66" t="str">
        <f>+IF($W765="","",ROUND(IF($B765&gt;Parámetros!$D$107,'Tablas Servicio'!BE765+('Tablas Servicio'!BG764-'Tablas Servicio'!BE764),BE765/(1-IF(B765&lt;=10,Parámetros!$D$100,0))),2))</f>
        <v/>
      </c>
      <c r="BH765" s="66" t="str">
        <f t="shared" si="1059"/>
        <v/>
      </c>
      <c r="BI765" s="66" t="str">
        <f t="shared" si="1060"/>
        <v/>
      </c>
      <c r="BJ765" s="66" t="str">
        <f>+IF($W765="","",ROUND((BG765*Parámetros!$G$85),2))</f>
        <v/>
      </c>
      <c r="BK765" s="66" t="str">
        <f>+IF($W765="","",ROUND((BG765*(Parámetros!$G$86)),2))</f>
        <v/>
      </c>
      <c r="BL765" s="66" t="str">
        <f t="shared" si="1061"/>
        <v/>
      </c>
      <c r="BM765" t="str">
        <f t="shared" si="1102"/>
        <v/>
      </c>
      <c r="BN765" t="str">
        <f t="shared" si="1103"/>
        <v/>
      </c>
      <c r="BO765" s="118" t="str">
        <f t="shared" si="1104"/>
        <v/>
      </c>
      <c r="BP765" s="118" t="str">
        <f t="shared" si="1105"/>
        <v/>
      </c>
      <c r="BQ765" s="119" t="str">
        <f>+IF(OR($W765="",BO765=0),"",ROUND((VLOOKUP(ROUNDDOWN($D765-1/frec,0),cob_adi,BB$40,FALSE)*(1+i/frec)^-0.5*(1+Parámetros!$D$103)*(1+rec_fracc)/frec),6))</f>
        <v/>
      </c>
      <c r="BR765" s="66" t="str">
        <f t="shared" si="1062"/>
        <v/>
      </c>
      <c r="BS765" s="119" t="str">
        <f t="shared" si="1063"/>
        <v/>
      </c>
      <c r="BT765" s="66" t="str">
        <f>+IF($W765="","",ROUND(IF($B765&gt;Parámetros!$D$107,'Tablas Servicio'!BR765+('Tablas Servicio'!BT764-'Tablas Servicio'!BR764),BR765/(1-IF(B765&lt;=10,Parámetros!$D$100,0))),2))</f>
        <v/>
      </c>
      <c r="BU765" s="66" t="str">
        <f t="shared" si="1064"/>
        <v/>
      </c>
      <c r="BV765" s="66" t="str">
        <f t="shared" si="1064"/>
        <v/>
      </c>
      <c r="BW765" s="66" t="str">
        <f>+IF($W765="","",ROUND((BT765*Parámetros!$G$85),2))</f>
        <v/>
      </c>
      <c r="BX765" s="66" t="str">
        <f>+IF($W765="","",ROUND((BT765*(Parámetros!$G$86)),2))</f>
        <v/>
      </c>
      <c r="BY765" s="66" t="str">
        <f t="shared" si="1065"/>
        <v/>
      </c>
      <c r="BZ765" t="str">
        <f t="shared" si="1106"/>
        <v/>
      </c>
      <c r="CA765" t="str">
        <f t="shared" si="1107"/>
        <v/>
      </c>
      <c r="CB765" s="118" t="str">
        <f t="shared" si="1108"/>
        <v/>
      </c>
      <c r="CC765" s="118" t="str">
        <f t="shared" si="1109"/>
        <v/>
      </c>
      <c r="CD765" s="119" t="str">
        <f t="shared" si="1066"/>
        <v/>
      </c>
      <c r="CE765" s="66" t="str">
        <f>+IF($W765="","",ROUND((VLOOKUP(ROUNDDOWN($D765-1/frec,0),cob_adi,BO$40,FALSE)*(1+i/frec)^-0.5*(1+Parámetros!$D$103)*(1+rec_fracc)/frec*'TABLAS ADI'!$BC$17),2))</f>
        <v/>
      </c>
      <c r="CF765" s="119" t="str">
        <f t="shared" si="1067"/>
        <v/>
      </c>
      <c r="CG765" s="66" t="str">
        <f>+IF($W765="","",ROUND(IF($B765&gt;Parámetros!$D$107,'Tablas Servicio'!CE765+('Tablas Servicio'!CG764-'Tablas Servicio'!CE764),CE765/(1-IF(B765&lt;=10,Parámetros!$D$100,0))),2))</f>
        <v/>
      </c>
      <c r="CH765" s="66" t="str">
        <f t="shared" si="1068"/>
        <v/>
      </c>
      <c r="CI765" s="66" t="str">
        <f t="shared" si="1068"/>
        <v/>
      </c>
      <c r="CJ765" s="66" t="str">
        <f>+IF($W765="","",ROUND((CG765*Parámetros!$G$85),2))</f>
        <v/>
      </c>
      <c r="CK765" s="66" t="str">
        <f>+IF($W765="","",ROUND((CG765*(Parámetros!$G$86)),2))</f>
        <v/>
      </c>
      <c r="CL765" s="66" t="str">
        <f t="shared" si="1069"/>
        <v/>
      </c>
      <c r="CM765" t="str">
        <f t="shared" si="1110"/>
        <v/>
      </c>
      <c r="CN765" s="118" t="str">
        <f t="shared" si="1111"/>
        <v/>
      </c>
      <c r="CO765" s="118" t="str">
        <f t="shared" si="1112"/>
        <v/>
      </c>
      <c r="CP765" s="118" t="str">
        <f t="shared" si="1113"/>
        <v/>
      </c>
      <c r="CQ765" s="119" t="str">
        <f t="shared" si="1070"/>
        <v/>
      </c>
      <c r="CR765" s="66" t="str">
        <f>+IF($W765="","",ROUND((VLOOKUP(Parámetros!$F$51,'COBERTURAS ADICIONALES'!$S$4:$T$32,2,FALSE)*(1+i/frec)^-0.5*(1+Parámetros!$D$103)*(1+rec_fracc)/frec*$CO$42),2))</f>
        <v/>
      </c>
      <c r="CS765" s="119" t="str">
        <f t="shared" si="1071"/>
        <v/>
      </c>
      <c r="CT765" s="66" t="str">
        <f>+IF($W765="","",ROUND(IF($B765&gt;Parámetros!$D$107,'Tablas Servicio'!CR765+('Tablas Servicio'!CT764-'Tablas Servicio'!CR764),CR765/(1-IF(B765&lt;=10,Parámetros!$D$100,0))),2))</f>
        <v/>
      </c>
      <c r="CU765" s="66" t="str">
        <f t="shared" si="1072"/>
        <v/>
      </c>
      <c r="CV765" s="66" t="str">
        <f t="shared" si="1072"/>
        <v/>
      </c>
      <c r="CW765" s="66" t="str">
        <f>+IF($W765="","",ROUND((CT765*Parámetros!$G$85),2))</f>
        <v/>
      </c>
      <c r="CX765" s="66" t="str">
        <f>+IF($W765="","",ROUND((CT765*(Parámetros!$G$86)),2))</f>
        <v/>
      </c>
      <c r="CY765" s="66" t="str">
        <f t="shared" si="1073"/>
        <v/>
      </c>
      <c r="CZ765" t="str">
        <f t="shared" si="1114"/>
        <v/>
      </c>
      <c r="DA765" s="118" t="str">
        <f t="shared" si="1115"/>
        <v/>
      </c>
      <c r="DB765" s="118" t="str">
        <f t="shared" si="1116"/>
        <v/>
      </c>
      <c r="DC765" s="118" t="str">
        <f t="shared" si="1117"/>
        <v/>
      </c>
      <c r="DD765" s="121" t="str">
        <f>+IF(OR($W765="",DB765=0),"",ROUND((VLOOKUP(ROUNDDOWN($D765-1/frec,0),cob_adi,CO$40,FALSE)*(1+i/frec)^-0.5*(1+Parámetros!$D$103)*(1+rec_fracc)/frec),6))</f>
        <v/>
      </c>
      <c r="DE765" s="66" t="str">
        <f t="shared" si="1074"/>
        <v/>
      </c>
      <c r="DF765" s="119" t="str">
        <f t="shared" si="1075"/>
        <v/>
      </c>
      <c r="DG765" s="66" t="str">
        <f>+IF($W765="","",ROUND(IF($B765&gt;Parámetros!$D$107,'Tablas Servicio'!DE765+('Tablas Servicio'!DG764-'Tablas Servicio'!DE764),DE765/(1-IF(B765&lt;=10,Parámetros!$D$100,0))),2))</f>
        <v/>
      </c>
      <c r="DH765" s="66" t="str">
        <f t="shared" si="1076"/>
        <v/>
      </c>
      <c r="DI765" s="66" t="str">
        <f t="shared" si="1076"/>
        <v/>
      </c>
      <c r="DJ765" s="66" t="str">
        <f>+IF($W765="","",ROUND((DG765*Parámetros!$G$85),2))</f>
        <v/>
      </c>
      <c r="DK765" s="66" t="str">
        <f>+IF($W765="","",ROUND((DG765*(Parámetros!$G$86)),2))</f>
        <v/>
      </c>
      <c r="DL765" s="66" t="str">
        <f t="shared" si="1077"/>
        <v/>
      </c>
      <c r="DM765" t="str">
        <f t="shared" si="1118"/>
        <v/>
      </c>
      <c r="DN765" s="118" t="str">
        <f t="shared" si="1119"/>
        <v/>
      </c>
      <c r="DO765" s="118" t="str">
        <f t="shared" si="1120"/>
        <v/>
      </c>
      <c r="DP765" s="118" t="str">
        <f t="shared" si="1121"/>
        <v/>
      </c>
      <c r="DQ765" s="122" t="str">
        <f>+IF(OR($W765="",DO765=0),"",ROUND((VLOOKUP(ROUNDDOWN($D765-1/frec,0),cob_adi,DB$40,FALSE)*(1+i/frec)^-0.5*(1+Parámetros!$D$103)*(1+rec_fracc)/frec),6))</f>
        <v/>
      </c>
      <c r="DR765" s="66" t="str">
        <f t="shared" si="1078"/>
        <v/>
      </c>
      <c r="DS765" s="68" t="str">
        <f t="shared" si="1079"/>
        <v/>
      </c>
      <c r="DT765" s="66" t="str">
        <f>+IF($W765="","",ROUND(IF($B765&gt;Parámetros!$D$107,'Tablas Servicio'!DR765+('Tablas Servicio'!DT764-'Tablas Servicio'!DR764),DR765/(1-IF(B765&lt;=10,Parámetros!$D$100,0))),2))</f>
        <v/>
      </c>
      <c r="DU765" s="66" t="str">
        <f t="shared" si="1080"/>
        <v/>
      </c>
      <c r="DV765" s="66" t="str">
        <f t="shared" si="1080"/>
        <v/>
      </c>
      <c r="DW765" s="66" t="str">
        <f>+IF($W765="","",ROUND((DT765*Parámetros!$G$85),2))</f>
        <v/>
      </c>
      <c r="DX765" s="66" t="str">
        <f>+IF($W765="","",ROUND((DT765*(Parámetros!$G$86)),2))</f>
        <v/>
      </c>
      <c r="DY765" s="66" t="str">
        <f t="shared" si="1081"/>
        <v/>
      </c>
      <c r="DZ765" t="str">
        <f t="shared" si="1122"/>
        <v/>
      </c>
      <c r="EA765" s="118" t="str">
        <f t="shared" si="1122"/>
        <v/>
      </c>
      <c r="EB765" s="118" t="str">
        <f>+IF($W765="","",ROUND(IF(Parámetros!$D$25='TABLAS MORT'!$V$33,EB764,Z765/2),0))</f>
        <v/>
      </c>
      <c r="EC765" s="118" t="str">
        <f t="shared" si="1122"/>
        <v/>
      </c>
      <c r="ED765" s="122" t="str">
        <f>+IF(OR($W765="",EB765=0),"",ROUND((VLOOKUP(ROUNDDOWN($D765-1/frec,0),cob_adi,DO$40,FALSE)*(1+i/frec)^-0.5*(1+Parámetros!$D$103)*(1+rec_fracc)/frec),6))</f>
        <v/>
      </c>
      <c r="EE765" s="66" t="str">
        <f t="shared" si="1083"/>
        <v/>
      </c>
      <c r="EF765" s="68" t="str">
        <f t="shared" si="1084"/>
        <v/>
      </c>
      <c r="EG765" s="66" t="str">
        <f>+IF($W765="","",ROUND(IF($B765&gt;Parámetros!$D$107,'Tablas Servicio'!EE765+('Tablas Servicio'!EG764-'Tablas Servicio'!EE764),EE765/(1-IF(B765&lt;=10,Parámetros!$D$100,0))),2))</f>
        <v/>
      </c>
      <c r="EH765" s="66" t="str">
        <f t="shared" si="1085"/>
        <v/>
      </c>
      <c r="EI765" s="66" t="str">
        <f t="shared" si="1085"/>
        <v/>
      </c>
      <c r="EJ765" s="66" t="str">
        <f>+IF($W765="","",ROUND((EG765*Parámetros!$G$85),2))</f>
        <v/>
      </c>
      <c r="EK765" s="66" t="str">
        <f>+IF($W765="","",ROUND((EG765*(Parámetros!$G$86)),2))</f>
        <v/>
      </c>
      <c r="EL765" s="66" t="str">
        <f t="shared" si="1086"/>
        <v/>
      </c>
    </row>
    <row r="766" spans="1:142" x14ac:dyDescent="0.25">
      <c r="A766" t="str">
        <f>+IF($C766="","",ROUND(VLOOKUP('Tablas Servicio'!B766,Parámetros!$H$100:$J$159,IF(Parámetros!$E$16="F",2,3),FALSE),2))</f>
        <v/>
      </c>
      <c r="B766" t="str">
        <f t="shared" si="1037"/>
        <v/>
      </c>
      <c r="C766" s="57" t="str">
        <f>+IF(D766="","",'Tablas Servicio'!C765+1)</f>
        <v/>
      </c>
      <c r="D766" s="56" t="str">
        <f>+IF(D765&lt;edadmaxtabla,D765+1/Parámetros!$E$25,"")</f>
        <v/>
      </c>
      <c r="E766" s="57" t="str">
        <f t="shared" si="1047"/>
        <v/>
      </c>
      <c r="F766" s="59" t="str">
        <f t="shared" si="1048"/>
        <v/>
      </c>
      <c r="G766" s="66" t="str">
        <f t="shared" si="1038"/>
        <v/>
      </c>
      <c r="H766" s="66" t="str">
        <f t="shared" si="1039"/>
        <v/>
      </c>
      <c r="I766" s="66" t="str">
        <f t="shared" si="1087"/>
        <v/>
      </c>
      <c r="J766" s="66" t="str">
        <f t="shared" si="1040"/>
        <v/>
      </c>
      <c r="K766" s="66" t="str">
        <f t="shared" si="1041"/>
        <v/>
      </c>
      <c r="L766" s="66" t="str">
        <f t="shared" si="1042"/>
        <v/>
      </c>
      <c r="M766" s="66" t="str">
        <f t="shared" si="1043"/>
        <v/>
      </c>
      <c r="N766" s="66" t="str">
        <f>+IF(C766="","",ROUND(Parámetros!$D$23,2))</f>
        <v/>
      </c>
      <c r="O766" s="66" t="str">
        <f t="shared" si="1044"/>
        <v/>
      </c>
      <c r="P766" s="66" t="str">
        <f>+IF($C766="","",ROUND(IF(B766&gt;Parámetros!$D$117,0,N766*Parámetros!$D$116-G766*Parámetros!$D$100),2))</f>
        <v/>
      </c>
      <c r="Q766" s="75" t="str">
        <f t="shared" si="1088"/>
        <v/>
      </c>
      <c r="R766" s="75" t="str">
        <f t="shared" si="1089"/>
        <v/>
      </c>
      <c r="S766" s="117" t="str">
        <f>+IF($C766="","",ROUND((S765+I766)*(1+Parámetros!$D$91),2))</f>
        <v/>
      </c>
      <c r="T766" s="117" t="str">
        <f>+IF($C766="","",ROUND(S766*VLOOKUP(B766,Parámetros!$C$30:$D$39,2,TRUE),2))</f>
        <v/>
      </c>
      <c r="U766" s="117" t="str">
        <f>+IF($C766="","",ROUND((U765+I766)*(1+Parámetros!$D$92),2))</f>
        <v/>
      </c>
      <c r="V766" s="117" t="str">
        <f>+IF($C766="","",ROUND(U766*VLOOKUP(B766,Parámetros!$C$30:$D$39,2,TRUE),2))</f>
        <v/>
      </c>
      <c r="W766" s="57" t="str">
        <f t="shared" si="1090"/>
        <v/>
      </c>
      <c r="X766" t="str">
        <f t="shared" si="1091"/>
        <v/>
      </c>
      <c r="Y766" t="str">
        <f t="shared" si="1092"/>
        <v/>
      </c>
      <c r="Z766" s="118" t="str">
        <f>+IF($W766="","",ROUND(IF(Parámetros!$D$25='TABLAS MORT'!$V$33,Z765,Parámetros!$D$21-'Tablas Servicio'!T765),0))</f>
        <v/>
      </c>
      <c r="AA766" s="118" t="str">
        <f t="shared" si="1093"/>
        <v/>
      </c>
      <c r="AB766" s="119" t="str">
        <f>+IF(W766="","",ROUND((VLOOKUP(ROUNDDOWN($D766-1/frec,0),qx_tabla,2,FALSE)*(1+i/frec)^-0.5*(1+Parámetros!$D$103)*(1+rec_fracc)/frec),6))</f>
        <v/>
      </c>
      <c r="AC766" s="66" t="str">
        <f t="shared" si="1049"/>
        <v/>
      </c>
      <c r="AD766" s="119" t="str">
        <f t="shared" si="1045"/>
        <v/>
      </c>
      <c r="AE766" s="66" t="str">
        <f>+IF($W766="","",ROUND(IF($B766&gt;Parámetros!$D$107,'Tablas Servicio'!AC766+('Tablas Servicio'!AG765-'Tablas Servicio'!AC765),AC766/(1-IF(B766&lt;=10,Parámetros!$D$104,Parámetros!$D$105))),2))</f>
        <v/>
      </c>
      <c r="AF766" s="66" t="str">
        <f>+IF($W766="","",ROUND(IF($B766&gt;Parámetros!$D$107,'Tablas Servicio'!AC766+('Tablas Servicio'!AG765-'Tablas Servicio'!AC765),(AC766+$A765/frec)/(1-IF(B766&lt;=Parámetros!$D$117,Parámetros!$D$100,0))),2))</f>
        <v/>
      </c>
      <c r="AG766" s="66" t="str">
        <f t="shared" si="1050"/>
        <v/>
      </c>
      <c r="AH766" s="66" t="str">
        <f t="shared" si="1051"/>
        <v/>
      </c>
      <c r="AI766" s="66" t="str">
        <f t="shared" si="1052"/>
        <v/>
      </c>
      <c r="AJ766" s="66" t="str">
        <f>+IF($W766="","",ROUND((AG766*Parámetros!$G$85),2))</f>
        <v/>
      </c>
      <c r="AK766" s="66" t="str">
        <f>+IF($W766="","",ROUND((AG766*(Parámetros!$G$86)),2))</f>
        <v/>
      </c>
      <c r="AL766" s="66" t="str">
        <f t="shared" si="1046"/>
        <v/>
      </c>
      <c r="AM766" t="str">
        <f t="shared" si="1094"/>
        <v/>
      </c>
      <c r="AN766" t="str">
        <f t="shared" si="1095"/>
        <v/>
      </c>
      <c r="AO766" s="118" t="str">
        <f t="shared" si="1096"/>
        <v/>
      </c>
      <c r="AP766" s="118" t="str">
        <f t="shared" si="1097"/>
        <v/>
      </c>
      <c r="AQ766" s="119" t="str">
        <f>+IF(OR($W766="",AO766=0),"",ROUND((VLOOKUP(ROUNDDOWN($D766-1/frec,0),cob_adi,Z$40,FALSE)*(1+i/frec)^-0.5*(1+Parámetros!$D$103)*(1+rec_fracc)/frec),6))</f>
        <v/>
      </c>
      <c r="AR766" s="66" t="str">
        <f t="shared" si="1053"/>
        <v/>
      </c>
      <c r="AS766" s="119" t="str">
        <f t="shared" si="1054"/>
        <v/>
      </c>
      <c r="AT766" s="66" t="str">
        <f>+IF($W766="","",ROUND(IF($B766&gt;Parámetros!$D$107,'Tablas Servicio'!AR766+('Tablas Servicio'!AT765-'Tablas Servicio'!AR765),AR766/(1-IF(B766&lt;=10,Parámetros!$D$100,0))),2))</f>
        <v/>
      </c>
      <c r="AU766" s="66" t="str">
        <f t="shared" si="1055"/>
        <v/>
      </c>
      <c r="AV766" s="66" t="str">
        <f t="shared" si="1055"/>
        <v/>
      </c>
      <c r="AW766" s="66" t="str">
        <f>+IF($W766="","",ROUND((AT766*Parámetros!$G$85),2))</f>
        <v/>
      </c>
      <c r="AX766" s="66" t="str">
        <f>+IF($W766="","",ROUND((AT766*(Parámetros!$G$86)),2))</f>
        <v/>
      </c>
      <c r="AY766" s="66" t="str">
        <f t="shared" si="1056"/>
        <v/>
      </c>
      <c r="AZ766" t="str">
        <f t="shared" si="1098"/>
        <v/>
      </c>
      <c r="BA766" t="str">
        <f t="shared" si="1099"/>
        <v/>
      </c>
      <c r="BB766" s="118" t="str">
        <f t="shared" si="1100"/>
        <v/>
      </c>
      <c r="BC766" s="118" t="str">
        <f t="shared" si="1101"/>
        <v/>
      </c>
      <c r="BD766" s="119" t="str">
        <f>+IF(OR($W766="",BB766=0),"",ROUND((VLOOKUP(ROUNDDOWN($D766-1/frec,0),cob_adi,AO$40,FALSE)*(1+i/frec)^-0.5*(1+Parámetros!$D$103)*(1+rec_fracc)/frec),6))</f>
        <v/>
      </c>
      <c r="BE766" s="66" t="str">
        <f t="shared" si="1057"/>
        <v/>
      </c>
      <c r="BF766" s="119" t="str">
        <f t="shared" si="1058"/>
        <v/>
      </c>
      <c r="BG766" s="66" t="str">
        <f>+IF($W766="","",ROUND(IF($B766&gt;Parámetros!$D$107,'Tablas Servicio'!BE766+('Tablas Servicio'!BG765-'Tablas Servicio'!BE765),BE766/(1-IF(B766&lt;=10,Parámetros!$D$100,0))),2))</f>
        <v/>
      </c>
      <c r="BH766" s="66" t="str">
        <f t="shared" si="1059"/>
        <v/>
      </c>
      <c r="BI766" s="66" t="str">
        <f t="shared" si="1060"/>
        <v/>
      </c>
      <c r="BJ766" s="66" t="str">
        <f>+IF($W766="","",ROUND((BG766*Parámetros!$G$85),2))</f>
        <v/>
      </c>
      <c r="BK766" s="66" t="str">
        <f>+IF($W766="","",ROUND((BG766*(Parámetros!$G$86)),2))</f>
        <v/>
      </c>
      <c r="BL766" s="66" t="str">
        <f t="shared" si="1061"/>
        <v/>
      </c>
      <c r="BM766" t="str">
        <f t="shared" si="1102"/>
        <v/>
      </c>
      <c r="BN766" t="str">
        <f t="shared" si="1103"/>
        <v/>
      </c>
      <c r="BO766" s="118" t="str">
        <f t="shared" si="1104"/>
        <v/>
      </c>
      <c r="BP766" s="118" t="str">
        <f t="shared" si="1105"/>
        <v/>
      </c>
      <c r="BQ766" s="119" t="str">
        <f>+IF(OR($W766="",BO766=0),"",ROUND((VLOOKUP(ROUNDDOWN($D766-1/frec,0),cob_adi,BB$40,FALSE)*(1+i/frec)^-0.5*(1+Parámetros!$D$103)*(1+rec_fracc)/frec),6))</f>
        <v/>
      </c>
      <c r="BR766" s="66" t="str">
        <f t="shared" si="1062"/>
        <v/>
      </c>
      <c r="BS766" s="119" t="str">
        <f t="shared" si="1063"/>
        <v/>
      </c>
      <c r="BT766" s="66" t="str">
        <f>+IF($W766="","",ROUND(IF($B766&gt;Parámetros!$D$107,'Tablas Servicio'!BR766+('Tablas Servicio'!BT765-'Tablas Servicio'!BR765),BR766/(1-IF(B766&lt;=10,Parámetros!$D$100,0))),2))</f>
        <v/>
      </c>
      <c r="BU766" s="66" t="str">
        <f t="shared" si="1064"/>
        <v/>
      </c>
      <c r="BV766" s="66" t="str">
        <f t="shared" si="1064"/>
        <v/>
      </c>
      <c r="BW766" s="66" t="str">
        <f>+IF($W766="","",ROUND((BT766*Parámetros!$G$85),2))</f>
        <v/>
      </c>
      <c r="BX766" s="66" t="str">
        <f>+IF($W766="","",ROUND((BT766*(Parámetros!$G$86)),2))</f>
        <v/>
      </c>
      <c r="BY766" s="66" t="str">
        <f t="shared" si="1065"/>
        <v/>
      </c>
      <c r="BZ766" t="str">
        <f t="shared" si="1106"/>
        <v/>
      </c>
      <c r="CA766" t="str">
        <f t="shared" si="1107"/>
        <v/>
      </c>
      <c r="CB766" s="118" t="str">
        <f t="shared" si="1108"/>
        <v/>
      </c>
      <c r="CC766" s="118" t="str">
        <f t="shared" si="1109"/>
        <v/>
      </c>
      <c r="CD766" s="119" t="str">
        <f t="shared" si="1066"/>
        <v/>
      </c>
      <c r="CE766" s="66" t="str">
        <f>+IF($W766="","",ROUND((VLOOKUP(ROUNDDOWN($D766-1/frec,0),cob_adi,BO$40,FALSE)*(1+i/frec)^-0.5*(1+Parámetros!$D$103)*(1+rec_fracc)/frec*'TABLAS ADI'!$BC$17),2))</f>
        <v/>
      </c>
      <c r="CF766" s="119" t="str">
        <f t="shared" si="1067"/>
        <v/>
      </c>
      <c r="CG766" s="66" t="str">
        <f>+IF($W766="","",ROUND(IF($B766&gt;Parámetros!$D$107,'Tablas Servicio'!CE766+('Tablas Servicio'!CG765-'Tablas Servicio'!CE765),CE766/(1-IF(B766&lt;=10,Parámetros!$D$100,0))),2))</f>
        <v/>
      </c>
      <c r="CH766" s="66" t="str">
        <f t="shared" si="1068"/>
        <v/>
      </c>
      <c r="CI766" s="66" t="str">
        <f t="shared" si="1068"/>
        <v/>
      </c>
      <c r="CJ766" s="66" t="str">
        <f>+IF($W766="","",ROUND((CG766*Parámetros!$G$85),2))</f>
        <v/>
      </c>
      <c r="CK766" s="66" t="str">
        <f>+IF($W766="","",ROUND((CG766*(Parámetros!$G$86)),2))</f>
        <v/>
      </c>
      <c r="CL766" s="66" t="str">
        <f t="shared" si="1069"/>
        <v/>
      </c>
      <c r="CM766" t="str">
        <f t="shared" si="1110"/>
        <v/>
      </c>
      <c r="CN766" s="118" t="str">
        <f t="shared" si="1111"/>
        <v/>
      </c>
      <c r="CO766" s="118" t="str">
        <f t="shared" si="1112"/>
        <v/>
      </c>
      <c r="CP766" s="118" t="str">
        <f t="shared" si="1113"/>
        <v/>
      </c>
      <c r="CQ766" s="119" t="str">
        <f t="shared" si="1070"/>
        <v/>
      </c>
      <c r="CR766" s="66" t="str">
        <f>+IF($W766="","",ROUND((VLOOKUP(Parámetros!$F$51,'COBERTURAS ADICIONALES'!$S$4:$T$32,2,FALSE)*(1+i/frec)^-0.5*(1+Parámetros!$D$103)*(1+rec_fracc)/frec*$CO$42),2))</f>
        <v/>
      </c>
      <c r="CS766" s="119" t="str">
        <f t="shared" si="1071"/>
        <v/>
      </c>
      <c r="CT766" s="66" t="str">
        <f>+IF($W766="","",ROUND(IF($B766&gt;Parámetros!$D$107,'Tablas Servicio'!CR766+('Tablas Servicio'!CT765-'Tablas Servicio'!CR765),CR766/(1-IF(B766&lt;=10,Parámetros!$D$100,0))),2))</f>
        <v/>
      </c>
      <c r="CU766" s="66" t="str">
        <f t="shared" si="1072"/>
        <v/>
      </c>
      <c r="CV766" s="66" t="str">
        <f t="shared" si="1072"/>
        <v/>
      </c>
      <c r="CW766" s="66" t="str">
        <f>+IF($W766="","",ROUND((CT766*Parámetros!$G$85),2))</f>
        <v/>
      </c>
      <c r="CX766" s="66" t="str">
        <f>+IF($W766="","",ROUND((CT766*(Parámetros!$G$86)),2))</f>
        <v/>
      </c>
      <c r="CY766" s="66" t="str">
        <f t="shared" si="1073"/>
        <v/>
      </c>
      <c r="CZ766" t="str">
        <f t="shared" si="1114"/>
        <v/>
      </c>
      <c r="DA766" s="118" t="str">
        <f t="shared" si="1115"/>
        <v/>
      </c>
      <c r="DB766" s="118" t="str">
        <f t="shared" si="1116"/>
        <v/>
      </c>
      <c r="DC766" s="118" t="str">
        <f t="shared" si="1117"/>
        <v/>
      </c>
      <c r="DD766" s="121" t="str">
        <f>+IF(OR($W766="",DB766=0),"",ROUND((VLOOKUP(ROUNDDOWN($D766-1/frec,0),cob_adi,CO$40,FALSE)*(1+i/frec)^-0.5*(1+Parámetros!$D$103)*(1+rec_fracc)/frec),6))</f>
        <v/>
      </c>
      <c r="DE766" s="66" t="str">
        <f t="shared" si="1074"/>
        <v/>
      </c>
      <c r="DF766" s="119" t="str">
        <f t="shared" si="1075"/>
        <v/>
      </c>
      <c r="DG766" s="66" t="str">
        <f>+IF($W766="","",ROUND(IF($B766&gt;Parámetros!$D$107,'Tablas Servicio'!DE766+('Tablas Servicio'!DG765-'Tablas Servicio'!DE765),DE766/(1-IF(B766&lt;=10,Parámetros!$D$100,0))),2))</f>
        <v/>
      </c>
      <c r="DH766" s="66" t="str">
        <f t="shared" si="1076"/>
        <v/>
      </c>
      <c r="DI766" s="66" t="str">
        <f t="shared" si="1076"/>
        <v/>
      </c>
      <c r="DJ766" s="66" t="str">
        <f>+IF($W766="","",ROUND((DG766*Parámetros!$G$85),2))</f>
        <v/>
      </c>
      <c r="DK766" s="66" t="str">
        <f>+IF($W766="","",ROUND((DG766*(Parámetros!$G$86)),2))</f>
        <v/>
      </c>
      <c r="DL766" s="66" t="str">
        <f t="shared" si="1077"/>
        <v/>
      </c>
      <c r="DM766" t="str">
        <f t="shared" si="1118"/>
        <v/>
      </c>
      <c r="DN766" s="118" t="str">
        <f t="shared" si="1119"/>
        <v/>
      </c>
      <c r="DO766" s="118" t="str">
        <f t="shared" si="1120"/>
        <v/>
      </c>
      <c r="DP766" s="118" t="str">
        <f t="shared" si="1121"/>
        <v/>
      </c>
      <c r="DQ766" s="122" t="str">
        <f>+IF(OR($W766="",DO766=0),"",ROUND((VLOOKUP(ROUNDDOWN($D766-1/frec,0),cob_adi,DB$40,FALSE)*(1+i/frec)^-0.5*(1+Parámetros!$D$103)*(1+rec_fracc)/frec),6))</f>
        <v/>
      </c>
      <c r="DR766" s="66" t="str">
        <f t="shared" si="1078"/>
        <v/>
      </c>
      <c r="DS766" s="68" t="str">
        <f t="shared" si="1079"/>
        <v/>
      </c>
      <c r="DT766" s="66" t="str">
        <f>+IF($W766="","",ROUND(IF($B766&gt;Parámetros!$D$107,'Tablas Servicio'!DR766+('Tablas Servicio'!DT765-'Tablas Servicio'!DR765),DR766/(1-IF(B766&lt;=10,Parámetros!$D$100,0))),2))</f>
        <v/>
      </c>
      <c r="DU766" s="66" t="str">
        <f t="shared" si="1080"/>
        <v/>
      </c>
      <c r="DV766" s="66" t="str">
        <f t="shared" si="1080"/>
        <v/>
      </c>
      <c r="DW766" s="66" t="str">
        <f>+IF($W766="","",ROUND((DT766*Parámetros!$G$85),2))</f>
        <v/>
      </c>
      <c r="DX766" s="66" t="str">
        <f>+IF($W766="","",ROUND((DT766*(Parámetros!$G$86)),2))</f>
        <v/>
      </c>
      <c r="DY766" s="66" t="str">
        <f t="shared" si="1081"/>
        <v/>
      </c>
      <c r="DZ766" t="str">
        <f t="shared" si="1122"/>
        <v/>
      </c>
      <c r="EA766" s="118" t="str">
        <f t="shared" si="1122"/>
        <v/>
      </c>
      <c r="EB766" s="118" t="str">
        <f>+IF($W766="","",ROUND(IF(Parámetros!$D$25='TABLAS MORT'!$V$33,EB765,Z766/2),0))</f>
        <v/>
      </c>
      <c r="EC766" s="118" t="str">
        <f t="shared" si="1122"/>
        <v/>
      </c>
      <c r="ED766" s="122" t="str">
        <f>+IF(OR($W766="",EB766=0),"",ROUND((VLOOKUP(ROUNDDOWN($D766-1/frec,0),cob_adi,DO$40,FALSE)*(1+i/frec)^-0.5*(1+Parámetros!$D$103)*(1+rec_fracc)/frec),6))</f>
        <v/>
      </c>
      <c r="EE766" s="66" t="str">
        <f t="shared" si="1083"/>
        <v/>
      </c>
      <c r="EF766" s="68" t="str">
        <f t="shared" si="1084"/>
        <v/>
      </c>
      <c r="EG766" s="66" t="str">
        <f>+IF($W766="","",ROUND(IF($B766&gt;Parámetros!$D$107,'Tablas Servicio'!EE766+('Tablas Servicio'!EG765-'Tablas Servicio'!EE765),EE766/(1-IF(B766&lt;=10,Parámetros!$D$100,0))),2))</f>
        <v/>
      </c>
      <c r="EH766" s="66" t="str">
        <f t="shared" si="1085"/>
        <v/>
      </c>
      <c r="EI766" s="66" t="str">
        <f t="shared" si="1085"/>
        <v/>
      </c>
      <c r="EJ766" s="66" t="str">
        <f>+IF($W766="","",ROUND((EG766*Parámetros!$G$85),2))</f>
        <v/>
      </c>
      <c r="EK766" s="66" t="str">
        <f>+IF($W766="","",ROUND((EG766*(Parámetros!$G$86)),2))</f>
        <v/>
      </c>
      <c r="EL766" s="66" t="str">
        <f t="shared" si="1086"/>
        <v/>
      </c>
    </row>
    <row r="767" spans="1:142" x14ac:dyDescent="0.25">
      <c r="A767" t="str">
        <f>+IF($C767="","",ROUND(VLOOKUP('Tablas Servicio'!B767,Parámetros!$H$100:$J$159,IF(Parámetros!$E$16="F",2,3),FALSE),2))</f>
        <v/>
      </c>
      <c r="B767" t="str">
        <f t="shared" si="1037"/>
        <v/>
      </c>
      <c r="C767" s="57" t="str">
        <f>+IF(D767="","",'Tablas Servicio'!C766+1)</f>
        <v/>
      </c>
      <c r="D767" s="56" t="str">
        <f>+IF(D766&lt;edadmaxtabla,D766+1/Parámetros!$E$25,"")</f>
        <v/>
      </c>
      <c r="E767" s="57" t="str">
        <f t="shared" si="1047"/>
        <v/>
      </c>
      <c r="F767" s="59" t="str">
        <f t="shared" si="1048"/>
        <v/>
      </c>
      <c r="G767" s="66" t="str">
        <f t="shared" si="1038"/>
        <v/>
      </c>
      <c r="H767" s="66" t="str">
        <f t="shared" si="1039"/>
        <v/>
      </c>
      <c r="I767" s="66" t="str">
        <f t="shared" si="1087"/>
        <v/>
      </c>
      <c r="J767" s="66" t="str">
        <f t="shared" si="1040"/>
        <v/>
      </c>
      <c r="K767" s="66" t="str">
        <f t="shared" si="1041"/>
        <v/>
      </c>
      <c r="L767" s="66" t="str">
        <f t="shared" si="1042"/>
        <v/>
      </c>
      <c r="M767" s="66" t="str">
        <f t="shared" si="1043"/>
        <v/>
      </c>
      <c r="N767" s="66" t="str">
        <f>+IF(C767="","",ROUND(Parámetros!$D$23,2))</f>
        <v/>
      </c>
      <c r="O767" s="66" t="str">
        <f t="shared" si="1044"/>
        <v/>
      </c>
      <c r="P767" s="66" t="str">
        <f>+IF($C767="","",ROUND(IF(B767&gt;Parámetros!$D$117,0,N767*Parámetros!$D$116-G767*Parámetros!$D$100),2))</f>
        <v/>
      </c>
      <c r="Q767" s="75" t="str">
        <f t="shared" si="1088"/>
        <v/>
      </c>
      <c r="R767" s="75" t="str">
        <f t="shared" si="1089"/>
        <v/>
      </c>
      <c r="S767" s="117" t="str">
        <f>+IF($C767="","",ROUND((S766+I767)*(1+Parámetros!$D$91),2))</f>
        <v/>
      </c>
      <c r="T767" s="117" t="str">
        <f>+IF($C767="","",ROUND(S767*VLOOKUP(B767,Parámetros!$C$30:$D$39,2,TRUE),2))</f>
        <v/>
      </c>
      <c r="U767" s="117" t="str">
        <f>+IF($C767="","",ROUND((U766+I767)*(1+Parámetros!$D$92),2))</f>
        <v/>
      </c>
      <c r="V767" s="117" t="str">
        <f>+IF($C767="","",ROUND(U767*VLOOKUP(B767,Parámetros!$C$30:$D$39,2,TRUE),2))</f>
        <v/>
      </c>
      <c r="W767" s="57" t="str">
        <f t="shared" si="1090"/>
        <v/>
      </c>
      <c r="X767" t="str">
        <f t="shared" si="1091"/>
        <v/>
      </c>
      <c r="Y767" t="str">
        <f t="shared" si="1092"/>
        <v/>
      </c>
      <c r="Z767" s="118" t="str">
        <f>+IF($W767="","",ROUND(IF(Parámetros!$D$25='TABLAS MORT'!$V$33,Z766,Parámetros!$D$21-'Tablas Servicio'!T766),0))</f>
        <v/>
      </c>
      <c r="AA767" s="118" t="str">
        <f t="shared" si="1093"/>
        <v/>
      </c>
      <c r="AB767" s="119" t="str">
        <f>+IF(W767="","",ROUND((VLOOKUP(ROUNDDOWN($D767-1/frec,0),qx_tabla,2,FALSE)*(1+i/frec)^-0.5*(1+Parámetros!$D$103)*(1+rec_fracc)/frec),6))</f>
        <v/>
      </c>
      <c r="AC767" s="66" t="str">
        <f t="shared" si="1049"/>
        <v/>
      </c>
      <c r="AD767" s="119" t="str">
        <f t="shared" si="1045"/>
        <v/>
      </c>
      <c r="AE767" s="66" t="str">
        <f>+IF($W767="","",ROUND(IF($B767&gt;Parámetros!$D$107,'Tablas Servicio'!AC767+('Tablas Servicio'!AG766-'Tablas Servicio'!AC766),AC767/(1-IF(B767&lt;=10,Parámetros!$D$104,Parámetros!$D$105))),2))</f>
        <v/>
      </c>
      <c r="AF767" s="66" t="str">
        <f>+IF($W767="","",ROUND(IF($B767&gt;Parámetros!$D$107,'Tablas Servicio'!AC767+('Tablas Servicio'!AG766-'Tablas Servicio'!AC766),(AC767+$A766/frec)/(1-IF(B767&lt;=Parámetros!$D$117,Parámetros!$D$100,0))),2))</f>
        <v/>
      </c>
      <c r="AG767" s="66" t="str">
        <f t="shared" si="1050"/>
        <v/>
      </c>
      <c r="AH767" s="66" t="str">
        <f t="shared" si="1051"/>
        <v/>
      </c>
      <c r="AI767" s="66" t="str">
        <f t="shared" si="1052"/>
        <v/>
      </c>
      <c r="AJ767" s="66" t="str">
        <f>+IF($W767="","",ROUND((AG767*Parámetros!$G$85),2))</f>
        <v/>
      </c>
      <c r="AK767" s="66" t="str">
        <f>+IF($W767="","",ROUND((AG767*(Parámetros!$G$86)),2))</f>
        <v/>
      </c>
      <c r="AL767" s="66" t="str">
        <f t="shared" si="1046"/>
        <v/>
      </c>
      <c r="AM767" t="str">
        <f t="shared" si="1094"/>
        <v/>
      </c>
      <c r="AN767" t="str">
        <f t="shared" si="1095"/>
        <v/>
      </c>
      <c r="AO767" s="118" t="str">
        <f t="shared" si="1096"/>
        <v/>
      </c>
      <c r="AP767" s="118" t="str">
        <f t="shared" si="1097"/>
        <v/>
      </c>
      <c r="AQ767" s="119" t="str">
        <f>+IF(OR($W767="",AO767=0),"",ROUND((VLOOKUP(ROUNDDOWN($D767-1/frec,0),cob_adi,Z$40,FALSE)*(1+i/frec)^-0.5*(1+Parámetros!$D$103)*(1+rec_fracc)/frec),6))</f>
        <v/>
      </c>
      <c r="AR767" s="66" t="str">
        <f t="shared" si="1053"/>
        <v/>
      </c>
      <c r="AS767" s="119" t="str">
        <f t="shared" si="1054"/>
        <v/>
      </c>
      <c r="AT767" s="66" t="str">
        <f>+IF($W767="","",ROUND(IF($B767&gt;Parámetros!$D$107,'Tablas Servicio'!AR767+('Tablas Servicio'!AT766-'Tablas Servicio'!AR766),AR767/(1-IF(B767&lt;=10,Parámetros!$D$100,0))),2))</f>
        <v/>
      </c>
      <c r="AU767" s="66" t="str">
        <f t="shared" si="1055"/>
        <v/>
      </c>
      <c r="AV767" s="66" t="str">
        <f t="shared" si="1055"/>
        <v/>
      </c>
      <c r="AW767" s="66" t="str">
        <f>+IF($W767="","",ROUND((AT767*Parámetros!$G$85),2))</f>
        <v/>
      </c>
      <c r="AX767" s="66" t="str">
        <f>+IF($W767="","",ROUND((AT767*(Parámetros!$G$86)),2))</f>
        <v/>
      </c>
      <c r="AY767" s="66" t="str">
        <f t="shared" si="1056"/>
        <v/>
      </c>
      <c r="AZ767" t="str">
        <f t="shared" si="1098"/>
        <v/>
      </c>
      <c r="BA767" t="str">
        <f t="shared" si="1099"/>
        <v/>
      </c>
      <c r="BB767" s="118" t="str">
        <f t="shared" si="1100"/>
        <v/>
      </c>
      <c r="BC767" s="118" t="str">
        <f t="shared" si="1101"/>
        <v/>
      </c>
      <c r="BD767" s="119" t="str">
        <f>+IF(OR($W767="",BB767=0),"",ROUND((VLOOKUP(ROUNDDOWN($D767-1/frec,0),cob_adi,AO$40,FALSE)*(1+i/frec)^-0.5*(1+Parámetros!$D$103)*(1+rec_fracc)/frec),6))</f>
        <v/>
      </c>
      <c r="BE767" s="66" t="str">
        <f t="shared" si="1057"/>
        <v/>
      </c>
      <c r="BF767" s="119" t="str">
        <f t="shared" si="1058"/>
        <v/>
      </c>
      <c r="BG767" s="66" t="str">
        <f>+IF($W767="","",ROUND(IF($B767&gt;Parámetros!$D$107,'Tablas Servicio'!BE767+('Tablas Servicio'!BG766-'Tablas Servicio'!BE766),BE767/(1-IF(B767&lt;=10,Parámetros!$D$100,0))),2))</f>
        <v/>
      </c>
      <c r="BH767" s="66" t="str">
        <f t="shared" si="1059"/>
        <v/>
      </c>
      <c r="BI767" s="66" t="str">
        <f t="shared" si="1060"/>
        <v/>
      </c>
      <c r="BJ767" s="66" t="str">
        <f>+IF($W767="","",ROUND((BG767*Parámetros!$G$85),2))</f>
        <v/>
      </c>
      <c r="BK767" s="66" t="str">
        <f>+IF($W767="","",ROUND((BG767*(Parámetros!$G$86)),2))</f>
        <v/>
      </c>
      <c r="BL767" s="66" t="str">
        <f t="shared" si="1061"/>
        <v/>
      </c>
      <c r="BM767" t="str">
        <f t="shared" si="1102"/>
        <v/>
      </c>
      <c r="BN767" t="str">
        <f t="shared" si="1103"/>
        <v/>
      </c>
      <c r="BO767" s="118" t="str">
        <f t="shared" si="1104"/>
        <v/>
      </c>
      <c r="BP767" s="118" t="str">
        <f t="shared" si="1105"/>
        <v/>
      </c>
      <c r="BQ767" s="119" t="str">
        <f>+IF(OR($W767="",BO767=0),"",ROUND((VLOOKUP(ROUNDDOWN($D767-1/frec,0),cob_adi,BB$40,FALSE)*(1+i/frec)^-0.5*(1+Parámetros!$D$103)*(1+rec_fracc)/frec),6))</f>
        <v/>
      </c>
      <c r="BR767" s="66" t="str">
        <f t="shared" si="1062"/>
        <v/>
      </c>
      <c r="BS767" s="119" t="str">
        <f t="shared" si="1063"/>
        <v/>
      </c>
      <c r="BT767" s="66" t="str">
        <f>+IF($W767="","",ROUND(IF($B767&gt;Parámetros!$D$107,'Tablas Servicio'!BR767+('Tablas Servicio'!BT766-'Tablas Servicio'!BR766),BR767/(1-IF(B767&lt;=10,Parámetros!$D$100,0))),2))</f>
        <v/>
      </c>
      <c r="BU767" s="66" t="str">
        <f t="shared" si="1064"/>
        <v/>
      </c>
      <c r="BV767" s="66" t="str">
        <f t="shared" si="1064"/>
        <v/>
      </c>
      <c r="BW767" s="66" t="str">
        <f>+IF($W767="","",ROUND((BT767*Parámetros!$G$85),2))</f>
        <v/>
      </c>
      <c r="BX767" s="66" t="str">
        <f>+IF($W767="","",ROUND((BT767*(Parámetros!$G$86)),2))</f>
        <v/>
      </c>
      <c r="BY767" s="66" t="str">
        <f t="shared" si="1065"/>
        <v/>
      </c>
      <c r="BZ767" t="str">
        <f t="shared" si="1106"/>
        <v/>
      </c>
      <c r="CA767" t="str">
        <f t="shared" si="1107"/>
        <v/>
      </c>
      <c r="CB767" s="118" t="str">
        <f t="shared" si="1108"/>
        <v/>
      </c>
      <c r="CC767" s="118" t="str">
        <f t="shared" si="1109"/>
        <v/>
      </c>
      <c r="CD767" s="119" t="str">
        <f t="shared" si="1066"/>
        <v/>
      </c>
      <c r="CE767" s="66" t="str">
        <f>+IF($W767="","",ROUND((VLOOKUP(ROUNDDOWN($D767-1/frec,0),cob_adi,BO$40,FALSE)*(1+i/frec)^-0.5*(1+Parámetros!$D$103)*(1+rec_fracc)/frec*'TABLAS ADI'!$BC$17),2))</f>
        <v/>
      </c>
      <c r="CF767" s="119" t="str">
        <f t="shared" si="1067"/>
        <v/>
      </c>
      <c r="CG767" s="66" t="str">
        <f>+IF($W767="","",ROUND(IF($B767&gt;Parámetros!$D$107,'Tablas Servicio'!CE767+('Tablas Servicio'!CG766-'Tablas Servicio'!CE766),CE767/(1-IF(B767&lt;=10,Parámetros!$D$100,0))),2))</f>
        <v/>
      </c>
      <c r="CH767" s="66" t="str">
        <f t="shared" si="1068"/>
        <v/>
      </c>
      <c r="CI767" s="66" t="str">
        <f t="shared" si="1068"/>
        <v/>
      </c>
      <c r="CJ767" s="66" t="str">
        <f>+IF($W767="","",ROUND((CG767*Parámetros!$G$85),2))</f>
        <v/>
      </c>
      <c r="CK767" s="66" t="str">
        <f>+IF($W767="","",ROUND((CG767*(Parámetros!$G$86)),2))</f>
        <v/>
      </c>
      <c r="CL767" s="66" t="str">
        <f t="shared" si="1069"/>
        <v/>
      </c>
      <c r="CM767" t="str">
        <f t="shared" si="1110"/>
        <v/>
      </c>
      <c r="CN767" s="118" t="str">
        <f t="shared" si="1111"/>
        <v/>
      </c>
      <c r="CO767" s="118" t="str">
        <f t="shared" si="1112"/>
        <v/>
      </c>
      <c r="CP767" s="118" t="str">
        <f t="shared" si="1113"/>
        <v/>
      </c>
      <c r="CQ767" s="119" t="str">
        <f t="shared" si="1070"/>
        <v/>
      </c>
      <c r="CR767" s="66" t="str">
        <f>+IF($W767="","",ROUND((VLOOKUP(Parámetros!$F$51,'COBERTURAS ADICIONALES'!$S$4:$T$32,2,FALSE)*(1+i/frec)^-0.5*(1+Parámetros!$D$103)*(1+rec_fracc)/frec*$CO$42),2))</f>
        <v/>
      </c>
      <c r="CS767" s="119" t="str">
        <f t="shared" si="1071"/>
        <v/>
      </c>
      <c r="CT767" s="66" t="str">
        <f>+IF($W767="","",ROUND(IF($B767&gt;Parámetros!$D$107,'Tablas Servicio'!CR767+('Tablas Servicio'!CT766-'Tablas Servicio'!CR766),CR767/(1-IF(B767&lt;=10,Parámetros!$D$100,0))),2))</f>
        <v/>
      </c>
      <c r="CU767" s="66" t="str">
        <f t="shared" si="1072"/>
        <v/>
      </c>
      <c r="CV767" s="66" t="str">
        <f t="shared" si="1072"/>
        <v/>
      </c>
      <c r="CW767" s="66" t="str">
        <f>+IF($W767="","",ROUND((CT767*Parámetros!$G$85),2))</f>
        <v/>
      </c>
      <c r="CX767" s="66" t="str">
        <f>+IF($W767="","",ROUND((CT767*(Parámetros!$G$86)),2))</f>
        <v/>
      </c>
      <c r="CY767" s="66" t="str">
        <f t="shared" si="1073"/>
        <v/>
      </c>
      <c r="CZ767" t="str">
        <f t="shared" si="1114"/>
        <v/>
      </c>
      <c r="DA767" s="118" t="str">
        <f t="shared" si="1115"/>
        <v/>
      </c>
      <c r="DB767" s="118" t="str">
        <f t="shared" si="1116"/>
        <v/>
      </c>
      <c r="DC767" s="118" t="str">
        <f t="shared" si="1117"/>
        <v/>
      </c>
      <c r="DD767" s="121" t="str">
        <f>+IF(OR($W767="",DB767=0),"",ROUND((VLOOKUP(ROUNDDOWN($D767-1/frec,0),cob_adi,CO$40,FALSE)*(1+i/frec)^-0.5*(1+Parámetros!$D$103)*(1+rec_fracc)/frec),6))</f>
        <v/>
      </c>
      <c r="DE767" s="66" t="str">
        <f t="shared" si="1074"/>
        <v/>
      </c>
      <c r="DF767" s="119" t="str">
        <f t="shared" si="1075"/>
        <v/>
      </c>
      <c r="DG767" s="66" t="str">
        <f>+IF($W767="","",ROUND(IF($B767&gt;Parámetros!$D$107,'Tablas Servicio'!DE767+('Tablas Servicio'!DG766-'Tablas Servicio'!DE766),DE767/(1-IF(B767&lt;=10,Parámetros!$D$100,0))),2))</f>
        <v/>
      </c>
      <c r="DH767" s="66" t="str">
        <f t="shared" si="1076"/>
        <v/>
      </c>
      <c r="DI767" s="66" t="str">
        <f t="shared" si="1076"/>
        <v/>
      </c>
      <c r="DJ767" s="66" t="str">
        <f>+IF($W767="","",ROUND((DG767*Parámetros!$G$85),2))</f>
        <v/>
      </c>
      <c r="DK767" s="66" t="str">
        <f>+IF($W767="","",ROUND((DG767*(Parámetros!$G$86)),2))</f>
        <v/>
      </c>
      <c r="DL767" s="66" t="str">
        <f t="shared" si="1077"/>
        <v/>
      </c>
      <c r="DM767" t="str">
        <f t="shared" si="1118"/>
        <v/>
      </c>
      <c r="DN767" s="118" t="str">
        <f t="shared" si="1119"/>
        <v/>
      </c>
      <c r="DO767" s="118" t="str">
        <f t="shared" si="1120"/>
        <v/>
      </c>
      <c r="DP767" s="118" t="str">
        <f t="shared" si="1121"/>
        <v/>
      </c>
      <c r="DQ767" s="122" t="str">
        <f>+IF(OR($W767="",DO767=0),"",ROUND((VLOOKUP(ROUNDDOWN($D767-1/frec,0),cob_adi,DB$40,FALSE)*(1+i/frec)^-0.5*(1+Parámetros!$D$103)*(1+rec_fracc)/frec),6))</f>
        <v/>
      </c>
      <c r="DR767" s="66" t="str">
        <f t="shared" si="1078"/>
        <v/>
      </c>
      <c r="DS767" s="68" t="str">
        <f t="shared" si="1079"/>
        <v/>
      </c>
      <c r="DT767" s="66" t="str">
        <f>+IF($W767="","",ROUND(IF($B767&gt;Parámetros!$D$107,'Tablas Servicio'!DR767+('Tablas Servicio'!DT766-'Tablas Servicio'!DR766),DR767/(1-IF(B767&lt;=10,Parámetros!$D$100,0))),2))</f>
        <v/>
      </c>
      <c r="DU767" s="66" t="str">
        <f t="shared" si="1080"/>
        <v/>
      </c>
      <c r="DV767" s="66" t="str">
        <f t="shared" si="1080"/>
        <v/>
      </c>
      <c r="DW767" s="66" t="str">
        <f>+IF($W767="","",ROUND((DT767*Parámetros!$G$85),2))</f>
        <v/>
      </c>
      <c r="DX767" s="66" t="str">
        <f>+IF($W767="","",ROUND((DT767*(Parámetros!$G$86)),2))</f>
        <v/>
      </c>
      <c r="DY767" s="66" t="str">
        <f t="shared" si="1081"/>
        <v/>
      </c>
      <c r="DZ767" t="str">
        <f t="shared" si="1122"/>
        <v/>
      </c>
      <c r="EA767" s="118" t="str">
        <f t="shared" si="1122"/>
        <v/>
      </c>
      <c r="EB767" s="118" t="str">
        <f>+IF($W767="","",ROUND(IF(Parámetros!$D$25='TABLAS MORT'!$V$33,EB766,Z767/2),0))</f>
        <v/>
      </c>
      <c r="EC767" s="118" t="str">
        <f t="shared" si="1122"/>
        <v/>
      </c>
      <c r="ED767" s="122" t="str">
        <f>+IF(OR($W767="",EB767=0),"",ROUND((VLOOKUP(ROUNDDOWN($D767-1/frec,0),cob_adi,DO$40,FALSE)*(1+i/frec)^-0.5*(1+Parámetros!$D$103)*(1+rec_fracc)/frec),6))</f>
        <v/>
      </c>
      <c r="EE767" s="66" t="str">
        <f t="shared" si="1083"/>
        <v/>
      </c>
      <c r="EF767" s="68" t="str">
        <f t="shared" si="1084"/>
        <v/>
      </c>
      <c r="EG767" s="66" t="str">
        <f>+IF($W767="","",ROUND(IF($B767&gt;Parámetros!$D$107,'Tablas Servicio'!EE767+('Tablas Servicio'!EG766-'Tablas Servicio'!EE766),EE767/(1-IF(B767&lt;=10,Parámetros!$D$100,0))),2))</f>
        <v/>
      </c>
      <c r="EH767" s="66" t="str">
        <f t="shared" si="1085"/>
        <v/>
      </c>
      <c r="EI767" s="66" t="str">
        <f t="shared" si="1085"/>
        <v/>
      </c>
      <c r="EJ767" s="66" t="str">
        <f>+IF($W767="","",ROUND((EG767*Parámetros!$G$85),2))</f>
        <v/>
      </c>
      <c r="EK767" s="66" t="str">
        <f>+IF($W767="","",ROUND((EG767*(Parámetros!$G$86)),2))</f>
        <v/>
      </c>
      <c r="EL767" s="66" t="str">
        <f t="shared" si="1086"/>
        <v/>
      </c>
    </row>
    <row r="768" spans="1:142" x14ac:dyDescent="0.25">
      <c r="A768" t="str">
        <f>+IF($C768="","",ROUND(VLOOKUP('Tablas Servicio'!B768,Parámetros!$H$100:$J$159,IF(Parámetros!$E$16="F",2,3),FALSE),2))</f>
        <v/>
      </c>
      <c r="B768" t="str">
        <f t="shared" si="1037"/>
        <v/>
      </c>
      <c r="C768" s="57" t="str">
        <f>+IF(D768="","",'Tablas Servicio'!C767+1)</f>
        <v/>
      </c>
      <c r="D768" s="56" t="str">
        <f>+IF(D767&lt;edadmaxtabla,D767+1/Parámetros!$E$25,"")</f>
        <v/>
      </c>
      <c r="E768" s="57" t="str">
        <f t="shared" si="1047"/>
        <v/>
      </c>
      <c r="F768" s="59" t="str">
        <f t="shared" si="1048"/>
        <v/>
      </c>
      <c r="G768" s="66" t="str">
        <f t="shared" si="1038"/>
        <v/>
      </c>
      <c r="H768" s="66" t="str">
        <f t="shared" si="1039"/>
        <v/>
      </c>
      <c r="I768" s="66" t="str">
        <f t="shared" si="1087"/>
        <v/>
      </c>
      <c r="J768" s="66" t="str">
        <f t="shared" si="1040"/>
        <v/>
      </c>
      <c r="K768" s="66" t="str">
        <f t="shared" si="1041"/>
        <v/>
      </c>
      <c r="L768" s="66" t="str">
        <f t="shared" si="1042"/>
        <v/>
      </c>
      <c r="M768" s="66" t="str">
        <f t="shared" si="1043"/>
        <v/>
      </c>
      <c r="N768" s="66" t="str">
        <f>+IF(C768="","",ROUND(Parámetros!$D$23,2))</f>
        <v/>
      </c>
      <c r="O768" s="66" t="str">
        <f t="shared" si="1044"/>
        <v/>
      </c>
      <c r="P768" s="66" t="str">
        <f>+IF($C768="","",ROUND(IF(B768&gt;Parámetros!$D$117,0,N768*Parámetros!$D$116-G768*Parámetros!$D$100),2))</f>
        <v/>
      </c>
      <c r="Q768" s="75" t="str">
        <f t="shared" si="1088"/>
        <v/>
      </c>
      <c r="R768" s="75" t="str">
        <f t="shared" si="1089"/>
        <v/>
      </c>
      <c r="S768" s="117" t="str">
        <f>+IF($C768="","",ROUND((S767+I768)*(1+Parámetros!$D$91),2))</f>
        <v/>
      </c>
      <c r="T768" s="117" t="str">
        <f>+IF($C768="","",ROUND(S768*VLOOKUP(B768,Parámetros!$C$30:$D$39,2,TRUE),2))</f>
        <v/>
      </c>
      <c r="U768" s="117" t="str">
        <f>+IF($C768="","",ROUND((U767+I768)*(1+Parámetros!$D$92),2))</f>
        <v/>
      </c>
      <c r="V768" s="117" t="str">
        <f>+IF($C768="","",ROUND(U768*VLOOKUP(B768,Parámetros!$C$30:$D$39,2,TRUE),2))</f>
        <v/>
      </c>
      <c r="W768" s="57" t="str">
        <f t="shared" si="1090"/>
        <v/>
      </c>
      <c r="X768" t="str">
        <f t="shared" si="1091"/>
        <v/>
      </c>
      <c r="Y768" t="str">
        <f t="shared" si="1092"/>
        <v/>
      </c>
      <c r="Z768" s="118" t="str">
        <f>+IF($W768="","",ROUND(IF(Parámetros!$D$25='TABLAS MORT'!$V$33,Z767,Parámetros!$D$21-'Tablas Servicio'!T767),0))</f>
        <v/>
      </c>
      <c r="AA768" s="118" t="str">
        <f t="shared" si="1093"/>
        <v/>
      </c>
      <c r="AB768" s="119" t="str">
        <f>+IF(W768="","",ROUND((VLOOKUP(ROUNDDOWN($D768-1/frec,0),qx_tabla,2,FALSE)*(1+i/frec)^-0.5*(1+Parámetros!$D$103)*(1+rec_fracc)/frec),6))</f>
        <v/>
      </c>
      <c r="AC768" s="66" t="str">
        <f t="shared" si="1049"/>
        <v/>
      </c>
      <c r="AD768" s="119" t="str">
        <f t="shared" si="1045"/>
        <v/>
      </c>
      <c r="AE768" s="66" t="str">
        <f>+IF($W768="","",ROUND(IF($B768&gt;Parámetros!$D$107,'Tablas Servicio'!AC768+('Tablas Servicio'!AG767-'Tablas Servicio'!AC767),AC768/(1-IF(B768&lt;=10,Parámetros!$D$104,Parámetros!$D$105))),2))</f>
        <v/>
      </c>
      <c r="AF768" s="66" t="str">
        <f>+IF($W768="","",ROUND(IF($B768&gt;Parámetros!$D$107,'Tablas Servicio'!AC768+('Tablas Servicio'!AG767-'Tablas Servicio'!AC767),(AC768+$A767/frec)/(1-IF(B768&lt;=Parámetros!$D$117,Parámetros!$D$100,0))),2))</f>
        <v/>
      </c>
      <c r="AG768" s="66" t="str">
        <f t="shared" si="1050"/>
        <v/>
      </c>
      <c r="AH768" s="66" t="str">
        <f t="shared" si="1051"/>
        <v/>
      </c>
      <c r="AI768" s="66" t="str">
        <f t="shared" si="1052"/>
        <v/>
      </c>
      <c r="AJ768" s="66" t="str">
        <f>+IF($W768="","",ROUND((AG768*Parámetros!$G$85),2))</f>
        <v/>
      </c>
      <c r="AK768" s="66" t="str">
        <f>+IF($W768="","",ROUND((AG768*(Parámetros!$G$86)),2))</f>
        <v/>
      </c>
      <c r="AL768" s="66" t="str">
        <f t="shared" si="1046"/>
        <v/>
      </c>
      <c r="AM768" t="str">
        <f t="shared" si="1094"/>
        <v/>
      </c>
      <c r="AN768" t="str">
        <f t="shared" si="1095"/>
        <v/>
      </c>
      <c r="AO768" s="118" t="str">
        <f t="shared" si="1096"/>
        <v/>
      </c>
      <c r="AP768" s="118" t="str">
        <f t="shared" si="1097"/>
        <v/>
      </c>
      <c r="AQ768" s="119" t="str">
        <f>+IF(OR($W768="",AO768=0),"",ROUND((VLOOKUP(ROUNDDOWN($D768-1/frec,0),cob_adi,Z$40,FALSE)*(1+i/frec)^-0.5*(1+Parámetros!$D$103)*(1+rec_fracc)/frec),6))</f>
        <v/>
      </c>
      <c r="AR768" s="66" t="str">
        <f t="shared" si="1053"/>
        <v/>
      </c>
      <c r="AS768" s="119" t="str">
        <f t="shared" si="1054"/>
        <v/>
      </c>
      <c r="AT768" s="66" t="str">
        <f>+IF($W768="","",ROUND(IF($B768&gt;Parámetros!$D$107,'Tablas Servicio'!AR768+('Tablas Servicio'!AT767-'Tablas Servicio'!AR767),AR768/(1-IF(B768&lt;=10,Parámetros!$D$100,0))),2))</f>
        <v/>
      </c>
      <c r="AU768" s="66" t="str">
        <f t="shared" si="1055"/>
        <v/>
      </c>
      <c r="AV768" s="66" t="str">
        <f t="shared" si="1055"/>
        <v/>
      </c>
      <c r="AW768" s="66" t="str">
        <f>+IF($W768="","",ROUND((AT768*Parámetros!$G$85),2))</f>
        <v/>
      </c>
      <c r="AX768" s="66" t="str">
        <f>+IF($W768="","",ROUND((AT768*(Parámetros!$G$86)),2))</f>
        <v/>
      </c>
      <c r="AY768" s="66" t="str">
        <f t="shared" si="1056"/>
        <v/>
      </c>
      <c r="AZ768" t="str">
        <f t="shared" si="1098"/>
        <v/>
      </c>
      <c r="BA768" t="str">
        <f t="shared" si="1099"/>
        <v/>
      </c>
      <c r="BB768" s="118" t="str">
        <f t="shared" si="1100"/>
        <v/>
      </c>
      <c r="BC768" s="118" t="str">
        <f t="shared" si="1101"/>
        <v/>
      </c>
      <c r="BD768" s="119" t="str">
        <f>+IF(OR($W768="",BB768=0),"",ROUND((VLOOKUP(ROUNDDOWN($D768-1/frec,0),cob_adi,AO$40,FALSE)*(1+i/frec)^-0.5*(1+Parámetros!$D$103)*(1+rec_fracc)/frec),6))</f>
        <v/>
      </c>
      <c r="BE768" s="66" t="str">
        <f t="shared" si="1057"/>
        <v/>
      </c>
      <c r="BF768" s="119" t="str">
        <f t="shared" si="1058"/>
        <v/>
      </c>
      <c r="BG768" s="66" t="str">
        <f>+IF($W768="","",ROUND(IF($B768&gt;Parámetros!$D$107,'Tablas Servicio'!BE768+('Tablas Servicio'!BG767-'Tablas Servicio'!BE767),BE768/(1-IF(B768&lt;=10,Parámetros!$D$100,0))),2))</f>
        <v/>
      </c>
      <c r="BH768" s="66" t="str">
        <f t="shared" si="1059"/>
        <v/>
      </c>
      <c r="BI768" s="66" t="str">
        <f t="shared" si="1060"/>
        <v/>
      </c>
      <c r="BJ768" s="66" t="str">
        <f>+IF($W768="","",ROUND((BG768*Parámetros!$G$85),2))</f>
        <v/>
      </c>
      <c r="BK768" s="66" t="str">
        <f>+IF($W768="","",ROUND((BG768*(Parámetros!$G$86)),2))</f>
        <v/>
      </c>
      <c r="BL768" s="66" t="str">
        <f t="shared" si="1061"/>
        <v/>
      </c>
      <c r="BM768" t="str">
        <f t="shared" si="1102"/>
        <v/>
      </c>
      <c r="BN768" t="str">
        <f t="shared" si="1103"/>
        <v/>
      </c>
      <c r="BO768" s="118" t="str">
        <f t="shared" si="1104"/>
        <v/>
      </c>
      <c r="BP768" s="118" t="str">
        <f t="shared" si="1105"/>
        <v/>
      </c>
      <c r="BQ768" s="119" t="str">
        <f>+IF(OR($W768="",BO768=0),"",ROUND((VLOOKUP(ROUNDDOWN($D768-1/frec,0),cob_adi,BB$40,FALSE)*(1+i/frec)^-0.5*(1+Parámetros!$D$103)*(1+rec_fracc)/frec),6))</f>
        <v/>
      </c>
      <c r="BR768" s="66" t="str">
        <f t="shared" si="1062"/>
        <v/>
      </c>
      <c r="BS768" s="119" t="str">
        <f t="shared" si="1063"/>
        <v/>
      </c>
      <c r="BT768" s="66" t="str">
        <f>+IF($W768="","",ROUND(IF($B768&gt;Parámetros!$D$107,'Tablas Servicio'!BR768+('Tablas Servicio'!BT767-'Tablas Servicio'!BR767),BR768/(1-IF(B768&lt;=10,Parámetros!$D$100,0))),2))</f>
        <v/>
      </c>
      <c r="BU768" s="66" t="str">
        <f t="shared" si="1064"/>
        <v/>
      </c>
      <c r="BV768" s="66" t="str">
        <f t="shared" si="1064"/>
        <v/>
      </c>
      <c r="BW768" s="66" t="str">
        <f>+IF($W768="","",ROUND((BT768*Parámetros!$G$85),2))</f>
        <v/>
      </c>
      <c r="BX768" s="66" t="str">
        <f>+IF($W768="","",ROUND((BT768*(Parámetros!$G$86)),2))</f>
        <v/>
      </c>
      <c r="BY768" s="66" t="str">
        <f t="shared" si="1065"/>
        <v/>
      </c>
      <c r="BZ768" t="str">
        <f t="shared" si="1106"/>
        <v/>
      </c>
      <c r="CA768" t="str">
        <f t="shared" si="1107"/>
        <v/>
      </c>
      <c r="CB768" s="118" t="str">
        <f t="shared" si="1108"/>
        <v/>
      </c>
      <c r="CC768" s="118" t="str">
        <f t="shared" si="1109"/>
        <v/>
      </c>
      <c r="CD768" s="119" t="str">
        <f t="shared" si="1066"/>
        <v/>
      </c>
      <c r="CE768" s="66" t="str">
        <f>+IF($W768="","",ROUND((VLOOKUP(ROUNDDOWN($D768-1/frec,0),cob_adi,BO$40,FALSE)*(1+i/frec)^-0.5*(1+Parámetros!$D$103)*(1+rec_fracc)/frec*'TABLAS ADI'!$BC$17),2))</f>
        <v/>
      </c>
      <c r="CF768" s="119" t="str">
        <f t="shared" si="1067"/>
        <v/>
      </c>
      <c r="CG768" s="66" t="str">
        <f>+IF($W768="","",ROUND(IF($B768&gt;Parámetros!$D$107,'Tablas Servicio'!CE768+('Tablas Servicio'!CG767-'Tablas Servicio'!CE767),CE768/(1-IF(B768&lt;=10,Parámetros!$D$100,0))),2))</f>
        <v/>
      </c>
      <c r="CH768" s="66" t="str">
        <f t="shared" si="1068"/>
        <v/>
      </c>
      <c r="CI768" s="66" t="str">
        <f t="shared" si="1068"/>
        <v/>
      </c>
      <c r="CJ768" s="66" t="str">
        <f>+IF($W768="","",ROUND((CG768*Parámetros!$G$85),2))</f>
        <v/>
      </c>
      <c r="CK768" s="66" t="str">
        <f>+IF($W768="","",ROUND((CG768*(Parámetros!$G$86)),2))</f>
        <v/>
      </c>
      <c r="CL768" s="66" t="str">
        <f t="shared" si="1069"/>
        <v/>
      </c>
      <c r="CM768" t="str">
        <f t="shared" si="1110"/>
        <v/>
      </c>
      <c r="CN768" s="118" t="str">
        <f t="shared" si="1111"/>
        <v/>
      </c>
      <c r="CO768" s="118" t="str">
        <f t="shared" si="1112"/>
        <v/>
      </c>
      <c r="CP768" s="118" t="str">
        <f t="shared" si="1113"/>
        <v/>
      </c>
      <c r="CQ768" s="119" t="str">
        <f t="shared" si="1070"/>
        <v/>
      </c>
      <c r="CR768" s="66" t="str">
        <f>+IF($W768="","",ROUND((VLOOKUP(Parámetros!$F$51,'COBERTURAS ADICIONALES'!$S$4:$T$32,2,FALSE)*(1+i/frec)^-0.5*(1+Parámetros!$D$103)*(1+rec_fracc)/frec*$CO$42),2))</f>
        <v/>
      </c>
      <c r="CS768" s="119" t="str">
        <f t="shared" si="1071"/>
        <v/>
      </c>
      <c r="CT768" s="66" t="str">
        <f>+IF($W768="","",ROUND(IF($B768&gt;Parámetros!$D$107,'Tablas Servicio'!CR768+('Tablas Servicio'!CT767-'Tablas Servicio'!CR767),CR768/(1-IF(B768&lt;=10,Parámetros!$D$100,0))),2))</f>
        <v/>
      </c>
      <c r="CU768" s="66" t="str">
        <f t="shared" si="1072"/>
        <v/>
      </c>
      <c r="CV768" s="66" t="str">
        <f t="shared" si="1072"/>
        <v/>
      </c>
      <c r="CW768" s="66" t="str">
        <f>+IF($W768="","",ROUND((CT768*Parámetros!$G$85),2))</f>
        <v/>
      </c>
      <c r="CX768" s="66" t="str">
        <f>+IF($W768="","",ROUND((CT768*(Parámetros!$G$86)),2))</f>
        <v/>
      </c>
      <c r="CY768" s="66" t="str">
        <f t="shared" si="1073"/>
        <v/>
      </c>
      <c r="CZ768" t="str">
        <f t="shared" si="1114"/>
        <v/>
      </c>
      <c r="DA768" s="118" t="str">
        <f t="shared" si="1115"/>
        <v/>
      </c>
      <c r="DB768" s="118" t="str">
        <f t="shared" si="1116"/>
        <v/>
      </c>
      <c r="DC768" s="118" t="str">
        <f t="shared" si="1117"/>
        <v/>
      </c>
      <c r="DD768" s="121" t="str">
        <f>+IF(OR($W768="",DB768=0),"",ROUND((VLOOKUP(ROUNDDOWN($D768-1/frec,0),cob_adi,CO$40,FALSE)*(1+i/frec)^-0.5*(1+Parámetros!$D$103)*(1+rec_fracc)/frec),6))</f>
        <v/>
      </c>
      <c r="DE768" s="66" t="str">
        <f t="shared" si="1074"/>
        <v/>
      </c>
      <c r="DF768" s="119" t="str">
        <f t="shared" si="1075"/>
        <v/>
      </c>
      <c r="DG768" s="66" t="str">
        <f>+IF($W768="","",ROUND(IF($B768&gt;Parámetros!$D$107,'Tablas Servicio'!DE768+('Tablas Servicio'!DG767-'Tablas Servicio'!DE767),DE768/(1-IF(B768&lt;=10,Parámetros!$D$100,0))),2))</f>
        <v/>
      </c>
      <c r="DH768" s="66" t="str">
        <f t="shared" si="1076"/>
        <v/>
      </c>
      <c r="DI768" s="66" t="str">
        <f t="shared" si="1076"/>
        <v/>
      </c>
      <c r="DJ768" s="66" t="str">
        <f>+IF($W768="","",ROUND((DG768*Parámetros!$G$85),2))</f>
        <v/>
      </c>
      <c r="DK768" s="66" t="str">
        <f>+IF($W768="","",ROUND((DG768*(Parámetros!$G$86)),2))</f>
        <v/>
      </c>
      <c r="DL768" s="66" t="str">
        <f t="shared" si="1077"/>
        <v/>
      </c>
      <c r="DM768" t="str">
        <f t="shared" si="1118"/>
        <v/>
      </c>
      <c r="DN768" s="118" t="str">
        <f t="shared" si="1119"/>
        <v/>
      </c>
      <c r="DO768" s="118" t="str">
        <f t="shared" si="1120"/>
        <v/>
      </c>
      <c r="DP768" s="118" t="str">
        <f t="shared" si="1121"/>
        <v/>
      </c>
      <c r="DQ768" s="122" t="str">
        <f>+IF(OR($W768="",DO768=0),"",ROUND((VLOOKUP(ROUNDDOWN($D768-1/frec,0),cob_adi,DB$40,FALSE)*(1+i/frec)^-0.5*(1+Parámetros!$D$103)*(1+rec_fracc)/frec),6))</f>
        <v/>
      </c>
      <c r="DR768" s="66" t="str">
        <f t="shared" si="1078"/>
        <v/>
      </c>
      <c r="DS768" s="68" t="str">
        <f t="shared" si="1079"/>
        <v/>
      </c>
      <c r="DT768" s="66" t="str">
        <f>+IF($W768="","",ROUND(IF($B768&gt;Parámetros!$D$107,'Tablas Servicio'!DR768+('Tablas Servicio'!DT767-'Tablas Servicio'!DR767),DR768/(1-IF(B768&lt;=10,Parámetros!$D$100,0))),2))</f>
        <v/>
      </c>
      <c r="DU768" s="66" t="str">
        <f t="shared" si="1080"/>
        <v/>
      </c>
      <c r="DV768" s="66" t="str">
        <f t="shared" si="1080"/>
        <v/>
      </c>
      <c r="DW768" s="66" t="str">
        <f>+IF($W768="","",ROUND((DT768*Parámetros!$G$85),2))</f>
        <v/>
      </c>
      <c r="DX768" s="66" t="str">
        <f>+IF($W768="","",ROUND((DT768*(Parámetros!$G$86)),2))</f>
        <v/>
      </c>
      <c r="DY768" s="66" t="str">
        <f t="shared" si="1081"/>
        <v/>
      </c>
      <c r="DZ768" t="str">
        <f t="shared" si="1122"/>
        <v/>
      </c>
      <c r="EA768" s="118" t="str">
        <f t="shared" si="1122"/>
        <v/>
      </c>
      <c r="EB768" s="118" t="str">
        <f>+IF($W768="","",ROUND(IF(Parámetros!$D$25='TABLAS MORT'!$V$33,EB767,Z768/2),0))</f>
        <v/>
      </c>
      <c r="EC768" s="118" t="str">
        <f t="shared" si="1122"/>
        <v/>
      </c>
      <c r="ED768" s="122" t="str">
        <f>+IF(OR($W768="",EB768=0),"",ROUND((VLOOKUP(ROUNDDOWN($D768-1/frec,0),cob_adi,DO$40,FALSE)*(1+i/frec)^-0.5*(1+Parámetros!$D$103)*(1+rec_fracc)/frec),6))</f>
        <v/>
      </c>
      <c r="EE768" s="66" t="str">
        <f t="shared" si="1083"/>
        <v/>
      </c>
      <c r="EF768" s="68" t="str">
        <f t="shared" si="1084"/>
        <v/>
      </c>
      <c r="EG768" s="66" t="str">
        <f>+IF($W768="","",ROUND(IF($B768&gt;Parámetros!$D$107,'Tablas Servicio'!EE768+('Tablas Servicio'!EG767-'Tablas Servicio'!EE767),EE768/(1-IF(B768&lt;=10,Parámetros!$D$100,0))),2))</f>
        <v/>
      </c>
      <c r="EH768" s="66" t="str">
        <f t="shared" si="1085"/>
        <v/>
      </c>
      <c r="EI768" s="66" t="str">
        <f t="shared" si="1085"/>
        <v/>
      </c>
      <c r="EJ768" s="66" t="str">
        <f>+IF($W768="","",ROUND((EG768*Parámetros!$G$85),2))</f>
        <v/>
      </c>
      <c r="EK768" s="66" t="str">
        <f>+IF($W768="","",ROUND((EG768*(Parámetros!$G$86)),2))</f>
        <v/>
      </c>
      <c r="EL768" s="66" t="str">
        <f t="shared" si="1086"/>
        <v/>
      </c>
    </row>
    <row r="769" spans="1:142" x14ac:dyDescent="0.25">
      <c r="A769" t="str">
        <f>+IF($C769="","",ROUND(VLOOKUP('Tablas Servicio'!B769,Parámetros!$H$100:$J$159,IF(Parámetros!$E$16="F",2,3),FALSE),2))</f>
        <v/>
      </c>
      <c r="B769" t="str">
        <f t="shared" si="1037"/>
        <v/>
      </c>
      <c r="C769" s="57" t="str">
        <f>+IF(D769="","",'Tablas Servicio'!C768+1)</f>
        <v/>
      </c>
      <c r="D769" s="56" t="str">
        <f>+IF(D768&lt;edadmaxtabla,D768+1/Parámetros!$E$25,"")</f>
        <v/>
      </c>
      <c r="E769" s="57" t="str">
        <f t="shared" si="1047"/>
        <v/>
      </c>
      <c r="F769" s="59" t="str">
        <f t="shared" si="1048"/>
        <v/>
      </c>
      <c r="G769" s="66" t="str">
        <f t="shared" si="1038"/>
        <v/>
      </c>
      <c r="H769" s="66" t="str">
        <f t="shared" si="1039"/>
        <v/>
      </c>
      <c r="I769" s="66" t="str">
        <f t="shared" si="1087"/>
        <v/>
      </c>
      <c r="J769" s="66" t="str">
        <f t="shared" si="1040"/>
        <v/>
      </c>
      <c r="K769" s="66" t="str">
        <f t="shared" si="1041"/>
        <v/>
      </c>
      <c r="L769" s="66" t="str">
        <f t="shared" si="1042"/>
        <v/>
      </c>
      <c r="M769" s="66" t="str">
        <f t="shared" si="1043"/>
        <v/>
      </c>
      <c r="N769" s="66" t="str">
        <f>+IF(C769="","",ROUND(Parámetros!$D$23,2))</f>
        <v/>
      </c>
      <c r="O769" s="66" t="str">
        <f t="shared" si="1044"/>
        <v/>
      </c>
      <c r="P769" s="66" t="str">
        <f>+IF($C769="","",ROUND(IF(B769&gt;Parámetros!$D$117,0,N769*Parámetros!$D$116-G769*Parámetros!$D$100),2))</f>
        <v/>
      </c>
      <c r="Q769" s="75" t="str">
        <f t="shared" si="1088"/>
        <v/>
      </c>
      <c r="R769" s="75" t="str">
        <f t="shared" si="1089"/>
        <v/>
      </c>
      <c r="S769" s="117" t="str">
        <f>+IF($C769="","",ROUND((S768+I769)*(1+Parámetros!$D$91),2))</f>
        <v/>
      </c>
      <c r="T769" s="117" t="str">
        <f>+IF($C769="","",ROUND(S769*VLOOKUP(B769,Parámetros!$C$30:$D$39,2,TRUE),2))</f>
        <v/>
      </c>
      <c r="U769" s="117" t="str">
        <f>+IF($C769="","",ROUND((U768+I769)*(1+Parámetros!$D$92),2))</f>
        <v/>
      </c>
      <c r="V769" s="117" t="str">
        <f>+IF($C769="","",ROUND(U769*VLOOKUP(B769,Parámetros!$C$30:$D$39,2,TRUE),2))</f>
        <v/>
      </c>
      <c r="W769" s="57" t="str">
        <f t="shared" si="1090"/>
        <v/>
      </c>
      <c r="X769" t="str">
        <f t="shared" si="1091"/>
        <v/>
      </c>
      <c r="Y769" t="str">
        <f t="shared" si="1092"/>
        <v/>
      </c>
      <c r="Z769" s="118" t="str">
        <f>+IF($W769="","",ROUND(IF(Parámetros!$D$25='TABLAS MORT'!$V$33,Z768,Parámetros!$D$21-'Tablas Servicio'!T768),0))</f>
        <v/>
      </c>
      <c r="AA769" s="118" t="str">
        <f t="shared" si="1093"/>
        <v/>
      </c>
      <c r="AB769" s="119" t="str">
        <f>+IF(W769="","",ROUND((VLOOKUP(ROUNDDOWN($D769-1/frec,0),qx_tabla,2,FALSE)*(1+i/frec)^-0.5*(1+Parámetros!$D$103)*(1+rec_fracc)/frec),6))</f>
        <v/>
      </c>
      <c r="AC769" s="66" t="str">
        <f t="shared" si="1049"/>
        <v/>
      </c>
      <c r="AD769" s="119" t="str">
        <f t="shared" si="1045"/>
        <v/>
      </c>
      <c r="AE769" s="66" t="str">
        <f>+IF($W769="","",ROUND(IF($B769&gt;Parámetros!$D$107,'Tablas Servicio'!AC769+('Tablas Servicio'!AG768-'Tablas Servicio'!AC768),AC769/(1-IF(B769&lt;=10,Parámetros!$D$104,Parámetros!$D$105))),2))</f>
        <v/>
      </c>
      <c r="AF769" s="66" t="str">
        <f>+IF($W769="","",ROUND(IF($B769&gt;Parámetros!$D$107,'Tablas Servicio'!AC769+('Tablas Servicio'!AG768-'Tablas Servicio'!AC768),(AC769+$A768/frec)/(1-IF(B769&lt;=Parámetros!$D$117,Parámetros!$D$100,0))),2))</f>
        <v/>
      </c>
      <c r="AG769" s="66" t="str">
        <f t="shared" si="1050"/>
        <v/>
      </c>
      <c r="AH769" s="66" t="str">
        <f t="shared" si="1051"/>
        <v/>
      </c>
      <c r="AI769" s="66" t="str">
        <f t="shared" si="1052"/>
        <v/>
      </c>
      <c r="AJ769" s="66" t="str">
        <f>+IF($W769="","",ROUND((AG769*Parámetros!$G$85),2))</f>
        <v/>
      </c>
      <c r="AK769" s="66" t="str">
        <f>+IF($W769="","",ROUND((AG769*(Parámetros!$G$86)),2))</f>
        <v/>
      </c>
      <c r="AL769" s="66" t="str">
        <f t="shared" si="1046"/>
        <v/>
      </c>
      <c r="AM769" t="str">
        <f t="shared" si="1094"/>
        <v/>
      </c>
      <c r="AN769" t="str">
        <f t="shared" si="1095"/>
        <v/>
      </c>
      <c r="AO769" s="118" t="str">
        <f t="shared" si="1096"/>
        <v/>
      </c>
      <c r="AP769" s="118" t="str">
        <f t="shared" si="1097"/>
        <v/>
      </c>
      <c r="AQ769" s="119" t="str">
        <f>+IF(OR($W769="",AO769=0),"",ROUND((VLOOKUP(ROUNDDOWN($D769-1/frec,0),cob_adi,Z$40,FALSE)*(1+i/frec)^-0.5*(1+Parámetros!$D$103)*(1+rec_fracc)/frec),6))</f>
        <v/>
      </c>
      <c r="AR769" s="66" t="str">
        <f t="shared" si="1053"/>
        <v/>
      </c>
      <c r="AS769" s="119" t="str">
        <f t="shared" si="1054"/>
        <v/>
      </c>
      <c r="AT769" s="66" t="str">
        <f>+IF($W769="","",ROUND(IF($B769&gt;Parámetros!$D$107,'Tablas Servicio'!AR769+('Tablas Servicio'!AT768-'Tablas Servicio'!AR768),AR769/(1-IF(B769&lt;=10,Parámetros!$D$100,0))),2))</f>
        <v/>
      </c>
      <c r="AU769" s="66" t="str">
        <f t="shared" si="1055"/>
        <v/>
      </c>
      <c r="AV769" s="66" t="str">
        <f t="shared" si="1055"/>
        <v/>
      </c>
      <c r="AW769" s="66" t="str">
        <f>+IF($W769="","",ROUND((AT769*Parámetros!$G$85),2))</f>
        <v/>
      </c>
      <c r="AX769" s="66" t="str">
        <f>+IF($W769="","",ROUND((AT769*(Parámetros!$G$86)),2))</f>
        <v/>
      </c>
      <c r="AY769" s="66" t="str">
        <f t="shared" si="1056"/>
        <v/>
      </c>
      <c r="AZ769" t="str">
        <f t="shared" si="1098"/>
        <v/>
      </c>
      <c r="BA769" t="str">
        <f t="shared" si="1099"/>
        <v/>
      </c>
      <c r="BB769" s="118" t="str">
        <f t="shared" si="1100"/>
        <v/>
      </c>
      <c r="BC769" s="118" t="str">
        <f t="shared" si="1101"/>
        <v/>
      </c>
      <c r="BD769" s="119" t="str">
        <f>+IF(OR($W769="",BB769=0),"",ROUND((VLOOKUP(ROUNDDOWN($D769-1/frec,0),cob_adi,AO$40,FALSE)*(1+i/frec)^-0.5*(1+Parámetros!$D$103)*(1+rec_fracc)/frec),6))</f>
        <v/>
      </c>
      <c r="BE769" s="66" t="str">
        <f t="shared" si="1057"/>
        <v/>
      </c>
      <c r="BF769" s="119" t="str">
        <f t="shared" si="1058"/>
        <v/>
      </c>
      <c r="BG769" s="66" t="str">
        <f>+IF($W769="","",ROUND(IF($B769&gt;Parámetros!$D$107,'Tablas Servicio'!BE769+('Tablas Servicio'!BG768-'Tablas Servicio'!BE768),BE769/(1-IF(B769&lt;=10,Parámetros!$D$100,0))),2))</f>
        <v/>
      </c>
      <c r="BH769" s="66" t="str">
        <f t="shared" si="1059"/>
        <v/>
      </c>
      <c r="BI769" s="66" t="str">
        <f t="shared" si="1060"/>
        <v/>
      </c>
      <c r="BJ769" s="66" t="str">
        <f>+IF($W769="","",ROUND((BG769*Parámetros!$G$85),2))</f>
        <v/>
      </c>
      <c r="BK769" s="66" t="str">
        <f>+IF($W769="","",ROUND((BG769*(Parámetros!$G$86)),2))</f>
        <v/>
      </c>
      <c r="BL769" s="66" t="str">
        <f t="shared" si="1061"/>
        <v/>
      </c>
      <c r="BM769" t="str">
        <f t="shared" si="1102"/>
        <v/>
      </c>
      <c r="BN769" t="str">
        <f t="shared" si="1103"/>
        <v/>
      </c>
      <c r="BO769" s="118" t="str">
        <f t="shared" si="1104"/>
        <v/>
      </c>
      <c r="BP769" s="118" t="str">
        <f t="shared" si="1105"/>
        <v/>
      </c>
      <c r="BQ769" s="119" t="str">
        <f>+IF(OR($W769="",BO769=0),"",ROUND((VLOOKUP(ROUNDDOWN($D769-1/frec,0),cob_adi,BB$40,FALSE)*(1+i/frec)^-0.5*(1+Parámetros!$D$103)*(1+rec_fracc)/frec),6))</f>
        <v/>
      </c>
      <c r="BR769" s="66" t="str">
        <f t="shared" si="1062"/>
        <v/>
      </c>
      <c r="BS769" s="119" t="str">
        <f t="shared" si="1063"/>
        <v/>
      </c>
      <c r="BT769" s="66" t="str">
        <f>+IF($W769="","",ROUND(IF($B769&gt;Parámetros!$D$107,'Tablas Servicio'!BR769+('Tablas Servicio'!BT768-'Tablas Servicio'!BR768),BR769/(1-IF(B769&lt;=10,Parámetros!$D$100,0))),2))</f>
        <v/>
      </c>
      <c r="BU769" s="66" t="str">
        <f t="shared" si="1064"/>
        <v/>
      </c>
      <c r="BV769" s="66" t="str">
        <f t="shared" si="1064"/>
        <v/>
      </c>
      <c r="BW769" s="66" t="str">
        <f>+IF($W769="","",ROUND((BT769*Parámetros!$G$85),2))</f>
        <v/>
      </c>
      <c r="BX769" s="66" t="str">
        <f>+IF($W769="","",ROUND((BT769*(Parámetros!$G$86)),2))</f>
        <v/>
      </c>
      <c r="BY769" s="66" t="str">
        <f t="shared" si="1065"/>
        <v/>
      </c>
      <c r="BZ769" t="str">
        <f t="shared" si="1106"/>
        <v/>
      </c>
      <c r="CA769" t="str">
        <f t="shared" si="1107"/>
        <v/>
      </c>
      <c r="CB769" s="118" t="str">
        <f t="shared" si="1108"/>
        <v/>
      </c>
      <c r="CC769" s="118" t="str">
        <f t="shared" si="1109"/>
        <v/>
      </c>
      <c r="CD769" s="119" t="str">
        <f t="shared" si="1066"/>
        <v/>
      </c>
      <c r="CE769" s="66" t="str">
        <f>+IF($W769="","",ROUND((VLOOKUP(ROUNDDOWN($D769-1/frec,0),cob_adi,BO$40,FALSE)*(1+i/frec)^-0.5*(1+Parámetros!$D$103)*(1+rec_fracc)/frec*'TABLAS ADI'!$BC$17),2))</f>
        <v/>
      </c>
      <c r="CF769" s="119" t="str">
        <f t="shared" si="1067"/>
        <v/>
      </c>
      <c r="CG769" s="66" t="str">
        <f>+IF($W769="","",ROUND(IF($B769&gt;Parámetros!$D$107,'Tablas Servicio'!CE769+('Tablas Servicio'!CG768-'Tablas Servicio'!CE768),CE769/(1-IF(B769&lt;=10,Parámetros!$D$100,0))),2))</f>
        <v/>
      </c>
      <c r="CH769" s="66" t="str">
        <f t="shared" si="1068"/>
        <v/>
      </c>
      <c r="CI769" s="66" t="str">
        <f t="shared" si="1068"/>
        <v/>
      </c>
      <c r="CJ769" s="66" t="str">
        <f>+IF($W769="","",ROUND((CG769*Parámetros!$G$85),2))</f>
        <v/>
      </c>
      <c r="CK769" s="66" t="str">
        <f>+IF($W769="","",ROUND((CG769*(Parámetros!$G$86)),2))</f>
        <v/>
      </c>
      <c r="CL769" s="66" t="str">
        <f t="shared" si="1069"/>
        <v/>
      </c>
      <c r="CM769" t="str">
        <f t="shared" si="1110"/>
        <v/>
      </c>
      <c r="CN769" s="118" t="str">
        <f t="shared" si="1111"/>
        <v/>
      </c>
      <c r="CO769" s="118" t="str">
        <f t="shared" si="1112"/>
        <v/>
      </c>
      <c r="CP769" s="118" t="str">
        <f t="shared" si="1113"/>
        <v/>
      </c>
      <c r="CQ769" s="119" t="str">
        <f t="shared" si="1070"/>
        <v/>
      </c>
      <c r="CR769" s="66" t="str">
        <f>+IF($W769="","",ROUND((VLOOKUP(Parámetros!$F$51,'COBERTURAS ADICIONALES'!$S$4:$T$32,2,FALSE)*(1+i/frec)^-0.5*(1+Parámetros!$D$103)*(1+rec_fracc)/frec*$CO$42),2))</f>
        <v/>
      </c>
      <c r="CS769" s="119" t="str">
        <f t="shared" si="1071"/>
        <v/>
      </c>
      <c r="CT769" s="66" t="str">
        <f>+IF($W769="","",ROUND(IF($B769&gt;Parámetros!$D$107,'Tablas Servicio'!CR769+('Tablas Servicio'!CT768-'Tablas Servicio'!CR768),CR769/(1-IF(B769&lt;=10,Parámetros!$D$100,0))),2))</f>
        <v/>
      </c>
      <c r="CU769" s="66" t="str">
        <f t="shared" si="1072"/>
        <v/>
      </c>
      <c r="CV769" s="66" t="str">
        <f t="shared" si="1072"/>
        <v/>
      </c>
      <c r="CW769" s="66" t="str">
        <f>+IF($W769="","",ROUND((CT769*Parámetros!$G$85),2))</f>
        <v/>
      </c>
      <c r="CX769" s="66" t="str">
        <f>+IF($W769="","",ROUND((CT769*(Parámetros!$G$86)),2))</f>
        <v/>
      </c>
      <c r="CY769" s="66" t="str">
        <f t="shared" si="1073"/>
        <v/>
      </c>
      <c r="CZ769" t="str">
        <f t="shared" si="1114"/>
        <v/>
      </c>
      <c r="DA769" s="118" t="str">
        <f t="shared" si="1115"/>
        <v/>
      </c>
      <c r="DB769" s="118" t="str">
        <f t="shared" si="1116"/>
        <v/>
      </c>
      <c r="DC769" s="118" t="str">
        <f t="shared" si="1117"/>
        <v/>
      </c>
      <c r="DD769" s="121" t="str">
        <f>+IF(OR($W769="",DB769=0),"",ROUND((VLOOKUP(ROUNDDOWN($D769-1/frec,0),cob_adi,CO$40,FALSE)*(1+i/frec)^-0.5*(1+Parámetros!$D$103)*(1+rec_fracc)/frec),6))</f>
        <v/>
      </c>
      <c r="DE769" s="66" t="str">
        <f t="shared" si="1074"/>
        <v/>
      </c>
      <c r="DF769" s="119" t="str">
        <f t="shared" si="1075"/>
        <v/>
      </c>
      <c r="DG769" s="66" t="str">
        <f>+IF($W769="","",ROUND(IF($B769&gt;Parámetros!$D$107,'Tablas Servicio'!DE769+('Tablas Servicio'!DG768-'Tablas Servicio'!DE768),DE769/(1-IF(B769&lt;=10,Parámetros!$D$100,0))),2))</f>
        <v/>
      </c>
      <c r="DH769" s="66" t="str">
        <f t="shared" si="1076"/>
        <v/>
      </c>
      <c r="DI769" s="66" t="str">
        <f t="shared" si="1076"/>
        <v/>
      </c>
      <c r="DJ769" s="66" t="str">
        <f>+IF($W769="","",ROUND((DG769*Parámetros!$G$85),2))</f>
        <v/>
      </c>
      <c r="DK769" s="66" t="str">
        <f>+IF($W769="","",ROUND((DG769*(Parámetros!$G$86)),2))</f>
        <v/>
      </c>
      <c r="DL769" s="66" t="str">
        <f t="shared" si="1077"/>
        <v/>
      </c>
      <c r="DM769" t="str">
        <f t="shared" si="1118"/>
        <v/>
      </c>
      <c r="DN769" s="118" t="str">
        <f t="shared" si="1119"/>
        <v/>
      </c>
      <c r="DO769" s="118" t="str">
        <f t="shared" si="1120"/>
        <v/>
      </c>
      <c r="DP769" s="118" t="str">
        <f t="shared" si="1121"/>
        <v/>
      </c>
      <c r="DQ769" s="122" t="str">
        <f>+IF(OR($W769="",DO769=0),"",ROUND((VLOOKUP(ROUNDDOWN($D769-1/frec,0),cob_adi,DB$40,FALSE)*(1+i/frec)^-0.5*(1+Parámetros!$D$103)*(1+rec_fracc)/frec),6))</f>
        <v/>
      </c>
      <c r="DR769" s="66" t="str">
        <f t="shared" si="1078"/>
        <v/>
      </c>
      <c r="DS769" s="68" t="str">
        <f t="shared" si="1079"/>
        <v/>
      </c>
      <c r="DT769" s="66" t="str">
        <f>+IF($W769="","",ROUND(IF($B769&gt;Parámetros!$D$107,'Tablas Servicio'!DR769+('Tablas Servicio'!DT768-'Tablas Servicio'!DR768),DR769/(1-IF(B769&lt;=10,Parámetros!$D$100,0))),2))</f>
        <v/>
      </c>
      <c r="DU769" s="66" t="str">
        <f t="shared" si="1080"/>
        <v/>
      </c>
      <c r="DV769" s="66" t="str">
        <f t="shared" si="1080"/>
        <v/>
      </c>
      <c r="DW769" s="66" t="str">
        <f>+IF($W769="","",ROUND((DT769*Parámetros!$G$85),2))</f>
        <v/>
      </c>
      <c r="DX769" s="66" t="str">
        <f>+IF($W769="","",ROUND((DT769*(Parámetros!$G$86)),2))</f>
        <v/>
      </c>
      <c r="DY769" s="66" t="str">
        <f t="shared" si="1081"/>
        <v/>
      </c>
      <c r="DZ769" t="str">
        <f t="shared" si="1122"/>
        <v/>
      </c>
      <c r="EA769" s="118" t="str">
        <f t="shared" si="1122"/>
        <v/>
      </c>
      <c r="EB769" s="118" t="str">
        <f>+IF($W769="","",ROUND(IF(Parámetros!$D$25='TABLAS MORT'!$V$33,EB768,Z769/2),0))</f>
        <v/>
      </c>
      <c r="EC769" s="118" t="str">
        <f t="shared" si="1122"/>
        <v/>
      </c>
      <c r="ED769" s="122" t="str">
        <f>+IF(OR($W769="",EB769=0),"",ROUND((VLOOKUP(ROUNDDOWN($D769-1/frec,0),cob_adi,DO$40,FALSE)*(1+i/frec)^-0.5*(1+Parámetros!$D$103)*(1+rec_fracc)/frec),6))</f>
        <v/>
      </c>
      <c r="EE769" s="66" t="str">
        <f t="shared" si="1083"/>
        <v/>
      </c>
      <c r="EF769" s="68" t="str">
        <f t="shared" si="1084"/>
        <v/>
      </c>
      <c r="EG769" s="66" t="str">
        <f>+IF($W769="","",ROUND(IF($B769&gt;Parámetros!$D$107,'Tablas Servicio'!EE769+('Tablas Servicio'!EG768-'Tablas Servicio'!EE768),EE769/(1-IF(B769&lt;=10,Parámetros!$D$100,0))),2))</f>
        <v/>
      </c>
      <c r="EH769" s="66" t="str">
        <f t="shared" si="1085"/>
        <v/>
      </c>
      <c r="EI769" s="66" t="str">
        <f t="shared" si="1085"/>
        <v/>
      </c>
      <c r="EJ769" s="66" t="str">
        <f>+IF($W769="","",ROUND((EG769*Parámetros!$G$85),2))</f>
        <v/>
      </c>
      <c r="EK769" s="66" t="str">
        <f>+IF($W769="","",ROUND((EG769*(Parámetros!$G$86)),2))</f>
        <v/>
      </c>
      <c r="EL769" s="66" t="str">
        <f t="shared" si="1086"/>
        <v/>
      </c>
    </row>
    <row r="770" spans="1:142" x14ac:dyDescent="0.25">
      <c r="A770" t="str">
        <f>+IF($C770="","",ROUND(VLOOKUP('Tablas Servicio'!B770,Parámetros!$H$100:$J$159,IF(Parámetros!$E$16="F",2,3),FALSE),2))</f>
        <v/>
      </c>
      <c r="B770" t="str">
        <f t="shared" si="1037"/>
        <v/>
      </c>
      <c r="C770" s="57" t="str">
        <f>+IF(D770="","",'Tablas Servicio'!C769+1)</f>
        <v/>
      </c>
      <c r="D770" s="56" t="str">
        <f>+IF(D769&lt;edadmaxtabla,D769+1/Parámetros!$E$25,"")</f>
        <v/>
      </c>
      <c r="E770" s="57" t="str">
        <f t="shared" si="1047"/>
        <v/>
      </c>
      <c r="F770" s="59" t="str">
        <f t="shared" si="1048"/>
        <v/>
      </c>
      <c r="G770" s="66" t="str">
        <f t="shared" si="1038"/>
        <v/>
      </c>
      <c r="H770" s="66" t="str">
        <f t="shared" si="1039"/>
        <v/>
      </c>
      <c r="I770" s="66" t="str">
        <f t="shared" si="1087"/>
        <v/>
      </c>
      <c r="J770" s="66" t="str">
        <f t="shared" si="1040"/>
        <v/>
      </c>
      <c r="K770" s="66" t="str">
        <f t="shared" si="1041"/>
        <v/>
      </c>
      <c r="L770" s="66" t="str">
        <f t="shared" si="1042"/>
        <v/>
      </c>
      <c r="M770" s="66" t="str">
        <f t="shared" si="1043"/>
        <v/>
      </c>
      <c r="N770" s="66" t="str">
        <f>+IF(C770="","",ROUND(Parámetros!$D$23,2))</f>
        <v/>
      </c>
      <c r="O770" s="66" t="str">
        <f t="shared" si="1044"/>
        <v/>
      </c>
      <c r="P770" s="66" t="str">
        <f>+IF($C770="","",ROUND(IF(B770&gt;Parámetros!$D$117,0,N770*Parámetros!$D$116-G770*Parámetros!$D$100),2))</f>
        <v/>
      </c>
      <c r="Q770" s="75" t="str">
        <f t="shared" si="1088"/>
        <v/>
      </c>
      <c r="R770" s="75" t="str">
        <f t="shared" si="1089"/>
        <v/>
      </c>
      <c r="S770" s="117" t="str">
        <f>+IF($C770="","",ROUND((S769+I770)*(1+Parámetros!$D$91),2))</f>
        <v/>
      </c>
      <c r="T770" s="117" t="str">
        <f>+IF($C770="","",ROUND(S770*VLOOKUP(B770,Parámetros!$C$30:$D$39,2,TRUE),2))</f>
        <v/>
      </c>
      <c r="U770" s="117" t="str">
        <f>+IF($C770="","",ROUND((U769+I770)*(1+Parámetros!$D$92),2))</f>
        <v/>
      </c>
      <c r="V770" s="117" t="str">
        <f>+IF($C770="","",ROUND(U770*VLOOKUP(B770,Parámetros!$C$30:$D$39,2,TRUE),2))</f>
        <v/>
      </c>
      <c r="W770" s="57" t="str">
        <f t="shared" si="1090"/>
        <v/>
      </c>
      <c r="X770" t="str">
        <f t="shared" si="1091"/>
        <v/>
      </c>
      <c r="Y770" t="str">
        <f t="shared" si="1092"/>
        <v/>
      </c>
      <c r="Z770" s="118" t="str">
        <f>+IF($W770="","",ROUND(IF(Parámetros!$D$25='TABLAS MORT'!$V$33,Z769,Parámetros!$D$21-'Tablas Servicio'!T769),0))</f>
        <v/>
      </c>
      <c r="AA770" s="118" t="str">
        <f t="shared" si="1093"/>
        <v/>
      </c>
      <c r="AB770" s="119" t="str">
        <f>+IF(W770="","",ROUND((VLOOKUP(ROUNDDOWN($D770-1/frec,0),qx_tabla,2,FALSE)*(1+i/frec)^-0.5*(1+Parámetros!$D$103)*(1+rec_fracc)/frec),6))</f>
        <v/>
      </c>
      <c r="AC770" s="66" t="str">
        <f t="shared" si="1049"/>
        <v/>
      </c>
      <c r="AD770" s="119" t="str">
        <f t="shared" si="1045"/>
        <v/>
      </c>
      <c r="AE770" s="66" t="str">
        <f>+IF($W770="","",ROUND(IF($B770&gt;Parámetros!$D$107,'Tablas Servicio'!AC770+('Tablas Servicio'!AG769-'Tablas Servicio'!AC769),AC770/(1-IF(B770&lt;=10,Parámetros!$D$104,Parámetros!$D$105))),2))</f>
        <v/>
      </c>
      <c r="AF770" s="66" t="str">
        <f>+IF($W770="","",ROUND(IF($B770&gt;Parámetros!$D$107,'Tablas Servicio'!AC770+('Tablas Servicio'!AG769-'Tablas Servicio'!AC769),(AC770+$A769/frec)/(1-IF(B770&lt;=Parámetros!$D$117,Parámetros!$D$100,0))),2))</f>
        <v/>
      </c>
      <c r="AG770" s="66" t="str">
        <f t="shared" si="1050"/>
        <v/>
      </c>
      <c r="AH770" s="66" t="str">
        <f t="shared" si="1051"/>
        <v/>
      </c>
      <c r="AI770" s="66" t="str">
        <f t="shared" si="1052"/>
        <v/>
      </c>
      <c r="AJ770" s="66" t="str">
        <f>+IF($W770="","",ROUND((AG770*Parámetros!$G$85),2))</f>
        <v/>
      </c>
      <c r="AK770" s="66" t="str">
        <f>+IF($W770="","",ROUND((AG770*(Parámetros!$G$86)),2))</f>
        <v/>
      </c>
      <c r="AL770" s="66" t="str">
        <f t="shared" si="1046"/>
        <v/>
      </c>
      <c r="AM770" t="str">
        <f t="shared" si="1094"/>
        <v/>
      </c>
      <c r="AN770" t="str">
        <f t="shared" si="1095"/>
        <v/>
      </c>
      <c r="AO770" s="118" t="str">
        <f t="shared" si="1096"/>
        <v/>
      </c>
      <c r="AP770" s="118" t="str">
        <f t="shared" si="1097"/>
        <v/>
      </c>
      <c r="AQ770" s="119" t="str">
        <f>+IF(OR($W770="",AO770=0),"",ROUND((VLOOKUP(ROUNDDOWN($D770-1/frec,0),cob_adi,Z$40,FALSE)*(1+i/frec)^-0.5*(1+Parámetros!$D$103)*(1+rec_fracc)/frec),6))</f>
        <v/>
      </c>
      <c r="AR770" s="66" t="str">
        <f t="shared" si="1053"/>
        <v/>
      </c>
      <c r="AS770" s="119" t="str">
        <f t="shared" si="1054"/>
        <v/>
      </c>
      <c r="AT770" s="66" t="str">
        <f>+IF($W770="","",ROUND(IF($B770&gt;Parámetros!$D$107,'Tablas Servicio'!AR770+('Tablas Servicio'!AT769-'Tablas Servicio'!AR769),AR770/(1-IF(B770&lt;=10,Parámetros!$D$100,0))),2))</f>
        <v/>
      </c>
      <c r="AU770" s="66" t="str">
        <f t="shared" si="1055"/>
        <v/>
      </c>
      <c r="AV770" s="66" t="str">
        <f t="shared" si="1055"/>
        <v/>
      </c>
      <c r="AW770" s="66" t="str">
        <f>+IF($W770="","",ROUND((AT770*Parámetros!$G$85),2))</f>
        <v/>
      </c>
      <c r="AX770" s="66" t="str">
        <f>+IF($W770="","",ROUND((AT770*(Parámetros!$G$86)),2))</f>
        <v/>
      </c>
      <c r="AY770" s="66" t="str">
        <f t="shared" si="1056"/>
        <v/>
      </c>
      <c r="AZ770" t="str">
        <f t="shared" si="1098"/>
        <v/>
      </c>
      <c r="BA770" t="str">
        <f t="shared" si="1099"/>
        <v/>
      </c>
      <c r="BB770" s="118" t="str">
        <f t="shared" si="1100"/>
        <v/>
      </c>
      <c r="BC770" s="118" t="str">
        <f t="shared" si="1101"/>
        <v/>
      </c>
      <c r="BD770" s="119" t="str">
        <f>+IF(OR($W770="",BB770=0),"",ROUND((VLOOKUP(ROUNDDOWN($D770-1/frec,0),cob_adi,AO$40,FALSE)*(1+i/frec)^-0.5*(1+Parámetros!$D$103)*(1+rec_fracc)/frec),6))</f>
        <v/>
      </c>
      <c r="BE770" s="66" t="str">
        <f t="shared" si="1057"/>
        <v/>
      </c>
      <c r="BF770" s="119" t="str">
        <f t="shared" si="1058"/>
        <v/>
      </c>
      <c r="BG770" s="66" t="str">
        <f>+IF($W770="","",ROUND(IF($B770&gt;Parámetros!$D$107,'Tablas Servicio'!BE770+('Tablas Servicio'!BG769-'Tablas Servicio'!BE769),BE770/(1-IF(B770&lt;=10,Parámetros!$D$100,0))),2))</f>
        <v/>
      </c>
      <c r="BH770" s="66" t="str">
        <f t="shared" si="1059"/>
        <v/>
      </c>
      <c r="BI770" s="66" t="str">
        <f t="shared" si="1060"/>
        <v/>
      </c>
      <c r="BJ770" s="66" t="str">
        <f>+IF($W770="","",ROUND((BG770*Parámetros!$G$85),2))</f>
        <v/>
      </c>
      <c r="BK770" s="66" t="str">
        <f>+IF($W770="","",ROUND((BG770*(Parámetros!$G$86)),2))</f>
        <v/>
      </c>
      <c r="BL770" s="66" t="str">
        <f t="shared" si="1061"/>
        <v/>
      </c>
      <c r="BM770" t="str">
        <f t="shared" si="1102"/>
        <v/>
      </c>
      <c r="BN770" t="str">
        <f t="shared" si="1103"/>
        <v/>
      </c>
      <c r="BO770" s="118" t="str">
        <f t="shared" si="1104"/>
        <v/>
      </c>
      <c r="BP770" s="118" t="str">
        <f t="shared" si="1105"/>
        <v/>
      </c>
      <c r="BQ770" s="119" t="str">
        <f>+IF(OR($W770="",BO770=0),"",ROUND((VLOOKUP(ROUNDDOWN($D770-1/frec,0),cob_adi,BB$40,FALSE)*(1+i/frec)^-0.5*(1+Parámetros!$D$103)*(1+rec_fracc)/frec),6))</f>
        <v/>
      </c>
      <c r="BR770" s="66" t="str">
        <f t="shared" si="1062"/>
        <v/>
      </c>
      <c r="BS770" s="119" t="str">
        <f t="shared" si="1063"/>
        <v/>
      </c>
      <c r="BT770" s="66" t="str">
        <f>+IF($W770="","",ROUND(IF($B770&gt;Parámetros!$D$107,'Tablas Servicio'!BR770+('Tablas Servicio'!BT769-'Tablas Servicio'!BR769),BR770/(1-IF(B770&lt;=10,Parámetros!$D$100,0))),2))</f>
        <v/>
      </c>
      <c r="BU770" s="66" t="str">
        <f t="shared" si="1064"/>
        <v/>
      </c>
      <c r="BV770" s="66" t="str">
        <f t="shared" si="1064"/>
        <v/>
      </c>
      <c r="BW770" s="66" t="str">
        <f>+IF($W770="","",ROUND((BT770*Parámetros!$G$85),2))</f>
        <v/>
      </c>
      <c r="BX770" s="66" t="str">
        <f>+IF($W770="","",ROUND((BT770*(Parámetros!$G$86)),2))</f>
        <v/>
      </c>
      <c r="BY770" s="66" t="str">
        <f t="shared" si="1065"/>
        <v/>
      </c>
      <c r="BZ770" t="str">
        <f t="shared" si="1106"/>
        <v/>
      </c>
      <c r="CA770" t="str">
        <f t="shared" si="1107"/>
        <v/>
      </c>
      <c r="CB770" s="118" t="str">
        <f t="shared" si="1108"/>
        <v/>
      </c>
      <c r="CC770" s="118" t="str">
        <f t="shared" si="1109"/>
        <v/>
      </c>
      <c r="CD770" s="119" t="str">
        <f t="shared" si="1066"/>
        <v/>
      </c>
      <c r="CE770" s="66" t="str">
        <f>+IF($W770="","",ROUND((VLOOKUP(ROUNDDOWN($D770-1/frec,0),cob_adi,BO$40,FALSE)*(1+i/frec)^-0.5*(1+Parámetros!$D$103)*(1+rec_fracc)/frec*'TABLAS ADI'!$BC$17),2))</f>
        <v/>
      </c>
      <c r="CF770" s="119" t="str">
        <f t="shared" si="1067"/>
        <v/>
      </c>
      <c r="CG770" s="66" t="str">
        <f>+IF($W770="","",ROUND(IF($B770&gt;Parámetros!$D$107,'Tablas Servicio'!CE770+('Tablas Servicio'!CG769-'Tablas Servicio'!CE769),CE770/(1-IF(B770&lt;=10,Parámetros!$D$100,0))),2))</f>
        <v/>
      </c>
      <c r="CH770" s="66" t="str">
        <f t="shared" si="1068"/>
        <v/>
      </c>
      <c r="CI770" s="66" t="str">
        <f t="shared" si="1068"/>
        <v/>
      </c>
      <c r="CJ770" s="66" t="str">
        <f>+IF($W770="","",ROUND((CG770*Parámetros!$G$85),2))</f>
        <v/>
      </c>
      <c r="CK770" s="66" t="str">
        <f>+IF($W770="","",ROUND((CG770*(Parámetros!$G$86)),2))</f>
        <v/>
      </c>
      <c r="CL770" s="66" t="str">
        <f t="shared" si="1069"/>
        <v/>
      </c>
      <c r="CM770" t="str">
        <f t="shared" si="1110"/>
        <v/>
      </c>
      <c r="CN770" s="118" t="str">
        <f t="shared" si="1111"/>
        <v/>
      </c>
      <c r="CO770" s="118" t="str">
        <f t="shared" si="1112"/>
        <v/>
      </c>
      <c r="CP770" s="118" t="str">
        <f t="shared" si="1113"/>
        <v/>
      </c>
      <c r="CQ770" s="119" t="str">
        <f t="shared" si="1070"/>
        <v/>
      </c>
      <c r="CR770" s="66" t="str">
        <f>+IF($W770="","",ROUND((VLOOKUP(Parámetros!$F$51,'COBERTURAS ADICIONALES'!$S$4:$T$32,2,FALSE)*(1+i/frec)^-0.5*(1+Parámetros!$D$103)*(1+rec_fracc)/frec*$CO$42),2))</f>
        <v/>
      </c>
      <c r="CS770" s="119" t="str">
        <f t="shared" si="1071"/>
        <v/>
      </c>
      <c r="CT770" s="66" t="str">
        <f>+IF($W770="","",ROUND(IF($B770&gt;Parámetros!$D$107,'Tablas Servicio'!CR770+('Tablas Servicio'!CT769-'Tablas Servicio'!CR769),CR770/(1-IF(B770&lt;=10,Parámetros!$D$100,0))),2))</f>
        <v/>
      </c>
      <c r="CU770" s="66" t="str">
        <f t="shared" si="1072"/>
        <v/>
      </c>
      <c r="CV770" s="66" t="str">
        <f t="shared" si="1072"/>
        <v/>
      </c>
      <c r="CW770" s="66" t="str">
        <f>+IF($W770="","",ROUND((CT770*Parámetros!$G$85),2))</f>
        <v/>
      </c>
      <c r="CX770" s="66" t="str">
        <f>+IF($W770="","",ROUND((CT770*(Parámetros!$G$86)),2))</f>
        <v/>
      </c>
      <c r="CY770" s="66" t="str">
        <f t="shared" si="1073"/>
        <v/>
      </c>
      <c r="CZ770" t="str">
        <f t="shared" si="1114"/>
        <v/>
      </c>
      <c r="DA770" s="118" t="str">
        <f t="shared" si="1115"/>
        <v/>
      </c>
      <c r="DB770" s="118" t="str">
        <f t="shared" si="1116"/>
        <v/>
      </c>
      <c r="DC770" s="118" t="str">
        <f t="shared" si="1117"/>
        <v/>
      </c>
      <c r="DD770" s="121" t="str">
        <f>+IF(OR($W770="",DB770=0),"",ROUND((VLOOKUP(ROUNDDOWN($D770-1/frec,0),cob_adi,CO$40,FALSE)*(1+i/frec)^-0.5*(1+Parámetros!$D$103)*(1+rec_fracc)/frec),6))</f>
        <v/>
      </c>
      <c r="DE770" s="66" t="str">
        <f t="shared" si="1074"/>
        <v/>
      </c>
      <c r="DF770" s="119" t="str">
        <f t="shared" si="1075"/>
        <v/>
      </c>
      <c r="DG770" s="66" t="str">
        <f>+IF($W770="","",ROUND(IF($B770&gt;Parámetros!$D$107,'Tablas Servicio'!DE770+('Tablas Servicio'!DG769-'Tablas Servicio'!DE769),DE770/(1-IF(B770&lt;=10,Parámetros!$D$100,0))),2))</f>
        <v/>
      </c>
      <c r="DH770" s="66" t="str">
        <f t="shared" si="1076"/>
        <v/>
      </c>
      <c r="DI770" s="66" t="str">
        <f t="shared" si="1076"/>
        <v/>
      </c>
      <c r="DJ770" s="66" t="str">
        <f>+IF($W770="","",ROUND((DG770*Parámetros!$G$85),2))</f>
        <v/>
      </c>
      <c r="DK770" s="66" t="str">
        <f>+IF($W770="","",ROUND((DG770*(Parámetros!$G$86)),2))</f>
        <v/>
      </c>
      <c r="DL770" s="66" t="str">
        <f t="shared" si="1077"/>
        <v/>
      </c>
      <c r="DM770" t="str">
        <f t="shared" si="1118"/>
        <v/>
      </c>
      <c r="DN770" s="118" t="str">
        <f t="shared" si="1119"/>
        <v/>
      </c>
      <c r="DO770" s="118" t="str">
        <f t="shared" si="1120"/>
        <v/>
      </c>
      <c r="DP770" s="118" t="str">
        <f t="shared" si="1121"/>
        <v/>
      </c>
      <c r="DQ770" s="122" t="str">
        <f>+IF(OR($W770="",DO770=0),"",ROUND((VLOOKUP(ROUNDDOWN($D770-1/frec,0),cob_adi,DB$40,FALSE)*(1+i/frec)^-0.5*(1+Parámetros!$D$103)*(1+rec_fracc)/frec),6))</f>
        <v/>
      </c>
      <c r="DR770" s="66" t="str">
        <f t="shared" si="1078"/>
        <v/>
      </c>
      <c r="DS770" s="68" t="str">
        <f t="shared" si="1079"/>
        <v/>
      </c>
      <c r="DT770" s="66" t="str">
        <f>+IF($W770="","",ROUND(IF($B770&gt;Parámetros!$D$107,'Tablas Servicio'!DR770+('Tablas Servicio'!DT769-'Tablas Servicio'!DR769),DR770/(1-IF(B770&lt;=10,Parámetros!$D$100,0))),2))</f>
        <v/>
      </c>
      <c r="DU770" s="66" t="str">
        <f t="shared" si="1080"/>
        <v/>
      </c>
      <c r="DV770" s="66" t="str">
        <f t="shared" si="1080"/>
        <v/>
      </c>
      <c r="DW770" s="66" t="str">
        <f>+IF($W770="","",ROUND((DT770*Parámetros!$G$85),2))</f>
        <v/>
      </c>
      <c r="DX770" s="66" t="str">
        <f>+IF($W770="","",ROUND((DT770*(Parámetros!$G$86)),2))</f>
        <v/>
      </c>
      <c r="DY770" s="66" t="str">
        <f t="shared" si="1081"/>
        <v/>
      </c>
      <c r="DZ770" t="str">
        <f t="shared" si="1122"/>
        <v/>
      </c>
      <c r="EA770" s="118" t="str">
        <f t="shared" si="1122"/>
        <v/>
      </c>
      <c r="EB770" s="118" t="str">
        <f>+IF($W770="","",ROUND(IF(Parámetros!$D$25='TABLAS MORT'!$V$33,EB769,Z770/2),0))</f>
        <v/>
      </c>
      <c r="EC770" s="118" t="str">
        <f t="shared" si="1122"/>
        <v/>
      </c>
      <c r="ED770" s="122" t="str">
        <f>+IF(OR($W770="",EB770=0),"",ROUND((VLOOKUP(ROUNDDOWN($D770-1/frec,0),cob_adi,DO$40,FALSE)*(1+i/frec)^-0.5*(1+Parámetros!$D$103)*(1+rec_fracc)/frec),6))</f>
        <v/>
      </c>
      <c r="EE770" s="66" t="str">
        <f t="shared" si="1083"/>
        <v/>
      </c>
      <c r="EF770" s="68" t="str">
        <f t="shared" si="1084"/>
        <v/>
      </c>
      <c r="EG770" s="66" t="str">
        <f>+IF($W770="","",ROUND(IF($B770&gt;Parámetros!$D$107,'Tablas Servicio'!EE770+('Tablas Servicio'!EG769-'Tablas Servicio'!EE769),EE770/(1-IF(B770&lt;=10,Parámetros!$D$100,0))),2))</f>
        <v/>
      </c>
      <c r="EH770" s="66" t="str">
        <f t="shared" si="1085"/>
        <v/>
      </c>
      <c r="EI770" s="66" t="str">
        <f t="shared" si="1085"/>
        <v/>
      </c>
      <c r="EJ770" s="66" t="str">
        <f>+IF($W770="","",ROUND((EG770*Parámetros!$G$85),2))</f>
        <v/>
      </c>
      <c r="EK770" s="66" t="str">
        <f>+IF($W770="","",ROUND((EG770*(Parámetros!$G$86)),2))</f>
        <v/>
      </c>
      <c r="EL770" s="66" t="str">
        <f t="shared" si="1086"/>
        <v/>
      </c>
    </row>
    <row r="771" spans="1:142" x14ac:dyDescent="0.25">
      <c r="A771" t="str">
        <f>+IF($C771="","",ROUND(VLOOKUP('Tablas Servicio'!B771,Parámetros!$H$100:$J$159,IF(Parámetros!$E$16="F",2,3),FALSE),2))</f>
        <v/>
      </c>
      <c r="B771" t="str">
        <f t="shared" si="1037"/>
        <v/>
      </c>
      <c r="C771" s="57" t="str">
        <f>+IF(D771="","",'Tablas Servicio'!C770+1)</f>
        <v/>
      </c>
      <c r="D771" s="56" t="str">
        <f>+IF(D770&lt;edadmaxtabla,D770+1/Parámetros!$E$25,"")</f>
        <v/>
      </c>
      <c r="E771" s="57" t="str">
        <f t="shared" si="1047"/>
        <v/>
      </c>
      <c r="F771" s="59" t="str">
        <f t="shared" si="1048"/>
        <v/>
      </c>
      <c r="G771" s="66" t="str">
        <f t="shared" si="1038"/>
        <v/>
      </c>
      <c r="H771" s="66" t="str">
        <f t="shared" si="1039"/>
        <v/>
      </c>
      <c r="I771" s="66" t="str">
        <f t="shared" si="1087"/>
        <v/>
      </c>
      <c r="J771" s="66" t="str">
        <f t="shared" si="1040"/>
        <v/>
      </c>
      <c r="K771" s="66" t="str">
        <f t="shared" si="1041"/>
        <v/>
      </c>
      <c r="L771" s="66" t="str">
        <f t="shared" si="1042"/>
        <v/>
      </c>
      <c r="M771" s="66" t="str">
        <f t="shared" si="1043"/>
        <v/>
      </c>
      <c r="N771" s="66" t="str">
        <f>+IF(C771="","",ROUND(Parámetros!$D$23,2))</f>
        <v/>
      </c>
      <c r="O771" s="66" t="str">
        <f t="shared" si="1044"/>
        <v/>
      </c>
      <c r="P771" s="66" t="str">
        <f>+IF($C771="","",ROUND(IF(B771&gt;Parámetros!$D$117,0,N771*Parámetros!$D$116-G771*Parámetros!$D$100),2))</f>
        <v/>
      </c>
      <c r="Q771" s="75" t="str">
        <f t="shared" si="1088"/>
        <v/>
      </c>
      <c r="R771" s="75" t="str">
        <f t="shared" si="1089"/>
        <v/>
      </c>
      <c r="S771" s="117" t="str">
        <f>+IF($C771="","",ROUND((S770+I771)*(1+Parámetros!$D$91),2))</f>
        <v/>
      </c>
      <c r="T771" s="117" t="str">
        <f>+IF($C771="","",ROUND(S771*VLOOKUP(B771,Parámetros!$C$30:$D$39,2,TRUE),2))</f>
        <v/>
      </c>
      <c r="U771" s="117" t="str">
        <f>+IF($C771="","",ROUND((U770+I771)*(1+Parámetros!$D$92),2))</f>
        <v/>
      </c>
      <c r="V771" s="117" t="str">
        <f>+IF($C771="","",ROUND(U771*VLOOKUP(B771,Parámetros!$C$30:$D$39,2,TRUE),2))</f>
        <v/>
      </c>
      <c r="W771" s="57" t="str">
        <f t="shared" si="1090"/>
        <v/>
      </c>
      <c r="X771" t="str">
        <f t="shared" si="1091"/>
        <v/>
      </c>
      <c r="Y771" t="str">
        <f t="shared" si="1092"/>
        <v/>
      </c>
      <c r="Z771" s="118" t="str">
        <f>+IF($W771="","",ROUND(IF(Parámetros!$D$25='TABLAS MORT'!$V$33,Z770,Parámetros!$D$21-'Tablas Servicio'!T770),0))</f>
        <v/>
      </c>
      <c r="AA771" s="118" t="str">
        <f t="shared" si="1093"/>
        <v/>
      </c>
      <c r="AB771" s="119" t="str">
        <f>+IF(W771="","",ROUND((VLOOKUP(ROUNDDOWN($D771-1/frec,0),qx_tabla,2,FALSE)*(1+i/frec)^-0.5*(1+Parámetros!$D$103)*(1+rec_fracc)/frec),6))</f>
        <v/>
      </c>
      <c r="AC771" s="66" t="str">
        <f t="shared" si="1049"/>
        <v/>
      </c>
      <c r="AD771" s="119" t="str">
        <f t="shared" si="1045"/>
        <v/>
      </c>
      <c r="AE771" s="66" t="str">
        <f>+IF($W771="","",ROUND(IF($B771&gt;Parámetros!$D$107,'Tablas Servicio'!AC771+('Tablas Servicio'!AG770-'Tablas Servicio'!AC770),AC771/(1-IF(B771&lt;=10,Parámetros!$D$104,Parámetros!$D$105))),2))</f>
        <v/>
      </c>
      <c r="AF771" s="66" t="str">
        <f>+IF($W771="","",ROUND(IF($B771&gt;Parámetros!$D$107,'Tablas Servicio'!AC771+('Tablas Servicio'!AG770-'Tablas Servicio'!AC770),(AC771+$A770/frec)/(1-IF(B771&lt;=Parámetros!$D$117,Parámetros!$D$100,0))),2))</f>
        <v/>
      </c>
      <c r="AG771" s="66" t="str">
        <f t="shared" si="1050"/>
        <v/>
      </c>
      <c r="AH771" s="66" t="str">
        <f t="shared" si="1051"/>
        <v/>
      </c>
      <c r="AI771" s="66" t="str">
        <f t="shared" si="1052"/>
        <v/>
      </c>
      <c r="AJ771" s="66" t="str">
        <f>+IF($W771="","",ROUND((AG771*Parámetros!$G$85),2))</f>
        <v/>
      </c>
      <c r="AK771" s="66" t="str">
        <f>+IF($W771="","",ROUND((AG771*(Parámetros!$G$86)),2))</f>
        <v/>
      </c>
      <c r="AL771" s="66" t="str">
        <f t="shared" si="1046"/>
        <v/>
      </c>
      <c r="AM771" t="str">
        <f t="shared" si="1094"/>
        <v/>
      </c>
      <c r="AN771" t="str">
        <f t="shared" si="1095"/>
        <v/>
      </c>
      <c r="AO771" s="118" t="str">
        <f t="shared" si="1096"/>
        <v/>
      </c>
      <c r="AP771" s="118" t="str">
        <f t="shared" si="1097"/>
        <v/>
      </c>
      <c r="AQ771" s="119" t="str">
        <f>+IF(OR($W771="",AO771=0),"",ROUND((VLOOKUP(ROUNDDOWN($D771-1/frec,0),cob_adi,Z$40,FALSE)*(1+i/frec)^-0.5*(1+Parámetros!$D$103)*(1+rec_fracc)/frec),6))</f>
        <v/>
      </c>
      <c r="AR771" s="66" t="str">
        <f t="shared" si="1053"/>
        <v/>
      </c>
      <c r="AS771" s="119" t="str">
        <f t="shared" si="1054"/>
        <v/>
      </c>
      <c r="AT771" s="66" t="str">
        <f>+IF($W771="","",ROUND(IF($B771&gt;Parámetros!$D$107,'Tablas Servicio'!AR771+('Tablas Servicio'!AT770-'Tablas Servicio'!AR770),AR771/(1-IF(B771&lt;=10,Parámetros!$D$100,0))),2))</f>
        <v/>
      </c>
      <c r="AU771" s="66" t="str">
        <f t="shared" si="1055"/>
        <v/>
      </c>
      <c r="AV771" s="66" t="str">
        <f t="shared" si="1055"/>
        <v/>
      </c>
      <c r="AW771" s="66" t="str">
        <f>+IF($W771="","",ROUND((AT771*Parámetros!$G$85),2))</f>
        <v/>
      </c>
      <c r="AX771" s="66" t="str">
        <f>+IF($W771="","",ROUND((AT771*(Parámetros!$G$86)),2))</f>
        <v/>
      </c>
      <c r="AY771" s="66" t="str">
        <f t="shared" si="1056"/>
        <v/>
      </c>
      <c r="AZ771" t="str">
        <f t="shared" si="1098"/>
        <v/>
      </c>
      <c r="BA771" t="str">
        <f t="shared" si="1099"/>
        <v/>
      </c>
      <c r="BB771" s="118" t="str">
        <f t="shared" si="1100"/>
        <v/>
      </c>
      <c r="BC771" s="118" t="str">
        <f t="shared" si="1101"/>
        <v/>
      </c>
      <c r="BD771" s="119" t="str">
        <f>+IF(OR($W771="",BB771=0),"",ROUND((VLOOKUP(ROUNDDOWN($D771-1/frec,0),cob_adi,AO$40,FALSE)*(1+i/frec)^-0.5*(1+Parámetros!$D$103)*(1+rec_fracc)/frec),6))</f>
        <v/>
      </c>
      <c r="BE771" s="66" t="str">
        <f t="shared" si="1057"/>
        <v/>
      </c>
      <c r="BF771" s="119" t="str">
        <f t="shared" si="1058"/>
        <v/>
      </c>
      <c r="BG771" s="66" t="str">
        <f>+IF($W771="","",ROUND(IF($B771&gt;Parámetros!$D$107,'Tablas Servicio'!BE771+('Tablas Servicio'!BG770-'Tablas Servicio'!BE770),BE771/(1-IF(B771&lt;=10,Parámetros!$D$100,0))),2))</f>
        <v/>
      </c>
      <c r="BH771" s="66" t="str">
        <f t="shared" si="1059"/>
        <v/>
      </c>
      <c r="BI771" s="66" t="str">
        <f t="shared" si="1060"/>
        <v/>
      </c>
      <c r="BJ771" s="66" t="str">
        <f>+IF($W771="","",ROUND((BG771*Parámetros!$G$85),2))</f>
        <v/>
      </c>
      <c r="BK771" s="66" t="str">
        <f>+IF($W771="","",ROUND((BG771*(Parámetros!$G$86)),2))</f>
        <v/>
      </c>
      <c r="BL771" s="66" t="str">
        <f t="shared" si="1061"/>
        <v/>
      </c>
      <c r="BM771" t="str">
        <f t="shared" si="1102"/>
        <v/>
      </c>
      <c r="BN771" t="str">
        <f t="shared" si="1103"/>
        <v/>
      </c>
      <c r="BO771" s="118" t="str">
        <f t="shared" si="1104"/>
        <v/>
      </c>
      <c r="BP771" s="118" t="str">
        <f t="shared" si="1105"/>
        <v/>
      </c>
      <c r="BQ771" s="119" t="str">
        <f>+IF(OR($W771="",BO771=0),"",ROUND((VLOOKUP(ROUNDDOWN($D771-1/frec,0),cob_adi,BB$40,FALSE)*(1+i/frec)^-0.5*(1+Parámetros!$D$103)*(1+rec_fracc)/frec),6))</f>
        <v/>
      </c>
      <c r="BR771" s="66" t="str">
        <f t="shared" si="1062"/>
        <v/>
      </c>
      <c r="BS771" s="119" t="str">
        <f t="shared" si="1063"/>
        <v/>
      </c>
      <c r="BT771" s="66" t="str">
        <f>+IF($W771="","",ROUND(IF($B771&gt;Parámetros!$D$107,'Tablas Servicio'!BR771+('Tablas Servicio'!BT770-'Tablas Servicio'!BR770),BR771/(1-IF(B771&lt;=10,Parámetros!$D$100,0))),2))</f>
        <v/>
      </c>
      <c r="BU771" s="66" t="str">
        <f t="shared" si="1064"/>
        <v/>
      </c>
      <c r="BV771" s="66" t="str">
        <f t="shared" si="1064"/>
        <v/>
      </c>
      <c r="BW771" s="66" t="str">
        <f>+IF($W771="","",ROUND((BT771*Parámetros!$G$85),2))</f>
        <v/>
      </c>
      <c r="BX771" s="66" t="str">
        <f>+IF($W771="","",ROUND((BT771*(Parámetros!$G$86)),2))</f>
        <v/>
      </c>
      <c r="BY771" s="66" t="str">
        <f t="shared" si="1065"/>
        <v/>
      </c>
      <c r="BZ771" t="str">
        <f t="shared" si="1106"/>
        <v/>
      </c>
      <c r="CA771" t="str">
        <f t="shared" si="1107"/>
        <v/>
      </c>
      <c r="CB771" s="118" t="str">
        <f t="shared" si="1108"/>
        <v/>
      </c>
      <c r="CC771" s="118" t="str">
        <f t="shared" si="1109"/>
        <v/>
      </c>
      <c r="CD771" s="119" t="str">
        <f t="shared" si="1066"/>
        <v/>
      </c>
      <c r="CE771" s="66" t="str">
        <f>+IF($W771="","",ROUND((VLOOKUP(ROUNDDOWN($D771-1/frec,0),cob_adi,BO$40,FALSE)*(1+i/frec)^-0.5*(1+Parámetros!$D$103)*(1+rec_fracc)/frec*'TABLAS ADI'!$BC$17),2))</f>
        <v/>
      </c>
      <c r="CF771" s="119" t="str">
        <f t="shared" si="1067"/>
        <v/>
      </c>
      <c r="CG771" s="66" t="str">
        <f>+IF($W771="","",ROUND(IF($B771&gt;Parámetros!$D$107,'Tablas Servicio'!CE771+('Tablas Servicio'!CG770-'Tablas Servicio'!CE770),CE771/(1-IF(B771&lt;=10,Parámetros!$D$100,0))),2))</f>
        <v/>
      </c>
      <c r="CH771" s="66" t="str">
        <f t="shared" si="1068"/>
        <v/>
      </c>
      <c r="CI771" s="66" t="str">
        <f t="shared" si="1068"/>
        <v/>
      </c>
      <c r="CJ771" s="66" t="str">
        <f>+IF($W771="","",ROUND((CG771*Parámetros!$G$85),2))</f>
        <v/>
      </c>
      <c r="CK771" s="66" t="str">
        <f>+IF($W771="","",ROUND((CG771*(Parámetros!$G$86)),2))</f>
        <v/>
      </c>
      <c r="CL771" s="66" t="str">
        <f t="shared" si="1069"/>
        <v/>
      </c>
      <c r="CM771" t="str">
        <f t="shared" si="1110"/>
        <v/>
      </c>
      <c r="CN771" s="118" t="str">
        <f t="shared" si="1111"/>
        <v/>
      </c>
      <c r="CO771" s="118" t="str">
        <f t="shared" si="1112"/>
        <v/>
      </c>
      <c r="CP771" s="118" t="str">
        <f t="shared" si="1113"/>
        <v/>
      </c>
      <c r="CQ771" s="119" t="str">
        <f t="shared" si="1070"/>
        <v/>
      </c>
      <c r="CR771" s="66" t="str">
        <f>+IF($W771="","",ROUND((VLOOKUP(Parámetros!$F$51,'COBERTURAS ADICIONALES'!$S$4:$T$32,2,FALSE)*(1+i/frec)^-0.5*(1+Parámetros!$D$103)*(1+rec_fracc)/frec*$CO$42),2))</f>
        <v/>
      </c>
      <c r="CS771" s="119" t="str">
        <f t="shared" si="1071"/>
        <v/>
      </c>
      <c r="CT771" s="66" t="str">
        <f>+IF($W771="","",ROUND(IF($B771&gt;Parámetros!$D$107,'Tablas Servicio'!CR771+('Tablas Servicio'!CT770-'Tablas Servicio'!CR770),CR771/(1-IF(B771&lt;=10,Parámetros!$D$100,0))),2))</f>
        <v/>
      </c>
      <c r="CU771" s="66" t="str">
        <f t="shared" si="1072"/>
        <v/>
      </c>
      <c r="CV771" s="66" t="str">
        <f t="shared" si="1072"/>
        <v/>
      </c>
      <c r="CW771" s="66" t="str">
        <f>+IF($W771="","",ROUND((CT771*Parámetros!$G$85),2))</f>
        <v/>
      </c>
      <c r="CX771" s="66" t="str">
        <f>+IF($W771="","",ROUND((CT771*(Parámetros!$G$86)),2))</f>
        <v/>
      </c>
      <c r="CY771" s="66" t="str">
        <f t="shared" si="1073"/>
        <v/>
      </c>
      <c r="CZ771" t="str">
        <f t="shared" si="1114"/>
        <v/>
      </c>
      <c r="DA771" s="118" t="str">
        <f t="shared" si="1115"/>
        <v/>
      </c>
      <c r="DB771" s="118" t="str">
        <f t="shared" si="1116"/>
        <v/>
      </c>
      <c r="DC771" s="118" t="str">
        <f t="shared" si="1117"/>
        <v/>
      </c>
      <c r="DD771" s="121" t="str">
        <f>+IF(OR($W771="",DB771=0),"",ROUND((VLOOKUP(ROUNDDOWN($D771-1/frec,0),cob_adi,CO$40,FALSE)*(1+i/frec)^-0.5*(1+Parámetros!$D$103)*(1+rec_fracc)/frec),6))</f>
        <v/>
      </c>
      <c r="DE771" s="66" t="str">
        <f t="shared" si="1074"/>
        <v/>
      </c>
      <c r="DF771" s="119" t="str">
        <f t="shared" si="1075"/>
        <v/>
      </c>
      <c r="DG771" s="66" t="str">
        <f>+IF($W771="","",ROUND(IF($B771&gt;Parámetros!$D$107,'Tablas Servicio'!DE771+('Tablas Servicio'!DG770-'Tablas Servicio'!DE770),DE771/(1-IF(B771&lt;=10,Parámetros!$D$100,0))),2))</f>
        <v/>
      </c>
      <c r="DH771" s="66" t="str">
        <f t="shared" si="1076"/>
        <v/>
      </c>
      <c r="DI771" s="66" t="str">
        <f t="shared" si="1076"/>
        <v/>
      </c>
      <c r="DJ771" s="66" t="str">
        <f>+IF($W771="","",ROUND((DG771*Parámetros!$G$85),2))</f>
        <v/>
      </c>
      <c r="DK771" s="66" t="str">
        <f>+IF($W771="","",ROUND((DG771*(Parámetros!$G$86)),2))</f>
        <v/>
      </c>
      <c r="DL771" s="66" t="str">
        <f t="shared" si="1077"/>
        <v/>
      </c>
      <c r="DM771" t="str">
        <f t="shared" si="1118"/>
        <v/>
      </c>
      <c r="DN771" s="118" t="str">
        <f t="shared" si="1119"/>
        <v/>
      </c>
      <c r="DO771" s="118" t="str">
        <f t="shared" si="1120"/>
        <v/>
      </c>
      <c r="DP771" s="118" t="str">
        <f t="shared" si="1121"/>
        <v/>
      </c>
      <c r="DQ771" s="122" t="str">
        <f>+IF(OR($W771="",DO771=0),"",ROUND((VLOOKUP(ROUNDDOWN($D771-1/frec,0),cob_adi,DB$40,FALSE)*(1+i/frec)^-0.5*(1+Parámetros!$D$103)*(1+rec_fracc)/frec),6))</f>
        <v/>
      </c>
      <c r="DR771" s="66" t="str">
        <f t="shared" si="1078"/>
        <v/>
      </c>
      <c r="DS771" s="68" t="str">
        <f t="shared" si="1079"/>
        <v/>
      </c>
      <c r="DT771" s="66" t="str">
        <f>+IF($W771="","",ROUND(IF($B771&gt;Parámetros!$D$107,'Tablas Servicio'!DR771+('Tablas Servicio'!DT770-'Tablas Servicio'!DR770),DR771/(1-IF(B771&lt;=10,Parámetros!$D$100,0))),2))</f>
        <v/>
      </c>
      <c r="DU771" s="66" t="str">
        <f t="shared" si="1080"/>
        <v/>
      </c>
      <c r="DV771" s="66" t="str">
        <f t="shared" si="1080"/>
        <v/>
      </c>
      <c r="DW771" s="66" t="str">
        <f>+IF($W771="","",ROUND((DT771*Parámetros!$G$85),2))</f>
        <v/>
      </c>
      <c r="DX771" s="66" t="str">
        <f>+IF($W771="","",ROUND((DT771*(Parámetros!$G$86)),2))</f>
        <v/>
      </c>
      <c r="DY771" s="66" t="str">
        <f t="shared" si="1081"/>
        <v/>
      </c>
      <c r="DZ771" t="str">
        <f t="shared" si="1122"/>
        <v/>
      </c>
      <c r="EA771" s="118" t="str">
        <f t="shared" si="1122"/>
        <v/>
      </c>
      <c r="EB771" s="118" t="str">
        <f>+IF($W771="","",ROUND(IF(Parámetros!$D$25='TABLAS MORT'!$V$33,EB770,Z771/2),0))</f>
        <v/>
      </c>
      <c r="EC771" s="118" t="str">
        <f t="shared" si="1122"/>
        <v/>
      </c>
      <c r="ED771" s="122" t="str">
        <f>+IF(OR($W771="",EB771=0),"",ROUND((VLOOKUP(ROUNDDOWN($D771-1/frec,0),cob_adi,DO$40,FALSE)*(1+i/frec)^-0.5*(1+Parámetros!$D$103)*(1+rec_fracc)/frec),6))</f>
        <v/>
      </c>
      <c r="EE771" s="66" t="str">
        <f t="shared" si="1083"/>
        <v/>
      </c>
      <c r="EF771" s="68" t="str">
        <f t="shared" si="1084"/>
        <v/>
      </c>
      <c r="EG771" s="66" t="str">
        <f>+IF($W771="","",ROUND(IF($B771&gt;Parámetros!$D$107,'Tablas Servicio'!EE771+('Tablas Servicio'!EG770-'Tablas Servicio'!EE770),EE771/(1-IF(B771&lt;=10,Parámetros!$D$100,0))),2))</f>
        <v/>
      </c>
      <c r="EH771" s="66" t="str">
        <f t="shared" si="1085"/>
        <v/>
      </c>
      <c r="EI771" s="66" t="str">
        <f t="shared" si="1085"/>
        <v/>
      </c>
      <c r="EJ771" s="66" t="str">
        <f>+IF($W771="","",ROUND((EG771*Parámetros!$G$85),2))</f>
        <v/>
      </c>
      <c r="EK771" s="66" t="str">
        <f>+IF($W771="","",ROUND((EG771*(Parámetros!$G$86)),2))</f>
        <v/>
      </c>
      <c r="EL771" s="66" t="str">
        <f t="shared" si="1086"/>
        <v/>
      </c>
    </row>
    <row r="772" spans="1:142" x14ac:dyDescent="0.25">
      <c r="A772" t="str">
        <f>+IF($C772="","",ROUND(VLOOKUP('Tablas Servicio'!B772,Parámetros!$H$100:$J$159,IF(Parámetros!$E$16="F",2,3),FALSE),2))</f>
        <v/>
      </c>
      <c r="B772" t="str">
        <f t="shared" si="1037"/>
        <v/>
      </c>
      <c r="C772" s="57" t="str">
        <f>+IF(D772="","",'Tablas Servicio'!C771+1)</f>
        <v/>
      </c>
      <c r="D772" s="56" t="str">
        <f>+IF(D771&lt;edadmaxtabla,D771+1/Parámetros!$E$25,"")</f>
        <v/>
      </c>
      <c r="E772" s="57" t="str">
        <f t="shared" si="1047"/>
        <v/>
      </c>
      <c r="F772" s="59" t="str">
        <f t="shared" si="1048"/>
        <v/>
      </c>
      <c r="G772" s="66" t="str">
        <f t="shared" si="1038"/>
        <v/>
      </c>
      <c r="H772" s="66" t="str">
        <f t="shared" si="1039"/>
        <v/>
      </c>
      <c r="I772" s="66" t="str">
        <f t="shared" si="1087"/>
        <v/>
      </c>
      <c r="J772" s="66" t="str">
        <f t="shared" si="1040"/>
        <v/>
      </c>
      <c r="K772" s="66" t="str">
        <f t="shared" si="1041"/>
        <v/>
      </c>
      <c r="L772" s="66" t="str">
        <f t="shared" si="1042"/>
        <v/>
      </c>
      <c r="M772" s="66" t="str">
        <f t="shared" si="1043"/>
        <v/>
      </c>
      <c r="N772" s="66" t="str">
        <f>+IF(C772="","",ROUND(Parámetros!$D$23,2))</f>
        <v/>
      </c>
      <c r="O772" s="66" t="str">
        <f t="shared" si="1044"/>
        <v/>
      </c>
      <c r="P772" s="66" t="str">
        <f>+IF($C772="","",ROUND(IF(B772&gt;Parámetros!$D$117,0,N772*Parámetros!$D$116-G772*Parámetros!$D$100),2))</f>
        <v/>
      </c>
      <c r="Q772" s="75" t="str">
        <f t="shared" si="1088"/>
        <v/>
      </c>
      <c r="R772" s="75" t="str">
        <f t="shared" si="1089"/>
        <v/>
      </c>
      <c r="S772" s="117" t="str">
        <f>+IF($C772="","",ROUND((S771+I772)*(1+Parámetros!$D$91),2))</f>
        <v/>
      </c>
      <c r="T772" s="117" t="str">
        <f>+IF($C772="","",ROUND(S772*VLOOKUP(B772,Parámetros!$C$30:$D$39,2,TRUE),2))</f>
        <v/>
      </c>
      <c r="U772" s="117" t="str">
        <f>+IF($C772="","",ROUND((U771+I772)*(1+Parámetros!$D$92),2))</f>
        <v/>
      </c>
      <c r="V772" s="117" t="str">
        <f>+IF($C772="","",ROUND(U772*VLOOKUP(B772,Parámetros!$C$30:$D$39,2,TRUE),2))</f>
        <v/>
      </c>
      <c r="W772" s="57" t="str">
        <f t="shared" si="1090"/>
        <v/>
      </c>
      <c r="X772" t="str">
        <f t="shared" si="1091"/>
        <v/>
      </c>
      <c r="Y772" t="str">
        <f t="shared" si="1092"/>
        <v/>
      </c>
      <c r="Z772" s="118" t="str">
        <f>+IF($W772="","",ROUND(IF(Parámetros!$D$25='TABLAS MORT'!$V$33,Z771,Parámetros!$D$21-'Tablas Servicio'!T771),0))</f>
        <v/>
      </c>
      <c r="AA772" s="118" t="str">
        <f t="shared" si="1093"/>
        <v/>
      </c>
      <c r="AB772" s="119" t="str">
        <f>+IF(W772="","",ROUND((VLOOKUP(ROUNDDOWN($D772-1/frec,0),qx_tabla,2,FALSE)*(1+i/frec)^-0.5*(1+Parámetros!$D$103)*(1+rec_fracc)/frec),6))</f>
        <v/>
      </c>
      <c r="AC772" s="66" t="str">
        <f t="shared" si="1049"/>
        <v/>
      </c>
      <c r="AD772" s="119" t="str">
        <f t="shared" si="1045"/>
        <v/>
      </c>
      <c r="AE772" s="66" t="str">
        <f>+IF($W772="","",ROUND(IF($B772&gt;Parámetros!$D$107,'Tablas Servicio'!AC772+('Tablas Servicio'!AG771-'Tablas Servicio'!AC771),AC772/(1-IF(B772&lt;=10,Parámetros!$D$104,Parámetros!$D$105))),2))</f>
        <v/>
      </c>
      <c r="AF772" s="66" t="str">
        <f>+IF($W772="","",ROUND(IF($B772&gt;Parámetros!$D$107,'Tablas Servicio'!AC772+('Tablas Servicio'!AG771-'Tablas Servicio'!AC771),(AC772+$A771/frec)/(1-IF(B772&lt;=Parámetros!$D$117,Parámetros!$D$100,0))),2))</f>
        <v/>
      </c>
      <c r="AG772" s="66" t="str">
        <f t="shared" si="1050"/>
        <v/>
      </c>
      <c r="AH772" s="66" t="str">
        <f t="shared" si="1051"/>
        <v/>
      </c>
      <c r="AI772" s="66" t="str">
        <f t="shared" si="1052"/>
        <v/>
      </c>
      <c r="AJ772" s="66" t="str">
        <f>+IF($W772="","",ROUND((AG772*Parámetros!$G$85),2))</f>
        <v/>
      </c>
      <c r="AK772" s="66" t="str">
        <f>+IF($W772="","",ROUND((AG772*(Parámetros!$G$86)),2))</f>
        <v/>
      </c>
      <c r="AL772" s="66" t="str">
        <f t="shared" si="1046"/>
        <v/>
      </c>
      <c r="AM772" t="str">
        <f t="shared" si="1094"/>
        <v/>
      </c>
      <c r="AN772" t="str">
        <f t="shared" si="1095"/>
        <v/>
      </c>
      <c r="AO772" s="118" t="str">
        <f t="shared" si="1096"/>
        <v/>
      </c>
      <c r="AP772" s="118" t="str">
        <f t="shared" si="1097"/>
        <v/>
      </c>
      <c r="AQ772" s="119" t="str">
        <f>+IF(OR($W772="",AO772=0),"",ROUND((VLOOKUP(ROUNDDOWN($D772-1/frec,0),cob_adi,Z$40,FALSE)*(1+i/frec)^-0.5*(1+Parámetros!$D$103)*(1+rec_fracc)/frec),6))</f>
        <v/>
      </c>
      <c r="AR772" s="66" t="str">
        <f t="shared" si="1053"/>
        <v/>
      </c>
      <c r="AS772" s="119" t="str">
        <f t="shared" si="1054"/>
        <v/>
      </c>
      <c r="AT772" s="66" t="str">
        <f>+IF($W772="","",ROUND(IF($B772&gt;Parámetros!$D$107,'Tablas Servicio'!AR772+('Tablas Servicio'!AT771-'Tablas Servicio'!AR771),AR772/(1-IF(B772&lt;=10,Parámetros!$D$100,0))),2))</f>
        <v/>
      </c>
      <c r="AU772" s="66" t="str">
        <f t="shared" si="1055"/>
        <v/>
      </c>
      <c r="AV772" s="66" t="str">
        <f t="shared" si="1055"/>
        <v/>
      </c>
      <c r="AW772" s="66" t="str">
        <f>+IF($W772="","",ROUND((AT772*Parámetros!$G$85),2))</f>
        <v/>
      </c>
      <c r="AX772" s="66" t="str">
        <f>+IF($W772="","",ROUND((AT772*(Parámetros!$G$86)),2))</f>
        <v/>
      </c>
      <c r="AY772" s="66" t="str">
        <f t="shared" si="1056"/>
        <v/>
      </c>
      <c r="AZ772" t="str">
        <f t="shared" si="1098"/>
        <v/>
      </c>
      <c r="BA772" t="str">
        <f t="shared" si="1099"/>
        <v/>
      </c>
      <c r="BB772" s="118" t="str">
        <f t="shared" si="1100"/>
        <v/>
      </c>
      <c r="BC772" s="118" t="str">
        <f t="shared" si="1101"/>
        <v/>
      </c>
      <c r="BD772" s="119" t="str">
        <f>+IF(OR($W772="",BB772=0),"",ROUND((VLOOKUP(ROUNDDOWN($D772-1/frec,0),cob_adi,AO$40,FALSE)*(1+i/frec)^-0.5*(1+Parámetros!$D$103)*(1+rec_fracc)/frec),6))</f>
        <v/>
      </c>
      <c r="BE772" s="66" t="str">
        <f t="shared" si="1057"/>
        <v/>
      </c>
      <c r="BF772" s="119" t="str">
        <f t="shared" si="1058"/>
        <v/>
      </c>
      <c r="BG772" s="66" t="str">
        <f>+IF($W772="","",ROUND(IF($B772&gt;Parámetros!$D$107,'Tablas Servicio'!BE772+('Tablas Servicio'!BG771-'Tablas Servicio'!BE771),BE772/(1-IF(B772&lt;=10,Parámetros!$D$100,0))),2))</f>
        <v/>
      </c>
      <c r="BH772" s="66" t="str">
        <f t="shared" si="1059"/>
        <v/>
      </c>
      <c r="BI772" s="66" t="str">
        <f t="shared" si="1060"/>
        <v/>
      </c>
      <c r="BJ772" s="66" t="str">
        <f>+IF($W772="","",ROUND((BG772*Parámetros!$G$85),2))</f>
        <v/>
      </c>
      <c r="BK772" s="66" t="str">
        <f>+IF($W772="","",ROUND((BG772*(Parámetros!$G$86)),2))</f>
        <v/>
      </c>
      <c r="BL772" s="66" t="str">
        <f t="shared" si="1061"/>
        <v/>
      </c>
      <c r="BM772" t="str">
        <f t="shared" si="1102"/>
        <v/>
      </c>
      <c r="BN772" t="str">
        <f t="shared" si="1103"/>
        <v/>
      </c>
      <c r="BO772" s="118" t="str">
        <f t="shared" si="1104"/>
        <v/>
      </c>
      <c r="BP772" s="118" t="str">
        <f t="shared" si="1105"/>
        <v/>
      </c>
      <c r="BQ772" s="119" t="str">
        <f>+IF(OR($W772="",BO772=0),"",ROUND((VLOOKUP(ROUNDDOWN($D772-1/frec,0),cob_adi,BB$40,FALSE)*(1+i/frec)^-0.5*(1+Parámetros!$D$103)*(1+rec_fracc)/frec),6))</f>
        <v/>
      </c>
      <c r="BR772" s="66" t="str">
        <f t="shared" si="1062"/>
        <v/>
      </c>
      <c r="BS772" s="119" t="str">
        <f t="shared" si="1063"/>
        <v/>
      </c>
      <c r="BT772" s="66" t="str">
        <f>+IF($W772="","",ROUND(IF($B772&gt;Parámetros!$D$107,'Tablas Servicio'!BR772+('Tablas Servicio'!BT771-'Tablas Servicio'!BR771),BR772/(1-IF(B772&lt;=10,Parámetros!$D$100,0))),2))</f>
        <v/>
      </c>
      <c r="BU772" s="66" t="str">
        <f t="shared" si="1064"/>
        <v/>
      </c>
      <c r="BV772" s="66" t="str">
        <f t="shared" si="1064"/>
        <v/>
      </c>
      <c r="BW772" s="66" t="str">
        <f>+IF($W772="","",ROUND((BT772*Parámetros!$G$85),2))</f>
        <v/>
      </c>
      <c r="BX772" s="66" t="str">
        <f>+IF($W772="","",ROUND((BT772*(Parámetros!$G$86)),2))</f>
        <v/>
      </c>
      <c r="BY772" s="66" t="str">
        <f t="shared" si="1065"/>
        <v/>
      </c>
      <c r="BZ772" t="str">
        <f t="shared" si="1106"/>
        <v/>
      </c>
      <c r="CA772" t="str">
        <f t="shared" si="1107"/>
        <v/>
      </c>
      <c r="CB772" s="118" t="str">
        <f t="shared" si="1108"/>
        <v/>
      </c>
      <c r="CC772" s="118" t="str">
        <f t="shared" si="1109"/>
        <v/>
      </c>
      <c r="CD772" s="119" t="str">
        <f t="shared" si="1066"/>
        <v/>
      </c>
      <c r="CE772" s="66" t="str">
        <f>+IF($W772="","",ROUND((VLOOKUP(ROUNDDOWN($D772-1/frec,0),cob_adi,BO$40,FALSE)*(1+i/frec)^-0.5*(1+Parámetros!$D$103)*(1+rec_fracc)/frec*'TABLAS ADI'!$BC$17),2))</f>
        <v/>
      </c>
      <c r="CF772" s="119" t="str">
        <f t="shared" si="1067"/>
        <v/>
      </c>
      <c r="CG772" s="66" t="str">
        <f>+IF($W772="","",ROUND(IF($B772&gt;Parámetros!$D$107,'Tablas Servicio'!CE772+('Tablas Servicio'!CG771-'Tablas Servicio'!CE771),CE772/(1-IF(B772&lt;=10,Parámetros!$D$100,0))),2))</f>
        <v/>
      </c>
      <c r="CH772" s="66" t="str">
        <f t="shared" si="1068"/>
        <v/>
      </c>
      <c r="CI772" s="66" t="str">
        <f t="shared" si="1068"/>
        <v/>
      </c>
      <c r="CJ772" s="66" t="str">
        <f>+IF($W772="","",ROUND((CG772*Parámetros!$G$85),2))</f>
        <v/>
      </c>
      <c r="CK772" s="66" t="str">
        <f>+IF($W772="","",ROUND((CG772*(Parámetros!$G$86)),2))</f>
        <v/>
      </c>
      <c r="CL772" s="66" t="str">
        <f t="shared" si="1069"/>
        <v/>
      </c>
      <c r="CM772" t="str">
        <f t="shared" si="1110"/>
        <v/>
      </c>
      <c r="CN772" s="118" t="str">
        <f t="shared" si="1111"/>
        <v/>
      </c>
      <c r="CO772" s="118" t="str">
        <f t="shared" si="1112"/>
        <v/>
      </c>
      <c r="CP772" s="118" t="str">
        <f t="shared" si="1113"/>
        <v/>
      </c>
      <c r="CQ772" s="119" t="str">
        <f t="shared" si="1070"/>
        <v/>
      </c>
      <c r="CR772" s="66" t="str">
        <f>+IF($W772="","",ROUND((VLOOKUP(Parámetros!$F$51,'COBERTURAS ADICIONALES'!$S$4:$T$32,2,FALSE)*(1+i/frec)^-0.5*(1+Parámetros!$D$103)*(1+rec_fracc)/frec*$CO$42),2))</f>
        <v/>
      </c>
      <c r="CS772" s="119" t="str">
        <f t="shared" si="1071"/>
        <v/>
      </c>
      <c r="CT772" s="66" t="str">
        <f>+IF($W772="","",ROUND(IF($B772&gt;Parámetros!$D$107,'Tablas Servicio'!CR772+('Tablas Servicio'!CT771-'Tablas Servicio'!CR771),CR772/(1-IF(B772&lt;=10,Parámetros!$D$100,0))),2))</f>
        <v/>
      </c>
      <c r="CU772" s="66" t="str">
        <f t="shared" si="1072"/>
        <v/>
      </c>
      <c r="CV772" s="66" t="str">
        <f t="shared" si="1072"/>
        <v/>
      </c>
      <c r="CW772" s="66" t="str">
        <f>+IF($W772="","",ROUND((CT772*Parámetros!$G$85),2))</f>
        <v/>
      </c>
      <c r="CX772" s="66" t="str">
        <f>+IF($W772="","",ROUND((CT772*(Parámetros!$G$86)),2))</f>
        <v/>
      </c>
      <c r="CY772" s="66" t="str">
        <f t="shared" si="1073"/>
        <v/>
      </c>
      <c r="CZ772" t="str">
        <f t="shared" si="1114"/>
        <v/>
      </c>
      <c r="DA772" s="118" t="str">
        <f t="shared" si="1115"/>
        <v/>
      </c>
      <c r="DB772" s="118" t="str">
        <f t="shared" si="1116"/>
        <v/>
      </c>
      <c r="DC772" s="118" t="str">
        <f t="shared" si="1117"/>
        <v/>
      </c>
      <c r="DD772" s="121" t="str">
        <f>+IF(OR($W772="",DB772=0),"",ROUND((VLOOKUP(ROUNDDOWN($D772-1/frec,0),cob_adi,CO$40,FALSE)*(1+i/frec)^-0.5*(1+Parámetros!$D$103)*(1+rec_fracc)/frec),6))</f>
        <v/>
      </c>
      <c r="DE772" s="66" t="str">
        <f t="shared" si="1074"/>
        <v/>
      </c>
      <c r="DF772" s="119" t="str">
        <f t="shared" si="1075"/>
        <v/>
      </c>
      <c r="DG772" s="66" t="str">
        <f>+IF($W772="","",ROUND(IF($B772&gt;Parámetros!$D$107,'Tablas Servicio'!DE772+('Tablas Servicio'!DG771-'Tablas Servicio'!DE771),DE772/(1-IF(B772&lt;=10,Parámetros!$D$100,0))),2))</f>
        <v/>
      </c>
      <c r="DH772" s="66" t="str">
        <f t="shared" si="1076"/>
        <v/>
      </c>
      <c r="DI772" s="66" t="str">
        <f t="shared" si="1076"/>
        <v/>
      </c>
      <c r="DJ772" s="66" t="str">
        <f>+IF($W772="","",ROUND((DG772*Parámetros!$G$85),2))</f>
        <v/>
      </c>
      <c r="DK772" s="66" t="str">
        <f>+IF($W772="","",ROUND((DG772*(Parámetros!$G$86)),2))</f>
        <v/>
      </c>
      <c r="DL772" s="66" t="str">
        <f t="shared" si="1077"/>
        <v/>
      </c>
      <c r="DM772" t="str">
        <f t="shared" si="1118"/>
        <v/>
      </c>
      <c r="DN772" s="118" t="str">
        <f t="shared" si="1119"/>
        <v/>
      </c>
      <c r="DO772" s="118" t="str">
        <f t="shared" si="1120"/>
        <v/>
      </c>
      <c r="DP772" s="118" t="str">
        <f t="shared" si="1121"/>
        <v/>
      </c>
      <c r="DQ772" s="122" t="str">
        <f>+IF(OR($W772="",DO772=0),"",ROUND((VLOOKUP(ROUNDDOWN($D772-1/frec,0),cob_adi,DB$40,FALSE)*(1+i/frec)^-0.5*(1+Parámetros!$D$103)*(1+rec_fracc)/frec),6))</f>
        <v/>
      </c>
      <c r="DR772" s="66" t="str">
        <f t="shared" si="1078"/>
        <v/>
      </c>
      <c r="DS772" s="68" t="str">
        <f t="shared" si="1079"/>
        <v/>
      </c>
      <c r="DT772" s="66" t="str">
        <f>+IF($W772="","",ROUND(IF($B772&gt;Parámetros!$D$107,'Tablas Servicio'!DR772+('Tablas Servicio'!DT771-'Tablas Servicio'!DR771),DR772/(1-IF(B772&lt;=10,Parámetros!$D$100,0))),2))</f>
        <v/>
      </c>
      <c r="DU772" s="66" t="str">
        <f t="shared" si="1080"/>
        <v/>
      </c>
      <c r="DV772" s="66" t="str">
        <f t="shared" si="1080"/>
        <v/>
      </c>
      <c r="DW772" s="66" t="str">
        <f>+IF($W772="","",ROUND((DT772*Parámetros!$G$85),2))</f>
        <v/>
      </c>
      <c r="DX772" s="66" t="str">
        <f>+IF($W772="","",ROUND((DT772*(Parámetros!$G$86)),2))</f>
        <v/>
      </c>
      <c r="DY772" s="66" t="str">
        <f t="shared" si="1081"/>
        <v/>
      </c>
      <c r="DZ772" t="str">
        <f t="shared" si="1122"/>
        <v/>
      </c>
      <c r="EA772" s="118" t="str">
        <f t="shared" si="1122"/>
        <v/>
      </c>
      <c r="EB772" s="118" t="str">
        <f>+IF($W772="","",ROUND(IF(Parámetros!$D$25='TABLAS MORT'!$V$33,EB771,Z772/2),0))</f>
        <v/>
      </c>
      <c r="EC772" s="118" t="str">
        <f t="shared" si="1122"/>
        <v/>
      </c>
      <c r="ED772" s="122" t="str">
        <f>+IF(OR($W772="",EB772=0),"",ROUND((VLOOKUP(ROUNDDOWN($D772-1/frec,0),cob_adi,DO$40,FALSE)*(1+i/frec)^-0.5*(1+Parámetros!$D$103)*(1+rec_fracc)/frec),6))</f>
        <v/>
      </c>
      <c r="EE772" s="66" t="str">
        <f t="shared" si="1083"/>
        <v/>
      </c>
      <c r="EF772" s="68" t="str">
        <f t="shared" si="1084"/>
        <v/>
      </c>
      <c r="EG772" s="66" t="str">
        <f>+IF($W772="","",ROUND(IF($B772&gt;Parámetros!$D$107,'Tablas Servicio'!EE772+('Tablas Servicio'!EG771-'Tablas Servicio'!EE771),EE772/(1-IF(B772&lt;=10,Parámetros!$D$100,0))),2))</f>
        <v/>
      </c>
      <c r="EH772" s="66" t="str">
        <f t="shared" si="1085"/>
        <v/>
      </c>
      <c r="EI772" s="66" t="str">
        <f t="shared" si="1085"/>
        <v/>
      </c>
      <c r="EJ772" s="66" t="str">
        <f>+IF($W772="","",ROUND((EG772*Parámetros!$G$85),2))</f>
        <v/>
      </c>
      <c r="EK772" s="66" t="str">
        <f>+IF($W772="","",ROUND((EG772*(Parámetros!$G$86)),2))</f>
        <v/>
      </c>
      <c r="EL772" s="66" t="str">
        <f t="shared" si="1086"/>
        <v/>
      </c>
    </row>
    <row r="773" spans="1:142" x14ac:dyDescent="0.25">
      <c r="A773" t="str">
        <f>+IF($C773="","",ROUND(VLOOKUP('Tablas Servicio'!B773,Parámetros!$H$100:$J$159,IF(Parámetros!$E$16="F",2,3),FALSE),2))</f>
        <v/>
      </c>
      <c r="B773" t="str">
        <f t="shared" si="1037"/>
        <v/>
      </c>
      <c r="C773" s="57" t="str">
        <f>+IF(D773="","",'Tablas Servicio'!C772+1)</f>
        <v/>
      </c>
      <c r="D773" s="56" t="str">
        <f>+IF(D772&lt;edadmaxtabla,D772+1/Parámetros!$E$25,"")</f>
        <v/>
      </c>
      <c r="E773" s="57" t="str">
        <f t="shared" si="1047"/>
        <v/>
      </c>
      <c r="F773" s="59" t="str">
        <f t="shared" si="1048"/>
        <v/>
      </c>
      <c r="G773" s="66" t="str">
        <f t="shared" si="1038"/>
        <v/>
      </c>
      <c r="H773" s="66" t="str">
        <f t="shared" si="1039"/>
        <v/>
      </c>
      <c r="I773" s="66" t="str">
        <f t="shared" si="1087"/>
        <v/>
      </c>
      <c r="J773" s="66" t="str">
        <f t="shared" si="1040"/>
        <v/>
      </c>
      <c r="K773" s="66" t="str">
        <f t="shared" si="1041"/>
        <v/>
      </c>
      <c r="L773" s="66" t="str">
        <f t="shared" si="1042"/>
        <v/>
      </c>
      <c r="M773" s="66" t="str">
        <f t="shared" si="1043"/>
        <v/>
      </c>
      <c r="N773" s="66" t="str">
        <f>+IF(C773="","",ROUND(Parámetros!$D$23,2))</f>
        <v/>
      </c>
      <c r="O773" s="66" t="str">
        <f t="shared" si="1044"/>
        <v/>
      </c>
      <c r="P773" s="66" t="str">
        <f>+IF($C773="","",ROUND(IF(B773&gt;Parámetros!$D$117,0,N773*Parámetros!$D$116-G773*Parámetros!$D$100),2))</f>
        <v/>
      </c>
      <c r="Q773" s="75" t="str">
        <f t="shared" si="1088"/>
        <v/>
      </c>
      <c r="R773" s="75" t="str">
        <f t="shared" si="1089"/>
        <v/>
      </c>
      <c r="S773" s="117" t="str">
        <f>+IF($C773="","",ROUND((S772+I773)*(1+Parámetros!$D$91),2))</f>
        <v/>
      </c>
      <c r="T773" s="117" t="str">
        <f>+IF($C773="","",ROUND(S773*VLOOKUP(B773,Parámetros!$C$30:$D$39,2,TRUE),2))</f>
        <v/>
      </c>
      <c r="U773" s="117" t="str">
        <f>+IF($C773="","",ROUND((U772+I773)*(1+Parámetros!$D$92),2))</f>
        <v/>
      </c>
      <c r="V773" s="117" t="str">
        <f>+IF($C773="","",ROUND(U773*VLOOKUP(B773,Parámetros!$C$30:$D$39,2,TRUE),2))</f>
        <v/>
      </c>
      <c r="W773" s="57" t="str">
        <f t="shared" si="1090"/>
        <v/>
      </c>
      <c r="X773" t="str">
        <f t="shared" si="1091"/>
        <v/>
      </c>
      <c r="Y773" t="str">
        <f t="shared" si="1092"/>
        <v/>
      </c>
      <c r="Z773" s="118" t="str">
        <f>+IF($W773="","",ROUND(IF(Parámetros!$D$25='TABLAS MORT'!$V$33,Z772,Parámetros!$D$21-'Tablas Servicio'!T772),0))</f>
        <v/>
      </c>
      <c r="AA773" s="118" t="str">
        <f t="shared" si="1093"/>
        <v/>
      </c>
      <c r="AB773" s="119" t="str">
        <f>+IF(W773="","",ROUND((VLOOKUP(ROUNDDOWN($D773-1/frec,0),qx_tabla,2,FALSE)*(1+i/frec)^-0.5*(1+Parámetros!$D$103)*(1+rec_fracc)/frec),6))</f>
        <v/>
      </c>
      <c r="AC773" s="66" t="str">
        <f t="shared" si="1049"/>
        <v/>
      </c>
      <c r="AD773" s="119" t="str">
        <f t="shared" si="1045"/>
        <v/>
      </c>
      <c r="AE773" s="66" t="str">
        <f>+IF($W773="","",ROUND(IF($B773&gt;Parámetros!$D$107,'Tablas Servicio'!AC773+('Tablas Servicio'!AG772-'Tablas Servicio'!AC772),AC773/(1-IF(B773&lt;=10,Parámetros!$D$104,Parámetros!$D$105))),2))</f>
        <v/>
      </c>
      <c r="AF773" s="66" t="str">
        <f>+IF($W773="","",ROUND(IF($B773&gt;Parámetros!$D$107,'Tablas Servicio'!AC773+('Tablas Servicio'!AG772-'Tablas Servicio'!AC772),(AC773+$A772/frec)/(1-IF(B773&lt;=Parámetros!$D$117,Parámetros!$D$100,0))),2))</f>
        <v/>
      </c>
      <c r="AG773" s="66" t="str">
        <f t="shared" si="1050"/>
        <v/>
      </c>
      <c r="AH773" s="66" t="str">
        <f t="shared" si="1051"/>
        <v/>
      </c>
      <c r="AI773" s="66" t="str">
        <f t="shared" si="1052"/>
        <v/>
      </c>
      <c r="AJ773" s="66" t="str">
        <f>+IF($W773="","",ROUND((AG773*Parámetros!$G$85),2))</f>
        <v/>
      </c>
      <c r="AK773" s="66" t="str">
        <f>+IF($W773="","",ROUND((AG773*(Parámetros!$G$86)),2))</f>
        <v/>
      </c>
      <c r="AL773" s="66" t="str">
        <f t="shared" si="1046"/>
        <v/>
      </c>
      <c r="AM773" t="str">
        <f t="shared" si="1094"/>
        <v/>
      </c>
      <c r="AN773" t="str">
        <f t="shared" si="1095"/>
        <v/>
      </c>
      <c r="AO773" s="118" t="str">
        <f t="shared" si="1096"/>
        <v/>
      </c>
      <c r="AP773" s="118" t="str">
        <f t="shared" si="1097"/>
        <v/>
      </c>
      <c r="AQ773" s="119" t="str">
        <f>+IF(OR($W773="",AO773=0),"",ROUND((VLOOKUP(ROUNDDOWN($D773-1/frec,0),cob_adi,Z$40,FALSE)*(1+i/frec)^-0.5*(1+Parámetros!$D$103)*(1+rec_fracc)/frec),6))</f>
        <v/>
      </c>
      <c r="AR773" s="66" t="str">
        <f t="shared" si="1053"/>
        <v/>
      </c>
      <c r="AS773" s="119" t="str">
        <f t="shared" si="1054"/>
        <v/>
      </c>
      <c r="AT773" s="66" t="str">
        <f>+IF($W773="","",ROUND(IF($B773&gt;Parámetros!$D$107,'Tablas Servicio'!AR773+('Tablas Servicio'!AT772-'Tablas Servicio'!AR772),AR773/(1-IF(B773&lt;=10,Parámetros!$D$100,0))),2))</f>
        <v/>
      </c>
      <c r="AU773" s="66" t="str">
        <f t="shared" si="1055"/>
        <v/>
      </c>
      <c r="AV773" s="66" t="str">
        <f t="shared" si="1055"/>
        <v/>
      </c>
      <c r="AW773" s="66" t="str">
        <f>+IF($W773="","",ROUND((AT773*Parámetros!$G$85),2))</f>
        <v/>
      </c>
      <c r="AX773" s="66" t="str">
        <f>+IF($W773="","",ROUND((AT773*(Parámetros!$G$86)),2))</f>
        <v/>
      </c>
      <c r="AY773" s="66" t="str">
        <f t="shared" si="1056"/>
        <v/>
      </c>
      <c r="AZ773" t="str">
        <f t="shared" si="1098"/>
        <v/>
      </c>
      <c r="BA773" t="str">
        <f t="shared" si="1099"/>
        <v/>
      </c>
      <c r="BB773" s="118" t="str">
        <f t="shared" si="1100"/>
        <v/>
      </c>
      <c r="BC773" s="118" t="str">
        <f t="shared" si="1101"/>
        <v/>
      </c>
      <c r="BD773" s="119" t="str">
        <f>+IF(OR($W773="",BB773=0),"",ROUND((VLOOKUP(ROUNDDOWN($D773-1/frec,0),cob_adi,AO$40,FALSE)*(1+i/frec)^-0.5*(1+Parámetros!$D$103)*(1+rec_fracc)/frec),6))</f>
        <v/>
      </c>
      <c r="BE773" s="66" t="str">
        <f t="shared" si="1057"/>
        <v/>
      </c>
      <c r="BF773" s="119" t="str">
        <f t="shared" si="1058"/>
        <v/>
      </c>
      <c r="BG773" s="66" t="str">
        <f>+IF($W773="","",ROUND(IF($B773&gt;Parámetros!$D$107,'Tablas Servicio'!BE773+('Tablas Servicio'!BG772-'Tablas Servicio'!BE772),BE773/(1-IF(B773&lt;=10,Parámetros!$D$100,0))),2))</f>
        <v/>
      </c>
      <c r="BH773" s="66" t="str">
        <f t="shared" si="1059"/>
        <v/>
      </c>
      <c r="BI773" s="66" t="str">
        <f t="shared" si="1060"/>
        <v/>
      </c>
      <c r="BJ773" s="66" t="str">
        <f>+IF($W773="","",ROUND((BG773*Parámetros!$G$85),2))</f>
        <v/>
      </c>
      <c r="BK773" s="66" t="str">
        <f>+IF($W773="","",ROUND((BG773*(Parámetros!$G$86)),2))</f>
        <v/>
      </c>
      <c r="BL773" s="66" t="str">
        <f t="shared" si="1061"/>
        <v/>
      </c>
      <c r="BM773" t="str">
        <f t="shared" si="1102"/>
        <v/>
      </c>
      <c r="BN773" t="str">
        <f t="shared" si="1103"/>
        <v/>
      </c>
      <c r="BO773" s="118" t="str">
        <f t="shared" si="1104"/>
        <v/>
      </c>
      <c r="BP773" s="118" t="str">
        <f t="shared" si="1105"/>
        <v/>
      </c>
      <c r="BQ773" s="119" t="str">
        <f>+IF(OR($W773="",BO773=0),"",ROUND((VLOOKUP(ROUNDDOWN($D773-1/frec,0),cob_adi,BB$40,FALSE)*(1+i/frec)^-0.5*(1+Parámetros!$D$103)*(1+rec_fracc)/frec),6))</f>
        <v/>
      </c>
      <c r="BR773" s="66" t="str">
        <f t="shared" si="1062"/>
        <v/>
      </c>
      <c r="BS773" s="119" t="str">
        <f t="shared" si="1063"/>
        <v/>
      </c>
      <c r="BT773" s="66" t="str">
        <f>+IF($W773="","",ROUND(IF($B773&gt;Parámetros!$D$107,'Tablas Servicio'!BR773+('Tablas Servicio'!BT772-'Tablas Servicio'!BR772),BR773/(1-IF(B773&lt;=10,Parámetros!$D$100,0))),2))</f>
        <v/>
      </c>
      <c r="BU773" s="66" t="str">
        <f t="shared" si="1064"/>
        <v/>
      </c>
      <c r="BV773" s="66" t="str">
        <f t="shared" si="1064"/>
        <v/>
      </c>
      <c r="BW773" s="66" t="str">
        <f>+IF($W773="","",ROUND((BT773*Parámetros!$G$85),2))</f>
        <v/>
      </c>
      <c r="BX773" s="66" t="str">
        <f>+IF($W773="","",ROUND((BT773*(Parámetros!$G$86)),2))</f>
        <v/>
      </c>
      <c r="BY773" s="66" t="str">
        <f t="shared" si="1065"/>
        <v/>
      </c>
      <c r="BZ773" t="str">
        <f t="shared" si="1106"/>
        <v/>
      </c>
      <c r="CA773" t="str">
        <f t="shared" si="1107"/>
        <v/>
      </c>
      <c r="CB773" s="118" t="str">
        <f t="shared" si="1108"/>
        <v/>
      </c>
      <c r="CC773" s="118" t="str">
        <f t="shared" si="1109"/>
        <v/>
      </c>
      <c r="CD773" s="119" t="str">
        <f t="shared" si="1066"/>
        <v/>
      </c>
      <c r="CE773" s="66" t="str">
        <f>+IF($W773="","",ROUND((VLOOKUP(ROUNDDOWN($D773-1/frec,0),cob_adi,BO$40,FALSE)*(1+i/frec)^-0.5*(1+Parámetros!$D$103)*(1+rec_fracc)/frec*'TABLAS ADI'!$BC$17),2))</f>
        <v/>
      </c>
      <c r="CF773" s="119" t="str">
        <f t="shared" si="1067"/>
        <v/>
      </c>
      <c r="CG773" s="66" t="str">
        <f>+IF($W773="","",ROUND(IF($B773&gt;Parámetros!$D$107,'Tablas Servicio'!CE773+('Tablas Servicio'!CG772-'Tablas Servicio'!CE772),CE773/(1-IF(B773&lt;=10,Parámetros!$D$100,0))),2))</f>
        <v/>
      </c>
      <c r="CH773" s="66" t="str">
        <f t="shared" si="1068"/>
        <v/>
      </c>
      <c r="CI773" s="66" t="str">
        <f t="shared" si="1068"/>
        <v/>
      </c>
      <c r="CJ773" s="66" t="str">
        <f>+IF($W773="","",ROUND((CG773*Parámetros!$G$85),2))</f>
        <v/>
      </c>
      <c r="CK773" s="66" t="str">
        <f>+IF($W773="","",ROUND((CG773*(Parámetros!$G$86)),2))</f>
        <v/>
      </c>
      <c r="CL773" s="66" t="str">
        <f t="shared" si="1069"/>
        <v/>
      </c>
      <c r="CM773" t="str">
        <f t="shared" si="1110"/>
        <v/>
      </c>
      <c r="CN773" s="118" t="str">
        <f t="shared" si="1111"/>
        <v/>
      </c>
      <c r="CO773" s="118" t="str">
        <f t="shared" si="1112"/>
        <v/>
      </c>
      <c r="CP773" s="118" t="str">
        <f t="shared" si="1113"/>
        <v/>
      </c>
      <c r="CQ773" s="119" t="str">
        <f t="shared" si="1070"/>
        <v/>
      </c>
      <c r="CR773" s="66" t="str">
        <f>+IF($W773="","",ROUND((VLOOKUP(Parámetros!$F$51,'COBERTURAS ADICIONALES'!$S$4:$T$32,2,FALSE)*(1+i/frec)^-0.5*(1+Parámetros!$D$103)*(1+rec_fracc)/frec*$CO$42),2))</f>
        <v/>
      </c>
      <c r="CS773" s="119" t="str">
        <f t="shared" si="1071"/>
        <v/>
      </c>
      <c r="CT773" s="66" t="str">
        <f>+IF($W773="","",ROUND(IF($B773&gt;Parámetros!$D$107,'Tablas Servicio'!CR773+('Tablas Servicio'!CT772-'Tablas Servicio'!CR772),CR773/(1-IF(B773&lt;=10,Parámetros!$D$100,0))),2))</f>
        <v/>
      </c>
      <c r="CU773" s="66" t="str">
        <f t="shared" si="1072"/>
        <v/>
      </c>
      <c r="CV773" s="66" t="str">
        <f t="shared" si="1072"/>
        <v/>
      </c>
      <c r="CW773" s="66" t="str">
        <f>+IF($W773="","",ROUND((CT773*Parámetros!$G$85),2))</f>
        <v/>
      </c>
      <c r="CX773" s="66" t="str">
        <f>+IF($W773="","",ROUND((CT773*(Parámetros!$G$86)),2))</f>
        <v/>
      </c>
      <c r="CY773" s="66" t="str">
        <f t="shared" si="1073"/>
        <v/>
      </c>
      <c r="CZ773" t="str">
        <f t="shared" si="1114"/>
        <v/>
      </c>
      <c r="DA773" s="118" t="str">
        <f t="shared" si="1115"/>
        <v/>
      </c>
      <c r="DB773" s="118" t="str">
        <f t="shared" si="1116"/>
        <v/>
      </c>
      <c r="DC773" s="118" t="str">
        <f t="shared" si="1117"/>
        <v/>
      </c>
      <c r="DD773" s="121" t="str">
        <f>+IF(OR($W773="",DB773=0),"",ROUND((VLOOKUP(ROUNDDOWN($D773-1/frec,0),cob_adi,CO$40,FALSE)*(1+i/frec)^-0.5*(1+Parámetros!$D$103)*(1+rec_fracc)/frec),6))</f>
        <v/>
      </c>
      <c r="DE773" s="66" t="str">
        <f t="shared" si="1074"/>
        <v/>
      </c>
      <c r="DF773" s="119" t="str">
        <f t="shared" si="1075"/>
        <v/>
      </c>
      <c r="DG773" s="66" t="str">
        <f>+IF($W773="","",ROUND(IF($B773&gt;Parámetros!$D$107,'Tablas Servicio'!DE773+('Tablas Servicio'!DG772-'Tablas Servicio'!DE772),DE773/(1-IF(B773&lt;=10,Parámetros!$D$100,0))),2))</f>
        <v/>
      </c>
      <c r="DH773" s="66" t="str">
        <f t="shared" si="1076"/>
        <v/>
      </c>
      <c r="DI773" s="66" t="str">
        <f t="shared" si="1076"/>
        <v/>
      </c>
      <c r="DJ773" s="66" t="str">
        <f>+IF($W773="","",ROUND((DG773*Parámetros!$G$85),2))</f>
        <v/>
      </c>
      <c r="DK773" s="66" t="str">
        <f>+IF($W773="","",ROUND((DG773*(Parámetros!$G$86)),2))</f>
        <v/>
      </c>
      <c r="DL773" s="66" t="str">
        <f t="shared" si="1077"/>
        <v/>
      </c>
      <c r="DM773" t="str">
        <f t="shared" si="1118"/>
        <v/>
      </c>
      <c r="DN773" s="118" t="str">
        <f t="shared" si="1119"/>
        <v/>
      </c>
      <c r="DO773" s="118" t="str">
        <f t="shared" si="1120"/>
        <v/>
      </c>
      <c r="DP773" s="118" t="str">
        <f t="shared" si="1121"/>
        <v/>
      </c>
      <c r="DQ773" s="122" t="str">
        <f>+IF(OR($W773="",DO773=0),"",ROUND((VLOOKUP(ROUNDDOWN($D773-1/frec,0),cob_adi,DB$40,FALSE)*(1+i/frec)^-0.5*(1+Parámetros!$D$103)*(1+rec_fracc)/frec),6))</f>
        <v/>
      </c>
      <c r="DR773" s="66" t="str">
        <f t="shared" si="1078"/>
        <v/>
      </c>
      <c r="DS773" s="68" t="str">
        <f t="shared" si="1079"/>
        <v/>
      </c>
      <c r="DT773" s="66" t="str">
        <f>+IF($W773="","",ROUND(IF($B773&gt;Parámetros!$D$107,'Tablas Servicio'!DR773+('Tablas Servicio'!DT772-'Tablas Servicio'!DR772),DR773/(1-IF(B773&lt;=10,Parámetros!$D$100,0))),2))</f>
        <v/>
      </c>
      <c r="DU773" s="66" t="str">
        <f t="shared" si="1080"/>
        <v/>
      </c>
      <c r="DV773" s="66" t="str">
        <f t="shared" si="1080"/>
        <v/>
      </c>
      <c r="DW773" s="66" t="str">
        <f>+IF($W773="","",ROUND((DT773*Parámetros!$G$85),2))</f>
        <v/>
      </c>
      <c r="DX773" s="66" t="str">
        <f>+IF($W773="","",ROUND((DT773*(Parámetros!$G$86)),2))</f>
        <v/>
      </c>
      <c r="DY773" s="66" t="str">
        <f t="shared" si="1081"/>
        <v/>
      </c>
      <c r="DZ773" t="str">
        <f t="shared" si="1122"/>
        <v/>
      </c>
      <c r="EA773" s="118" t="str">
        <f t="shared" si="1122"/>
        <v/>
      </c>
      <c r="EB773" s="118" t="str">
        <f>+IF($W773="","",ROUND(IF(Parámetros!$D$25='TABLAS MORT'!$V$33,EB772,Z773/2),0))</f>
        <v/>
      </c>
      <c r="EC773" s="118" t="str">
        <f t="shared" si="1122"/>
        <v/>
      </c>
      <c r="ED773" s="122" t="str">
        <f>+IF(OR($W773="",EB773=0),"",ROUND((VLOOKUP(ROUNDDOWN($D773-1/frec,0),cob_adi,DO$40,FALSE)*(1+i/frec)^-0.5*(1+Parámetros!$D$103)*(1+rec_fracc)/frec),6))</f>
        <v/>
      </c>
      <c r="EE773" s="66" t="str">
        <f t="shared" si="1083"/>
        <v/>
      </c>
      <c r="EF773" s="68" t="str">
        <f t="shared" si="1084"/>
        <v/>
      </c>
      <c r="EG773" s="66" t="str">
        <f>+IF($W773="","",ROUND(IF($B773&gt;Parámetros!$D$107,'Tablas Servicio'!EE773+('Tablas Servicio'!EG772-'Tablas Servicio'!EE772),EE773/(1-IF(B773&lt;=10,Parámetros!$D$100,0))),2))</f>
        <v/>
      </c>
      <c r="EH773" s="66" t="str">
        <f t="shared" si="1085"/>
        <v/>
      </c>
      <c r="EI773" s="66" t="str">
        <f t="shared" si="1085"/>
        <v/>
      </c>
      <c r="EJ773" s="66" t="str">
        <f>+IF($W773="","",ROUND((EG773*Parámetros!$G$85),2))</f>
        <v/>
      </c>
      <c r="EK773" s="66" t="str">
        <f>+IF($W773="","",ROUND((EG773*(Parámetros!$G$86)),2))</f>
        <v/>
      </c>
      <c r="EL773" s="66" t="str">
        <f t="shared" si="1086"/>
        <v/>
      </c>
    </row>
    <row r="774" spans="1:142" x14ac:dyDescent="0.25">
      <c r="A774" t="str">
        <f>+IF($C774="","",ROUND(VLOOKUP('Tablas Servicio'!B774,Parámetros!$H$100:$J$159,IF(Parámetros!$E$16="F",2,3),FALSE),2))</f>
        <v/>
      </c>
      <c r="B774" t="str">
        <f t="shared" si="1037"/>
        <v/>
      </c>
      <c r="C774" s="57" t="str">
        <f>+IF(D774="","",'Tablas Servicio'!C773+1)</f>
        <v/>
      </c>
      <c r="D774" s="56" t="str">
        <f>+IF(D773&lt;edadmaxtabla,D773+1/Parámetros!$E$25,"")</f>
        <v/>
      </c>
      <c r="E774" s="57" t="str">
        <f t="shared" si="1047"/>
        <v/>
      </c>
      <c r="F774" s="59" t="str">
        <f t="shared" si="1048"/>
        <v/>
      </c>
      <c r="G774" s="66" t="str">
        <f t="shared" si="1038"/>
        <v/>
      </c>
      <c r="H774" s="66" t="str">
        <f t="shared" si="1039"/>
        <v/>
      </c>
      <c r="I774" s="66" t="str">
        <f t="shared" si="1087"/>
        <v/>
      </c>
      <c r="J774" s="66" t="str">
        <f t="shared" si="1040"/>
        <v/>
      </c>
      <c r="K774" s="66" t="str">
        <f t="shared" si="1041"/>
        <v/>
      </c>
      <c r="L774" s="66" t="str">
        <f t="shared" si="1042"/>
        <v/>
      </c>
      <c r="M774" s="66" t="str">
        <f t="shared" si="1043"/>
        <v/>
      </c>
      <c r="N774" s="66" t="str">
        <f>+IF(C774="","",ROUND(Parámetros!$D$23,2))</f>
        <v/>
      </c>
      <c r="O774" s="66" t="str">
        <f t="shared" si="1044"/>
        <v/>
      </c>
      <c r="P774" s="66" t="str">
        <f>+IF($C774="","",ROUND(IF(B774&gt;Parámetros!$D$117,0,N774*Parámetros!$D$116-G774*Parámetros!$D$100),2))</f>
        <v/>
      </c>
      <c r="Q774" s="75" t="str">
        <f t="shared" si="1088"/>
        <v/>
      </c>
      <c r="R774" s="75" t="str">
        <f t="shared" si="1089"/>
        <v/>
      </c>
      <c r="S774" s="117" t="str">
        <f>+IF($C774="","",ROUND((S773+I774)*(1+Parámetros!$D$91),2))</f>
        <v/>
      </c>
      <c r="T774" s="117" t="str">
        <f>+IF($C774="","",ROUND(S774*VLOOKUP(B774,Parámetros!$C$30:$D$39,2,TRUE),2))</f>
        <v/>
      </c>
      <c r="U774" s="117" t="str">
        <f>+IF($C774="","",ROUND((U773+I774)*(1+Parámetros!$D$92),2))</f>
        <v/>
      </c>
      <c r="V774" s="117" t="str">
        <f>+IF($C774="","",ROUND(U774*VLOOKUP(B774,Parámetros!$C$30:$D$39,2,TRUE),2))</f>
        <v/>
      </c>
      <c r="W774" s="57" t="str">
        <f t="shared" si="1090"/>
        <v/>
      </c>
      <c r="X774" t="str">
        <f t="shared" si="1091"/>
        <v/>
      </c>
      <c r="Y774" t="str">
        <f t="shared" si="1092"/>
        <v/>
      </c>
      <c r="Z774" s="118" t="str">
        <f>+IF($W774="","",ROUND(IF(Parámetros!$D$25='TABLAS MORT'!$V$33,Z773,Parámetros!$D$21-'Tablas Servicio'!T773),0))</f>
        <v/>
      </c>
      <c r="AA774" s="118" t="str">
        <f t="shared" si="1093"/>
        <v/>
      </c>
      <c r="AB774" s="119" t="str">
        <f>+IF(W774="","",ROUND((VLOOKUP(ROUNDDOWN($D774-1/frec,0),qx_tabla,2,FALSE)*(1+i/frec)^-0.5*(1+Parámetros!$D$103)*(1+rec_fracc)/frec),6))</f>
        <v/>
      </c>
      <c r="AC774" s="66" t="str">
        <f t="shared" si="1049"/>
        <v/>
      </c>
      <c r="AD774" s="119" t="str">
        <f t="shared" si="1045"/>
        <v/>
      </c>
      <c r="AE774" s="66" t="str">
        <f>+IF($W774="","",ROUND(IF($B774&gt;Parámetros!$D$107,'Tablas Servicio'!AC774+('Tablas Servicio'!AG773-'Tablas Servicio'!AC773),AC774/(1-IF(B774&lt;=10,Parámetros!$D$104,Parámetros!$D$105))),2))</f>
        <v/>
      </c>
      <c r="AF774" s="66" t="str">
        <f>+IF($W774="","",ROUND(IF($B774&gt;Parámetros!$D$107,'Tablas Servicio'!AC774+('Tablas Servicio'!AG773-'Tablas Servicio'!AC773),(AC774+$A773/frec)/(1-IF(B774&lt;=Parámetros!$D$117,Parámetros!$D$100,0))),2))</f>
        <v/>
      </c>
      <c r="AG774" s="66" t="str">
        <f t="shared" si="1050"/>
        <v/>
      </c>
      <c r="AH774" s="66" t="str">
        <f t="shared" si="1051"/>
        <v/>
      </c>
      <c r="AI774" s="66" t="str">
        <f t="shared" si="1052"/>
        <v/>
      </c>
      <c r="AJ774" s="66" t="str">
        <f>+IF($W774="","",ROUND((AG774*Parámetros!$G$85),2))</f>
        <v/>
      </c>
      <c r="AK774" s="66" t="str">
        <f>+IF($W774="","",ROUND((AG774*(Parámetros!$G$86)),2))</f>
        <v/>
      </c>
      <c r="AL774" s="66" t="str">
        <f t="shared" si="1046"/>
        <v/>
      </c>
      <c r="AM774" t="str">
        <f t="shared" si="1094"/>
        <v/>
      </c>
      <c r="AN774" t="str">
        <f t="shared" si="1095"/>
        <v/>
      </c>
      <c r="AO774" s="118" t="str">
        <f t="shared" si="1096"/>
        <v/>
      </c>
      <c r="AP774" s="118" t="str">
        <f t="shared" si="1097"/>
        <v/>
      </c>
      <c r="AQ774" s="119" t="str">
        <f>+IF(OR($W774="",AO774=0),"",ROUND((VLOOKUP(ROUNDDOWN($D774-1/frec,0),cob_adi,Z$40,FALSE)*(1+i/frec)^-0.5*(1+Parámetros!$D$103)*(1+rec_fracc)/frec),6))</f>
        <v/>
      </c>
      <c r="AR774" s="66" t="str">
        <f t="shared" si="1053"/>
        <v/>
      </c>
      <c r="AS774" s="119" t="str">
        <f t="shared" si="1054"/>
        <v/>
      </c>
      <c r="AT774" s="66" t="str">
        <f>+IF($W774="","",ROUND(IF($B774&gt;Parámetros!$D$107,'Tablas Servicio'!AR774+('Tablas Servicio'!AT773-'Tablas Servicio'!AR773),AR774/(1-IF(B774&lt;=10,Parámetros!$D$100,0))),2))</f>
        <v/>
      </c>
      <c r="AU774" s="66" t="str">
        <f t="shared" si="1055"/>
        <v/>
      </c>
      <c r="AV774" s="66" t="str">
        <f t="shared" si="1055"/>
        <v/>
      </c>
      <c r="AW774" s="66" t="str">
        <f>+IF($W774="","",ROUND((AT774*Parámetros!$G$85),2))</f>
        <v/>
      </c>
      <c r="AX774" s="66" t="str">
        <f>+IF($W774="","",ROUND((AT774*(Parámetros!$G$86)),2))</f>
        <v/>
      </c>
      <c r="AY774" s="66" t="str">
        <f t="shared" si="1056"/>
        <v/>
      </c>
      <c r="AZ774" t="str">
        <f t="shared" si="1098"/>
        <v/>
      </c>
      <c r="BA774" t="str">
        <f t="shared" si="1099"/>
        <v/>
      </c>
      <c r="BB774" s="118" t="str">
        <f t="shared" si="1100"/>
        <v/>
      </c>
      <c r="BC774" s="118" t="str">
        <f t="shared" si="1101"/>
        <v/>
      </c>
      <c r="BD774" s="119" t="str">
        <f>+IF(OR($W774="",BB774=0),"",ROUND((VLOOKUP(ROUNDDOWN($D774-1/frec,0),cob_adi,AO$40,FALSE)*(1+i/frec)^-0.5*(1+Parámetros!$D$103)*(1+rec_fracc)/frec),6))</f>
        <v/>
      </c>
      <c r="BE774" s="66" t="str">
        <f t="shared" si="1057"/>
        <v/>
      </c>
      <c r="BF774" s="119" t="str">
        <f t="shared" si="1058"/>
        <v/>
      </c>
      <c r="BG774" s="66" t="str">
        <f>+IF($W774="","",ROUND(IF($B774&gt;Parámetros!$D$107,'Tablas Servicio'!BE774+('Tablas Servicio'!BG773-'Tablas Servicio'!BE773),BE774/(1-IF(B774&lt;=10,Parámetros!$D$100,0))),2))</f>
        <v/>
      </c>
      <c r="BH774" s="66" t="str">
        <f t="shared" si="1059"/>
        <v/>
      </c>
      <c r="BI774" s="66" t="str">
        <f t="shared" si="1060"/>
        <v/>
      </c>
      <c r="BJ774" s="66" t="str">
        <f>+IF($W774="","",ROUND((BG774*Parámetros!$G$85),2))</f>
        <v/>
      </c>
      <c r="BK774" s="66" t="str">
        <f>+IF($W774="","",ROUND((BG774*(Parámetros!$G$86)),2))</f>
        <v/>
      </c>
      <c r="BL774" s="66" t="str">
        <f t="shared" si="1061"/>
        <v/>
      </c>
      <c r="BM774" t="str">
        <f t="shared" si="1102"/>
        <v/>
      </c>
      <c r="BN774" t="str">
        <f t="shared" si="1103"/>
        <v/>
      </c>
      <c r="BO774" s="118" t="str">
        <f t="shared" si="1104"/>
        <v/>
      </c>
      <c r="BP774" s="118" t="str">
        <f t="shared" si="1105"/>
        <v/>
      </c>
      <c r="BQ774" s="119" t="str">
        <f>+IF(OR($W774="",BO774=0),"",ROUND((VLOOKUP(ROUNDDOWN($D774-1/frec,0),cob_adi,BB$40,FALSE)*(1+i/frec)^-0.5*(1+Parámetros!$D$103)*(1+rec_fracc)/frec),6))</f>
        <v/>
      </c>
      <c r="BR774" s="66" t="str">
        <f t="shared" si="1062"/>
        <v/>
      </c>
      <c r="BS774" s="119" t="str">
        <f t="shared" si="1063"/>
        <v/>
      </c>
      <c r="BT774" s="66" t="str">
        <f>+IF($W774="","",ROUND(IF($B774&gt;Parámetros!$D$107,'Tablas Servicio'!BR774+('Tablas Servicio'!BT773-'Tablas Servicio'!BR773),BR774/(1-IF(B774&lt;=10,Parámetros!$D$100,0))),2))</f>
        <v/>
      </c>
      <c r="BU774" s="66" t="str">
        <f t="shared" si="1064"/>
        <v/>
      </c>
      <c r="BV774" s="66" t="str">
        <f t="shared" si="1064"/>
        <v/>
      </c>
      <c r="BW774" s="66" t="str">
        <f>+IF($W774="","",ROUND((BT774*Parámetros!$G$85),2))</f>
        <v/>
      </c>
      <c r="BX774" s="66" t="str">
        <f>+IF($W774="","",ROUND((BT774*(Parámetros!$G$86)),2))</f>
        <v/>
      </c>
      <c r="BY774" s="66" t="str">
        <f t="shared" si="1065"/>
        <v/>
      </c>
      <c r="BZ774" t="str">
        <f t="shared" si="1106"/>
        <v/>
      </c>
      <c r="CA774" t="str">
        <f t="shared" si="1107"/>
        <v/>
      </c>
      <c r="CB774" s="118" t="str">
        <f t="shared" si="1108"/>
        <v/>
      </c>
      <c r="CC774" s="118" t="str">
        <f t="shared" si="1109"/>
        <v/>
      </c>
      <c r="CD774" s="119" t="str">
        <f t="shared" si="1066"/>
        <v/>
      </c>
      <c r="CE774" s="66" t="str">
        <f>+IF($W774="","",ROUND((VLOOKUP(ROUNDDOWN($D774-1/frec,0),cob_adi,BO$40,FALSE)*(1+i/frec)^-0.5*(1+Parámetros!$D$103)*(1+rec_fracc)/frec*'TABLAS ADI'!$BC$17),2))</f>
        <v/>
      </c>
      <c r="CF774" s="119" t="str">
        <f t="shared" si="1067"/>
        <v/>
      </c>
      <c r="CG774" s="66" t="str">
        <f>+IF($W774="","",ROUND(IF($B774&gt;Parámetros!$D$107,'Tablas Servicio'!CE774+('Tablas Servicio'!CG773-'Tablas Servicio'!CE773),CE774/(1-IF(B774&lt;=10,Parámetros!$D$100,0))),2))</f>
        <v/>
      </c>
      <c r="CH774" s="66" t="str">
        <f t="shared" si="1068"/>
        <v/>
      </c>
      <c r="CI774" s="66" t="str">
        <f t="shared" si="1068"/>
        <v/>
      </c>
      <c r="CJ774" s="66" t="str">
        <f>+IF($W774="","",ROUND((CG774*Parámetros!$G$85),2))</f>
        <v/>
      </c>
      <c r="CK774" s="66" t="str">
        <f>+IF($W774="","",ROUND((CG774*(Parámetros!$G$86)),2))</f>
        <v/>
      </c>
      <c r="CL774" s="66" t="str">
        <f t="shared" si="1069"/>
        <v/>
      </c>
      <c r="CM774" t="str">
        <f t="shared" si="1110"/>
        <v/>
      </c>
      <c r="CN774" s="118" t="str">
        <f t="shared" si="1111"/>
        <v/>
      </c>
      <c r="CO774" s="118" t="str">
        <f t="shared" si="1112"/>
        <v/>
      </c>
      <c r="CP774" s="118" t="str">
        <f t="shared" si="1113"/>
        <v/>
      </c>
      <c r="CQ774" s="119" t="str">
        <f t="shared" si="1070"/>
        <v/>
      </c>
      <c r="CR774" s="66" t="str">
        <f>+IF($W774="","",ROUND((VLOOKUP(Parámetros!$F$51,'COBERTURAS ADICIONALES'!$S$4:$T$32,2,FALSE)*(1+i/frec)^-0.5*(1+Parámetros!$D$103)*(1+rec_fracc)/frec*$CO$42),2))</f>
        <v/>
      </c>
      <c r="CS774" s="119" t="str">
        <f t="shared" si="1071"/>
        <v/>
      </c>
      <c r="CT774" s="66" t="str">
        <f>+IF($W774="","",ROUND(IF($B774&gt;Parámetros!$D$107,'Tablas Servicio'!CR774+('Tablas Servicio'!CT773-'Tablas Servicio'!CR773),CR774/(1-IF(B774&lt;=10,Parámetros!$D$100,0))),2))</f>
        <v/>
      </c>
      <c r="CU774" s="66" t="str">
        <f t="shared" si="1072"/>
        <v/>
      </c>
      <c r="CV774" s="66" t="str">
        <f t="shared" si="1072"/>
        <v/>
      </c>
      <c r="CW774" s="66" t="str">
        <f>+IF($W774="","",ROUND((CT774*Parámetros!$G$85),2))</f>
        <v/>
      </c>
      <c r="CX774" s="66" t="str">
        <f>+IF($W774="","",ROUND((CT774*(Parámetros!$G$86)),2))</f>
        <v/>
      </c>
      <c r="CY774" s="66" t="str">
        <f t="shared" si="1073"/>
        <v/>
      </c>
      <c r="CZ774" t="str">
        <f t="shared" si="1114"/>
        <v/>
      </c>
      <c r="DA774" s="118" t="str">
        <f t="shared" si="1115"/>
        <v/>
      </c>
      <c r="DB774" s="118" t="str">
        <f t="shared" si="1116"/>
        <v/>
      </c>
      <c r="DC774" s="118" t="str">
        <f t="shared" si="1117"/>
        <v/>
      </c>
      <c r="DD774" s="121" t="str">
        <f>+IF(OR($W774="",DB774=0),"",ROUND((VLOOKUP(ROUNDDOWN($D774-1/frec,0),cob_adi,CO$40,FALSE)*(1+i/frec)^-0.5*(1+Parámetros!$D$103)*(1+rec_fracc)/frec),6))</f>
        <v/>
      </c>
      <c r="DE774" s="66" t="str">
        <f t="shared" si="1074"/>
        <v/>
      </c>
      <c r="DF774" s="119" t="str">
        <f t="shared" si="1075"/>
        <v/>
      </c>
      <c r="DG774" s="66" t="str">
        <f>+IF($W774="","",ROUND(IF($B774&gt;Parámetros!$D$107,'Tablas Servicio'!DE774+('Tablas Servicio'!DG773-'Tablas Servicio'!DE773),DE774/(1-IF(B774&lt;=10,Parámetros!$D$100,0))),2))</f>
        <v/>
      </c>
      <c r="DH774" s="66" t="str">
        <f t="shared" si="1076"/>
        <v/>
      </c>
      <c r="DI774" s="66" t="str">
        <f t="shared" si="1076"/>
        <v/>
      </c>
      <c r="DJ774" s="66" t="str">
        <f>+IF($W774="","",ROUND((DG774*Parámetros!$G$85),2))</f>
        <v/>
      </c>
      <c r="DK774" s="66" t="str">
        <f>+IF($W774="","",ROUND((DG774*(Parámetros!$G$86)),2))</f>
        <v/>
      </c>
      <c r="DL774" s="66" t="str">
        <f t="shared" si="1077"/>
        <v/>
      </c>
      <c r="DM774" t="str">
        <f t="shared" si="1118"/>
        <v/>
      </c>
      <c r="DN774" s="118" t="str">
        <f t="shared" si="1119"/>
        <v/>
      </c>
      <c r="DO774" s="118" t="str">
        <f t="shared" si="1120"/>
        <v/>
      </c>
      <c r="DP774" s="118" t="str">
        <f t="shared" si="1121"/>
        <v/>
      </c>
      <c r="DQ774" s="122" t="str">
        <f>+IF(OR($W774="",DO774=0),"",ROUND((VLOOKUP(ROUNDDOWN($D774-1/frec,0),cob_adi,DB$40,FALSE)*(1+i/frec)^-0.5*(1+Parámetros!$D$103)*(1+rec_fracc)/frec),6))</f>
        <v/>
      </c>
      <c r="DR774" s="66" t="str">
        <f t="shared" si="1078"/>
        <v/>
      </c>
      <c r="DS774" s="68" t="str">
        <f t="shared" si="1079"/>
        <v/>
      </c>
      <c r="DT774" s="66" t="str">
        <f>+IF($W774="","",ROUND(IF($B774&gt;Parámetros!$D$107,'Tablas Servicio'!DR774+('Tablas Servicio'!DT773-'Tablas Servicio'!DR773),DR774/(1-IF(B774&lt;=10,Parámetros!$D$100,0))),2))</f>
        <v/>
      </c>
      <c r="DU774" s="66" t="str">
        <f t="shared" si="1080"/>
        <v/>
      </c>
      <c r="DV774" s="66" t="str">
        <f t="shared" si="1080"/>
        <v/>
      </c>
      <c r="DW774" s="66" t="str">
        <f>+IF($W774="","",ROUND((DT774*Parámetros!$G$85),2))</f>
        <v/>
      </c>
      <c r="DX774" s="66" t="str">
        <f>+IF($W774="","",ROUND((DT774*(Parámetros!$G$86)),2))</f>
        <v/>
      </c>
      <c r="DY774" s="66" t="str">
        <f t="shared" si="1081"/>
        <v/>
      </c>
      <c r="DZ774" t="str">
        <f t="shared" si="1122"/>
        <v/>
      </c>
      <c r="EA774" s="118" t="str">
        <f t="shared" si="1122"/>
        <v/>
      </c>
      <c r="EB774" s="118" t="str">
        <f>+IF($W774="","",ROUND(IF(Parámetros!$D$25='TABLAS MORT'!$V$33,EB773,Z774/2),0))</f>
        <v/>
      </c>
      <c r="EC774" s="118" t="str">
        <f t="shared" si="1122"/>
        <v/>
      </c>
      <c r="ED774" s="122" t="str">
        <f>+IF(OR($W774="",EB774=0),"",ROUND((VLOOKUP(ROUNDDOWN($D774-1/frec,0),cob_adi,DO$40,FALSE)*(1+i/frec)^-0.5*(1+Parámetros!$D$103)*(1+rec_fracc)/frec),6))</f>
        <v/>
      </c>
      <c r="EE774" s="66" t="str">
        <f t="shared" si="1083"/>
        <v/>
      </c>
      <c r="EF774" s="68" t="str">
        <f t="shared" si="1084"/>
        <v/>
      </c>
      <c r="EG774" s="66" t="str">
        <f>+IF($W774="","",ROUND(IF($B774&gt;Parámetros!$D$107,'Tablas Servicio'!EE774+('Tablas Servicio'!EG773-'Tablas Servicio'!EE773),EE774/(1-IF(B774&lt;=10,Parámetros!$D$100,0))),2))</f>
        <v/>
      </c>
      <c r="EH774" s="66" t="str">
        <f t="shared" si="1085"/>
        <v/>
      </c>
      <c r="EI774" s="66" t="str">
        <f t="shared" si="1085"/>
        <v/>
      </c>
      <c r="EJ774" s="66" t="str">
        <f>+IF($W774="","",ROUND((EG774*Parámetros!$G$85),2))</f>
        <v/>
      </c>
      <c r="EK774" s="66" t="str">
        <f>+IF($W774="","",ROUND((EG774*(Parámetros!$G$86)),2))</f>
        <v/>
      </c>
      <c r="EL774" s="66" t="str">
        <f t="shared" si="1086"/>
        <v/>
      </c>
    </row>
    <row r="775" spans="1:142" x14ac:dyDescent="0.25">
      <c r="A775" t="str">
        <f>+IF($C775="","",ROUND(VLOOKUP('Tablas Servicio'!B775,Parámetros!$H$100:$J$159,IF(Parámetros!$E$16="F",2,3),FALSE),2))</f>
        <v/>
      </c>
      <c r="B775" t="str">
        <f t="shared" si="1037"/>
        <v/>
      </c>
      <c r="C775" s="57" t="str">
        <f>+IF(D775="","",'Tablas Servicio'!C774+1)</f>
        <v/>
      </c>
      <c r="D775" s="56" t="str">
        <f>+IF(D774&lt;edadmaxtabla,D774+1/Parámetros!$E$25,"")</f>
        <v/>
      </c>
      <c r="E775" s="57" t="str">
        <f t="shared" si="1047"/>
        <v/>
      </c>
      <c r="F775" s="59" t="str">
        <f t="shared" si="1048"/>
        <v/>
      </c>
      <c r="G775" s="66" t="str">
        <f t="shared" si="1038"/>
        <v/>
      </c>
      <c r="H775" s="66" t="str">
        <f t="shared" si="1039"/>
        <v/>
      </c>
      <c r="I775" s="66" t="str">
        <f t="shared" si="1087"/>
        <v/>
      </c>
      <c r="J775" s="66" t="str">
        <f t="shared" si="1040"/>
        <v/>
      </c>
      <c r="K775" s="66" t="str">
        <f t="shared" si="1041"/>
        <v/>
      </c>
      <c r="L775" s="66" t="str">
        <f t="shared" si="1042"/>
        <v/>
      </c>
      <c r="M775" s="66" t="str">
        <f t="shared" si="1043"/>
        <v/>
      </c>
      <c r="N775" s="66" t="str">
        <f>+IF(C775="","",ROUND(Parámetros!$D$23,2))</f>
        <v/>
      </c>
      <c r="O775" s="66" t="str">
        <f t="shared" si="1044"/>
        <v/>
      </c>
      <c r="P775" s="66" t="str">
        <f>+IF($C775="","",ROUND(IF(B775&gt;Parámetros!$D$117,0,N775*Parámetros!$D$116-G775*Parámetros!$D$100),2))</f>
        <v/>
      </c>
      <c r="Q775" s="75" t="str">
        <f t="shared" si="1088"/>
        <v/>
      </c>
      <c r="R775" s="75" t="str">
        <f t="shared" si="1089"/>
        <v/>
      </c>
      <c r="S775" s="117" t="str">
        <f>+IF($C775="","",ROUND((S774+I775)*(1+Parámetros!$D$91),2))</f>
        <v/>
      </c>
      <c r="T775" s="117" t="str">
        <f>+IF($C775="","",ROUND(S775*VLOOKUP(B775,Parámetros!$C$30:$D$39,2,TRUE),2))</f>
        <v/>
      </c>
      <c r="U775" s="117" t="str">
        <f>+IF($C775="","",ROUND((U774+I775)*(1+Parámetros!$D$92),2))</f>
        <v/>
      </c>
      <c r="V775" s="117" t="str">
        <f>+IF($C775="","",ROUND(U775*VLOOKUP(B775,Parámetros!$C$30:$D$39,2,TRUE),2))</f>
        <v/>
      </c>
      <c r="W775" s="57" t="str">
        <f t="shared" si="1090"/>
        <v/>
      </c>
      <c r="X775" t="str">
        <f t="shared" si="1091"/>
        <v/>
      </c>
      <c r="Y775" t="str">
        <f t="shared" si="1092"/>
        <v/>
      </c>
      <c r="Z775" s="118" t="str">
        <f>+IF($W775="","",ROUND(IF(Parámetros!$D$25='TABLAS MORT'!$V$33,Z774,Parámetros!$D$21-'Tablas Servicio'!T774),0))</f>
        <v/>
      </c>
      <c r="AA775" s="118" t="str">
        <f t="shared" si="1093"/>
        <v/>
      </c>
      <c r="AB775" s="119" t="str">
        <f>+IF(W775="","",ROUND((VLOOKUP(ROUNDDOWN($D775-1/frec,0),qx_tabla,2,FALSE)*(1+i/frec)^-0.5*(1+Parámetros!$D$103)*(1+rec_fracc)/frec),6))</f>
        <v/>
      </c>
      <c r="AC775" s="66" t="str">
        <f t="shared" si="1049"/>
        <v/>
      </c>
      <c r="AD775" s="119" t="str">
        <f t="shared" si="1045"/>
        <v/>
      </c>
      <c r="AE775" s="66" t="str">
        <f>+IF($W775="","",ROUND(IF($B775&gt;Parámetros!$D$107,'Tablas Servicio'!AC775+('Tablas Servicio'!AG774-'Tablas Servicio'!AC774),AC775/(1-IF(B775&lt;=10,Parámetros!$D$104,Parámetros!$D$105))),2))</f>
        <v/>
      </c>
      <c r="AF775" s="66" t="str">
        <f>+IF($W775="","",ROUND(IF($B775&gt;Parámetros!$D$107,'Tablas Servicio'!AC775+('Tablas Servicio'!AG774-'Tablas Servicio'!AC774),(AC775+$A774/frec)/(1-IF(B775&lt;=Parámetros!$D$117,Parámetros!$D$100,0))),2))</f>
        <v/>
      </c>
      <c r="AG775" s="66" t="str">
        <f t="shared" si="1050"/>
        <v/>
      </c>
      <c r="AH775" s="66" t="str">
        <f t="shared" si="1051"/>
        <v/>
      </c>
      <c r="AI775" s="66" t="str">
        <f t="shared" si="1052"/>
        <v/>
      </c>
      <c r="AJ775" s="66" t="str">
        <f>+IF($W775="","",ROUND((AG775*Parámetros!$G$85),2))</f>
        <v/>
      </c>
      <c r="AK775" s="66" t="str">
        <f>+IF($W775="","",ROUND((AG775*(Parámetros!$G$86)),2))</f>
        <v/>
      </c>
      <c r="AL775" s="66" t="str">
        <f t="shared" si="1046"/>
        <v/>
      </c>
      <c r="AM775" t="str">
        <f t="shared" si="1094"/>
        <v/>
      </c>
      <c r="AN775" t="str">
        <f t="shared" si="1095"/>
        <v/>
      </c>
      <c r="AO775" s="118" t="str">
        <f t="shared" si="1096"/>
        <v/>
      </c>
      <c r="AP775" s="118" t="str">
        <f t="shared" si="1097"/>
        <v/>
      </c>
      <c r="AQ775" s="119" t="str">
        <f>+IF(OR($W775="",AO775=0),"",ROUND((VLOOKUP(ROUNDDOWN($D775-1/frec,0),cob_adi,Z$40,FALSE)*(1+i/frec)^-0.5*(1+Parámetros!$D$103)*(1+rec_fracc)/frec),6))</f>
        <v/>
      </c>
      <c r="AR775" s="66" t="str">
        <f t="shared" si="1053"/>
        <v/>
      </c>
      <c r="AS775" s="119" t="str">
        <f t="shared" si="1054"/>
        <v/>
      </c>
      <c r="AT775" s="66" t="str">
        <f>+IF($W775="","",ROUND(IF($B775&gt;Parámetros!$D$107,'Tablas Servicio'!AR775+('Tablas Servicio'!AT774-'Tablas Servicio'!AR774),AR775/(1-IF(B775&lt;=10,Parámetros!$D$100,0))),2))</f>
        <v/>
      </c>
      <c r="AU775" s="66" t="str">
        <f t="shared" si="1055"/>
        <v/>
      </c>
      <c r="AV775" s="66" t="str">
        <f t="shared" si="1055"/>
        <v/>
      </c>
      <c r="AW775" s="66" t="str">
        <f>+IF($W775="","",ROUND((AT775*Parámetros!$G$85),2))</f>
        <v/>
      </c>
      <c r="AX775" s="66" t="str">
        <f>+IF($W775="","",ROUND((AT775*(Parámetros!$G$86)),2))</f>
        <v/>
      </c>
      <c r="AY775" s="66" t="str">
        <f t="shared" si="1056"/>
        <v/>
      </c>
      <c r="AZ775" t="str">
        <f t="shared" si="1098"/>
        <v/>
      </c>
      <c r="BA775" t="str">
        <f t="shared" si="1099"/>
        <v/>
      </c>
      <c r="BB775" s="118" t="str">
        <f t="shared" si="1100"/>
        <v/>
      </c>
      <c r="BC775" s="118" t="str">
        <f t="shared" si="1101"/>
        <v/>
      </c>
      <c r="BD775" s="119" t="str">
        <f>+IF(OR($W775="",BB775=0),"",ROUND((VLOOKUP(ROUNDDOWN($D775-1/frec,0),cob_adi,AO$40,FALSE)*(1+i/frec)^-0.5*(1+Parámetros!$D$103)*(1+rec_fracc)/frec),6))</f>
        <v/>
      </c>
      <c r="BE775" s="66" t="str">
        <f t="shared" si="1057"/>
        <v/>
      </c>
      <c r="BF775" s="119" t="str">
        <f t="shared" si="1058"/>
        <v/>
      </c>
      <c r="BG775" s="66" t="str">
        <f>+IF($W775="","",ROUND(IF($B775&gt;Parámetros!$D$107,'Tablas Servicio'!BE775+('Tablas Servicio'!BG774-'Tablas Servicio'!BE774),BE775/(1-IF(B775&lt;=10,Parámetros!$D$100,0))),2))</f>
        <v/>
      </c>
      <c r="BH775" s="66" t="str">
        <f t="shared" si="1059"/>
        <v/>
      </c>
      <c r="BI775" s="66" t="str">
        <f t="shared" si="1060"/>
        <v/>
      </c>
      <c r="BJ775" s="66" t="str">
        <f>+IF($W775="","",ROUND((BG775*Parámetros!$G$85),2))</f>
        <v/>
      </c>
      <c r="BK775" s="66" t="str">
        <f>+IF($W775="","",ROUND((BG775*(Parámetros!$G$86)),2))</f>
        <v/>
      </c>
      <c r="BL775" s="66" t="str">
        <f t="shared" si="1061"/>
        <v/>
      </c>
      <c r="BM775" t="str">
        <f t="shared" si="1102"/>
        <v/>
      </c>
      <c r="BN775" t="str">
        <f t="shared" si="1103"/>
        <v/>
      </c>
      <c r="BO775" s="118" t="str">
        <f t="shared" si="1104"/>
        <v/>
      </c>
      <c r="BP775" s="118" t="str">
        <f t="shared" si="1105"/>
        <v/>
      </c>
      <c r="BQ775" s="119" t="str">
        <f>+IF(OR($W775="",BO775=0),"",ROUND((VLOOKUP(ROUNDDOWN($D775-1/frec,0),cob_adi,BB$40,FALSE)*(1+i/frec)^-0.5*(1+Parámetros!$D$103)*(1+rec_fracc)/frec),6))</f>
        <v/>
      </c>
      <c r="BR775" s="66" t="str">
        <f t="shared" si="1062"/>
        <v/>
      </c>
      <c r="BS775" s="119" t="str">
        <f t="shared" si="1063"/>
        <v/>
      </c>
      <c r="BT775" s="66" t="str">
        <f>+IF($W775="","",ROUND(IF($B775&gt;Parámetros!$D$107,'Tablas Servicio'!BR775+('Tablas Servicio'!BT774-'Tablas Servicio'!BR774),BR775/(1-IF(B775&lt;=10,Parámetros!$D$100,0))),2))</f>
        <v/>
      </c>
      <c r="BU775" s="66" t="str">
        <f t="shared" si="1064"/>
        <v/>
      </c>
      <c r="BV775" s="66" t="str">
        <f t="shared" si="1064"/>
        <v/>
      </c>
      <c r="BW775" s="66" t="str">
        <f>+IF($W775="","",ROUND((BT775*Parámetros!$G$85),2))</f>
        <v/>
      </c>
      <c r="BX775" s="66" t="str">
        <f>+IF($W775="","",ROUND((BT775*(Parámetros!$G$86)),2))</f>
        <v/>
      </c>
      <c r="BY775" s="66" t="str">
        <f t="shared" si="1065"/>
        <v/>
      </c>
      <c r="BZ775" t="str">
        <f t="shared" si="1106"/>
        <v/>
      </c>
      <c r="CA775" t="str">
        <f t="shared" si="1107"/>
        <v/>
      </c>
      <c r="CB775" s="118" t="str">
        <f t="shared" si="1108"/>
        <v/>
      </c>
      <c r="CC775" s="118" t="str">
        <f t="shared" si="1109"/>
        <v/>
      </c>
      <c r="CD775" s="119" t="str">
        <f t="shared" si="1066"/>
        <v/>
      </c>
      <c r="CE775" s="66" t="str">
        <f>+IF($W775="","",ROUND((VLOOKUP(ROUNDDOWN($D775-1/frec,0),cob_adi,BO$40,FALSE)*(1+i/frec)^-0.5*(1+Parámetros!$D$103)*(1+rec_fracc)/frec*'TABLAS ADI'!$BC$17),2))</f>
        <v/>
      </c>
      <c r="CF775" s="119" t="str">
        <f t="shared" si="1067"/>
        <v/>
      </c>
      <c r="CG775" s="66" t="str">
        <f>+IF($W775="","",ROUND(IF($B775&gt;Parámetros!$D$107,'Tablas Servicio'!CE775+('Tablas Servicio'!CG774-'Tablas Servicio'!CE774),CE775/(1-IF(B775&lt;=10,Parámetros!$D$100,0))),2))</f>
        <v/>
      </c>
      <c r="CH775" s="66" t="str">
        <f t="shared" si="1068"/>
        <v/>
      </c>
      <c r="CI775" s="66" t="str">
        <f t="shared" si="1068"/>
        <v/>
      </c>
      <c r="CJ775" s="66" t="str">
        <f>+IF($W775="","",ROUND((CG775*Parámetros!$G$85),2))</f>
        <v/>
      </c>
      <c r="CK775" s="66" t="str">
        <f>+IF($W775="","",ROUND((CG775*(Parámetros!$G$86)),2))</f>
        <v/>
      </c>
      <c r="CL775" s="66" t="str">
        <f t="shared" si="1069"/>
        <v/>
      </c>
      <c r="CM775" t="str">
        <f t="shared" si="1110"/>
        <v/>
      </c>
      <c r="CN775" s="118" t="str">
        <f t="shared" si="1111"/>
        <v/>
      </c>
      <c r="CO775" s="118" t="str">
        <f t="shared" si="1112"/>
        <v/>
      </c>
      <c r="CP775" s="118" t="str">
        <f t="shared" si="1113"/>
        <v/>
      </c>
      <c r="CQ775" s="119" t="str">
        <f t="shared" si="1070"/>
        <v/>
      </c>
      <c r="CR775" s="66" t="str">
        <f>+IF($W775="","",ROUND((VLOOKUP(Parámetros!$F$51,'COBERTURAS ADICIONALES'!$S$4:$T$32,2,FALSE)*(1+i/frec)^-0.5*(1+Parámetros!$D$103)*(1+rec_fracc)/frec*$CO$42),2))</f>
        <v/>
      </c>
      <c r="CS775" s="119" t="str">
        <f t="shared" si="1071"/>
        <v/>
      </c>
      <c r="CT775" s="66" t="str">
        <f>+IF($W775="","",ROUND(IF($B775&gt;Parámetros!$D$107,'Tablas Servicio'!CR775+('Tablas Servicio'!CT774-'Tablas Servicio'!CR774),CR775/(1-IF(B775&lt;=10,Parámetros!$D$100,0))),2))</f>
        <v/>
      </c>
      <c r="CU775" s="66" t="str">
        <f t="shared" si="1072"/>
        <v/>
      </c>
      <c r="CV775" s="66" t="str">
        <f t="shared" si="1072"/>
        <v/>
      </c>
      <c r="CW775" s="66" t="str">
        <f>+IF($W775="","",ROUND((CT775*Parámetros!$G$85),2))</f>
        <v/>
      </c>
      <c r="CX775" s="66" t="str">
        <f>+IF($W775="","",ROUND((CT775*(Parámetros!$G$86)),2))</f>
        <v/>
      </c>
      <c r="CY775" s="66" t="str">
        <f t="shared" si="1073"/>
        <v/>
      </c>
      <c r="CZ775" t="str">
        <f t="shared" si="1114"/>
        <v/>
      </c>
      <c r="DA775" s="118" t="str">
        <f t="shared" si="1115"/>
        <v/>
      </c>
      <c r="DB775" s="118" t="str">
        <f t="shared" si="1116"/>
        <v/>
      </c>
      <c r="DC775" s="118" t="str">
        <f t="shared" si="1117"/>
        <v/>
      </c>
      <c r="DD775" s="121" t="str">
        <f>+IF(OR($W775="",DB775=0),"",ROUND((VLOOKUP(ROUNDDOWN($D775-1/frec,0),cob_adi,CO$40,FALSE)*(1+i/frec)^-0.5*(1+Parámetros!$D$103)*(1+rec_fracc)/frec),6))</f>
        <v/>
      </c>
      <c r="DE775" s="66" t="str">
        <f t="shared" si="1074"/>
        <v/>
      </c>
      <c r="DF775" s="119" t="str">
        <f t="shared" si="1075"/>
        <v/>
      </c>
      <c r="DG775" s="66" t="str">
        <f>+IF($W775="","",ROUND(IF($B775&gt;Parámetros!$D$107,'Tablas Servicio'!DE775+('Tablas Servicio'!DG774-'Tablas Servicio'!DE774),DE775/(1-IF(B775&lt;=10,Parámetros!$D$100,0))),2))</f>
        <v/>
      </c>
      <c r="DH775" s="66" t="str">
        <f t="shared" si="1076"/>
        <v/>
      </c>
      <c r="DI775" s="66" t="str">
        <f t="shared" si="1076"/>
        <v/>
      </c>
      <c r="DJ775" s="66" t="str">
        <f>+IF($W775="","",ROUND((DG775*Parámetros!$G$85),2))</f>
        <v/>
      </c>
      <c r="DK775" s="66" t="str">
        <f>+IF($W775="","",ROUND((DG775*(Parámetros!$G$86)),2))</f>
        <v/>
      </c>
      <c r="DL775" s="66" t="str">
        <f t="shared" si="1077"/>
        <v/>
      </c>
      <c r="DM775" t="str">
        <f t="shared" si="1118"/>
        <v/>
      </c>
      <c r="DN775" s="118" t="str">
        <f t="shared" si="1119"/>
        <v/>
      </c>
      <c r="DO775" s="118" t="str">
        <f t="shared" si="1120"/>
        <v/>
      </c>
      <c r="DP775" s="118" t="str">
        <f t="shared" si="1121"/>
        <v/>
      </c>
      <c r="DQ775" s="122" t="str">
        <f>+IF(OR($W775="",DO775=0),"",ROUND((VLOOKUP(ROUNDDOWN($D775-1/frec,0),cob_adi,DB$40,FALSE)*(1+i/frec)^-0.5*(1+Parámetros!$D$103)*(1+rec_fracc)/frec),6))</f>
        <v/>
      </c>
      <c r="DR775" s="66" t="str">
        <f t="shared" si="1078"/>
        <v/>
      </c>
      <c r="DS775" s="68" t="str">
        <f t="shared" si="1079"/>
        <v/>
      </c>
      <c r="DT775" s="66" t="str">
        <f>+IF($W775="","",ROUND(IF($B775&gt;Parámetros!$D$107,'Tablas Servicio'!DR775+('Tablas Servicio'!DT774-'Tablas Servicio'!DR774),DR775/(1-IF(B775&lt;=10,Parámetros!$D$100,0))),2))</f>
        <v/>
      </c>
      <c r="DU775" s="66" t="str">
        <f t="shared" si="1080"/>
        <v/>
      </c>
      <c r="DV775" s="66" t="str">
        <f t="shared" si="1080"/>
        <v/>
      </c>
      <c r="DW775" s="66" t="str">
        <f>+IF($W775="","",ROUND((DT775*Parámetros!$G$85),2))</f>
        <v/>
      </c>
      <c r="DX775" s="66" t="str">
        <f>+IF($W775="","",ROUND((DT775*(Parámetros!$G$86)),2))</f>
        <v/>
      </c>
      <c r="DY775" s="66" t="str">
        <f t="shared" si="1081"/>
        <v/>
      </c>
      <c r="DZ775" t="str">
        <f t="shared" si="1122"/>
        <v/>
      </c>
      <c r="EA775" s="118" t="str">
        <f t="shared" si="1122"/>
        <v/>
      </c>
      <c r="EB775" s="118" t="str">
        <f>+IF($W775="","",ROUND(IF(Parámetros!$D$25='TABLAS MORT'!$V$33,EB774,Z775/2),0))</f>
        <v/>
      </c>
      <c r="EC775" s="118" t="str">
        <f t="shared" si="1122"/>
        <v/>
      </c>
      <c r="ED775" s="122" t="str">
        <f>+IF(OR($W775="",EB775=0),"",ROUND((VLOOKUP(ROUNDDOWN($D775-1/frec,0),cob_adi,DO$40,FALSE)*(1+i/frec)^-0.5*(1+Parámetros!$D$103)*(1+rec_fracc)/frec),6))</f>
        <v/>
      </c>
      <c r="EE775" s="66" t="str">
        <f t="shared" si="1083"/>
        <v/>
      </c>
      <c r="EF775" s="68" t="str">
        <f t="shared" si="1084"/>
        <v/>
      </c>
      <c r="EG775" s="66" t="str">
        <f>+IF($W775="","",ROUND(IF($B775&gt;Parámetros!$D$107,'Tablas Servicio'!EE775+('Tablas Servicio'!EG774-'Tablas Servicio'!EE774),EE775/(1-IF(B775&lt;=10,Parámetros!$D$100,0))),2))</f>
        <v/>
      </c>
      <c r="EH775" s="66" t="str">
        <f t="shared" si="1085"/>
        <v/>
      </c>
      <c r="EI775" s="66" t="str">
        <f t="shared" si="1085"/>
        <v/>
      </c>
      <c r="EJ775" s="66" t="str">
        <f>+IF($W775="","",ROUND((EG775*Parámetros!$G$85),2))</f>
        <v/>
      </c>
      <c r="EK775" s="66" t="str">
        <f>+IF($W775="","",ROUND((EG775*(Parámetros!$G$86)),2))</f>
        <v/>
      </c>
      <c r="EL775" s="66" t="str">
        <f t="shared" si="1086"/>
        <v/>
      </c>
    </row>
    <row r="776" spans="1:142" x14ac:dyDescent="0.25">
      <c r="A776" t="str">
        <f>+IF($C776="","",ROUND(VLOOKUP('Tablas Servicio'!B776,Parámetros!$H$100:$J$159,IF(Parámetros!$E$16="F",2,3),FALSE),2))</f>
        <v/>
      </c>
      <c r="B776" t="str">
        <f t="shared" si="1037"/>
        <v/>
      </c>
      <c r="C776" s="57" t="str">
        <f>+IF(D776="","",'Tablas Servicio'!C775+1)</f>
        <v/>
      </c>
      <c r="D776" s="56" t="str">
        <f>+IF(D775&lt;edadmaxtabla,D775+1/Parámetros!$E$25,"")</f>
        <v/>
      </c>
      <c r="E776" s="57" t="str">
        <f t="shared" si="1047"/>
        <v/>
      </c>
      <c r="F776" s="59" t="str">
        <f t="shared" si="1048"/>
        <v/>
      </c>
      <c r="G776" s="66" t="str">
        <f t="shared" si="1038"/>
        <v/>
      </c>
      <c r="H776" s="66" t="str">
        <f t="shared" si="1039"/>
        <v/>
      </c>
      <c r="I776" s="66" t="str">
        <f t="shared" si="1087"/>
        <v/>
      </c>
      <c r="J776" s="66" t="str">
        <f t="shared" si="1040"/>
        <v/>
      </c>
      <c r="K776" s="66" t="str">
        <f t="shared" si="1041"/>
        <v/>
      </c>
      <c r="L776" s="66" t="str">
        <f t="shared" si="1042"/>
        <v/>
      </c>
      <c r="M776" s="66" t="str">
        <f t="shared" si="1043"/>
        <v/>
      </c>
      <c r="N776" s="66" t="str">
        <f>+IF(C776="","",ROUND(Parámetros!$D$23,2))</f>
        <v/>
      </c>
      <c r="O776" s="66" t="str">
        <f t="shared" si="1044"/>
        <v/>
      </c>
      <c r="P776" s="66" t="str">
        <f>+IF($C776="","",ROUND(IF(B776&gt;Parámetros!$D$117,0,N776*Parámetros!$D$116-G776*Parámetros!$D$100),2))</f>
        <v/>
      </c>
      <c r="Q776" s="75" t="str">
        <f t="shared" si="1088"/>
        <v/>
      </c>
      <c r="R776" s="75" t="str">
        <f t="shared" si="1089"/>
        <v/>
      </c>
      <c r="S776" s="117" t="str">
        <f>+IF($C776="","",ROUND((S775+I776)*(1+Parámetros!$D$91),2))</f>
        <v/>
      </c>
      <c r="T776" s="117" t="str">
        <f>+IF($C776="","",ROUND(S776*VLOOKUP(B776,Parámetros!$C$30:$D$39,2,TRUE),2))</f>
        <v/>
      </c>
      <c r="U776" s="117" t="str">
        <f>+IF($C776="","",ROUND((U775+I776)*(1+Parámetros!$D$92),2))</f>
        <v/>
      </c>
      <c r="V776" s="117" t="str">
        <f>+IF($C776="","",ROUND(U776*VLOOKUP(B776,Parámetros!$C$30:$D$39,2,TRUE),2))</f>
        <v/>
      </c>
      <c r="W776" s="57" t="str">
        <f t="shared" si="1090"/>
        <v/>
      </c>
      <c r="X776" t="str">
        <f t="shared" si="1091"/>
        <v/>
      </c>
      <c r="Y776" t="str">
        <f t="shared" si="1092"/>
        <v/>
      </c>
      <c r="Z776" s="118" t="str">
        <f>+IF($W776="","",ROUND(IF(Parámetros!$D$25='TABLAS MORT'!$V$33,Z775,Parámetros!$D$21-'Tablas Servicio'!T775),0))</f>
        <v/>
      </c>
      <c r="AA776" s="118" t="str">
        <f t="shared" si="1093"/>
        <v/>
      </c>
      <c r="AB776" s="119" t="str">
        <f>+IF(W776="","",ROUND((VLOOKUP(ROUNDDOWN($D776-1/frec,0),qx_tabla,2,FALSE)*(1+i/frec)^-0.5*(1+Parámetros!$D$103)*(1+rec_fracc)/frec),6))</f>
        <v/>
      </c>
      <c r="AC776" s="66" t="str">
        <f t="shared" si="1049"/>
        <v/>
      </c>
      <c r="AD776" s="119" t="str">
        <f t="shared" si="1045"/>
        <v/>
      </c>
      <c r="AE776" s="66" t="str">
        <f>+IF($W776="","",ROUND(IF($B776&gt;Parámetros!$D$107,'Tablas Servicio'!AC776+('Tablas Servicio'!AG775-'Tablas Servicio'!AC775),AC776/(1-IF(B776&lt;=10,Parámetros!$D$104,Parámetros!$D$105))),2))</f>
        <v/>
      </c>
      <c r="AF776" s="66" t="str">
        <f>+IF($W776="","",ROUND(IF($B776&gt;Parámetros!$D$107,'Tablas Servicio'!AC776+('Tablas Servicio'!AG775-'Tablas Servicio'!AC775),(AC776+$A775/frec)/(1-IF(B776&lt;=Parámetros!$D$117,Parámetros!$D$100,0))),2))</f>
        <v/>
      </c>
      <c r="AG776" s="66" t="str">
        <f t="shared" si="1050"/>
        <v/>
      </c>
      <c r="AH776" s="66" t="str">
        <f t="shared" si="1051"/>
        <v/>
      </c>
      <c r="AI776" s="66" t="str">
        <f t="shared" si="1052"/>
        <v/>
      </c>
      <c r="AJ776" s="66" t="str">
        <f>+IF($W776="","",ROUND((AG776*Parámetros!$G$85),2))</f>
        <v/>
      </c>
      <c r="AK776" s="66" t="str">
        <f>+IF($W776="","",ROUND((AG776*(Parámetros!$G$86)),2))</f>
        <v/>
      </c>
      <c r="AL776" s="66" t="str">
        <f t="shared" si="1046"/>
        <v/>
      </c>
      <c r="AM776" t="str">
        <f t="shared" si="1094"/>
        <v/>
      </c>
      <c r="AN776" t="str">
        <f t="shared" si="1095"/>
        <v/>
      </c>
      <c r="AO776" s="118" t="str">
        <f t="shared" si="1096"/>
        <v/>
      </c>
      <c r="AP776" s="118" t="str">
        <f t="shared" si="1097"/>
        <v/>
      </c>
      <c r="AQ776" s="119" t="str">
        <f>+IF(OR($W776="",AO776=0),"",ROUND((VLOOKUP(ROUNDDOWN($D776-1/frec,0),cob_adi,Z$40,FALSE)*(1+i/frec)^-0.5*(1+Parámetros!$D$103)*(1+rec_fracc)/frec),6))</f>
        <v/>
      </c>
      <c r="AR776" s="66" t="str">
        <f t="shared" si="1053"/>
        <v/>
      </c>
      <c r="AS776" s="119" t="str">
        <f t="shared" si="1054"/>
        <v/>
      </c>
      <c r="AT776" s="66" t="str">
        <f>+IF($W776="","",ROUND(IF($B776&gt;Parámetros!$D$107,'Tablas Servicio'!AR776+('Tablas Servicio'!AT775-'Tablas Servicio'!AR775),AR776/(1-IF(B776&lt;=10,Parámetros!$D$100,0))),2))</f>
        <v/>
      </c>
      <c r="AU776" s="66" t="str">
        <f t="shared" si="1055"/>
        <v/>
      </c>
      <c r="AV776" s="66" t="str">
        <f t="shared" si="1055"/>
        <v/>
      </c>
      <c r="AW776" s="66" t="str">
        <f>+IF($W776="","",ROUND((AT776*Parámetros!$G$85),2))</f>
        <v/>
      </c>
      <c r="AX776" s="66" t="str">
        <f>+IF($W776="","",ROUND((AT776*(Parámetros!$G$86)),2))</f>
        <v/>
      </c>
      <c r="AY776" s="66" t="str">
        <f t="shared" si="1056"/>
        <v/>
      </c>
      <c r="AZ776" t="str">
        <f t="shared" si="1098"/>
        <v/>
      </c>
      <c r="BA776" t="str">
        <f t="shared" si="1099"/>
        <v/>
      </c>
      <c r="BB776" s="118" t="str">
        <f t="shared" si="1100"/>
        <v/>
      </c>
      <c r="BC776" s="118" t="str">
        <f t="shared" si="1101"/>
        <v/>
      </c>
      <c r="BD776" s="119" t="str">
        <f>+IF(OR($W776="",BB776=0),"",ROUND((VLOOKUP(ROUNDDOWN($D776-1/frec,0),cob_adi,AO$40,FALSE)*(1+i/frec)^-0.5*(1+Parámetros!$D$103)*(1+rec_fracc)/frec),6))</f>
        <v/>
      </c>
      <c r="BE776" s="66" t="str">
        <f t="shared" si="1057"/>
        <v/>
      </c>
      <c r="BF776" s="119" t="str">
        <f t="shared" si="1058"/>
        <v/>
      </c>
      <c r="BG776" s="66" t="str">
        <f>+IF($W776="","",ROUND(IF($B776&gt;Parámetros!$D$107,'Tablas Servicio'!BE776+('Tablas Servicio'!BG775-'Tablas Servicio'!BE775),BE776/(1-IF(B776&lt;=10,Parámetros!$D$100,0))),2))</f>
        <v/>
      </c>
      <c r="BH776" s="66" t="str">
        <f t="shared" si="1059"/>
        <v/>
      </c>
      <c r="BI776" s="66" t="str">
        <f t="shared" si="1060"/>
        <v/>
      </c>
      <c r="BJ776" s="66" t="str">
        <f>+IF($W776="","",ROUND((BG776*Parámetros!$G$85),2))</f>
        <v/>
      </c>
      <c r="BK776" s="66" t="str">
        <f>+IF($W776="","",ROUND((BG776*(Parámetros!$G$86)),2))</f>
        <v/>
      </c>
      <c r="BL776" s="66" t="str">
        <f t="shared" si="1061"/>
        <v/>
      </c>
      <c r="BM776" t="str">
        <f t="shared" si="1102"/>
        <v/>
      </c>
      <c r="BN776" t="str">
        <f t="shared" si="1103"/>
        <v/>
      </c>
      <c r="BO776" s="118" t="str">
        <f t="shared" si="1104"/>
        <v/>
      </c>
      <c r="BP776" s="118" t="str">
        <f t="shared" si="1105"/>
        <v/>
      </c>
      <c r="BQ776" s="119" t="str">
        <f>+IF(OR($W776="",BO776=0),"",ROUND((VLOOKUP(ROUNDDOWN($D776-1/frec,0),cob_adi,BB$40,FALSE)*(1+i/frec)^-0.5*(1+Parámetros!$D$103)*(1+rec_fracc)/frec),6))</f>
        <v/>
      </c>
      <c r="BR776" s="66" t="str">
        <f t="shared" si="1062"/>
        <v/>
      </c>
      <c r="BS776" s="119" t="str">
        <f t="shared" si="1063"/>
        <v/>
      </c>
      <c r="BT776" s="66" t="str">
        <f>+IF($W776="","",ROUND(IF($B776&gt;Parámetros!$D$107,'Tablas Servicio'!BR776+('Tablas Servicio'!BT775-'Tablas Servicio'!BR775),BR776/(1-IF(B776&lt;=10,Parámetros!$D$100,0))),2))</f>
        <v/>
      </c>
      <c r="BU776" s="66" t="str">
        <f t="shared" si="1064"/>
        <v/>
      </c>
      <c r="BV776" s="66" t="str">
        <f t="shared" si="1064"/>
        <v/>
      </c>
      <c r="BW776" s="66" t="str">
        <f>+IF($W776="","",ROUND((BT776*Parámetros!$G$85),2))</f>
        <v/>
      </c>
      <c r="BX776" s="66" t="str">
        <f>+IF($W776="","",ROUND((BT776*(Parámetros!$G$86)),2))</f>
        <v/>
      </c>
      <c r="BY776" s="66" t="str">
        <f t="shared" si="1065"/>
        <v/>
      </c>
      <c r="BZ776" t="str">
        <f t="shared" si="1106"/>
        <v/>
      </c>
      <c r="CA776" t="str">
        <f t="shared" si="1107"/>
        <v/>
      </c>
      <c r="CB776" s="118" t="str">
        <f t="shared" si="1108"/>
        <v/>
      </c>
      <c r="CC776" s="118" t="str">
        <f t="shared" si="1109"/>
        <v/>
      </c>
      <c r="CD776" s="119" t="str">
        <f t="shared" si="1066"/>
        <v/>
      </c>
      <c r="CE776" s="66" t="str">
        <f>+IF($W776="","",ROUND((VLOOKUP(ROUNDDOWN($D776-1/frec,0),cob_adi,BO$40,FALSE)*(1+i/frec)^-0.5*(1+Parámetros!$D$103)*(1+rec_fracc)/frec*'TABLAS ADI'!$BC$17),2))</f>
        <v/>
      </c>
      <c r="CF776" s="119" t="str">
        <f t="shared" si="1067"/>
        <v/>
      </c>
      <c r="CG776" s="66" t="str">
        <f>+IF($W776="","",ROUND(IF($B776&gt;Parámetros!$D$107,'Tablas Servicio'!CE776+('Tablas Servicio'!CG775-'Tablas Servicio'!CE775),CE776/(1-IF(B776&lt;=10,Parámetros!$D$100,0))),2))</f>
        <v/>
      </c>
      <c r="CH776" s="66" t="str">
        <f t="shared" si="1068"/>
        <v/>
      </c>
      <c r="CI776" s="66" t="str">
        <f t="shared" si="1068"/>
        <v/>
      </c>
      <c r="CJ776" s="66" t="str">
        <f>+IF($W776="","",ROUND((CG776*Parámetros!$G$85),2))</f>
        <v/>
      </c>
      <c r="CK776" s="66" t="str">
        <f>+IF($W776="","",ROUND((CG776*(Parámetros!$G$86)),2))</f>
        <v/>
      </c>
      <c r="CL776" s="66" t="str">
        <f t="shared" si="1069"/>
        <v/>
      </c>
      <c r="CM776" t="str">
        <f t="shared" si="1110"/>
        <v/>
      </c>
      <c r="CN776" s="118" t="str">
        <f t="shared" si="1111"/>
        <v/>
      </c>
      <c r="CO776" s="118" t="str">
        <f t="shared" si="1112"/>
        <v/>
      </c>
      <c r="CP776" s="118" t="str">
        <f t="shared" si="1113"/>
        <v/>
      </c>
      <c r="CQ776" s="119" t="str">
        <f t="shared" si="1070"/>
        <v/>
      </c>
      <c r="CR776" s="66" t="str">
        <f>+IF($W776="","",ROUND((VLOOKUP(Parámetros!$F$51,'COBERTURAS ADICIONALES'!$S$4:$T$32,2,FALSE)*(1+i/frec)^-0.5*(1+Parámetros!$D$103)*(1+rec_fracc)/frec*$CO$42),2))</f>
        <v/>
      </c>
      <c r="CS776" s="119" t="str">
        <f t="shared" si="1071"/>
        <v/>
      </c>
      <c r="CT776" s="66" t="str">
        <f>+IF($W776="","",ROUND(IF($B776&gt;Parámetros!$D$107,'Tablas Servicio'!CR776+('Tablas Servicio'!CT775-'Tablas Servicio'!CR775),CR776/(1-IF(B776&lt;=10,Parámetros!$D$100,0))),2))</f>
        <v/>
      </c>
      <c r="CU776" s="66" t="str">
        <f t="shared" si="1072"/>
        <v/>
      </c>
      <c r="CV776" s="66" t="str">
        <f t="shared" si="1072"/>
        <v/>
      </c>
      <c r="CW776" s="66" t="str">
        <f>+IF($W776="","",ROUND((CT776*Parámetros!$G$85),2))</f>
        <v/>
      </c>
      <c r="CX776" s="66" t="str">
        <f>+IF($W776="","",ROUND((CT776*(Parámetros!$G$86)),2))</f>
        <v/>
      </c>
      <c r="CY776" s="66" t="str">
        <f t="shared" si="1073"/>
        <v/>
      </c>
      <c r="CZ776" t="str">
        <f t="shared" si="1114"/>
        <v/>
      </c>
      <c r="DA776" s="118" t="str">
        <f t="shared" si="1115"/>
        <v/>
      </c>
      <c r="DB776" s="118" t="str">
        <f t="shared" si="1116"/>
        <v/>
      </c>
      <c r="DC776" s="118" t="str">
        <f t="shared" si="1117"/>
        <v/>
      </c>
      <c r="DD776" s="121" t="str">
        <f>+IF(OR($W776="",DB776=0),"",ROUND((VLOOKUP(ROUNDDOWN($D776-1/frec,0),cob_adi,CO$40,FALSE)*(1+i/frec)^-0.5*(1+Parámetros!$D$103)*(1+rec_fracc)/frec),6))</f>
        <v/>
      </c>
      <c r="DE776" s="66" t="str">
        <f t="shared" si="1074"/>
        <v/>
      </c>
      <c r="DF776" s="119" t="str">
        <f t="shared" si="1075"/>
        <v/>
      </c>
      <c r="DG776" s="66" t="str">
        <f>+IF($W776="","",ROUND(IF($B776&gt;Parámetros!$D$107,'Tablas Servicio'!DE776+('Tablas Servicio'!DG775-'Tablas Servicio'!DE775),DE776/(1-IF(B776&lt;=10,Parámetros!$D$100,0))),2))</f>
        <v/>
      </c>
      <c r="DH776" s="66" t="str">
        <f t="shared" si="1076"/>
        <v/>
      </c>
      <c r="DI776" s="66" t="str">
        <f t="shared" si="1076"/>
        <v/>
      </c>
      <c r="DJ776" s="66" t="str">
        <f>+IF($W776="","",ROUND((DG776*Parámetros!$G$85),2))</f>
        <v/>
      </c>
      <c r="DK776" s="66" t="str">
        <f>+IF($W776="","",ROUND((DG776*(Parámetros!$G$86)),2))</f>
        <v/>
      </c>
      <c r="DL776" s="66" t="str">
        <f t="shared" si="1077"/>
        <v/>
      </c>
      <c r="DM776" t="str">
        <f t="shared" si="1118"/>
        <v/>
      </c>
      <c r="DN776" s="118" t="str">
        <f t="shared" si="1119"/>
        <v/>
      </c>
      <c r="DO776" s="118" t="str">
        <f t="shared" si="1120"/>
        <v/>
      </c>
      <c r="DP776" s="118" t="str">
        <f t="shared" si="1121"/>
        <v/>
      </c>
      <c r="DQ776" s="122" t="str">
        <f>+IF(OR($W776="",DO776=0),"",ROUND((VLOOKUP(ROUNDDOWN($D776-1/frec,0),cob_adi,DB$40,FALSE)*(1+i/frec)^-0.5*(1+Parámetros!$D$103)*(1+rec_fracc)/frec),6))</f>
        <v/>
      </c>
      <c r="DR776" s="66" t="str">
        <f t="shared" si="1078"/>
        <v/>
      </c>
      <c r="DS776" s="68" t="str">
        <f t="shared" si="1079"/>
        <v/>
      </c>
      <c r="DT776" s="66" t="str">
        <f>+IF($W776="","",ROUND(IF($B776&gt;Parámetros!$D$107,'Tablas Servicio'!DR776+('Tablas Servicio'!DT775-'Tablas Servicio'!DR775),DR776/(1-IF(B776&lt;=10,Parámetros!$D$100,0))),2))</f>
        <v/>
      </c>
      <c r="DU776" s="66" t="str">
        <f t="shared" si="1080"/>
        <v/>
      </c>
      <c r="DV776" s="66" t="str">
        <f t="shared" si="1080"/>
        <v/>
      </c>
      <c r="DW776" s="66" t="str">
        <f>+IF($W776="","",ROUND((DT776*Parámetros!$G$85),2))</f>
        <v/>
      </c>
      <c r="DX776" s="66" t="str">
        <f>+IF($W776="","",ROUND((DT776*(Parámetros!$G$86)),2))</f>
        <v/>
      </c>
      <c r="DY776" s="66" t="str">
        <f t="shared" si="1081"/>
        <v/>
      </c>
      <c r="DZ776" t="str">
        <f t="shared" si="1122"/>
        <v/>
      </c>
      <c r="EA776" s="118" t="str">
        <f t="shared" si="1122"/>
        <v/>
      </c>
      <c r="EB776" s="118" t="str">
        <f>+IF($W776="","",ROUND(IF(Parámetros!$D$25='TABLAS MORT'!$V$33,EB775,Z776/2),0))</f>
        <v/>
      </c>
      <c r="EC776" s="118" t="str">
        <f t="shared" si="1122"/>
        <v/>
      </c>
      <c r="ED776" s="122" t="str">
        <f>+IF(OR($W776="",EB776=0),"",ROUND((VLOOKUP(ROUNDDOWN($D776-1/frec,0),cob_adi,DO$40,FALSE)*(1+i/frec)^-0.5*(1+Parámetros!$D$103)*(1+rec_fracc)/frec),6))</f>
        <v/>
      </c>
      <c r="EE776" s="66" t="str">
        <f t="shared" si="1083"/>
        <v/>
      </c>
      <c r="EF776" s="68" t="str">
        <f t="shared" si="1084"/>
        <v/>
      </c>
      <c r="EG776" s="66" t="str">
        <f>+IF($W776="","",ROUND(IF($B776&gt;Parámetros!$D$107,'Tablas Servicio'!EE776+('Tablas Servicio'!EG775-'Tablas Servicio'!EE775),EE776/(1-IF(B776&lt;=10,Parámetros!$D$100,0))),2))</f>
        <v/>
      </c>
      <c r="EH776" s="66" t="str">
        <f t="shared" si="1085"/>
        <v/>
      </c>
      <c r="EI776" s="66" t="str">
        <f t="shared" si="1085"/>
        <v/>
      </c>
      <c r="EJ776" s="66" t="str">
        <f>+IF($W776="","",ROUND((EG776*Parámetros!$G$85),2))</f>
        <v/>
      </c>
      <c r="EK776" s="66" t="str">
        <f>+IF($W776="","",ROUND((EG776*(Parámetros!$G$86)),2))</f>
        <v/>
      </c>
      <c r="EL776" s="66" t="str">
        <f t="shared" si="1086"/>
        <v/>
      </c>
    </row>
    <row r="777" spans="1:142" x14ac:dyDescent="0.25">
      <c r="A777" t="str">
        <f>+IF($C777="","",ROUND(VLOOKUP('Tablas Servicio'!B777,Parámetros!$H$100:$J$159,IF(Parámetros!$E$16="F",2,3),FALSE),2))</f>
        <v/>
      </c>
      <c r="B777" t="str">
        <f t="shared" si="1037"/>
        <v/>
      </c>
      <c r="C777" s="57" t="str">
        <f>+IF(D777="","",'Tablas Servicio'!C776+1)</f>
        <v/>
      </c>
      <c r="D777" s="56" t="str">
        <f>+IF(D776&lt;edadmaxtabla,D776+1/Parámetros!$E$25,"")</f>
        <v/>
      </c>
      <c r="E777" s="57" t="str">
        <f t="shared" si="1047"/>
        <v/>
      </c>
      <c r="F777" s="59" t="str">
        <f t="shared" si="1048"/>
        <v/>
      </c>
      <c r="G777" s="66" t="str">
        <f t="shared" si="1038"/>
        <v/>
      </c>
      <c r="H777" s="66" t="str">
        <f t="shared" si="1039"/>
        <v/>
      </c>
      <c r="I777" s="66" t="str">
        <f t="shared" si="1087"/>
        <v/>
      </c>
      <c r="J777" s="66" t="str">
        <f t="shared" si="1040"/>
        <v/>
      </c>
      <c r="K777" s="66" t="str">
        <f t="shared" si="1041"/>
        <v/>
      </c>
      <c r="L777" s="66" t="str">
        <f t="shared" si="1042"/>
        <v/>
      </c>
      <c r="M777" s="66" t="str">
        <f t="shared" si="1043"/>
        <v/>
      </c>
      <c r="N777" s="66" t="str">
        <f>+IF(C777="","",ROUND(Parámetros!$D$23,2))</f>
        <v/>
      </c>
      <c r="O777" s="66" t="str">
        <f t="shared" si="1044"/>
        <v/>
      </c>
      <c r="P777" s="66" t="str">
        <f>+IF($C777="","",ROUND(IF(B777&gt;Parámetros!$D$117,0,N777*Parámetros!$D$116-G777*Parámetros!$D$100),2))</f>
        <v/>
      </c>
      <c r="Q777" s="75" t="str">
        <f t="shared" si="1088"/>
        <v/>
      </c>
      <c r="R777" s="75" t="str">
        <f t="shared" si="1089"/>
        <v/>
      </c>
      <c r="S777" s="117" t="str">
        <f>+IF($C777="","",ROUND((S776+I777)*(1+Parámetros!$D$91),2))</f>
        <v/>
      </c>
      <c r="T777" s="117" t="str">
        <f>+IF($C777="","",ROUND(S777*VLOOKUP(B777,Parámetros!$C$30:$D$39,2,TRUE),2))</f>
        <v/>
      </c>
      <c r="U777" s="117" t="str">
        <f>+IF($C777="","",ROUND((U776+I777)*(1+Parámetros!$D$92),2))</f>
        <v/>
      </c>
      <c r="V777" s="117" t="str">
        <f>+IF($C777="","",ROUND(U777*VLOOKUP(B777,Parámetros!$C$30:$D$39,2,TRUE),2))</f>
        <v/>
      </c>
      <c r="W777" s="57" t="str">
        <f t="shared" si="1090"/>
        <v/>
      </c>
      <c r="X777" t="str">
        <f t="shared" si="1091"/>
        <v/>
      </c>
      <c r="Y777" t="str">
        <f t="shared" si="1092"/>
        <v/>
      </c>
      <c r="Z777" s="118" t="str">
        <f>+IF($W777="","",ROUND(IF(Parámetros!$D$25='TABLAS MORT'!$V$33,Z776,Parámetros!$D$21-'Tablas Servicio'!T776),0))</f>
        <v/>
      </c>
      <c r="AA777" s="118" t="str">
        <f t="shared" si="1093"/>
        <v/>
      </c>
      <c r="AB777" s="119" t="str">
        <f>+IF(W777="","",ROUND((VLOOKUP(ROUNDDOWN($D777-1/frec,0),qx_tabla,2,FALSE)*(1+i/frec)^-0.5*(1+Parámetros!$D$103)*(1+rec_fracc)/frec),6))</f>
        <v/>
      </c>
      <c r="AC777" s="66" t="str">
        <f t="shared" si="1049"/>
        <v/>
      </c>
      <c r="AD777" s="119" t="str">
        <f t="shared" si="1045"/>
        <v/>
      </c>
      <c r="AE777" s="66" t="str">
        <f>+IF($W777="","",ROUND(IF($B777&gt;Parámetros!$D$107,'Tablas Servicio'!AC777+('Tablas Servicio'!AG776-'Tablas Servicio'!AC776),AC777/(1-IF(B777&lt;=10,Parámetros!$D$104,Parámetros!$D$105))),2))</f>
        <v/>
      </c>
      <c r="AF777" s="66" t="str">
        <f>+IF($W777="","",ROUND(IF($B777&gt;Parámetros!$D$107,'Tablas Servicio'!AC777+('Tablas Servicio'!AG776-'Tablas Servicio'!AC776),(AC777+$A776/frec)/(1-IF(B777&lt;=Parámetros!$D$117,Parámetros!$D$100,0))),2))</f>
        <v/>
      </c>
      <c r="AG777" s="66" t="str">
        <f t="shared" si="1050"/>
        <v/>
      </c>
      <c r="AH777" s="66" t="str">
        <f t="shared" si="1051"/>
        <v/>
      </c>
      <c r="AI777" s="66" t="str">
        <f t="shared" si="1052"/>
        <v/>
      </c>
      <c r="AJ777" s="66" t="str">
        <f>+IF($W777="","",ROUND((AG777*Parámetros!$G$85),2))</f>
        <v/>
      </c>
      <c r="AK777" s="66" t="str">
        <f>+IF($W777="","",ROUND((AG777*(Parámetros!$G$86)),2))</f>
        <v/>
      </c>
      <c r="AL777" s="66" t="str">
        <f t="shared" si="1046"/>
        <v/>
      </c>
      <c r="AM777" t="str">
        <f t="shared" si="1094"/>
        <v/>
      </c>
      <c r="AN777" t="str">
        <f t="shared" si="1095"/>
        <v/>
      </c>
      <c r="AO777" s="118" t="str">
        <f t="shared" si="1096"/>
        <v/>
      </c>
      <c r="AP777" s="118" t="str">
        <f t="shared" si="1097"/>
        <v/>
      </c>
      <c r="AQ777" s="119" t="str">
        <f>+IF(OR($W777="",AO777=0),"",ROUND((VLOOKUP(ROUNDDOWN($D777-1/frec,0),cob_adi,Z$40,FALSE)*(1+i/frec)^-0.5*(1+Parámetros!$D$103)*(1+rec_fracc)/frec),6))</f>
        <v/>
      </c>
      <c r="AR777" s="66" t="str">
        <f t="shared" si="1053"/>
        <v/>
      </c>
      <c r="AS777" s="119" t="str">
        <f t="shared" si="1054"/>
        <v/>
      </c>
      <c r="AT777" s="66" t="str">
        <f>+IF($W777="","",ROUND(IF($B777&gt;Parámetros!$D$107,'Tablas Servicio'!AR777+('Tablas Servicio'!AT776-'Tablas Servicio'!AR776),AR777/(1-IF(B777&lt;=10,Parámetros!$D$100,0))),2))</f>
        <v/>
      </c>
      <c r="AU777" s="66" t="str">
        <f t="shared" si="1055"/>
        <v/>
      </c>
      <c r="AV777" s="66" t="str">
        <f t="shared" si="1055"/>
        <v/>
      </c>
      <c r="AW777" s="66" t="str">
        <f>+IF($W777="","",ROUND((AT777*Parámetros!$G$85),2))</f>
        <v/>
      </c>
      <c r="AX777" s="66" t="str">
        <f>+IF($W777="","",ROUND((AT777*(Parámetros!$G$86)),2))</f>
        <v/>
      </c>
      <c r="AY777" s="66" t="str">
        <f t="shared" si="1056"/>
        <v/>
      </c>
      <c r="AZ777" t="str">
        <f t="shared" si="1098"/>
        <v/>
      </c>
      <c r="BA777" t="str">
        <f t="shared" si="1099"/>
        <v/>
      </c>
      <c r="BB777" s="118" t="str">
        <f t="shared" si="1100"/>
        <v/>
      </c>
      <c r="BC777" s="118" t="str">
        <f t="shared" si="1101"/>
        <v/>
      </c>
      <c r="BD777" s="119" t="str">
        <f>+IF(OR($W777="",BB777=0),"",ROUND((VLOOKUP(ROUNDDOWN($D777-1/frec,0),cob_adi,AO$40,FALSE)*(1+i/frec)^-0.5*(1+Parámetros!$D$103)*(1+rec_fracc)/frec),6))</f>
        <v/>
      </c>
      <c r="BE777" s="66" t="str">
        <f t="shared" si="1057"/>
        <v/>
      </c>
      <c r="BF777" s="119" t="str">
        <f t="shared" si="1058"/>
        <v/>
      </c>
      <c r="BG777" s="66" t="str">
        <f>+IF($W777="","",ROUND(IF($B777&gt;Parámetros!$D$107,'Tablas Servicio'!BE777+('Tablas Servicio'!BG776-'Tablas Servicio'!BE776),BE777/(1-IF(B777&lt;=10,Parámetros!$D$100,0))),2))</f>
        <v/>
      </c>
      <c r="BH777" s="66" t="str">
        <f t="shared" si="1059"/>
        <v/>
      </c>
      <c r="BI777" s="66" t="str">
        <f t="shared" si="1060"/>
        <v/>
      </c>
      <c r="BJ777" s="66" t="str">
        <f>+IF($W777="","",ROUND((BG777*Parámetros!$G$85),2))</f>
        <v/>
      </c>
      <c r="BK777" s="66" t="str">
        <f>+IF($W777="","",ROUND((BG777*(Parámetros!$G$86)),2))</f>
        <v/>
      </c>
      <c r="BL777" s="66" t="str">
        <f t="shared" si="1061"/>
        <v/>
      </c>
      <c r="BM777" t="str">
        <f t="shared" si="1102"/>
        <v/>
      </c>
      <c r="BN777" t="str">
        <f t="shared" si="1103"/>
        <v/>
      </c>
      <c r="BO777" s="118" t="str">
        <f t="shared" si="1104"/>
        <v/>
      </c>
      <c r="BP777" s="118" t="str">
        <f t="shared" si="1105"/>
        <v/>
      </c>
      <c r="BQ777" s="119" t="str">
        <f>+IF(OR($W777="",BO777=0),"",ROUND((VLOOKUP(ROUNDDOWN($D777-1/frec,0),cob_adi,BB$40,FALSE)*(1+i/frec)^-0.5*(1+Parámetros!$D$103)*(1+rec_fracc)/frec),6))</f>
        <v/>
      </c>
      <c r="BR777" s="66" t="str">
        <f t="shared" si="1062"/>
        <v/>
      </c>
      <c r="BS777" s="119" t="str">
        <f t="shared" si="1063"/>
        <v/>
      </c>
      <c r="BT777" s="66" t="str">
        <f>+IF($W777="","",ROUND(IF($B777&gt;Parámetros!$D$107,'Tablas Servicio'!BR777+('Tablas Servicio'!BT776-'Tablas Servicio'!BR776),BR777/(1-IF(B777&lt;=10,Parámetros!$D$100,0))),2))</f>
        <v/>
      </c>
      <c r="BU777" s="66" t="str">
        <f t="shared" si="1064"/>
        <v/>
      </c>
      <c r="BV777" s="66" t="str">
        <f t="shared" si="1064"/>
        <v/>
      </c>
      <c r="BW777" s="66" t="str">
        <f>+IF($W777="","",ROUND((BT777*Parámetros!$G$85),2))</f>
        <v/>
      </c>
      <c r="BX777" s="66" t="str">
        <f>+IF($W777="","",ROUND((BT777*(Parámetros!$G$86)),2))</f>
        <v/>
      </c>
      <c r="BY777" s="66" t="str">
        <f t="shared" si="1065"/>
        <v/>
      </c>
      <c r="BZ777" t="str">
        <f t="shared" si="1106"/>
        <v/>
      </c>
      <c r="CA777" t="str">
        <f t="shared" si="1107"/>
        <v/>
      </c>
      <c r="CB777" s="118" t="str">
        <f t="shared" si="1108"/>
        <v/>
      </c>
      <c r="CC777" s="118" t="str">
        <f t="shared" si="1109"/>
        <v/>
      </c>
      <c r="CD777" s="119" t="str">
        <f t="shared" si="1066"/>
        <v/>
      </c>
      <c r="CE777" s="66" t="str">
        <f>+IF($W777="","",ROUND((VLOOKUP(ROUNDDOWN($D777-1/frec,0),cob_adi,BO$40,FALSE)*(1+i/frec)^-0.5*(1+Parámetros!$D$103)*(1+rec_fracc)/frec*'TABLAS ADI'!$BC$17),2))</f>
        <v/>
      </c>
      <c r="CF777" s="119" t="str">
        <f t="shared" si="1067"/>
        <v/>
      </c>
      <c r="CG777" s="66" t="str">
        <f>+IF($W777="","",ROUND(IF($B777&gt;Parámetros!$D$107,'Tablas Servicio'!CE777+('Tablas Servicio'!CG776-'Tablas Servicio'!CE776),CE777/(1-IF(B777&lt;=10,Parámetros!$D$100,0))),2))</f>
        <v/>
      </c>
      <c r="CH777" s="66" t="str">
        <f t="shared" si="1068"/>
        <v/>
      </c>
      <c r="CI777" s="66" t="str">
        <f t="shared" si="1068"/>
        <v/>
      </c>
      <c r="CJ777" s="66" t="str">
        <f>+IF($W777="","",ROUND((CG777*Parámetros!$G$85),2))</f>
        <v/>
      </c>
      <c r="CK777" s="66" t="str">
        <f>+IF($W777="","",ROUND((CG777*(Parámetros!$G$86)),2))</f>
        <v/>
      </c>
      <c r="CL777" s="66" t="str">
        <f t="shared" si="1069"/>
        <v/>
      </c>
      <c r="CM777" t="str">
        <f t="shared" si="1110"/>
        <v/>
      </c>
      <c r="CN777" s="118" t="str">
        <f t="shared" si="1111"/>
        <v/>
      </c>
      <c r="CO777" s="118" t="str">
        <f t="shared" si="1112"/>
        <v/>
      </c>
      <c r="CP777" s="118" t="str">
        <f t="shared" si="1113"/>
        <v/>
      </c>
      <c r="CQ777" s="119" t="str">
        <f t="shared" si="1070"/>
        <v/>
      </c>
      <c r="CR777" s="66" t="str">
        <f>+IF($W777="","",ROUND((VLOOKUP(Parámetros!$F$51,'COBERTURAS ADICIONALES'!$S$4:$T$32,2,FALSE)*(1+i/frec)^-0.5*(1+Parámetros!$D$103)*(1+rec_fracc)/frec*$CO$42),2))</f>
        <v/>
      </c>
      <c r="CS777" s="119" t="str">
        <f t="shared" si="1071"/>
        <v/>
      </c>
      <c r="CT777" s="66" t="str">
        <f>+IF($W777="","",ROUND(IF($B777&gt;Parámetros!$D$107,'Tablas Servicio'!CR777+('Tablas Servicio'!CT776-'Tablas Servicio'!CR776),CR777/(1-IF(B777&lt;=10,Parámetros!$D$100,0))),2))</f>
        <v/>
      </c>
      <c r="CU777" s="66" t="str">
        <f t="shared" si="1072"/>
        <v/>
      </c>
      <c r="CV777" s="66" t="str">
        <f t="shared" si="1072"/>
        <v/>
      </c>
      <c r="CW777" s="66" t="str">
        <f>+IF($W777="","",ROUND((CT777*Parámetros!$G$85),2))</f>
        <v/>
      </c>
      <c r="CX777" s="66" t="str">
        <f>+IF($W777="","",ROUND((CT777*(Parámetros!$G$86)),2))</f>
        <v/>
      </c>
      <c r="CY777" s="66" t="str">
        <f t="shared" si="1073"/>
        <v/>
      </c>
      <c r="CZ777" t="str">
        <f t="shared" si="1114"/>
        <v/>
      </c>
      <c r="DA777" s="118" t="str">
        <f t="shared" si="1115"/>
        <v/>
      </c>
      <c r="DB777" s="118" t="str">
        <f t="shared" si="1116"/>
        <v/>
      </c>
      <c r="DC777" s="118" t="str">
        <f t="shared" si="1117"/>
        <v/>
      </c>
      <c r="DD777" s="121" t="str">
        <f>+IF(OR($W777="",DB777=0),"",ROUND((VLOOKUP(ROUNDDOWN($D777-1/frec,0),cob_adi,CO$40,FALSE)*(1+i/frec)^-0.5*(1+Parámetros!$D$103)*(1+rec_fracc)/frec),6))</f>
        <v/>
      </c>
      <c r="DE777" s="66" t="str">
        <f t="shared" si="1074"/>
        <v/>
      </c>
      <c r="DF777" s="119" t="str">
        <f t="shared" si="1075"/>
        <v/>
      </c>
      <c r="DG777" s="66" t="str">
        <f>+IF($W777="","",ROUND(IF($B777&gt;Parámetros!$D$107,'Tablas Servicio'!DE777+('Tablas Servicio'!DG776-'Tablas Servicio'!DE776),DE777/(1-IF(B777&lt;=10,Parámetros!$D$100,0))),2))</f>
        <v/>
      </c>
      <c r="DH777" s="66" t="str">
        <f t="shared" si="1076"/>
        <v/>
      </c>
      <c r="DI777" s="66" t="str">
        <f t="shared" si="1076"/>
        <v/>
      </c>
      <c r="DJ777" s="66" t="str">
        <f>+IF($W777="","",ROUND((DG777*Parámetros!$G$85),2))</f>
        <v/>
      </c>
      <c r="DK777" s="66" t="str">
        <f>+IF($W777="","",ROUND((DG777*(Parámetros!$G$86)),2))</f>
        <v/>
      </c>
      <c r="DL777" s="66" t="str">
        <f t="shared" si="1077"/>
        <v/>
      </c>
      <c r="DM777" t="str">
        <f t="shared" si="1118"/>
        <v/>
      </c>
      <c r="DN777" s="118" t="str">
        <f t="shared" si="1119"/>
        <v/>
      </c>
      <c r="DO777" s="118" t="str">
        <f t="shared" si="1120"/>
        <v/>
      </c>
      <c r="DP777" s="118" t="str">
        <f t="shared" si="1121"/>
        <v/>
      </c>
      <c r="DQ777" s="122" t="str">
        <f>+IF(OR($W777="",DO777=0),"",ROUND((VLOOKUP(ROUNDDOWN($D777-1/frec,0),cob_adi,DB$40,FALSE)*(1+i/frec)^-0.5*(1+Parámetros!$D$103)*(1+rec_fracc)/frec),6))</f>
        <v/>
      </c>
      <c r="DR777" s="66" t="str">
        <f t="shared" si="1078"/>
        <v/>
      </c>
      <c r="DS777" s="68" t="str">
        <f t="shared" si="1079"/>
        <v/>
      </c>
      <c r="DT777" s="66" t="str">
        <f>+IF($W777="","",ROUND(IF($B777&gt;Parámetros!$D$107,'Tablas Servicio'!DR777+('Tablas Servicio'!DT776-'Tablas Servicio'!DR776),DR777/(1-IF(B777&lt;=10,Parámetros!$D$100,0))),2))</f>
        <v/>
      </c>
      <c r="DU777" s="66" t="str">
        <f t="shared" si="1080"/>
        <v/>
      </c>
      <c r="DV777" s="66" t="str">
        <f t="shared" si="1080"/>
        <v/>
      </c>
      <c r="DW777" s="66" t="str">
        <f>+IF($W777="","",ROUND((DT777*Parámetros!$G$85),2))</f>
        <v/>
      </c>
      <c r="DX777" s="66" t="str">
        <f>+IF($W777="","",ROUND((DT777*(Parámetros!$G$86)),2))</f>
        <v/>
      </c>
      <c r="DY777" s="66" t="str">
        <f t="shared" si="1081"/>
        <v/>
      </c>
      <c r="DZ777" t="str">
        <f t="shared" si="1122"/>
        <v/>
      </c>
      <c r="EA777" s="118" t="str">
        <f t="shared" si="1122"/>
        <v/>
      </c>
      <c r="EB777" s="118" t="str">
        <f>+IF($W777="","",ROUND(IF(Parámetros!$D$25='TABLAS MORT'!$V$33,EB776,Z777/2),0))</f>
        <v/>
      </c>
      <c r="EC777" s="118" t="str">
        <f t="shared" si="1122"/>
        <v/>
      </c>
      <c r="ED777" s="122" t="str">
        <f>+IF(OR($W777="",EB777=0),"",ROUND((VLOOKUP(ROUNDDOWN($D777-1/frec,0),cob_adi,DO$40,FALSE)*(1+i/frec)^-0.5*(1+Parámetros!$D$103)*(1+rec_fracc)/frec),6))</f>
        <v/>
      </c>
      <c r="EE777" s="66" t="str">
        <f t="shared" si="1083"/>
        <v/>
      </c>
      <c r="EF777" s="68" t="str">
        <f t="shared" si="1084"/>
        <v/>
      </c>
      <c r="EG777" s="66" t="str">
        <f>+IF($W777="","",ROUND(IF($B777&gt;Parámetros!$D$107,'Tablas Servicio'!EE777+('Tablas Servicio'!EG776-'Tablas Servicio'!EE776),EE777/(1-IF(B777&lt;=10,Parámetros!$D$100,0))),2))</f>
        <v/>
      </c>
      <c r="EH777" s="66" t="str">
        <f t="shared" si="1085"/>
        <v/>
      </c>
      <c r="EI777" s="66" t="str">
        <f t="shared" si="1085"/>
        <v/>
      </c>
      <c r="EJ777" s="66" t="str">
        <f>+IF($W777="","",ROUND((EG777*Parámetros!$G$85),2))</f>
        <v/>
      </c>
      <c r="EK777" s="66" t="str">
        <f>+IF($W777="","",ROUND((EG777*(Parámetros!$G$86)),2))</f>
        <v/>
      </c>
      <c r="EL777" s="66" t="str">
        <f t="shared" si="1086"/>
        <v/>
      </c>
    </row>
    <row r="778" spans="1:142" x14ac:dyDescent="0.25">
      <c r="A778" t="str">
        <f>+IF($C778="","",ROUND(VLOOKUP('Tablas Servicio'!B778,Parámetros!$H$100:$J$159,IF(Parámetros!$E$16="F",2,3),FALSE),2))</f>
        <v/>
      </c>
      <c r="B778" t="str">
        <f t="shared" si="1037"/>
        <v/>
      </c>
      <c r="C778" s="57" t="str">
        <f>+IF(D778="","",'Tablas Servicio'!C777+1)</f>
        <v/>
      </c>
      <c r="D778" s="56" t="str">
        <f>+IF(D777&lt;edadmaxtabla,D777+1/Parámetros!$E$25,"")</f>
        <v/>
      </c>
      <c r="E778" s="57" t="str">
        <f t="shared" si="1047"/>
        <v/>
      </c>
      <c r="F778" s="59" t="str">
        <f t="shared" si="1048"/>
        <v/>
      </c>
      <c r="G778" s="66" t="str">
        <f t="shared" si="1038"/>
        <v/>
      </c>
      <c r="H778" s="66" t="str">
        <f t="shared" si="1039"/>
        <v/>
      </c>
      <c r="I778" s="66" t="str">
        <f t="shared" si="1087"/>
        <v/>
      </c>
      <c r="J778" s="66" t="str">
        <f t="shared" si="1040"/>
        <v/>
      </c>
      <c r="K778" s="66" t="str">
        <f t="shared" si="1041"/>
        <v/>
      </c>
      <c r="L778" s="66" t="str">
        <f t="shared" si="1042"/>
        <v/>
      </c>
      <c r="M778" s="66" t="str">
        <f t="shared" si="1043"/>
        <v/>
      </c>
      <c r="N778" s="66" t="str">
        <f>+IF(C778="","",ROUND(Parámetros!$D$23,2))</f>
        <v/>
      </c>
      <c r="O778" s="66" t="str">
        <f t="shared" si="1044"/>
        <v/>
      </c>
      <c r="P778" s="66" t="str">
        <f>+IF($C778="","",ROUND(IF(B778&gt;Parámetros!$D$117,0,N778*Parámetros!$D$116-G778*Parámetros!$D$100),2))</f>
        <v/>
      </c>
      <c r="Q778" s="75" t="str">
        <f t="shared" si="1088"/>
        <v/>
      </c>
      <c r="R778" s="75" t="str">
        <f t="shared" si="1089"/>
        <v/>
      </c>
      <c r="S778" s="117" t="str">
        <f>+IF($C778="","",ROUND((S777+I778)*(1+Parámetros!$D$91),2))</f>
        <v/>
      </c>
      <c r="T778" s="117" t="str">
        <f>+IF($C778="","",ROUND(S778*VLOOKUP(B778,Parámetros!$C$30:$D$39,2,TRUE),2))</f>
        <v/>
      </c>
      <c r="U778" s="117" t="str">
        <f>+IF($C778="","",ROUND((U777+I778)*(1+Parámetros!$D$92),2))</f>
        <v/>
      </c>
      <c r="V778" s="117" t="str">
        <f>+IF($C778="","",ROUND(U778*VLOOKUP(B778,Parámetros!$C$30:$D$39,2,TRUE),2))</f>
        <v/>
      </c>
      <c r="W778" s="57" t="str">
        <f t="shared" si="1090"/>
        <v/>
      </c>
      <c r="X778" t="str">
        <f t="shared" si="1091"/>
        <v/>
      </c>
      <c r="Y778" t="str">
        <f t="shared" si="1092"/>
        <v/>
      </c>
      <c r="Z778" s="118" t="str">
        <f>+IF($W778="","",ROUND(IF(Parámetros!$D$25='TABLAS MORT'!$V$33,Z777,Parámetros!$D$21-'Tablas Servicio'!T777),0))</f>
        <v/>
      </c>
      <c r="AA778" s="118" t="str">
        <f t="shared" si="1093"/>
        <v/>
      </c>
      <c r="AB778" s="119" t="str">
        <f>+IF(W778="","",ROUND((VLOOKUP(ROUNDDOWN($D778-1/frec,0),qx_tabla,2,FALSE)*(1+i/frec)^-0.5*(1+Parámetros!$D$103)*(1+rec_fracc)/frec),6))</f>
        <v/>
      </c>
      <c r="AC778" s="66" t="str">
        <f t="shared" si="1049"/>
        <v/>
      </c>
      <c r="AD778" s="119" t="str">
        <f t="shared" si="1045"/>
        <v/>
      </c>
      <c r="AE778" s="66" t="str">
        <f>+IF($W778="","",ROUND(IF($B778&gt;Parámetros!$D$107,'Tablas Servicio'!AC778+('Tablas Servicio'!AG777-'Tablas Servicio'!AC777),AC778/(1-IF(B778&lt;=10,Parámetros!$D$104,Parámetros!$D$105))),2))</f>
        <v/>
      </c>
      <c r="AF778" s="66" t="str">
        <f>+IF($W778="","",ROUND(IF($B778&gt;Parámetros!$D$107,'Tablas Servicio'!AC778+('Tablas Servicio'!AG777-'Tablas Servicio'!AC777),(AC778+$A777/frec)/(1-IF(B778&lt;=Parámetros!$D$117,Parámetros!$D$100,0))),2))</f>
        <v/>
      </c>
      <c r="AG778" s="66" t="str">
        <f t="shared" si="1050"/>
        <v/>
      </c>
      <c r="AH778" s="66" t="str">
        <f t="shared" si="1051"/>
        <v/>
      </c>
      <c r="AI778" s="66" t="str">
        <f t="shared" si="1052"/>
        <v/>
      </c>
      <c r="AJ778" s="66" t="str">
        <f>+IF($W778="","",ROUND((AG778*Parámetros!$G$85),2))</f>
        <v/>
      </c>
      <c r="AK778" s="66" t="str">
        <f>+IF($W778="","",ROUND((AG778*(Parámetros!$G$86)),2))</f>
        <v/>
      </c>
      <c r="AL778" s="66" t="str">
        <f t="shared" si="1046"/>
        <v/>
      </c>
      <c r="AM778" t="str">
        <f t="shared" si="1094"/>
        <v/>
      </c>
      <c r="AN778" t="str">
        <f t="shared" si="1095"/>
        <v/>
      </c>
      <c r="AO778" s="118" t="str">
        <f t="shared" si="1096"/>
        <v/>
      </c>
      <c r="AP778" s="118" t="str">
        <f t="shared" si="1097"/>
        <v/>
      </c>
      <c r="AQ778" s="119" t="str">
        <f>+IF(OR($W778="",AO778=0),"",ROUND((VLOOKUP(ROUNDDOWN($D778-1/frec,0),cob_adi,Z$40,FALSE)*(1+i/frec)^-0.5*(1+Parámetros!$D$103)*(1+rec_fracc)/frec),6))</f>
        <v/>
      </c>
      <c r="AR778" s="66" t="str">
        <f t="shared" si="1053"/>
        <v/>
      </c>
      <c r="AS778" s="119" t="str">
        <f t="shared" si="1054"/>
        <v/>
      </c>
      <c r="AT778" s="66" t="str">
        <f>+IF($W778="","",ROUND(IF($B778&gt;Parámetros!$D$107,'Tablas Servicio'!AR778+('Tablas Servicio'!AT777-'Tablas Servicio'!AR777),AR778/(1-IF(B778&lt;=10,Parámetros!$D$100,0))),2))</f>
        <v/>
      </c>
      <c r="AU778" s="66" t="str">
        <f t="shared" si="1055"/>
        <v/>
      </c>
      <c r="AV778" s="66" t="str">
        <f t="shared" si="1055"/>
        <v/>
      </c>
      <c r="AW778" s="66" t="str">
        <f>+IF($W778="","",ROUND((AT778*Parámetros!$G$85),2))</f>
        <v/>
      </c>
      <c r="AX778" s="66" t="str">
        <f>+IF($W778="","",ROUND((AT778*(Parámetros!$G$86)),2))</f>
        <v/>
      </c>
      <c r="AY778" s="66" t="str">
        <f t="shared" si="1056"/>
        <v/>
      </c>
      <c r="AZ778" t="str">
        <f t="shared" si="1098"/>
        <v/>
      </c>
      <c r="BA778" t="str">
        <f t="shared" si="1099"/>
        <v/>
      </c>
      <c r="BB778" s="118" t="str">
        <f t="shared" si="1100"/>
        <v/>
      </c>
      <c r="BC778" s="118" t="str">
        <f t="shared" si="1101"/>
        <v/>
      </c>
      <c r="BD778" s="119" t="str">
        <f>+IF(OR($W778="",BB778=0),"",ROUND((VLOOKUP(ROUNDDOWN($D778-1/frec,0),cob_adi,AO$40,FALSE)*(1+i/frec)^-0.5*(1+Parámetros!$D$103)*(1+rec_fracc)/frec),6))</f>
        <v/>
      </c>
      <c r="BE778" s="66" t="str">
        <f t="shared" si="1057"/>
        <v/>
      </c>
      <c r="BF778" s="119" t="str">
        <f t="shared" si="1058"/>
        <v/>
      </c>
      <c r="BG778" s="66" t="str">
        <f>+IF($W778="","",ROUND(IF($B778&gt;Parámetros!$D$107,'Tablas Servicio'!BE778+('Tablas Servicio'!BG777-'Tablas Servicio'!BE777),BE778/(1-IF(B778&lt;=10,Parámetros!$D$100,0))),2))</f>
        <v/>
      </c>
      <c r="BH778" s="66" t="str">
        <f t="shared" si="1059"/>
        <v/>
      </c>
      <c r="BI778" s="66" t="str">
        <f t="shared" si="1060"/>
        <v/>
      </c>
      <c r="BJ778" s="66" t="str">
        <f>+IF($W778="","",ROUND((BG778*Parámetros!$G$85),2))</f>
        <v/>
      </c>
      <c r="BK778" s="66" t="str">
        <f>+IF($W778="","",ROUND((BG778*(Parámetros!$G$86)),2))</f>
        <v/>
      </c>
      <c r="BL778" s="66" t="str">
        <f t="shared" si="1061"/>
        <v/>
      </c>
      <c r="BM778" t="str">
        <f t="shared" si="1102"/>
        <v/>
      </c>
      <c r="BN778" t="str">
        <f t="shared" si="1103"/>
        <v/>
      </c>
      <c r="BO778" s="118" t="str">
        <f t="shared" si="1104"/>
        <v/>
      </c>
      <c r="BP778" s="118" t="str">
        <f t="shared" si="1105"/>
        <v/>
      </c>
      <c r="BQ778" s="119" t="str">
        <f>+IF(OR($W778="",BO778=0),"",ROUND((VLOOKUP(ROUNDDOWN($D778-1/frec,0),cob_adi,BB$40,FALSE)*(1+i/frec)^-0.5*(1+Parámetros!$D$103)*(1+rec_fracc)/frec),6))</f>
        <v/>
      </c>
      <c r="BR778" s="66" t="str">
        <f t="shared" si="1062"/>
        <v/>
      </c>
      <c r="BS778" s="119" t="str">
        <f t="shared" si="1063"/>
        <v/>
      </c>
      <c r="BT778" s="66" t="str">
        <f>+IF($W778="","",ROUND(IF($B778&gt;Parámetros!$D$107,'Tablas Servicio'!BR778+('Tablas Servicio'!BT777-'Tablas Servicio'!BR777),BR778/(1-IF(B778&lt;=10,Parámetros!$D$100,0))),2))</f>
        <v/>
      </c>
      <c r="BU778" s="66" t="str">
        <f t="shared" si="1064"/>
        <v/>
      </c>
      <c r="BV778" s="66" t="str">
        <f t="shared" si="1064"/>
        <v/>
      </c>
      <c r="BW778" s="66" t="str">
        <f>+IF($W778="","",ROUND((BT778*Parámetros!$G$85),2))</f>
        <v/>
      </c>
      <c r="BX778" s="66" t="str">
        <f>+IF($W778="","",ROUND((BT778*(Parámetros!$G$86)),2))</f>
        <v/>
      </c>
      <c r="BY778" s="66" t="str">
        <f t="shared" si="1065"/>
        <v/>
      </c>
      <c r="BZ778" t="str">
        <f t="shared" si="1106"/>
        <v/>
      </c>
      <c r="CA778" t="str">
        <f t="shared" si="1107"/>
        <v/>
      </c>
      <c r="CB778" s="118" t="str">
        <f t="shared" si="1108"/>
        <v/>
      </c>
      <c r="CC778" s="118" t="str">
        <f t="shared" si="1109"/>
        <v/>
      </c>
      <c r="CD778" s="119" t="str">
        <f t="shared" si="1066"/>
        <v/>
      </c>
      <c r="CE778" s="66" t="str">
        <f>+IF($W778="","",ROUND((VLOOKUP(ROUNDDOWN($D778-1/frec,0),cob_adi,BO$40,FALSE)*(1+i/frec)^-0.5*(1+Parámetros!$D$103)*(1+rec_fracc)/frec*'TABLAS ADI'!$BC$17),2))</f>
        <v/>
      </c>
      <c r="CF778" s="119" t="str">
        <f t="shared" si="1067"/>
        <v/>
      </c>
      <c r="CG778" s="66" t="str">
        <f>+IF($W778="","",ROUND(IF($B778&gt;Parámetros!$D$107,'Tablas Servicio'!CE778+('Tablas Servicio'!CG777-'Tablas Servicio'!CE777),CE778/(1-IF(B778&lt;=10,Parámetros!$D$100,0))),2))</f>
        <v/>
      </c>
      <c r="CH778" s="66" t="str">
        <f t="shared" si="1068"/>
        <v/>
      </c>
      <c r="CI778" s="66" t="str">
        <f t="shared" si="1068"/>
        <v/>
      </c>
      <c r="CJ778" s="66" t="str">
        <f>+IF($W778="","",ROUND((CG778*Parámetros!$G$85),2))</f>
        <v/>
      </c>
      <c r="CK778" s="66" t="str">
        <f>+IF($W778="","",ROUND((CG778*(Parámetros!$G$86)),2))</f>
        <v/>
      </c>
      <c r="CL778" s="66" t="str">
        <f t="shared" si="1069"/>
        <v/>
      </c>
      <c r="CM778" t="str">
        <f t="shared" si="1110"/>
        <v/>
      </c>
      <c r="CN778" s="118" t="str">
        <f t="shared" si="1111"/>
        <v/>
      </c>
      <c r="CO778" s="118" t="str">
        <f t="shared" si="1112"/>
        <v/>
      </c>
      <c r="CP778" s="118" t="str">
        <f t="shared" si="1113"/>
        <v/>
      </c>
      <c r="CQ778" s="119" t="str">
        <f t="shared" si="1070"/>
        <v/>
      </c>
      <c r="CR778" s="66" t="str">
        <f>+IF($W778="","",ROUND((VLOOKUP(Parámetros!$F$51,'COBERTURAS ADICIONALES'!$S$4:$T$32,2,FALSE)*(1+i/frec)^-0.5*(1+Parámetros!$D$103)*(1+rec_fracc)/frec*$CO$42),2))</f>
        <v/>
      </c>
      <c r="CS778" s="119" t="str">
        <f t="shared" si="1071"/>
        <v/>
      </c>
      <c r="CT778" s="66" t="str">
        <f>+IF($W778="","",ROUND(IF($B778&gt;Parámetros!$D$107,'Tablas Servicio'!CR778+('Tablas Servicio'!CT777-'Tablas Servicio'!CR777),CR778/(1-IF(B778&lt;=10,Parámetros!$D$100,0))),2))</f>
        <v/>
      </c>
      <c r="CU778" s="66" t="str">
        <f t="shared" si="1072"/>
        <v/>
      </c>
      <c r="CV778" s="66" t="str">
        <f t="shared" si="1072"/>
        <v/>
      </c>
      <c r="CW778" s="66" t="str">
        <f>+IF($W778="","",ROUND((CT778*Parámetros!$G$85),2))</f>
        <v/>
      </c>
      <c r="CX778" s="66" t="str">
        <f>+IF($W778="","",ROUND((CT778*(Parámetros!$G$86)),2))</f>
        <v/>
      </c>
      <c r="CY778" s="66" t="str">
        <f t="shared" si="1073"/>
        <v/>
      </c>
      <c r="CZ778" t="str">
        <f t="shared" si="1114"/>
        <v/>
      </c>
      <c r="DA778" s="118" t="str">
        <f t="shared" si="1115"/>
        <v/>
      </c>
      <c r="DB778" s="118" t="str">
        <f t="shared" si="1116"/>
        <v/>
      </c>
      <c r="DC778" s="118" t="str">
        <f t="shared" si="1117"/>
        <v/>
      </c>
      <c r="DD778" s="121" t="str">
        <f>+IF(OR($W778="",DB778=0),"",ROUND((VLOOKUP(ROUNDDOWN($D778-1/frec,0),cob_adi,CO$40,FALSE)*(1+i/frec)^-0.5*(1+Parámetros!$D$103)*(1+rec_fracc)/frec),6))</f>
        <v/>
      </c>
      <c r="DE778" s="66" t="str">
        <f t="shared" si="1074"/>
        <v/>
      </c>
      <c r="DF778" s="119" t="str">
        <f t="shared" si="1075"/>
        <v/>
      </c>
      <c r="DG778" s="66" t="str">
        <f>+IF($W778="","",ROUND(IF($B778&gt;Parámetros!$D$107,'Tablas Servicio'!DE778+('Tablas Servicio'!DG777-'Tablas Servicio'!DE777),DE778/(1-IF(B778&lt;=10,Parámetros!$D$100,0))),2))</f>
        <v/>
      </c>
      <c r="DH778" s="66" t="str">
        <f t="shared" si="1076"/>
        <v/>
      </c>
      <c r="DI778" s="66" t="str">
        <f t="shared" si="1076"/>
        <v/>
      </c>
      <c r="DJ778" s="66" t="str">
        <f>+IF($W778="","",ROUND((DG778*Parámetros!$G$85),2))</f>
        <v/>
      </c>
      <c r="DK778" s="66" t="str">
        <f>+IF($W778="","",ROUND((DG778*(Parámetros!$G$86)),2))</f>
        <v/>
      </c>
      <c r="DL778" s="66" t="str">
        <f t="shared" si="1077"/>
        <v/>
      </c>
      <c r="DM778" t="str">
        <f t="shared" si="1118"/>
        <v/>
      </c>
      <c r="DN778" s="118" t="str">
        <f t="shared" si="1119"/>
        <v/>
      </c>
      <c r="DO778" s="118" t="str">
        <f t="shared" si="1120"/>
        <v/>
      </c>
      <c r="DP778" s="118" t="str">
        <f t="shared" si="1121"/>
        <v/>
      </c>
      <c r="DQ778" s="122" t="str">
        <f>+IF(OR($W778="",DO778=0),"",ROUND((VLOOKUP(ROUNDDOWN($D778-1/frec,0),cob_adi,DB$40,FALSE)*(1+i/frec)^-0.5*(1+Parámetros!$D$103)*(1+rec_fracc)/frec),6))</f>
        <v/>
      </c>
      <c r="DR778" s="66" t="str">
        <f t="shared" si="1078"/>
        <v/>
      </c>
      <c r="DS778" s="68" t="str">
        <f t="shared" si="1079"/>
        <v/>
      </c>
      <c r="DT778" s="66" t="str">
        <f>+IF($W778="","",ROUND(IF($B778&gt;Parámetros!$D$107,'Tablas Servicio'!DR778+('Tablas Servicio'!DT777-'Tablas Servicio'!DR777),DR778/(1-IF(B778&lt;=10,Parámetros!$D$100,0))),2))</f>
        <v/>
      </c>
      <c r="DU778" s="66" t="str">
        <f t="shared" si="1080"/>
        <v/>
      </c>
      <c r="DV778" s="66" t="str">
        <f t="shared" si="1080"/>
        <v/>
      </c>
      <c r="DW778" s="66" t="str">
        <f>+IF($W778="","",ROUND((DT778*Parámetros!$G$85),2))</f>
        <v/>
      </c>
      <c r="DX778" s="66" t="str">
        <f>+IF($W778="","",ROUND((DT778*(Parámetros!$G$86)),2))</f>
        <v/>
      </c>
      <c r="DY778" s="66" t="str">
        <f t="shared" si="1081"/>
        <v/>
      </c>
      <c r="DZ778" t="str">
        <f t="shared" si="1122"/>
        <v/>
      </c>
      <c r="EA778" s="118" t="str">
        <f t="shared" si="1122"/>
        <v/>
      </c>
      <c r="EB778" s="118" t="str">
        <f>+IF($W778="","",ROUND(IF(Parámetros!$D$25='TABLAS MORT'!$V$33,EB777,Z778/2),0))</f>
        <v/>
      </c>
      <c r="EC778" s="118" t="str">
        <f t="shared" si="1122"/>
        <v/>
      </c>
      <c r="ED778" s="122" t="str">
        <f>+IF(OR($W778="",EB778=0),"",ROUND((VLOOKUP(ROUNDDOWN($D778-1/frec,0),cob_adi,DO$40,FALSE)*(1+i/frec)^-0.5*(1+Parámetros!$D$103)*(1+rec_fracc)/frec),6))</f>
        <v/>
      </c>
      <c r="EE778" s="66" t="str">
        <f t="shared" si="1083"/>
        <v/>
      </c>
      <c r="EF778" s="68" t="str">
        <f t="shared" si="1084"/>
        <v/>
      </c>
      <c r="EG778" s="66" t="str">
        <f>+IF($W778="","",ROUND(IF($B778&gt;Parámetros!$D$107,'Tablas Servicio'!EE778+('Tablas Servicio'!EG777-'Tablas Servicio'!EE777),EE778/(1-IF(B778&lt;=10,Parámetros!$D$100,0))),2))</f>
        <v/>
      </c>
      <c r="EH778" s="66" t="str">
        <f t="shared" si="1085"/>
        <v/>
      </c>
      <c r="EI778" s="66" t="str">
        <f t="shared" si="1085"/>
        <v/>
      </c>
      <c r="EJ778" s="66" t="str">
        <f>+IF($W778="","",ROUND((EG778*Parámetros!$G$85),2))</f>
        <v/>
      </c>
      <c r="EK778" s="66" t="str">
        <f>+IF($W778="","",ROUND((EG778*(Parámetros!$G$86)),2))</f>
        <v/>
      </c>
      <c r="EL778" s="66" t="str">
        <f t="shared" si="1086"/>
        <v/>
      </c>
    </row>
    <row r="779" spans="1:142" x14ac:dyDescent="0.25">
      <c r="A779" t="str">
        <f>+IF($C779="","",ROUND(VLOOKUP('Tablas Servicio'!B779,Parámetros!$H$100:$J$159,IF(Parámetros!$E$16="F",2,3),FALSE),2))</f>
        <v/>
      </c>
      <c r="B779" t="str">
        <f t="shared" si="1037"/>
        <v/>
      </c>
      <c r="C779" s="57" t="str">
        <f>+IF(D779="","",'Tablas Servicio'!C778+1)</f>
        <v/>
      </c>
      <c r="D779" s="56" t="str">
        <f>+IF(D778&lt;edadmaxtabla,D778+1/Parámetros!$E$25,"")</f>
        <v/>
      </c>
      <c r="E779" s="57" t="str">
        <f t="shared" si="1047"/>
        <v/>
      </c>
      <c r="F779" s="59" t="str">
        <f t="shared" si="1048"/>
        <v/>
      </c>
      <c r="G779" s="66" t="str">
        <f t="shared" si="1038"/>
        <v/>
      </c>
      <c r="H779" s="66" t="str">
        <f t="shared" si="1039"/>
        <v/>
      </c>
      <c r="I779" s="66" t="str">
        <f t="shared" si="1087"/>
        <v/>
      </c>
      <c r="J779" s="66" t="str">
        <f t="shared" si="1040"/>
        <v/>
      </c>
      <c r="K779" s="66" t="str">
        <f t="shared" si="1041"/>
        <v/>
      </c>
      <c r="L779" s="66" t="str">
        <f t="shared" si="1042"/>
        <v/>
      </c>
      <c r="M779" s="66" t="str">
        <f t="shared" si="1043"/>
        <v/>
      </c>
      <c r="N779" s="66" t="str">
        <f>+IF(C779="","",ROUND(Parámetros!$D$23,2))</f>
        <v/>
      </c>
      <c r="O779" s="66" t="str">
        <f t="shared" si="1044"/>
        <v/>
      </c>
      <c r="P779" s="66" t="str">
        <f>+IF($C779="","",ROUND(IF(B779&gt;Parámetros!$D$117,0,N779*Parámetros!$D$116-G779*Parámetros!$D$100),2))</f>
        <v/>
      </c>
      <c r="Q779" s="75" t="str">
        <f t="shared" si="1088"/>
        <v/>
      </c>
      <c r="R779" s="75" t="str">
        <f t="shared" si="1089"/>
        <v/>
      </c>
      <c r="S779" s="117" t="str">
        <f>+IF($C779="","",ROUND((S778+I779)*(1+Parámetros!$D$91),2))</f>
        <v/>
      </c>
      <c r="T779" s="117" t="str">
        <f>+IF($C779="","",ROUND(S779*VLOOKUP(B779,Parámetros!$C$30:$D$39,2,TRUE),2))</f>
        <v/>
      </c>
      <c r="U779" s="117" t="str">
        <f>+IF($C779="","",ROUND((U778+I779)*(1+Parámetros!$D$92),2))</f>
        <v/>
      </c>
      <c r="V779" s="117" t="str">
        <f>+IF($C779="","",ROUND(U779*VLOOKUP(B779,Parámetros!$C$30:$D$39,2,TRUE),2))</f>
        <v/>
      </c>
      <c r="W779" s="57" t="str">
        <f t="shared" si="1090"/>
        <v/>
      </c>
      <c r="X779" t="str">
        <f t="shared" si="1091"/>
        <v/>
      </c>
      <c r="Y779" t="str">
        <f t="shared" si="1092"/>
        <v/>
      </c>
      <c r="Z779" s="118" t="str">
        <f>+IF($W779="","",ROUND(IF(Parámetros!$D$25='TABLAS MORT'!$V$33,Z778,Parámetros!$D$21-'Tablas Servicio'!T778),0))</f>
        <v/>
      </c>
      <c r="AA779" s="118" t="str">
        <f t="shared" si="1093"/>
        <v/>
      </c>
      <c r="AB779" s="119" t="str">
        <f>+IF(W779="","",ROUND((VLOOKUP(ROUNDDOWN($D779-1/frec,0),qx_tabla,2,FALSE)*(1+i/frec)^-0.5*(1+Parámetros!$D$103)*(1+rec_fracc)/frec),6))</f>
        <v/>
      </c>
      <c r="AC779" s="66" t="str">
        <f t="shared" si="1049"/>
        <v/>
      </c>
      <c r="AD779" s="119" t="str">
        <f t="shared" si="1045"/>
        <v/>
      </c>
      <c r="AE779" s="66" t="str">
        <f>+IF($W779="","",ROUND(IF($B779&gt;Parámetros!$D$107,'Tablas Servicio'!AC779+('Tablas Servicio'!AG778-'Tablas Servicio'!AC778),AC779/(1-IF(B779&lt;=10,Parámetros!$D$104,Parámetros!$D$105))),2))</f>
        <v/>
      </c>
      <c r="AF779" s="66" t="str">
        <f>+IF($W779="","",ROUND(IF($B779&gt;Parámetros!$D$107,'Tablas Servicio'!AC779+('Tablas Servicio'!AG778-'Tablas Servicio'!AC778),(AC779+$A778/frec)/(1-IF(B779&lt;=Parámetros!$D$117,Parámetros!$D$100,0))),2))</f>
        <v/>
      </c>
      <c r="AG779" s="66" t="str">
        <f t="shared" si="1050"/>
        <v/>
      </c>
      <c r="AH779" s="66" t="str">
        <f t="shared" si="1051"/>
        <v/>
      </c>
      <c r="AI779" s="66" t="str">
        <f t="shared" si="1052"/>
        <v/>
      </c>
      <c r="AJ779" s="66" t="str">
        <f>+IF($W779="","",ROUND((AG779*Parámetros!$G$85),2))</f>
        <v/>
      </c>
      <c r="AK779" s="66" t="str">
        <f>+IF($W779="","",ROUND((AG779*(Parámetros!$G$86)),2))</f>
        <v/>
      </c>
      <c r="AL779" s="66" t="str">
        <f t="shared" si="1046"/>
        <v/>
      </c>
      <c r="AM779" t="str">
        <f t="shared" si="1094"/>
        <v/>
      </c>
      <c r="AN779" t="str">
        <f t="shared" si="1095"/>
        <v/>
      </c>
      <c r="AO779" s="118" t="str">
        <f t="shared" si="1096"/>
        <v/>
      </c>
      <c r="AP779" s="118" t="str">
        <f t="shared" si="1097"/>
        <v/>
      </c>
      <c r="AQ779" s="119" t="str">
        <f>+IF(OR($W779="",AO779=0),"",ROUND((VLOOKUP(ROUNDDOWN($D779-1/frec,0),cob_adi,Z$40,FALSE)*(1+i/frec)^-0.5*(1+Parámetros!$D$103)*(1+rec_fracc)/frec),6))</f>
        <v/>
      </c>
      <c r="AR779" s="66" t="str">
        <f t="shared" si="1053"/>
        <v/>
      </c>
      <c r="AS779" s="119" t="str">
        <f t="shared" si="1054"/>
        <v/>
      </c>
      <c r="AT779" s="66" t="str">
        <f>+IF($W779="","",ROUND(IF($B779&gt;Parámetros!$D$107,'Tablas Servicio'!AR779+('Tablas Servicio'!AT778-'Tablas Servicio'!AR778),AR779/(1-IF(B779&lt;=10,Parámetros!$D$100,0))),2))</f>
        <v/>
      </c>
      <c r="AU779" s="66" t="str">
        <f t="shared" ref="AU779:AV810" si="1123">+IF($W779="","",0)</f>
        <v/>
      </c>
      <c r="AV779" s="66" t="str">
        <f t="shared" si="1123"/>
        <v/>
      </c>
      <c r="AW779" s="66" t="str">
        <f>+IF($W779="","",ROUND((AT779*Parámetros!$G$85),2))</f>
        <v/>
      </c>
      <c r="AX779" s="66" t="str">
        <f>+IF($W779="","",ROUND((AT779*(Parámetros!$G$86)),2))</f>
        <v/>
      </c>
      <c r="AY779" s="66" t="str">
        <f t="shared" si="1056"/>
        <v/>
      </c>
      <c r="AZ779" t="str">
        <f t="shared" si="1098"/>
        <v/>
      </c>
      <c r="BA779" t="str">
        <f t="shared" si="1099"/>
        <v/>
      </c>
      <c r="BB779" s="118" t="str">
        <f t="shared" si="1100"/>
        <v/>
      </c>
      <c r="BC779" s="118" t="str">
        <f t="shared" si="1101"/>
        <v/>
      </c>
      <c r="BD779" s="119" t="str">
        <f>+IF(OR($W779="",BB779=0),"",ROUND((VLOOKUP(ROUNDDOWN($D779-1/frec,0),cob_adi,AO$40,FALSE)*(1+i/frec)^-0.5*(1+Parámetros!$D$103)*(1+rec_fracc)/frec),6))</f>
        <v/>
      </c>
      <c r="BE779" s="66" t="str">
        <f t="shared" si="1057"/>
        <v/>
      </c>
      <c r="BF779" s="119" t="str">
        <f t="shared" si="1058"/>
        <v/>
      </c>
      <c r="BG779" s="66" t="str">
        <f>+IF($W779="","",ROUND(IF($B779&gt;Parámetros!$D$107,'Tablas Servicio'!BE779+('Tablas Servicio'!BG778-'Tablas Servicio'!BE778),BE779/(1-IF(B779&lt;=10,Parámetros!$D$100,0))),2))</f>
        <v/>
      </c>
      <c r="BH779" s="66" t="str">
        <f t="shared" si="1059"/>
        <v/>
      </c>
      <c r="BI779" s="66" t="str">
        <f t="shared" si="1060"/>
        <v/>
      </c>
      <c r="BJ779" s="66" t="str">
        <f>+IF($W779="","",ROUND((BG779*Parámetros!$G$85),2))</f>
        <v/>
      </c>
      <c r="BK779" s="66" t="str">
        <f>+IF($W779="","",ROUND((BG779*(Parámetros!$G$86)),2))</f>
        <v/>
      </c>
      <c r="BL779" s="66" t="str">
        <f t="shared" si="1061"/>
        <v/>
      </c>
      <c r="BM779" t="str">
        <f t="shared" si="1102"/>
        <v/>
      </c>
      <c r="BN779" t="str">
        <f t="shared" si="1103"/>
        <v/>
      </c>
      <c r="BO779" s="118" t="str">
        <f t="shared" si="1104"/>
        <v/>
      </c>
      <c r="BP779" s="118" t="str">
        <f t="shared" si="1105"/>
        <v/>
      </c>
      <c r="BQ779" s="119" t="str">
        <f>+IF(OR($W779="",BO779=0),"",ROUND((VLOOKUP(ROUNDDOWN($D779-1/frec,0),cob_adi,BB$40,FALSE)*(1+i/frec)^-0.5*(1+Parámetros!$D$103)*(1+rec_fracc)/frec),6))</f>
        <v/>
      </c>
      <c r="BR779" s="66" t="str">
        <f t="shared" si="1062"/>
        <v/>
      </c>
      <c r="BS779" s="119" t="str">
        <f t="shared" si="1063"/>
        <v/>
      </c>
      <c r="BT779" s="66" t="str">
        <f>+IF($W779="","",ROUND(IF($B779&gt;Parámetros!$D$107,'Tablas Servicio'!BR779+('Tablas Servicio'!BT778-'Tablas Servicio'!BR778),BR779/(1-IF(B779&lt;=10,Parámetros!$D$100,0))),2))</f>
        <v/>
      </c>
      <c r="BU779" s="66" t="str">
        <f t="shared" ref="BU779:BV810" si="1124">+IF($W779="","",0)</f>
        <v/>
      </c>
      <c r="BV779" s="66" t="str">
        <f t="shared" si="1124"/>
        <v/>
      </c>
      <c r="BW779" s="66" t="str">
        <f>+IF($W779="","",ROUND((BT779*Parámetros!$G$85),2))</f>
        <v/>
      </c>
      <c r="BX779" s="66" t="str">
        <f>+IF($W779="","",ROUND((BT779*(Parámetros!$G$86)),2))</f>
        <v/>
      </c>
      <c r="BY779" s="66" t="str">
        <f t="shared" si="1065"/>
        <v/>
      </c>
      <c r="BZ779" t="str">
        <f t="shared" si="1106"/>
        <v/>
      </c>
      <c r="CA779" t="str">
        <f t="shared" si="1107"/>
        <v/>
      </c>
      <c r="CB779" s="118" t="str">
        <f t="shared" si="1108"/>
        <v/>
      </c>
      <c r="CC779" s="118" t="str">
        <f t="shared" si="1109"/>
        <v/>
      </c>
      <c r="CD779" s="119" t="str">
        <f t="shared" si="1066"/>
        <v/>
      </c>
      <c r="CE779" s="66" t="str">
        <f>+IF($W779="","",ROUND((VLOOKUP(ROUNDDOWN($D779-1/frec,0),cob_adi,BO$40,FALSE)*(1+i/frec)^-0.5*(1+Parámetros!$D$103)*(1+rec_fracc)/frec*'TABLAS ADI'!$BC$17),2))</f>
        <v/>
      </c>
      <c r="CF779" s="119" t="str">
        <f t="shared" si="1067"/>
        <v/>
      </c>
      <c r="CG779" s="66" t="str">
        <f>+IF($W779="","",ROUND(IF($B779&gt;Parámetros!$D$107,'Tablas Servicio'!CE779+('Tablas Servicio'!CG778-'Tablas Servicio'!CE778),CE779/(1-IF(B779&lt;=10,Parámetros!$D$100,0))),2))</f>
        <v/>
      </c>
      <c r="CH779" s="66" t="str">
        <f t="shared" ref="CH779:CI810" si="1125">+IF($W779="","",0)</f>
        <v/>
      </c>
      <c r="CI779" s="66" t="str">
        <f t="shared" si="1125"/>
        <v/>
      </c>
      <c r="CJ779" s="66" t="str">
        <f>+IF($W779="","",ROUND((CG779*Parámetros!$G$85),2))</f>
        <v/>
      </c>
      <c r="CK779" s="66" t="str">
        <f>+IF($W779="","",ROUND((CG779*(Parámetros!$G$86)),2))</f>
        <v/>
      </c>
      <c r="CL779" s="66" t="str">
        <f t="shared" si="1069"/>
        <v/>
      </c>
      <c r="CM779" t="str">
        <f t="shared" si="1110"/>
        <v/>
      </c>
      <c r="CN779" s="118" t="str">
        <f t="shared" si="1111"/>
        <v/>
      </c>
      <c r="CO779" s="118" t="str">
        <f t="shared" si="1112"/>
        <v/>
      </c>
      <c r="CP779" s="118" t="str">
        <f t="shared" si="1113"/>
        <v/>
      </c>
      <c r="CQ779" s="119" t="str">
        <f t="shared" si="1070"/>
        <v/>
      </c>
      <c r="CR779" s="66" t="str">
        <f>+IF($W779="","",ROUND((VLOOKUP(Parámetros!$F$51,'COBERTURAS ADICIONALES'!$S$4:$T$32,2,FALSE)*(1+i/frec)^-0.5*(1+Parámetros!$D$103)*(1+rec_fracc)/frec*$CO$42),2))</f>
        <v/>
      </c>
      <c r="CS779" s="119" t="str">
        <f t="shared" si="1071"/>
        <v/>
      </c>
      <c r="CT779" s="66" t="str">
        <f>+IF($W779="","",ROUND(IF($B779&gt;Parámetros!$D$107,'Tablas Servicio'!CR779+('Tablas Servicio'!CT778-'Tablas Servicio'!CR778),CR779/(1-IF(B779&lt;=10,Parámetros!$D$100,0))),2))</f>
        <v/>
      </c>
      <c r="CU779" s="66" t="str">
        <f t="shared" ref="CU779:CV810" si="1126">+IF($W779="","",0)</f>
        <v/>
      </c>
      <c r="CV779" s="66" t="str">
        <f t="shared" si="1126"/>
        <v/>
      </c>
      <c r="CW779" s="66" t="str">
        <f>+IF($W779="","",ROUND((CT779*Parámetros!$G$85),2))</f>
        <v/>
      </c>
      <c r="CX779" s="66" t="str">
        <f>+IF($W779="","",ROUND((CT779*(Parámetros!$G$86)),2))</f>
        <v/>
      </c>
      <c r="CY779" s="66" t="str">
        <f t="shared" si="1073"/>
        <v/>
      </c>
      <c r="CZ779" t="str">
        <f t="shared" si="1114"/>
        <v/>
      </c>
      <c r="DA779" s="118" t="str">
        <f t="shared" si="1115"/>
        <v/>
      </c>
      <c r="DB779" s="118" t="str">
        <f t="shared" si="1116"/>
        <v/>
      </c>
      <c r="DC779" s="118" t="str">
        <f t="shared" si="1117"/>
        <v/>
      </c>
      <c r="DD779" s="121" t="str">
        <f>+IF(OR($W779="",DB779=0),"",ROUND((VLOOKUP(ROUNDDOWN($D779-1/frec,0),cob_adi,CO$40,FALSE)*(1+i/frec)^-0.5*(1+Parámetros!$D$103)*(1+rec_fracc)/frec),6))</f>
        <v/>
      </c>
      <c r="DE779" s="66" t="str">
        <f t="shared" si="1074"/>
        <v/>
      </c>
      <c r="DF779" s="119" t="str">
        <f t="shared" si="1075"/>
        <v/>
      </c>
      <c r="DG779" s="66" t="str">
        <f>+IF($W779="","",ROUND(IF($B779&gt;Parámetros!$D$107,'Tablas Servicio'!DE779+('Tablas Servicio'!DG778-'Tablas Servicio'!DE778),DE779/(1-IF(B779&lt;=10,Parámetros!$D$100,0))),2))</f>
        <v/>
      </c>
      <c r="DH779" s="66" t="str">
        <f t="shared" ref="DH779:DI810" si="1127">+IF($W779="","",0)</f>
        <v/>
      </c>
      <c r="DI779" s="66" t="str">
        <f t="shared" si="1127"/>
        <v/>
      </c>
      <c r="DJ779" s="66" t="str">
        <f>+IF($W779="","",ROUND((DG779*Parámetros!$G$85),2))</f>
        <v/>
      </c>
      <c r="DK779" s="66" t="str">
        <f>+IF($W779="","",ROUND((DG779*(Parámetros!$G$86)),2))</f>
        <v/>
      </c>
      <c r="DL779" s="66" t="str">
        <f t="shared" si="1077"/>
        <v/>
      </c>
      <c r="DM779" t="str">
        <f t="shared" si="1118"/>
        <v/>
      </c>
      <c r="DN779" s="118" t="str">
        <f t="shared" si="1119"/>
        <v/>
      </c>
      <c r="DO779" s="118" t="str">
        <f t="shared" si="1120"/>
        <v/>
      </c>
      <c r="DP779" s="118" t="str">
        <f t="shared" si="1121"/>
        <v/>
      </c>
      <c r="DQ779" s="122" t="str">
        <f>+IF(OR($W779="",DO779=0),"",ROUND((VLOOKUP(ROUNDDOWN($D779-1/frec,0),cob_adi,DB$40,FALSE)*(1+i/frec)^-0.5*(1+Parámetros!$D$103)*(1+rec_fracc)/frec),6))</f>
        <v/>
      </c>
      <c r="DR779" s="66" t="str">
        <f t="shared" si="1078"/>
        <v/>
      </c>
      <c r="DS779" s="68" t="str">
        <f t="shared" si="1079"/>
        <v/>
      </c>
      <c r="DT779" s="66" t="str">
        <f>+IF($W779="","",ROUND(IF($B779&gt;Parámetros!$D$107,'Tablas Servicio'!DR779+('Tablas Servicio'!DT778-'Tablas Servicio'!DR778),DR779/(1-IF(B779&lt;=10,Parámetros!$D$100,0))),2))</f>
        <v/>
      </c>
      <c r="DU779" s="66" t="str">
        <f t="shared" ref="DU779:DV810" si="1128">+IF($W779="","",0)</f>
        <v/>
      </c>
      <c r="DV779" s="66" t="str">
        <f t="shared" si="1128"/>
        <v/>
      </c>
      <c r="DW779" s="66" t="str">
        <f>+IF($W779="","",ROUND((DT779*Parámetros!$G$85),2))</f>
        <v/>
      </c>
      <c r="DX779" s="66" t="str">
        <f>+IF($W779="","",ROUND((DT779*(Parámetros!$G$86)),2))</f>
        <v/>
      </c>
      <c r="DY779" s="66" t="str">
        <f t="shared" si="1081"/>
        <v/>
      </c>
      <c r="DZ779" t="str">
        <f t="shared" ref="DZ779:EC794" si="1129">+IF($W779="","",DZ778)</f>
        <v/>
      </c>
      <c r="EA779" s="118" t="str">
        <f t="shared" si="1129"/>
        <v/>
      </c>
      <c r="EB779" s="118" t="str">
        <f>+IF($W779="","",ROUND(IF(Parámetros!$D$25='TABLAS MORT'!$V$33,EB778,Z779/2),0))</f>
        <v/>
      </c>
      <c r="EC779" s="118" t="str">
        <f t="shared" si="1129"/>
        <v/>
      </c>
      <c r="ED779" s="122" t="str">
        <f>+IF(OR($W779="",EB779=0),"",ROUND((VLOOKUP(ROUNDDOWN($D779-1/frec,0),cob_adi,DO$40,FALSE)*(1+i/frec)^-0.5*(1+Parámetros!$D$103)*(1+rec_fracc)/frec),6))</f>
        <v/>
      </c>
      <c r="EE779" s="66" t="str">
        <f t="shared" si="1083"/>
        <v/>
      </c>
      <c r="EF779" s="68" t="str">
        <f t="shared" si="1084"/>
        <v/>
      </c>
      <c r="EG779" s="66" t="str">
        <f>+IF($W779="","",ROUND(IF($B779&gt;Parámetros!$D$107,'Tablas Servicio'!EE779+('Tablas Servicio'!EG778-'Tablas Servicio'!EE778),EE779/(1-IF(B779&lt;=10,Parámetros!$D$100,0))),2))</f>
        <v/>
      </c>
      <c r="EH779" s="66" t="str">
        <f t="shared" ref="EH779:EI810" si="1130">+IF($W779="","",0)</f>
        <v/>
      </c>
      <c r="EI779" s="66" t="str">
        <f t="shared" si="1130"/>
        <v/>
      </c>
      <c r="EJ779" s="66" t="str">
        <f>+IF($W779="","",ROUND((EG779*Parámetros!$G$85),2))</f>
        <v/>
      </c>
      <c r="EK779" s="66" t="str">
        <f>+IF($W779="","",ROUND((EG779*(Parámetros!$G$86)),2))</f>
        <v/>
      </c>
      <c r="EL779" s="66" t="str">
        <f t="shared" si="1086"/>
        <v/>
      </c>
    </row>
    <row r="780" spans="1:142" x14ac:dyDescent="0.25">
      <c r="A780" t="str">
        <f>+IF($C780="","",ROUND(VLOOKUP('Tablas Servicio'!B780,Parámetros!$H$100:$J$159,IF(Parámetros!$E$16="F",2,3),FALSE),2))</f>
        <v/>
      </c>
      <c r="B780" t="str">
        <f t="shared" si="1037"/>
        <v/>
      </c>
      <c r="C780" s="57" t="str">
        <f>+IF(D780="","",'Tablas Servicio'!C779+1)</f>
        <v/>
      </c>
      <c r="D780" s="56" t="str">
        <f>+IF(D779&lt;edadmaxtabla,D779+1/Parámetros!$E$25,"")</f>
        <v/>
      </c>
      <c r="E780" s="57" t="str">
        <f t="shared" si="1047"/>
        <v/>
      </c>
      <c r="F780" s="59" t="str">
        <f t="shared" si="1048"/>
        <v/>
      </c>
      <c r="G780" s="66" t="str">
        <f t="shared" si="1038"/>
        <v/>
      </c>
      <c r="H780" s="66" t="str">
        <f t="shared" si="1039"/>
        <v/>
      </c>
      <c r="I780" s="66" t="str">
        <f t="shared" si="1087"/>
        <v/>
      </c>
      <c r="J780" s="66" t="str">
        <f t="shared" si="1040"/>
        <v/>
      </c>
      <c r="K780" s="66" t="str">
        <f t="shared" si="1041"/>
        <v/>
      </c>
      <c r="L780" s="66" t="str">
        <f t="shared" si="1042"/>
        <v/>
      </c>
      <c r="M780" s="66" t="str">
        <f t="shared" si="1043"/>
        <v/>
      </c>
      <c r="N780" s="66" t="str">
        <f>+IF(C780="","",ROUND(Parámetros!$D$23,2))</f>
        <v/>
      </c>
      <c r="O780" s="66" t="str">
        <f t="shared" si="1044"/>
        <v/>
      </c>
      <c r="P780" s="66" t="str">
        <f>+IF($C780="","",ROUND(IF(B780&gt;Parámetros!$D$117,0,N780*Parámetros!$D$116-G780*Parámetros!$D$100),2))</f>
        <v/>
      </c>
      <c r="Q780" s="75" t="str">
        <f t="shared" si="1088"/>
        <v/>
      </c>
      <c r="R780" s="75" t="str">
        <f t="shared" si="1089"/>
        <v/>
      </c>
      <c r="S780" s="117" t="str">
        <f>+IF($C780="","",ROUND((S779+I780)*(1+Parámetros!$D$91),2))</f>
        <v/>
      </c>
      <c r="T780" s="117" t="str">
        <f>+IF($C780="","",ROUND(S780*VLOOKUP(B780,Parámetros!$C$30:$D$39,2,TRUE),2))</f>
        <v/>
      </c>
      <c r="U780" s="117" t="str">
        <f>+IF($C780="","",ROUND((U779+I780)*(1+Parámetros!$D$92),2))</f>
        <v/>
      </c>
      <c r="V780" s="117" t="str">
        <f>+IF($C780="","",ROUND(U780*VLOOKUP(B780,Parámetros!$C$30:$D$39,2,TRUE),2))</f>
        <v/>
      </c>
      <c r="W780" s="57" t="str">
        <f t="shared" si="1090"/>
        <v/>
      </c>
      <c r="X780" t="str">
        <f t="shared" si="1091"/>
        <v/>
      </c>
      <c r="Y780" t="str">
        <f t="shared" si="1092"/>
        <v/>
      </c>
      <c r="Z780" s="118" t="str">
        <f>+IF($W780="","",ROUND(IF(Parámetros!$D$25='TABLAS MORT'!$V$33,Z779,Parámetros!$D$21-'Tablas Servicio'!T779),0))</f>
        <v/>
      </c>
      <c r="AA780" s="118" t="str">
        <f t="shared" si="1093"/>
        <v/>
      </c>
      <c r="AB780" s="119" t="str">
        <f>+IF(W780="","",ROUND((VLOOKUP(ROUNDDOWN($D780-1/frec,0),qx_tabla,2,FALSE)*(1+i/frec)^-0.5*(1+Parámetros!$D$103)*(1+rec_fracc)/frec),6))</f>
        <v/>
      </c>
      <c r="AC780" s="66" t="str">
        <f t="shared" si="1049"/>
        <v/>
      </c>
      <c r="AD780" s="119" t="str">
        <f t="shared" si="1045"/>
        <v/>
      </c>
      <c r="AE780" s="66" t="str">
        <f>+IF($W780="","",ROUND(IF($B780&gt;Parámetros!$D$107,'Tablas Servicio'!AC780+('Tablas Servicio'!AG779-'Tablas Servicio'!AC779),AC780/(1-IF(B780&lt;=10,Parámetros!$D$104,Parámetros!$D$105))),2))</f>
        <v/>
      </c>
      <c r="AF780" s="66" t="str">
        <f>+IF($W780="","",ROUND(IF($B780&gt;Parámetros!$D$107,'Tablas Servicio'!AC780+('Tablas Servicio'!AG779-'Tablas Servicio'!AC779),(AC780+$A779/frec)/(1-IF(B780&lt;=Parámetros!$D$117,Parámetros!$D$100,0))),2))</f>
        <v/>
      </c>
      <c r="AG780" s="66" t="str">
        <f t="shared" si="1050"/>
        <v/>
      </c>
      <c r="AH780" s="66" t="str">
        <f t="shared" si="1051"/>
        <v/>
      </c>
      <c r="AI780" s="66" t="str">
        <f t="shared" si="1052"/>
        <v/>
      </c>
      <c r="AJ780" s="66" t="str">
        <f>+IF($W780="","",ROUND((AG780*Parámetros!$G$85),2))</f>
        <v/>
      </c>
      <c r="AK780" s="66" t="str">
        <f>+IF($W780="","",ROUND((AG780*(Parámetros!$G$86)),2))</f>
        <v/>
      </c>
      <c r="AL780" s="66" t="str">
        <f t="shared" si="1046"/>
        <v/>
      </c>
      <c r="AM780" t="str">
        <f t="shared" si="1094"/>
        <v/>
      </c>
      <c r="AN780" t="str">
        <f t="shared" si="1095"/>
        <v/>
      </c>
      <c r="AO780" s="118" t="str">
        <f t="shared" si="1096"/>
        <v/>
      </c>
      <c r="AP780" s="118" t="str">
        <f t="shared" si="1097"/>
        <v/>
      </c>
      <c r="AQ780" s="119" t="str">
        <f>+IF(OR($W780="",AO780=0),"",ROUND((VLOOKUP(ROUNDDOWN($D780-1/frec,0),cob_adi,Z$40,FALSE)*(1+i/frec)^-0.5*(1+Parámetros!$D$103)*(1+rec_fracc)/frec),6))</f>
        <v/>
      </c>
      <c r="AR780" s="66" t="str">
        <f t="shared" si="1053"/>
        <v/>
      </c>
      <c r="AS780" s="119" t="str">
        <f t="shared" si="1054"/>
        <v/>
      </c>
      <c r="AT780" s="66" t="str">
        <f>+IF($W780="","",ROUND(IF($B780&gt;Parámetros!$D$107,'Tablas Servicio'!AR780+('Tablas Servicio'!AT779-'Tablas Servicio'!AR779),AR780/(1-IF(B780&lt;=10,Parámetros!$D$100,0))),2))</f>
        <v/>
      </c>
      <c r="AU780" s="66" t="str">
        <f t="shared" si="1123"/>
        <v/>
      </c>
      <c r="AV780" s="66" t="str">
        <f t="shared" si="1123"/>
        <v/>
      </c>
      <c r="AW780" s="66" t="str">
        <f>+IF($W780="","",ROUND((AT780*Parámetros!$G$85),2))</f>
        <v/>
      </c>
      <c r="AX780" s="66" t="str">
        <f>+IF($W780="","",ROUND((AT780*(Parámetros!$G$86)),2))</f>
        <v/>
      </c>
      <c r="AY780" s="66" t="str">
        <f t="shared" si="1056"/>
        <v/>
      </c>
      <c r="AZ780" t="str">
        <f t="shared" si="1098"/>
        <v/>
      </c>
      <c r="BA780" t="str">
        <f t="shared" si="1099"/>
        <v/>
      </c>
      <c r="BB780" s="118" t="str">
        <f t="shared" si="1100"/>
        <v/>
      </c>
      <c r="BC780" s="118" t="str">
        <f t="shared" si="1101"/>
        <v/>
      </c>
      <c r="BD780" s="119" t="str">
        <f>+IF(OR($W780="",BB780=0),"",ROUND((VLOOKUP(ROUNDDOWN($D780-1/frec,0),cob_adi,AO$40,FALSE)*(1+i/frec)^-0.5*(1+Parámetros!$D$103)*(1+rec_fracc)/frec),6))</f>
        <v/>
      </c>
      <c r="BE780" s="66" t="str">
        <f t="shared" si="1057"/>
        <v/>
      </c>
      <c r="BF780" s="119" t="str">
        <f t="shared" si="1058"/>
        <v/>
      </c>
      <c r="BG780" s="66" t="str">
        <f>+IF($W780="","",ROUND(IF($B780&gt;Parámetros!$D$107,'Tablas Servicio'!BE780+('Tablas Servicio'!BG779-'Tablas Servicio'!BE779),BE780/(1-IF(B780&lt;=10,Parámetros!$D$100,0))),2))</f>
        <v/>
      </c>
      <c r="BH780" s="66" t="str">
        <f t="shared" si="1059"/>
        <v/>
      </c>
      <c r="BI780" s="66" t="str">
        <f t="shared" si="1060"/>
        <v/>
      </c>
      <c r="BJ780" s="66" t="str">
        <f>+IF($W780="","",ROUND((BG780*Parámetros!$G$85),2))</f>
        <v/>
      </c>
      <c r="BK780" s="66" t="str">
        <f>+IF($W780="","",ROUND((BG780*(Parámetros!$G$86)),2))</f>
        <v/>
      </c>
      <c r="BL780" s="66" t="str">
        <f t="shared" si="1061"/>
        <v/>
      </c>
      <c r="BM780" t="str">
        <f t="shared" si="1102"/>
        <v/>
      </c>
      <c r="BN780" t="str">
        <f t="shared" si="1103"/>
        <v/>
      </c>
      <c r="BO780" s="118" t="str">
        <f t="shared" si="1104"/>
        <v/>
      </c>
      <c r="BP780" s="118" t="str">
        <f t="shared" si="1105"/>
        <v/>
      </c>
      <c r="BQ780" s="119" t="str">
        <f>+IF(OR($W780="",BO780=0),"",ROUND((VLOOKUP(ROUNDDOWN($D780-1/frec,0),cob_adi,BB$40,FALSE)*(1+i/frec)^-0.5*(1+Parámetros!$D$103)*(1+rec_fracc)/frec),6))</f>
        <v/>
      </c>
      <c r="BR780" s="66" t="str">
        <f t="shared" si="1062"/>
        <v/>
      </c>
      <c r="BS780" s="119" t="str">
        <f t="shared" si="1063"/>
        <v/>
      </c>
      <c r="BT780" s="66" t="str">
        <f>+IF($W780="","",ROUND(IF($B780&gt;Parámetros!$D$107,'Tablas Servicio'!BR780+('Tablas Servicio'!BT779-'Tablas Servicio'!BR779),BR780/(1-IF(B780&lt;=10,Parámetros!$D$100,0))),2))</f>
        <v/>
      </c>
      <c r="BU780" s="66" t="str">
        <f t="shared" si="1124"/>
        <v/>
      </c>
      <c r="BV780" s="66" t="str">
        <f t="shared" si="1124"/>
        <v/>
      </c>
      <c r="BW780" s="66" t="str">
        <f>+IF($W780="","",ROUND((BT780*Parámetros!$G$85),2))</f>
        <v/>
      </c>
      <c r="BX780" s="66" t="str">
        <f>+IF($W780="","",ROUND((BT780*(Parámetros!$G$86)),2))</f>
        <v/>
      </c>
      <c r="BY780" s="66" t="str">
        <f t="shared" si="1065"/>
        <v/>
      </c>
      <c r="BZ780" t="str">
        <f t="shared" si="1106"/>
        <v/>
      </c>
      <c r="CA780" t="str">
        <f t="shared" si="1107"/>
        <v/>
      </c>
      <c r="CB780" s="118" t="str">
        <f t="shared" si="1108"/>
        <v/>
      </c>
      <c r="CC780" s="118" t="str">
        <f t="shared" si="1109"/>
        <v/>
      </c>
      <c r="CD780" s="119" t="str">
        <f t="shared" si="1066"/>
        <v/>
      </c>
      <c r="CE780" s="66" t="str">
        <f>+IF($W780="","",ROUND((VLOOKUP(ROUNDDOWN($D780-1/frec,0),cob_adi,BO$40,FALSE)*(1+i/frec)^-0.5*(1+Parámetros!$D$103)*(1+rec_fracc)/frec*'TABLAS ADI'!$BC$17),2))</f>
        <v/>
      </c>
      <c r="CF780" s="119" t="str">
        <f t="shared" si="1067"/>
        <v/>
      </c>
      <c r="CG780" s="66" t="str">
        <f>+IF($W780="","",ROUND(IF($B780&gt;Parámetros!$D$107,'Tablas Servicio'!CE780+('Tablas Servicio'!CG779-'Tablas Servicio'!CE779),CE780/(1-IF(B780&lt;=10,Parámetros!$D$100,0))),2))</f>
        <v/>
      </c>
      <c r="CH780" s="66" t="str">
        <f t="shared" si="1125"/>
        <v/>
      </c>
      <c r="CI780" s="66" t="str">
        <f t="shared" si="1125"/>
        <v/>
      </c>
      <c r="CJ780" s="66" t="str">
        <f>+IF($W780="","",ROUND((CG780*Parámetros!$G$85),2))</f>
        <v/>
      </c>
      <c r="CK780" s="66" t="str">
        <f>+IF($W780="","",ROUND((CG780*(Parámetros!$G$86)),2))</f>
        <v/>
      </c>
      <c r="CL780" s="66" t="str">
        <f t="shared" si="1069"/>
        <v/>
      </c>
      <c r="CM780" t="str">
        <f t="shared" si="1110"/>
        <v/>
      </c>
      <c r="CN780" s="118" t="str">
        <f t="shared" si="1111"/>
        <v/>
      </c>
      <c r="CO780" s="118" t="str">
        <f t="shared" si="1112"/>
        <v/>
      </c>
      <c r="CP780" s="118" t="str">
        <f t="shared" si="1113"/>
        <v/>
      </c>
      <c r="CQ780" s="119" t="str">
        <f t="shared" si="1070"/>
        <v/>
      </c>
      <c r="CR780" s="66" t="str">
        <f>+IF($W780="","",ROUND((VLOOKUP(Parámetros!$F$51,'COBERTURAS ADICIONALES'!$S$4:$T$32,2,FALSE)*(1+i/frec)^-0.5*(1+Parámetros!$D$103)*(1+rec_fracc)/frec*$CO$42),2))</f>
        <v/>
      </c>
      <c r="CS780" s="119" t="str">
        <f t="shared" si="1071"/>
        <v/>
      </c>
      <c r="CT780" s="66" t="str">
        <f>+IF($W780="","",ROUND(IF($B780&gt;Parámetros!$D$107,'Tablas Servicio'!CR780+('Tablas Servicio'!CT779-'Tablas Servicio'!CR779),CR780/(1-IF(B780&lt;=10,Parámetros!$D$100,0))),2))</f>
        <v/>
      </c>
      <c r="CU780" s="66" t="str">
        <f t="shared" si="1126"/>
        <v/>
      </c>
      <c r="CV780" s="66" t="str">
        <f t="shared" si="1126"/>
        <v/>
      </c>
      <c r="CW780" s="66" t="str">
        <f>+IF($W780="","",ROUND((CT780*Parámetros!$G$85),2))</f>
        <v/>
      </c>
      <c r="CX780" s="66" t="str">
        <f>+IF($W780="","",ROUND((CT780*(Parámetros!$G$86)),2))</f>
        <v/>
      </c>
      <c r="CY780" s="66" t="str">
        <f t="shared" si="1073"/>
        <v/>
      </c>
      <c r="CZ780" t="str">
        <f t="shared" si="1114"/>
        <v/>
      </c>
      <c r="DA780" s="118" t="str">
        <f t="shared" si="1115"/>
        <v/>
      </c>
      <c r="DB780" s="118" t="str">
        <f t="shared" si="1116"/>
        <v/>
      </c>
      <c r="DC780" s="118" t="str">
        <f t="shared" si="1117"/>
        <v/>
      </c>
      <c r="DD780" s="121" t="str">
        <f>+IF(OR($W780="",DB780=0),"",ROUND((VLOOKUP(ROUNDDOWN($D780-1/frec,0),cob_adi,CO$40,FALSE)*(1+i/frec)^-0.5*(1+Parámetros!$D$103)*(1+rec_fracc)/frec),6))</f>
        <v/>
      </c>
      <c r="DE780" s="66" t="str">
        <f t="shared" si="1074"/>
        <v/>
      </c>
      <c r="DF780" s="119" t="str">
        <f t="shared" si="1075"/>
        <v/>
      </c>
      <c r="DG780" s="66" t="str">
        <f>+IF($W780="","",ROUND(IF($B780&gt;Parámetros!$D$107,'Tablas Servicio'!DE780+('Tablas Servicio'!DG779-'Tablas Servicio'!DE779),DE780/(1-IF(B780&lt;=10,Parámetros!$D$100,0))),2))</f>
        <v/>
      </c>
      <c r="DH780" s="66" t="str">
        <f t="shared" si="1127"/>
        <v/>
      </c>
      <c r="DI780" s="66" t="str">
        <f t="shared" si="1127"/>
        <v/>
      </c>
      <c r="DJ780" s="66" t="str">
        <f>+IF($W780="","",ROUND((DG780*Parámetros!$G$85),2))</f>
        <v/>
      </c>
      <c r="DK780" s="66" t="str">
        <f>+IF($W780="","",ROUND((DG780*(Parámetros!$G$86)),2))</f>
        <v/>
      </c>
      <c r="DL780" s="66" t="str">
        <f t="shared" si="1077"/>
        <v/>
      </c>
      <c r="DM780" t="str">
        <f t="shared" si="1118"/>
        <v/>
      </c>
      <c r="DN780" s="118" t="str">
        <f t="shared" si="1119"/>
        <v/>
      </c>
      <c r="DO780" s="118" t="str">
        <f t="shared" si="1120"/>
        <v/>
      </c>
      <c r="DP780" s="118" t="str">
        <f t="shared" si="1121"/>
        <v/>
      </c>
      <c r="DQ780" s="122" t="str">
        <f>+IF(OR($W780="",DO780=0),"",ROUND((VLOOKUP(ROUNDDOWN($D780-1/frec,0),cob_adi,DB$40,FALSE)*(1+i/frec)^-0.5*(1+Parámetros!$D$103)*(1+rec_fracc)/frec),6))</f>
        <v/>
      </c>
      <c r="DR780" s="66" t="str">
        <f t="shared" si="1078"/>
        <v/>
      </c>
      <c r="DS780" s="68" t="str">
        <f t="shared" si="1079"/>
        <v/>
      </c>
      <c r="DT780" s="66" t="str">
        <f>+IF($W780="","",ROUND(IF($B780&gt;Parámetros!$D$107,'Tablas Servicio'!DR780+('Tablas Servicio'!DT779-'Tablas Servicio'!DR779),DR780/(1-IF(B780&lt;=10,Parámetros!$D$100,0))),2))</f>
        <v/>
      </c>
      <c r="DU780" s="66" t="str">
        <f t="shared" si="1128"/>
        <v/>
      </c>
      <c r="DV780" s="66" t="str">
        <f t="shared" si="1128"/>
        <v/>
      </c>
      <c r="DW780" s="66" t="str">
        <f>+IF($W780="","",ROUND((DT780*Parámetros!$G$85),2))</f>
        <v/>
      </c>
      <c r="DX780" s="66" t="str">
        <f>+IF($W780="","",ROUND((DT780*(Parámetros!$G$86)),2))</f>
        <v/>
      </c>
      <c r="DY780" s="66" t="str">
        <f t="shared" si="1081"/>
        <v/>
      </c>
      <c r="DZ780" t="str">
        <f t="shared" si="1129"/>
        <v/>
      </c>
      <c r="EA780" s="118" t="str">
        <f t="shared" si="1129"/>
        <v/>
      </c>
      <c r="EB780" s="118" t="str">
        <f>+IF($W780="","",ROUND(IF(Parámetros!$D$25='TABLAS MORT'!$V$33,EB779,Z780/2),0))</f>
        <v/>
      </c>
      <c r="EC780" s="118" t="str">
        <f t="shared" si="1129"/>
        <v/>
      </c>
      <c r="ED780" s="122" t="str">
        <f>+IF(OR($W780="",EB780=0),"",ROUND((VLOOKUP(ROUNDDOWN($D780-1/frec,0),cob_adi,DO$40,FALSE)*(1+i/frec)^-0.5*(1+Parámetros!$D$103)*(1+rec_fracc)/frec),6))</f>
        <v/>
      </c>
      <c r="EE780" s="66" t="str">
        <f t="shared" si="1083"/>
        <v/>
      </c>
      <c r="EF780" s="68" t="str">
        <f t="shared" si="1084"/>
        <v/>
      </c>
      <c r="EG780" s="66" t="str">
        <f>+IF($W780="","",ROUND(IF($B780&gt;Parámetros!$D$107,'Tablas Servicio'!EE780+('Tablas Servicio'!EG779-'Tablas Servicio'!EE779),EE780/(1-IF(B780&lt;=10,Parámetros!$D$100,0))),2))</f>
        <v/>
      </c>
      <c r="EH780" s="66" t="str">
        <f t="shared" si="1130"/>
        <v/>
      </c>
      <c r="EI780" s="66" t="str">
        <f t="shared" si="1130"/>
        <v/>
      </c>
      <c r="EJ780" s="66" t="str">
        <f>+IF($W780="","",ROUND((EG780*Parámetros!$G$85),2))</f>
        <v/>
      </c>
      <c r="EK780" s="66" t="str">
        <f>+IF($W780="","",ROUND((EG780*(Parámetros!$G$86)),2))</f>
        <v/>
      </c>
      <c r="EL780" s="66" t="str">
        <f t="shared" si="1086"/>
        <v/>
      </c>
    </row>
    <row r="781" spans="1:142" x14ac:dyDescent="0.25">
      <c r="A781" t="str">
        <f>+IF($C781="","",ROUND(VLOOKUP('Tablas Servicio'!B781,Parámetros!$H$100:$J$159,IF(Parámetros!$E$16="F",2,3),FALSE),2))</f>
        <v/>
      </c>
      <c r="B781" t="str">
        <f t="shared" si="1037"/>
        <v/>
      </c>
      <c r="C781" s="57" t="str">
        <f>+IF(D781="","",'Tablas Servicio'!C780+1)</f>
        <v/>
      </c>
      <c r="D781" s="56" t="str">
        <f>+IF(D780&lt;edadmaxtabla,D780+1/Parámetros!$E$25,"")</f>
        <v/>
      </c>
      <c r="E781" s="57" t="str">
        <f t="shared" si="1047"/>
        <v/>
      </c>
      <c r="F781" s="59" t="str">
        <f t="shared" si="1048"/>
        <v/>
      </c>
      <c r="G781" s="66" t="str">
        <f t="shared" si="1038"/>
        <v/>
      </c>
      <c r="H781" s="66" t="str">
        <f t="shared" si="1039"/>
        <v/>
      </c>
      <c r="I781" s="66" t="str">
        <f t="shared" si="1087"/>
        <v/>
      </c>
      <c r="J781" s="66" t="str">
        <f t="shared" si="1040"/>
        <v/>
      </c>
      <c r="K781" s="66" t="str">
        <f t="shared" si="1041"/>
        <v/>
      </c>
      <c r="L781" s="66" t="str">
        <f t="shared" si="1042"/>
        <v/>
      </c>
      <c r="M781" s="66" t="str">
        <f t="shared" si="1043"/>
        <v/>
      </c>
      <c r="N781" s="66" t="str">
        <f>+IF(C781="","",ROUND(Parámetros!$D$23,2))</f>
        <v/>
      </c>
      <c r="O781" s="66" t="str">
        <f t="shared" si="1044"/>
        <v/>
      </c>
      <c r="P781" s="66" t="str">
        <f>+IF($C781="","",ROUND(IF(B781&gt;Parámetros!$D$117,0,N781*Parámetros!$D$116-G781*Parámetros!$D$100),2))</f>
        <v/>
      </c>
      <c r="Q781" s="75" t="str">
        <f t="shared" si="1088"/>
        <v/>
      </c>
      <c r="R781" s="75" t="str">
        <f t="shared" si="1089"/>
        <v/>
      </c>
      <c r="S781" s="117" t="str">
        <f>+IF($C781="","",ROUND((S780+I781)*(1+Parámetros!$D$91),2))</f>
        <v/>
      </c>
      <c r="T781" s="117" t="str">
        <f>+IF($C781="","",ROUND(S781*VLOOKUP(B781,Parámetros!$C$30:$D$39,2,TRUE),2))</f>
        <v/>
      </c>
      <c r="U781" s="117" t="str">
        <f>+IF($C781="","",ROUND((U780+I781)*(1+Parámetros!$D$92),2))</f>
        <v/>
      </c>
      <c r="V781" s="117" t="str">
        <f>+IF($C781="","",ROUND(U781*VLOOKUP(B781,Parámetros!$C$30:$D$39,2,TRUE),2))</f>
        <v/>
      </c>
      <c r="W781" s="57" t="str">
        <f t="shared" si="1090"/>
        <v/>
      </c>
      <c r="X781" t="str">
        <f t="shared" si="1091"/>
        <v/>
      </c>
      <c r="Y781" t="str">
        <f t="shared" si="1092"/>
        <v/>
      </c>
      <c r="Z781" s="118" t="str">
        <f>+IF($W781="","",ROUND(IF(Parámetros!$D$25='TABLAS MORT'!$V$33,Z780,Parámetros!$D$21-'Tablas Servicio'!T780),0))</f>
        <v/>
      </c>
      <c r="AA781" s="118" t="str">
        <f t="shared" si="1093"/>
        <v/>
      </c>
      <c r="AB781" s="119" t="str">
        <f>+IF(W781="","",ROUND((VLOOKUP(ROUNDDOWN($D781-1/frec,0),qx_tabla,2,FALSE)*(1+i/frec)^-0.5*(1+Parámetros!$D$103)*(1+rec_fracc)/frec),6))</f>
        <v/>
      </c>
      <c r="AC781" s="66" t="str">
        <f t="shared" si="1049"/>
        <v/>
      </c>
      <c r="AD781" s="119" t="str">
        <f t="shared" si="1045"/>
        <v/>
      </c>
      <c r="AE781" s="66" t="str">
        <f>+IF($W781="","",ROUND(IF($B781&gt;Parámetros!$D$107,'Tablas Servicio'!AC781+('Tablas Servicio'!AG780-'Tablas Servicio'!AC780),AC781/(1-IF(B781&lt;=10,Parámetros!$D$104,Parámetros!$D$105))),2))</f>
        <v/>
      </c>
      <c r="AF781" s="66" t="str">
        <f>+IF($W781="","",ROUND(IF($B781&gt;Parámetros!$D$107,'Tablas Servicio'!AC781+('Tablas Servicio'!AG780-'Tablas Servicio'!AC780),(AC781+$A780/frec)/(1-IF(B781&lt;=Parámetros!$D$117,Parámetros!$D$100,0))),2))</f>
        <v/>
      </c>
      <c r="AG781" s="66" t="str">
        <f t="shared" si="1050"/>
        <v/>
      </c>
      <c r="AH781" s="66" t="str">
        <f t="shared" si="1051"/>
        <v/>
      </c>
      <c r="AI781" s="66" t="str">
        <f t="shared" si="1052"/>
        <v/>
      </c>
      <c r="AJ781" s="66" t="str">
        <f>+IF($W781="","",ROUND((AG781*Parámetros!$G$85),2))</f>
        <v/>
      </c>
      <c r="AK781" s="66" t="str">
        <f>+IF($W781="","",ROUND((AG781*(Parámetros!$G$86)),2))</f>
        <v/>
      </c>
      <c r="AL781" s="66" t="str">
        <f t="shared" si="1046"/>
        <v/>
      </c>
      <c r="AM781" t="str">
        <f t="shared" si="1094"/>
        <v/>
      </c>
      <c r="AN781" t="str">
        <f t="shared" si="1095"/>
        <v/>
      </c>
      <c r="AO781" s="118" t="str">
        <f t="shared" si="1096"/>
        <v/>
      </c>
      <c r="AP781" s="118" t="str">
        <f t="shared" si="1097"/>
        <v/>
      </c>
      <c r="AQ781" s="119" t="str">
        <f>+IF(OR($W781="",AO781=0),"",ROUND((VLOOKUP(ROUNDDOWN($D781-1/frec,0),cob_adi,Z$40,FALSE)*(1+i/frec)^-0.5*(1+Parámetros!$D$103)*(1+rec_fracc)/frec),6))</f>
        <v/>
      </c>
      <c r="AR781" s="66" t="str">
        <f t="shared" si="1053"/>
        <v/>
      </c>
      <c r="AS781" s="119" t="str">
        <f t="shared" si="1054"/>
        <v/>
      </c>
      <c r="AT781" s="66" t="str">
        <f>+IF($W781="","",ROUND(IF($B781&gt;Parámetros!$D$107,'Tablas Servicio'!AR781+('Tablas Servicio'!AT780-'Tablas Servicio'!AR780),AR781/(1-IF(B781&lt;=10,Parámetros!$D$100,0))),2))</f>
        <v/>
      </c>
      <c r="AU781" s="66" t="str">
        <f t="shared" si="1123"/>
        <v/>
      </c>
      <c r="AV781" s="66" t="str">
        <f t="shared" si="1123"/>
        <v/>
      </c>
      <c r="AW781" s="66" t="str">
        <f>+IF($W781="","",ROUND((AT781*Parámetros!$G$85),2))</f>
        <v/>
      </c>
      <c r="AX781" s="66" t="str">
        <f>+IF($W781="","",ROUND((AT781*(Parámetros!$G$86)),2))</f>
        <v/>
      </c>
      <c r="AY781" s="66" t="str">
        <f t="shared" si="1056"/>
        <v/>
      </c>
      <c r="AZ781" t="str">
        <f t="shared" si="1098"/>
        <v/>
      </c>
      <c r="BA781" t="str">
        <f t="shared" si="1099"/>
        <v/>
      </c>
      <c r="BB781" s="118" t="str">
        <f t="shared" si="1100"/>
        <v/>
      </c>
      <c r="BC781" s="118" t="str">
        <f t="shared" si="1101"/>
        <v/>
      </c>
      <c r="BD781" s="119" t="str">
        <f>+IF(OR($W781="",BB781=0),"",ROUND((VLOOKUP(ROUNDDOWN($D781-1/frec,0),cob_adi,AO$40,FALSE)*(1+i/frec)^-0.5*(1+Parámetros!$D$103)*(1+rec_fracc)/frec),6))</f>
        <v/>
      </c>
      <c r="BE781" s="66" t="str">
        <f t="shared" si="1057"/>
        <v/>
      </c>
      <c r="BF781" s="119" t="str">
        <f t="shared" si="1058"/>
        <v/>
      </c>
      <c r="BG781" s="66" t="str">
        <f>+IF($W781="","",ROUND(IF($B781&gt;Parámetros!$D$107,'Tablas Servicio'!BE781+('Tablas Servicio'!BG780-'Tablas Servicio'!BE780),BE781/(1-IF(B781&lt;=10,Parámetros!$D$100,0))),2))</f>
        <v/>
      </c>
      <c r="BH781" s="66" t="str">
        <f t="shared" si="1059"/>
        <v/>
      </c>
      <c r="BI781" s="66" t="str">
        <f t="shared" si="1060"/>
        <v/>
      </c>
      <c r="BJ781" s="66" t="str">
        <f>+IF($W781="","",ROUND((BG781*Parámetros!$G$85),2))</f>
        <v/>
      </c>
      <c r="BK781" s="66" t="str">
        <f>+IF($W781="","",ROUND((BG781*(Parámetros!$G$86)),2))</f>
        <v/>
      </c>
      <c r="BL781" s="66" t="str">
        <f t="shared" si="1061"/>
        <v/>
      </c>
      <c r="BM781" t="str">
        <f t="shared" si="1102"/>
        <v/>
      </c>
      <c r="BN781" t="str">
        <f t="shared" si="1103"/>
        <v/>
      </c>
      <c r="BO781" s="118" t="str">
        <f t="shared" si="1104"/>
        <v/>
      </c>
      <c r="BP781" s="118" t="str">
        <f t="shared" si="1105"/>
        <v/>
      </c>
      <c r="BQ781" s="119" t="str">
        <f>+IF(OR($W781="",BO781=0),"",ROUND((VLOOKUP(ROUNDDOWN($D781-1/frec,0),cob_adi,BB$40,FALSE)*(1+i/frec)^-0.5*(1+Parámetros!$D$103)*(1+rec_fracc)/frec),6))</f>
        <v/>
      </c>
      <c r="BR781" s="66" t="str">
        <f t="shared" si="1062"/>
        <v/>
      </c>
      <c r="BS781" s="119" t="str">
        <f t="shared" si="1063"/>
        <v/>
      </c>
      <c r="BT781" s="66" t="str">
        <f>+IF($W781="","",ROUND(IF($B781&gt;Parámetros!$D$107,'Tablas Servicio'!BR781+('Tablas Servicio'!BT780-'Tablas Servicio'!BR780),BR781/(1-IF(B781&lt;=10,Parámetros!$D$100,0))),2))</f>
        <v/>
      </c>
      <c r="BU781" s="66" t="str">
        <f t="shared" si="1124"/>
        <v/>
      </c>
      <c r="BV781" s="66" t="str">
        <f t="shared" si="1124"/>
        <v/>
      </c>
      <c r="BW781" s="66" t="str">
        <f>+IF($W781="","",ROUND((BT781*Parámetros!$G$85),2))</f>
        <v/>
      </c>
      <c r="BX781" s="66" t="str">
        <f>+IF($W781="","",ROUND((BT781*(Parámetros!$G$86)),2))</f>
        <v/>
      </c>
      <c r="BY781" s="66" t="str">
        <f t="shared" si="1065"/>
        <v/>
      </c>
      <c r="BZ781" t="str">
        <f t="shared" si="1106"/>
        <v/>
      </c>
      <c r="CA781" t="str">
        <f t="shared" si="1107"/>
        <v/>
      </c>
      <c r="CB781" s="118" t="str">
        <f t="shared" si="1108"/>
        <v/>
      </c>
      <c r="CC781" s="118" t="str">
        <f t="shared" si="1109"/>
        <v/>
      </c>
      <c r="CD781" s="119" t="str">
        <f t="shared" si="1066"/>
        <v/>
      </c>
      <c r="CE781" s="66" t="str">
        <f>+IF($W781="","",ROUND((VLOOKUP(ROUNDDOWN($D781-1/frec,0),cob_adi,BO$40,FALSE)*(1+i/frec)^-0.5*(1+Parámetros!$D$103)*(1+rec_fracc)/frec*'TABLAS ADI'!$BC$17),2))</f>
        <v/>
      </c>
      <c r="CF781" s="119" t="str">
        <f t="shared" si="1067"/>
        <v/>
      </c>
      <c r="CG781" s="66" t="str">
        <f>+IF($W781="","",ROUND(IF($B781&gt;Parámetros!$D$107,'Tablas Servicio'!CE781+('Tablas Servicio'!CG780-'Tablas Servicio'!CE780),CE781/(1-IF(B781&lt;=10,Parámetros!$D$100,0))),2))</f>
        <v/>
      </c>
      <c r="CH781" s="66" t="str">
        <f t="shared" si="1125"/>
        <v/>
      </c>
      <c r="CI781" s="66" t="str">
        <f t="shared" si="1125"/>
        <v/>
      </c>
      <c r="CJ781" s="66" t="str">
        <f>+IF($W781="","",ROUND((CG781*Parámetros!$G$85),2))</f>
        <v/>
      </c>
      <c r="CK781" s="66" t="str">
        <f>+IF($W781="","",ROUND((CG781*(Parámetros!$G$86)),2))</f>
        <v/>
      </c>
      <c r="CL781" s="66" t="str">
        <f t="shared" si="1069"/>
        <v/>
      </c>
      <c r="CM781" t="str">
        <f t="shared" si="1110"/>
        <v/>
      </c>
      <c r="CN781" s="118" t="str">
        <f t="shared" si="1111"/>
        <v/>
      </c>
      <c r="CO781" s="118" t="str">
        <f t="shared" si="1112"/>
        <v/>
      </c>
      <c r="CP781" s="118" t="str">
        <f t="shared" si="1113"/>
        <v/>
      </c>
      <c r="CQ781" s="119" t="str">
        <f t="shared" si="1070"/>
        <v/>
      </c>
      <c r="CR781" s="66" t="str">
        <f>+IF($W781="","",ROUND((VLOOKUP(Parámetros!$F$51,'COBERTURAS ADICIONALES'!$S$4:$T$32,2,FALSE)*(1+i/frec)^-0.5*(1+Parámetros!$D$103)*(1+rec_fracc)/frec*$CO$42),2))</f>
        <v/>
      </c>
      <c r="CS781" s="119" t="str">
        <f t="shared" si="1071"/>
        <v/>
      </c>
      <c r="CT781" s="66" t="str">
        <f>+IF($W781="","",ROUND(IF($B781&gt;Parámetros!$D$107,'Tablas Servicio'!CR781+('Tablas Servicio'!CT780-'Tablas Servicio'!CR780),CR781/(1-IF(B781&lt;=10,Parámetros!$D$100,0))),2))</f>
        <v/>
      </c>
      <c r="CU781" s="66" t="str">
        <f t="shared" si="1126"/>
        <v/>
      </c>
      <c r="CV781" s="66" t="str">
        <f t="shared" si="1126"/>
        <v/>
      </c>
      <c r="CW781" s="66" t="str">
        <f>+IF($W781="","",ROUND((CT781*Parámetros!$G$85),2))</f>
        <v/>
      </c>
      <c r="CX781" s="66" t="str">
        <f>+IF($W781="","",ROUND((CT781*(Parámetros!$G$86)),2))</f>
        <v/>
      </c>
      <c r="CY781" s="66" t="str">
        <f t="shared" si="1073"/>
        <v/>
      </c>
      <c r="CZ781" t="str">
        <f t="shared" si="1114"/>
        <v/>
      </c>
      <c r="DA781" s="118" t="str">
        <f t="shared" si="1115"/>
        <v/>
      </c>
      <c r="DB781" s="118" t="str">
        <f t="shared" si="1116"/>
        <v/>
      </c>
      <c r="DC781" s="118" t="str">
        <f t="shared" si="1117"/>
        <v/>
      </c>
      <c r="DD781" s="121" t="str">
        <f>+IF(OR($W781="",DB781=0),"",ROUND((VLOOKUP(ROUNDDOWN($D781-1/frec,0),cob_adi,CO$40,FALSE)*(1+i/frec)^-0.5*(1+Parámetros!$D$103)*(1+rec_fracc)/frec),6))</f>
        <v/>
      </c>
      <c r="DE781" s="66" t="str">
        <f t="shared" si="1074"/>
        <v/>
      </c>
      <c r="DF781" s="119" t="str">
        <f t="shared" si="1075"/>
        <v/>
      </c>
      <c r="DG781" s="66" t="str">
        <f>+IF($W781="","",ROUND(IF($B781&gt;Parámetros!$D$107,'Tablas Servicio'!DE781+('Tablas Servicio'!DG780-'Tablas Servicio'!DE780),DE781/(1-IF(B781&lt;=10,Parámetros!$D$100,0))),2))</f>
        <v/>
      </c>
      <c r="DH781" s="66" t="str">
        <f t="shared" si="1127"/>
        <v/>
      </c>
      <c r="DI781" s="66" t="str">
        <f t="shared" si="1127"/>
        <v/>
      </c>
      <c r="DJ781" s="66" t="str">
        <f>+IF($W781="","",ROUND((DG781*Parámetros!$G$85),2))</f>
        <v/>
      </c>
      <c r="DK781" s="66" t="str">
        <f>+IF($W781="","",ROUND((DG781*(Parámetros!$G$86)),2))</f>
        <v/>
      </c>
      <c r="DL781" s="66" t="str">
        <f t="shared" si="1077"/>
        <v/>
      </c>
      <c r="DM781" t="str">
        <f t="shared" si="1118"/>
        <v/>
      </c>
      <c r="DN781" s="118" t="str">
        <f t="shared" si="1119"/>
        <v/>
      </c>
      <c r="DO781" s="118" t="str">
        <f t="shared" si="1120"/>
        <v/>
      </c>
      <c r="DP781" s="118" t="str">
        <f t="shared" si="1121"/>
        <v/>
      </c>
      <c r="DQ781" s="122" t="str">
        <f>+IF(OR($W781="",DO781=0),"",ROUND((VLOOKUP(ROUNDDOWN($D781-1/frec,0),cob_adi,DB$40,FALSE)*(1+i/frec)^-0.5*(1+Parámetros!$D$103)*(1+rec_fracc)/frec),6))</f>
        <v/>
      </c>
      <c r="DR781" s="66" t="str">
        <f t="shared" si="1078"/>
        <v/>
      </c>
      <c r="DS781" s="68" t="str">
        <f t="shared" si="1079"/>
        <v/>
      </c>
      <c r="DT781" s="66" t="str">
        <f>+IF($W781="","",ROUND(IF($B781&gt;Parámetros!$D$107,'Tablas Servicio'!DR781+('Tablas Servicio'!DT780-'Tablas Servicio'!DR780),DR781/(1-IF(B781&lt;=10,Parámetros!$D$100,0))),2))</f>
        <v/>
      </c>
      <c r="DU781" s="66" t="str">
        <f t="shared" si="1128"/>
        <v/>
      </c>
      <c r="DV781" s="66" t="str">
        <f t="shared" si="1128"/>
        <v/>
      </c>
      <c r="DW781" s="66" t="str">
        <f>+IF($W781="","",ROUND((DT781*Parámetros!$G$85),2))</f>
        <v/>
      </c>
      <c r="DX781" s="66" t="str">
        <f>+IF($W781="","",ROUND((DT781*(Parámetros!$G$86)),2))</f>
        <v/>
      </c>
      <c r="DY781" s="66" t="str">
        <f t="shared" si="1081"/>
        <v/>
      </c>
      <c r="DZ781" t="str">
        <f t="shared" si="1129"/>
        <v/>
      </c>
      <c r="EA781" s="118" t="str">
        <f t="shared" si="1129"/>
        <v/>
      </c>
      <c r="EB781" s="118" t="str">
        <f>+IF($W781="","",ROUND(IF(Parámetros!$D$25='TABLAS MORT'!$V$33,EB780,Z781/2),0))</f>
        <v/>
      </c>
      <c r="EC781" s="118" t="str">
        <f t="shared" si="1129"/>
        <v/>
      </c>
      <c r="ED781" s="122" t="str">
        <f>+IF(OR($W781="",EB781=0),"",ROUND((VLOOKUP(ROUNDDOWN($D781-1/frec,0),cob_adi,DO$40,FALSE)*(1+i/frec)^-0.5*(1+Parámetros!$D$103)*(1+rec_fracc)/frec),6))</f>
        <v/>
      </c>
      <c r="EE781" s="66" t="str">
        <f t="shared" si="1083"/>
        <v/>
      </c>
      <c r="EF781" s="68" t="str">
        <f t="shared" si="1084"/>
        <v/>
      </c>
      <c r="EG781" s="66" t="str">
        <f>+IF($W781="","",ROUND(IF($B781&gt;Parámetros!$D$107,'Tablas Servicio'!EE781+('Tablas Servicio'!EG780-'Tablas Servicio'!EE780),EE781/(1-IF(B781&lt;=10,Parámetros!$D$100,0))),2))</f>
        <v/>
      </c>
      <c r="EH781" s="66" t="str">
        <f t="shared" si="1130"/>
        <v/>
      </c>
      <c r="EI781" s="66" t="str">
        <f t="shared" si="1130"/>
        <v/>
      </c>
      <c r="EJ781" s="66" t="str">
        <f>+IF($W781="","",ROUND((EG781*Parámetros!$G$85),2))</f>
        <v/>
      </c>
      <c r="EK781" s="66" t="str">
        <f>+IF($W781="","",ROUND((EG781*(Parámetros!$G$86)),2))</f>
        <v/>
      </c>
      <c r="EL781" s="66" t="str">
        <f t="shared" si="1086"/>
        <v/>
      </c>
    </row>
    <row r="782" spans="1:142" x14ac:dyDescent="0.25">
      <c r="A782" t="str">
        <f>+IF($C782="","",ROUND(VLOOKUP('Tablas Servicio'!B782,Parámetros!$H$100:$J$159,IF(Parámetros!$E$16="F",2,3),FALSE),2))</f>
        <v/>
      </c>
      <c r="B782" t="str">
        <f t="shared" si="1037"/>
        <v/>
      </c>
      <c r="C782" s="57" t="str">
        <f>+IF(D782="","",'Tablas Servicio'!C781+1)</f>
        <v/>
      </c>
      <c r="D782" s="56" t="str">
        <f>+IF(D781&lt;edadmaxtabla,D781+1/Parámetros!$E$25,"")</f>
        <v/>
      </c>
      <c r="E782" s="57" t="str">
        <f t="shared" si="1047"/>
        <v/>
      </c>
      <c r="F782" s="59" t="str">
        <f t="shared" si="1048"/>
        <v/>
      </c>
      <c r="G782" s="66" t="str">
        <f t="shared" si="1038"/>
        <v/>
      </c>
      <c r="H782" s="66" t="str">
        <f t="shared" si="1039"/>
        <v/>
      </c>
      <c r="I782" s="66" t="str">
        <f t="shared" si="1087"/>
        <v/>
      </c>
      <c r="J782" s="66" t="str">
        <f t="shared" si="1040"/>
        <v/>
      </c>
      <c r="K782" s="66" t="str">
        <f t="shared" si="1041"/>
        <v/>
      </c>
      <c r="L782" s="66" t="str">
        <f t="shared" si="1042"/>
        <v/>
      </c>
      <c r="M782" s="66" t="str">
        <f t="shared" si="1043"/>
        <v/>
      </c>
      <c r="N782" s="66" t="str">
        <f>+IF(C782="","",ROUND(Parámetros!$D$23,2))</f>
        <v/>
      </c>
      <c r="O782" s="66" t="str">
        <f t="shared" si="1044"/>
        <v/>
      </c>
      <c r="P782" s="66" t="str">
        <f>+IF($C782="","",ROUND(IF(B782&gt;Parámetros!$D$117,0,N782*Parámetros!$D$116-G782*Parámetros!$D$100),2))</f>
        <v/>
      </c>
      <c r="Q782" s="75" t="str">
        <f t="shared" si="1088"/>
        <v/>
      </c>
      <c r="R782" s="75" t="str">
        <f t="shared" si="1089"/>
        <v/>
      </c>
      <c r="S782" s="117" t="str">
        <f>+IF($C782="","",ROUND((S781+I782)*(1+Parámetros!$D$91),2))</f>
        <v/>
      </c>
      <c r="T782" s="117" t="str">
        <f>+IF($C782="","",ROUND(S782*VLOOKUP(B782,Parámetros!$C$30:$D$39,2,TRUE),2))</f>
        <v/>
      </c>
      <c r="U782" s="117" t="str">
        <f>+IF($C782="","",ROUND((U781+I782)*(1+Parámetros!$D$92),2))</f>
        <v/>
      </c>
      <c r="V782" s="117" t="str">
        <f>+IF($C782="","",ROUND(U782*VLOOKUP(B782,Parámetros!$C$30:$D$39,2,TRUE),2))</f>
        <v/>
      </c>
      <c r="W782" s="57" t="str">
        <f t="shared" si="1090"/>
        <v/>
      </c>
      <c r="X782" t="str">
        <f t="shared" si="1091"/>
        <v/>
      </c>
      <c r="Y782" t="str">
        <f t="shared" si="1092"/>
        <v/>
      </c>
      <c r="Z782" s="118" t="str">
        <f>+IF($W782="","",ROUND(IF(Parámetros!$D$25='TABLAS MORT'!$V$33,Z781,Parámetros!$D$21-'Tablas Servicio'!T781),0))</f>
        <v/>
      </c>
      <c r="AA782" s="118" t="str">
        <f t="shared" si="1093"/>
        <v/>
      </c>
      <c r="AB782" s="119" t="str">
        <f>+IF(W782="","",ROUND((VLOOKUP(ROUNDDOWN($D782-1/frec,0),qx_tabla,2,FALSE)*(1+i/frec)^-0.5*(1+Parámetros!$D$103)*(1+rec_fracc)/frec),6))</f>
        <v/>
      </c>
      <c r="AC782" s="66" t="str">
        <f t="shared" si="1049"/>
        <v/>
      </c>
      <c r="AD782" s="119" t="str">
        <f t="shared" si="1045"/>
        <v/>
      </c>
      <c r="AE782" s="66" t="str">
        <f>+IF($W782="","",ROUND(IF($B782&gt;Parámetros!$D$107,'Tablas Servicio'!AC782+('Tablas Servicio'!AG781-'Tablas Servicio'!AC781),AC782/(1-IF(B782&lt;=10,Parámetros!$D$104,Parámetros!$D$105))),2))</f>
        <v/>
      </c>
      <c r="AF782" s="66" t="str">
        <f>+IF($W782="","",ROUND(IF($B782&gt;Parámetros!$D$107,'Tablas Servicio'!AC782+('Tablas Servicio'!AG781-'Tablas Servicio'!AC781),(AC782+$A781/frec)/(1-IF(B782&lt;=Parámetros!$D$117,Parámetros!$D$100,0))),2))</f>
        <v/>
      </c>
      <c r="AG782" s="66" t="str">
        <f t="shared" si="1050"/>
        <v/>
      </c>
      <c r="AH782" s="66" t="str">
        <f t="shared" si="1051"/>
        <v/>
      </c>
      <c r="AI782" s="66" t="str">
        <f t="shared" si="1052"/>
        <v/>
      </c>
      <c r="AJ782" s="66" t="str">
        <f>+IF($W782="","",ROUND((AG782*Parámetros!$G$85),2))</f>
        <v/>
      </c>
      <c r="AK782" s="66" t="str">
        <f>+IF($W782="","",ROUND((AG782*(Parámetros!$G$86)),2))</f>
        <v/>
      </c>
      <c r="AL782" s="66" t="str">
        <f t="shared" si="1046"/>
        <v/>
      </c>
      <c r="AM782" t="str">
        <f t="shared" si="1094"/>
        <v/>
      </c>
      <c r="AN782" t="str">
        <f t="shared" si="1095"/>
        <v/>
      </c>
      <c r="AO782" s="118" t="str">
        <f t="shared" si="1096"/>
        <v/>
      </c>
      <c r="AP782" s="118" t="str">
        <f t="shared" si="1097"/>
        <v/>
      </c>
      <c r="AQ782" s="119" t="str">
        <f>+IF(OR($W782="",AO782=0),"",ROUND((VLOOKUP(ROUNDDOWN($D782-1/frec,0),cob_adi,Z$40,FALSE)*(1+i/frec)^-0.5*(1+Parámetros!$D$103)*(1+rec_fracc)/frec),6))</f>
        <v/>
      </c>
      <c r="AR782" s="66" t="str">
        <f t="shared" si="1053"/>
        <v/>
      </c>
      <c r="AS782" s="119" t="str">
        <f t="shared" si="1054"/>
        <v/>
      </c>
      <c r="AT782" s="66" t="str">
        <f>+IF($W782="","",ROUND(IF($B782&gt;Parámetros!$D$107,'Tablas Servicio'!AR782+('Tablas Servicio'!AT781-'Tablas Servicio'!AR781),AR782/(1-IF(B782&lt;=10,Parámetros!$D$100,0))),2))</f>
        <v/>
      </c>
      <c r="AU782" s="66" t="str">
        <f t="shared" si="1123"/>
        <v/>
      </c>
      <c r="AV782" s="66" t="str">
        <f t="shared" si="1123"/>
        <v/>
      </c>
      <c r="AW782" s="66" t="str">
        <f>+IF($W782="","",ROUND((AT782*Parámetros!$G$85),2))</f>
        <v/>
      </c>
      <c r="AX782" s="66" t="str">
        <f>+IF($W782="","",ROUND((AT782*(Parámetros!$G$86)),2))</f>
        <v/>
      </c>
      <c r="AY782" s="66" t="str">
        <f t="shared" si="1056"/>
        <v/>
      </c>
      <c r="AZ782" t="str">
        <f t="shared" si="1098"/>
        <v/>
      </c>
      <c r="BA782" t="str">
        <f t="shared" si="1099"/>
        <v/>
      </c>
      <c r="BB782" s="118" t="str">
        <f t="shared" si="1100"/>
        <v/>
      </c>
      <c r="BC782" s="118" t="str">
        <f t="shared" si="1101"/>
        <v/>
      </c>
      <c r="BD782" s="119" t="str">
        <f>+IF(OR($W782="",BB782=0),"",ROUND((VLOOKUP(ROUNDDOWN($D782-1/frec,0),cob_adi,AO$40,FALSE)*(1+i/frec)^-0.5*(1+Parámetros!$D$103)*(1+rec_fracc)/frec),6))</f>
        <v/>
      </c>
      <c r="BE782" s="66" t="str">
        <f t="shared" si="1057"/>
        <v/>
      </c>
      <c r="BF782" s="119" t="str">
        <f t="shared" si="1058"/>
        <v/>
      </c>
      <c r="BG782" s="66" t="str">
        <f>+IF($W782="","",ROUND(IF($B782&gt;Parámetros!$D$107,'Tablas Servicio'!BE782+('Tablas Servicio'!BG781-'Tablas Servicio'!BE781),BE782/(1-IF(B782&lt;=10,Parámetros!$D$100,0))),2))</f>
        <v/>
      </c>
      <c r="BH782" s="66" t="str">
        <f t="shared" si="1059"/>
        <v/>
      </c>
      <c r="BI782" s="66" t="str">
        <f t="shared" si="1060"/>
        <v/>
      </c>
      <c r="BJ782" s="66" t="str">
        <f>+IF($W782="","",ROUND((BG782*Parámetros!$G$85),2))</f>
        <v/>
      </c>
      <c r="BK782" s="66" t="str">
        <f>+IF($W782="","",ROUND((BG782*(Parámetros!$G$86)),2))</f>
        <v/>
      </c>
      <c r="BL782" s="66" t="str">
        <f t="shared" si="1061"/>
        <v/>
      </c>
      <c r="BM782" t="str">
        <f t="shared" si="1102"/>
        <v/>
      </c>
      <c r="BN782" t="str">
        <f t="shared" si="1103"/>
        <v/>
      </c>
      <c r="BO782" s="118" t="str">
        <f t="shared" si="1104"/>
        <v/>
      </c>
      <c r="BP782" s="118" t="str">
        <f t="shared" si="1105"/>
        <v/>
      </c>
      <c r="BQ782" s="119" t="str">
        <f>+IF(OR($W782="",BO782=0),"",ROUND((VLOOKUP(ROUNDDOWN($D782-1/frec,0),cob_adi,BB$40,FALSE)*(1+i/frec)^-0.5*(1+Parámetros!$D$103)*(1+rec_fracc)/frec),6))</f>
        <v/>
      </c>
      <c r="BR782" s="66" t="str">
        <f t="shared" si="1062"/>
        <v/>
      </c>
      <c r="BS782" s="119" t="str">
        <f t="shared" si="1063"/>
        <v/>
      </c>
      <c r="BT782" s="66" t="str">
        <f>+IF($W782="","",ROUND(IF($B782&gt;Parámetros!$D$107,'Tablas Servicio'!BR782+('Tablas Servicio'!BT781-'Tablas Servicio'!BR781),BR782/(1-IF(B782&lt;=10,Parámetros!$D$100,0))),2))</f>
        <v/>
      </c>
      <c r="BU782" s="66" t="str">
        <f t="shared" si="1124"/>
        <v/>
      </c>
      <c r="BV782" s="66" t="str">
        <f t="shared" si="1124"/>
        <v/>
      </c>
      <c r="BW782" s="66" t="str">
        <f>+IF($W782="","",ROUND((BT782*Parámetros!$G$85),2))</f>
        <v/>
      </c>
      <c r="BX782" s="66" t="str">
        <f>+IF($W782="","",ROUND((BT782*(Parámetros!$G$86)),2))</f>
        <v/>
      </c>
      <c r="BY782" s="66" t="str">
        <f t="shared" si="1065"/>
        <v/>
      </c>
      <c r="BZ782" t="str">
        <f t="shared" si="1106"/>
        <v/>
      </c>
      <c r="CA782" t="str">
        <f t="shared" si="1107"/>
        <v/>
      </c>
      <c r="CB782" s="118" t="str">
        <f t="shared" si="1108"/>
        <v/>
      </c>
      <c r="CC782" s="118" t="str">
        <f t="shared" si="1109"/>
        <v/>
      </c>
      <c r="CD782" s="119" t="str">
        <f t="shared" si="1066"/>
        <v/>
      </c>
      <c r="CE782" s="66" t="str">
        <f>+IF($W782="","",ROUND((VLOOKUP(ROUNDDOWN($D782-1/frec,0),cob_adi,BO$40,FALSE)*(1+i/frec)^-0.5*(1+Parámetros!$D$103)*(1+rec_fracc)/frec*'TABLAS ADI'!$BC$17),2))</f>
        <v/>
      </c>
      <c r="CF782" s="119" t="str">
        <f t="shared" si="1067"/>
        <v/>
      </c>
      <c r="CG782" s="66" t="str">
        <f>+IF($W782="","",ROUND(IF($B782&gt;Parámetros!$D$107,'Tablas Servicio'!CE782+('Tablas Servicio'!CG781-'Tablas Servicio'!CE781),CE782/(1-IF(B782&lt;=10,Parámetros!$D$100,0))),2))</f>
        <v/>
      </c>
      <c r="CH782" s="66" t="str">
        <f t="shared" si="1125"/>
        <v/>
      </c>
      <c r="CI782" s="66" t="str">
        <f t="shared" si="1125"/>
        <v/>
      </c>
      <c r="CJ782" s="66" t="str">
        <f>+IF($W782="","",ROUND((CG782*Parámetros!$G$85),2))</f>
        <v/>
      </c>
      <c r="CK782" s="66" t="str">
        <f>+IF($W782="","",ROUND((CG782*(Parámetros!$G$86)),2))</f>
        <v/>
      </c>
      <c r="CL782" s="66" t="str">
        <f t="shared" si="1069"/>
        <v/>
      </c>
      <c r="CM782" t="str">
        <f t="shared" si="1110"/>
        <v/>
      </c>
      <c r="CN782" s="118" t="str">
        <f t="shared" si="1111"/>
        <v/>
      </c>
      <c r="CO782" s="118" t="str">
        <f t="shared" si="1112"/>
        <v/>
      </c>
      <c r="CP782" s="118" t="str">
        <f t="shared" si="1113"/>
        <v/>
      </c>
      <c r="CQ782" s="119" t="str">
        <f t="shared" si="1070"/>
        <v/>
      </c>
      <c r="CR782" s="66" t="str">
        <f>+IF($W782="","",ROUND((VLOOKUP(Parámetros!$F$51,'COBERTURAS ADICIONALES'!$S$4:$T$32,2,FALSE)*(1+i/frec)^-0.5*(1+Parámetros!$D$103)*(1+rec_fracc)/frec*$CO$42),2))</f>
        <v/>
      </c>
      <c r="CS782" s="119" t="str">
        <f t="shared" si="1071"/>
        <v/>
      </c>
      <c r="CT782" s="66" t="str">
        <f>+IF($W782="","",ROUND(IF($B782&gt;Parámetros!$D$107,'Tablas Servicio'!CR782+('Tablas Servicio'!CT781-'Tablas Servicio'!CR781),CR782/(1-IF(B782&lt;=10,Parámetros!$D$100,0))),2))</f>
        <v/>
      </c>
      <c r="CU782" s="66" t="str">
        <f t="shared" si="1126"/>
        <v/>
      </c>
      <c r="CV782" s="66" t="str">
        <f t="shared" si="1126"/>
        <v/>
      </c>
      <c r="CW782" s="66" t="str">
        <f>+IF($W782="","",ROUND((CT782*Parámetros!$G$85),2))</f>
        <v/>
      </c>
      <c r="CX782" s="66" t="str">
        <f>+IF($W782="","",ROUND((CT782*(Parámetros!$G$86)),2))</f>
        <v/>
      </c>
      <c r="CY782" s="66" t="str">
        <f t="shared" si="1073"/>
        <v/>
      </c>
      <c r="CZ782" t="str">
        <f t="shared" si="1114"/>
        <v/>
      </c>
      <c r="DA782" s="118" t="str">
        <f t="shared" si="1115"/>
        <v/>
      </c>
      <c r="DB782" s="118" t="str">
        <f t="shared" si="1116"/>
        <v/>
      </c>
      <c r="DC782" s="118" t="str">
        <f t="shared" si="1117"/>
        <v/>
      </c>
      <c r="DD782" s="121" t="str">
        <f>+IF(OR($W782="",DB782=0),"",ROUND((VLOOKUP(ROUNDDOWN($D782-1/frec,0),cob_adi,CO$40,FALSE)*(1+i/frec)^-0.5*(1+Parámetros!$D$103)*(1+rec_fracc)/frec),6))</f>
        <v/>
      </c>
      <c r="DE782" s="66" t="str">
        <f t="shared" si="1074"/>
        <v/>
      </c>
      <c r="DF782" s="119" t="str">
        <f t="shared" si="1075"/>
        <v/>
      </c>
      <c r="DG782" s="66" t="str">
        <f>+IF($W782="","",ROUND(IF($B782&gt;Parámetros!$D$107,'Tablas Servicio'!DE782+('Tablas Servicio'!DG781-'Tablas Servicio'!DE781),DE782/(1-IF(B782&lt;=10,Parámetros!$D$100,0))),2))</f>
        <v/>
      </c>
      <c r="DH782" s="66" t="str">
        <f t="shared" si="1127"/>
        <v/>
      </c>
      <c r="DI782" s="66" t="str">
        <f t="shared" si="1127"/>
        <v/>
      </c>
      <c r="DJ782" s="66" t="str">
        <f>+IF($W782="","",ROUND((DG782*Parámetros!$G$85),2))</f>
        <v/>
      </c>
      <c r="DK782" s="66" t="str">
        <f>+IF($W782="","",ROUND((DG782*(Parámetros!$G$86)),2))</f>
        <v/>
      </c>
      <c r="DL782" s="66" t="str">
        <f t="shared" si="1077"/>
        <v/>
      </c>
      <c r="DM782" t="str">
        <f t="shared" si="1118"/>
        <v/>
      </c>
      <c r="DN782" s="118" t="str">
        <f t="shared" si="1119"/>
        <v/>
      </c>
      <c r="DO782" s="118" t="str">
        <f t="shared" si="1120"/>
        <v/>
      </c>
      <c r="DP782" s="118" t="str">
        <f t="shared" si="1121"/>
        <v/>
      </c>
      <c r="DQ782" s="122" t="str">
        <f>+IF(OR($W782="",DO782=0),"",ROUND((VLOOKUP(ROUNDDOWN($D782-1/frec,0),cob_adi,DB$40,FALSE)*(1+i/frec)^-0.5*(1+Parámetros!$D$103)*(1+rec_fracc)/frec),6))</f>
        <v/>
      </c>
      <c r="DR782" s="66" t="str">
        <f t="shared" si="1078"/>
        <v/>
      </c>
      <c r="DS782" s="68" t="str">
        <f t="shared" si="1079"/>
        <v/>
      </c>
      <c r="DT782" s="66" t="str">
        <f>+IF($W782="","",ROUND(IF($B782&gt;Parámetros!$D$107,'Tablas Servicio'!DR782+('Tablas Servicio'!DT781-'Tablas Servicio'!DR781),DR782/(1-IF(B782&lt;=10,Parámetros!$D$100,0))),2))</f>
        <v/>
      </c>
      <c r="DU782" s="66" t="str">
        <f t="shared" si="1128"/>
        <v/>
      </c>
      <c r="DV782" s="66" t="str">
        <f t="shared" si="1128"/>
        <v/>
      </c>
      <c r="DW782" s="66" t="str">
        <f>+IF($W782="","",ROUND((DT782*Parámetros!$G$85),2))</f>
        <v/>
      </c>
      <c r="DX782" s="66" t="str">
        <f>+IF($W782="","",ROUND((DT782*(Parámetros!$G$86)),2))</f>
        <v/>
      </c>
      <c r="DY782" s="66" t="str">
        <f t="shared" si="1081"/>
        <v/>
      </c>
      <c r="DZ782" t="str">
        <f t="shared" si="1129"/>
        <v/>
      </c>
      <c r="EA782" s="118" t="str">
        <f t="shared" si="1129"/>
        <v/>
      </c>
      <c r="EB782" s="118" t="str">
        <f>+IF($W782="","",ROUND(IF(Parámetros!$D$25='TABLAS MORT'!$V$33,EB781,Z782/2),0))</f>
        <v/>
      </c>
      <c r="EC782" s="118" t="str">
        <f t="shared" si="1129"/>
        <v/>
      </c>
      <c r="ED782" s="122" t="str">
        <f>+IF(OR($W782="",EB782=0),"",ROUND((VLOOKUP(ROUNDDOWN($D782-1/frec,0),cob_adi,DO$40,FALSE)*(1+i/frec)^-0.5*(1+Parámetros!$D$103)*(1+rec_fracc)/frec),6))</f>
        <v/>
      </c>
      <c r="EE782" s="66" t="str">
        <f t="shared" si="1083"/>
        <v/>
      </c>
      <c r="EF782" s="68" t="str">
        <f t="shared" si="1084"/>
        <v/>
      </c>
      <c r="EG782" s="66" t="str">
        <f>+IF($W782="","",ROUND(IF($B782&gt;Parámetros!$D$107,'Tablas Servicio'!EE782+('Tablas Servicio'!EG781-'Tablas Servicio'!EE781),EE782/(1-IF(B782&lt;=10,Parámetros!$D$100,0))),2))</f>
        <v/>
      </c>
      <c r="EH782" s="66" t="str">
        <f t="shared" si="1130"/>
        <v/>
      </c>
      <c r="EI782" s="66" t="str">
        <f t="shared" si="1130"/>
        <v/>
      </c>
      <c r="EJ782" s="66" t="str">
        <f>+IF($W782="","",ROUND((EG782*Parámetros!$G$85),2))</f>
        <v/>
      </c>
      <c r="EK782" s="66" t="str">
        <f>+IF($W782="","",ROUND((EG782*(Parámetros!$G$86)),2))</f>
        <v/>
      </c>
      <c r="EL782" s="66" t="str">
        <f t="shared" si="1086"/>
        <v/>
      </c>
    </row>
    <row r="783" spans="1:142" x14ac:dyDescent="0.25">
      <c r="A783" t="str">
        <f>+IF($C783="","",ROUND(VLOOKUP('Tablas Servicio'!B783,Parámetros!$H$100:$J$159,IF(Parámetros!$E$16="F",2,3),FALSE),2))</f>
        <v/>
      </c>
      <c r="B783" t="str">
        <f t="shared" si="1037"/>
        <v/>
      </c>
      <c r="C783" s="57" t="str">
        <f>+IF(D783="","",'Tablas Servicio'!C782+1)</f>
        <v/>
      </c>
      <c r="D783" s="56" t="str">
        <f>+IF(D782&lt;edadmaxtabla,D782+1/Parámetros!$E$25,"")</f>
        <v/>
      </c>
      <c r="E783" s="57" t="str">
        <f t="shared" si="1047"/>
        <v/>
      </c>
      <c r="F783" s="59" t="str">
        <f t="shared" si="1048"/>
        <v/>
      </c>
      <c r="G783" s="66" t="str">
        <f t="shared" si="1038"/>
        <v/>
      </c>
      <c r="H783" s="66" t="str">
        <f t="shared" si="1039"/>
        <v/>
      </c>
      <c r="I783" s="66" t="str">
        <f t="shared" si="1087"/>
        <v/>
      </c>
      <c r="J783" s="66" t="str">
        <f t="shared" si="1040"/>
        <v/>
      </c>
      <c r="K783" s="66" t="str">
        <f t="shared" si="1041"/>
        <v/>
      </c>
      <c r="L783" s="66" t="str">
        <f t="shared" si="1042"/>
        <v/>
      </c>
      <c r="M783" s="66" t="str">
        <f t="shared" si="1043"/>
        <v/>
      </c>
      <c r="N783" s="66" t="str">
        <f>+IF(C783="","",ROUND(Parámetros!$D$23,2))</f>
        <v/>
      </c>
      <c r="O783" s="66" t="str">
        <f t="shared" si="1044"/>
        <v/>
      </c>
      <c r="P783" s="66" t="str">
        <f>+IF($C783="","",ROUND(IF(B783&gt;Parámetros!$D$117,0,N783*Parámetros!$D$116-G783*Parámetros!$D$100),2))</f>
        <v/>
      </c>
      <c r="Q783" s="75" t="str">
        <f t="shared" si="1088"/>
        <v/>
      </c>
      <c r="R783" s="75" t="str">
        <f t="shared" si="1089"/>
        <v/>
      </c>
      <c r="S783" s="117" t="str">
        <f>+IF($C783="","",ROUND((S782+I783)*(1+Parámetros!$D$91),2))</f>
        <v/>
      </c>
      <c r="T783" s="117" t="str">
        <f>+IF($C783="","",ROUND(S783*VLOOKUP(B783,Parámetros!$C$30:$D$39,2,TRUE),2))</f>
        <v/>
      </c>
      <c r="U783" s="117" t="str">
        <f>+IF($C783="","",ROUND((U782+I783)*(1+Parámetros!$D$92),2))</f>
        <v/>
      </c>
      <c r="V783" s="117" t="str">
        <f>+IF($C783="","",ROUND(U783*VLOOKUP(B783,Parámetros!$C$30:$D$39,2,TRUE),2))</f>
        <v/>
      </c>
      <c r="W783" s="57" t="str">
        <f t="shared" si="1090"/>
        <v/>
      </c>
      <c r="X783" t="str">
        <f t="shared" si="1091"/>
        <v/>
      </c>
      <c r="Y783" t="str">
        <f t="shared" si="1092"/>
        <v/>
      </c>
      <c r="Z783" s="118" t="str">
        <f>+IF($W783="","",ROUND(IF(Parámetros!$D$25='TABLAS MORT'!$V$33,Z782,Parámetros!$D$21-'Tablas Servicio'!T782),0))</f>
        <v/>
      </c>
      <c r="AA783" s="118" t="str">
        <f t="shared" si="1093"/>
        <v/>
      </c>
      <c r="AB783" s="119" t="str">
        <f>+IF(W783="","",ROUND((VLOOKUP(ROUNDDOWN($D783-1/frec,0),qx_tabla,2,FALSE)*(1+i/frec)^-0.5*(1+Parámetros!$D$103)*(1+rec_fracc)/frec),6))</f>
        <v/>
      </c>
      <c r="AC783" s="66" t="str">
        <f t="shared" si="1049"/>
        <v/>
      </c>
      <c r="AD783" s="119" t="str">
        <f t="shared" si="1045"/>
        <v/>
      </c>
      <c r="AE783" s="66" t="str">
        <f>+IF($W783="","",ROUND(IF($B783&gt;Parámetros!$D$107,'Tablas Servicio'!AC783+('Tablas Servicio'!AG782-'Tablas Servicio'!AC782),AC783/(1-IF(B783&lt;=10,Parámetros!$D$104,Parámetros!$D$105))),2))</f>
        <v/>
      </c>
      <c r="AF783" s="66" t="str">
        <f>+IF($W783="","",ROUND(IF($B783&gt;Parámetros!$D$107,'Tablas Servicio'!AC783+('Tablas Servicio'!AG782-'Tablas Servicio'!AC782),(AC783+$A782/frec)/(1-IF(B783&lt;=Parámetros!$D$117,Parámetros!$D$100,0))),2))</f>
        <v/>
      </c>
      <c r="AG783" s="66" t="str">
        <f t="shared" si="1050"/>
        <v/>
      </c>
      <c r="AH783" s="66" t="str">
        <f t="shared" si="1051"/>
        <v/>
      </c>
      <c r="AI783" s="66" t="str">
        <f t="shared" si="1052"/>
        <v/>
      </c>
      <c r="AJ783" s="66" t="str">
        <f>+IF($W783="","",ROUND((AG783*Parámetros!$G$85),2))</f>
        <v/>
      </c>
      <c r="AK783" s="66" t="str">
        <f>+IF($W783="","",ROUND((AG783*(Parámetros!$G$86)),2))</f>
        <v/>
      </c>
      <c r="AL783" s="66" t="str">
        <f t="shared" si="1046"/>
        <v/>
      </c>
      <c r="AM783" t="str">
        <f t="shared" si="1094"/>
        <v/>
      </c>
      <c r="AN783" t="str">
        <f t="shared" si="1095"/>
        <v/>
      </c>
      <c r="AO783" s="118" t="str">
        <f t="shared" si="1096"/>
        <v/>
      </c>
      <c r="AP783" s="118" t="str">
        <f t="shared" si="1097"/>
        <v/>
      </c>
      <c r="AQ783" s="119" t="str">
        <f>+IF(OR($W783="",AO783=0),"",ROUND((VLOOKUP(ROUNDDOWN($D783-1/frec,0),cob_adi,Z$40,FALSE)*(1+i/frec)^-0.5*(1+Parámetros!$D$103)*(1+rec_fracc)/frec),6))</f>
        <v/>
      </c>
      <c r="AR783" s="66" t="str">
        <f t="shared" si="1053"/>
        <v/>
      </c>
      <c r="AS783" s="119" t="str">
        <f t="shared" si="1054"/>
        <v/>
      </c>
      <c r="AT783" s="66" t="str">
        <f>+IF($W783="","",ROUND(IF($B783&gt;Parámetros!$D$107,'Tablas Servicio'!AR783+('Tablas Servicio'!AT782-'Tablas Servicio'!AR782),AR783/(1-IF(B783&lt;=10,Parámetros!$D$100,0))),2))</f>
        <v/>
      </c>
      <c r="AU783" s="66" t="str">
        <f t="shared" si="1123"/>
        <v/>
      </c>
      <c r="AV783" s="66" t="str">
        <f t="shared" si="1123"/>
        <v/>
      </c>
      <c r="AW783" s="66" t="str">
        <f>+IF($W783="","",ROUND((AT783*Parámetros!$G$85),2))</f>
        <v/>
      </c>
      <c r="AX783" s="66" t="str">
        <f>+IF($W783="","",ROUND((AT783*(Parámetros!$G$86)),2))</f>
        <v/>
      </c>
      <c r="AY783" s="66" t="str">
        <f t="shared" si="1056"/>
        <v/>
      </c>
      <c r="AZ783" t="str">
        <f t="shared" si="1098"/>
        <v/>
      </c>
      <c r="BA783" t="str">
        <f t="shared" si="1099"/>
        <v/>
      </c>
      <c r="BB783" s="118" t="str">
        <f t="shared" si="1100"/>
        <v/>
      </c>
      <c r="BC783" s="118" t="str">
        <f t="shared" si="1101"/>
        <v/>
      </c>
      <c r="BD783" s="119" t="str">
        <f>+IF(OR($W783="",BB783=0),"",ROUND((VLOOKUP(ROUNDDOWN($D783-1/frec,0),cob_adi,AO$40,FALSE)*(1+i/frec)^-0.5*(1+Parámetros!$D$103)*(1+rec_fracc)/frec),6))</f>
        <v/>
      </c>
      <c r="BE783" s="66" t="str">
        <f t="shared" si="1057"/>
        <v/>
      </c>
      <c r="BF783" s="119" t="str">
        <f t="shared" si="1058"/>
        <v/>
      </c>
      <c r="BG783" s="66" t="str">
        <f>+IF($W783="","",ROUND(IF($B783&gt;Parámetros!$D$107,'Tablas Servicio'!BE783+('Tablas Servicio'!BG782-'Tablas Servicio'!BE782),BE783/(1-IF(B783&lt;=10,Parámetros!$D$100,0))),2))</f>
        <v/>
      </c>
      <c r="BH783" s="66" t="str">
        <f t="shared" si="1059"/>
        <v/>
      </c>
      <c r="BI783" s="66" t="str">
        <f t="shared" si="1060"/>
        <v/>
      </c>
      <c r="BJ783" s="66" t="str">
        <f>+IF($W783="","",ROUND((BG783*Parámetros!$G$85),2))</f>
        <v/>
      </c>
      <c r="BK783" s="66" t="str">
        <f>+IF($W783="","",ROUND((BG783*(Parámetros!$G$86)),2))</f>
        <v/>
      </c>
      <c r="BL783" s="66" t="str">
        <f t="shared" si="1061"/>
        <v/>
      </c>
      <c r="BM783" t="str">
        <f t="shared" si="1102"/>
        <v/>
      </c>
      <c r="BN783" t="str">
        <f t="shared" si="1103"/>
        <v/>
      </c>
      <c r="BO783" s="118" t="str">
        <f t="shared" si="1104"/>
        <v/>
      </c>
      <c r="BP783" s="118" t="str">
        <f t="shared" si="1105"/>
        <v/>
      </c>
      <c r="BQ783" s="119" t="str">
        <f>+IF(OR($W783="",BO783=0),"",ROUND((VLOOKUP(ROUNDDOWN($D783-1/frec,0),cob_adi,BB$40,FALSE)*(1+i/frec)^-0.5*(1+Parámetros!$D$103)*(1+rec_fracc)/frec),6))</f>
        <v/>
      </c>
      <c r="BR783" s="66" t="str">
        <f t="shared" si="1062"/>
        <v/>
      </c>
      <c r="BS783" s="119" t="str">
        <f t="shared" si="1063"/>
        <v/>
      </c>
      <c r="BT783" s="66" t="str">
        <f>+IF($W783="","",ROUND(IF($B783&gt;Parámetros!$D$107,'Tablas Servicio'!BR783+('Tablas Servicio'!BT782-'Tablas Servicio'!BR782),BR783/(1-IF(B783&lt;=10,Parámetros!$D$100,0))),2))</f>
        <v/>
      </c>
      <c r="BU783" s="66" t="str">
        <f t="shared" si="1124"/>
        <v/>
      </c>
      <c r="BV783" s="66" t="str">
        <f t="shared" si="1124"/>
        <v/>
      </c>
      <c r="BW783" s="66" t="str">
        <f>+IF($W783="","",ROUND((BT783*Parámetros!$G$85),2))</f>
        <v/>
      </c>
      <c r="BX783" s="66" t="str">
        <f>+IF($W783="","",ROUND((BT783*(Parámetros!$G$86)),2))</f>
        <v/>
      </c>
      <c r="BY783" s="66" t="str">
        <f t="shared" si="1065"/>
        <v/>
      </c>
      <c r="BZ783" t="str">
        <f t="shared" si="1106"/>
        <v/>
      </c>
      <c r="CA783" t="str">
        <f t="shared" si="1107"/>
        <v/>
      </c>
      <c r="CB783" s="118" t="str">
        <f t="shared" si="1108"/>
        <v/>
      </c>
      <c r="CC783" s="118" t="str">
        <f t="shared" si="1109"/>
        <v/>
      </c>
      <c r="CD783" s="119" t="str">
        <f t="shared" si="1066"/>
        <v/>
      </c>
      <c r="CE783" s="66" t="str">
        <f>+IF($W783="","",ROUND((VLOOKUP(ROUNDDOWN($D783-1/frec,0),cob_adi,BO$40,FALSE)*(1+i/frec)^-0.5*(1+Parámetros!$D$103)*(1+rec_fracc)/frec*'TABLAS ADI'!$BC$17),2))</f>
        <v/>
      </c>
      <c r="CF783" s="119" t="str">
        <f t="shared" si="1067"/>
        <v/>
      </c>
      <c r="CG783" s="66" t="str">
        <f>+IF($W783="","",ROUND(IF($B783&gt;Parámetros!$D$107,'Tablas Servicio'!CE783+('Tablas Servicio'!CG782-'Tablas Servicio'!CE782),CE783/(1-IF(B783&lt;=10,Parámetros!$D$100,0))),2))</f>
        <v/>
      </c>
      <c r="CH783" s="66" t="str">
        <f t="shared" si="1125"/>
        <v/>
      </c>
      <c r="CI783" s="66" t="str">
        <f t="shared" si="1125"/>
        <v/>
      </c>
      <c r="CJ783" s="66" t="str">
        <f>+IF($W783="","",ROUND((CG783*Parámetros!$G$85),2))</f>
        <v/>
      </c>
      <c r="CK783" s="66" t="str">
        <f>+IF($W783="","",ROUND((CG783*(Parámetros!$G$86)),2))</f>
        <v/>
      </c>
      <c r="CL783" s="66" t="str">
        <f t="shared" si="1069"/>
        <v/>
      </c>
      <c r="CM783" t="str">
        <f t="shared" si="1110"/>
        <v/>
      </c>
      <c r="CN783" s="118" t="str">
        <f t="shared" si="1111"/>
        <v/>
      </c>
      <c r="CO783" s="118" t="str">
        <f t="shared" si="1112"/>
        <v/>
      </c>
      <c r="CP783" s="118" t="str">
        <f t="shared" si="1113"/>
        <v/>
      </c>
      <c r="CQ783" s="119" t="str">
        <f t="shared" si="1070"/>
        <v/>
      </c>
      <c r="CR783" s="66" t="str">
        <f>+IF($W783="","",ROUND((VLOOKUP(Parámetros!$F$51,'COBERTURAS ADICIONALES'!$S$4:$T$32,2,FALSE)*(1+i/frec)^-0.5*(1+Parámetros!$D$103)*(1+rec_fracc)/frec*$CO$42),2))</f>
        <v/>
      </c>
      <c r="CS783" s="119" t="str">
        <f t="shared" si="1071"/>
        <v/>
      </c>
      <c r="CT783" s="66" t="str">
        <f>+IF($W783="","",ROUND(IF($B783&gt;Parámetros!$D$107,'Tablas Servicio'!CR783+('Tablas Servicio'!CT782-'Tablas Servicio'!CR782),CR783/(1-IF(B783&lt;=10,Parámetros!$D$100,0))),2))</f>
        <v/>
      </c>
      <c r="CU783" s="66" t="str">
        <f t="shared" si="1126"/>
        <v/>
      </c>
      <c r="CV783" s="66" t="str">
        <f t="shared" si="1126"/>
        <v/>
      </c>
      <c r="CW783" s="66" t="str">
        <f>+IF($W783="","",ROUND((CT783*Parámetros!$G$85),2))</f>
        <v/>
      </c>
      <c r="CX783" s="66" t="str">
        <f>+IF($W783="","",ROUND((CT783*(Parámetros!$G$86)),2))</f>
        <v/>
      </c>
      <c r="CY783" s="66" t="str">
        <f t="shared" si="1073"/>
        <v/>
      </c>
      <c r="CZ783" t="str">
        <f t="shared" si="1114"/>
        <v/>
      </c>
      <c r="DA783" s="118" t="str">
        <f t="shared" si="1115"/>
        <v/>
      </c>
      <c r="DB783" s="118" t="str">
        <f t="shared" si="1116"/>
        <v/>
      </c>
      <c r="DC783" s="118" t="str">
        <f t="shared" si="1117"/>
        <v/>
      </c>
      <c r="DD783" s="121" t="str">
        <f>+IF(OR($W783="",DB783=0),"",ROUND((VLOOKUP(ROUNDDOWN($D783-1/frec,0),cob_adi,CO$40,FALSE)*(1+i/frec)^-0.5*(1+Parámetros!$D$103)*(1+rec_fracc)/frec),6))</f>
        <v/>
      </c>
      <c r="DE783" s="66" t="str">
        <f t="shared" si="1074"/>
        <v/>
      </c>
      <c r="DF783" s="119" t="str">
        <f t="shared" si="1075"/>
        <v/>
      </c>
      <c r="DG783" s="66" t="str">
        <f>+IF($W783="","",ROUND(IF($B783&gt;Parámetros!$D$107,'Tablas Servicio'!DE783+('Tablas Servicio'!DG782-'Tablas Servicio'!DE782),DE783/(1-IF(B783&lt;=10,Parámetros!$D$100,0))),2))</f>
        <v/>
      </c>
      <c r="DH783" s="66" t="str">
        <f t="shared" si="1127"/>
        <v/>
      </c>
      <c r="DI783" s="66" t="str">
        <f t="shared" si="1127"/>
        <v/>
      </c>
      <c r="DJ783" s="66" t="str">
        <f>+IF($W783="","",ROUND((DG783*Parámetros!$G$85),2))</f>
        <v/>
      </c>
      <c r="DK783" s="66" t="str">
        <f>+IF($W783="","",ROUND((DG783*(Parámetros!$G$86)),2))</f>
        <v/>
      </c>
      <c r="DL783" s="66" t="str">
        <f t="shared" si="1077"/>
        <v/>
      </c>
      <c r="DM783" t="str">
        <f t="shared" si="1118"/>
        <v/>
      </c>
      <c r="DN783" s="118" t="str">
        <f t="shared" si="1119"/>
        <v/>
      </c>
      <c r="DO783" s="118" t="str">
        <f t="shared" si="1120"/>
        <v/>
      </c>
      <c r="DP783" s="118" t="str">
        <f t="shared" si="1121"/>
        <v/>
      </c>
      <c r="DQ783" s="122" t="str">
        <f>+IF(OR($W783="",DO783=0),"",ROUND((VLOOKUP(ROUNDDOWN($D783-1/frec,0),cob_adi,DB$40,FALSE)*(1+i/frec)^-0.5*(1+Parámetros!$D$103)*(1+rec_fracc)/frec),6))</f>
        <v/>
      </c>
      <c r="DR783" s="66" t="str">
        <f t="shared" si="1078"/>
        <v/>
      </c>
      <c r="DS783" s="68" t="str">
        <f t="shared" si="1079"/>
        <v/>
      </c>
      <c r="DT783" s="66" t="str">
        <f>+IF($W783="","",ROUND(IF($B783&gt;Parámetros!$D$107,'Tablas Servicio'!DR783+('Tablas Servicio'!DT782-'Tablas Servicio'!DR782),DR783/(1-IF(B783&lt;=10,Parámetros!$D$100,0))),2))</f>
        <v/>
      </c>
      <c r="DU783" s="66" t="str">
        <f t="shared" si="1128"/>
        <v/>
      </c>
      <c r="DV783" s="66" t="str">
        <f t="shared" si="1128"/>
        <v/>
      </c>
      <c r="DW783" s="66" t="str">
        <f>+IF($W783="","",ROUND((DT783*Parámetros!$G$85),2))</f>
        <v/>
      </c>
      <c r="DX783" s="66" t="str">
        <f>+IF($W783="","",ROUND((DT783*(Parámetros!$G$86)),2))</f>
        <v/>
      </c>
      <c r="DY783" s="66" t="str">
        <f t="shared" si="1081"/>
        <v/>
      </c>
      <c r="DZ783" t="str">
        <f t="shared" si="1129"/>
        <v/>
      </c>
      <c r="EA783" s="118" t="str">
        <f t="shared" si="1129"/>
        <v/>
      </c>
      <c r="EB783" s="118" t="str">
        <f>+IF($W783="","",ROUND(IF(Parámetros!$D$25='TABLAS MORT'!$V$33,EB782,Z783/2),0))</f>
        <v/>
      </c>
      <c r="EC783" s="118" t="str">
        <f t="shared" si="1129"/>
        <v/>
      </c>
      <c r="ED783" s="122" t="str">
        <f>+IF(OR($W783="",EB783=0),"",ROUND((VLOOKUP(ROUNDDOWN($D783-1/frec,0),cob_adi,DO$40,FALSE)*(1+i/frec)^-0.5*(1+Parámetros!$D$103)*(1+rec_fracc)/frec),6))</f>
        <v/>
      </c>
      <c r="EE783" s="66" t="str">
        <f t="shared" si="1083"/>
        <v/>
      </c>
      <c r="EF783" s="68" t="str">
        <f t="shared" si="1084"/>
        <v/>
      </c>
      <c r="EG783" s="66" t="str">
        <f>+IF($W783="","",ROUND(IF($B783&gt;Parámetros!$D$107,'Tablas Servicio'!EE783+('Tablas Servicio'!EG782-'Tablas Servicio'!EE782),EE783/(1-IF(B783&lt;=10,Parámetros!$D$100,0))),2))</f>
        <v/>
      </c>
      <c r="EH783" s="66" t="str">
        <f t="shared" si="1130"/>
        <v/>
      </c>
      <c r="EI783" s="66" t="str">
        <f t="shared" si="1130"/>
        <v/>
      </c>
      <c r="EJ783" s="66" t="str">
        <f>+IF($W783="","",ROUND((EG783*Parámetros!$G$85),2))</f>
        <v/>
      </c>
      <c r="EK783" s="66" t="str">
        <f>+IF($W783="","",ROUND((EG783*(Parámetros!$G$86)),2))</f>
        <v/>
      </c>
      <c r="EL783" s="66" t="str">
        <f t="shared" si="1086"/>
        <v/>
      </c>
    </row>
    <row r="784" spans="1:142" x14ac:dyDescent="0.25">
      <c r="A784" t="str">
        <f>+IF($C784="","",ROUND(VLOOKUP('Tablas Servicio'!B784,Parámetros!$H$100:$J$159,IF(Parámetros!$E$16="F",2,3),FALSE),2))</f>
        <v/>
      </c>
      <c r="B784" t="str">
        <f t="shared" si="1037"/>
        <v/>
      </c>
      <c r="C784" s="57" t="str">
        <f>+IF(D784="","",'Tablas Servicio'!C783+1)</f>
        <v/>
      </c>
      <c r="D784" s="56" t="str">
        <f>+IF(D783&lt;edadmaxtabla,D783+1/Parámetros!$E$25,"")</f>
        <v/>
      </c>
      <c r="E784" s="57" t="str">
        <f t="shared" si="1047"/>
        <v/>
      </c>
      <c r="F784" s="59" t="str">
        <f t="shared" si="1048"/>
        <v/>
      </c>
      <c r="G784" s="66" t="str">
        <f t="shared" si="1038"/>
        <v/>
      </c>
      <c r="H784" s="66" t="str">
        <f t="shared" si="1039"/>
        <v/>
      </c>
      <c r="I784" s="66" t="str">
        <f t="shared" si="1087"/>
        <v/>
      </c>
      <c r="J784" s="66" t="str">
        <f t="shared" si="1040"/>
        <v/>
      </c>
      <c r="K784" s="66" t="str">
        <f t="shared" si="1041"/>
        <v/>
      </c>
      <c r="L784" s="66" t="str">
        <f t="shared" si="1042"/>
        <v/>
      </c>
      <c r="M784" s="66" t="str">
        <f t="shared" si="1043"/>
        <v/>
      </c>
      <c r="N784" s="66" t="str">
        <f>+IF(C784="","",ROUND(Parámetros!$D$23,2))</f>
        <v/>
      </c>
      <c r="O784" s="66" t="str">
        <f t="shared" si="1044"/>
        <v/>
      </c>
      <c r="P784" s="66" t="str">
        <f>+IF($C784="","",ROUND(IF(B784&gt;Parámetros!$D$117,0,N784*Parámetros!$D$116-G784*Parámetros!$D$100),2))</f>
        <v/>
      </c>
      <c r="Q784" s="75" t="str">
        <f t="shared" si="1088"/>
        <v/>
      </c>
      <c r="R784" s="75" t="str">
        <f t="shared" si="1089"/>
        <v/>
      </c>
      <c r="S784" s="117" t="str">
        <f>+IF($C784="","",ROUND((S783+I784)*(1+Parámetros!$D$91),2))</f>
        <v/>
      </c>
      <c r="T784" s="117" t="str">
        <f>+IF($C784="","",ROUND(S784*VLOOKUP(B784,Parámetros!$C$30:$D$39,2,TRUE),2))</f>
        <v/>
      </c>
      <c r="U784" s="117" t="str">
        <f>+IF($C784="","",ROUND((U783+I784)*(1+Parámetros!$D$92),2))</f>
        <v/>
      </c>
      <c r="V784" s="117" t="str">
        <f>+IF($C784="","",ROUND(U784*VLOOKUP(B784,Parámetros!$C$30:$D$39,2,TRUE),2))</f>
        <v/>
      </c>
      <c r="W784" s="57" t="str">
        <f t="shared" si="1090"/>
        <v/>
      </c>
      <c r="X784" t="str">
        <f t="shared" si="1091"/>
        <v/>
      </c>
      <c r="Y784" t="str">
        <f t="shared" si="1092"/>
        <v/>
      </c>
      <c r="Z784" s="118" t="str">
        <f>+IF($W784="","",ROUND(IF(Parámetros!$D$25='TABLAS MORT'!$V$33,Z783,Parámetros!$D$21-'Tablas Servicio'!T783),0))</f>
        <v/>
      </c>
      <c r="AA784" s="118" t="str">
        <f t="shared" si="1093"/>
        <v/>
      </c>
      <c r="AB784" s="119" t="str">
        <f>+IF(W784="","",ROUND((VLOOKUP(ROUNDDOWN($D784-1/frec,0),qx_tabla,2,FALSE)*(1+i/frec)^-0.5*(1+Parámetros!$D$103)*(1+rec_fracc)/frec),6))</f>
        <v/>
      </c>
      <c r="AC784" s="66" t="str">
        <f t="shared" si="1049"/>
        <v/>
      </c>
      <c r="AD784" s="119" t="str">
        <f t="shared" si="1045"/>
        <v/>
      </c>
      <c r="AE784" s="66" t="str">
        <f>+IF($W784="","",ROUND(IF($B784&gt;Parámetros!$D$107,'Tablas Servicio'!AC784+('Tablas Servicio'!AG783-'Tablas Servicio'!AC783),AC784/(1-IF(B784&lt;=10,Parámetros!$D$104,Parámetros!$D$105))),2))</f>
        <v/>
      </c>
      <c r="AF784" s="66" t="str">
        <f>+IF($W784="","",ROUND(IF($B784&gt;Parámetros!$D$107,'Tablas Servicio'!AC784+('Tablas Servicio'!AG783-'Tablas Servicio'!AC783),(AC784+$A783/frec)/(1-IF(B784&lt;=Parámetros!$D$117,Parámetros!$D$100,0))),2))</f>
        <v/>
      </c>
      <c r="AG784" s="66" t="str">
        <f t="shared" si="1050"/>
        <v/>
      </c>
      <c r="AH784" s="66" t="str">
        <f t="shared" si="1051"/>
        <v/>
      </c>
      <c r="AI784" s="66" t="str">
        <f t="shared" si="1052"/>
        <v/>
      </c>
      <c r="AJ784" s="66" t="str">
        <f>+IF($W784="","",ROUND((AG784*Parámetros!$G$85),2))</f>
        <v/>
      </c>
      <c r="AK784" s="66" t="str">
        <f>+IF($W784="","",ROUND((AG784*(Parámetros!$G$86)),2))</f>
        <v/>
      </c>
      <c r="AL784" s="66" t="str">
        <f t="shared" si="1046"/>
        <v/>
      </c>
      <c r="AM784" t="str">
        <f t="shared" si="1094"/>
        <v/>
      </c>
      <c r="AN784" t="str">
        <f t="shared" si="1095"/>
        <v/>
      </c>
      <c r="AO784" s="118" t="str">
        <f t="shared" si="1096"/>
        <v/>
      </c>
      <c r="AP784" s="118" t="str">
        <f t="shared" si="1097"/>
        <v/>
      </c>
      <c r="AQ784" s="119" t="str">
        <f>+IF(OR($W784="",AO784=0),"",ROUND((VLOOKUP(ROUNDDOWN($D784-1/frec,0),cob_adi,Z$40,FALSE)*(1+i/frec)^-0.5*(1+Parámetros!$D$103)*(1+rec_fracc)/frec),6))</f>
        <v/>
      </c>
      <c r="AR784" s="66" t="str">
        <f t="shared" si="1053"/>
        <v/>
      </c>
      <c r="AS784" s="119" t="str">
        <f t="shared" si="1054"/>
        <v/>
      </c>
      <c r="AT784" s="66" t="str">
        <f>+IF($W784="","",ROUND(IF($B784&gt;Parámetros!$D$107,'Tablas Servicio'!AR784+('Tablas Servicio'!AT783-'Tablas Servicio'!AR783),AR784/(1-IF(B784&lt;=10,Parámetros!$D$100,0))),2))</f>
        <v/>
      </c>
      <c r="AU784" s="66" t="str">
        <f t="shared" si="1123"/>
        <v/>
      </c>
      <c r="AV784" s="66" t="str">
        <f t="shared" si="1123"/>
        <v/>
      </c>
      <c r="AW784" s="66" t="str">
        <f>+IF($W784="","",ROUND((AT784*Parámetros!$G$85),2))</f>
        <v/>
      </c>
      <c r="AX784" s="66" t="str">
        <f>+IF($W784="","",ROUND((AT784*(Parámetros!$G$86)),2))</f>
        <v/>
      </c>
      <c r="AY784" s="66" t="str">
        <f t="shared" si="1056"/>
        <v/>
      </c>
      <c r="AZ784" t="str">
        <f t="shared" si="1098"/>
        <v/>
      </c>
      <c r="BA784" t="str">
        <f t="shared" si="1099"/>
        <v/>
      </c>
      <c r="BB784" s="118" t="str">
        <f t="shared" si="1100"/>
        <v/>
      </c>
      <c r="BC784" s="118" t="str">
        <f t="shared" si="1101"/>
        <v/>
      </c>
      <c r="BD784" s="119" t="str">
        <f>+IF(OR($W784="",BB784=0),"",ROUND((VLOOKUP(ROUNDDOWN($D784-1/frec,0),cob_adi,AO$40,FALSE)*(1+i/frec)^-0.5*(1+Parámetros!$D$103)*(1+rec_fracc)/frec),6))</f>
        <v/>
      </c>
      <c r="BE784" s="66" t="str">
        <f t="shared" si="1057"/>
        <v/>
      </c>
      <c r="BF784" s="119" t="str">
        <f t="shared" si="1058"/>
        <v/>
      </c>
      <c r="BG784" s="66" t="str">
        <f>+IF($W784="","",ROUND(IF($B784&gt;Parámetros!$D$107,'Tablas Servicio'!BE784+('Tablas Servicio'!BG783-'Tablas Servicio'!BE783),BE784/(1-IF(B784&lt;=10,Parámetros!$D$100,0))),2))</f>
        <v/>
      </c>
      <c r="BH784" s="66" t="str">
        <f t="shared" si="1059"/>
        <v/>
      </c>
      <c r="BI784" s="66" t="str">
        <f t="shared" si="1060"/>
        <v/>
      </c>
      <c r="BJ784" s="66" t="str">
        <f>+IF($W784="","",ROUND((BG784*Parámetros!$G$85),2))</f>
        <v/>
      </c>
      <c r="BK784" s="66" t="str">
        <f>+IF($W784="","",ROUND((BG784*(Parámetros!$G$86)),2))</f>
        <v/>
      </c>
      <c r="BL784" s="66" t="str">
        <f t="shared" si="1061"/>
        <v/>
      </c>
      <c r="BM784" t="str">
        <f t="shared" si="1102"/>
        <v/>
      </c>
      <c r="BN784" t="str">
        <f t="shared" si="1103"/>
        <v/>
      </c>
      <c r="BO784" s="118" t="str">
        <f t="shared" si="1104"/>
        <v/>
      </c>
      <c r="BP784" s="118" t="str">
        <f t="shared" si="1105"/>
        <v/>
      </c>
      <c r="BQ784" s="119" t="str">
        <f>+IF(OR($W784="",BO784=0),"",ROUND((VLOOKUP(ROUNDDOWN($D784-1/frec,0),cob_adi,BB$40,FALSE)*(1+i/frec)^-0.5*(1+Parámetros!$D$103)*(1+rec_fracc)/frec),6))</f>
        <v/>
      </c>
      <c r="BR784" s="66" t="str">
        <f t="shared" si="1062"/>
        <v/>
      </c>
      <c r="BS784" s="119" t="str">
        <f t="shared" si="1063"/>
        <v/>
      </c>
      <c r="BT784" s="66" t="str">
        <f>+IF($W784="","",ROUND(IF($B784&gt;Parámetros!$D$107,'Tablas Servicio'!BR784+('Tablas Servicio'!BT783-'Tablas Servicio'!BR783),BR784/(1-IF(B784&lt;=10,Parámetros!$D$100,0))),2))</f>
        <v/>
      </c>
      <c r="BU784" s="66" t="str">
        <f t="shared" si="1124"/>
        <v/>
      </c>
      <c r="BV784" s="66" t="str">
        <f t="shared" si="1124"/>
        <v/>
      </c>
      <c r="BW784" s="66" t="str">
        <f>+IF($W784="","",ROUND((BT784*Parámetros!$G$85),2))</f>
        <v/>
      </c>
      <c r="BX784" s="66" t="str">
        <f>+IF($W784="","",ROUND((BT784*(Parámetros!$G$86)),2))</f>
        <v/>
      </c>
      <c r="BY784" s="66" t="str">
        <f t="shared" si="1065"/>
        <v/>
      </c>
      <c r="BZ784" t="str">
        <f t="shared" si="1106"/>
        <v/>
      </c>
      <c r="CA784" t="str">
        <f t="shared" si="1107"/>
        <v/>
      </c>
      <c r="CB784" s="118" t="str">
        <f t="shared" si="1108"/>
        <v/>
      </c>
      <c r="CC784" s="118" t="str">
        <f t="shared" si="1109"/>
        <v/>
      </c>
      <c r="CD784" s="119" t="str">
        <f t="shared" si="1066"/>
        <v/>
      </c>
      <c r="CE784" s="66" t="str">
        <f>+IF($W784="","",ROUND((VLOOKUP(ROUNDDOWN($D784-1/frec,0),cob_adi,BO$40,FALSE)*(1+i/frec)^-0.5*(1+Parámetros!$D$103)*(1+rec_fracc)/frec*'TABLAS ADI'!$BC$17),2))</f>
        <v/>
      </c>
      <c r="CF784" s="119" t="str">
        <f t="shared" si="1067"/>
        <v/>
      </c>
      <c r="CG784" s="66" t="str">
        <f>+IF($W784="","",ROUND(IF($B784&gt;Parámetros!$D$107,'Tablas Servicio'!CE784+('Tablas Servicio'!CG783-'Tablas Servicio'!CE783),CE784/(1-IF(B784&lt;=10,Parámetros!$D$100,0))),2))</f>
        <v/>
      </c>
      <c r="CH784" s="66" t="str">
        <f t="shared" si="1125"/>
        <v/>
      </c>
      <c r="CI784" s="66" t="str">
        <f t="shared" si="1125"/>
        <v/>
      </c>
      <c r="CJ784" s="66" t="str">
        <f>+IF($W784="","",ROUND((CG784*Parámetros!$G$85),2))</f>
        <v/>
      </c>
      <c r="CK784" s="66" t="str">
        <f>+IF($W784="","",ROUND((CG784*(Parámetros!$G$86)),2))</f>
        <v/>
      </c>
      <c r="CL784" s="66" t="str">
        <f t="shared" si="1069"/>
        <v/>
      </c>
      <c r="CM784" t="str">
        <f t="shared" si="1110"/>
        <v/>
      </c>
      <c r="CN784" s="118" t="str">
        <f t="shared" si="1111"/>
        <v/>
      </c>
      <c r="CO784" s="118" t="str">
        <f t="shared" si="1112"/>
        <v/>
      </c>
      <c r="CP784" s="118" t="str">
        <f t="shared" si="1113"/>
        <v/>
      </c>
      <c r="CQ784" s="119" t="str">
        <f t="shared" si="1070"/>
        <v/>
      </c>
      <c r="CR784" s="66" t="str">
        <f>+IF($W784="","",ROUND((VLOOKUP(Parámetros!$F$51,'COBERTURAS ADICIONALES'!$S$4:$T$32,2,FALSE)*(1+i/frec)^-0.5*(1+Parámetros!$D$103)*(1+rec_fracc)/frec*$CO$42),2))</f>
        <v/>
      </c>
      <c r="CS784" s="119" t="str">
        <f t="shared" si="1071"/>
        <v/>
      </c>
      <c r="CT784" s="66" t="str">
        <f>+IF($W784="","",ROUND(IF($B784&gt;Parámetros!$D$107,'Tablas Servicio'!CR784+('Tablas Servicio'!CT783-'Tablas Servicio'!CR783),CR784/(1-IF(B784&lt;=10,Parámetros!$D$100,0))),2))</f>
        <v/>
      </c>
      <c r="CU784" s="66" t="str">
        <f t="shared" si="1126"/>
        <v/>
      </c>
      <c r="CV784" s="66" t="str">
        <f t="shared" si="1126"/>
        <v/>
      </c>
      <c r="CW784" s="66" t="str">
        <f>+IF($W784="","",ROUND((CT784*Parámetros!$G$85),2))</f>
        <v/>
      </c>
      <c r="CX784" s="66" t="str">
        <f>+IF($W784="","",ROUND((CT784*(Parámetros!$G$86)),2))</f>
        <v/>
      </c>
      <c r="CY784" s="66" t="str">
        <f t="shared" si="1073"/>
        <v/>
      </c>
      <c r="CZ784" t="str">
        <f t="shared" si="1114"/>
        <v/>
      </c>
      <c r="DA784" s="118" t="str">
        <f t="shared" si="1115"/>
        <v/>
      </c>
      <c r="DB784" s="118" t="str">
        <f t="shared" si="1116"/>
        <v/>
      </c>
      <c r="DC784" s="118" t="str">
        <f t="shared" si="1117"/>
        <v/>
      </c>
      <c r="DD784" s="121" t="str">
        <f>+IF(OR($W784="",DB784=0),"",ROUND((VLOOKUP(ROUNDDOWN($D784-1/frec,0),cob_adi,CO$40,FALSE)*(1+i/frec)^-0.5*(1+Parámetros!$D$103)*(1+rec_fracc)/frec),6))</f>
        <v/>
      </c>
      <c r="DE784" s="66" t="str">
        <f t="shared" si="1074"/>
        <v/>
      </c>
      <c r="DF784" s="119" t="str">
        <f t="shared" si="1075"/>
        <v/>
      </c>
      <c r="DG784" s="66" t="str">
        <f>+IF($W784="","",ROUND(IF($B784&gt;Parámetros!$D$107,'Tablas Servicio'!DE784+('Tablas Servicio'!DG783-'Tablas Servicio'!DE783),DE784/(1-IF(B784&lt;=10,Parámetros!$D$100,0))),2))</f>
        <v/>
      </c>
      <c r="DH784" s="66" t="str">
        <f t="shared" si="1127"/>
        <v/>
      </c>
      <c r="DI784" s="66" t="str">
        <f t="shared" si="1127"/>
        <v/>
      </c>
      <c r="DJ784" s="66" t="str">
        <f>+IF($W784="","",ROUND((DG784*Parámetros!$G$85),2))</f>
        <v/>
      </c>
      <c r="DK784" s="66" t="str">
        <f>+IF($W784="","",ROUND((DG784*(Parámetros!$G$86)),2))</f>
        <v/>
      </c>
      <c r="DL784" s="66" t="str">
        <f t="shared" si="1077"/>
        <v/>
      </c>
      <c r="DM784" t="str">
        <f t="shared" si="1118"/>
        <v/>
      </c>
      <c r="DN784" s="118" t="str">
        <f t="shared" si="1119"/>
        <v/>
      </c>
      <c r="DO784" s="118" t="str">
        <f t="shared" si="1120"/>
        <v/>
      </c>
      <c r="DP784" s="118" t="str">
        <f t="shared" si="1121"/>
        <v/>
      </c>
      <c r="DQ784" s="122" t="str">
        <f>+IF(OR($W784="",DO784=0),"",ROUND((VLOOKUP(ROUNDDOWN($D784-1/frec,0),cob_adi,DB$40,FALSE)*(1+i/frec)^-0.5*(1+Parámetros!$D$103)*(1+rec_fracc)/frec),6))</f>
        <v/>
      </c>
      <c r="DR784" s="66" t="str">
        <f t="shared" si="1078"/>
        <v/>
      </c>
      <c r="DS784" s="68" t="str">
        <f t="shared" si="1079"/>
        <v/>
      </c>
      <c r="DT784" s="66" t="str">
        <f>+IF($W784="","",ROUND(IF($B784&gt;Parámetros!$D$107,'Tablas Servicio'!DR784+('Tablas Servicio'!DT783-'Tablas Servicio'!DR783),DR784/(1-IF(B784&lt;=10,Parámetros!$D$100,0))),2))</f>
        <v/>
      </c>
      <c r="DU784" s="66" t="str">
        <f t="shared" si="1128"/>
        <v/>
      </c>
      <c r="DV784" s="66" t="str">
        <f t="shared" si="1128"/>
        <v/>
      </c>
      <c r="DW784" s="66" t="str">
        <f>+IF($W784="","",ROUND((DT784*Parámetros!$G$85),2))</f>
        <v/>
      </c>
      <c r="DX784" s="66" t="str">
        <f>+IF($W784="","",ROUND((DT784*(Parámetros!$G$86)),2))</f>
        <v/>
      </c>
      <c r="DY784" s="66" t="str">
        <f t="shared" si="1081"/>
        <v/>
      </c>
      <c r="DZ784" t="str">
        <f t="shared" si="1129"/>
        <v/>
      </c>
      <c r="EA784" s="118" t="str">
        <f t="shared" si="1129"/>
        <v/>
      </c>
      <c r="EB784" s="118" t="str">
        <f>+IF($W784="","",ROUND(IF(Parámetros!$D$25='TABLAS MORT'!$V$33,EB783,Z784/2),0))</f>
        <v/>
      </c>
      <c r="EC784" s="118" t="str">
        <f t="shared" si="1129"/>
        <v/>
      </c>
      <c r="ED784" s="122" t="str">
        <f>+IF(OR($W784="",EB784=0),"",ROUND((VLOOKUP(ROUNDDOWN($D784-1/frec,0),cob_adi,DO$40,FALSE)*(1+i/frec)^-0.5*(1+Parámetros!$D$103)*(1+rec_fracc)/frec),6))</f>
        <v/>
      </c>
      <c r="EE784" s="66" t="str">
        <f t="shared" si="1083"/>
        <v/>
      </c>
      <c r="EF784" s="68" t="str">
        <f t="shared" si="1084"/>
        <v/>
      </c>
      <c r="EG784" s="66" t="str">
        <f>+IF($W784="","",ROUND(IF($B784&gt;Parámetros!$D$107,'Tablas Servicio'!EE784+('Tablas Servicio'!EG783-'Tablas Servicio'!EE783),EE784/(1-IF(B784&lt;=10,Parámetros!$D$100,0))),2))</f>
        <v/>
      </c>
      <c r="EH784" s="66" t="str">
        <f t="shared" si="1130"/>
        <v/>
      </c>
      <c r="EI784" s="66" t="str">
        <f t="shared" si="1130"/>
        <v/>
      </c>
      <c r="EJ784" s="66" t="str">
        <f>+IF($W784="","",ROUND((EG784*Parámetros!$G$85),2))</f>
        <v/>
      </c>
      <c r="EK784" s="66" t="str">
        <f>+IF($W784="","",ROUND((EG784*(Parámetros!$G$86)),2))</f>
        <v/>
      </c>
      <c r="EL784" s="66" t="str">
        <f t="shared" si="1086"/>
        <v/>
      </c>
    </row>
    <row r="785" spans="1:142" x14ac:dyDescent="0.25">
      <c r="A785" t="str">
        <f>+IF($C785="","",ROUND(VLOOKUP('Tablas Servicio'!B785,Parámetros!$H$100:$J$159,IF(Parámetros!$E$16="F",2,3),FALSE),2))</f>
        <v/>
      </c>
      <c r="B785" t="str">
        <f t="shared" si="1037"/>
        <v/>
      </c>
      <c r="C785" s="57" t="str">
        <f>+IF(D785="","",'Tablas Servicio'!C784+1)</f>
        <v/>
      </c>
      <c r="D785" s="56" t="str">
        <f>+IF(D784&lt;edadmaxtabla,D784+1/Parámetros!$E$25,"")</f>
        <v/>
      </c>
      <c r="E785" s="57" t="str">
        <f t="shared" si="1047"/>
        <v/>
      </c>
      <c r="F785" s="59" t="str">
        <f t="shared" si="1048"/>
        <v/>
      </c>
      <c r="G785" s="66" t="str">
        <f t="shared" si="1038"/>
        <v/>
      </c>
      <c r="H785" s="66" t="str">
        <f t="shared" si="1039"/>
        <v/>
      </c>
      <c r="I785" s="66" t="str">
        <f t="shared" si="1087"/>
        <v/>
      </c>
      <c r="J785" s="66" t="str">
        <f t="shared" si="1040"/>
        <v/>
      </c>
      <c r="K785" s="66" t="str">
        <f t="shared" si="1041"/>
        <v/>
      </c>
      <c r="L785" s="66" t="str">
        <f t="shared" si="1042"/>
        <v/>
      </c>
      <c r="M785" s="66" t="str">
        <f t="shared" si="1043"/>
        <v/>
      </c>
      <c r="N785" s="66" t="str">
        <f>+IF(C785="","",ROUND(Parámetros!$D$23,2))</f>
        <v/>
      </c>
      <c r="O785" s="66" t="str">
        <f t="shared" si="1044"/>
        <v/>
      </c>
      <c r="P785" s="66" t="str">
        <f>+IF($C785="","",ROUND(IF(B785&gt;Parámetros!$D$117,0,N785*Parámetros!$D$116-G785*Parámetros!$D$100),2))</f>
        <v/>
      </c>
      <c r="Q785" s="75" t="str">
        <f t="shared" si="1088"/>
        <v/>
      </c>
      <c r="R785" s="75" t="str">
        <f t="shared" si="1089"/>
        <v/>
      </c>
      <c r="S785" s="117" t="str">
        <f>+IF($C785="","",ROUND((S784+I785)*(1+Parámetros!$D$91),2))</f>
        <v/>
      </c>
      <c r="T785" s="117" t="str">
        <f>+IF($C785="","",ROUND(S785*VLOOKUP(B785,Parámetros!$C$30:$D$39,2,TRUE),2))</f>
        <v/>
      </c>
      <c r="U785" s="117" t="str">
        <f>+IF($C785="","",ROUND((U784+I785)*(1+Parámetros!$D$92),2))</f>
        <v/>
      </c>
      <c r="V785" s="117" t="str">
        <f>+IF($C785="","",ROUND(U785*VLOOKUP(B785,Parámetros!$C$30:$D$39,2,TRUE),2))</f>
        <v/>
      </c>
      <c r="W785" s="57" t="str">
        <f t="shared" si="1090"/>
        <v/>
      </c>
      <c r="X785" t="str">
        <f t="shared" si="1091"/>
        <v/>
      </c>
      <c r="Y785" t="str">
        <f t="shared" si="1092"/>
        <v/>
      </c>
      <c r="Z785" s="118" t="str">
        <f>+IF($W785="","",ROUND(IF(Parámetros!$D$25='TABLAS MORT'!$V$33,Z784,Parámetros!$D$21-'Tablas Servicio'!T784),0))</f>
        <v/>
      </c>
      <c r="AA785" s="118" t="str">
        <f t="shared" si="1093"/>
        <v/>
      </c>
      <c r="AB785" s="119" t="str">
        <f>+IF(W785="","",ROUND((VLOOKUP(ROUNDDOWN($D785-1/frec,0),qx_tabla,2,FALSE)*(1+i/frec)^-0.5*(1+Parámetros!$D$103)*(1+rec_fracc)/frec),6))</f>
        <v/>
      </c>
      <c r="AC785" s="66" t="str">
        <f t="shared" si="1049"/>
        <v/>
      </c>
      <c r="AD785" s="119" t="str">
        <f t="shared" si="1045"/>
        <v/>
      </c>
      <c r="AE785" s="66" t="str">
        <f>+IF($W785="","",ROUND(IF($B785&gt;Parámetros!$D$107,'Tablas Servicio'!AC785+('Tablas Servicio'!AG784-'Tablas Servicio'!AC784),AC785/(1-IF(B785&lt;=10,Parámetros!$D$104,Parámetros!$D$105))),2))</f>
        <v/>
      </c>
      <c r="AF785" s="66" t="str">
        <f>+IF($W785="","",ROUND(IF($B785&gt;Parámetros!$D$107,'Tablas Servicio'!AC785+('Tablas Servicio'!AG784-'Tablas Servicio'!AC784),(AC785+$A784/frec)/(1-IF(B785&lt;=Parámetros!$D$117,Parámetros!$D$100,0))),2))</f>
        <v/>
      </c>
      <c r="AG785" s="66" t="str">
        <f t="shared" si="1050"/>
        <v/>
      </c>
      <c r="AH785" s="66" t="str">
        <f t="shared" si="1051"/>
        <v/>
      </c>
      <c r="AI785" s="66" t="str">
        <f t="shared" si="1052"/>
        <v/>
      </c>
      <c r="AJ785" s="66" t="str">
        <f>+IF($W785="","",ROUND((AG785*Parámetros!$G$85),2))</f>
        <v/>
      </c>
      <c r="AK785" s="66" t="str">
        <f>+IF($W785="","",ROUND((AG785*(Parámetros!$G$86)),2))</f>
        <v/>
      </c>
      <c r="AL785" s="66" t="str">
        <f t="shared" si="1046"/>
        <v/>
      </c>
      <c r="AM785" t="str">
        <f t="shared" si="1094"/>
        <v/>
      </c>
      <c r="AN785" t="str">
        <f t="shared" si="1095"/>
        <v/>
      </c>
      <c r="AO785" s="118" t="str">
        <f t="shared" si="1096"/>
        <v/>
      </c>
      <c r="AP785" s="118" t="str">
        <f t="shared" si="1097"/>
        <v/>
      </c>
      <c r="AQ785" s="119" t="str">
        <f>+IF(OR($W785="",AO785=0),"",ROUND((VLOOKUP(ROUNDDOWN($D785-1/frec,0),cob_adi,Z$40,FALSE)*(1+i/frec)^-0.5*(1+Parámetros!$D$103)*(1+rec_fracc)/frec),6))</f>
        <v/>
      </c>
      <c r="AR785" s="66" t="str">
        <f t="shared" si="1053"/>
        <v/>
      </c>
      <c r="AS785" s="119" t="str">
        <f t="shared" si="1054"/>
        <v/>
      </c>
      <c r="AT785" s="66" t="str">
        <f>+IF($W785="","",ROUND(IF($B785&gt;Parámetros!$D$107,'Tablas Servicio'!AR785+('Tablas Servicio'!AT784-'Tablas Servicio'!AR784),AR785/(1-IF(B785&lt;=10,Parámetros!$D$100,0))),2))</f>
        <v/>
      </c>
      <c r="AU785" s="66" t="str">
        <f t="shared" si="1123"/>
        <v/>
      </c>
      <c r="AV785" s="66" t="str">
        <f t="shared" si="1123"/>
        <v/>
      </c>
      <c r="AW785" s="66" t="str">
        <f>+IF($W785="","",ROUND((AT785*Parámetros!$G$85),2))</f>
        <v/>
      </c>
      <c r="AX785" s="66" t="str">
        <f>+IF($W785="","",ROUND((AT785*(Parámetros!$G$86)),2))</f>
        <v/>
      </c>
      <c r="AY785" s="66" t="str">
        <f t="shared" si="1056"/>
        <v/>
      </c>
      <c r="AZ785" t="str">
        <f t="shared" si="1098"/>
        <v/>
      </c>
      <c r="BA785" t="str">
        <f t="shared" si="1099"/>
        <v/>
      </c>
      <c r="BB785" s="118" t="str">
        <f t="shared" si="1100"/>
        <v/>
      </c>
      <c r="BC785" s="118" t="str">
        <f t="shared" si="1101"/>
        <v/>
      </c>
      <c r="BD785" s="119" t="str">
        <f>+IF(OR($W785="",BB785=0),"",ROUND((VLOOKUP(ROUNDDOWN($D785-1/frec,0),cob_adi,AO$40,FALSE)*(1+i/frec)^-0.5*(1+Parámetros!$D$103)*(1+rec_fracc)/frec),6))</f>
        <v/>
      </c>
      <c r="BE785" s="66" t="str">
        <f t="shared" si="1057"/>
        <v/>
      </c>
      <c r="BF785" s="119" t="str">
        <f t="shared" si="1058"/>
        <v/>
      </c>
      <c r="BG785" s="66" t="str">
        <f>+IF($W785="","",ROUND(IF($B785&gt;Parámetros!$D$107,'Tablas Servicio'!BE785+('Tablas Servicio'!BG784-'Tablas Servicio'!BE784),BE785/(1-IF(B785&lt;=10,Parámetros!$D$100,0))),2))</f>
        <v/>
      </c>
      <c r="BH785" s="66" t="str">
        <f t="shared" si="1059"/>
        <v/>
      </c>
      <c r="BI785" s="66" t="str">
        <f t="shared" si="1060"/>
        <v/>
      </c>
      <c r="BJ785" s="66" t="str">
        <f>+IF($W785="","",ROUND((BG785*Parámetros!$G$85),2))</f>
        <v/>
      </c>
      <c r="BK785" s="66" t="str">
        <f>+IF($W785="","",ROUND((BG785*(Parámetros!$G$86)),2))</f>
        <v/>
      </c>
      <c r="BL785" s="66" t="str">
        <f t="shared" si="1061"/>
        <v/>
      </c>
      <c r="BM785" t="str">
        <f t="shared" si="1102"/>
        <v/>
      </c>
      <c r="BN785" t="str">
        <f t="shared" si="1103"/>
        <v/>
      </c>
      <c r="BO785" s="118" t="str">
        <f t="shared" si="1104"/>
        <v/>
      </c>
      <c r="BP785" s="118" t="str">
        <f t="shared" si="1105"/>
        <v/>
      </c>
      <c r="BQ785" s="119" t="str">
        <f>+IF(OR($W785="",BO785=0),"",ROUND((VLOOKUP(ROUNDDOWN($D785-1/frec,0),cob_adi,BB$40,FALSE)*(1+i/frec)^-0.5*(1+Parámetros!$D$103)*(1+rec_fracc)/frec),6))</f>
        <v/>
      </c>
      <c r="BR785" s="66" t="str">
        <f t="shared" si="1062"/>
        <v/>
      </c>
      <c r="BS785" s="119" t="str">
        <f t="shared" si="1063"/>
        <v/>
      </c>
      <c r="BT785" s="66" t="str">
        <f>+IF($W785="","",ROUND(IF($B785&gt;Parámetros!$D$107,'Tablas Servicio'!BR785+('Tablas Servicio'!BT784-'Tablas Servicio'!BR784),BR785/(1-IF(B785&lt;=10,Parámetros!$D$100,0))),2))</f>
        <v/>
      </c>
      <c r="BU785" s="66" t="str">
        <f t="shared" si="1124"/>
        <v/>
      </c>
      <c r="BV785" s="66" t="str">
        <f t="shared" si="1124"/>
        <v/>
      </c>
      <c r="BW785" s="66" t="str">
        <f>+IF($W785="","",ROUND((BT785*Parámetros!$G$85),2))</f>
        <v/>
      </c>
      <c r="BX785" s="66" t="str">
        <f>+IF($W785="","",ROUND((BT785*(Parámetros!$G$86)),2))</f>
        <v/>
      </c>
      <c r="BY785" s="66" t="str">
        <f t="shared" si="1065"/>
        <v/>
      </c>
      <c r="BZ785" t="str">
        <f t="shared" si="1106"/>
        <v/>
      </c>
      <c r="CA785" t="str">
        <f t="shared" si="1107"/>
        <v/>
      </c>
      <c r="CB785" s="118" t="str">
        <f t="shared" si="1108"/>
        <v/>
      </c>
      <c r="CC785" s="118" t="str">
        <f t="shared" si="1109"/>
        <v/>
      </c>
      <c r="CD785" s="119" t="str">
        <f t="shared" si="1066"/>
        <v/>
      </c>
      <c r="CE785" s="66" t="str">
        <f>+IF($W785="","",ROUND((VLOOKUP(ROUNDDOWN($D785-1/frec,0),cob_adi,BO$40,FALSE)*(1+i/frec)^-0.5*(1+Parámetros!$D$103)*(1+rec_fracc)/frec*'TABLAS ADI'!$BC$17),2))</f>
        <v/>
      </c>
      <c r="CF785" s="119" t="str">
        <f t="shared" si="1067"/>
        <v/>
      </c>
      <c r="CG785" s="66" t="str">
        <f>+IF($W785="","",ROUND(IF($B785&gt;Parámetros!$D$107,'Tablas Servicio'!CE785+('Tablas Servicio'!CG784-'Tablas Servicio'!CE784),CE785/(1-IF(B785&lt;=10,Parámetros!$D$100,0))),2))</f>
        <v/>
      </c>
      <c r="CH785" s="66" t="str">
        <f t="shared" si="1125"/>
        <v/>
      </c>
      <c r="CI785" s="66" t="str">
        <f t="shared" si="1125"/>
        <v/>
      </c>
      <c r="CJ785" s="66" t="str">
        <f>+IF($W785="","",ROUND((CG785*Parámetros!$G$85),2))</f>
        <v/>
      </c>
      <c r="CK785" s="66" t="str">
        <f>+IF($W785="","",ROUND((CG785*(Parámetros!$G$86)),2))</f>
        <v/>
      </c>
      <c r="CL785" s="66" t="str">
        <f t="shared" si="1069"/>
        <v/>
      </c>
      <c r="CM785" t="str">
        <f t="shared" si="1110"/>
        <v/>
      </c>
      <c r="CN785" s="118" t="str">
        <f t="shared" si="1111"/>
        <v/>
      </c>
      <c r="CO785" s="118" t="str">
        <f t="shared" si="1112"/>
        <v/>
      </c>
      <c r="CP785" s="118" t="str">
        <f t="shared" si="1113"/>
        <v/>
      </c>
      <c r="CQ785" s="119" t="str">
        <f t="shared" si="1070"/>
        <v/>
      </c>
      <c r="CR785" s="66" t="str">
        <f>+IF($W785="","",ROUND((VLOOKUP(Parámetros!$F$51,'COBERTURAS ADICIONALES'!$S$4:$T$32,2,FALSE)*(1+i/frec)^-0.5*(1+Parámetros!$D$103)*(1+rec_fracc)/frec*$CO$42),2))</f>
        <v/>
      </c>
      <c r="CS785" s="119" t="str">
        <f t="shared" si="1071"/>
        <v/>
      </c>
      <c r="CT785" s="66" t="str">
        <f>+IF($W785="","",ROUND(IF($B785&gt;Parámetros!$D$107,'Tablas Servicio'!CR785+('Tablas Servicio'!CT784-'Tablas Servicio'!CR784),CR785/(1-IF(B785&lt;=10,Parámetros!$D$100,0))),2))</f>
        <v/>
      </c>
      <c r="CU785" s="66" t="str">
        <f t="shared" si="1126"/>
        <v/>
      </c>
      <c r="CV785" s="66" t="str">
        <f t="shared" si="1126"/>
        <v/>
      </c>
      <c r="CW785" s="66" t="str">
        <f>+IF($W785="","",ROUND((CT785*Parámetros!$G$85),2))</f>
        <v/>
      </c>
      <c r="CX785" s="66" t="str">
        <f>+IF($W785="","",ROUND((CT785*(Parámetros!$G$86)),2))</f>
        <v/>
      </c>
      <c r="CY785" s="66" t="str">
        <f t="shared" si="1073"/>
        <v/>
      </c>
      <c r="CZ785" t="str">
        <f t="shared" si="1114"/>
        <v/>
      </c>
      <c r="DA785" s="118" t="str">
        <f t="shared" si="1115"/>
        <v/>
      </c>
      <c r="DB785" s="118" t="str">
        <f t="shared" si="1116"/>
        <v/>
      </c>
      <c r="DC785" s="118" t="str">
        <f t="shared" si="1117"/>
        <v/>
      </c>
      <c r="DD785" s="121" t="str">
        <f>+IF(OR($W785="",DB785=0),"",ROUND((VLOOKUP(ROUNDDOWN($D785-1/frec,0),cob_adi,CO$40,FALSE)*(1+i/frec)^-0.5*(1+Parámetros!$D$103)*(1+rec_fracc)/frec),6))</f>
        <v/>
      </c>
      <c r="DE785" s="66" t="str">
        <f t="shared" si="1074"/>
        <v/>
      </c>
      <c r="DF785" s="119" t="str">
        <f t="shared" si="1075"/>
        <v/>
      </c>
      <c r="DG785" s="66" t="str">
        <f>+IF($W785="","",ROUND(IF($B785&gt;Parámetros!$D$107,'Tablas Servicio'!DE785+('Tablas Servicio'!DG784-'Tablas Servicio'!DE784),DE785/(1-IF(B785&lt;=10,Parámetros!$D$100,0))),2))</f>
        <v/>
      </c>
      <c r="DH785" s="66" t="str">
        <f t="shared" si="1127"/>
        <v/>
      </c>
      <c r="DI785" s="66" t="str">
        <f t="shared" si="1127"/>
        <v/>
      </c>
      <c r="DJ785" s="66" t="str">
        <f>+IF($W785="","",ROUND((DG785*Parámetros!$G$85),2))</f>
        <v/>
      </c>
      <c r="DK785" s="66" t="str">
        <f>+IF($W785="","",ROUND((DG785*(Parámetros!$G$86)),2))</f>
        <v/>
      </c>
      <c r="DL785" s="66" t="str">
        <f t="shared" si="1077"/>
        <v/>
      </c>
      <c r="DM785" t="str">
        <f t="shared" si="1118"/>
        <v/>
      </c>
      <c r="DN785" s="118" t="str">
        <f t="shared" si="1119"/>
        <v/>
      </c>
      <c r="DO785" s="118" t="str">
        <f t="shared" si="1120"/>
        <v/>
      </c>
      <c r="DP785" s="118" t="str">
        <f t="shared" si="1121"/>
        <v/>
      </c>
      <c r="DQ785" s="122" t="str">
        <f>+IF(OR($W785="",DO785=0),"",ROUND((VLOOKUP(ROUNDDOWN($D785-1/frec,0),cob_adi,DB$40,FALSE)*(1+i/frec)^-0.5*(1+Parámetros!$D$103)*(1+rec_fracc)/frec),6))</f>
        <v/>
      </c>
      <c r="DR785" s="66" t="str">
        <f t="shared" si="1078"/>
        <v/>
      </c>
      <c r="DS785" s="68" t="str">
        <f t="shared" si="1079"/>
        <v/>
      </c>
      <c r="DT785" s="66" t="str">
        <f>+IF($W785="","",ROUND(IF($B785&gt;Parámetros!$D$107,'Tablas Servicio'!DR785+('Tablas Servicio'!DT784-'Tablas Servicio'!DR784),DR785/(1-IF(B785&lt;=10,Parámetros!$D$100,0))),2))</f>
        <v/>
      </c>
      <c r="DU785" s="66" t="str">
        <f t="shared" si="1128"/>
        <v/>
      </c>
      <c r="DV785" s="66" t="str">
        <f t="shared" si="1128"/>
        <v/>
      </c>
      <c r="DW785" s="66" t="str">
        <f>+IF($W785="","",ROUND((DT785*Parámetros!$G$85),2))</f>
        <v/>
      </c>
      <c r="DX785" s="66" t="str">
        <f>+IF($W785="","",ROUND((DT785*(Parámetros!$G$86)),2))</f>
        <v/>
      </c>
      <c r="DY785" s="66" t="str">
        <f t="shared" si="1081"/>
        <v/>
      </c>
      <c r="DZ785" t="str">
        <f t="shared" si="1129"/>
        <v/>
      </c>
      <c r="EA785" s="118" t="str">
        <f t="shared" si="1129"/>
        <v/>
      </c>
      <c r="EB785" s="118" t="str">
        <f>+IF($W785="","",ROUND(IF(Parámetros!$D$25='TABLAS MORT'!$V$33,EB784,Z785/2),0))</f>
        <v/>
      </c>
      <c r="EC785" s="118" t="str">
        <f t="shared" si="1129"/>
        <v/>
      </c>
      <c r="ED785" s="122" t="str">
        <f>+IF(OR($W785="",EB785=0),"",ROUND((VLOOKUP(ROUNDDOWN($D785-1/frec,0),cob_adi,DO$40,FALSE)*(1+i/frec)^-0.5*(1+Parámetros!$D$103)*(1+rec_fracc)/frec),6))</f>
        <v/>
      </c>
      <c r="EE785" s="66" t="str">
        <f t="shared" si="1083"/>
        <v/>
      </c>
      <c r="EF785" s="68" t="str">
        <f t="shared" si="1084"/>
        <v/>
      </c>
      <c r="EG785" s="66" t="str">
        <f>+IF($W785="","",ROUND(IF($B785&gt;Parámetros!$D$107,'Tablas Servicio'!EE785+('Tablas Servicio'!EG784-'Tablas Servicio'!EE784),EE785/(1-IF(B785&lt;=10,Parámetros!$D$100,0))),2))</f>
        <v/>
      </c>
      <c r="EH785" s="66" t="str">
        <f t="shared" si="1130"/>
        <v/>
      </c>
      <c r="EI785" s="66" t="str">
        <f t="shared" si="1130"/>
        <v/>
      </c>
      <c r="EJ785" s="66" t="str">
        <f>+IF($W785="","",ROUND((EG785*Parámetros!$G$85),2))</f>
        <v/>
      </c>
      <c r="EK785" s="66" t="str">
        <f>+IF($W785="","",ROUND((EG785*(Parámetros!$G$86)),2))</f>
        <v/>
      </c>
      <c r="EL785" s="66" t="str">
        <f t="shared" si="1086"/>
        <v/>
      </c>
    </row>
    <row r="786" spans="1:142" x14ac:dyDescent="0.25">
      <c r="A786" t="str">
        <f>+IF($C786="","",ROUND(VLOOKUP('Tablas Servicio'!B786,Parámetros!$H$100:$J$159,IF(Parámetros!$E$16="F",2,3),FALSE),2))</f>
        <v/>
      </c>
      <c r="B786" t="str">
        <f t="shared" si="1037"/>
        <v/>
      </c>
      <c r="C786" s="57" t="str">
        <f>+IF(D786="","",'Tablas Servicio'!C785+1)</f>
        <v/>
      </c>
      <c r="D786" s="56" t="str">
        <f>+IF(D785&lt;edadmaxtabla,D785+1/Parámetros!$E$25,"")</f>
        <v/>
      </c>
      <c r="E786" s="57" t="str">
        <f t="shared" si="1047"/>
        <v/>
      </c>
      <c r="F786" s="59" t="str">
        <f t="shared" si="1048"/>
        <v/>
      </c>
      <c r="G786" s="66" t="str">
        <f t="shared" si="1038"/>
        <v/>
      </c>
      <c r="H786" s="66" t="str">
        <f t="shared" si="1039"/>
        <v/>
      </c>
      <c r="I786" s="66" t="str">
        <f t="shared" si="1087"/>
        <v/>
      </c>
      <c r="J786" s="66" t="str">
        <f t="shared" si="1040"/>
        <v/>
      </c>
      <c r="K786" s="66" t="str">
        <f t="shared" si="1041"/>
        <v/>
      </c>
      <c r="L786" s="66" t="str">
        <f t="shared" si="1042"/>
        <v/>
      </c>
      <c r="M786" s="66" t="str">
        <f t="shared" si="1043"/>
        <v/>
      </c>
      <c r="N786" s="66" t="str">
        <f>+IF(C786="","",ROUND(Parámetros!$D$23,2))</f>
        <v/>
      </c>
      <c r="O786" s="66" t="str">
        <f t="shared" si="1044"/>
        <v/>
      </c>
      <c r="P786" s="66" t="str">
        <f>+IF($C786="","",ROUND(IF(B786&gt;Parámetros!$D$117,0,N786*Parámetros!$D$116-G786*Parámetros!$D$100),2))</f>
        <v/>
      </c>
      <c r="Q786" s="75" t="str">
        <f t="shared" si="1088"/>
        <v/>
      </c>
      <c r="R786" s="75" t="str">
        <f t="shared" si="1089"/>
        <v/>
      </c>
      <c r="S786" s="117" t="str">
        <f>+IF($C786="","",ROUND((S785+I786)*(1+Parámetros!$D$91),2))</f>
        <v/>
      </c>
      <c r="T786" s="117" t="str">
        <f>+IF($C786="","",ROUND(S786*VLOOKUP(B786,Parámetros!$C$30:$D$39,2,TRUE),2))</f>
        <v/>
      </c>
      <c r="U786" s="117" t="str">
        <f>+IF($C786="","",ROUND((U785+I786)*(1+Parámetros!$D$92),2))</f>
        <v/>
      </c>
      <c r="V786" s="117" t="str">
        <f>+IF($C786="","",ROUND(U786*VLOOKUP(B786,Parámetros!$C$30:$D$39,2,TRUE),2))</f>
        <v/>
      </c>
      <c r="W786" s="57" t="str">
        <f t="shared" si="1090"/>
        <v/>
      </c>
      <c r="X786" t="str">
        <f t="shared" si="1091"/>
        <v/>
      </c>
      <c r="Y786" t="str">
        <f t="shared" si="1092"/>
        <v/>
      </c>
      <c r="Z786" s="118" t="str">
        <f>+IF($W786="","",ROUND(IF(Parámetros!$D$25='TABLAS MORT'!$V$33,Z785,Parámetros!$D$21-'Tablas Servicio'!T785),0))</f>
        <v/>
      </c>
      <c r="AA786" s="118" t="str">
        <f t="shared" si="1093"/>
        <v/>
      </c>
      <c r="AB786" s="119" t="str">
        <f>+IF(W786="","",ROUND((VLOOKUP(ROUNDDOWN($D786-1/frec,0),qx_tabla,2,FALSE)*(1+i/frec)^-0.5*(1+Parámetros!$D$103)*(1+rec_fracc)/frec),6))</f>
        <v/>
      </c>
      <c r="AC786" s="66" t="str">
        <f t="shared" si="1049"/>
        <v/>
      </c>
      <c r="AD786" s="119" t="str">
        <f t="shared" si="1045"/>
        <v/>
      </c>
      <c r="AE786" s="66" t="str">
        <f>+IF($W786="","",ROUND(IF($B786&gt;Parámetros!$D$107,'Tablas Servicio'!AC786+('Tablas Servicio'!AG785-'Tablas Servicio'!AC785),AC786/(1-IF(B786&lt;=10,Parámetros!$D$104,Parámetros!$D$105))),2))</f>
        <v/>
      </c>
      <c r="AF786" s="66" t="str">
        <f>+IF($W786="","",ROUND(IF($B786&gt;Parámetros!$D$107,'Tablas Servicio'!AC786+('Tablas Servicio'!AG785-'Tablas Servicio'!AC785),(AC786+$A785/frec)/(1-IF(B786&lt;=Parámetros!$D$117,Parámetros!$D$100,0))),2))</f>
        <v/>
      </c>
      <c r="AG786" s="66" t="str">
        <f t="shared" si="1050"/>
        <v/>
      </c>
      <c r="AH786" s="66" t="str">
        <f t="shared" si="1051"/>
        <v/>
      </c>
      <c r="AI786" s="66" t="str">
        <f t="shared" si="1052"/>
        <v/>
      </c>
      <c r="AJ786" s="66" t="str">
        <f>+IF($W786="","",ROUND((AG786*Parámetros!$G$85),2))</f>
        <v/>
      </c>
      <c r="AK786" s="66" t="str">
        <f>+IF($W786="","",ROUND((AG786*(Parámetros!$G$86)),2))</f>
        <v/>
      </c>
      <c r="AL786" s="66" t="str">
        <f t="shared" si="1046"/>
        <v/>
      </c>
      <c r="AM786" t="str">
        <f t="shared" si="1094"/>
        <v/>
      </c>
      <c r="AN786" t="str">
        <f t="shared" si="1095"/>
        <v/>
      </c>
      <c r="AO786" s="118" t="str">
        <f t="shared" si="1096"/>
        <v/>
      </c>
      <c r="AP786" s="118" t="str">
        <f t="shared" si="1097"/>
        <v/>
      </c>
      <c r="AQ786" s="119" t="str">
        <f>+IF(OR($W786="",AO786=0),"",ROUND((VLOOKUP(ROUNDDOWN($D786-1/frec,0),cob_adi,Z$40,FALSE)*(1+i/frec)^-0.5*(1+Parámetros!$D$103)*(1+rec_fracc)/frec),6))</f>
        <v/>
      </c>
      <c r="AR786" s="66" t="str">
        <f t="shared" si="1053"/>
        <v/>
      </c>
      <c r="AS786" s="119" t="str">
        <f t="shared" si="1054"/>
        <v/>
      </c>
      <c r="AT786" s="66" t="str">
        <f>+IF($W786="","",ROUND(IF($B786&gt;Parámetros!$D$107,'Tablas Servicio'!AR786+('Tablas Servicio'!AT785-'Tablas Servicio'!AR785),AR786/(1-IF(B786&lt;=10,Parámetros!$D$100,0))),2))</f>
        <v/>
      </c>
      <c r="AU786" s="66" t="str">
        <f t="shared" si="1123"/>
        <v/>
      </c>
      <c r="AV786" s="66" t="str">
        <f t="shared" si="1123"/>
        <v/>
      </c>
      <c r="AW786" s="66" t="str">
        <f>+IF($W786="","",ROUND((AT786*Parámetros!$G$85),2))</f>
        <v/>
      </c>
      <c r="AX786" s="66" t="str">
        <f>+IF($W786="","",ROUND((AT786*(Parámetros!$G$86)),2))</f>
        <v/>
      </c>
      <c r="AY786" s="66" t="str">
        <f t="shared" si="1056"/>
        <v/>
      </c>
      <c r="AZ786" t="str">
        <f t="shared" si="1098"/>
        <v/>
      </c>
      <c r="BA786" t="str">
        <f t="shared" si="1099"/>
        <v/>
      </c>
      <c r="BB786" s="118" t="str">
        <f t="shared" si="1100"/>
        <v/>
      </c>
      <c r="BC786" s="118" t="str">
        <f t="shared" si="1101"/>
        <v/>
      </c>
      <c r="BD786" s="119" t="str">
        <f>+IF(OR($W786="",BB786=0),"",ROUND((VLOOKUP(ROUNDDOWN($D786-1/frec,0),cob_adi,AO$40,FALSE)*(1+i/frec)^-0.5*(1+Parámetros!$D$103)*(1+rec_fracc)/frec),6))</f>
        <v/>
      </c>
      <c r="BE786" s="66" t="str">
        <f t="shared" si="1057"/>
        <v/>
      </c>
      <c r="BF786" s="119" t="str">
        <f t="shared" si="1058"/>
        <v/>
      </c>
      <c r="BG786" s="66" t="str">
        <f>+IF($W786="","",ROUND(IF($B786&gt;Parámetros!$D$107,'Tablas Servicio'!BE786+('Tablas Servicio'!BG785-'Tablas Servicio'!BE785),BE786/(1-IF(B786&lt;=10,Parámetros!$D$100,0))),2))</f>
        <v/>
      </c>
      <c r="BH786" s="66" t="str">
        <f t="shared" si="1059"/>
        <v/>
      </c>
      <c r="BI786" s="66" t="str">
        <f t="shared" si="1060"/>
        <v/>
      </c>
      <c r="BJ786" s="66" t="str">
        <f>+IF($W786="","",ROUND((BG786*Parámetros!$G$85),2))</f>
        <v/>
      </c>
      <c r="BK786" s="66" t="str">
        <f>+IF($W786="","",ROUND((BG786*(Parámetros!$G$86)),2))</f>
        <v/>
      </c>
      <c r="BL786" s="66" t="str">
        <f t="shared" si="1061"/>
        <v/>
      </c>
      <c r="BM786" t="str">
        <f t="shared" si="1102"/>
        <v/>
      </c>
      <c r="BN786" t="str">
        <f t="shared" si="1103"/>
        <v/>
      </c>
      <c r="BO786" s="118" t="str">
        <f t="shared" si="1104"/>
        <v/>
      </c>
      <c r="BP786" s="118" t="str">
        <f t="shared" si="1105"/>
        <v/>
      </c>
      <c r="BQ786" s="119" t="str">
        <f>+IF(OR($W786="",BO786=0),"",ROUND((VLOOKUP(ROUNDDOWN($D786-1/frec,0),cob_adi,BB$40,FALSE)*(1+i/frec)^-0.5*(1+Parámetros!$D$103)*(1+rec_fracc)/frec),6))</f>
        <v/>
      </c>
      <c r="BR786" s="66" t="str">
        <f t="shared" si="1062"/>
        <v/>
      </c>
      <c r="BS786" s="119" t="str">
        <f t="shared" si="1063"/>
        <v/>
      </c>
      <c r="BT786" s="66" t="str">
        <f>+IF($W786="","",ROUND(IF($B786&gt;Parámetros!$D$107,'Tablas Servicio'!BR786+('Tablas Servicio'!BT785-'Tablas Servicio'!BR785),BR786/(1-IF(B786&lt;=10,Parámetros!$D$100,0))),2))</f>
        <v/>
      </c>
      <c r="BU786" s="66" t="str">
        <f t="shared" si="1124"/>
        <v/>
      </c>
      <c r="BV786" s="66" t="str">
        <f t="shared" si="1124"/>
        <v/>
      </c>
      <c r="BW786" s="66" t="str">
        <f>+IF($W786="","",ROUND((BT786*Parámetros!$G$85),2))</f>
        <v/>
      </c>
      <c r="BX786" s="66" t="str">
        <f>+IF($W786="","",ROUND((BT786*(Parámetros!$G$86)),2))</f>
        <v/>
      </c>
      <c r="BY786" s="66" t="str">
        <f t="shared" si="1065"/>
        <v/>
      </c>
      <c r="BZ786" t="str">
        <f t="shared" si="1106"/>
        <v/>
      </c>
      <c r="CA786" t="str">
        <f t="shared" si="1107"/>
        <v/>
      </c>
      <c r="CB786" s="118" t="str">
        <f t="shared" si="1108"/>
        <v/>
      </c>
      <c r="CC786" s="118" t="str">
        <f t="shared" si="1109"/>
        <v/>
      </c>
      <c r="CD786" s="119" t="str">
        <f t="shared" si="1066"/>
        <v/>
      </c>
      <c r="CE786" s="66" t="str">
        <f>+IF($W786="","",ROUND((VLOOKUP(ROUNDDOWN($D786-1/frec,0),cob_adi,BO$40,FALSE)*(1+i/frec)^-0.5*(1+Parámetros!$D$103)*(1+rec_fracc)/frec*'TABLAS ADI'!$BC$17),2))</f>
        <v/>
      </c>
      <c r="CF786" s="119" t="str">
        <f t="shared" si="1067"/>
        <v/>
      </c>
      <c r="CG786" s="66" t="str">
        <f>+IF($W786="","",ROUND(IF($B786&gt;Parámetros!$D$107,'Tablas Servicio'!CE786+('Tablas Servicio'!CG785-'Tablas Servicio'!CE785),CE786/(1-IF(B786&lt;=10,Parámetros!$D$100,0))),2))</f>
        <v/>
      </c>
      <c r="CH786" s="66" t="str">
        <f t="shared" si="1125"/>
        <v/>
      </c>
      <c r="CI786" s="66" t="str">
        <f t="shared" si="1125"/>
        <v/>
      </c>
      <c r="CJ786" s="66" t="str">
        <f>+IF($W786="","",ROUND((CG786*Parámetros!$G$85),2))</f>
        <v/>
      </c>
      <c r="CK786" s="66" t="str">
        <f>+IF($W786="","",ROUND((CG786*(Parámetros!$G$86)),2))</f>
        <v/>
      </c>
      <c r="CL786" s="66" t="str">
        <f t="shared" si="1069"/>
        <v/>
      </c>
      <c r="CM786" t="str">
        <f t="shared" si="1110"/>
        <v/>
      </c>
      <c r="CN786" s="118" t="str">
        <f t="shared" si="1111"/>
        <v/>
      </c>
      <c r="CO786" s="118" t="str">
        <f t="shared" si="1112"/>
        <v/>
      </c>
      <c r="CP786" s="118" t="str">
        <f t="shared" si="1113"/>
        <v/>
      </c>
      <c r="CQ786" s="119" t="str">
        <f t="shared" si="1070"/>
        <v/>
      </c>
      <c r="CR786" s="66" t="str">
        <f>+IF($W786="","",ROUND((VLOOKUP(Parámetros!$F$51,'COBERTURAS ADICIONALES'!$S$4:$T$32,2,FALSE)*(1+i/frec)^-0.5*(1+Parámetros!$D$103)*(1+rec_fracc)/frec*$CO$42),2))</f>
        <v/>
      </c>
      <c r="CS786" s="119" t="str">
        <f t="shared" si="1071"/>
        <v/>
      </c>
      <c r="CT786" s="66" t="str">
        <f>+IF($W786="","",ROUND(IF($B786&gt;Parámetros!$D$107,'Tablas Servicio'!CR786+('Tablas Servicio'!CT785-'Tablas Servicio'!CR785),CR786/(1-IF(B786&lt;=10,Parámetros!$D$100,0))),2))</f>
        <v/>
      </c>
      <c r="CU786" s="66" t="str">
        <f t="shared" si="1126"/>
        <v/>
      </c>
      <c r="CV786" s="66" t="str">
        <f t="shared" si="1126"/>
        <v/>
      </c>
      <c r="CW786" s="66" t="str">
        <f>+IF($W786="","",ROUND((CT786*Parámetros!$G$85),2))</f>
        <v/>
      </c>
      <c r="CX786" s="66" t="str">
        <f>+IF($W786="","",ROUND((CT786*(Parámetros!$G$86)),2))</f>
        <v/>
      </c>
      <c r="CY786" s="66" t="str">
        <f t="shared" si="1073"/>
        <v/>
      </c>
      <c r="CZ786" t="str">
        <f t="shared" si="1114"/>
        <v/>
      </c>
      <c r="DA786" s="118" t="str">
        <f t="shared" si="1115"/>
        <v/>
      </c>
      <c r="DB786" s="118" t="str">
        <f t="shared" si="1116"/>
        <v/>
      </c>
      <c r="DC786" s="118" t="str">
        <f t="shared" si="1117"/>
        <v/>
      </c>
      <c r="DD786" s="121" t="str">
        <f>+IF(OR($W786="",DB786=0),"",ROUND((VLOOKUP(ROUNDDOWN($D786-1/frec,0),cob_adi,CO$40,FALSE)*(1+i/frec)^-0.5*(1+Parámetros!$D$103)*(1+rec_fracc)/frec),6))</f>
        <v/>
      </c>
      <c r="DE786" s="66" t="str">
        <f t="shared" si="1074"/>
        <v/>
      </c>
      <c r="DF786" s="119" t="str">
        <f t="shared" si="1075"/>
        <v/>
      </c>
      <c r="DG786" s="66" t="str">
        <f>+IF($W786="","",ROUND(IF($B786&gt;Parámetros!$D$107,'Tablas Servicio'!DE786+('Tablas Servicio'!DG785-'Tablas Servicio'!DE785),DE786/(1-IF(B786&lt;=10,Parámetros!$D$100,0))),2))</f>
        <v/>
      </c>
      <c r="DH786" s="66" t="str">
        <f t="shared" si="1127"/>
        <v/>
      </c>
      <c r="DI786" s="66" t="str">
        <f t="shared" si="1127"/>
        <v/>
      </c>
      <c r="DJ786" s="66" t="str">
        <f>+IF($W786="","",ROUND((DG786*Parámetros!$G$85),2))</f>
        <v/>
      </c>
      <c r="DK786" s="66" t="str">
        <f>+IF($W786="","",ROUND((DG786*(Parámetros!$G$86)),2))</f>
        <v/>
      </c>
      <c r="DL786" s="66" t="str">
        <f t="shared" si="1077"/>
        <v/>
      </c>
      <c r="DM786" t="str">
        <f t="shared" si="1118"/>
        <v/>
      </c>
      <c r="DN786" s="118" t="str">
        <f t="shared" si="1119"/>
        <v/>
      </c>
      <c r="DO786" s="118" t="str">
        <f t="shared" si="1120"/>
        <v/>
      </c>
      <c r="DP786" s="118" t="str">
        <f t="shared" si="1121"/>
        <v/>
      </c>
      <c r="DQ786" s="122" t="str">
        <f>+IF(OR($W786="",DO786=0),"",ROUND((VLOOKUP(ROUNDDOWN($D786-1/frec,0),cob_adi,DB$40,FALSE)*(1+i/frec)^-0.5*(1+Parámetros!$D$103)*(1+rec_fracc)/frec),6))</f>
        <v/>
      </c>
      <c r="DR786" s="66" t="str">
        <f t="shared" si="1078"/>
        <v/>
      </c>
      <c r="DS786" s="68" t="str">
        <f t="shared" si="1079"/>
        <v/>
      </c>
      <c r="DT786" s="66" t="str">
        <f>+IF($W786="","",ROUND(IF($B786&gt;Parámetros!$D$107,'Tablas Servicio'!DR786+('Tablas Servicio'!DT785-'Tablas Servicio'!DR785),DR786/(1-IF(B786&lt;=10,Parámetros!$D$100,0))),2))</f>
        <v/>
      </c>
      <c r="DU786" s="66" t="str">
        <f t="shared" si="1128"/>
        <v/>
      </c>
      <c r="DV786" s="66" t="str">
        <f t="shared" si="1128"/>
        <v/>
      </c>
      <c r="DW786" s="66" t="str">
        <f>+IF($W786="","",ROUND((DT786*Parámetros!$G$85),2))</f>
        <v/>
      </c>
      <c r="DX786" s="66" t="str">
        <f>+IF($W786="","",ROUND((DT786*(Parámetros!$G$86)),2))</f>
        <v/>
      </c>
      <c r="DY786" s="66" t="str">
        <f t="shared" si="1081"/>
        <v/>
      </c>
      <c r="DZ786" t="str">
        <f t="shared" si="1129"/>
        <v/>
      </c>
      <c r="EA786" s="118" t="str">
        <f t="shared" si="1129"/>
        <v/>
      </c>
      <c r="EB786" s="118" t="str">
        <f>+IF($W786="","",ROUND(IF(Parámetros!$D$25='TABLAS MORT'!$V$33,EB785,Z786/2),0))</f>
        <v/>
      </c>
      <c r="EC786" s="118" t="str">
        <f t="shared" si="1129"/>
        <v/>
      </c>
      <c r="ED786" s="122" t="str">
        <f>+IF(OR($W786="",EB786=0),"",ROUND((VLOOKUP(ROUNDDOWN($D786-1/frec,0),cob_adi,DO$40,FALSE)*(1+i/frec)^-0.5*(1+Parámetros!$D$103)*(1+rec_fracc)/frec),6))</f>
        <v/>
      </c>
      <c r="EE786" s="66" t="str">
        <f t="shared" si="1083"/>
        <v/>
      </c>
      <c r="EF786" s="68" t="str">
        <f t="shared" si="1084"/>
        <v/>
      </c>
      <c r="EG786" s="66" t="str">
        <f>+IF($W786="","",ROUND(IF($B786&gt;Parámetros!$D$107,'Tablas Servicio'!EE786+('Tablas Servicio'!EG785-'Tablas Servicio'!EE785),EE786/(1-IF(B786&lt;=10,Parámetros!$D$100,0))),2))</f>
        <v/>
      </c>
      <c r="EH786" s="66" t="str">
        <f t="shared" si="1130"/>
        <v/>
      </c>
      <c r="EI786" s="66" t="str">
        <f t="shared" si="1130"/>
        <v/>
      </c>
      <c r="EJ786" s="66" t="str">
        <f>+IF($W786="","",ROUND((EG786*Parámetros!$G$85),2))</f>
        <v/>
      </c>
      <c r="EK786" s="66" t="str">
        <f>+IF($W786="","",ROUND((EG786*(Parámetros!$G$86)),2))</f>
        <v/>
      </c>
      <c r="EL786" s="66" t="str">
        <f t="shared" si="1086"/>
        <v/>
      </c>
    </row>
    <row r="787" spans="1:142" x14ac:dyDescent="0.25">
      <c r="A787" t="str">
        <f>+IF($C787="","",ROUND(VLOOKUP('Tablas Servicio'!B787,Parámetros!$H$100:$J$159,IF(Parámetros!$E$16="F",2,3),FALSE),2))</f>
        <v/>
      </c>
      <c r="B787" t="str">
        <f t="shared" si="1037"/>
        <v/>
      </c>
      <c r="C787" s="57" t="str">
        <f>+IF(D787="","",'Tablas Servicio'!C786+1)</f>
        <v/>
      </c>
      <c r="D787" s="56" t="str">
        <f>+IF(D786&lt;edadmaxtabla,D786+1/Parámetros!$E$25,"")</f>
        <v/>
      </c>
      <c r="E787" s="57" t="str">
        <f t="shared" si="1047"/>
        <v/>
      </c>
      <c r="F787" s="59" t="str">
        <f t="shared" si="1048"/>
        <v/>
      </c>
      <c r="G787" s="66" t="str">
        <f t="shared" si="1038"/>
        <v/>
      </c>
      <c r="H787" s="66" t="str">
        <f t="shared" si="1039"/>
        <v/>
      </c>
      <c r="I787" s="66" t="str">
        <f t="shared" si="1087"/>
        <v/>
      </c>
      <c r="J787" s="66" t="str">
        <f t="shared" si="1040"/>
        <v/>
      </c>
      <c r="K787" s="66" t="str">
        <f t="shared" si="1041"/>
        <v/>
      </c>
      <c r="L787" s="66" t="str">
        <f t="shared" si="1042"/>
        <v/>
      </c>
      <c r="M787" s="66" t="str">
        <f t="shared" si="1043"/>
        <v/>
      </c>
      <c r="N787" s="66" t="str">
        <f>+IF(C787="","",ROUND(Parámetros!$D$23,2))</f>
        <v/>
      </c>
      <c r="O787" s="66" t="str">
        <f t="shared" si="1044"/>
        <v/>
      </c>
      <c r="P787" s="66" t="str">
        <f>+IF($C787="","",ROUND(IF(B787&gt;Parámetros!$D$117,0,N787*Parámetros!$D$116-G787*Parámetros!$D$100),2))</f>
        <v/>
      </c>
      <c r="Q787" s="75" t="str">
        <f t="shared" si="1088"/>
        <v/>
      </c>
      <c r="R787" s="75" t="str">
        <f t="shared" si="1089"/>
        <v/>
      </c>
      <c r="S787" s="117" t="str">
        <f>+IF($C787="","",ROUND((S786+I787)*(1+Parámetros!$D$91),2))</f>
        <v/>
      </c>
      <c r="T787" s="117" t="str">
        <f>+IF($C787="","",ROUND(S787*VLOOKUP(B787,Parámetros!$C$30:$D$39,2,TRUE),2))</f>
        <v/>
      </c>
      <c r="U787" s="117" t="str">
        <f>+IF($C787="","",ROUND((U786+I787)*(1+Parámetros!$D$92),2))</f>
        <v/>
      </c>
      <c r="V787" s="117" t="str">
        <f>+IF($C787="","",ROUND(U787*VLOOKUP(B787,Parámetros!$C$30:$D$39,2,TRUE),2))</f>
        <v/>
      </c>
      <c r="W787" s="57" t="str">
        <f t="shared" si="1090"/>
        <v/>
      </c>
      <c r="X787" t="str">
        <f t="shared" si="1091"/>
        <v/>
      </c>
      <c r="Y787" t="str">
        <f t="shared" si="1092"/>
        <v/>
      </c>
      <c r="Z787" s="118" t="str">
        <f>+IF($W787="","",ROUND(IF(Parámetros!$D$25='TABLAS MORT'!$V$33,Z786,Parámetros!$D$21-'Tablas Servicio'!T786),0))</f>
        <v/>
      </c>
      <c r="AA787" s="118" t="str">
        <f t="shared" si="1093"/>
        <v/>
      </c>
      <c r="AB787" s="119" t="str">
        <f>+IF(W787="","",ROUND((VLOOKUP(ROUNDDOWN($D787-1/frec,0),qx_tabla,2,FALSE)*(1+i/frec)^-0.5*(1+Parámetros!$D$103)*(1+rec_fracc)/frec),6))</f>
        <v/>
      </c>
      <c r="AC787" s="66" t="str">
        <f t="shared" si="1049"/>
        <v/>
      </c>
      <c r="AD787" s="119" t="str">
        <f t="shared" si="1045"/>
        <v/>
      </c>
      <c r="AE787" s="66" t="str">
        <f>+IF($W787="","",ROUND(IF($B787&gt;Parámetros!$D$107,'Tablas Servicio'!AC787+('Tablas Servicio'!AG786-'Tablas Servicio'!AC786),AC787/(1-IF(B787&lt;=10,Parámetros!$D$104,Parámetros!$D$105))),2))</f>
        <v/>
      </c>
      <c r="AF787" s="66" t="str">
        <f>+IF($W787="","",ROUND(IF($B787&gt;Parámetros!$D$107,'Tablas Servicio'!AC787+('Tablas Servicio'!AG786-'Tablas Servicio'!AC786),(AC787+$A786/frec)/(1-IF(B787&lt;=Parámetros!$D$117,Parámetros!$D$100,0))),2))</f>
        <v/>
      </c>
      <c r="AG787" s="66" t="str">
        <f t="shared" si="1050"/>
        <v/>
      </c>
      <c r="AH787" s="66" t="str">
        <f t="shared" si="1051"/>
        <v/>
      </c>
      <c r="AI787" s="66" t="str">
        <f t="shared" si="1052"/>
        <v/>
      </c>
      <c r="AJ787" s="66" t="str">
        <f>+IF($W787="","",ROUND((AG787*Parámetros!$G$85),2))</f>
        <v/>
      </c>
      <c r="AK787" s="66" t="str">
        <f>+IF($W787="","",ROUND((AG787*(Parámetros!$G$86)),2))</f>
        <v/>
      </c>
      <c r="AL787" s="66" t="str">
        <f t="shared" si="1046"/>
        <v/>
      </c>
      <c r="AM787" t="str">
        <f t="shared" si="1094"/>
        <v/>
      </c>
      <c r="AN787" t="str">
        <f t="shared" si="1095"/>
        <v/>
      </c>
      <c r="AO787" s="118" t="str">
        <f t="shared" si="1096"/>
        <v/>
      </c>
      <c r="AP787" s="118" t="str">
        <f t="shared" si="1097"/>
        <v/>
      </c>
      <c r="AQ787" s="119" t="str">
        <f>+IF(OR($W787="",AO787=0),"",ROUND((VLOOKUP(ROUNDDOWN($D787-1/frec,0),cob_adi,Z$40,FALSE)*(1+i/frec)^-0.5*(1+Parámetros!$D$103)*(1+rec_fracc)/frec),6))</f>
        <v/>
      </c>
      <c r="AR787" s="66" t="str">
        <f t="shared" si="1053"/>
        <v/>
      </c>
      <c r="AS787" s="119" t="str">
        <f t="shared" si="1054"/>
        <v/>
      </c>
      <c r="AT787" s="66" t="str">
        <f>+IF($W787="","",ROUND(IF($B787&gt;Parámetros!$D$107,'Tablas Servicio'!AR787+('Tablas Servicio'!AT786-'Tablas Servicio'!AR786),AR787/(1-IF(B787&lt;=10,Parámetros!$D$100,0))),2))</f>
        <v/>
      </c>
      <c r="AU787" s="66" t="str">
        <f t="shared" si="1123"/>
        <v/>
      </c>
      <c r="AV787" s="66" t="str">
        <f t="shared" si="1123"/>
        <v/>
      </c>
      <c r="AW787" s="66" t="str">
        <f>+IF($W787="","",ROUND((AT787*Parámetros!$G$85),2))</f>
        <v/>
      </c>
      <c r="AX787" s="66" t="str">
        <f>+IF($W787="","",ROUND((AT787*(Parámetros!$G$86)),2))</f>
        <v/>
      </c>
      <c r="AY787" s="66" t="str">
        <f t="shared" si="1056"/>
        <v/>
      </c>
      <c r="AZ787" t="str">
        <f t="shared" si="1098"/>
        <v/>
      </c>
      <c r="BA787" t="str">
        <f t="shared" si="1099"/>
        <v/>
      </c>
      <c r="BB787" s="118" t="str">
        <f t="shared" si="1100"/>
        <v/>
      </c>
      <c r="BC787" s="118" t="str">
        <f t="shared" si="1101"/>
        <v/>
      </c>
      <c r="BD787" s="119" t="str">
        <f>+IF(OR($W787="",BB787=0),"",ROUND((VLOOKUP(ROUNDDOWN($D787-1/frec,0),cob_adi,AO$40,FALSE)*(1+i/frec)^-0.5*(1+Parámetros!$D$103)*(1+rec_fracc)/frec),6))</f>
        <v/>
      </c>
      <c r="BE787" s="66" t="str">
        <f t="shared" si="1057"/>
        <v/>
      </c>
      <c r="BF787" s="119" t="str">
        <f t="shared" si="1058"/>
        <v/>
      </c>
      <c r="BG787" s="66" t="str">
        <f>+IF($W787="","",ROUND(IF($B787&gt;Parámetros!$D$107,'Tablas Servicio'!BE787+('Tablas Servicio'!BG786-'Tablas Servicio'!BE786),BE787/(1-IF(B787&lt;=10,Parámetros!$D$100,0))),2))</f>
        <v/>
      </c>
      <c r="BH787" s="66" t="str">
        <f t="shared" si="1059"/>
        <v/>
      </c>
      <c r="BI787" s="66" t="str">
        <f t="shared" si="1060"/>
        <v/>
      </c>
      <c r="BJ787" s="66" t="str">
        <f>+IF($W787="","",ROUND((BG787*Parámetros!$G$85),2))</f>
        <v/>
      </c>
      <c r="BK787" s="66" t="str">
        <f>+IF($W787="","",ROUND((BG787*(Parámetros!$G$86)),2))</f>
        <v/>
      </c>
      <c r="BL787" s="66" t="str">
        <f t="shared" si="1061"/>
        <v/>
      </c>
      <c r="BM787" t="str">
        <f t="shared" si="1102"/>
        <v/>
      </c>
      <c r="BN787" t="str">
        <f t="shared" si="1103"/>
        <v/>
      </c>
      <c r="BO787" s="118" t="str">
        <f t="shared" si="1104"/>
        <v/>
      </c>
      <c r="BP787" s="118" t="str">
        <f t="shared" si="1105"/>
        <v/>
      </c>
      <c r="BQ787" s="119" t="str">
        <f>+IF(OR($W787="",BO787=0),"",ROUND((VLOOKUP(ROUNDDOWN($D787-1/frec,0),cob_adi,BB$40,FALSE)*(1+i/frec)^-0.5*(1+Parámetros!$D$103)*(1+rec_fracc)/frec),6))</f>
        <v/>
      </c>
      <c r="BR787" s="66" t="str">
        <f t="shared" si="1062"/>
        <v/>
      </c>
      <c r="BS787" s="119" t="str">
        <f t="shared" si="1063"/>
        <v/>
      </c>
      <c r="BT787" s="66" t="str">
        <f>+IF($W787="","",ROUND(IF($B787&gt;Parámetros!$D$107,'Tablas Servicio'!BR787+('Tablas Servicio'!BT786-'Tablas Servicio'!BR786),BR787/(1-IF(B787&lt;=10,Parámetros!$D$100,0))),2))</f>
        <v/>
      </c>
      <c r="BU787" s="66" t="str">
        <f t="shared" si="1124"/>
        <v/>
      </c>
      <c r="BV787" s="66" t="str">
        <f t="shared" si="1124"/>
        <v/>
      </c>
      <c r="BW787" s="66" t="str">
        <f>+IF($W787="","",ROUND((BT787*Parámetros!$G$85),2))</f>
        <v/>
      </c>
      <c r="BX787" s="66" t="str">
        <f>+IF($W787="","",ROUND((BT787*(Parámetros!$G$86)),2))</f>
        <v/>
      </c>
      <c r="BY787" s="66" t="str">
        <f t="shared" si="1065"/>
        <v/>
      </c>
      <c r="BZ787" t="str">
        <f t="shared" si="1106"/>
        <v/>
      </c>
      <c r="CA787" t="str">
        <f t="shared" si="1107"/>
        <v/>
      </c>
      <c r="CB787" s="118" t="str">
        <f t="shared" si="1108"/>
        <v/>
      </c>
      <c r="CC787" s="118" t="str">
        <f t="shared" si="1109"/>
        <v/>
      </c>
      <c r="CD787" s="119" t="str">
        <f t="shared" si="1066"/>
        <v/>
      </c>
      <c r="CE787" s="66" t="str">
        <f>+IF($W787="","",ROUND((VLOOKUP(ROUNDDOWN($D787-1/frec,0),cob_adi,BO$40,FALSE)*(1+i/frec)^-0.5*(1+Parámetros!$D$103)*(1+rec_fracc)/frec*'TABLAS ADI'!$BC$17),2))</f>
        <v/>
      </c>
      <c r="CF787" s="119" t="str">
        <f t="shared" si="1067"/>
        <v/>
      </c>
      <c r="CG787" s="66" t="str">
        <f>+IF($W787="","",ROUND(IF($B787&gt;Parámetros!$D$107,'Tablas Servicio'!CE787+('Tablas Servicio'!CG786-'Tablas Servicio'!CE786),CE787/(1-IF(B787&lt;=10,Parámetros!$D$100,0))),2))</f>
        <v/>
      </c>
      <c r="CH787" s="66" t="str">
        <f t="shared" si="1125"/>
        <v/>
      </c>
      <c r="CI787" s="66" t="str">
        <f t="shared" si="1125"/>
        <v/>
      </c>
      <c r="CJ787" s="66" t="str">
        <f>+IF($W787="","",ROUND((CG787*Parámetros!$G$85),2))</f>
        <v/>
      </c>
      <c r="CK787" s="66" t="str">
        <f>+IF($W787="","",ROUND((CG787*(Parámetros!$G$86)),2))</f>
        <v/>
      </c>
      <c r="CL787" s="66" t="str">
        <f t="shared" si="1069"/>
        <v/>
      </c>
      <c r="CM787" t="str">
        <f t="shared" si="1110"/>
        <v/>
      </c>
      <c r="CN787" s="118" t="str">
        <f t="shared" si="1111"/>
        <v/>
      </c>
      <c r="CO787" s="118" t="str">
        <f t="shared" si="1112"/>
        <v/>
      </c>
      <c r="CP787" s="118" t="str">
        <f t="shared" si="1113"/>
        <v/>
      </c>
      <c r="CQ787" s="119" t="str">
        <f t="shared" si="1070"/>
        <v/>
      </c>
      <c r="CR787" s="66" t="str">
        <f>+IF($W787="","",ROUND((VLOOKUP(Parámetros!$F$51,'COBERTURAS ADICIONALES'!$S$4:$T$32,2,FALSE)*(1+i/frec)^-0.5*(1+Parámetros!$D$103)*(1+rec_fracc)/frec*$CO$42),2))</f>
        <v/>
      </c>
      <c r="CS787" s="119" t="str">
        <f t="shared" si="1071"/>
        <v/>
      </c>
      <c r="CT787" s="66" t="str">
        <f>+IF($W787="","",ROUND(IF($B787&gt;Parámetros!$D$107,'Tablas Servicio'!CR787+('Tablas Servicio'!CT786-'Tablas Servicio'!CR786),CR787/(1-IF(B787&lt;=10,Parámetros!$D$100,0))),2))</f>
        <v/>
      </c>
      <c r="CU787" s="66" t="str">
        <f t="shared" si="1126"/>
        <v/>
      </c>
      <c r="CV787" s="66" t="str">
        <f t="shared" si="1126"/>
        <v/>
      </c>
      <c r="CW787" s="66" t="str">
        <f>+IF($W787="","",ROUND((CT787*Parámetros!$G$85),2))</f>
        <v/>
      </c>
      <c r="CX787" s="66" t="str">
        <f>+IF($W787="","",ROUND((CT787*(Parámetros!$G$86)),2))</f>
        <v/>
      </c>
      <c r="CY787" s="66" t="str">
        <f t="shared" si="1073"/>
        <v/>
      </c>
      <c r="CZ787" t="str">
        <f t="shared" si="1114"/>
        <v/>
      </c>
      <c r="DA787" s="118" t="str">
        <f t="shared" si="1115"/>
        <v/>
      </c>
      <c r="DB787" s="118" t="str">
        <f t="shared" si="1116"/>
        <v/>
      </c>
      <c r="DC787" s="118" t="str">
        <f t="shared" si="1117"/>
        <v/>
      </c>
      <c r="DD787" s="121" t="str">
        <f>+IF(OR($W787="",DB787=0),"",ROUND((VLOOKUP(ROUNDDOWN($D787-1/frec,0),cob_adi,CO$40,FALSE)*(1+i/frec)^-0.5*(1+Parámetros!$D$103)*(1+rec_fracc)/frec),6))</f>
        <v/>
      </c>
      <c r="DE787" s="66" t="str">
        <f t="shared" si="1074"/>
        <v/>
      </c>
      <c r="DF787" s="119" t="str">
        <f t="shared" si="1075"/>
        <v/>
      </c>
      <c r="DG787" s="66" t="str">
        <f>+IF($W787="","",ROUND(IF($B787&gt;Parámetros!$D$107,'Tablas Servicio'!DE787+('Tablas Servicio'!DG786-'Tablas Servicio'!DE786),DE787/(1-IF(B787&lt;=10,Parámetros!$D$100,0))),2))</f>
        <v/>
      </c>
      <c r="DH787" s="66" t="str">
        <f t="shared" si="1127"/>
        <v/>
      </c>
      <c r="DI787" s="66" t="str">
        <f t="shared" si="1127"/>
        <v/>
      </c>
      <c r="DJ787" s="66" t="str">
        <f>+IF($W787="","",ROUND((DG787*Parámetros!$G$85),2))</f>
        <v/>
      </c>
      <c r="DK787" s="66" t="str">
        <f>+IF($W787="","",ROUND((DG787*(Parámetros!$G$86)),2))</f>
        <v/>
      </c>
      <c r="DL787" s="66" t="str">
        <f t="shared" si="1077"/>
        <v/>
      </c>
      <c r="DM787" t="str">
        <f t="shared" si="1118"/>
        <v/>
      </c>
      <c r="DN787" s="118" t="str">
        <f t="shared" si="1119"/>
        <v/>
      </c>
      <c r="DO787" s="118" t="str">
        <f t="shared" si="1120"/>
        <v/>
      </c>
      <c r="DP787" s="118" t="str">
        <f t="shared" si="1121"/>
        <v/>
      </c>
      <c r="DQ787" s="122" t="str">
        <f>+IF(OR($W787="",DO787=0),"",ROUND((VLOOKUP(ROUNDDOWN($D787-1/frec,0),cob_adi,DB$40,FALSE)*(1+i/frec)^-0.5*(1+Parámetros!$D$103)*(1+rec_fracc)/frec),6))</f>
        <v/>
      </c>
      <c r="DR787" s="66" t="str">
        <f t="shared" si="1078"/>
        <v/>
      </c>
      <c r="DS787" s="68" t="str">
        <f t="shared" si="1079"/>
        <v/>
      </c>
      <c r="DT787" s="66" t="str">
        <f>+IF($W787="","",ROUND(IF($B787&gt;Parámetros!$D$107,'Tablas Servicio'!DR787+('Tablas Servicio'!DT786-'Tablas Servicio'!DR786),DR787/(1-IF(B787&lt;=10,Parámetros!$D$100,0))),2))</f>
        <v/>
      </c>
      <c r="DU787" s="66" t="str">
        <f t="shared" si="1128"/>
        <v/>
      </c>
      <c r="DV787" s="66" t="str">
        <f t="shared" si="1128"/>
        <v/>
      </c>
      <c r="DW787" s="66" t="str">
        <f>+IF($W787="","",ROUND((DT787*Parámetros!$G$85),2))</f>
        <v/>
      </c>
      <c r="DX787" s="66" t="str">
        <f>+IF($W787="","",ROUND((DT787*(Parámetros!$G$86)),2))</f>
        <v/>
      </c>
      <c r="DY787" s="66" t="str">
        <f t="shared" si="1081"/>
        <v/>
      </c>
      <c r="DZ787" t="str">
        <f t="shared" si="1129"/>
        <v/>
      </c>
      <c r="EA787" s="118" t="str">
        <f t="shared" si="1129"/>
        <v/>
      </c>
      <c r="EB787" s="118" t="str">
        <f>+IF($W787="","",ROUND(IF(Parámetros!$D$25='TABLAS MORT'!$V$33,EB786,Z787/2),0))</f>
        <v/>
      </c>
      <c r="EC787" s="118" t="str">
        <f t="shared" si="1129"/>
        <v/>
      </c>
      <c r="ED787" s="122" t="str">
        <f>+IF(OR($W787="",EB787=0),"",ROUND((VLOOKUP(ROUNDDOWN($D787-1/frec,0),cob_adi,DO$40,FALSE)*(1+i/frec)^-0.5*(1+Parámetros!$D$103)*(1+rec_fracc)/frec),6))</f>
        <v/>
      </c>
      <c r="EE787" s="66" t="str">
        <f t="shared" si="1083"/>
        <v/>
      </c>
      <c r="EF787" s="68" t="str">
        <f t="shared" si="1084"/>
        <v/>
      </c>
      <c r="EG787" s="66" t="str">
        <f>+IF($W787="","",ROUND(IF($B787&gt;Parámetros!$D$107,'Tablas Servicio'!EE787+('Tablas Servicio'!EG786-'Tablas Servicio'!EE786),EE787/(1-IF(B787&lt;=10,Parámetros!$D$100,0))),2))</f>
        <v/>
      </c>
      <c r="EH787" s="66" t="str">
        <f t="shared" si="1130"/>
        <v/>
      </c>
      <c r="EI787" s="66" t="str">
        <f t="shared" si="1130"/>
        <v/>
      </c>
      <c r="EJ787" s="66" t="str">
        <f>+IF($W787="","",ROUND((EG787*Parámetros!$G$85),2))</f>
        <v/>
      </c>
      <c r="EK787" s="66" t="str">
        <f>+IF($W787="","",ROUND((EG787*(Parámetros!$G$86)),2))</f>
        <v/>
      </c>
      <c r="EL787" s="66" t="str">
        <f t="shared" si="1086"/>
        <v/>
      </c>
    </row>
    <row r="788" spans="1:142" x14ac:dyDescent="0.25">
      <c r="A788" t="str">
        <f>+IF($C788="","",ROUND(VLOOKUP('Tablas Servicio'!B788,Parámetros!$H$100:$J$159,IF(Parámetros!$E$16="F",2,3),FALSE),2))</f>
        <v/>
      </c>
      <c r="B788" t="str">
        <f t="shared" si="1037"/>
        <v/>
      </c>
      <c r="C788" s="57" t="str">
        <f>+IF(D788="","",'Tablas Servicio'!C787+1)</f>
        <v/>
      </c>
      <c r="D788" s="56" t="str">
        <f>+IF(D787&lt;edadmaxtabla,D787+1/Parámetros!$E$25,"")</f>
        <v/>
      </c>
      <c r="E788" s="57" t="str">
        <f t="shared" si="1047"/>
        <v/>
      </c>
      <c r="F788" s="59" t="str">
        <f t="shared" si="1048"/>
        <v/>
      </c>
      <c r="G788" s="66" t="str">
        <f t="shared" si="1038"/>
        <v/>
      </c>
      <c r="H788" s="66" t="str">
        <f t="shared" si="1039"/>
        <v/>
      </c>
      <c r="I788" s="66" t="str">
        <f t="shared" si="1087"/>
        <v/>
      </c>
      <c r="J788" s="66" t="str">
        <f t="shared" si="1040"/>
        <v/>
      </c>
      <c r="K788" s="66" t="str">
        <f t="shared" si="1041"/>
        <v/>
      </c>
      <c r="L788" s="66" t="str">
        <f t="shared" si="1042"/>
        <v/>
      </c>
      <c r="M788" s="66" t="str">
        <f t="shared" si="1043"/>
        <v/>
      </c>
      <c r="N788" s="66" t="str">
        <f>+IF(C788="","",ROUND(Parámetros!$D$23,2))</f>
        <v/>
      </c>
      <c r="O788" s="66" t="str">
        <f t="shared" si="1044"/>
        <v/>
      </c>
      <c r="P788" s="66" t="str">
        <f>+IF($C788="","",ROUND(IF(B788&gt;Parámetros!$D$117,0,N788*Parámetros!$D$116-G788*Parámetros!$D$100),2))</f>
        <v/>
      </c>
      <c r="Q788" s="75" t="str">
        <f t="shared" si="1088"/>
        <v/>
      </c>
      <c r="R788" s="75" t="str">
        <f t="shared" si="1089"/>
        <v/>
      </c>
      <c r="S788" s="117" t="str">
        <f>+IF($C788="","",ROUND((S787+I788)*(1+Parámetros!$D$91),2))</f>
        <v/>
      </c>
      <c r="T788" s="117" t="str">
        <f>+IF($C788="","",ROUND(S788*VLOOKUP(B788,Parámetros!$C$30:$D$39,2,TRUE),2))</f>
        <v/>
      </c>
      <c r="U788" s="117" t="str">
        <f>+IF($C788="","",ROUND((U787+I788)*(1+Parámetros!$D$92),2))</f>
        <v/>
      </c>
      <c r="V788" s="117" t="str">
        <f>+IF($C788="","",ROUND(U788*VLOOKUP(B788,Parámetros!$C$30:$D$39,2,TRUE),2))</f>
        <v/>
      </c>
      <c r="W788" s="57" t="str">
        <f t="shared" si="1090"/>
        <v/>
      </c>
      <c r="X788" t="str">
        <f t="shared" si="1091"/>
        <v/>
      </c>
      <c r="Y788" t="str">
        <f t="shared" si="1092"/>
        <v/>
      </c>
      <c r="Z788" s="118" t="str">
        <f>+IF($W788="","",ROUND(IF(Parámetros!$D$25='TABLAS MORT'!$V$33,Z787,Parámetros!$D$21-'Tablas Servicio'!T787),0))</f>
        <v/>
      </c>
      <c r="AA788" s="118" t="str">
        <f t="shared" si="1093"/>
        <v/>
      </c>
      <c r="AB788" s="119" t="str">
        <f>+IF(W788="","",ROUND((VLOOKUP(ROUNDDOWN($D788-1/frec,0),qx_tabla,2,FALSE)*(1+i/frec)^-0.5*(1+Parámetros!$D$103)*(1+rec_fracc)/frec),6))</f>
        <v/>
      </c>
      <c r="AC788" s="66" t="str">
        <f t="shared" si="1049"/>
        <v/>
      </c>
      <c r="AD788" s="119" t="str">
        <f t="shared" si="1045"/>
        <v/>
      </c>
      <c r="AE788" s="66" t="str">
        <f>+IF($W788="","",ROUND(IF($B788&gt;Parámetros!$D$107,'Tablas Servicio'!AC788+('Tablas Servicio'!AG787-'Tablas Servicio'!AC787),AC788/(1-IF(B788&lt;=10,Parámetros!$D$104,Parámetros!$D$105))),2))</f>
        <v/>
      </c>
      <c r="AF788" s="66" t="str">
        <f>+IF($W788="","",ROUND(IF($B788&gt;Parámetros!$D$107,'Tablas Servicio'!AC788+('Tablas Servicio'!AG787-'Tablas Servicio'!AC787),(AC788+$A787/frec)/(1-IF(B788&lt;=Parámetros!$D$117,Parámetros!$D$100,0))),2))</f>
        <v/>
      </c>
      <c r="AG788" s="66" t="str">
        <f t="shared" si="1050"/>
        <v/>
      </c>
      <c r="AH788" s="66" t="str">
        <f t="shared" si="1051"/>
        <v/>
      </c>
      <c r="AI788" s="66" t="str">
        <f t="shared" si="1052"/>
        <v/>
      </c>
      <c r="AJ788" s="66" t="str">
        <f>+IF($W788="","",ROUND((AG788*Parámetros!$G$85),2))</f>
        <v/>
      </c>
      <c r="AK788" s="66" t="str">
        <f>+IF($W788="","",ROUND((AG788*(Parámetros!$G$86)),2))</f>
        <v/>
      </c>
      <c r="AL788" s="66" t="str">
        <f t="shared" si="1046"/>
        <v/>
      </c>
      <c r="AM788" t="str">
        <f t="shared" si="1094"/>
        <v/>
      </c>
      <c r="AN788" t="str">
        <f t="shared" si="1095"/>
        <v/>
      </c>
      <c r="AO788" s="118" t="str">
        <f t="shared" si="1096"/>
        <v/>
      </c>
      <c r="AP788" s="118" t="str">
        <f t="shared" si="1097"/>
        <v/>
      </c>
      <c r="AQ788" s="119" t="str">
        <f>+IF(OR($W788="",AO788=0),"",ROUND((VLOOKUP(ROUNDDOWN($D788-1/frec,0),cob_adi,Z$40,FALSE)*(1+i/frec)^-0.5*(1+Parámetros!$D$103)*(1+rec_fracc)/frec),6))</f>
        <v/>
      </c>
      <c r="AR788" s="66" t="str">
        <f t="shared" si="1053"/>
        <v/>
      </c>
      <c r="AS788" s="119" t="str">
        <f t="shared" si="1054"/>
        <v/>
      </c>
      <c r="AT788" s="66" t="str">
        <f>+IF($W788="","",ROUND(IF($B788&gt;Parámetros!$D$107,'Tablas Servicio'!AR788+('Tablas Servicio'!AT787-'Tablas Servicio'!AR787),AR788/(1-IF(B788&lt;=10,Parámetros!$D$100,0))),2))</f>
        <v/>
      </c>
      <c r="AU788" s="66" t="str">
        <f t="shared" si="1123"/>
        <v/>
      </c>
      <c r="AV788" s="66" t="str">
        <f t="shared" si="1123"/>
        <v/>
      </c>
      <c r="AW788" s="66" t="str">
        <f>+IF($W788="","",ROUND((AT788*Parámetros!$G$85),2))</f>
        <v/>
      </c>
      <c r="AX788" s="66" t="str">
        <f>+IF($W788="","",ROUND((AT788*(Parámetros!$G$86)),2))</f>
        <v/>
      </c>
      <c r="AY788" s="66" t="str">
        <f t="shared" si="1056"/>
        <v/>
      </c>
      <c r="AZ788" t="str">
        <f t="shared" si="1098"/>
        <v/>
      </c>
      <c r="BA788" t="str">
        <f t="shared" si="1099"/>
        <v/>
      </c>
      <c r="BB788" s="118" t="str">
        <f t="shared" si="1100"/>
        <v/>
      </c>
      <c r="BC788" s="118" t="str">
        <f t="shared" si="1101"/>
        <v/>
      </c>
      <c r="BD788" s="119" t="str">
        <f>+IF(OR($W788="",BB788=0),"",ROUND((VLOOKUP(ROUNDDOWN($D788-1/frec,0),cob_adi,AO$40,FALSE)*(1+i/frec)^-0.5*(1+Parámetros!$D$103)*(1+rec_fracc)/frec),6))</f>
        <v/>
      </c>
      <c r="BE788" s="66" t="str">
        <f t="shared" si="1057"/>
        <v/>
      </c>
      <c r="BF788" s="119" t="str">
        <f t="shared" si="1058"/>
        <v/>
      </c>
      <c r="BG788" s="66" t="str">
        <f>+IF($W788="","",ROUND(IF($B788&gt;Parámetros!$D$107,'Tablas Servicio'!BE788+('Tablas Servicio'!BG787-'Tablas Servicio'!BE787),BE788/(1-IF(B788&lt;=10,Parámetros!$D$100,0))),2))</f>
        <v/>
      </c>
      <c r="BH788" s="66" t="str">
        <f t="shared" si="1059"/>
        <v/>
      </c>
      <c r="BI788" s="66" t="str">
        <f t="shared" si="1060"/>
        <v/>
      </c>
      <c r="BJ788" s="66" t="str">
        <f>+IF($W788="","",ROUND((BG788*Parámetros!$G$85),2))</f>
        <v/>
      </c>
      <c r="BK788" s="66" t="str">
        <f>+IF($W788="","",ROUND((BG788*(Parámetros!$G$86)),2))</f>
        <v/>
      </c>
      <c r="BL788" s="66" t="str">
        <f t="shared" si="1061"/>
        <v/>
      </c>
      <c r="BM788" t="str">
        <f t="shared" si="1102"/>
        <v/>
      </c>
      <c r="BN788" t="str">
        <f t="shared" si="1103"/>
        <v/>
      </c>
      <c r="BO788" s="118" t="str">
        <f t="shared" si="1104"/>
        <v/>
      </c>
      <c r="BP788" s="118" t="str">
        <f t="shared" si="1105"/>
        <v/>
      </c>
      <c r="BQ788" s="119" t="str">
        <f>+IF(OR($W788="",BO788=0),"",ROUND((VLOOKUP(ROUNDDOWN($D788-1/frec,0),cob_adi,BB$40,FALSE)*(1+i/frec)^-0.5*(1+Parámetros!$D$103)*(1+rec_fracc)/frec),6))</f>
        <v/>
      </c>
      <c r="BR788" s="66" t="str">
        <f t="shared" si="1062"/>
        <v/>
      </c>
      <c r="BS788" s="119" t="str">
        <f t="shared" si="1063"/>
        <v/>
      </c>
      <c r="BT788" s="66" t="str">
        <f>+IF($W788="","",ROUND(IF($B788&gt;Parámetros!$D$107,'Tablas Servicio'!BR788+('Tablas Servicio'!BT787-'Tablas Servicio'!BR787),BR788/(1-IF(B788&lt;=10,Parámetros!$D$100,0))),2))</f>
        <v/>
      </c>
      <c r="BU788" s="66" t="str">
        <f t="shared" si="1124"/>
        <v/>
      </c>
      <c r="BV788" s="66" t="str">
        <f t="shared" si="1124"/>
        <v/>
      </c>
      <c r="BW788" s="66" t="str">
        <f>+IF($W788="","",ROUND((BT788*Parámetros!$G$85),2))</f>
        <v/>
      </c>
      <c r="BX788" s="66" t="str">
        <f>+IF($W788="","",ROUND((BT788*(Parámetros!$G$86)),2))</f>
        <v/>
      </c>
      <c r="BY788" s="66" t="str">
        <f t="shared" si="1065"/>
        <v/>
      </c>
      <c r="BZ788" t="str">
        <f t="shared" si="1106"/>
        <v/>
      </c>
      <c r="CA788" t="str">
        <f t="shared" si="1107"/>
        <v/>
      </c>
      <c r="CB788" s="118" t="str">
        <f t="shared" si="1108"/>
        <v/>
      </c>
      <c r="CC788" s="118" t="str">
        <f t="shared" si="1109"/>
        <v/>
      </c>
      <c r="CD788" s="119" t="str">
        <f t="shared" si="1066"/>
        <v/>
      </c>
      <c r="CE788" s="66" t="str">
        <f>+IF($W788="","",ROUND((VLOOKUP(ROUNDDOWN($D788-1/frec,0),cob_adi,BO$40,FALSE)*(1+i/frec)^-0.5*(1+Parámetros!$D$103)*(1+rec_fracc)/frec*'TABLAS ADI'!$BC$17),2))</f>
        <v/>
      </c>
      <c r="CF788" s="119" t="str">
        <f t="shared" si="1067"/>
        <v/>
      </c>
      <c r="CG788" s="66" t="str">
        <f>+IF($W788="","",ROUND(IF($B788&gt;Parámetros!$D$107,'Tablas Servicio'!CE788+('Tablas Servicio'!CG787-'Tablas Servicio'!CE787),CE788/(1-IF(B788&lt;=10,Parámetros!$D$100,0))),2))</f>
        <v/>
      </c>
      <c r="CH788" s="66" t="str">
        <f t="shared" si="1125"/>
        <v/>
      </c>
      <c r="CI788" s="66" t="str">
        <f t="shared" si="1125"/>
        <v/>
      </c>
      <c r="CJ788" s="66" t="str">
        <f>+IF($W788="","",ROUND((CG788*Parámetros!$G$85),2))</f>
        <v/>
      </c>
      <c r="CK788" s="66" t="str">
        <f>+IF($W788="","",ROUND((CG788*(Parámetros!$G$86)),2))</f>
        <v/>
      </c>
      <c r="CL788" s="66" t="str">
        <f t="shared" si="1069"/>
        <v/>
      </c>
      <c r="CM788" t="str">
        <f t="shared" si="1110"/>
        <v/>
      </c>
      <c r="CN788" s="118" t="str">
        <f t="shared" si="1111"/>
        <v/>
      </c>
      <c r="CO788" s="118" t="str">
        <f t="shared" si="1112"/>
        <v/>
      </c>
      <c r="CP788" s="118" t="str">
        <f t="shared" si="1113"/>
        <v/>
      </c>
      <c r="CQ788" s="119" t="str">
        <f t="shared" si="1070"/>
        <v/>
      </c>
      <c r="CR788" s="66" t="str">
        <f>+IF($W788="","",ROUND((VLOOKUP(Parámetros!$F$51,'COBERTURAS ADICIONALES'!$S$4:$T$32,2,FALSE)*(1+i/frec)^-0.5*(1+Parámetros!$D$103)*(1+rec_fracc)/frec*$CO$42),2))</f>
        <v/>
      </c>
      <c r="CS788" s="119" t="str">
        <f t="shared" si="1071"/>
        <v/>
      </c>
      <c r="CT788" s="66" t="str">
        <f>+IF($W788="","",ROUND(IF($B788&gt;Parámetros!$D$107,'Tablas Servicio'!CR788+('Tablas Servicio'!CT787-'Tablas Servicio'!CR787),CR788/(1-IF(B788&lt;=10,Parámetros!$D$100,0))),2))</f>
        <v/>
      </c>
      <c r="CU788" s="66" t="str">
        <f t="shared" si="1126"/>
        <v/>
      </c>
      <c r="CV788" s="66" t="str">
        <f t="shared" si="1126"/>
        <v/>
      </c>
      <c r="CW788" s="66" t="str">
        <f>+IF($W788="","",ROUND((CT788*Parámetros!$G$85),2))</f>
        <v/>
      </c>
      <c r="CX788" s="66" t="str">
        <f>+IF($W788="","",ROUND((CT788*(Parámetros!$G$86)),2))</f>
        <v/>
      </c>
      <c r="CY788" s="66" t="str">
        <f t="shared" si="1073"/>
        <v/>
      </c>
      <c r="CZ788" t="str">
        <f t="shared" si="1114"/>
        <v/>
      </c>
      <c r="DA788" s="118" t="str">
        <f t="shared" si="1115"/>
        <v/>
      </c>
      <c r="DB788" s="118" t="str">
        <f t="shared" si="1116"/>
        <v/>
      </c>
      <c r="DC788" s="118" t="str">
        <f t="shared" si="1117"/>
        <v/>
      </c>
      <c r="DD788" s="121" t="str">
        <f>+IF(OR($W788="",DB788=0),"",ROUND((VLOOKUP(ROUNDDOWN($D788-1/frec,0),cob_adi,CO$40,FALSE)*(1+i/frec)^-0.5*(1+Parámetros!$D$103)*(1+rec_fracc)/frec),6))</f>
        <v/>
      </c>
      <c r="DE788" s="66" t="str">
        <f t="shared" si="1074"/>
        <v/>
      </c>
      <c r="DF788" s="119" t="str">
        <f t="shared" si="1075"/>
        <v/>
      </c>
      <c r="DG788" s="66" t="str">
        <f>+IF($W788="","",ROUND(IF($B788&gt;Parámetros!$D$107,'Tablas Servicio'!DE788+('Tablas Servicio'!DG787-'Tablas Servicio'!DE787),DE788/(1-IF(B788&lt;=10,Parámetros!$D$100,0))),2))</f>
        <v/>
      </c>
      <c r="DH788" s="66" t="str">
        <f t="shared" si="1127"/>
        <v/>
      </c>
      <c r="DI788" s="66" t="str">
        <f t="shared" si="1127"/>
        <v/>
      </c>
      <c r="DJ788" s="66" t="str">
        <f>+IF($W788="","",ROUND((DG788*Parámetros!$G$85),2))</f>
        <v/>
      </c>
      <c r="DK788" s="66" t="str">
        <f>+IF($W788="","",ROUND((DG788*(Parámetros!$G$86)),2))</f>
        <v/>
      </c>
      <c r="DL788" s="66" t="str">
        <f t="shared" si="1077"/>
        <v/>
      </c>
      <c r="DM788" t="str">
        <f t="shared" si="1118"/>
        <v/>
      </c>
      <c r="DN788" s="118" t="str">
        <f t="shared" si="1119"/>
        <v/>
      </c>
      <c r="DO788" s="118" t="str">
        <f t="shared" si="1120"/>
        <v/>
      </c>
      <c r="DP788" s="118" t="str">
        <f t="shared" si="1121"/>
        <v/>
      </c>
      <c r="DQ788" s="122" t="str">
        <f>+IF(OR($W788="",DO788=0),"",ROUND((VLOOKUP(ROUNDDOWN($D788-1/frec,0),cob_adi,DB$40,FALSE)*(1+i/frec)^-0.5*(1+Parámetros!$D$103)*(1+rec_fracc)/frec),6))</f>
        <v/>
      </c>
      <c r="DR788" s="66" t="str">
        <f t="shared" si="1078"/>
        <v/>
      </c>
      <c r="DS788" s="68" t="str">
        <f t="shared" si="1079"/>
        <v/>
      </c>
      <c r="DT788" s="66" t="str">
        <f>+IF($W788="","",ROUND(IF($B788&gt;Parámetros!$D$107,'Tablas Servicio'!DR788+('Tablas Servicio'!DT787-'Tablas Servicio'!DR787),DR788/(1-IF(B788&lt;=10,Parámetros!$D$100,0))),2))</f>
        <v/>
      </c>
      <c r="DU788" s="66" t="str">
        <f t="shared" si="1128"/>
        <v/>
      </c>
      <c r="DV788" s="66" t="str">
        <f t="shared" si="1128"/>
        <v/>
      </c>
      <c r="DW788" s="66" t="str">
        <f>+IF($W788="","",ROUND((DT788*Parámetros!$G$85),2))</f>
        <v/>
      </c>
      <c r="DX788" s="66" t="str">
        <f>+IF($W788="","",ROUND((DT788*(Parámetros!$G$86)),2))</f>
        <v/>
      </c>
      <c r="DY788" s="66" t="str">
        <f t="shared" si="1081"/>
        <v/>
      </c>
      <c r="DZ788" t="str">
        <f t="shared" si="1129"/>
        <v/>
      </c>
      <c r="EA788" s="118" t="str">
        <f t="shared" si="1129"/>
        <v/>
      </c>
      <c r="EB788" s="118" t="str">
        <f>+IF($W788="","",ROUND(IF(Parámetros!$D$25='TABLAS MORT'!$V$33,EB787,Z788/2),0))</f>
        <v/>
      </c>
      <c r="EC788" s="118" t="str">
        <f t="shared" si="1129"/>
        <v/>
      </c>
      <c r="ED788" s="122" t="str">
        <f>+IF(OR($W788="",EB788=0),"",ROUND((VLOOKUP(ROUNDDOWN($D788-1/frec,0),cob_adi,DO$40,FALSE)*(1+i/frec)^-0.5*(1+Parámetros!$D$103)*(1+rec_fracc)/frec),6))</f>
        <v/>
      </c>
      <c r="EE788" s="66" t="str">
        <f t="shared" si="1083"/>
        <v/>
      </c>
      <c r="EF788" s="68" t="str">
        <f t="shared" si="1084"/>
        <v/>
      </c>
      <c r="EG788" s="66" t="str">
        <f>+IF($W788="","",ROUND(IF($B788&gt;Parámetros!$D$107,'Tablas Servicio'!EE788+('Tablas Servicio'!EG787-'Tablas Servicio'!EE787),EE788/(1-IF(B788&lt;=10,Parámetros!$D$100,0))),2))</f>
        <v/>
      </c>
      <c r="EH788" s="66" t="str">
        <f t="shared" si="1130"/>
        <v/>
      </c>
      <c r="EI788" s="66" t="str">
        <f t="shared" si="1130"/>
        <v/>
      </c>
      <c r="EJ788" s="66" t="str">
        <f>+IF($W788="","",ROUND((EG788*Parámetros!$G$85),2))</f>
        <v/>
      </c>
      <c r="EK788" s="66" t="str">
        <f>+IF($W788="","",ROUND((EG788*(Parámetros!$G$86)),2))</f>
        <v/>
      </c>
      <c r="EL788" s="66" t="str">
        <f t="shared" si="1086"/>
        <v/>
      </c>
    </row>
    <row r="789" spans="1:142" x14ac:dyDescent="0.25">
      <c r="A789" t="str">
        <f>+IF($C789="","",ROUND(VLOOKUP('Tablas Servicio'!B789,Parámetros!$H$100:$J$159,IF(Parámetros!$E$16="F",2,3),FALSE),2))</f>
        <v/>
      </c>
      <c r="B789" t="str">
        <f t="shared" si="1037"/>
        <v/>
      </c>
      <c r="C789" s="57" t="str">
        <f>+IF(D789="","",'Tablas Servicio'!C788+1)</f>
        <v/>
      </c>
      <c r="D789" s="56" t="str">
        <f>+IF(D788&lt;edadmaxtabla,D788+1/Parámetros!$E$25,"")</f>
        <v/>
      </c>
      <c r="E789" s="57" t="str">
        <f t="shared" si="1047"/>
        <v/>
      </c>
      <c r="F789" s="59" t="str">
        <f t="shared" si="1048"/>
        <v/>
      </c>
      <c r="G789" s="66" t="str">
        <f t="shared" si="1038"/>
        <v/>
      </c>
      <c r="H789" s="66" t="str">
        <f t="shared" si="1039"/>
        <v/>
      </c>
      <c r="I789" s="66" t="str">
        <f t="shared" si="1087"/>
        <v/>
      </c>
      <c r="J789" s="66" t="str">
        <f t="shared" si="1040"/>
        <v/>
      </c>
      <c r="K789" s="66" t="str">
        <f t="shared" si="1041"/>
        <v/>
      </c>
      <c r="L789" s="66" t="str">
        <f t="shared" si="1042"/>
        <v/>
      </c>
      <c r="M789" s="66" t="str">
        <f t="shared" si="1043"/>
        <v/>
      </c>
      <c r="N789" s="66" t="str">
        <f>+IF(C789="","",ROUND(Parámetros!$D$23,2))</f>
        <v/>
      </c>
      <c r="O789" s="66" t="str">
        <f t="shared" si="1044"/>
        <v/>
      </c>
      <c r="P789" s="66" t="str">
        <f>+IF($C789="","",ROUND(IF(B789&gt;Parámetros!$D$117,0,N789*Parámetros!$D$116-G789*Parámetros!$D$100),2))</f>
        <v/>
      </c>
      <c r="Q789" s="75" t="str">
        <f t="shared" si="1088"/>
        <v/>
      </c>
      <c r="R789" s="75" t="str">
        <f t="shared" si="1089"/>
        <v/>
      </c>
      <c r="S789" s="117" t="str">
        <f>+IF($C789="","",ROUND((S788+I789)*(1+Parámetros!$D$91),2))</f>
        <v/>
      </c>
      <c r="T789" s="117" t="str">
        <f>+IF($C789="","",ROUND(S789*VLOOKUP(B789,Parámetros!$C$30:$D$39,2,TRUE),2))</f>
        <v/>
      </c>
      <c r="U789" s="117" t="str">
        <f>+IF($C789="","",ROUND((U788+I789)*(1+Parámetros!$D$92),2))</f>
        <v/>
      </c>
      <c r="V789" s="117" t="str">
        <f>+IF($C789="","",ROUND(U789*VLOOKUP(B789,Parámetros!$C$30:$D$39,2,TRUE),2))</f>
        <v/>
      </c>
      <c r="W789" s="57" t="str">
        <f t="shared" si="1090"/>
        <v/>
      </c>
      <c r="X789" t="str">
        <f t="shared" si="1091"/>
        <v/>
      </c>
      <c r="Y789" t="str">
        <f t="shared" si="1092"/>
        <v/>
      </c>
      <c r="Z789" s="118" t="str">
        <f>+IF($W789="","",ROUND(IF(Parámetros!$D$25='TABLAS MORT'!$V$33,Z788,Parámetros!$D$21-'Tablas Servicio'!T788),0))</f>
        <v/>
      </c>
      <c r="AA789" s="118" t="str">
        <f t="shared" si="1093"/>
        <v/>
      </c>
      <c r="AB789" s="119" t="str">
        <f>+IF(W789="","",ROUND((VLOOKUP(ROUNDDOWN($D789-1/frec,0),qx_tabla,2,FALSE)*(1+i/frec)^-0.5*(1+Parámetros!$D$103)*(1+rec_fracc)/frec),6))</f>
        <v/>
      </c>
      <c r="AC789" s="66" t="str">
        <f t="shared" si="1049"/>
        <v/>
      </c>
      <c r="AD789" s="119" t="str">
        <f t="shared" si="1045"/>
        <v/>
      </c>
      <c r="AE789" s="66" t="str">
        <f>+IF($W789="","",ROUND(IF($B789&gt;Parámetros!$D$107,'Tablas Servicio'!AC789+('Tablas Servicio'!AG788-'Tablas Servicio'!AC788),AC789/(1-IF(B789&lt;=10,Parámetros!$D$104,Parámetros!$D$105))),2))</f>
        <v/>
      </c>
      <c r="AF789" s="66" t="str">
        <f>+IF($W789="","",ROUND(IF($B789&gt;Parámetros!$D$107,'Tablas Servicio'!AC789+('Tablas Servicio'!AG788-'Tablas Servicio'!AC788),(AC789+$A788/frec)/(1-IF(B789&lt;=Parámetros!$D$117,Parámetros!$D$100,0))),2))</f>
        <v/>
      </c>
      <c r="AG789" s="66" t="str">
        <f t="shared" si="1050"/>
        <v/>
      </c>
      <c r="AH789" s="66" t="str">
        <f t="shared" si="1051"/>
        <v/>
      </c>
      <c r="AI789" s="66" t="str">
        <f t="shared" si="1052"/>
        <v/>
      </c>
      <c r="AJ789" s="66" t="str">
        <f>+IF($W789="","",ROUND((AG789*Parámetros!$G$85),2))</f>
        <v/>
      </c>
      <c r="AK789" s="66" t="str">
        <f>+IF($W789="","",ROUND((AG789*(Parámetros!$G$86)),2))</f>
        <v/>
      </c>
      <c r="AL789" s="66" t="str">
        <f t="shared" si="1046"/>
        <v/>
      </c>
      <c r="AM789" t="str">
        <f t="shared" si="1094"/>
        <v/>
      </c>
      <c r="AN789" t="str">
        <f t="shared" si="1095"/>
        <v/>
      </c>
      <c r="AO789" s="118" t="str">
        <f t="shared" si="1096"/>
        <v/>
      </c>
      <c r="AP789" s="118" t="str">
        <f t="shared" si="1097"/>
        <v/>
      </c>
      <c r="AQ789" s="119" t="str">
        <f>+IF(OR($W789="",AO789=0),"",ROUND((VLOOKUP(ROUNDDOWN($D789-1/frec,0),cob_adi,Z$40,FALSE)*(1+i/frec)^-0.5*(1+Parámetros!$D$103)*(1+rec_fracc)/frec),6))</f>
        <v/>
      </c>
      <c r="AR789" s="66" t="str">
        <f t="shared" si="1053"/>
        <v/>
      </c>
      <c r="AS789" s="119" t="str">
        <f t="shared" si="1054"/>
        <v/>
      </c>
      <c r="AT789" s="66" t="str">
        <f>+IF($W789="","",ROUND(IF($B789&gt;Parámetros!$D$107,'Tablas Servicio'!AR789+('Tablas Servicio'!AT788-'Tablas Servicio'!AR788),AR789/(1-IF(B789&lt;=10,Parámetros!$D$100,0))),2))</f>
        <v/>
      </c>
      <c r="AU789" s="66" t="str">
        <f t="shared" si="1123"/>
        <v/>
      </c>
      <c r="AV789" s="66" t="str">
        <f t="shared" si="1123"/>
        <v/>
      </c>
      <c r="AW789" s="66" t="str">
        <f>+IF($W789="","",ROUND((AT789*Parámetros!$G$85),2))</f>
        <v/>
      </c>
      <c r="AX789" s="66" t="str">
        <f>+IF($W789="","",ROUND((AT789*(Parámetros!$G$86)),2))</f>
        <v/>
      </c>
      <c r="AY789" s="66" t="str">
        <f t="shared" si="1056"/>
        <v/>
      </c>
      <c r="AZ789" t="str">
        <f t="shared" si="1098"/>
        <v/>
      </c>
      <c r="BA789" t="str">
        <f t="shared" si="1099"/>
        <v/>
      </c>
      <c r="BB789" s="118" t="str">
        <f t="shared" si="1100"/>
        <v/>
      </c>
      <c r="BC789" s="118" t="str">
        <f t="shared" si="1101"/>
        <v/>
      </c>
      <c r="BD789" s="119" t="str">
        <f>+IF(OR($W789="",BB789=0),"",ROUND((VLOOKUP(ROUNDDOWN($D789-1/frec,0),cob_adi,AO$40,FALSE)*(1+i/frec)^-0.5*(1+Parámetros!$D$103)*(1+rec_fracc)/frec),6))</f>
        <v/>
      </c>
      <c r="BE789" s="66" t="str">
        <f t="shared" si="1057"/>
        <v/>
      </c>
      <c r="BF789" s="119" t="str">
        <f t="shared" si="1058"/>
        <v/>
      </c>
      <c r="BG789" s="66" t="str">
        <f>+IF($W789="","",ROUND(IF($B789&gt;Parámetros!$D$107,'Tablas Servicio'!BE789+('Tablas Servicio'!BG788-'Tablas Servicio'!BE788),BE789/(1-IF(B789&lt;=10,Parámetros!$D$100,0))),2))</f>
        <v/>
      </c>
      <c r="BH789" s="66" t="str">
        <f t="shared" si="1059"/>
        <v/>
      </c>
      <c r="BI789" s="66" t="str">
        <f t="shared" si="1060"/>
        <v/>
      </c>
      <c r="BJ789" s="66" t="str">
        <f>+IF($W789="","",ROUND((BG789*Parámetros!$G$85),2))</f>
        <v/>
      </c>
      <c r="BK789" s="66" t="str">
        <f>+IF($W789="","",ROUND((BG789*(Parámetros!$G$86)),2))</f>
        <v/>
      </c>
      <c r="BL789" s="66" t="str">
        <f t="shared" si="1061"/>
        <v/>
      </c>
      <c r="BM789" t="str">
        <f t="shared" si="1102"/>
        <v/>
      </c>
      <c r="BN789" t="str">
        <f t="shared" si="1103"/>
        <v/>
      </c>
      <c r="BO789" s="118" t="str">
        <f t="shared" si="1104"/>
        <v/>
      </c>
      <c r="BP789" s="118" t="str">
        <f t="shared" si="1105"/>
        <v/>
      </c>
      <c r="BQ789" s="119" t="str">
        <f>+IF(OR($W789="",BO789=0),"",ROUND((VLOOKUP(ROUNDDOWN($D789-1/frec,0),cob_adi,BB$40,FALSE)*(1+i/frec)^-0.5*(1+Parámetros!$D$103)*(1+rec_fracc)/frec),6))</f>
        <v/>
      </c>
      <c r="BR789" s="66" t="str">
        <f t="shared" si="1062"/>
        <v/>
      </c>
      <c r="BS789" s="119" t="str">
        <f t="shared" si="1063"/>
        <v/>
      </c>
      <c r="BT789" s="66" t="str">
        <f>+IF($W789="","",ROUND(IF($B789&gt;Parámetros!$D$107,'Tablas Servicio'!BR789+('Tablas Servicio'!BT788-'Tablas Servicio'!BR788),BR789/(1-IF(B789&lt;=10,Parámetros!$D$100,0))),2))</f>
        <v/>
      </c>
      <c r="BU789" s="66" t="str">
        <f t="shared" si="1124"/>
        <v/>
      </c>
      <c r="BV789" s="66" t="str">
        <f t="shared" si="1124"/>
        <v/>
      </c>
      <c r="BW789" s="66" t="str">
        <f>+IF($W789="","",ROUND((BT789*Parámetros!$G$85),2))</f>
        <v/>
      </c>
      <c r="BX789" s="66" t="str">
        <f>+IF($W789="","",ROUND((BT789*(Parámetros!$G$86)),2))</f>
        <v/>
      </c>
      <c r="BY789" s="66" t="str">
        <f t="shared" si="1065"/>
        <v/>
      </c>
      <c r="BZ789" t="str">
        <f t="shared" si="1106"/>
        <v/>
      </c>
      <c r="CA789" t="str">
        <f t="shared" si="1107"/>
        <v/>
      </c>
      <c r="CB789" s="118" t="str">
        <f t="shared" si="1108"/>
        <v/>
      </c>
      <c r="CC789" s="118" t="str">
        <f t="shared" si="1109"/>
        <v/>
      </c>
      <c r="CD789" s="119" t="str">
        <f t="shared" si="1066"/>
        <v/>
      </c>
      <c r="CE789" s="66" t="str">
        <f>+IF($W789="","",ROUND((VLOOKUP(ROUNDDOWN($D789-1/frec,0),cob_adi,BO$40,FALSE)*(1+i/frec)^-0.5*(1+Parámetros!$D$103)*(1+rec_fracc)/frec*'TABLAS ADI'!$BC$17),2))</f>
        <v/>
      </c>
      <c r="CF789" s="119" t="str">
        <f t="shared" si="1067"/>
        <v/>
      </c>
      <c r="CG789" s="66" t="str">
        <f>+IF($W789="","",ROUND(IF($B789&gt;Parámetros!$D$107,'Tablas Servicio'!CE789+('Tablas Servicio'!CG788-'Tablas Servicio'!CE788),CE789/(1-IF(B789&lt;=10,Parámetros!$D$100,0))),2))</f>
        <v/>
      </c>
      <c r="CH789" s="66" t="str">
        <f t="shared" si="1125"/>
        <v/>
      </c>
      <c r="CI789" s="66" t="str">
        <f t="shared" si="1125"/>
        <v/>
      </c>
      <c r="CJ789" s="66" t="str">
        <f>+IF($W789="","",ROUND((CG789*Parámetros!$G$85),2))</f>
        <v/>
      </c>
      <c r="CK789" s="66" t="str">
        <f>+IF($W789="","",ROUND((CG789*(Parámetros!$G$86)),2))</f>
        <v/>
      </c>
      <c r="CL789" s="66" t="str">
        <f t="shared" si="1069"/>
        <v/>
      </c>
      <c r="CM789" t="str">
        <f t="shared" si="1110"/>
        <v/>
      </c>
      <c r="CN789" s="118" t="str">
        <f t="shared" si="1111"/>
        <v/>
      </c>
      <c r="CO789" s="118" t="str">
        <f t="shared" si="1112"/>
        <v/>
      </c>
      <c r="CP789" s="118" t="str">
        <f t="shared" si="1113"/>
        <v/>
      </c>
      <c r="CQ789" s="119" t="str">
        <f t="shared" si="1070"/>
        <v/>
      </c>
      <c r="CR789" s="66" t="str">
        <f>+IF($W789="","",ROUND((VLOOKUP(Parámetros!$F$51,'COBERTURAS ADICIONALES'!$S$4:$T$32,2,FALSE)*(1+i/frec)^-0.5*(1+Parámetros!$D$103)*(1+rec_fracc)/frec*$CO$42),2))</f>
        <v/>
      </c>
      <c r="CS789" s="119" t="str">
        <f t="shared" si="1071"/>
        <v/>
      </c>
      <c r="CT789" s="66" t="str">
        <f>+IF($W789="","",ROUND(IF($B789&gt;Parámetros!$D$107,'Tablas Servicio'!CR789+('Tablas Servicio'!CT788-'Tablas Servicio'!CR788),CR789/(1-IF(B789&lt;=10,Parámetros!$D$100,0))),2))</f>
        <v/>
      </c>
      <c r="CU789" s="66" t="str">
        <f t="shared" si="1126"/>
        <v/>
      </c>
      <c r="CV789" s="66" t="str">
        <f t="shared" si="1126"/>
        <v/>
      </c>
      <c r="CW789" s="66" t="str">
        <f>+IF($W789="","",ROUND((CT789*Parámetros!$G$85),2))</f>
        <v/>
      </c>
      <c r="CX789" s="66" t="str">
        <f>+IF($W789="","",ROUND((CT789*(Parámetros!$G$86)),2))</f>
        <v/>
      </c>
      <c r="CY789" s="66" t="str">
        <f t="shared" si="1073"/>
        <v/>
      </c>
      <c r="CZ789" t="str">
        <f t="shared" si="1114"/>
        <v/>
      </c>
      <c r="DA789" s="118" t="str">
        <f t="shared" si="1115"/>
        <v/>
      </c>
      <c r="DB789" s="118" t="str">
        <f t="shared" si="1116"/>
        <v/>
      </c>
      <c r="DC789" s="118" t="str">
        <f t="shared" si="1117"/>
        <v/>
      </c>
      <c r="DD789" s="121" t="str">
        <f>+IF(OR($W789="",DB789=0),"",ROUND((VLOOKUP(ROUNDDOWN($D789-1/frec,0),cob_adi,CO$40,FALSE)*(1+i/frec)^-0.5*(1+Parámetros!$D$103)*(1+rec_fracc)/frec),6))</f>
        <v/>
      </c>
      <c r="DE789" s="66" t="str">
        <f t="shared" si="1074"/>
        <v/>
      </c>
      <c r="DF789" s="119" t="str">
        <f t="shared" si="1075"/>
        <v/>
      </c>
      <c r="DG789" s="66" t="str">
        <f>+IF($W789="","",ROUND(IF($B789&gt;Parámetros!$D$107,'Tablas Servicio'!DE789+('Tablas Servicio'!DG788-'Tablas Servicio'!DE788),DE789/(1-IF(B789&lt;=10,Parámetros!$D$100,0))),2))</f>
        <v/>
      </c>
      <c r="DH789" s="66" t="str">
        <f t="shared" si="1127"/>
        <v/>
      </c>
      <c r="DI789" s="66" t="str">
        <f t="shared" si="1127"/>
        <v/>
      </c>
      <c r="DJ789" s="66" t="str">
        <f>+IF($W789="","",ROUND((DG789*Parámetros!$G$85),2))</f>
        <v/>
      </c>
      <c r="DK789" s="66" t="str">
        <f>+IF($W789="","",ROUND((DG789*(Parámetros!$G$86)),2))</f>
        <v/>
      </c>
      <c r="DL789" s="66" t="str">
        <f t="shared" si="1077"/>
        <v/>
      </c>
      <c r="DM789" t="str">
        <f t="shared" si="1118"/>
        <v/>
      </c>
      <c r="DN789" s="118" t="str">
        <f t="shared" si="1119"/>
        <v/>
      </c>
      <c r="DO789" s="118" t="str">
        <f t="shared" si="1120"/>
        <v/>
      </c>
      <c r="DP789" s="118" t="str">
        <f t="shared" si="1121"/>
        <v/>
      </c>
      <c r="DQ789" s="122" t="str">
        <f>+IF(OR($W789="",DO789=0),"",ROUND((VLOOKUP(ROUNDDOWN($D789-1/frec,0),cob_adi,DB$40,FALSE)*(1+i/frec)^-0.5*(1+Parámetros!$D$103)*(1+rec_fracc)/frec),6))</f>
        <v/>
      </c>
      <c r="DR789" s="66" t="str">
        <f t="shared" si="1078"/>
        <v/>
      </c>
      <c r="DS789" s="68" t="str">
        <f t="shared" si="1079"/>
        <v/>
      </c>
      <c r="DT789" s="66" t="str">
        <f>+IF($W789="","",ROUND(IF($B789&gt;Parámetros!$D$107,'Tablas Servicio'!DR789+('Tablas Servicio'!DT788-'Tablas Servicio'!DR788),DR789/(1-IF(B789&lt;=10,Parámetros!$D$100,0))),2))</f>
        <v/>
      </c>
      <c r="DU789" s="66" t="str">
        <f t="shared" si="1128"/>
        <v/>
      </c>
      <c r="DV789" s="66" t="str">
        <f t="shared" si="1128"/>
        <v/>
      </c>
      <c r="DW789" s="66" t="str">
        <f>+IF($W789="","",ROUND((DT789*Parámetros!$G$85),2))</f>
        <v/>
      </c>
      <c r="DX789" s="66" t="str">
        <f>+IF($W789="","",ROUND((DT789*(Parámetros!$G$86)),2))</f>
        <v/>
      </c>
      <c r="DY789" s="66" t="str">
        <f t="shared" si="1081"/>
        <v/>
      </c>
      <c r="DZ789" t="str">
        <f t="shared" si="1129"/>
        <v/>
      </c>
      <c r="EA789" s="118" t="str">
        <f t="shared" si="1129"/>
        <v/>
      </c>
      <c r="EB789" s="118" t="str">
        <f>+IF($W789="","",ROUND(IF(Parámetros!$D$25='TABLAS MORT'!$V$33,EB788,Z789/2),0))</f>
        <v/>
      </c>
      <c r="EC789" s="118" t="str">
        <f t="shared" si="1129"/>
        <v/>
      </c>
      <c r="ED789" s="122" t="str">
        <f>+IF(OR($W789="",EB789=0),"",ROUND((VLOOKUP(ROUNDDOWN($D789-1/frec,0),cob_adi,DO$40,FALSE)*(1+i/frec)^-0.5*(1+Parámetros!$D$103)*(1+rec_fracc)/frec),6))</f>
        <v/>
      </c>
      <c r="EE789" s="66" t="str">
        <f t="shared" si="1083"/>
        <v/>
      </c>
      <c r="EF789" s="68" t="str">
        <f t="shared" si="1084"/>
        <v/>
      </c>
      <c r="EG789" s="66" t="str">
        <f>+IF($W789="","",ROUND(IF($B789&gt;Parámetros!$D$107,'Tablas Servicio'!EE789+('Tablas Servicio'!EG788-'Tablas Servicio'!EE788),EE789/(1-IF(B789&lt;=10,Parámetros!$D$100,0))),2))</f>
        <v/>
      </c>
      <c r="EH789" s="66" t="str">
        <f t="shared" si="1130"/>
        <v/>
      </c>
      <c r="EI789" s="66" t="str">
        <f t="shared" si="1130"/>
        <v/>
      </c>
      <c r="EJ789" s="66" t="str">
        <f>+IF($W789="","",ROUND((EG789*Parámetros!$G$85),2))</f>
        <v/>
      </c>
      <c r="EK789" s="66" t="str">
        <f>+IF($W789="","",ROUND((EG789*(Parámetros!$G$86)),2))</f>
        <v/>
      </c>
      <c r="EL789" s="66" t="str">
        <f t="shared" si="1086"/>
        <v/>
      </c>
    </row>
    <row r="790" spans="1:142" x14ac:dyDescent="0.25">
      <c r="A790" t="str">
        <f>+IF($C790="","",ROUND(VLOOKUP('Tablas Servicio'!B790,Parámetros!$H$100:$J$159,IF(Parámetros!$E$16="F",2,3),FALSE),2))</f>
        <v/>
      </c>
      <c r="B790" t="str">
        <f t="shared" si="1037"/>
        <v/>
      </c>
      <c r="C790" s="57" t="str">
        <f>+IF(D790="","",'Tablas Servicio'!C789+1)</f>
        <v/>
      </c>
      <c r="D790" s="56" t="str">
        <f>+IF(D789&lt;edadmaxtabla,D789+1/Parámetros!$E$25,"")</f>
        <v/>
      </c>
      <c r="E790" s="57" t="str">
        <f t="shared" si="1047"/>
        <v/>
      </c>
      <c r="F790" s="59" t="str">
        <f t="shared" si="1048"/>
        <v/>
      </c>
      <c r="G790" s="66" t="str">
        <f t="shared" si="1038"/>
        <v/>
      </c>
      <c r="H790" s="66" t="str">
        <f t="shared" si="1039"/>
        <v/>
      </c>
      <c r="I790" s="66" t="str">
        <f t="shared" si="1087"/>
        <v/>
      </c>
      <c r="J790" s="66" t="str">
        <f t="shared" si="1040"/>
        <v/>
      </c>
      <c r="K790" s="66" t="str">
        <f t="shared" si="1041"/>
        <v/>
      </c>
      <c r="L790" s="66" t="str">
        <f t="shared" si="1042"/>
        <v/>
      </c>
      <c r="M790" s="66" t="str">
        <f t="shared" si="1043"/>
        <v/>
      </c>
      <c r="N790" s="66" t="str">
        <f>+IF(C790="","",ROUND(Parámetros!$D$23,2))</f>
        <v/>
      </c>
      <c r="O790" s="66" t="str">
        <f t="shared" si="1044"/>
        <v/>
      </c>
      <c r="P790" s="66" t="str">
        <f>+IF($C790="","",ROUND(IF(B790&gt;Parámetros!$D$117,0,N790*Parámetros!$D$116-G790*Parámetros!$D$100),2))</f>
        <v/>
      </c>
      <c r="Q790" s="75" t="str">
        <f t="shared" si="1088"/>
        <v/>
      </c>
      <c r="R790" s="75" t="str">
        <f t="shared" si="1089"/>
        <v/>
      </c>
      <c r="S790" s="117" t="str">
        <f>+IF($C790="","",ROUND((S789+I790)*(1+Parámetros!$D$91),2))</f>
        <v/>
      </c>
      <c r="T790" s="117" t="str">
        <f>+IF($C790="","",ROUND(S790*VLOOKUP(B790,Parámetros!$C$30:$D$39,2,TRUE),2))</f>
        <v/>
      </c>
      <c r="U790" s="117" t="str">
        <f>+IF($C790="","",ROUND((U789+I790)*(1+Parámetros!$D$92),2))</f>
        <v/>
      </c>
      <c r="V790" s="117" t="str">
        <f>+IF($C790="","",ROUND(U790*VLOOKUP(B790,Parámetros!$C$30:$D$39,2,TRUE),2))</f>
        <v/>
      </c>
      <c r="W790" s="57" t="str">
        <f t="shared" si="1090"/>
        <v/>
      </c>
      <c r="X790" t="str">
        <f t="shared" si="1091"/>
        <v/>
      </c>
      <c r="Y790" t="str">
        <f t="shared" si="1092"/>
        <v/>
      </c>
      <c r="Z790" s="118" t="str">
        <f>+IF($W790="","",ROUND(IF(Parámetros!$D$25='TABLAS MORT'!$V$33,Z789,Parámetros!$D$21-'Tablas Servicio'!T789),0))</f>
        <v/>
      </c>
      <c r="AA790" s="118" t="str">
        <f t="shared" si="1093"/>
        <v/>
      </c>
      <c r="AB790" s="119" t="str">
        <f>+IF(W790="","",ROUND((VLOOKUP(ROUNDDOWN($D790-1/frec,0),qx_tabla,2,FALSE)*(1+i/frec)^-0.5*(1+Parámetros!$D$103)*(1+rec_fracc)/frec),6))</f>
        <v/>
      </c>
      <c r="AC790" s="66" t="str">
        <f t="shared" si="1049"/>
        <v/>
      </c>
      <c r="AD790" s="119" t="str">
        <f t="shared" si="1045"/>
        <v/>
      </c>
      <c r="AE790" s="66" t="str">
        <f>+IF($W790="","",ROUND(IF($B790&gt;Parámetros!$D$107,'Tablas Servicio'!AC790+('Tablas Servicio'!AG789-'Tablas Servicio'!AC789),AC790/(1-IF(B790&lt;=10,Parámetros!$D$104,Parámetros!$D$105))),2))</f>
        <v/>
      </c>
      <c r="AF790" s="66" t="str">
        <f>+IF($W790="","",ROUND(IF($B790&gt;Parámetros!$D$107,'Tablas Servicio'!AC790+('Tablas Servicio'!AG789-'Tablas Servicio'!AC789),(AC790+$A789/frec)/(1-IF(B790&lt;=Parámetros!$D$117,Parámetros!$D$100,0))),2))</f>
        <v/>
      </c>
      <c r="AG790" s="66" t="str">
        <f t="shared" si="1050"/>
        <v/>
      </c>
      <c r="AH790" s="66" t="str">
        <f t="shared" si="1051"/>
        <v/>
      </c>
      <c r="AI790" s="66" t="str">
        <f t="shared" si="1052"/>
        <v/>
      </c>
      <c r="AJ790" s="66" t="str">
        <f>+IF($W790="","",ROUND((AG790*Parámetros!$G$85),2))</f>
        <v/>
      </c>
      <c r="AK790" s="66" t="str">
        <f>+IF($W790="","",ROUND((AG790*(Parámetros!$G$86)),2))</f>
        <v/>
      </c>
      <c r="AL790" s="66" t="str">
        <f t="shared" si="1046"/>
        <v/>
      </c>
      <c r="AM790" t="str">
        <f t="shared" si="1094"/>
        <v/>
      </c>
      <c r="AN790" t="str">
        <f t="shared" si="1095"/>
        <v/>
      </c>
      <c r="AO790" s="118" t="str">
        <f t="shared" si="1096"/>
        <v/>
      </c>
      <c r="AP790" s="118" t="str">
        <f t="shared" si="1097"/>
        <v/>
      </c>
      <c r="AQ790" s="119" t="str">
        <f>+IF(OR($W790="",AO790=0),"",ROUND((VLOOKUP(ROUNDDOWN($D790-1/frec,0),cob_adi,Z$40,FALSE)*(1+i/frec)^-0.5*(1+Parámetros!$D$103)*(1+rec_fracc)/frec),6))</f>
        <v/>
      </c>
      <c r="AR790" s="66" t="str">
        <f t="shared" si="1053"/>
        <v/>
      </c>
      <c r="AS790" s="119" t="str">
        <f t="shared" si="1054"/>
        <v/>
      </c>
      <c r="AT790" s="66" t="str">
        <f>+IF($W790="","",ROUND(IF($B790&gt;Parámetros!$D$107,'Tablas Servicio'!AR790+('Tablas Servicio'!AT789-'Tablas Servicio'!AR789),AR790/(1-IF(B790&lt;=10,Parámetros!$D$100,0))),2))</f>
        <v/>
      </c>
      <c r="AU790" s="66" t="str">
        <f t="shared" si="1123"/>
        <v/>
      </c>
      <c r="AV790" s="66" t="str">
        <f t="shared" si="1123"/>
        <v/>
      </c>
      <c r="AW790" s="66" t="str">
        <f>+IF($W790="","",ROUND((AT790*Parámetros!$G$85),2))</f>
        <v/>
      </c>
      <c r="AX790" s="66" t="str">
        <f>+IF($W790="","",ROUND((AT790*(Parámetros!$G$86)),2))</f>
        <v/>
      </c>
      <c r="AY790" s="66" t="str">
        <f t="shared" si="1056"/>
        <v/>
      </c>
      <c r="AZ790" t="str">
        <f t="shared" si="1098"/>
        <v/>
      </c>
      <c r="BA790" t="str">
        <f t="shared" si="1099"/>
        <v/>
      </c>
      <c r="BB790" s="118" t="str">
        <f t="shared" si="1100"/>
        <v/>
      </c>
      <c r="BC790" s="118" t="str">
        <f t="shared" si="1101"/>
        <v/>
      </c>
      <c r="BD790" s="119" t="str">
        <f>+IF(OR($W790="",BB790=0),"",ROUND((VLOOKUP(ROUNDDOWN($D790-1/frec,0),cob_adi,AO$40,FALSE)*(1+i/frec)^-0.5*(1+Parámetros!$D$103)*(1+rec_fracc)/frec),6))</f>
        <v/>
      </c>
      <c r="BE790" s="66" t="str">
        <f t="shared" si="1057"/>
        <v/>
      </c>
      <c r="BF790" s="119" t="str">
        <f t="shared" si="1058"/>
        <v/>
      </c>
      <c r="BG790" s="66" t="str">
        <f>+IF($W790="","",ROUND(IF($B790&gt;Parámetros!$D$107,'Tablas Servicio'!BE790+('Tablas Servicio'!BG789-'Tablas Servicio'!BE789),BE790/(1-IF(B790&lt;=10,Parámetros!$D$100,0))),2))</f>
        <v/>
      </c>
      <c r="BH790" s="66" t="str">
        <f t="shared" si="1059"/>
        <v/>
      </c>
      <c r="BI790" s="66" t="str">
        <f t="shared" si="1060"/>
        <v/>
      </c>
      <c r="BJ790" s="66" t="str">
        <f>+IF($W790="","",ROUND((BG790*Parámetros!$G$85),2))</f>
        <v/>
      </c>
      <c r="BK790" s="66" t="str">
        <f>+IF($W790="","",ROUND((BG790*(Parámetros!$G$86)),2))</f>
        <v/>
      </c>
      <c r="BL790" s="66" t="str">
        <f t="shared" si="1061"/>
        <v/>
      </c>
      <c r="BM790" t="str">
        <f t="shared" si="1102"/>
        <v/>
      </c>
      <c r="BN790" t="str">
        <f t="shared" si="1103"/>
        <v/>
      </c>
      <c r="BO790" s="118" t="str">
        <f t="shared" si="1104"/>
        <v/>
      </c>
      <c r="BP790" s="118" t="str">
        <f t="shared" si="1105"/>
        <v/>
      </c>
      <c r="BQ790" s="119" t="str">
        <f>+IF(OR($W790="",BO790=0),"",ROUND((VLOOKUP(ROUNDDOWN($D790-1/frec,0),cob_adi,BB$40,FALSE)*(1+i/frec)^-0.5*(1+Parámetros!$D$103)*(1+rec_fracc)/frec),6))</f>
        <v/>
      </c>
      <c r="BR790" s="66" t="str">
        <f t="shared" si="1062"/>
        <v/>
      </c>
      <c r="BS790" s="119" t="str">
        <f t="shared" si="1063"/>
        <v/>
      </c>
      <c r="BT790" s="66" t="str">
        <f>+IF($W790="","",ROUND(IF($B790&gt;Parámetros!$D$107,'Tablas Servicio'!BR790+('Tablas Servicio'!BT789-'Tablas Servicio'!BR789),BR790/(1-IF(B790&lt;=10,Parámetros!$D$100,0))),2))</f>
        <v/>
      </c>
      <c r="BU790" s="66" t="str">
        <f t="shared" si="1124"/>
        <v/>
      </c>
      <c r="BV790" s="66" t="str">
        <f t="shared" si="1124"/>
        <v/>
      </c>
      <c r="BW790" s="66" t="str">
        <f>+IF($W790="","",ROUND((BT790*Parámetros!$G$85),2))</f>
        <v/>
      </c>
      <c r="BX790" s="66" t="str">
        <f>+IF($W790="","",ROUND((BT790*(Parámetros!$G$86)),2))</f>
        <v/>
      </c>
      <c r="BY790" s="66" t="str">
        <f t="shared" si="1065"/>
        <v/>
      </c>
      <c r="BZ790" t="str">
        <f t="shared" si="1106"/>
        <v/>
      </c>
      <c r="CA790" t="str">
        <f t="shared" si="1107"/>
        <v/>
      </c>
      <c r="CB790" s="118" t="str">
        <f t="shared" si="1108"/>
        <v/>
      </c>
      <c r="CC790" s="118" t="str">
        <f t="shared" si="1109"/>
        <v/>
      </c>
      <c r="CD790" s="119" t="str">
        <f t="shared" si="1066"/>
        <v/>
      </c>
      <c r="CE790" s="66" t="str">
        <f>+IF($W790="","",ROUND((VLOOKUP(ROUNDDOWN($D790-1/frec,0),cob_adi,BO$40,FALSE)*(1+i/frec)^-0.5*(1+Parámetros!$D$103)*(1+rec_fracc)/frec*'TABLAS ADI'!$BC$17),2))</f>
        <v/>
      </c>
      <c r="CF790" s="119" t="str">
        <f t="shared" si="1067"/>
        <v/>
      </c>
      <c r="CG790" s="66" t="str">
        <f>+IF($W790="","",ROUND(IF($B790&gt;Parámetros!$D$107,'Tablas Servicio'!CE790+('Tablas Servicio'!CG789-'Tablas Servicio'!CE789),CE790/(1-IF(B790&lt;=10,Parámetros!$D$100,0))),2))</f>
        <v/>
      </c>
      <c r="CH790" s="66" t="str">
        <f t="shared" si="1125"/>
        <v/>
      </c>
      <c r="CI790" s="66" t="str">
        <f t="shared" si="1125"/>
        <v/>
      </c>
      <c r="CJ790" s="66" t="str">
        <f>+IF($W790="","",ROUND((CG790*Parámetros!$G$85),2))</f>
        <v/>
      </c>
      <c r="CK790" s="66" t="str">
        <f>+IF($W790="","",ROUND((CG790*(Parámetros!$G$86)),2))</f>
        <v/>
      </c>
      <c r="CL790" s="66" t="str">
        <f t="shared" si="1069"/>
        <v/>
      </c>
      <c r="CM790" t="str">
        <f t="shared" si="1110"/>
        <v/>
      </c>
      <c r="CN790" s="118" t="str">
        <f t="shared" si="1111"/>
        <v/>
      </c>
      <c r="CO790" s="118" t="str">
        <f t="shared" si="1112"/>
        <v/>
      </c>
      <c r="CP790" s="118" t="str">
        <f t="shared" si="1113"/>
        <v/>
      </c>
      <c r="CQ790" s="119" t="str">
        <f t="shared" si="1070"/>
        <v/>
      </c>
      <c r="CR790" s="66" t="str">
        <f>+IF($W790="","",ROUND((VLOOKUP(Parámetros!$F$51,'COBERTURAS ADICIONALES'!$S$4:$T$32,2,FALSE)*(1+i/frec)^-0.5*(1+Parámetros!$D$103)*(1+rec_fracc)/frec*$CO$42),2))</f>
        <v/>
      </c>
      <c r="CS790" s="119" t="str">
        <f t="shared" si="1071"/>
        <v/>
      </c>
      <c r="CT790" s="66" t="str">
        <f>+IF($W790="","",ROUND(IF($B790&gt;Parámetros!$D$107,'Tablas Servicio'!CR790+('Tablas Servicio'!CT789-'Tablas Servicio'!CR789),CR790/(1-IF(B790&lt;=10,Parámetros!$D$100,0))),2))</f>
        <v/>
      </c>
      <c r="CU790" s="66" t="str">
        <f t="shared" si="1126"/>
        <v/>
      </c>
      <c r="CV790" s="66" t="str">
        <f t="shared" si="1126"/>
        <v/>
      </c>
      <c r="CW790" s="66" t="str">
        <f>+IF($W790="","",ROUND((CT790*Parámetros!$G$85),2))</f>
        <v/>
      </c>
      <c r="CX790" s="66" t="str">
        <f>+IF($W790="","",ROUND((CT790*(Parámetros!$G$86)),2))</f>
        <v/>
      </c>
      <c r="CY790" s="66" t="str">
        <f t="shared" si="1073"/>
        <v/>
      </c>
      <c r="CZ790" t="str">
        <f t="shared" si="1114"/>
        <v/>
      </c>
      <c r="DA790" s="118" t="str">
        <f t="shared" si="1115"/>
        <v/>
      </c>
      <c r="DB790" s="118" t="str">
        <f t="shared" si="1116"/>
        <v/>
      </c>
      <c r="DC790" s="118" t="str">
        <f t="shared" si="1117"/>
        <v/>
      </c>
      <c r="DD790" s="121" t="str">
        <f>+IF(OR($W790="",DB790=0),"",ROUND((VLOOKUP(ROUNDDOWN($D790-1/frec,0),cob_adi,CO$40,FALSE)*(1+i/frec)^-0.5*(1+Parámetros!$D$103)*(1+rec_fracc)/frec),6))</f>
        <v/>
      </c>
      <c r="DE790" s="66" t="str">
        <f t="shared" si="1074"/>
        <v/>
      </c>
      <c r="DF790" s="119" t="str">
        <f t="shared" si="1075"/>
        <v/>
      </c>
      <c r="DG790" s="66" t="str">
        <f>+IF($W790="","",ROUND(IF($B790&gt;Parámetros!$D$107,'Tablas Servicio'!DE790+('Tablas Servicio'!DG789-'Tablas Servicio'!DE789),DE790/(1-IF(B790&lt;=10,Parámetros!$D$100,0))),2))</f>
        <v/>
      </c>
      <c r="DH790" s="66" t="str">
        <f t="shared" si="1127"/>
        <v/>
      </c>
      <c r="DI790" s="66" t="str">
        <f t="shared" si="1127"/>
        <v/>
      </c>
      <c r="DJ790" s="66" t="str">
        <f>+IF($W790="","",ROUND((DG790*Parámetros!$G$85),2))</f>
        <v/>
      </c>
      <c r="DK790" s="66" t="str">
        <f>+IF($W790="","",ROUND((DG790*(Parámetros!$G$86)),2))</f>
        <v/>
      </c>
      <c r="DL790" s="66" t="str">
        <f t="shared" si="1077"/>
        <v/>
      </c>
      <c r="DM790" t="str">
        <f t="shared" si="1118"/>
        <v/>
      </c>
      <c r="DN790" s="118" t="str">
        <f t="shared" si="1119"/>
        <v/>
      </c>
      <c r="DO790" s="118" t="str">
        <f t="shared" si="1120"/>
        <v/>
      </c>
      <c r="DP790" s="118" t="str">
        <f t="shared" si="1121"/>
        <v/>
      </c>
      <c r="DQ790" s="122" t="str">
        <f>+IF(OR($W790="",DO790=0),"",ROUND((VLOOKUP(ROUNDDOWN($D790-1/frec,0),cob_adi,DB$40,FALSE)*(1+i/frec)^-0.5*(1+Parámetros!$D$103)*(1+rec_fracc)/frec),6))</f>
        <v/>
      </c>
      <c r="DR790" s="66" t="str">
        <f t="shared" si="1078"/>
        <v/>
      </c>
      <c r="DS790" s="68" t="str">
        <f t="shared" si="1079"/>
        <v/>
      </c>
      <c r="DT790" s="66" t="str">
        <f>+IF($W790="","",ROUND(IF($B790&gt;Parámetros!$D$107,'Tablas Servicio'!DR790+('Tablas Servicio'!DT789-'Tablas Servicio'!DR789),DR790/(1-IF(B790&lt;=10,Parámetros!$D$100,0))),2))</f>
        <v/>
      </c>
      <c r="DU790" s="66" t="str">
        <f t="shared" si="1128"/>
        <v/>
      </c>
      <c r="DV790" s="66" t="str">
        <f t="shared" si="1128"/>
        <v/>
      </c>
      <c r="DW790" s="66" t="str">
        <f>+IF($W790="","",ROUND((DT790*Parámetros!$G$85),2))</f>
        <v/>
      </c>
      <c r="DX790" s="66" t="str">
        <f>+IF($W790="","",ROUND((DT790*(Parámetros!$G$86)),2))</f>
        <v/>
      </c>
      <c r="DY790" s="66" t="str">
        <f t="shared" si="1081"/>
        <v/>
      </c>
      <c r="DZ790" t="str">
        <f t="shared" si="1129"/>
        <v/>
      </c>
      <c r="EA790" s="118" t="str">
        <f t="shared" si="1129"/>
        <v/>
      </c>
      <c r="EB790" s="118" t="str">
        <f>+IF($W790="","",ROUND(IF(Parámetros!$D$25='TABLAS MORT'!$V$33,EB789,Z790/2),0))</f>
        <v/>
      </c>
      <c r="EC790" s="118" t="str">
        <f t="shared" si="1129"/>
        <v/>
      </c>
      <c r="ED790" s="122" t="str">
        <f>+IF(OR($W790="",EB790=0),"",ROUND((VLOOKUP(ROUNDDOWN($D790-1/frec,0),cob_adi,DO$40,FALSE)*(1+i/frec)^-0.5*(1+Parámetros!$D$103)*(1+rec_fracc)/frec),6))</f>
        <v/>
      </c>
      <c r="EE790" s="66" t="str">
        <f t="shared" si="1083"/>
        <v/>
      </c>
      <c r="EF790" s="68" t="str">
        <f t="shared" si="1084"/>
        <v/>
      </c>
      <c r="EG790" s="66" t="str">
        <f>+IF($W790="","",ROUND(IF($B790&gt;Parámetros!$D$107,'Tablas Servicio'!EE790+('Tablas Servicio'!EG789-'Tablas Servicio'!EE789),EE790/(1-IF(B790&lt;=10,Parámetros!$D$100,0))),2))</f>
        <v/>
      </c>
      <c r="EH790" s="66" t="str">
        <f t="shared" si="1130"/>
        <v/>
      </c>
      <c r="EI790" s="66" t="str">
        <f t="shared" si="1130"/>
        <v/>
      </c>
      <c r="EJ790" s="66" t="str">
        <f>+IF($W790="","",ROUND((EG790*Parámetros!$G$85),2))</f>
        <v/>
      </c>
      <c r="EK790" s="66" t="str">
        <f>+IF($W790="","",ROUND((EG790*(Parámetros!$G$86)),2))</f>
        <v/>
      </c>
      <c r="EL790" s="66" t="str">
        <f t="shared" si="1086"/>
        <v/>
      </c>
    </row>
    <row r="791" spans="1:142" x14ac:dyDescent="0.25">
      <c r="A791" t="str">
        <f>+IF($C791="","",ROUND(VLOOKUP('Tablas Servicio'!B791,Parámetros!$H$100:$J$159,IF(Parámetros!$E$16="F",2,3),FALSE),2))</f>
        <v/>
      </c>
      <c r="B791" t="str">
        <f t="shared" si="1037"/>
        <v/>
      </c>
      <c r="C791" s="57" t="str">
        <f>+IF(D791="","",'Tablas Servicio'!C790+1)</f>
        <v/>
      </c>
      <c r="D791" s="56" t="str">
        <f>+IF(D790&lt;edadmaxtabla,D790+1/Parámetros!$E$25,"")</f>
        <v/>
      </c>
      <c r="E791" s="57" t="str">
        <f t="shared" si="1047"/>
        <v/>
      </c>
      <c r="F791" s="59" t="str">
        <f t="shared" si="1048"/>
        <v/>
      </c>
      <c r="G791" s="66" t="str">
        <f t="shared" si="1038"/>
        <v/>
      </c>
      <c r="H791" s="66" t="str">
        <f t="shared" si="1039"/>
        <v/>
      </c>
      <c r="I791" s="66" t="str">
        <f t="shared" si="1087"/>
        <v/>
      </c>
      <c r="J791" s="66" t="str">
        <f t="shared" si="1040"/>
        <v/>
      </c>
      <c r="K791" s="66" t="str">
        <f t="shared" si="1041"/>
        <v/>
      </c>
      <c r="L791" s="66" t="str">
        <f t="shared" si="1042"/>
        <v/>
      </c>
      <c r="M791" s="66" t="str">
        <f t="shared" si="1043"/>
        <v/>
      </c>
      <c r="N791" s="66" t="str">
        <f>+IF(C791="","",ROUND(Parámetros!$D$23,2))</f>
        <v/>
      </c>
      <c r="O791" s="66" t="str">
        <f t="shared" si="1044"/>
        <v/>
      </c>
      <c r="P791" s="66" t="str">
        <f>+IF($C791="","",ROUND(IF(B791&gt;Parámetros!$D$117,0,N791*Parámetros!$D$116-G791*Parámetros!$D$100),2))</f>
        <v/>
      </c>
      <c r="Q791" s="75" t="str">
        <f t="shared" si="1088"/>
        <v/>
      </c>
      <c r="R791" s="75" t="str">
        <f t="shared" si="1089"/>
        <v/>
      </c>
      <c r="S791" s="117" t="str">
        <f>+IF($C791="","",ROUND((S790+I791)*(1+Parámetros!$D$91),2))</f>
        <v/>
      </c>
      <c r="T791" s="117" t="str">
        <f>+IF($C791="","",ROUND(S791*VLOOKUP(B791,Parámetros!$C$30:$D$39,2,TRUE),2))</f>
        <v/>
      </c>
      <c r="U791" s="117" t="str">
        <f>+IF($C791="","",ROUND((U790+I791)*(1+Parámetros!$D$92),2))</f>
        <v/>
      </c>
      <c r="V791" s="117" t="str">
        <f>+IF($C791="","",ROUND(U791*VLOOKUP(B791,Parámetros!$C$30:$D$39,2,TRUE),2))</f>
        <v/>
      </c>
      <c r="W791" s="57" t="str">
        <f t="shared" si="1090"/>
        <v/>
      </c>
      <c r="X791" t="str">
        <f t="shared" si="1091"/>
        <v/>
      </c>
      <c r="Y791" t="str">
        <f t="shared" si="1092"/>
        <v/>
      </c>
      <c r="Z791" s="118" t="str">
        <f>+IF($W791="","",ROUND(IF(Parámetros!$D$25='TABLAS MORT'!$V$33,Z790,Parámetros!$D$21-'Tablas Servicio'!T790),0))</f>
        <v/>
      </c>
      <c r="AA791" s="118" t="str">
        <f t="shared" si="1093"/>
        <v/>
      </c>
      <c r="AB791" s="119" t="str">
        <f>+IF(W791="","",ROUND((VLOOKUP(ROUNDDOWN($D791-1/frec,0),qx_tabla,2,FALSE)*(1+i/frec)^-0.5*(1+Parámetros!$D$103)*(1+rec_fracc)/frec),6))</f>
        <v/>
      </c>
      <c r="AC791" s="66" t="str">
        <f t="shared" si="1049"/>
        <v/>
      </c>
      <c r="AD791" s="119" t="str">
        <f t="shared" si="1045"/>
        <v/>
      </c>
      <c r="AE791" s="66" t="str">
        <f>+IF($W791="","",ROUND(IF($B791&gt;Parámetros!$D$107,'Tablas Servicio'!AC791+('Tablas Servicio'!AG790-'Tablas Servicio'!AC790),AC791/(1-IF(B791&lt;=10,Parámetros!$D$104,Parámetros!$D$105))),2))</f>
        <v/>
      </c>
      <c r="AF791" s="66" t="str">
        <f>+IF($W791="","",ROUND(IF($B791&gt;Parámetros!$D$107,'Tablas Servicio'!AC791+('Tablas Servicio'!AG790-'Tablas Servicio'!AC790),(AC791+$A790/frec)/(1-IF(B791&lt;=Parámetros!$D$117,Parámetros!$D$100,0))),2))</f>
        <v/>
      </c>
      <c r="AG791" s="66" t="str">
        <f t="shared" si="1050"/>
        <v/>
      </c>
      <c r="AH791" s="66" t="str">
        <f t="shared" si="1051"/>
        <v/>
      </c>
      <c r="AI791" s="66" t="str">
        <f t="shared" si="1052"/>
        <v/>
      </c>
      <c r="AJ791" s="66" t="str">
        <f>+IF($W791="","",ROUND((AG791*Parámetros!$G$85),2))</f>
        <v/>
      </c>
      <c r="AK791" s="66" t="str">
        <f>+IF($W791="","",ROUND((AG791*(Parámetros!$G$86)),2))</f>
        <v/>
      </c>
      <c r="AL791" s="66" t="str">
        <f t="shared" si="1046"/>
        <v/>
      </c>
      <c r="AM791" t="str">
        <f t="shared" si="1094"/>
        <v/>
      </c>
      <c r="AN791" t="str">
        <f t="shared" si="1095"/>
        <v/>
      </c>
      <c r="AO791" s="118" t="str">
        <f t="shared" si="1096"/>
        <v/>
      </c>
      <c r="AP791" s="118" t="str">
        <f t="shared" si="1097"/>
        <v/>
      </c>
      <c r="AQ791" s="119" t="str">
        <f>+IF(OR($W791="",AO791=0),"",ROUND((VLOOKUP(ROUNDDOWN($D791-1/frec,0),cob_adi,Z$40,FALSE)*(1+i/frec)^-0.5*(1+Parámetros!$D$103)*(1+rec_fracc)/frec),6))</f>
        <v/>
      </c>
      <c r="AR791" s="66" t="str">
        <f t="shared" si="1053"/>
        <v/>
      </c>
      <c r="AS791" s="119" t="str">
        <f t="shared" si="1054"/>
        <v/>
      </c>
      <c r="AT791" s="66" t="str">
        <f>+IF($W791="","",ROUND(IF($B791&gt;Parámetros!$D$107,'Tablas Servicio'!AR791+('Tablas Servicio'!AT790-'Tablas Servicio'!AR790),AR791/(1-IF(B791&lt;=10,Parámetros!$D$100,0))),2))</f>
        <v/>
      </c>
      <c r="AU791" s="66" t="str">
        <f t="shared" si="1123"/>
        <v/>
      </c>
      <c r="AV791" s="66" t="str">
        <f t="shared" si="1123"/>
        <v/>
      </c>
      <c r="AW791" s="66" t="str">
        <f>+IF($W791="","",ROUND((AT791*Parámetros!$G$85),2))</f>
        <v/>
      </c>
      <c r="AX791" s="66" t="str">
        <f>+IF($W791="","",ROUND((AT791*(Parámetros!$G$86)),2))</f>
        <v/>
      </c>
      <c r="AY791" s="66" t="str">
        <f t="shared" si="1056"/>
        <v/>
      </c>
      <c r="AZ791" t="str">
        <f t="shared" si="1098"/>
        <v/>
      </c>
      <c r="BA791" t="str">
        <f t="shared" si="1099"/>
        <v/>
      </c>
      <c r="BB791" s="118" t="str">
        <f t="shared" si="1100"/>
        <v/>
      </c>
      <c r="BC791" s="118" t="str">
        <f t="shared" si="1101"/>
        <v/>
      </c>
      <c r="BD791" s="119" t="str">
        <f>+IF(OR($W791="",BB791=0),"",ROUND((VLOOKUP(ROUNDDOWN($D791-1/frec,0),cob_adi,AO$40,FALSE)*(1+i/frec)^-0.5*(1+Parámetros!$D$103)*(1+rec_fracc)/frec),6))</f>
        <v/>
      </c>
      <c r="BE791" s="66" t="str">
        <f t="shared" si="1057"/>
        <v/>
      </c>
      <c r="BF791" s="119" t="str">
        <f t="shared" si="1058"/>
        <v/>
      </c>
      <c r="BG791" s="66" t="str">
        <f>+IF($W791="","",ROUND(IF($B791&gt;Parámetros!$D$107,'Tablas Servicio'!BE791+('Tablas Servicio'!BG790-'Tablas Servicio'!BE790),BE791/(1-IF(B791&lt;=10,Parámetros!$D$100,0))),2))</f>
        <v/>
      </c>
      <c r="BH791" s="66" t="str">
        <f t="shared" si="1059"/>
        <v/>
      </c>
      <c r="BI791" s="66" t="str">
        <f t="shared" si="1060"/>
        <v/>
      </c>
      <c r="BJ791" s="66" t="str">
        <f>+IF($W791="","",ROUND((BG791*Parámetros!$G$85),2))</f>
        <v/>
      </c>
      <c r="BK791" s="66" t="str">
        <f>+IF($W791="","",ROUND((BG791*(Parámetros!$G$86)),2))</f>
        <v/>
      </c>
      <c r="BL791" s="66" t="str">
        <f t="shared" si="1061"/>
        <v/>
      </c>
      <c r="BM791" t="str">
        <f t="shared" si="1102"/>
        <v/>
      </c>
      <c r="BN791" t="str">
        <f t="shared" si="1103"/>
        <v/>
      </c>
      <c r="BO791" s="118" t="str">
        <f t="shared" si="1104"/>
        <v/>
      </c>
      <c r="BP791" s="118" t="str">
        <f t="shared" si="1105"/>
        <v/>
      </c>
      <c r="BQ791" s="119" t="str">
        <f>+IF(OR($W791="",BO791=0),"",ROUND((VLOOKUP(ROUNDDOWN($D791-1/frec,0),cob_adi,BB$40,FALSE)*(1+i/frec)^-0.5*(1+Parámetros!$D$103)*(1+rec_fracc)/frec),6))</f>
        <v/>
      </c>
      <c r="BR791" s="66" t="str">
        <f t="shared" si="1062"/>
        <v/>
      </c>
      <c r="BS791" s="119" t="str">
        <f t="shared" si="1063"/>
        <v/>
      </c>
      <c r="BT791" s="66" t="str">
        <f>+IF($W791="","",ROUND(IF($B791&gt;Parámetros!$D$107,'Tablas Servicio'!BR791+('Tablas Servicio'!BT790-'Tablas Servicio'!BR790),BR791/(1-IF(B791&lt;=10,Parámetros!$D$100,0))),2))</f>
        <v/>
      </c>
      <c r="BU791" s="66" t="str">
        <f t="shared" si="1124"/>
        <v/>
      </c>
      <c r="BV791" s="66" t="str">
        <f t="shared" si="1124"/>
        <v/>
      </c>
      <c r="BW791" s="66" t="str">
        <f>+IF($W791="","",ROUND((BT791*Parámetros!$G$85),2))</f>
        <v/>
      </c>
      <c r="BX791" s="66" t="str">
        <f>+IF($W791="","",ROUND((BT791*(Parámetros!$G$86)),2))</f>
        <v/>
      </c>
      <c r="BY791" s="66" t="str">
        <f t="shared" si="1065"/>
        <v/>
      </c>
      <c r="BZ791" t="str">
        <f t="shared" si="1106"/>
        <v/>
      </c>
      <c r="CA791" t="str">
        <f t="shared" si="1107"/>
        <v/>
      </c>
      <c r="CB791" s="118" t="str">
        <f t="shared" si="1108"/>
        <v/>
      </c>
      <c r="CC791" s="118" t="str">
        <f t="shared" si="1109"/>
        <v/>
      </c>
      <c r="CD791" s="119" t="str">
        <f t="shared" si="1066"/>
        <v/>
      </c>
      <c r="CE791" s="66" t="str">
        <f>+IF($W791="","",ROUND((VLOOKUP(ROUNDDOWN($D791-1/frec,0),cob_adi,BO$40,FALSE)*(1+i/frec)^-0.5*(1+Parámetros!$D$103)*(1+rec_fracc)/frec*'TABLAS ADI'!$BC$17),2))</f>
        <v/>
      </c>
      <c r="CF791" s="119" t="str">
        <f t="shared" si="1067"/>
        <v/>
      </c>
      <c r="CG791" s="66" t="str">
        <f>+IF($W791="","",ROUND(IF($B791&gt;Parámetros!$D$107,'Tablas Servicio'!CE791+('Tablas Servicio'!CG790-'Tablas Servicio'!CE790),CE791/(1-IF(B791&lt;=10,Parámetros!$D$100,0))),2))</f>
        <v/>
      </c>
      <c r="CH791" s="66" t="str">
        <f t="shared" si="1125"/>
        <v/>
      </c>
      <c r="CI791" s="66" t="str">
        <f t="shared" si="1125"/>
        <v/>
      </c>
      <c r="CJ791" s="66" t="str">
        <f>+IF($W791="","",ROUND((CG791*Parámetros!$G$85),2))</f>
        <v/>
      </c>
      <c r="CK791" s="66" t="str">
        <f>+IF($W791="","",ROUND((CG791*(Parámetros!$G$86)),2))</f>
        <v/>
      </c>
      <c r="CL791" s="66" t="str">
        <f t="shared" si="1069"/>
        <v/>
      </c>
      <c r="CM791" t="str">
        <f t="shared" si="1110"/>
        <v/>
      </c>
      <c r="CN791" s="118" t="str">
        <f t="shared" si="1111"/>
        <v/>
      </c>
      <c r="CO791" s="118" t="str">
        <f t="shared" si="1112"/>
        <v/>
      </c>
      <c r="CP791" s="118" t="str">
        <f t="shared" si="1113"/>
        <v/>
      </c>
      <c r="CQ791" s="119" t="str">
        <f t="shared" si="1070"/>
        <v/>
      </c>
      <c r="CR791" s="66" t="str">
        <f>+IF($W791="","",ROUND((VLOOKUP(Parámetros!$F$51,'COBERTURAS ADICIONALES'!$S$4:$T$32,2,FALSE)*(1+i/frec)^-0.5*(1+Parámetros!$D$103)*(1+rec_fracc)/frec*$CO$42),2))</f>
        <v/>
      </c>
      <c r="CS791" s="119" t="str">
        <f t="shared" si="1071"/>
        <v/>
      </c>
      <c r="CT791" s="66" t="str">
        <f>+IF($W791="","",ROUND(IF($B791&gt;Parámetros!$D$107,'Tablas Servicio'!CR791+('Tablas Servicio'!CT790-'Tablas Servicio'!CR790),CR791/(1-IF(B791&lt;=10,Parámetros!$D$100,0))),2))</f>
        <v/>
      </c>
      <c r="CU791" s="66" t="str">
        <f t="shared" si="1126"/>
        <v/>
      </c>
      <c r="CV791" s="66" t="str">
        <f t="shared" si="1126"/>
        <v/>
      </c>
      <c r="CW791" s="66" t="str">
        <f>+IF($W791="","",ROUND((CT791*Parámetros!$G$85),2))</f>
        <v/>
      </c>
      <c r="CX791" s="66" t="str">
        <f>+IF($W791="","",ROUND((CT791*(Parámetros!$G$86)),2))</f>
        <v/>
      </c>
      <c r="CY791" s="66" t="str">
        <f t="shared" si="1073"/>
        <v/>
      </c>
      <c r="CZ791" t="str">
        <f t="shared" si="1114"/>
        <v/>
      </c>
      <c r="DA791" s="118" t="str">
        <f t="shared" si="1115"/>
        <v/>
      </c>
      <c r="DB791" s="118" t="str">
        <f t="shared" si="1116"/>
        <v/>
      </c>
      <c r="DC791" s="118" t="str">
        <f t="shared" si="1117"/>
        <v/>
      </c>
      <c r="DD791" s="121" t="str">
        <f>+IF(OR($W791="",DB791=0),"",ROUND((VLOOKUP(ROUNDDOWN($D791-1/frec,0),cob_adi,CO$40,FALSE)*(1+i/frec)^-0.5*(1+Parámetros!$D$103)*(1+rec_fracc)/frec),6))</f>
        <v/>
      </c>
      <c r="DE791" s="66" t="str">
        <f t="shared" si="1074"/>
        <v/>
      </c>
      <c r="DF791" s="119" t="str">
        <f t="shared" si="1075"/>
        <v/>
      </c>
      <c r="DG791" s="66" t="str">
        <f>+IF($W791="","",ROUND(IF($B791&gt;Parámetros!$D$107,'Tablas Servicio'!DE791+('Tablas Servicio'!DG790-'Tablas Servicio'!DE790),DE791/(1-IF(B791&lt;=10,Parámetros!$D$100,0))),2))</f>
        <v/>
      </c>
      <c r="DH791" s="66" t="str">
        <f t="shared" si="1127"/>
        <v/>
      </c>
      <c r="DI791" s="66" t="str">
        <f t="shared" si="1127"/>
        <v/>
      </c>
      <c r="DJ791" s="66" t="str">
        <f>+IF($W791="","",ROUND((DG791*Parámetros!$G$85),2))</f>
        <v/>
      </c>
      <c r="DK791" s="66" t="str">
        <f>+IF($W791="","",ROUND((DG791*(Parámetros!$G$86)),2))</f>
        <v/>
      </c>
      <c r="DL791" s="66" t="str">
        <f t="shared" si="1077"/>
        <v/>
      </c>
      <c r="DM791" t="str">
        <f t="shared" si="1118"/>
        <v/>
      </c>
      <c r="DN791" s="118" t="str">
        <f t="shared" si="1119"/>
        <v/>
      </c>
      <c r="DO791" s="118" t="str">
        <f t="shared" si="1120"/>
        <v/>
      </c>
      <c r="DP791" s="118" t="str">
        <f t="shared" si="1121"/>
        <v/>
      </c>
      <c r="DQ791" s="122" t="str">
        <f>+IF(OR($W791="",DO791=0),"",ROUND((VLOOKUP(ROUNDDOWN($D791-1/frec,0),cob_adi,DB$40,FALSE)*(1+i/frec)^-0.5*(1+Parámetros!$D$103)*(1+rec_fracc)/frec),6))</f>
        <v/>
      </c>
      <c r="DR791" s="66" t="str">
        <f t="shared" si="1078"/>
        <v/>
      </c>
      <c r="DS791" s="68" t="str">
        <f t="shared" si="1079"/>
        <v/>
      </c>
      <c r="DT791" s="66" t="str">
        <f>+IF($W791="","",ROUND(IF($B791&gt;Parámetros!$D$107,'Tablas Servicio'!DR791+('Tablas Servicio'!DT790-'Tablas Servicio'!DR790),DR791/(1-IF(B791&lt;=10,Parámetros!$D$100,0))),2))</f>
        <v/>
      </c>
      <c r="DU791" s="66" t="str">
        <f t="shared" si="1128"/>
        <v/>
      </c>
      <c r="DV791" s="66" t="str">
        <f t="shared" si="1128"/>
        <v/>
      </c>
      <c r="DW791" s="66" t="str">
        <f>+IF($W791="","",ROUND((DT791*Parámetros!$G$85),2))</f>
        <v/>
      </c>
      <c r="DX791" s="66" t="str">
        <f>+IF($W791="","",ROUND((DT791*(Parámetros!$G$86)),2))</f>
        <v/>
      </c>
      <c r="DY791" s="66" t="str">
        <f t="shared" si="1081"/>
        <v/>
      </c>
      <c r="DZ791" t="str">
        <f t="shared" si="1129"/>
        <v/>
      </c>
      <c r="EA791" s="118" t="str">
        <f t="shared" si="1129"/>
        <v/>
      </c>
      <c r="EB791" s="118" t="str">
        <f>+IF($W791="","",ROUND(IF(Parámetros!$D$25='TABLAS MORT'!$V$33,EB790,Z791/2),0))</f>
        <v/>
      </c>
      <c r="EC791" s="118" t="str">
        <f t="shared" si="1129"/>
        <v/>
      </c>
      <c r="ED791" s="122" t="str">
        <f>+IF(OR($W791="",EB791=0),"",ROUND((VLOOKUP(ROUNDDOWN($D791-1/frec,0),cob_adi,DO$40,FALSE)*(1+i/frec)^-0.5*(1+Parámetros!$D$103)*(1+rec_fracc)/frec),6))</f>
        <v/>
      </c>
      <c r="EE791" s="66" t="str">
        <f t="shared" si="1083"/>
        <v/>
      </c>
      <c r="EF791" s="68" t="str">
        <f t="shared" si="1084"/>
        <v/>
      </c>
      <c r="EG791" s="66" t="str">
        <f>+IF($W791="","",ROUND(IF($B791&gt;Parámetros!$D$107,'Tablas Servicio'!EE791+('Tablas Servicio'!EG790-'Tablas Servicio'!EE790),EE791/(1-IF(B791&lt;=10,Parámetros!$D$100,0))),2))</f>
        <v/>
      </c>
      <c r="EH791" s="66" t="str">
        <f t="shared" si="1130"/>
        <v/>
      </c>
      <c r="EI791" s="66" t="str">
        <f t="shared" si="1130"/>
        <v/>
      </c>
      <c r="EJ791" s="66" t="str">
        <f>+IF($W791="","",ROUND((EG791*Parámetros!$G$85),2))</f>
        <v/>
      </c>
      <c r="EK791" s="66" t="str">
        <f>+IF($W791="","",ROUND((EG791*(Parámetros!$G$86)),2))</f>
        <v/>
      </c>
      <c r="EL791" s="66" t="str">
        <f t="shared" si="1086"/>
        <v/>
      </c>
    </row>
    <row r="792" spans="1:142" x14ac:dyDescent="0.25">
      <c r="A792" t="str">
        <f>+IF($C792="","",ROUND(VLOOKUP('Tablas Servicio'!B792,Parámetros!$H$100:$J$159,IF(Parámetros!$E$16="F",2,3),FALSE),2))</f>
        <v/>
      </c>
      <c r="B792" t="str">
        <f t="shared" si="1037"/>
        <v/>
      </c>
      <c r="C792" s="57" t="str">
        <f>+IF(D792="","",'Tablas Servicio'!C791+1)</f>
        <v/>
      </c>
      <c r="D792" s="56" t="str">
        <f>+IF(D791&lt;edadmaxtabla,D791+1/Parámetros!$E$25,"")</f>
        <v/>
      </c>
      <c r="E792" s="57" t="str">
        <f t="shared" si="1047"/>
        <v/>
      </c>
      <c r="F792" s="59" t="str">
        <f t="shared" si="1048"/>
        <v/>
      </c>
      <c r="G792" s="66" t="str">
        <f t="shared" si="1038"/>
        <v/>
      </c>
      <c r="H792" s="66" t="str">
        <f t="shared" si="1039"/>
        <v/>
      </c>
      <c r="I792" s="66" t="str">
        <f t="shared" si="1087"/>
        <v/>
      </c>
      <c r="J792" s="66" t="str">
        <f t="shared" si="1040"/>
        <v/>
      </c>
      <c r="K792" s="66" t="str">
        <f t="shared" si="1041"/>
        <v/>
      </c>
      <c r="L792" s="66" t="str">
        <f t="shared" si="1042"/>
        <v/>
      </c>
      <c r="M792" s="66" t="str">
        <f t="shared" si="1043"/>
        <v/>
      </c>
      <c r="N792" s="66" t="str">
        <f>+IF(C792="","",ROUND(Parámetros!$D$23,2))</f>
        <v/>
      </c>
      <c r="O792" s="66" t="str">
        <f t="shared" si="1044"/>
        <v/>
      </c>
      <c r="P792" s="66" t="str">
        <f>+IF($C792="","",ROUND(IF(B792&gt;Parámetros!$D$117,0,N792*Parámetros!$D$116-G792*Parámetros!$D$100),2))</f>
        <v/>
      </c>
      <c r="Q792" s="75" t="str">
        <f t="shared" si="1088"/>
        <v/>
      </c>
      <c r="R792" s="75" t="str">
        <f t="shared" si="1089"/>
        <v/>
      </c>
      <c r="S792" s="117" t="str">
        <f>+IF($C792="","",ROUND((S791+I792)*(1+Parámetros!$D$91),2))</f>
        <v/>
      </c>
      <c r="T792" s="117" t="str">
        <f>+IF($C792="","",ROUND(S792*VLOOKUP(B792,Parámetros!$C$30:$D$39,2,TRUE),2))</f>
        <v/>
      </c>
      <c r="U792" s="117" t="str">
        <f>+IF($C792="","",ROUND((U791+I792)*(1+Parámetros!$D$92),2))</f>
        <v/>
      </c>
      <c r="V792" s="117" t="str">
        <f>+IF($C792="","",ROUND(U792*VLOOKUP(B792,Parámetros!$C$30:$D$39,2,TRUE),2))</f>
        <v/>
      </c>
      <c r="W792" s="57" t="str">
        <f t="shared" si="1090"/>
        <v/>
      </c>
      <c r="X792" t="str">
        <f t="shared" si="1091"/>
        <v/>
      </c>
      <c r="Y792" t="str">
        <f t="shared" si="1092"/>
        <v/>
      </c>
      <c r="Z792" s="118" t="str">
        <f>+IF($W792="","",ROUND(IF(Parámetros!$D$25='TABLAS MORT'!$V$33,Z791,Parámetros!$D$21-'Tablas Servicio'!T791),0))</f>
        <v/>
      </c>
      <c r="AA792" s="118" t="str">
        <f t="shared" si="1093"/>
        <v/>
      </c>
      <c r="AB792" s="119" t="str">
        <f>+IF(W792="","",ROUND((VLOOKUP(ROUNDDOWN($D792-1/frec,0),qx_tabla,2,FALSE)*(1+i/frec)^-0.5*(1+Parámetros!$D$103)*(1+rec_fracc)/frec),6))</f>
        <v/>
      </c>
      <c r="AC792" s="66" t="str">
        <f t="shared" si="1049"/>
        <v/>
      </c>
      <c r="AD792" s="119" t="str">
        <f t="shared" si="1045"/>
        <v/>
      </c>
      <c r="AE792" s="66" t="str">
        <f>+IF($W792="","",ROUND(IF($B792&gt;Parámetros!$D$107,'Tablas Servicio'!AC792+('Tablas Servicio'!AG791-'Tablas Servicio'!AC791),AC792/(1-IF(B792&lt;=10,Parámetros!$D$104,Parámetros!$D$105))),2))</f>
        <v/>
      </c>
      <c r="AF792" s="66" t="str">
        <f>+IF($W792="","",ROUND(IF($B792&gt;Parámetros!$D$107,'Tablas Servicio'!AC792+('Tablas Servicio'!AG791-'Tablas Servicio'!AC791),(AC792+$A791/frec)/(1-IF(B792&lt;=Parámetros!$D$117,Parámetros!$D$100,0))),2))</f>
        <v/>
      </c>
      <c r="AG792" s="66" t="str">
        <f t="shared" si="1050"/>
        <v/>
      </c>
      <c r="AH792" s="66" t="str">
        <f t="shared" si="1051"/>
        <v/>
      </c>
      <c r="AI792" s="66" t="str">
        <f t="shared" si="1052"/>
        <v/>
      </c>
      <c r="AJ792" s="66" t="str">
        <f>+IF($W792="","",ROUND((AG792*Parámetros!$G$85),2))</f>
        <v/>
      </c>
      <c r="AK792" s="66" t="str">
        <f>+IF($W792="","",ROUND((AG792*(Parámetros!$G$86)),2))</f>
        <v/>
      </c>
      <c r="AL792" s="66" t="str">
        <f t="shared" si="1046"/>
        <v/>
      </c>
      <c r="AM792" t="str">
        <f t="shared" si="1094"/>
        <v/>
      </c>
      <c r="AN792" t="str">
        <f t="shared" si="1095"/>
        <v/>
      </c>
      <c r="AO792" s="118" t="str">
        <f t="shared" si="1096"/>
        <v/>
      </c>
      <c r="AP792" s="118" t="str">
        <f t="shared" si="1097"/>
        <v/>
      </c>
      <c r="AQ792" s="119" t="str">
        <f>+IF(OR($W792="",AO792=0),"",ROUND((VLOOKUP(ROUNDDOWN($D792-1/frec,0),cob_adi,Z$40,FALSE)*(1+i/frec)^-0.5*(1+Parámetros!$D$103)*(1+rec_fracc)/frec),6))</f>
        <v/>
      </c>
      <c r="AR792" s="66" t="str">
        <f t="shared" si="1053"/>
        <v/>
      </c>
      <c r="AS792" s="119" t="str">
        <f t="shared" si="1054"/>
        <v/>
      </c>
      <c r="AT792" s="66" t="str">
        <f>+IF($W792="","",ROUND(IF($B792&gt;Parámetros!$D$107,'Tablas Servicio'!AR792+('Tablas Servicio'!AT791-'Tablas Servicio'!AR791),AR792/(1-IF(B792&lt;=10,Parámetros!$D$100,0))),2))</f>
        <v/>
      </c>
      <c r="AU792" s="66" t="str">
        <f t="shared" si="1123"/>
        <v/>
      </c>
      <c r="AV792" s="66" t="str">
        <f t="shared" si="1123"/>
        <v/>
      </c>
      <c r="AW792" s="66" t="str">
        <f>+IF($W792="","",ROUND((AT792*Parámetros!$G$85),2))</f>
        <v/>
      </c>
      <c r="AX792" s="66" t="str">
        <f>+IF($W792="","",ROUND((AT792*(Parámetros!$G$86)),2))</f>
        <v/>
      </c>
      <c r="AY792" s="66" t="str">
        <f t="shared" si="1056"/>
        <v/>
      </c>
      <c r="AZ792" t="str">
        <f t="shared" si="1098"/>
        <v/>
      </c>
      <c r="BA792" t="str">
        <f t="shared" si="1099"/>
        <v/>
      </c>
      <c r="BB792" s="118" t="str">
        <f t="shared" si="1100"/>
        <v/>
      </c>
      <c r="BC792" s="118" t="str">
        <f t="shared" si="1101"/>
        <v/>
      </c>
      <c r="BD792" s="119" t="str">
        <f>+IF(OR($W792="",BB792=0),"",ROUND((VLOOKUP(ROUNDDOWN($D792-1/frec,0),cob_adi,AO$40,FALSE)*(1+i/frec)^-0.5*(1+Parámetros!$D$103)*(1+rec_fracc)/frec),6))</f>
        <v/>
      </c>
      <c r="BE792" s="66" t="str">
        <f t="shared" si="1057"/>
        <v/>
      </c>
      <c r="BF792" s="119" t="str">
        <f t="shared" si="1058"/>
        <v/>
      </c>
      <c r="BG792" s="66" t="str">
        <f>+IF($W792="","",ROUND(IF($B792&gt;Parámetros!$D$107,'Tablas Servicio'!BE792+('Tablas Servicio'!BG791-'Tablas Servicio'!BE791),BE792/(1-IF(B792&lt;=10,Parámetros!$D$100,0))),2))</f>
        <v/>
      </c>
      <c r="BH792" s="66" t="str">
        <f t="shared" si="1059"/>
        <v/>
      </c>
      <c r="BI792" s="66" t="str">
        <f t="shared" si="1060"/>
        <v/>
      </c>
      <c r="BJ792" s="66" t="str">
        <f>+IF($W792="","",ROUND((BG792*Parámetros!$G$85),2))</f>
        <v/>
      </c>
      <c r="BK792" s="66" t="str">
        <f>+IF($W792="","",ROUND((BG792*(Parámetros!$G$86)),2))</f>
        <v/>
      </c>
      <c r="BL792" s="66" t="str">
        <f t="shared" si="1061"/>
        <v/>
      </c>
      <c r="BM792" t="str">
        <f t="shared" si="1102"/>
        <v/>
      </c>
      <c r="BN792" t="str">
        <f t="shared" si="1103"/>
        <v/>
      </c>
      <c r="BO792" s="118" t="str">
        <f t="shared" si="1104"/>
        <v/>
      </c>
      <c r="BP792" s="118" t="str">
        <f t="shared" si="1105"/>
        <v/>
      </c>
      <c r="BQ792" s="119" t="str">
        <f>+IF(OR($W792="",BO792=0),"",ROUND((VLOOKUP(ROUNDDOWN($D792-1/frec,0),cob_adi,BB$40,FALSE)*(1+i/frec)^-0.5*(1+Parámetros!$D$103)*(1+rec_fracc)/frec),6))</f>
        <v/>
      </c>
      <c r="BR792" s="66" t="str">
        <f t="shared" si="1062"/>
        <v/>
      </c>
      <c r="BS792" s="119" t="str">
        <f t="shared" si="1063"/>
        <v/>
      </c>
      <c r="BT792" s="66" t="str">
        <f>+IF($W792="","",ROUND(IF($B792&gt;Parámetros!$D$107,'Tablas Servicio'!BR792+('Tablas Servicio'!BT791-'Tablas Servicio'!BR791),BR792/(1-IF(B792&lt;=10,Parámetros!$D$100,0))),2))</f>
        <v/>
      </c>
      <c r="BU792" s="66" t="str">
        <f t="shared" si="1124"/>
        <v/>
      </c>
      <c r="BV792" s="66" t="str">
        <f t="shared" si="1124"/>
        <v/>
      </c>
      <c r="BW792" s="66" t="str">
        <f>+IF($W792="","",ROUND((BT792*Parámetros!$G$85),2))</f>
        <v/>
      </c>
      <c r="BX792" s="66" t="str">
        <f>+IF($W792="","",ROUND((BT792*(Parámetros!$G$86)),2))</f>
        <v/>
      </c>
      <c r="BY792" s="66" t="str">
        <f t="shared" si="1065"/>
        <v/>
      </c>
      <c r="BZ792" t="str">
        <f t="shared" si="1106"/>
        <v/>
      </c>
      <c r="CA792" t="str">
        <f t="shared" si="1107"/>
        <v/>
      </c>
      <c r="CB792" s="118" t="str">
        <f t="shared" si="1108"/>
        <v/>
      </c>
      <c r="CC792" s="118" t="str">
        <f t="shared" si="1109"/>
        <v/>
      </c>
      <c r="CD792" s="119" t="str">
        <f t="shared" si="1066"/>
        <v/>
      </c>
      <c r="CE792" s="66" t="str">
        <f>+IF($W792="","",ROUND((VLOOKUP(ROUNDDOWN($D792-1/frec,0),cob_adi,BO$40,FALSE)*(1+i/frec)^-0.5*(1+Parámetros!$D$103)*(1+rec_fracc)/frec*'TABLAS ADI'!$BC$17),2))</f>
        <v/>
      </c>
      <c r="CF792" s="119" t="str">
        <f t="shared" si="1067"/>
        <v/>
      </c>
      <c r="CG792" s="66" t="str">
        <f>+IF($W792="","",ROUND(IF($B792&gt;Parámetros!$D$107,'Tablas Servicio'!CE792+('Tablas Servicio'!CG791-'Tablas Servicio'!CE791),CE792/(1-IF(B792&lt;=10,Parámetros!$D$100,0))),2))</f>
        <v/>
      </c>
      <c r="CH792" s="66" t="str">
        <f t="shared" si="1125"/>
        <v/>
      </c>
      <c r="CI792" s="66" t="str">
        <f t="shared" si="1125"/>
        <v/>
      </c>
      <c r="CJ792" s="66" t="str">
        <f>+IF($W792="","",ROUND((CG792*Parámetros!$G$85),2))</f>
        <v/>
      </c>
      <c r="CK792" s="66" t="str">
        <f>+IF($W792="","",ROUND((CG792*(Parámetros!$G$86)),2))</f>
        <v/>
      </c>
      <c r="CL792" s="66" t="str">
        <f t="shared" si="1069"/>
        <v/>
      </c>
      <c r="CM792" t="str">
        <f t="shared" si="1110"/>
        <v/>
      </c>
      <c r="CN792" s="118" t="str">
        <f t="shared" si="1111"/>
        <v/>
      </c>
      <c r="CO792" s="118" t="str">
        <f t="shared" si="1112"/>
        <v/>
      </c>
      <c r="CP792" s="118" t="str">
        <f t="shared" si="1113"/>
        <v/>
      </c>
      <c r="CQ792" s="119" t="str">
        <f t="shared" si="1070"/>
        <v/>
      </c>
      <c r="CR792" s="66" t="str">
        <f>+IF($W792="","",ROUND((VLOOKUP(Parámetros!$F$51,'COBERTURAS ADICIONALES'!$S$4:$T$32,2,FALSE)*(1+i/frec)^-0.5*(1+Parámetros!$D$103)*(1+rec_fracc)/frec*$CO$42),2))</f>
        <v/>
      </c>
      <c r="CS792" s="119" t="str">
        <f t="shared" si="1071"/>
        <v/>
      </c>
      <c r="CT792" s="66" t="str">
        <f>+IF($W792="","",ROUND(IF($B792&gt;Parámetros!$D$107,'Tablas Servicio'!CR792+('Tablas Servicio'!CT791-'Tablas Servicio'!CR791),CR792/(1-IF(B792&lt;=10,Parámetros!$D$100,0))),2))</f>
        <v/>
      </c>
      <c r="CU792" s="66" t="str">
        <f t="shared" si="1126"/>
        <v/>
      </c>
      <c r="CV792" s="66" t="str">
        <f t="shared" si="1126"/>
        <v/>
      </c>
      <c r="CW792" s="66" t="str">
        <f>+IF($W792="","",ROUND((CT792*Parámetros!$G$85),2))</f>
        <v/>
      </c>
      <c r="CX792" s="66" t="str">
        <f>+IF($W792="","",ROUND((CT792*(Parámetros!$G$86)),2))</f>
        <v/>
      </c>
      <c r="CY792" s="66" t="str">
        <f t="shared" si="1073"/>
        <v/>
      </c>
      <c r="CZ792" t="str">
        <f t="shared" si="1114"/>
        <v/>
      </c>
      <c r="DA792" s="118" t="str">
        <f t="shared" si="1115"/>
        <v/>
      </c>
      <c r="DB792" s="118" t="str">
        <f t="shared" si="1116"/>
        <v/>
      </c>
      <c r="DC792" s="118" t="str">
        <f t="shared" si="1117"/>
        <v/>
      </c>
      <c r="DD792" s="121" t="str">
        <f>+IF(OR($W792="",DB792=0),"",ROUND((VLOOKUP(ROUNDDOWN($D792-1/frec,0),cob_adi,CO$40,FALSE)*(1+i/frec)^-0.5*(1+Parámetros!$D$103)*(1+rec_fracc)/frec),6))</f>
        <v/>
      </c>
      <c r="DE792" s="66" t="str">
        <f t="shared" si="1074"/>
        <v/>
      </c>
      <c r="DF792" s="119" t="str">
        <f t="shared" si="1075"/>
        <v/>
      </c>
      <c r="DG792" s="66" t="str">
        <f>+IF($W792="","",ROUND(IF($B792&gt;Parámetros!$D$107,'Tablas Servicio'!DE792+('Tablas Servicio'!DG791-'Tablas Servicio'!DE791),DE792/(1-IF(B792&lt;=10,Parámetros!$D$100,0))),2))</f>
        <v/>
      </c>
      <c r="DH792" s="66" t="str">
        <f t="shared" si="1127"/>
        <v/>
      </c>
      <c r="DI792" s="66" t="str">
        <f t="shared" si="1127"/>
        <v/>
      </c>
      <c r="DJ792" s="66" t="str">
        <f>+IF($W792="","",ROUND((DG792*Parámetros!$G$85),2))</f>
        <v/>
      </c>
      <c r="DK792" s="66" t="str">
        <f>+IF($W792="","",ROUND((DG792*(Parámetros!$G$86)),2))</f>
        <v/>
      </c>
      <c r="DL792" s="66" t="str">
        <f t="shared" si="1077"/>
        <v/>
      </c>
      <c r="DM792" t="str">
        <f t="shared" si="1118"/>
        <v/>
      </c>
      <c r="DN792" s="118" t="str">
        <f t="shared" si="1119"/>
        <v/>
      </c>
      <c r="DO792" s="118" t="str">
        <f t="shared" si="1120"/>
        <v/>
      </c>
      <c r="DP792" s="118" t="str">
        <f t="shared" si="1121"/>
        <v/>
      </c>
      <c r="DQ792" s="122" t="str">
        <f>+IF(OR($W792="",DO792=0),"",ROUND((VLOOKUP(ROUNDDOWN($D792-1/frec,0),cob_adi,DB$40,FALSE)*(1+i/frec)^-0.5*(1+Parámetros!$D$103)*(1+rec_fracc)/frec),6))</f>
        <v/>
      </c>
      <c r="DR792" s="66" t="str">
        <f t="shared" si="1078"/>
        <v/>
      </c>
      <c r="DS792" s="68" t="str">
        <f t="shared" si="1079"/>
        <v/>
      </c>
      <c r="DT792" s="66" t="str">
        <f>+IF($W792="","",ROUND(IF($B792&gt;Parámetros!$D$107,'Tablas Servicio'!DR792+('Tablas Servicio'!DT791-'Tablas Servicio'!DR791),DR792/(1-IF(B792&lt;=10,Parámetros!$D$100,0))),2))</f>
        <v/>
      </c>
      <c r="DU792" s="66" t="str">
        <f t="shared" si="1128"/>
        <v/>
      </c>
      <c r="DV792" s="66" t="str">
        <f t="shared" si="1128"/>
        <v/>
      </c>
      <c r="DW792" s="66" t="str">
        <f>+IF($W792="","",ROUND((DT792*Parámetros!$G$85),2))</f>
        <v/>
      </c>
      <c r="DX792" s="66" t="str">
        <f>+IF($W792="","",ROUND((DT792*(Parámetros!$G$86)),2))</f>
        <v/>
      </c>
      <c r="DY792" s="66" t="str">
        <f t="shared" si="1081"/>
        <v/>
      </c>
      <c r="DZ792" t="str">
        <f t="shared" si="1129"/>
        <v/>
      </c>
      <c r="EA792" s="118" t="str">
        <f t="shared" si="1129"/>
        <v/>
      </c>
      <c r="EB792" s="118" t="str">
        <f>+IF($W792="","",ROUND(IF(Parámetros!$D$25='TABLAS MORT'!$V$33,EB791,Z792/2),0))</f>
        <v/>
      </c>
      <c r="EC792" s="118" t="str">
        <f t="shared" si="1129"/>
        <v/>
      </c>
      <c r="ED792" s="122" t="str">
        <f>+IF(OR($W792="",EB792=0),"",ROUND((VLOOKUP(ROUNDDOWN($D792-1/frec,0),cob_adi,DO$40,FALSE)*(1+i/frec)^-0.5*(1+Parámetros!$D$103)*(1+rec_fracc)/frec),6))</f>
        <v/>
      </c>
      <c r="EE792" s="66" t="str">
        <f t="shared" si="1083"/>
        <v/>
      </c>
      <c r="EF792" s="68" t="str">
        <f t="shared" si="1084"/>
        <v/>
      </c>
      <c r="EG792" s="66" t="str">
        <f>+IF($W792="","",ROUND(IF($B792&gt;Parámetros!$D$107,'Tablas Servicio'!EE792+('Tablas Servicio'!EG791-'Tablas Servicio'!EE791),EE792/(1-IF(B792&lt;=10,Parámetros!$D$100,0))),2))</f>
        <v/>
      </c>
      <c r="EH792" s="66" t="str">
        <f t="shared" si="1130"/>
        <v/>
      </c>
      <c r="EI792" s="66" t="str">
        <f t="shared" si="1130"/>
        <v/>
      </c>
      <c r="EJ792" s="66" t="str">
        <f>+IF($W792="","",ROUND((EG792*Parámetros!$G$85),2))</f>
        <v/>
      </c>
      <c r="EK792" s="66" t="str">
        <f>+IF($W792="","",ROUND((EG792*(Parámetros!$G$86)),2))</f>
        <v/>
      </c>
      <c r="EL792" s="66" t="str">
        <f t="shared" si="1086"/>
        <v/>
      </c>
    </row>
    <row r="793" spans="1:142" x14ac:dyDescent="0.25">
      <c r="A793" t="str">
        <f>+IF($C793="","",ROUND(VLOOKUP('Tablas Servicio'!B793,Parámetros!$H$100:$J$159,IF(Parámetros!$E$16="F",2,3),FALSE),2))</f>
        <v/>
      </c>
      <c r="B793" t="str">
        <f t="shared" si="1037"/>
        <v/>
      </c>
      <c r="C793" s="57" t="str">
        <f>+IF(D793="","",'Tablas Servicio'!C792+1)</f>
        <v/>
      </c>
      <c r="D793" s="56" t="str">
        <f>+IF(D792&lt;edadmaxtabla,D792+1/Parámetros!$E$25,"")</f>
        <v/>
      </c>
      <c r="E793" s="57" t="str">
        <f t="shared" si="1047"/>
        <v/>
      </c>
      <c r="F793" s="59" t="str">
        <f t="shared" si="1048"/>
        <v/>
      </c>
      <c r="G793" s="66" t="str">
        <f t="shared" si="1038"/>
        <v/>
      </c>
      <c r="H793" s="66" t="str">
        <f t="shared" si="1039"/>
        <v/>
      </c>
      <c r="I793" s="66" t="str">
        <f t="shared" si="1087"/>
        <v/>
      </c>
      <c r="J793" s="66" t="str">
        <f t="shared" si="1040"/>
        <v/>
      </c>
      <c r="K793" s="66" t="str">
        <f t="shared" si="1041"/>
        <v/>
      </c>
      <c r="L793" s="66" t="str">
        <f t="shared" si="1042"/>
        <v/>
      </c>
      <c r="M793" s="66" t="str">
        <f t="shared" si="1043"/>
        <v/>
      </c>
      <c r="N793" s="66" t="str">
        <f>+IF(C793="","",ROUND(Parámetros!$D$23,2))</f>
        <v/>
      </c>
      <c r="O793" s="66" t="str">
        <f t="shared" si="1044"/>
        <v/>
      </c>
      <c r="P793" s="66" t="str">
        <f>+IF($C793="","",ROUND(IF(B793&gt;Parámetros!$D$117,0,N793*Parámetros!$D$116-G793*Parámetros!$D$100),2))</f>
        <v/>
      </c>
      <c r="Q793" s="75" t="str">
        <f t="shared" si="1088"/>
        <v/>
      </c>
      <c r="R793" s="75" t="str">
        <f t="shared" si="1089"/>
        <v/>
      </c>
      <c r="S793" s="117" t="str">
        <f>+IF($C793="","",ROUND((S792+I793)*(1+Parámetros!$D$91),2))</f>
        <v/>
      </c>
      <c r="T793" s="117" t="str">
        <f>+IF($C793="","",ROUND(S793*VLOOKUP(B793,Parámetros!$C$30:$D$39,2,TRUE),2))</f>
        <v/>
      </c>
      <c r="U793" s="117" t="str">
        <f>+IF($C793="","",ROUND((U792+I793)*(1+Parámetros!$D$92),2))</f>
        <v/>
      </c>
      <c r="V793" s="117" t="str">
        <f>+IF($C793="","",ROUND(U793*VLOOKUP(B793,Parámetros!$C$30:$D$39,2,TRUE),2))</f>
        <v/>
      </c>
      <c r="W793" s="57" t="str">
        <f t="shared" si="1090"/>
        <v/>
      </c>
      <c r="X793" t="str">
        <f t="shared" si="1091"/>
        <v/>
      </c>
      <c r="Y793" t="str">
        <f t="shared" si="1092"/>
        <v/>
      </c>
      <c r="Z793" s="118" t="str">
        <f>+IF($W793="","",ROUND(IF(Parámetros!$D$25='TABLAS MORT'!$V$33,Z792,Parámetros!$D$21-'Tablas Servicio'!T792),0))</f>
        <v/>
      </c>
      <c r="AA793" s="118" t="str">
        <f t="shared" si="1093"/>
        <v/>
      </c>
      <c r="AB793" s="119" t="str">
        <f>+IF(W793="","",ROUND((VLOOKUP(ROUNDDOWN($D793-1/frec,0),qx_tabla,2,FALSE)*(1+i/frec)^-0.5*(1+Parámetros!$D$103)*(1+rec_fracc)/frec),6))</f>
        <v/>
      </c>
      <c r="AC793" s="66" t="str">
        <f t="shared" si="1049"/>
        <v/>
      </c>
      <c r="AD793" s="119" t="str">
        <f t="shared" si="1045"/>
        <v/>
      </c>
      <c r="AE793" s="66" t="str">
        <f>+IF($W793="","",ROUND(IF($B793&gt;Parámetros!$D$107,'Tablas Servicio'!AC793+('Tablas Servicio'!AG792-'Tablas Servicio'!AC792),AC793/(1-IF(B793&lt;=10,Parámetros!$D$104,Parámetros!$D$105))),2))</f>
        <v/>
      </c>
      <c r="AF793" s="66" t="str">
        <f>+IF($W793="","",ROUND(IF($B793&gt;Parámetros!$D$107,'Tablas Servicio'!AC793+('Tablas Servicio'!AG792-'Tablas Servicio'!AC792),(AC793+$A792/frec)/(1-IF(B793&lt;=Parámetros!$D$117,Parámetros!$D$100,0))),2))</f>
        <v/>
      </c>
      <c r="AG793" s="66" t="str">
        <f t="shared" si="1050"/>
        <v/>
      </c>
      <c r="AH793" s="66" t="str">
        <f t="shared" si="1051"/>
        <v/>
      </c>
      <c r="AI793" s="66" t="str">
        <f t="shared" si="1052"/>
        <v/>
      </c>
      <c r="AJ793" s="66" t="str">
        <f>+IF($W793="","",ROUND((AG793*Parámetros!$G$85),2))</f>
        <v/>
      </c>
      <c r="AK793" s="66" t="str">
        <f>+IF($W793="","",ROUND((AG793*(Parámetros!$G$86)),2))</f>
        <v/>
      </c>
      <c r="AL793" s="66" t="str">
        <f t="shared" si="1046"/>
        <v/>
      </c>
      <c r="AM793" t="str">
        <f t="shared" si="1094"/>
        <v/>
      </c>
      <c r="AN793" t="str">
        <f t="shared" si="1095"/>
        <v/>
      </c>
      <c r="AO793" s="118" t="str">
        <f t="shared" si="1096"/>
        <v/>
      </c>
      <c r="AP793" s="118" t="str">
        <f t="shared" si="1097"/>
        <v/>
      </c>
      <c r="AQ793" s="119" t="str">
        <f>+IF(OR($W793="",AO793=0),"",ROUND((VLOOKUP(ROUNDDOWN($D793-1/frec,0),cob_adi,Z$40,FALSE)*(1+i/frec)^-0.5*(1+Parámetros!$D$103)*(1+rec_fracc)/frec),6))</f>
        <v/>
      </c>
      <c r="AR793" s="66" t="str">
        <f t="shared" si="1053"/>
        <v/>
      </c>
      <c r="AS793" s="119" t="str">
        <f t="shared" si="1054"/>
        <v/>
      </c>
      <c r="AT793" s="66" t="str">
        <f>+IF($W793="","",ROUND(IF($B793&gt;Parámetros!$D$107,'Tablas Servicio'!AR793+('Tablas Servicio'!AT792-'Tablas Servicio'!AR792),AR793/(1-IF(B793&lt;=10,Parámetros!$D$100,0))),2))</f>
        <v/>
      </c>
      <c r="AU793" s="66" t="str">
        <f t="shared" si="1123"/>
        <v/>
      </c>
      <c r="AV793" s="66" t="str">
        <f t="shared" si="1123"/>
        <v/>
      </c>
      <c r="AW793" s="66" t="str">
        <f>+IF($W793="","",ROUND((AT793*Parámetros!$G$85),2))</f>
        <v/>
      </c>
      <c r="AX793" s="66" t="str">
        <f>+IF($W793="","",ROUND((AT793*(Parámetros!$G$86)),2))</f>
        <v/>
      </c>
      <c r="AY793" s="66" t="str">
        <f t="shared" si="1056"/>
        <v/>
      </c>
      <c r="AZ793" t="str">
        <f t="shared" si="1098"/>
        <v/>
      </c>
      <c r="BA793" t="str">
        <f t="shared" si="1099"/>
        <v/>
      </c>
      <c r="BB793" s="118" t="str">
        <f t="shared" si="1100"/>
        <v/>
      </c>
      <c r="BC793" s="118" t="str">
        <f t="shared" si="1101"/>
        <v/>
      </c>
      <c r="BD793" s="119" t="str">
        <f>+IF(OR($W793="",BB793=0),"",ROUND((VLOOKUP(ROUNDDOWN($D793-1/frec,0),cob_adi,AO$40,FALSE)*(1+i/frec)^-0.5*(1+Parámetros!$D$103)*(1+rec_fracc)/frec),6))</f>
        <v/>
      </c>
      <c r="BE793" s="66" t="str">
        <f t="shared" si="1057"/>
        <v/>
      </c>
      <c r="BF793" s="119" t="str">
        <f t="shared" si="1058"/>
        <v/>
      </c>
      <c r="BG793" s="66" t="str">
        <f>+IF($W793="","",ROUND(IF($B793&gt;Parámetros!$D$107,'Tablas Servicio'!BE793+('Tablas Servicio'!BG792-'Tablas Servicio'!BE792),BE793/(1-IF(B793&lt;=10,Parámetros!$D$100,0))),2))</f>
        <v/>
      </c>
      <c r="BH793" s="66" t="str">
        <f t="shared" si="1059"/>
        <v/>
      </c>
      <c r="BI793" s="66" t="str">
        <f t="shared" si="1060"/>
        <v/>
      </c>
      <c r="BJ793" s="66" t="str">
        <f>+IF($W793="","",ROUND((BG793*Parámetros!$G$85),2))</f>
        <v/>
      </c>
      <c r="BK793" s="66" t="str">
        <f>+IF($W793="","",ROUND((BG793*(Parámetros!$G$86)),2))</f>
        <v/>
      </c>
      <c r="BL793" s="66" t="str">
        <f t="shared" si="1061"/>
        <v/>
      </c>
      <c r="BM793" t="str">
        <f t="shared" si="1102"/>
        <v/>
      </c>
      <c r="BN793" t="str">
        <f t="shared" si="1103"/>
        <v/>
      </c>
      <c r="BO793" s="118" t="str">
        <f t="shared" si="1104"/>
        <v/>
      </c>
      <c r="BP793" s="118" t="str">
        <f t="shared" si="1105"/>
        <v/>
      </c>
      <c r="BQ793" s="119" t="str">
        <f>+IF(OR($W793="",BO793=0),"",ROUND((VLOOKUP(ROUNDDOWN($D793-1/frec,0),cob_adi,BB$40,FALSE)*(1+i/frec)^-0.5*(1+Parámetros!$D$103)*(1+rec_fracc)/frec),6))</f>
        <v/>
      </c>
      <c r="BR793" s="66" t="str">
        <f t="shared" si="1062"/>
        <v/>
      </c>
      <c r="BS793" s="119" t="str">
        <f t="shared" si="1063"/>
        <v/>
      </c>
      <c r="BT793" s="66" t="str">
        <f>+IF($W793="","",ROUND(IF($B793&gt;Parámetros!$D$107,'Tablas Servicio'!BR793+('Tablas Servicio'!BT792-'Tablas Servicio'!BR792),BR793/(1-IF(B793&lt;=10,Parámetros!$D$100,0))),2))</f>
        <v/>
      </c>
      <c r="BU793" s="66" t="str">
        <f t="shared" si="1124"/>
        <v/>
      </c>
      <c r="BV793" s="66" t="str">
        <f t="shared" si="1124"/>
        <v/>
      </c>
      <c r="BW793" s="66" t="str">
        <f>+IF($W793="","",ROUND((BT793*Parámetros!$G$85),2))</f>
        <v/>
      </c>
      <c r="BX793" s="66" t="str">
        <f>+IF($W793="","",ROUND((BT793*(Parámetros!$G$86)),2))</f>
        <v/>
      </c>
      <c r="BY793" s="66" t="str">
        <f t="shared" si="1065"/>
        <v/>
      </c>
      <c r="BZ793" t="str">
        <f t="shared" si="1106"/>
        <v/>
      </c>
      <c r="CA793" t="str">
        <f t="shared" si="1107"/>
        <v/>
      </c>
      <c r="CB793" s="118" t="str">
        <f t="shared" si="1108"/>
        <v/>
      </c>
      <c r="CC793" s="118" t="str">
        <f t="shared" si="1109"/>
        <v/>
      </c>
      <c r="CD793" s="119" t="str">
        <f t="shared" si="1066"/>
        <v/>
      </c>
      <c r="CE793" s="66" t="str">
        <f>+IF($W793="","",ROUND((VLOOKUP(ROUNDDOWN($D793-1/frec,0),cob_adi,BO$40,FALSE)*(1+i/frec)^-0.5*(1+Parámetros!$D$103)*(1+rec_fracc)/frec*'TABLAS ADI'!$BC$17),2))</f>
        <v/>
      </c>
      <c r="CF793" s="119" t="str">
        <f t="shared" si="1067"/>
        <v/>
      </c>
      <c r="CG793" s="66" t="str">
        <f>+IF($W793="","",ROUND(IF($B793&gt;Parámetros!$D$107,'Tablas Servicio'!CE793+('Tablas Servicio'!CG792-'Tablas Servicio'!CE792),CE793/(1-IF(B793&lt;=10,Parámetros!$D$100,0))),2))</f>
        <v/>
      </c>
      <c r="CH793" s="66" t="str">
        <f t="shared" si="1125"/>
        <v/>
      </c>
      <c r="CI793" s="66" t="str">
        <f t="shared" si="1125"/>
        <v/>
      </c>
      <c r="CJ793" s="66" t="str">
        <f>+IF($W793="","",ROUND((CG793*Parámetros!$G$85),2))</f>
        <v/>
      </c>
      <c r="CK793" s="66" t="str">
        <f>+IF($W793="","",ROUND((CG793*(Parámetros!$G$86)),2))</f>
        <v/>
      </c>
      <c r="CL793" s="66" t="str">
        <f t="shared" si="1069"/>
        <v/>
      </c>
      <c r="CM793" t="str">
        <f t="shared" si="1110"/>
        <v/>
      </c>
      <c r="CN793" s="118" t="str">
        <f t="shared" si="1111"/>
        <v/>
      </c>
      <c r="CO793" s="118" t="str">
        <f t="shared" si="1112"/>
        <v/>
      </c>
      <c r="CP793" s="118" t="str">
        <f t="shared" si="1113"/>
        <v/>
      </c>
      <c r="CQ793" s="119" t="str">
        <f t="shared" si="1070"/>
        <v/>
      </c>
      <c r="CR793" s="66" t="str">
        <f>+IF($W793="","",ROUND((VLOOKUP(Parámetros!$F$51,'COBERTURAS ADICIONALES'!$S$4:$T$32,2,FALSE)*(1+i/frec)^-0.5*(1+Parámetros!$D$103)*(1+rec_fracc)/frec*$CO$42),2))</f>
        <v/>
      </c>
      <c r="CS793" s="119" t="str">
        <f t="shared" si="1071"/>
        <v/>
      </c>
      <c r="CT793" s="66" t="str">
        <f>+IF($W793="","",ROUND(IF($B793&gt;Parámetros!$D$107,'Tablas Servicio'!CR793+('Tablas Servicio'!CT792-'Tablas Servicio'!CR792),CR793/(1-IF(B793&lt;=10,Parámetros!$D$100,0))),2))</f>
        <v/>
      </c>
      <c r="CU793" s="66" t="str">
        <f t="shared" si="1126"/>
        <v/>
      </c>
      <c r="CV793" s="66" t="str">
        <f t="shared" si="1126"/>
        <v/>
      </c>
      <c r="CW793" s="66" t="str">
        <f>+IF($W793="","",ROUND((CT793*Parámetros!$G$85),2))</f>
        <v/>
      </c>
      <c r="CX793" s="66" t="str">
        <f>+IF($W793="","",ROUND((CT793*(Parámetros!$G$86)),2))</f>
        <v/>
      </c>
      <c r="CY793" s="66" t="str">
        <f t="shared" si="1073"/>
        <v/>
      </c>
      <c r="CZ793" t="str">
        <f t="shared" si="1114"/>
        <v/>
      </c>
      <c r="DA793" s="118" t="str">
        <f t="shared" si="1115"/>
        <v/>
      </c>
      <c r="DB793" s="118" t="str">
        <f t="shared" si="1116"/>
        <v/>
      </c>
      <c r="DC793" s="118" t="str">
        <f t="shared" si="1117"/>
        <v/>
      </c>
      <c r="DD793" s="121" t="str">
        <f>+IF(OR($W793="",DB793=0),"",ROUND((VLOOKUP(ROUNDDOWN($D793-1/frec,0),cob_adi,CO$40,FALSE)*(1+i/frec)^-0.5*(1+Parámetros!$D$103)*(1+rec_fracc)/frec),6))</f>
        <v/>
      </c>
      <c r="DE793" s="66" t="str">
        <f t="shared" si="1074"/>
        <v/>
      </c>
      <c r="DF793" s="119" t="str">
        <f t="shared" si="1075"/>
        <v/>
      </c>
      <c r="DG793" s="66" t="str">
        <f>+IF($W793="","",ROUND(IF($B793&gt;Parámetros!$D$107,'Tablas Servicio'!DE793+('Tablas Servicio'!DG792-'Tablas Servicio'!DE792),DE793/(1-IF(B793&lt;=10,Parámetros!$D$100,0))),2))</f>
        <v/>
      </c>
      <c r="DH793" s="66" t="str">
        <f t="shared" si="1127"/>
        <v/>
      </c>
      <c r="DI793" s="66" t="str">
        <f t="shared" si="1127"/>
        <v/>
      </c>
      <c r="DJ793" s="66" t="str">
        <f>+IF($W793="","",ROUND((DG793*Parámetros!$G$85),2))</f>
        <v/>
      </c>
      <c r="DK793" s="66" t="str">
        <f>+IF($W793="","",ROUND((DG793*(Parámetros!$G$86)),2))</f>
        <v/>
      </c>
      <c r="DL793" s="66" t="str">
        <f t="shared" si="1077"/>
        <v/>
      </c>
      <c r="DM793" t="str">
        <f t="shared" si="1118"/>
        <v/>
      </c>
      <c r="DN793" s="118" t="str">
        <f t="shared" si="1119"/>
        <v/>
      </c>
      <c r="DO793" s="118" t="str">
        <f t="shared" si="1120"/>
        <v/>
      </c>
      <c r="DP793" s="118" t="str">
        <f t="shared" si="1121"/>
        <v/>
      </c>
      <c r="DQ793" s="122" t="str">
        <f>+IF(OR($W793="",DO793=0),"",ROUND((VLOOKUP(ROUNDDOWN($D793-1/frec,0),cob_adi,DB$40,FALSE)*(1+i/frec)^-0.5*(1+Parámetros!$D$103)*(1+rec_fracc)/frec),6))</f>
        <v/>
      </c>
      <c r="DR793" s="66" t="str">
        <f t="shared" si="1078"/>
        <v/>
      </c>
      <c r="DS793" s="68" t="str">
        <f t="shared" si="1079"/>
        <v/>
      </c>
      <c r="DT793" s="66" t="str">
        <f>+IF($W793="","",ROUND(IF($B793&gt;Parámetros!$D$107,'Tablas Servicio'!DR793+('Tablas Servicio'!DT792-'Tablas Servicio'!DR792),DR793/(1-IF(B793&lt;=10,Parámetros!$D$100,0))),2))</f>
        <v/>
      </c>
      <c r="DU793" s="66" t="str">
        <f t="shared" si="1128"/>
        <v/>
      </c>
      <c r="DV793" s="66" t="str">
        <f t="shared" si="1128"/>
        <v/>
      </c>
      <c r="DW793" s="66" t="str">
        <f>+IF($W793="","",ROUND((DT793*Parámetros!$G$85),2))</f>
        <v/>
      </c>
      <c r="DX793" s="66" t="str">
        <f>+IF($W793="","",ROUND((DT793*(Parámetros!$G$86)),2))</f>
        <v/>
      </c>
      <c r="DY793" s="66" t="str">
        <f t="shared" si="1081"/>
        <v/>
      </c>
      <c r="DZ793" t="str">
        <f t="shared" si="1129"/>
        <v/>
      </c>
      <c r="EA793" s="118" t="str">
        <f t="shared" si="1129"/>
        <v/>
      </c>
      <c r="EB793" s="118" t="str">
        <f>+IF($W793="","",ROUND(IF(Parámetros!$D$25='TABLAS MORT'!$V$33,EB792,Z793/2),0))</f>
        <v/>
      </c>
      <c r="EC793" s="118" t="str">
        <f t="shared" si="1129"/>
        <v/>
      </c>
      <c r="ED793" s="122" t="str">
        <f>+IF(OR($W793="",EB793=0),"",ROUND((VLOOKUP(ROUNDDOWN($D793-1/frec,0),cob_adi,DO$40,FALSE)*(1+i/frec)^-0.5*(1+Parámetros!$D$103)*(1+rec_fracc)/frec),6))</f>
        <v/>
      </c>
      <c r="EE793" s="66" t="str">
        <f t="shared" si="1083"/>
        <v/>
      </c>
      <c r="EF793" s="68" t="str">
        <f t="shared" si="1084"/>
        <v/>
      </c>
      <c r="EG793" s="66" t="str">
        <f>+IF($W793="","",ROUND(IF($B793&gt;Parámetros!$D$107,'Tablas Servicio'!EE793+('Tablas Servicio'!EG792-'Tablas Servicio'!EE792),EE793/(1-IF(B793&lt;=10,Parámetros!$D$100,0))),2))</f>
        <v/>
      </c>
      <c r="EH793" s="66" t="str">
        <f t="shared" si="1130"/>
        <v/>
      </c>
      <c r="EI793" s="66" t="str">
        <f t="shared" si="1130"/>
        <v/>
      </c>
      <c r="EJ793" s="66" t="str">
        <f>+IF($W793="","",ROUND((EG793*Parámetros!$G$85),2))</f>
        <v/>
      </c>
      <c r="EK793" s="66" t="str">
        <f>+IF($W793="","",ROUND((EG793*(Parámetros!$G$86)),2))</f>
        <v/>
      </c>
      <c r="EL793" s="66" t="str">
        <f t="shared" si="1086"/>
        <v/>
      </c>
    </row>
    <row r="794" spans="1:142" x14ac:dyDescent="0.25">
      <c r="A794" t="str">
        <f>+IF($C794="","",ROUND(VLOOKUP('Tablas Servicio'!B794,Parámetros!$H$100:$J$159,IF(Parámetros!$E$16="F",2,3),FALSE),2))</f>
        <v/>
      </c>
      <c r="B794" t="str">
        <f t="shared" si="1037"/>
        <v/>
      </c>
      <c r="C794" s="57" t="str">
        <f>+IF(D794="","",'Tablas Servicio'!C793+1)</f>
        <v/>
      </c>
      <c r="D794" s="56" t="str">
        <f>+IF(D793&lt;edadmaxtabla,D793+1/Parámetros!$E$25,"")</f>
        <v/>
      </c>
      <c r="E794" s="57" t="str">
        <f t="shared" si="1047"/>
        <v/>
      </c>
      <c r="F794" s="59" t="str">
        <f t="shared" si="1048"/>
        <v/>
      </c>
      <c r="G794" s="66" t="str">
        <f t="shared" si="1038"/>
        <v/>
      </c>
      <c r="H794" s="66" t="str">
        <f t="shared" si="1039"/>
        <v/>
      </c>
      <c r="I794" s="66" t="str">
        <f t="shared" si="1087"/>
        <v/>
      </c>
      <c r="J794" s="66" t="str">
        <f t="shared" si="1040"/>
        <v/>
      </c>
      <c r="K794" s="66" t="str">
        <f t="shared" si="1041"/>
        <v/>
      </c>
      <c r="L794" s="66" t="str">
        <f t="shared" si="1042"/>
        <v/>
      </c>
      <c r="M794" s="66" t="str">
        <f t="shared" si="1043"/>
        <v/>
      </c>
      <c r="N794" s="66" t="str">
        <f>+IF(C794="","",ROUND(Parámetros!$D$23,2))</f>
        <v/>
      </c>
      <c r="O794" s="66" t="str">
        <f t="shared" si="1044"/>
        <v/>
      </c>
      <c r="P794" s="66" t="str">
        <f>+IF($C794="","",ROUND(IF(B794&gt;Parámetros!$D$117,0,N794*Parámetros!$D$116-G794*Parámetros!$D$100),2))</f>
        <v/>
      </c>
      <c r="Q794" s="75" t="str">
        <f t="shared" si="1088"/>
        <v/>
      </c>
      <c r="R794" s="75" t="str">
        <f t="shared" si="1089"/>
        <v/>
      </c>
      <c r="S794" s="117" t="str">
        <f>+IF($C794="","",ROUND((S793+I794)*(1+Parámetros!$D$91),2))</f>
        <v/>
      </c>
      <c r="T794" s="117" t="str">
        <f>+IF($C794="","",ROUND(S794*VLOOKUP(B794,Parámetros!$C$30:$D$39,2,TRUE),2))</f>
        <v/>
      </c>
      <c r="U794" s="117" t="str">
        <f>+IF($C794="","",ROUND((U793+I794)*(1+Parámetros!$D$92),2))</f>
        <v/>
      </c>
      <c r="V794" s="117" t="str">
        <f>+IF($C794="","",ROUND(U794*VLOOKUP(B794,Parámetros!$C$30:$D$39,2,TRUE),2))</f>
        <v/>
      </c>
      <c r="W794" s="57" t="str">
        <f t="shared" si="1090"/>
        <v/>
      </c>
      <c r="X794" t="str">
        <f t="shared" si="1091"/>
        <v/>
      </c>
      <c r="Y794" t="str">
        <f t="shared" si="1092"/>
        <v/>
      </c>
      <c r="Z794" s="118" t="str">
        <f>+IF($W794="","",ROUND(IF(Parámetros!$D$25='TABLAS MORT'!$V$33,Z793,Parámetros!$D$21-'Tablas Servicio'!T793),0))</f>
        <v/>
      </c>
      <c r="AA794" s="118" t="str">
        <f t="shared" si="1093"/>
        <v/>
      </c>
      <c r="AB794" s="119" t="str">
        <f>+IF(W794="","",ROUND((VLOOKUP(ROUNDDOWN($D794-1/frec,0),qx_tabla,2,FALSE)*(1+i/frec)^-0.5*(1+Parámetros!$D$103)*(1+rec_fracc)/frec),6))</f>
        <v/>
      </c>
      <c r="AC794" s="66" t="str">
        <f t="shared" si="1049"/>
        <v/>
      </c>
      <c r="AD794" s="119" t="str">
        <f t="shared" si="1045"/>
        <v/>
      </c>
      <c r="AE794" s="66" t="str">
        <f>+IF($W794="","",ROUND(IF($B794&gt;Parámetros!$D$107,'Tablas Servicio'!AC794+('Tablas Servicio'!AG793-'Tablas Servicio'!AC793),AC794/(1-IF(B794&lt;=10,Parámetros!$D$104,Parámetros!$D$105))),2))</f>
        <v/>
      </c>
      <c r="AF794" s="66" t="str">
        <f>+IF($W794="","",ROUND(IF($B794&gt;Parámetros!$D$107,'Tablas Servicio'!AC794+('Tablas Servicio'!AG793-'Tablas Servicio'!AC793),(AC794+$A793/frec)/(1-IF(B794&lt;=Parámetros!$D$117,Parámetros!$D$100,0))),2))</f>
        <v/>
      </c>
      <c r="AG794" s="66" t="str">
        <f t="shared" si="1050"/>
        <v/>
      </c>
      <c r="AH794" s="66" t="str">
        <f t="shared" si="1051"/>
        <v/>
      </c>
      <c r="AI794" s="66" t="str">
        <f t="shared" si="1052"/>
        <v/>
      </c>
      <c r="AJ794" s="66" t="str">
        <f>+IF($W794="","",ROUND((AG794*Parámetros!$G$85),2))</f>
        <v/>
      </c>
      <c r="AK794" s="66" t="str">
        <f>+IF($W794="","",ROUND((AG794*(Parámetros!$G$86)),2))</f>
        <v/>
      </c>
      <c r="AL794" s="66" t="str">
        <f t="shared" si="1046"/>
        <v/>
      </c>
      <c r="AM794" t="str">
        <f t="shared" si="1094"/>
        <v/>
      </c>
      <c r="AN794" t="str">
        <f t="shared" si="1095"/>
        <v/>
      </c>
      <c r="AO794" s="118" t="str">
        <f t="shared" si="1096"/>
        <v/>
      </c>
      <c r="AP794" s="118" t="str">
        <f t="shared" si="1097"/>
        <v/>
      </c>
      <c r="AQ794" s="119" t="str">
        <f>+IF(OR($W794="",AO794=0),"",ROUND((VLOOKUP(ROUNDDOWN($D794-1/frec,0),cob_adi,Z$40,FALSE)*(1+i/frec)^-0.5*(1+Parámetros!$D$103)*(1+rec_fracc)/frec),6))</f>
        <v/>
      </c>
      <c r="AR794" s="66" t="str">
        <f t="shared" si="1053"/>
        <v/>
      </c>
      <c r="AS794" s="119" t="str">
        <f t="shared" si="1054"/>
        <v/>
      </c>
      <c r="AT794" s="66" t="str">
        <f>+IF($W794="","",ROUND(IF($B794&gt;Parámetros!$D$107,'Tablas Servicio'!AR794+('Tablas Servicio'!AT793-'Tablas Servicio'!AR793),AR794/(1-IF(B794&lt;=10,Parámetros!$D$100,0))),2))</f>
        <v/>
      </c>
      <c r="AU794" s="66" t="str">
        <f t="shared" si="1123"/>
        <v/>
      </c>
      <c r="AV794" s="66" t="str">
        <f t="shared" si="1123"/>
        <v/>
      </c>
      <c r="AW794" s="66" t="str">
        <f>+IF($W794="","",ROUND((AT794*Parámetros!$G$85),2))</f>
        <v/>
      </c>
      <c r="AX794" s="66" t="str">
        <f>+IF($W794="","",ROUND((AT794*(Parámetros!$G$86)),2))</f>
        <v/>
      </c>
      <c r="AY794" s="66" t="str">
        <f t="shared" si="1056"/>
        <v/>
      </c>
      <c r="AZ794" t="str">
        <f t="shared" si="1098"/>
        <v/>
      </c>
      <c r="BA794" t="str">
        <f t="shared" si="1099"/>
        <v/>
      </c>
      <c r="BB794" s="118" t="str">
        <f t="shared" si="1100"/>
        <v/>
      </c>
      <c r="BC794" s="118" t="str">
        <f t="shared" si="1101"/>
        <v/>
      </c>
      <c r="BD794" s="119" t="str">
        <f>+IF(OR($W794="",BB794=0),"",ROUND((VLOOKUP(ROUNDDOWN($D794-1/frec,0),cob_adi,AO$40,FALSE)*(1+i/frec)^-0.5*(1+Parámetros!$D$103)*(1+rec_fracc)/frec),6))</f>
        <v/>
      </c>
      <c r="BE794" s="66" t="str">
        <f t="shared" si="1057"/>
        <v/>
      </c>
      <c r="BF794" s="119" t="str">
        <f t="shared" si="1058"/>
        <v/>
      </c>
      <c r="BG794" s="66" t="str">
        <f>+IF($W794="","",ROUND(IF($B794&gt;Parámetros!$D$107,'Tablas Servicio'!BE794+('Tablas Servicio'!BG793-'Tablas Servicio'!BE793),BE794/(1-IF(B794&lt;=10,Parámetros!$D$100,0))),2))</f>
        <v/>
      </c>
      <c r="BH794" s="66" t="str">
        <f t="shared" si="1059"/>
        <v/>
      </c>
      <c r="BI794" s="66" t="str">
        <f t="shared" si="1060"/>
        <v/>
      </c>
      <c r="BJ794" s="66" t="str">
        <f>+IF($W794="","",ROUND((BG794*Parámetros!$G$85),2))</f>
        <v/>
      </c>
      <c r="BK794" s="66" t="str">
        <f>+IF($W794="","",ROUND((BG794*(Parámetros!$G$86)),2))</f>
        <v/>
      </c>
      <c r="BL794" s="66" t="str">
        <f t="shared" si="1061"/>
        <v/>
      </c>
      <c r="BM794" t="str">
        <f t="shared" si="1102"/>
        <v/>
      </c>
      <c r="BN794" t="str">
        <f t="shared" si="1103"/>
        <v/>
      </c>
      <c r="BO794" s="118" t="str">
        <f t="shared" si="1104"/>
        <v/>
      </c>
      <c r="BP794" s="118" t="str">
        <f t="shared" si="1105"/>
        <v/>
      </c>
      <c r="BQ794" s="119" t="str">
        <f>+IF(OR($W794="",BO794=0),"",ROUND((VLOOKUP(ROUNDDOWN($D794-1/frec,0),cob_adi,BB$40,FALSE)*(1+i/frec)^-0.5*(1+Parámetros!$D$103)*(1+rec_fracc)/frec),6))</f>
        <v/>
      </c>
      <c r="BR794" s="66" t="str">
        <f t="shared" si="1062"/>
        <v/>
      </c>
      <c r="BS794" s="119" t="str">
        <f t="shared" si="1063"/>
        <v/>
      </c>
      <c r="BT794" s="66" t="str">
        <f>+IF($W794="","",ROUND(IF($B794&gt;Parámetros!$D$107,'Tablas Servicio'!BR794+('Tablas Servicio'!BT793-'Tablas Servicio'!BR793),BR794/(1-IF(B794&lt;=10,Parámetros!$D$100,0))),2))</f>
        <v/>
      </c>
      <c r="BU794" s="66" t="str">
        <f t="shared" si="1124"/>
        <v/>
      </c>
      <c r="BV794" s="66" t="str">
        <f t="shared" si="1124"/>
        <v/>
      </c>
      <c r="BW794" s="66" t="str">
        <f>+IF($W794="","",ROUND((BT794*Parámetros!$G$85),2))</f>
        <v/>
      </c>
      <c r="BX794" s="66" t="str">
        <f>+IF($W794="","",ROUND((BT794*(Parámetros!$G$86)),2))</f>
        <v/>
      </c>
      <c r="BY794" s="66" t="str">
        <f t="shared" si="1065"/>
        <v/>
      </c>
      <c r="BZ794" t="str">
        <f t="shared" si="1106"/>
        <v/>
      </c>
      <c r="CA794" t="str">
        <f t="shared" si="1107"/>
        <v/>
      </c>
      <c r="CB794" s="118" t="str">
        <f t="shared" si="1108"/>
        <v/>
      </c>
      <c r="CC794" s="118" t="str">
        <f t="shared" si="1109"/>
        <v/>
      </c>
      <c r="CD794" s="119" t="str">
        <f t="shared" si="1066"/>
        <v/>
      </c>
      <c r="CE794" s="66" t="str">
        <f>+IF($W794="","",ROUND((VLOOKUP(ROUNDDOWN($D794-1/frec,0),cob_adi,BO$40,FALSE)*(1+i/frec)^-0.5*(1+Parámetros!$D$103)*(1+rec_fracc)/frec*'TABLAS ADI'!$BC$17),2))</f>
        <v/>
      </c>
      <c r="CF794" s="119" t="str">
        <f t="shared" si="1067"/>
        <v/>
      </c>
      <c r="CG794" s="66" t="str">
        <f>+IF($W794="","",ROUND(IF($B794&gt;Parámetros!$D$107,'Tablas Servicio'!CE794+('Tablas Servicio'!CG793-'Tablas Servicio'!CE793),CE794/(1-IF(B794&lt;=10,Parámetros!$D$100,0))),2))</f>
        <v/>
      </c>
      <c r="CH794" s="66" t="str">
        <f t="shared" si="1125"/>
        <v/>
      </c>
      <c r="CI794" s="66" t="str">
        <f t="shared" si="1125"/>
        <v/>
      </c>
      <c r="CJ794" s="66" t="str">
        <f>+IF($W794="","",ROUND((CG794*Parámetros!$G$85),2))</f>
        <v/>
      </c>
      <c r="CK794" s="66" t="str">
        <f>+IF($W794="","",ROUND((CG794*(Parámetros!$G$86)),2))</f>
        <v/>
      </c>
      <c r="CL794" s="66" t="str">
        <f t="shared" si="1069"/>
        <v/>
      </c>
      <c r="CM794" t="str">
        <f t="shared" si="1110"/>
        <v/>
      </c>
      <c r="CN794" s="118" t="str">
        <f t="shared" si="1111"/>
        <v/>
      </c>
      <c r="CO794" s="118" t="str">
        <f t="shared" si="1112"/>
        <v/>
      </c>
      <c r="CP794" s="118" t="str">
        <f t="shared" si="1113"/>
        <v/>
      </c>
      <c r="CQ794" s="119" t="str">
        <f t="shared" si="1070"/>
        <v/>
      </c>
      <c r="CR794" s="66" t="str">
        <f>+IF($W794="","",ROUND((VLOOKUP(Parámetros!$F$51,'COBERTURAS ADICIONALES'!$S$4:$T$32,2,FALSE)*(1+i/frec)^-0.5*(1+Parámetros!$D$103)*(1+rec_fracc)/frec*$CO$42),2))</f>
        <v/>
      </c>
      <c r="CS794" s="119" t="str">
        <f t="shared" si="1071"/>
        <v/>
      </c>
      <c r="CT794" s="66" t="str">
        <f>+IF($W794="","",ROUND(IF($B794&gt;Parámetros!$D$107,'Tablas Servicio'!CR794+('Tablas Servicio'!CT793-'Tablas Servicio'!CR793),CR794/(1-IF(B794&lt;=10,Parámetros!$D$100,0))),2))</f>
        <v/>
      </c>
      <c r="CU794" s="66" t="str">
        <f t="shared" si="1126"/>
        <v/>
      </c>
      <c r="CV794" s="66" t="str">
        <f t="shared" si="1126"/>
        <v/>
      </c>
      <c r="CW794" s="66" t="str">
        <f>+IF($W794="","",ROUND((CT794*Parámetros!$G$85),2))</f>
        <v/>
      </c>
      <c r="CX794" s="66" t="str">
        <f>+IF($W794="","",ROUND((CT794*(Parámetros!$G$86)),2))</f>
        <v/>
      </c>
      <c r="CY794" s="66" t="str">
        <f t="shared" si="1073"/>
        <v/>
      </c>
      <c r="CZ794" t="str">
        <f t="shared" si="1114"/>
        <v/>
      </c>
      <c r="DA794" s="118" t="str">
        <f t="shared" si="1115"/>
        <v/>
      </c>
      <c r="DB794" s="118" t="str">
        <f t="shared" si="1116"/>
        <v/>
      </c>
      <c r="DC794" s="118" t="str">
        <f t="shared" si="1117"/>
        <v/>
      </c>
      <c r="DD794" s="121" t="str">
        <f>+IF(OR($W794="",DB794=0),"",ROUND((VLOOKUP(ROUNDDOWN($D794-1/frec,0),cob_adi,CO$40,FALSE)*(1+i/frec)^-0.5*(1+Parámetros!$D$103)*(1+rec_fracc)/frec),6))</f>
        <v/>
      </c>
      <c r="DE794" s="66" t="str">
        <f t="shared" si="1074"/>
        <v/>
      </c>
      <c r="DF794" s="119" t="str">
        <f t="shared" si="1075"/>
        <v/>
      </c>
      <c r="DG794" s="66" t="str">
        <f>+IF($W794="","",ROUND(IF($B794&gt;Parámetros!$D$107,'Tablas Servicio'!DE794+('Tablas Servicio'!DG793-'Tablas Servicio'!DE793),DE794/(1-IF(B794&lt;=10,Parámetros!$D$100,0))),2))</f>
        <v/>
      </c>
      <c r="DH794" s="66" t="str">
        <f t="shared" si="1127"/>
        <v/>
      </c>
      <c r="DI794" s="66" t="str">
        <f t="shared" si="1127"/>
        <v/>
      </c>
      <c r="DJ794" s="66" t="str">
        <f>+IF($W794="","",ROUND((DG794*Parámetros!$G$85),2))</f>
        <v/>
      </c>
      <c r="DK794" s="66" t="str">
        <f>+IF($W794="","",ROUND((DG794*(Parámetros!$G$86)),2))</f>
        <v/>
      </c>
      <c r="DL794" s="66" t="str">
        <f t="shared" si="1077"/>
        <v/>
      </c>
      <c r="DM794" t="str">
        <f t="shared" si="1118"/>
        <v/>
      </c>
      <c r="DN794" s="118" t="str">
        <f t="shared" si="1119"/>
        <v/>
      </c>
      <c r="DO794" s="118" t="str">
        <f t="shared" si="1120"/>
        <v/>
      </c>
      <c r="DP794" s="118" t="str">
        <f t="shared" si="1121"/>
        <v/>
      </c>
      <c r="DQ794" s="122" t="str">
        <f>+IF(OR($W794="",DO794=0),"",ROUND((VLOOKUP(ROUNDDOWN($D794-1/frec,0),cob_adi,DB$40,FALSE)*(1+i/frec)^-0.5*(1+Parámetros!$D$103)*(1+rec_fracc)/frec),6))</f>
        <v/>
      </c>
      <c r="DR794" s="66" t="str">
        <f t="shared" si="1078"/>
        <v/>
      </c>
      <c r="DS794" s="68" t="str">
        <f t="shared" si="1079"/>
        <v/>
      </c>
      <c r="DT794" s="66" t="str">
        <f>+IF($W794="","",ROUND(IF($B794&gt;Parámetros!$D$107,'Tablas Servicio'!DR794+('Tablas Servicio'!DT793-'Tablas Servicio'!DR793),DR794/(1-IF(B794&lt;=10,Parámetros!$D$100,0))),2))</f>
        <v/>
      </c>
      <c r="DU794" s="66" t="str">
        <f t="shared" si="1128"/>
        <v/>
      </c>
      <c r="DV794" s="66" t="str">
        <f t="shared" si="1128"/>
        <v/>
      </c>
      <c r="DW794" s="66" t="str">
        <f>+IF($W794="","",ROUND((DT794*Parámetros!$G$85),2))</f>
        <v/>
      </c>
      <c r="DX794" s="66" t="str">
        <f>+IF($W794="","",ROUND((DT794*(Parámetros!$G$86)),2))</f>
        <v/>
      </c>
      <c r="DY794" s="66" t="str">
        <f t="shared" si="1081"/>
        <v/>
      </c>
      <c r="DZ794" t="str">
        <f t="shared" si="1129"/>
        <v/>
      </c>
      <c r="EA794" s="118" t="str">
        <f t="shared" si="1129"/>
        <v/>
      </c>
      <c r="EB794" s="118" t="str">
        <f>+IF($W794="","",ROUND(IF(Parámetros!$D$25='TABLAS MORT'!$V$33,EB793,Z794/2),0))</f>
        <v/>
      </c>
      <c r="EC794" s="118" t="str">
        <f t="shared" si="1129"/>
        <v/>
      </c>
      <c r="ED794" s="122" t="str">
        <f>+IF(OR($W794="",EB794=0),"",ROUND((VLOOKUP(ROUNDDOWN($D794-1/frec,0),cob_adi,DO$40,FALSE)*(1+i/frec)^-0.5*(1+Parámetros!$D$103)*(1+rec_fracc)/frec),6))</f>
        <v/>
      </c>
      <c r="EE794" s="66" t="str">
        <f t="shared" si="1083"/>
        <v/>
      </c>
      <c r="EF794" s="68" t="str">
        <f t="shared" si="1084"/>
        <v/>
      </c>
      <c r="EG794" s="66" t="str">
        <f>+IF($W794="","",ROUND(IF($B794&gt;Parámetros!$D$107,'Tablas Servicio'!EE794+('Tablas Servicio'!EG793-'Tablas Servicio'!EE793),EE794/(1-IF(B794&lt;=10,Parámetros!$D$100,0))),2))</f>
        <v/>
      </c>
      <c r="EH794" s="66" t="str">
        <f t="shared" si="1130"/>
        <v/>
      </c>
      <c r="EI794" s="66" t="str">
        <f t="shared" si="1130"/>
        <v/>
      </c>
      <c r="EJ794" s="66" t="str">
        <f>+IF($W794="","",ROUND((EG794*Parámetros!$G$85),2))</f>
        <v/>
      </c>
      <c r="EK794" s="66" t="str">
        <f>+IF($W794="","",ROUND((EG794*(Parámetros!$G$86)),2))</f>
        <v/>
      </c>
      <c r="EL794" s="66" t="str">
        <f t="shared" si="1086"/>
        <v/>
      </c>
    </row>
    <row r="795" spans="1:142" x14ac:dyDescent="0.25">
      <c r="A795" t="str">
        <f>+IF($C795="","",ROUND(VLOOKUP('Tablas Servicio'!B795,Parámetros!$H$100:$J$159,IF(Parámetros!$E$16="F",2,3),FALSE),2))</f>
        <v/>
      </c>
      <c r="B795" t="str">
        <f t="shared" si="1037"/>
        <v/>
      </c>
      <c r="C795" s="57" t="str">
        <f>+IF(D795="","",'Tablas Servicio'!C794+1)</f>
        <v/>
      </c>
      <c r="D795" s="56" t="str">
        <f>+IF(D794&lt;edadmaxtabla,D794+1/Parámetros!$E$25,"")</f>
        <v/>
      </c>
      <c r="E795" s="57" t="str">
        <f t="shared" si="1047"/>
        <v/>
      </c>
      <c r="F795" s="59" t="str">
        <f t="shared" si="1048"/>
        <v/>
      </c>
      <c r="G795" s="66" t="str">
        <f t="shared" si="1038"/>
        <v/>
      </c>
      <c r="H795" s="66" t="str">
        <f t="shared" si="1039"/>
        <v/>
      </c>
      <c r="I795" s="66" t="str">
        <f t="shared" si="1087"/>
        <v/>
      </c>
      <c r="J795" s="66" t="str">
        <f t="shared" si="1040"/>
        <v/>
      </c>
      <c r="K795" s="66" t="str">
        <f t="shared" si="1041"/>
        <v/>
      </c>
      <c r="L795" s="66" t="str">
        <f t="shared" si="1042"/>
        <v/>
      </c>
      <c r="M795" s="66" t="str">
        <f t="shared" si="1043"/>
        <v/>
      </c>
      <c r="N795" s="66" t="str">
        <f>+IF(C795="","",ROUND(Parámetros!$D$23,2))</f>
        <v/>
      </c>
      <c r="O795" s="66" t="str">
        <f t="shared" si="1044"/>
        <v/>
      </c>
      <c r="P795" s="66" t="str">
        <f>+IF($C795="","",ROUND(IF(B795&gt;Parámetros!$D$117,0,N795*Parámetros!$D$116-G795*Parámetros!$D$100),2))</f>
        <v/>
      </c>
      <c r="Q795" s="75" t="str">
        <f t="shared" si="1088"/>
        <v/>
      </c>
      <c r="R795" s="75" t="str">
        <f t="shared" si="1089"/>
        <v/>
      </c>
      <c r="S795" s="117" t="str">
        <f>+IF($C795="","",ROUND((S794+I795)*(1+Parámetros!$D$91),2))</f>
        <v/>
      </c>
      <c r="T795" s="117" t="str">
        <f>+IF($C795="","",ROUND(S795*VLOOKUP(B795,Parámetros!$C$30:$D$39,2,TRUE),2))</f>
        <v/>
      </c>
      <c r="U795" s="117" t="str">
        <f>+IF($C795="","",ROUND((U794+I795)*(1+Parámetros!$D$92),2))</f>
        <v/>
      </c>
      <c r="V795" s="117" t="str">
        <f>+IF($C795="","",ROUND(U795*VLOOKUP(B795,Parámetros!$C$30:$D$39,2,TRUE),2))</f>
        <v/>
      </c>
      <c r="W795" s="57" t="str">
        <f t="shared" si="1090"/>
        <v/>
      </c>
      <c r="X795" t="str">
        <f t="shared" si="1091"/>
        <v/>
      </c>
      <c r="Y795" t="str">
        <f t="shared" si="1092"/>
        <v/>
      </c>
      <c r="Z795" s="118" t="str">
        <f>+IF($W795="","",ROUND(IF(Parámetros!$D$25='TABLAS MORT'!$V$33,Z794,Parámetros!$D$21-'Tablas Servicio'!T794),0))</f>
        <v/>
      </c>
      <c r="AA795" s="118" t="str">
        <f t="shared" si="1093"/>
        <v/>
      </c>
      <c r="AB795" s="119" t="str">
        <f>+IF(W795="","",ROUND((VLOOKUP(ROUNDDOWN($D795-1/frec,0),qx_tabla,2,FALSE)*(1+i/frec)^-0.5*(1+Parámetros!$D$103)*(1+rec_fracc)/frec),6))</f>
        <v/>
      </c>
      <c r="AC795" s="66" t="str">
        <f t="shared" si="1049"/>
        <v/>
      </c>
      <c r="AD795" s="119" t="str">
        <f t="shared" si="1045"/>
        <v/>
      </c>
      <c r="AE795" s="66" t="str">
        <f>+IF($W795="","",ROUND(IF($B795&gt;Parámetros!$D$107,'Tablas Servicio'!AC795+('Tablas Servicio'!AG794-'Tablas Servicio'!AC794),AC795/(1-IF(B795&lt;=10,Parámetros!$D$104,Parámetros!$D$105))),2))</f>
        <v/>
      </c>
      <c r="AF795" s="66" t="str">
        <f>+IF($W795="","",ROUND(IF($B795&gt;Parámetros!$D$107,'Tablas Servicio'!AC795+('Tablas Servicio'!AG794-'Tablas Servicio'!AC794),(AC795+$A794/frec)/(1-IF(B795&lt;=Parámetros!$D$117,Parámetros!$D$100,0))),2))</f>
        <v/>
      </c>
      <c r="AG795" s="66" t="str">
        <f t="shared" si="1050"/>
        <v/>
      </c>
      <c r="AH795" s="66" t="str">
        <f t="shared" si="1051"/>
        <v/>
      </c>
      <c r="AI795" s="66" t="str">
        <f t="shared" si="1052"/>
        <v/>
      </c>
      <c r="AJ795" s="66" t="str">
        <f>+IF($W795="","",ROUND((AG795*Parámetros!$G$85),2))</f>
        <v/>
      </c>
      <c r="AK795" s="66" t="str">
        <f>+IF($W795="","",ROUND((AG795*(Parámetros!$G$86)),2))</f>
        <v/>
      </c>
      <c r="AL795" s="66" t="str">
        <f t="shared" si="1046"/>
        <v/>
      </c>
      <c r="AM795" t="str">
        <f t="shared" si="1094"/>
        <v/>
      </c>
      <c r="AN795" t="str">
        <f t="shared" si="1095"/>
        <v/>
      </c>
      <c r="AO795" s="118" t="str">
        <f t="shared" si="1096"/>
        <v/>
      </c>
      <c r="AP795" s="118" t="str">
        <f t="shared" si="1097"/>
        <v/>
      </c>
      <c r="AQ795" s="119" t="str">
        <f>+IF(OR($W795="",AO795=0),"",ROUND((VLOOKUP(ROUNDDOWN($D795-1/frec,0),cob_adi,Z$40,FALSE)*(1+i/frec)^-0.5*(1+Parámetros!$D$103)*(1+rec_fracc)/frec),6))</f>
        <v/>
      </c>
      <c r="AR795" s="66" t="str">
        <f t="shared" si="1053"/>
        <v/>
      </c>
      <c r="AS795" s="119" t="str">
        <f t="shared" si="1054"/>
        <v/>
      </c>
      <c r="AT795" s="66" t="str">
        <f>+IF($W795="","",ROUND(IF($B795&gt;Parámetros!$D$107,'Tablas Servicio'!AR795+('Tablas Servicio'!AT794-'Tablas Servicio'!AR794),AR795/(1-IF(B795&lt;=10,Parámetros!$D$100,0))),2))</f>
        <v/>
      </c>
      <c r="AU795" s="66" t="str">
        <f t="shared" si="1123"/>
        <v/>
      </c>
      <c r="AV795" s="66" t="str">
        <f t="shared" si="1123"/>
        <v/>
      </c>
      <c r="AW795" s="66" t="str">
        <f>+IF($W795="","",ROUND((AT795*Parámetros!$G$85),2))</f>
        <v/>
      </c>
      <c r="AX795" s="66" t="str">
        <f>+IF($W795="","",ROUND((AT795*(Parámetros!$G$86)),2))</f>
        <v/>
      </c>
      <c r="AY795" s="66" t="str">
        <f t="shared" si="1056"/>
        <v/>
      </c>
      <c r="AZ795" t="str">
        <f t="shared" si="1098"/>
        <v/>
      </c>
      <c r="BA795" t="str">
        <f t="shared" si="1099"/>
        <v/>
      </c>
      <c r="BB795" s="118" t="str">
        <f t="shared" si="1100"/>
        <v/>
      </c>
      <c r="BC795" s="118" t="str">
        <f t="shared" si="1101"/>
        <v/>
      </c>
      <c r="BD795" s="119" t="str">
        <f>+IF(OR($W795="",BB795=0),"",ROUND((VLOOKUP(ROUNDDOWN($D795-1/frec,0),cob_adi,AO$40,FALSE)*(1+i/frec)^-0.5*(1+Parámetros!$D$103)*(1+rec_fracc)/frec),6))</f>
        <v/>
      </c>
      <c r="BE795" s="66" t="str">
        <f t="shared" si="1057"/>
        <v/>
      </c>
      <c r="BF795" s="119" t="str">
        <f t="shared" si="1058"/>
        <v/>
      </c>
      <c r="BG795" s="66" t="str">
        <f>+IF($W795="","",ROUND(IF($B795&gt;Parámetros!$D$107,'Tablas Servicio'!BE795+('Tablas Servicio'!BG794-'Tablas Servicio'!BE794),BE795/(1-IF(B795&lt;=10,Parámetros!$D$100,0))),2))</f>
        <v/>
      </c>
      <c r="BH795" s="66" t="str">
        <f t="shared" si="1059"/>
        <v/>
      </c>
      <c r="BI795" s="66" t="str">
        <f t="shared" si="1060"/>
        <v/>
      </c>
      <c r="BJ795" s="66" t="str">
        <f>+IF($W795="","",ROUND((BG795*Parámetros!$G$85),2))</f>
        <v/>
      </c>
      <c r="BK795" s="66" t="str">
        <f>+IF($W795="","",ROUND((BG795*(Parámetros!$G$86)),2))</f>
        <v/>
      </c>
      <c r="BL795" s="66" t="str">
        <f t="shared" si="1061"/>
        <v/>
      </c>
      <c r="BM795" t="str">
        <f t="shared" si="1102"/>
        <v/>
      </c>
      <c r="BN795" t="str">
        <f t="shared" si="1103"/>
        <v/>
      </c>
      <c r="BO795" s="118" t="str">
        <f t="shared" si="1104"/>
        <v/>
      </c>
      <c r="BP795" s="118" t="str">
        <f t="shared" si="1105"/>
        <v/>
      </c>
      <c r="BQ795" s="119" t="str">
        <f>+IF(OR($W795="",BO795=0),"",ROUND((VLOOKUP(ROUNDDOWN($D795-1/frec,0),cob_adi,BB$40,FALSE)*(1+i/frec)^-0.5*(1+Parámetros!$D$103)*(1+rec_fracc)/frec),6))</f>
        <v/>
      </c>
      <c r="BR795" s="66" t="str">
        <f t="shared" si="1062"/>
        <v/>
      </c>
      <c r="BS795" s="119" t="str">
        <f t="shared" si="1063"/>
        <v/>
      </c>
      <c r="BT795" s="66" t="str">
        <f>+IF($W795="","",ROUND(IF($B795&gt;Parámetros!$D$107,'Tablas Servicio'!BR795+('Tablas Servicio'!BT794-'Tablas Servicio'!BR794),BR795/(1-IF(B795&lt;=10,Parámetros!$D$100,0))),2))</f>
        <v/>
      </c>
      <c r="BU795" s="66" t="str">
        <f t="shared" si="1124"/>
        <v/>
      </c>
      <c r="BV795" s="66" t="str">
        <f t="shared" si="1124"/>
        <v/>
      </c>
      <c r="BW795" s="66" t="str">
        <f>+IF($W795="","",ROUND((BT795*Parámetros!$G$85),2))</f>
        <v/>
      </c>
      <c r="BX795" s="66" t="str">
        <f>+IF($W795="","",ROUND((BT795*(Parámetros!$G$86)),2))</f>
        <v/>
      </c>
      <c r="BY795" s="66" t="str">
        <f t="shared" si="1065"/>
        <v/>
      </c>
      <c r="BZ795" t="str">
        <f t="shared" si="1106"/>
        <v/>
      </c>
      <c r="CA795" t="str">
        <f t="shared" si="1107"/>
        <v/>
      </c>
      <c r="CB795" s="118" t="str">
        <f t="shared" si="1108"/>
        <v/>
      </c>
      <c r="CC795" s="118" t="str">
        <f t="shared" si="1109"/>
        <v/>
      </c>
      <c r="CD795" s="119" t="str">
        <f t="shared" si="1066"/>
        <v/>
      </c>
      <c r="CE795" s="66" t="str">
        <f>+IF($W795="","",ROUND((VLOOKUP(ROUNDDOWN($D795-1/frec,0),cob_adi,BO$40,FALSE)*(1+i/frec)^-0.5*(1+Parámetros!$D$103)*(1+rec_fracc)/frec*'TABLAS ADI'!$BC$17),2))</f>
        <v/>
      </c>
      <c r="CF795" s="119" t="str">
        <f t="shared" si="1067"/>
        <v/>
      </c>
      <c r="CG795" s="66" t="str">
        <f>+IF($W795="","",ROUND(IF($B795&gt;Parámetros!$D$107,'Tablas Servicio'!CE795+('Tablas Servicio'!CG794-'Tablas Servicio'!CE794),CE795/(1-IF(B795&lt;=10,Parámetros!$D$100,0))),2))</f>
        <v/>
      </c>
      <c r="CH795" s="66" t="str">
        <f t="shared" si="1125"/>
        <v/>
      </c>
      <c r="CI795" s="66" t="str">
        <f t="shared" si="1125"/>
        <v/>
      </c>
      <c r="CJ795" s="66" t="str">
        <f>+IF($W795="","",ROUND((CG795*Parámetros!$G$85),2))</f>
        <v/>
      </c>
      <c r="CK795" s="66" t="str">
        <f>+IF($W795="","",ROUND((CG795*(Parámetros!$G$86)),2))</f>
        <v/>
      </c>
      <c r="CL795" s="66" t="str">
        <f t="shared" si="1069"/>
        <v/>
      </c>
      <c r="CM795" t="str">
        <f t="shared" si="1110"/>
        <v/>
      </c>
      <c r="CN795" s="118" t="str">
        <f t="shared" si="1111"/>
        <v/>
      </c>
      <c r="CO795" s="118" t="str">
        <f t="shared" si="1112"/>
        <v/>
      </c>
      <c r="CP795" s="118" t="str">
        <f t="shared" si="1113"/>
        <v/>
      </c>
      <c r="CQ795" s="119" t="str">
        <f t="shared" si="1070"/>
        <v/>
      </c>
      <c r="CR795" s="66" t="str">
        <f>+IF($W795="","",ROUND((VLOOKUP(Parámetros!$F$51,'COBERTURAS ADICIONALES'!$S$4:$T$32,2,FALSE)*(1+i/frec)^-0.5*(1+Parámetros!$D$103)*(1+rec_fracc)/frec*$CO$42),2))</f>
        <v/>
      </c>
      <c r="CS795" s="119" t="str">
        <f t="shared" si="1071"/>
        <v/>
      </c>
      <c r="CT795" s="66" t="str">
        <f>+IF($W795="","",ROUND(IF($B795&gt;Parámetros!$D$107,'Tablas Servicio'!CR795+('Tablas Servicio'!CT794-'Tablas Servicio'!CR794),CR795/(1-IF(B795&lt;=10,Parámetros!$D$100,0))),2))</f>
        <v/>
      </c>
      <c r="CU795" s="66" t="str">
        <f t="shared" si="1126"/>
        <v/>
      </c>
      <c r="CV795" s="66" t="str">
        <f t="shared" si="1126"/>
        <v/>
      </c>
      <c r="CW795" s="66" t="str">
        <f>+IF($W795="","",ROUND((CT795*Parámetros!$G$85),2))</f>
        <v/>
      </c>
      <c r="CX795" s="66" t="str">
        <f>+IF($W795="","",ROUND((CT795*(Parámetros!$G$86)),2))</f>
        <v/>
      </c>
      <c r="CY795" s="66" t="str">
        <f t="shared" si="1073"/>
        <v/>
      </c>
      <c r="CZ795" t="str">
        <f t="shared" si="1114"/>
        <v/>
      </c>
      <c r="DA795" s="118" t="str">
        <f t="shared" si="1115"/>
        <v/>
      </c>
      <c r="DB795" s="118" t="str">
        <f t="shared" si="1116"/>
        <v/>
      </c>
      <c r="DC795" s="118" t="str">
        <f t="shared" si="1117"/>
        <v/>
      </c>
      <c r="DD795" s="121" t="str">
        <f>+IF(OR($W795="",DB795=0),"",ROUND((VLOOKUP(ROUNDDOWN($D795-1/frec,0),cob_adi,CO$40,FALSE)*(1+i/frec)^-0.5*(1+Parámetros!$D$103)*(1+rec_fracc)/frec),6))</f>
        <v/>
      </c>
      <c r="DE795" s="66" t="str">
        <f t="shared" si="1074"/>
        <v/>
      </c>
      <c r="DF795" s="119" t="str">
        <f t="shared" si="1075"/>
        <v/>
      </c>
      <c r="DG795" s="66" t="str">
        <f>+IF($W795="","",ROUND(IF($B795&gt;Parámetros!$D$107,'Tablas Servicio'!DE795+('Tablas Servicio'!DG794-'Tablas Servicio'!DE794),DE795/(1-IF(B795&lt;=10,Parámetros!$D$100,0))),2))</f>
        <v/>
      </c>
      <c r="DH795" s="66" t="str">
        <f t="shared" si="1127"/>
        <v/>
      </c>
      <c r="DI795" s="66" t="str">
        <f t="shared" si="1127"/>
        <v/>
      </c>
      <c r="DJ795" s="66" t="str">
        <f>+IF($W795="","",ROUND((DG795*Parámetros!$G$85),2))</f>
        <v/>
      </c>
      <c r="DK795" s="66" t="str">
        <f>+IF($W795="","",ROUND((DG795*(Parámetros!$G$86)),2))</f>
        <v/>
      </c>
      <c r="DL795" s="66" t="str">
        <f t="shared" si="1077"/>
        <v/>
      </c>
      <c r="DM795" t="str">
        <f t="shared" si="1118"/>
        <v/>
      </c>
      <c r="DN795" s="118" t="str">
        <f t="shared" si="1119"/>
        <v/>
      </c>
      <c r="DO795" s="118" t="str">
        <f t="shared" si="1120"/>
        <v/>
      </c>
      <c r="DP795" s="118" t="str">
        <f t="shared" si="1121"/>
        <v/>
      </c>
      <c r="DQ795" s="122" t="str">
        <f>+IF(OR($W795="",DO795=0),"",ROUND((VLOOKUP(ROUNDDOWN($D795-1/frec,0),cob_adi,DB$40,FALSE)*(1+i/frec)^-0.5*(1+Parámetros!$D$103)*(1+rec_fracc)/frec),6))</f>
        <v/>
      </c>
      <c r="DR795" s="66" t="str">
        <f t="shared" si="1078"/>
        <v/>
      </c>
      <c r="DS795" s="68" t="str">
        <f t="shared" si="1079"/>
        <v/>
      </c>
      <c r="DT795" s="66" t="str">
        <f>+IF($W795="","",ROUND(IF($B795&gt;Parámetros!$D$107,'Tablas Servicio'!DR795+('Tablas Servicio'!DT794-'Tablas Servicio'!DR794),DR795/(1-IF(B795&lt;=10,Parámetros!$D$100,0))),2))</f>
        <v/>
      </c>
      <c r="DU795" s="66" t="str">
        <f t="shared" si="1128"/>
        <v/>
      </c>
      <c r="DV795" s="66" t="str">
        <f t="shared" si="1128"/>
        <v/>
      </c>
      <c r="DW795" s="66" t="str">
        <f>+IF($W795="","",ROUND((DT795*Parámetros!$G$85),2))</f>
        <v/>
      </c>
      <c r="DX795" s="66" t="str">
        <f>+IF($W795="","",ROUND((DT795*(Parámetros!$G$86)),2))</f>
        <v/>
      </c>
      <c r="DY795" s="66" t="str">
        <f t="shared" si="1081"/>
        <v/>
      </c>
      <c r="DZ795" t="str">
        <f t="shared" ref="DZ795:EC810" si="1131">+IF($W795="","",DZ794)</f>
        <v/>
      </c>
      <c r="EA795" s="118" t="str">
        <f t="shared" si="1131"/>
        <v/>
      </c>
      <c r="EB795" s="118" t="str">
        <f>+IF($W795="","",ROUND(IF(Parámetros!$D$25='TABLAS MORT'!$V$33,EB794,Z795/2),0))</f>
        <v/>
      </c>
      <c r="EC795" s="118" t="str">
        <f t="shared" si="1131"/>
        <v/>
      </c>
      <c r="ED795" s="122" t="str">
        <f>+IF(OR($W795="",EB795=0),"",ROUND((VLOOKUP(ROUNDDOWN($D795-1/frec,0),cob_adi,DO$40,FALSE)*(1+i/frec)^-0.5*(1+Parámetros!$D$103)*(1+rec_fracc)/frec),6))</f>
        <v/>
      </c>
      <c r="EE795" s="66" t="str">
        <f t="shared" si="1083"/>
        <v/>
      </c>
      <c r="EF795" s="68" t="str">
        <f t="shared" si="1084"/>
        <v/>
      </c>
      <c r="EG795" s="66" t="str">
        <f>+IF($W795="","",ROUND(IF($B795&gt;Parámetros!$D$107,'Tablas Servicio'!EE795+('Tablas Servicio'!EG794-'Tablas Servicio'!EE794),EE795/(1-IF(B795&lt;=10,Parámetros!$D$100,0))),2))</f>
        <v/>
      </c>
      <c r="EH795" s="66" t="str">
        <f t="shared" si="1130"/>
        <v/>
      </c>
      <c r="EI795" s="66" t="str">
        <f t="shared" si="1130"/>
        <v/>
      </c>
      <c r="EJ795" s="66" t="str">
        <f>+IF($W795="","",ROUND((EG795*Parámetros!$G$85),2))</f>
        <v/>
      </c>
      <c r="EK795" s="66" t="str">
        <f>+IF($W795="","",ROUND((EG795*(Parámetros!$G$86)),2))</f>
        <v/>
      </c>
      <c r="EL795" s="66" t="str">
        <f t="shared" si="1086"/>
        <v/>
      </c>
    </row>
    <row r="796" spans="1:142" x14ac:dyDescent="0.25">
      <c r="A796" t="str">
        <f>+IF($C796="","",ROUND(VLOOKUP('Tablas Servicio'!B796,Parámetros!$H$100:$J$159,IF(Parámetros!$E$16="F",2,3),FALSE),2))</f>
        <v/>
      </c>
      <c r="B796" t="str">
        <f t="shared" si="1037"/>
        <v/>
      </c>
      <c r="C796" s="57" t="str">
        <f>+IF(D796="","",'Tablas Servicio'!C795+1)</f>
        <v/>
      </c>
      <c r="D796" s="56" t="str">
        <f>+IF(D795&lt;edadmaxtabla,D795+1/Parámetros!$E$25,"")</f>
        <v/>
      </c>
      <c r="E796" s="57" t="str">
        <f t="shared" si="1047"/>
        <v/>
      </c>
      <c r="F796" s="59" t="str">
        <f t="shared" si="1048"/>
        <v/>
      </c>
      <c r="G796" s="66" t="str">
        <f t="shared" si="1038"/>
        <v/>
      </c>
      <c r="H796" s="66" t="str">
        <f t="shared" si="1039"/>
        <v/>
      </c>
      <c r="I796" s="66" t="str">
        <f t="shared" si="1087"/>
        <v/>
      </c>
      <c r="J796" s="66" t="str">
        <f t="shared" si="1040"/>
        <v/>
      </c>
      <c r="K796" s="66" t="str">
        <f t="shared" si="1041"/>
        <v/>
      </c>
      <c r="L796" s="66" t="str">
        <f t="shared" si="1042"/>
        <v/>
      </c>
      <c r="M796" s="66" t="str">
        <f t="shared" si="1043"/>
        <v/>
      </c>
      <c r="N796" s="66" t="str">
        <f>+IF(C796="","",ROUND(Parámetros!$D$23,2))</f>
        <v/>
      </c>
      <c r="O796" s="66" t="str">
        <f t="shared" si="1044"/>
        <v/>
      </c>
      <c r="P796" s="66" t="str">
        <f>+IF($C796="","",ROUND(IF(B796&gt;Parámetros!$D$117,0,N796*Parámetros!$D$116-G796*Parámetros!$D$100),2))</f>
        <v/>
      </c>
      <c r="Q796" s="75" t="str">
        <f t="shared" si="1088"/>
        <v/>
      </c>
      <c r="R796" s="75" t="str">
        <f t="shared" si="1089"/>
        <v/>
      </c>
      <c r="S796" s="117" t="str">
        <f>+IF($C796="","",ROUND((S795+I796)*(1+Parámetros!$D$91),2))</f>
        <v/>
      </c>
      <c r="T796" s="117" t="str">
        <f>+IF($C796="","",ROUND(S796*VLOOKUP(B796,Parámetros!$C$30:$D$39,2,TRUE),2))</f>
        <v/>
      </c>
      <c r="U796" s="117" t="str">
        <f>+IF($C796="","",ROUND((U795+I796)*(1+Parámetros!$D$92),2))</f>
        <v/>
      </c>
      <c r="V796" s="117" t="str">
        <f>+IF($C796="","",ROUND(U796*VLOOKUP(B796,Parámetros!$C$30:$D$39,2,TRUE),2))</f>
        <v/>
      </c>
      <c r="W796" s="57" t="str">
        <f t="shared" si="1090"/>
        <v/>
      </c>
      <c r="X796" t="str">
        <f t="shared" si="1091"/>
        <v/>
      </c>
      <c r="Y796" t="str">
        <f t="shared" si="1092"/>
        <v/>
      </c>
      <c r="Z796" s="118" t="str">
        <f>+IF($W796="","",ROUND(IF(Parámetros!$D$25='TABLAS MORT'!$V$33,Z795,Parámetros!$D$21-'Tablas Servicio'!T795),0))</f>
        <v/>
      </c>
      <c r="AA796" s="118" t="str">
        <f t="shared" si="1093"/>
        <v/>
      </c>
      <c r="AB796" s="119" t="str">
        <f>+IF(W796="","",ROUND((VLOOKUP(ROUNDDOWN($D796-1/frec,0),qx_tabla,2,FALSE)*(1+i/frec)^-0.5*(1+Parámetros!$D$103)*(1+rec_fracc)/frec),6))</f>
        <v/>
      </c>
      <c r="AC796" s="66" t="str">
        <f t="shared" si="1049"/>
        <v/>
      </c>
      <c r="AD796" s="119" t="str">
        <f t="shared" si="1045"/>
        <v/>
      </c>
      <c r="AE796" s="66" t="str">
        <f>+IF($W796="","",ROUND(IF($B796&gt;Parámetros!$D$107,'Tablas Servicio'!AC796+('Tablas Servicio'!AG795-'Tablas Servicio'!AC795),AC796/(1-IF(B796&lt;=10,Parámetros!$D$104,Parámetros!$D$105))),2))</f>
        <v/>
      </c>
      <c r="AF796" s="66" t="str">
        <f>+IF($W796="","",ROUND(IF($B796&gt;Parámetros!$D$107,'Tablas Servicio'!AC796+('Tablas Servicio'!AG795-'Tablas Servicio'!AC795),(AC796+$A795/frec)/(1-IF(B796&lt;=Parámetros!$D$117,Parámetros!$D$100,0))),2))</f>
        <v/>
      </c>
      <c r="AG796" s="66" t="str">
        <f t="shared" si="1050"/>
        <v/>
      </c>
      <c r="AH796" s="66" t="str">
        <f t="shared" si="1051"/>
        <v/>
      </c>
      <c r="AI796" s="66" t="str">
        <f t="shared" si="1052"/>
        <v/>
      </c>
      <c r="AJ796" s="66" t="str">
        <f>+IF($W796="","",ROUND((AG796*Parámetros!$G$85),2))</f>
        <v/>
      </c>
      <c r="AK796" s="66" t="str">
        <f>+IF($W796="","",ROUND((AG796*(Parámetros!$G$86)),2))</f>
        <v/>
      </c>
      <c r="AL796" s="66" t="str">
        <f t="shared" si="1046"/>
        <v/>
      </c>
      <c r="AM796" t="str">
        <f t="shared" si="1094"/>
        <v/>
      </c>
      <c r="AN796" t="str">
        <f t="shared" si="1095"/>
        <v/>
      </c>
      <c r="AO796" s="118" t="str">
        <f t="shared" si="1096"/>
        <v/>
      </c>
      <c r="AP796" s="118" t="str">
        <f t="shared" si="1097"/>
        <v/>
      </c>
      <c r="AQ796" s="119" t="str">
        <f>+IF(OR($W796="",AO796=0),"",ROUND((VLOOKUP(ROUNDDOWN($D796-1/frec,0),cob_adi,Z$40,FALSE)*(1+i/frec)^-0.5*(1+Parámetros!$D$103)*(1+rec_fracc)/frec),6))</f>
        <v/>
      </c>
      <c r="AR796" s="66" t="str">
        <f t="shared" si="1053"/>
        <v/>
      </c>
      <c r="AS796" s="119" t="str">
        <f t="shared" si="1054"/>
        <v/>
      </c>
      <c r="AT796" s="66" t="str">
        <f>+IF($W796="","",ROUND(IF($B796&gt;Parámetros!$D$107,'Tablas Servicio'!AR796+('Tablas Servicio'!AT795-'Tablas Servicio'!AR795),AR796/(1-IF(B796&lt;=10,Parámetros!$D$100,0))),2))</f>
        <v/>
      </c>
      <c r="AU796" s="66" t="str">
        <f t="shared" si="1123"/>
        <v/>
      </c>
      <c r="AV796" s="66" t="str">
        <f t="shared" si="1123"/>
        <v/>
      </c>
      <c r="AW796" s="66" t="str">
        <f>+IF($W796="","",ROUND((AT796*Parámetros!$G$85),2))</f>
        <v/>
      </c>
      <c r="AX796" s="66" t="str">
        <f>+IF($W796="","",ROUND((AT796*(Parámetros!$G$86)),2))</f>
        <v/>
      </c>
      <c r="AY796" s="66" t="str">
        <f t="shared" si="1056"/>
        <v/>
      </c>
      <c r="AZ796" t="str">
        <f t="shared" si="1098"/>
        <v/>
      </c>
      <c r="BA796" t="str">
        <f t="shared" si="1099"/>
        <v/>
      </c>
      <c r="BB796" s="118" t="str">
        <f t="shared" si="1100"/>
        <v/>
      </c>
      <c r="BC796" s="118" t="str">
        <f t="shared" si="1101"/>
        <v/>
      </c>
      <c r="BD796" s="119" t="str">
        <f>+IF(OR($W796="",BB796=0),"",ROUND((VLOOKUP(ROUNDDOWN($D796-1/frec,0),cob_adi,AO$40,FALSE)*(1+i/frec)^-0.5*(1+Parámetros!$D$103)*(1+rec_fracc)/frec),6))</f>
        <v/>
      </c>
      <c r="BE796" s="66" t="str">
        <f t="shared" si="1057"/>
        <v/>
      </c>
      <c r="BF796" s="119" t="str">
        <f t="shared" si="1058"/>
        <v/>
      </c>
      <c r="BG796" s="66" t="str">
        <f>+IF($W796="","",ROUND(IF($B796&gt;Parámetros!$D$107,'Tablas Servicio'!BE796+('Tablas Servicio'!BG795-'Tablas Servicio'!BE795),BE796/(1-IF(B796&lt;=10,Parámetros!$D$100,0))),2))</f>
        <v/>
      </c>
      <c r="BH796" s="66" t="str">
        <f t="shared" si="1059"/>
        <v/>
      </c>
      <c r="BI796" s="66" t="str">
        <f t="shared" si="1060"/>
        <v/>
      </c>
      <c r="BJ796" s="66" t="str">
        <f>+IF($W796="","",ROUND((BG796*Parámetros!$G$85),2))</f>
        <v/>
      </c>
      <c r="BK796" s="66" t="str">
        <f>+IF($W796="","",ROUND((BG796*(Parámetros!$G$86)),2))</f>
        <v/>
      </c>
      <c r="BL796" s="66" t="str">
        <f t="shared" si="1061"/>
        <v/>
      </c>
      <c r="BM796" t="str">
        <f t="shared" si="1102"/>
        <v/>
      </c>
      <c r="BN796" t="str">
        <f t="shared" si="1103"/>
        <v/>
      </c>
      <c r="BO796" s="118" t="str">
        <f t="shared" si="1104"/>
        <v/>
      </c>
      <c r="BP796" s="118" t="str">
        <f t="shared" si="1105"/>
        <v/>
      </c>
      <c r="BQ796" s="119" t="str">
        <f>+IF(OR($W796="",BO796=0),"",ROUND((VLOOKUP(ROUNDDOWN($D796-1/frec,0),cob_adi,BB$40,FALSE)*(1+i/frec)^-0.5*(1+Parámetros!$D$103)*(1+rec_fracc)/frec),6))</f>
        <v/>
      </c>
      <c r="BR796" s="66" t="str">
        <f t="shared" si="1062"/>
        <v/>
      </c>
      <c r="BS796" s="119" t="str">
        <f t="shared" si="1063"/>
        <v/>
      </c>
      <c r="BT796" s="66" t="str">
        <f>+IF($W796="","",ROUND(IF($B796&gt;Parámetros!$D$107,'Tablas Servicio'!BR796+('Tablas Servicio'!BT795-'Tablas Servicio'!BR795),BR796/(1-IF(B796&lt;=10,Parámetros!$D$100,0))),2))</f>
        <v/>
      </c>
      <c r="BU796" s="66" t="str">
        <f t="shared" si="1124"/>
        <v/>
      </c>
      <c r="BV796" s="66" t="str">
        <f t="shared" si="1124"/>
        <v/>
      </c>
      <c r="BW796" s="66" t="str">
        <f>+IF($W796="","",ROUND((BT796*Parámetros!$G$85),2))</f>
        <v/>
      </c>
      <c r="BX796" s="66" t="str">
        <f>+IF($W796="","",ROUND((BT796*(Parámetros!$G$86)),2))</f>
        <v/>
      </c>
      <c r="BY796" s="66" t="str">
        <f t="shared" si="1065"/>
        <v/>
      </c>
      <c r="BZ796" t="str">
        <f t="shared" si="1106"/>
        <v/>
      </c>
      <c r="CA796" t="str">
        <f t="shared" si="1107"/>
        <v/>
      </c>
      <c r="CB796" s="118" t="str">
        <f t="shared" si="1108"/>
        <v/>
      </c>
      <c r="CC796" s="118" t="str">
        <f t="shared" si="1109"/>
        <v/>
      </c>
      <c r="CD796" s="119" t="str">
        <f t="shared" si="1066"/>
        <v/>
      </c>
      <c r="CE796" s="66" t="str">
        <f>+IF($W796="","",ROUND((VLOOKUP(ROUNDDOWN($D796-1/frec,0),cob_adi,BO$40,FALSE)*(1+i/frec)^-0.5*(1+Parámetros!$D$103)*(1+rec_fracc)/frec*'TABLAS ADI'!$BC$17),2))</f>
        <v/>
      </c>
      <c r="CF796" s="119" t="str">
        <f t="shared" si="1067"/>
        <v/>
      </c>
      <c r="CG796" s="66" t="str">
        <f>+IF($W796="","",ROUND(IF($B796&gt;Parámetros!$D$107,'Tablas Servicio'!CE796+('Tablas Servicio'!CG795-'Tablas Servicio'!CE795),CE796/(1-IF(B796&lt;=10,Parámetros!$D$100,0))),2))</f>
        <v/>
      </c>
      <c r="CH796" s="66" t="str">
        <f t="shared" si="1125"/>
        <v/>
      </c>
      <c r="CI796" s="66" t="str">
        <f t="shared" si="1125"/>
        <v/>
      </c>
      <c r="CJ796" s="66" t="str">
        <f>+IF($W796="","",ROUND((CG796*Parámetros!$G$85),2))</f>
        <v/>
      </c>
      <c r="CK796" s="66" t="str">
        <f>+IF($W796="","",ROUND((CG796*(Parámetros!$G$86)),2))</f>
        <v/>
      </c>
      <c r="CL796" s="66" t="str">
        <f t="shared" si="1069"/>
        <v/>
      </c>
      <c r="CM796" t="str">
        <f t="shared" si="1110"/>
        <v/>
      </c>
      <c r="CN796" s="118" t="str">
        <f t="shared" si="1111"/>
        <v/>
      </c>
      <c r="CO796" s="118" t="str">
        <f t="shared" si="1112"/>
        <v/>
      </c>
      <c r="CP796" s="118" t="str">
        <f t="shared" si="1113"/>
        <v/>
      </c>
      <c r="CQ796" s="119" t="str">
        <f t="shared" si="1070"/>
        <v/>
      </c>
      <c r="CR796" s="66" t="str">
        <f>+IF($W796="","",ROUND((VLOOKUP(Parámetros!$F$51,'COBERTURAS ADICIONALES'!$S$4:$T$32,2,FALSE)*(1+i/frec)^-0.5*(1+Parámetros!$D$103)*(1+rec_fracc)/frec*$CO$42),2))</f>
        <v/>
      </c>
      <c r="CS796" s="119" t="str">
        <f t="shared" si="1071"/>
        <v/>
      </c>
      <c r="CT796" s="66" t="str">
        <f>+IF($W796="","",ROUND(IF($B796&gt;Parámetros!$D$107,'Tablas Servicio'!CR796+('Tablas Servicio'!CT795-'Tablas Servicio'!CR795),CR796/(1-IF(B796&lt;=10,Parámetros!$D$100,0))),2))</f>
        <v/>
      </c>
      <c r="CU796" s="66" t="str">
        <f t="shared" si="1126"/>
        <v/>
      </c>
      <c r="CV796" s="66" t="str">
        <f t="shared" si="1126"/>
        <v/>
      </c>
      <c r="CW796" s="66" t="str">
        <f>+IF($W796="","",ROUND((CT796*Parámetros!$G$85),2))</f>
        <v/>
      </c>
      <c r="CX796" s="66" t="str">
        <f>+IF($W796="","",ROUND((CT796*(Parámetros!$G$86)),2))</f>
        <v/>
      </c>
      <c r="CY796" s="66" t="str">
        <f t="shared" si="1073"/>
        <v/>
      </c>
      <c r="CZ796" t="str">
        <f t="shared" si="1114"/>
        <v/>
      </c>
      <c r="DA796" s="118" t="str">
        <f t="shared" si="1115"/>
        <v/>
      </c>
      <c r="DB796" s="118" t="str">
        <f t="shared" si="1116"/>
        <v/>
      </c>
      <c r="DC796" s="118" t="str">
        <f t="shared" si="1117"/>
        <v/>
      </c>
      <c r="DD796" s="121" t="str">
        <f>+IF(OR($W796="",DB796=0),"",ROUND((VLOOKUP(ROUNDDOWN($D796-1/frec,0),cob_adi,CO$40,FALSE)*(1+i/frec)^-0.5*(1+Parámetros!$D$103)*(1+rec_fracc)/frec),6))</f>
        <v/>
      </c>
      <c r="DE796" s="66" t="str">
        <f t="shared" si="1074"/>
        <v/>
      </c>
      <c r="DF796" s="119" t="str">
        <f t="shared" si="1075"/>
        <v/>
      </c>
      <c r="DG796" s="66" t="str">
        <f>+IF($W796="","",ROUND(IF($B796&gt;Parámetros!$D$107,'Tablas Servicio'!DE796+('Tablas Servicio'!DG795-'Tablas Servicio'!DE795),DE796/(1-IF(B796&lt;=10,Parámetros!$D$100,0))),2))</f>
        <v/>
      </c>
      <c r="DH796" s="66" t="str">
        <f t="shared" si="1127"/>
        <v/>
      </c>
      <c r="DI796" s="66" t="str">
        <f t="shared" si="1127"/>
        <v/>
      </c>
      <c r="DJ796" s="66" t="str">
        <f>+IF($W796="","",ROUND((DG796*Parámetros!$G$85),2))</f>
        <v/>
      </c>
      <c r="DK796" s="66" t="str">
        <f>+IF($W796="","",ROUND((DG796*(Parámetros!$G$86)),2))</f>
        <v/>
      </c>
      <c r="DL796" s="66" t="str">
        <f t="shared" si="1077"/>
        <v/>
      </c>
      <c r="DM796" t="str">
        <f t="shared" si="1118"/>
        <v/>
      </c>
      <c r="DN796" s="118" t="str">
        <f t="shared" si="1119"/>
        <v/>
      </c>
      <c r="DO796" s="118" t="str">
        <f t="shared" si="1120"/>
        <v/>
      </c>
      <c r="DP796" s="118" t="str">
        <f t="shared" si="1121"/>
        <v/>
      </c>
      <c r="DQ796" s="122" t="str">
        <f>+IF(OR($W796="",DO796=0),"",ROUND((VLOOKUP(ROUNDDOWN($D796-1/frec,0),cob_adi,DB$40,FALSE)*(1+i/frec)^-0.5*(1+Parámetros!$D$103)*(1+rec_fracc)/frec),6))</f>
        <v/>
      </c>
      <c r="DR796" s="66" t="str">
        <f t="shared" si="1078"/>
        <v/>
      </c>
      <c r="DS796" s="68" t="str">
        <f t="shared" si="1079"/>
        <v/>
      </c>
      <c r="DT796" s="66" t="str">
        <f>+IF($W796="","",ROUND(IF($B796&gt;Parámetros!$D$107,'Tablas Servicio'!DR796+('Tablas Servicio'!DT795-'Tablas Servicio'!DR795),DR796/(1-IF(B796&lt;=10,Parámetros!$D$100,0))),2))</f>
        <v/>
      </c>
      <c r="DU796" s="66" t="str">
        <f t="shared" si="1128"/>
        <v/>
      </c>
      <c r="DV796" s="66" t="str">
        <f t="shared" si="1128"/>
        <v/>
      </c>
      <c r="DW796" s="66" t="str">
        <f>+IF($W796="","",ROUND((DT796*Parámetros!$G$85),2))</f>
        <v/>
      </c>
      <c r="DX796" s="66" t="str">
        <f>+IF($W796="","",ROUND((DT796*(Parámetros!$G$86)),2))</f>
        <v/>
      </c>
      <c r="DY796" s="66" t="str">
        <f t="shared" si="1081"/>
        <v/>
      </c>
      <c r="DZ796" t="str">
        <f t="shared" si="1131"/>
        <v/>
      </c>
      <c r="EA796" s="118" t="str">
        <f t="shared" si="1131"/>
        <v/>
      </c>
      <c r="EB796" s="118" t="str">
        <f>+IF($W796="","",ROUND(IF(Parámetros!$D$25='TABLAS MORT'!$V$33,EB795,Z796/2),0))</f>
        <v/>
      </c>
      <c r="EC796" s="118" t="str">
        <f t="shared" si="1131"/>
        <v/>
      </c>
      <c r="ED796" s="122" t="str">
        <f>+IF(OR($W796="",EB796=0),"",ROUND((VLOOKUP(ROUNDDOWN($D796-1/frec,0),cob_adi,DO$40,FALSE)*(1+i/frec)^-0.5*(1+Parámetros!$D$103)*(1+rec_fracc)/frec),6))</f>
        <v/>
      </c>
      <c r="EE796" s="66" t="str">
        <f t="shared" si="1083"/>
        <v/>
      </c>
      <c r="EF796" s="68" t="str">
        <f t="shared" si="1084"/>
        <v/>
      </c>
      <c r="EG796" s="66" t="str">
        <f>+IF($W796="","",ROUND(IF($B796&gt;Parámetros!$D$107,'Tablas Servicio'!EE796+('Tablas Servicio'!EG795-'Tablas Servicio'!EE795),EE796/(1-IF(B796&lt;=10,Parámetros!$D$100,0))),2))</f>
        <v/>
      </c>
      <c r="EH796" s="66" t="str">
        <f t="shared" si="1130"/>
        <v/>
      </c>
      <c r="EI796" s="66" t="str">
        <f t="shared" si="1130"/>
        <v/>
      </c>
      <c r="EJ796" s="66" t="str">
        <f>+IF($W796="","",ROUND((EG796*Parámetros!$G$85),2))</f>
        <v/>
      </c>
      <c r="EK796" s="66" t="str">
        <f>+IF($W796="","",ROUND((EG796*(Parámetros!$G$86)),2))</f>
        <v/>
      </c>
      <c r="EL796" s="66" t="str">
        <f t="shared" si="1086"/>
        <v/>
      </c>
    </row>
    <row r="797" spans="1:142" x14ac:dyDescent="0.25">
      <c r="A797" t="str">
        <f>+IF($C797="","",ROUND(VLOOKUP('Tablas Servicio'!B797,Parámetros!$H$100:$J$159,IF(Parámetros!$E$16="F",2,3),FALSE),2))</f>
        <v/>
      </c>
      <c r="B797" t="str">
        <f t="shared" si="1037"/>
        <v/>
      </c>
      <c r="C797" s="57" t="str">
        <f>+IF(D797="","",'Tablas Servicio'!C796+1)</f>
        <v/>
      </c>
      <c r="D797" s="56" t="str">
        <f>+IF(D796&lt;edadmaxtabla,D796+1/Parámetros!$E$25,"")</f>
        <v/>
      </c>
      <c r="E797" s="57" t="str">
        <f t="shared" si="1047"/>
        <v/>
      </c>
      <c r="F797" s="59" t="str">
        <f t="shared" si="1048"/>
        <v/>
      </c>
      <c r="G797" s="66" t="str">
        <f t="shared" si="1038"/>
        <v/>
      </c>
      <c r="H797" s="66" t="str">
        <f t="shared" si="1039"/>
        <v/>
      </c>
      <c r="I797" s="66" t="str">
        <f t="shared" si="1087"/>
        <v/>
      </c>
      <c r="J797" s="66" t="str">
        <f t="shared" si="1040"/>
        <v/>
      </c>
      <c r="K797" s="66" t="str">
        <f t="shared" si="1041"/>
        <v/>
      </c>
      <c r="L797" s="66" t="str">
        <f t="shared" si="1042"/>
        <v/>
      </c>
      <c r="M797" s="66" t="str">
        <f t="shared" si="1043"/>
        <v/>
      </c>
      <c r="N797" s="66" t="str">
        <f>+IF(C797="","",ROUND(Parámetros!$D$23,2))</f>
        <v/>
      </c>
      <c r="O797" s="66" t="str">
        <f t="shared" si="1044"/>
        <v/>
      </c>
      <c r="P797" s="66" t="str">
        <f>+IF($C797="","",ROUND(IF(B797&gt;Parámetros!$D$117,0,N797*Parámetros!$D$116-G797*Parámetros!$D$100),2))</f>
        <v/>
      </c>
      <c r="Q797" s="75" t="str">
        <f t="shared" si="1088"/>
        <v/>
      </c>
      <c r="R797" s="75" t="str">
        <f t="shared" si="1089"/>
        <v/>
      </c>
      <c r="S797" s="117" t="str">
        <f>+IF($C797="","",ROUND((S796+I797)*(1+Parámetros!$D$91),2))</f>
        <v/>
      </c>
      <c r="T797" s="117" t="str">
        <f>+IF($C797="","",ROUND(S797*VLOOKUP(B797,Parámetros!$C$30:$D$39,2,TRUE),2))</f>
        <v/>
      </c>
      <c r="U797" s="117" t="str">
        <f>+IF($C797="","",ROUND((U796+I797)*(1+Parámetros!$D$92),2))</f>
        <v/>
      </c>
      <c r="V797" s="117" t="str">
        <f>+IF($C797="","",ROUND(U797*VLOOKUP(B797,Parámetros!$C$30:$D$39,2,TRUE),2))</f>
        <v/>
      </c>
      <c r="W797" s="57" t="str">
        <f t="shared" si="1090"/>
        <v/>
      </c>
      <c r="X797" t="str">
        <f t="shared" si="1091"/>
        <v/>
      </c>
      <c r="Y797" t="str">
        <f t="shared" si="1092"/>
        <v/>
      </c>
      <c r="Z797" s="118" t="str">
        <f>+IF($W797="","",ROUND(IF(Parámetros!$D$25='TABLAS MORT'!$V$33,Z796,Parámetros!$D$21-'Tablas Servicio'!T796),0))</f>
        <v/>
      </c>
      <c r="AA797" s="118" t="str">
        <f t="shared" si="1093"/>
        <v/>
      </c>
      <c r="AB797" s="119" t="str">
        <f>+IF(W797="","",ROUND((VLOOKUP(ROUNDDOWN($D797-1/frec,0),qx_tabla,2,FALSE)*(1+i/frec)^-0.5*(1+Parámetros!$D$103)*(1+rec_fracc)/frec),6))</f>
        <v/>
      </c>
      <c r="AC797" s="66" t="str">
        <f t="shared" si="1049"/>
        <v/>
      </c>
      <c r="AD797" s="119" t="str">
        <f t="shared" si="1045"/>
        <v/>
      </c>
      <c r="AE797" s="66" t="str">
        <f>+IF($W797="","",ROUND(IF($B797&gt;Parámetros!$D$107,'Tablas Servicio'!AC797+('Tablas Servicio'!AG796-'Tablas Servicio'!AC796),AC797/(1-IF(B797&lt;=10,Parámetros!$D$104,Parámetros!$D$105))),2))</f>
        <v/>
      </c>
      <c r="AF797" s="66" t="str">
        <f>+IF($W797="","",ROUND(IF($B797&gt;Parámetros!$D$107,'Tablas Servicio'!AC797+('Tablas Servicio'!AG796-'Tablas Servicio'!AC796),(AC797+$A796/frec)/(1-IF(B797&lt;=Parámetros!$D$117,Parámetros!$D$100,0))),2))</f>
        <v/>
      </c>
      <c r="AG797" s="66" t="str">
        <f t="shared" si="1050"/>
        <v/>
      </c>
      <c r="AH797" s="66" t="str">
        <f t="shared" si="1051"/>
        <v/>
      </c>
      <c r="AI797" s="66" t="str">
        <f t="shared" si="1052"/>
        <v/>
      </c>
      <c r="AJ797" s="66" t="str">
        <f>+IF($W797="","",ROUND((AG797*Parámetros!$G$85),2))</f>
        <v/>
      </c>
      <c r="AK797" s="66" t="str">
        <f>+IF($W797="","",ROUND((AG797*(Parámetros!$G$86)),2))</f>
        <v/>
      </c>
      <c r="AL797" s="66" t="str">
        <f t="shared" si="1046"/>
        <v/>
      </c>
      <c r="AM797" t="str">
        <f t="shared" si="1094"/>
        <v/>
      </c>
      <c r="AN797" t="str">
        <f t="shared" si="1095"/>
        <v/>
      </c>
      <c r="AO797" s="118" t="str">
        <f t="shared" si="1096"/>
        <v/>
      </c>
      <c r="AP797" s="118" t="str">
        <f t="shared" si="1097"/>
        <v/>
      </c>
      <c r="AQ797" s="119" t="str">
        <f>+IF(OR($W797="",AO797=0),"",ROUND((VLOOKUP(ROUNDDOWN($D797-1/frec,0),cob_adi,Z$40,FALSE)*(1+i/frec)^-0.5*(1+Parámetros!$D$103)*(1+rec_fracc)/frec),6))</f>
        <v/>
      </c>
      <c r="AR797" s="66" t="str">
        <f t="shared" si="1053"/>
        <v/>
      </c>
      <c r="AS797" s="119" t="str">
        <f t="shared" si="1054"/>
        <v/>
      </c>
      <c r="AT797" s="66" t="str">
        <f>+IF($W797="","",ROUND(IF($B797&gt;Parámetros!$D$107,'Tablas Servicio'!AR797+('Tablas Servicio'!AT796-'Tablas Servicio'!AR796),AR797/(1-IF(B797&lt;=10,Parámetros!$D$100,0))),2))</f>
        <v/>
      </c>
      <c r="AU797" s="66" t="str">
        <f t="shared" si="1123"/>
        <v/>
      </c>
      <c r="AV797" s="66" t="str">
        <f t="shared" si="1123"/>
        <v/>
      </c>
      <c r="AW797" s="66" t="str">
        <f>+IF($W797="","",ROUND((AT797*Parámetros!$G$85),2))</f>
        <v/>
      </c>
      <c r="AX797" s="66" t="str">
        <f>+IF($W797="","",ROUND((AT797*(Parámetros!$G$86)),2))</f>
        <v/>
      </c>
      <c r="AY797" s="66" t="str">
        <f t="shared" si="1056"/>
        <v/>
      </c>
      <c r="AZ797" t="str">
        <f t="shared" si="1098"/>
        <v/>
      </c>
      <c r="BA797" t="str">
        <f t="shared" si="1099"/>
        <v/>
      </c>
      <c r="BB797" s="118" t="str">
        <f t="shared" si="1100"/>
        <v/>
      </c>
      <c r="BC797" s="118" t="str">
        <f t="shared" si="1101"/>
        <v/>
      </c>
      <c r="BD797" s="119" t="str">
        <f>+IF(OR($W797="",BB797=0),"",ROUND((VLOOKUP(ROUNDDOWN($D797-1/frec,0),cob_adi,AO$40,FALSE)*(1+i/frec)^-0.5*(1+Parámetros!$D$103)*(1+rec_fracc)/frec),6))</f>
        <v/>
      </c>
      <c r="BE797" s="66" t="str">
        <f t="shared" si="1057"/>
        <v/>
      </c>
      <c r="BF797" s="119" t="str">
        <f t="shared" si="1058"/>
        <v/>
      </c>
      <c r="BG797" s="66" t="str">
        <f>+IF($W797="","",ROUND(IF($B797&gt;Parámetros!$D$107,'Tablas Servicio'!BE797+('Tablas Servicio'!BG796-'Tablas Servicio'!BE796),BE797/(1-IF(B797&lt;=10,Parámetros!$D$100,0))),2))</f>
        <v/>
      </c>
      <c r="BH797" s="66" t="str">
        <f t="shared" si="1059"/>
        <v/>
      </c>
      <c r="BI797" s="66" t="str">
        <f t="shared" si="1060"/>
        <v/>
      </c>
      <c r="BJ797" s="66" t="str">
        <f>+IF($W797="","",ROUND((BG797*Parámetros!$G$85),2))</f>
        <v/>
      </c>
      <c r="BK797" s="66" t="str">
        <f>+IF($W797="","",ROUND((BG797*(Parámetros!$G$86)),2))</f>
        <v/>
      </c>
      <c r="BL797" s="66" t="str">
        <f t="shared" si="1061"/>
        <v/>
      </c>
      <c r="BM797" t="str">
        <f t="shared" si="1102"/>
        <v/>
      </c>
      <c r="BN797" t="str">
        <f t="shared" si="1103"/>
        <v/>
      </c>
      <c r="BO797" s="118" t="str">
        <f t="shared" si="1104"/>
        <v/>
      </c>
      <c r="BP797" s="118" t="str">
        <f t="shared" si="1105"/>
        <v/>
      </c>
      <c r="BQ797" s="119" t="str">
        <f>+IF(OR($W797="",BO797=0),"",ROUND((VLOOKUP(ROUNDDOWN($D797-1/frec,0),cob_adi,BB$40,FALSE)*(1+i/frec)^-0.5*(1+Parámetros!$D$103)*(1+rec_fracc)/frec),6))</f>
        <v/>
      </c>
      <c r="BR797" s="66" t="str">
        <f t="shared" si="1062"/>
        <v/>
      </c>
      <c r="BS797" s="119" t="str">
        <f t="shared" si="1063"/>
        <v/>
      </c>
      <c r="BT797" s="66" t="str">
        <f>+IF($W797="","",ROUND(IF($B797&gt;Parámetros!$D$107,'Tablas Servicio'!BR797+('Tablas Servicio'!BT796-'Tablas Servicio'!BR796),BR797/(1-IF(B797&lt;=10,Parámetros!$D$100,0))),2))</f>
        <v/>
      </c>
      <c r="BU797" s="66" t="str">
        <f t="shared" si="1124"/>
        <v/>
      </c>
      <c r="BV797" s="66" t="str">
        <f t="shared" si="1124"/>
        <v/>
      </c>
      <c r="BW797" s="66" t="str">
        <f>+IF($W797="","",ROUND((BT797*Parámetros!$G$85),2))</f>
        <v/>
      </c>
      <c r="BX797" s="66" t="str">
        <f>+IF($W797="","",ROUND((BT797*(Parámetros!$G$86)),2))</f>
        <v/>
      </c>
      <c r="BY797" s="66" t="str">
        <f t="shared" si="1065"/>
        <v/>
      </c>
      <c r="BZ797" t="str">
        <f t="shared" si="1106"/>
        <v/>
      </c>
      <c r="CA797" t="str">
        <f t="shared" si="1107"/>
        <v/>
      </c>
      <c r="CB797" s="118" t="str">
        <f t="shared" si="1108"/>
        <v/>
      </c>
      <c r="CC797" s="118" t="str">
        <f t="shared" si="1109"/>
        <v/>
      </c>
      <c r="CD797" s="119" t="str">
        <f t="shared" si="1066"/>
        <v/>
      </c>
      <c r="CE797" s="66" t="str">
        <f>+IF($W797="","",ROUND((VLOOKUP(ROUNDDOWN($D797-1/frec,0),cob_adi,BO$40,FALSE)*(1+i/frec)^-0.5*(1+Parámetros!$D$103)*(1+rec_fracc)/frec*'TABLAS ADI'!$BC$17),2))</f>
        <v/>
      </c>
      <c r="CF797" s="119" t="str">
        <f t="shared" si="1067"/>
        <v/>
      </c>
      <c r="CG797" s="66" t="str">
        <f>+IF($W797="","",ROUND(IF($B797&gt;Parámetros!$D$107,'Tablas Servicio'!CE797+('Tablas Servicio'!CG796-'Tablas Servicio'!CE796),CE797/(1-IF(B797&lt;=10,Parámetros!$D$100,0))),2))</f>
        <v/>
      </c>
      <c r="CH797" s="66" t="str">
        <f t="shared" si="1125"/>
        <v/>
      </c>
      <c r="CI797" s="66" t="str">
        <f t="shared" si="1125"/>
        <v/>
      </c>
      <c r="CJ797" s="66" t="str">
        <f>+IF($W797="","",ROUND((CG797*Parámetros!$G$85),2))</f>
        <v/>
      </c>
      <c r="CK797" s="66" t="str">
        <f>+IF($W797="","",ROUND((CG797*(Parámetros!$G$86)),2))</f>
        <v/>
      </c>
      <c r="CL797" s="66" t="str">
        <f t="shared" si="1069"/>
        <v/>
      </c>
      <c r="CM797" t="str">
        <f t="shared" si="1110"/>
        <v/>
      </c>
      <c r="CN797" s="118" t="str">
        <f t="shared" si="1111"/>
        <v/>
      </c>
      <c r="CO797" s="118" t="str">
        <f t="shared" si="1112"/>
        <v/>
      </c>
      <c r="CP797" s="118" t="str">
        <f t="shared" si="1113"/>
        <v/>
      </c>
      <c r="CQ797" s="119" t="str">
        <f t="shared" si="1070"/>
        <v/>
      </c>
      <c r="CR797" s="66" t="str">
        <f>+IF($W797="","",ROUND((VLOOKUP(Parámetros!$F$51,'COBERTURAS ADICIONALES'!$S$4:$T$32,2,FALSE)*(1+i/frec)^-0.5*(1+Parámetros!$D$103)*(1+rec_fracc)/frec*$CO$42),2))</f>
        <v/>
      </c>
      <c r="CS797" s="119" t="str">
        <f t="shared" si="1071"/>
        <v/>
      </c>
      <c r="CT797" s="66" t="str">
        <f>+IF($W797="","",ROUND(IF($B797&gt;Parámetros!$D$107,'Tablas Servicio'!CR797+('Tablas Servicio'!CT796-'Tablas Servicio'!CR796),CR797/(1-IF(B797&lt;=10,Parámetros!$D$100,0))),2))</f>
        <v/>
      </c>
      <c r="CU797" s="66" t="str">
        <f t="shared" si="1126"/>
        <v/>
      </c>
      <c r="CV797" s="66" t="str">
        <f t="shared" si="1126"/>
        <v/>
      </c>
      <c r="CW797" s="66" t="str">
        <f>+IF($W797="","",ROUND((CT797*Parámetros!$G$85),2))</f>
        <v/>
      </c>
      <c r="CX797" s="66" t="str">
        <f>+IF($W797="","",ROUND((CT797*(Parámetros!$G$86)),2))</f>
        <v/>
      </c>
      <c r="CY797" s="66" t="str">
        <f t="shared" si="1073"/>
        <v/>
      </c>
      <c r="CZ797" t="str">
        <f t="shared" si="1114"/>
        <v/>
      </c>
      <c r="DA797" s="118" t="str">
        <f t="shared" si="1115"/>
        <v/>
      </c>
      <c r="DB797" s="118" t="str">
        <f t="shared" si="1116"/>
        <v/>
      </c>
      <c r="DC797" s="118" t="str">
        <f t="shared" si="1117"/>
        <v/>
      </c>
      <c r="DD797" s="121" t="str">
        <f>+IF(OR($W797="",DB797=0),"",ROUND((VLOOKUP(ROUNDDOWN($D797-1/frec,0),cob_adi,CO$40,FALSE)*(1+i/frec)^-0.5*(1+Parámetros!$D$103)*(1+rec_fracc)/frec),6))</f>
        <v/>
      </c>
      <c r="DE797" s="66" t="str">
        <f t="shared" si="1074"/>
        <v/>
      </c>
      <c r="DF797" s="119" t="str">
        <f t="shared" si="1075"/>
        <v/>
      </c>
      <c r="DG797" s="66" t="str">
        <f>+IF($W797="","",ROUND(IF($B797&gt;Parámetros!$D$107,'Tablas Servicio'!DE797+('Tablas Servicio'!DG796-'Tablas Servicio'!DE796),DE797/(1-IF(B797&lt;=10,Parámetros!$D$100,0))),2))</f>
        <v/>
      </c>
      <c r="DH797" s="66" t="str">
        <f t="shared" si="1127"/>
        <v/>
      </c>
      <c r="DI797" s="66" t="str">
        <f t="shared" si="1127"/>
        <v/>
      </c>
      <c r="DJ797" s="66" t="str">
        <f>+IF($W797="","",ROUND((DG797*Parámetros!$G$85),2))</f>
        <v/>
      </c>
      <c r="DK797" s="66" t="str">
        <f>+IF($W797="","",ROUND((DG797*(Parámetros!$G$86)),2))</f>
        <v/>
      </c>
      <c r="DL797" s="66" t="str">
        <f t="shared" si="1077"/>
        <v/>
      </c>
      <c r="DM797" t="str">
        <f t="shared" si="1118"/>
        <v/>
      </c>
      <c r="DN797" s="118" t="str">
        <f t="shared" si="1119"/>
        <v/>
      </c>
      <c r="DO797" s="118" t="str">
        <f t="shared" si="1120"/>
        <v/>
      </c>
      <c r="DP797" s="118" t="str">
        <f t="shared" si="1121"/>
        <v/>
      </c>
      <c r="DQ797" s="122" t="str">
        <f>+IF(OR($W797="",DO797=0),"",ROUND((VLOOKUP(ROUNDDOWN($D797-1/frec,0),cob_adi,DB$40,FALSE)*(1+i/frec)^-0.5*(1+Parámetros!$D$103)*(1+rec_fracc)/frec),6))</f>
        <v/>
      </c>
      <c r="DR797" s="66" t="str">
        <f t="shared" si="1078"/>
        <v/>
      </c>
      <c r="DS797" s="68" t="str">
        <f t="shared" si="1079"/>
        <v/>
      </c>
      <c r="DT797" s="66" t="str">
        <f>+IF($W797="","",ROUND(IF($B797&gt;Parámetros!$D$107,'Tablas Servicio'!DR797+('Tablas Servicio'!DT796-'Tablas Servicio'!DR796),DR797/(1-IF(B797&lt;=10,Parámetros!$D$100,0))),2))</f>
        <v/>
      </c>
      <c r="DU797" s="66" t="str">
        <f t="shared" si="1128"/>
        <v/>
      </c>
      <c r="DV797" s="66" t="str">
        <f t="shared" si="1128"/>
        <v/>
      </c>
      <c r="DW797" s="66" t="str">
        <f>+IF($W797="","",ROUND((DT797*Parámetros!$G$85),2))</f>
        <v/>
      </c>
      <c r="DX797" s="66" t="str">
        <f>+IF($W797="","",ROUND((DT797*(Parámetros!$G$86)),2))</f>
        <v/>
      </c>
      <c r="DY797" s="66" t="str">
        <f t="shared" si="1081"/>
        <v/>
      </c>
      <c r="DZ797" t="str">
        <f t="shared" si="1131"/>
        <v/>
      </c>
      <c r="EA797" s="118" t="str">
        <f t="shared" si="1131"/>
        <v/>
      </c>
      <c r="EB797" s="118" t="str">
        <f>+IF($W797="","",ROUND(IF(Parámetros!$D$25='TABLAS MORT'!$V$33,EB796,Z797/2),0))</f>
        <v/>
      </c>
      <c r="EC797" s="118" t="str">
        <f t="shared" si="1131"/>
        <v/>
      </c>
      <c r="ED797" s="122" t="str">
        <f>+IF(OR($W797="",EB797=0),"",ROUND((VLOOKUP(ROUNDDOWN($D797-1/frec,0),cob_adi,DO$40,FALSE)*(1+i/frec)^-0.5*(1+Parámetros!$D$103)*(1+rec_fracc)/frec),6))</f>
        <v/>
      </c>
      <c r="EE797" s="66" t="str">
        <f t="shared" si="1083"/>
        <v/>
      </c>
      <c r="EF797" s="68" t="str">
        <f t="shared" si="1084"/>
        <v/>
      </c>
      <c r="EG797" s="66" t="str">
        <f>+IF($W797="","",ROUND(IF($B797&gt;Parámetros!$D$107,'Tablas Servicio'!EE797+('Tablas Servicio'!EG796-'Tablas Servicio'!EE796),EE797/(1-IF(B797&lt;=10,Parámetros!$D$100,0))),2))</f>
        <v/>
      </c>
      <c r="EH797" s="66" t="str">
        <f t="shared" si="1130"/>
        <v/>
      </c>
      <c r="EI797" s="66" t="str">
        <f t="shared" si="1130"/>
        <v/>
      </c>
      <c r="EJ797" s="66" t="str">
        <f>+IF($W797="","",ROUND((EG797*Parámetros!$G$85),2))</f>
        <v/>
      </c>
      <c r="EK797" s="66" t="str">
        <f>+IF($W797="","",ROUND((EG797*(Parámetros!$G$86)),2))</f>
        <v/>
      </c>
      <c r="EL797" s="66" t="str">
        <f t="shared" si="1086"/>
        <v/>
      </c>
    </row>
    <row r="798" spans="1:142" x14ac:dyDescent="0.25">
      <c r="A798" t="str">
        <f>+IF($C798="","",ROUND(VLOOKUP('Tablas Servicio'!B798,Parámetros!$H$100:$J$159,IF(Parámetros!$E$16="F",2,3),FALSE),2))</f>
        <v/>
      </c>
      <c r="B798" t="str">
        <f t="shared" si="1037"/>
        <v/>
      </c>
      <c r="C798" s="57" t="str">
        <f>+IF(D798="","",'Tablas Servicio'!C797+1)</f>
        <v/>
      </c>
      <c r="D798" s="56" t="str">
        <f>+IF(D797&lt;edadmaxtabla,D797+1/Parámetros!$E$25,"")</f>
        <v/>
      </c>
      <c r="E798" s="57" t="str">
        <f t="shared" si="1047"/>
        <v/>
      </c>
      <c r="F798" s="59" t="str">
        <f t="shared" si="1048"/>
        <v/>
      </c>
      <c r="G798" s="66" t="str">
        <f t="shared" si="1038"/>
        <v/>
      </c>
      <c r="H798" s="66" t="str">
        <f t="shared" si="1039"/>
        <v/>
      </c>
      <c r="I798" s="66" t="str">
        <f t="shared" si="1087"/>
        <v/>
      </c>
      <c r="J798" s="66" t="str">
        <f t="shared" si="1040"/>
        <v/>
      </c>
      <c r="K798" s="66" t="str">
        <f t="shared" si="1041"/>
        <v/>
      </c>
      <c r="L798" s="66" t="str">
        <f t="shared" si="1042"/>
        <v/>
      </c>
      <c r="M798" s="66" t="str">
        <f t="shared" si="1043"/>
        <v/>
      </c>
      <c r="N798" s="66" t="str">
        <f>+IF(C798="","",ROUND(Parámetros!$D$23,2))</f>
        <v/>
      </c>
      <c r="O798" s="66" t="str">
        <f t="shared" si="1044"/>
        <v/>
      </c>
      <c r="P798" s="66" t="str">
        <f>+IF($C798="","",ROUND(IF(B798&gt;Parámetros!$D$117,0,N798*Parámetros!$D$116-G798*Parámetros!$D$100),2))</f>
        <v/>
      </c>
      <c r="Q798" s="75" t="str">
        <f t="shared" si="1088"/>
        <v/>
      </c>
      <c r="R798" s="75" t="str">
        <f t="shared" si="1089"/>
        <v/>
      </c>
      <c r="S798" s="117" t="str">
        <f>+IF($C798="","",ROUND((S797+I798)*(1+Parámetros!$D$91),2))</f>
        <v/>
      </c>
      <c r="T798" s="117" t="str">
        <f>+IF($C798="","",ROUND(S798*VLOOKUP(B798,Parámetros!$C$30:$D$39,2,TRUE),2))</f>
        <v/>
      </c>
      <c r="U798" s="117" t="str">
        <f>+IF($C798="","",ROUND((U797+I798)*(1+Parámetros!$D$92),2))</f>
        <v/>
      </c>
      <c r="V798" s="117" t="str">
        <f>+IF($C798="","",ROUND(U798*VLOOKUP(B798,Parámetros!$C$30:$D$39,2,TRUE),2))</f>
        <v/>
      </c>
      <c r="W798" s="57" t="str">
        <f t="shared" si="1090"/>
        <v/>
      </c>
      <c r="X798" t="str">
        <f t="shared" si="1091"/>
        <v/>
      </c>
      <c r="Y798" t="str">
        <f t="shared" si="1092"/>
        <v/>
      </c>
      <c r="Z798" s="118" t="str">
        <f>+IF($W798="","",ROUND(IF(Parámetros!$D$25='TABLAS MORT'!$V$33,Z797,Parámetros!$D$21-'Tablas Servicio'!T797),0))</f>
        <v/>
      </c>
      <c r="AA798" s="118" t="str">
        <f t="shared" si="1093"/>
        <v/>
      </c>
      <c r="AB798" s="119" t="str">
        <f>+IF(W798="","",ROUND((VLOOKUP(ROUNDDOWN($D798-1/frec,0),qx_tabla,2,FALSE)*(1+i/frec)^-0.5*(1+Parámetros!$D$103)*(1+rec_fracc)/frec),6))</f>
        <v/>
      </c>
      <c r="AC798" s="66" t="str">
        <f t="shared" si="1049"/>
        <v/>
      </c>
      <c r="AD798" s="119" t="str">
        <f t="shared" si="1045"/>
        <v/>
      </c>
      <c r="AE798" s="66" t="str">
        <f>+IF($W798="","",ROUND(IF($B798&gt;Parámetros!$D$107,'Tablas Servicio'!AC798+('Tablas Servicio'!AG797-'Tablas Servicio'!AC797),AC798/(1-IF(B798&lt;=10,Parámetros!$D$104,Parámetros!$D$105))),2))</f>
        <v/>
      </c>
      <c r="AF798" s="66" t="str">
        <f>+IF($W798="","",ROUND(IF($B798&gt;Parámetros!$D$107,'Tablas Servicio'!AC798+('Tablas Servicio'!AG797-'Tablas Servicio'!AC797),(AC798+$A797/frec)/(1-IF(B798&lt;=Parámetros!$D$117,Parámetros!$D$100,0))),2))</f>
        <v/>
      </c>
      <c r="AG798" s="66" t="str">
        <f t="shared" si="1050"/>
        <v/>
      </c>
      <c r="AH798" s="66" t="str">
        <f t="shared" si="1051"/>
        <v/>
      </c>
      <c r="AI798" s="66" t="str">
        <f t="shared" si="1052"/>
        <v/>
      </c>
      <c r="AJ798" s="66" t="str">
        <f>+IF($W798="","",ROUND((AG798*Parámetros!$G$85),2))</f>
        <v/>
      </c>
      <c r="AK798" s="66" t="str">
        <f>+IF($W798="","",ROUND((AG798*(Parámetros!$G$86)),2))</f>
        <v/>
      </c>
      <c r="AL798" s="66" t="str">
        <f t="shared" si="1046"/>
        <v/>
      </c>
      <c r="AM798" t="str">
        <f t="shared" si="1094"/>
        <v/>
      </c>
      <c r="AN798" t="str">
        <f t="shared" si="1095"/>
        <v/>
      </c>
      <c r="AO798" s="118" t="str">
        <f t="shared" si="1096"/>
        <v/>
      </c>
      <c r="AP798" s="118" t="str">
        <f t="shared" si="1097"/>
        <v/>
      </c>
      <c r="AQ798" s="119" t="str">
        <f>+IF(OR($W798="",AO798=0),"",ROUND((VLOOKUP(ROUNDDOWN($D798-1/frec,0),cob_adi,Z$40,FALSE)*(1+i/frec)^-0.5*(1+Parámetros!$D$103)*(1+rec_fracc)/frec),6))</f>
        <v/>
      </c>
      <c r="AR798" s="66" t="str">
        <f t="shared" si="1053"/>
        <v/>
      </c>
      <c r="AS798" s="119" t="str">
        <f t="shared" si="1054"/>
        <v/>
      </c>
      <c r="AT798" s="66" t="str">
        <f>+IF($W798="","",ROUND(IF($B798&gt;Parámetros!$D$107,'Tablas Servicio'!AR798+('Tablas Servicio'!AT797-'Tablas Servicio'!AR797),AR798/(1-IF(B798&lt;=10,Parámetros!$D$100,0))),2))</f>
        <v/>
      </c>
      <c r="AU798" s="66" t="str">
        <f t="shared" si="1123"/>
        <v/>
      </c>
      <c r="AV798" s="66" t="str">
        <f t="shared" si="1123"/>
        <v/>
      </c>
      <c r="AW798" s="66" t="str">
        <f>+IF($W798="","",ROUND((AT798*Parámetros!$G$85),2))</f>
        <v/>
      </c>
      <c r="AX798" s="66" t="str">
        <f>+IF($W798="","",ROUND((AT798*(Parámetros!$G$86)),2))</f>
        <v/>
      </c>
      <c r="AY798" s="66" t="str">
        <f t="shared" si="1056"/>
        <v/>
      </c>
      <c r="AZ798" t="str">
        <f t="shared" si="1098"/>
        <v/>
      </c>
      <c r="BA798" t="str">
        <f t="shared" si="1099"/>
        <v/>
      </c>
      <c r="BB798" s="118" t="str">
        <f t="shared" si="1100"/>
        <v/>
      </c>
      <c r="BC798" s="118" t="str">
        <f t="shared" si="1101"/>
        <v/>
      </c>
      <c r="BD798" s="119" t="str">
        <f>+IF(OR($W798="",BB798=0),"",ROUND((VLOOKUP(ROUNDDOWN($D798-1/frec,0),cob_adi,AO$40,FALSE)*(1+i/frec)^-0.5*(1+Parámetros!$D$103)*(1+rec_fracc)/frec),6))</f>
        <v/>
      </c>
      <c r="BE798" s="66" t="str">
        <f t="shared" si="1057"/>
        <v/>
      </c>
      <c r="BF798" s="119" t="str">
        <f t="shared" si="1058"/>
        <v/>
      </c>
      <c r="BG798" s="66" t="str">
        <f>+IF($W798="","",ROUND(IF($B798&gt;Parámetros!$D$107,'Tablas Servicio'!BE798+('Tablas Servicio'!BG797-'Tablas Servicio'!BE797),BE798/(1-IF(B798&lt;=10,Parámetros!$D$100,0))),2))</f>
        <v/>
      </c>
      <c r="BH798" s="66" t="str">
        <f t="shared" si="1059"/>
        <v/>
      </c>
      <c r="BI798" s="66" t="str">
        <f t="shared" si="1060"/>
        <v/>
      </c>
      <c r="BJ798" s="66" t="str">
        <f>+IF($W798="","",ROUND((BG798*Parámetros!$G$85),2))</f>
        <v/>
      </c>
      <c r="BK798" s="66" t="str">
        <f>+IF($W798="","",ROUND((BG798*(Parámetros!$G$86)),2))</f>
        <v/>
      </c>
      <c r="BL798" s="66" t="str">
        <f t="shared" si="1061"/>
        <v/>
      </c>
      <c r="BM798" t="str">
        <f t="shared" si="1102"/>
        <v/>
      </c>
      <c r="BN798" t="str">
        <f t="shared" si="1103"/>
        <v/>
      </c>
      <c r="BO798" s="118" t="str">
        <f t="shared" si="1104"/>
        <v/>
      </c>
      <c r="BP798" s="118" t="str">
        <f t="shared" si="1105"/>
        <v/>
      </c>
      <c r="BQ798" s="119" t="str">
        <f>+IF(OR($W798="",BO798=0),"",ROUND((VLOOKUP(ROUNDDOWN($D798-1/frec,0),cob_adi,BB$40,FALSE)*(1+i/frec)^-0.5*(1+Parámetros!$D$103)*(1+rec_fracc)/frec),6))</f>
        <v/>
      </c>
      <c r="BR798" s="66" t="str">
        <f t="shared" si="1062"/>
        <v/>
      </c>
      <c r="BS798" s="119" t="str">
        <f t="shared" si="1063"/>
        <v/>
      </c>
      <c r="BT798" s="66" t="str">
        <f>+IF($W798="","",ROUND(IF($B798&gt;Parámetros!$D$107,'Tablas Servicio'!BR798+('Tablas Servicio'!BT797-'Tablas Servicio'!BR797),BR798/(1-IF(B798&lt;=10,Parámetros!$D$100,0))),2))</f>
        <v/>
      </c>
      <c r="BU798" s="66" t="str">
        <f t="shared" si="1124"/>
        <v/>
      </c>
      <c r="BV798" s="66" t="str">
        <f t="shared" si="1124"/>
        <v/>
      </c>
      <c r="BW798" s="66" t="str">
        <f>+IF($W798="","",ROUND((BT798*Parámetros!$G$85),2))</f>
        <v/>
      </c>
      <c r="BX798" s="66" t="str">
        <f>+IF($W798="","",ROUND((BT798*(Parámetros!$G$86)),2))</f>
        <v/>
      </c>
      <c r="BY798" s="66" t="str">
        <f t="shared" si="1065"/>
        <v/>
      </c>
      <c r="BZ798" t="str">
        <f t="shared" si="1106"/>
        <v/>
      </c>
      <c r="CA798" t="str">
        <f t="shared" si="1107"/>
        <v/>
      </c>
      <c r="CB798" s="118" t="str">
        <f t="shared" si="1108"/>
        <v/>
      </c>
      <c r="CC798" s="118" t="str">
        <f t="shared" si="1109"/>
        <v/>
      </c>
      <c r="CD798" s="119" t="str">
        <f t="shared" si="1066"/>
        <v/>
      </c>
      <c r="CE798" s="66" t="str">
        <f>+IF($W798="","",ROUND((VLOOKUP(ROUNDDOWN($D798-1/frec,0),cob_adi,BO$40,FALSE)*(1+i/frec)^-0.5*(1+Parámetros!$D$103)*(1+rec_fracc)/frec*'TABLAS ADI'!$BC$17),2))</f>
        <v/>
      </c>
      <c r="CF798" s="119" t="str">
        <f t="shared" si="1067"/>
        <v/>
      </c>
      <c r="CG798" s="66" t="str">
        <f>+IF($W798="","",ROUND(IF($B798&gt;Parámetros!$D$107,'Tablas Servicio'!CE798+('Tablas Servicio'!CG797-'Tablas Servicio'!CE797),CE798/(1-IF(B798&lt;=10,Parámetros!$D$100,0))),2))</f>
        <v/>
      </c>
      <c r="CH798" s="66" t="str">
        <f t="shared" si="1125"/>
        <v/>
      </c>
      <c r="CI798" s="66" t="str">
        <f t="shared" si="1125"/>
        <v/>
      </c>
      <c r="CJ798" s="66" t="str">
        <f>+IF($W798="","",ROUND((CG798*Parámetros!$G$85),2))</f>
        <v/>
      </c>
      <c r="CK798" s="66" t="str">
        <f>+IF($W798="","",ROUND((CG798*(Parámetros!$G$86)),2))</f>
        <v/>
      </c>
      <c r="CL798" s="66" t="str">
        <f t="shared" si="1069"/>
        <v/>
      </c>
      <c r="CM798" t="str">
        <f t="shared" si="1110"/>
        <v/>
      </c>
      <c r="CN798" s="118" t="str">
        <f t="shared" si="1111"/>
        <v/>
      </c>
      <c r="CO798" s="118" t="str">
        <f t="shared" si="1112"/>
        <v/>
      </c>
      <c r="CP798" s="118" t="str">
        <f t="shared" si="1113"/>
        <v/>
      </c>
      <c r="CQ798" s="119" t="str">
        <f t="shared" si="1070"/>
        <v/>
      </c>
      <c r="CR798" s="66" t="str">
        <f>+IF($W798="","",ROUND((VLOOKUP(Parámetros!$F$51,'COBERTURAS ADICIONALES'!$S$4:$T$32,2,FALSE)*(1+i/frec)^-0.5*(1+Parámetros!$D$103)*(1+rec_fracc)/frec*$CO$42),2))</f>
        <v/>
      </c>
      <c r="CS798" s="119" t="str">
        <f t="shared" si="1071"/>
        <v/>
      </c>
      <c r="CT798" s="66" t="str">
        <f>+IF($W798="","",ROUND(IF($B798&gt;Parámetros!$D$107,'Tablas Servicio'!CR798+('Tablas Servicio'!CT797-'Tablas Servicio'!CR797),CR798/(1-IF(B798&lt;=10,Parámetros!$D$100,0))),2))</f>
        <v/>
      </c>
      <c r="CU798" s="66" t="str">
        <f t="shared" si="1126"/>
        <v/>
      </c>
      <c r="CV798" s="66" t="str">
        <f t="shared" si="1126"/>
        <v/>
      </c>
      <c r="CW798" s="66" t="str">
        <f>+IF($W798="","",ROUND((CT798*Parámetros!$G$85),2))</f>
        <v/>
      </c>
      <c r="CX798" s="66" t="str">
        <f>+IF($W798="","",ROUND((CT798*(Parámetros!$G$86)),2))</f>
        <v/>
      </c>
      <c r="CY798" s="66" t="str">
        <f t="shared" si="1073"/>
        <v/>
      </c>
      <c r="CZ798" t="str">
        <f t="shared" si="1114"/>
        <v/>
      </c>
      <c r="DA798" s="118" t="str">
        <f t="shared" si="1115"/>
        <v/>
      </c>
      <c r="DB798" s="118" t="str">
        <f t="shared" si="1116"/>
        <v/>
      </c>
      <c r="DC798" s="118" t="str">
        <f t="shared" si="1117"/>
        <v/>
      </c>
      <c r="DD798" s="121" t="str">
        <f>+IF(OR($W798="",DB798=0),"",ROUND((VLOOKUP(ROUNDDOWN($D798-1/frec,0),cob_adi,CO$40,FALSE)*(1+i/frec)^-0.5*(1+Parámetros!$D$103)*(1+rec_fracc)/frec),6))</f>
        <v/>
      </c>
      <c r="DE798" s="66" t="str">
        <f t="shared" si="1074"/>
        <v/>
      </c>
      <c r="DF798" s="119" t="str">
        <f t="shared" si="1075"/>
        <v/>
      </c>
      <c r="DG798" s="66" t="str">
        <f>+IF($W798="","",ROUND(IF($B798&gt;Parámetros!$D$107,'Tablas Servicio'!DE798+('Tablas Servicio'!DG797-'Tablas Servicio'!DE797),DE798/(1-IF(B798&lt;=10,Parámetros!$D$100,0))),2))</f>
        <v/>
      </c>
      <c r="DH798" s="66" t="str">
        <f t="shared" si="1127"/>
        <v/>
      </c>
      <c r="DI798" s="66" t="str">
        <f t="shared" si="1127"/>
        <v/>
      </c>
      <c r="DJ798" s="66" t="str">
        <f>+IF($W798="","",ROUND((DG798*Parámetros!$G$85),2))</f>
        <v/>
      </c>
      <c r="DK798" s="66" t="str">
        <f>+IF($W798="","",ROUND((DG798*(Parámetros!$G$86)),2))</f>
        <v/>
      </c>
      <c r="DL798" s="66" t="str">
        <f t="shared" si="1077"/>
        <v/>
      </c>
      <c r="DM798" t="str">
        <f t="shared" si="1118"/>
        <v/>
      </c>
      <c r="DN798" s="118" t="str">
        <f t="shared" si="1119"/>
        <v/>
      </c>
      <c r="DO798" s="118" t="str">
        <f t="shared" si="1120"/>
        <v/>
      </c>
      <c r="DP798" s="118" t="str">
        <f t="shared" si="1121"/>
        <v/>
      </c>
      <c r="DQ798" s="122" t="str">
        <f>+IF(OR($W798="",DO798=0),"",ROUND((VLOOKUP(ROUNDDOWN($D798-1/frec,0),cob_adi,DB$40,FALSE)*(1+i/frec)^-0.5*(1+Parámetros!$D$103)*(1+rec_fracc)/frec),6))</f>
        <v/>
      </c>
      <c r="DR798" s="66" t="str">
        <f t="shared" si="1078"/>
        <v/>
      </c>
      <c r="DS798" s="68" t="str">
        <f t="shared" si="1079"/>
        <v/>
      </c>
      <c r="DT798" s="66" t="str">
        <f>+IF($W798="","",ROUND(IF($B798&gt;Parámetros!$D$107,'Tablas Servicio'!DR798+('Tablas Servicio'!DT797-'Tablas Servicio'!DR797),DR798/(1-IF(B798&lt;=10,Parámetros!$D$100,0))),2))</f>
        <v/>
      </c>
      <c r="DU798" s="66" t="str">
        <f t="shared" si="1128"/>
        <v/>
      </c>
      <c r="DV798" s="66" t="str">
        <f t="shared" si="1128"/>
        <v/>
      </c>
      <c r="DW798" s="66" t="str">
        <f>+IF($W798="","",ROUND((DT798*Parámetros!$G$85),2))</f>
        <v/>
      </c>
      <c r="DX798" s="66" t="str">
        <f>+IF($W798="","",ROUND((DT798*(Parámetros!$G$86)),2))</f>
        <v/>
      </c>
      <c r="DY798" s="66" t="str">
        <f t="shared" si="1081"/>
        <v/>
      </c>
      <c r="DZ798" t="str">
        <f t="shared" si="1131"/>
        <v/>
      </c>
      <c r="EA798" s="118" t="str">
        <f t="shared" si="1131"/>
        <v/>
      </c>
      <c r="EB798" s="118" t="str">
        <f>+IF($W798="","",ROUND(IF(Parámetros!$D$25='TABLAS MORT'!$V$33,EB797,Z798/2),0))</f>
        <v/>
      </c>
      <c r="EC798" s="118" t="str">
        <f t="shared" si="1131"/>
        <v/>
      </c>
      <c r="ED798" s="122" t="str">
        <f>+IF(OR($W798="",EB798=0),"",ROUND((VLOOKUP(ROUNDDOWN($D798-1/frec,0),cob_adi,DO$40,FALSE)*(1+i/frec)^-0.5*(1+Parámetros!$D$103)*(1+rec_fracc)/frec),6))</f>
        <v/>
      </c>
      <c r="EE798" s="66" t="str">
        <f t="shared" si="1083"/>
        <v/>
      </c>
      <c r="EF798" s="68" t="str">
        <f t="shared" si="1084"/>
        <v/>
      </c>
      <c r="EG798" s="66" t="str">
        <f>+IF($W798="","",ROUND(IF($B798&gt;Parámetros!$D$107,'Tablas Servicio'!EE798+('Tablas Servicio'!EG797-'Tablas Servicio'!EE797),EE798/(1-IF(B798&lt;=10,Parámetros!$D$100,0))),2))</f>
        <v/>
      </c>
      <c r="EH798" s="66" t="str">
        <f t="shared" si="1130"/>
        <v/>
      </c>
      <c r="EI798" s="66" t="str">
        <f t="shared" si="1130"/>
        <v/>
      </c>
      <c r="EJ798" s="66" t="str">
        <f>+IF($W798="","",ROUND((EG798*Parámetros!$G$85),2))</f>
        <v/>
      </c>
      <c r="EK798" s="66" t="str">
        <f>+IF($W798="","",ROUND((EG798*(Parámetros!$G$86)),2))</f>
        <v/>
      </c>
      <c r="EL798" s="66" t="str">
        <f t="shared" si="1086"/>
        <v/>
      </c>
    </row>
    <row r="799" spans="1:142" x14ac:dyDescent="0.25">
      <c r="A799" t="str">
        <f>+IF($C799="","",ROUND(VLOOKUP('Tablas Servicio'!B799,Parámetros!$H$100:$J$159,IF(Parámetros!$E$16="F",2,3),FALSE),2))</f>
        <v/>
      </c>
      <c r="B799" t="str">
        <f t="shared" si="1037"/>
        <v/>
      </c>
      <c r="C799" s="57" t="str">
        <f>+IF(D799="","",'Tablas Servicio'!C798+1)</f>
        <v/>
      </c>
      <c r="D799" s="56" t="str">
        <f>+IF(D798&lt;edadmaxtabla,D798+1/Parámetros!$E$25,"")</f>
        <v/>
      </c>
      <c r="E799" s="57" t="str">
        <f t="shared" si="1047"/>
        <v/>
      </c>
      <c r="F799" s="59" t="str">
        <f t="shared" si="1048"/>
        <v/>
      </c>
      <c r="G799" s="66" t="str">
        <f t="shared" si="1038"/>
        <v/>
      </c>
      <c r="H799" s="66" t="str">
        <f t="shared" si="1039"/>
        <v/>
      </c>
      <c r="I799" s="66" t="str">
        <f t="shared" si="1087"/>
        <v/>
      </c>
      <c r="J799" s="66" t="str">
        <f t="shared" si="1040"/>
        <v/>
      </c>
      <c r="K799" s="66" t="str">
        <f t="shared" si="1041"/>
        <v/>
      </c>
      <c r="L799" s="66" t="str">
        <f t="shared" si="1042"/>
        <v/>
      </c>
      <c r="M799" s="66" t="str">
        <f t="shared" si="1043"/>
        <v/>
      </c>
      <c r="N799" s="66" t="str">
        <f>+IF(C799="","",ROUND(Parámetros!$D$23,2))</f>
        <v/>
      </c>
      <c r="O799" s="66" t="str">
        <f t="shared" si="1044"/>
        <v/>
      </c>
      <c r="P799" s="66" t="str">
        <f>+IF($C799="","",ROUND(IF(B799&gt;Parámetros!$D$117,0,N799*Parámetros!$D$116-G799*Parámetros!$D$100),2))</f>
        <v/>
      </c>
      <c r="Q799" s="75" t="str">
        <f t="shared" si="1088"/>
        <v/>
      </c>
      <c r="R799" s="75" t="str">
        <f t="shared" si="1089"/>
        <v/>
      </c>
      <c r="S799" s="117" t="str">
        <f>+IF($C799="","",ROUND((S798+I799)*(1+Parámetros!$D$91),2))</f>
        <v/>
      </c>
      <c r="T799" s="117" t="str">
        <f>+IF($C799="","",ROUND(S799*VLOOKUP(B799,Parámetros!$C$30:$D$39,2,TRUE),2))</f>
        <v/>
      </c>
      <c r="U799" s="117" t="str">
        <f>+IF($C799="","",ROUND((U798+I799)*(1+Parámetros!$D$92),2))</f>
        <v/>
      </c>
      <c r="V799" s="117" t="str">
        <f>+IF($C799="","",ROUND(U799*VLOOKUP(B799,Parámetros!$C$30:$D$39,2,TRUE),2))</f>
        <v/>
      </c>
      <c r="W799" s="57" t="str">
        <f t="shared" si="1090"/>
        <v/>
      </c>
      <c r="X799" t="str">
        <f t="shared" si="1091"/>
        <v/>
      </c>
      <c r="Y799" t="str">
        <f t="shared" si="1092"/>
        <v/>
      </c>
      <c r="Z799" s="118" t="str">
        <f>+IF($W799="","",ROUND(IF(Parámetros!$D$25='TABLAS MORT'!$V$33,Z798,Parámetros!$D$21-'Tablas Servicio'!T798),0))</f>
        <v/>
      </c>
      <c r="AA799" s="118" t="str">
        <f t="shared" si="1093"/>
        <v/>
      </c>
      <c r="AB799" s="119" t="str">
        <f>+IF(W799="","",ROUND((VLOOKUP(ROUNDDOWN($D799-1/frec,0),qx_tabla,2,FALSE)*(1+i/frec)^-0.5*(1+Parámetros!$D$103)*(1+rec_fracc)/frec),6))</f>
        <v/>
      </c>
      <c r="AC799" s="66" t="str">
        <f t="shared" si="1049"/>
        <v/>
      </c>
      <c r="AD799" s="119" t="str">
        <f t="shared" si="1045"/>
        <v/>
      </c>
      <c r="AE799" s="66" t="str">
        <f>+IF($W799="","",ROUND(IF($B799&gt;Parámetros!$D$107,'Tablas Servicio'!AC799+('Tablas Servicio'!AG798-'Tablas Servicio'!AC798),AC799/(1-IF(B799&lt;=10,Parámetros!$D$104,Parámetros!$D$105))),2))</f>
        <v/>
      </c>
      <c r="AF799" s="66" t="str">
        <f>+IF($W799="","",ROUND(IF($B799&gt;Parámetros!$D$107,'Tablas Servicio'!AC799+('Tablas Servicio'!AG798-'Tablas Servicio'!AC798),(AC799+$A798/frec)/(1-IF(B799&lt;=Parámetros!$D$117,Parámetros!$D$100,0))),2))</f>
        <v/>
      </c>
      <c r="AG799" s="66" t="str">
        <f t="shared" si="1050"/>
        <v/>
      </c>
      <c r="AH799" s="66" t="str">
        <f t="shared" si="1051"/>
        <v/>
      </c>
      <c r="AI799" s="66" t="str">
        <f t="shared" si="1052"/>
        <v/>
      </c>
      <c r="AJ799" s="66" t="str">
        <f>+IF($W799="","",ROUND((AG799*Parámetros!$G$85),2))</f>
        <v/>
      </c>
      <c r="AK799" s="66" t="str">
        <f>+IF($W799="","",ROUND((AG799*(Parámetros!$G$86)),2))</f>
        <v/>
      </c>
      <c r="AL799" s="66" t="str">
        <f t="shared" si="1046"/>
        <v/>
      </c>
      <c r="AM799" t="str">
        <f t="shared" si="1094"/>
        <v/>
      </c>
      <c r="AN799" t="str">
        <f t="shared" si="1095"/>
        <v/>
      </c>
      <c r="AO799" s="118" t="str">
        <f t="shared" si="1096"/>
        <v/>
      </c>
      <c r="AP799" s="118" t="str">
        <f t="shared" si="1097"/>
        <v/>
      </c>
      <c r="AQ799" s="119" t="str">
        <f>+IF(OR($W799="",AO799=0),"",ROUND((VLOOKUP(ROUNDDOWN($D799-1/frec,0),cob_adi,Z$40,FALSE)*(1+i/frec)^-0.5*(1+Parámetros!$D$103)*(1+rec_fracc)/frec),6))</f>
        <v/>
      </c>
      <c r="AR799" s="66" t="str">
        <f t="shared" si="1053"/>
        <v/>
      </c>
      <c r="AS799" s="119" t="str">
        <f t="shared" si="1054"/>
        <v/>
      </c>
      <c r="AT799" s="66" t="str">
        <f>+IF($W799="","",ROUND(IF($B799&gt;Parámetros!$D$107,'Tablas Servicio'!AR799+('Tablas Servicio'!AT798-'Tablas Servicio'!AR798),AR799/(1-IF(B799&lt;=10,Parámetros!$D$100,0))),2))</f>
        <v/>
      </c>
      <c r="AU799" s="66" t="str">
        <f t="shared" si="1123"/>
        <v/>
      </c>
      <c r="AV799" s="66" t="str">
        <f t="shared" si="1123"/>
        <v/>
      </c>
      <c r="AW799" s="66" t="str">
        <f>+IF($W799="","",ROUND((AT799*Parámetros!$G$85),2))</f>
        <v/>
      </c>
      <c r="AX799" s="66" t="str">
        <f>+IF($W799="","",ROUND((AT799*(Parámetros!$G$86)),2))</f>
        <v/>
      </c>
      <c r="AY799" s="66" t="str">
        <f t="shared" si="1056"/>
        <v/>
      </c>
      <c r="AZ799" t="str">
        <f t="shared" si="1098"/>
        <v/>
      </c>
      <c r="BA799" t="str">
        <f t="shared" si="1099"/>
        <v/>
      </c>
      <c r="BB799" s="118" t="str">
        <f t="shared" si="1100"/>
        <v/>
      </c>
      <c r="BC799" s="118" t="str">
        <f t="shared" si="1101"/>
        <v/>
      </c>
      <c r="BD799" s="119" t="str">
        <f>+IF(OR($W799="",BB799=0),"",ROUND((VLOOKUP(ROUNDDOWN($D799-1/frec,0),cob_adi,AO$40,FALSE)*(1+i/frec)^-0.5*(1+Parámetros!$D$103)*(1+rec_fracc)/frec),6))</f>
        <v/>
      </c>
      <c r="BE799" s="66" t="str">
        <f t="shared" si="1057"/>
        <v/>
      </c>
      <c r="BF799" s="119" t="str">
        <f t="shared" si="1058"/>
        <v/>
      </c>
      <c r="BG799" s="66" t="str">
        <f>+IF($W799="","",ROUND(IF($B799&gt;Parámetros!$D$107,'Tablas Servicio'!BE799+('Tablas Servicio'!BG798-'Tablas Servicio'!BE798),BE799/(1-IF(B799&lt;=10,Parámetros!$D$100,0))),2))</f>
        <v/>
      </c>
      <c r="BH799" s="66" t="str">
        <f t="shared" si="1059"/>
        <v/>
      </c>
      <c r="BI799" s="66" t="str">
        <f t="shared" si="1060"/>
        <v/>
      </c>
      <c r="BJ799" s="66" t="str">
        <f>+IF($W799="","",ROUND((BG799*Parámetros!$G$85),2))</f>
        <v/>
      </c>
      <c r="BK799" s="66" t="str">
        <f>+IF($W799="","",ROUND((BG799*(Parámetros!$G$86)),2))</f>
        <v/>
      </c>
      <c r="BL799" s="66" t="str">
        <f t="shared" si="1061"/>
        <v/>
      </c>
      <c r="BM799" t="str">
        <f t="shared" si="1102"/>
        <v/>
      </c>
      <c r="BN799" t="str">
        <f t="shared" si="1103"/>
        <v/>
      </c>
      <c r="BO799" s="118" t="str">
        <f t="shared" si="1104"/>
        <v/>
      </c>
      <c r="BP799" s="118" t="str">
        <f t="shared" si="1105"/>
        <v/>
      </c>
      <c r="BQ799" s="119" t="str">
        <f>+IF(OR($W799="",BO799=0),"",ROUND((VLOOKUP(ROUNDDOWN($D799-1/frec,0),cob_adi,BB$40,FALSE)*(1+i/frec)^-0.5*(1+Parámetros!$D$103)*(1+rec_fracc)/frec),6))</f>
        <v/>
      </c>
      <c r="BR799" s="66" t="str">
        <f t="shared" si="1062"/>
        <v/>
      </c>
      <c r="BS799" s="119" t="str">
        <f t="shared" si="1063"/>
        <v/>
      </c>
      <c r="BT799" s="66" t="str">
        <f>+IF($W799="","",ROUND(IF($B799&gt;Parámetros!$D$107,'Tablas Servicio'!BR799+('Tablas Servicio'!BT798-'Tablas Servicio'!BR798),BR799/(1-IF(B799&lt;=10,Parámetros!$D$100,0))),2))</f>
        <v/>
      </c>
      <c r="BU799" s="66" t="str">
        <f t="shared" si="1124"/>
        <v/>
      </c>
      <c r="BV799" s="66" t="str">
        <f t="shared" si="1124"/>
        <v/>
      </c>
      <c r="BW799" s="66" t="str">
        <f>+IF($W799="","",ROUND((BT799*Parámetros!$G$85),2))</f>
        <v/>
      </c>
      <c r="BX799" s="66" t="str">
        <f>+IF($W799="","",ROUND((BT799*(Parámetros!$G$86)),2))</f>
        <v/>
      </c>
      <c r="BY799" s="66" t="str">
        <f t="shared" si="1065"/>
        <v/>
      </c>
      <c r="BZ799" t="str">
        <f t="shared" si="1106"/>
        <v/>
      </c>
      <c r="CA799" t="str">
        <f t="shared" si="1107"/>
        <v/>
      </c>
      <c r="CB799" s="118" t="str">
        <f t="shared" si="1108"/>
        <v/>
      </c>
      <c r="CC799" s="118" t="str">
        <f t="shared" si="1109"/>
        <v/>
      </c>
      <c r="CD799" s="119" t="str">
        <f t="shared" si="1066"/>
        <v/>
      </c>
      <c r="CE799" s="66" t="str">
        <f>+IF($W799="","",ROUND((VLOOKUP(ROUNDDOWN($D799-1/frec,0),cob_adi,BO$40,FALSE)*(1+i/frec)^-0.5*(1+Parámetros!$D$103)*(1+rec_fracc)/frec*'TABLAS ADI'!$BC$17),2))</f>
        <v/>
      </c>
      <c r="CF799" s="119" t="str">
        <f t="shared" si="1067"/>
        <v/>
      </c>
      <c r="CG799" s="66" t="str">
        <f>+IF($W799="","",ROUND(IF($B799&gt;Parámetros!$D$107,'Tablas Servicio'!CE799+('Tablas Servicio'!CG798-'Tablas Servicio'!CE798),CE799/(1-IF(B799&lt;=10,Parámetros!$D$100,0))),2))</f>
        <v/>
      </c>
      <c r="CH799" s="66" t="str">
        <f t="shared" si="1125"/>
        <v/>
      </c>
      <c r="CI799" s="66" t="str">
        <f t="shared" si="1125"/>
        <v/>
      </c>
      <c r="CJ799" s="66" t="str">
        <f>+IF($W799="","",ROUND((CG799*Parámetros!$G$85),2))</f>
        <v/>
      </c>
      <c r="CK799" s="66" t="str">
        <f>+IF($W799="","",ROUND((CG799*(Parámetros!$G$86)),2))</f>
        <v/>
      </c>
      <c r="CL799" s="66" t="str">
        <f t="shared" si="1069"/>
        <v/>
      </c>
      <c r="CM799" t="str">
        <f t="shared" si="1110"/>
        <v/>
      </c>
      <c r="CN799" s="118" t="str">
        <f t="shared" si="1111"/>
        <v/>
      </c>
      <c r="CO799" s="118" t="str">
        <f t="shared" si="1112"/>
        <v/>
      </c>
      <c r="CP799" s="118" t="str">
        <f t="shared" si="1113"/>
        <v/>
      </c>
      <c r="CQ799" s="119" t="str">
        <f t="shared" si="1070"/>
        <v/>
      </c>
      <c r="CR799" s="66" t="str">
        <f>+IF($W799="","",ROUND((VLOOKUP(Parámetros!$F$51,'COBERTURAS ADICIONALES'!$S$4:$T$32,2,FALSE)*(1+i/frec)^-0.5*(1+Parámetros!$D$103)*(1+rec_fracc)/frec*$CO$42),2))</f>
        <v/>
      </c>
      <c r="CS799" s="119" t="str">
        <f t="shared" si="1071"/>
        <v/>
      </c>
      <c r="CT799" s="66" t="str">
        <f>+IF($W799="","",ROUND(IF($B799&gt;Parámetros!$D$107,'Tablas Servicio'!CR799+('Tablas Servicio'!CT798-'Tablas Servicio'!CR798),CR799/(1-IF(B799&lt;=10,Parámetros!$D$100,0))),2))</f>
        <v/>
      </c>
      <c r="CU799" s="66" t="str">
        <f t="shared" si="1126"/>
        <v/>
      </c>
      <c r="CV799" s="66" t="str">
        <f t="shared" si="1126"/>
        <v/>
      </c>
      <c r="CW799" s="66" t="str">
        <f>+IF($W799="","",ROUND((CT799*Parámetros!$G$85),2))</f>
        <v/>
      </c>
      <c r="CX799" s="66" t="str">
        <f>+IF($W799="","",ROUND((CT799*(Parámetros!$G$86)),2))</f>
        <v/>
      </c>
      <c r="CY799" s="66" t="str">
        <f t="shared" si="1073"/>
        <v/>
      </c>
      <c r="CZ799" t="str">
        <f t="shared" si="1114"/>
        <v/>
      </c>
      <c r="DA799" s="118" t="str">
        <f t="shared" si="1115"/>
        <v/>
      </c>
      <c r="DB799" s="118" t="str">
        <f t="shared" si="1116"/>
        <v/>
      </c>
      <c r="DC799" s="118" t="str">
        <f t="shared" si="1117"/>
        <v/>
      </c>
      <c r="DD799" s="121" t="str">
        <f>+IF(OR($W799="",DB799=0),"",ROUND((VLOOKUP(ROUNDDOWN($D799-1/frec,0),cob_adi,CO$40,FALSE)*(1+i/frec)^-0.5*(1+Parámetros!$D$103)*(1+rec_fracc)/frec),6))</f>
        <v/>
      </c>
      <c r="DE799" s="66" t="str">
        <f t="shared" si="1074"/>
        <v/>
      </c>
      <c r="DF799" s="119" t="str">
        <f t="shared" si="1075"/>
        <v/>
      </c>
      <c r="DG799" s="66" t="str">
        <f>+IF($W799="","",ROUND(IF($B799&gt;Parámetros!$D$107,'Tablas Servicio'!DE799+('Tablas Servicio'!DG798-'Tablas Servicio'!DE798),DE799/(1-IF(B799&lt;=10,Parámetros!$D$100,0))),2))</f>
        <v/>
      </c>
      <c r="DH799" s="66" t="str">
        <f t="shared" si="1127"/>
        <v/>
      </c>
      <c r="DI799" s="66" t="str">
        <f t="shared" si="1127"/>
        <v/>
      </c>
      <c r="DJ799" s="66" t="str">
        <f>+IF($W799="","",ROUND((DG799*Parámetros!$G$85),2))</f>
        <v/>
      </c>
      <c r="DK799" s="66" t="str">
        <f>+IF($W799="","",ROUND((DG799*(Parámetros!$G$86)),2))</f>
        <v/>
      </c>
      <c r="DL799" s="66" t="str">
        <f t="shared" si="1077"/>
        <v/>
      </c>
      <c r="DM799" t="str">
        <f t="shared" si="1118"/>
        <v/>
      </c>
      <c r="DN799" s="118" t="str">
        <f t="shared" si="1119"/>
        <v/>
      </c>
      <c r="DO799" s="118" t="str">
        <f t="shared" si="1120"/>
        <v/>
      </c>
      <c r="DP799" s="118" t="str">
        <f t="shared" si="1121"/>
        <v/>
      </c>
      <c r="DQ799" s="122" t="str">
        <f>+IF(OR($W799="",DO799=0),"",ROUND((VLOOKUP(ROUNDDOWN($D799-1/frec,0),cob_adi,DB$40,FALSE)*(1+i/frec)^-0.5*(1+Parámetros!$D$103)*(1+rec_fracc)/frec),6))</f>
        <v/>
      </c>
      <c r="DR799" s="66" t="str">
        <f t="shared" si="1078"/>
        <v/>
      </c>
      <c r="DS799" s="68" t="str">
        <f t="shared" si="1079"/>
        <v/>
      </c>
      <c r="DT799" s="66" t="str">
        <f>+IF($W799="","",ROUND(IF($B799&gt;Parámetros!$D$107,'Tablas Servicio'!DR799+('Tablas Servicio'!DT798-'Tablas Servicio'!DR798),DR799/(1-IF(B799&lt;=10,Parámetros!$D$100,0))),2))</f>
        <v/>
      </c>
      <c r="DU799" s="66" t="str">
        <f t="shared" si="1128"/>
        <v/>
      </c>
      <c r="DV799" s="66" t="str">
        <f t="shared" si="1128"/>
        <v/>
      </c>
      <c r="DW799" s="66" t="str">
        <f>+IF($W799="","",ROUND((DT799*Parámetros!$G$85),2))</f>
        <v/>
      </c>
      <c r="DX799" s="66" t="str">
        <f>+IF($W799="","",ROUND((DT799*(Parámetros!$G$86)),2))</f>
        <v/>
      </c>
      <c r="DY799" s="66" t="str">
        <f t="shared" si="1081"/>
        <v/>
      </c>
      <c r="DZ799" t="str">
        <f t="shared" si="1131"/>
        <v/>
      </c>
      <c r="EA799" s="118" t="str">
        <f t="shared" si="1131"/>
        <v/>
      </c>
      <c r="EB799" s="118" t="str">
        <f>+IF($W799="","",ROUND(IF(Parámetros!$D$25='TABLAS MORT'!$V$33,EB798,Z799/2),0))</f>
        <v/>
      </c>
      <c r="EC799" s="118" t="str">
        <f t="shared" si="1131"/>
        <v/>
      </c>
      <c r="ED799" s="122" t="str">
        <f>+IF(OR($W799="",EB799=0),"",ROUND((VLOOKUP(ROUNDDOWN($D799-1/frec,0),cob_adi,DO$40,FALSE)*(1+i/frec)^-0.5*(1+Parámetros!$D$103)*(1+rec_fracc)/frec),6))</f>
        <v/>
      </c>
      <c r="EE799" s="66" t="str">
        <f t="shared" si="1083"/>
        <v/>
      </c>
      <c r="EF799" s="68" t="str">
        <f t="shared" si="1084"/>
        <v/>
      </c>
      <c r="EG799" s="66" t="str">
        <f>+IF($W799="","",ROUND(IF($B799&gt;Parámetros!$D$107,'Tablas Servicio'!EE799+('Tablas Servicio'!EG798-'Tablas Servicio'!EE798),EE799/(1-IF(B799&lt;=10,Parámetros!$D$100,0))),2))</f>
        <v/>
      </c>
      <c r="EH799" s="66" t="str">
        <f t="shared" si="1130"/>
        <v/>
      </c>
      <c r="EI799" s="66" t="str">
        <f t="shared" si="1130"/>
        <v/>
      </c>
      <c r="EJ799" s="66" t="str">
        <f>+IF($W799="","",ROUND((EG799*Parámetros!$G$85),2))</f>
        <v/>
      </c>
      <c r="EK799" s="66" t="str">
        <f>+IF($W799="","",ROUND((EG799*(Parámetros!$G$86)),2))</f>
        <v/>
      </c>
      <c r="EL799" s="66" t="str">
        <f t="shared" si="1086"/>
        <v/>
      </c>
    </row>
    <row r="800" spans="1:142" x14ac:dyDescent="0.25">
      <c r="A800" t="str">
        <f>+IF($C800="","",ROUND(VLOOKUP('Tablas Servicio'!B800,Parámetros!$H$100:$J$159,IF(Parámetros!$E$16="F",2,3),FALSE),2))</f>
        <v/>
      </c>
      <c r="B800" t="str">
        <f t="shared" si="1037"/>
        <v/>
      </c>
      <c r="C800" s="57" t="str">
        <f>+IF(D800="","",'Tablas Servicio'!C799+1)</f>
        <v/>
      </c>
      <c r="D800" s="56" t="str">
        <f>+IF(D799&lt;edadmaxtabla,D799+1/Parámetros!$E$25,"")</f>
        <v/>
      </c>
      <c r="E800" s="57" t="str">
        <f t="shared" si="1047"/>
        <v/>
      </c>
      <c r="F800" s="59" t="str">
        <f t="shared" si="1048"/>
        <v/>
      </c>
      <c r="G800" s="66" t="str">
        <f t="shared" si="1038"/>
        <v/>
      </c>
      <c r="H800" s="66" t="str">
        <f t="shared" si="1039"/>
        <v/>
      </c>
      <c r="I800" s="66" t="str">
        <f t="shared" si="1087"/>
        <v/>
      </c>
      <c r="J800" s="66" t="str">
        <f t="shared" si="1040"/>
        <v/>
      </c>
      <c r="K800" s="66" t="str">
        <f t="shared" si="1041"/>
        <v/>
      </c>
      <c r="L800" s="66" t="str">
        <f t="shared" si="1042"/>
        <v/>
      </c>
      <c r="M800" s="66" t="str">
        <f t="shared" si="1043"/>
        <v/>
      </c>
      <c r="N800" s="66" t="str">
        <f>+IF(C800="","",ROUND(Parámetros!$D$23,2))</f>
        <v/>
      </c>
      <c r="O800" s="66" t="str">
        <f t="shared" si="1044"/>
        <v/>
      </c>
      <c r="P800" s="66" t="str">
        <f>+IF($C800="","",ROUND(IF(B800&gt;Parámetros!$D$117,0,N800*Parámetros!$D$116-G800*Parámetros!$D$100),2))</f>
        <v/>
      </c>
      <c r="Q800" s="75" t="str">
        <f t="shared" si="1088"/>
        <v/>
      </c>
      <c r="R800" s="75" t="str">
        <f t="shared" si="1089"/>
        <v/>
      </c>
      <c r="S800" s="117" t="str">
        <f>+IF($C800="","",ROUND((S799+I800)*(1+Parámetros!$D$91),2))</f>
        <v/>
      </c>
      <c r="T800" s="117" t="str">
        <f>+IF($C800="","",ROUND(S800*VLOOKUP(B800,Parámetros!$C$30:$D$39,2,TRUE),2))</f>
        <v/>
      </c>
      <c r="U800" s="117" t="str">
        <f>+IF($C800="","",ROUND((U799+I800)*(1+Parámetros!$D$92),2))</f>
        <v/>
      </c>
      <c r="V800" s="117" t="str">
        <f>+IF($C800="","",ROUND(U800*VLOOKUP(B800,Parámetros!$C$30:$D$39,2,TRUE),2))</f>
        <v/>
      </c>
      <c r="W800" s="57" t="str">
        <f t="shared" si="1090"/>
        <v/>
      </c>
      <c r="X800" t="str">
        <f t="shared" si="1091"/>
        <v/>
      </c>
      <c r="Y800" t="str">
        <f t="shared" si="1092"/>
        <v/>
      </c>
      <c r="Z800" s="118" t="str">
        <f>+IF($W800="","",ROUND(IF(Parámetros!$D$25='TABLAS MORT'!$V$33,Z799,Parámetros!$D$21-'Tablas Servicio'!T799),0))</f>
        <v/>
      </c>
      <c r="AA800" s="118" t="str">
        <f t="shared" si="1093"/>
        <v/>
      </c>
      <c r="AB800" s="119" t="str">
        <f>+IF(W800="","",ROUND((VLOOKUP(ROUNDDOWN($D800-1/frec,0),qx_tabla,2,FALSE)*(1+i/frec)^-0.5*(1+Parámetros!$D$103)*(1+rec_fracc)/frec),6))</f>
        <v/>
      </c>
      <c r="AC800" s="66" t="str">
        <f t="shared" si="1049"/>
        <v/>
      </c>
      <c r="AD800" s="119" t="str">
        <f t="shared" si="1045"/>
        <v/>
      </c>
      <c r="AE800" s="66" t="str">
        <f>+IF($W800="","",ROUND(IF($B800&gt;Parámetros!$D$107,'Tablas Servicio'!AC800+('Tablas Servicio'!AG799-'Tablas Servicio'!AC799),AC800/(1-IF(B800&lt;=10,Parámetros!$D$104,Parámetros!$D$105))),2))</f>
        <v/>
      </c>
      <c r="AF800" s="66" t="str">
        <f>+IF($W800="","",ROUND(IF($B800&gt;Parámetros!$D$107,'Tablas Servicio'!AC800+('Tablas Servicio'!AG799-'Tablas Servicio'!AC799),(AC800+$A799/frec)/(1-IF(B800&lt;=Parámetros!$D$117,Parámetros!$D$100,0))),2))</f>
        <v/>
      </c>
      <c r="AG800" s="66" t="str">
        <f t="shared" si="1050"/>
        <v/>
      </c>
      <c r="AH800" s="66" t="str">
        <f t="shared" si="1051"/>
        <v/>
      </c>
      <c r="AI800" s="66" t="str">
        <f t="shared" si="1052"/>
        <v/>
      </c>
      <c r="AJ800" s="66" t="str">
        <f>+IF($W800="","",ROUND((AG800*Parámetros!$G$85),2))</f>
        <v/>
      </c>
      <c r="AK800" s="66" t="str">
        <f>+IF($W800="","",ROUND((AG800*(Parámetros!$G$86)),2))</f>
        <v/>
      </c>
      <c r="AL800" s="66" t="str">
        <f t="shared" si="1046"/>
        <v/>
      </c>
      <c r="AM800" t="str">
        <f t="shared" si="1094"/>
        <v/>
      </c>
      <c r="AN800" t="str">
        <f t="shared" si="1095"/>
        <v/>
      </c>
      <c r="AO800" s="118" t="str">
        <f t="shared" si="1096"/>
        <v/>
      </c>
      <c r="AP800" s="118" t="str">
        <f t="shared" si="1097"/>
        <v/>
      </c>
      <c r="AQ800" s="119" t="str">
        <f>+IF(OR($W800="",AO800=0),"",ROUND((VLOOKUP(ROUNDDOWN($D800-1/frec,0),cob_adi,Z$40,FALSE)*(1+i/frec)^-0.5*(1+Parámetros!$D$103)*(1+rec_fracc)/frec),6))</f>
        <v/>
      </c>
      <c r="AR800" s="66" t="str">
        <f t="shared" si="1053"/>
        <v/>
      </c>
      <c r="AS800" s="119" t="str">
        <f t="shared" si="1054"/>
        <v/>
      </c>
      <c r="AT800" s="66" t="str">
        <f>+IF($W800="","",ROUND(IF($B800&gt;Parámetros!$D$107,'Tablas Servicio'!AR800+('Tablas Servicio'!AT799-'Tablas Servicio'!AR799),AR800/(1-IF(B800&lt;=10,Parámetros!$D$100,0))),2))</f>
        <v/>
      </c>
      <c r="AU800" s="66" t="str">
        <f t="shared" si="1123"/>
        <v/>
      </c>
      <c r="AV800" s="66" t="str">
        <f t="shared" si="1123"/>
        <v/>
      </c>
      <c r="AW800" s="66" t="str">
        <f>+IF($W800="","",ROUND((AT800*Parámetros!$G$85),2))</f>
        <v/>
      </c>
      <c r="AX800" s="66" t="str">
        <f>+IF($W800="","",ROUND((AT800*(Parámetros!$G$86)),2))</f>
        <v/>
      </c>
      <c r="AY800" s="66" t="str">
        <f t="shared" si="1056"/>
        <v/>
      </c>
      <c r="AZ800" t="str">
        <f t="shared" si="1098"/>
        <v/>
      </c>
      <c r="BA800" t="str">
        <f t="shared" si="1099"/>
        <v/>
      </c>
      <c r="BB800" s="118" t="str">
        <f t="shared" si="1100"/>
        <v/>
      </c>
      <c r="BC800" s="118" t="str">
        <f t="shared" si="1101"/>
        <v/>
      </c>
      <c r="BD800" s="119" t="str">
        <f>+IF(OR($W800="",BB800=0),"",ROUND((VLOOKUP(ROUNDDOWN($D800-1/frec,0),cob_adi,AO$40,FALSE)*(1+i/frec)^-0.5*(1+Parámetros!$D$103)*(1+rec_fracc)/frec),6))</f>
        <v/>
      </c>
      <c r="BE800" s="66" t="str">
        <f t="shared" si="1057"/>
        <v/>
      </c>
      <c r="BF800" s="119" t="str">
        <f t="shared" si="1058"/>
        <v/>
      </c>
      <c r="BG800" s="66" t="str">
        <f>+IF($W800="","",ROUND(IF($B800&gt;Parámetros!$D$107,'Tablas Servicio'!BE800+('Tablas Servicio'!BG799-'Tablas Servicio'!BE799),BE800/(1-IF(B800&lt;=10,Parámetros!$D$100,0))),2))</f>
        <v/>
      </c>
      <c r="BH800" s="66" t="str">
        <f t="shared" si="1059"/>
        <v/>
      </c>
      <c r="BI800" s="66" t="str">
        <f t="shared" si="1060"/>
        <v/>
      </c>
      <c r="BJ800" s="66" t="str">
        <f>+IF($W800="","",ROUND((BG800*Parámetros!$G$85),2))</f>
        <v/>
      </c>
      <c r="BK800" s="66" t="str">
        <f>+IF($W800="","",ROUND((BG800*(Parámetros!$G$86)),2))</f>
        <v/>
      </c>
      <c r="BL800" s="66" t="str">
        <f t="shared" si="1061"/>
        <v/>
      </c>
      <c r="BM800" t="str">
        <f t="shared" si="1102"/>
        <v/>
      </c>
      <c r="BN800" t="str">
        <f t="shared" si="1103"/>
        <v/>
      </c>
      <c r="BO800" s="118" t="str">
        <f t="shared" si="1104"/>
        <v/>
      </c>
      <c r="BP800" s="118" t="str">
        <f t="shared" si="1105"/>
        <v/>
      </c>
      <c r="BQ800" s="119" t="str">
        <f>+IF(OR($W800="",BO800=0),"",ROUND((VLOOKUP(ROUNDDOWN($D800-1/frec,0),cob_adi,BB$40,FALSE)*(1+i/frec)^-0.5*(1+Parámetros!$D$103)*(1+rec_fracc)/frec),6))</f>
        <v/>
      </c>
      <c r="BR800" s="66" t="str">
        <f t="shared" si="1062"/>
        <v/>
      </c>
      <c r="BS800" s="119" t="str">
        <f t="shared" si="1063"/>
        <v/>
      </c>
      <c r="BT800" s="66" t="str">
        <f>+IF($W800="","",ROUND(IF($B800&gt;Parámetros!$D$107,'Tablas Servicio'!BR800+('Tablas Servicio'!BT799-'Tablas Servicio'!BR799),BR800/(1-IF(B800&lt;=10,Parámetros!$D$100,0))),2))</f>
        <v/>
      </c>
      <c r="BU800" s="66" t="str">
        <f t="shared" si="1124"/>
        <v/>
      </c>
      <c r="BV800" s="66" t="str">
        <f t="shared" si="1124"/>
        <v/>
      </c>
      <c r="BW800" s="66" t="str">
        <f>+IF($W800="","",ROUND((BT800*Parámetros!$G$85),2))</f>
        <v/>
      </c>
      <c r="BX800" s="66" t="str">
        <f>+IF($W800="","",ROUND((BT800*(Parámetros!$G$86)),2))</f>
        <v/>
      </c>
      <c r="BY800" s="66" t="str">
        <f t="shared" si="1065"/>
        <v/>
      </c>
      <c r="BZ800" t="str">
        <f t="shared" si="1106"/>
        <v/>
      </c>
      <c r="CA800" t="str">
        <f t="shared" si="1107"/>
        <v/>
      </c>
      <c r="CB800" s="118" t="str">
        <f t="shared" si="1108"/>
        <v/>
      </c>
      <c r="CC800" s="118" t="str">
        <f t="shared" si="1109"/>
        <v/>
      </c>
      <c r="CD800" s="119" t="str">
        <f t="shared" si="1066"/>
        <v/>
      </c>
      <c r="CE800" s="66" t="str">
        <f>+IF($W800="","",ROUND((VLOOKUP(ROUNDDOWN($D800-1/frec,0),cob_adi,BO$40,FALSE)*(1+i/frec)^-0.5*(1+Parámetros!$D$103)*(1+rec_fracc)/frec*'TABLAS ADI'!$BC$17),2))</f>
        <v/>
      </c>
      <c r="CF800" s="119" t="str">
        <f t="shared" si="1067"/>
        <v/>
      </c>
      <c r="CG800" s="66" t="str">
        <f>+IF($W800="","",ROUND(IF($B800&gt;Parámetros!$D$107,'Tablas Servicio'!CE800+('Tablas Servicio'!CG799-'Tablas Servicio'!CE799),CE800/(1-IF(B800&lt;=10,Parámetros!$D$100,0))),2))</f>
        <v/>
      </c>
      <c r="CH800" s="66" t="str">
        <f t="shared" si="1125"/>
        <v/>
      </c>
      <c r="CI800" s="66" t="str">
        <f t="shared" si="1125"/>
        <v/>
      </c>
      <c r="CJ800" s="66" t="str">
        <f>+IF($W800="","",ROUND((CG800*Parámetros!$G$85),2))</f>
        <v/>
      </c>
      <c r="CK800" s="66" t="str">
        <f>+IF($W800="","",ROUND((CG800*(Parámetros!$G$86)),2))</f>
        <v/>
      </c>
      <c r="CL800" s="66" t="str">
        <f t="shared" si="1069"/>
        <v/>
      </c>
      <c r="CM800" t="str">
        <f t="shared" si="1110"/>
        <v/>
      </c>
      <c r="CN800" s="118" t="str">
        <f t="shared" si="1111"/>
        <v/>
      </c>
      <c r="CO800" s="118" t="str">
        <f t="shared" si="1112"/>
        <v/>
      </c>
      <c r="CP800" s="118" t="str">
        <f t="shared" si="1113"/>
        <v/>
      </c>
      <c r="CQ800" s="119" t="str">
        <f t="shared" si="1070"/>
        <v/>
      </c>
      <c r="CR800" s="66" t="str">
        <f>+IF($W800="","",ROUND((VLOOKUP(Parámetros!$F$51,'COBERTURAS ADICIONALES'!$S$4:$T$32,2,FALSE)*(1+i/frec)^-0.5*(1+Parámetros!$D$103)*(1+rec_fracc)/frec*$CO$42),2))</f>
        <v/>
      </c>
      <c r="CS800" s="119" t="str">
        <f t="shared" si="1071"/>
        <v/>
      </c>
      <c r="CT800" s="66" t="str">
        <f>+IF($W800="","",ROUND(IF($B800&gt;Parámetros!$D$107,'Tablas Servicio'!CR800+('Tablas Servicio'!CT799-'Tablas Servicio'!CR799),CR800/(1-IF(B800&lt;=10,Parámetros!$D$100,0))),2))</f>
        <v/>
      </c>
      <c r="CU800" s="66" t="str">
        <f t="shared" si="1126"/>
        <v/>
      </c>
      <c r="CV800" s="66" t="str">
        <f t="shared" si="1126"/>
        <v/>
      </c>
      <c r="CW800" s="66" t="str">
        <f>+IF($W800="","",ROUND((CT800*Parámetros!$G$85),2))</f>
        <v/>
      </c>
      <c r="CX800" s="66" t="str">
        <f>+IF($W800="","",ROUND((CT800*(Parámetros!$G$86)),2))</f>
        <v/>
      </c>
      <c r="CY800" s="66" t="str">
        <f t="shared" si="1073"/>
        <v/>
      </c>
      <c r="CZ800" t="str">
        <f t="shared" si="1114"/>
        <v/>
      </c>
      <c r="DA800" s="118" t="str">
        <f t="shared" si="1115"/>
        <v/>
      </c>
      <c r="DB800" s="118" t="str">
        <f t="shared" si="1116"/>
        <v/>
      </c>
      <c r="DC800" s="118" t="str">
        <f t="shared" si="1117"/>
        <v/>
      </c>
      <c r="DD800" s="121" t="str">
        <f>+IF(OR($W800="",DB800=0),"",ROUND((VLOOKUP(ROUNDDOWN($D800-1/frec,0),cob_adi,CO$40,FALSE)*(1+i/frec)^-0.5*(1+Parámetros!$D$103)*(1+rec_fracc)/frec),6))</f>
        <v/>
      </c>
      <c r="DE800" s="66" t="str">
        <f t="shared" si="1074"/>
        <v/>
      </c>
      <c r="DF800" s="119" t="str">
        <f t="shared" si="1075"/>
        <v/>
      </c>
      <c r="DG800" s="66" t="str">
        <f>+IF($W800="","",ROUND(IF($B800&gt;Parámetros!$D$107,'Tablas Servicio'!DE800+('Tablas Servicio'!DG799-'Tablas Servicio'!DE799),DE800/(1-IF(B800&lt;=10,Parámetros!$D$100,0))),2))</f>
        <v/>
      </c>
      <c r="DH800" s="66" t="str">
        <f t="shared" si="1127"/>
        <v/>
      </c>
      <c r="DI800" s="66" t="str">
        <f t="shared" si="1127"/>
        <v/>
      </c>
      <c r="DJ800" s="66" t="str">
        <f>+IF($W800="","",ROUND((DG800*Parámetros!$G$85),2))</f>
        <v/>
      </c>
      <c r="DK800" s="66" t="str">
        <f>+IF($W800="","",ROUND((DG800*(Parámetros!$G$86)),2))</f>
        <v/>
      </c>
      <c r="DL800" s="66" t="str">
        <f t="shared" si="1077"/>
        <v/>
      </c>
      <c r="DM800" t="str">
        <f t="shared" si="1118"/>
        <v/>
      </c>
      <c r="DN800" s="118" t="str">
        <f t="shared" si="1119"/>
        <v/>
      </c>
      <c r="DO800" s="118" t="str">
        <f t="shared" si="1120"/>
        <v/>
      </c>
      <c r="DP800" s="118" t="str">
        <f t="shared" si="1121"/>
        <v/>
      </c>
      <c r="DQ800" s="122" t="str">
        <f>+IF(OR($W800="",DO800=0),"",ROUND((VLOOKUP(ROUNDDOWN($D800-1/frec,0),cob_adi,DB$40,FALSE)*(1+i/frec)^-0.5*(1+Parámetros!$D$103)*(1+rec_fracc)/frec),6))</f>
        <v/>
      </c>
      <c r="DR800" s="66" t="str">
        <f t="shared" si="1078"/>
        <v/>
      </c>
      <c r="DS800" s="68" t="str">
        <f t="shared" si="1079"/>
        <v/>
      </c>
      <c r="DT800" s="66" t="str">
        <f>+IF($W800="","",ROUND(IF($B800&gt;Parámetros!$D$107,'Tablas Servicio'!DR800+('Tablas Servicio'!DT799-'Tablas Servicio'!DR799),DR800/(1-IF(B800&lt;=10,Parámetros!$D$100,0))),2))</f>
        <v/>
      </c>
      <c r="DU800" s="66" t="str">
        <f t="shared" si="1128"/>
        <v/>
      </c>
      <c r="DV800" s="66" t="str">
        <f t="shared" si="1128"/>
        <v/>
      </c>
      <c r="DW800" s="66" t="str">
        <f>+IF($W800="","",ROUND((DT800*Parámetros!$G$85),2))</f>
        <v/>
      </c>
      <c r="DX800" s="66" t="str">
        <f>+IF($W800="","",ROUND((DT800*(Parámetros!$G$86)),2))</f>
        <v/>
      </c>
      <c r="DY800" s="66" t="str">
        <f t="shared" si="1081"/>
        <v/>
      </c>
      <c r="DZ800" t="str">
        <f t="shared" si="1131"/>
        <v/>
      </c>
      <c r="EA800" s="118" t="str">
        <f t="shared" si="1131"/>
        <v/>
      </c>
      <c r="EB800" s="118" t="str">
        <f>+IF($W800="","",ROUND(IF(Parámetros!$D$25='TABLAS MORT'!$V$33,EB799,Z800/2),0))</f>
        <v/>
      </c>
      <c r="EC800" s="118" t="str">
        <f t="shared" si="1131"/>
        <v/>
      </c>
      <c r="ED800" s="122" t="str">
        <f>+IF(OR($W800="",EB800=0),"",ROUND((VLOOKUP(ROUNDDOWN($D800-1/frec,0),cob_adi,DO$40,FALSE)*(1+i/frec)^-0.5*(1+Parámetros!$D$103)*(1+rec_fracc)/frec),6))</f>
        <v/>
      </c>
      <c r="EE800" s="66" t="str">
        <f t="shared" si="1083"/>
        <v/>
      </c>
      <c r="EF800" s="68" t="str">
        <f t="shared" si="1084"/>
        <v/>
      </c>
      <c r="EG800" s="66" t="str">
        <f>+IF($W800="","",ROUND(IF($B800&gt;Parámetros!$D$107,'Tablas Servicio'!EE800+('Tablas Servicio'!EG799-'Tablas Servicio'!EE799),EE800/(1-IF(B800&lt;=10,Parámetros!$D$100,0))),2))</f>
        <v/>
      </c>
      <c r="EH800" s="66" t="str">
        <f t="shared" si="1130"/>
        <v/>
      </c>
      <c r="EI800" s="66" t="str">
        <f t="shared" si="1130"/>
        <v/>
      </c>
      <c r="EJ800" s="66" t="str">
        <f>+IF($W800="","",ROUND((EG800*Parámetros!$G$85),2))</f>
        <v/>
      </c>
      <c r="EK800" s="66" t="str">
        <f>+IF($W800="","",ROUND((EG800*(Parámetros!$G$86)),2))</f>
        <v/>
      </c>
      <c r="EL800" s="66" t="str">
        <f t="shared" si="1086"/>
        <v/>
      </c>
    </row>
    <row r="801" spans="1:142" x14ac:dyDescent="0.25">
      <c r="A801" t="str">
        <f>+IF($C801="","",ROUND(VLOOKUP('Tablas Servicio'!B801,Parámetros!$H$100:$J$159,IF(Parámetros!$E$16="F",2,3),FALSE),2))</f>
        <v/>
      </c>
      <c r="B801" t="str">
        <f t="shared" si="1037"/>
        <v/>
      </c>
      <c r="C801" s="57" t="str">
        <f>+IF(D801="","",'Tablas Servicio'!C800+1)</f>
        <v/>
      </c>
      <c r="D801" s="56" t="str">
        <f>+IF(D800&lt;edadmaxtabla,D800+1/Parámetros!$E$25,"")</f>
        <v/>
      </c>
      <c r="E801" s="57" t="str">
        <f t="shared" si="1047"/>
        <v/>
      </c>
      <c r="F801" s="59" t="str">
        <f t="shared" si="1048"/>
        <v/>
      </c>
      <c r="G801" s="66" t="str">
        <f t="shared" si="1038"/>
        <v/>
      </c>
      <c r="H801" s="66" t="str">
        <f t="shared" si="1039"/>
        <v/>
      </c>
      <c r="I801" s="66" t="str">
        <f t="shared" si="1087"/>
        <v/>
      </c>
      <c r="J801" s="66" t="str">
        <f t="shared" si="1040"/>
        <v/>
      </c>
      <c r="K801" s="66" t="str">
        <f t="shared" si="1041"/>
        <v/>
      </c>
      <c r="L801" s="66" t="str">
        <f t="shared" si="1042"/>
        <v/>
      </c>
      <c r="M801" s="66" t="str">
        <f t="shared" si="1043"/>
        <v/>
      </c>
      <c r="N801" s="66" t="str">
        <f>+IF(C801="","",ROUND(Parámetros!$D$23,2))</f>
        <v/>
      </c>
      <c r="O801" s="66" t="str">
        <f t="shared" si="1044"/>
        <v/>
      </c>
      <c r="P801" s="66" t="str">
        <f>+IF($C801="","",ROUND(IF(B801&gt;Parámetros!$D$117,0,N801*Parámetros!$D$116-G801*Parámetros!$D$100),2))</f>
        <v/>
      </c>
      <c r="Q801" s="75" t="str">
        <f t="shared" si="1088"/>
        <v/>
      </c>
      <c r="R801" s="75" t="str">
        <f t="shared" si="1089"/>
        <v/>
      </c>
      <c r="S801" s="117" t="str">
        <f>+IF($C801="","",ROUND((S800+I801)*(1+Parámetros!$D$91),2))</f>
        <v/>
      </c>
      <c r="T801" s="117" t="str">
        <f>+IF($C801="","",ROUND(S801*VLOOKUP(B801,Parámetros!$C$30:$D$39,2,TRUE),2))</f>
        <v/>
      </c>
      <c r="U801" s="117" t="str">
        <f>+IF($C801="","",ROUND((U800+I801)*(1+Parámetros!$D$92),2))</f>
        <v/>
      </c>
      <c r="V801" s="117" t="str">
        <f>+IF($C801="","",ROUND(U801*VLOOKUP(B801,Parámetros!$C$30:$D$39,2,TRUE),2))</f>
        <v/>
      </c>
      <c r="W801" s="57" t="str">
        <f t="shared" si="1090"/>
        <v/>
      </c>
      <c r="X801" t="str">
        <f t="shared" si="1091"/>
        <v/>
      </c>
      <c r="Y801" t="str">
        <f t="shared" si="1092"/>
        <v/>
      </c>
      <c r="Z801" s="118" t="str">
        <f>+IF($W801="","",ROUND(IF(Parámetros!$D$25='TABLAS MORT'!$V$33,Z800,Parámetros!$D$21-'Tablas Servicio'!T800),0))</f>
        <v/>
      </c>
      <c r="AA801" s="118" t="str">
        <f t="shared" si="1093"/>
        <v/>
      </c>
      <c r="AB801" s="119" t="str">
        <f>+IF(W801="","",ROUND((VLOOKUP(ROUNDDOWN($D801-1/frec,0),qx_tabla,2,FALSE)*(1+i/frec)^-0.5*(1+Parámetros!$D$103)*(1+rec_fracc)/frec),6))</f>
        <v/>
      </c>
      <c r="AC801" s="66" t="str">
        <f t="shared" si="1049"/>
        <v/>
      </c>
      <c r="AD801" s="119" t="str">
        <f t="shared" si="1045"/>
        <v/>
      </c>
      <c r="AE801" s="66" t="str">
        <f>+IF($W801="","",ROUND(IF($B801&gt;Parámetros!$D$107,'Tablas Servicio'!AC801+('Tablas Servicio'!AG800-'Tablas Servicio'!AC800),AC801/(1-IF(B801&lt;=10,Parámetros!$D$104,Parámetros!$D$105))),2))</f>
        <v/>
      </c>
      <c r="AF801" s="66" t="str">
        <f>+IF($W801="","",ROUND(IF($B801&gt;Parámetros!$D$107,'Tablas Servicio'!AC801+('Tablas Servicio'!AG800-'Tablas Servicio'!AC800),(AC801+$A800/frec)/(1-IF(B801&lt;=Parámetros!$D$117,Parámetros!$D$100,0))),2))</f>
        <v/>
      </c>
      <c r="AG801" s="66" t="str">
        <f t="shared" si="1050"/>
        <v/>
      </c>
      <c r="AH801" s="66" t="str">
        <f t="shared" si="1051"/>
        <v/>
      </c>
      <c r="AI801" s="66" t="str">
        <f t="shared" si="1052"/>
        <v/>
      </c>
      <c r="AJ801" s="66" t="str">
        <f>+IF($W801="","",ROUND((AG801*Parámetros!$G$85),2))</f>
        <v/>
      </c>
      <c r="AK801" s="66" t="str">
        <f>+IF($W801="","",ROUND((AG801*(Parámetros!$G$86)),2))</f>
        <v/>
      </c>
      <c r="AL801" s="66" t="str">
        <f t="shared" si="1046"/>
        <v/>
      </c>
      <c r="AM801" t="str">
        <f t="shared" si="1094"/>
        <v/>
      </c>
      <c r="AN801" t="str">
        <f t="shared" si="1095"/>
        <v/>
      </c>
      <c r="AO801" s="118" t="str">
        <f t="shared" si="1096"/>
        <v/>
      </c>
      <c r="AP801" s="118" t="str">
        <f t="shared" si="1097"/>
        <v/>
      </c>
      <c r="AQ801" s="119" t="str">
        <f>+IF(OR($W801="",AO801=0),"",ROUND((VLOOKUP(ROUNDDOWN($D801-1/frec,0),cob_adi,Z$40,FALSE)*(1+i/frec)^-0.5*(1+Parámetros!$D$103)*(1+rec_fracc)/frec),6))</f>
        <v/>
      </c>
      <c r="AR801" s="66" t="str">
        <f t="shared" si="1053"/>
        <v/>
      </c>
      <c r="AS801" s="119" t="str">
        <f t="shared" si="1054"/>
        <v/>
      </c>
      <c r="AT801" s="66" t="str">
        <f>+IF($W801="","",ROUND(IF($B801&gt;Parámetros!$D$107,'Tablas Servicio'!AR801+('Tablas Servicio'!AT800-'Tablas Servicio'!AR800),AR801/(1-IF(B801&lt;=10,Parámetros!$D$100,0))),2))</f>
        <v/>
      </c>
      <c r="AU801" s="66" t="str">
        <f t="shared" si="1123"/>
        <v/>
      </c>
      <c r="AV801" s="66" t="str">
        <f t="shared" si="1123"/>
        <v/>
      </c>
      <c r="AW801" s="66" t="str">
        <f>+IF($W801="","",ROUND((AT801*Parámetros!$G$85),2))</f>
        <v/>
      </c>
      <c r="AX801" s="66" t="str">
        <f>+IF($W801="","",ROUND((AT801*(Parámetros!$G$86)),2))</f>
        <v/>
      </c>
      <c r="AY801" s="66" t="str">
        <f t="shared" si="1056"/>
        <v/>
      </c>
      <c r="AZ801" t="str">
        <f t="shared" si="1098"/>
        <v/>
      </c>
      <c r="BA801" t="str">
        <f t="shared" si="1099"/>
        <v/>
      </c>
      <c r="BB801" s="118" t="str">
        <f t="shared" si="1100"/>
        <v/>
      </c>
      <c r="BC801" s="118" t="str">
        <f t="shared" si="1101"/>
        <v/>
      </c>
      <c r="BD801" s="119" t="str">
        <f>+IF(OR($W801="",BB801=0),"",ROUND((VLOOKUP(ROUNDDOWN($D801-1/frec,0),cob_adi,AO$40,FALSE)*(1+i/frec)^-0.5*(1+Parámetros!$D$103)*(1+rec_fracc)/frec),6))</f>
        <v/>
      </c>
      <c r="BE801" s="66" t="str">
        <f t="shared" si="1057"/>
        <v/>
      </c>
      <c r="BF801" s="119" t="str">
        <f t="shared" si="1058"/>
        <v/>
      </c>
      <c r="BG801" s="66" t="str">
        <f>+IF($W801="","",ROUND(IF($B801&gt;Parámetros!$D$107,'Tablas Servicio'!BE801+('Tablas Servicio'!BG800-'Tablas Servicio'!BE800),BE801/(1-IF(B801&lt;=10,Parámetros!$D$100,0))),2))</f>
        <v/>
      </c>
      <c r="BH801" s="66" t="str">
        <f t="shared" si="1059"/>
        <v/>
      </c>
      <c r="BI801" s="66" t="str">
        <f t="shared" si="1060"/>
        <v/>
      </c>
      <c r="BJ801" s="66" t="str">
        <f>+IF($W801="","",ROUND((BG801*Parámetros!$G$85),2))</f>
        <v/>
      </c>
      <c r="BK801" s="66" t="str">
        <f>+IF($W801="","",ROUND((BG801*(Parámetros!$G$86)),2))</f>
        <v/>
      </c>
      <c r="BL801" s="66" t="str">
        <f t="shared" si="1061"/>
        <v/>
      </c>
      <c r="BM801" t="str">
        <f t="shared" si="1102"/>
        <v/>
      </c>
      <c r="BN801" t="str">
        <f t="shared" si="1103"/>
        <v/>
      </c>
      <c r="BO801" s="118" t="str">
        <f t="shared" si="1104"/>
        <v/>
      </c>
      <c r="BP801" s="118" t="str">
        <f t="shared" si="1105"/>
        <v/>
      </c>
      <c r="BQ801" s="119" t="str">
        <f>+IF(OR($W801="",BO801=0),"",ROUND((VLOOKUP(ROUNDDOWN($D801-1/frec,0),cob_adi,BB$40,FALSE)*(1+i/frec)^-0.5*(1+Parámetros!$D$103)*(1+rec_fracc)/frec),6))</f>
        <v/>
      </c>
      <c r="BR801" s="66" t="str">
        <f t="shared" si="1062"/>
        <v/>
      </c>
      <c r="BS801" s="119" t="str">
        <f t="shared" si="1063"/>
        <v/>
      </c>
      <c r="BT801" s="66" t="str">
        <f>+IF($W801="","",ROUND(IF($B801&gt;Parámetros!$D$107,'Tablas Servicio'!BR801+('Tablas Servicio'!BT800-'Tablas Servicio'!BR800),BR801/(1-IF(B801&lt;=10,Parámetros!$D$100,0))),2))</f>
        <v/>
      </c>
      <c r="BU801" s="66" t="str">
        <f t="shared" si="1124"/>
        <v/>
      </c>
      <c r="BV801" s="66" t="str">
        <f t="shared" si="1124"/>
        <v/>
      </c>
      <c r="BW801" s="66" t="str">
        <f>+IF($W801="","",ROUND((BT801*Parámetros!$G$85),2))</f>
        <v/>
      </c>
      <c r="BX801" s="66" t="str">
        <f>+IF($W801="","",ROUND((BT801*(Parámetros!$G$86)),2))</f>
        <v/>
      </c>
      <c r="BY801" s="66" t="str">
        <f t="shared" si="1065"/>
        <v/>
      </c>
      <c r="BZ801" t="str">
        <f t="shared" si="1106"/>
        <v/>
      </c>
      <c r="CA801" t="str">
        <f t="shared" si="1107"/>
        <v/>
      </c>
      <c r="CB801" s="118" t="str">
        <f t="shared" si="1108"/>
        <v/>
      </c>
      <c r="CC801" s="118" t="str">
        <f t="shared" si="1109"/>
        <v/>
      </c>
      <c r="CD801" s="119" t="str">
        <f t="shared" si="1066"/>
        <v/>
      </c>
      <c r="CE801" s="66" t="str">
        <f>+IF($W801="","",ROUND((VLOOKUP(ROUNDDOWN($D801-1/frec,0),cob_adi,BO$40,FALSE)*(1+i/frec)^-0.5*(1+Parámetros!$D$103)*(1+rec_fracc)/frec*'TABLAS ADI'!$BC$17),2))</f>
        <v/>
      </c>
      <c r="CF801" s="119" t="str">
        <f t="shared" si="1067"/>
        <v/>
      </c>
      <c r="CG801" s="66" t="str">
        <f>+IF($W801="","",ROUND(IF($B801&gt;Parámetros!$D$107,'Tablas Servicio'!CE801+('Tablas Servicio'!CG800-'Tablas Servicio'!CE800),CE801/(1-IF(B801&lt;=10,Parámetros!$D$100,0))),2))</f>
        <v/>
      </c>
      <c r="CH801" s="66" t="str">
        <f t="shared" si="1125"/>
        <v/>
      </c>
      <c r="CI801" s="66" t="str">
        <f t="shared" si="1125"/>
        <v/>
      </c>
      <c r="CJ801" s="66" t="str">
        <f>+IF($W801="","",ROUND((CG801*Parámetros!$G$85),2))</f>
        <v/>
      </c>
      <c r="CK801" s="66" t="str">
        <f>+IF($W801="","",ROUND((CG801*(Parámetros!$G$86)),2))</f>
        <v/>
      </c>
      <c r="CL801" s="66" t="str">
        <f t="shared" si="1069"/>
        <v/>
      </c>
      <c r="CM801" t="str">
        <f t="shared" si="1110"/>
        <v/>
      </c>
      <c r="CN801" s="118" t="str">
        <f t="shared" si="1111"/>
        <v/>
      </c>
      <c r="CO801" s="118" t="str">
        <f t="shared" si="1112"/>
        <v/>
      </c>
      <c r="CP801" s="118" t="str">
        <f t="shared" si="1113"/>
        <v/>
      </c>
      <c r="CQ801" s="119" t="str">
        <f t="shared" si="1070"/>
        <v/>
      </c>
      <c r="CR801" s="66" t="str">
        <f>+IF($W801="","",ROUND((VLOOKUP(Parámetros!$F$51,'COBERTURAS ADICIONALES'!$S$4:$T$32,2,FALSE)*(1+i/frec)^-0.5*(1+Parámetros!$D$103)*(1+rec_fracc)/frec*$CO$42),2))</f>
        <v/>
      </c>
      <c r="CS801" s="119" t="str">
        <f t="shared" si="1071"/>
        <v/>
      </c>
      <c r="CT801" s="66" t="str">
        <f>+IF($W801="","",ROUND(IF($B801&gt;Parámetros!$D$107,'Tablas Servicio'!CR801+('Tablas Servicio'!CT800-'Tablas Servicio'!CR800),CR801/(1-IF(B801&lt;=10,Parámetros!$D$100,0))),2))</f>
        <v/>
      </c>
      <c r="CU801" s="66" t="str">
        <f t="shared" si="1126"/>
        <v/>
      </c>
      <c r="CV801" s="66" t="str">
        <f t="shared" si="1126"/>
        <v/>
      </c>
      <c r="CW801" s="66" t="str">
        <f>+IF($W801="","",ROUND((CT801*Parámetros!$G$85),2))</f>
        <v/>
      </c>
      <c r="CX801" s="66" t="str">
        <f>+IF($W801="","",ROUND((CT801*(Parámetros!$G$86)),2))</f>
        <v/>
      </c>
      <c r="CY801" s="66" t="str">
        <f t="shared" si="1073"/>
        <v/>
      </c>
      <c r="CZ801" t="str">
        <f t="shared" si="1114"/>
        <v/>
      </c>
      <c r="DA801" s="118" t="str">
        <f t="shared" si="1115"/>
        <v/>
      </c>
      <c r="DB801" s="118" t="str">
        <f t="shared" si="1116"/>
        <v/>
      </c>
      <c r="DC801" s="118" t="str">
        <f t="shared" si="1117"/>
        <v/>
      </c>
      <c r="DD801" s="121" t="str">
        <f>+IF(OR($W801="",DB801=0),"",ROUND((VLOOKUP(ROUNDDOWN($D801-1/frec,0),cob_adi,CO$40,FALSE)*(1+i/frec)^-0.5*(1+Parámetros!$D$103)*(1+rec_fracc)/frec),6))</f>
        <v/>
      </c>
      <c r="DE801" s="66" t="str">
        <f t="shared" si="1074"/>
        <v/>
      </c>
      <c r="DF801" s="119" t="str">
        <f t="shared" si="1075"/>
        <v/>
      </c>
      <c r="DG801" s="66" t="str">
        <f>+IF($W801="","",ROUND(IF($B801&gt;Parámetros!$D$107,'Tablas Servicio'!DE801+('Tablas Servicio'!DG800-'Tablas Servicio'!DE800),DE801/(1-IF(B801&lt;=10,Parámetros!$D$100,0))),2))</f>
        <v/>
      </c>
      <c r="DH801" s="66" t="str">
        <f t="shared" si="1127"/>
        <v/>
      </c>
      <c r="DI801" s="66" t="str">
        <f t="shared" si="1127"/>
        <v/>
      </c>
      <c r="DJ801" s="66" t="str">
        <f>+IF($W801="","",ROUND((DG801*Parámetros!$G$85),2))</f>
        <v/>
      </c>
      <c r="DK801" s="66" t="str">
        <f>+IF($W801="","",ROUND((DG801*(Parámetros!$G$86)),2))</f>
        <v/>
      </c>
      <c r="DL801" s="66" t="str">
        <f t="shared" si="1077"/>
        <v/>
      </c>
      <c r="DM801" t="str">
        <f t="shared" si="1118"/>
        <v/>
      </c>
      <c r="DN801" s="118" t="str">
        <f t="shared" si="1119"/>
        <v/>
      </c>
      <c r="DO801" s="118" t="str">
        <f t="shared" si="1120"/>
        <v/>
      </c>
      <c r="DP801" s="118" t="str">
        <f t="shared" si="1121"/>
        <v/>
      </c>
      <c r="DQ801" s="122" t="str">
        <f>+IF(OR($W801="",DO801=0),"",ROUND((VLOOKUP(ROUNDDOWN($D801-1/frec,0),cob_adi,DB$40,FALSE)*(1+i/frec)^-0.5*(1+Parámetros!$D$103)*(1+rec_fracc)/frec),6))</f>
        <v/>
      </c>
      <c r="DR801" s="66" t="str">
        <f t="shared" si="1078"/>
        <v/>
      </c>
      <c r="DS801" s="68" t="str">
        <f t="shared" si="1079"/>
        <v/>
      </c>
      <c r="DT801" s="66" t="str">
        <f>+IF($W801="","",ROUND(IF($B801&gt;Parámetros!$D$107,'Tablas Servicio'!DR801+('Tablas Servicio'!DT800-'Tablas Servicio'!DR800),DR801/(1-IF(B801&lt;=10,Parámetros!$D$100,0))),2))</f>
        <v/>
      </c>
      <c r="DU801" s="66" t="str">
        <f t="shared" si="1128"/>
        <v/>
      </c>
      <c r="DV801" s="66" t="str">
        <f t="shared" si="1128"/>
        <v/>
      </c>
      <c r="DW801" s="66" t="str">
        <f>+IF($W801="","",ROUND((DT801*Parámetros!$G$85),2))</f>
        <v/>
      </c>
      <c r="DX801" s="66" t="str">
        <f>+IF($W801="","",ROUND((DT801*(Parámetros!$G$86)),2))</f>
        <v/>
      </c>
      <c r="DY801" s="66" t="str">
        <f t="shared" si="1081"/>
        <v/>
      </c>
      <c r="DZ801" t="str">
        <f t="shared" si="1131"/>
        <v/>
      </c>
      <c r="EA801" s="118" t="str">
        <f t="shared" si="1131"/>
        <v/>
      </c>
      <c r="EB801" s="118" t="str">
        <f>+IF($W801="","",ROUND(IF(Parámetros!$D$25='TABLAS MORT'!$V$33,EB800,Z801/2),0))</f>
        <v/>
      </c>
      <c r="EC801" s="118" t="str">
        <f t="shared" si="1131"/>
        <v/>
      </c>
      <c r="ED801" s="122" t="str">
        <f>+IF(OR($W801="",EB801=0),"",ROUND((VLOOKUP(ROUNDDOWN($D801-1/frec,0),cob_adi,DO$40,FALSE)*(1+i/frec)^-0.5*(1+Parámetros!$D$103)*(1+rec_fracc)/frec),6))</f>
        <v/>
      </c>
      <c r="EE801" s="66" t="str">
        <f t="shared" si="1083"/>
        <v/>
      </c>
      <c r="EF801" s="68" t="str">
        <f t="shared" si="1084"/>
        <v/>
      </c>
      <c r="EG801" s="66" t="str">
        <f>+IF($W801="","",ROUND(IF($B801&gt;Parámetros!$D$107,'Tablas Servicio'!EE801+('Tablas Servicio'!EG800-'Tablas Servicio'!EE800),EE801/(1-IF(B801&lt;=10,Parámetros!$D$100,0))),2))</f>
        <v/>
      </c>
      <c r="EH801" s="66" t="str">
        <f t="shared" si="1130"/>
        <v/>
      </c>
      <c r="EI801" s="66" t="str">
        <f t="shared" si="1130"/>
        <v/>
      </c>
      <c r="EJ801" s="66" t="str">
        <f>+IF($W801="","",ROUND((EG801*Parámetros!$G$85),2))</f>
        <v/>
      </c>
      <c r="EK801" s="66" t="str">
        <f>+IF($W801="","",ROUND((EG801*(Parámetros!$G$86)),2))</f>
        <v/>
      </c>
      <c r="EL801" s="66" t="str">
        <f t="shared" si="1086"/>
        <v/>
      </c>
    </row>
    <row r="802" spans="1:142" x14ac:dyDescent="0.25">
      <c r="A802" t="str">
        <f>+IF($C802="","",ROUND(VLOOKUP('Tablas Servicio'!B802,Parámetros!$H$100:$J$159,IF(Parámetros!$E$16="F",2,3),FALSE),2))</f>
        <v/>
      </c>
      <c r="B802" t="str">
        <f t="shared" si="1037"/>
        <v/>
      </c>
      <c r="C802" s="57" t="str">
        <f>+IF(D802="","",'Tablas Servicio'!C801+1)</f>
        <v/>
      </c>
      <c r="D802" s="56" t="str">
        <f>+IF(D801&lt;edadmaxtabla,D801+1/Parámetros!$E$25,"")</f>
        <v/>
      </c>
      <c r="E802" s="57" t="str">
        <f t="shared" si="1047"/>
        <v/>
      </c>
      <c r="F802" s="59" t="str">
        <f t="shared" si="1048"/>
        <v/>
      </c>
      <c r="G802" s="66" t="str">
        <f t="shared" si="1038"/>
        <v/>
      </c>
      <c r="H802" s="66" t="str">
        <f t="shared" si="1039"/>
        <v/>
      </c>
      <c r="I802" s="66" t="str">
        <f t="shared" si="1087"/>
        <v/>
      </c>
      <c r="J802" s="66" t="str">
        <f t="shared" si="1040"/>
        <v/>
      </c>
      <c r="K802" s="66" t="str">
        <f t="shared" si="1041"/>
        <v/>
      </c>
      <c r="L802" s="66" t="str">
        <f t="shared" si="1042"/>
        <v/>
      </c>
      <c r="M802" s="66" t="str">
        <f t="shared" si="1043"/>
        <v/>
      </c>
      <c r="N802" s="66" t="str">
        <f>+IF(C802="","",ROUND(Parámetros!$D$23,2))</f>
        <v/>
      </c>
      <c r="O802" s="66" t="str">
        <f t="shared" si="1044"/>
        <v/>
      </c>
      <c r="P802" s="66" t="str">
        <f>+IF($C802="","",ROUND(IF(B802&gt;Parámetros!$D$117,0,N802*Parámetros!$D$116-G802*Parámetros!$D$100),2))</f>
        <v/>
      </c>
      <c r="Q802" s="75" t="str">
        <f t="shared" si="1088"/>
        <v/>
      </c>
      <c r="R802" s="75" t="str">
        <f t="shared" si="1089"/>
        <v/>
      </c>
      <c r="S802" s="117" t="str">
        <f>+IF($C802="","",ROUND((S801+I802)*(1+Parámetros!$D$91),2))</f>
        <v/>
      </c>
      <c r="T802" s="117" t="str">
        <f>+IF($C802="","",ROUND(S802*VLOOKUP(B802,Parámetros!$C$30:$D$39,2,TRUE),2))</f>
        <v/>
      </c>
      <c r="U802" s="117" t="str">
        <f>+IF($C802="","",ROUND((U801+I802)*(1+Parámetros!$D$92),2))</f>
        <v/>
      </c>
      <c r="V802" s="117" t="str">
        <f>+IF($C802="","",ROUND(U802*VLOOKUP(B802,Parámetros!$C$30:$D$39,2,TRUE),2))</f>
        <v/>
      </c>
      <c r="W802" s="57" t="str">
        <f t="shared" si="1090"/>
        <v/>
      </c>
      <c r="X802" t="str">
        <f t="shared" si="1091"/>
        <v/>
      </c>
      <c r="Y802" t="str">
        <f t="shared" si="1092"/>
        <v/>
      </c>
      <c r="Z802" s="118" t="str">
        <f>+IF($W802="","",ROUND(IF(Parámetros!$D$25='TABLAS MORT'!$V$33,Z801,Parámetros!$D$21-'Tablas Servicio'!T801),0))</f>
        <v/>
      </c>
      <c r="AA802" s="118" t="str">
        <f t="shared" si="1093"/>
        <v/>
      </c>
      <c r="AB802" s="119" t="str">
        <f>+IF(W802="","",ROUND((VLOOKUP(ROUNDDOWN($D802-1/frec,0),qx_tabla,2,FALSE)*(1+i/frec)^-0.5*(1+Parámetros!$D$103)*(1+rec_fracc)/frec),6))</f>
        <v/>
      </c>
      <c r="AC802" s="66" t="str">
        <f t="shared" si="1049"/>
        <v/>
      </c>
      <c r="AD802" s="119" t="str">
        <f t="shared" si="1045"/>
        <v/>
      </c>
      <c r="AE802" s="66" t="str">
        <f>+IF($W802="","",ROUND(IF($B802&gt;Parámetros!$D$107,'Tablas Servicio'!AC802+('Tablas Servicio'!AG801-'Tablas Servicio'!AC801),AC802/(1-IF(B802&lt;=10,Parámetros!$D$104,Parámetros!$D$105))),2))</f>
        <v/>
      </c>
      <c r="AF802" s="66" t="str">
        <f>+IF($W802="","",ROUND(IF($B802&gt;Parámetros!$D$107,'Tablas Servicio'!AC802+('Tablas Servicio'!AG801-'Tablas Servicio'!AC801),(AC802+$A801/frec)/(1-IF(B802&lt;=Parámetros!$D$117,Parámetros!$D$100,0))),2))</f>
        <v/>
      </c>
      <c r="AG802" s="66" t="str">
        <f t="shared" si="1050"/>
        <v/>
      </c>
      <c r="AH802" s="66" t="str">
        <f t="shared" si="1051"/>
        <v/>
      </c>
      <c r="AI802" s="66" t="str">
        <f t="shared" si="1052"/>
        <v/>
      </c>
      <c r="AJ802" s="66" t="str">
        <f>+IF($W802="","",ROUND((AG802*Parámetros!$G$85),2))</f>
        <v/>
      </c>
      <c r="AK802" s="66" t="str">
        <f>+IF($W802="","",ROUND((AG802*(Parámetros!$G$86)),2))</f>
        <v/>
      </c>
      <c r="AL802" s="66" t="str">
        <f t="shared" si="1046"/>
        <v/>
      </c>
      <c r="AM802" t="str">
        <f t="shared" si="1094"/>
        <v/>
      </c>
      <c r="AN802" t="str">
        <f t="shared" si="1095"/>
        <v/>
      </c>
      <c r="AO802" s="118" t="str">
        <f t="shared" si="1096"/>
        <v/>
      </c>
      <c r="AP802" s="118" t="str">
        <f t="shared" si="1097"/>
        <v/>
      </c>
      <c r="AQ802" s="119" t="str">
        <f>+IF(OR($W802="",AO802=0),"",ROUND((VLOOKUP(ROUNDDOWN($D802-1/frec,0),cob_adi,Z$40,FALSE)*(1+i/frec)^-0.5*(1+Parámetros!$D$103)*(1+rec_fracc)/frec),6))</f>
        <v/>
      </c>
      <c r="AR802" s="66" t="str">
        <f t="shared" si="1053"/>
        <v/>
      </c>
      <c r="AS802" s="119" t="str">
        <f t="shared" si="1054"/>
        <v/>
      </c>
      <c r="AT802" s="66" t="str">
        <f>+IF($W802="","",ROUND(IF($B802&gt;Parámetros!$D$107,'Tablas Servicio'!AR802+('Tablas Servicio'!AT801-'Tablas Servicio'!AR801),AR802/(1-IF(B802&lt;=10,Parámetros!$D$100,0))),2))</f>
        <v/>
      </c>
      <c r="AU802" s="66" t="str">
        <f t="shared" si="1123"/>
        <v/>
      </c>
      <c r="AV802" s="66" t="str">
        <f t="shared" si="1123"/>
        <v/>
      </c>
      <c r="AW802" s="66" t="str">
        <f>+IF($W802="","",ROUND((AT802*Parámetros!$G$85),2))</f>
        <v/>
      </c>
      <c r="AX802" s="66" t="str">
        <f>+IF($W802="","",ROUND((AT802*(Parámetros!$G$86)),2))</f>
        <v/>
      </c>
      <c r="AY802" s="66" t="str">
        <f t="shared" si="1056"/>
        <v/>
      </c>
      <c r="AZ802" t="str">
        <f t="shared" si="1098"/>
        <v/>
      </c>
      <c r="BA802" t="str">
        <f t="shared" si="1099"/>
        <v/>
      </c>
      <c r="BB802" s="118" t="str">
        <f t="shared" si="1100"/>
        <v/>
      </c>
      <c r="BC802" s="118" t="str">
        <f t="shared" si="1101"/>
        <v/>
      </c>
      <c r="BD802" s="119" t="str">
        <f>+IF(OR($W802="",BB802=0),"",ROUND((VLOOKUP(ROUNDDOWN($D802-1/frec,0),cob_adi,AO$40,FALSE)*(1+i/frec)^-0.5*(1+Parámetros!$D$103)*(1+rec_fracc)/frec),6))</f>
        <v/>
      </c>
      <c r="BE802" s="66" t="str">
        <f t="shared" si="1057"/>
        <v/>
      </c>
      <c r="BF802" s="119" t="str">
        <f t="shared" si="1058"/>
        <v/>
      </c>
      <c r="BG802" s="66" t="str">
        <f>+IF($W802="","",ROUND(IF($B802&gt;Parámetros!$D$107,'Tablas Servicio'!BE802+('Tablas Servicio'!BG801-'Tablas Servicio'!BE801),BE802/(1-IF(B802&lt;=10,Parámetros!$D$100,0))),2))</f>
        <v/>
      </c>
      <c r="BH802" s="66" t="str">
        <f t="shared" si="1059"/>
        <v/>
      </c>
      <c r="BI802" s="66" t="str">
        <f t="shared" si="1060"/>
        <v/>
      </c>
      <c r="BJ802" s="66" t="str">
        <f>+IF($W802="","",ROUND((BG802*Parámetros!$G$85),2))</f>
        <v/>
      </c>
      <c r="BK802" s="66" t="str">
        <f>+IF($W802="","",ROUND((BG802*(Parámetros!$G$86)),2))</f>
        <v/>
      </c>
      <c r="BL802" s="66" t="str">
        <f t="shared" si="1061"/>
        <v/>
      </c>
      <c r="BM802" t="str">
        <f t="shared" si="1102"/>
        <v/>
      </c>
      <c r="BN802" t="str">
        <f t="shared" si="1103"/>
        <v/>
      </c>
      <c r="BO802" s="118" t="str">
        <f t="shared" si="1104"/>
        <v/>
      </c>
      <c r="BP802" s="118" t="str">
        <f t="shared" si="1105"/>
        <v/>
      </c>
      <c r="BQ802" s="119" t="str">
        <f>+IF(OR($W802="",BO802=0),"",ROUND((VLOOKUP(ROUNDDOWN($D802-1/frec,0),cob_adi,BB$40,FALSE)*(1+i/frec)^-0.5*(1+Parámetros!$D$103)*(1+rec_fracc)/frec),6))</f>
        <v/>
      </c>
      <c r="BR802" s="66" t="str">
        <f t="shared" si="1062"/>
        <v/>
      </c>
      <c r="BS802" s="119" t="str">
        <f t="shared" si="1063"/>
        <v/>
      </c>
      <c r="BT802" s="66" t="str">
        <f>+IF($W802="","",ROUND(IF($B802&gt;Parámetros!$D$107,'Tablas Servicio'!BR802+('Tablas Servicio'!BT801-'Tablas Servicio'!BR801),BR802/(1-IF(B802&lt;=10,Parámetros!$D$100,0))),2))</f>
        <v/>
      </c>
      <c r="BU802" s="66" t="str">
        <f t="shared" si="1124"/>
        <v/>
      </c>
      <c r="BV802" s="66" t="str">
        <f t="shared" si="1124"/>
        <v/>
      </c>
      <c r="BW802" s="66" t="str">
        <f>+IF($W802="","",ROUND((BT802*Parámetros!$G$85),2))</f>
        <v/>
      </c>
      <c r="BX802" s="66" t="str">
        <f>+IF($W802="","",ROUND((BT802*(Parámetros!$G$86)),2))</f>
        <v/>
      </c>
      <c r="BY802" s="66" t="str">
        <f t="shared" si="1065"/>
        <v/>
      </c>
      <c r="BZ802" t="str">
        <f t="shared" si="1106"/>
        <v/>
      </c>
      <c r="CA802" t="str">
        <f t="shared" si="1107"/>
        <v/>
      </c>
      <c r="CB802" s="118" t="str">
        <f t="shared" si="1108"/>
        <v/>
      </c>
      <c r="CC802" s="118" t="str">
        <f t="shared" si="1109"/>
        <v/>
      </c>
      <c r="CD802" s="119" t="str">
        <f t="shared" si="1066"/>
        <v/>
      </c>
      <c r="CE802" s="66" t="str">
        <f>+IF($W802="","",ROUND((VLOOKUP(ROUNDDOWN($D802-1/frec,0),cob_adi,BO$40,FALSE)*(1+i/frec)^-0.5*(1+Parámetros!$D$103)*(1+rec_fracc)/frec*'TABLAS ADI'!$BC$17),2))</f>
        <v/>
      </c>
      <c r="CF802" s="119" t="str">
        <f t="shared" si="1067"/>
        <v/>
      </c>
      <c r="CG802" s="66" t="str">
        <f>+IF($W802="","",ROUND(IF($B802&gt;Parámetros!$D$107,'Tablas Servicio'!CE802+('Tablas Servicio'!CG801-'Tablas Servicio'!CE801),CE802/(1-IF(B802&lt;=10,Parámetros!$D$100,0))),2))</f>
        <v/>
      </c>
      <c r="CH802" s="66" t="str">
        <f t="shared" si="1125"/>
        <v/>
      </c>
      <c r="CI802" s="66" t="str">
        <f t="shared" si="1125"/>
        <v/>
      </c>
      <c r="CJ802" s="66" t="str">
        <f>+IF($W802="","",ROUND((CG802*Parámetros!$G$85),2))</f>
        <v/>
      </c>
      <c r="CK802" s="66" t="str">
        <f>+IF($W802="","",ROUND((CG802*(Parámetros!$G$86)),2))</f>
        <v/>
      </c>
      <c r="CL802" s="66" t="str">
        <f t="shared" si="1069"/>
        <v/>
      </c>
      <c r="CM802" t="str">
        <f t="shared" si="1110"/>
        <v/>
      </c>
      <c r="CN802" s="118" t="str">
        <f t="shared" si="1111"/>
        <v/>
      </c>
      <c r="CO802" s="118" t="str">
        <f t="shared" si="1112"/>
        <v/>
      </c>
      <c r="CP802" s="118" t="str">
        <f t="shared" si="1113"/>
        <v/>
      </c>
      <c r="CQ802" s="119" t="str">
        <f t="shared" si="1070"/>
        <v/>
      </c>
      <c r="CR802" s="66" t="str">
        <f>+IF($W802="","",ROUND((VLOOKUP(Parámetros!$F$51,'COBERTURAS ADICIONALES'!$S$4:$T$32,2,FALSE)*(1+i/frec)^-0.5*(1+Parámetros!$D$103)*(1+rec_fracc)/frec*$CO$42),2))</f>
        <v/>
      </c>
      <c r="CS802" s="119" t="str">
        <f t="shared" si="1071"/>
        <v/>
      </c>
      <c r="CT802" s="66" t="str">
        <f>+IF($W802="","",ROUND(IF($B802&gt;Parámetros!$D$107,'Tablas Servicio'!CR802+('Tablas Servicio'!CT801-'Tablas Servicio'!CR801),CR802/(1-IF(B802&lt;=10,Parámetros!$D$100,0))),2))</f>
        <v/>
      </c>
      <c r="CU802" s="66" t="str">
        <f t="shared" si="1126"/>
        <v/>
      </c>
      <c r="CV802" s="66" t="str">
        <f t="shared" si="1126"/>
        <v/>
      </c>
      <c r="CW802" s="66" t="str">
        <f>+IF($W802="","",ROUND((CT802*Parámetros!$G$85),2))</f>
        <v/>
      </c>
      <c r="CX802" s="66" t="str">
        <f>+IF($W802="","",ROUND((CT802*(Parámetros!$G$86)),2))</f>
        <v/>
      </c>
      <c r="CY802" s="66" t="str">
        <f t="shared" si="1073"/>
        <v/>
      </c>
      <c r="CZ802" t="str">
        <f t="shared" si="1114"/>
        <v/>
      </c>
      <c r="DA802" s="118" t="str">
        <f t="shared" si="1115"/>
        <v/>
      </c>
      <c r="DB802" s="118" t="str">
        <f t="shared" si="1116"/>
        <v/>
      </c>
      <c r="DC802" s="118" t="str">
        <f t="shared" si="1117"/>
        <v/>
      </c>
      <c r="DD802" s="121" t="str">
        <f>+IF(OR($W802="",DB802=0),"",ROUND((VLOOKUP(ROUNDDOWN($D802-1/frec,0),cob_adi,CO$40,FALSE)*(1+i/frec)^-0.5*(1+Parámetros!$D$103)*(1+rec_fracc)/frec),6))</f>
        <v/>
      </c>
      <c r="DE802" s="66" t="str">
        <f t="shared" si="1074"/>
        <v/>
      </c>
      <c r="DF802" s="119" t="str">
        <f t="shared" si="1075"/>
        <v/>
      </c>
      <c r="DG802" s="66" t="str">
        <f>+IF($W802="","",ROUND(IF($B802&gt;Parámetros!$D$107,'Tablas Servicio'!DE802+('Tablas Servicio'!DG801-'Tablas Servicio'!DE801),DE802/(1-IF(B802&lt;=10,Parámetros!$D$100,0))),2))</f>
        <v/>
      </c>
      <c r="DH802" s="66" t="str">
        <f t="shared" si="1127"/>
        <v/>
      </c>
      <c r="DI802" s="66" t="str">
        <f t="shared" si="1127"/>
        <v/>
      </c>
      <c r="DJ802" s="66" t="str">
        <f>+IF($W802="","",ROUND((DG802*Parámetros!$G$85),2))</f>
        <v/>
      </c>
      <c r="DK802" s="66" t="str">
        <f>+IF($W802="","",ROUND((DG802*(Parámetros!$G$86)),2))</f>
        <v/>
      </c>
      <c r="DL802" s="66" t="str">
        <f t="shared" si="1077"/>
        <v/>
      </c>
      <c r="DM802" t="str">
        <f t="shared" si="1118"/>
        <v/>
      </c>
      <c r="DN802" s="118" t="str">
        <f t="shared" si="1119"/>
        <v/>
      </c>
      <c r="DO802" s="118" t="str">
        <f t="shared" si="1120"/>
        <v/>
      </c>
      <c r="DP802" s="118" t="str">
        <f t="shared" si="1121"/>
        <v/>
      </c>
      <c r="DQ802" s="122" t="str">
        <f>+IF(OR($W802="",DO802=0),"",ROUND((VLOOKUP(ROUNDDOWN($D802-1/frec,0),cob_adi,DB$40,FALSE)*(1+i/frec)^-0.5*(1+Parámetros!$D$103)*(1+rec_fracc)/frec),6))</f>
        <v/>
      </c>
      <c r="DR802" s="66" t="str">
        <f t="shared" si="1078"/>
        <v/>
      </c>
      <c r="DS802" s="68" t="str">
        <f t="shared" si="1079"/>
        <v/>
      </c>
      <c r="DT802" s="66" t="str">
        <f>+IF($W802="","",ROUND(IF($B802&gt;Parámetros!$D$107,'Tablas Servicio'!DR802+('Tablas Servicio'!DT801-'Tablas Servicio'!DR801),DR802/(1-IF(B802&lt;=10,Parámetros!$D$100,0))),2))</f>
        <v/>
      </c>
      <c r="DU802" s="66" t="str">
        <f t="shared" si="1128"/>
        <v/>
      </c>
      <c r="DV802" s="66" t="str">
        <f t="shared" si="1128"/>
        <v/>
      </c>
      <c r="DW802" s="66" t="str">
        <f>+IF($W802="","",ROUND((DT802*Parámetros!$G$85),2))</f>
        <v/>
      </c>
      <c r="DX802" s="66" t="str">
        <f>+IF($W802="","",ROUND((DT802*(Parámetros!$G$86)),2))</f>
        <v/>
      </c>
      <c r="DY802" s="66" t="str">
        <f t="shared" si="1081"/>
        <v/>
      </c>
      <c r="DZ802" t="str">
        <f t="shared" si="1131"/>
        <v/>
      </c>
      <c r="EA802" s="118" t="str">
        <f t="shared" si="1131"/>
        <v/>
      </c>
      <c r="EB802" s="118" t="str">
        <f>+IF($W802="","",ROUND(IF(Parámetros!$D$25='TABLAS MORT'!$V$33,EB801,Z802/2),0))</f>
        <v/>
      </c>
      <c r="EC802" s="118" t="str">
        <f t="shared" si="1131"/>
        <v/>
      </c>
      <c r="ED802" s="122" t="str">
        <f>+IF(OR($W802="",EB802=0),"",ROUND((VLOOKUP(ROUNDDOWN($D802-1/frec,0),cob_adi,DO$40,FALSE)*(1+i/frec)^-0.5*(1+Parámetros!$D$103)*(1+rec_fracc)/frec),6))</f>
        <v/>
      </c>
      <c r="EE802" s="66" t="str">
        <f t="shared" si="1083"/>
        <v/>
      </c>
      <c r="EF802" s="68" t="str">
        <f t="shared" si="1084"/>
        <v/>
      </c>
      <c r="EG802" s="66" t="str">
        <f>+IF($W802="","",ROUND(IF($B802&gt;Parámetros!$D$107,'Tablas Servicio'!EE802+('Tablas Servicio'!EG801-'Tablas Servicio'!EE801),EE802/(1-IF(B802&lt;=10,Parámetros!$D$100,0))),2))</f>
        <v/>
      </c>
      <c r="EH802" s="66" t="str">
        <f t="shared" si="1130"/>
        <v/>
      </c>
      <c r="EI802" s="66" t="str">
        <f t="shared" si="1130"/>
        <v/>
      </c>
      <c r="EJ802" s="66" t="str">
        <f>+IF($W802="","",ROUND((EG802*Parámetros!$G$85),2))</f>
        <v/>
      </c>
      <c r="EK802" s="66" t="str">
        <f>+IF($W802="","",ROUND((EG802*(Parámetros!$G$86)),2))</f>
        <v/>
      </c>
      <c r="EL802" s="66" t="str">
        <f t="shared" si="1086"/>
        <v/>
      </c>
    </row>
    <row r="803" spans="1:142" x14ac:dyDescent="0.25">
      <c r="A803" t="str">
        <f>+IF($C803="","",ROUND(VLOOKUP('Tablas Servicio'!B803,Parámetros!$H$100:$J$159,IF(Parámetros!$E$16="F",2,3),FALSE),2))</f>
        <v/>
      </c>
      <c r="B803" t="str">
        <f t="shared" si="1037"/>
        <v/>
      </c>
      <c r="C803" s="57" t="str">
        <f>+IF(D803="","",'Tablas Servicio'!C802+1)</f>
        <v/>
      </c>
      <c r="D803" s="56" t="str">
        <f>+IF(D802&lt;edadmaxtabla,D802+1/Parámetros!$E$25,"")</f>
        <v/>
      </c>
      <c r="E803" s="57" t="str">
        <f t="shared" si="1047"/>
        <v/>
      </c>
      <c r="F803" s="59" t="str">
        <f t="shared" si="1048"/>
        <v/>
      </c>
      <c r="G803" s="66" t="str">
        <f t="shared" si="1038"/>
        <v/>
      </c>
      <c r="H803" s="66" t="str">
        <f t="shared" si="1039"/>
        <v/>
      </c>
      <c r="I803" s="66" t="str">
        <f t="shared" si="1087"/>
        <v/>
      </c>
      <c r="J803" s="66" t="str">
        <f t="shared" si="1040"/>
        <v/>
      </c>
      <c r="K803" s="66" t="str">
        <f t="shared" si="1041"/>
        <v/>
      </c>
      <c r="L803" s="66" t="str">
        <f t="shared" si="1042"/>
        <v/>
      </c>
      <c r="M803" s="66" t="str">
        <f t="shared" si="1043"/>
        <v/>
      </c>
      <c r="N803" s="66" t="str">
        <f>+IF(C803="","",ROUND(Parámetros!$D$23,2))</f>
        <v/>
      </c>
      <c r="O803" s="66" t="str">
        <f t="shared" si="1044"/>
        <v/>
      </c>
      <c r="P803" s="66" t="str">
        <f>+IF($C803="","",ROUND(IF(B803&gt;Parámetros!$D$117,0,N803*Parámetros!$D$116-G803*Parámetros!$D$100),2))</f>
        <v/>
      </c>
      <c r="Q803" s="75" t="str">
        <f t="shared" si="1088"/>
        <v/>
      </c>
      <c r="R803" s="75" t="str">
        <f t="shared" si="1089"/>
        <v/>
      </c>
      <c r="S803" s="117" t="str">
        <f>+IF($C803="","",ROUND((S802+I803)*(1+Parámetros!$D$91),2))</f>
        <v/>
      </c>
      <c r="T803" s="117" t="str">
        <f>+IF($C803="","",ROUND(S803*VLOOKUP(B803,Parámetros!$C$30:$D$39,2,TRUE),2))</f>
        <v/>
      </c>
      <c r="U803" s="117" t="str">
        <f>+IF($C803="","",ROUND((U802+I803)*(1+Parámetros!$D$92),2))</f>
        <v/>
      </c>
      <c r="V803" s="117" t="str">
        <f>+IF($C803="","",ROUND(U803*VLOOKUP(B803,Parámetros!$C$30:$D$39,2,TRUE),2))</f>
        <v/>
      </c>
      <c r="W803" s="57" t="str">
        <f t="shared" si="1090"/>
        <v/>
      </c>
      <c r="X803" t="str">
        <f t="shared" si="1091"/>
        <v/>
      </c>
      <c r="Y803" t="str">
        <f t="shared" si="1092"/>
        <v/>
      </c>
      <c r="Z803" s="118" t="str">
        <f>+IF($W803="","",ROUND(IF(Parámetros!$D$25='TABLAS MORT'!$V$33,Z802,Parámetros!$D$21-'Tablas Servicio'!T802),0))</f>
        <v/>
      </c>
      <c r="AA803" s="118" t="str">
        <f t="shared" si="1093"/>
        <v/>
      </c>
      <c r="AB803" s="119" t="str">
        <f>+IF(W803="","",ROUND((VLOOKUP(ROUNDDOWN($D803-1/frec,0),qx_tabla,2,FALSE)*(1+i/frec)^-0.5*(1+Parámetros!$D$103)*(1+rec_fracc)/frec),6))</f>
        <v/>
      </c>
      <c r="AC803" s="66" t="str">
        <f t="shared" si="1049"/>
        <v/>
      </c>
      <c r="AD803" s="119" t="str">
        <f t="shared" si="1045"/>
        <v/>
      </c>
      <c r="AE803" s="66" t="str">
        <f>+IF($W803="","",ROUND(IF($B803&gt;Parámetros!$D$107,'Tablas Servicio'!AC803+('Tablas Servicio'!AG802-'Tablas Servicio'!AC802),AC803/(1-IF(B803&lt;=10,Parámetros!$D$104,Parámetros!$D$105))),2))</f>
        <v/>
      </c>
      <c r="AF803" s="66" t="str">
        <f>+IF($W803="","",ROUND(IF($B803&gt;Parámetros!$D$107,'Tablas Servicio'!AC803+('Tablas Servicio'!AG802-'Tablas Servicio'!AC802),(AC803+$A802/frec)/(1-IF(B803&lt;=Parámetros!$D$117,Parámetros!$D$100,0))),2))</f>
        <v/>
      </c>
      <c r="AG803" s="66" t="str">
        <f t="shared" si="1050"/>
        <v/>
      </c>
      <c r="AH803" s="66" t="str">
        <f t="shared" si="1051"/>
        <v/>
      </c>
      <c r="AI803" s="66" t="str">
        <f t="shared" si="1052"/>
        <v/>
      </c>
      <c r="AJ803" s="66" t="str">
        <f>+IF($W803="","",ROUND((AG803*Parámetros!$G$85),2))</f>
        <v/>
      </c>
      <c r="AK803" s="66" t="str">
        <f>+IF($W803="","",ROUND((AG803*(Parámetros!$G$86)),2))</f>
        <v/>
      </c>
      <c r="AL803" s="66" t="str">
        <f t="shared" si="1046"/>
        <v/>
      </c>
      <c r="AM803" t="str">
        <f t="shared" si="1094"/>
        <v/>
      </c>
      <c r="AN803" t="str">
        <f t="shared" si="1095"/>
        <v/>
      </c>
      <c r="AO803" s="118" t="str">
        <f t="shared" si="1096"/>
        <v/>
      </c>
      <c r="AP803" s="118" t="str">
        <f t="shared" si="1097"/>
        <v/>
      </c>
      <c r="AQ803" s="119" t="str">
        <f>+IF(OR($W803="",AO803=0),"",ROUND((VLOOKUP(ROUNDDOWN($D803-1/frec,0),cob_adi,Z$40,FALSE)*(1+i/frec)^-0.5*(1+Parámetros!$D$103)*(1+rec_fracc)/frec),6))</f>
        <v/>
      </c>
      <c r="AR803" s="66" t="str">
        <f t="shared" si="1053"/>
        <v/>
      </c>
      <c r="AS803" s="119" t="str">
        <f t="shared" si="1054"/>
        <v/>
      </c>
      <c r="AT803" s="66" t="str">
        <f>+IF($W803="","",ROUND(IF($B803&gt;Parámetros!$D$107,'Tablas Servicio'!AR803+('Tablas Servicio'!AT802-'Tablas Servicio'!AR802),AR803/(1-IF(B803&lt;=10,Parámetros!$D$100,0))),2))</f>
        <v/>
      </c>
      <c r="AU803" s="66" t="str">
        <f t="shared" si="1123"/>
        <v/>
      </c>
      <c r="AV803" s="66" t="str">
        <f t="shared" si="1123"/>
        <v/>
      </c>
      <c r="AW803" s="66" t="str">
        <f>+IF($W803="","",ROUND((AT803*Parámetros!$G$85),2))</f>
        <v/>
      </c>
      <c r="AX803" s="66" t="str">
        <f>+IF($W803="","",ROUND((AT803*(Parámetros!$G$86)),2))</f>
        <v/>
      </c>
      <c r="AY803" s="66" t="str">
        <f t="shared" si="1056"/>
        <v/>
      </c>
      <c r="AZ803" t="str">
        <f t="shared" si="1098"/>
        <v/>
      </c>
      <c r="BA803" t="str">
        <f t="shared" si="1099"/>
        <v/>
      </c>
      <c r="BB803" s="118" t="str">
        <f t="shared" si="1100"/>
        <v/>
      </c>
      <c r="BC803" s="118" t="str">
        <f t="shared" si="1101"/>
        <v/>
      </c>
      <c r="BD803" s="119" t="str">
        <f>+IF(OR($W803="",BB803=0),"",ROUND((VLOOKUP(ROUNDDOWN($D803-1/frec,0),cob_adi,AO$40,FALSE)*(1+i/frec)^-0.5*(1+Parámetros!$D$103)*(1+rec_fracc)/frec),6))</f>
        <v/>
      </c>
      <c r="BE803" s="66" t="str">
        <f t="shared" si="1057"/>
        <v/>
      </c>
      <c r="BF803" s="119" t="str">
        <f t="shared" si="1058"/>
        <v/>
      </c>
      <c r="BG803" s="66" t="str">
        <f>+IF($W803="","",ROUND(IF($B803&gt;Parámetros!$D$107,'Tablas Servicio'!BE803+('Tablas Servicio'!BG802-'Tablas Servicio'!BE802),BE803/(1-IF(B803&lt;=10,Parámetros!$D$100,0))),2))</f>
        <v/>
      </c>
      <c r="BH803" s="66" t="str">
        <f t="shared" si="1059"/>
        <v/>
      </c>
      <c r="BI803" s="66" t="str">
        <f t="shared" si="1060"/>
        <v/>
      </c>
      <c r="BJ803" s="66" t="str">
        <f>+IF($W803="","",ROUND((BG803*Parámetros!$G$85),2))</f>
        <v/>
      </c>
      <c r="BK803" s="66" t="str">
        <f>+IF($W803="","",ROUND((BG803*(Parámetros!$G$86)),2))</f>
        <v/>
      </c>
      <c r="BL803" s="66" t="str">
        <f t="shared" si="1061"/>
        <v/>
      </c>
      <c r="BM803" t="str">
        <f t="shared" si="1102"/>
        <v/>
      </c>
      <c r="BN803" t="str">
        <f t="shared" si="1103"/>
        <v/>
      </c>
      <c r="BO803" s="118" t="str">
        <f t="shared" si="1104"/>
        <v/>
      </c>
      <c r="BP803" s="118" t="str">
        <f t="shared" si="1105"/>
        <v/>
      </c>
      <c r="BQ803" s="119" t="str">
        <f>+IF(OR($W803="",BO803=0),"",ROUND((VLOOKUP(ROUNDDOWN($D803-1/frec,0),cob_adi,BB$40,FALSE)*(1+i/frec)^-0.5*(1+Parámetros!$D$103)*(1+rec_fracc)/frec),6))</f>
        <v/>
      </c>
      <c r="BR803" s="66" t="str">
        <f t="shared" si="1062"/>
        <v/>
      </c>
      <c r="BS803" s="119" t="str">
        <f t="shared" si="1063"/>
        <v/>
      </c>
      <c r="BT803" s="66" t="str">
        <f>+IF($W803="","",ROUND(IF($B803&gt;Parámetros!$D$107,'Tablas Servicio'!BR803+('Tablas Servicio'!BT802-'Tablas Servicio'!BR802),BR803/(1-IF(B803&lt;=10,Parámetros!$D$100,0))),2))</f>
        <v/>
      </c>
      <c r="BU803" s="66" t="str">
        <f t="shared" si="1124"/>
        <v/>
      </c>
      <c r="BV803" s="66" t="str">
        <f t="shared" si="1124"/>
        <v/>
      </c>
      <c r="BW803" s="66" t="str">
        <f>+IF($W803="","",ROUND((BT803*Parámetros!$G$85),2))</f>
        <v/>
      </c>
      <c r="BX803" s="66" t="str">
        <f>+IF($W803="","",ROUND((BT803*(Parámetros!$G$86)),2))</f>
        <v/>
      </c>
      <c r="BY803" s="66" t="str">
        <f t="shared" si="1065"/>
        <v/>
      </c>
      <c r="BZ803" t="str">
        <f t="shared" si="1106"/>
        <v/>
      </c>
      <c r="CA803" t="str">
        <f t="shared" si="1107"/>
        <v/>
      </c>
      <c r="CB803" s="118" t="str">
        <f t="shared" si="1108"/>
        <v/>
      </c>
      <c r="CC803" s="118" t="str">
        <f t="shared" si="1109"/>
        <v/>
      </c>
      <c r="CD803" s="119" t="str">
        <f t="shared" si="1066"/>
        <v/>
      </c>
      <c r="CE803" s="66" t="str">
        <f>+IF($W803="","",ROUND((VLOOKUP(ROUNDDOWN($D803-1/frec,0),cob_adi,BO$40,FALSE)*(1+i/frec)^-0.5*(1+Parámetros!$D$103)*(1+rec_fracc)/frec*'TABLAS ADI'!$BC$17),2))</f>
        <v/>
      </c>
      <c r="CF803" s="119" t="str">
        <f t="shared" si="1067"/>
        <v/>
      </c>
      <c r="CG803" s="66" t="str">
        <f>+IF($W803="","",ROUND(IF($B803&gt;Parámetros!$D$107,'Tablas Servicio'!CE803+('Tablas Servicio'!CG802-'Tablas Servicio'!CE802),CE803/(1-IF(B803&lt;=10,Parámetros!$D$100,0))),2))</f>
        <v/>
      </c>
      <c r="CH803" s="66" t="str">
        <f t="shared" si="1125"/>
        <v/>
      </c>
      <c r="CI803" s="66" t="str">
        <f t="shared" si="1125"/>
        <v/>
      </c>
      <c r="CJ803" s="66" t="str">
        <f>+IF($W803="","",ROUND((CG803*Parámetros!$G$85),2))</f>
        <v/>
      </c>
      <c r="CK803" s="66" t="str">
        <f>+IF($W803="","",ROUND((CG803*(Parámetros!$G$86)),2))</f>
        <v/>
      </c>
      <c r="CL803" s="66" t="str">
        <f t="shared" si="1069"/>
        <v/>
      </c>
      <c r="CM803" t="str">
        <f t="shared" si="1110"/>
        <v/>
      </c>
      <c r="CN803" s="118" t="str">
        <f t="shared" si="1111"/>
        <v/>
      </c>
      <c r="CO803" s="118" t="str">
        <f t="shared" si="1112"/>
        <v/>
      </c>
      <c r="CP803" s="118" t="str">
        <f t="shared" si="1113"/>
        <v/>
      </c>
      <c r="CQ803" s="119" t="str">
        <f t="shared" si="1070"/>
        <v/>
      </c>
      <c r="CR803" s="66" t="str">
        <f>+IF($W803="","",ROUND((VLOOKUP(Parámetros!$F$51,'COBERTURAS ADICIONALES'!$S$4:$T$32,2,FALSE)*(1+i/frec)^-0.5*(1+Parámetros!$D$103)*(1+rec_fracc)/frec*$CO$42),2))</f>
        <v/>
      </c>
      <c r="CS803" s="119" t="str">
        <f t="shared" si="1071"/>
        <v/>
      </c>
      <c r="CT803" s="66" t="str">
        <f>+IF($W803="","",ROUND(IF($B803&gt;Parámetros!$D$107,'Tablas Servicio'!CR803+('Tablas Servicio'!CT802-'Tablas Servicio'!CR802),CR803/(1-IF(B803&lt;=10,Parámetros!$D$100,0))),2))</f>
        <v/>
      </c>
      <c r="CU803" s="66" t="str">
        <f t="shared" si="1126"/>
        <v/>
      </c>
      <c r="CV803" s="66" t="str">
        <f t="shared" si="1126"/>
        <v/>
      </c>
      <c r="CW803" s="66" t="str">
        <f>+IF($W803="","",ROUND((CT803*Parámetros!$G$85),2))</f>
        <v/>
      </c>
      <c r="CX803" s="66" t="str">
        <f>+IF($W803="","",ROUND((CT803*(Parámetros!$G$86)),2))</f>
        <v/>
      </c>
      <c r="CY803" s="66" t="str">
        <f t="shared" si="1073"/>
        <v/>
      </c>
      <c r="CZ803" t="str">
        <f t="shared" si="1114"/>
        <v/>
      </c>
      <c r="DA803" s="118" t="str">
        <f t="shared" si="1115"/>
        <v/>
      </c>
      <c r="DB803" s="118" t="str">
        <f t="shared" si="1116"/>
        <v/>
      </c>
      <c r="DC803" s="118" t="str">
        <f t="shared" si="1117"/>
        <v/>
      </c>
      <c r="DD803" s="121" t="str">
        <f>+IF(OR($W803="",DB803=0),"",ROUND((VLOOKUP(ROUNDDOWN($D803-1/frec,0),cob_adi,CO$40,FALSE)*(1+i/frec)^-0.5*(1+Parámetros!$D$103)*(1+rec_fracc)/frec),6))</f>
        <v/>
      </c>
      <c r="DE803" s="66" t="str">
        <f t="shared" si="1074"/>
        <v/>
      </c>
      <c r="DF803" s="119" t="str">
        <f t="shared" si="1075"/>
        <v/>
      </c>
      <c r="DG803" s="66" t="str">
        <f>+IF($W803="","",ROUND(IF($B803&gt;Parámetros!$D$107,'Tablas Servicio'!DE803+('Tablas Servicio'!DG802-'Tablas Servicio'!DE802),DE803/(1-IF(B803&lt;=10,Parámetros!$D$100,0))),2))</f>
        <v/>
      </c>
      <c r="DH803" s="66" t="str">
        <f t="shared" si="1127"/>
        <v/>
      </c>
      <c r="DI803" s="66" t="str">
        <f t="shared" si="1127"/>
        <v/>
      </c>
      <c r="DJ803" s="66" t="str">
        <f>+IF($W803="","",ROUND((DG803*Parámetros!$G$85),2))</f>
        <v/>
      </c>
      <c r="DK803" s="66" t="str">
        <f>+IF($W803="","",ROUND((DG803*(Parámetros!$G$86)),2))</f>
        <v/>
      </c>
      <c r="DL803" s="66" t="str">
        <f t="shared" si="1077"/>
        <v/>
      </c>
      <c r="DM803" t="str">
        <f t="shared" si="1118"/>
        <v/>
      </c>
      <c r="DN803" s="118" t="str">
        <f t="shared" si="1119"/>
        <v/>
      </c>
      <c r="DO803" s="118" t="str">
        <f t="shared" si="1120"/>
        <v/>
      </c>
      <c r="DP803" s="118" t="str">
        <f t="shared" si="1121"/>
        <v/>
      </c>
      <c r="DQ803" s="122" t="str">
        <f>+IF(OR($W803="",DO803=0),"",ROUND((VLOOKUP(ROUNDDOWN($D803-1/frec,0),cob_adi,DB$40,FALSE)*(1+i/frec)^-0.5*(1+Parámetros!$D$103)*(1+rec_fracc)/frec),6))</f>
        <v/>
      </c>
      <c r="DR803" s="66" t="str">
        <f t="shared" si="1078"/>
        <v/>
      </c>
      <c r="DS803" s="68" t="str">
        <f t="shared" si="1079"/>
        <v/>
      </c>
      <c r="DT803" s="66" t="str">
        <f>+IF($W803="","",ROUND(IF($B803&gt;Parámetros!$D$107,'Tablas Servicio'!DR803+('Tablas Servicio'!DT802-'Tablas Servicio'!DR802),DR803/(1-IF(B803&lt;=10,Parámetros!$D$100,0))),2))</f>
        <v/>
      </c>
      <c r="DU803" s="66" t="str">
        <f t="shared" si="1128"/>
        <v/>
      </c>
      <c r="DV803" s="66" t="str">
        <f t="shared" si="1128"/>
        <v/>
      </c>
      <c r="DW803" s="66" t="str">
        <f>+IF($W803="","",ROUND((DT803*Parámetros!$G$85),2))</f>
        <v/>
      </c>
      <c r="DX803" s="66" t="str">
        <f>+IF($W803="","",ROUND((DT803*(Parámetros!$G$86)),2))</f>
        <v/>
      </c>
      <c r="DY803" s="66" t="str">
        <f t="shared" si="1081"/>
        <v/>
      </c>
      <c r="DZ803" t="str">
        <f t="shared" si="1131"/>
        <v/>
      </c>
      <c r="EA803" s="118" t="str">
        <f t="shared" si="1131"/>
        <v/>
      </c>
      <c r="EB803" s="118" t="str">
        <f>+IF($W803="","",ROUND(IF(Parámetros!$D$25='TABLAS MORT'!$V$33,EB802,Z803/2),0))</f>
        <v/>
      </c>
      <c r="EC803" s="118" t="str">
        <f t="shared" si="1131"/>
        <v/>
      </c>
      <c r="ED803" s="122" t="str">
        <f>+IF(OR($W803="",EB803=0),"",ROUND((VLOOKUP(ROUNDDOWN($D803-1/frec,0),cob_adi,DO$40,FALSE)*(1+i/frec)^-0.5*(1+Parámetros!$D$103)*(1+rec_fracc)/frec),6))</f>
        <v/>
      </c>
      <c r="EE803" s="66" t="str">
        <f t="shared" si="1083"/>
        <v/>
      </c>
      <c r="EF803" s="68" t="str">
        <f t="shared" si="1084"/>
        <v/>
      </c>
      <c r="EG803" s="66" t="str">
        <f>+IF($W803="","",ROUND(IF($B803&gt;Parámetros!$D$107,'Tablas Servicio'!EE803+('Tablas Servicio'!EG802-'Tablas Servicio'!EE802),EE803/(1-IF(B803&lt;=10,Parámetros!$D$100,0))),2))</f>
        <v/>
      </c>
      <c r="EH803" s="66" t="str">
        <f t="shared" si="1130"/>
        <v/>
      </c>
      <c r="EI803" s="66" t="str">
        <f t="shared" si="1130"/>
        <v/>
      </c>
      <c r="EJ803" s="66" t="str">
        <f>+IF($W803="","",ROUND((EG803*Parámetros!$G$85),2))</f>
        <v/>
      </c>
      <c r="EK803" s="66" t="str">
        <f>+IF($W803="","",ROUND((EG803*(Parámetros!$G$86)),2))</f>
        <v/>
      </c>
      <c r="EL803" s="66" t="str">
        <f t="shared" si="1086"/>
        <v/>
      </c>
    </row>
    <row r="804" spans="1:142" x14ac:dyDescent="0.25">
      <c r="A804" t="str">
        <f>+IF($C804="","",ROUND(VLOOKUP('Tablas Servicio'!B804,Parámetros!$H$100:$J$159,IF(Parámetros!$E$16="F",2,3),FALSE),2))</f>
        <v/>
      </c>
      <c r="B804" t="str">
        <f t="shared" si="1037"/>
        <v/>
      </c>
      <c r="C804" s="57" t="str">
        <f>+IF(D804="","",'Tablas Servicio'!C803+1)</f>
        <v/>
      </c>
      <c r="D804" s="56" t="str">
        <f>+IF(D803&lt;edadmaxtabla,D803+1/Parámetros!$E$25,"")</f>
        <v/>
      </c>
      <c r="E804" s="57" t="str">
        <f t="shared" si="1047"/>
        <v/>
      </c>
      <c r="F804" s="59" t="str">
        <f t="shared" si="1048"/>
        <v/>
      </c>
      <c r="G804" s="66" t="str">
        <f t="shared" si="1038"/>
        <v/>
      </c>
      <c r="H804" s="66" t="str">
        <f t="shared" si="1039"/>
        <v/>
      </c>
      <c r="I804" s="66" t="str">
        <f t="shared" si="1087"/>
        <v/>
      </c>
      <c r="J804" s="66" t="str">
        <f t="shared" si="1040"/>
        <v/>
      </c>
      <c r="K804" s="66" t="str">
        <f t="shared" si="1041"/>
        <v/>
      </c>
      <c r="L804" s="66" t="str">
        <f t="shared" si="1042"/>
        <v/>
      </c>
      <c r="M804" s="66" t="str">
        <f t="shared" si="1043"/>
        <v/>
      </c>
      <c r="N804" s="66" t="str">
        <f>+IF(C804="","",ROUND(Parámetros!$D$23,2))</f>
        <v/>
      </c>
      <c r="O804" s="66" t="str">
        <f t="shared" si="1044"/>
        <v/>
      </c>
      <c r="P804" s="66" t="str">
        <f>+IF($C804="","",ROUND(IF(B804&gt;Parámetros!$D$117,0,N804*Parámetros!$D$116-G804*Parámetros!$D$100),2))</f>
        <v/>
      </c>
      <c r="Q804" s="75" t="str">
        <f t="shared" si="1088"/>
        <v/>
      </c>
      <c r="R804" s="75" t="str">
        <f t="shared" si="1089"/>
        <v/>
      </c>
      <c r="S804" s="117" t="str">
        <f>+IF($C804="","",ROUND((S803+I804)*(1+Parámetros!$D$91),2))</f>
        <v/>
      </c>
      <c r="T804" s="117" t="str">
        <f>+IF($C804="","",ROUND(S804*VLOOKUP(B804,Parámetros!$C$30:$D$39,2,TRUE),2))</f>
        <v/>
      </c>
      <c r="U804" s="117" t="str">
        <f>+IF($C804="","",ROUND((U803+I804)*(1+Parámetros!$D$92),2))</f>
        <v/>
      </c>
      <c r="V804" s="117" t="str">
        <f>+IF($C804="","",ROUND(U804*VLOOKUP(B804,Parámetros!$C$30:$D$39,2,TRUE),2))</f>
        <v/>
      </c>
      <c r="W804" s="57" t="str">
        <f t="shared" si="1090"/>
        <v/>
      </c>
      <c r="X804" t="str">
        <f t="shared" si="1091"/>
        <v/>
      </c>
      <c r="Y804" t="str">
        <f t="shared" si="1092"/>
        <v/>
      </c>
      <c r="Z804" s="118" t="str">
        <f>+IF($W804="","",ROUND(IF(Parámetros!$D$25='TABLAS MORT'!$V$33,Z803,Parámetros!$D$21-'Tablas Servicio'!T803),0))</f>
        <v/>
      </c>
      <c r="AA804" s="118" t="str">
        <f t="shared" si="1093"/>
        <v/>
      </c>
      <c r="AB804" s="119" t="str">
        <f>+IF(W804="","",ROUND((VLOOKUP(ROUNDDOWN($D804-1/frec,0),qx_tabla,2,FALSE)*(1+i/frec)^-0.5*(1+Parámetros!$D$103)*(1+rec_fracc)/frec),6))</f>
        <v/>
      </c>
      <c r="AC804" s="66" t="str">
        <f t="shared" si="1049"/>
        <v/>
      </c>
      <c r="AD804" s="119" t="str">
        <f t="shared" si="1045"/>
        <v/>
      </c>
      <c r="AE804" s="66" t="str">
        <f>+IF($W804="","",ROUND(IF($B804&gt;Parámetros!$D$107,'Tablas Servicio'!AC804+('Tablas Servicio'!AG803-'Tablas Servicio'!AC803),AC804/(1-IF(B804&lt;=10,Parámetros!$D$104,Parámetros!$D$105))),2))</f>
        <v/>
      </c>
      <c r="AF804" s="66" t="str">
        <f>+IF($W804="","",ROUND(IF($B804&gt;Parámetros!$D$107,'Tablas Servicio'!AC804+('Tablas Servicio'!AG803-'Tablas Servicio'!AC803),(AC804+$A803/frec)/(1-IF(B804&lt;=Parámetros!$D$117,Parámetros!$D$100,0))),2))</f>
        <v/>
      </c>
      <c r="AG804" s="66" t="str">
        <f t="shared" si="1050"/>
        <v/>
      </c>
      <c r="AH804" s="66" t="str">
        <f t="shared" si="1051"/>
        <v/>
      </c>
      <c r="AI804" s="66" t="str">
        <f t="shared" si="1052"/>
        <v/>
      </c>
      <c r="AJ804" s="66" t="str">
        <f>+IF($W804="","",ROUND((AG804*Parámetros!$G$85),2))</f>
        <v/>
      </c>
      <c r="AK804" s="66" t="str">
        <f>+IF($W804="","",ROUND((AG804*(Parámetros!$G$86)),2))</f>
        <v/>
      </c>
      <c r="AL804" s="66" t="str">
        <f t="shared" si="1046"/>
        <v/>
      </c>
      <c r="AM804" t="str">
        <f t="shared" si="1094"/>
        <v/>
      </c>
      <c r="AN804" t="str">
        <f t="shared" si="1095"/>
        <v/>
      </c>
      <c r="AO804" s="118" t="str">
        <f t="shared" si="1096"/>
        <v/>
      </c>
      <c r="AP804" s="118" t="str">
        <f t="shared" si="1097"/>
        <v/>
      </c>
      <c r="AQ804" s="119" t="str">
        <f>+IF(OR($W804="",AO804=0),"",ROUND((VLOOKUP(ROUNDDOWN($D804-1/frec,0),cob_adi,Z$40,FALSE)*(1+i/frec)^-0.5*(1+Parámetros!$D$103)*(1+rec_fracc)/frec),6))</f>
        <v/>
      </c>
      <c r="AR804" s="66" t="str">
        <f t="shared" si="1053"/>
        <v/>
      </c>
      <c r="AS804" s="119" t="str">
        <f t="shared" si="1054"/>
        <v/>
      </c>
      <c r="AT804" s="66" t="str">
        <f>+IF($W804="","",ROUND(IF($B804&gt;Parámetros!$D$107,'Tablas Servicio'!AR804+('Tablas Servicio'!AT803-'Tablas Servicio'!AR803),AR804/(1-IF(B804&lt;=10,Parámetros!$D$100,0))),2))</f>
        <v/>
      </c>
      <c r="AU804" s="66" t="str">
        <f t="shared" si="1123"/>
        <v/>
      </c>
      <c r="AV804" s="66" t="str">
        <f t="shared" si="1123"/>
        <v/>
      </c>
      <c r="AW804" s="66" t="str">
        <f>+IF($W804="","",ROUND((AT804*Parámetros!$G$85),2))</f>
        <v/>
      </c>
      <c r="AX804" s="66" t="str">
        <f>+IF($W804="","",ROUND((AT804*(Parámetros!$G$86)),2))</f>
        <v/>
      </c>
      <c r="AY804" s="66" t="str">
        <f t="shared" si="1056"/>
        <v/>
      </c>
      <c r="AZ804" t="str">
        <f t="shared" si="1098"/>
        <v/>
      </c>
      <c r="BA804" t="str">
        <f t="shared" si="1099"/>
        <v/>
      </c>
      <c r="BB804" s="118" t="str">
        <f t="shared" si="1100"/>
        <v/>
      </c>
      <c r="BC804" s="118" t="str">
        <f t="shared" si="1101"/>
        <v/>
      </c>
      <c r="BD804" s="119" t="str">
        <f>+IF(OR($W804="",BB804=0),"",ROUND((VLOOKUP(ROUNDDOWN($D804-1/frec,0),cob_adi,AO$40,FALSE)*(1+i/frec)^-0.5*(1+Parámetros!$D$103)*(1+rec_fracc)/frec),6))</f>
        <v/>
      </c>
      <c r="BE804" s="66" t="str">
        <f t="shared" si="1057"/>
        <v/>
      </c>
      <c r="BF804" s="119" t="str">
        <f t="shared" si="1058"/>
        <v/>
      </c>
      <c r="BG804" s="66" t="str">
        <f>+IF($W804="","",ROUND(IF($B804&gt;Parámetros!$D$107,'Tablas Servicio'!BE804+('Tablas Servicio'!BG803-'Tablas Servicio'!BE803),BE804/(1-IF(B804&lt;=10,Parámetros!$D$100,0))),2))</f>
        <v/>
      </c>
      <c r="BH804" s="66" t="str">
        <f t="shared" si="1059"/>
        <v/>
      </c>
      <c r="BI804" s="66" t="str">
        <f t="shared" si="1060"/>
        <v/>
      </c>
      <c r="BJ804" s="66" t="str">
        <f>+IF($W804="","",ROUND((BG804*Parámetros!$G$85),2))</f>
        <v/>
      </c>
      <c r="BK804" s="66" t="str">
        <f>+IF($W804="","",ROUND((BG804*(Parámetros!$G$86)),2))</f>
        <v/>
      </c>
      <c r="BL804" s="66" t="str">
        <f t="shared" si="1061"/>
        <v/>
      </c>
      <c r="BM804" t="str">
        <f t="shared" si="1102"/>
        <v/>
      </c>
      <c r="BN804" t="str">
        <f t="shared" si="1103"/>
        <v/>
      </c>
      <c r="BO804" s="118" t="str">
        <f t="shared" si="1104"/>
        <v/>
      </c>
      <c r="BP804" s="118" t="str">
        <f t="shared" si="1105"/>
        <v/>
      </c>
      <c r="BQ804" s="119" t="str">
        <f>+IF(OR($W804="",BO804=0),"",ROUND((VLOOKUP(ROUNDDOWN($D804-1/frec,0),cob_adi,BB$40,FALSE)*(1+i/frec)^-0.5*(1+Parámetros!$D$103)*(1+rec_fracc)/frec),6))</f>
        <v/>
      </c>
      <c r="BR804" s="66" t="str">
        <f t="shared" si="1062"/>
        <v/>
      </c>
      <c r="BS804" s="119" t="str">
        <f t="shared" si="1063"/>
        <v/>
      </c>
      <c r="BT804" s="66" t="str">
        <f>+IF($W804="","",ROUND(IF($B804&gt;Parámetros!$D$107,'Tablas Servicio'!BR804+('Tablas Servicio'!BT803-'Tablas Servicio'!BR803),BR804/(1-IF(B804&lt;=10,Parámetros!$D$100,0))),2))</f>
        <v/>
      </c>
      <c r="BU804" s="66" t="str">
        <f t="shared" si="1124"/>
        <v/>
      </c>
      <c r="BV804" s="66" t="str">
        <f t="shared" si="1124"/>
        <v/>
      </c>
      <c r="BW804" s="66" t="str">
        <f>+IF($W804="","",ROUND((BT804*Parámetros!$G$85),2))</f>
        <v/>
      </c>
      <c r="BX804" s="66" t="str">
        <f>+IF($W804="","",ROUND((BT804*(Parámetros!$G$86)),2))</f>
        <v/>
      </c>
      <c r="BY804" s="66" t="str">
        <f t="shared" si="1065"/>
        <v/>
      </c>
      <c r="BZ804" t="str">
        <f t="shared" si="1106"/>
        <v/>
      </c>
      <c r="CA804" t="str">
        <f t="shared" si="1107"/>
        <v/>
      </c>
      <c r="CB804" s="118" t="str">
        <f t="shared" si="1108"/>
        <v/>
      </c>
      <c r="CC804" s="118" t="str">
        <f t="shared" si="1109"/>
        <v/>
      </c>
      <c r="CD804" s="119" t="str">
        <f t="shared" si="1066"/>
        <v/>
      </c>
      <c r="CE804" s="66" t="str">
        <f>+IF($W804="","",ROUND((VLOOKUP(ROUNDDOWN($D804-1/frec,0),cob_adi,BO$40,FALSE)*(1+i/frec)^-0.5*(1+Parámetros!$D$103)*(1+rec_fracc)/frec*'TABLAS ADI'!$BC$17),2))</f>
        <v/>
      </c>
      <c r="CF804" s="119" t="str">
        <f t="shared" si="1067"/>
        <v/>
      </c>
      <c r="CG804" s="66" t="str">
        <f>+IF($W804="","",ROUND(IF($B804&gt;Parámetros!$D$107,'Tablas Servicio'!CE804+('Tablas Servicio'!CG803-'Tablas Servicio'!CE803),CE804/(1-IF(B804&lt;=10,Parámetros!$D$100,0))),2))</f>
        <v/>
      </c>
      <c r="CH804" s="66" t="str">
        <f t="shared" si="1125"/>
        <v/>
      </c>
      <c r="CI804" s="66" t="str">
        <f t="shared" si="1125"/>
        <v/>
      </c>
      <c r="CJ804" s="66" t="str">
        <f>+IF($W804="","",ROUND((CG804*Parámetros!$G$85),2))</f>
        <v/>
      </c>
      <c r="CK804" s="66" t="str">
        <f>+IF($W804="","",ROUND((CG804*(Parámetros!$G$86)),2))</f>
        <v/>
      </c>
      <c r="CL804" s="66" t="str">
        <f t="shared" si="1069"/>
        <v/>
      </c>
      <c r="CM804" t="str">
        <f t="shared" si="1110"/>
        <v/>
      </c>
      <c r="CN804" s="118" t="str">
        <f t="shared" si="1111"/>
        <v/>
      </c>
      <c r="CO804" s="118" t="str">
        <f t="shared" si="1112"/>
        <v/>
      </c>
      <c r="CP804" s="118" t="str">
        <f t="shared" si="1113"/>
        <v/>
      </c>
      <c r="CQ804" s="119" t="str">
        <f t="shared" si="1070"/>
        <v/>
      </c>
      <c r="CR804" s="66" t="str">
        <f>+IF($W804="","",ROUND((VLOOKUP(Parámetros!$F$51,'COBERTURAS ADICIONALES'!$S$4:$T$32,2,FALSE)*(1+i/frec)^-0.5*(1+Parámetros!$D$103)*(1+rec_fracc)/frec*$CO$42),2))</f>
        <v/>
      </c>
      <c r="CS804" s="119" t="str">
        <f t="shared" si="1071"/>
        <v/>
      </c>
      <c r="CT804" s="66" t="str">
        <f>+IF($W804="","",ROUND(IF($B804&gt;Parámetros!$D$107,'Tablas Servicio'!CR804+('Tablas Servicio'!CT803-'Tablas Servicio'!CR803),CR804/(1-IF(B804&lt;=10,Parámetros!$D$100,0))),2))</f>
        <v/>
      </c>
      <c r="CU804" s="66" t="str">
        <f t="shared" si="1126"/>
        <v/>
      </c>
      <c r="CV804" s="66" t="str">
        <f t="shared" si="1126"/>
        <v/>
      </c>
      <c r="CW804" s="66" t="str">
        <f>+IF($W804="","",ROUND((CT804*Parámetros!$G$85),2))</f>
        <v/>
      </c>
      <c r="CX804" s="66" t="str">
        <f>+IF($W804="","",ROUND((CT804*(Parámetros!$G$86)),2))</f>
        <v/>
      </c>
      <c r="CY804" s="66" t="str">
        <f t="shared" si="1073"/>
        <v/>
      </c>
      <c r="CZ804" t="str">
        <f t="shared" si="1114"/>
        <v/>
      </c>
      <c r="DA804" s="118" t="str">
        <f t="shared" si="1115"/>
        <v/>
      </c>
      <c r="DB804" s="118" t="str">
        <f t="shared" si="1116"/>
        <v/>
      </c>
      <c r="DC804" s="118" t="str">
        <f t="shared" si="1117"/>
        <v/>
      </c>
      <c r="DD804" s="121" t="str">
        <f>+IF(OR($W804="",DB804=0),"",ROUND((VLOOKUP(ROUNDDOWN($D804-1/frec,0),cob_adi,CO$40,FALSE)*(1+i/frec)^-0.5*(1+Parámetros!$D$103)*(1+rec_fracc)/frec),6))</f>
        <v/>
      </c>
      <c r="DE804" s="66" t="str">
        <f t="shared" si="1074"/>
        <v/>
      </c>
      <c r="DF804" s="119" t="str">
        <f t="shared" si="1075"/>
        <v/>
      </c>
      <c r="DG804" s="66" t="str">
        <f>+IF($W804="","",ROUND(IF($B804&gt;Parámetros!$D$107,'Tablas Servicio'!DE804+('Tablas Servicio'!DG803-'Tablas Servicio'!DE803),DE804/(1-IF(B804&lt;=10,Parámetros!$D$100,0))),2))</f>
        <v/>
      </c>
      <c r="DH804" s="66" t="str">
        <f t="shared" si="1127"/>
        <v/>
      </c>
      <c r="DI804" s="66" t="str">
        <f t="shared" si="1127"/>
        <v/>
      </c>
      <c r="DJ804" s="66" t="str">
        <f>+IF($W804="","",ROUND((DG804*Parámetros!$G$85),2))</f>
        <v/>
      </c>
      <c r="DK804" s="66" t="str">
        <f>+IF($W804="","",ROUND((DG804*(Parámetros!$G$86)),2))</f>
        <v/>
      </c>
      <c r="DL804" s="66" t="str">
        <f t="shared" si="1077"/>
        <v/>
      </c>
      <c r="DM804" t="str">
        <f t="shared" si="1118"/>
        <v/>
      </c>
      <c r="DN804" s="118" t="str">
        <f t="shared" si="1119"/>
        <v/>
      </c>
      <c r="DO804" s="118" t="str">
        <f t="shared" si="1120"/>
        <v/>
      </c>
      <c r="DP804" s="118" t="str">
        <f t="shared" si="1121"/>
        <v/>
      </c>
      <c r="DQ804" s="122" t="str">
        <f>+IF(OR($W804="",DO804=0),"",ROUND((VLOOKUP(ROUNDDOWN($D804-1/frec,0),cob_adi,DB$40,FALSE)*(1+i/frec)^-0.5*(1+Parámetros!$D$103)*(1+rec_fracc)/frec),6))</f>
        <v/>
      </c>
      <c r="DR804" s="66" t="str">
        <f t="shared" si="1078"/>
        <v/>
      </c>
      <c r="DS804" s="68" t="str">
        <f t="shared" si="1079"/>
        <v/>
      </c>
      <c r="DT804" s="66" t="str">
        <f>+IF($W804="","",ROUND(IF($B804&gt;Parámetros!$D$107,'Tablas Servicio'!DR804+('Tablas Servicio'!DT803-'Tablas Servicio'!DR803),DR804/(1-IF(B804&lt;=10,Parámetros!$D$100,0))),2))</f>
        <v/>
      </c>
      <c r="DU804" s="66" t="str">
        <f t="shared" si="1128"/>
        <v/>
      </c>
      <c r="DV804" s="66" t="str">
        <f t="shared" si="1128"/>
        <v/>
      </c>
      <c r="DW804" s="66" t="str">
        <f>+IF($W804="","",ROUND((DT804*Parámetros!$G$85),2))</f>
        <v/>
      </c>
      <c r="DX804" s="66" t="str">
        <f>+IF($W804="","",ROUND((DT804*(Parámetros!$G$86)),2))</f>
        <v/>
      </c>
      <c r="DY804" s="66" t="str">
        <f t="shared" si="1081"/>
        <v/>
      </c>
      <c r="DZ804" t="str">
        <f t="shared" si="1131"/>
        <v/>
      </c>
      <c r="EA804" s="118" t="str">
        <f t="shared" si="1131"/>
        <v/>
      </c>
      <c r="EB804" s="118" t="str">
        <f>+IF($W804="","",ROUND(IF(Parámetros!$D$25='TABLAS MORT'!$V$33,EB803,Z804/2),0))</f>
        <v/>
      </c>
      <c r="EC804" s="118" t="str">
        <f t="shared" si="1131"/>
        <v/>
      </c>
      <c r="ED804" s="122" t="str">
        <f>+IF(OR($W804="",EB804=0),"",ROUND((VLOOKUP(ROUNDDOWN($D804-1/frec,0),cob_adi,DO$40,FALSE)*(1+i/frec)^-0.5*(1+Parámetros!$D$103)*(1+rec_fracc)/frec),6))</f>
        <v/>
      </c>
      <c r="EE804" s="66" t="str">
        <f t="shared" si="1083"/>
        <v/>
      </c>
      <c r="EF804" s="68" t="str">
        <f t="shared" si="1084"/>
        <v/>
      </c>
      <c r="EG804" s="66" t="str">
        <f>+IF($W804="","",ROUND(IF($B804&gt;Parámetros!$D$107,'Tablas Servicio'!EE804+('Tablas Servicio'!EG803-'Tablas Servicio'!EE803),EE804/(1-IF(B804&lt;=10,Parámetros!$D$100,0))),2))</f>
        <v/>
      </c>
      <c r="EH804" s="66" t="str">
        <f t="shared" si="1130"/>
        <v/>
      </c>
      <c r="EI804" s="66" t="str">
        <f t="shared" si="1130"/>
        <v/>
      </c>
      <c r="EJ804" s="66" t="str">
        <f>+IF($W804="","",ROUND((EG804*Parámetros!$G$85),2))</f>
        <v/>
      </c>
      <c r="EK804" s="66" t="str">
        <f>+IF($W804="","",ROUND((EG804*(Parámetros!$G$86)),2))</f>
        <v/>
      </c>
      <c r="EL804" s="66" t="str">
        <f t="shared" si="1086"/>
        <v/>
      </c>
    </row>
    <row r="805" spans="1:142" x14ac:dyDescent="0.25">
      <c r="A805" t="str">
        <f>+IF($C805="","",ROUND(VLOOKUP('Tablas Servicio'!B805,Parámetros!$H$100:$J$159,IF(Parámetros!$E$16="F",2,3),FALSE),2))</f>
        <v/>
      </c>
      <c r="B805" t="str">
        <f t="shared" si="1037"/>
        <v/>
      </c>
      <c r="C805" s="57" t="str">
        <f>+IF(D805="","",'Tablas Servicio'!C804+1)</f>
        <v/>
      </c>
      <c r="D805" s="56" t="str">
        <f>+IF(D804&lt;edadmaxtabla,D804+1/Parámetros!$E$25,"")</f>
        <v/>
      </c>
      <c r="E805" s="57" t="str">
        <f t="shared" si="1047"/>
        <v/>
      </c>
      <c r="F805" s="59" t="str">
        <f t="shared" si="1048"/>
        <v/>
      </c>
      <c r="G805" s="66" t="str">
        <f t="shared" si="1038"/>
        <v/>
      </c>
      <c r="H805" s="66" t="str">
        <f t="shared" si="1039"/>
        <v/>
      </c>
      <c r="I805" s="66" t="str">
        <f t="shared" si="1087"/>
        <v/>
      </c>
      <c r="J805" s="66" t="str">
        <f t="shared" si="1040"/>
        <v/>
      </c>
      <c r="K805" s="66" t="str">
        <f t="shared" si="1041"/>
        <v/>
      </c>
      <c r="L805" s="66" t="str">
        <f t="shared" si="1042"/>
        <v/>
      </c>
      <c r="M805" s="66" t="str">
        <f t="shared" si="1043"/>
        <v/>
      </c>
      <c r="N805" s="66" t="str">
        <f>+IF(C805="","",ROUND(Parámetros!$D$23,2))</f>
        <v/>
      </c>
      <c r="O805" s="66" t="str">
        <f t="shared" si="1044"/>
        <v/>
      </c>
      <c r="P805" s="66" t="str">
        <f>+IF($C805="","",ROUND(IF(B805&gt;Parámetros!$D$117,0,N805*Parámetros!$D$116-G805*Parámetros!$D$100),2))</f>
        <v/>
      </c>
      <c r="Q805" s="75" t="str">
        <f t="shared" si="1088"/>
        <v/>
      </c>
      <c r="R805" s="75" t="str">
        <f t="shared" si="1089"/>
        <v/>
      </c>
      <c r="S805" s="117" t="str">
        <f>+IF($C805="","",ROUND((S804+I805)*(1+Parámetros!$D$91),2))</f>
        <v/>
      </c>
      <c r="T805" s="117" t="str">
        <f>+IF($C805="","",ROUND(S805*VLOOKUP(B805,Parámetros!$C$30:$D$39,2,TRUE),2))</f>
        <v/>
      </c>
      <c r="U805" s="117" t="str">
        <f>+IF($C805="","",ROUND((U804+I805)*(1+Parámetros!$D$92),2))</f>
        <v/>
      </c>
      <c r="V805" s="117" t="str">
        <f>+IF($C805="","",ROUND(U805*VLOOKUP(B805,Parámetros!$C$30:$D$39,2,TRUE),2))</f>
        <v/>
      </c>
      <c r="W805" s="57" t="str">
        <f t="shared" si="1090"/>
        <v/>
      </c>
      <c r="X805" t="str">
        <f t="shared" si="1091"/>
        <v/>
      </c>
      <c r="Y805" t="str">
        <f t="shared" si="1092"/>
        <v/>
      </c>
      <c r="Z805" s="118" t="str">
        <f>+IF($W805="","",ROUND(IF(Parámetros!$D$25='TABLAS MORT'!$V$33,Z804,Parámetros!$D$21-'Tablas Servicio'!T804),0))</f>
        <v/>
      </c>
      <c r="AA805" s="118" t="str">
        <f t="shared" si="1093"/>
        <v/>
      </c>
      <c r="AB805" s="119" t="str">
        <f>+IF(W805="","",ROUND((VLOOKUP(ROUNDDOWN($D805-1/frec,0),qx_tabla,2,FALSE)*(1+i/frec)^-0.5*(1+Parámetros!$D$103)*(1+rec_fracc)/frec),6))</f>
        <v/>
      </c>
      <c r="AC805" s="66" t="str">
        <f t="shared" si="1049"/>
        <v/>
      </c>
      <c r="AD805" s="119" t="str">
        <f t="shared" si="1045"/>
        <v/>
      </c>
      <c r="AE805" s="66" t="str">
        <f>+IF($W805="","",ROUND(IF($B805&gt;Parámetros!$D$107,'Tablas Servicio'!AC805+('Tablas Servicio'!AG804-'Tablas Servicio'!AC804),AC805/(1-IF(B805&lt;=10,Parámetros!$D$104,Parámetros!$D$105))),2))</f>
        <v/>
      </c>
      <c r="AF805" s="66" t="str">
        <f>+IF($W805="","",ROUND(IF($B805&gt;Parámetros!$D$107,'Tablas Servicio'!AC805+('Tablas Servicio'!AG804-'Tablas Servicio'!AC804),(AC805+$A804/frec)/(1-IF(B805&lt;=Parámetros!$D$117,Parámetros!$D$100,0))),2))</f>
        <v/>
      </c>
      <c r="AG805" s="66" t="str">
        <f t="shared" si="1050"/>
        <v/>
      </c>
      <c r="AH805" s="66" t="str">
        <f t="shared" si="1051"/>
        <v/>
      </c>
      <c r="AI805" s="66" t="str">
        <f t="shared" si="1052"/>
        <v/>
      </c>
      <c r="AJ805" s="66" t="str">
        <f>+IF($W805="","",ROUND((AG805*Parámetros!$G$85),2))</f>
        <v/>
      </c>
      <c r="AK805" s="66" t="str">
        <f>+IF($W805="","",ROUND((AG805*(Parámetros!$G$86)),2))</f>
        <v/>
      </c>
      <c r="AL805" s="66" t="str">
        <f t="shared" si="1046"/>
        <v/>
      </c>
      <c r="AM805" t="str">
        <f t="shared" si="1094"/>
        <v/>
      </c>
      <c r="AN805" t="str">
        <f t="shared" si="1095"/>
        <v/>
      </c>
      <c r="AO805" s="118" t="str">
        <f t="shared" si="1096"/>
        <v/>
      </c>
      <c r="AP805" s="118" t="str">
        <f t="shared" si="1097"/>
        <v/>
      </c>
      <c r="AQ805" s="119" t="str">
        <f>+IF(OR($W805="",AO805=0),"",ROUND((VLOOKUP(ROUNDDOWN($D805-1/frec,0),cob_adi,Z$40,FALSE)*(1+i/frec)^-0.5*(1+Parámetros!$D$103)*(1+rec_fracc)/frec),6))</f>
        <v/>
      </c>
      <c r="AR805" s="66" t="str">
        <f t="shared" si="1053"/>
        <v/>
      </c>
      <c r="AS805" s="119" t="str">
        <f t="shared" si="1054"/>
        <v/>
      </c>
      <c r="AT805" s="66" t="str">
        <f>+IF($W805="","",ROUND(IF($B805&gt;Parámetros!$D$107,'Tablas Servicio'!AR805+('Tablas Servicio'!AT804-'Tablas Servicio'!AR804),AR805/(1-IF(B805&lt;=10,Parámetros!$D$100,0))),2))</f>
        <v/>
      </c>
      <c r="AU805" s="66" t="str">
        <f t="shared" si="1123"/>
        <v/>
      </c>
      <c r="AV805" s="66" t="str">
        <f t="shared" si="1123"/>
        <v/>
      </c>
      <c r="AW805" s="66" t="str">
        <f>+IF($W805="","",ROUND((AT805*Parámetros!$G$85),2))</f>
        <v/>
      </c>
      <c r="AX805" s="66" t="str">
        <f>+IF($W805="","",ROUND((AT805*(Parámetros!$G$86)),2))</f>
        <v/>
      </c>
      <c r="AY805" s="66" t="str">
        <f t="shared" si="1056"/>
        <v/>
      </c>
      <c r="AZ805" t="str">
        <f t="shared" si="1098"/>
        <v/>
      </c>
      <c r="BA805" t="str">
        <f t="shared" si="1099"/>
        <v/>
      </c>
      <c r="BB805" s="118" t="str">
        <f t="shared" si="1100"/>
        <v/>
      </c>
      <c r="BC805" s="118" t="str">
        <f t="shared" si="1101"/>
        <v/>
      </c>
      <c r="BD805" s="119" t="str">
        <f>+IF(OR($W805="",BB805=0),"",ROUND((VLOOKUP(ROUNDDOWN($D805-1/frec,0),cob_adi,AO$40,FALSE)*(1+i/frec)^-0.5*(1+Parámetros!$D$103)*(1+rec_fracc)/frec),6))</f>
        <v/>
      </c>
      <c r="BE805" s="66" t="str">
        <f t="shared" si="1057"/>
        <v/>
      </c>
      <c r="BF805" s="119" t="str">
        <f t="shared" si="1058"/>
        <v/>
      </c>
      <c r="BG805" s="66" t="str">
        <f>+IF($W805="","",ROUND(IF($B805&gt;Parámetros!$D$107,'Tablas Servicio'!BE805+('Tablas Servicio'!BG804-'Tablas Servicio'!BE804),BE805/(1-IF(B805&lt;=10,Parámetros!$D$100,0))),2))</f>
        <v/>
      </c>
      <c r="BH805" s="66" t="str">
        <f t="shared" si="1059"/>
        <v/>
      </c>
      <c r="BI805" s="66" t="str">
        <f t="shared" si="1060"/>
        <v/>
      </c>
      <c r="BJ805" s="66" t="str">
        <f>+IF($W805="","",ROUND((BG805*Parámetros!$G$85),2))</f>
        <v/>
      </c>
      <c r="BK805" s="66" t="str">
        <f>+IF($W805="","",ROUND((BG805*(Parámetros!$G$86)),2))</f>
        <v/>
      </c>
      <c r="BL805" s="66" t="str">
        <f t="shared" si="1061"/>
        <v/>
      </c>
      <c r="BM805" t="str">
        <f t="shared" si="1102"/>
        <v/>
      </c>
      <c r="BN805" t="str">
        <f t="shared" si="1103"/>
        <v/>
      </c>
      <c r="BO805" s="118" t="str">
        <f t="shared" si="1104"/>
        <v/>
      </c>
      <c r="BP805" s="118" t="str">
        <f t="shared" si="1105"/>
        <v/>
      </c>
      <c r="BQ805" s="119" t="str">
        <f>+IF(OR($W805="",BO805=0),"",ROUND((VLOOKUP(ROUNDDOWN($D805-1/frec,0),cob_adi,BB$40,FALSE)*(1+i/frec)^-0.5*(1+Parámetros!$D$103)*(1+rec_fracc)/frec),6))</f>
        <v/>
      </c>
      <c r="BR805" s="66" t="str">
        <f t="shared" si="1062"/>
        <v/>
      </c>
      <c r="BS805" s="119" t="str">
        <f t="shared" si="1063"/>
        <v/>
      </c>
      <c r="BT805" s="66" t="str">
        <f>+IF($W805="","",ROUND(IF($B805&gt;Parámetros!$D$107,'Tablas Servicio'!BR805+('Tablas Servicio'!BT804-'Tablas Servicio'!BR804),BR805/(1-IF(B805&lt;=10,Parámetros!$D$100,0))),2))</f>
        <v/>
      </c>
      <c r="BU805" s="66" t="str">
        <f t="shared" si="1124"/>
        <v/>
      </c>
      <c r="BV805" s="66" t="str">
        <f t="shared" si="1124"/>
        <v/>
      </c>
      <c r="BW805" s="66" t="str">
        <f>+IF($W805="","",ROUND((BT805*Parámetros!$G$85),2))</f>
        <v/>
      </c>
      <c r="BX805" s="66" t="str">
        <f>+IF($W805="","",ROUND((BT805*(Parámetros!$G$86)),2))</f>
        <v/>
      </c>
      <c r="BY805" s="66" t="str">
        <f t="shared" si="1065"/>
        <v/>
      </c>
      <c r="BZ805" t="str">
        <f t="shared" si="1106"/>
        <v/>
      </c>
      <c r="CA805" t="str">
        <f t="shared" si="1107"/>
        <v/>
      </c>
      <c r="CB805" s="118" t="str">
        <f t="shared" si="1108"/>
        <v/>
      </c>
      <c r="CC805" s="118" t="str">
        <f t="shared" si="1109"/>
        <v/>
      </c>
      <c r="CD805" s="119" t="str">
        <f t="shared" si="1066"/>
        <v/>
      </c>
      <c r="CE805" s="66" t="str">
        <f>+IF($W805="","",ROUND((VLOOKUP(ROUNDDOWN($D805-1/frec,0),cob_adi,BO$40,FALSE)*(1+i/frec)^-0.5*(1+Parámetros!$D$103)*(1+rec_fracc)/frec*'TABLAS ADI'!$BC$17),2))</f>
        <v/>
      </c>
      <c r="CF805" s="119" t="str">
        <f t="shared" si="1067"/>
        <v/>
      </c>
      <c r="CG805" s="66" t="str">
        <f>+IF($W805="","",ROUND(IF($B805&gt;Parámetros!$D$107,'Tablas Servicio'!CE805+('Tablas Servicio'!CG804-'Tablas Servicio'!CE804),CE805/(1-IF(B805&lt;=10,Parámetros!$D$100,0))),2))</f>
        <v/>
      </c>
      <c r="CH805" s="66" t="str">
        <f t="shared" si="1125"/>
        <v/>
      </c>
      <c r="CI805" s="66" t="str">
        <f t="shared" si="1125"/>
        <v/>
      </c>
      <c r="CJ805" s="66" t="str">
        <f>+IF($W805="","",ROUND((CG805*Parámetros!$G$85),2))</f>
        <v/>
      </c>
      <c r="CK805" s="66" t="str">
        <f>+IF($W805="","",ROUND((CG805*(Parámetros!$G$86)),2))</f>
        <v/>
      </c>
      <c r="CL805" s="66" t="str">
        <f t="shared" si="1069"/>
        <v/>
      </c>
      <c r="CM805" t="str">
        <f t="shared" si="1110"/>
        <v/>
      </c>
      <c r="CN805" s="118" t="str">
        <f t="shared" si="1111"/>
        <v/>
      </c>
      <c r="CO805" s="118" t="str">
        <f t="shared" si="1112"/>
        <v/>
      </c>
      <c r="CP805" s="118" t="str">
        <f t="shared" si="1113"/>
        <v/>
      </c>
      <c r="CQ805" s="119" t="str">
        <f t="shared" si="1070"/>
        <v/>
      </c>
      <c r="CR805" s="66" t="str">
        <f>+IF($W805="","",ROUND((VLOOKUP(Parámetros!$F$51,'COBERTURAS ADICIONALES'!$S$4:$T$32,2,FALSE)*(1+i/frec)^-0.5*(1+Parámetros!$D$103)*(1+rec_fracc)/frec*$CO$42),2))</f>
        <v/>
      </c>
      <c r="CS805" s="119" t="str">
        <f t="shared" si="1071"/>
        <v/>
      </c>
      <c r="CT805" s="66" t="str">
        <f>+IF($W805="","",ROUND(IF($B805&gt;Parámetros!$D$107,'Tablas Servicio'!CR805+('Tablas Servicio'!CT804-'Tablas Servicio'!CR804),CR805/(1-IF(B805&lt;=10,Parámetros!$D$100,0))),2))</f>
        <v/>
      </c>
      <c r="CU805" s="66" t="str">
        <f t="shared" si="1126"/>
        <v/>
      </c>
      <c r="CV805" s="66" t="str">
        <f t="shared" si="1126"/>
        <v/>
      </c>
      <c r="CW805" s="66" t="str">
        <f>+IF($W805="","",ROUND((CT805*Parámetros!$G$85),2))</f>
        <v/>
      </c>
      <c r="CX805" s="66" t="str">
        <f>+IF($W805="","",ROUND((CT805*(Parámetros!$G$86)),2))</f>
        <v/>
      </c>
      <c r="CY805" s="66" t="str">
        <f t="shared" si="1073"/>
        <v/>
      </c>
      <c r="CZ805" t="str">
        <f t="shared" si="1114"/>
        <v/>
      </c>
      <c r="DA805" s="118" t="str">
        <f t="shared" si="1115"/>
        <v/>
      </c>
      <c r="DB805" s="118" t="str">
        <f t="shared" si="1116"/>
        <v/>
      </c>
      <c r="DC805" s="118" t="str">
        <f t="shared" si="1117"/>
        <v/>
      </c>
      <c r="DD805" s="121" t="str">
        <f>+IF(OR($W805="",DB805=0),"",ROUND((VLOOKUP(ROUNDDOWN($D805-1/frec,0),cob_adi,CO$40,FALSE)*(1+i/frec)^-0.5*(1+Parámetros!$D$103)*(1+rec_fracc)/frec),6))</f>
        <v/>
      </c>
      <c r="DE805" s="66" t="str">
        <f t="shared" si="1074"/>
        <v/>
      </c>
      <c r="DF805" s="119" t="str">
        <f t="shared" si="1075"/>
        <v/>
      </c>
      <c r="DG805" s="66" t="str">
        <f>+IF($W805="","",ROUND(IF($B805&gt;Parámetros!$D$107,'Tablas Servicio'!DE805+('Tablas Servicio'!DG804-'Tablas Servicio'!DE804),DE805/(1-IF(B805&lt;=10,Parámetros!$D$100,0))),2))</f>
        <v/>
      </c>
      <c r="DH805" s="66" t="str">
        <f t="shared" si="1127"/>
        <v/>
      </c>
      <c r="DI805" s="66" t="str">
        <f t="shared" si="1127"/>
        <v/>
      </c>
      <c r="DJ805" s="66" t="str">
        <f>+IF($W805="","",ROUND((DG805*Parámetros!$G$85),2))</f>
        <v/>
      </c>
      <c r="DK805" s="66" t="str">
        <f>+IF($W805="","",ROUND((DG805*(Parámetros!$G$86)),2))</f>
        <v/>
      </c>
      <c r="DL805" s="66" t="str">
        <f t="shared" si="1077"/>
        <v/>
      </c>
      <c r="DM805" t="str">
        <f t="shared" si="1118"/>
        <v/>
      </c>
      <c r="DN805" s="118" t="str">
        <f t="shared" si="1119"/>
        <v/>
      </c>
      <c r="DO805" s="118" t="str">
        <f t="shared" si="1120"/>
        <v/>
      </c>
      <c r="DP805" s="118" t="str">
        <f t="shared" si="1121"/>
        <v/>
      </c>
      <c r="DQ805" s="122" t="str">
        <f>+IF(OR($W805="",DO805=0),"",ROUND((VLOOKUP(ROUNDDOWN($D805-1/frec,0),cob_adi,DB$40,FALSE)*(1+i/frec)^-0.5*(1+Parámetros!$D$103)*(1+rec_fracc)/frec),6))</f>
        <v/>
      </c>
      <c r="DR805" s="66" t="str">
        <f t="shared" si="1078"/>
        <v/>
      </c>
      <c r="DS805" s="68" t="str">
        <f t="shared" si="1079"/>
        <v/>
      </c>
      <c r="DT805" s="66" t="str">
        <f>+IF($W805="","",ROUND(IF($B805&gt;Parámetros!$D$107,'Tablas Servicio'!DR805+('Tablas Servicio'!DT804-'Tablas Servicio'!DR804),DR805/(1-IF(B805&lt;=10,Parámetros!$D$100,0))),2))</f>
        <v/>
      </c>
      <c r="DU805" s="66" t="str">
        <f t="shared" si="1128"/>
        <v/>
      </c>
      <c r="DV805" s="66" t="str">
        <f t="shared" si="1128"/>
        <v/>
      </c>
      <c r="DW805" s="66" t="str">
        <f>+IF($W805="","",ROUND((DT805*Parámetros!$G$85),2))</f>
        <v/>
      </c>
      <c r="DX805" s="66" t="str">
        <f>+IF($W805="","",ROUND((DT805*(Parámetros!$G$86)),2))</f>
        <v/>
      </c>
      <c r="DY805" s="66" t="str">
        <f t="shared" si="1081"/>
        <v/>
      </c>
      <c r="DZ805" t="str">
        <f t="shared" si="1131"/>
        <v/>
      </c>
      <c r="EA805" s="118" t="str">
        <f t="shared" si="1131"/>
        <v/>
      </c>
      <c r="EB805" s="118" t="str">
        <f>+IF($W805="","",ROUND(IF(Parámetros!$D$25='TABLAS MORT'!$V$33,EB804,Z805/2),0))</f>
        <v/>
      </c>
      <c r="EC805" s="118" t="str">
        <f t="shared" si="1131"/>
        <v/>
      </c>
      <c r="ED805" s="122" t="str">
        <f>+IF(OR($W805="",EB805=0),"",ROUND((VLOOKUP(ROUNDDOWN($D805-1/frec,0),cob_adi,DO$40,FALSE)*(1+i/frec)^-0.5*(1+Parámetros!$D$103)*(1+rec_fracc)/frec),6))</f>
        <v/>
      </c>
      <c r="EE805" s="66" t="str">
        <f t="shared" si="1083"/>
        <v/>
      </c>
      <c r="EF805" s="68" t="str">
        <f t="shared" si="1084"/>
        <v/>
      </c>
      <c r="EG805" s="66" t="str">
        <f>+IF($W805="","",ROUND(IF($B805&gt;Parámetros!$D$107,'Tablas Servicio'!EE805+('Tablas Servicio'!EG804-'Tablas Servicio'!EE804),EE805/(1-IF(B805&lt;=10,Parámetros!$D$100,0))),2))</f>
        <v/>
      </c>
      <c r="EH805" s="66" t="str">
        <f t="shared" si="1130"/>
        <v/>
      </c>
      <c r="EI805" s="66" t="str">
        <f t="shared" si="1130"/>
        <v/>
      </c>
      <c r="EJ805" s="66" t="str">
        <f>+IF($W805="","",ROUND((EG805*Parámetros!$G$85),2))</f>
        <v/>
      </c>
      <c r="EK805" s="66" t="str">
        <f>+IF($W805="","",ROUND((EG805*(Parámetros!$G$86)),2))</f>
        <v/>
      </c>
      <c r="EL805" s="66" t="str">
        <f t="shared" si="1086"/>
        <v/>
      </c>
    </row>
    <row r="806" spans="1:142" x14ac:dyDescent="0.25">
      <c r="A806" t="str">
        <f>+IF($C806="","",ROUND(VLOOKUP('Tablas Servicio'!B806,Parámetros!$H$100:$J$159,IF(Parámetros!$E$16="F",2,3),FALSE),2))</f>
        <v/>
      </c>
      <c r="B806" t="str">
        <f t="shared" si="1037"/>
        <v/>
      </c>
      <c r="C806" s="57" t="str">
        <f>+IF(D806="","",'Tablas Servicio'!C805+1)</f>
        <v/>
      </c>
      <c r="D806" s="56" t="str">
        <f>+IF(D805&lt;edadmaxtabla,D805+1/Parámetros!$E$25,"")</f>
        <v/>
      </c>
      <c r="E806" s="57" t="str">
        <f t="shared" si="1047"/>
        <v/>
      </c>
      <c r="F806" s="59" t="str">
        <f t="shared" si="1048"/>
        <v/>
      </c>
      <c r="G806" s="66" t="str">
        <f t="shared" si="1038"/>
        <v/>
      </c>
      <c r="H806" s="66" t="str">
        <f t="shared" si="1039"/>
        <v/>
      </c>
      <c r="I806" s="66" t="str">
        <f t="shared" si="1087"/>
        <v/>
      </c>
      <c r="J806" s="66" t="str">
        <f t="shared" si="1040"/>
        <v/>
      </c>
      <c r="K806" s="66" t="str">
        <f t="shared" si="1041"/>
        <v/>
      </c>
      <c r="L806" s="66" t="str">
        <f t="shared" si="1042"/>
        <v/>
      </c>
      <c r="M806" s="66" t="str">
        <f t="shared" si="1043"/>
        <v/>
      </c>
      <c r="N806" s="66" t="str">
        <f>+IF(C806="","",ROUND(Parámetros!$D$23,2))</f>
        <v/>
      </c>
      <c r="O806" s="66" t="str">
        <f t="shared" si="1044"/>
        <v/>
      </c>
      <c r="P806" s="66" t="str">
        <f>+IF($C806="","",ROUND(IF(B806&gt;Parámetros!$D$117,0,N806*Parámetros!$D$116-G806*Parámetros!$D$100),2))</f>
        <v/>
      </c>
      <c r="Q806" s="75" t="str">
        <f t="shared" si="1088"/>
        <v/>
      </c>
      <c r="R806" s="75" t="str">
        <f t="shared" si="1089"/>
        <v/>
      </c>
      <c r="S806" s="117" t="str">
        <f>+IF($C806="","",ROUND((S805+I806)*(1+Parámetros!$D$91),2))</f>
        <v/>
      </c>
      <c r="T806" s="117" t="str">
        <f>+IF($C806="","",ROUND(S806*VLOOKUP(B806,Parámetros!$C$30:$D$39,2,TRUE),2))</f>
        <v/>
      </c>
      <c r="U806" s="117" t="str">
        <f>+IF($C806="","",ROUND((U805+I806)*(1+Parámetros!$D$92),2))</f>
        <v/>
      </c>
      <c r="V806" s="117" t="str">
        <f>+IF($C806="","",ROUND(U806*VLOOKUP(B806,Parámetros!$C$30:$D$39,2,TRUE),2))</f>
        <v/>
      </c>
      <c r="W806" s="57" t="str">
        <f t="shared" si="1090"/>
        <v/>
      </c>
      <c r="X806" t="str">
        <f t="shared" si="1091"/>
        <v/>
      </c>
      <c r="Y806" t="str">
        <f t="shared" si="1092"/>
        <v/>
      </c>
      <c r="Z806" s="118" t="str">
        <f>+IF($W806="","",ROUND(IF(Parámetros!$D$25='TABLAS MORT'!$V$33,Z805,Parámetros!$D$21-'Tablas Servicio'!T805),0))</f>
        <v/>
      </c>
      <c r="AA806" s="118" t="str">
        <f t="shared" si="1093"/>
        <v/>
      </c>
      <c r="AB806" s="119" t="str">
        <f>+IF(W806="","",ROUND((VLOOKUP(ROUNDDOWN($D806-1/frec,0),qx_tabla,2,FALSE)*(1+i/frec)^-0.5*(1+Parámetros!$D$103)*(1+rec_fracc)/frec),6))</f>
        <v/>
      </c>
      <c r="AC806" s="66" t="str">
        <f t="shared" si="1049"/>
        <v/>
      </c>
      <c r="AD806" s="119" t="str">
        <f t="shared" si="1045"/>
        <v/>
      </c>
      <c r="AE806" s="66" t="str">
        <f>+IF($W806="","",ROUND(IF($B806&gt;Parámetros!$D$107,'Tablas Servicio'!AC806+('Tablas Servicio'!AG805-'Tablas Servicio'!AC805),AC806/(1-IF(B806&lt;=10,Parámetros!$D$104,Parámetros!$D$105))),2))</f>
        <v/>
      </c>
      <c r="AF806" s="66" t="str">
        <f>+IF($W806="","",ROUND(IF($B806&gt;Parámetros!$D$107,'Tablas Servicio'!AC806+('Tablas Servicio'!AG805-'Tablas Servicio'!AC805),(AC806+$A805/frec)/(1-IF(B806&lt;=Parámetros!$D$117,Parámetros!$D$100,0))),2))</f>
        <v/>
      </c>
      <c r="AG806" s="66" t="str">
        <f t="shared" si="1050"/>
        <v/>
      </c>
      <c r="AH806" s="66" t="str">
        <f t="shared" si="1051"/>
        <v/>
      </c>
      <c r="AI806" s="66" t="str">
        <f t="shared" si="1052"/>
        <v/>
      </c>
      <c r="AJ806" s="66" t="str">
        <f>+IF($W806="","",ROUND((AG806*Parámetros!$G$85),2))</f>
        <v/>
      </c>
      <c r="AK806" s="66" t="str">
        <f>+IF($W806="","",ROUND((AG806*(Parámetros!$G$86)),2))</f>
        <v/>
      </c>
      <c r="AL806" s="66" t="str">
        <f t="shared" si="1046"/>
        <v/>
      </c>
      <c r="AM806" t="str">
        <f t="shared" si="1094"/>
        <v/>
      </c>
      <c r="AN806" t="str">
        <f t="shared" si="1095"/>
        <v/>
      </c>
      <c r="AO806" s="118" t="str">
        <f t="shared" si="1096"/>
        <v/>
      </c>
      <c r="AP806" s="118" t="str">
        <f t="shared" si="1097"/>
        <v/>
      </c>
      <c r="AQ806" s="119" t="str">
        <f>+IF(OR($W806="",AO806=0),"",ROUND((VLOOKUP(ROUNDDOWN($D806-1/frec,0),cob_adi,Z$40,FALSE)*(1+i/frec)^-0.5*(1+Parámetros!$D$103)*(1+rec_fracc)/frec),6))</f>
        <v/>
      </c>
      <c r="AR806" s="66" t="str">
        <f t="shared" si="1053"/>
        <v/>
      </c>
      <c r="AS806" s="119" t="str">
        <f t="shared" si="1054"/>
        <v/>
      </c>
      <c r="AT806" s="66" t="str">
        <f>+IF($W806="","",ROUND(IF($B806&gt;Parámetros!$D$107,'Tablas Servicio'!AR806+('Tablas Servicio'!AT805-'Tablas Servicio'!AR805),AR806/(1-IF(B806&lt;=10,Parámetros!$D$100,0))),2))</f>
        <v/>
      </c>
      <c r="AU806" s="66" t="str">
        <f t="shared" si="1123"/>
        <v/>
      </c>
      <c r="AV806" s="66" t="str">
        <f t="shared" si="1123"/>
        <v/>
      </c>
      <c r="AW806" s="66" t="str">
        <f>+IF($W806="","",ROUND((AT806*Parámetros!$G$85),2))</f>
        <v/>
      </c>
      <c r="AX806" s="66" t="str">
        <f>+IF($W806="","",ROUND((AT806*(Parámetros!$G$86)),2))</f>
        <v/>
      </c>
      <c r="AY806" s="66" t="str">
        <f t="shared" si="1056"/>
        <v/>
      </c>
      <c r="AZ806" t="str">
        <f t="shared" si="1098"/>
        <v/>
      </c>
      <c r="BA806" t="str">
        <f t="shared" si="1099"/>
        <v/>
      </c>
      <c r="BB806" s="118" t="str">
        <f t="shared" si="1100"/>
        <v/>
      </c>
      <c r="BC806" s="118" t="str">
        <f t="shared" si="1101"/>
        <v/>
      </c>
      <c r="BD806" s="119" t="str">
        <f>+IF(OR($W806="",BB806=0),"",ROUND((VLOOKUP(ROUNDDOWN($D806-1/frec,0),cob_adi,AO$40,FALSE)*(1+i/frec)^-0.5*(1+Parámetros!$D$103)*(1+rec_fracc)/frec),6))</f>
        <v/>
      </c>
      <c r="BE806" s="66" t="str">
        <f t="shared" si="1057"/>
        <v/>
      </c>
      <c r="BF806" s="119" t="str">
        <f t="shared" si="1058"/>
        <v/>
      </c>
      <c r="BG806" s="66" t="str">
        <f>+IF($W806="","",ROUND(IF($B806&gt;Parámetros!$D$107,'Tablas Servicio'!BE806+('Tablas Servicio'!BG805-'Tablas Servicio'!BE805),BE806/(1-IF(B806&lt;=10,Parámetros!$D$100,0))),2))</f>
        <v/>
      </c>
      <c r="BH806" s="66" t="str">
        <f t="shared" si="1059"/>
        <v/>
      </c>
      <c r="BI806" s="66" t="str">
        <f t="shared" si="1060"/>
        <v/>
      </c>
      <c r="BJ806" s="66" t="str">
        <f>+IF($W806="","",ROUND((BG806*Parámetros!$G$85),2))</f>
        <v/>
      </c>
      <c r="BK806" s="66" t="str">
        <f>+IF($W806="","",ROUND((BG806*(Parámetros!$G$86)),2))</f>
        <v/>
      </c>
      <c r="BL806" s="66" t="str">
        <f t="shared" si="1061"/>
        <v/>
      </c>
      <c r="BM806" t="str">
        <f t="shared" si="1102"/>
        <v/>
      </c>
      <c r="BN806" t="str">
        <f t="shared" si="1103"/>
        <v/>
      </c>
      <c r="BO806" s="118" t="str">
        <f t="shared" si="1104"/>
        <v/>
      </c>
      <c r="BP806" s="118" t="str">
        <f t="shared" si="1105"/>
        <v/>
      </c>
      <c r="BQ806" s="119" t="str">
        <f>+IF(OR($W806="",BO806=0),"",ROUND((VLOOKUP(ROUNDDOWN($D806-1/frec,0),cob_adi,BB$40,FALSE)*(1+i/frec)^-0.5*(1+Parámetros!$D$103)*(1+rec_fracc)/frec),6))</f>
        <v/>
      </c>
      <c r="BR806" s="66" t="str">
        <f t="shared" si="1062"/>
        <v/>
      </c>
      <c r="BS806" s="119" t="str">
        <f t="shared" si="1063"/>
        <v/>
      </c>
      <c r="BT806" s="66" t="str">
        <f>+IF($W806="","",ROUND(IF($B806&gt;Parámetros!$D$107,'Tablas Servicio'!BR806+('Tablas Servicio'!BT805-'Tablas Servicio'!BR805),BR806/(1-IF(B806&lt;=10,Parámetros!$D$100,0))),2))</f>
        <v/>
      </c>
      <c r="BU806" s="66" t="str">
        <f t="shared" si="1124"/>
        <v/>
      </c>
      <c r="BV806" s="66" t="str">
        <f t="shared" si="1124"/>
        <v/>
      </c>
      <c r="BW806" s="66" t="str">
        <f>+IF($W806="","",ROUND((BT806*Parámetros!$G$85),2))</f>
        <v/>
      </c>
      <c r="BX806" s="66" t="str">
        <f>+IF($W806="","",ROUND((BT806*(Parámetros!$G$86)),2))</f>
        <v/>
      </c>
      <c r="BY806" s="66" t="str">
        <f t="shared" si="1065"/>
        <v/>
      </c>
      <c r="BZ806" t="str">
        <f t="shared" si="1106"/>
        <v/>
      </c>
      <c r="CA806" t="str">
        <f t="shared" si="1107"/>
        <v/>
      </c>
      <c r="CB806" s="118" t="str">
        <f t="shared" si="1108"/>
        <v/>
      </c>
      <c r="CC806" s="118" t="str">
        <f t="shared" si="1109"/>
        <v/>
      </c>
      <c r="CD806" s="119" t="str">
        <f t="shared" si="1066"/>
        <v/>
      </c>
      <c r="CE806" s="66" t="str">
        <f>+IF($W806="","",ROUND((VLOOKUP(ROUNDDOWN($D806-1/frec,0),cob_adi,BO$40,FALSE)*(1+i/frec)^-0.5*(1+Parámetros!$D$103)*(1+rec_fracc)/frec*'TABLAS ADI'!$BC$17),2))</f>
        <v/>
      </c>
      <c r="CF806" s="119" t="str">
        <f t="shared" si="1067"/>
        <v/>
      </c>
      <c r="CG806" s="66" t="str">
        <f>+IF($W806="","",ROUND(IF($B806&gt;Parámetros!$D$107,'Tablas Servicio'!CE806+('Tablas Servicio'!CG805-'Tablas Servicio'!CE805),CE806/(1-IF(B806&lt;=10,Parámetros!$D$100,0))),2))</f>
        <v/>
      </c>
      <c r="CH806" s="66" t="str">
        <f t="shared" si="1125"/>
        <v/>
      </c>
      <c r="CI806" s="66" t="str">
        <f t="shared" si="1125"/>
        <v/>
      </c>
      <c r="CJ806" s="66" t="str">
        <f>+IF($W806="","",ROUND((CG806*Parámetros!$G$85),2))</f>
        <v/>
      </c>
      <c r="CK806" s="66" t="str">
        <f>+IF($W806="","",ROUND((CG806*(Parámetros!$G$86)),2))</f>
        <v/>
      </c>
      <c r="CL806" s="66" t="str">
        <f t="shared" si="1069"/>
        <v/>
      </c>
      <c r="CM806" t="str">
        <f t="shared" si="1110"/>
        <v/>
      </c>
      <c r="CN806" s="118" t="str">
        <f t="shared" si="1111"/>
        <v/>
      </c>
      <c r="CO806" s="118" t="str">
        <f t="shared" si="1112"/>
        <v/>
      </c>
      <c r="CP806" s="118" t="str">
        <f t="shared" si="1113"/>
        <v/>
      </c>
      <c r="CQ806" s="119" t="str">
        <f t="shared" si="1070"/>
        <v/>
      </c>
      <c r="CR806" s="66" t="str">
        <f>+IF($W806="","",ROUND((VLOOKUP(Parámetros!$F$51,'COBERTURAS ADICIONALES'!$S$4:$T$32,2,FALSE)*(1+i/frec)^-0.5*(1+Parámetros!$D$103)*(1+rec_fracc)/frec*$CO$42),2))</f>
        <v/>
      </c>
      <c r="CS806" s="119" t="str">
        <f t="shared" si="1071"/>
        <v/>
      </c>
      <c r="CT806" s="66" t="str">
        <f>+IF($W806="","",ROUND(IF($B806&gt;Parámetros!$D$107,'Tablas Servicio'!CR806+('Tablas Servicio'!CT805-'Tablas Servicio'!CR805),CR806/(1-IF(B806&lt;=10,Parámetros!$D$100,0))),2))</f>
        <v/>
      </c>
      <c r="CU806" s="66" t="str">
        <f t="shared" si="1126"/>
        <v/>
      </c>
      <c r="CV806" s="66" t="str">
        <f t="shared" si="1126"/>
        <v/>
      </c>
      <c r="CW806" s="66" t="str">
        <f>+IF($W806="","",ROUND((CT806*Parámetros!$G$85),2))</f>
        <v/>
      </c>
      <c r="CX806" s="66" t="str">
        <f>+IF($W806="","",ROUND((CT806*(Parámetros!$G$86)),2))</f>
        <v/>
      </c>
      <c r="CY806" s="66" t="str">
        <f t="shared" si="1073"/>
        <v/>
      </c>
      <c r="CZ806" t="str">
        <f t="shared" si="1114"/>
        <v/>
      </c>
      <c r="DA806" s="118" t="str">
        <f t="shared" si="1115"/>
        <v/>
      </c>
      <c r="DB806" s="118" t="str">
        <f t="shared" si="1116"/>
        <v/>
      </c>
      <c r="DC806" s="118" t="str">
        <f t="shared" si="1117"/>
        <v/>
      </c>
      <c r="DD806" s="121" t="str">
        <f>+IF(OR($W806="",DB806=0),"",ROUND((VLOOKUP(ROUNDDOWN($D806-1/frec,0),cob_adi,CO$40,FALSE)*(1+i/frec)^-0.5*(1+Parámetros!$D$103)*(1+rec_fracc)/frec),6))</f>
        <v/>
      </c>
      <c r="DE806" s="66" t="str">
        <f t="shared" si="1074"/>
        <v/>
      </c>
      <c r="DF806" s="119" t="str">
        <f t="shared" si="1075"/>
        <v/>
      </c>
      <c r="DG806" s="66" t="str">
        <f>+IF($W806="","",ROUND(IF($B806&gt;Parámetros!$D$107,'Tablas Servicio'!DE806+('Tablas Servicio'!DG805-'Tablas Servicio'!DE805),DE806/(1-IF(B806&lt;=10,Parámetros!$D$100,0))),2))</f>
        <v/>
      </c>
      <c r="DH806" s="66" t="str">
        <f t="shared" si="1127"/>
        <v/>
      </c>
      <c r="DI806" s="66" t="str">
        <f t="shared" si="1127"/>
        <v/>
      </c>
      <c r="DJ806" s="66" t="str">
        <f>+IF($W806="","",ROUND((DG806*Parámetros!$G$85),2))</f>
        <v/>
      </c>
      <c r="DK806" s="66" t="str">
        <f>+IF($W806="","",ROUND((DG806*(Parámetros!$G$86)),2))</f>
        <v/>
      </c>
      <c r="DL806" s="66" t="str">
        <f t="shared" si="1077"/>
        <v/>
      </c>
      <c r="DM806" t="str">
        <f t="shared" si="1118"/>
        <v/>
      </c>
      <c r="DN806" s="118" t="str">
        <f t="shared" si="1119"/>
        <v/>
      </c>
      <c r="DO806" s="118" t="str">
        <f t="shared" si="1120"/>
        <v/>
      </c>
      <c r="DP806" s="118" t="str">
        <f t="shared" si="1121"/>
        <v/>
      </c>
      <c r="DQ806" s="122" t="str">
        <f>+IF(OR($W806="",DO806=0),"",ROUND((VLOOKUP(ROUNDDOWN($D806-1/frec,0),cob_adi,DB$40,FALSE)*(1+i/frec)^-0.5*(1+Parámetros!$D$103)*(1+rec_fracc)/frec),6))</f>
        <v/>
      </c>
      <c r="DR806" s="66" t="str">
        <f t="shared" si="1078"/>
        <v/>
      </c>
      <c r="DS806" s="68" t="str">
        <f t="shared" si="1079"/>
        <v/>
      </c>
      <c r="DT806" s="66" t="str">
        <f>+IF($W806="","",ROUND(IF($B806&gt;Parámetros!$D$107,'Tablas Servicio'!DR806+('Tablas Servicio'!DT805-'Tablas Servicio'!DR805),DR806/(1-IF(B806&lt;=10,Parámetros!$D$100,0))),2))</f>
        <v/>
      </c>
      <c r="DU806" s="66" t="str">
        <f t="shared" si="1128"/>
        <v/>
      </c>
      <c r="DV806" s="66" t="str">
        <f t="shared" si="1128"/>
        <v/>
      </c>
      <c r="DW806" s="66" t="str">
        <f>+IF($W806="","",ROUND((DT806*Parámetros!$G$85),2))</f>
        <v/>
      </c>
      <c r="DX806" s="66" t="str">
        <f>+IF($W806="","",ROUND((DT806*(Parámetros!$G$86)),2))</f>
        <v/>
      </c>
      <c r="DY806" s="66" t="str">
        <f t="shared" si="1081"/>
        <v/>
      </c>
      <c r="DZ806" t="str">
        <f t="shared" si="1131"/>
        <v/>
      </c>
      <c r="EA806" s="118" t="str">
        <f t="shared" si="1131"/>
        <v/>
      </c>
      <c r="EB806" s="118" t="str">
        <f>+IF($W806="","",ROUND(IF(Parámetros!$D$25='TABLAS MORT'!$V$33,EB805,Z806/2),0))</f>
        <v/>
      </c>
      <c r="EC806" s="118" t="str">
        <f t="shared" si="1131"/>
        <v/>
      </c>
      <c r="ED806" s="122" t="str">
        <f>+IF(OR($W806="",EB806=0),"",ROUND((VLOOKUP(ROUNDDOWN($D806-1/frec,0),cob_adi,DO$40,FALSE)*(1+i/frec)^-0.5*(1+Parámetros!$D$103)*(1+rec_fracc)/frec),6))</f>
        <v/>
      </c>
      <c r="EE806" s="66" t="str">
        <f t="shared" si="1083"/>
        <v/>
      </c>
      <c r="EF806" s="68" t="str">
        <f t="shared" si="1084"/>
        <v/>
      </c>
      <c r="EG806" s="66" t="str">
        <f>+IF($W806="","",ROUND(IF($B806&gt;Parámetros!$D$107,'Tablas Servicio'!EE806+('Tablas Servicio'!EG805-'Tablas Servicio'!EE805),EE806/(1-IF(B806&lt;=10,Parámetros!$D$100,0))),2))</f>
        <v/>
      </c>
      <c r="EH806" s="66" t="str">
        <f t="shared" si="1130"/>
        <v/>
      </c>
      <c r="EI806" s="66" t="str">
        <f t="shared" si="1130"/>
        <v/>
      </c>
      <c r="EJ806" s="66" t="str">
        <f>+IF($W806="","",ROUND((EG806*Parámetros!$G$85),2))</f>
        <v/>
      </c>
      <c r="EK806" s="66" t="str">
        <f>+IF($W806="","",ROUND((EG806*(Parámetros!$G$86)),2))</f>
        <v/>
      </c>
      <c r="EL806" s="66" t="str">
        <f t="shared" si="1086"/>
        <v/>
      </c>
    </row>
    <row r="807" spans="1:142" x14ac:dyDescent="0.25">
      <c r="A807" t="str">
        <f>+IF($C807="","",ROUND(VLOOKUP('Tablas Servicio'!B807,Parámetros!$H$100:$J$159,IF(Parámetros!$E$16="F",2,3),FALSE),2))</f>
        <v/>
      </c>
      <c r="B807" t="str">
        <f t="shared" si="1037"/>
        <v/>
      </c>
      <c r="C807" s="57" t="str">
        <f>+IF(D807="","",'Tablas Servicio'!C806+1)</f>
        <v/>
      </c>
      <c r="D807" s="56" t="str">
        <f>+IF(D806&lt;edadmaxtabla,D806+1/Parámetros!$E$25,"")</f>
        <v/>
      </c>
      <c r="E807" s="57" t="str">
        <f t="shared" si="1047"/>
        <v/>
      </c>
      <c r="F807" s="59" t="str">
        <f t="shared" si="1048"/>
        <v/>
      </c>
      <c r="G807" s="66" t="str">
        <f t="shared" si="1038"/>
        <v/>
      </c>
      <c r="H807" s="66" t="str">
        <f t="shared" si="1039"/>
        <v/>
      </c>
      <c r="I807" s="66" t="str">
        <f t="shared" si="1087"/>
        <v/>
      </c>
      <c r="J807" s="66" t="str">
        <f t="shared" si="1040"/>
        <v/>
      </c>
      <c r="K807" s="66" t="str">
        <f t="shared" si="1041"/>
        <v/>
      </c>
      <c r="L807" s="66" t="str">
        <f t="shared" si="1042"/>
        <v/>
      </c>
      <c r="M807" s="66" t="str">
        <f t="shared" si="1043"/>
        <v/>
      </c>
      <c r="N807" s="66" t="str">
        <f>+IF(C807="","",ROUND(Parámetros!$D$23,2))</f>
        <v/>
      </c>
      <c r="O807" s="66" t="str">
        <f t="shared" si="1044"/>
        <v/>
      </c>
      <c r="P807" s="66" t="str">
        <f>+IF($C807="","",ROUND(IF(B807&gt;Parámetros!$D$117,0,N807*Parámetros!$D$116-G807*Parámetros!$D$100),2))</f>
        <v/>
      </c>
      <c r="Q807" s="75" t="str">
        <f t="shared" si="1088"/>
        <v/>
      </c>
      <c r="R807" s="75" t="str">
        <f t="shared" si="1089"/>
        <v/>
      </c>
      <c r="S807" s="117" t="str">
        <f>+IF($C807="","",ROUND((S806+I807)*(1+Parámetros!$D$91),2))</f>
        <v/>
      </c>
      <c r="T807" s="117" t="str">
        <f>+IF($C807="","",ROUND(S807*VLOOKUP(B807,Parámetros!$C$30:$D$39,2,TRUE),2))</f>
        <v/>
      </c>
      <c r="U807" s="117" t="str">
        <f>+IF($C807="","",ROUND((U806+I807)*(1+Parámetros!$D$92),2))</f>
        <v/>
      </c>
      <c r="V807" s="117" t="str">
        <f>+IF($C807="","",ROUND(U807*VLOOKUP(B807,Parámetros!$C$30:$D$39,2,TRUE),2))</f>
        <v/>
      </c>
      <c r="W807" s="57" t="str">
        <f t="shared" si="1090"/>
        <v/>
      </c>
      <c r="X807" t="str">
        <f t="shared" si="1091"/>
        <v/>
      </c>
      <c r="Y807" t="str">
        <f t="shared" si="1092"/>
        <v/>
      </c>
      <c r="Z807" s="118" t="str">
        <f>+IF($W807="","",ROUND(IF(Parámetros!$D$25='TABLAS MORT'!$V$33,Z806,Parámetros!$D$21-'Tablas Servicio'!T806),0))</f>
        <v/>
      </c>
      <c r="AA807" s="118" t="str">
        <f t="shared" si="1093"/>
        <v/>
      </c>
      <c r="AB807" s="119" t="str">
        <f>+IF(W807="","",ROUND((VLOOKUP(ROUNDDOWN($D807-1/frec,0),qx_tabla,2,FALSE)*(1+i/frec)^-0.5*(1+Parámetros!$D$103)*(1+rec_fracc)/frec),6))</f>
        <v/>
      </c>
      <c r="AC807" s="66" t="str">
        <f t="shared" si="1049"/>
        <v/>
      </c>
      <c r="AD807" s="119" t="str">
        <f t="shared" si="1045"/>
        <v/>
      </c>
      <c r="AE807" s="66" t="str">
        <f>+IF($W807="","",ROUND(IF($B807&gt;Parámetros!$D$107,'Tablas Servicio'!AC807+('Tablas Servicio'!AG806-'Tablas Servicio'!AC806),AC807/(1-IF(B807&lt;=10,Parámetros!$D$104,Parámetros!$D$105))),2))</f>
        <v/>
      </c>
      <c r="AF807" s="66" t="str">
        <f>+IF($W807="","",ROUND(IF($B807&gt;Parámetros!$D$107,'Tablas Servicio'!AC807+('Tablas Servicio'!AG806-'Tablas Servicio'!AC806),(AC807+$A806/frec)/(1-IF(B807&lt;=Parámetros!$D$117,Parámetros!$D$100,0))),2))</f>
        <v/>
      </c>
      <c r="AG807" s="66" t="str">
        <f t="shared" si="1050"/>
        <v/>
      </c>
      <c r="AH807" s="66" t="str">
        <f t="shared" si="1051"/>
        <v/>
      </c>
      <c r="AI807" s="66" t="str">
        <f t="shared" si="1052"/>
        <v/>
      </c>
      <c r="AJ807" s="66" t="str">
        <f>+IF($W807="","",ROUND((AG807*Parámetros!$G$85),2))</f>
        <v/>
      </c>
      <c r="AK807" s="66" t="str">
        <f>+IF($W807="","",ROUND((AG807*(Parámetros!$G$86)),2))</f>
        <v/>
      </c>
      <c r="AL807" s="66" t="str">
        <f t="shared" si="1046"/>
        <v/>
      </c>
      <c r="AM807" t="str">
        <f t="shared" si="1094"/>
        <v/>
      </c>
      <c r="AN807" t="str">
        <f t="shared" si="1095"/>
        <v/>
      </c>
      <c r="AO807" s="118" t="str">
        <f t="shared" si="1096"/>
        <v/>
      </c>
      <c r="AP807" s="118" t="str">
        <f t="shared" si="1097"/>
        <v/>
      </c>
      <c r="AQ807" s="119" t="str">
        <f>+IF(OR($W807="",AO807=0),"",ROUND((VLOOKUP(ROUNDDOWN($D807-1/frec,0),cob_adi,Z$40,FALSE)*(1+i/frec)^-0.5*(1+Parámetros!$D$103)*(1+rec_fracc)/frec),6))</f>
        <v/>
      </c>
      <c r="AR807" s="66" t="str">
        <f t="shared" si="1053"/>
        <v/>
      </c>
      <c r="AS807" s="119" t="str">
        <f t="shared" si="1054"/>
        <v/>
      </c>
      <c r="AT807" s="66" t="str">
        <f>+IF($W807="","",ROUND(IF($B807&gt;Parámetros!$D$107,'Tablas Servicio'!AR807+('Tablas Servicio'!AT806-'Tablas Servicio'!AR806),AR807/(1-IF(B807&lt;=10,Parámetros!$D$100,0))),2))</f>
        <v/>
      </c>
      <c r="AU807" s="66" t="str">
        <f t="shared" si="1123"/>
        <v/>
      </c>
      <c r="AV807" s="66" t="str">
        <f t="shared" si="1123"/>
        <v/>
      </c>
      <c r="AW807" s="66" t="str">
        <f>+IF($W807="","",ROUND((AT807*Parámetros!$G$85),2))</f>
        <v/>
      </c>
      <c r="AX807" s="66" t="str">
        <f>+IF($W807="","",ROUND((AT807*(Parámetros!$G$86)),2))</f>
        <v/>
      </c>
      <c r="AY807" s="66" t="str">
        <f t="shared" si="1056"/>
        <v/>
      </c>
      <c r="AZ807" t="str">
        <f t="shared" si="1098"/>
        <v/>
      </c>
      <c r="BA807" t="str">
        <f t="shared" si="1099"/>
        <v/>
      </c>
      <c r="BB807" s="118" t="str">
        <f t="shared" si="1100"/>
        <v/>
      </c>
      <c r="BC807" s="118" t="str">
        <f t="shared" si="1101"/>
        <v/>
      </c>
      <c r="BD807" s="119" t="str">
        <f>+IF(OR($W807="",BB807=0),"",ROUND((VLOOKUP(ROUNDDOWN($D807-1/frec,0),cob_adi,AO$40,FALSE)*(1+i/frec)^-0.5*(1+Parámetros!$D$103)*(1+rec_fracc)/frec),6))</f>
        <v/>
      </c>
      <c r="BE807" s="66" t="str">
        <f t="shared" si="1057"/>
        <v/>
      </c>
      <c r="BF807" s="119" t="str">
        <f t="shared" si="1058"/>
        <v/>
      </c>
      <c r="BG807" s="66" t="str">
        <f>+IF($W807="","",ROUND(IF($B807&gt;Parámetros!$D$107,'Tablas Servicio'!BE807+('Tablas Servicio'!BG806-'Tablas Servicio'!BE806),BE807/(1-IF(B807&lt;=10,Parámetros!$D$100,0))),2))</f>
        <v/>
      </c>
      <c r="BH807" s="66" t="str">
        <f t="shared" si="1059"/>
        <v/>
      </c>
      <c r="BI807" s="66" t="str">
        <f t="shared" si="1060"/>
        <v/>
      </c>
      <c r="BJ807" s="66" t="str">
        <f>+IF($W807="","",ROUND((BG807*Parámetros!$G$85),2))</f>
        <v/>
      </c>
      <c r="BK807" s="66" t="str">
        <f>+IF($W807="","",ROUND((BG807*(Parámetros!$G$86)),2))</f>
        <v/>
      </c>
      <c r="BL807" s="66" t="str">
        <f t="shared" si="1061"/>
        <v/>
      </c>
      <c r="BM807" t="str">
        <f t="shared" si="1102"/>
        <v/>
      </c>
      <c r="BN807" t="str">
        <f t="shared" si="1103"/>
        <v/>
      </c>
      <c r="BO807" s="118" t="str">
        <f t="shared" si="1104"/>
        <v/>
      </c>
      <c r="BP807" s="118" t="str">
        <f t="shared" si="1105"/>
        <v/>
      </c>
      <c r="BQ807" s="119" t="str">
        <f>+IF(OR($W807="",BO807=0),"",ROUND((VLOOKUP(ROUNDDOWN($D807-1/frec,0),cob_adi,BB$40,FALSE)*(1+i/frec)^-0.5*(1+Parámetros!$D$103)*(1+rec_fracc)/frec),6))</f>
        <v/>
      </c>
      <c r="BR807" s="66" t="str">
        <f t="shared" si="1062"/>
        <v/>
      </c>
      <c r="BS807" s="119" t="str">
        <f t="shared" si="1063"/>
        <v/>
      </c>
      <c r="BT807" s="66" t="str">
        <f>+IF($W807="","",ROUND(IF($B807&gt;Parámetros!$D$107,'Tablas Servicio'!BR807+('Tablas Servicio'!BT806-'Tablas Servicio'!BR806),BR807/(1-IF(B807&lt;=10,Parámetros!$D$100,0))),2))</f>
        <v/>
      </c>
      <c r="BU807" s="66" t="str">
        <f t="shared" si="1124"/>
        <v/>
      </c>
      <c r="BV807" s="66" t="str">
        <f t="shared" si="1124"/>
        <v/>
      </c>
      <c r="BW807" s="66" t="str">
        <f>+IF($W807="","",ROUND((BT807*Parámetros!$G$85),2))</f>
        <v/>
      </c>
      <c r="BX807" s="66" t="str">
        <f>+IF($W807="","",ROUND((BT807*(Parámetros!$G$86)),2))</f>
        <v/>
      </c>
      <c r="BY807" s="66" t="str">
        <f t="shared" si="1065"/>
        <v/>
      </c>
      <c r="BZ807" t="str">
        <f t="shared" si="1106"/>
        <v/>
      </c>
      <c r="CA807" t="str">
        <f t="shared" si="1107"/>
        <v/>
      </c>
      <c r="CB807" s="118" t="str">
        <f t="shared" si="1108"/>
        <v/>
      </c>
      <c r="CC807" s="118" t="str">
        <f t="shared" si="1109"/>
        <v/>
      </c>
      <c r="CD807" s="119" t="str">
        <f t="shared" si="1066"/>
        <v/>
      </c>
      <c r="CE807" s="66" t="str">
        <f>+IF($W807="","",ROUND((VLOOKUP(ROUNDDOWN($D807-1/frec,0),cob_adi,BO$40,FALSE)*(1+i/frec)^-0.5*(1+Parámetros!$D$103)*(1+rec_fracc)/frec*'TABLAS ADI'!$BC$17),2))</f>
        <v/>
      </c>
      <c r="CF807" s="119" t="str">
        <f t="shared" si="1067"/>
        <v/>
      </c>
      <c r="CG807" s="66" t="str">
        <f>+IF($W807="","",ROUND(IF($B807&gt;Parámetros!$D$107,'Tablas Servicio'!CE807+('Tablas Servicio'!CG806-'Tablas Servicio'!CE806),CE807/(1-IF(B807&lt;=10,Parámetros!$D$100,0))),2))</f>
        <v/>
      </c>
      <c r="CH807" s="66" t="str">
        <f t="shared" si="1125"/>
        <v/>
      </c>
      <c r="CI807" s="66" t="str">
        <f t="shared" si="1125"/>
        <v/>
      </c>
      <c r="CJ807" s="66" t="str">
        <f>+IF($W807="","",ROUND((CG807*Parámetros!$G$85),2))</f>
        <v/>
      </c>
      <c r="CK807" s="66" t="str">
        <f>+IF($W807="","",ROUND((CG807*(Parámetros!$G$86)),2))</f>
        <v/>
      </c>
      <c r="CL807" s="66" t="str">
        <f t="shared" si="1069"/>
        <v/>
      </c>
      <c r="CM807" t="str">
        <f t="shared" si="1110"/>
        <v/>
      </c>
      <c r="CN807" s="118" t="str">
        <f t="shared" si="1111"/>
        <v/>
      </c>
      <c r="CO807" s="118" t="str">
        <f t="shared" si="1112"/>
        <v/>
      </c>
      <c r="CP807" s="118" t="str">
        <f t="shared" si="1113"/>
        <v/>
      </c>
      <c r="CQ807" s="119" t="str">
        <f t="shared" si="1070"/>
        <v/>
      </c>
      <c r="CR807" s="66" t="str">
        <f>+IF($W807="","",ROUND((VLOOKUP(Parámetros!$F$51,'COBERTURAS ADICIONALES'!$S$4:$T$32,2,FALSE)*(1+i/frec)^-0.5*(1+Parámetros!$D$103)*(1+rec_fracc)/frec*$CO$42),2))</f>
        <v/>
      </c>
      <c r="CS807" s="119" t="str">
        <f t="shared" si="1071"/>
        <v/>
      </c>
      <c r="CT807" s="66" t="str">
        <f>+IF($W807="","",ROUND(IF($B807&gt;Parámetros!$D$107,'Tablas Servicio'!CR807+('Tablas Servicio'!CT806-'Tablas Servicio'!CR806),CR807/(1-IF(B807&lt;=10,Parámetros!$D$100,0))),2))</f>
        <v/>
      </c>
      <c r="CU807" s="66" t="str">
        <f t="shared" si="1126"/>
        <v/>
      </c>
      <c r="CV807" s="66" t="str">
        <f t="shared" si="1126"/>
        <v/>
      </c>
      <c r="CW807" s="66" t="str">
        <f>+IF($W807="","",ROUND((CT807*Parámetros!$G$85),2))</f>
        <v/>
      </c>
      <c r="CX807" s="66" t="str">
        <f>+IF($W807="","",ROUND((CT807*(Parámetros!$G$86)),2))</f>
        <v/>
      </c>
      <c r="CY807" s="66" t="str">
        <f t="shared" si="1073"/>
        <v/>
      </c>
      <c r="CZ807" t="str">
        <f t="shared" si="1114"/>
        <v/>
      </c>
      <c r="DA807" s="118" t="str">
        <f t="shared" si="1115"/>
        <v/>
      </c>
      <c r="DB807" s="118" t="str">
        <f t="shared" si="1116"/>
        <v/>
      </c>
      <c r="DC807" s="118" t="str">
        <f t="shared" si="1117"/>
        <v/>
      </c>
      <c r="DD807" s="121" t="str">
        <f>+IF(OR($W807="",DB807=0),"",ROUND((VLOOKUP(ROUNDDOWN($D807-1/frec,0),cob_adi,CO$40,FALSE)*(1+i/frec)^-0.5*(1+Parámetros!$D$103)*(1+rec_fracc)/frec),6))</f>
        <v/>
      </c>
      <c r="DE807" s="66" t="str">
        <f t="shared" si="1074"/>
        <v/>
      </c>
      <c r="DF807" s="119" t="str">
        <f t="shared" si="1075"/>
        <v/>
      </c>
      <c r="DG807" s="66" t="str">
        <f>+IF($W807="","",ROUND(IF($B807&gt;Parámetros!$D$107,'Tablas Servicio'!DE807+('Tablas Servicio'!DG806-'Tablas Servicio'!DE806),DE807/(1-IF(B807&lt;=10,Parámetros!$D$100,0))),2))</f>
        <v/>
      </c>
      <c r="DH807" s="66" t="str">
        <f t="shared" si="1127"/>
        <v/>
      </c>
      <c r="DI807" s="66" t="str">
        <f t="shared" si="1127"/>
        <v/>
      </c>
      <c r="DJ807" s="66" t="str">
        <f>+IF($W807="","",ROUND((DG807*Parámetros!$G$85),2))</f>
        <v/>
      </c>
      <c r="DK807" s="66" t="str">
        <f>+IF($W807="","",ROUND((DG807*(Parámetros!$G$86)),2))</f>
        <v/>
      </c>
      <c r="DL807" s="66" t="str">
        <f t="shared" si="1077"/>
        <v/>
      </c>
      <c r="DM807" t="str">
        <f t="shared" si="1118"/>
        <v/>
      </c>
      <c r="DN807" s="118" t="str">
        <f t="shared" si="1119"/>
        <v/>
      </c>
      <c r="DO807" s="118" t="str">
        <f t="shared" si="1120"/>
        <v/>
      </c>
      <c r="DP807" s="118" t="str">
        <f t="shared" si="1121"/>
        <v/>
      </c>
      <c r="DQ807" s="122" t="str">
        <f>+IF(OR($W807="",DO807=0),"",ROUND((VLOOKUP(ROUNDDOWN($D807-1/frec,0),cob_adi,DB$40,FALSE)*(1+i/frec)^-0.5*(1+Parámetros!$D$103)*(1+rec_fracc)/frec),6))</f>
        <v/>
      </c>
      <c r="DR807" s="66" t="str">
        <f t="shared" si="1078"/>
        <v/>
      </c>
      <c r="DS807" s="68" t="str">
        <f t="shared" si="1079"/>
        <v/>
      </c>
      <c r="DT807" s="66" t="str">
        <f>+IF($W807="","",ROUND(IF($B807&gt;Parámetros!$D$107,'Tablas Servicio'!DR807+('Tablas Servicio'!DT806-'Tablas Servicio'!DR806),DR807/(1-IF(B807&lt;=10,Parámetros!$D$100,0))),2))</f>
        <v/>
      </c>
      <c r="DU807" s="66" t="str">
        <f t="shared" si="1128"/>
        <v/>
      </c>
      <c r="DV807" s="66" t="str">
        <f t="shared" si="1128"/>
        <v/>
      </c>
      <c r="DW807" s="66" t="str">
        <f>+IF($W807="","",ROUND((DT807*Parámetros!$G$85),2))</f>
        <v/>
      </c>
      <c r="DX807" s="66" t="str">
        <f>+IF($W807="","",ROUND((DT807*(Parámetros!$G$86)),2))</f>
        <v/>
      </c>
      <c r="DY807" s="66" t="str">
        <f t="shared" si="1081"/>
        <v/>
      </c>
      <c r="DZ807" t="str">
        <f t="shared" si="1131"/>
        <v/>
      </c>
      <c r="EA807" s="118" t="str">
        <f t="shared" si="1131"/>
        <v/>
      </c>
      <c r="EB807" s="118" t="str">
        <f>+IF($W807="","",ROUND(IF(Parámetros!$D$25='TABLAS MORT'!$V$33,EB806,Z807/2),0))</f>
        <v/>
      </c>
      <c r="EC807" s="118" t="str">
        <f t="shared" si="1131"/>
        <v/>
      </c>
      <c r="ED807" s="122" t="str">
        <f>+IF(OR($W807="",EB807=0),"",ROUND((VLOOKUP(ROUNDDOWN($D807-1/frec,0),cob_adi,DO$40,FALSE)*(1+i/frec)^-0.5*(1+Parámetros!$D$103)*(1+rec_fracc)/frec),6))</f>
        <v/>
      </c>
      <c r="EE807" s="66" t="str">
        <f t="shared" si="1083"/>
        <v/>
      </c>
      <c r="EF807" s="68" t="str">
        <f t="shared" si="1084"/>
        <v/>
      </c>
      <c r="EG807" s="66" t="str">
        <f>+IF($W807="","",ROUND(IF($B807&gt;Parámetros!$D$107,'Tablas Servicio'!EE807+('Tablas Servicio'!EG806-'Tablas Servicio'!EE806),EE807/(1-IF(B807&lt;=10,Parámetros!$D$100,0))),2))</f>
        <v/>
      </c>
      <c r="EH807" s="66" t="str">
        <f t="shared" si="1130"/>
        <v/>
      </c>
      <c r="EI807" s="66" t="str">
        <f t="shared" si="1130"/>
        <v/>
      </c>
      <c r="EJ807" s="66" t="str">
        <f>+IF($W807="","",ROUND((EG807*Parámetros!$G$85),2))</f>
        <v/>
      </c>
      <c r="EK807" s="66" t="str">
        <f>+IF($W807="","",ROUND((EG807*(Parámetros!$G$86)),2))</f>
        <v/>
      </c>
      <c r="EL807" s="66" t="str">
        <f t="shared" si="1086"/>
        <v/>
      </c>
    </row>
    <row r="808" spans="1:142" x14ac:dyDescent="0.25">
      <c r="A808" t="str">
        <f>+IF($C808="","",ROUND(VLOOKUP('Tablas Servicio'!B808,Parámetros!$H$100:$J$159,IF(Parámetros!$E$16="F",2,3),FALSE),2))</f>
        <v/>
      </c>
      <c r="B808" t="str">
        <f t="shared" si="1037"/>
        <v/>
      </c>
      <c r="C808" s="57" t="str">
        <f>+IF(D808="","",'Tablas Servicio'!C807+1)</f>
        <v/>
      </c>
      <c r="D808" s="56" t="str">
        <f>+IF(D807&lt;edadmaxtabla,D807+1/Parámetros!$E$25,"")</f>
        <v/>
      </c>
      <c r="E808" s="57" t="str">
        <f t="shared" si="1047"/>
        <v/>
      </c>
      <c r="F808" s="59" t="str">
        <f t="shared" si="1048"/>
        <v/>
      </c>
      <c r="G808" s="66" t="str">
        <f t="shared" si="1038"/>
        <v/>
      </c>
      <c r="H808" s="66" t="str">
        <f t="shared" si="1039"/>
        <v/>
      </c>
      <c r="I808" s="66" t="str">
        <f t="shared" si="1087"/>
        <v/>
      </c>
      <c r="J808" s="66" t="str">
        <f t="shared" si="1040"/>
        <v/>
      </c>
      <c r="K808" s="66" t="str">
        <f t="shared" si="1041"/>
        <v/>
      </c>
      <c r="L808" s="66" t="str">
        <f t="shared" si="1042"/>
        <v/>
      </c>
      <c r="M808" s="66" t="str">
        <f t="shared" si="1043"/>
        <v/>
      </c>
      <c r="N808" s="66" t="str">
        <f>+IF(C808="","",ROUND(Parámetros!$D$23,2))</f>
        <v/>
      </c>
      <c r="O808" s="66" t="str">
        <f t="shared" si="1044"/>
        <v/>
      </c>
      <c r="P808" s="66" t="str">
        <f>+IF($C808="","",ROUND(IF(B808&gt;Parámetros!$D$117,0,N808*Parámetros!$D$116-G808*Parámetros!$D$100),2))</f>
        <v/>
      </c>
      <c r="Q808" s="75" t="str">
        <f t="shared" si="1088"/>
        <v/>
      </c>
      <c r="R808" s="75" t="str">
        <f t="shared" si="1089"/>
        <v/>
      </c>
      <c r="S808" s="117" t="str">
        <f>+IF($C808="","",ROUND((S807+I808)*(1+Parámetros!$D$91),2))</f>
        <v/>
      </c>
      <c r="T808" s="117" t="str">
        <f>+IF($C808="","",ROUND(S808*VLOOKUP(B808,Parámetros!$C$30:$D$39,2,TRUE),2))</f>
        <v/>
      </c>
      <c r="U808" s="117" t="str">
        <f>+IF($C808="","",ROUND((U807+I808)*(1+Parámetros!$D$92),2))</f>
        <v/>
      </c>
      <c r="V808" s="117" t="str">
        <f>+IF($C808="","",ROUND(U808*VLOOKUP(B808,Parámetros!$C$30:$D$39,2,TRUE),2))</f>
        <v/>
      </c>
      <c r="W808" s="57" t="str">
        <f t="shared" si="1090"/>
        <v/>
      </c>
      <c r="X808" t="str">
        <f t="shared" si="1091"/>
        <v/>
      </c>
      <c r="Y808" t="str">
        <f t="shared" si="1092"/>
        <v/>
      </c>
      <c r="Z808" s="118" t="str">
        <f>+IF($W808="","",ROUND(IF(Parámetros!$D$25='TABLAS MORT'!$V$33,Z807,Parámetros!$D$21-'Tablas Servicio'!T807),0))</f>
        <v/>
      </c>
      <c r="AA808" s="118" t="str">
        <f t="shared" si="1093"/>
        <v/>
      </c>
      <c r="AB808" s="119" t="str">
        <f>+IF(W808="","",ROUND((VLOOKUP(ROUNDDOWN($D808-1/frec,0),qx_tabla,2,FALSE)*(1+i/frec)^-0.5*(1+Parámetros!$D$103)*(1+rec_fracc)/frec),6))</f>
        <v/>
      </c>
      <c r="AC808" s="66" t="str">
        <f t="shared" si="1049"/>
        <v/>
      </c>
      <c r="AD808" s="119" t="str">
        <f t="shared" si="1045"/>
        <v/>
      </c>
      <c r="AE808" s="66" t="str">
        <f>+IF($W808="","",ROUND(IF($B808&gt;Parámetros!$D$107,'Tablas Servicio'!AC808+('Tablas Servicio'!AG807-'Tablas Servicio'!AC807),AC808/(1-IF(B808&lt;=10,Parámetros!$D$104,Parámetros!$D$105))),2))</f>
        <v/>
      </c>
      <c r="AF808" s="66" t="str">
        <f>+IF($W808="","",ROUND(IF($B808&gt;Parámetros!$D$107,'Tablas Servicio'!AC808+('Tablas Servicio'!AG807-'Tablas Servicio'!AC807),(AC808+$A807/frec)/(1-IF(B808&lt;=Parámetros!$D$117,Parámetros!$D$100,0))),2))</f>
        <v/>
      </c>
      <c r="AG808" s="66" t="str">
        <f t="shared" si="1050"/>
        <v/>
      </c>
      <c r="AH808" s="66" t="str">
        <f t="shared" si="1051"/>
        <v/>
      </c>
      <c r="AI808" s="66" t="str">
        <f t="shared" si="1052"/>
        <v/>
      </c>
      <c r="AJ808" s="66" t="str">
        <f>+IF($W808="","",ROUND((AG808*Parámetros!$G$85),2))</f>
        <v/>
      </c>
      <c r="AK808" s="66" t="str">
        <f>+IF($W808="","",ROUND((AG808*(Parámetros!$G$86)),2))</f>
        <v/>
      </c>
      <c r="AL808" s="66" t="str">
        <f t="shared" si="1046"/>
        <v/>
      </c>
      <c r="AM808" t="str">
        <f t="shared" si="1094"/>
        <v/>
      </c>
      <c r="AN808" t="str">
        <f t="shared" si="1095"/>
        <v/>
      </c>
      <c r="AO808" s="118" t="str">
        <f t="shared" si="1096"/>
        <v/>
      </c>
      <c r="AP808" s="118" t="str">
        <f t="shared" si="1097"/>
        <v/>
      </c>
      <c r="AQ808" s="119" t="str">
        <f>+IF(OR($W808="",AO808=0),"",ROUND((VLOOKUP(ROUNDDOWN($D808-1/frec,0),cob_adi,Z$40,FALSE)*(1+i/frec)^-0.5*(1+Parámetros!$D$103)*(1+rec_fracc)/frec),6))</f>
        <v/>
      </c>
      <c r="AR808" s="66" t="str">
        <f t="shared" si="1053"/>
        <v/>
      </c>
      <c r="AS808" s="119" t="str">
        <f t="shared" si="1054"/>
        <v/>
      </c>
      <c r="AT808" s="66" t="str">
        <f>+IF($W808="","",ROUND(IF($B808&gt;Parámetros!$D$107,'Tablas Servicio'!AR808+('Tablas Servicio'!AT807-'Tablas Servicio'!AR807),AR808/(1-IF(B808&lt;=10,Parámetros!$D$100,0))),2))</f>
        <v/>
      </c>
      <c r="AU808" s="66" t="str">
        <f t="shared" si="1123"/>
        <v/>
      </c>
      <c r="AV808" s="66" t="str">
        <f t="shared" si="1123"/>
        <v/>
      </c>
      <c r="AW808" s="66" t="str">
        <f>+IF($W808="","",ROUND((AT808*Parámetros!$G$85),2))</f>
        <v/>
      </c>
      <c r="AX808" s="66" t="str">
        <f>+IF($W808="","",ROUND((AT808*(Parámetros!$G$86)),2))</f>
        <v/>
      </c>
      <c r="AY808" s="66" t="str">
        <f t="shared" si="1056"/>
        <v/>
      </c>
      <c r="AZ808" t="str">
        <f t="shared" si="1098"/>
        <v/>
      </c>
      <c r="BA808" t="str">
        <f t="shared" si="1099"/>
        <v/>
      </c>
      <c r="BB808" s="118" t="str">
        <f t="shared" si="1100"/>
        <v/>
      </c>
      <c r="BC808" s="118" t="str">
        <f t="shared" si="1101"/>
        <v/>
      </c>
      <c r="BD808" s="119" t="str">
        <f>+IF(OR($W808="",BB808=0),"",ROUND((VLOOKUP(ROUNDDOWN($D808-1/frec,0),cob_adi,AO$40,FALSE)*(1+i/frec)^-0.5*(1+Parámetros!$D$103)*(1+rec_fracc)/frec),6))</f>
        <v/>
      </c>
      <c r="BE808" s="66" t="str">
        <f t="shared" si="1057"/>
        <v/>
      </c>
      <c r="BF808" s="119" t="str">
        <f t="shared" si="1058"/>
        <v/>
      </c>
      <c r="BG808" s="66" t="str">
        <f>+IF($W808="","",ROUND(IF($B808&gt;Parámetros!$D$107,'Tablas Servicio'!BE808+('Tablas Servicio'!BG807-'Tablas Servicio'!BE807),BE808/(1-IF(B808&lt;=10,Parámetros!$D$100,0))),2))</f>
        <v/>
      </c>
      <c r="BH808" s="66" t="str">
        <f t="shared" si="1059"/>
        <v/>
      </c>
      <c r="BI808" s="66" t="str">
        <f t="shared" si="1060"/>
        <v/>
      </c>
      <c r="BJ808" s="66" t="str">
        <f>+IF($W808="","",ROUND((BG808*Parámetros!$G$85),2))</f>
        <v/>
      </c>
      <c r="BK808" s="66" t="str">
        <f>+IF($W808="","",ROUND((BG808*(Parámetros!$G$86)),2))</f>
        <v/>
      </c>
      <c r="BL808" s="66" t="str">
        <f t="shared" si="1061"/>
        <v/>
      </c>
      <c r="BM808" t="str">
        <f t="shared" si="1102"/>
        <v/>
      </c>
      <c r="BN808" t="str">
        <f t="shared" si="1103"/>
        <v/>
      </c>
      <c r="BO808" s="118" t="str">
        <f t="shared" si="1104"/>
        <v/>
      </c>
      <c r="BP808" s="118" t="str">
        <f t="shared" si="1105"/>
        <v/>
      </c>
      <c r="BQ808" s="119" t="str">
        <f>+IF(OR($W808="",BO808=0),"",ROUND((VLOOKUP(ROUNDDOWN($D808-1/frec,0),cob_adi,BB$40,FALSE)*(1+i/frec)^-0.5*(1+Parámetros!$D$103)*(1+rec_fracc)/frec),6))</f>
        <v/>
      </c>
      <c r="BR808" s="66" t="str">
        <f t="shared" si="1062"/>
        <v/>
      </c>
      <c r="BS808" s="119" t="str">
        <f t="shared" si="1063"/>
        <v/>
      </c>
      <c r="BT808" s="66" t="str">
        <f>+IF($W808="","",ROUND(IF($B808&gt;Parámetros!$D$107,'Tablas Servicio'!BR808+('Tablas Servicio'!BT807-'Tablas Servicio'!BR807),BR808/(1-IF(B808&lt;=10,Parámetros!$D$100,0))),2))</f>
        <v/>
      </c>
      <c r="BU808" s="66" t="str">
        <f t="shared" si="1124"/>
        <v/>
      </c>
      <c r="BV808" s="66" t="str">
        <f t="shared" si="1124"/>
        <v/>
      </c>
      <c r="BW808" s="66" t="str">
        <f>+IF($W808="","",ROUND((BT808*Parámetros!$G$85),2))</f>
        <v/>
      </c>
      <c r="BX808" s="66" t="str">
        <f>+IF($W808="","",ROUND((BT808*(Parámetros!$G$86)),2))</f>
        <v/>
      </c>
      <c r="BY808" s="66" t="str">
        <f t="shared" si="1065"/>
        <v/>
      </c>
      <c r="BZ808" t="str">
        <f t="shared" si="1106"/>
        <v/>
      </c>
      <c r="CA808" t="str">
        <f t="shared" si="1107"/>
        <v/>
      </c>
      <c r="CB808" s="118" t="str">
        <f t="shared" si="1108"/>
        <v/>
      </c>
      <c r="CC808" s="118" t="str">
        <f t="shared" si="1109"/>
        <v/>
      </c>
      <c r="CD808" s="119" t="str">
        <f t="shared" si="1066"/>
        <v/>
      </c>
      <c r="CE808" s="66" t="str">
        <f>+IF($W808="","",ROUND((VLOOKUP(ROUNDDOWN($D808-1/frec,0),cob_adi,BO$40,FALSE)*(1+i/frec)^-0.5*(1+Parámetros!$D$103)*(1+rec_fracc)/frec*'TABLAS ADI'!$BC$17),2))</f>
        <v/>
      </c>
      <c r="CF808" s="119" t="str">
        <f t="shared" si="1067"/>
        <v/>
      </c>
      <c r="CG808" s="66" t="str">
        <f>+IF($W808="","",ROUND(IF($B808&gt;Parámetros!$D$107,'Tablas Servicio'!CE808+('Tablas Servicio'!CG807-'Tablas Servicio'!CE807),CE808/(1-IF(B808&lt;=10,Parámetros!$D$100,0))),2))</f>
        <v/>
      </c>
      <c r="CH808" s="66" t="str">
        <f t="shared" si="1125"/>
        <v/>
      </c>
      <c r="CI808" s="66" t="str">
        <f t="shared" si="1125"/>
        <v/>
      </c>
      <c r="CJ808" s="66" t="str">
        <f>+IF($W808="","",ROUND((CG808*Parámetros!$G$85),2))</f>
        <v/>
      </c>
      <c r="CK808" s="66" t="str">
        <f>+IF($W808="","",ROUND((CG808*(Parámetros!$G$86)),2))</f>
        <v/>
      </c>
      <c r="CL808" s="66" t="str">
        <f t="shared" si="1069"/>
        <v/>
      </c>
      <c r="CM808" t="str">
        <f t="shared" si="1110"/>
        <v/>
      </c>
      <c r="CN808" s="118" t="str">
        <f t="shared" si="1111"/>
        <v/>
      </c>
      <c r="CO808" s="118" t="str">
        <f t="shared" si="1112"/>
        <v/>
      </c>
      <c r="CP808" s="118" t="str">
        <f t="shared" si="1113"/>
        <v/>
      </c>
      <c r="CQ808" s="119" t="str">
        <f t="shared" si="1070"/>
        <v/>
      </c>
      <c r="CR808" s="66" t="str">
        <f>+IF($W808="","",ROUND((VLOOKUP(Parámetros!$F$51,'COBERTURAS ADICIONALES'!$S$4:$T$32,2,FALSE)*(1+i/frec)^-0.5*(1+Parámetros!$D$103)*(1+rec_fracc)/frec*$CO$42),2))</f>
        <v/>
      </c>
      <c r="CS808" s="119" t="str">
        <f t="shared" si="1071"/>
        <v/>
      </c>
      <c r="CT808" s="66" t="str">
        <f>+IF($W808="","",ROUND(IF($B808&gt;Parámetros!$D$107,'Tablas Servicio'!CR808+('Tablas Servicio'!CT807-'Tablas Servicio'!CR807),CR808/(1-IF(B808&lt;=10,Parámetros!$D$100,0))),2))</f>
        <v/>
      </c>
      <c r="CU808" s="66" t="str">
        <f t="shared" si="1126"/>
        <v/>
      </c>
      <c r="CV808" s="66" t="str">
        <f t="shared" si="1126"/>
        <v/>
      </c>
      <c r="CW808" s="66" t="str">
        <f>+IF($W808="","",ROUND((CT808*Parámetros!$G$85),2))</f>
        <v/>
      </c>
      <c r="CX808" s="66" t="str">
        <f>+IF($W808="","",ROUND((CT808*(Parámetros!$G$86)),2))</f>
        <v/>
      </c>
      <c r="CY808" s="66" t="str">
        <f t="shared" si="1073"/>
        <v/>
      </c>
      <c r="CZ808" t="str">
        <f t="shared" si="1114"/>
        <v/>
      </c>
      <c r="DA808" s="118" t="str">
        <f t="shared" si="1115"/>
        <v/>
      </c>
      <c r="DB808" s="118" t="str">
        <f t="shared" si="1116"/>
        <v/>
      </c>
      <c r="DC808" s="118" t="str">
        <f t="shared" si="1117"/>
        <v/>
      </c>
      <c r="DD808" s="121" t="str">
        <f>+IF(OR($W808="",DB808=0),"",ROUND((VLOOKUP(ROUNDDOWN($D808-1/frec,0),cob_adi,CO$40,FALSE)*(1+i/frec)^-0.5*(1+Parámetros!$D$103)*(1+rec_fracc)/frec),6))</f>
        <v/>
      </c>
      <c r="DE808" s="66" t="str">
        <f t="shared" si="1074"/>
        <v/>
      </c>
      <c r="DF808" s="119" t="str">
        <f t="shared" si="1075"/>
        <v/>
      </c>
      <c r="DG808" s="66" t="str">
        <f>+IF($W808="","",ROUND(IF($B808&gt;Parámetros!$D$107,'Tablas Servicio'!DE808+('Tablas Servicio'!DG807-'Tablas Servicio'!DE807),DE808/(1-IF(B808&lt;=10,Parámetros!$D$100,0))),2))</f>
        <v/>
      </c>
      <c r="DH808" s="66" t="str">
        <f t="shared" si="1127"/>
        <v/>
      </c>
      <c r="DI808" s="66" t="str">
        <f t="shared" si="1127"/>
        <v/>
      </c>
      <c r="DJ808" s="66" t="str">
        <f>+IF($W808="","",ROUND((DG808*Parámetros!$G$85),2))</f>
        <v/>
      </c>
      <c r="DK808" s="66" t="str">
        <f>+IF($W808="","",ROUND((DG808*(Parámetros!$G$86)),2))</f>
        <v/>
      </c>
      <c r="DL808" s="66" t="str">
        <f t="shared" si="1077"/>
        <v/>
      </c>
      <c r="DM808" t="str">
        <f t="shared" si="1118"/>
        <v/>
      </c>
      <c r="DN808" s="118" t="str">
        <f t="shared" si="1119"/>
        <v/>
      </c>
      <c r="DO808" s="118" t="str">
        <f t="shared" si="1120"/>
        <v/>
      </c>
      <c r="DP808" s="118" t="str">
        <f t="shared" si="1121"/>
        <v/>
      </c>
      <c r="DQ808" s="122" t="str">
        <f>+IF(OR($W808="",DO808=0),"",ROUND((VLOOKUP(ROUNDDOWN($D808-1/frec,0),cob_adi,DB$40,FALSE)*(1+i/frec)^-0.5*(1+Parámetros!$D$103)*(1+rec_fracc)/frec),6))</f>
        <v/>
      </c>
      <c r="DR808" s="66" t="str">
        <f t="shared" si="1078"/>
        <v/>
      </c>
      <c r="DS808" s="68" t="str">
        <f t="shared" si="1079"/>
        <v/>
      </c>
      <c r="DT808" s="66" t="str">
        <f>+IF($W808="","",ROUND(IF($B808&gt;Parámetros!$D$107,'Tablas Servicio'!DR808+('Tablas Servicio'!DT807-'Tablas Servicio'!DR807),DR808/(1-IF(B808&lt;=10,Parámetros!$D$100,0))),2))</f>
        <v/>
      </c>
      <c r="DU808" s="66" t="str">
        <f t="shared" si="1128"/>
        <v/>
      </c>
      <c r="DV808" s="66" t="str">
        <f t="shared" si="1128"/>
        <v/>
      </c>
      <c r="DW808" s="66" t="str">
        <f>+IF($W808="","",ROUND((DT808*Parámetros!$G$85),2))</f>
        <v/>
      </c>
      <c r="DX808" s="66" t="str">
        <f>+IF($W808="","",ROUND((DT808*(Parámetros!$G$86)),2))</f>
        <v/>
      </c>
      <c r="DY808" s="66" t="str">
        <f t="shared" si="1081"/>
        <v/>
      </c>
      <c r="DZ808" t="str">
        <f t="shared" si="1131"/>
        <v/>
      </c>
      <c r="EA808" s="118" t="str">
        <f t="shared" si="1131"/>
        <v/>
      </c>
      <c r="EB808" s="118" t="str">
        <f>+IF($W808="","",ROUND(IF(Parámetros!$D$25='TABLAS MORT'!$V$33,EB807,Z808/2),0))</f>
        <v/>
      </c>
      <c r="EC808" s="118" t="str">
        <f t="shared" si="1131"/>
        <v/>
      </c>
      <c r="ED808" s="122" t="str">
        <f>+IF(OR($W808="",EB808=0),"",ROUND((VLOOKUP(ROUNDDOWN($D808-1/frec,0),cob_adi,DO$40,FALSE)*(1+i/frec)^-0.5*(1+Parámetros!$D$103)*(1+rec_fracc)/frec),6))</f>
        <v/>
      </c>
      <c r="EE808" s="66" t="str">
        <f t="shared" si="1083"/>
        <v/>
      </c>
      <c r="EF808" s="68" t="str">
        <f t="shared" si="1084"/>
        <v/>
      </c>
      <c r="EG808" s="66" t="str">
        <f>+IF($W808="","",ROUND(IF($B808&gt;Parámetros!$D$107,'Tablas Servicio'!EE808+('Tablas Servicio'!EG807-'Tablas Servicio'!EE807),EE808/(1-IF(B808&lt;=10,Parámetros!$D$100,0))),2))</f>
        <v/>
      </c>
      <c r="EH808" s="66" t="str">
        <f t="shared" si="1130"/>
        <v/>
      </c>
      <c r="EI808" s="66" t="str">
        <f t="shared" si="1130"/>
        <v/>
      </c>
      <c r="EJ808" s="66" t="str">
        <f>+IF($W808="","",ROUND((EG808*Parámetros!$G$85),2))</f>
        <v/>
      </c>
      <c r="EK808" s="66" t="str">
        <f>+IF($W808="","",ROUND((EG808*(Parámetros!$G$86)),2))</f>
        <v/>
      </c>
      <c r="EL808" s="66" t="str">
        <f t="shared" si="1086"/>
        <v/>
      </c>
    </row>
    <row r="809" spans="1:142" x14ac:dyDescent="0.25">
      <c r="A809" t="str">
        <f>+IF($C809="","",ROUND(VLOOKUP('Tablas Servicio'!B809,Parámetros!$H$100:$J$159,IF(Parámetros!$E$16="F",2,3),FALSE),2))</f>
        <v/>
      </c>
      <c r="B809" t="str">
        <f t="shared" si="1037"/>
        <v/>
      </c>
      <c r="C809" s="57" t="str">
        <f>+IF(D809="","",'Tablas Servicio'!C808+1)</f>
        <v/>
      </c>
      <c r="D809" s="56" t="str">
        <f>+IF(D808&lt;edadmaxtabla,D808+1/Parámetros!$E$25,"")</f>
        <v/>
      </c>
      <c r="E809" s="57" t="str">
        <f t="shared" si="1047"/>
        <v/>
      </c>
      <c r="F809" s="59" t="str">
        <f t="shared" si="1048"/>
        <v/>
      </c>
      <c r="G809" s="66" t="str">
        <f t="shared" si="1038"/>
        <v/>
      </c>
      <c r="H809" s="66" t="str">
        <f t="shared" si="1039"/>
        <v/>
      </c>
      <c r="I809" s="66" t="str">
        <f t="shared" si="1087"/>
        <v/>
      </c>
      <c r="J809" s="66" t="str">
        <f t="shared" si="1040"/>
        <v/>
      </c>
      <c r="K809" s="66" t="str">
        <f t="shared" si="1041"/>
        <v/>
      </c>
      <c r="L809" s="66" t="str">
        <f t="shared" si="1042"/>
        <v/>
      </c>
      <c r="M809" s="66" t="str">
        <f t="shared" si="1043"/>
        <v/>
      </c>
      <c r="N809" s="66" t="str">
        <f>+IF(C809="","",ROUND(Parámetros!$D$23,2))</f>
        <v/>
      </c>
      <c r="O809" s="66" t="str">
        <f t="shared" si="1044"/>
        <v/>
      </c>
      <c r="P809" s="66" t="str">
        <f>+IF($C809="","",ROUND(IF(B809&gt;Parámetros!$D$117,0,N809*Parámetros!$D$116-G809*Parámetros!$D$100),2))</f>
        <v/>
      </c>
      <c r="Q809" s="75" t="str">
        <f t="shared" si="1088"/>
        <v/>
      </c>
      <c r="R809" s="75" t="str">
        <f t="shared" si="1089"/>
        <v/>
      </c>
      <c r="S809" s="117" t="str">
        <f>+IF($C809="","",ROUND((S808+I809)*(1+Parámetros!$D$91),2))</f>
        <v/>
      </c>
      <c r="T809" s="117" t="str">
        <f>+IF($C809="","",ROUND(S809*VLOOKUP(B809,Parámetros!$C$30:$D$39,2,TRUE),2))</f>
        <v/>
      </c>
      <c r="U809" s="117" t="str">
        <f>+IF($C809="","",ROUND((U808+I809)*(1+Parámetros!$D$92),2))</f>
        <v/>
      </c>
      <c r="V809" s="117" t="str">
        <f>+IF($C809="","",ROUND(U809*VLOOKUP(B809,Parámetros!$C$30:$D$39,2,TRUE),2))</f>
        <v/>
      </c>
      <c r="W809" s="57" t="str">
        <f t="shared" si="1090"/>
        <v/>
      </c>
      <c r="X809" t="str">
        <f t="shared" si="1091"/>
        <v/>
      </c>
      <c r="Y809" t="str">
        <f t="shared" si="1092"/>
        <v/>
      </c>
      <c r="Z809" s="118" t="str">
        <f>+IF($W809="","",ROUND(IF(Parámetros!$D$25='TABLAS MORT'!$V$33,Z808,Parámetros!$D$21-'Tablas Servicio'!T808),0))</f>
        <v/>
      </c>
      <c r="AA809" s="118" t="str">
        <f t="shared" si="1093"/>
        <v/>
      </c>
      <c r="AB809" s="119" t="str">
        <f>+IF(W809="","",ROUND((VLOOKUP(ROUNDDOWN($D809-1/frec,0),qx_tabla,2,FALSE)*(1+i/frec)^-0.5*(1+Parámetros!$D$103)*(1+rec_fracc)/frec),6))</f>
        <v/>
      </c>
      <c r="AC809" s="66" t="str">
        <f t="shared" si="1049"/>
        <v/>
      </c>
      <c r="AD809" s="119" t="str">
        <f t="shared" si="1045"/>
        <v/>
      </c>
      <c r="AE809" s="66" t="str">
        <f>+IF($W809="","",ROUND(IF($B809&gt;Parámetros!$D$107,'Tablas Servicio'!AC809+('Tablas Servicio'!AG808-'Tablas Servicio'!AC808),AC809/(1-IF(B809&lt;=10,Parámetros!$D$104,Parámetros!$D$105))),2))</f>
        <v/>
      </c>
      <c r="AF809" s="66" t="str">
        <f>+IF($W809="","",ROUND(IF($B809&gt;Parámetros!$D$107,'Tablas Servicio'!AC809+('Tablas Servicio'!AG808-'Tablas Servicio'!AC808),(AC809+$A808/frec)/(1-IF(B809&lt;=Parámetros!$D$117,Parámetros!$D$100,0))),2))</f>
        <v/>
      </c>
      <c r="AG809" s="66" t="str">
        <f t="shared" si="1050"/>
        <v/>
      </c>
      <c r="AH809" s="66" t="str">
        <f t="shared" si="1051"/>
        <v/>
      </c>
      <c r="AI809" s="66" t="str">
        <f t="shared" si="1052"/>
        <v/>
      </c>
      <c r="AJ809" s="66" t="str">
        <f>+IF($W809="","",ROUND((AG809*Parámetros!$G$85),2))</f>
        <v/>
      </c>
      <c r="AK809" s="66" t="str">
        <f>+IF($W809="","",ROUND((AG809*(Parámetros!$G$86)),2))</f>
        <v/>
      </c>
      <c r="AL809" s="66" t="str">
        <f t="shared" si="1046"/>
        <v/>
      </c>
      <c r="AM809" t="str">
        <f t="shared" si="1094"/>
        <v/>
      </c>
      <c r="AN809" t="str">
        <f t="shared" si="1095"/>
        <v/>
      </c>
      <c r="AO809" s="118" t="str">
        <f t="shared" si="1096"/>
        <v/>
      </c>
      <c r="AP809" s="118" t="str">
        <f t="shared" si="1097"/>
        <v/>
      </c>
      <c r="AQ809" s="119" t="str">
        <f>+IF(OR($W809="",AO809=0),"",ROUND((VLOOKUP(ROUNDDOWN($D809-1/frec,0),cob_adi,Z$40,FALSE)*(1+i/frec)^-0.5*(1+Parámetros!$D$103)*(1+rec_fracc)/frec),6))</f>
        <v/>
      </c>
      <c r="AR809" s="66" t="str">
        <f t="shared" si="1053"/>
        <v/>
      </c>
      <c r="AS809" s="119" t="str">
        <f t="shared" si="1054"/>
        <v/>
      </c>
      <c r="AT809" s="66" t="str">
        <f>+IF($W809="","",ROUND(IF($B809&gt;Parámetros!$D$107,'Tablas Servicio'!AR809+('Tablas Servicio'!AT808-'Tablas Servicio'!AR808),AR809/(1-IF(B809&lt;=10,Parámetros!$D$100,0))),2))</f>
        <v/>
      </c>
      <c r="AU809" s="66" t="str">
        <f t="shared" si="1123"/>
        <v/>
      </c>
      <c r="AV809" s="66" t="str">
        <f t="shared" si="1123"/>
        <v/>
      </c>
      <c r="AW809" s="66" t="str">
        <f>+IF($W809="","",ROUND((AT809*Parámetros!$G$85),2))</f>
        <v/>
      </c>
      <c r="AX809" s="66" t="str">
        <f>+IF($W809="","",ROUND((AT809*(Parámetros!$G$86)),2))</f>
        <v/>
      </c>
      <c r="AY809" s="66" t="str">
        <f t="shared" si="1056"/>
        <v/>
      </c>
      <c r="AZ809" t="str">
        <f t="shared" si="1098"/>
        <v/>
      </c>
      <c r="BA809" t="str">
        <f t="shared" si="1099"/>
        <v/>
      </c>
      <c r="BB809" s="118" t="str">
        <f t="shared" si="1100"/>
        <v/>
      </c>
      <c r="BC809" s="118" t="str">
        <f t="shared" si="1101"/>
        <v/>
      </c>
      <c r="BD809" s="119" t="str">
        <f>+IF(OR($W809="",BB809=0),"",ROUND((VLOOKUP(ROUNDDOWN($D809-1/frec,0),cob_adi,AO$40,FALSE)*(1+i/frec)^-0.5*(1+Parámetros!$D$103)*(1+rec_fracc)/frec),6))</f>
        <v/>
      </c>
      <c r="BE809" s="66" t="str">
        <f t="shared" si="1057"/>
        <v/>
      </c>
      <c r="BF809" s="119" t="str">
        <f t="shared" si="1058"/>
        <v/>
      </c>
      <c r="BG809" s="66" t="str">
        <f>+IF($W809="","",ROUND(IF($B809&gt;Parámetros!$D$107,'Tablas Servicio'!BE809+('Tablas Servicio'!BG808-'Tablas Servicio'!BE808),BE809/(1-IF(B809&lt;=10,Parámetros!$D$100,0))),2))</f>
        <v/>
      </c>
      <c r="BH809" s="66" t="str">
        <f t="shared" si="1059"/>
        <v/>
      </c>
      <c r="BI809" s="66" t="str">
        <f t="shared" si="1060"/>
        <v/>
      </c>
      <c r="BJ809" s="66" t="str">
        <f>+IF($W809="","",ROUND((BG809*Parámetros!$G$85),2))</f>
        <v/>
      </c>
      <c r="BK809" s="66" t="str">
        <f>+IF($W809="","",ROUND((BG809*(Parámetros!$G$86)),2))</f>
        <v/>
      </c>
      <c r="BL809" s="66" t="str">
        <f t="shared" si="1061"/>
        <v/>
      </c>
      <c r="BM809" t="str">
        <f t="shared" si="1102"/>
        <v/>
      </c>
      <c r="BN809" t="str">
        <f t="shared" si="1103"/>
        <v/>
      </c>
      <c r="BO809" s="118" t="str">
        <f t="shared" si="1104"/>
        <v/>
      </c>
      <c r="BP809" s="118" t="str">
        <f t="shared" si="1105"/>
        <v/>
      </c>
      <c r="BQ809" s="119" t="str">
        <f>+IF(OR($W809="",BO809=0),"",ROUND((VLOOKUP(ROUNDDOWN($D809-1/frec,0),cob_adi,BB$40,FALSE)*(1+i/frec)^-0.5*(1+Parámetros!$D$103)*(1+rec_fracc)/frec),6))</f>
        <v/>
      </c>
      <c r="BR809" s="66" t="str">
        <f t="shared" si="1062"/>
        <v/>
      </c>
      <c r="BS809" s="119" t="str">
        <f t="shared" si="1063"/>
        <v/>
      </c>
      <c r="BT809" s="66" t="str">
        <f>+IF($W809="","",ROUND(IF($B809&gt;Parámetros!$D$107,'Tablas Servicio'!BR809+('Tablas Servicio'!BT808-'Tablas Servicio'!BR808),BR809/(1-IF(B809&lt;=10,Parámetros!$D$100,0))),2))</f>
        <v/>
      </c>
      <c r="BU809" s="66" t="str">
        <f t="shared" si="1124"/>
        <v/>
      </c>
      <c r="BV809" s="66" t="str">
        <f t="shared" si="1124"/>
        <v/>
      </c>
      <c r="BW809" s="66" t="str">
        <f>+IF($W809="","",ROUND((BT809*Parámetros!$G$85),2))</f>
        <v/>
      </c>
      <c r="BX809" s="66" t="str">
        <f>+IF($W809="","",ROUND((BT809*(Parámetros!$G$86)),2))</f>
        <v/>
      </c>
      <c r="BY809" s="66" t="str">
        <f t="shared" si="1065"/>
        <v/>
      </c>
      <c r="BZ809" t="str">
        <f t="shared" si="1106"/>
        <v/>
      </c>
      <c r="CA809" t="str">
        <f t="shared" si="1107"/>
        <v/>
      </c>
      <c r="CB809" s="118" t="str">
        <f t="shared" si="1108"/>
        <v/>
      </c>
      <c r="CC809" s="118" t="str">
        <f t="shared" si="1109"/>
        <v/>
      </c>
      <c r="CD809" s="119" t="str">
        <f t="shared" si="1066"/>
        <v/>
      </c>
      <c r="CE809" s="66" t="str">
        <f>+IF($W809="","",ROUND((VLOOKUP(ROUNDDOWN($D809-1/frec,0),cob_adi,BO$40,FALSE)*(1+i/frec)^-0.5*(1+Parámetros!$D$103)*(1+rec_fracc)/frec*'TABLAS ADI'!$BC$17),2))</f>
        <v/>
      </c>
      <c r="CF809" s="119" t="str">
        <f t="shared" si="1067"/>
        <v/>
      </c>
      <c r="CG809" s="66" t="str">
        <f>+IF($W809="","",ROUND(IF($B809&gt;Parámetros!$D$107,'Tablas Servicio'!CE809+('Tablas Servicio'!CG808-'Tablas Servicio'!CE808),CE809/(1-IF(B809&lt;=10,Parámetros!$D$100,0))),2))</f>
        <v/>
      </c>
      <c r="CH809" s="66" t="str">
        <f t="shared" si="1125"/>
        <v/>
      </c>
      <c r="CI809" s="66" t="str">
        <f t="shared" si="1125"/>
        <v/>
      </c>
      <c r="CJ809" s="66" t="str">
        <f>+IF($W809="","",ROUND((CG809*Parámetros!$G$85),2))</f>
        <v/>
      </c>
      <c r="CK809" s="66" t="str">
        <f>+IF($W809="","",ROUND((CG809*(Parámetros!$G$86)),2))</f>
        <v/>
      </c>
      <c r="CL809" s="66" t="str">
        <f t="shared" si="1069"/>
        <v/>
      </c>
      <c r="CM809" t="str">
        <f t="shared" si="1110"/>
        <v/>
      </c>
      <c r="CN809" s="118" t="str">
        <f t="shared" si="1111"/>
        <v/>
      </c>
      <c r="CO809" s="118" t="str">
        <f t="shared" si="1112"/>
        <v/>
      </c>
      <c r="CP809" s="118" t="str">
        <f t="shared" si="1113"/>
        <v/>
      </c>
      <c r="CQ809" s="119" t="str">
        <f t="shared" si="1070"/>
        <v/>
      </c>
      <c r="CR809" s="66" t="str">
        <f>+IF($W809="","",ROUND((VLOOKUP(Parámetros!$F$51,'COBERTURAS ADICIONALES'!$S$4:$T$32,2,FALSE)*(1+i/frec)^-0.5*(1+Parámetros!$D$103)*(1+rec_fracc)/frec*$CO$42),2))</f>
        <v/>
      </c>
      <c r="CS809" s="119" t="str">
        <f t="shared" si="1071"/>
        <v/>
      </c>
      <c r="CT809" s="66" t="str">
        <f>+IF($W809="","",ROUND(IF($B809&gt;Parámetros!$D$107,'Tablas Servicio'!CR809+('Tablas Servicio'!CT808-'Tablas Servicio'!CR808),CR809/(1-IF(B809&lt;=10,Parámetros!$D$100,0))),2))</f>
        <v/>
      </c>
      <c r="CU809" s="66" t="str">
        <f t="shared" si="1126"/>
        <v/>
      </c>
      <c r="CV809" s="66" t="str">
        <f t="shared" si="1126"/>
        <v/>
      </c>
      <c r="CW809" s="66" t="str">
        <f>+IF($W809="","",ROUND((CT809*Parámetros!$G$85),2))</f>
        <v/>
      </c>
      <c r="CX809" s="66" t="str">
        <f>+IF($W809="","",ROUND((CT809*(Parámetros!$G$86)),2))</f>
        <v/>
      </c>
      <c r="CY809" s="66" t="str">
        <f t="shared" si="1073"/>
        <v/>
      </c>
      <c r="CZ809" t="str">
        <f t="shared" si="1114"/>
        <v/>
      </c>
      <c r="DA809" s="118" t="str">
        <f t="shared" si="1115"/>
        <v/>
      </c>
      <c r="DB809" s="118" t="str">
        <f t="shared" si="1116"/>
        <v/>
      </c>
      <c r="DC809" s="118" t="str">
        <f t="shared" si="1117"/>
        <v/>
      </c>
      <c r="DD809" s="121" t="str">
        <f>+IF(OR($W809="",DB809=0),"",ROUND((VLOOKUP(ROUNDDOWN($D809-1/frec,0),cob_adi,CO$40,FALSE)*(1+i/frec)^-0.5*(1+Parámetros!$D$103)*(1+rec_fracc)/frec),6))</f>
        <v/>
      </c>
      <c r="DE809" s="66" t="str">
        <f t="shared" si="1074"/>
        <v/>
      </c>
      <c r="DF809" s="119" t="str">
        <f t="shared" si="1075"/>
        <v/>
      </c>
      <c r="DG809" s="66" t="str">
        <f>+IF($W809="","",ROUND(IF($B809&gt;Parámetros!$D$107,'Tablas Servicio'!DE809+('Tablas Servicio'!DG808-'Tablas Servicio'!DE808),DE809/(1-IF(B809&lt;=10,Parámetros!$D$100,0))),2))</f>
        <v/>
      </c>
      <c r="DH809" s="66" t="str">
        <f t="shared" si="1127"/>
        <v/>
      </c>
      <c r="DI809" s="66" t="str">
        <f t="shared" si="1127"/>
        <v/>
      </c>
      <c r="DJ809" s="66" t="str">
        <f>+IF($W809="","",ROUND((DG809*Parámetros!$G$85),2))</f>
        <v/>
      </c>
      <c r="DK809" s="66" t="str">
        <f>+IF($W809="","",ROUND((DG809*(Parámetros!$G$86)),2))</f>
        <v/>
      </c>
      <c r="DL809" s="66" t="str">
        <f t="shared" si="1077"/>
        <v/>
      </c>
      <c r="DM809" t="str">
        <f t="shared" si="1118"/>
        <v/>
      </c>
      <c r="DN809" s="118" t="str">
        <f t="shared" si="1119"/>
        <v/>
      </c>
      <c r="DO809" s="118" t="str">
        <f t="shared" si="1120"/>
        <v/>
      </c>
      <c r="DP809" s="118" t="str">
        <f t="shared" si="1121"/>
        <v/>
      </c>
      <c r="DQ809" s="122" t="str">
        <f>+IF(OR($W809="",DO809=0),"",ROUND((VLOOKUP(ROUNDDOWN($D809-1/frec,0),cob_adi,DB$40,FALSE)*(1+i/frec)^-0.5*(1+Parámetros!$D$103)*(1+rec_fracc)/frec),6))</f>
        <v/>
      </c>
      <c r="DR809" s="66" t="str">
        <f t="shared" si="1078"/>
        <v/>
      </c>
      <c r="DS809" s="68" t="str">
        <f t="shared" si="1079"/>
        <v/>
      </c>
      <c r="DT809" s="66" t="str">
        <f>+IF($W809="","",ROUND(IF($B809&gt;Parámetros!$D$107,'Tablas Servicio'!DR809+('Tablas Servicio'!DT808-'Tablas Servicio'!DR808),DR809/(1-IF(B809&lt;=10,Parámetros!$D$100,0))),2))</f>
        <v/>
      </c>
      <c r="DU809" s="66" t="str">
        <f t="shared" si="1128"/>
        <v/>
      </c>
      <c r="DV809" s="66" t="str">
        <f t="shared" si="1128"/>
        <v/>
      </c>
      <c r="DW809" s="66" t="str">
        <f>+IF($W809="","",ROUND((DT809*Parámetros!$G$85),2))</f>
        <v/>
      </c>
      <c r="DX809" s="66" t="str">
        <f>+IF($W809="","",ROUND((DT809*(Parámetros!$G$86)),2))</f>
        <v/>
      </c>
      <c r="DY809" s="66" t="str">
        <f t="shared" si="1081"/>
        <v/>
      </c>
      <c r="DZ809" t="str">
        <f t="shared" si="1131"/>
        <v/>
      </c>
      <c r="EA809" s="118" t="str">
        <f t="shared" si="1131"/>
        <v/>
      </c>
      <c r="EB809" s="118" t="str">
        <f>+IF($W809="","",ROUND(IF(Parámetros!$D$25='TABLAS MORT'!$V$33,EB808,Z809/2),0))</f>
        <v/>
      </c>
      <c r="EC809" s="118" t="str">
        <f t="shared" si="1131"/>
        <v/>
      </c>
      <c r="ED809" s="122" t="str">
        <f>+IF(OR($W809="",EB809=0),"",ROUND((VLOOKUP(ROUNDDOWN($D809-1/frec,0),cob_adi,DO$40,FALSE)*(1+i/frec)^-0.5*(1+Parámetros!$D$103)*(1+rec_fracc)/frec),6))</f>
        <v/>
      </c>
      <c r="EE809" s="66" t="str">
        <f t="shared" si="1083"/>
        <v/>
      </c>
      <c r="EF809" s="68" t="str">
        <f t="shared" si="1084"/>
        <v/>
      </c>
      <c r="EG809" s="66" t="str">
        <f>+IF($W809="","",ROUND(IF($B809&gt;Parámetros!$D$107,'Tablas Servicio'!EE809+('Tablas Servicio'!EG808-'Tablas Servicio'!EE808),EE809/(1-IF(B809&lt;=10,Parámetros!$D$100,0))),2))</f>
        <v/>
      </c>
      <c r="EH809" s="66" t="str">
        <f t="shared" si="1130"/>
        <v/>
      </c>
      <c r="EI809" s="66" t="str">
        <f t="shared" si="1130"/>
        <v/>
      </c>
      <c r="EJ809" s="66" t="str">
        <f>+IF($W809="","",ROUND((EG809*Parámetros!$G$85),2))</f>
        <v/>
      </c>
      <c r="EK809" s="66" t="str">
        <f>+IF($W809="","",ROUND((EG809*(Parámetros!$G$86)),2))</f>
        <v/>
      </c>
      <c r="EL809" s="66" t="str">
        <f t="shared" si="1086"/>
        <v/>
      </c>
    </row>
    <row r="810" spans="1:142" x14ac:dyDescent="0.25">
      <c r="A810" t="str">
        <f>+IF($C810="","",ROUND(VLOOKUP('Tablas Servicio'!B810,Parámetros!$H$100:$J$159,IF(Parámetros!$E$16="F",2,3),FALSE),2))</f>
        <v/>
      </c>
      <c r="B810" t="str">
        <f t="shared" ref="B810:B861" si="1132">+IF(D810="","",ROUNDUP(C810/frec,0))</f>
        <v/>
      </c>
      <c r="C810" s="57" t="str">
        <f>+IF(D810="","",'Tablas Servicio'!C809+1)</f>
        <v/>
      </c>
      <c r="D810" s="56" t="str">
        <f>+IF(D809&lt;edadmaxtabla,D809+1/Parámetros!$E$25,"")</f>
        <v/>
      </c>
      <c r="E810" s="57" t="str">
        <f t="shared" si="1047"/>
        <v/>
      </c>
      <c r="F810" s="59" t="str">
        <f t="shared" si="1048"/>
        <v/>
      </c>
      <c r="G810" s="66" t="str">
        <f t="shared" ref="G810:G861" si="1133">+IF($C810="","",AG810+AT810+BG810+BT810+CG810+CT810+DG810+DT810+EG810)</f>
        <v/>
      </c>
      <c r="H810" s="66" t="str">
        <f t="shared" ref="H810:H861" si="1134">+IF($C810="","",AL810+AY810+BL810+BY810+CL810+CY810+DL810+DY810+EL810)</f>
        <v/>
      </c>
      <c r="I810" s="66" t="str">
        <f t="shared" si="1087"/>
        <v/>
      </c>
      <c r="J810" s="66" t="str">
        <f t="shared" ref="J810:J861" si="1135">+IF($C810="","",AJ810+AW810+BJ810+BW810+CJ810+CW810+DJ810+DW810+EJ810)</f>
        <v/>
      </c>
      <c r="K810" s="66" t="str">
        <f t="shared" ref="K810:K861" si="1136">+IF($C810="","",AK810+AX810+BK810+BX810+CK810+CX810+DK810+DX810+EK810)</f>
        <v/>
      </c>
      <c r="L810" s="66" t="str">
        <f t="shared" ref="L810:L861" si="1137">+IF($C810="","",AH810+AU810+BH810+BU810+CH810+CU810+DH810+DU810+EH810)</f>
        <v/>
      </c>
      <c r="M810" s="66" t="str">
        <f t="shared" ref="M810:M861" si="1138">+IF($C810="","",AI810+AV810+BI810+BV810+CI810+CV810+DI810+DV810+EI810)</f>
        <v/>
      </c>
      <c r="N810" s="66" t="str">
        <f>+IF(C810="","",ROUND(Parámetros!$D$23,2))</f>
        <v/>
      </c>
      <c r="O810" s="66" t="str">
        <f t="shared" ref="O810:O861" si="1139">+IF($C810="","",AC810+AR810+BE810+BR810+CE810+CR810+DE810+DR810+EE810)</f>
        <v/>
      </c>
      <c r="P810" s="66" t="str">
        <f>+IF($C810="","",ROUND(IF(B810&gt;Parámetros!$D$117,0,N810*Parámetros!$D$116-G810*Parámetros!$D$100),2))</f>
        <v/>
      </c>
      <c r="Q810" s="75" t="str">
        <f t="shared" si="1088"/>
        <v/>
      </c>
      <c r="R810" s="75" t="str">
        <f t="shared" si="1089"/>
        <v/>
      </c>
      <c r="S810" s="117" t="str">
        <f>+IF($C810="","",ROUND((S809+I810)*(1+Parámetros!$D$91),2))</f>
        <v/>
      </c>
      <c r="T810" s="117" t="str">
        <f>+IF($C810="","",ROUND(S810*VLOOKUP(B810,Parámetros!$C$30:$D$39,2,TRUE),2))</f>
        <v/>
      </c>
      <c r="U810" s="117" t="str">
        <f>+IF($C810="","",ROUND((U809+I810)*(1+Parámetros!$D$92),2))</f>
        <v/>
      </c>
      <c r="V810" s="117" t="str">
        <f>+IF($C810="","",ROUND(U810*VLOOKUP(B810,Parámetros!$C$30:$D$39,2,TRUE),2))</f>
        <v/>
      </c>
      <c r="W810" s="57" t="str">
        <f t="shared" si="1090"/>
        <v/>
      </c>
      <c r="X810" t="str">
        <f t="shared" si="1091"/>
        <v/>
      </c>
      <c r="Y810" t="str">
        <f t="shared" si="1092"/>
        <v/>
      </c>
      <c r="Z810" s="118" t="str">
        <f>+IF($W810="","",ROUND(IF(Parámetros!$D$25='TABLAS MORT'!$V$33,Z809,Parámetros!$D$21-'Tablas Servicio'!T809),0))</f>
        <v/>
      </c>
      <c r="AA810" s="118" t="str">
        <f t="shared" si="1093"/>
        <v/>
      </c>
      <c r="AB810" s="119" t="str">
        <f>+IF(W810="","",ROUND((VLOOKUP(ROUNDDOWN($D810-1/frec,0),qx_tabla,2,FALSE)*(1+i/frec)^-0.5*(1+Parámetros!$D$103)*(1+rec_fracc)/frec),6))</f>
        <v/>
      </c>
      <c r="AC810" s="66" t="str">
        <f t="shared" si="1049"/>
        <v/>
      </c>
      <c r="AD810" s="119" t="str">
        <f t="shared" ref="AD810:AD861" si="1140">+IF($W810="","",ROUND((AG810/Z810),6))</f>
        <v/>
      </c>
      <c r="AE810" s="66" t="str">
        <f>+IF($W810="","",ROUND(IF($B810&gt;Parámetros!$D$107,'Tablas Servicio'!AC810+('Tablas Servicio'!AG809-'Tablas Servicio'!AC809),AC810/(1-IF(B810&lt;=10,Parámetros!$D$104,Parámetros!$D$105))),2))</f>
        <v/>
      </c>
      <c r="AF810" s="66" t="str">
        <f>+IF($W810="","",ROUND(IF($B810&gt;Parámetros!$D$107,'Tablas Servicio'!AC810+('Tablas Servicio'!AG809-'Tablas Servicio'!AC809),(AC810+$A809/frec)/(1-IF(B810&lt;=Parámetros!$D$117,Parámetros!$D$100,0))),2))</f>
        <v/>
      </c>
      <c r="AG810" s="66" t="str">
        <f t="shared" si="1050"/>
        <v/>
      </c>
      <c r="AH810" s="66" t="str">
        <f t="shared" si="1051"/>
        <v/>
      </c>
      <c r="AI810" s="66" t="str">
        <f t="shared" si="1052"/>
        <v/>
      </c>
      <c r="AJ810" s="66" t="str">
        <f>+IF($W810="","",ROUND((AG810*Parámetros!$G$85),2))</f>
        <v/>
      </c>
      <c r="AK810" s="66" t="str">
        <f>+IF($W810="","",ROUND((AG810*(Parámetros!$G$86)),2))</f>
        <v/>
      </c>
      <c r="AL810" s="66" t="str">
        <f t="shared" ref="AL810:AL861" si="1141">+IF($W810="","",ROUND((AG810+AJ810+AK810),2))</f>
        <v/>
      </c>
      <c r="AM810" t="str">
        <f t="shared" si="1094"/>
        <v/>
      </c>
      <c r="AN810" t="str">
        <f t="shared" si="1095"/>
        <v/>
      </c>
      <c r="AO810" s="118" t="str">
        <f t="shared" si="1096"/>
        <v/>
      </c>
      <c r="AP810" s="118" t="str">
        <f t="shared" si="1097"/>
        <v/>
      </c>
      <c r="AQ810" s="119" t="str">
        <f>+IF(OR($W810="",AO810=0),"",ROUND((VLOOKUP(ROUNDDOWN($D810-1/frec,0),cob_adi,Z$40,FALSE)*(1+i/frec)^-0.5*(1+Parámetros!$D$103)*(1+rec_fracc)/frec),6))</f>
        <v/>
      </c>
      <c r="AR810" s="66" t="str">
        <f t="shared" si="1053"/>
        <v/>
      </c>
      <c r="AS810" s="119" t="str">
        <f t="shared" si="1054"/>
        <v/>
      </c>
      <c r="AT810" s="66" t="str">
        <f>+IF($W810="","",ROUND(IF($B810&gt;Parámetros!$D$107,'Tablas Servicio'!AR810+('Tablas Servicio'!AT809-'Tablas Servicio'!AR809),AR810/(1-IF(B810&lt;=10,Parámetros!$D$100,0))),2))</f>
        <v/>
      </c>
      <c r="AU810" s="66" t="str">
        <f t="shared" si="1123"/>
        <v/>
      </c>
      <c r="AV810" s="66" t="str">
        <f t="shared" si="1123"/>
        <v/>
      </c>
      <c r="AW810" s="66" t="str">
        <f>+IF($W810="","",ROUND((AT810*Parámetros!$G$85),2))</f>
        <v/>
      </c>
      <c r="AX810" s="66" t="str">
        <f>+IF($W810="","",ROUND((AT810*(Parámetros!$G$86)),2))</f>
        <v/>
      </c>
      <c r="AY810" s="66" t="str">
        <f t="shared" si="1056"/>
        <v/>
      </c>
      <c r="AZ810" t="str">
        <f t="shared" si="1098"/>
        <v/>
      </c>
      <c r="BA810" t="str">
        <f t="shared" si="1099"/>
        <v/>
      </c>
      <c r="BB810" s="118" t="str">
        <f t="shared" si="1100"/>
        <v/>
      </c>
      <c r="BC810" s="118" t="str">
        <f t="shared" si="1101"/>
        <v/>
      </c>
      <c r="BD810" s="119" t="str">
        <f>+IF(OR($W810="",BB810=0),"",ROUND((VLOOKUP(ROUNDDOWN($D810-1/frec,0),cob_adi,AO$40,FALSE)*(1+i/frec)^-0.5*(1+Parámetros!$D$103)*(1+rec_fracc)/frec),6))</f>
        <v/>
      </c>
      <c r="BE810" s="66" t="str">
        <f t="shared" si="1057"/>
        <v/>
      </c>
      <c r="BF810" s="119" t="str">
        <f t="shared" si="1058"/>
        <v/>
      </c>
      <c r="BG810" s="66" t="str">
        <f>+IF($W810="","",ROUND(IF($B810&gt;Parámetros!$D$107,'Tablas Servicio'!BE810+('Tablas Servicio'!BG809-'Tablas Servicio'!BE809),BE810/(1-IF(B810&lt;=10,Parámetros!$D$100,0))),2))</f>
        <v/>
      </c>
      <c r="BH810" s="66" t="str">
        <f t="shared" si="1059"/>
        <v/>
      </c>
      <c r="BI810" s="66" t="str">
        <f t="shared" si="1060"/>
        <v/>
      </c>
      <c r="BJ810" s="66" t="str">
        <f>+IF($W810="","",ROUND((BG810*Parámetros!$G$85),2))</f>
        <v/>
      </c>
      <c r="BK810" s="66" t="str">
        <f>+IF($W810="","",ROUND((BG810*(Parámetros!$G$86)),2))</f>
        <v/>
      </c>
      <c r="BL810" s="66" t="str">
        <f t="shared" si="1061"/>
        <v/>
      </c>
      <c r="BM810" t="str">
        <f t="shared" si="1102"/>
        <v/>
      </c>
      <c r="BN810" t="str">
        <f t="shared" si="1103"/>
        <v/>
      </c>
      <c r="BO810" s="118" t="str">
        <f t="shared" si="1104"/>
        <v/>
      </c>
      <c r="BP810" s="118" t="str">
        <f t="shared" si="1105"/>
        <v/>
      </c>
      <c r="BQ810" s="119" t="str">
        <f>+IF(OR($W810="",BO810=0),"",ROUND((VLOOKUP(ROUNDDOWN($D810-1/frec,0),cob_adi,BB$40,FALSE)*(1+i/frec)^-0.5*(1+Parámetros!$D$103)*(1+rec_fracc)/frec),6))</f>
        <v/>
      </c>
      <c r="BR810" s="66" t="str">
        <f t="shared" si="1062"/>
        <v/>
      </c>
      <c r="BS810" s="119" t="str">
        <f t="shared" si="1063"/>
        <v/>
      </c>
      <c r="BT810" s="66" t="str">
        <f>+IF($W810="","",ROUND(IF($B810&gt;Parámetros!$D$107,'Tablas Servicio'!BR810+('Tablas Servicio'!BT809-'Tablas Servicio'!BR809),BR810/(1-IF(B810&lt;=10,Parámetros!$D$100,0))),2))</f>
        <v/>
      </c>
      <c r="BU810" s="66" t="str">
        <f t="shared" si="1124"/>
        <v/>
      </c>
      <c r="BV810" s="66" t="str">
        <f t="shared" si="1124"/>
        <v/>
      </c>
      <c r="BW810" s="66" t="str">
        <f>+IF($W810="","",ROUND((BT810*Parámetros!$G$85),2))</f>
        <v/>
      </c>
      <c r="BX810" s="66" t="str">
        <f>+IF($W810="","",ROUND((BT810*(Parámetros!$G$86)),2))</f>
        <v/>
      </c>
      <c r="BY810" s="66" t="str">
        <f t="shared" si="1065"/>
        <v/>
      </c>
      <c r="BZ810" t="str">
        <f t="shared" si="1106"/>
        <v/>
      </c>
      <c r="CA810" t="str">
        <f t="shared" si="1107"/>
        <v/>
      </c>
      <c r="CB810" s="118" t="str">
        <f t="shared" si="1108"/>
        <v/>
      </c>
      <c r="CC810" s="118" t="str">
        <f t="shared" si="1109"/>
        <v/>
      </c>
      <c r="CD810" s="119" t="str">
        <f t="shared" si="1066"/>
        <v/>
      </c>
      <c r="CE810" s="66" t="str">
        <f>+IF($W810="","",ROUND((VLOOKUP(ROUNDDOWN($D810-1/frec,0),cob_adi,BO$40,FALSE)*(1+i/frec)^-0.5*(1+Parámetros!$D$103)*(1+rec_fracc)/frec*'TABLAS ADI'!$BC$17),2))</f>
        <v/>
      </c>
      <c r="CF810" s="119" t="str">
        <f t="shared" si="1067"/>
        <v/>
      </c>
      <c r="CG810" s="66" t="str">
        <f>+IF($W810="","",ROUND(IF($B810&gt;Parámetros!$D$107,'Tablas Servicio'!CE810+('Tablas Servicio'!CG809-'Tablas Servicio'!CE809),CE810/(1-IF(B810&lt;=10,Parámetros!$D$100,0))),2))</f>
        <v/>
      </c>
      <c r="CH810" s="66" t="str">
        <f t="shared" si="1125"/>
        <v/>
      </c>
      <c r="CI810" s="66" t="str">
        <f t="shared" si="1125"/>
        <v/>
      </c>
      <c r="CJ810" s="66" t="str">
        <f>+IF($W810="","",ROUND((CG810*Parámetros!$G$85),2))</f>
        <v/>
      </c>
      <c r="CK810" s="66" t="str">
        <f>+IF($W810="","",ROUND((CG810*(Parámetros!$G$86)),2))</f>
        <v/>
      </c>
      <c r="CL810" s="66" t="str">
        <f t="shared" si="1069"/>
        <v/>
      </c>
      <c r="CM810" t="str">
        <f t="shared" si="1110"/>
        <v/>
      </c>
      <c r="CN810" s="118" t="str">
        <f t="shared" si="1111"/>
        <v/>
      </c>
      <c r="CO810" s="118" t="str">
        <f t="shared" si="1112"/>
        <v/>
      </c>
      <c r="CP810" s="118" t="str">
        <f t="shared" si="1113"/>
        <v/>
      </c>
      <c r="CQ810" s="119" t="str">
        <f t="shared" si="1070"/>
        <v/>
      </c>
      <c r="CR810" s="66" t="str">
        <f>+IF($W810="","",ROUND((VLOOKUP(Parámetros!$F$51,'COBERTURAS ADICIONALES'!$S$4:$T$32,2,FALSE)*(1+i/frec)^-0.5*(1+Parámetros!$D$103)*(1+rec_fracc)/frec*$CO$42),2))</f>
        <v/>
      </c>
      <c r="CS810" s="119" t="str">
        <f t="shared" si="1071"/>
        <v/>
      </c>
      <c r="CT810" s="66" t="str">
        <f>+IF($W810="","",ROUND(IF($B810&gt;Parámetros!$D$107,'Tablas Servicio'!CR810+('Tablas Servicio'!CT809-'Tablas Servicio'!CR809),CR810/(1-IF(B810&lt;=10,Parámetros!$D$100,0))),2))</f>
        <v/>
      </c>
      <c r="CU810" s="66" t="str">
        <f t="shared" si="1126"/>
        <v/>
      </c>
      <c r="CV810" s="66" t="str">
        <f t="shared" si="1126"/>
        <v/>
      </c>
      <c r="CW810" s="66" t="str">
        <f>+IF($W810="","",ROUND((CT810*Parámetros!$G$85),2))</f>
        <v/>
      </c>
      <c r="CX810" s="66" t="str">
        <f>+IF($W810="","",ROUND((CT810*(Parámetros!$G$86)),2))</f>
        <v/>
      </c>
      <c r="CY810" s="66" t="str">
        <f t="shared" si="1073"/>
        <v/>
      </c>
      <c r="CZ810" t="str">
        <f t="shared" si="1114"/>
        <v/>
      </c>
      <c r="DA810" s="118" t="str">
        <f t="shared" si="1115"/>
        <v/>
      </c>
      <c r="DB810" s="118" t="str">
        <f t="shared" si="1116"/>
        <v/>
      </c>
      <c r="DC810" s="118" t="str">
        <f t="shared" si="1117"/>
        <v/>
      </c>
      <c r="DD810" s="121" t="str">
        <f>+IF(OR($W810="",DB810=0),"",ROUND((VLOOKUP(ROUNDDOWN($D810-1/frec,0),cob_adi,CO$40,FALSE)*(1+i/frec)^-0.5*(1+Parámetros!$D$103)*(1+rec_fracc)/frec),6))</f>
        <v/>
      </c>
      <c r="DE810" s="66" t="str">
        <f t="shared" si="1074"/>
        <v/>
      </c>
      <c r="DF810" s="119" t="str">
        <f t="shared" si="1075"/>
        <v/>
      </c>
      <c r="DG810" s="66" t="str">
        <f>+IF($W810="","",ROUND(IF($B810&gt;Parámetros!$D$107,'Tablas Servicio'!DE810+('Tablas Servicio'!DG809-'Tablas Servicio'!DE809),DE810/(1-IF(B810&lt;=10,Parámetros!$D$100,0))),2))</f>
        <v/>
      </c>
      <c r="DH810" s="66" t="str">
        <f t="shared" si="1127"/>
        <v/>
      </c>
      <c r="DI810" s="66" t="str">
        <f t="shared" si="1127"/>
        <v/>
      </c>
      <c r="DJ810" s="66" t="str">
        <f>+IF($W810="","",ROUND((DG810*Parámetros!$G$85),2))</f>
        <v/>
      </c>
      <c r="DK810" s="66" t="str">
        <f>+IF($W810="","",ROUND((DG810*(Parámetros!$G$86)),2))</f>
        <v/>
      </c>
      <c r="DL810" s="66" t="str">
        <f t="shared" si="1077"/>
        <v/>
      </c>
      <c r="DM810" t="str">
        <f t="shared" si="1118"/>
        <v/>
      </c>
      <c r="DN810" s="118" t="str">
        <f t="shared" si="1119"/>
        <v/>
      </c>
      <c r="DO810" s="118" t="str">
        <f t="shared" si="1120"/>
        <v/>
      </c>
      <c r="DP810" s="118" t="str">
        <f t="shared" si="1121"/>
        <v/>
      </c>
      <c r="DQ810" s="122" t="str">
        <f>+IF(OR($W810="",DO810=0),"",ROUND((VLOOKUP(ROUNDDOWN($D810-1/frec,0),cob_adi,DB$40,FALSE)*(1+i/frec)^-0.5*(1+Parámetros!$D$103)*(1+rec_fracc)/frec),6))</f>
        <v/>
      </c>
      <c r="DR810" s="66" t="str">
        <f t="shared" si="1078"/>
        <v/>
      </c>
      <c r="DS810" s="68" t="str">
        <f t="shared" si="1079"/>
        <v/>
      </c>
      <c r="DT810" s="66" t="str">
        <f>+IF($W810="","",ROUND(IF($B810&gt;Parámetros!$D$107,'Tablas Servicio'!DR810+('Tablas Servicio'!DT809-'Tablas Servicio'!DR809),DR810/(1-IF(B810&lt;=10,Parámetros!$D$100,0))),2))</f>
        <v/>
      </c>
      <c r="DU810" s="66" t="str">
        <f t="shared" si="1128"/>
        <v/>
      </c>
      <c r="DV810" s="66" t="str">
        <f t="shared" si="1128"/>
        <v/>
      </c>
      <c r="DW810" s="66" t="str">
        <f>+IF($W810="","",ROUND((DT810*Parámetros!$G$85),2))</f>
        <v/>
      </c>
      <c r="DX810" s="66" t="str">
        <f>+IF($W810="","",ROUND((DT810*(Parámetros!$G$86)),2))</f>
        <v/>
      </c>
      <c r="DY810" s="66" t="str">
        <f t="shared" si="1081"/>
        <v/>
      </c>
      <c r="DZ810" t="str">
        <f t="shared" si="1131"/>
        <v/>
      </c>
      <c r="EA810" s="118" t="str">
        <f t="shared" si="1131"/>
        <v/>
      </c>
      <c r="EB810" s="118" t="str">
        <f>+IF($W810="","",ROUND(IF(Parámetros!$D$25='TABLAS MORT'!$V$33,EB809,Z810/2),0))</f>
        <v/>
      </c>
      <c r="EC810" s="118" t="str">
        <f t="shared" si="1131"/>
        <v/>
      </c>
      <c r="ED810" s="122" t="str">
        <f>+IF(OR($W810="",EB810=0),"",ROUND((VLOOKUP(ROUNDDOWN($D810-1/frec,0),cob_adi,DO$40,FALSE)*(1+i/frec)^-0.5*(1+Parámetros!$D$103)*(1+rec_fracc)/frec),6))</f>
        <v/>
      </c>
      <c r="EE810" s="66" t="str">
        <f t="shared" si="1083"/>
        <v/>
      </c>
      <c r="EF810" s="68" t="str">
        <f t="shared" si="1084"/>
        <v/>
      </c>
      <c r="EG810" s="66" t="str">
        <f>+IF($W810="","",ROUND(IF($B810&gt;Parámetros!$D$107,'Tablas Servicio'!EE810+('Tablas Servicio'!EG809-'Tablas Servicio'!EE809),EE810/(1-IF(B810&lt;=10,Parámetros!$D$100,0))),2))</f>
        <v/>
      </c>
      <c r="EH810" s="66" t="str">
        <f t="shared" si="1130"/>
        <v/>
      </c>
      <c r="EI810" s="66" t="str">
        <f t="shared" si="1130"/>
        <v/>
      </c>
      <c r="EJ810" s="66" t="str">
        <f>+IF($W810="","",ROUND((EG810*Parámetros!$G$85),2))</f>
        <v/>
      </c>
      <c r="EK810" s="66" t="str">
        <f>+IF($W810="","",ROUND((EG810*(Parámetros!$G$86)),2))</f>
        <v/>
      </c>
      <c r="EL810" s="66" t="str">
        <f t="shared" si="1086"/>
        <v/>
      </c>
    </row>
    <row r="811" spans="1:142" x14ac:dyDescent="0.25">
      <c r="A811" t="str">
        <f>+IF($C811="","",ROUND(VLOOKUP('Tablas Servicio'!B811,Parámetros!$H$100:$J$159,IF(Parámetros!$E$16="F",2,3),FALSE),2))</f>
        <v/>
      </c>
      <c r="B811" t="str">
        <f t="shared" si="1132"/>
        <v/>
      </c>
      <c r="C811" s="57" t="str">
        <f>+IF(D811="","",'Tablas Servicio'!C810+1)</f>
        <v/>
      </c>
      <c r="D811" s="56" t="str">
        <f>+IF(D810&lt;edadmaxtabla,D810+1/Parámetros!$E$25,"")</f>
        <v/>
      </c>
      <c r="E811" s="57" t="str">
        <f t="shared" ref="E811:E861" si="1142">+IF(D811="","",ROUNDDOWN(D811,0))</f>
        <v/>
      </c>
      <c r="F811" s="59" t="str">
        <f t="shared" ref="F811:F861" si="1143">+Z811</f>
        <v/>
      </c>
      <c r="G811" s="66" t="str">
        <f t="shared" si="1133"/>
        <v/>
      </c>
      <c r="H811" s="66" t="str">
        <f t="shared" si="1134"/>
        <v/>
      </c>
      <c r="I811" s="66" t="str">
        <f t="shared" si="1087"/>
        <v/>
      </c>
      <c r="J811" s="66" t="str">
        <f t="shared" si="1135"/>
        <v/>
      </c>
      <c r="K811" s="66" t="str">
        <f t="shared" si="1136"/>
        <v/>
      </c>
      <c r="L811" s="66" t="str">
        <f t="shared" si="1137"/>
        <v/>
      </c>
      <c r="M811" s="66" t="str">
        <f t="shared" si="1138"/>
        <v/>
      </c>
      <c r="N811" s="66" t="str">
        <f>+IF(C811="","",ROUND(Parámetros!$D$23,2))</f>
        <v/>
      </c>
      <c r="O811" s="66" t="str">
        <f t="shared" si="1139"/>
        <v/>
      </c>
      <c r="P811" s="66" t="str">
        <f>+IF($C811="","",ROUND(IF(B811&gt;Parámetros!$D$117,0,N811*Parámetros!$D$116-G811*Parámetros!$D$100),2))</f>
        <v/>
      </c>
      <c r="Q811" s="75" t="str">
        <f t="shared" si="1088"/>
        <v/>
      </c>
      <c r="R811" s="75" t="str">
        <f t="shared" si="1089"/>
        <v/>
      </c>
      <c r="S811" s="117" t="str">
        <f>+IF($C811="","",ROUND((S810+I811)*(1+Parámetros!$D$91),2))</f>
        <v/>
      </c>
      <c r="T811" s="117" t="str">
        <f>+IF($C811="","",ROUND(S811*VLOOKUP(B811,Parámetros!$C$30:$D$39,2,TRUE),2))</f>
        <v/>
      </c>
      <c r="U811" s="117" t="str">
        <f>+IF($C811="","",ROUND((U810+I811)*(1+Parámetros!$D$92),2))</f>
        <v/>
      </c>
      <c r="V811" s="117" t="str">
        <f>+IF($C811="","",ROUND(U811*VLOOKUP(B811,Parámetros!$C$30:$D$39,2,TRUE),2))</f>
        <v/>
      </c>
      <c r="W811" s="57" t="str">
        <f t="shared" si="1090"/>
        <v/>
      </c>
      <c r="X811" t="str">
        <f t="shared" si="1091"/>
        <v/>
      </c>
      <c r="Y811" t="str">
        <f t="shared" si="1092"/>
        <v/>
      </c>
      <c r="Z811" s="118" t="str">
        <f>+IF($W811="","",ROUND(IF(Parámetros!$D$25='TABLAS MORT'!$V$33,Z810,Parámetros!$D$21-'Tablas Servicio'!T810),0))</f>
        <v/>
      </c>
      <c r="AA811" s="118" t="str">
        <f t="shared" si="1093"/>
        <v/>
      </c>
      <c r="AB811" s="119" t="str">
        <f>+IF(W811="","",ROUND((VLOOKUP(ROUNDDOWN($D811-1/frec,0),qx_tabla,2,FALSE)*(1+i/frec)^-0.5*(1+Parámetros!$D$103)*(1+rec_fracc)/frec),6))</f>
        <v/>
      </c>
      <c r="AC811" s="66" t="str">
        <f t="shared" ref="AC811:AC861" si="1144">+IF($W811="","",ROUND((AB811*Z811),2))</f>
        <v/>
      </c>
      <c r="AD811" s="119" t="str">
        <f t="shared" si="1140"/>
        <v/>
      </c>
      <c r="AE811" s="66" t="str">
        <f>+IF($W811="","",ROUND(IF($B811&gt;Parámetros!$D$107,'Tablas Servicio'!AC811+('Tablas Servicio'!AG810-'Tablas Servicio'!AC810),AC811/(1-IF(B811&lt;=10,Parámetros!$D$104,Parámetros!$D$105))),2))</f>
        <v/>
      </c>
      <c r="AF811" s="66" t="str">
        <f>+IF($W811="","",ROUND(IF($B811&gt;Parámetros!$D$107,'Tablas Servicio'!AC811+('Tablas Servicio'!AG810-'Tablas Servicio'!AC810),(AC811+$A810/frec)/(1-IF(B811&lt;=Parámetros!$D$117,Parámetros!$D$100,0))),2))</f>
        <v/>
      </c>
      <c r="AG811" s="66" t="str">
        <f t="shared" ref="AG811:AG861" si="1145">+IF($W811="","",MIN(AE811,AF811))</f>
        <v/>
      </c>
      <c r="AH811" s="66" t="str">
        <f t="shared" ref="AH811:AH861" si="1146">+IF($W811="","",0)</f>
        <v/>
      </c>
      <c r="AI811" s="66" t="str">
        <f t="shared" ref="AI811:AI861" si="1147">IF($W811="","",0)</f>
        <v/>
      </c>
      <c r="AJ811" s="66" t="str">
        <f>+IF($W811="","",ROUND((AG811*Parámetros!$G$85),2))</f>
        <v/>
      </c>
      <c r="AK811" s="66" t="str">
        <f>+IF($W811="","",ROUND((AG811*(Parámetros!$G$86)),2))</f>
        <v/>
      </c>
      <c r="AL811" s="66" t="str">
        <f t="shared" si="1141"/>
        <v/>
      </c>
      <c r="AM811" t="str">
        <f t="shared" si="1094"/>
        <v/>
      </c>
      <c r="AN811" t="str">
        <f t="shared" si="1095"/>
        <v/>
      </c>
      <c r="AO811" s="118" t="str">
        <f t="shared" si="1096"/>
        <v/>
      </c>
      <c r="AP811" s="118" t="str">
        <f t="shared" si="1097"/>
        <v/>
      </c>
      <c r="AQ811" s="119" t="str">
        <f>+IF(OR($W811="",AO811=0),"",ROUND((VLOOKUP(ROUNDDOWN($D811-1/frec,0),cob_adi,Z$40,FALSE)*(1+i/frec)^-0.5*(1+Parámetros!$D$103)*(1+rec_fracc)/frec),6))</f>
        <v/>
      </c>
      <c r="AR811" s="66" t="str">
        <f t="shared" ref="AR811:AR861" si="1148">+IF(AO811=0,0,IF($W811="","",ROUND((AQ811*AO811),2)))</f>
        <v/>
      </c>
      <c r="AS811" s="119" t="str">
        <f t="shared" ref="AS811:AS861" si="1149">+IF(OR($W811="",AO811=0),"",ROUND((AT811/AO811),6))</f>
        <v/>
      </c>
      <c r="AT811" s="66" t="str">
        <f>+IF($W811="","",ROUND(IF($B811&gt;Parámetros!$D$107,'Tablas Servicio'!AR811+('Tablas Servicio'!AT810-'Tablas Servicio'!AR810),AR811/(1-IF(B811&lt;=10,Parámetros!$D$100,0))),2))</f>
        <v/>
      </c>
      <c r="AU811" s="66" t="str">
        <f t="shared" ref="AU811:AV842" si="1150">+IF($W811="","",0)</f>
        <v/>
      </c>
      <c r="AV811" s="66" t="str">
        <f t="shared" si="1150"/>
        <v/>
      </c>
      <c r="AW811" s="66" t="str">
        <f>+IF($W811="","",ROUND((AT811*Parámetros!$G$85),2))</f>
        <v/>
      </c>
      <c r="AX811" s="66" t="str">
        <f>+IF($W811="","",ROUND((AT811*(Parámetros!$G$86)),2))</f>
        <v/>
      </c>
      <c r="AY811" s="66" t="str">
        <f t="shared" ref="AY811:AY861" si="1151">+IF($W811="","",ROUND((AT811+AW811+AX811),2))</f>
        <v/>
      </c>
      <c r="AZ811" t="str">
        <f t="shared" si="1098"/>
        <v/>
      </c>
      <c r="BA811" t="str">
        <f t="shared" si="1099"/>
        <v/>
      </c>
      <c r="BB811" s="118" t="str">
        <f t="shared" si="1100"/>
        <v/>
      </c>
      <c r="BC811" s="118" t="str">
        <f t="shared" si="1101"/>
        <v/>
      </c>
      <c r="BD811" s="119" t="str">
        <f>+IF(OR($W811="",BB811=0),"",ROUND((VLOOKUP(ROUNDDOWN($D811-1/frec,0),cob_adi,AO$40,FALSE)*(1+i/frec)^-0.5*(1+Parámetros!$D$103)*(1+rec_fracc)/frec),6))</f>
        <v/>
      </c>
      <c r="BE811" s="66" t="str">
        <f t="shared" ref="BE811:BE861" si="1152">+IF(BB811=0,0,IF($W811="","",ROUND(((BD811*BB811)),2)))</f>
        <v/>
      </c>
      <c r="BF811" s="119" t="str">
        <f t="shared" ref="BF811:BF861" si="1153">+IF(OR($W811="",BB811=0),"",ROUND((BG811/BB811),6))</f>
        <v/>
      </c>
      <c r="BG811" s="66" t="str">
        <f>+IF($W811="","",ROUND(IF($B811&gt;Parámetros!$D$107,'Tablas Servicio'!BE811+('Tablas Servicio'!BG810-'Tablas Servicio'!BE810),BE811/(1-IF(B811&lt;=10,Parámetros!$D$100,0))),2))</f>
        <v/>
      </c>
      <c r="BH811" s="66" t="str">
        <f t="shared" ref="BH811:BH861" si="1154">IF($W811="","",0)</f>
        <v/>
      </c>
      <c r="BI811" s="66" t="str">
        <f t="shared" ref="BI811:BI861" si="1155">+IF($W811="","",0)</f>
        <v/>
      </c>
      <c r="BJ811" s="66" t="str">
        <f>+IF($W811="","",ROUND((BG811*Parámetros!$G$85),2))</f>
        <v/>
      </c>
      <c r="BK811" s="66" t="str">
        <f>+IF($W811="","",ROUND((BG811*(Parámetros!$G$86)),2))</f>
        <v/>
      </c>
      <c r="BL811" s="66" t="str">
        <f t="shared" ref="BL811:BL861" si="1156">+IF($W811="","",ROUND((BG811+BJ811+BK811),2))</f>
        <v/>
      </c>
      <c r="BM811" t="str">
        <f t="shared" si="1102"/>
        <v/>
      </c>
      <c r="BN811" t="str">
        <f t="shared" si="1103"/>
        <v/>
      </c>
      <c r="BO811" s="118" t="str">
        <f t="shared" si="1104"/>
        <v/>
      </c>
      <c r="BP811" s="118" t="str">
        <f t="shared" si="1105"/>
        <v/>
      </c>
      <c r="BQ811" s="119" t="str">
        <f>+IF(OR($W811="",BO811=0),"",ROUND((VLOOKUP(ROUNDDOWN($D811-1/frec,0),cob_adi,BB$40,FALSE)*(1+i/frec)^-0.5*(1+Parámetros!$D$103)*(1+rec_fracc)/frec),6))</f>
        <v/>
      </c>
      <c r="BR811" s="66" t="str">
        <f t="shared" ref="BR811:BR861" si="1157">+IF(BO811=0,0,IF($W811="","",ROUND(((BQ811*BO811)),2)))</f>
        <v/>
      </c>
      <c r="BS811" s="119" t="str">
        <f t="shared" ref="BS811:BS861" si="1158">+IF(OR($W811="",BO811=0),"",ROUND((BT811/BO811),6))</f>
        <v/>
      </c>
      <c r="BT811" s="66" t="str">
        <f>+IF($W811="","",ROUND(IF($B811&gt;Parámetros!$D$107,'Tablas Servicio'!BR811+('Tablas Servicio'!BT810-'Tablas Servicio'!BR810),BR811/(1-IF(B811&lt;=10,Parámetros!$D$100,0))),2))</f>
        <v/>
      </c>
      <c r="BU811" s="66" t="str">
        <f t="shared" ref="BU811:BV842" si="1159">+IF($W811="","",0)</f>
        <v/>
      </c>
      <c r="BV811" s="66" t="str">
        <f t="shared" si="1159"/>
        <v/>
      </c>
      <c r="BW811" s="66" t="str">
        <f>+IF($W811="","",ROUND((BT811*Parámetros!$G$85),2))</f>
        <v/>
      </c>
      <c r="BX811" s="66" t="str">
        <f>+IF($W811="","",ROUND((BT811*(Parámetros!$G$86)),2))</f>
        <v/>
      </c>
      <c r="BY811" s="66" t="str">
        <f t="shared" ref="BY811:BY861" si="1160">+IF($W811="","",ROUND((BT811+BW811+BX811),2))</f>
        <v/>
      </c>
      <c r="BZ811" t="str">
        <f t="shared" si="1106"/>
        <v/>
      </c>
      <c r="CA811" t="str">
        <f t="shared" si="1107"/>
        <v/>
      </c>
      <c r="CB811" s="118" t="str">
        <f t="shared" si="1108"/>
        <v/>
      </c>
      <c r="CC811" s="118" t="str">
        <f t="shared" si="1109"/>
        <v/>
      </c>
      <c r="CD811" s="119" t="str">
        <f t="shared" ref="CD811:CD861" si="1161">+IF(OR($W811="",CB811=0),"",ROUND((CE811/CB811),6))</f>
        <v/>
      </c>
      <c r="CE811" s="66" t="str">
        <f>+IF($W811="","",ROUND((VLOOKUP(ROUNDDOWN($D811-1/frec,0),cob_adi,BO$40,FALSE)*(1+i/frec)^-0.5*(1+Parámetros!$D$103)*(1+rec_fracc)/frec*'TABLAS ADI'!$BC$17),2))</f>
        <v/>
      </c>
      <c r="CF811" s="119" t="str">
        <f t="shared" ref="CF811:CF861" si="1162">+IF(OR($W811="",CB811=0),"",ROUND((CG811/CB811),6))</f>
        <v/>
      </c>
      <c r="CG811" s="66" t="str">
        <f>+IF($W811="","",ROUND(IF($B811&gt;Parámetros!$D$107,'Tablas Servicio'!CE811+('Tablas Servicio'!CG810-'Tablas Servicio'!CE810),CE811/(1-IF(B811&lt;=10,Parámetros!$D$100,0))),2))</f>
        <v/>
      </c>
      <c r="CH811" s="66" t="str">
        <f t="shared" ref="CH811:CI842" si="1163">+IF($W811="","",0)</f>
        <v/>
      </c>
      <c r="CI811" s="66" t="str">
        <f t="shared" si="1163"/>
        <v/>
      </c>
      <c r="CJ811" s="66" t="str">
        <f>+IF($W811="","",ROUND((CG811*Parámetros!$G$85),2))</f>
        <v/>
      </c>
      <c r="CK811" s="66" t="str">
        <f>+IF($W811="","",ROUND((CG811*(Parámetros!$G$86)),2))</f>
        <v/>
      </c>
      <c r="CL811" s="66" t="str">
        <f t="shared" ref="CL811:CL861" si="1164">+IF($W811="","",ROUND((CG811+CJ811+CK811),2))</f>
        <v/>
      </c>
      <c r="CM811" t="str">
        <f t="shared" si="1110"/>
        <v/>
      </c>
      <c r="CN811" s="118" t="str">
        <f t="shared" si="1111"/>
        <v/>
      </c>
      <c r="CO811" s="118" t="str">
        <f t="shared" si="1112"/>
        <v/>
      </c>
      <c r="CP811" s="118" t="str">
        <f t="shared" si="1113"/>
        <v/>
      </c>
      <c r="CQ811" s="119" t="str">
        <f t="shared" ref="CQ811:CQ861" si="1165">+IF(OR($W811="",CO811=0),"",ROUND((CR811/CO811),6))</f>
        <v/>
      </c>
      <c r="CR811" s="66" t="str">
        <f>+IF($W811="","",ROUND((VLOOKUP(Parámetros!$F$51,'COBERTURAS ADICIONALES'!$S$4:$T$32,2,FALSE)*(1+i/frec)^-0.5*(1+Parámetros!$D$103)*(1+rec_fracc)/frec*$CO$42),2))</f>
        <v/>
      </c>
      <c r="CS811" s="119" t="str">
        <f t="shared" ref="CS811:CS861" si="1166">+IF(OR($W811="",CO811=0),"",ROUND((CT811/CO811),6))</f>
        <v/>
      </c>
      <c r="CT811" s="66" t="str">
        <f>+IF($W811="","",ROUND(IF($B811&gt;Parámetros!$D$107,'Tablas Servicio'!CR811+('Tablas Servicio'!CT810-'Tablas Servicio'!CR810),CR811/(1-IF(B811&lt;=10,Parámetros!$D$100,0))),2))</f>
        <v/>
      </c>
      <c r="CU811" s="66" t="str">
        <f t="shared" ref="CU811:CV842" si="1167">+IF($W811="","",0)</f>
        <v/>
      </c>
      <c r="CV811" s="66" t="str">
        <f t="shared" si="1167"/>
        <v/>
      </c>
      <c r="CW811" s="66" t="str">
        <f>+IF($W811="","",ROUND((CT811*Parámetros!$G$85),2))</f>
        <v/>
      </c>
      <c r="CX811" s="66" t="str">
        <f>+IF($W811="","",ROUND((CT811*(Parámetros!$G$86)),2))</f>
        <v/>
      </c>
      <c r="CY811" s="66" t="str">
        <f t="shared" ref="CY811:CY861" si="1168">+IF($W811="","",ROUND((CT811+CW811+CX811),2))</f>
        <v/>
      </c>
      <c r="CZ811" t="str">
        <f t="shared" si="1114"/>
        <v/>
      </c>
      <c r="DA811" s="118" t="str">
        <f t="shared" si="1115"/>
        <v/>
      </c>
      <c r="DB811" s="118" t="str">
        <f t="shared" si="1116"/>
        <v/>
      </c>
      <c r="DC811" s="118" t="str">
        <f t="shared" si="1117"/>
        <v/>
      </c>
      <c r="DD811" s="121" t="str">
        <f>+IF(OR($W811="",DB811=0),"",ROUND((VLOOKUP(ROUNDDOWN($D811-1/frec,0),cob_adi,CO$40,FALSE)*(1+i/frec)^-0.5*(1+Parámetros!$D$103)*(1+rec_fracc)/frec),6))</f>
        <v/>
      </c>
      <c r="DE811" s="66" t="str">
        <f t="shared" ref="DE811:DE861" si="1169">+IF(DB811=0,0,IF($W811="","",ROUND(((DD811*DB811)),2)))</f>
        <v/>
      </c>
      <c r="DF811" s="119" t="str">
        <f t="shared" ref="DF811:DF861" si="1170">+IF(OR($W811="",DB811=0),"",ROUND((DG811/DB811),6))</f>
        <v/>
      </c>
      <c r="DG811" s="66" t="str">
        <f>+IF($W811="","",ROUND(IF($B811&gt;Parámetros!$D$107,'Tablas Servicio'!DE811+('Tablas Servicio'!DG810-'Tablas Servicio'!DE810),DE811/(1-IF(B811&lt;=10,Parámetros!$D$100,0))),2))</f>
        <v/>
      </c>
      <c r="DH811" s="66" t="str">
        <f t="shared" ref="DH811:DI842" si="1171">+IF($W811="","",0)</f>
        <v/>
      </c>
      <c r="DI811" s="66" t="str">
        <f t="shared" si="1171"/>
        <v/>
      </c>
      <c r="DJ811" s="66" t="str">
        <f>+IF($W811="","",ROUND((DG811*Parámetros!$G$85),2))</f>
        <v/>
      </c>
      <c r="DK811" s="66" t="str">
        <f>+IF($W811="","",ROUND((DG811*(Parámetros!$G$86)),2))</f>
        <v/>
      </c>
      <c r="DL811" s="66" t="str">
        <f t="shared" ref="DL811:DL861" si="1172">+IF($W811="","",ROUND((DG811+DJ811+DK811),2))</f>
        <v/>
      </c>
      <c r="DM811" t="str">
        <f t="shared" si="1118"/>
        <v/>
      </c>
      <c r="DN811" s="118" t="str">
        <f t="shared" si="1119"/>
        <v/>
      </c>
      <c r="DO811" s="118" t="str">
        <f t="shared" si="1120"/>
        <v/>
      </c>
      <c r="DP811" s="118" t="str">
        <f t="shared" si="1121"/>
        <v/>
      </c>
      <c r="DQ811" s="122" t="str">
        <f>+IF(OR($W811="",DO811=0),"",ROUND((VLOOKUP(ROUNDDOWN($D811-1/frec,0),cob_adi,DB$40,FALSE)*(1+i/frec)^-0.5*(1+Parámetros!$D$103)*(1+rec_fracc)/frec),6))</f>
        <v/>
      </c>
      <c r="DR811" s="66" t="str">
        <f t="shared" ref="DR811:DR861" si="1173">+IF(DO811=0,0,IF($W811="","",ROUND(((DQ811*DO811)),2)))</f>
        <v/>
      </c>
      <c r="DS811" s="68" t="str">
        <f t="shared" ref="DS811:DS861" si="1174">+IF(OR($W811="",DO811=0),"",ROUND((DT811/DO811),6))</f>
        <v/>
      </c>
      <c r="DT811" s="66" t="str">
        <f>+IF($W811="","",ROUND(IF($B811&gt;Parámetros!$D$107,'Tablas Servicio'!DR811+('Tablas Servicio'!DT810-'Tablas Servicio'!DR810),DR811/(1-IF(B811&lt;=10,Parámetros!$D$100,0))),2))</f>
        <v/>
      </c>
      <c r="DU811" s="66" t="str">
        <f t="shared" ref="DU811:DV842" si="1175">+IF($W811="","",0)</f>
        <v/>
      </c>
      <c r="DV811" s="66" t="str">
        <f t="shared" si="1175"/>
        <v/>
      </c>
      <c r="DW811" s="66" t="str">
        <f>+IF($W811="","",ROUND((DT811*Parámetros!$G$85),2))</f>
        <v/>
      </c>
      <c r="DX811" s="66" t="str">
        <f>+IF($W811="","",ROUND((DT811*(Parámetros!$G$86)),2))</f>
        <v/>
      </c>
      <c r="DY811" s="66" t="str">
        <f t="shared" ref="DY811:DY861" si="1176">+IF($W811="","",ROUND((DT811+DW811+DX811),2))</f>
        <v/>
      </c>
      <c r="DZ811" t="str">
        <f t="shared" ref="DZ811:EC826" si="1177">+IF($W811="","",DZ810)</f>
        <v/>
      </c>
      <c r="EA811" s="118" t="str">
        <f t="shared" si="1177"/>
        <v/>
      </c>
      <c r="EB811" s="118" t="str">
        <f>+IF($W811="","",ROUND(IF(Parámetros!$D$25='TABLAS MORT'!$V$33,EB810,Z811/2),0))</f>
        <v/>
      </c>
      <c r="EC811" s="118" t="str">
        <f t="shared" si="1177"/>
        <v/>
      </c>
      <c r="ED811" s="122" t="str">
        <f>+IF(OR($W811="",EB811=0),"",ROUND((VLOOKUP(ROUNDDOWN($D811-1/frec,0),cob_adi,DO$40,FALSE)*(1+i/frec)^-0.5*(1+Parámetros!$D$103)*(1+rec_fracc)/frec),6))</f>
        <v/>
      </c>
      <c r="EE811" s="66" t="str">
        <f t="shared" ref="EE811:EE861" si="1178">+IF(EB811=0,0,IF($W811="","",ROUND(((ED811*EB811)),2)))</f>
        <v/>
      </c>
      <c r="EF811" s="68" t="str">
        <f t="shared" ref="EF811:EF861" si="1179">+IF(OR($W811="",EB811=0),"",ROUND((EG811/EB811),6))</f>
        <v/>
      </c>
      <c r="EG811" s="66" t="str">
        <f>+IF($W811="","",ROUND(IF($B811&gt;Parámetros!$D$107,'Tablas Servicio'!EE811+('Tablas Servicio'!EG810-'Tablas Servicio'!EE810),EE811/(1-IF(B811&lt;=10,Parámetros!$D$100,0))),2))</f>
        <v/>
      </c>
      <c r="EH811" s="66" t="str">
        <f t="shared" ref="EH811:EI842" si="1180">+IF($W811="","",0)</f>
        <v/>
      </c>
      <c r="EI811" s="66" t="str">
        <f t="shared" si="1180"/>
        <v/>
      </c>
      <c r="EJ811" s="66" t="str">
        <f>+IF($W811="","",ROUND((EG811*Parámetros!$G$85),2))</f>
        <v/>
      </c>
      <c r="EK811" s="66" t="str">
        <f>+IF($W811="","",ROUND((EG811*(Parámetros!$G$86)),2))</f>
        <v/>
      </c>
      <c r="EL811" s="66" t="str">
        <f t="shared" ref="EL811:EL861" si="1181">+IF($W811="","",ROUND((EG811+EJ811+EK811),2))</f>
        <v/>
      </c>
    </row>
    <row r="812" spans="1:142" x14ac:dyDescent="0.25">
      <c r="A812" t="str">
        <f>+IF($C812="","",ROUND(VLOOKUP('Tablas Servicio'!B812,Parámetros!$H$100:$J$159,IF(Parámetros!$E$16="F",2,3),FALSE),2))</f>
        <v/>
      </c>
      <c r="B812" t="str">
        <f t="shared" si="1132"/>
        <v/>
      </c>
      <c r="C812" s="57" t="str">
        <f>+IF(D812="","",'Tablas Servicio'!C811+1)</f>
        <v/>
      </c>
      <c r="D812" s="56" t="str">
        <f>+IF(D811&lt;edadmaxtabla,D811+1/Parámetros!$E$25,"")</f>
        <v/>
      </c>
      <c r="E812" s="57" t="str">
        <f t="shared" si="1142"/>
        <v/>
      </c>
      <c r="F812" s="59" t="str">
        <f t="shared" si="1143"/>
        <v/>
      </c>
      <c r="G812" s="66" t="str">
        <f t="shared" si="1133"/>
        <v/>
      </c>
      <c r="H812" s="66" t="str">
        <f t="shared" si="1134"/>
        <v/>
      </c>
      <c r="I812" s="66" t="str">
        <f t="shared" si="1087"/>
        <v/>
      </c>
      <c r="J812" s="66" t="str">
        <f t="shared" si="1135"/>
        <v/>
      </c>
      <c r="K812" s="66" t="str">
        <f t="shared" si="1136"/>
        <v/>
      </c>
      <c r="L812" s="66" t="str">
        <f t="shared" si="1137"/>
        <v/>
      </c>
      <c r="M812" s="66" t="str">
        <f t="shared" si="1138"/>
        <v/>
      </c>
      <c r="N812" s="66" t="str">
        <f>+IF(C812="","",ROUND(Parámetros!$D$23,2))</f>
        <v/>
      </c>
      <c r="O812" s="66" t="str">
        <f t="shared" si="1139"/>
        <v/>
      </c>
      <c r="P812" s="66" t="str">
        <f>+IF($C812="","",ROUND(IF(B812&gt;Parámetros!$D$117,0,N812*Parámetros!$D$116-G812*Parámetros!$D$100),2))</f>
        <v/>
      </c>
      <c r="Q812" s="75" t="str">
        <f t="shared" si="1088"/>
        <v/>
      </c>
      <c r="R812" s="75" t="str">
        <f t="shared" si="1089"/>
        <v/>
      </c>
      <c r="S812" s="117" t="str">
        <f>+IF($C812="","",ROUND((S811+I812)*(1+Parámetros!$D$91),2))</f>
        <v/>
      </c>
      <c r="T812" s="117" t="str">
        <f>+IF($C812="","",ROUND(S812*VLOOKUP(B812,Parámetros!$C$30:$D$39,2,TRUE),2))</f>
        <v/>
      </c>
      <c r="U812" s="117" t="str">
        <f>+IF($C812="","",ROUND((U811+I812)*(1+Parámetros!$D$92),2))</f>
        <v/>
      </c>
      <c r="V812" s="117" t="str">
        <f>+IF($C812="","",ROUND(U812*VLOOKUP(B812,Parámetros!$C$30:$D$39,2,TRUE),2))</f>
        <v/>
      </c>
      <c r="W812" s="57" t="str">
        <f t="shared" si="1090"/>
        <v/>
      </c>
      <c r="X812" t="str">
        <f t="shared" si="1091"/>
        <v/>
      </c>
      <c r="Y812" t="str">
        <f t="shared" si="1092"/>
        <v/>
      </c>
      <c r="Z812" s="118" t="str">
        <f>+IF($W812="","",ROUND(IF(Parámetros!$D$25='TABLAS MORT'!$V$33,Z811,Parámetros!$D$21-'Tablas Servicio'!T811),0))</f>
        <v/>
      </c>
      <c r="AA812" s="118" t="str">
        <f t="shared" si="1093"/>
        <v/>
      </c>
      <c r="AB812" s="119" t="str">
        <f>+IF(W812="","",ROUND((VLOOKUP(ROUNDDOWN($D812-1/frec,0),qx_tabla,2,FALSE)*(1+i/frec)^-0.5*(1+Parámetros!$D$103)*(1+rec_fracc)/frec),6))</f>
        <v/>
      </c>
      <c r="AC812" s="66" t="str">
        <f t="shared" si="1144"/>
        <v/>
      </c>
      <c r="AD812" s="119" t="str">
        <f t="shared" si="1140"/>
        <v/>
      </c>
      <c r="AE812" s="66" t="str">
        <f>+IF($W812="","",ROUND(IF($B812&gt;Parámetros!$D$107,'Tablas Servicio'!AC812+('Tablas Servicio'!AG811-'Tablas Servicio'!AC811),AC812/(1-IF(B812&lt;=10,Parámetros!$D$104,Parámetros!$D$105))),2))</f>
        <v/>
      </c>
      <c r="AF812" s="66" t="str">
        <f>+IF($W812="","",ROUND(IF($B812&gt;Parámetros!$D$107,'Tablas Servicio'!AC812+('Tablas Servicio'!AG811-'Tablas Servicio'!AC811),(AC812+$A811/frec)/(1-IF(B812&lt;=Parámetros!$D$117,Parámetros!$D$100,0))),2))</f>
        <v/>
      </c>
      <c r="AG812" s="66" t="str">
        <f t="shared" si="1145"/>
        <v/>
      </c>
      <c r="AH812" s="66" t="str">
        <f t="shared" si="1146"/>
        <v/>
      </c>
      <c r="AI812" s="66" t="str">
        <f t="shared" si="1147"/>
        <v/>
      </c>
      <c r="AJ812" s="66" t="str">
        <f>+IF($W812="","",ROUND((AG812*Parámetros!$G$85),2))</f>
        <v/>
      </c>
      <c r="AK812" s="66" t="str">
        <f>+IF($W812="","",ROUND((AG812*(Parámetros!$G$86)),2))</f>
        <v/>
      </c>
      <c r="AL812" s="66" t="str">
        <f t="shared" si="1141"/>
        <v/>
      </c>
      <c r="AM812" t="str">
        <f t="shared" si="1094"/>
        <v/>
      </c>
      <c r="AN812" t="str">
        <f t="shared" si="1095"/>
        <v/>
      </c>
      <c r="AO812" s="118" t="str">
        <f t="shared" si="1096"/>
        <v/>
      </c>
      <c r="AP812" s="118" t="str">
        <f t="shared" si="1097"/>
        <v/>
      </c>
      <c r="AQ812" s="119" t="str">
        <f>+IF(OR($W812="",AO812=0),"",ROUND((VLOOKUP(ROUNDDOWN($D812-1/frec,0),cob_adi,Z$40,FALSE)*(1+i/frec)^-0.5*(1+Parámetros!$D$103)*(1+rec_fracc)/frec),6))</f>
        <v/>
      </c>
      <c r="AR812" s="66" t="str">
        <f t="shared" si="1148"/>
        <v/>
      </c>
      <c r="AS812" s="119" t="str">
        <f t="shared" si="1149"/>
        <v/>
      </c>
      <c r="AT812" s="66" t="str">
        <f>+IF($W812="","",ROUND(IF($B812&gt;Parámetros!$D$107,'Tablas Servicio'!AR812+('Tablas Servicio'!AT811-'Tablas Servicio'!AR811),AR812/(1-IF(B812&lt;=10,Parámetros!$D$100,0))),2))</f>
        <v/>
      </c>
      <c r="AU812" s="66" t="str">
        <f t="shared" si="1150"/>
        <v/>
      </c>
      <c r="AV812" s="66" t="str">
        <f t="shared" si="1150"/>
        <v/>
      </c>
      <c r="AW812" s="66" t="str">
        <f>+IF($W812="","",ROUND((AT812*Parámetros!$G$85),2))</f>
        <v/>
      </c>
      <c r="AX812" s="66" t="str">
        <f>+IF($W812="","",ROUND((AT812*(Parámetros!$G$86)),2))</f>
        <v/>
      </c>
      <c r="AY812" s="66" t="str">
        <f t="shared" si="1151"/>
        <v/>
      </c>
      <c r="AZ812" t="str">
        <f t="shared" si="1098"/>
        <v/>
      </c>
      <c r="BA812" t="str">
        <f t="shared" si="1099"/>
        <v/>
      </c>
      <c r="BB812" s="118" t="str">
        <f t="shared" si="1100"/>
        <v/>
      </c>
      <c r="BC812" s="118" t="str">
        <f t="shared" si="1101"/>
        <v/>
      </c>
      <c r="BD812" s="119" t="str">
        <f>+IF(OR($W812="",BB812=0),"",ROUND((VLOOKUP(ROUNDDOWN($D812-1/frec,0),cob_adi,AO$40,FALSE)*(1+i/frec)^-0.5*(1+Parámetros!$D$103)*(1+rec_fracc)/frec),6))</f>
        <v/>
      </c>
      <c r="BE812" s="66" t="str">
        <f t="shared" si="1152"/>
        <v/>
      </c>
      <c r="BF812" s="119" t="str">
        <f t="shared" si="1153"/>
        <v/>
      </c>
      <c r="BG812" s="66" t="str">
        <f>+IF($W812="","",ROUND(IF($B812&gt;Parámetros!$D$107,'Tablas Servicio'!BE812+('Tablas Servicio'!BG811-'Tablas Servicio'!BE811),BE812/(1-IF(B812&lt;=10,Parámetros!$D$100,0))),2))</f>
        <v/>
      </c>
      <c r="BH812" s="66" t="str">
        <f t="shared" si="1154"/>
        <v/>
      </c>
      <c r="BI812" s="66" t="str">
        <f t="shared" si="1155"/>
        <v/>
      </c>
      <c r="BJ812" s="66" t="str">
        <f>+IF($W812="","",ROUND((BG812*Parámetros!$G$85),2))</f>
        <v/>
      </c>
      <c r="BK812" s="66" t="str">
        <f>+IF($W812="","",ROUND((BG812*(Parámetros!$G$86)),2))</f>
        <v/>
      </c>
      <c r="BL812" s="66" t="str">
        <f t="shared" si="1156"/>
        <v/>
      </c>
      <c r="BM812" t="str">
        <f t="shared" si="1102"/>
        <v/>
      </c>
      <c r="BN812" t="str">
        <f t="shared" si="1103"/>
        <v/>
      </c>
      <c r="BO812" s="118" t="str">
        <f t="shared" si="1104"/>
        <v/>
      </c>
      <c r="BP812" s="118" t="str">
        <f t="shared" si="1105"/>
        <v/>
      </c>
      <c r="BQ812" s="119" t="str">
        <f>+IF(OR($W812="",BO812=0),"",ROUND((VLOOKUP(ROUNDDOWN($D812-1/frec,0),cob_adi,BB$40,FALSE)*(1+i/frec)^-0.5*(1+Parámetros!$D$103)*(1+rec_fracc)/frec),6))</f>
        <v/>
      </c>
      <c r="BR812" s="66" t="str">
        <f t="shared" si="1157"/>
        <v/>
      </c>
      <c r="BS812" s="119" t="str">
        <f t="shared" si="1158"/>
        <v/>
      </c>
      <c r="BT812" s="66" t="str">
        <f>+IF($W812="","",ROUND(IF($B812&gt;Parámetros!$D$107,'Tablas Servicio'!BR812+('Tablas Servicio'!BT811-'Tablas Servicio'!BR811),BR812/(1-IF(B812&lt;=10,Parámetros!$D$100,0))),2))</f>
        <v/>
      </c>
      <c r="BU812" s="66" t="str">
        <f t="shared" si="1159"/>
        <v/>
      </c>
      <c r="BV812" s="66" t="str">
        <f t="shared" si="1159"/>
        <v/>
      </c>
      <c r="BW812" s="66" t="str">
        <f>+IF($W812="","",ROUND((BT812*Parámetros!$G$85),2))</f>
        <v/>
      </c>
      <c r="BX812" s="66" t="str">
        <f>+IF($W812="","",ROUND((BT812*(Parámetros!$G$86)),2))</f>
        <v/>
      </c>
      <c r="BY812" s="66" t="str">
        <f t="shared" si="1160"/>
        <v/>
      </c>
      <c r="BZ812" t="str">
        <f t="shared" si="1106"/>
        <v/>
      </c>
      <c r="CA812" t="str">
        <f t="shared" si="1107"/>
        <v/>
      </c>
      <c r="CB812" s="118" t="str">
        <f t="shared" si="1108"/>
        <v/>
      </c>
      <c r="CC812" s="118" t="str">
        <f t="shared" si="1109"/>
        <v/>
      </c>
      <c r="CD812" s="119" t="str">
        <f t="shared" si="1161"/>
        <v/>
      </c>
      <c r="CE812" s="66" t="str">
        <f>+IF($W812="","",ROUND((VLOOKUP(ROUNDDOWN($D812-1/frec,0),cob_adi,BO$40,FALSE)*(1+i/frec)^-0.5*(1+Parámetros!$D$103)*(1+rec_fracc)/frec*'TABLAS ADI'!$BC$17),2))</f>
        <v/>
      </c>
      <c r="CF812" s="119" t="str">
        <f t="shared" si="1162"/>
        <v/>
      </c>
      <c r="CG812" s="66" t="str">
        <f>+IF($W812="","",ROUND(IF($B812&gt;Parámetros!$D$107,'Tablas Servicio'!CE812+('Tablas Servicio'!CG811-'Tablas Servicio'!CE811),CE812/(1-IF(B812&lt;=10,Parámetros!$D$100,0))),2))</f>
        <v/>
      </c>
      <c r="CH812" s="66" t="str">
        <f t="shared" si="1163"/>
        <v/>
      </c>
      <c r="CI812" s="66" t="str">
        <f t="shared" si="1163"/>
        <v/>
      </c>
      <c r="CJ812" s="66" t="str">
        <f>+IF($W812="","",ROUND((CG812*Parámetros!$G$85),2))</f>
        <v/>
      </c>
      <c r="CK812" s="66" t="str">
        <f>+IF($W812="","",ROUND((CG812*(Parámetros!$G$86)),2))</f>
        <v/>
      </c>
      <c r="CL812" s="66" t="str">
        <f t="shared" si="1164"/>
        <v/>
      </c>
      <c r="CM812" t="str">
        <f t="shared" si="1110"/>
        <v/>
      </c>
      <c r="CN812" s="118" t="str">
        <f t="shared" si="1111"/>
        <v/>
      </c>
      <c r="CO812" s="118" t="str">
        <f t="shared" si="1112"/>
        <v/>
      </c>
      <c r="CP812" s="118" t="str">
        <f t="shared" si="1113"/>
        <v/>
      </c>
      <c r="CQ812" s="119" t="str">
        <f t="shared" si="1165"/>
        <v/>
      </c>
      <c r="CR812" s="66" t="str">
        <f>+IF($W812="","",ROUND((VLOOKUP(Parámetros!$F$51,'COBERTURAS ADICIONALES'!$S$4:$T$32,2,FALSE)*(1+i/frec)^-0.5*(1+Parámetros!$D$103)*(1+rec_fracc)/frec*$CO$42),2))</f>
        <v/>
      </c>
      <c r="CS812" s="119" t="str">
        <f t="shared" si="1166"/>
        <v/>
      </c>
      <c r="CT812" s="66" t="str">
        <f>+IF($W812="","",ROUND(IF($B812&gt;Parámetros!$D$107,'Tablas Servicio'!CR812+('Tablas Servicio'!CT811-'Tablas Servicio'!CR811),CR812/(1-IF(B812&lt;=10,Parámetros!$D$100,0))),2))</f>
        <v/>
      </c>
      <c r="CU812" s="66" t="str">
        <f t="shared" si="1167"/>
        <v/>
      </c>
      <c r="CV812" s="66" t="str">
        <f t="shared" si="1167"/>
        <v/>
      </c>
      <c r="CW812" s="66" t="str">
        <f>+IF($W812="","",ROUND((CT812*Parámetros!$G$85),2))</f>
        <v/>
      </c>
      <c r="CX812" s="66" t="str">
        <f>+IF($W812="","",ROUND((CT812*(Parámetros!$G$86)),2))</f>
        <v/>
      </c>
      <c r="CY812" s="66" t="str">
        <f t="shared" si="1168"/>
        <v/>
      </c>
      <c r="CZ812" t="str">
        <f t="shared" si="1114"/>
        <v/>
      </c>
      <c r="DA812" s="118" t="str">
        <f t="shared" si="1115"/>
        <v/>
      </c>
      <c r="DB812" s="118" t="str">
        <f t="shared" si="1116"/>
        <v/>
      </c>
      <c r="DC812" s="118" t="str">
        <f t="shared" si="1117"/>
        <v/>
      </c>
      <c r="DD812" s="121" t="str">
        <f>+IF(OR($W812="",DB812=0),"",ROUND((VLOOKUP(ROUNDDOWN($D812-1/frec,0),cob_adi,CO$40,FALSE)*(1+i/frec)^-0.5*(1+Parámetros!$D$103)*(1+rec_fracc)/frec),6))</f>
        <v/>
      </c>
      <c r="DE812" s="66" t="str">
        <f t="shared" si="1169"/>
        <v/>
      </c>
      <c r="DF812" s="119" t="str">
        <f t="shared" si="1170"/>
        <v/>
      </c>
      <c r="DG812" s="66" t="str">
        <f>+IF($W812="","",ROUND(IF($B812&gt;Parámetros!$D$107,'Tablas Servicio'!DE812+('Tablas Servicio'!DG811-'Tablas Servicio'!DE811),DE812/(1-IF(B812&lt;=10,Parámetros!$D$100,0))),2))</f>
        <v/>
      </c>
      <c r="DH812" s="66" t="str">
        <f t="shared" si="1171"/>
        <v/>
      </c>
      <c r="DI812" s="66" t="str">
        <f t="shared" si="1171"/>
        <v/>
      </c>
      <c r="DJ812" s="66" t="str">
        <f>+IF($W812="","",ROUND((DG812*Parámetros!$G$85),2))</f>
        <v/>
      </c>
      <c r="DK812" s="66" t="str">
        <f>+IF($W812="","",ROUND((DG812*(Parámetros!$G$86)),2))</f>
        <v/>
      </c>
      <c r="DL812" s="66" t="str">
        <f t="shared" si="1172"/>
        <v/>
      </c>
      <c r="DM812" t="str">
        <f t="shared" si="1118"/>
        <v/>
      </c>
      <c r="DN812" s="118" t="str">
        <f t="shared" si="1119"/>
        <v/>
      </c>
      <c r="DO812" s="118" t="str">
        <f t="shared" si="1120"/>
        <v/>
      </c>
      <c r="DP812" s="118" t="str">
        <f t="shared" si="1121"/>
        <v/>
      </c>
      <c r="DQ812" s="122" t="str">
        <f>+IF(OR($W812="",DO812=0),"",ROUND((VLOOKUP(ROUNDDOWN($D812-1/frec,0),cob_adi,DB$40,FALSE)*(1+i/frec)^-0.5*(1+Parámetros!$D$103)*(1+rec_fracc)/frec),6))</f>
        <v/>
      </c>
      <c r="DR812" s="66" t="str">
        <f t="shared" si="1173"/>
        <v/>
      </c>
      <c r="DS812" s="68" t="str">
        <f t="shared" si="1174"/>
        <v/>
      </c>
      <c r="DT812" s="66" t="str">
        <f>+IF($W812="","",ROUND(IF($B812&gt;Parámetros!$D$107,'Tablas Servicio'!DR812+('Tablas Servicio'!DT811-'Tablas Servicio'!DR811),DR812/(1-IF(B812&lt;=10,Parámetros!$D$100,0))),2))</f>
        <v/>
      </c>
      <c r="DU812" s="66" t="str">
        <f t="shared" si="1175"/>
        <v/>
      </c>
      <c r="DV812" s="66" t="str">
        <f t="shared" si="1175"/>
        <v/>
      </c>
      <c r="DW812" s="66" t="str">
        <f>+IF($W812="","",ROUND((DT812*Parámetros!$G$85),2))</f>
        <v/>
      </c>
      <c r="DX812" s="66" t="str">
        <f>+IF($W812="","",ROUND((DT812*(Parámetros!$G$86)),2))</f>
        <v/>
      </c>
      <c r="DY812" s="66" t="str">
        <f t="shared" si="1176"/>
        <v/>
      </c>
      <c r="DZ812" t="str">
        <f t="shared" si="1177"/>
        <v/>
      </c>
      <c r="EA812" s="118" t="str">
        <f t="shared" si="1177"/>
        <v/>
      </c>
      <c r="EB812" s="118" t="str">
        <f>+IF($W812="","",ROUND(IF(Parámetros!$D$25='TABLAS MORT'!$V$33,EB811,Z812/2),0))</f>
        <v/>
      </c>
      <c r="EC812" s="118" t="str">
        <f t="shared" si="1177"/>
        <v/>
      </c>
      <c r="ED812" s="122" t="str">
        <f>+IF(OR($W812="",EB812=0),"",ROUND((VLOOKUP(ROUNDDOWN($D812-1/frec,0),cob_adi,DO$40,FALSE)*(1+i/frec)^-0.5*(1+Parámetros!$D$103)*(1+rec_fracc)/frec),6))</f>
        <v/>
      </c>
      <c r="EE812" s="66" t="str">
        <f t="shared" si="1178"/>
        <v/>
      </c>
      <c r="EF812" s="68" t="str">
        <f t="shared" si="1179"/>
        <v/>
      </c>
      <c r="EG812" s="66" t="str">
        <f>+IF($W812="","",ROUND(IF($B812&gt;Parámetros!$D$107,'Tablas Servicio'!EE812+('Tablas Servicio'!EG811-'Tablas Servicio'!EE811),EE812/(1-IF(B812&lt;=10,Parámetros!$D$100,0))),2))</f>
        <v/>
      </c>
      <c r="EH812" s="66" t="str">
        <f t="shared" si="1180"/>
        <v/>
      </c>
      <c r="EI812" s="66" t="str">
        <f t="shared" si="1180"/>
        <v/>
      </c>
      <c r="EJ812" s="66" t="str">
        <f>+IF($W812="","",ROUND((EG812*Parámetros!$G$85),2))</f>
        <v/>
      </c>
      <c r="EK812" s="66" t="str">
        <f>+IF($W812="","",ROUND((EG812*(Parámetros!$G$86)),2))</f>
        <v/>
      </c>
      <c r="EL812" s="66" t="str">
        <f t="shared" si="1181"/>
        <v/>
      </c>
    </row>
    <row r="813" spans="1:142" x14ac:dyDescent="0.25">
      <c r="A813" t="str">
        <f>+IF($C813="","",ROUND(VLOOKUP('Tablas Servicio'!B813,Parámetros!$H$100:$J$159,IF(Parámetros!$E$16="F",2,3),FALSE),2))</f>
        <v/>
      </c>
      <c r="B813" t="str">
        <f t="shared" si="1132"/>
        <v/>
      </c>
      <c r="C813" s="57" t="str">
        <f>+IF(D813="","",'Tablas Servicio'!C812+1)</f>
        <v/>
      </c>
      <c r="D813" s="56" t="str">
        <f>+IF(D812&lt;edadmaxtabla,D812+1/Parámetros!$E$25,"")</f>
        <v/>
      </c>
      <c r="E813" s="57" t="str">
        <f t="shared" si="1142"/>
        <v/>
      </c>
      <c r="F813" s="59" t="str">
        <f t="shared" si="1143"/>
        <v/>
      </c>
      <c r="G813" s="66" t="str">
        <f t="shared" si="1133"/>
        <v/>
      </c>
      <c r="H813" s="66" t="str">
        <f t="shared" si="1134"/>
        <v/>
      </c>
      <c r="I813" s="66" t="str">
        <f t="shared" si="1087"/>
        <v/>
      </c>
      <c r="J813" s="66" t="str">
        <f t="shared" si="1135"/>
        <v/>
      </c>
      <c r="K813" s="66" t="str">
        <f t="shared" si="1136"/>
        <v/>
      </c>
      <c r="L813" s="66" t="str">
        <f t="shared" si="1137"/>
        <v/>
      </c>
      <c r="M813" s="66" t="str">
        <f t="shared" si="1138"/>
        <v/>
      </c>
      <c r="N813" s="66" t="str">
        <f>+IF(C813="","",ROUND(Parámetros!$D$23,2))</f>
        <v/>
      </c>
      <c r="O813" s="66" t="str">
        <f t="shared" si="1139"/>
        <v/>
      </c>
      <c r="P813" s="66" t="str">
        <f>+IF($C813="","",ROUND(IF(B813&gt;Parámetros!$D$117,0,N813*Parámetros!$D$116-G813*Parámetros!$D$100),2))</f>
        <v/>
      </c>
      <c r="Q813" s="75" t="str">
        <f t="shared" si="1088"/>
        <v/>
      </c>
      <c r="R813" s="75" t="str">
        <f t="shared" si="1089"/>
        <v/>
      </c>
      <c r="S813" s="117" t="str">
        <f>+IF($C813="","",ROUND((S812+I813)*(1+Parámetros!$D$91),2))</f>
        <v/>
      </c>
      <c r="T813" s="117" t="str">
        <f>+IF($C813="","",ROUND(S813*VLOOKUP(B813,Parámetros!$C$30:$D$39,2,TRUE),2))</f>
        <v/>
      </c>
      <c r="U813" s="117" t="str">
        <f>+IF($C813="","",ROUND((U812+I813)*(1+Parámetros!$D$92),2))</f>
        <v/>
      </c>
      <c r="V813" s="117" t="str">
        <f>+IF($C813="","",ROUND(U813*VLOOKUP(B813,Parámetros!$C$30:$D$39,2,TRUE),2))</f>
        <v/>
      </c>
      <c r="W813" s="57" t="str">
        <f t="shared" si="1090"/>
        <v/>
      </c>
      <c r="X813" t="str">
        <f t="shared" si="1091"/>
        <v/>
      </c>
      <c r="Y813" t="str">
        <f t="shared" si="1092"/>
        <v/>
      </c>
      <c r="Z813" s="118" t="str">
        <f>+IF($W813="","",ROUND(IF(Parámetros!$D$25='TABLAS MORT'!$V$33,Z812,Parámetros!$D$21-'Tablas Servicio'!T812),0))</f>
        <v/>
      </c>
      <c r="AA813" s="118" t="str">
        <f t="shared" si="1093"/>
        <v/>
      </c>
      <c r="AB813" s="119" t="str">
        <f>+IF(W813="","",ROUND((VLOOKUP(ROUNDDOWN($D813-1/frec,0),qx_tabla,2,FALSE)*(1+i/frec)^-0.5*(1+Parámetros!$D$103)*(1+rec_fracc)/frec),6))</f>
        <v/>
      </c>
      <c r="AC813" s="66" t="str">
        <f t="shared" si="1144"/>
        <v/>
      </c>
      <c r="AD813" s="119" t="str">
        <f t="shared" si="1140"/>
        <v/>
      </c>
      <c r="AE813" s="66" t="str">
        <f>+IF($W813="","",ROUND(IF($B813&gt;Parámetros!$D$107,'Tablas Servicio'!AC813+('Tablas Servicio'!AG812-'Tablas Servicio'!AC812),AC813/(1-IF(B813&lt;=10,Parámetros!$D$104,Parámetros!$D$105))),2))</f>
        <v/>
      </c>
      <c r="AF813" s="66" t="str">
        <f>+IF($W813="","",ROUND(IF($B813&gt;Parámetros!$D$107,'Tablas Servicio'!AC813+('Tablas Servicio'!AG812-'Tablas Servicio'!AC812),(AC813+$A812/frec)/(1-IF(B813&lt;=Parámetros!$D$117,Parámetros!$D$100,0))),2))</f>
        <v/>
      </c>
      <c r="AG813" s="66" t="str">
        <f t="shared" si="1145"/>
        <v/>
      </c>
      <c r="AH813" s="66" t="str">
        <f t="shared" si="1146"/>
        <v/>
      </c>
      <c r="AI813" s="66" t="str">
        <f t="shared" si="1147"/>
        <v/>
      </c>
      <c r="AJ813" s="66" t="str">
        <f>+IF($W813="","",ROUND((AG813*Parámetros!$G$85),2))</f>
        <v/>
      </c>
      <c r="AK813" s="66" t="str">
        <f>+IF($W813="","",ROUND((AG813*(Parámetros!$G$86)),2))</f>
        <v/>
      </c>
      <c r="AL813" s="66" t="str">
        <f t="shared" si="1141"/>
        <v/>
      </c>
      <c r="AM813" t="str">
        <f t="shared" si="1094"/>
        <v/>
      </c>
      <c r="AN813" t="str">
        <f t="shared" si="1095"/>
        <v/>
      </c>
      <c r="AO813" s="118" t="str">
        <f t="shared" si="1096"/>
        <v/>
      </c>
      <c r="AP813" s="118" t="str">
        <f t="shared" si="1097"/>
        <v/>
      </c>
      <c r="AQ813" s="119" t="str">
        <f>+IF(OR($W813="",AO813=0),"",ROUND((VLOOKUP(ROUNDDOWN($D813-1/frec,0),cob_adi,Z$40,FALSE)*(1+i/frec)^-0.5*(1+Parámetros!$D$103)*(1+rec_fracc)/frec),6))</f>
        <v/>
      </c>
      <c r="AR813" s="66" t="str">
        <f t="shared" si="1148"/>
        <v/>
      </c>
      <c r="AS813" s="119" t="str">
        <f t="shared" si="1149"/>
        <v/>
      </c>
      <c r="AT813" s="66" t="str">
        <f>+IF($W813="","",ROUND(IF($B813&gt;Parámetros!$D$107,'Tablas Servicio'!AR813+('Tablas Servicio'!AT812-'Tablas Servicio'!AR812),AR813/(1-IF(B813&lt;=10,Parámetros!$D$100,0))),2))</f>
        <v/>
      </c>
      <c r="AU813" s="66" t="str">
        <f t="shared" si="1150"/>
        <v/>
      </c>
      <c r="AV813" s="66" t="str">
        <f t="shared" si="1150"/>
        <v/>
      </c>
      <c r="AW813" s="66" t="str">
        <f>+IF($W813="","",ROUND((AT813*Parámetros!$G$85),2))</f>
        <v/>
      </c>
      <c r="AX813" s="66" t="str">
        <f>+IF($W813="","",ROUND((AT813*(Parámetros!$G$86)),2))</f>
        <v/>
      </c>
      <c r="AY813" s="66" t="str">
        <f t="shared" si="1151"/>
        <v/>
      </c>
      <c r="AZ813" t="str">
        <f t="shared" si="1098"/>
        <v/>
      </c>
      <c r="BA813" t="str">
        <f t="shared" si="1099"/>
        <v/>
      </c>
      <c r="BB813" s="118" t="str">
        <f t="shared" si="1100"/>
        <v/>
      </c>
      <c r="BC813" s="118" t="str">
        <f t="shared" si="1101"/>
        <v/>
      </c>
      <c r="BD813" s="119" t="str">
        <f>+IF(OR($W813="",BB813=0),"",ROUND((VLOOKUP(ROUNDDOWN($D813-1/frec,0),cob_adi,AO$40,FALSE)*(1+i/frec)^-0.5*(1+Parámetros!$D$103)*(1+rec_fracc)/frec),6))</f>
        <v/>
      </c>
      <c r="BE813" s="66" t="str">
        <f t="shared" si="1152"/>
        <v/>
      </c>
      <c r="BF813" s="119" t="str">
        <f t="shared" si="1153"/>
        <v/>
      </c>
      <c r="BG813" s="66" t="str">
        <f>+IF($W813="","",ROUND(IF($B813&gt;Parámetros!$D$107,'Tablas Servicio'!BE813+('Tablas Servicio'!BG812-'Tablas Servicio'!BE812),BE813/(1-IF(B813&lt;=10,Parámetros!$D$100,0))),2))</f>
        <v/>
      </c>
      <c r="BH813" s="66" t="str">
        <f t="shared" si="1154"/>
        <v/>
      </c>
      <c r="BI813" s="66" t="str">
        <f t="shared" si="1155"/>
        <v/>
      </c>
      <c r="BJ813" s="66" t="str">
        <f>+IF($W813="","",ROUND((BG813*Parámetros!$G$85),2))</f>
        <v/>
      </c>
      <c r="BK813" s="66" t="str">
        <f>+IF($W813="","",ROUND((BG813*(Parámetros!$G$86)),2))</f>
        <v/>
      </c>
      <c r="BL813" s="66" t="str">
        <f t="shared" si="1156"/>
        <v/>
      </c>
      <c r="BM813" t="str">
        <f t="shared" si="1102"/>
        <v/>
      </c>
      <c r="BN813" t="str">
        <f t="shared" si="1103"/>
        <v/>
      </c>
      <c r="BO813" s="118" t="str">
        <f t="shared" si="1104"/>
        <v/>
      </c>
      <c r="BP813" s="118" t="str">
        <f t="shared" si="1105"/>
        <v/>
      </c>
      <c r="BQ813" s="119" t="str">
        <f>+IF(OR($W813="",BO813=0),"",ROUND((VLOOKUP(ROUNDDOWN($D813-1/frec,0),cob_adi,BB$40,FALSE)*(1+i/frec)^-0.5*(1+Parámetros!$D$103)*(1+rec_fracc)/frec),6))</f>
        <v/>
      </c>
      <c r="BR813" s="66" t="str">
        <f t="shared" si="1157"/>
        <v/>
      </c>
      <c r="BS813" s="119" t="str">
        <f t="shared" si="1158"/>
        <v/>
      </c>
      <c r="BT813" s="66" t="str">
        <f>+IF($W813="","",ROUND(IF($B813&gt;Parámetros!$D$107,'Tablas Servicio'!BR813+('Tablas Servicio'!BT812-'Tablas Servicio'!BR812),BR813/(1-IF(B813&lt;=10,Parámetros!$D$100,0))),2))</f>
        <v/>
      </c>
      <c r="BU813" s="66" t="str">
        <f t="shared" si="1159"/>
        <v/>
      </c>
      <c r="BV813" s="66" t="str">
        <f t="shared" si="1159"/>
        <v/>
      </c>
      <c r="BW813" s="66" t="str">
        <f>+IF($W813="","",ROUND((BT813*Parámetros!$G$85),2))</f>
        <v/>
      </c>
      <c r="BX813" s="66" t="str">
        <f>+IF($W813="","",ROUND((BT813*(Parámetros!$G$86)),2))</f>
        <v/>
      </c>
      <c r="BY813" s="66" t="str">
        <f t="shared" si="1160"/>
        <v/>
      </c>
      <c r="BZ813" t="str">
        <f t="shared" si="1106"/>
        <v/>
      </c>
      <c r="CA813" t="str">
        <f t="shared" si="1107"/>
        <v/>
      </c>
      <c r="CB813" s="118" t="str">
        <f t="shared" si="1108"/>
        <v/>
      </c>
      <c r="CC813" s="118" t="str">
        <f t="shared" si="1109"/>
        <v/>
      </c>
      <c r="CD813" s="119" t="str">
        <f t="shared" si="1161"/>
        <v/>
      </c>
      <c r="CE813" s="66" t="str">
        <f>+IF($W813="","",ROUND((VLOOKUP(ROUNDDOWN($D813-1/frec,0),cob_adi,BO$40,FALSE)*(1+i/frec)^-0.5*(1+Parámetros!$D$103)*(1+rec_fracc)/frec*'TABLAS ADI'!$BC$17),2))</f>
        <v/>
      </c>
      <c r="CF813" s="119" t="str">
        <f t="shared" si="1162"/>
        <v/>
      </c>
      <c r="CG813" s="66" t="str">
        <f>+IF($W813="","",ROUND(IF($B813&gt;Parámetros!$D$107,'Tablas Servicio'!CE813+('Tablas Servicio'!CG812-'Tablas Servicio'!CE812),CE813/(1-IF(B813&lt;=10,Parámetros!$D$100,0))),2))</f>
        <v/>
      </c>
      <c r="CH813" s="66" t="str">
        <f t="shared" si="1163"/>
        <v/>
      </c>
      <c r="CI813" s="66" t="str">
        <f t="shared" si="1163"/>
        <v/>
      </c>
      <c r="CJ813" s="66" t="str">
        <f>+IF($W813="","",ROUND((CG813*Parámetros!$G$85),2))</f>
        <v/>
      </c>
      <c r="CK813" s="66" t="str">
        <f>+IF($W813="","",ROUND((CG813*(Parámetros!$G$86)),2))</f>
        <v/>
      </c>
      <c r="CL813" s="66" t="str">
        <f t="shared" si="1164"/>
        <v/>
      </c>
      <c r="CM813" t="str">
        <f t="shared" si="1110"/>
        <v/>
      </c>
      <c r="CN813" s="118" t="str">
        <f t="shared" si="1111"/>
        <v/>
      </c>
      <c r="CO813" s="118" t="str">
        <f t="shared" si="1112"/>
        <v/>
      </c>
      <c r="CP813" s="118" t="str">
        <f t="shared" si="1113"/>
        <v/>
      </c>
      <c r="CQ813" s="119" t="str">
        <f t="shared" si="1165"/>
        <v/>
      </c>
      <c r="CR813" s="66" t="str">
        <f>+IF($W813="","",ROUND((VLOOKUP(Parámetros!$F$51,'COBERTURAS ADICIONALES'!$S$4:$T$32,2,FALSE)*(1+i/frec)^-0.5*(1+Parámetros!$D$103)*(1+rec_fracc)/frec*$CO$42),2))</f>
        <v/>
      </c>
      <c r="CS813" s="119" t="str">
        <f t="shared" si="1166"/>
        <v/>
      </c>
      <c r="CT813" s="66" t="str">
        <f>+IF($W813="","",ROUND(IF($B813&gt;Parámetros!$D$107,'Tablas Servicio'!CR813+('Tablas Servicio'!CT812-'Tablas Servicio'!CR812),CR813/(1-IF(B813&lt;=10,Parámetros!$D$100,0))),2))</f>
        <v/>
      </c>
      <c r="CU813" s="66" t="str">
        <f t="shared" si="1167"/>
        <v/>
      </c>
      <c r="CV813" s="66" t="str">
        <f t="shared" si="1167"/>
        <v/>
      </c>
      <c r="CW813" s="66" t="str">
        <f>+IF($W813="","",ROUND((CT813*Parámetros!$G$85),2))</f>
        <v/>
      </c>
      <c r="CX813" s="66" t="str">
        <f>+IF($W813="","",ROUND((CT813*(Parámetros!$G$86)),2))</f>
        <v/>
      </c>
      <c r="CY813" s="66" t="str">
        <f t="shared" si="1168"/>
        <v/>
      </c>
      <c r="CZ813" t="str">
        <f t="shared" si="1114"/>
        <v/>
      </c>
      <c r="DA813" s="118" t="str">
        <f t="shared" si="1115"/>
        <v/>
      </c>
      <c r="DB813" s="118" t="str">
        <f t="shared" si="1116"/>
        <v/>
      </c>
      <c r="DC813" s="118" t="str">
        <f t="shared" si="1117"/>
        <v/>
      </c>
      <c r="DD813" s="121" t="str">
        <f>+IF(OR($W813="",DB813=0),"",ROUND((VLOOKUP(ROUNDDOWN($D813-1/frec,0),cob_adi,CO$40,FALSE)*(1+i/frec)^-0.5*(1+Parámetros!$D$103)*(1+rec_fracc)/frec),6))</f>
        <v/>
      </c>
      <c r="DE813" s="66" t="str">
        <f t="shared" si="1169"/>
        <v/>
      </c>
      <c r="DF813" s="119" t="str">
        <f t="shared" si="1170"/>
        <v/>
      </c>
      <c r="DG813" s="66" t="str">
        <f>+IF($W813="","",ROUND(IF($B813&gt;Parámetros!$D$107,'Tablas Servicio'!DE813+('Tablas Servicio'!DG812-'Tablas Servicio'!DE812),DE813/(1-IF(B813&lt;=10,Parámetros!$D$100,0))),2))</f>
        <v/>
      </c>
      <c r="DH813" s="66" t="str">
        <f t="shared" si="1171"/>
        <v/>
      </c>
      <c r="DI813" s="66" t="str">
        <f t="shared" si="1171"/>
        <v/>
      </c>
      <c r="DJ813" s="66" t="str">
        <f>+IF($W813="","",ROUND((DG813*Parámetros!$G$85),2))</f>
        <v/>
      </c>
      <c r="DK813" s="66" t="str">
        <f>+IF($W813="","",ROUND((DG813*(Parámetros!$G$86)),2))</f>
        <v/>
      </c>
      <c r="DL813" s="66" t="str">
        <f t="shared" si="1172"/>
        <v/>
      </c>
      <c r="DM813" t="str">
        <f t="shared" si="1118"/>
        <v/>
      </c>
      <c r="DN813" s="118" t="str">
        <f t="shared" si="1119"/>
        <v/>
      </c>
      <c r="DO813" s="118" t="str">
        <f t="shared" si="1120"/>
        <v/>
      </c>
      <c r="DP813" s="118" t="str">
        <f t="shared" si="1121"/>
        <v/>
      </c>
      <c r="DQ813" s="122" t="str">
        <f>+IF(OR($W813="",DO813=0),"",ROUND((VLOOKUP(ROUNDDOWN($D813-1/frec,0),cob_adi,DB$40,FALSE)*(1+i/frec)^-0.5*(1+Parámetros!$D$103)*(1+rec_fracc)/frec),6))</f>
        <v/>
      </c>
      <c r="DR813" s="66" t="str">
        <f t="shared" si="1173"/>
        <v/>
      </c>
      <c r="DS813" s="68" t="str">
        <f t="shared" si="1174"/>
        <v/>
      </c>
      <c r="DT813" s="66" t="str">
        <f>+IF($W813="","",ROUND(IF($B813&gt;Parámetros!$D$107,'Tablas Servicio'!DR813+('Tablas Servicio'!DT812-'Tablas Servicio'!DR812),DR813/(1-IF(B813&lt;=10,Parámetros!$D$100,0))),2))</f>
        <v/>
      </c>
      <c r="DU813" s="66" t="str">
        <f t="shared" si="1175"/>
        <v/>
      </c>
      <c r="DV813" s="66" t="str">
        <f t="shared" si="1175"/>
        <v/>
      </c>
      <c r="DW813" s="66" t="str">
        <f>+IF($W813="","",ROUND((DT813*Parámetros!$G$85),2))</f>
        <v/>
      </c>
      <c r="DX813" s="66" t="str">
        <f>+IF($W813="","",ROUND((DT813*(Parámetros!$G$86)),2))</f>
        <v/>
      </c>
      <c r="DY813" s="66" t="str">
        <f t="shared" si="1176"/>
        <v/>
      </c>
      <c r="DZ813" t="str">
        <f t="shared" si="1177"/>
        <v/>
      </c>
      <c r="EA813" s="118" t="str">
        <f t="shared" si="1177"/>
        <v/>
      </c>
      <c r="EB813" s="118" t="str">
        <f>+IF($W813="","",ROUND(IF(Parámetros!$D$25='TABLAS MORT'!$V$33,EB812,Z813/2),0))</f>
        <v/>
      </c>
      <c r="EC813" s="118" t="str">
        <f t="shared" si="1177"/>
        <v/>
      </c>
      <c r="ED813" s="122" t="str">
        <f>+IF(OR($W813="",EB813=0),"",ROUND((VLOOKUP(ROUNDDOWN($D813-1/frec,0),cob_adi,DO$40,FALSE)*(1+i/frec)^-0.5*(1+Parámetros!$D$103)*(1+rec_fracc)/frec),6))</f>
        <v/>
      </c>
      <c r="EE813" s="66" t="str">
        <f t="shared" si="1178"/>
        <v/>
      </c>
      <c r="EF813" s="68" t="str">
        <f t="shared" si="1179"/>
        <v/>
      </c>
      <c r="EG813" s="66" t="str">
        <f>+IF($W813="","",ROUND(IF($B813&gt;Parámetros!$D$107,'Tablas Servicio'!EE813+('Tablas Servicio'!EG812-'Tablas Servicio'!EE812),EE813/(1-IF(B813&lt;=10,Parámetros!$D$100,0))),2))</f>
        <v/>
      </c>
      <c r="EH813" s="66" t="str">
        <f t="shared" si="1180"/>
        <v/>
      </c>
      <c r="EI813" s="66" t="str">
        <f t="shared" si="1180"/>
        <v/>
      </c>
      <c r="EJ813" s="66" t="str">
        <f>+IF($W813="","",ROUND((EG813*Parámetros!$G$85),2))</f>
        <v/>
      </c>
      <c r="EK813" s="66" t="str">
        <f>+IF($W813="","",ROUND((EG813*(Parámetros!$G$86)),2))</f>
        <v/>
      </c>
      <c r="EL813" s="66" t="str">
        <f t="shared" si="1181"/>
        <v/>
      </c>
    </row>
    <row r="814" spans="1:142" x14ac:dyDescent="0.25">
      <c r="A814" t="str">
        <f>+IF($C814="","",ROUND(VLOOKUP('Tablas Servicio'!B814,Parámetros!$H$100:$J$159,IF(Parámetros!$E$16="F",2,3),FALSE),2))</f>
        <v/>
      </c>
      <c r="B814" t="str">
        <f t="shared" si="1132"/>
        <v/>
      </c>
      <c r="C814" s="57" t="str">
        <f>+IF(D814="","",'Tablas Servicio'!C813+1)</f>
        <v/>
      </c>
      <c r="D814" s="56" t="str">
        <f>+IF(D813&lt;edadmaxtabla,D813+1/Parámetros!$E$25,"")</f>
        <v/>
      </c>
      <c r="E814" s="57" t="str">
        <f t="shared" si="1142"/>
        <v/>
      </c>
      <c r="F814" s="59" t="str">
        <f t="shared" si="1143"/>
        <v/>
      </c>
      <c r="G814" s="66" t="str">
        <f t="shared" si="1133"/>
        <v/>
      </c>
      <c r="H814" s="66" t="str">
        <f t="shared" si="1134"/>
        <v/>
      </c>
      <c r="I814" s="66" t="str">
        <f t="shared" si="1087"/>
        <v/>
      </c>
      <c r="J814" s="66" t="str">
        <f t="shared" si="1135"/>
        <v/>
      </c>
      <c r="K814" s="66" t="str">
        <f t="shared" si="1136"/>
        <v/>
      </c>
      <c r="L814" s="66" t="str">
        <f t="shared" si="1137"/>
        <v/>
      </c>
      <c r="M814" s="66" t="str">
        <f t="shared" si="1138"/>
        <v/>
      </c>
      <c r="N814" s="66" t="str">
        <f>+IF(C814="","",ROUND(Parámetros!$D$23,2))</f>
        <v/>
      </c>
      <c r="O814" s="66" t="str">
        <f t="shared" si="1139"/>
        <v/>
      </c>
      <c r="P814" s="66" t="str">
        <f>+IF($C814="","",ROUND(IF(B814&gt;Parámetros!$D$117,0,N814*Parámetros!$D$116-G814*Parámetros!$D$100),2))</f>
        <v/>
      </c>
      <c r="Q814" s="75" t="str">
        <f t="shared" si="1088"/>
        <v/>
      </c>
      <c r="R814" s="75" t="str">
        <f t="shared" si="1089"/>
        <v/>
      </c>
      <c r="S814" s="117" t="str">
        <f>+IF($C814="","",ROUND((S813+I814)*(1+Parámetros!$D$91),2))</f>
        <v/>
      </c>
      <c r="T814" s="117" t="str">
        <f>+IF($C814="","",ROUND(S814*VLOOKUP(B814,Parámetros!$C$30:$D$39,2,TRUE),2))</f>
        <v/>
      </c>
      <c r="U814" s="117" t="str">
        <f>+IF($C814="","",ROUND((U813+I814)*(1+Parámetros!$D$92),2))</f>
        <v/>
      </c>
      <c r="V814" s="117" t="str">
        <f>+IF($C814="","",ROUND(U814*VLOOKUP(B814,Parámetros!$C$30:$D$39,2,TRUE),2))</f>
        <v/>
      </c>
      <c r="W814" s="57" t="str">
        <f t="shared" si="1090"/>
        <v/>
      </c>
      <c r="X814" t="str">
        <f t="shared" si="1091"/>
        <v/>
      </c>
      <c r="Y814" t="str">
        <f t="shared" si="1092"/>
        <v/>
      </c>
      <c r="Z814" s="118" t="str">
        <f>+IF($W814="","",ROUND(IF(Parámetros!$D$25='TABLAS MORT'!$V$33,Z813,Parámetros!$D$21-'Tablas Servicio'!T813),0))</f>
        <v/>
      </c>
      <c r="AA814" s="118" t="str">
        <f t="shared" si="1093"/>
        <v/>
      </c>
      <c r="AB814" s="119" t="str">
        <f>+IF(W814="","",ROUND((VLOOKUP(ROUNDDOWN($D814-1/frec,0),qx_tabla,2,FALSE)*(1+i/frec)^-0.5*(1+Parámetros!$D$103)*(1+rec_fracc)/frec),6))</f>
        <v/>
      </c>
      <c r="AC814" s="66" t="str">
        <f t="shared" si="1144"/>
        <v/>
      </c>
      <c r="AD814" s="119" t="str">
        <f t="shared" si="1140"/>
        <v/>
      </c>
      <c r="AE814" s="66" t="str">
        <f>+IF($W814="","",ROUND(IF($B814&gt;Parámetros!$D$107,'Tablas Servicio'!AC814+('Tablas Servicio'!AG813-'Tablas Servicio'!AC813),AC814/(1-IF(B814&lt;=10,Parámetros!$D$104,Parámetros!$D$105))),2))</f>
        <v/>
      </c>
      <c r="AF814" s="66" t="str">
        <f>+IF($W814="","",ROUND(IF($B814&gt;Parámetros!$D$107,'Tablas Servicio'!AC814+('Tablas Servicio'!AG813-'Tablas Servicio'!AC813),(AC814+$A813/frec)/(1-IF(B814&lt;=Parámetros!$D$117,Parámetros!$D$100,0))),2))</f>
        <v/>
      </c>
      <c r="AG814" s="66" t="str">
        <f t="shared" si="1145"/>
        <v/>
      </c>
      <c r="AH814" s="66" t="str">
        <f t="shared" si="1146"/>
        <v/>
      </c>
      <c r="AI814" s="66" t="str">
        <f t="shared" si="1147"/>
        <v/>
      </c>
      <c r="AJ814" s="66" t="str">
        <f>+IF($W814="","",ROUND((AG814*Parámetros!$G$85),2))</f>
        <v/>
      </c>
      <c r="AK814" s="66" t="str">
        <f>+IF($W814="","",ROUND((AG814*(Parámetros!$G$86)),2))</f>
        <v/>
      </c>
      <c r="AL814" s="66" t="str">
        <f t="shared" si="1141"/>
        <v/>
      </c>
      <c r="AM814" t="str">
        <f t="shared" si="1094"/>
        <v/>
      </c>
      <c r="AN814" t="str">
        <f t="shared" si="1095"/>
        <v/>
      </c>
      <c r="AO814" s="118" t="str">
        <f t="shared" si="1096"/>
        <v/>
      </c>
      <c r="AP814" s="118" t="str">
        <f t="shared" si="1097"/>
        <v/>
      </c>
      <c r="AQ814" s="119" t="str">
        <f>+IF(OR($W814="",AO814=0),"",ROUND((VLOOKUP(ROUNDDOWN($D814-1/frec,0),cob_adi,Z$40,FALSE)*(1+i/frec)^-0.5*(1+Parámetros!$D$103)*(1+rec_fracc)/frec),6))</f>
        <v/>
      </c>
      <c r="AR814" s="66" t="str">
        <f t="shared" si="1148"/>
        <v/>
      </c>
      <c r="AS814" s="119" t="str">
        <f t="shared" si="1149"/>
        <v/>
      </c>
      <c r="AT814" s="66" t="str">
        <f>+IF($W814="","",ROUND(IF($B814&gt;Parámetros!$D$107,'Tablas Servicio'!AR814+('Tablas Servicio'!AT813-'Tablas Servicio'!AR813),AR814/(1-IF(B814&lt;=10,Parámetros!$D$100,0))),2))</f>
        <v/>
      </c>
      <c r="AU814" s="66" t="str">
        <f t="shared" si="1150"/>
        <v/>
      </c>
      <c r="AV814" s="66" t="str">
        <f t="shared" si="1150"/>
        <v/>
      </c>
      <c r="AW814" s="66" t="str">
        <f>+IF($W814="","",ROUND((AT814*Parámetros!$G$85),2))</f>
        <v/>
      </c>
      <c r="AX814" s="66" t="str">
        <f>+IF($W814="","",ROUND((AT814*(Parámetros!$G$86)),2))</f>
        <v/>
      </c>
      <c r="AY814" s="66" t="str">
        <f t="shared" si="1151"/>
        <v/>
      </c>
      <c r="AZ814" t="str">
        <f t="shared" si="1098"/>
        <v/>
      </c>
      <c r="BA814" t="str">
        <f t="shared" si="1099"/>
        <v/>
      </c>
      <c r="BB814" s="118" t="str">
        <f t="shared" si="1100"/>
        <v/>
      </c>
      <c r="BC814" s="118" t="str">
        <f t="shared" si="1101"/>
        <v/>
      </c>
      <c r="BD814" s="119" t="str">
        <f>+IF(OR($W814="",BB814=0),"",ROUND((VLOOKUP(ROUNDDOWN($D814-1/frec,0),cob_adi,AO$40,FALSE)*(1+i/frec)^-0.5*(1+Parámetros!$D$103)*(1+rec_fracc)/frec),6))</f>
        <v/>
      </c>
      <c r="BE814" s="66" t="str">
        <f t="shared" si="1152"/>
        <v/>
      </c>
      <c r="BF814" s="119" t="str">
        <f t="shared" si="1153"/>
        <v/>
      </c>
      <c r="BG814" s="66" t="str">
        <f>+IF($W814="","",ROUND(IF($B814&gt;Parámetros!$D$107,'Tablas Servicio'!BE814+('Tablas Servicio'!BG813-'Tablas Servicio'!BE813),BE814/(1-IF(B814&lt;=10,Parámetros!$D$100,0))),2))</f>
        <v/>
      </c>
      <c r="BH814" s="66" t="str">
        <f t="shared" si="1154"/>
        <v/>
      </c>
      <c r="BI814" s="66" t="str">
        <f t="shared" si="1155"/>
        <v/>
      </c>
      <c r="BJ814" s="66" t="str">
        <f>+IF($W814="","",ROUND((BG814*Parámetros!$G$85),2))</f>
        <v/>
      </c>
      <c r="BK814" s="66" t="str">
        <f>+IF($W814="","",ROUND((BG814*(Parámetros!$G$86)),2))</f>
        <v/>
      </c>
      <c r="BL814" s="66" t="str">
        <f t="shared" si="1156"/>
        <v/>
      </c>
      <c r="BM814" t="str">
        <f t="shared" si="1102"/>
        <v/>
      </c>
      <c r="BN814" t="str">
        <f t="shared" si="1103"/>
        <v/>
      </c>
      <c r="BO814" s="118" t="str">
        <f t="shared" si="1104"/>
        <v/>
      </c>
      <c r="BP814" s="118" t="str">
        <f t="shared" si="1105"/>
        <v/>
      </c>
      <c r="BQ814" s="119" t="str">
        <f>+IF(OR($W814="",BO814=0),"",ROUND((VLOOKUP(ROUNDDOWN($D814-1/frec,0),cob_adi,BB$40,FALSE)*(1+i/frec)^-0.5*(1+Parámetros!$D$103)*(1+rec_fracc)/frec),6))</f>
        <v/>
      </c>
      <c r="BR814" s="66" t="str">
        <f t="shared" si="1157"/>
        <v/>
      </c>
      <c r="BS814" s="119" t="str">
        <f t="shared" si="1158"/>
        <v/>
      </c>
      <c r="BT814" s="66" t="str">
        <f>+IF($W814="","",ROUND(IF($B814&gt;Parámetros!$D$107,'Tablas Servicio'!BR814+('Tablas Servicio'!BT813-'Tablas Servicio'!BR813),BR814/(1-IF(B814&lt;=10,Parámetros!$D$100,0))),2))</f>
        <v/>
      </c>
      <c r="BU814" s="66" t="str">
        <f t="shared" si="1159"/>
        <v/>
      </c>
      <c r="BV814" s="66" t="str">
        <f t="shared" si="1159"/>
        <v/>
      </c>
      <c r="BW814" s="66" t="str">
        <f>+IF($W814="","",ROUND((BT814*Parámetros!$G$85),2))</f>
        <v/>
      </c>
      <c r="BX814" s="66" t="str">
        <f>+IF($W814="","",ROUND((BT814*(Parámetros!$G$86)),2))</f>
        <v/>
      </c>
      <c r="BY814" s="66" t="str">
        <f t="shared" si="1160"/>
        <v/>
      </c>
      <c r="BZ814" t="str">
        <f t="shared" si="1106"/>
        <v/>
      </c>
      <c r="CA814" t="str">
        <f t="shared" si="1107"/>
        <v/>
      </c>
      <c r="CB814" s="118" t="str">
        <f t="shared" si="1108"/>
        <v/>
      </c>
      <c r="CC814" s="118" t="str">
        <f t="shared" si="1109"/>
        <v/>
      </c>
      <c r="CD814" s="119" t="str">
        <f t="shared" si="1161"/>
        <v/>
      </c>
      <c r="CE814" s="66" t="str">
        <f>+IF($W814="","",ROUND((VLOOKUP(ROUNDDOWN($D814-1/frec,0),cob_adi,BO$40,FALSE)*(1+i/frec)^-0.5*(1+Parámetros!$D$103)*(1+rec_fracc)/frec*'TABLAS ADI'!$BC$17),2))</f>
        <v/>
      </c>
      <c r="CF814" s="119" t="str">
        <f t="shared" si="1162"/>
        <v/>
      </c>
      <c r="CG814" s="66" t="str">
        <f>+IF($W814="","",ROUND(IF($B814&gt;Parámetros!$D$107,'Tablas Servicio'!CE814+('Tablas Servicio'!CG813-'Tablas Servicio'!CE813),CE814/(1-IF(B814&lt;=10,Parámetros!$D$100,0))),2))</f>
        <v/>
      </c>
      <c r="CH814" s="66" t="str">
        <f t="shared" si="1163"/>
        <v/>
      </c>
      <c r="CI814" s="66" t="str">
        <f t="shared" si="1163"/>
        <v/>
      </c>
      <c r="CJ814" s="66" t="str">
        <f>+IF($W814="","",ROUND((CG814*Parámetros!$G$85),2))</f>
        <v/>
      </c>
      <c r="CK814" s="66" t="str">
        <f>+IF($W814="","",ROUND((CG814*(Parámetros!$G$86)),2))</f>
        <v/>
      </c>
      <c r="CL814" s="66" t="str">
        <f t="shared" si="1164"/>
        <v/>
      </c>
      <c r="CM814" t="str">
        <f t="shared" si="1110"/>
        <v/>
      </c>
      <c r="CN814" s="118" t="str">
        <f t="shared" si="1111"/>
        <v/>
      </c>
      <c r="CO814" s="118" t="str">
        <f t="shared" si="1112"/>
        <v/>
      </c>
      <c r="CP814" s="118" t="str">
        <f t="shared" si="1113"/>
        <v/>
      </c>
      <c r="CQ814" s="119" t="str">
        <f t="shared" si="1165"/>
        <v/>
      </c>
      <c r="CR814" s="66" t="str">
        <f>+IF($W814="","",ROUND((VLOOKUP(Parámetros!$F$51,'COBERTURAS ADICIONALES'!$S$4:$T$32,2,FALSE)*(1+i/frec)^-0.5*(1+Parámetros!$D$103)*(1+rec_fracc)/frec*$CO$42),2))</f>
        <v/>
      </c>
      <c r="CS814" s="119" t="str">
        <f t="shared" si="1166"/>
        <v/>
      </c>
      <c r="CT814" s="66" t="str">
        <f>+IF($W814="","",ROUND(IF($B814&gt;Parámetros!$D$107,'Tablas Servicio'!CR814+('Tablas Servicio'!CT813-'Tablas Servicio'!CR813),CR814/(1-IF(B814&lt;=10,Parámetros!$D$100,0))),2))</f>
        <v/>
      </c>
      <c r="CU814" s="66" t="str">
        <f t="shared" si="1167"/>
        <v/>
      </c>
      <c r="CV814" s="66" t="str">
        <f t="shared" si="1167"/>
        <v/>
      </c>
      <c r="CW814" s="66" t="str">
        <f>+IF($W814="","",ROUND((CT814*Parámetros!$G$85),2))</f>
        <v/>
      </c>
      <c r="CX814" s="66" t="str">
        <f>+IF($W814="","",ROUND((CT814*(Parámetros!$G$86)),2))</f>
        <v/>
      </c>
      <c r="CY814" s="66" t="str">
        <f t="shared" si="1168"/>
        <v/>
      </c>
      <c r="CZ814" t="str">
        <f t="shared" si="1114"/>
        <v/>
      </c>
      <c r="DA814" s="118" t="str">
        <f t="shared" si="1115"/>
        <v/>
      </c>
      <c r="DB814" s="118" t="str">
        <f t="shared" si="1116"/>
        <v/>
      </c>
      <c r="DC814" s="118" t="str">
        <f t="shared" si="1117"/>
        <v/>
      </c>
      <c r="DD814" s="121" t="str">
        <f>+IF(OR($W814="",DB814=0),"",ROUND((VLOOKUP(ROUNDDOWN($D814-1/frec,0),cob_adi,CO$40,FALSE)*(1+i/frec)^-0.5*(1+Parámetros!$D$103)*(1+rec_fracc)/frec),6))</f>
        <v/>
      </c>
      <c r="DE814" s="66" t="str">
        <f t="shared" si="1169"/>
        <v/>
      </c>
      <c r="DF814" s="119" t="str">
        <f t="shared" si="1170"/>
        <v/>
      </c>
      <c r="DG814" s="66" t="str">
        <f>+IF($W814="","",ROUND(IF($B814&gt;Parámetros!$D$107,'Tablas Servicio'!DE814+('Tablas Servicio'!DG813-'Tablas Servicio'!DE813),DE814/(1-IF(B814&lt;=10,Parámetros!$D$100,0))),2))</f>
        <v/>
      </c>
      <c r="DH814" s="66" t="str">
        <f t="shared" si="1171"/>
        <v/>
      </c>
      <c r="DI814" s="66" t="str">
        <f t="shared" si="1171"/>
        <v/>
      </c>
      <c r="DJ814" s="66" t="str">
        <f>+IF($W814="","",ROUND((DG814*Parámetros!$G$85),2))</f>
        <v/>
      </c>
      <c r="DK814" s="66" t="str">
        <f>+IF($W814="","",ROUND((DG814*(Parámetros!$G$86)),2))</f>
        <v/>
      </c>
      <c r="DL814" s="66" t="str">
        <f t="shared" si="1172"/>
        <v/>
      </c>
      <c r="DM814" t="str">
        <f t="shared" si="1118"/>
        <v/>
      </c>
      <c r="DN814" s="118" t="str">
        <f t="shared" si="1119"/>
        <v/>
      </c>
      <c r="DO814" s="118" t="str">
        <f t="shared" si="1120"/>
        <v/>
      </c>
      <c r="DP814" s="118" t="str">
        <f t="shared" si="1121"/>
        <v/>
      </c>
      <c r="DQ814" s="122" t="str">
        <f>+IF(OR($W814="",DO814=0),"",ROUND((VLOOKUP(ROUNDDOWN($D814-1/frec,0),cob_adi,DB$40,FALSE)*(1+i/frec)^-0.5*(1+Parámetros!$D$103)*(1+rec_fracc)/frec),6))</f>
        <v/>
      </c>
      <c r="DR814" s="66" t="str">
        <f t="shared" si="1173"/>
        <v/>
      </c>
      <c r="DS814" s="68" t="str">
        <f t="shared" si="1174"/>
        <v/>
      </c>
      <c r="DT814" s="66" t="str">
        <f>+IF($W814="","",ROUND(IF($B814&gt;Parámetros!$D$107,'Tablas Servicio'!DR814+('Tablas Servicio'!DT813-'Tablas Servicio'!DR813),DR814/(1-IF(B814&lt;=10,Parámetros!$D$100,0))),2))</f>
        <v/>
      </c>
      <c r="DU814" s="66" t="str">
        <f t="shared" si="1175"/>
        <v/>
      </c>
      <c r="DV814" s="66" t="str">
        <f t="shared" si="1175"/>
        <v/>
      </c>
      <c r="DW814" s="66" t="str">
        <f>+IF($W814="","",ROUND((DT814*Parámetros!$G$85),2))</f>
        <v/>
      </c>
      <c r="DX814" s="66" t="str">
        <f>+IF($W814="","",ROUND((DT814*(Parámetros!$G$86)),2))</f>
        <v/>
      </c>
      <c r="DY814" s="66" t="str">
        <f t="shared" si="1176"/>
        <v/>
      </c>
      <c r="DZ814" t="str">
        <f t="shared" si="1177"/>
        <v/>
      </c>
      <c r="EA814" s="118" t="str">
        <f t="shared" si="1177"/>
        <v/>
      </c>
      <c r="EB814" s="118" t="str">
        <f>+IF($W814="","",ROUND(IF(Parámetros!$D$25='TABLAS MORT'!$V$33,EB813,Z814/2),0))</f>
        <v/>
      </c>
      <c r="EC814" s="118" t="str">
        <f t="shared" si="1177"/>
        <v/>
      </c>
      <c r="ED814" s="122" t="str">
        <f>+IF(OR($W814="",EB814=0),"",ROUND((VLOOKUP(ROUNDDOWN($D814-1/frec,0),cob_adi,DO$40,FALSE)*(1+i/frec)^-0.5*(1+Parámetros!$D$103)*(1+rec_fracc)/frec),6))</f>
        <v/>
      </c>
      <c r="EE814" s="66" t="str">
        <f t="shared" si="1178"/>
        <v/>
      </c>
      <c r="EF814" s="68" t="str">
        <f t="shared" si="1179"/>
        <v/>
      </c>
      <c r="EG814" s="66" t="str">
        <f>+IF($W814="","",ROUND(IF($B814&gt;Parámetros!$D$107,'Tablas Servicio'!EE814+('Tablas Servicio'!EG813-'Tablas Servicio'!EE813),EE814/(1-IF(B814&lt;=10,Parámetros!$D$100,0))),2))</f>
        <v/>
      </c>
      <c r="EH814" s="66" t="str">
        <f t="shared" si="1180"/>
        <v/>
      </c>
      <c r="EI814" s="66" t="str">
        <f t="shared" si="1180"/>
        <v/>
      </c>
      <c r="EJ814" s="66" t="str">
        <f>+IF($W814="","",ROUND((EG814*Parámetros!$G$85),2))</f>
        <v/>
      </c>
      <c r="EK814" s="66" t="str">
        <f>+IF($W814="","",ROUND((EG814*(Parámetros!$G$86)),2))</f>
        <v/>
      </c>
      <c r="EL814" s="66" t="str">
        <f t="shared" si="1181"/>
        <v/>
      </c>
    </row>
    <row r="815" spans="1:142" x14ac:dyDescent="0.25">
      <c r="A815" t="str">
        <f>+IF($C815="","",ROUND(VLOOKUP('Tablas Servicio'!B815,Parámetros!$H$100:$J$159,IF(Parámetros!$E$16="F",2,3),FALSE),2))</f>
        <v/>
      </c>
      <c r="B815" t="str">
        <f t="shared" si="1132"/>
        <v/>
      </c>
      <c r="C815" s="57" t="str">
        <f>+IF(D815="","",'Tablas Servicio'!C814+1)</f>
        <v/>
      </c>
      <c r="D815" s="56" t="str">
        <f>+IF(D814&lt;edadmaxtabla,D814+1/Parámetros!$E$25,"")</f>
        <v/>
      </c>
      <c r="E815" s="57" t="str">
        <f t="shared" si="1142"/>
        <v/>
      </c>
      <c r="F815" s="59" t="str">
        <f t="shared" si="1143"/>
        <v/>
      </c>
      <c r="G815" s="66" t="str">
        <f t="shared" si="1133"/>
        <v/>
      </c>
      <c r="H815" s="66" t="str">
        <f t="shared" si="1134"/>
        <v/>
      </c>
      <c r="I815" s="66" t="str">
        <f t="shared" si="1087"/>
        <v/>
      </c>
      <c r="J815" s="66" t="str">
        <f t="shared" si="1135"/>
        <v/>
      </c>
      <c r="K815" s="66" t="str">
        <f t="shared" si="1136"/>
        <v/>
      </c>
      <c r="L815" s="66" t="str">
        <f t="shared" si="1137"/>
        <v/>
      </c>
      <c r="M815" s="66" t="str">
        <f t="shared" si="1138"/>
        <v/>
      </c>
      <c r="N815" s="66" t="str">
        <f>+IF(C815="","",ROUND(Parámetros!$D$23,2))</f>
        <v/>
      </c>
      <c r="O815" s="66" t="str">
        <f t="shared" si="1139"/>
        <v/>
      </c>
      <c r="P815" s="66" t="str">
        <f>+IF($C815="","",ROUND(IF(B815&gt;Parámetros!$D$117,0,N815*Parámetros!$D$116-G815*Parámetros!$D$100),2))</f>
        <v/>
      </c>
      <c r="Q815" s="75" t="str">
        <f t="shared" si="1088"/>
        <v/>
      </c>
      <c r="R815" s="75" t="str">
        <f t="shared" si="1089"/>
        <v/>
      </c>
      <c r="S815" s="117" t="str">
        <f>+IF($C815="","",ROUND((S814+I815)*(1+Parámetros!$D$91),2))</f>
        <v/>
      </c>
      <c r="T815" s="117" t="str">
        <f>+IF($C815="","",ROUND(S815*VLOOKUP(B815,Parámetros!$C$30:$D$39,2,TRUE),2))</f>
        <v/>
      </c>
      <c r="U815" s="117" t="str">
        <f>+IF($C815="","",ROUND((U814+I815)*(1+Parámetros!$D$92),2))</f>
        <v/>
      </c>
      <c r="V815" s="117" t="str">
        <f>+IF($C815="","",ROUND(U815*VLOOKUP(B815,Parámetros!$C$30:$D$39,2,TRUE),2))</f>
        <v/>
      </c>
      <c r="W815" s="57" t="str">
        <f t="shared" si="1090"/>
        <v/>
      </c>
      <c r="X815" t="str">
        <f t="shared" si="1091"/>
        <v/>
      </c>
      <c r="Y815" t="str">
        <f t="shared" si="1092"/>
        <v/>
      </c>
      <c r="Z815" s="118" t="str">
        <f>+IF($W815="","",ROUND(IF(Parámetros!$D$25='TABLAS MORT'!$V$33,Z814,Parámetros!$D$21-'Tablas Servicio'!T814),0))</f>
        <v/>
      </c>
      <c r="AA815" s="118" t="str">
        <f t="shared" si="1093"/>
        <v/>
      </c>
      <c r="AB815" s="119" t="str">
        <f>+IF(W815="","",ROUND((VLOOKUP(ROUNDDOWN($D815-1/frec,0),qx_tabla,2,FALSE)*(1+i/frec)^-0.5*(1+Parámetros!$D$103)*(1+rec_fracc)/frec),6))</f>
        <v/>
      </c>
      <c r="AC815" s="66" t="str">
        <f t="shared" si="1144"/>
        <v/>
      </c>
      <c r="AD815" s="119" t="str">
        <f t="shared" si="1140"/>
        <v/>
      </c>
      <c r="AE815" s="66" t="str">
        <f>+IF($W815="","",ROUND(IF($B815&gt;Parámetros!$D$107,'Tablas Servicio'!AC815+('Tablas Servicio'!AG814-'Tablas Servicio'!AC814),AC815/(1-IF(B815&lt;=10,Parámetros!$D$104,Parámetros!$D$105))),2))</f>
        <v/>
      </c>
      <c r="AF815" s="66" t="str">
        <f>+IF($W815="","",ROUND(IF($B815&gt;Parámetros!$D$107,'Tablas Servicio'!AC815+('Tablas Servicio'!AG814-'Tablas Servicio'!AC814),(AC815+$A814/frec)/(1-IF(B815&lt;=Parámetros!$D$117,Parámetros!$D$100,0))),2))</f>
        <v/>
      </c>
      <c r="AG815" s="66" t="str">
        <f t="shared" si="1145"/>
        <v/>
      </c>
      <c r="AH815" s="66" t="str">
        <f t="shared" si="1146"/>
        <v/>
      </c>
      <c r="AI815" s="66" t="str">
        <f t="shared" si="1147"/>
        <v/>
      </c>
      <c r="AJ815" s="66" t="str">
        <f>+IF($W815="","",ROUND((AG815*Parámetros!$G$85),2))</f>
        <v/>
      </c>
      <c r="AK815" s="66" t="str">
        <f>+IF($W815="","",ROUND((AG815*(Parámetros!$G$86)),2))</f>
        <v/>
      </c>
      <c r="AL815" s="66" t="str">
        <f t="shared" si="1141"/>
        <v/>
      </c>
      <c r="AM815" t="str">
        <f t="shared" si="1094"/>
        <v/>
      </c>
      <c r="AN815" t="str">
        <f t="shared" si="1095"/>
        <v/>
      </c>
      <c r="AO815" s="118" t="str">
        <f t="shared" si="1096"/>
        <v/>
      </c>
      <c r="AP815" s="118" t="str">
        <f t="shared" si="1097"/>
        <v/>
      </c>
      <c r="AQ815" s="119" t="str">
        <f>+IF(OR($W815="",AO815=0),"",ROUND((VLOOKUP(ROUNDDOWN($D815-1/frec,0),cob_adi,Z$40,FALSE)*(1+i/frec)^-0.5*(1+Parámetros!$D$103)*(1+rec_fracc)/frec),6))</f>
        <v/>
      </c>
      <c r="AR815" s="66" t="str">
        <f t="shared" si="1148"/>
        <v/>
      </c>
      <c r="AS815" s="119" t="str">
        <f t="shared" si="1149"/>
        <v/>
      </c>
      <c r="AT815" s="66" t="str">
        <f>+IF($W815="","",ROUND(IF($B815&gt;Parámetros!$D$107,'Tablas Servicio'!AR815+('Tablas Servicio'!AT814-'Tablas Servicio'!AR814),AR815/(1-IF(B815&lt;=10,Parámetros!$D$100,0))),2))</f>
        <v/>
      </c>
      <c r="AU815" s="66" t="str">
        <f t="shared" si="1150"/>
        <v/>
      </c>
      <c r="AV815" s="66" t="str">
        <f t="shared" si="1150"/>
        <v/>
      </c>
      <c r="AW815" s="66" t="str">
        <f>+IF($W815="","",ROUND((AT815*Parámetros!$G$85),2))</f>
        <v/>
      </c>
      <c r="AX815" s="66" t="str">
        <f>+IF($W815="","",ROUND((AT815*(Parámetros!$G$86)),2))</f>
        <v/>
      </c>
      <c r="AY815" s="66" t="str">
        <f t="shared" si="1151"/>
        <v/>
      </c>
      <c r="AZ815" t="str">
        <f t="shared" si="1098"/>
        <v/>
      </c>
      <c r="BA815" t="str">
        <f t="shared" si="1099"/>
        <v/>
      </c>
      <c r="BB815" s="118" t="str">
        <f t="shared" si="1100"/>
        <v/>
      </c>
      <c r="BC815" s="118" t="str">
        <f t="shared" si="1101"/>
        <v/>
      </c>
      <c r="BD815" s="119" t="str">
        <f>+IF(OR($W815="",BB815=0),"",ROUND((VLOOKUP(ROUNDDOWN($D815-1/frec,0),cob_adi,AO$40,FALSE)*(1+i/frec)^-0.5*(1+Parámetros!$D$103)*(1+rec_fracc)/frec),6))</f>
        <v/>
      </c>
      <c r="BE815" s="66" t="str">
        <f t="shared" si="1152"/>
        <v/>
      </c>
      <c r="BF815" s="119" t="str">
        <f t="shared" si="1153"/>
        <v/>
      </c>
      <c r="BG815" s="66" t="str">
        <f>+IF($W815="","",ROUND(IF($B815&gt;Parámetros!$D$107,'Tablas Servicio'!BE815+('Tablas Servicio'!BG814-'Tablas Servicio'!BE814),BE815/(1-IF(B815&lt;=10,Parámetros!$D$100,0))),2))</f>
        <v/>
      </c>
      <c r="BH815" s="66" t="str">
        <f t="shared" si="1154"/>
        <v/>
      </c>
      <c r="BI815" s="66" t="str">
        <f t="shared" si="1155"/>
        <v/>
      </c>
      <c r="BJ815" s="66" t="str">
        <f>+IF($W815="","",ROUND((BG815*Parámetros!$G$85),2))</f>
        <v/>
      </c>
      <c r="BK815" s="66" t="str">
        <f>+IF($W815="","",ROUND((BG815*(Parámetros!$G$86)),2))</f>
        <v/>
      </c>
      <c r="BL815" s="66" t="str">
        <f t="shared" si="1156"/>
        <v/>
      </c>
      <c r="BM815" t="str">
        <f t="shared" si="1102"/>
        <v/>
      </c>
      <c r="BN815" t="str">
        <f t="shared" si="1103"/>
        <v/>
      </c>
      <c r="BO815" s="118" t="str">
        <f t="shared" si="1104"/>
        <v/>
      </c>
      <c r="BP815" s="118" t="str">
        <f t="shared" si="1105"/>
        <v/>
      </c>
      <c r="BQ815" s="119" t="str">
        <f>+IF(OR($W815="",BO815=0),"",ROUND((VLOOKUP(ROUNDDOWN($D815-1/frec,0),cob_adi,BB$40,FALSE)*(1+i/frec)^-0.5*(1+Parámetros!$D$103)*(1+rec_fracc)/frec),6))</f>
        <v/>
      </c>
      <c r="BR815" s="66" t="str">
        <f t="shared" si="1157"/>
        <v/>
      </c>
      <c r="BS815" s="119" t="str">
        <f t="shared" si="1158"/>
        <v/>
      </c>
      <c r="BT815" s="66" t="str">
        <f>+IF($W815="","",ROUND(IF($B815&gt;Parámetros!$D$107,'Tablas Servicio'!BR815+('Tablas Servicio'!BT814-'Tablas Servicio'!BR814),BR815/(1-IF(B815&lt;=10,Parámetros!$D$100,0))),2))</f>
        <v/>
      </c>
      <c r="BU815" s="66" t="str">
        <f t="shared" si="1159"/>
        <v/>
      </c>
      <c r="BV815" s="66" t="str">
        <f t="shared" si="1159"/>
        <v/>
      </c>
      <c r="BW815" s="66" t="str">
        <f>+IF($W815="","",ROUND((BT815*Parámetros!$G$85),2))</f>
        <v/>
      </c>
      <c r="BX815" s="66" t="str">
        <f>+IF($W815="","",ROUND((BT815*(Parámetros!$G$86)),2))</f>
        <v/>
      </c>
      <c r="BY815" s="66" t="str">
        <f t="shared" si="1160"/>
        <v/>
      </c>
      <c r="BZ815" t="str">
        <f t="shared" si="1106"/>
        <v/>
      </c>
      <c r="CA815" t="str">
        <f t="shared" si="1107"/>
        <v/>
      </c>
      <c r="CB815" s="118" t="str">
        <f t="shared" si="1108"/>
        <v/>
      </c>
      <c r="CC815" s="118" t="str">
        <f t="shared" si="1109"/>
        <v/>
      </c>
      <c r="CD815" s="119" t="str">
        <f t="shared" si="1161"/>
        <v/>
      </c>
      <c r="CE815" s="66" t="str">
        <f>+IF($W815="","",ROUND((VLOOKUP(ROUNDDOWN($D815-1/frec,0),cob_adi,BO$40,FALSE)*(1+i/frec)^-0.5*(1+Parámetros!$D$103)*(1+rec_fracc)/frec*'TABLAS ADI'!$BC$17),2))</f>
        <v/>
      </c>
      <c r="CF815" s="119" t="str">
        <f t="shared" si="1162"/>
        <v/>
      </c>
      <c r="CG815" s="66" t="str">
        <f>+IF($W815="","",ROUND(IF($B815&gt;Parámetros!$D$107,'Tablas Servicio'!CE815+('Tablas Servicio'!CG814-'Tablas Servicio'!CE814),CE815/(1-IF(B815&lt;=10,Parámetros!$D$100,0))),2))</f>
        <v/>
      </c>
      <c r="CH815" s="66" t="str">
        <f t="shared" si="1163"/>
        <v/>
      </c>
      <c r="CI815" s="66" t="str">
        <f t="shared" si="1163"/>
        <v/>
      </c>
      <c r="CJ815" s="66" t="str">
        <f>+IF($W815="","",ROUND((CG815*Parámetros!$G$85),2))</f>
        <v/>
      </c>
      <c r="CK815" s="66" t="str">
        <f>+IF($W815="","",ROUND((CG815*(Parámetros!$G$86)),2))</f>
        <v/>
      </c>
      <c r="CL815" s="66" t="str">
        <f t="shared" si="1164"/>
        <v/>
      </c>
      <c r="CM815" t="str">
        <f t="shared" si="1110"/>
        <v/>
      </c>
      <c r="CN815" s="118" t="str">
        <f t="shared" si="1111"/>
        <v/>
      </c>
      <c r="CO815" s="118" t="str">
        <f t="shared" si="1112"/>
        <v/>
      </c>
      <c r="CP815" s="118" t="str">
        <f t="shared" si="1113"/>
        <v/>
      </c>
      <c r="CQ815" s="119" t="str">
        <f t="shared" si="1165"/>
        <v/>
      </c>
      <c r="CR815" s="66" t="str">
        <f>+IF($W815="","",ROUND((VLOOKUP(Parámetros!$F$51,'COBERTURAS ADICIONALES'!$S$4:$T$32,2,FALSE)*(1+i/frec)^-0.5*(1+Parámetros!$D$103)*(1+rec_fracc)/frec*$CO$42),2))</f>
        <v/>
      </c>
      <c r="CS815" s="119" t="str">
        <f t="shared" si="1166"/>
        <v/>
      </c>
      <c r="CT815" s="66" t="str">
        <f>+IF($W815="","",ROUND(IF($B815&gt;Parámetros!$D$107,'Tablas Servicio'!CR815+('Tablas Servicio'!CT814-'Tablas Servicio'!CR814),CR815/(1-IF(B815&lt;=10,Parámetros!$D$100,0))),2))</f>
        <v/>
      </c>
      <c r="CU815" s="66" t="str">
        <f t="shared" si="1167"/>
        <v/>
      </c>
      <c r="CV815" s="66" t="str">
        <f t="shared" si="1167"/>
        <v/>
      </c>
      <c r="CW815" s="66" t="str">
        <f>+IF($W815="","",ROUND((CT815*Parámetros!$G$85),2))</f>
        <v/>
      </c>
      <c r="CX815" s="66" t="str">
        <f>+IF($W815="","",ROUND((CT815*(Parámetros!$G$86)),2))</f>
        <v/>
      </c>
      <c r="CY815" s="66" t="str">
        <f t="shared" si="1168"/>
        <v/>
      </c>
      <c r="CZ815" t="str">
        <f t="shared" si="1114"/>
        <v/>
      </c>
      <c r="DA815" s="118" t="str">
        <f t="shared" si="1115"/>
        <v/>
      </c>
      <c r="DB815" s="118" t="str">
        <f t="shared" si="1116"/>
        <v/>
      </c>
      <c r="DC815" s="118" t="str">
        <f t="shared" si="1117"/>
        <v/>
      </c>
      <c r="DD815" s="121" t="str">
        <f>+IF(OR($W815="",DB815=0),"",ROUND((VLOOKUP(ROUNDDOWN($D815-1/frec,0),cob_adi,CO$40,FALSE)*(1+i/frec)^-0.5*(1+Parámetros!$D$103)*(1+rec_fracc)/frec),6))</f>
        <v/>
      </c>
      <c r="DE815" s="66" t="str">
        <f t="shared" si="1169"/>
        <v/>
      </c>
      <c r="DF815" s="119" t="str">
        <f t="shared" si="1170"/>
        <v/>
      </c>
      <c r="DG815" s="66" t="str">
        <f>+IF($W815="","",ROUND(IF($B815&gt;Parámetros!$D$107,'Tablas Servicio'!DE815+('Tablas Servicio'!DG814-'Tablas Servicio'!DE814),DE815/(1-IF(B815&lt;=10,Parámetros!$D$100,0))),2))</f>
        <v/>
      </c>
      <c r="DH815" s="66" t="str">
        <f t="shared" si="1171"/>
        <v/>
      </c>
      <c r="DI815" s="66" t="str">
        <f t="shared" si="1171"/>
        <v/>
      </c>
      <c r="DJ815" s="66" t="str">
        <f>+IF($W815="","",ROUND((DG815*Parámetros!$G$85),2))</f>
        <v/>
      </c>
      <c r="DK815" s="66" t="str">
        <f>+IF($W815="","",ROUND((DG815*(Parámetros!$G$86)),2))</f>
        <v/>
      </c>
      <c r="DL815" s="66" t="str">
        <f t="shared" si="1172"/>
        <v/>
      </c>
      <c r="DM815" t="str">
        <f t="shared" si="1118"/>
        <v/>
      </c>
      <c r="DN815" s="118" t="str">
        <f t="shared" si="1119"/>
        <v/>
      </c>
      <c r="DO815" s="118" t="str">
        <f t="shared" si="1120"/>
        <v/>
      </c>
      <c r="DP815" s="118" t="str">
        <f t="shared" si="1121"/>
        <v/>
      </c>
      <c r="DQ815" s="122" t="str">
        <f>+IF(OR($W815="",DO815=0),"",ROUND((VLOOKUP(ROUNDDOWN($D815-1/frec,0),cob_adi,DB$40,FALSE)*(1+i/frec)^-0.5*(1+Parámetros!$D$103)*(1+rec_fracc)/frec),6))</f>
        <v/>
      </c>
      <c r="DR815" s="66" t="str">
        <f t="shared" si="1173"/>
        <v/>
      </c>
      <c r="DS815" s="68" t="str">
        <f t="shared" si="1174"/>
        <v/>
      </c>
      <c r="DT815" s="66" t="str">
        <f>+IF($W815="","",ROUND(IF($B815&gt;Parámetros!$D$107,'Tablas Servicio'!DR815+('Tablas Servicio'!DT814-'Tablas Servicio'!DR814),DR815/(1-IF(B815&lt;=10,Parámetros!$D$100,0))),2))</f>
        <v/>
      </c>
      <c r="DU815" s="66" t="str">
        <f t="shared" si="1175"/>
        <v/>
      </c>
      <c r="DV815" s="66" t="str">
        <f t="shared" si="1175"/>
        <v/>
      </c>
      <c r="DW815" s="66" t="str">
        <f>+IF($W815="","",ROUND((DT815*Parámetros!$G$85),2))</f>
        <v/>
      </c>
      <c r="DX815" s="66" t="str">
        <f>+IF($W815="","",ROUND((DT815*(Parámetros!$G$86)),2))</f>
        <v/>
      </c>
      <c r="DY815" s="66" t="str">
        <f t="shared" si="1176"/>
        <v/>
      </c>
      <c r="DZ815" t="str">
        <f t="shared" si="1177"/>
        <v/>
      </c>
      <c r="EA815" s="118" t="str">
        <f t="shared" si="1177"/>
        <v/>
      </c>
      <c r="EB815" s="118" t="str">
        <f>+IF($W815="","",ROUND(IF(Parámetros!$D$25='TABLAS MORT'!$V$33,EB814,Z815/2),0))</f>
        <v/>
      </c>
      <c r="EC815" s="118" t="str">
        <f t="shared" si="1177"/>
        <v/>
      </c>
      <c r="ED815" s="122" t="str">
        <f>+IF(OR($W815="",EB815=0),"",ROUND((VLOOKUP(ROUNDDOWN($D815-1/frec,0),cob_adi,DO$40,FALSE)*(1+i/frec)^-0.5*(1+Parámetros!$D$103)*(1+rec_fracc)/frec),6))</f>
        <v/>
      </c>
      <c r="EE815" s="66" t="str">
        <f t="shared" si="1178"/>
        <v/>
      </c>
      <c r="EF815" s="68" t="str">
        <f t="shared" si="1179"/>
        <v/>
      </c>
      <c r="EG815" s="66" t="str">
        <f>+IF($W815="","",ROUND(IF($B815&gt;Parámetros!$D$107,'Tablas Servicio'!EE815+('Tablas Servicio'!EG814-'Tablas Servicio'!EE814),EE815/(1-IF(B815&lt;=10,Parámetros!$D$100,0))),2))</f>
        <v/>
      </c>
      <c r="EH815" s="66" t="str">
        <f t="shared" si="1180"/>
        <v/>
      </c>
      <c r="EI815" s="66" t="str">
        <f t="shared" si="1180"/>
        <v/>
      </c>
      <c r="EJ815" s="66" t="str">
        <f>+IF($W815="","",ROUND((EG815*Parámetros!$G$85),2))</f>
        <v/>
      </c>
      <c r="EK815" s="66" t="str">
        <f>+IF($W815="","",ROUND((EG815*(Parámetros!$G$86)),2))</f>
        <v/>
      </c>
      <c r="EL815" s="66" t="str">
        <f t="shared" si="1181"/>
        <v/>
      </c>
    </row>
    <row r="816" spans="1:142" x14ac:dyDescent="0.25">
      <c r="A816" t="str">
        <f>+IF($C816="","",ROUND(VLOOKUP('Tablas Servicio'!B816,Parámetros!$H$100:$J$159,IF(Parámetros!$E$16="F",2,3),FALSE),2))</f>
        <v/>
      </c>
      <c r="B816" t="str">
        <f t="shared" si="1132"/>
        <v/>
      </c>
      <c r="C816" s="57" t="str">
        <f>+IF(D816="","",'Tablas Servicio'!C815+1)</f>
        <v/>
      </c>
      <c r="D816" s="56" t="str">
        <f>+IF(D815&lt;edadmaxtabla,D815+1/Parámetros!$E$25,"")</f>
        <v/>
      </c>
      <c r="E816" s="57" t="str">
        <f t="shared" si="1142"/>
        <v/>
      </c>
      <c r="F816" s="59" t="str">
        <f t="shared" si="1143"/>
        <v/>
      </c>
      <c r="G816" s="66" t="str">
        <f t="shared" si="1133"/>
        <v/>
      </c>
      <c r="H816" s="66" t="str">
        <f t="shared" si="1134"/>
        <v/>
      </c>
      <c r="I816" s="66" t="str">
        <f t="shared" si="1087"/>
        <v/>
      </c>
      <c r="J816" s="66" t="str">
        <f t="shared" si="1135"/>
        <v/>
      </c>
      <c r="K816" s="66" t="str">
        <f t="shared" si="1136"/>
        <v/>
      </c>
      <c r="L816" s="66" t="str">
        <f t="shared" si="1137"/>
        <v/>
      </c>
      <c r="M816" s="66" t="str">
        <f t="shared" si="1138"/>
        <v/>
      </c>
      <c r="N816" s="66" t="str">
        <f>+IF(C816="","",ROUND(Parámetros!$D$23,2))</f>
        <v/>
      </c>
      <c r="O816" s="66" t="str">
        <f t="shared" si="1139"/>
        <v/>
      </c>
      <c r="P816" s="66" t="str">
        <f>+IF($C816="","",ROUND(IF(B816&gt;Parámetros!$D$117,0,N816*Parámetros!$D$116-G816*Parámetros!$D$100),2))</f>
        <v/>
      </c>
      <c r="Q816" s="75" t="str">
        <f t="shared" si="1088"/>
        <v/>
      </c>
      <c r="R816" s="75" t="str">
        <f t="shared" si="1089"/>
        <v/>
      </c>
      <c r="S816" s="117" t="str">
        <f>+IF($C816="","",ROUND((S815+I816)*(1+Parámetros!$D$91),2))</f>
        <v/>
      </c>
      <c r="T816" s="117" t="str">
        <f>+IF($C816="","",ROUND(S816*VLOOKUP(B816,Parámetros!$C$30:$D$39,2,TRUE),2))</f>
        <v/>
      </c>
      <c r="U816" s="117" t="str">
        <f>+IF($C816="","",ROUND((U815+I816)*(1+Parámetros!$D$92),2))</f>
        <v/>
      </c>
      <c r="V816" s="117" t="str">
        <f>+IF($C816="","",ROUND(U816*VLOOKUP(B816,Parámetros!$C$30:$D$39,2,TRUE),2))</f>
        <v/>
      </c>
      <c r="W816" s="57" t="str">
        <f t="shared" si="1090"/>
        <v/>
      </c>
      <c r="X816" t="str">
        <f t="shared" si="1091"/>
        <v/>
      </c>
      <c r="Y816" t="str">
        <f t="shared" si="1092"/>
        <v/>
      </c>
      <c r="Z816" s="118" t="str">
        <f>+IF($W816="","",ROUND(IF(Parámetros!$D$25='TABLAS MORT'!$V$33,Z815,Parámetros!$D$21-'Tablas Servicio'!T815),0))</f>
        <v/>
      </c>
      <c r="AA816" s="118" t="str">
        <f t="shared" si="1093"/>
        <v/>
      </c>
      <c r="AB816" s="119" t="str">
        <f>+IF(W816="","",ROUND((VLOOKUP(ROUNDDOWN($D816-1/frec,0),qx_tabla,2,FALSE)*(1+i/frec)^-0.5*(1+Parámetros!$D$103)*(1+rec_fracc)/frec),6))</f>
        <v/>
      </c>
      <c r="AC816" s="66" t="str">
        <f t="shared" si="1144"/>
        <v/>
      </c>
      <c r="AD816" s="119" t="str">
        <f t="shared" si="1140"/>
        <v/>
      </c>
      <c r="AE816" s="66" t="str">
        <f>+IF($W816="","",ROUND(IF($B816&gt;Parámetros!$D$107,'Tablas Servicio'!AC816+('Tablas Servicio'!AG815-'Tablas Servicio'!AC815),AC816/(1-IF(B816&lt;=10,Parámetros!$D$104,Parámetros!$D$105))),2))</f>
        <v/>
      </c>
      <c r="AF816" s="66" t="str">
        <f>+IF($W816="","",ROUND(IF($B816&gt;Parámetros!$D$107,'Tablas Servicio'!AC816+('Tablas Servicio'!AG815-'Tablas Servicio'!AC815),(AC816+$A815/frec)/(1-IF(B816&lt;=Parámetros!$D$117,Parámetros!$D$100,0))),2))</f>
        <v/>
      </c>
      <c r="AG816" s="66" t="str">
        <f t="shared" si="1145"/>
        <v/>
      </c>
      <c r="AH816" s="66" t="str">
        <f t="shared" si="1146"/>
        <v/>
      </c>
      <c r="AI816" s="66" t="str">
        <f t="shared" si="1147"/>
        <v/>
      </c>
      <c r="AJ816" s="66" t="str">
        <f>+IF($W816="","",ROUND((AG816*Parámetros!$G$85),2))</f>
        <v/>
      </c>
      <c r="AK816" s="66" t="str">
        <f>+IF($W816="","",ROUND((AG816*(Parámetros!$G$86)),2))</f>
        <v/>
      </c>
      <c r="AL816" s="66" t="str">
        <f t="shared" si="1141"/>
        <v/>
      </c>
      <c r="AM816" t="str">
        <f t="shared" si="1094"/>
        <v/>
      </c>
      <c r="AN816" t="str">
        <f t="shared" si="1095"/>
        <v/>
      </c>
      <c r="AO816" s="118" t="str">
        <f t="shared" si="1096"/>
        <v/>
      </c>
      <c r="AP816" s="118" t="str">
        <f t="shared" si="1097"/>
        <v/>
      </c>
      <c r="AQ816" s="119" t="str">
        <f>+IF(OR($W816="",AO816=0),"",ROUND((VLOOKUP(ROUNDDOWN($D816-1/frec,0),cob_adi,Z$40,FALSE)*(1+i/frec)^-0.5*(1+Parámetros!$D$103)*(1+rec_fracc)/frec),6))</f>
        <v/>
      </c>
      <c r="AR816" s="66" t="str">
        <f t="shared" si="1148"/>
        <v/>
      </c>
      <c r="AS816" s="119" t="str">
        <f t="shared" si="1149"/>
        <v/>
      </c>
      <c r="AT816" s="66" t="str">
        <f>+IF($W816="","",ROUND(IF($B816&gt;Parámetros!$D$107,'Tablas Servicio'!AR816+('Tablas Servicio'!AT815-'Tablas Servicio'!AR815),AR816/(1-IF(B816&lt;=10,Parámetros!$D$100,0))),2))</f>
        <v/>
      </c>
      <c r="AU816" s="66" t="str">
        <f t="shared" si="1150"/>
        <v/>
      </c>
      <c r="AV816" s="66" t="str">
        <f t="shared" si="1150"/>
        <v/>
      </c>
      <c r="AW816" s="66" t="str">
        <f>+IF($W816="","",ROUND((AT816*Parámetros!$G$85),2))</f>
        <v/>
      </c>
      <c r="AX816" s="66" t="str">
        <f>+IF($W816="","",ROUND((AT816*(Parámetros!$G$86)),2))</f>
        <v/>
      </c>
      <c r="AY816" s="66" t="str">
        <f t="shared" si="1151"/>
        <v/>
      </c>
      <c r="AZ816" t="str">
        <f t="shared" si="1098"/>
        <v/>
      </c>
      <c r="BA816" t="str">
        <f t="shared" si="1099"/>
        <v/>
      </c>
      <c r="BB816" s="118" t="str">
        <f t="shared" si="1100"/>
        <v/>
      </c>
      <c r="BC816" s="118" t="str">
        <f t="shared" si="1101"/>
        <v/>
      </c>
      <c r="BD816" s="119" t="str">
        <f>+IF(OR($W816="",BB816=0),"",ROUND((VLOOKUP(ROUNDDOWN($D816-1/frec,0),cob_adi,AO$40,FALSE)*(1+i/frec)^-0.5*(1+Parámetros!$D$103)*(1+rec_fracc)/frec),6))</f>
        <v/>
      </c>
      <c r="BE816" s="66" t="str">
        <f t="shared" si="1152"/>
        <v/>
      </c>
      <c r="BF816" s="119" t="str">
        <f t="shared" si="1153"/>
        <v/>
      </c>
      <c r="BG816" s="66" t="str">
        <f>+IF($W816="","",ROUND(IF($B816&gt;Parámetros!$D$107,'Tablas Servicio'!BE816+('Tablas Servicio'!BG815-'Tablas Servicio'!BE815),BE816/(1-IF(B816&lt;=10,Parámetros!$D$100,0))),2))</f>
        <v/>
      </c>
      <c r="BH816" s="66" t="str">
        <f t="shared" si="1154"/>
        <v/>
      </c>
      <c r="BI816" s="66" t="str">
        <f t="shared" si="1155"/>
        <v/>
      </c>
      <c r="BJ816" s="66" t="str">
        <f>+IF($W816="","",ROUND((BG816*Parámetros!$G$85),2))</f>
        <v/>
      </c>
      <c r="BK816" s="66" t="str">
        <f>+IF($W816="","",ROUND((BG816*(Parámetros!$G$86)),2))</f>
        <v/>
      </c>
      <c r="BL816" s="66" t="str">
        <f t="shared" si="1156"/>
        <v/>
      </c>
      <c r="BM816" t="str">
        <f t="shared" si="1102"/>
        <v/>
      </c>
      <c r="BN816" t="str">
        <f t="shared" si="1103"/>
        <v/>
      </c>
      <c r="BO816" s="118" t="str">
        <f t="shared" si="1104"/>
        <v/>
      </c>
      <c r="BP816" s="118" t="str">
        <f t="shared" si="1105"/>
        <v/>
      </c>
      <c r="BQ816" s="119" t="str">
        <f>+IF(OR($W816="",BO816=0),"",ROUND((VLOOKUP(ROUNDDOWN($D816-1/frec,0),cob_adi,BB$40,FALSE)*(1+i/frec)^-0.5*(1+Parámetros!$D$103)*(1+rec_fracc)/frec),6))</f>
        <v/>
      </c>
      <c r="BR816" s="66" t="str">
        <f t="shared" si="1157"/>
        <v/>
      </c>
      <c r="BS816" s="119" t="str">
        <f t="shared" si="1158"/>
        <v/>
      </c>
      <c r="BT816" s="66" t="str">
        <f>+IF($W816="","",ROUND(IF($B816&gt;Parámetros!$D$107,'Tablas Servicio'!BR816+('Tablas Servicio'!BT815-'Tablas Servicio'!BR815),BR816/(1-IF(B816&lt;=10,Parámetros!$D$100,0))),2))</f>
        <v/>
      </c>
      <c r="BU816" s="66" t="str">
        <f t="shared" si="1159"/>
        <v/>
      </c>
      <c r="BV816" s="66" t="str">
        <f t="shared" si="1159"/>
        <v/>
      </c>
      <c r="BW816" s="66" t="str">
        <f>+IF($W816="","",ROUND((BT816*Parámetros!$G$85),2))</f>
        <v/>
      </c>
      <c r="BX816" s="66" t="str">
        <f>+IF($W816="","",ROUND((BT816*(Parámetros!$G$86)),2))</f>
        <v/>
      </c>
      <c r="BY816" s="66" t="str">
        <f t="shared" si="1160"/>
        <v/>
      </c>
      <c r="BZ816" t="str">
        <f t="shared" si="1106"/>
        <v/>
      </c>
      <c r="CA816" t="str">
        <f t="shared" si="1107"/>
        <v/>
      </c>
      <c r="CB816" s="118" t="str">
        <f t="shared" si="1108"/>
        <v/>
      </c>
      <c r="CC816" s="118" t="str">
        <f t="shared" si="1109"/>
        <v/>
      </c>
      <c r="CD816" s="119" t="str">
        <f t="shared" si="1161"/>
        <v/>
      </c>
      <c r="CE816" s="66" t="str">
        <f>+IF($W816="","",ROUND((VLOOKUP(ROUNDDOWN($D816-1/frec,0),cob_adi,BO$40,FALSE)*(1+i/frec)^-0.5*(1+Parámetros!$D$103)*(1+rec_fracc)/frec*'TABLAS ADI'!$BC$17),2))</f>
        <v/>
      </c>
      <c r="CF816" s="119" t="str">
        <f t="shared" si="1162"/>
        <v/>
      </c>
      <c r="CG816" s="66" t="str">
        <f>+IF($W816="","",ROUND(IF($B816&gt;Parámetros!$D$107,'Tablas Servicio'!CE816+('Tablas Servicio'!CG815-'Tablas Servicio'!CE815),CE816/(1-IF(B816&lt;=10,Parámetros!$D$100,0))),2))</f>
        <v/>
      </c>
      <c r="CH816" s="66" t="str">
        <f t="shared" si="1163"/>
        <v/>
      </c>
      <c r="CI816" s="66" t="str">
        <f t="shared" si="1163"/>
        <v/>
      </c>
      <c r="CJ816" s="66" t="str">
        <f>+IF($W816="","",ROUND((CG816*Parámetros!$G$85),2))</f>
        <v/>
      </c>
      <c r="CK816" s="66" t="str">
        <f>+IF($W816="","",ROUND((CG816*(Parámetros!$G$86)),2))</f>
        <v/>
      </c>
      <c r="CL816" s="66" t="str">
        <f t="shared" si="1164"/>
        <v/>
      </c>
      <c r="CM816" t="str">
        <f t="shared" si="1110"/>
        <v/>
      </c>
      <c r="CN816" s="118" t="str">
        <f t="shared" si="1111"/>
        <v/>
      </c>
      <c r="CO816" s="118" t="str">
        <f t="shared" si="1112"/>
        <v/>
      </c>
      <c r="CP816" s="118" t="str">
        <f t="shared" si="1113"/>
        <v/>
      </c>
      <c r="CQ816" s="119" t="str">
        <f t="shared" si="1165"/>
        <v/>
      </c>
      <c r="CR816" s="66" t="str">
        <f>+IF($W816="","",ROUND((VLOOKUP(Parámetros!$F$51,'COBERTURAS ADICIONALES'!$S$4:$T$32,2,FALSE)*(1+i/frec)^-0.5*(1+Parámetros!$D$103)*(1+rec_fracc)/frec*$CO$42),2))</f>
        <v/>
      </c>
      <c r="CS816" s="119" t="str">
        <f t="shared" si="1166"/>
        <v/>
      </c>
      <c r="CT816" s="66" t="str">
        <f>+IF($W816="","",ROUND(IF($B816&gt;Parámetros!$D$107,'Tablas Servicio'!CR816+('Tablas Servicio'!CT815-'Tablas Servicio'!CR815),CR816/(1-IF(B816&lt;=10,Parámetros!$D$100,0))),2))</f>
        <v/>
      </c>
      <c r="CU816" s="66" t="str">
        <f t="shared" si="1167"/>
        <v/>
      </c>
      <c r="CV816" s="66" t="str">
        <f t="shared" si="1167"/>
        <v/>
      </c>
      <c r="CW816" s="66" t="str">
        <f>+IF($W816="","",ROUND((CT816*Parámetros!$G$85),2))</f>
        <v/>
      </c>
      <c r="CX816" s="66" t="str">
        <f>+IF($W816="","",ROUND((CT816*(Parámetros!$G$86)),2))</f>
        <v/>
      </c>
      <c r="CY816" s="66" t="str">
        <f t="shared" si="1168"/>
        <v/>
      </c>
      <c r="CZ816" t="str">
        <f t="shared" si="1114"/>
        <v/>
      </c>
      <c r="DA816" s="118" t="str">
        <f t="shared" si="1115"/>
        <v/>
      </c>
      <c r="DB816" s="118" t="str">
        <f t="shared" si="1116"/>
        <v/>
      </c>
      <c r="DC816" s="118" t="str">
        <f t="shared" si="1117"/>
        <v/>
      </c>
      <c r="DD816" s="121" t="str">
        <f>+IF(OR($W816="",DB816=0),"",ROUND((VLOOKUP(ROUNDDOWN($D816-1/frec,0),cob_adi,CO$40,FALSE)*(1+i/frec)^-0.5*(1+Parámetros!$D$103)*(1+rec_fracc)/frec),6))</f>
        <v/>
      </c>
      <c r="DE816" s="66" t="str">
        <f t="shared" si="1169"/>
        <v/>
      </c>
      <c r="DF816" s="119" t="str">
        <f t="shared" si="1170"/>
        <v/>
      </c>
      <c r="DG816" s="66" t="str">
        <f>+IF($W816="","",ROUND(IF($B816&gt;Parámetros!$D$107,'Tablas Servicio'!DE816+('Tablas Servicio'!DG815-'Tablas Servicio'!DE815),DE816/(1-IF(B816&lt;=10,Parámetros!$D$100,0))),2))</f>
        <v/>
      </c>
      <c r="DH816" s="66" t="str">
        <f t="shared" si="1171"/>
        <v/>
      </c>
      <c r="DI816" s="66" t="str">
        <f t="shared" si="1171"/>
        <v/>
      </c>
      <c r="DJ816" s="66" t="str">
        <f>+IF($W816="","",ROUND((DG816*Parámetros!$G$85),2))</f>
        <v/>
      </c>
      <c r="DK816" s="66" t="str">
        <f>+IF($W816="","",ROUND((DG816*(Parámetros!$G$86)),2))</f>
        <v/>
      </c>
      <c r="DL816" s="66" t="str">
        <f t="shared" si="1172"/>
        <v/>
      </c>
      <c r="DM816" t="str">
        <f t="shared" si="1118"/>
        <v/>
      </c>
      <c r="DN816" s="118" t="str">
        <f t="shared" si="1119"/>
        <v/>
      </c>
      <c r="DO816" s="118" t="str">
        <f t="shared" si="1120"/>
        <v/>
      </c>
      <c r="DP816" s="118" t="str">
        <f t="shared" si="1121"/>
        <v/>
      </c>
      <c r="DQ816" s="122" t="str">
        <f>+IF(OR($W816="",DO816=0),"",ROUND((VLOOKUP(ROUNDDOWN($D816-1/frec,0),cob_adi,DB$40,FALSE)*(1+i/frec)^-0.5*(1+Parámetros!$D$103)*(1+rec_fracc)/frec),6))</f>
        <v/>
      </c>
      <c r="DR816" s="66" t="str">
        <f t="shared" si="1173"/>
        <v/>
      </c>
      <c r="DS816" s="68" t="str">
        <f t="shared" si="1174"/>
        <v/>
      </c>
      <c r="DT816" s="66" t="str">
        <f>+IF($W816="","",ROUND(IF($B816&gt;Parámetros!$D$107,'Tablas Servicio'!DR816+('Tablas Servicio'!DT815-'Tablas Servicio'!DR815),DR816/(1-IF(B816&lt;=10,Parámetros!$D$100,0))),2))</f>
        <v/>
      </c>
      <c r="DU816" s="66" t="str">
        <f t="shared" si="1175"/>
        <v/>
      </c>
      <c r="DV816" s="66" t="str">
        <f t="shared" si="1175"/>
        <v/>
      </c>
      <c r="DW816" s="66" t="str">
        <f>+IF($W816="","",ROUND((DT816*Parámetros!$G$85),2))</f>
        <v/>
      </c>
      <c r="DX816" s="66" t="str">
        <f>+IF($W816="","",ROUND((DT816*(Parámetros!$G$86)),2))</f>
        <v/>
      </c>
      <c r="DY816" s="66" t="str">
        <f t="shared" si="1176"/>
        <v/>
      </c>
      <c r="DZ816" t="str">
        <f t="shared" si="1177"/>
        <v/>
      </c>
      <c r="EA816" s="118" t="str">
        <f t="shared" si="1177"/>
        <v/>
      </c>
      <c r="EB816" s="118" t="str">
        <f>+IF($W816="","",ROUND(IF(Parámetros!$D$25='TABLAS MORT'!$V$33,EB815,Z816/2),0))</f>
        <v/>
      </c>
      <c r="EC816" s="118" t="str">
        <f t="shared" si="1177"/>
        <v/>
      </c>
      <c r="ED816" s="122" t="str">
        <f>+IF(OR($W816="",EB816=0),"",ROUND((VLOOKUP(ROUNDDOWN($D816-1/frec,0),cob_adi,DO$40,FALSE)*(1+i/frec)^-0.5*(1+Parámetros!$D$103)*(1+rec_fracc)/frec),6))</f>
        <v/>
      </c>
      <c r="EE816" s="66" t="str">
        <f t="shared" si="1178"/>
        <v/>
      </c>
      <c r="EF816" s="68" t="str">
        <f t="shared" si="1179"/>
        <v/>
      </c>
      <c r="EG816" s="66" t="str">
        <f>+IF($W816="","",ROUND(IF($B816&gt;Parámetros!$D$107,'Tablas Servicio'!EE816+('Tablas Servicio'!EG815-'Tablas Servicio'!EE815),EE816/(1-IF(B816&lt;=10,Parámetros!$D$100,0))),2))</f>
        <v/>
      </c>
      <c r="EH816" s="66" t="str">
        <f t="shared" si="1180"/>
        <v/>
      </c>
      <c r="EI816" s="66" t="str">
        <f t="shared" si="1180"/>
        <v/>
      </c>
      <c r="EJ816" s="66" t="str">
        <f>+IF($W816="","",ROUND((EG816*Parámetros!$G$85),2))</f>
        <v/>
      </c>
      <c r="EK816" s="66" t="str">
        <f>+IF($W816="","",ROUND((EG816*(Parámetros!$G$86)),2))</f>
        <v/>
      </c>
      <c r="EL816" s="66" t="str">
        <f t="shared" si="1181"/>
        <v/>
      </c>
    </row>
    <row r="817" spans="1:142" x14ac:dyDescent="0.25">
      <c r="A817" t="str">
        <f>+IF($C817="","",ROUND(VLOOKUP('Tablas Servicio'!B817,Parámetros!$H$100:$J$159,IF(Parámetros!$E$16="F",2,3),FALSE),2))</f>
        <v/>
      </c>
      <c r="B817" t="str">
        <f t="shared" si="1132"/>
        <v/>
      </c>
      <c r="C817" s="57" t="str">
        <f>+IF(D817="","",'Tablas Servicio'!C816+1)</f>
        <v/>
      </c>
      <c r="D817" s="56" t="str">
        <f>+IF(D816&lt;edadmaxtabla,D816+1/Parámetros!$E$25,"")</f>
        <v/>
      </c>
      <c r="E817" s="57" t="str">
        <f t="shared" si="1142"/>
        <v/>
      </c>
      <c r="F817" s="59" t="str">
        <f t="shared" si="1143"/>
        <v/>
      </c>
      <c r="G817" s="66" t="str">
        <f t="shared" si="1133"/>
        <v/>
      </c>
      <c r="H817" s="66" t="str">
        <f t="shared" si="1134"/>
        <v/>
      </c>
      <c r="I817" s="66" t="str">
        <f t="shared" si="1087"/>
        <v/>
      </c>
      <c r="J817" s="66" t="str">
        <f t="shared" si="1135"/>
        <v/>
      </c>
      <c r="K817" s="66" t="str">
        <f t="shared" si="1136"/>
        <v/>
      </c>
      <c r="L817" s="66" t="str">
        <f t="shared" si="1137"/>
        <v/>
      </c>
      <c r="M817" s="66" t="str">
        <f t="shared" si="1138"/>
        <v/>
      </c>
      <c r="N817" s="66" t="str">
        <f>+IF(C817="","",ROUND(Parámetros!$D$23,2))</f>
        <v/>
      </c>
      <c r="O817" s="66" t="str">
        <f t="shared" si="1139"/>
        <v/>
      </c>
      <c r="P817" s="66" t="str">
        <f>+IF($C817="","",ROUND(IF(B817&gt;Parámetros!$D$117,0,N817*Parámetros!$D$116-G817*Parámetros!$D$100),2))</f>
        <v/>
      </c>
      <c r="Q817" s="75" t="str">
        <f t="shared" si="1088"/>
        <v/>
      </c>
      <c r="R817" s="75" t="str">
        <f t="shared" si="1089"/>
        <v/>
      </c>
      <c r="S817" s="117" t="str">
        <f>+IF($C817="","",ROUND((S816+I817)*(1+Parámetros!$D$91),2))</f>
        <v/>
      </c>
      <c r="T817" s="117" t="str">
        <f>+IF($C817="","",ROUND(S817*VLOOKUP(B817,Parámetros!$C$30:$D$39,2,TRUE),2))</f>
        <v/>
      </c>
      <c r="U817" s="117" t="str">
        <f>+IF($C817="","",ROUND((U816+I817)*(1+Parámetros!$D$92),2))</f>
        <v/>
      </c>
      <c r="V817" s="117" t="str">
        <f>+IF($C817="","",ROUND(U817*VLOOKUP(B817,Parámetros!$C$30:$D$39,2,TRUE),2))</f>
        <v/>
      </c>
      <c r="W817" s="57" t="str">
        <f t="shared" si="1090"/>
        <v/>
      </c>
      <c r="X817" t="str">
        <f t="shared" si="1091"/>
        <v/>
      </c>
      <c r="Y817" t="str">
        <f t="shared" si="1092"/>
        <v/>
      </c>
      <c r="Z817" s="118" t="str">
        <f>+IF($W817="","",ROUND(IF(Parámetros!$D$25='TABLAS MORT'!$V$33,Z816,Parámetros!$D$21-'Tablas Servicio'!T816),0))</f>
        <v/>
      </c>
      <c r="AA817" s="118" t="str">
        <f t="shared" si="1093"/>
        <v/>
      </c>
      <c r="AB817" s="119" t="str">
        <f>+IF(W817="","",ROUND((VLOOKUP(ROUNDDOWN($D817-1/frec,0),qx_tabla,2,FALSE)*(1+i/frec)^-0.5*(1+Parámetros!$D$103)*(1+rec_fracc)/frec),6))</f>
        <v/>
      </c>
      <c r="AC817" s="66" t="str">
        <f t="shared" si="1144"/>
        <v/>
      </c>
      <c r="AD817" s="119" t="str">
        <f t="shared" si="1140"/>
        <v/>
      </c>
      <c r="AE817" s="66" t="str">
        <f>+IF($W817="","",ROUND(IF($B817&gt;Parámetros!$D$107,'Tablas Servicio'!AC817+('Tablas Servicio'!AG816-'Tablas Servicio'!AC816),AC817/(1-IF(B817&lt;=10,Parámetros!$D$104,Parámetros!$D$105))),2))</f>
        <v/>
      </c>
      <c r="AF817" s="66" t="str">
        <f>+IF($W817="","",ROUND(IF($B817&gt;Parámetros!$D$107,'Tablas Servicio'!AC817+('Tablas Servicio'!AG816-'Tablas Servicio'!AC816),(AC817+$A816/frec)/(1-IF(B817&lt;=Parámetros!$D$117,Parámetros!$D$100,0))),2))</f>
        <v/>
      </c>
      <c r="AG817" s="66" t="str">
        <f t="shared" si="1145"/>
        <v/>
      </c>
      <c r="AH817" s="66" t="str">
        <f t="shared" si="1146"/>
        <v/>
      </c>
      <c r="AI817" s="66" t="str">
        <f t="shared" si="1147"/>
        <v/>
      </c>
      <c r="AJ817" s="66" t="str">
        <f>+IF($W817="","",ROUND((AG817*Parámetros!$G$85),2))</f>
        <v/>
      </c>
      <c r="AK817" s="66" t="str">
        <f>+IF($W817="","",ROUND((AG817*(Parámetros!$G$86)),2))</f>
        <v/>
      </c>
      <c r="AL817" s="66" t="str">
        <f t="shared" si="1141"/>
        <v/>
      </c>
      <c r="AM817" t="str">
        <f t="shared" si="1094"/>
        <v/>
      </c>
      <c r="AN817" t="str">
        <f t="shared" si="1095"/>
        <v/>
      </c>
      <c r="AO817" s="118" t="str">
        <f t="shared" si="1096"/>
        <v/>
      </c>
      <c r="AP817" s="118" t="str">
        <f t="shared" si="1097"/>
        <v/>
      </c>
      <c r="AQ817" s="119" t="str">
        <f>+IF(OR($W817="",AO817=0),"",ROUND((VLOOKUP(ROUNDDOWN($D817-1/frec,0),cob_adi,Z$40,FALSE)*(1+i/frec)^-0.5*(1+Parámetros!$D$103)*(1+rec_fracc)/frec),6))</f>
        <v/>
      </c>
      <c r="AR817" s="66" t="str">
        <f t="shared" si="1148"/>
        <v/>
      </c>
      <c r="AS817" s="119" t="str">
        <f t="shared" si="1149"/>
        <v/>
      </c>
      <c r="AT817" s="66" t="str">
        <f>+IF($W817="","",ROUND(IF($B817&gt;Parámetros!$D$107,'Tablas Servicio'!AR817+('Tablas Servicio'!AT816-'Tablas Servicio'!AR816),AR817/(1-IF(B817&lt;=10,Parámetros!$D$100,0))),2))</f>
        <v/>
      </c>
      <c r="AU817" s="66" t="str">
        <f t="shared" si="1150"/>
        <v/>
      </c>
      <c r="AV817" s="66" t="str">
        <f t="shared" si="1150"/>
        <v/>
      </c>
      <c r="AW817" s="66" t="str">
        <f>+IF($W817="","",ROUND((AT817*Parámetros!$G$85),2))</f>
        <v/>
      </c>
      <c r="AX817" s="66" t="str">
        <f>+IF($W817="","",ROUND((AT817*(Parámetros!$G$86)),2))</f>
        <v/>
      </c>
      <c r="AY817" s="66" t="str">
        <f t="shared" si="1151"/>
        <v/>
      </c>
      <c r="AZ817" t="str">
        <f t="shared" si="1098"/>
        <v/>
      </c>
      <c r="BA817" t="str">
        <f t="shared" si="1099"/>
        <v/>
      </c>
      <c r="BB817" s="118" t="str">
        <f t="shared" si="1100"/>
        <v/>
      </c>
      <c r="BC817" s="118" t="str">
        <f t="shared" si="1101"/>
        <v/>
      </c>
      <c r="BD817" s="119" t="str">
        <f>+IF(OR($W817="",BB817=0),"",ROUND((VLOOKUP(ROUNDDOWN($D817-1/frec,0),cob_adi,AO$40,FALSE)*(1+i/frec)^-0.5*(1+Parámetros!$D$103)*(1+rec_fracc)/frec),6))</f>
        <v/>
      </c>
      <c r="BE817" s="66" t="str">
        <f t="shared" si="1152"/>
        <v/>
      </c>
      <c r="BF817" s="119" t="str">
        <f t="shared" si="1153"/>
        <v/>
      </c>
      <c r="BG817" s="66" t="str">
        <f>+IF($W817="","",ROUND(IF($B817&gt;Parámetros!$D$107,'Tablas Servicio'!BE817+('Tablas Servicio'!BG816-'Tablas Servicio'!BE816),BE817/(1-IF(B817&lt;=10,Parámetros!$D$100,0))),2))</f>
        <v/>
      </c>
      <c r="BH817" s="66" t="str">
        <f t="shared" si="1154"/>
        <v/>
      </c>
      <c r="BI817" s="66" t="str">
        <f t="shared" si="1155"/>
        <v/>
      </c>
      <c r="BJ817" s="66" t="str">
        <f>+IF($W817="","",ROUND((BG817*Parámetros!$G$85),2))</f>
        <v/>
      </c>
      <c r="BK817" s="66" t="str">
        <f>+IF($W817="","",ROUND((BG817*(Parámetros!$G$86)),2))</f>
        <v/>
      </c>
      <c r="BL817" s="66" t="str">
        <f t="shared" si="1156"/>
        <v/>
      </c>
      <c r="BM817" t="str">
        <f t="shared" si="1102"/>
        <v/>
      </c>
      <c r="BN817" t="str">
        <f t="shared" si="1103"/>
        <v/>
      </c>
      <c r="BO817" s="118" t="str">
        <f t="shared" si="1104"/>
        <v/>
      </c>
      <c r="BP817" s="118" t="str">
        <f t="shared" si="1105"/>
        <v/>
      </c>
      <c r="BQ817" s="119" t="str">
        <f>+IF(OR($W817="",BO817=0),"",ROUND((VLOOKUP(ROUNDDOWN($D817-1/frec,0),cob_adi,BB$40,FALSE)*(1+i/frec)^-0.5*(1+Parámetros!$D$103)*(1+rec_fracc)/frec),6))</f>
        <v/>
      </c>
      <c r="BR817" s="66" t="str">
        <f t="shared" si="1157"/>
        <v/>
      </c>
      <c r="BS817" s="119" t="str">
        <f t="shared" si="1158"/>
        <v/>
      </c>
      <c r="BT817" s="66" t="str">
        <f>+IF($W817="","",ROUND(IF($B817&gt;Parámetros!$D$107,'Tablas Servicio'!BR817+('Tablas Servicio'!BT816-'Tablas Servicio'!BR816),BR817/(1-IF(B817&lt;=10,Parámetros!$D$100,0))),2))</f>
        <v/>
      </c>
      <c r="BU817" s="66" t="str">
        <f t="shared" si="1159"/>
        <v/>
      </c>
      <c r="BV817" s="66" t="str">
        <f t="shared" si="1159"/>
        <v/>
      </c>
      <c r="BW817" s="66" t="str">
        <f>+IF($W817="","",ROUND((BT817*Parámetros!$G$85),2))</f>
        <v/>
      </c>
      <c r="BX817" s="66" t="str">
        <f>+IF($W817="","",ROUND((BT817*(Parámetros!$G$86)),2))</f>
        <v/>
      </c>
      <c r="BY817" s="66" t="str">
        <f t="shared" si="1160"/>
        <v/>
      </c>
      <c r="BZ817" t="str">
        <f t="shared" si="1106"/>
        <v/>
      </c>
      <c r="CA817" t="str">
        <f t="shared" si="1107"/>
        <v/>
      </c>
      <c r="CB817" s="118" t="str">
        <f t="shared" si="1108"/>
        <v/>
      </c>
      <c r="CC817" s="118" t="str">
        <f t="shared" si="1109"/>
        <v/>
      </c>
      <c r="CD817" s="119" t="str">
        <f t="shared" si="1161"/>
        <v/>
      </c>
      <c r="CE817" s="66" t="str">
        <f>+IF($W817="","",ROUND((VLOOKUP(ROUNDDOWN($D817-1/frec,0),cob_adi,BO$40,FALSE)*(1+i/frec)^-0.5*(1+Parámetros!$D$103)*(1+rec_fracc)/frec*'TABLAS ADI'!$BC$17),2))</f>
        <v/>
      </c>
      <c r="CF817" s="119" t="str">
        <f t="shared" si="1162"/>
        <v/>
      </c>
      <c r="CG817" s="66" t="str">
        <f>+IF($W817="","",ROUND(IF($B817&gt;Parámetros!$D$107,'Tablas Servicio'!CE817+('Tablas Servicio'!CG816-'Tablas Servicio'!CE816),CE817/(1-IF(B817&lt;=10,Parámetros!$D$100,0))),2))</f>
        <v/>
      </c>
      <c r="CH817" s="66" t="str">
        <f t="shared" si="1163"/>
        <v/>
      </c>
      <c r="CI817" s="66" t="str">
        <f t="shared" si="1163"/>
        <v/>
      </c>
      <c r="CJ817" s="66" t="str">
        <f>+IF($W817="","",ROUND((CG817*Parámetros!$G$85),2))</f>
        <v/>
      </c>
      <c r="CK817" s="66" t="str">
        <f>+IF($W817="","",ROUND((CG817*(Parámetros!$G$86)),2))</f>
        <v/>
      </c>
      <c r="CL817" s="66" t="str">
        <f t="shared" si="1164"/>
        <v/>
      </c>
      <c r="CM817" t="str">
        <f t="shared" si="1110"/>
        <v/>
      </c>
      <c r="CN817" s="118" t="str">
        <f t="shared" si="1111"/>
        <v/>
      </c>
      <c r="CO817" s="118" t="str">
        <f t="shared" si="1112"/>
        <v/>
      </c>
      <c r="CP817" s="118" t="str">
        <f t="shared" si="1113"/>
        <v/>
      </c>
      <c r="CQ817" s="119" t="str">
        <f t="shared" si="1165"/>
        <v/>
      </c>
      <c r="CR817" s="66" t="str">
        <f>+IF($W817="","",ROUND((VLOOKUP(Parámetros!$F$51,'COBERTURAS ADICIONALES'!$S$4:$T$32,2,FALSE)*(1+i/frec)^-0.5*(1+Parámetros!$D$103)*(1+rec_fracc)/frec*$CO$42),2))</f>
        <v/>
      </c>
      <c r="CS817" s="119" t="str">
        <f t="shared" si="1166"/>
        <v/>
      </c>
      <c r="CT817" s="66" t="str">
        <f>+IF($W817="","",ROUND(IF($B817&gt;Parámetros!$D$107,'Tablas Servicio'!CR817+('Tablas Servicio'!CT816-'Tablas Servicio'!CR816),CR817/(1-IF(B817&lt;=10,Parámetros!$D$100,0))),2))</f>
        <v/>
      </c>
      <c r="CU817" s="66" t="str">
        <f t="shared" si="1167"/>
        <v/>
      </c>
      <c r="CV817" s="66" t="str">
        <f t="shared" si="1167"/>
        <v/>
      </c>
      <c r="CW817" s="66" t="str">
        <f>+IF($W817="","",ROUND((CT817*Parámetros!$G$85),2))</f>
        <v/>
      </c>
      <c r="CX817" s="66" t="str">
        <f>+IF($W817="","",ROUND((CT817*(Parámetros!$G$86)),2))</f>
        <v/>
      </c>
      <c r="CY817" s="66" t="str">
        <f t="shared" si="1168"/>
        <v/>
      </c>
      <c r="CZ817" t="str">
        <f t="shared" si="1114"/>
        <v/>
      </c>
      <c r="DA817" s="118" t="str">
        <f t="shared" si="1115"/>
        <v/>
      </c>
      <c r="DB817" s="118" t="str">
        <f t="shared" si="1116"/>
        <v/>
      </c>
      <c r="DC817" s="118" t="str">
        <f t="shared" si="1117"/>
        <v/>
      </c>
      <c r="DD817" s="121" t="str">
        <f>+IF(OR($W817="",DB817=0),"",ROUND((VLOOKUP(ROUNDDOWN($D817-1/frec,0),cob_adi,CO$40,FALSE)*(1+i/frec)^-0.5*(1+Parámetros!$D$103)*(1+rec_fracc)/frec),6))</f>
        <v/>
      </c>
      <c r="DE817" s="66" t="str">
        <f t="shared" si="1169"/>
        <v/>
      </c>
      <c r="DF817" s="119" t="str">
        <f t="shared" si="1170"/>
        <v/>
      </c>
      <c r="DG817" s="66" t="str">
        <f>+IF($W817="","",ROUND(IF($B817&gt;Parámetros!$D$107,'Tablas Servicio'!DE817+('Tablas Servicio'!DG816-'Tablas Servicio'!DE816),DE817/(1-IF(B817&lt;=10,Parámetros!$D$100,0))),2))</f>
        <v/>
      </c>
      <c r="DH817" s="66" t="str">
        <f t="shared" si="1171"/>
        <v/>
      </c>
      <c r="DI817" s="66" t="str">
        <f t="shared" si="1171"/>
        <v/>
      </c>
      <c r="DJ817" s="66" t="str">
        <f>+IF($W817="","",ROUND((DG817*Parámetros!$G$85),2))</f>
        <v/>
      </c>
      <c r="DK817" s="66" t="str">
        <f>+IF($W817="","",ROUND((DG817*(Parámetros!$G$86)),2))</f>
        <v/>
      </c>
      <c r="DL817" s="66" t="str">
        <f t="shared" si="1172"/>
        <v/>
      </c>
      <c r="DM817" t="str">
        <f t="shared" si="1118"/>
        <v/>
      </c>
      <c r="DN817" s="118" t="str">
        <f t="shared" si="1119"/>
        <v/>
      </c>
      <c r="DO817" s="118" t="str">
        <f t="shared" si="1120"/>
        <v/>
      </c>
      <c r="DP817" s="118" t="str">
        <f t="shared" si="1121"/>
        <v/>
      </c>
      <c r="DQ817" s="122" t="str">
        <f>+IF(OR($W817="",DO817=0),"",ROUND((VLOOKUP(ROUNDDOWN($D817-1/frec,0),cob_adi,DB$40,FALSE)*(1+i/frec)^-0.5*(1+Parámetros!$D$103)*(1+rec_fracc)/frec),6))</f>
        <v/>
      </c>
      <c r="DR817" s="66" t="str">
        <f t="shared" si="1173"/>
        <v/>
      </c>
      <c r="DS817" s="68" t="str">
        <f t="shared" si="1174"/>
        <v/>
      </c>
      <c r="DT817" s="66" t="str">
        <f>+IF($W817="","",ROUND(IF($B817&gt;Parámetros!$D$107,'Tablas Servicio'!DR817+('Tablas Servicio'!DT816-'Tablas Servicio'!DR816),DR817/(1-IF(B817&lt;=10,Parámetros!$D$100,0))),2))</f>
        <v/>
      </c>
      <c r="DU817" s="66" t="str">
        <f t="shared" si="1175"/>
        <v/>
      </c>
      <c r="DV817" s="66" t="str">
        <f t="shared" si="1175"/>
        <v/>
      </c>
      <c r="DW817" s="66" t="str">
        <f>+IF($W817="","",ROUND((DT817*Parámetros!$G$85),2))</f>
        <v/>
      </c>
      <c r="DX817" s="66" t="str">
        <f>+IF($W817="","",ROUND((DT817*(Parámetros!$G$86)),2))</f>
        <v/>
      </c>
      <c r="DY817" s="66" t="str">
        <f t="shared" si="1176"/>
        <v/>
      </c>
      <c r="DZ817" t="str">
        <f t="shared" si="1177"/>
        <v/>
      </c>
      <c r="EA817" s="118" t="str">
        <f t="shared" si="1177"/>
        <v/>
      </c>
      <c r="EB817" s="118" t="str">
        <f>+IF($W817="","",ROUND(IF(Parámetros!$D$25='TABLAS MORT'!$V$33,EB816,Z817/2),0))</f>
        <v/>
      </c>
      <c r="EC817" s="118" t="str">
        <f t="shared" si="1177"/>
        <v/>
      </c>
      <c r="ED817" s="122" t="str">
        <f>+IF(OR($W817="",EB817=0),"",ROUND((VLOOKUP(ROUNDDOWN($D817-1/frec,0),cob_adi,DO$40,FALSE)*(1+i/frec)^-0.5*(1+Parámetros!$D$103)*(1+rec_fracc)/frec),6))</f>
        <v/>
      </c>
      <c r="EE817" s="66" t="str">
        <f t="shared" si="1178"/>
        <v/>
      </c>
      <c r="EF817" s="68" t="str">
        <f t="shared" si="1179"/>
        <v/>
      </c>
      <c r="EG817" s="66" t="str">
        <f>+IF($W817="","",ROUND(IF($B817&gt;Parámetros!$D$107,'Tablas Servicio'!EE817+('Tablas Servicio'!EG816-'Tablas Servicio'!EE816),EE817/(1-IF(B817&lt;=10,Parámetros!$D$100,0))),2))</f>
        <v/>
      </c>
      <c r="EH817" s="66" t="str">
        <f t="shared" si="1180"/>
        <v/>
      </c>
      <c r="EI817" s="66" t="str">
        <f t="shared" si="1180"/>
        <v/>
      </c>
      <c r="EJ817" s="66" t="str">
        <f>+IF($W817="","",ROUND((EG817*Parámetros!$G$85),2))</f>
        <v/>
      </c>
      <c r="EK817" s="66" t="str">
        <f>+IF($W817="","",ROUND((EG817*(Parámetros!$G$86)),2))</f>
        <v/>
      </c>
      <c r="EL817" s="66" t="str">
        <f t="shared" si="1181"/>
        <v/>
      </c>
    </row>
    <row r="818" spans="1:142" x14ac:dyDescent="0.25">
      <c r="A818" t="str">
        <f>+IF($C818="","",ROUND(VLOOKUP('Tablas Servicio'!B818,Parámetros!$H$100:$J$159,IF(Parámetros!$E$16="F",2,3),FALSE),2))</f>
        <v/>
      </c>
      <c r="B818" t="str">
        <f t="shared" si="1132"/>
        <v/>
      </c>
      <c r="C818" s="57" t="str">
        <f>+IF(D818="","",'Tablas Servicio'!C817+1)</f>
        <v/>
      </c>
      <c r="D818" s="56" t="str">
        <f>+IF(D817&lt;edadmaxtabla,D817+1/Parámetros!$E$25,"")</f>
        <v/>
      </c>
      <c r="E818" s="57" t="str">
        <f t="shared" si="1142"/>
        <v/>
      </c>
      <c r="F818" s="59" t="str">
        <f t="shared" si="1143"/>
        <v/>
      </c>
      <c r="G818" s="66" t="str">
        <f t="shared" si="1133"/>
        <v/>
      </c>
      <c r="H818" s="66" t="str">
        <f t="shared" si="1134"/>
        <v/>
      </c>
      <c r="I818" s="66" t="str">
        <f t="shared" si="1087"/>
        <v/>
      </c>
      <c r="J818" s="66" t="str">
        <f t="shared" si="1135"/>
        <v/>
      </c>
      <c r="K818" s="66" t="str">
        <f t="shared" si="1136"/>
        <v/>
      </c>
      <c r="L818" s="66" t="str">
        <f t="shared" si="1137"/>
        <v/>
      </c>
      <c r="M818" s="66" t="str">
        <f t="shared" si="1138"/>
        <v/>
      </c>
      <c r="N818" s="66" t="str">
        <f>+IF(C818="","",ROUND(Parámetros!$D$23,2))</f>
        <v/>
      </c>
      <c r="O818" s="66" t="str">
        <f t="shared" si="1139"/>
        <v/>
      </c>
      <c r="P818" s="66" t="str">
        <f>+IF($C818="","",ROUND(IF(B818&gt;Parámetros!$D$117,0,N818*Parámetros!$D$116-G818*Parámetros!$D$100),2))</f>
        <v/>
      </c>
      <c r="Q818" s="75" t="str">
        <f t="shared" si="1088"/>
        <v/>
      </c>
      <c r="R818" s="75" t="str">
        <f t="shared" si="1089"/>
        <v/>
      </c>
      <c r="S818" s="117" t="str">
        <f>+IF($C818="","",ROUND((S817+I818)*(1+Parámetros!$D$91),2))</f>
        <v/>
      </c>
      <c r="T818" s="117" t="str">
        <f>+IF($C818="","",ROUND(S818*VLOOKUP(B818,Parámetros!$C$30:$D$39,2,TRUE),2))</f>
        <v/>
      </c>
      <c r="U818" s="117" t="str">
        <f>+IF($C818="","",ROUND((U817+I818)*(1+Parámetros!$D$92),2))</f>
        <v/>
      </c>
      <c r="V818" s="117" t="str">
        <f>+IF($C818="","",ROUND(U818*VLOOKUP(B818,Parámetros!$C$30:$D$39,2,TRUE),2))</f>
        <v/>
      </c>
      <c r="W818" s="57" t="str">
        <f t="shared" si="1090"/>
        <v/>
      </c>
      <c r="X818" t="str">
        <f t="shared" si="1091"/>
        <v/>
      </c>
      <c r="Y818" t="str">
        <f t="shared" si="1092"/>
        <v/>
      </c>
      <c r="Z818" s="118" t="str">
        <f>+IF($W818="","",ROUND(IF(Parámetros!$D$25='TABLAS MORT'!$V$33,Z817,Parámetros!$D$21-'Tablas Servicio'!T817),0))</f>
        <v/>
      </c>
      <c r="AA818" s="118" t="str">
        <f t="shared" si="1093"/>
        <v/>
      </c>
      <c r="AB818" s="119" t="str">
        <f>+IF(W818="","",ROUND((VLOOKUP(ROUNDDOWN($D818-1/frec,0),qx_tabla,2,FALSE)*(1+i/frec)^-0.5*(1+Parámetros!$D$103)*(1+rec_fracc)/frec),6))</f>
        <v/>
      </c>
      <c r="AC818" s="66" t="str">
        <f t="shared" si="1144"/>
        <v/>
      </c>
      <c r="AD818" s="119" t="str">
        <f t="shared" si="1140"/>
        <v/>
      </c>
      <c r="AE818" s="66" t="str">
        <f>+IF($W818="","",ROUND(IF($B818&gt;Parámetros!$D$107,'Tablas Servicio'!AC818+('Tablas Servicio'!AG817-'Tablas Servicio'!AC817),AC818/(1-IF(B818&lt;=10,Parámetros!$D$104,Parámetros!$D$105))),2))</f>
        <v/>
      </c>
      <c r="AF818" s="66" t="str">
        <f>+IF($W818="","",ROUND(IF($B818&gt;Parámetros!$D$107,'Tablas Servicio'!AC818+('Tablas Servicio'!AG817-'Tablas Servicio'!AC817),(AC818+$A817/frec)/(1-IF(B818&lt;=Parámetros!$D$117,Parámetros!$D$100,0))),2))</f>
        <v/>
      </c>
      <c r="AG818" s="66" t="str">
        <f t="shared" si="1145"/>
        <v/>
      </c>
      <c r="AH818" s="66" t="str">
        <f t="shared" si="1146"/>
        <v/>
      </c>
      <c r="AI818" s="66" t="str">
        <f t="shared" si="1147"/>
        <v/>
      </c>
      <c r="AJ818" s="66" t="str">
        <f>+IF($W818="","",ROUND((AG818*Parámetros!$G$85),2))</f>
        <v/>
      </c>
      <c r="AK818" s="66" t="str">
        <f>+IF($W818="","",ROUND((AG818*(Parámetros!$G$86)),2))</f>
        <v/>
      </c>
      <c r="AL818" s="66" t="str">
        <f t="shared" si="1141"/>
        <v/>
      </c>
      <c r="AM818" t="str">
        <f t="shared" si="1094"/>
        <v/>
      </c>
      <c r="AN818" t="str">
        <f t="shared" si="1095"/>
        <v/>
      </c>
      <c r="AO818" s="118" t="str">
        <f t="shared" si="1096"/>
        <v/>
      </c>
      <c r="AP818" s="118" t="str">
        <f t="shared" si="1097"/>
        <v/>
      </c>
      <c r="AQ818" s="119" t="str">
        <f>+IF(OR($W818="",AO818=0),"",ROUND((VLOOKUP(ROUNDDOWN($D818-1/frec,0),cob_adi,Z$40,FALSE)*(1+i/frec)^-0.5*(1+Parámetros!$D$103)*(1+rec_fracc)/frec),6))</f>
        <v/>
      </c>
      <c r="AR818" s="66" t="str">
        <f t="shared" si="1148"/>
        <v/>
      </c>
      <c r="AS818" s="119" t="str">
        <f t="shared" si="1149"/>
        <v/>
      </c>
      <c r="AT818" s="66" t="str">
        <f>+IF($W818="","",ROUND(IF($B818&gt;Parámetros!$D$107,'Tablas Servicio'!AR818+('Tablas Servicio'!AT817-'Tablas Servicio'!AR817),AR818/(1-IF(B818&lt;=10,Parámetros!$D$100,0))),2))</f>
        <v/>
      </c>
      <c r="AU818" s="66" t="str">
        <f t="shared" si="1150"/>
        <v/>
      </c>
      <c r="AV818" s="66" t="str">
        <f t="shared" si="1150"/>
        <v/>
      </c>
      <c r="AW818" s="66" t="str">
        <f>+IF($W818="","",ROUND((AT818*Parámetros!$G$85),2))</f>
        <v/>
      </c>
      <c r="AX818" s="66" t="str">
        <f>+IF($W818="","",ROUND((AT818*(Parámetros!$G$86)),2))</f>
        <v/>
      </c>
      <c r="AY818" s="66" t="str">
        <f t="shared" si="1151"/>
        <v/>
      </c>
      <c r="AZ818" t="str">
        <f t="shared" si="1098"/>
        <v/>
      </c>
      <c r="BA818" t="str">
        <f t="shared" si="1099"/>
        <v/>
      </c>
      <c r="BB818" s="118" t="str">
        <f t="shared" si="1100"/>
        <v/>
      </c>
      <c r="BC818" s="118" t="str">
        <f t="shared" si="1101"/>
        <v/>
      </c>
      <c r="BD818" s="119" t="str">
        <f>+IF(OR($W818="",BB818=0),"",ROUND((VLOOKUP(ROUNDDOWN($D818-1/frec,0),cob_adi,AO$40,FALSE)*(1+i/frec)^-0.5*(1+Parámetros!$D$103)*(1+rec_fracc)/frec),6))</f>
        <v/>
      </c>
      <c r="BE818" s="66" t="str">
        <f t="shared" si="1152"/>
        <v/>
      </c>
      <c r="BF818" s="119" t="str">
        <f t="shared" si="1153"/>
        <v/>
      </c>
      <c r="BG818" s="66" t="str">
        <f>+IF($W818="","",ROUND(IF($B818&gt;Parámetros!$D$107,'Tablas Servicio'!BE818+('Tablas Servicio'!BG817-'Tablas Servicio'!BE817),BE818/(1-IF(B818&lt;=10,Parámetros!$D$100,0))),2))</f>
        <v/>
      </c>
      <c r="BH818" s="66" t="str">
        <f t="shared" si="1154"/>
        <v/>
      </c>
      <c r="BI818" s="66" t="str">
        <f t="shared" si="1155"/>
        <v/>
      </c>
      <c r="BJ818" s="66" t="str">
        <f>+IF($W818="","",ROUND((BG818*Parámetros!$G$85),2))</f>
        <v/>
      </c>
      <c r="BK818" s="66" t="str">
        <f>+IF($W818="","",ROUND((BG818*(Parámetros!$G$86)),2))</f>
        <v/>
      </c>
      <c r="BL818" s="66" t="str">
        <f t="shared" si="1156"/>
        <v/>
      </c>
      <c r="BM818" t="str">
        <f t="shared" si="1102"/>
        <v/>
      </c>
      <c r="BN818" t="str">
        <f t="shared" si="1103"/>
        <v/>
      </c>
      <c r="BO818" s="118" t="str">
        <f t="shared" si="1104"/>
        <v/>
      </c>
      <c r="BP818" s="118" t="str">
        <f t="shared" si="1105"/>
        <v/>
      </c>
      <c r="BQ818" s="119" t="str">
        <f>+IF(OR($W818="",BO818=0),"",ROUND((VLOOKUP(ROUNDDOWN($D818-1/frec,0),cob_adi,BB$40,FALSE)*(1+i/frec)^-0.5*(1+Parámetros!$D$103)*(1+rec_fracc)/frec),6))</f>
        <v/>
      </c>
      <c r="BR818" s="66" t="str">
        <f t="shared" si="1157"/>
        <v/>
      </c>
      <c r="BS818" s="119" t="str">
        <f t="shared" si="1158"/>
        <v/>
      </c>
      <c r="BT818" s="66" t="str">
        <f>+IF($W818="","",ROUND(IF($B818&gt;Parámetros!$D$107,'Tablas Servicio'!BR818+('Tablas Servicio'!BT817-'Tablas Servicio'!BR817),BR818/(1-IF(B818&lt;=10,Parámetros!$D$100,0))),2))</f>
        <v/>
      </c>
      <c r="BU818" s="66" t="str">
        <f t="shared" si="1159"/>
        <v/>
      </c>
      <c r="BV818" s="66" t="str">
        <f t="shared" si="1159"/>
        <v/>
      </c>
      <c r="BW818" s="66" t="str">
        <f>+IF($W818="","",ROUND((BT818*Parámetros!$G$85),2))</f>
        <v/>
      </c>
      <c r="BX818" s="66" t="str">
        <f>+IF($W818="","",ROUND((BT818*(Parámetros!$G$86)),2))</f>
        <v/>
      </c>
      <c r="BY818" s="66" t="str">
        <f t="shared" si="1160"/>
        <v/>
      </c>
      <c r="BZ818" t="str">
        <f t="shared" si="1106"/>
        <v/>
      </c>
      <c r="CA818" t="str">
        <f t="shared" si="1107"/>
        <v/>
      </c>
      <c r="CB818" s="118" t="str">
        <f t="shared" si="1108"/>
        <v/>
      </c>
      <c r="CC818" s="118" t="str">
        <f t="shared" si="1109"/>
        <v/>
      </c>
      <c r="CD818" s="119" t="str">
        <f t="shared" si="1161"/>
        <v/>
      </c>
      <c r="CE818" s="66" t="str">
        <f>+IF($W818="","",ROUND((VLOOKUP(ROUNDDOWN($D818-1/frec,0),cob_adi,BO$40,FALSE)*(1+i/frec)^-0.5*(1+Parámetros!$D$103)*(1+rec_fracc)/frec*'TABLAS ADI'!$BC$17),2))</f>
        <v/>
      </c>
      <c r="CF818" s="119" t="str">
        <f t="shared" si="1162"/>
        <v/>
      </c>
      <c r="CG818" s="66" t="str">
        <f>+IF($W818="","",ROUND(IF($B818&gt;Parámetros!$D$107,'Tablas Servicio'!CE818+('Tablas Servicio'!CG817-'Tablas Servicio'!CE817),CE818/(1-IF(B818&lt;=10,Parámetros!$D$100,0))),2))</f>
        <v/>
      </c>
      <c r="CH818" s="66" t="str">
        <f t="shared" si="1163"/>
        <v/>
      </c>
      <c r="CI818" s="66" t="str">
        <f t="shared" si="1163"/>
        <v/>
      </c>
      <c r="CJ818" s="66" t="str">
        <f>+IF($W818="","",ROUND((CG818*Parámetros!$G$85),2))</f>
        <v/>
      </c>
      <c r="CK818" s="66" t="str">
        <f>+IF($W818="","",ROUND((CG818*(Parámetros!$G$86)),2))</f>
        <v/>
      </c>
      <c r="CL818" s="66" t="str">
        <f t="shared" si="1164"/>
        <v/>
      </c>
      <c r="CM818" t="str">
        <f t="shared" si="1110"/>
        <v/>
      </c>
      <c r="CN818" s="118" t="str">
        <f t="shared" si="1111"/>
        <v/>
      </c>
      <c r="CO818" s="118" t="str">
        <f t="shared" si="1112"/>
        <v/>
      </c>
      <c r="CP818" s="118" t="str">
        <f t="shared" si="1113"/>
        <v/>
      </c>
      <c r="CQ818" s="119" t="str">
        <f t="shared" si="1165"/>
        <v/>
      </c>
      <c r="CR818" s="66" t="str">
        <f>+IF($W818="","",ROUND((VLOOKUP(Parámetros!$F$51,'COBERTURAS ADICIONALES'!$S$4:$T$32,2,FALSE)*(1+i/frec)^-0.5*(1+Parámetros!$D$103)*(1+rec_fracc)/frec*$CO$42),2))</f>
        <v/>
      </c>
      <c r="CS818" s="119" t="str">
        <f t="shared" si="1166"/>
        <v/>
      </c>
      <c r="CT818" s="66" t="str">
        <f>+IF($W818="","",ROUND(IF($B818&gt;Parámetros!$D$107,'Tablas Servicio'!CR818+('Tablas Servicio'!CT817-'Tablas Servicio'!CR817),CR818/(1-IF(B818&lt;=10,Parámetros!$D$100,0))),2))</f>
        <v/>
      </c>
      <c r="CU818" s="66" t="str">
        <f t="shared" si="1167"/>
        <v/>
      </c>
      <c r="CV818" s="66" t="str">
        <f t="shared" si="1167"/>
        <v/>
      </c>
      <c r="CW818" s="66" t="str">
        <f>+IF($W818="","",ROUND((CT818*Parámetros!$G$85),2))</f>
        <v/>
      </c>
      <c r="CX818" s="66" t="str">
        <f>+IF($W818="","",ROUND((CT818*(Parámetros!$G$86)),2))</f>
        <v/>
      </c>
      <c r="CY818" s="66" t="str">
        <f t="shared" si="1168"/>
        <v/>
      </c>
      <c r="CZ818" t="str">
        <f t="shared" si="1114"/>
        <v/>
      </c>
      <c r="DA818" s="118" t="str">
        <f t="shared" si="1115"/>
        <v/>
      </c>
      <c r="DB818" s="118" t="str">
        <f t="shared" si="1116"/>
        <v/>
      </c>
      <c r="DC818" s="118" t="str">
        <f t="shared" si="1117"/>
        <v/>
      </c>
      <c r="DD818" s="121" t="str">
        <f>+IF(OR($W818="",DB818=0),"",ROUND((VLOOKUP(ROUNDDOWN($D818-1/frec,0),cob_adi,CO$40,FALSE)*(1+i/frec)^-0.5*(1+Parámetros!$D$103)*(1+rec_fracc)/frec),6))</f>
        <v/>
      </c>
      <c r="DE818" s="66" t="str">
        <f t="shared" si="1169"/>
        <v/>
      </c>
      <c r="DF818" s="119" t="str">
        <f t="shared" si="1170"/>
        <v/>
      </c>
      <c r="DG818" s="66" t="str">
        <f>+IF($W818="","",ROUND(IF($B818&gt;Parámetros!$D$107,'Tablas Servicio'!DE818+('Tablas Servicio'!DG817-'Tablas Servicio'!DE817),DE818/(1-IF(B818&lt;=10,Parámetros!$D$100,0))),2))</f>
        <v/>
      </c>
      <c r="DH818" s="66" t="str">
        <f t="shared" si="1171"/>
        <v/>
      </c>
      <c r="DI818" s="66" t="str">
        <f t="shared" si="1171"/>
        <v/>
      </c>
      <c r="DJ818" s="66" t="str">
        <f>+IF($W818="","",ROUND((DG818*Parámetros!$G$85),2))</f>
        <v/>
      </c>
      <c r="DK818" s="66" t="str">
        <f>+IF($W818="","",ROUND((DG818*(Parámetros!$G$86)),2))</f>
        <v/>
      </c>
      <c r="DL818" s="66" t="str">
        <f t="shared" si="1172"/>
        <v/>
      </c>
      <c r="DM818" t="str">
        <f t="shared" si="1118"/>
        <v/>
      </c>
      <c r="DN818" s="118" t="str">
        <f t="shared" si="1119"/>
        <v/>
      </c>
      <c r="DO818" s="118" t="str">
        <f t="shared" si="1120"/>
        <v/>
      </c>
      <c r="DP818" s="118" t="str">
        <f t="shared" si="1121"/>
        <v/>
      </c>
      <c r="DQ818" s="122" t="str">
        <f>+IF(OR($W818="",DO818=0),"",ROUND((VLOOKUP(ROUNDDOWN($D818-1/frec,0),cob_adi,DB$40,FALSE)*(1+i/frec)^-0.5*(1+Parámetros!$D$103)*(1+rec_fracc)/frec),6))</f>
        <v/>
      </c>
      <c r="DR818" s="66" t="str">
        <f t="shared" si="1173"/>
        <v/>
      </c>
      <c r="DS818" s="68" t="str">
        <f t="shared" si="1174"/>
        <v/>
      </c>
      <c r="DT818" s="66" t="str">
        <f>+IF($W818="","",ROUND(IF($B818&gt;Parámetros!$D$107,'Tablas Servicio'!DR818+('Tablas Servicio'!DT817-'Tablas Servicio'!DR817),DR818/(1-IF(B818&lt;=10,Parámetros!$D$100,0))),2))</f>
        <v/>
      </c>
      <c r="DU818" s="66" t="str">
        <f t="shared" si="1175"/>
        <v/>
      </c>
      <c r="DV818" s="66" t="str">
        <f t="shared" si="1175"/>
        <v/>
      </c>
      <c r="DW818" s="66" t="str">
        <f>+IF($W818="","",ROUND((DT818*Parámetros!$G$85),2))</f>
        <v/>
      </c>
      <c r="DX818" s="66" t="str">
        <f>+IF($W818="","",ROUND((DT818*(Parámetros!$G$86)),2))</f>
        <v/>
      </c>
      <c r="DY818" s="66" t="str">
        <f t="shared" si="1176"/>
        <v/>
      </c>
      <c r="DZ818" t="str">
        <f t="shared" si="1177"/>
        <v/>
      </c>
      <c r="EA818" s="118" t="str">
        <f t="shared" si="1177"/>
        <v/>
      </c>
      <c r="EB818" s="118" t="str">
        <f>+IF($W818="","",ROUND(IF(Parámetros!$D$25='TABLAS MORT'!$V$33,EB817,Z818/2),0))</f>
        <v/>
      </c>
      <c r="EC818" s="118" t="str">
        <f t="shared" si="1177"/>
        <v/>
      </c>
      <c r="ED818" s="122" t="str">
        <f>+IF(OR($W818="",EB818=0),"",ROUND((VLOOKUP(ROUNDDOWN($D818-1/frec,0),cob_adi,DO$40,FALSE)*(1+i/frec)^-0.5*(1+Parámetros!$D$103)*(1+rec_fracc)/frec),6))</f>
        <v/>
      </c>
      <c r="EE818" s="66" t="str">
        <f t="shared" si="1178"/>
        <v/>
      </c>
      <c r="EF818" s="68" t="str">
        <f t="shared" si="1179"/>
        <v/>
      </c>
      <c r="EG818" s="66" t="str">
        <f>+IF($W818="","",ROUND(IF($B818&gt;Parámetros!$D$107,'Tablas Servicio'!EE818+('Tablas Servicio'!EG817-'Tablas Servicio'!EE817),EE818/(1-IF(B818&lt;=10,Parámetros!$D$100,0))),2))</f>
        <v/>
      </c>
      <c r="EH818" s="66" t="str">
        <f t="shared" si="1180"/>
        <v/>
      </c>
      <c r="EI818" s="66" t="str">
        <f t="shared" si="1180"/>
        <v/>
      </c>
      <c r="EJ818" s="66" t="str">
        <f>+IF($W818="","",ROUND((EG818*Parámetros!$G$85),2))</f>
        <v/>
      </c>
      <c r="EK818" s="66" t="str">
        <f>+IF($W818="","",ROUND((EG818*(Parámetros!$G$86)),2))</f>
        <v/>
      </c>
      <c r="EL818" s="66" t="str">
        <f t="shared" si="1181"/>
        <v/>
      </c>
    </row>
    <row r="819" spans="1:142" x14ac:dyDescent="0.25">
      <c r="A819" t="str">
        <f>+IF($C819="","",ROUND(VLOOKUP('Tablas Servicio'!B819,Parámetros!$H$100:$J$159,IF(Parámetros!$E$16="F",2,3),FALSE),2))</f>
        <v/>
      </c>
      <c r="B819" t="str">
        <f t="shared" si="1132"/>
        <v/>
      </c>
      <c r="C819" s="57" t="str">
        <f>+IF(D819="","",'Tablas Servicio'!C818+1)</f>
        <v/>
      </c>
      <c r="D819" s="56" t="str">
        <f>+IF(D818&lt;edadmaxtabla,D818+1/Parámetros!$E$25,"")</f>
        <v/>
      </c>
      <c r="E819" s="57" t="str">
        <f t="shared" si="1142"/>
        <v/>
      </c>
      <c r="F819" s="59" t="str">
        <f t="shared" si="1143"/>
        <v/>
      </c>
      <c r="G819" s="66" t="str">
        <f t="shared" si="1133"/>
        <v/>
      </c>
      <c r="H819" s="66" t="str">
        <f t="shared" si="1134"/>
        <v/>
      </c>
      <c r="I819" s="66" t="str">
        <f t="shared" si="1087"/>
        <v/>
      </c>
      <c r="J819" s="66" t="str">
        <f t="shared" si="1135"/>
        <v/>
      </c>
      <c r="K819" s="66" t="str">
        <f t="shared" si="1136"/>
        <v/>
      </c>
      <c r="L819" s="66" t="str">
        <f t="shared" si="1137"/>
        <v/>
      </c>
      <c r="M819" s="66" t="str">
        <f t="shared" si="1138"/>
        <v/>
      </c>
      <c r="N819" s="66" t="str">
        <f>+IF(C819="","",ROUND(Parámetros!$D$23,2))</f>
        <v/>
      </c>
      <c r="O819" s="66" t="str">
        <f t="shared" si="1139"/>
        <v/>
      </c>
      <c r="P819" s="66" t="str">
        <f>+IF($C819="","",ROUND(IF(B819&gt;Parámetros!$D$117,0,N819*Parámetros!$D$116-G819*Parámetros!$D$100),2))</f>
        <v/>
      </c>
      <c r="Q819" s="75" t="str">
        <f t="shared" si="1088"/>
        <v/>
      </c>
      <c r="R819" s="75" t="str">
        <f t="shared" si="1089"/>
        <v/>
      </c>
      <c r="S819" s="117" t="str">
        <f>+IF($C819="","",ROUND((S818+I819)*(1+Parámetros!$D$91),2))</f>
        <v/>
      </c>
      <c r="T819" s="117" t="str">
        <f>+IF($C819="","",ROUND(S819*VLOOKUP(B819,Parámetros!$C$30:$D$39,2,TRUE),2))</f>
        <v/>
      </c>
      <c r="U819" s="117" t="str">
        <f>+IF($C819="","",ROUND((U818+I819)*(1+Parámetros!$D$92),2))</f>
        <v/>
      </c>
      <c r="V819" s="117" t="str">
        <f>+IF($C819="","",ROUND(U819*VLOOKUP(B819,Parámetros!$C$30:$D$39,2,TRUE),2))</f>
        <v/>
      </c>
      <c r="W819" s="57" t="str">
        <f t="shared" si="1090"/>
        <v/>
      </c>
      <c r="X819" t="str">
        <f t="shared" si="1091"/>
        <v/>
      </c>
      <c r="Y819" t="str">
        <f t="shared" si="1092"/>
        <v/>
      </c>
      <c r="Z819" s="118" t="str">
        <f>+IF($W819="","",ROUND(IF(Parámetros!$D$25='TABLAS MORT'!$V$33,Z818,Parámetros!$D$21-'Tablas Servicio'!T818),0))</f>
        <v/>
      </c>
      <c r="AA819" s="118" t="str">
        <f t="shared" si="1093"/>
        <v/>
      </c>
      <c r="AB819" s="119" t="str">
        <f>+IF(W819="","",ROUND((VLOOKUP(ROUNDDOWN($D819-1/frec,0),qx_tabla,2,FALSE)*(1+i/frec)^-0.5*(1+Parámetros!$D$103)*(1+rec_fracc)/frec),6))</f>
        <v/>
      </c>
      <c r="AC819" s="66" t="str">
        <f t="shared" si="1144"/>
        <v/>
      </c>
      <c r="AD819" s="119" t="str">
        <f t="shared" si="1140"/>
        <v/>
      </c>
      <c r="AE819" s="66" t="str">
        <f>+IF($W819="","",ROUND(IF($B819&gt;Parámetros!$D$107,'Tablas Servicio'!AC819+('Tablas Servicio'!AG818-'Tablas Servicio'!AC818),AC819/(1-IF(B819&lt;=10,Parámetros!$D$104,Parámetros!$D$105))),2))</f>
        <v/>
      </c>
      <c r="AF819" s="66" t="str">
        <f>+IF($W819="","",ROUND(IF($B819&gt;Parámetros!$D$107,'Tablas Servicio'!AC819+('Tablas Servicio'!AG818-'Tablas Servicio'!AC818),(AC819+$A818/frec)/(1-IF(B819&lt;=Parámetros!$D$117,Parámetros!$D$100,0))),2))</f>
        <v/>
      </c>
      <c r="AG819" s="66" t="str">
        <f t="shared" si="1145"/>
        <v/>
      </c>
      <c r="AH819" s="66" t="str">
        <f t="shared" si="1146"/>
        <v/>
      </c>
      <c r="AI819" s="66" t="str">
        <f t="shared" si="1147"/>
        <v/>
      </c>
      <c r="AJ819" s="66" t="str">
        <f>+IF($W819="","",ROUND((AG819*Parámetros!$G$85),2))</f>
        <v/>
      </c>
      <c r="AK819" s="66" t="str">
        <f>+IF($W819="","",ROUND((AG819*(Parámetros!$G$86)),2))</f>
        <v/>
      </c>
      <c r="AL819" s="66" t="str">
        <f t="shared" si="1141"/>
        <v/>
      </c>
      <c r="AM819" t="str">
        <f t="shared" si="1094"/>
        <v/>
      </c>
      <c r="AN819" t="str">
        <f t="shared" si="1095"/>
        <v/>
      </c>
      <c r="AO819" s="118" t="str">
        <f t="shared" si="1096"/>
        <v/>
      </c>
      <c r="AP819" s="118" t="str">
        <f t="shared" si="1097"/>
        <v/>
      </c>
      <c r="AQ819" s="119" t="str">
        <f>+IF(OR($W819="",AO819=0),"",ROUND((VLOOKUP(ROUNDDOWN($D819-1/frec,0),cob_adi,Z$40,FALSE)*(1+i/frec)^-0.5*(1+Parámetros!$D$103)*(1+rec_fracc)/frec),6))</f>
        <v/>
      </c>
      <c r="AR819" s="66" t="str">
        <f t="shared" si="1148"/>
        <v/>
      </c>
      <c r="AS819" s="119" t="str">
        <f t="shared" si="1149"/>
        <v/>
      </c>
      <c r="AT819" s="66" t="str">
        <f>+IF($W819="","",ROUND(IF($B819&gt;Parámetros!$D$107,'Tablas Servicio'!AR819+('Tablas Servicio'!AT818-'Tablas Servicio'!AR818),AR819/(1-IF(B819&lt;=10,Parámetros!$D$100,0))),2))</f>
        <v/>
      </c>
      <c r="AU819" s="66" t="str">
        <f t="shared" si="1150"/>
        <v/>
      </c>
      <c r="AV819" s="66" t="str">
        <f t="shared" si="1150"/>
        <v/>
      </c>
      <c r="AW819" s="66" t="str">
        <f>+IF($W819="","",ROUND((AT819*Parámetros!$G$85),2))</f>
        <v/>
      </c>
      <c r="AX819" s="66" t="str">
        <f>+IF($W819="","",ROUND((AT819*(Parámetros!$G$86)),2))</f>
        <v/>
      </c>
      <c r="AY819" s="66" t="str">
        <f t="shared" si="1151"/>
        <v/>
      </c>
      <c r="AZ819" t="str">
        <f t="shared" si="1098"/>
        <v/>
      </c>
      <c r="BA819" t="str">
        <f t="shared" si="1099"/>
        <v/>
      </c>
      <c r="BB819" s="118" t="str">
        <f t="shared" si="1100"/>
        <v/>
      </c>
      <c r="BC819" s="118" t="str">
        <f t="shared" si="1101"/>
        <v/>
      </c>
      <c r="BD819" s="119" t="str">
        <f>+IF(OR($W819="",BB819=0),"",ROUND((VLOOKUP(ROUNDDOWN($D819-1/frec,0),cob_adi,AO$40,FALSE)*(1+i/frec)^-0.5*(1+Parámetros!$D$103)*(1+rec_fracc)/frec),6))</f>
        <v/>
      </c>
      <c r="BE819" s="66" t="str">
        <f t="shared" si="1152"/>
        <v/>
      </c>
      <c r="BF819" s="119" t="str">
        <f t="shared" si="1153"/>
        <v/>
      </c>
      <c r="BG819" s="66" t="str">
        <f>+IF($W819="","",ROUND(IF($B819&gt;Parámetros!$D$107,'Tablas Servicio'!BE819+('Tablas Servicio'!BG818-'Tablas Servicio'!BE818),BE819/(1-IF(B819&lt;=10,Parámetros!$D$100,0))),2))</f>
        <v/>
      </c>
      <c r="BH819" s="66" t="str">
        <f t="shared" si="1154"/>
        <v/>
      </c>
      <c r="BI819" s="66" t="str">
        <f t="shared" si="1155"/>
        <v/>
      </c>
      <c r="BJ819" s="66" t="str">
        <f>+IF($W819="","",ROUND((BG819*Parámetros!$G$85),2))</f>
        <v/>
      </c>
      <c r="BK819" s="66" t="str">
        <f>+IF($W819="","",ROUND((BG819*(Parámetros!$G$86)),2))</f>
        <v/>
      </c>
      <c r="BL819" s="66" t="str">
        <f t="shared" si="1156"/>
        <v/>
      </c>
      <c r="BM819" t="str">
        <f t="shared" si="1102"/>
        <v/>
      </c>
      <c r="BN819" t="str">
        <f t="shared" si="1103"/>
        <v/>
      </c>
      <c r="BO819" s="118" t="str">
        <f t="shared" si="1104"/>
        <v/>
      </c>
      <c r="BP819" s="118" t="str">
        <f t="shared" si="1105"/>
        <v/>
      </c>
      <c r="BQ819" s="119" t="str">
        <f>+IF(OR($W819="",BO819=0),"",ROUND((VLOOKUP(ROUNDDOWN($D819-1/frec,0),cob_adi,BB$40,FALSE)*(1+i/frec)^-0.5*(1+Parámetros!$D$103)*(1+rec_fracc)/frec),6))</f>
        <v/>
      </c>
      <c r="BR819" s="66" t="str">
        <f t="shared" si="1157"/>
        <v/>
      </c>
      <c r="BS819" s="119" t="str">
        <f t="shared" si="1158"/>
        <v/>
      </c>
      <c r="BT819" s="66" t="str">
        <f>+IF($W819="","",ROUND(IF($B819&gt;Parámetros!$D$107,'Tablas Servicio'!BR819+('Tablas Servicio'!BT818-'Tablas Servicio'!BR818),BR819/(1-IF(B819&lt;=10,Parámetros!$D$100,0))),2))</f>
        <v/>
      </c>
      <c r="BU819" s="66" t="str">
        <f t="shared" si="1159"/>
        <v/>
      </c>
      <c r="BV819" s="66" t="str">
        <f t="shared" si="1159"/>
        <v/>
      </c>
      <c r="BW819" s="66" t="str">
        <f>+IF($W819="","",ROUND((BT819*Parámetros!$G$85),2))</f>
        <v/>
      </c>
      <c r="BX819" s="66" t="str">
        <f>+IF($W819="","",ROUND((BT819*(Parámetros!$G$86)),2))</f>
        <v/>
      </c>
      <c r="BY819" s="66" t="str">
        <f t="shared" si="1160"/>
        <v/>
      </c>
      <c r="BZ819" t="str">
        <f t="shared" si="1106"/>
        <v/>
      </c>
      <c r="CA819" t="str">
        <f t="shared" si="1107"/>
        <v/>
      </c>
      <c r="CB819" s="118" t="str">
        <f t="shared" si="1108"/>
        <v/>
      </c>
      <c r="CC819" s="118" t="str">
        <f t="shared" si="1109"/>
        <v/>
      </c>
      <c r="CD819" s="119" t="str">
        <f t="shared" si="1161"/>
        <v/>
      </c>
      <c r="CE819" s="66" t="str">
        <f>+IF($W819="","",ROUND((VLOOKUP(ROUNDDOWN($D819-1/frec,0),cob_adi,BO$40,FALSE)*(1+i/frec)^-0.5*(1+Parámetros!$D$103)*(1+rec_fracc)/frec*'TABLAS ADI'!$BC$17),2))</f>
        <v/>
      </c>
      <c r="CF819" s="119" t="str">
        <f t="shared" si="1162"/>
        <v/>
      </c>
      <c r="CG819" s="66" t="str">
        <f>+IF($W819="","",ROUND(IF($B819&gt;Parámetros!$D$107,'Tablas Servicio'!CE819+('Tablas Servicio'!CG818-'Tablas Servicio'!CE818),CE819/(1-IF(B819&lt;=10,Parámetros!$D$100,0))),2))</f>
        <v/>
      </c>
      <c r="CH819" s="66" t="str">
        <f t="shared" si="1163"/>
        <v/>
      </c>
      <c r="CI819" s="66" t="str">
        <f t="shared" si="1163"/>
        <v/>
      </c>
      <c r="CJ819" s="66" t="str">
        <f>+IF($W819="","",ROUND((CG819*Parámetros!$G$85),2))</f>
        <v/>
      </c>
      <c r="CK819" s="66" t="str">
        <f>+IF($W819="","",ROUND((CG819*(Parámetros!$G$86)),2))</f>
        <v/>
      </c>
      <c r="CL819" s="66" t="str">
        <f t="shared" si="1164"/>
        <v/>
      </c>
      <c r="CM819" t="str">
        <f t="shared" si="1110"/>
        <v/>
      </c>
      <c r="CN819" s="118" t="str">
        <f t="shared" si="1111"/>
        <v/>
      </c>
      <c r="CO819" s="118" t="str">
        <f t="shared" si="1112"/>
        <v/>
      </c>
      <c r="CP819" s="118" t="str">
        <f t="shared" si="1113"/>
        <v/>
      </c>
      <c r="CQ819" s="119" t="str">
        <f t="shared" si="1165"/>
        <v/>
      </c>
      <c r="CR819" s="66" t="str">
        <f>+IF($W819="","",ROUND((VLOOKUP(Parámetros!$F$51,'COBERTURAS ADICIONALES'!$S$4:$T$32,2,FALSE)*(1+i/frec)^-0.5*(1+Parámetros!$D$103)*(1+rec_fracc)/frec*$CO$42),2))</f>
        <v/>
      </c>
      <c r="CS819" s="119" t="str">
        <f t="shared" si="1166"/>
        <v/>
      </c>
      <c r="CT819" s="66" t="str">
        <f>+IF($W819="","",ROUND(IF($B819&gt;Parámetros!$D$107,'Tablas Servicio'!CR819+('Tablas Servicio'!CT818-'Tablas Servicio'!CR818),CR819/(1-IF(B819&lt;=10,Parámetros!$D$100,0))),2))</f>
        <v/>
      </c>
      <c r="CU819" s="66" t="str">
        <f t="shared" si="1167"/>
        <v/>
      </c>
      <c r="CV819" s="66" t="str">
        <f t="shared" si="1167"/>
        <v/>
      </c>
      <c r="CW819" s="66" t="str">
        <f>+IF($W819="","",ROUND((CT819*Parámetros!$G$85),2))</f>
        <v/>
      </c>
      <c r="CX819" s="66" t="str">
        <f>+IF($W819="","",ROUND((CT819*(Parámetros!$G$86)),2))</f>
        <v/>
      </c>
      <c r="CY819" s="66" t="str">
        <f t="shared" si="1168"/>
        <v/>
      </c>
      <c r="CZ819" t="str">
        <f t="shared" si="1114"/>
        <v/>
      </c>
      <c r="DA819" s="118" t="str">
        <f t="shared" si="1115"/>
        <v/>
      </c>
      <c r="DB819" s="118" t="str">
        <f t="shared" si="1116"/>
        <v/>
      </c>
      <c r="DC819" s="118" t="str">
        <f t="shared" si="1117"/>
        <v/>
      </c>
      <c r="DD819" s="121" t="str">
        <f>+IF(OR($W819="",DB819=0),"",ROUND((VLOOKUP(ROUNDDOWN($D819-1/frec,0),cob_adi,CO$40,FALSE)*(1+i/frec)^-0.5*(1+Parámetros!$D$103)*(1+rec_fracc)/frec),6))</f>
        <v/>
      </c>
      <c r="DE819" s="66" t="str">
        <f t="shared" si="1169"/>
        <v/>
      </c>
      <c r="DF819" s="119" t="str">
        <f t="shared" si="1170"/>
        <v/>
      </c>
      <c r="DG819" s="66" t="str">
        <f>+IF($W819="","",ROUND(IF($B819&gt;Parámetros!$D$107,'Tablas Servicio'!DE819+('Tablas Servicio'!DG818-'Tablas Servicio'!DE818),DE819/(1-IF(B819&lt;=10,Parámetros!$D$100,0))),2))</f>
        <v/>
      </c>
      <c r="DH819" s="66" t="str">
        <f t="shared" si="1171"/>
        <v/>
      </c>
      <c r="DI819" s="66" t="str">
        <f t="shared" si="1171"/>
        <v/>
      </c>
      <c r="DJ819" s="66" t="str">
        <f>+IF($W819="","",ROUND((DG819*Parámetros!$G$85),2))</f>
        <v/>
      </c>
      <c r="DK819" s="66" t="str">
        <f>+IF($W819="","",ROUND((DG819*(Parámetros!$G$86)),2))</f>
        <v/>
      </c>
      <c r="DL819" s="66" t="str">
        <f t="shared" si="1172"/>
        <v/>
      </c>
      <c r="DM819" t="str">
        <f t="shared" si="1118"/>
        <v/>
      </c>
      <c r="DN819" s="118" t="str">
        <f t="shared" si="1119"/>
        <v/>
      </c>
      <c r="DO819" s="118" t="str">
        <f t="shared" si="1120"/>
        <v/>
      </c>
      <c r="DP819" s="118" t="str">
        <f t="shared" si="1121"/>
        <v/>
      </c>
      <c r="DQ819" s="122" t="str">
        <f>+IF(OR($W819="",DO819=0),"",ROUND((VLOOKUP(ROUNDDOWN($D819-1/frec,0),cob_adi,DB$40,FALSE)*(1+i/frec)^-0.5*(1+Parámetros!$D$103)*(1+rec_fracc)/frec),6))</f>
        <v/>
      </c>
      <c r="DR819" s="66" t="str">
        <f t="shared" si="1173"/>
        <v/>
      </c>
      <c r="DS819" s="68" t="str">
        <f t="shared" si="1174"/>
        <v/>
      </c>
      <c r="DT819" s="66" t="str">
        <f>+IF($W819="","",ROUND(IF($B819&gt;Parámetros!$D$107,'Tablas Servicio'!DR819+('Tablas Servicio'!DT818-'Tablas Servicio'!DR818),DR819/(1-IF(B819&lt;=10,Parámetros!$D$100,0))),2))</f>
        <v/>
      </c>
      <c r="DU819" s="66" t="str">
        <f t="shared" si="1175"/>
        <v/>
      </c>
      <c r="DV819" s="66" t="str">
        <f t="shared" si="1175"/>
        <v/>
      </c>
      <c r="DW819" s="66" t="str">
        <f>+IF($W819="","",ROUND((DT819*Parámetros!$G$85),2))</f>
        <v/>
      </c>
      <c r="DX819" s="66" t="str">
        <f>+IF($W819="","",ROUND((DT819*(Parámetros!$G$86)),2))</f>
        <v/>
      </c>
      <c r="DY819" s="66" t="str">
        <f t="shared" si="1176"/>
        <v/>
      </c>
      <c r="DZ819" t="str">
        <f t="shared" si="1177"/>
        <v/>
      </c>
      <c r="EA819" s="118" t="str">
        <f t="shared" si="1177"/>
        <v/>
      </c>
      <c r="EB819" s="118" t="str">
        <f>+IF($W819="","",ROUND(IF(Parámetros!$D$25='TABLAS MORT'!$V$33,EB818,Z819/2),0))</f>
        <v/>
      </c>
      <c r="EC819" s="118" t="str">
        <f t="shared" si="1177"/>
        <v/>
      </c>
      <c r="ED819" s="122" t="str">
        <f>+IF(OR($W819="",EB819=0),"",ROUND((VLOOKUP(ROUNDDOWN($D819-1/frec,0),cob_adi,DO$40,FALSE)*(1+i/frec)^-0.5*(1+Parámetros!$D$103)*(1+rec_fracc)/frec),6))</f>
        <v/>
      </c>
      <c r="EE819" s="66" t="str">
        <f t="shared" si="1178"/>
        <v/>
      </c>
      <c r="EF819" s="68" t="str">
        <f t="shared" si="1179"/>
        <v/>
      </c>
      <c r="EG819" s="66" t="str">
        <f>+IF($W819="","",ROUND(IF($B819&gt;Parámetros!$D$107,'Tablas Servicio'!EE819+('Tablas Servicio'!EG818-'Tablas Servicio'!EE818),EE819/(1-IF(B819&lt;=10,Parámetros!$D$100,0))),2))</f>
        <v/>
      </c>
      <c r="EH819" s="66" t="str">
        <f t="shared" si="1180"/>
        <v/>
      </c>
      <c r="EI819" s="66" t="str">
        <f t="shared" si="1180"/>
        <v/>
      </c>
      <c r="EJ819" s="66" t="str">
        <f>+IF($W819="","",ROUND((EG819*Parámetros!$G$85),2))</f>
        <v/>
      </c>
      <c r="EK819" s="66" t="str">
        <f>+IF($W819="","",ROUND((EG819*(Parámetros!$G$86)),2))</f>
        <v/>
      </c>
      <c r="EL819" s="66" t="str">
        <f t="shared" si="1181"/>
        <v/>
      </c>
    </row>
    <row r="820" spans="1:142" x14ac:dyDescent="0.25">
      <c r="A820" t="str">
        <f>+IF($C820="","",ROUND(VLOOKUP('Tablas Servicio'!B820,Parámetros!$H$100:$J$159,IF(Parámetros!$E$16="F",2,3),FALSE),2))</f>
        <v/>
      </c>
      <c r="B820" t="str">
        <f t="shared" si="1132"/>
        <v/>
      </c>
      <c r="C820" s="57" t="str">
        <f>+IF(D820="","",'Tablas Servicio'!C819+1)</f>
        <v/>
      </c>
      <c r="D820" s="56" t="str">
        <f>+IF(D819&lt;edadmaxtabla,D819+1/Parámetros!$E$25,"")</f>
        <v/>
      </c>
      <c r="E820" s="57" t="str">
        <f t="shared" si="1142"/>
        <v/>
      </c>
      <c r="F820" s="59" t="str">
        <f t="shared" si="1143"/>
        <v/>
      </c>
      <c r="G820" s="66" t="str">
        <f t="shared" si="1133"/>
        <v/>
      </c>
      <c r="H820" s="66" t="str">
        <f t="shared" si="1134"/>
        <v/>
      </c>
      <c r="I820" s="66" t="str">
        <f t="shared" si="1087"/>
        <v/>
      </c>
      <c r="J820" s="66" t="str">
        <f t="shared" si="1135"/>
        <v/>
      </c>
      <c r="K820" s="66" t="str">
        <f t="shared" si="1136"/>
        <v/>
      </c>
      <c r="L820" s="66" t="str">
        <f t="shared" si="1137"/>
        <v/>
      </c>
      <c r="M820" s="66" t="str">
        <f t="shared" si="1138"/>
        <v/>
      </c>
      <c r="N820" s="66" t="str">
        <f>+IF(C820="","",ROUND(Parámetros!$D$23,2))</f>
        <v/>
      </c>
      <c r="O820" s="66" t="str">
        <f t="shared" si="1139"/>
        <v/>
      </c>
      <c r="P820" s="66" t="str">
        <f>+IF($C820="","",ROUND(IF(B820&gt;Parámetros!$D$117,0,N820*Parámetros!$D$116-G820*Parámetros!$D$100),2))</f>
        <v/>
      </c>
      <c r="Q820" s="75" t="str">
        <f t="shared" si="1088"/>
        <v/>
      </c>
      <c r="R820" s="75" t="str">
        <f t="shared" si="1089"/>
        <v/>
      </c>
      <c r="S820" s="117" t="str">
        <f>+IF($C820="","",ROUND((S819+I820)*(1+Parámetros!$D$91),2))</f>
        <v/>
      </c>
      <c r="T820" s="117" t="str">
        <f>+IF($C820="","",ROUND(S820*VLOOKUP(B820,Parámetros!$C$30:$D$39,2,TRUE),2))</f>
        <v/>
      </c>
      <c r="U820" s="117" t="str">
        <f>+IF($C820="","",ROUND((U819+I820)*(1+Parámetros!$D$92),2))</f>
        <v/>
      </c>
      <c r="V820" s="117" t="str">
        <f>+IF($C820="","",ROUND(U820*VLOOKUP(B820,Parámetros!$C$30:$D$39,2,TRUE),2))</f>
        <v/>
      </c>
      <c r="W820" s="57" t="str">
        <f t="shared" si="1090"/>
        <v/>
      </c>
      <c r="X820" t="str">
        <f t="shared" si="1091"/>
        <v/>
      </c>
      <c r="Y820" t="str">
        <f t="shared" si="1092"/>
        <v/>
      </c>
      <c r="Z820" s="118" t="str">
        <f>+IF($W820="","",ROUND(IF(Parámetros!$D$25='TABLAS MORT'!$V$33,Z819,Parámetros!$D$21-'Tablas Servicio'!T819),0))</f>
        <v/>
      </c>
      <c r="AA820" s="118" t="str">
        <f t="shared" si="1093"/>
        <v/>
      </c>
      <c r="AB820" s="119" t="str">
        <f>+IF(W820="","",ROUND((VLOOKUP(ROUNDDOWN($D820-1/frec,0),qx_tabla,2,FALSE)*(1+i/frec)^-0.5*(1+Parámetros!$D$103)*(1+rec_fracc)/frec),6))</f>
        <v/>
      </c>
      <c r="AC820" s="66" t="str">
        <f t="shared" si="1144"/>
        <v/>
      </c>
      <c r="AD820" s="119" t="str">
        <f t="shared" si="1140"/>
        <v/>
      </c>
      <c r="AE820" s="66" t="str">
        <f>+IF($W820="","",ROUND(IF($B820&gt;Parámetros!$D$107,'Tablas Servicio'!AC820+('Tablas Servicio'!AG819-'Tablas Servicio'!AC819),AC820/(1-IF(B820&lt;=10,Parámetros!$D$104,Parámetros!$D$105))),2))</f>
        <v/>
      </c>
      <c r="AF820" s="66" t="str">
        <f>+IF($W820="","",ROUND(IF($B820&gt;Parámetros!$D$107,'Tablas Servicio'!AC820+('Tablas Servicio'!AG819-'Tablas Servicio'!AC819),(AC820+$A819/frec)/(1-IF(B820&lt;=Parámetros!$D$117,Parámetros!$D$100,0))),2))</f>
        <v/>
      </c>
      <c r="AG820" s="66" t="str">
        <f t="shared" si="1145"/>
        <v/>
      </c>
      <c r="AH820" s="66" t="str">
        <f t="shared" si="1146"/>
        <v/>
      </c>
      <c r="AI820" s="66" t="str">
        <f t="shared" si="1147"/>
        <v/>
      </c>
      <c r="AJ820" s="66" t="str">
        <f>+IF($W820="","",ROUND((AG820*Parámetros!$G$85),2))</f>
        <v/>
      </c>
      <c r="AK820" s="66" t="str">
        <f>+IF($W820="","",ROUND((AG820*(Parámetros!$G$86)),2))</f>
        <v/>
      </c>
      <c r="AL820" s="66" t="str">
        <f t="shared" si="1141"/>
        <v/>
      </c>
      <c r="AM820" t="str">
        <f t="shared" si="1094"/>
        <v/>
      </c>
      <c r="AN820" t="str">
        <f t="shared" si="1095"/>
        <v/>
      </c>
      <c r="AO820" s="118" t="str">
        <f t="shared" si="1096"/>
        <v/>
      </c>
      <c r="AP820" s="118" t="str">
        <f t="shared" si="1097"/>
        <v/>
      </c>
      <c r="AQ820" s="119" t="str">
        <f>+IF(OR($W820="",AO820=0),"",ROUND((VLOOKUP(ROUNDDOWN($D820-1/frec,0),cob_adi,Z$40,FALSE)*(1+i/frec)^-0.5*(1+Parámetros!$D$103)*(1+rec_fracc)/frec),6))</f>
        <v/>
      </c>
      <c r="AR820" s="66" t="str">
        <f t="shared" si="1148"/>
        <v/>
      </c>
      <c r="AS820" s="119" t="str">
        <f t="shared" si="1149"/>
        <v/>
      </c>
      <c r="AT820" s="66" t="str">
        <f>+IF($W820="","",ROUND(IF($B820&gt;Parámetros!$D$107,'Tablas Servicio'!AR820+('Tablas Servicio'!AT819-'Tablas Servicio'!AR819),AR820/(1-IF(B820&lt;=10,Parámetros!$D$100,0))),2))</f>
        <v/>
      </c>
      <c r="AU820" s="66" t="str">
        <f t="shared" si="1150"/>
        <v/>
      </c>
      <c r="AV820" s="66" t="str">
        <f t="shared" si="1150"/>
        <v/>
      </c>
      <c r="AW820" s="66" t="str">
        <f>+IF($W820="","",ROUND((AT820*Parámetros!$G$85),2))</f>
        <v/>
      </c>
      <c r="AX820" s="66" t="str">
        <f>+IF($W820="","",ROUND((AT820*(Parámetros!$G$86)),2))</f>
        <v/>
      </c>
      <c r="AY820" s="66" t="str">
        <f t="shared" si="1151"/>
        <v/>
      </c>
      <c r="AZ820" t="str">
        <f t="shared" si="1098"/>
        <v/>
      </c>
      <c r="BA820" t="str">
        <f t="shared" si="1099"/>
        <v/>
      </c>
      <c r="BB820" s="118" t="str">
        <f t="shared" si="1100"/>
        <v/>
      </c>
      <c r="BC820" s="118" t="str">
        <f t="shared" si="1101"/>
        <v/>
      </c>
      <c r="BD820" s="119" t="str">
        <f>+IF(OR($W820="",BB820=0),"",ROUND((VLOOKUP(ROUNDDOWN($D820-1/frec,0),cob_adi,AO$40,FALSE)*(1+i/frec)^-0.5*(1+Parámetros!$D$103)*(1+rec_fracc)/frec),6))</f>
        <v/>
      </c>
      <c r="BE820" s="66" t="str">
        <f t="shared" si="1152"/>
        <v/>
      </c>
      <c r="BF820" s="119" t="str">
        <f t="shared" si="1153"/>
        <v/>
      </c>
      <c r="BG820" s="66" t="str">
        <f>+IF($W820="","",ROUND(IF($B820&gt;Parámetros!$D$107,'Tablas Servicio'!BE820+('Tablas Servicio'!BG819-'Tablas Servicio'!BE819),BE820/(1-IF(B820&lt;=10,Parámetros!$D$100,0))),2))</f>
        <v/>
      </c>
      <c r="BH820" s="66" t="str">
        <f t="shared" si="1154"/>
        <v/>
      </c>
      <c r="BI820" s="66" t="str">
        <f t="shared" si="1155"/>
        <v/>
      </c>
      <c r="BJ820" s="66" t="str">
        <f>+IF($W820="","",ROUND((BG820*Parámetros!$G$85),2))</f>
        <v/>
      </c>
      <c r="BK820" s="66" t="str">
        <f>+IF($W820="","",ROUND((BG820*(Parámetros!$G$86)),2))</f>
        <v/>
      </c>
      <c r="BL820" s="66" t="str">
        <f t="shared" si="1156"/>
        <v/>
      </c>
      <c r="BM820" t="str">
        <f t="shared" si="1102"/>
        <v/>
      </c>
      <c r="BN820" t="str">
        <f t="shared" si="1103"/>
        <v/>
      </c>
      <c r="BO820" s="118" t="str">
        <f t="shared" si="1104"/>
        <v/>
      </c>
      <c r="BP820" s="118" t="str">
        <f t="shared" si="1105"/>
        <v/>
      </c>
      <c r="BQ820" s="119" t="str">
        <f>+IF(OR($W820="",BO820=0),"",ROUND((VLOOKUP(ROUNDDOWN($D820-1/frec,0),cob_adi,BB$40,FALSE)*(1+i/frec)^-0.5*(1+Parámetros!$D$103)*(1+rec_fracc)/frec),6))</f>
        <v/>
      </c>
      <c r="BR820" s="66" t="str">
        <f t="shared" si="1157"/>
        <v/>
      </c>
      <c r="BS820" s="119" t="str">
        <f t="shared" si="1158"/>
        <v/>
      </c>
      <c r="BT820" s="66" t="str">
        <f>+IF($W820="","",ROUND(IF($B820&gt;Parámetros!$D$107,'Tablas Servicio'!BR820+('Tablas Servicio'!BT819-'Tablas Servicio'!BR819),BR820/(1-IF(B820&lt;=10,Parámetros!$D$100,0))),2))</f>
        <v/>
      </c>
      <c r="BU820" s="66" t="str">
        <f t="shared" si="1159"/>
        <v/>
      </c>
      <c r="BV820" s="66" t="str">
        <f t="shared" si="1159"/>
        <v/>
      </c>
      <c r="BW820" s="66" t="str">
        <f>+IF($W820="","",ROUND((BT820*Parámetros!$G$85),2))</f>
        <v/>
      </c>
      <c r="BX820" s="66" t="str">
        <f>+IF($W820="","",ROUND((BT820*(Parámetros!$G$86)),2))</f>
        <v/>
      </c>
      <c r="BY820" s="66" t="str">
        <f t="shared" si="1160"/>
        <v/>
      </c>
      <c r="BZ820" t="str">
        <f t="shared" si="1106"/>
        <v/>
      </c>
      <c r="CA820" t="str">
        <f t="shared" si="1107"/>
        <v/>
      </c>
      <c r="CB820" s="118" t="str">
        <f t="shared" si="1108"/>
        <v/>
      </c>
      <c r="CC820" s="118" t="str">
        <f t="shared" si="1109"/>
        <v/>
      </c>
      <c r="CD820" s="119" t="str">
        <f t="shared" si="1161"/>
        <v/>
      </c>
      <c r="CE820" s="66" t="str">
        <f>+IF($W820="","",ROUND((VLOOKUP(ROUNDDOWN($D820-1/frec,0),cob_adi,BO$40,FALSE)*(1+i/frec)^-0.5*(1+Parámetros!$D$103)*(1+rec_fracc)/frec*'TABLAS ADI'!$BC$17),2))</f>
        <v/>
      </c>
      <c r="CF820" s="119" t="str">
        <f t="shared" si="1162"/>
        <v/>
      </c>
      <c r="CG820" s="66" t="str">
        <f>+IF($W820="","",ROUND(IF($B820&gt;Parámetros!$D$107,'Tablas Servicio'!CE820+('Tablas Servicio'!CG819-'Tablas Servicio'!CE819),CE820/(1-IF(B820&lt;=10,Parámetros!$D$100,0))),2))</f>
        <v/>
      </c>
      <c r="CH820" s="66" t="str">
        <f t="shared" si="1163"/>
        <v/>
      </c>
      <c r="CI820" s="66" t="str">
        <f t="shared" si="1163"/>
        <v/>
      </c>
      <c r="CJ820" s="66" t="str">
        <f>+IF($W820="","",ROUND((CG820*Parámetros!$G$85),2))</f>
        <v/>
      </c>
      <c r="CK820" s="66" t="str">
        <f>+IF($W820="","",ROUND((CG820*(Parámetros!$G$86)),2))</f>
        <v/>
      </c>
      <c r="CL820" s="66" t="str">
        <f t="shared" si="1164"/>
        <v/>
      </c>
      <c r="CM820" t="str">
        <f t="shared" si="1110"/>
        <v/>
      </c>
      <c r="CN820" s="118" t="str">
        <f t="shared" si="1111"/>
        <v/>
      </c>
      <c r="CO820" s="118" t="str">
        <f t="shared" si="1112"/>
        <v/>
      </c>
      <c r="CP820" s="118" t="str">
        <f t="shared" si="1113"/>
        <v/>
      </c>
      <c r="CQ820" s="119" t="str">
        <f t="shared" si="1165"/>
        <v/>
      </c>
      <c r="CR820" s="66" t="str">
        <f>+IF($W820="","",ROUND((VLOOKUP(Parámetros!$F$51,'COBERTURAS ADICIONALES'!$S$4:$T$32,2,FALSE)*(1+i/frec)^-0.5*(1+Parámetros!$D$103)*(1+rec_fracc)/frec*$CO$42),2))</f>
        <v/>
      </c>
      <c r="CS820" s="119" t="str">
        <f t="shared" si="1166"/>
        <v/>
      </c>
      <c r="CT820" s="66" t="str">
        <f>+IF($W820="","",ROUND(IF($B820&gt;Parámetros!$D$107,'Tablas Servicio'!CR820+('Tablas Servicio'!CT819-'Tablas Servicio'!CR819),CR820/(1-IF(B820&lt;=10,Parámetros!$D$100,0))),2))</f>
        <v/>
      </c>
      <c r="CU820" s="66" t="str">
        <f t="shared" si="1167"/>
        <v/>
      </c>
      <c r="CV820" s="66" t="str">
        <f t="shared" si="1167"/>
        <v/>
      </c>
      <c r="CW820" s="66" t="str">
        <f>+IF($W820="","",ROUND((CT820*Parámetros!$G$85),2))</f>
        <v/>
      </c>
      <c r="CX820" s="66" t="str">
        <f>+IF($W820="","",ROUND((CT820*(Parámetros!$G$86)),2))</f>
        <v/>
      </c>
      <c r="CY820" s="66" t="str">
        <f t="shared" si="1168"/>
        <v/>
      </c>
      <c r="CZ820" t="str">
        <f t="shared" si="1114"/>
        <v/>
      </c>
      <c r="DA820" s="118" t="str">
        <f t="shared" si="1115"/>
        <v/>
      </c>
      <c r="DB820" s="118" t="str">
        <f t="shared" si="1116"/>
        <v/>
      </c>
      <c r="DC820" s="118" t="str">
        <f t="shared" si="1117"/>
        <v/>
      </c>
      <c r="DD820" s="121" t="str">
        <f>+IF(OR($W820="",DB820=0),"",ROUND((VLOOKUP(ROUNDDOWN($D820-1/frec,0),cob_adi,CO$40,FALSE)*(1+i/frec)^-0.5*(1+Parámetros!$D$103)*(1+rec_fracc)/frec),6))</f>
        <v/>
      </c>
      <c r="DE820" s="66" t="str">
        <f t="shared" si="1169"/>
        <v/>
      </c>
      <c r="DF820" s="119" t="str">
        <f t="shared" si="1170"/>
        <v/>
      </c>
      <c r="DG820" s="66" t="str">
        <f>+IF($W820="","",ROUND(IF($B820&gt;Parámetros!$D$107,'Tablas Servicio'!DE820+('Tablas Servicio'!DG819-'Tablas Servicio'!DE819),DE820/(1-IF(B820&lt;=10,Parámetros!$D$100,0))),2))</f>
        <v/>
      </c>
      <c r="DH820" s="66" t="str">
        <f t="shared" si="1171"/>
        <v/>
      </c>
      <c r="DI820" s="66" t="str">
        <f t="shared" si="1171"/>
        <v/>
      </c>
      <c r="DJ820" s="66" t="str">
        <f>+IF($W820="","",ROUND((DG820*Parámetros!$G$85),2))</f>
        <v/>
      </c>
      <c r="DK820" s="66" t="str">
        <f>+IF($W820="","",ROUND((DG820*(Parámetros!$G$86)),2))</f>
        <v/>
      </c>
      <c r="DL820" s="66" t="str">
        <f t="shared" si="1172"/>
        <v/>
      </c>
      <c r="DM820" t="str">
        <f t="shared" si="1118"/>
        <v/>
      </c>
      <c r="DN820" s="118" t="str">
        <f t="shared" si="1119"/>
        <v/>
      </c>
      <c r="DO820" s="118" t="str">
        <f t="shared" si="1120"/>
        <v/>
      </c>
      <c r="DP820" s="118" t="str">
        <f t="shared" si="1121"/>
        <v/>
      </c>
      <c r="DQ820" s="122" t="str">
        <f>+IF(OR($W820="",DO820=0),"",ROUND((VLOOKUP(ROUNDDOWN($D820-1/frec,0),cob_adi,DB$40,FALSE)*(1+i/frec)^-0.5*(1+Parámetros!$D$103)*(1+rec_fracc)/frec),6))</f>
        <v/>
      </c>
      <c r="DR820" s="66" t="str">
        <f t="shared" si="1173"/>
        <v/>
      </c>
      <c r="DS820" s="68" t="str">
        <f t="shared" si="1174"/>
        <v/>
      </c>
      <c r="DT820" s="66" t="str">
        <f>+IF($W820="","",ROUND(IF($B820&gt;Parámetros!$D$107,'Tablas Servicio'!DR820+('Tablas Servicio'!DT819-'Tablas Servicio'!DR819),DR820/(1-IF(B820&lt;=10,Parámetros!$D$100,0))),2))</f>
        <v/>
      </c>
      <c r="DU820" s="66" t="str">
        <f t="shared" si="1175"/>
        <v/>
      </c>
      <c r="DV820" s="66" t="str">
        <f t="shared" si="1175"/>
        <v/>
      </c>
      <c r="DW820" s="66" t="str">
        <f>+IF($W820="","",ROUND((DT820*Parámetros!$G$85),2))</f>
        <v/>
      </c>
      <c r="DX820" s="66" t="str">
        <f>+IF($W820="","",ROUND((DT820*(Parámetros!$G$86)),2))</f>
        <v/>
      </c>
      <c r="DY820" s="66" t="str">
        <f t="shared" si="1176"/>
        <v/>
      </c>
      <c r="DZ820" t="str">
        <f t="shared" si="1177"/>
        <v/>
      </c>
      <c r="EA820" s="118" t="str">
        <f t="shared" si="1177"/>
        <v/>
      </c>
      <c r="EB820" s="118" t="str">
        <f>+IF($W820="","",ROUND(IF(Parámetros!$D$25='TABLAS MORT'!$V$33,EB819,Z820/2),0))</f>
        <v/>
      </c>
      <c r="EC820" s="118" t="str">
        <f t="shared" si="1177"/>
        <v/>
      </c>
      <c r="ED820" s="122" t="str">
        <f>+IF(OR($W820="",EB820=0),"",ROUND((VLOOKUP(ROUNDDOWN($D820-1/frec,0),cob_adi,DO$40,FALSE)*(1+i/frec)^-0.5*(1+Parámetros!$D$103)*(1+rec_fracc)/frec),6))</f>
        <v/>
      </c>
      <c r="EE820" s="66" t="str">
        <f t="shared" si="1178"/>
        <v/>
      </c>
      <c r="EF820" s="68" t="str">
        <f t="shared" si="1179"/>
        <v/>
      </c>
      <c r="EG820" s="66" t="str">
        <f>+IF($W820="","",ROUND(IF($B820&gt;Parámetros!$D$107,'Tablas Servicio'!EE820+('Tablas Servicio'!EG819-'Tablas Servicio'!EE819),EE820/(1-IF(B820&lt;=10,Parámetros!$D$100,0))),2))</f>
        <v/>
      </c>
      <c r="EH820" s="66" t="str">
        <f t="shared" si="1180"/>
        <v/>
      </c>
      <c r="EI820" s="66" t="str">
        <f t="shared" si="1180"/>
        <v/>
      </c>
      <c r="EJ820" s="66" t="str">
        <f>+IF($W820="","",ROUND((EG820*Parámetros!$G$85),2))</f>
        <v/>
      </c>
      <c r="EK820" s="66" t="str">
        <f>+IF($W820="","",ROUND((EG820*(Parámetros!$G$86)),2))</f>
        <v/>
      </c>
      <c r="EL820" s="66" t="str">
        <f t="shared" si="1181"/>
        <v/>
      </c>
    </row>
    <row r="821" spans="1:142" x14ac:dyDescent="0.25">
      <c r="A821" t="str">
        <f>+IF($C821="","",ROUND(VLOOKUP('Tablas Servicio'!B821,Parámetros!$H$100:$J$159,IF(Parámetros!$E$16="F",2,3),FALSE),2))</f>
        <v/>
      </c>
      <c r="B821" t="str">
        <f t="shared" si="1132"/>
        <v/>
      </c>
      <c r="C821" s="57" t="str">
        <f>+IF(D821="","",'Tablas Servicio'!C820+1)</f>
        <v/>
      </c>
      <c r="D821" s="56" t="str">
        <f>+IF(D820&lt;edadmaxtabla,D820+1/Parámetros!$E$25,"")</f>
        <v/>
      </c>
      <c r="E821" s="57" t="str">
        <f t="shared" si="1142"/>
        <v/>
      </c>
      <c r="F821" s="59" t="str">
        <f t="shared" si="1143"/>
        <v/>
      </c>
      <c r="G821" s="66" t="str">
        <f t="shared" si="1133"/>
        <v/>
      </c>
      <c r="H821" s="66" t="str">
        <f t="shared" si="1134"/>
        <v/>
      </c>
      <c r="I821" s="66" t="str">
        <f t="shared" si="1087"/>
        <v/>
      </c>
      <c r="J821" s="66" t="str">
        <f t="shared" si="1135"/>
        <v/>
      </c>
      <c r="K821" s="66" t="str">
        <f t="shared" si="1136"/>
        <v/>
      </c>
      <c r="L821" s="66" t="str">
        <f t="shared" si="1137"/>
        <v/>
      </c>
      <c r="M821" s="66" t="str">
        <f t="shared" si="1138"/>
        <v/>
      </c>
      <c r="N821" s="66" t="str">
        <f>+IF(C821="","",ROUND(Parámetros!$D$23,2))</f>
        <v/>
      </c>
      <c r="O821" s="66" t="str">
        <f t="shared" si="1139"/>
        <v/>
      </c>
      <c r="P821" s="66" t="str">
        <f>+IF($C821="","",ROUND(IF(B821&gt;Parámetros!$D$117,0,N821*Parámetros!$D$116-G821*Parámetros!$D$100),2))</f>
        <v/>
      </c>
      <c r="Q821" s="75" t="str">
        <f t="shared" si="1088"/>
        <v/>
      </c>
      <c r="R821" s="75" t="str">
        <f t="shared" si="1089"/>
        <v/>
      </c>
      <c r="S821" s="117" t="str">
        <f>+IF($C821="","",ROUND((S820+I821)*(1+Parámetros!$D$91),2))</f>
        <v/>
      </c>
      <c r="T821" s="117" t="str">
        <f>+IF($C821="","",ROUND(S821*VLOOKUP(B821,Parámetros!$C$30:$D$39,2,TRUE),2))</f>
        <v/>
      </c>
      <c r="U821" s="117" t="str">
        <f>+IF($C821="","",ROUND((U820+I821)*(1+Parámetros!$D$92),2))</f>
        <v/>
      </c>
      <c r="V821" s="117" t="str">
        <f>+IF($C821="","",ROUND(U821*VLOOKUP(B821,Parámetros!$C$30:$D$39,2,TRUE),2))</f>
        <v/>
      </c>
      <c r="W821" s="57" t="str">
        <f t="shared" si="1090"/>
        <v/>
      </c>
      <c r="X821" t="str">
        <f t="shared" si="1091"/>
        <v/>
      </c>
      <c r="Y821" t="str">
        <f t="shared" si="1092"/>
        <v/>
      </c>
      <c r="Z821" s="118" t="str">
        <f>+IF($W821="","",ROUND(IF(Parámetros!$D$25='TABLAS MORT'!$V$33,Z820,Parámetros!$D$21-'Tablas Servicio'!T820),0))</f>
        <v/>
      </c>
      <c r="AA821" s="118" t="str">
        <f t="shared" si="1093"/>
        <v/>
      </c>
      <c r="AB821" s="119" t="str">
        <f>+IF(W821="","",ROUND((VLOOKUP(ROUNDDOWN($D821-1/frec,0),qx_tabla,2,FALSE)*(1+i/frec)^-0.5*(1+Parámetros!$D$103)*(1+rec_fracc)/frec),6))</f>
        <v/>
      </c>
      <c r="AC821" s="66" t="str">
        <f t="shared" si="1144"/>
        <v/>
      </c>
      <c r="AD821" s="119" t="str">
        <f t="shared" si="1140"/>
        <v/>
      </c>
      <c r="AE821" s="66" t="str">
        <f>+IF($W821="","",ROUND(IF($B821&gt;Parámetros!$D$107,'Tablas Servicio'!AC821+('Tablas Servicio'!AG820-'Tablas Servicio'!AC820),AC821/(1-IF(B821&lt;=10,Parámetros!$D$104,Parámetros!$D$105))),2))</f>
        <v/>
      </c>
      <c r="AF821" s="66" t="str">
        <f>+IF($W821="","",ROUND(IF($B821&gt;Parámetros!$D$107,'Tablas Servicio'!AC821+('Tablas Servicio'!AG820-'Tablas Servicio'!AC820),(AC821+$A820/frec)/(1-IF(B821&lt;=Parámetros!$D$117,Parámetros!$D$100,0))),2))</f>
        <v/>
      </c>
      <c r="AG821" s="66" t="str">
        <f t="shared" si="1145"/>
        <v/>
      </c>
      <c r="AH821" s="66" t="str">
        <f t="shared" si="1146"/>
        <v/>
      </c>
      <c r="AI821" s="66" t="str">
        <f t="shared" si="1147"/>
        <v/>
      </c>
      <c r="AJ821" s="66" t="str">
        <f>+IF($W821="","",ROUND((AG821*Parámetros!$G$85),2))</f>
        <v/>
      </c>
      <c r="AK821" s="66" t="str">
        <f>+IF($W821="","",ROUND((AG821*(Parámetros!$G$86)),2))</f>
        <v/>
      </c>
      <c r="AL821" s="66" t="str">
        <f t="shared" si="1141"/>
        <v/>
      </c>
      <c r="AM821" t="str">
        <f t="shared" si="1094"/>
        <v/>
      </c>
      <c r="AN821" t="str">
        <f t="shared" si="1095"/>
        <v/>
      </c>
      <c r="AO821" s="118" t="str">
        <f t="shared" si="1096"/>
        <v/>
      </c>
      <c r="AP821" s="118" t="str">
        <f t="shared" si="1097"/>
        <v/>
      </c>
      <c r="AQ821" s="119" t="str">
        <f>+IF(OR($W821="",AO821=0),"",ROUND((VLOOKUP(ROUNDDOWN($D821-1/frec,0),cob_adi,Z$40,FALSE)*(1+i/frec)^-0.5*(1+Parámetros!$D$103)*(1+rec_fracc)/frec),6))</f>
        <v/>
      </c>
      <c r="AR821" s="66" t="str">
        <f t="shared" si="1148"/>
        <v/>
      </c>
      <c r="AS821" s="119" t="str">
        <f t="shared" si="1149"/>
        <v/>
      </c>
      <c r="AT821" s="66" t="str">
        <f>+IF($W821="","",ROUND(IF($B821&gt;Parámetros!$D$107,'Tablas Servicio'!AR821+('Tablas Servicio'!AT820-'Tablas Servicio'!AR820),AR821/(1-IF(B821&lt;=10,Parámetros!$D$100,0))),2))</f>
        <v/>
      </c>
      <c r="AU821" s="66" t="str">
        <f t="shared" si="1150"/>
        <v/>
      </c>
      <c r="AV821" s="66" t="str">
        <f t="shared" si="1150"/>
        <v/>
      </c>
      <c r="AW821" s="66" t="str">
        <f>+IF($W821="","",ROUND((AT821*Parámetros!$G$85),2))</f>
        <v/>
      </c>
      <c r="AX821" s="66" t="str">
        <f>+IF($W821="","",ROUND((AT821*(Parámetros!$G$86)),2))</f>
        <v/>
      </c>
      <c r="AY821" s="66" t="str">
        <f t="shared" si="1151"/>
        <v/>
      </c>
      <c r="AZ821" t="str">
        <f t="shared" si="1098"/>
        <v/>
      </c>
      <c r="BA821" t="str">
        <f t="shared" si="1099"/>
        <v/>
      </c>
      <c r="BB821" s="118" t="str">
        <f t="shared" si="1100"/>
        <v/>
      </c>
      <c r="BC821" s="118" t="str">
        <f t="shared" si="1101"/>
        <v/>
      </c>
      <c r="BD821" s="119" t="str">
        <f>+IF(OR($W821="",BB821=0),"",ROUND((VLOOKUP(ROUNDDOWN($D821-1/frec,0),cob_adi,AO$40,FALSE)*(1+i/frec)^-0.5*(1+Parámetros!$D$103)*(1+rec_fracc)/frec),6))</f>
        <v/>
      </c>
      <c r="BE821" s="66" t="str">
        <f t="shared" si="1152"/>
        <v/>
      </c>
      <c r="BF821" s="119" t="str">
        <f t="shared" si="1153"/>
        <v/>
      </c>
      <c r="BG821" s="66" t="str">
        <f>+IF($W821="","",ROUND(IF($B821&gt;Parámetros!$D$107,'Tablas Servicio'!BE821+('Tablas Servicio'!BG820-'Tablas Servicio'!BE820),BE821/(1-IF(B821&lt;=10,Parámetros!$D$100,0))),2))</f>
        <v/>
      </c>
      <c r="BH821" s="66" t="str">
        <f t="shared" si="1154"/>
        <v/>
      </c>
      <c r="BI821" s="66" t="str">
        <f t="shared" si="1155"/>
        <v/>
      </c>
      <c r="BJ821" s="66" t="str">
        <f>+IF($W821="","",ROUND((BG821*Parámetros!$G$85),2))</f>
        <v/>
      </c>
      <c r="BK821" s="66" t="str">
        <f>+IF($W821="","",ROUND((BG821*(Parámetros!$G$86)),2))</f>
        <v/>
      </c>
      <c r="BL821" s="66" t="str">
        <f t="shared" si="1156"/>
        <v/>
      </c>
      <c r="BM821" t="str">
        <f t="shared" si="1102"/>
        <v/>
      </c>
      <c r="BN821" t="str">
        <f t="shared" si="1103"/>
        <v/>
      </c>
      <c r="BO821" s="118" t="str">
        <f t="shared" si="1104"/>
        <v/>
      </c>
      <c r="BP821" s="118" t="str">
        <f t="shared" si="1105"/>
        <v/>
      </c>
      <c r="BQ821" s="119" t="str">
        <f>+IF(OR($W821="",BO821=0),"",ROUND((VLOOKUP(ROUNDDOWN($D821-1/frec,0),cob_adi,BB$40,FALSE)*(1+i/frec)^-0.5*(1+Parámetros!$D$103)*(1+rec_fracc)/frec),6))</f>
        <v/>
      </c>
      <c r="BR821" s="66" t="str">
        <f t="shared" si="1157"/>
        <v/>
      </c>
      <c r="BS821" s="119" t="str">
        <f t="shared" si="1158"/>
        <v/>
      </c>
      <c r="BT821" s="66" t="str">
        <f>+IF($W821="","",ROUND(IF($B821&gt;Parámetros!$D$107,'Tablas Servicio'!BR821+('Tablas Servicio'!BT820-'Tablas Servicio'!BR820),BR821/(1-IF(B821&lt;=10,Parámetros!$D$100,0))),2))</f>
        <v/>
      </c>
      <c r="BU821" s="66" t="str">
        <f t="shared" si="1159"/>
        <v/>
      </c>
      <c r="BV821" s="66" t="str">
        <f t="shared" si="1159"/>
        <v/>
      </c>
      <c r="BW821" s="66" t="str">
        <f>+IF($W821="","",ROUND((BT821*Parámetros!$G$85),2))</f>
        <v/>
      </c>
      <c r="BX821" s="66" t="str">
        <f>+IF($W821="","",ROUND((BT821*(Parámetros!$G$86)),2))</f>
        <v/>
      </c>
      <c r="BY821" s="66" t="str">
        <f t="shared" si="1160"/>
        <v/>
      </c>
      <c r="BZ821" t="str">
        <f t="shared" si="1106"/>
        <v/>
      </c>
      <c r="CA821" t="str">
        <f t="shared" si="1107"/>
        <v/>
      </c>
      <c r="CB821" s="118" t="str">
        <f t="shared" si="1108"/>
        <v/>
      </c>
      <c r="CC821" s="118" t="str">
        <f t="shared" si="1109"/>
        <v/>
      </c>
      <c r="CD821" s="119" t="str">
        <f t="shared" si="1161"/>
        <v/>
      </c>
      <c r="CE821" s="66" t="str">
        <f>+IF($W821="","",ROUND((VLOOKUP(ROUNDDOWN($D821-1/frec,0),cob_adi,BO$40,FALSE)*(1+i/frec)^-0.5*(1+Parámetros!$D$103)*(1+rec_fracc)/frec*'TABLAS ADI'!$BC$17),2))</f>
        <v/>
      </c>
      <c r="CF821" s="119" t="str">
        <f t="shared" si="1162"/>
        <v/>
      </c>
      <c r="CG821" s="66" t="str">
        <f>+IF($W821="","",ROUND(IF($B821&gt;Parámetros!$D$107,'Tablas Servicio'!CE821+('Tablas Servicio'!CG820-'Tablas Servicio'!CE820),CE821/(1-IF(B821&lt;=10,Parámetros!$D$100,0))),2))</f>
        <v/>
      </c>
      <c r="CH821" s="66" t="str">
        <f t="shared" si="1163"/>
        <v/>
      </c>
      <c r="CI821" s="66" t="str">
        <f t="shared" si="1163"/>
        <v/>
      </c>
      <c r="CJ821" s="66" t="str">
        <f>+IF($W821="","",ROUND((CG821*Parámetros!$G$85),2))</f>
        <v/>
      </c>
      <c r="CK821" s="66" t="str">
        <f>+IF($W821="","",ROUND((CG821*(Parámetros!$G$86)),2))</f>
        <v/>
      </c>
      <c r="CL821" s="66" t="str">
        <f t="shared" si="1164"/>
        <v/>
      </c>
      <c r="CM821" t="str">
        <f t="shared" si="1110"/>
        <v/>
      </c>
      <c r="CN821" s="118" t="str">
        <f t="shared" si="1111"/>
        <v/>
      </c>
      <c r="CO821" s="118" t="str">
        <f t="shared" si="1112"/>
        <v/>
      </c>
      <c r="CP821" s="118" t="str">
        <f t="shared" si="1113"/>
        <v/>
      </c>
      <c r="CQ821" s="119" t="str">
        <f t="shared" si="1165"/>
        <v/>
      </c>
      <c r="CR821" s="66" t="str">
        <f>+IF($W821="","",ROUND((VLOOKUP(Parámetros!$F$51,'COBERTURAS ADICIONALES'!$S$4:$T$32,2,FALSE)*(1+i/frec)^-0.5*(1+Parámetros!$D$103)*(1+rec_fracc)/frec*$CO$42),2))</f>
        <v/>
      </c>
      <c r="CS821" s="119" t="str">
        <f t="shared" si="1166"/>
        <v/>
      </c>
      <c r="CT821" s="66" t="str">
        <f>+IF($W821="","",ROUND(IF($B821&gt;Parámetros!$D$107,'Tablas Servicio'!CR821+('Tablas Servicio'!CT820-'Tablas Servicio'!CR820),CR821/(1-IF(B821&lt;=10,Parámetros!$D$100,0))),2))</f>
        <v/>
      </c>
      <c r="CU821" s="66" t="str">
        <f t="shared" si="1167"/>
        <v/>
      </c>
      <c r="CV821" s="66" t="str">
        <f t="shared" si="1167"/>
        <v/>
      </c>
      <c r="CW821" s="66" t="str">
        <f>+IF($W821="","",ROUND((CT821*Parámetros!$G$85),2))</f>
        <v/>
      </c>
      <c r="CX821" s="66" t="str">
        <f>+IF($W821="","",ROUND((CT821*(Parámetros!$G$86)),2))</f>
        <v/>
      </c>
      <c r="CY821" s="66" t="str">
        <f t="shared" si="1168"/>
        <v/>
      </c>
      <c r="CZ821" t="str">
        <f t="shared" si="1114"/>
        <v/>
      </c>
      <c r="DA821" s="118" t="str">
        <f t="shared" si="1115"/>
        <v/>
      </c>
      <c r="DB821" s="118" t="str">
        <f t="shared" si="1116"/>
        <v/>
      </c>
      <c r="DC821" s="118" t="str">
        <f t="shared" si="1117"/>
        <v/>
      </c>
      <c r="DD821" s="121" t="str">
        <f>+IF(OR($W821="",DB821=0),"",ROUND((VLOOKUP(ROUNDDOWN($D821-1/frec,0),cob_adi,CO$40,FALSE)*(1+i/frec)^-0.5*(1+Parámetros!$D$103)*(1+rec_fracc)/frec),6))</f>
        <v/>
      </c>
      <c r="DE821" s="66" t="str">
        <f t="shared" si="1169"/>
        <v/>
      </c>
      <c r="DF821" s="119" t="str">
        <f t="shared" si="1170"/>
        <v/>
      </c>
      <c r="DG821" s="66" t="str">
        <f>+IF($W821="","",ROUND(IF($B821&gt;Parámetros!$D$107,'Tablas Servicio'!DE821+('Tablas Servicio'!DG820-'Tablas Servicio'!DE820),DE821/(1-IF(B821&lt;=10,Parámetros!$D$100,0))),2))</f>
        <v/>
      </c>
      <c r="DH821" s="66" t="str">
        <f t="shared" si="1171"/>
        <v/>
      </c>
      <c r="DI821" s="66" t="str">
        <f t="shared" si="1171"/>
        <v/>
      </c>
      <c r="DJ821" s="66" t="str">
        <f>+IF($W821="","",ROUND((DG821*Parámetros!$G$85),2))</f>
        <v/>
      </c>
      <c r="DK821" s="66" t="str">
        <f>+IF($W821="","",ROUND((DG821*(Parámetros!$G$86)),2))</f>
        <v/>
      </c>
      <c r="DL821" s="66" t="str">
        <f t="shared" si="1172"/>
        <v/>
      </c>
      <c r="DM821" t="str">
        <f t="shared" si="1118"/>
        <v/>
      </c>
      <c r="DN821" s="118" t="str">
        <f t="shared" si="1119"/>
        <v/>
      </c>
      <c r="DO821" s="118" t="str">
        <f t="shared" si="1120"/>
        <v/>
      </c>
      <c r="DP821" s="118" t="str">
        <f t="shared" si="1121"/>
        <v/>
      </c>
      <c r="DQ821" s="122" t="str">
        <f>+IF(OR($W821="",DO821=0),"",ROUND((VLOOKUP(ROUNDDOWN($D821-1/frec,0),cob_adi,DB$40,FALSE)*(1+i/frec)^-0.5*(1+Parámetros!$D$103)*(1+rec_fracc)/frec),6))</f>
        <v/>
      </c>
      <c r="DR821" s="66" t="str">
        <f t="shared" si="1173"/>
        <v/>
      </c>
      <c r="DS821" s="68" t="str">
        <f t="shared" si="1174"/>
        <v/>
      </c>
      <c r="DT821" s="66" t="str">
        <f>+IF($W821="","",ROUND(IF($B821&gt;Parámetros!$D$107,'Tablas Servicio'!DR821+('Tablas Servicio'!DT820-'Tablas Servicio'!DR820),DR821/(1-IF(B821&lt;=10,Parámetros!$D$100,0))),2))</f>
        <v/>
      </c>
      <c r="DU821" s="66" t="str">
        <f t="shared" si="1175"/>
        <v/>
      </c>
      <c r="DV821" s="66" t="str">
        <f t="shared" si="1175"/>
        <v/>
      </c>
      <c r="DW821" s="66" t="str">
        <f>+IF($W821="","",ROUND((DT821*Parámetros!$G$85),2))</f>
        <v/>
      </c>
      <c r="DX821" s="66" t="str">
        <f>+IF($W821="","",ROUND((DT821*(Parámetros!$G$86)),2))</f>
        <v/>
      </c>
      <c r="DY821" s="66" t="str">
        <f t="shared" si="1176"/>
        <v/>
      </c>
      <c r="DZ821" t="str">
        <f t="shared" si="1177"/>
        <v/>
      </c>
      <c r="EA821" s="118" t="str">
        <f t="shared" si="1177"/>
        <v/>
      </c>
      <c r="EB821" s="118" t="str">
        <f>+IF($W821="","",ROUND(IF(Parámetros!$D$25='TABLAS MORT'!$V$33,EB820,Z821/2),0))</f>
        <v/>
      </c>
      <c r="EC821" s="118" t="str">
        <f t="shared" si="1177"/>
        <v/>
      </c>
      <c r="ED821" s="122" t="str">
        <f>+IF(OR($W821="",EB821=0),"",ROUND((VLOOKUP(ROUNDDOWN($D821-1/frec,0),cob_adi,DO$40,FALSE)*(1+i/frec)^-0.5*(1+Parámetros!$D$103)*(1+rec_fracc)/frec),6))</f>
        <v/>
      </c>
      <c r="EE821" s="66" t="str">
        <f t="shared" si="1178"/>
        <v/>
      </c>
      <c r="EF821" s="68" t="str">
        <f t="shared" si="1179"/>
        <v/>
      </c>
      <c r="EG821" s="66" t="str">
        <f>+IF($W821="","",ROUND(IF($B821&gt;Parámetros!$D$107,'Tablas Servicio'!EE821+('Tablas Servicio'!EG820-'Tablas Servicio'!EE820),EE821/(1-IF(B821&lt;=10,Parámetros!$D$100,0))),2))</f>
        <v/>
      </c>
      <c r="EH821" s="66" t="str">
        <f t="shared" si="1180"/>
        <v/>
      </c>
      <c r="EI821" s="66" t="str">
        <f t="shared" si="1180"/>
        <v/>
      </c>
      <c r="EJ821" s="66" t="str">
        <f>+IF($W821="","",ROUND((EG821*Parámetros!$G$85),2))</f>
        <v/>
      </c>
      <c r="EK821" s="66" t="str">
        <f>+IF($W821="","",ROUND((EG821*(Parámetros!$G$86)),2))</f>
        <v/>
      </c>
      <c r="EL821" s="66" t="str">
        <f t="shared" si="1181"/>
        <v/>
      </c>
    </row>
    <row r="822" spans="1:142" x14ac:dyDescent="0.25">
      <c r="A822" t="str">
        <f>+IF($C822="","",ROUND(VLOOKUP('Tablas Servicio'!B822,Parámetros!$H$100:$J$159,IF(Parámetros!$E$16="F",2,3),FALSE),2))</f>
        <v/>
      </c>
      <c r="B822" t="str">
        <f t="shared" si="1132"/>
        <v/>
      </c>
      <c r="C822" s="57" t="str">
        <f>+IF(D822="","",'Tablas Servicio'!C821+1)</f>
        <v/>
      </c>
      <c r="D822" s="56" t="str">
        <f>+IF(D821&lt;edadmaxtabla,D821+1/Parámetros!$E$25,"")</f>
        <v/>
      </c>
      <c r="E822" s="57" t="str">
        <f t="shared" si="1142"/>
        <v/>
      </c>
      <c r="F822" s="59" t="str">
        <f t="shared" si="1143"/>
        <v/>
      </c>
      <c r="G822" s="66" t="str">
        <f t="shared" si="1133"/>
        <v/>
      </c>
      <c r="H822" s="66" t="str">
        <f t="shared" si="1134"/>
        <v/>
      </c>
      <c r="I822" s="66" t="str">
        <f t="shared" ref="I822:I861" si="1182">+IF($C822="","",N822-H822-P822)</f>
        <v/>
      </c>
      <c r="J822" s="66" t="str">
        <f t="shared" si="1135"/>
        <v/>
      </c>
      <c r="K822" s="66" t="str">
        <f t="shared" si="1136"/>
        <v/>
      </c>
      <c r="L822" s="66" t="str">
        <f t="shared" si="1137"/>
        <v/>
      </c>
      <c r="M822" s="66" t="str">
        <f t="shared" si="1138"/>
        <v/>
      </c>
      <c r="N822" s="66" t="str">
        <f>+IF(C822="","",ROUND(Parámetros!$D$23,2))</f>
        <v/>
      </c>
      <c r="O822" s="66" t="str">
        <f t="shared" si="1139"/>
        <v/>
      </c>
      <c r="P822" s="66" t="str">
        <f>+IF($C822="","",ROUND(IF(B822&gt;Parámetros!$D$117,0,N822*Parámetros!$D$116-G822*Parámetros!$D$100),2))</f>
        <v/>
      </c>
      <c r="Q822" s="75" t="str">
        <f t="shared" ref="Q822:Q861" si="1183">+IF($C822="","",J822/$G822)</f>
        <v/>
      </c>
      <c r="R822" s="75" t="str">
        <f t="shared" ref="R822:R861" si="1184">+IF($C822="","",K822/$G822)</f>
        <v/>
      </c>
      <c r="S822" s="117" t="str">
        <f>+IF($C822="","",ROUND((S821+I822)*(1+Parámetros!$D$91),2))</f>
        <v/>
      </c>
      <c r="T822" s="117" t="str">
        <f>+IF($C822="","",ROUND(S822*VLOOKUP(B822,Parámetros!$C$30:$D$39,2,TRUE),2))</f>
        <v/>
      </c>
      <c r="U822" s="117" t="str">
        <f>+IF($C822="","",ROUND((U821+I822)*(1+Parámetros!$D$92),2))</f>
        <v/>
      </c>
      <c r="V822" s="117" t="str">
        <f>+IF($C822="","",ROUND(U822*VLOOKUP(B822,Parámetros!$C$30:$D$39,2,TRUE),2))</f>
        <v/>
      </c>
      <c r="W822" s="57" t="str">
        <f t="shared" ref="W822:W861" si="1185">+C822</f>
        <v/>
      </c>
      <c r="X822" t="str">
        <f t="shared" ref="X822:X861" si="1186">+IF($W822="","",X821)</f>
        <v/>
      </c>
      <c r="Y822" t="str">
        <f t="shared" ref="Y822:Y861" si="1187">+IF($W822="","",Y821)</f>
        <v/>
      </c>
      <c r="Z822" s="118" t="str">
        <f>+IF($W822="","",ROUND(IF(Parámetros!$D$25='TABLAS MORT'!$V$33,Z821,Parámetros!$D$21-'Tablas Servicio'!T821),0))</f>
        <v/>
      </c>
      <c r="AA822" s="118" t="str">
        <f t="shared" ref="AA822:AA861" si="1188">+IF($W822="","",AA821)</f>
        <v/>
      </c>
      <c r="AB822" s="119" t="str">
        <f>+IF(W822="","",ROUND((VLOOKUP(ROUNDDOWN($D822-1/frec,0),qx_tabla,2,FALSE)*(1+i/frec)^-0.5*(1+Parámetros!$D$103)*(1+rec_fracc)/frec),6))</f>
        <v/>
      </c>
      <c r="AC822" s="66" t="str">
        <f t="shared" si="1144"/>
        <v/>
      </c>
      <c r="AD822" s="119" t="str">
        <f t="shared" si="1140"/>
        <v/>
      </c>
      <c r="AE822" s="66" t="str">
        <f>+IF($W822="","",ROUND(IF($B822&gt;Parámetros!$D$107,'Tablas Servicio'!AC822+('Tablas Servicio'!AG821-'Tablas Servicio'!AC821),AC822/(1-IF(B822&lt;=10,Parámetros!$D$104,Parámetros!$D$105))),2))</f>
        <v/>
      </c>
      <c r="AF822" s="66" t="str">
        <f>+IF($W822="","",ROUND(IF($B822&gt;Parámetros!$D$107,'Tablas Servicio'!AC822+('Tablas Servicio'!AG821-'Tablas Servicio'!AC821),(AC822+$A821/frec)/(1-IF(B822&lt;=Parámetros!$D$117,Parámetros!$D$100,0))),2))</f>
        <v/>
      </c>
      <c r="AG822" s="66" t="str">
        <f t="shared" si="1145"/>
        <v/>
      </c>
      <c r="AH822" s="66" t="str">
        <f t="shared" si="1146"/>
        <v/>
      </c>
      <c r="AI822" s="66" t="str">
        <f t="shared" si="1147"/>
        <v/>
      </c>
      <c r="AJ822" s="66" t="str">
        <f>+IF($W822="","",ROUND((AG822*Parámetros!$G$85),2))</f>
        <v/>
      </c>
      <c r="AK822" s="66" t="str">
        <f>+IF($W822="","",ROUND((AG822*(Parámetros!$G$86)),2))</f>
        <v/>
      </c>
      <c r="AL822" s="66" t="str">
        <f t="shared" si="1141"/>
        <v/>
      </c>
      <c r="AM822" t="str">
        <f t="shared" ref="AM822:AM861" si="1189">+IF($W822="","",AM821)</f>
        <v/>
      </c>
      <c r="AN822" t="str">
        <f t="shared" ref="AN822:AN861" si="1190">+IF($W822="","",AN821)</f>
        <v/>
      </c>
      <c r="AO822" s="118" t="str">
        <f t="shared" ref="AO822:AO861" si="1191">+IF($W822="","",AO821)</f>
        <v/>
      </c>
      <c r="AP822" s="118" t="str">
        <f t="shared" ref="AP822:AP861" si="1192">+IF($W822="","",AP821)</f>
        <v/>
      </c>
      <c r="AQ822" s="119" t="str">
        <f>+IF(OR($W822="",AO822=0),"",ROUND((VLOOKUP(ROUNDDOWN($D822-1/frec,0),cob_adi,Z$40,FALSE)*(1+i/frec)^-0.5*(1+Parámetros!$D$103)*(1+rec_fracc)/frec),6))</f>
        <v/>
      </c>
      <c r="AR822" s="66" t="str">
        <f t="shared" si="1148"/>
        <v/>
      </c>
      <c r="AS822" s="119" t="str">
        <f t="shared" si="1149"/>
        <v/>
      </c>
      <c r="AT822" s="66" t="str">
        <f>+IF($W822="","",ROUND(IF($B822&gt;Parámetros!$D$107,'Tablas Servicio'!AR822+('Tablas Servicio'!AT821-'Tablas Servicio'!AR821),AR822/(1-IF(B822&lt;=10,Parámetros!$D$100,0))),2))</f>
        <v/>
      </c>
      <c r="AU822" s="66" t="str">
        <f t="shared" si="1150"/>
        <v/>
      </c>
      <c r="AV822" s="66" t="str">
        <f t="shared" si="1150"/>
        <v/>
      </c>
      <c r="AW822" s="66" t="str">
        <f>+IF($W822="","",ROUND((AT822*Parámetros!$G$85),2))</f>
        <v/>
      </c>
      <c r="AX822" s="66" t="str">
        <f>+IF($W822="","",ROUND((AT822*(Parámetros!$G$86)),2))</f>
        <v/>
      </c>
      <c r="AY822" s="66" t="str">
        <f t="shared" si="1151"/>
        <v/>
      </c>
      <c r="AZ822" t="str">
        <f t="shared" ref="AZ822:AZ861" si="1193">+IF($W822="","",AZ821)</f>
        <v/>
      </c>
      <c r="BA822" t="str">
        <f t="shared" ref="BA822:BA861" si="1194">+IF($W822="","",BA821)</f>
        <v/>
      </c>
      <c r="BB822" s="118" t="str">
        <f t="shared" ref="BB822:BB861" si="1195">+IF($W822="","",BB821)</f>
        <v/>
      </c>
      <c r="BC822" s="118" t="str">
        <f t="shared" ref="BC822:BC861" si="1196">+IF($W822="","",BC821)</f>
        <v/>
      </c>
      <c r="BD822" s="119" t="str">
        <f>+IF(OR($W822="",BB822=0),"",ROUND((VLOOKUP(ROUNDDOWN($D822-1/frec,0),cob_adi,AO$40,FALSE)*(1+i/frec)^-0.5*(1+Parámetros!$D$103)*(1+rec_fracc)/frec),6))</f>
        <v/>
      </c>
      <c r="BE822" s="66" t="str">
        <f t="shared" si="1152"/>
        <v/>
      </c>
      <c r="BF822" s="119" t="str">
        <f t="shared" si="1153"/>
        <v/>
      </c>
      <c r="BG822" s="66" t="str">
        <f>+IF($W822="","",ROUND(IF($B822&gt;Parámetros!$D$107,'Tablas Servicio'!BE822+('Tablas Servicio'!BG821-'Tablas Servicio'!BE821),BE822/(1-IF(B822&lt;=10,Parámetros!$D$100,0))),2))</f>
        <v/>
      </c>
      <c r="BH822" s="66" t="str">
        <f t="shared" si="1154"/>
        <v/>
      </c>
      <c r="BI822" s="66" t="str">
        <f t="shared" si="1155"/>
        <v/>
      </c>
      <c r="BJ822" s="66" t="str">
        <f>+IF($W822="","",ROUND((BG822*Parámetros!$G$85),2))</f>
        <v/>
      </c>
      <c r="BK822" s="66" t="str">
        <f>+IF($W822="","",ROUND((BG822*(Parámetros!$G$86)),2))</f>
        <v/>
      </c>
      <c r="BL822" s="66" t="str">
        <f t="shared" si="1156"/>
        <v/>
      </c>
      <c r="BM822" t="str">
        <f t="shared" ref="BM822:BM861" si="1197">+IF($W822="","",BM821)</f>
        <v/>
      </c>
      <c r="BN822" t="str">
        <f t="shared" ref="BN822:BN861" si="1198">+IF($W822="","",BN821)</f>
        <v/>
      </c>
      <c r="BO822" s="118" t="str">
        <f t="shared" ref="BO822:BO861" si="1199">+IF($W822="","",BO821)</f>
        <v/>
      </c>
      <c r="BP822" s="118" t="str">
        <f t="shared" ref="BP822:BP861" si="1200">+IF($W822="","",BP821)</f>
        <v/>
      </c>
      <c r="BQ822" s="119" t="str">
        <f>+IF(OR($W822="",BO822=0),"",ROUND((VLOOKUP(ROUNDDOWN($D822-1/frec,0),cob_adi,BB$40,FALSE)*(1+i/frec)^-0.5*(1+Parámetros!$D$103)*(1+rec_fracc)/frec),6))</f>
        <v/>
      </c>
      <c r="BR822" s="66" t="str">
        <f t="shared" si="1157"/>
        <v/>
      </c>
      <c r="BS822" s="119" t="str">
        <f t="shared" si="1158"/>
        <v/>
      </c>
      <c r="BT822" s="66" t="str">
        <f>+IF($W822="","",ROUND(IF($B822&gt;Parámetros!$D$107,'Tablas Servicio'!BR822+('Tablas Servicio'!BT821-'Tablas Servicio'!BR821),BR822/(1-IF(B822&lt;=10,Parámetros!$D$100,0))),2))</f>
        <v/>
      </c>
      <c r="BU822" s="66" t="str">
        <f t="shared" si="1159"/>
        <v/>
      </c>
      <c r="BV822" s="66" t="str">
        <f t="shared" si="1159"/>
        <v/>
      </c>
      <c r="BW822" s="66" t="str">
        <f>+IF($W822="","",ROUND((BT822*Parámetros!$G$85),2))</f>
        <v/>
      </c>
      <c r="BX822" s="66" t="str">
        <f>+IF($W822="","",ROUND((BT822*(Parámetros!$G$86)),2))</f>
        <v/>
      </c>
      <c r="BY822" s="66" t="str">
        <f t="shared" si="1160"/>
        <v/>
      </c>
      <c r="BZ822" t="str">
        <f t="shared" ref="BZ822:BZ861" si="1201">+IF($W822="","",BZ821)</f>
        <v/>
      </c>
      <c r="CA822" t="str">
        <f t="shared" ref="CA822:CA861" si="1202">+IF($W822="","",CA821)</f>
        <v/>
      </c>
      <c r="CB822" s="118" t="str">
        <f t="shared" ref="CB822:CB861" si="1203">+IF($W822="","",CB821)</f>
        <v/>
      </c>
      <c r="CC822" s="118" t="str">
        <f t="shared" ref="CC822:CC861" si="1204">+IF($W822="","",CC821)</f>
        <v/>
      </c>
      <c r="CD822" s="119" t="str">
        <f t="shared" si="1161"/>
        <v/>
      </c>
      <c r="CE822" s="66" t="str">
        <f>+IF($W822="","",ROUND((VLOOKUP(ROUNDDOWN($D822-1/frec,0),cob_adi,BO$40,FALSE)*(1+i/frec)^-0.5*(1+Parámetros!$D$103)*(1+rec_fracc)/frec*'TABLAS ADI'!$BC$17),2))</f>
        <v/>
      </c>
      <c r="CF822" s="119" t="str">
        <f t="shared" si="1162"/>
        <v/>
      </c>
      <c r="CG822" s="66" t="str">
        <f>+IF($W822="","",ROUND(IF($B822&gt;Parámetros!$D$107,'Tablas Servicio'!CE822+('Tablas Servicio'!CG821-'Tablas Servicio'!CE821),CE822/(1-IF(B822&lt;=10,Parámetros!$D$100,0))),2))</f>
        <v/>
      </c>
      <c r="CH822" s="66" t="str">
        <f t="shared" si="1163"/>
        <v/>
      </c>
      <c r="CI822" s="66" t="str">
        <f t="shared" si="1163"/>
        <v/>
      </c>
      <c r="CJ822" s="66" t="str">
        <f>+IF($W822="","",ROUND((CG822*Parámetros!$G$85),2))</f>
        <v/>
      </c>
      <c r="CK822" s="66" t="str">
        <f>+IF($W822="","",ROUND((CG822*(Parámetros!$G$86)),2))</f>
        <v/>
      </c>
      <c r="CL822" s="66" t="str">
        <f t="shared" si="1164"/>
        <v/>
      </c>
      <c r="CM822" t="str">
        <f t="shared" ref="CM822:CM861" si="1205">+IF($W822="","",CM821)</f>
        <v/>
      </c>
      <c r="CN822" s="118" t="str">
        <f t="shared" ref="CN822:CN861" si="1206">+IF($W822="","",CN821)</f>
        <v/>
      </c>
      <c r="CO822" s="118" t="str">
        <f t="shared" ref="CO822:CO861" si="1207">+IF($W822="","",CO821)</f>
        <v/>
      </c>
      <c r="CP822" s="118" t="str">
        <f t="shared" ref="CP822:CP861" si="1208">+IF($W822="","",CP821)</f>
        <v/>
      </c>
      <c r="CQ822" s="119" t="str">
        <f t="shared" si="1165"/>
        <v/>
      </c>
      <c r="CR822" s="66" t="str">
        <f>+IF($W822="","",ROUND((VLOOKUP(Parámetros!$F$51,'COBERTURAS ADICIONALES'!$S$4:$T$32,2,FALSE)*(1+i/frec)^-0.5*(1+Parámetros!$D$103)*(1+rec_fracc)/frec*$CO$42),2))</f>
        <v/>
      </c>
      <c r="CS822" s="119" t="str">
        <f t="shared" si="1166"/>
        <v/>
      </c>
      <c r="CT822" s="66" t="str">
        <f>+IF($W822="","",ROUND(IF($B822&gt;Parámetros!$D$107,'Tablas Servicio'!CR822+('Tablas Servicio'!CT821-'Tablas Servicio'!CR821),CR822/(1-IF(B822&lt;=10,Parámetros!$D$100,0))),2))</f>
        <v/>
      </c>
      <c r="CU822" s="66" t="str">
        <f t="shared" si="1167"/>
        <v/>
      </c>
      <c r="CV822" s="66" t="str">
        <f t="shared" si="1167"/>
        <v/>
      </c>
      <c r="CW822" s="66" t="str">
        <f>+IF($W822="","",ROUND((CT822*Parámetros!$G$85),2))</f>
        <v/>
      </c>
      <c r="CX822" s="66" t="str">
        <f>+IF($W822="","",ROUND((CT822*(Parámetros!$G$86)),2))</f>
        <v/>
      </c>
      <c r="CY822" s="66" t="str">
        <f t="shared" si="1168"/>
        <v/>
      </c>
      <c r="CZ822" t="str">
        <f t="shared" ref="CZ822:CZ861" si="1209">+IF($W822="","",CZ821)</f>
        <v/>
      </c>
      <c r="DA822" s="118" t="str">
        <f t="shared" ref="DA822:DA861" si="1210">+IF($W822="","",DA821)</f>
        <v/>
      </c>
      <c r="DB822" s="118" t="str">
        <f t="shared" ref="DB822:DB861" si="1211">+IF($W822="","",DB821)</f>
        <v/>
      </c>
      <c r="DC822" s="118" t="str">
        <f t="shared" ref="DC822:DC861" si="1212">+IF($W822="","",DC821)</f>
        <v/>
      </c>
      <c r="DD822" s="121" t="str">
        <f>+IF(OR($W822="",DB822=0),"",ROUND((VLOOKUP(ROUNDDOWN($D822-1/frec,0),cob_adi,CO$40,FALSE)*(1+i/frec)^-0.5*(1+Parámetros!$D$103)*(1+rec_fracc)/frec),6))</f>
        <v/>
      </c>
      <c r="DE822" s="66" t="str">
        <f t="shared" si="1169"/>
        <v/>
      </c>
      <c r="DF822" s="119" t="str">
        <f t="shared" si="1170"/>
        <v/>
      </c>
      <c r="DG822" s="66" t="str">
        <f>+IF($W822="","",ROUND(IF($B822&gt;Parámetros!$D$107,'Tablas Servicio'!DE822+('Tablas Servicio'!DG821-'Tablas Servicio'!DE821),DE822/(1-IF(B822&lt;=10,Parámetros!$D$100,0))),2))</f>
        <v/>
      </c>
      <c r="DH822" s="66" t="str">
        <f t="shared" si="1171"/>
        <v/>
      </c>
      <c r="DI822" s="66" t="str">
        <f t="shared" si="1171"/>
        <v/>
      </c>
      <c r="DJ822" s="66" t="str">
        <f>+IF($W822="","",ROUND((DG822*Parámetros!$G$85),2))</f>
        <v/>
      </c>
      <c r="DK822" s="66" t="str">
        <f>+IF($W822="","",ROUND((DG822*(Parámetros!$G$86)),2))</f>
        <v/>
      </c>
      <c r="DL822" s="66" t="str">
        <f t="shared" si="1172"/>
        <v/>
      </c>
      <c r="DM822" t="str">
        <f t="shared" ref="DM822:DM861" si="1213">+IF($W822="","",DM821)</f>
        <v/>
      </c>
      <c r="DN822" s="118" t="str">
        <f t="shared" ref="DN822:DN861" si="1214">+IF($W822="","",DN821)</f>
        <v/>
      </c>
      <c r="DO822" s="118" t="str">
        <f t="shared" ref="DO822:DO861" si="1215">+IF($W822="","",DO821)</f>
        <v/>
      </c>
      <c r="DP822" s="118" t="str">
        <f t="shared" ref="DP822:DP861" si="1216">+IF($W822="","",DP821)</f>
        <v/>
      </c>
      <c r="DQ822" s="122" t="str">
        <f>+IF(OR($W822="",DO822=0),"",ROUND((VLOOKUP(ROUNDDOWN($D822-1/frec,0),cob_adi,DB$40,FALSE)*(1+i/frec)^-0.5*(1+Parámetros!$D$103)*(1+rec_fracc)/frec),6))</f>
        <v/>
      </c>
      <c r="DR822" s="66" t="str">
        <f t="shared" si="1173"/>
        <v/>
      </c>
      <c r="DS822" s="68" t="str">
        <f t="shared" si="1174"/>
        <v/>
      </c>
      <c r="DT822" s="66" t="str">
        <f>+IF($W822="","",ROUND(IF($B822&gt;Parámetros!$D$107,'Tablas Servicio'!DR822+('Tablas Servicio'!DT821-'Tablas Servicio'!DR821),DR822/(1-IF(B822&lt;=10,Parámetros!$D$100,0))),2))</f>
        <v/>
      </c>
      <c r="DU822" s="66" t="str">
        <f t="shared" si="1175"/>
        <v/>
      </c>
      <c r="DV822" s="66" t="str">
        <f t="shared" si="1175"/>
        <v/>
      </c>
      <c r="DW822" s="66" t="str">
        <f>+IF($W822="","",ROUND((DT822*Parámetros!$G$85),2))</f>
        <v/>
      </c>
      <c r="DX822" s="66" t="str">
        <f>+IF($W822="","",ROUND((DT822*(Parámetros!$G$86)),2))</f>
        <v/>
      </c>
      <c r="DY822" s="66" t="str">
        <f t="shared" si="1176"/>
        <v/>
      </c>
      <c r="DZ822" t="str">
        <f t="shared" si="1177"/>
        <v/>
      </c>
      <c r="EA822" s="118" t="str">
        <f t="shared" si="1177"/>
        <v/>
      </c>
      <c r="EB822" s="118" t="str">
        <f>+IF($W822="","",ROUND(IF(Parámetros!$D$25='TABLAS MORT'!$V$33,EB821,Z822/2),0))</f>
        <v/>
      </c>
      <c r="EC822" s="118" t="str">
        <f t="shared" si="1177"/>
        <v/>
      </c>
      <c r="ED822" s="122" t="str">
        <f>+IF(OR($W822="",EB822=0),"",ROUND((VLOOKUP(ROUNDDOWN($D822-1/frec,0),cob_adi,DO$40,FALSE)*(1+i/frec)^-0.5*(1+Parámetros!$D$103)*(1+rec_fracc)/frec),6))</f>
        <v/>
      </c>
      <c r="EE822" s="66" t="str">
        <f t="shared" si="1178"/>
        <v/>
      </c>
      <c r="EF822" s="68" t="str">
        <f t="shared" si="1179"/>
        <v/>
      </c>
      <c r="EG822" s="66" t="str">
        <f>+IF($W822="","",ROUND(IF($B822&gt;Parámetros!$D$107,'Tablas Servicio'!EE822+('Tablas Servicio'!EG821-'Tablas Servicio'!EE821),EE822/(1-IF(B822&lt;=10,Parámetros!$D$100,0))),2))</f>
        <v/>
      </c>
      <c r="EH822" s="66" t="str">
        <f t="shared" si="1180"/>
        <v/>
      </c>
      <c r="EI822" s="66" t="str">
        <f t="shared" si="1180"/>
        <v/>
      </c>
      <c r="EJ822" s="66" t="str">
        <f>+IF($W822="","",ROUND((EG822*Parámetros!$G$85),2))</f>
        <v/>
      </c>
      <c r="EK822" s="66" t="str">
        <f>+IF($W822="","",ROUND((EG822*(Parámetros!$G$86)),2))</f>
        <v/>
      </c>
      <c r="EL822" s="66" t="str">
        <f t="shared" si="1181"/>
        <v/>
      </c>
    </row>
    <row r="823" spans="1:142" x14ac:dyDescent="0.25">
      <c r="A823" t="str">
        <f>+IF($C823="","",ROUND(VLOOKUP('Tablas Servicio'!B823,Parámetros!$H$100:$J$159,IF(Parámetros!$E$16="F",2,3),FALSE),2))</f>
        <v/>
      </c>
      <c r="B823" t="str">
        <f t="shared" si="1132"/>
        <v/>
      </c>
      <c r="C823" s="57" t="str">
        <f>+IF(D823="","",'Tablas Servicio'!C822+1)</f>
        <v/>
      </c>
      <c r="D823" s="56" t="str">
        <f>+IF(D822&lt;edadmaxtabla,D822+1/Parámetros!$E$25,"")</f>
        <v/>
      </c>
      <c r="E823" s="57" t="str">
        <f t="shared" si="1142"/>
        <v/>
      </c>
      <c r="F823" s="59" t="str">
        <f t="shared" si="1143"/>
        <v/>
      </c>
      <c r="G823" s="66" t="str">
        <f t="shared" si="1133"/>
        <v/>
      </c>
      <c r="H823" s="66" t="str">
        <f t="shared" si="1134"/>
        <v/>
      </c>
      <c r="I823" s="66" t="str">
        <f t="shared" si="1182"/>
        <v/>
      </c>
      <c r="J823" s="66" t="str">
        <f t="shared" si="1135"/>
        <v/>
      </c>
      <c r="K823" s="66" t="str">
        <f t="shared" si="1136"/>
        <v/>
      </c>
      <c r="L823" s="66" t="str">
        <f t="shared" si="1137"/>
        <v/>
      </c>
      <c r="M823" s="66" t="str">
        <f t="shared" si="1138"/>
        <v/>
      </c>
      <c r="N823" s="66" t="str">
        <f>+IF(C823="","",ROUND(Parámetros!$D$23,2))</f>
        <v/>
      </c>
      <c r="O823" s="66" t="str">
        <f t="shared" si="1139"/>
        <v/>
      </c>
      <c r="P823" s="66" t="str">
        <f>+IF($C823="","",ROUND(IF(B823&gt;Parámetros!$D$117,0,N823*Parámetros!$D$116-G823*Parámetros!$D$100),2))</f>
        <v/>
      </c>
      <c r="Q823" s="75" t="str">
        <f t="shared" si="1183"/>
        <v/>
      </c>
      <c r="R823" s="75" t="str">
        <f t="shared" si="1184"/>
        <v/>
      </c>
      <c r="S823" s="117" t="str">
        <f>+IF($C823="","",ROUND((S822+I823)*(1+Parámetros!$D$91),2))</f>
        <v/>
      </c>
      <c r="T823" s="117" t="str">
        <f>+IF($C823="","",ROUND(S823*VLOOKUP(B823,Parámetros!$C$30:$D$39,2,TRUE),2))</f>
        <v/>
      </c>
      <c r="U823" s="117" t="str">
        <f>+IF($C823="","",ROUND((U822+I823)*(1+Parámetros!$D$92),2))</f>
        <v/>
      </c>
      <c r="V823" s="117" t="str">
        <f>+IF($C823="","",ROUND(U823*VLOOKUP(B823,Parámetros!$C$30:$D$39,2,TRUE),2))</f>
        <v/>
      </c>
      <c r="W823" s="57" t="str">
        <f t="shared" si="1185"/>
        <v/>
      </c>
      <c r="X823" t="str">
        <f t="shared" si="1186"/>
        <v/>
      </c>
      <c r="Y823" t="str">
        <f t="shared" si="1187"/>
        <v/>
      </c>
      <c r="Z823" s="118" t="str">
        <f>+IF($W823="","",ROUND(IF(Parámetros!$D$25='TABLAS MORT'!$V$33,Z822,Parámetros!$D$21-'Tablas Servicio'!T822),0))</f>
        <v/>
      </c>
      <c r="AA823" s="118" t="str">
        <f t="shared" si="1188"/>
        <v/>
      </c>
      <c r="AB823" s="119" t="str">
        <f>+IF(W823="","",ROUND((VLOOKUP(ROUNDDOWN($D823-1/frec,0),qx_tabla,2,FALSE)*(1+i/frec)^-0.5*(1+Parámetros!$D$103)*(1+rec_fracc)/frec),6))</f>
        <v/>
      </c>
      <c r="AC823" s="66" t="str">
        <f t="shared" si="1144"/>
        <v/>
      </c>
      <c r="AD823" s="119" t="str">
        <f t="shared" si="1140"/>
        <v/>
      </c>
      <c r="AE823" s="66" t="str">
        <f>+IF($W823="","",ROUND(IF($B823&gt;Parámetros!$D$107,'Tablas Servicio'!AC823+('Tablas Servicio'!AG822-'Tablas Servicio'!AC822),AC823/(1-IF(B823&lt;=10,Parámetros!$D$104,Parámetros!$D$105))),2))</f>
        <v/>
      </c>
      <c r="AF823" s="66" t="str">
        <f>+IF($W823="","",ROUND(IF($B823&gt;Parámetros!$D$107,'Tablas Servicio'!AC823+('Tablas Servicio'!AG822-'Tablas Servicio'!AC822),(AC823+$A822/frec)/(1-IF(B823&lt;=Parámetros!$D$117,Parámetros!$D$100,0))),2))</f>
        <v/>
      </c>
      <c r="AG823" s="66" t="str">
        <f t="shared" si="1145"/>
        <v/>
      </c>
      <c r="AH823" s="66" t="str">
        <f t="shared" si="1146"/>
        <v/>
      </c>
      <c r="AI823" s="66" t="str">
        <f t="shared" si="1147"/>
        <v/>
      </c>
      <c r="AJ823" s="66" t="str">
        <f>+IF($W823="","",ROUND((AG823*Parámetros!$G$85),2))</f>
        <v/>
      </c>
      <c r="AK823" s="66" t="str">
        <f>+IF($W823="","",ROUND((AG823*(Parámetros!$G$86)),2))</f>
        <v/>
      </c>
      <c r="AL823" s="66" t="str">
        <f t="shared" si="1141"/>
        <v/>
      </c>
      <c r="AM823" t="str">
        <f t="shared" si="1189"/>
        <v/>
      </c>
      <c r="AN823" t="str">
        <f t="shared" si="1190"/>
        <v/>
      </c>
      <c r="AO823" s="118" t="str">
        <f t="shared" si="1191"/>
        <v/>
      </c>
      <c r="AP823" s="118" t="str">
        <f t="shared" si="1192"/>
        <v/>
      </c>
      <c r="AQ823" s="119" t="str">
        <f>+IF(OR($W823="",AO823=0),"",ROUND((VLOOKUP(ROUNDDOWN($D823-1/frec,0),cob_adi,Z$40,FALSE)*(1+i/frec)^-0.5*(1+Parámetros!$D$103)*(1+rec_fracc)/frec),6))</f>
        <v/>
      </c>
      <c r="AR823" s="66" t="str">
        <f t="shared" si="1148"/>
        <v/>
      </c>
      <c r="AS823" s="119" t="str">
        <f t="shared" si="1149"/>
        <v/>
      </c>
      <c r="AT823" s="66" t="str">
        <f>+IF($W823="","",ROUND(IF($B823&gt;Parámetros!$D$107,'Tablas Servicio'!AR823+('Tablas Servicio'!AT822-'Tablas Servicio'!AR822),AR823/(1-IF(B823&lt;=10,Parámetros!$D$100,0))),2))</f>
        <v/>
      </c>
      <c r="AU823" s="66" t="str">
        <f t="shared" si="1150"/>
        <v/>
      </c>
      <c r="AV823" s="66" t="str">
        <f t="shared" si="1150"/>
        <v/>
      </c>
      <c r="AW823" s="66" t="str">
        <f>+IF($W823="","",ROUND((AT823*Parámetros!$G$85),2))</f>
        <v/>
      </c>
      <c r="AX823" s="66" t="str">
        <f>+IF($W823="","",ROUND((AT823*(Parámetros!$G$86)),2))</f>
        <v/>
      </c>
      <c r="AY823" s="66" t="str">
        <f t="shared" si="1151"/>
        <v/>
      </c>
      <c r="AZ823" t="str">
        <f t="shared" si="1193"/>
        <v/>
      </c>
      <c r="BA823" t="str">
        <f t="shared" si="1194"/>
        <v/>
      </c>
      <c r="BB823" s="118" t="str">
        <f t="shared" si="1195"/>
        <v/>
      </c>
      <c r="BC823" s="118" t="str">
        <f t="shared" si="1196"/>
        <v/>
      </c>
      <c r="BD823" s="119" t="str">
        <f>+IF(OR($W823="",BB823=0),"",ROUND((VLOOKUP(ROUNDDOWN($D823-1/frec,0),cob_adi,AO$40,FALSE)*(1+i/frec)^-0.5*(1+Parámetros!$D$103)*(1+rec_fracc)/frec),6))</f>
        <v/>
      </c>
      <c r="BE823" s="66" t="str">
        <f t="shared" si="1152"/>
        <v/>
      </c>
      <c r="BF823" s="119" t="str">
        <f t="shared" si="1153"/>
        <v/>
      </c>
      <c r="BG823" s="66" t="str">
        <f>+IF($W823="","",ROUND(IF($B823&gt;Parámetros!$D$107,'Tablas Servicio'!BE823+('Tablas Servicio'!BG822-'Tablas Servicio'!BE822),BE823/(1-IF(B823&lt;=10,Parámetros!$D$100,0))),2))</f>
        <v/>
      </c>
      <c r="BH823" s="66" t="str">
        <f t="shared" si="1154"/>
        <v/>
      </c>
      <c r="BI823" s="66" t="str">
        <f t="shared" si="1155"/>
        <v/>
      </c>
      <c r="BJ823" s="66" t="str">
        <f>+IF($W823="","",ROUND((BG823*Parámetros!$G$85),2))</f>
        <v/>
      </c>
      <c r="BK823" s="66" t="str">
        <f>+IF($W823="","",ROUND((BG823*(Parámetros!$G$86)),2))</f>
        <v/>
      </c>
      <c r="BL823" s="66" t="str">
        <f t="shared" si="1156"/>
        <v/>
      </c>
      <c r="BM823" t="str">
        <f t="shared" si="1197"/>
        <v/>
      </c>
      <c r="BN823" t="str">
        <f t="shared" si="1198"/>
        <v/>
      </c>
      <c r="BO823" s="118" t="str">
        <f t="shared" si="1199"/>
        <v/>
      </c>
      <c r="BP823" s="118" t="str">
        <f t="shared" si="1200"/>
        <v/>
      </c>
      <c r="BQ823" s="119" t="str">
        <f>+IF(OR($W823="",BO823=0),"",ROUND((VLOOKUP(ROUNDDOWN($D823-1/frec,0),cob_adi,BB$40,FALSE)*(1+i/frec)^-0.5*(1+Parámetros!$D$103)*(1+rec_fracc)/frec),6))</f>
        <v/>
      </c>
      <c r="BR823" s="66" t="str">
        <f t="shared" si="1157"/>
        <v/>
      </c>
      <c r="BS823" s="119" t="str">
        <f t="shared" si="1158"/>
        <v/>
      </c>
      <c r="BT823" s="66" t="str">
        <f>+IF($W823="","",ROUND(IF($B823&gt;Parámetros!$D$107,'Tablas Servicio'!BR823+('Tablas Servicio'!BT822-'Tablas Servicio'!BR822),BR823/(1-IF(B823&lt;=10,Parámetros!$D$100,0))),2))</f>
        <v/>
      </c>
      <c r="BU823" s="66" t="str">
        <f t="shared" si="1159"/>
        <v/>
      </c>
      <c r="BV823" s="66" t="str">
        <f t="shared" si="1159"/>
        <v/>
      </c>
      <c r="BW823" s="66" t="str">
        <f>+IF($W823="","",ROUND((BT823*Parámetros!$G$85),2))</f>
        <v/>
      </c>
      <c r="BX823" s="66" t="str">
        <f>+IF($W823="","",ROUND((BT823*(Parámetros!$G$86)),2))</f>
        <v/>
      </c>
      <c r="BY823" s="66" t="str">
        <f t="shared" si="1160"/>
        <v/>
      </c>
      <c r="BZ823" t="str">
        <f t="shared" si="1201"/>
        <v/>
      </c>
      <c r="CA823" t="str">
        <f t="shared" si="1202"/>
        <v/>
      </c>
      <c r="CB823" s="118" t="str">
        <f t="shared" si="1203"/>
        <v/>
      </c>
      <c r="CC823" s="118" t="str">
        <f t="shared" si="1204"/>
        <v/>
      </c>
      <c r="CD823" s="119" t="str">
        <f t="shared" si="1161"/>
        <v/>
      </c>
      <c r="CE823" s="66" t="str">
        <f>+IF($W823="","",ROUND((VLOOKUP(ROUNDDOWN($D823-1/frec,0),cob_adi,BO$40,FALSE)*(1+i/frec)^-0.5*(1+Parámetros!$D$103)*(1+rec_fracc)/frec*'TABLAS ADI'!$BC$17),2))</f>
        <v/>
      </c>
      <c r="CF823" s="119" t="str">
        <f t="shared" si="1162"/>
        <v/>
      </c>
      <c r="CG823" s="66" t="str">
        <f>+IF($W823="","",ROUND(IF($B823&gt;Parámetros!$D$107,'Tablas Servicio'!CE823+('Tablas Servicio'!CG822-'Tablas Servicio'!CE822),CE823/(1-IF(B823&lt;=10,Parámetros!$D$100,0))),2))</f>
        <v/>
      </c>
      <c r="CH823" s="66" t="str">
        <f t="shared" si="1163"/>
        <v/>
      </c>
      <c r="CI823" s="66" t="str">
        <f t="shared" si="1163"/>
        <v/>
      </c>
      <c r="CJ823" s="66" t="str">
        <f>+IF($W823="","",ROUND((CG823*Parámetros!$G$85),2))</f>
        <v/>
      </c>
      <c r="CK823" s="66" t="str">
        <f>+IF($W823="","",ROUND((CG823*(Parámetros!$G$86)),2))</f>
        <v/>
      </c>
      <c r="CL823" s="66" t="str">
        <f t="shared" si="1164"/>
        <v/>
      </c>
      <c r="CM823" t="str">
        <f t="shared" si="1205"/>
        <v/>
      </c>
      <c r="CN823" s="118" t="str">
        <f t="shared" si="1206"/>
        <v/>
      </c>
      <c r="CO823" s="118" t="str">
        <f t="shared" si="1207"/>
        <v/>
      </c>
      <c r="CP823" s="118" t="str">
        <f t="shared" si="1208"/>
        <v/>
      </c>
      <c r="CQ823" s="119" t="str">
        <f t="shared" si="1165"/>
        <v/>
      </c>
      <c r="CR823" s="66" t="str">
        <f>+IF($W823="","",ROUND((VLOOKUP(Parámetros!$F$51,'COBERTURAS ADICIONALES'!$S$4:$T$32,2,FALSE)*(1+i/frec)^-0.5*(1+Parámetros!$D$103)*(1+rec_fracc)/frec*$CO$42),2))</f>
        <v/>
      </c>
      <c r="CS823" s="119" t="str">
        <f t="shared" si="1166"/>
        <v/>
      </c>
      <c r="CT823" s="66" t="str">
        <f>+IF($W823="","",ROUND(IF($B823&gt;Parámetros!$D$107,'Tablas Servicio'!CR823+('Tablas Servicio'!CT822-'Tablas Servicio'!CR822),CR823/(1-IF(B823&lt;=10,Parámetros!$D$100,0))),2))</f>
        <v/>
      </c>
      <c r="CU823" s="66" t="str">
        <f t="shared" si="1167"/>
        <v/>
      </c>
      <c r="CV823" s="66" t="str">
        <f t="shared" si="1167"/>
        <v/>
      </c>
      <c r="CW823" s="66" t="str">
        <f>+IF($W823="","",ROUND((CT823*Parámetros!$G$85),2))</f>
        <v/>
      </c>
      <c r="CX823" s="66" t="str">
        <f>+IF($W823="","",ROUND((CT823*(Parámetros!$G$86)),2))</f>
        <v/>
      </c>
      <c r="CY823" s="66" t="str">
        <f t="shared" si="1168"/>
        <v/>
      </c>
      <c r="CZ823" t="str">
        <f t="shared" si="1209"/>
        <v/>
      </c>
      <c r="DA823" s="118" t="str">
        <f t="shared" si="1210"/>
        <v/>
      </c>
      <c r="DB823" s="118" t="str">
        <f t="shared" si="1211"/>
        <v/>
      </c>
      <c r="DC823" s="118" t="str">
        <f t="shared" si="1212"/>
        <v/>
      </c>
      <c r="DD823" s="121" t="str">
        <f>+IF(OR($W823="",DB823=0),"",ROUND((VLOOKUP(ROUNDDOWN($D823-1/frec,0),cob_adi,CO$40,FALSE)*(1+i/frec)^-0.5*(1+Parámetros!$D$103)*(1+rec_fracc)/frec),6))</f>
        <v/>
      </c>
      <c r="DE823" s="66" t="str">
        <f t="shared" si="1169"/>
        <v/>
      </c>
      <c r="DF823" s="119" t="str">
        <f t="shared" si="1170"/>
        <v/>
      </c>
      <c r="DG823" s="66" t="str">
        <f>+IF($W823="","",ROUND(IF($B823&gt;Parámetros!$D$107,'Tablas Servicio'!DE823+('Tablas Servicio'!DG822-'Tablas Servicio'!DE822),DE823/(1-IF(B823&lt;=10,Parámetros!$D$100,0))),2))</f>
        <v/>
      </c>
      <c r="DH823" s="66" t="str">
        <f t="shared" si="1171"/>
        <v/>
      </c>
      <c r="DI823" s="66" t="str">
        <f t="shared" si="1171"/>
        <v/>
      </c>
      <c r="DJ823" s="66" t="str">
        <f>+IF($W823="","",ROUND((DG823*Parámetros!$G$85),2))</f>
        <v/>
      </c>
      <c r="DK823" s="66" t="str">
        <f>+IF($W823="","",ROUND((DG823*(Parámetros!$G$86)),2))</f>
        <v/>
      </c>
      <c r="DL823" s="66" t="str">
        <f t="shared" si="1172"/>
        <v/>
      </c>
      <c r="DM823" t="str">
        <f t="shared" si="1213"/>
        <v/>
      </c>
      <c r="DN823" s="118" t="str">
        <f t="shared" si="1214"/>
        <v/>
      </c>
      <c r="DO823" s="118" t="str">
        <f t="shared" si="1215"/>
        <v/>
      </c>
      <c r="DP823" s="118" t="str">
        <f t="shared" si="1216"/>
        <v/>
      </c>
      <c r="DQ823" s="122" t="str">
        <f>+IF(OR($W823="",DO823=0),"",ROUND((VLOOKUP(ROUNDDOWN($D823-1/frec,0),cob_adi,DB$40,FALSE)*(1+i/frec)^-0.5*(1+Parámetros!$D$103)*(1+rec_fracc)/frec),6))</f>
        <v/>
      </c>
      <c r="DR823" s="66" t="str">
        <f t="shared" si="1173"/>
        <v/>
      </c>
      <c r="DS823" s="68" t="str">
        <f t="shared" si="1174"/>
        <v/>
      </c>
      <c r="DT823" s="66" t="str">
        <f>+IF($W823="","",ROUND(IF($B823&gt;Parámetros!$D$107,'Tablas Servicio'!DR823+('Tablas Servicio'!DT822-'Tablas Servicio'!DR822),DR823/(1-IF(B823&lt;=10,Parámetros!$D$100,0))),2))</f>
        <v/>
      </c>
      <c r="DU823" s="66" t="str">
        <f t="shared" si="1175"/>
        <v/>
      </c>
      <c r="DV823" s="66" t="str">
        <f t="shared" si="1175"/>
        <v/>
      </c>
      <c r="DW823" s="66" t="str">
        <f>+IF($W823="","",ROUND((DT823*Parámetros!$G$85),2))</f>
        <v/>
      </c>
      <c r="DX823" s="66" t="str">
        <f>+IF($W823="","",ROUND((DT823*(Parámetros!$G$86)),2))</f>
        <v/>
      </c>
      <c r="DY823" s="66" t="str">
        <f t="shared" si="1176"/>
        <v/>
      </c>
      <c r="DZ823" t="str">
        <f t="shared" si="1177"/>
        <v/>
      </c>
      <c r="EA823" s="118" t="str">
        <f t="shared" si="1177"/>
        <v/>
      </c>
      <c r="EB823" s="118" t="str">
        <f>+IF($W823="","",ROUND(IF(Parámetros!$D$25='TABLAS MORT'!$V$33,EB822,Z823/2),0))</f>
        <v/>
      </c>
      <c r="EC823" s="118" t="str">
        <f t="shared" si="1177"/>
        <v/>
      </c>
      <c r="ED823" s="122" t="str">
        <f>+IF(OR($W823="",EB823=0),"",ROUND((VLOOKUP(ROUNDDOWN($D823-1/frec,0),cob_adi,DO$40,FALSE)*(1+i/frec)^-0.5*(1+Parámetros!$D$103)*(1+rec_fracc)/frec),6))</f>
        <v/>
      </c>
      <c r="EE823" s="66" t="str">
        <f t="shared" si="1178"/>
        <v/>
      </c>
      <c r="EF823" s="68" t="str">
        <f t="shared" si="1179"/>
        <v/>
      </c>
      <c r="EG823" s="66" t="str">
        <f>+IF($W823="","",ROUND(IF($B823&gt;Parámetros!$D$107,'Tablas Servicio'!EE823+('Tablas Servicio'!EG822-'Tablas Servicio'!EE822),EE823/(1-IF(B823&lt;=10,Parámetros!$D$100,0))),2))</f>
        <v/>
      </c>
      <c r="EH823" s="66" t="str">
        <f t="shared" si="1180"/>
        <v/>
      </c>
      <c r="EI823" s="66" t="str">
        <f t="shared" si="1180"/>
        <v/>
      </c>
      <c r="EJ823" s="66" t="str">
        <f>+IF($W823="","",ROUND((EG823*Parámetros!$G$85),2))</f>
        <v/>
      </c>
      <c r="EK823" s="66" t="str">
        <f>+IF($W823="","",ROUND((EG823*(Parámetros!$G$86)),2))</f>
        <v/>
      </c>
      <c r="EL823" s="66" t="str">
        <f t="shared" si="1181"/>
        <v/>
      </c>
    </row>
    <row r="824" spans="1:142" x14ac:dyDescent="0.25">
      <c r="A824" t="str">
        <f>+IF($C824="","",ROUND(VLOOKUP('Tablas Servicio'!B824,Parámetros!$H$100:$J$159,IF(Parámetros!$E$16="F",2,3),FALSE),2))</f>
        <v/>
      </c>
      <c r="B824" t="str">
        <f t="shared" si="1132"/>
        <v/>
      </c>
      <c r="C824" s="57" t="str">
        <f>+IF(D824="","",'Tablas Servicio'!C823+1)</f>
        <v/>
      </c>
      <c r="D824" s="56" t="str">
        <f>+IF(D823&lt;edadmaxtabla,D823+1/Parámetros!$E$25,"")</f>
        <v/>
      </c>
      <c r="E824" s="57" t="str">
        <f t="shared" si="1142"/>
        <v/>
      </c>
      <c r="F824" s="59" t="str">
        <f t="shared" si="1143"/>
        <v/>
      </c>
      <c r="G824" s="66" t="str">
        <f t="shared" si="1133"/>
        <v/>
      </c>
      <c r="H824" s="66" t="str">
        <f t="shared" si="1134"/>
        <v/>
      </c>
      <c r="I824" s="66" t="str">
        <f t="shared" si="1182"/>
        <v/>
      </c>
      <c r="J824" s="66" t="str">
        <f t="shared" si="1135"/>
        <v/>
      </c>
      <c r="K824" s="66" t="str">
        <f t="shared" si="1136"/>
        <v/>
      </c>
      <c r="L824" s="66" t="str">
        <f t="shared" si="1137"/>
        <v/>
      </c>
      <c r="M824" s="66" t="str">
        <f t="shared" si="1138"/>
        <v/>
      </c>
      <c r="N824" s="66" t="str">
        <f>+IF(C824="","",ROUND(Parámetros!$D$23,2))</f>
        <v/>
      </c>
      <c r="O824" s="66" t="str">
        <f t="shared" si="1139"/>
        <v/>
      </c>
      <c r="P824" s="66" t="str">
        <f>+IF($C824="","",ROUND(IF(B824&gt;Parámetros!$D$117,0,N824*Parámetros!$D$116-G824*Parámetros!$D$100),2))</f>
        <v/>
      </c>
      <c r="Q824" s="75" t="str">
        <f t="shared" si="1183"/>
        <v/>
      </c>
      <c r="R824" s="75" t="str">
        <f t="shared" si="1184"/>
        <v/>
      </c>
      <c r="S824" s="117" t="str">
        <f>+IF($C824="","",ROUND((S823+I824)*(1+Parámetros!$D$91),2))</f>
        <v/>
      </c>
      <c r="T824" s="117" t="str">
        <f>+IF($C824="","",ROUND(S824*VLOOKUP(B824,Parámetros!$C$30:$D$39,2,TRUE),2))</f>
        <v/>
      </c>
      <c r="U824" s="117" t="str">
        <f>+IF($C824="","",ROUND((U823+I824)*(1+Parámetros!$D$92),2))</f>
        <v/>
      </c>
      <c r="V824" s="117" t="str">
        <f>+IF($C824="","",ROUND(U824*VLOOKUP(B824,Parámetros!$C$30:$D$39,2,TRUE),2))</f>
        <v/>
      </c>
      <c r="W824" s="57" t="str">
        <f t="shared" si="1185"/>
        <v/>
      </c>
      <c r="X824" t="str">
        <f t="shared" si="1186"/>
        <v/>
      </c>
      <c r="Y824" t="str">
        <f t="shared" si="1187"/>
        <v/>
      </c>
      <c r="Z824" s="118" t="str">
        <f>+IF($W824="","",ROUND(IF(Parámetros!$D$25='TABLAS MORT'!$V$33,Z823,Parámetros!$D$21-'Tablas Servicio'!T823),0))</f>
        <v/>
      </c>
      <c r="AA824" s="118" t="str">
        <f t="shared" si="1188"/>
        <v/>
      </c>
      <c r="AB824" s="119" t="str">
        <f>+IF(W824="","",ROUND((VLOOKUP(ROUNDDOWN($D824-1/frec,0),qx_tabla,2,FALSE)*(1+i/frec)^-0.5*(1+Parámetros!$D$103)*(1+rec_fracc)/frec),6))</f>
        <v/>
      </c>
      <c r="AC824" s="66" t="str">
        <f t="shared" si="1144"/>
        <v/>
      </c>
      <c r="AD824" s="119" t="str">
        <f t="shared" si="1140"/>
        <v/>
      </c>
      <c r="AE824" s="66" t="str">
        <f>+IF($W824="","",ROUND(IF($B824&gt;Parámetros!$D$107,'Tablas Servicio'!AC824+('Tablas Servicio'!AG823-'Tablas Servicio'!AC823),AC824/(1-IF(B824&lt;=10,Parámetros!$D$104,Parámetros!$D$105))),2))</f>
        <v/>
      </c>
      <c r="AF824" s="66" t="str">
        <f>+IF($W824="","",ROUND(IF($B824&gt;Parámetros!$D$107,'Tablas Servicio'!AC824+('Tablas Servicio'!AG823-'Tablas Servicio'!AC823),(AC824+$A823/frec)/(1-IF(B824&lt;=Parámetros!$D$117,Parámetros!$D$100,0))),2))</f>
        <v/>
      </c>
      <c r="AG824" s="66" t="str">
        <f t="shared" si="1145"/>
        <v/>
      </c>
      <c r="AH824" s="66" t="str">
        <f t="shared" si="1146"/>
        <v/>
      </c>
      <c r="AI824" s="66" t="str">
        <f t="shared" si="1147"/>
        <v/>
      </c>
      <c r="AJ824" s="66" t="str">
        <f>+IF($W824="","",ROUND((AG824*Parámetros!$G$85),2))</f>
        <v/>
      </c>
      <c r="AK824" s="66" t="str">
        <f>+IF($W824="","",ROUND((AG824*(Parámetros!$G$86)),2))</f>
        <v/>
      </c>
      <c r="AL824" s="66" t="str">
        <f t="shared" si="1141"/>
        <v/>
      </c>
      <c r="AM824" t="str">
        <f t="shared" si="1189"/>
        <v/>
      </c>
      <c r="AN824" t="str">
        <f t="shared" si="1190"/>
        <v/>
      </c>
      <c r="AO824" s="118" t="str">
        <f t="shared" si="1191"/>
        <v/>
      </c>
      <c r="AP824" s="118" t="str">
        <f t="shared" si="1192"/>
        <v/>
      </c>
      <c r="AQ824" s="119" t="str">
        <f>+IF(OR($W824="",AO824=0),"",ROUND((VLOOKUP(ROUNDDOWN($D824-1/frec,0),cob_adi,Z$40,FALSE)*(1+i/frec)^-0.5*(1+Parámetros!$D$103)*(1+rec_fracc)/frec),6))</f>
        <v/>
      </c>
      <c r="AR824" s="66" t="str">
        <f t="shared" si="1148"/>
        <v/>
      </c>
      <c r="AS824" s="119" t="str">
        <f t="shared" si="1149"/>
        <v/>
      </c>
      <c r="AT824" s="66" t="str">
        <f>+IF($W824="","",ROUND(IF($B824&gt;Parámetros!$D$107,'Tablas Servicio'!AR824+('Tablas Servicio'!AT823-'Tablas Servicio'!AR823),AR824/(1-IF(B824&lt;=10,Parámetros!$D$100,0))),2))</f>
        <v/>
      </c>
      <c r="AU824" s="66" t="str">
        <f t="shared" si="1150"/>
        <v/>
      </c>
      <c r="AV824" s="66" t="str">
        <f t="shared" si="1150"/>
        <v/>
      </c>
      <c r="AW824" s="66" t="str">
        <f>+IF($W824="","",ROUND((AT824*Parámetros!$G$85),2))</f>
        <v/>
      </c>
      <c r="AX824" s="66" t="str">
        <f>+IF($W824="","",ROUND((AT824*(Parámetros!$G$86)),2))</f>
        <v/>
      </c>
      <c r="AY824" s="66" t="str">
        <f t="shared" si="1151"/>
        <v/>
      </c>
      <c r="AZ824" t="str">
        <f t="shared" si="1193"/>
        <v/>
      </c>
      <c r="BA824" t="str">
        <f t="shared" si="1194"/>
        <v/>
      </c>
      <c r="BB824" s="118" t="str">
        <f t="shared" si="1195"/>
        <v/>
      </c>
      <c r="BC824" s="118" t="str">
        <f t="shared" si="1196"/>
        <v/>
      </c>
      <c r="BD824" s="119" t="str">
        <f>+IF(OR($W824="",BB824=0),"",ROUND((VLOOKUP(ROUNDDOWN($D824-1/frec,0),cob_adi,AO$40,FALSE)*(1+i/frec)^-0.5*(1+Parámetros!$D$103)*(1+rec_fracc)/frec),6))</f>
        <v/>
      </c>
      <c r="BE824" s="66" t="str">
        <f t="shared" si="1152"/>
        <v/>
      </c>
      <c r="BF824" s="119" t="str">
        <f t="shared" si="1153"/>
        <v/>
      </c>
      <c r="BG824" s="66" t="str">
        <f>+IF($W824="","",ROUND(IF($B824&gt;Parámetros!$D$107,'Tablas Servicio'!BE824+('Tablas Servicio'!BG823-'Tablas Servicio'!BE823),BE824/(1-IF(B824&lt;=10,Parámetros!$D$100,0))),2))</f>
        <v/>
      </c>
      <c r="BH824" s="66" t="str">
        <f t="shared" si="1154"/>
        <v/>
      </c>
      <c r="BI824" s="66" t="str">
        <f t="shared" si="1155"/>
        <v/>
      </c>
      <c r="BJ824" s="66" t="str">
        <f>+IF($W824="","",ROUND((BG824*Parámetros!$G$85),2))</f>
        <v/>
      </c>
      <c r="BK824" s="66" t="str">
        <f>+IF($W824="","",ROUND((BG824*(Parámetros!$G$86)),2))</f>
        <v/>
      </c>
      <c r="BL824" s="66" t="str">
        <f t="shared" si="1156"/>
        <v/>
      </c>
      <c r="BM824" t="str">
        <f t="shared" si="1197"/>
        <v/>
      </c>
      <c r="BN824" t="str">
        <f t="shared" si="1198"/>
        <v/>
      </c>
      <c r="BO824" s="118" t="str">
        <f t="shared" si="1199"/>
        <v/>
      </c>
      <c r="BP824" s="118" t="str">
        <f t="shared" si="1200"/>
        <v/>
      </c>
      <c r="BQ824" s="119" t="str">
        <f>+IF(OR($W824="",BO824=0),"",ROUND((VLOOKUP(ROUNDDOWN($D824-1/frec,0),cob_adi,BB$40,FALSE)*(1+i/frec)^-0.5*(1+Parámetros!$D$103)*(1+rec_fracc)/frec),6))</f>
        <v/>
      </c>
      <c r="BR824" s="66" t="str">
        <f t="shared" si="1157"/>
        <v/>
      </c>
      <c r="BS824" s="119" t="str">
        <f t="shared" si="1158"/>
        <v/>
      </c>
      <c r="BT824" s="66" t="str">
        <f>+IF($W824="","",ROUND(IF($B824&gt;Parámetros!$D$107,'Tablas Servicio'!BR824+('Tablas Servicio'!BT823-'Tablas Servicio'!BR823),BR824/(1-IF(B824&lt;=10,Parámetros!$D$100,0))),2))</f>
        <v/>
      </c>
      <c r="BU824" s="66" t="str">
        <f t="shared" si="1159"/>
        <v/>
      </c>
      <c r="BV824" s="66" t="str">
        <f t="shared" si="1159"/>
        <v/>
      </c>
      <c r="BW824" s="66" t="str">
        <f>+IF($W824="","",ROUND((BT824*Parámetros!$G$85),2))</f>
        <v/>
      </c>
      <c r="BX824" s="66" t="str">
        <f>+IF($W824="","",ROUND((BT824*(Parámetros!$G$86)),2))</f>
        <v/>
      </c>
      <c r="BY824" s="66" t="str">
        <f t="shared" si="1160"/>
        <v/>
      </c>
      <c r="BZ824" t="str">
        <f t="shared" si="1201"/>
        <v/>
      </c>
      <c r="CA824" t="str">
        <f t="shared" si="1202"/>
        <v/>
      </c>
      <c r="CB824" s="118" t="str">
        <f t="shared" si="1203"/>
        <v/>
      </c>
      <c r="CC824" s="118" t="str">
        <f t="shared" si="1204"/>
        <v/>
      </c>
      <c r="CD824" s="119" t="str">
        <f t="shared" si="1161"/>
        <v/>
      </c>
      <c r="CE824" s="66" t="str">
        <f>+IF($W824="","",ROUND((VLOOKUP(ROUNDDOWN($D824-1/frec,0),cob_adi,BO$40,FALSE)*(1+i/frec)^-0.5*(1+Parámetros!$D$103)*(1+rec_fracc)/frec*'TABLAS ADI'!$BC$17),2))</f>
        <v/>
      </c>
      <c r="CF824" s="119" t="str">
        <f t="shared" si="1162"/>
        <v/>
      </c>
      <c r="CG824" s="66" t="str">
        <f>+IF($W824="","",ROUND(IF($B824&gt;Parámetros!$D$107,'Tablas Servicio'!CE824+('Tablas Servicio'!CG823-'Tablas Servicio'!CE823),CE824/(1-IF(B824&lt;=10,Parámetros!$D$100,0))),2))</f>
        <v/>
      </c>
      <c r="CH824" s="66" t="str">
        <f t="shared" si="1163"/>
        <v/>
      </c>
      <c r="CI824" s="66" t="str">
        <f t="shared" si="1163"/>
        <v/>
      </c>
      <c r="CJ824" s="66" t="str">
        <f>+IF($W824="","",ROUND((CG824*Parámetros!$G$85),2))</f>
        <v/>
      </c>
      <c r="CK824" s="66" t="str">
        <f>+IF($W824="","",ROUND((CG824*(Parámetros!$G$86)),2))</f>
        <v/>
      </c>
      <c r="CL824" s="66" t="str">
        <f t="shared" si="1164"/>
        <v/>
      </c>
      <c r="CM824" t="str">
        <f t="shared" si="1205"/>
        <v/>
      </c>
      <c r="CN824" s="118" t="str">
        <f t="shared" si="1206"/>
        <v/>
      </c>
      <c r="CO824" s="118" t="str">
        <f t="shared" si="1207"/>
        <v/>
      </c>
      <c r="CP824" s="118" t="str">
        <f t="shared" si="1208"/>
        <v/>
      </c>
      <c r="CQ824" s="119" t="str">
        <f t="shared" si="1165"/>
        <v/>
      </c>
      <c r="CR824" s="66" t="str">
        <f>+IF($W824="","",ROUND((VLOOKUP(Parámetros!$F$51,'COBERTURAS ADICIONALES'!$S$4:$T$32,2,FALSE)*(1+i/frec)^-0.5*(1+Parámetros!$D$103)*(1+rec_fracc)/frec*$CO$42),2))</f>
        <v/>
      </c>
      <c r="CS824" s="119" t="str">
        <f t="shared" si="1166"/>
        <v/>
      </c>
      <c r="CT824" s="66" t="str">
        <f>+IF($W824="","",ROUND(IF($B824&gt;Parámetros!$D$107,'Tablas Servicio'!CR824+('Tablas Servicio'!CT823-'Tablas Servicio'!CR823),CR824/(1-IF(B824&lt;=10,Parámetros!$D$100,0))),2))</f>
        <v/>
      </c>
      <c r="CU824" s="66" t="str">
        <f t="shared" si="1167"/>
        <v/>
      </c>
      <c r="CV824" s="66" t="str">
        <f t="shared" si="1167"/>
        <v/>
      </c>
      <c r="CW824" s="66" t="str">
        <f>+IF($W824="","",ROUND((CT824*Parámetros!$G$85),2))</f>
        <v/>
      </c>
      <c r="CX824" s="66" t="str">
        <f>+IF($W824="","",ROUND((CT824*(Parámetros!$G$86)),2))</f>
        <v/>
      </c>
      <c r="CY824" s="66" t="str">
        <f t="shared" si="1168"/>
        <v/>
      </c>
      <c r="CZ824" t="str">
        <f t="shared" si="1209"/>
        <v/>
      </c>
      <c r="DA824" s="118" t="str">
        <f t="shared" si="1210"/>
        <v/>
      </c>
      <c r="DB824" s="118" t="str">
        <f t="shared" si="1211"/>
        <v/>
      </c>
      <c r="DC824" s="118" t="str">
        <f t="shared" si="1212"/>
        <v/>
      </c>
      <c r="DD824" s="121" t="str">
        <f>+IF(OR($W824="",DB824=0),"",ROUND((VLOOKUP(ROUNDDOWN($D824-1/frec,0),cob_adi,CO$40,FALSE)*(1+i/frec)^-0.5*(1+Parámetros!$D$103)*(1+rec_fracc)/frec),6))</f>
        <v/>
      </c>
      <c r="DE824" s="66" t="str">
        <f t="shared" si="1169"/>
        <v/>
      </c>
      <c r="DF824" s="119" t="str">
        <f t="shared" si="1170"/>
        <v/>
      </c>
      <c r="DG824" s="66" t="str">
        <f>+IF($W824="","",ROUND(IF($B824&gt;Parámetros!$D$107,'Tablas Servicio'!DE824+('Tablas Servicio'!DG823-'Tablas Servicio'!DE823),DE824/(1-IF(B824&lt;=10,Parámetros!$D$100,0))),2))</f>
        <v/>
      </c>
      <c r="DH824" s="66" t="str">
        <f t="shared" si="1171"/>
        <v/>
      </c>
      <c r="DI824" s="66" t="str">
        <f t="shared" si="1171"/>
        <v/>
      </c>
      <c r="DJ824" s="66" t="str">
        <f>+IF($W824="","",ROUND((DG824*Parámetros!$G$85),2))</f>
        <v/>
      </c>
      <c r="DK824" s="66" t="str">
        <f>+IF($W824="","",ROUND((DG824*(Parámetros!$G$86)),2))</f>
        <v/>
      </c>
      <c r="DL824" s="66" t="str">
        <f t="shared" si="1172"/>
        <v/>
      </c>
      <c r="DM824" t="str">
        <f t="shared" si="1213"/>
        <v/>
      </c>
      <c r="DN824" s="118" t="str">
        <f t="shared" si="1214"/>
        <v/>
      </c>
      <c r="DO824" s="118" t="str">
        <f t="shared" si="1215"/>
        <v/>
      </c>
      <c r="DP824" s="118" t="str">
        <f t="shared" si="1216"/>
        <v/>
      </c>
      <c r="DQ824" s="122" t="str">
        <f>+IF(OR($W824="",DO824=0),"",ROUND((VLOOKUP(ROUNDDOWN($D824-1/frec,0),cob_adi,DB$40,FALSE)*(1+i/frec)^-0.5*(1+Parámetros!$D$103)*(1+rec_fracc)/frec),6))</f>
        <v/>
      </c>
      <c r="DR824" s="66" t="str">
        <f t="shared" si="1173"/>
        <v/>
      </c>
      <c r="DS824" s="68" t="str">
        <f t="shared" si="1174"/>
        <v/>
      </c>
      <c r="DT824" s="66" t="str">
        <f>+IF($W824="","",ROUND(IF($B824&gt;Parámetros!$D$107,'Tablas Servicio'!DR824+('Tablas Servicio'!DT823-'Tablas Servicio'!DR823),DR824/(1-IF(B824&lt;=10,Parámetros!$D$100,0))),2))</f>
        <v/>
      </c>
      <c r="DU824" s="66" t="str">
        <f t="shared" si="1175"/>
        <v/>
      </c>
      <c r="DV824" s="66" t="str">
        <f t="shared" si="1175"/>
        <v/>
      </c>
      <c r="DW824" s="66" t="str">
        <f>+IF($W824="","",ROUND((DT824*Parámetros!$G$85),2))</f>
        <v/>
      </c>
      <c r="DX824" s="66" t="str">
        <f>+IF($W824="","",ROUND((DT824*(Parámetros!$G$86)),2))</f>
        <v/>
      </c>
      <c r="DY824" s="66" t="str">
        <f t="shared" si="1176"/>
        <v/>
      </c>
      <c r="DZ824" t="str">
        <f t="shared" si="1177"/>
        <v/>
      </c>
      <c r="EA824" s="118" t="str">
        <f t="shared" si="1177"/>
        <v/>
      </c>
      <c r="EB824" s="118" t="str">
        <f>+IF($W824="","",ROUND(IF(Parámetros!$D$25='TABLAS MORT'!$V$33,EB823,Z824/2),0))</f>
        <v/>
      </c>
      <c r="EC824" s="118" t="str">
        <f t="shared" si="1177"/>
        <v/>
      </c>
      <c r="ED824" s="122" t="str">
        <f>+IF(OR($W824="",EB824=0),"",ROUND((VLOOKUP(ROUNDDOWN($D824-1/frec,0),cob_adi,DO$40,FALSE)*(1+i/frec)^-0.5*(1+Parámetros!$D$103)*(1+rec_fracc)/frec),6))</f>
        <v/>
      </c>
      <c r="EE824" s="66" t="str">
        <f t="shared" si="1178"/>
        <v/>
      </c>
      <c r="EF824" s="68" t="str">
        <f t="shared" si="1179"/>
        <v/>
      </c>
      <c r="EG824" s="66" t="str">
        <f>+IF($W824="","",ROUND(IF($B824&gt;Parámetros!$D$107,'Tablas Servicio'!EE824+('Tablas Servicio'!EG823-'Tablas Servicio'!EE823),EE824/(1-IF(B824&lt;=10,Parámetros!$D$100,0))),2))</f>
        <v/>
      </c>
      <c r="EH824" s="66" t="str">
        <f t="shared" si="1180"/>
        <v/>
      </c>
      <c r="EI824" s="66" t="str">
        <f t="shared" si="1180"/>
        <v/>
      </c>
      <c r="EJ824" s="66" t="str">
        <f>+IF($W824="","",ROUND((EG824*Parámetros!$G$85),2))</f>
        <v/>
      </c>
      <c r="EK824" s="66" t="str">
        <f>+IF($W824="","",ROUND((EG824*(Parámetros!$G$86)),2))</f>
        <v/>
      </c>
      <c r="EL824" s="66" t="str">
        <f t="shared" si="1181"/>
        <v/>
      </c>
    </row>
    <row r="825" spans="1:142" x14ac:dyDescent="0.25">
      <c r="A825" t="str">
        <f>+IF($C825="","",ROUND(VLOOKUP('Tablas Servicio'!B825,Parámetros!$H$100:$J$159,IF(Parámetros!$E$16="F",2,3),FALSE),2))</f>
        <v/>
      </c>
      <c r="B825" t="str">
        <f t="shared" si="1132"/>
        <v/>
      </c>
      <c r="C825" s="57" t="str">
        <f>+IF(D825="","",'Tablas Servicio'!C824+1)</f>
        <v/>
      </c>
      <c r="D825" s="56" t="str">
        <f>+IF(D824&lt;edadmaxtabla,D824+1/Parámetros!$E$25,"")</f>
        <v/>
      </c>
      <c r="E825" s="57" t="str">
        <f t="shared" si="1142"/>
        <v/>
      </c>
      <c r="F825" s="59" t="str">
        <f t="shared" si="1143"/>
        <v/>
      </c>
      <c r="G825" s="66" t="str">
        <f t="shared" si="1133"/>
        <v/>
      </c>
      <c r="H825" s="66" t="str">
        <f t="shared" si="1134"/>
        <v/>
      </c>
      <c r="I825" s="66" t="str">
        <f t="shared" si="1182"/>
        <v/>
      </c>
      <c r="J825" s="66" t="str">
        <f t="shared" si="1135"/>
        <v/>
      </c>
      <c r="K825" s="66" t="str">
        <f t="shared" si="1136"/>
        <v/>
      </c>
      <c r="L825" s="66" t="str">
        <f t="shared" si="1137"/>
        <v/>
      </c>
      <c r="M825" s="66" t="str">
        <f t="shared" si="1138"/>
        <v/>
      </c>
      <c r="N825" s="66" t="str">
        <f>+IF(C825="","",ROUND(Parámetros!$D$23,2))</f>
        <v/>
      </c>
      <c r="O825" s="66" t="str">
        <f t="shared" si="1139"/>
        <v/>
      </c>
      <c r="P825" s="66" t="str">
        <f>+IF($C825="","",ROUND(IF(B825&gt;Parámetros!$D$117,0,N825*Parámetros!$D$116-G825*Parámetros!$D$100),2))</f>
        <v/>
      </c>
      <c r="Q825" s="75" t="str">
        <f t="shared" si="1183"/>
        <v/>
      </c>
      <c r="R825" s="75" t="str">
        <f t="shared" si="1184"/>
        <v/>
      </c>
      <c r="S825" s="117" t="str">
        <f>+IF($C825="","",ROUND((S824+I825)*(1+Parámetros!$D$91),2))</f>
        <v/>
      </c>
      <c r="T825" s="117" t="str">
        <f>+IF($C825="","",ROUND(S825*VLOOKUP(B825,Parámetros!$C$30:$D$39,2,TRUE),2))</f>
        <v/>
      </c>
      <c r="U825" s="117" t="str">
        <f>+IF($C825="","",ROUND((U824+I825)*(1+Parámetros!$D$92),2))</f>
        <v/>
      </c>
      <c r="V825" s="117" t="str">
        <f>+IF($C825="","",ROUND(U825*VLOOKUP(B825,Parámetros!$C$30:$D$39,2,TRUE),2))</f>
        <v/>
      </c>
      <c r="W825" s="57" t="str">
        <f t="shared" si="1185"/>
        <v/>
      </c>
      <c r="X825" t="str">
        <f t="shared" si="1186"/>
        <v/>
      </c>
      <c r="Y825" t="str">
        <f t="shared" si="1187"/>
        <v/>
      </c>
      <c r="Z825" s="118" t="str">
        <f>+IF($W825="","",ROUND(IF(Parámetros!$D$25='TABLAS MORT'!$V$33,Z824,Parámetros!$D$21-'Tablas Servicio'!T824),0))</f>
        <v/>
      </c>
      <c r="AA825" s="118" t="str">
        <f t="shared" si="1188"/>
        <v/>
      </c>
      <c r="AB825" s="119" t="str">
        <f>+IF(W825="","",ROUND((VLOOKUP(ROUNDDOWN($D825-1/frec,0),qx_tabla,2,FALSE)*(1+i/frec)^-0.5*(1+Parámetros!$D$103)*(1+rec_fracc)/frec),6))</f>
        <v/>
      </c>
      <c r="AC825" s="66" t="str">
        <f t="shared" si="1144"/>
        <v/>
      </c>
      <c r="AD825" s="119" t="str">
        <f t="shared" si="1140"/>
        <v/>
      </c>
      <c r="AE825" s="66" t="str">
        <f>+IF($W825="","",ROUND(IF($B825&gt;Parámetros!$D$107,'Tablas Servicio'!AC825+('Tablas Servicio'!AG824-'Tablas Servicio'!AC824),AC825/(1-IF(B825&lt;=10,Parámetros!$D$104,Parámetros!$D$105))),2))</f>
        <v/>
      </c>
      <c r="AF825" s="66" t="str">
        <f>+IF($W825="","",ROUND(IF($B825&gt;Parámetros!$D$107,'Tablas Servicio'!AC825+('Tablas Servicio'!AG824-'Tablas Servicio'!AC824),(AC825+$A824/frec)/(1-IF(B825&lt;=Parámetros!$D$117,Parámetros!$D$100,0))),2))</f>
        <v/>
      </c>
      <c r="AG825" s="66" t="str">
        <f t="shared" si="1145"/>
        <v/>
      </c>
      <c r="AH825" s="66" t="str">
        <f t="shared" si="1146"/>
        <v/>
      </c>
      <c r="AI825" s="66" t="str">
        <f t="shared" si="1147"/>
        <v/>
      </c>
      <c r="AJ825" s="66" t="str">
        <f>+IF($W825="","",ROUND((AG825*Parámetros!$G$85),2))</f>
        <v/>
      </c>
      <c r="AK825" s="66" t="str">
        <f>+IF($W825="","",ROUND((AG825*(Parámetros!$G$86)),2))</f>
        <v/>
      </c>
      <c r="AL825" s="66" t="str">
        <f t="shared" si="1141"/>
        <v/>
      </c>
      <c r="AM825" t="str">
        <f t="shared" si="1189"/>
        <v/>
      </c>
      <c r="AN825" t="str">
        <f t="shared" si="1190"/>
        <v/>
      </c>
      <c r="AO825" s="118" t="str">
        <f t="shared" si="1191"/>
        <v/>
      </c>
      <c r="AP825" s="118" t="str">
        <f t="shared" si="1192"/>
        <v/>
      </c>
      <c r="AQ825" s="119" t="str">
        <f>+IF(OR($W825="",AO825=0),"",ROUND((VLOOKUP(ROUNDDOWN($D825-1/frec,0),cob_adi,Z$40,FALSE)*(1+i/frec)^-0.5*(1+Parámetros!$D$103)*(1+rec_fracc)/frec),6))</f>
        <v/>
      </c>
      <c r="AR825" s="66" t="str">
        <f t="shared" si="1148"/>
        <v/>
      </c>
      <c r="AS825" s="119" t="str">
        <f t="shared" si="1149"/>
        <v/>
      </c>
      <c r="AT825" s="66" t="str">
        <f>+IF($W825="","",ROUND(IF($B825&gt;Parámetros!$D$107,'Tablas Servicio'!AR825+('Tablas Servicio'!AT824-'Tablas Servicio'!AR824),AR825/(1-IF(B825&lt;=10,Parámetros!$D$100,0))),2))</f>
        <v/>
      </c>
      <c r="AU825" s="66" t="str">
        <f t="shared" si="1150"/>
        <v/>
      </c>
      <c r="AV825" s="66" t="str">
        <f t="shared" si="1150"/>
        <v/>
      </c>
      <c r="AW825" s="66" t="str">
        <f>+IF($W825="","",ROUND((AT825*Parámetros!$G$85),2))</f>
        <v/>
      </c>
      <c r="AX825" s="66" t="str">
        <f>+IF($W825="","",ROUND((AT825*(Parámetros!$G$86)),2))</f>
        <v/>
      </c>
      <c r="AY825" s="66" t="str">
        <f t="shared" si="1151"/>
        <v/>
      </c>
      <c r="AZ825" t="str">
        <f t="shared" si="1193"/>
        <v/>
      </c>
      <c r="BA825" t="str">
        <f t="shared" si="1194"/>
        <v/>
      </c>
      <c r="BB825" s="118" t="str">
        <f t="shared" si="1195"/>
        <v/>
      </c>
      <c r="BC825" s="118" t="str">
        <f t="shared" si="1196"/>
        <v/>
      </c>
      <c r="BD825" s="119" t="str">
        <f>+IF(OR($W825="",BB825=0),"",ROUND((VLOOKUP(ROUNDDOWN($D825-1/frec,0),cob_adi,AO$40,FALSE)*(1+i/frec)^-0.5*(1+Parámetros!$D$103)*(1+rec_fracc)/frec),6))</f>
        <v/>
      </c>
      <c r="BE825" s="66" t="str">
        <f t="shared" si="1152"/>
        <v/>
      </c>
      <c r="BF825" s="119" t="str">
        <f t="shared" si="1153"/>
        <v/>
      </c>
      <c r="BG825" s="66" t="str">
        <f>+IF($W825="","",ROUND(IF($B825&gt;Parámetros!$D$107,'Tablas Servicio'!BE825+('Tablas Servicio'!BG824-'Tablas Servicio'!BE824),BE825/(1-IF(B825&lt;=10,Parámetros!$D$100,0))),2))</f>
        <v/>
      </c>
      <c r="BH825" s="66" t="str">
        <f t="shared" si="1154"/>
        <v/>
      </c>
      <c r="BI825" s="66" t="str">
        <f t="shared" si="1155"/>
        <v/>
      </c>
      <c r="BJ825" s="66" t="str">
        <f>+IF($W825="","",ROUND((BG825*Parámetros!$G$85),2))</f>
        <v/>
      </c>
      <c r="BK825" s="66" t="str">
        <f>+IF($W825="","",ROUND((BG825*(Parámetros!$G$86)),2))</f>
        <v/>
      </c>
      <c r="BL825" s="66" t="str">
        <f t="shared" si="1156"/>
        <v/>
      </c>
      <c r="BM825" t="str">
        <f t="shared" si="1197"/>
        <v/>
      </c>
      <c r="BN825" t="str">
        <f t="shared" si="1198"/>
        <v/>
      </c>
      <c r="BO825" s="118" t="str">
        <f t="shared" si="1199"/>
        <v/>
      </c>
      <c r="BP825" s="118" t="str">
        <f t="shared" si="1200"/>
        <v/>
      </c>
      <c r="BQ825" s="119" t="str">
        <f>+IF(OR($W825="",BO825=0),"",ROUND((VLOOKUP(ROUNDDOWN($D825-1/frec,0),cob_adi,BB$40,FALSE)*(1+i/frec)^-0.5*(1+Parámetros!$D$103)*(1+rec_fracc)/frec),6))</f>
        <v/>
      </c>
      <c r="BR825" s="66" t="str">
        <f t="shared" si="1157"/>
        <v/>
      </c>
      <c r="BS825" s="119" t="str">
        <f t="shared" si="1158"/>
        <v/>
      </c>
      <c r="BT825" s="66" t="str">
        <f>+IF($W825="","",ROUND(IF($B825&gt;Parámetros!$D$107,'Tablas Servicio'!BR825+('Tablas Servicio'!BT824-'Tablas Servicio'!BR824),BR825/(1-IF(B825&lt;=10,Parámetros!$D$100,0))),2))</f>
        <v/>
      </c>
      <c r="BU825" s="66" t="str">
        <f t="shared" si="1159"/>
        <v/>
      </c>
      <c r="BV825" s="66" t="str">
        <f t="shared" si="1159"/>
        <v/>
      </c>
      <c r="BW825" s="66" t="str">
        <f>+IF($W825="","",ROUND((BT825*Parámetros!$G$85),2))</f>
        <v/>
      </c>
      <c r="BX825" s="66" t="str">
        <f>+IF($W825="","",ROUND((BT825*(Parámetros!$G$86)),2))</f>
        <v/>
      </c>
      <c r="BY825" s="66" t="str">
        <f t="shared" si="1160"/>
        <v/>
      </c>
      <c r="BZ825" t="str">
        <f t="shared" si="1201"/>
        <v/>
      </c>
      <c r="CA825" t="str">
        <f t="shared" si="1202"/>
        <v/>
      </c>
      <c r="CB825" s="118" t="str">
        <f t="shared" si="1203"/>
        <v/>
      </c>
      <c r="CC825" s="118" t="str">
        <f t="shared" si="1204"/>
        <v/>
      </c>
      <c r="CD825" s="119" t="str">
        <f t="shared" si="1161"/>
        <v/>
      </c>
      <c r="CE825" s="66" t="str">
        <f>+IF($W825="","",ROUND((VLOOKUP(ROUNDDOWN($D825-1/frec,0),cob_adi,BO$40,FALSE)*(1+i/frec)^-0.5*(1+Parámetros!$D$103)*(1+rec_fracc)/frec*'TABLAS ADI'!$BC$17),2))</f>
        <v/>
      </c>
      <c r="CF825" s="119" t="str">
        <f t="shared" si="1162"/>
        <v/>
      </c>
      <c r="CG825" s="66" t="str">
        <f>+IF($W825="","",ROUND(IF($B825&gt;Parámetros!$D$107,'Tablas Servicio'!CE825+('Tablas Servicio'!CG824-'Tablas Servicio'!CE824),CE825/(1-IF(B825&lt;=10,Parámetros!$D$100,0))),2))</f>
        <v/>
      </c>
      <c r="CH825" s="66" t="str">
        <f t="shared" si="1163"/>
        <v/>
      </c>
      <c r="CI825" s="66" t="str">
        <f t="shared" si="1163"/>
        <v/>
      </c>
      <c r="CJ825" s="66" t="str">
        <f>+IF($W825="","",ROUND((CG825*Parámetros!$G$85),2))</f>
        <v/>
      </c>
      <c r="CK825" s="66" t="str">
        <f>+IF($W825="","",ROUND((CG825*(Parámetros!$G$86)),2))</f>
        <v/>
      </c>
      <c r="CL825" s="66" t="str">
        <f t="shared" si="1164"/>
        <v/>
      </c>
      <c r="CM825" t="str">
        <f t="shared" si="1205"/>
        <v/>
      </c>
      <c r="CN825" s="118" t="str">
        <f t="shared" si="1206"/>
        <v/>
      </c>
      <c r="CO825" s="118" t="str">
        <f t="shared" si="1207"/>
        <v/>
      </c>
      <c r="CP825" s="118" t="str">
        <f t="shared" si="1208"/>
        <v/>
      </c>
      <c r="CQ825" s="119" t="str">
        <f t="shared" si="1165"/>
        <v/>
      </c>
      <c r="CR825" s="66" t="str">
        <f>+IF($W825="","",ROUND((VLOOKUP(Parámetros!$F$51,'COBERTURAS ADICIONALES'!$S$4:$T$32,2,FALSE)*(1+i/frec)^-0.5*(1+Parámetros!$D$103)*(1+rec_fracc)/frec*$CO$42),2))</f>
        <v/>
      </c>
      <c r="CS825" s="119" t="str">
        <f t="shared" si="1166"/>
        <v/>
      </c>
      <c r="CT825" s="66" t="str">
        <f>+IF($W825="","",ROUND(IF($B825&gt;Parámetros!$D$107,'Tablas Servicio'!CR825+('Tablas Servicio'!CT824-'Tablas Servicio'!CR824),CR825/(1-IF(B825&lt;=10,Parámetros!$D$100,0))),2))</f>
        <v/>
      </c>
      <c r="CU825" s="66" t="str">
        <f t="shared" si="1167"/>
        <v/>
      </c>
      <c r="CV825" s="66" t="str">
        <f t="shared" si="1167"/>
        <v/>
      </c>
      <c r="CW825" s="66" t="str">
        <f>+IF($W825="","",ROUND((CT825*Parámetros!$G$85),2))</f>
        <v/>
      </c>
      <c r="CX825" s="66" t="str">
        <f>+IF($W825="","",ROUND((CT825*(Parámetros!$G$86)),2))</f>
        <v/>
      </c>
      <c r="CY825" s="66" t="str">
        <f t="shared" si="1168"/>
        <v/>
      </c>
      <c r="CZ825" t="str">
        <f t="shared" si="1209"/>
        <v/>
      </c>
      <c r="DA825" s="118" t="str">
        <f t="shared" si="1210"/>
        <v/>
      </c>
      <c r="DB825" s="118" t="str">
        <f t="shared" si="1211"/>
        <v/>
      </c>
      <c r="DC825" s="118" t="str">
        <f t="shared" si="1212"/>
        <v/>
      </c>
      <c r="DD825" s="121" t="str">
        <f>+IF(OR($W825="",DB825=0),"",ROUND((VLOOKUP(ROUNDDOWN($D825-1/frec,0),cob_adi,CO$40,FALSE)*(1+i/frec)^-0.5*(1+Parámetros!$D$103)*(1+rec_fracc)/frec),6))</f>
        <v/>
      </c>
      <c r="DE825" s="66" t="str">
        <f t="shared" si="1169"/>
        <v/>
      </c>
      <c r="DF825" s="119" t="str">
        <f t="shared" si="1170"/>
        <v/>
      </c>
      <c r="DG825" s="66" t="str">
        <f>+IF($W825="","",ROUND(IF($B825&gt;Parámetros!$D$107,'Tablas Servicio'!DE825+('Tablas Servicio'!DG824-'Tablas Servicio'!DE824),DE825/(1-IF(B825&lt;=10,Parámetros!$D$100,0))),2))</f>
        <v/>
      </c>
      <c r="DH825" s="66" t="str">
        <f t="shared" si="1171"/>
        <v/>
      </c>
      <c r="DI825" s="66" t="str">
        <f t="shared" si="1171"/>
        <v/>
      </c>
      <c r="DJ825" s="66" t="str">
        <f>+IF($W825="","",ROUND((DG825*Parámetros!$G$85),2))</f>
        <v/>
      </c>
      <c r="DK825" s="66" t="str">
        <f>+IF($W825="","",ROUND((DG825*(Parámetros!$G$86)),2))</f>
        <v/>
      </c>
      <c r="DL825" s="66" t="str">
        <f t="shared" si="1172"/>
        <v/>
      </c>
      <c r="DM825" t="str">
        <f t="shared" si="1213"/>
        <v/>
      </c>
      <c r="DN825" s="118" t="str">
        <f t="shared" si="1214"/>
        <v/>
      </c>
      <c r="DO825" s="118" t="str">
        <f t="shared" si="1215"/>
        <v/>
      </c>
      <c r="DP825" s="118" t="str">
        <f t="shared" si="1216"/>
        <v/>
      </c>
      <c r="DQ825" s="122" t="str">
        <f>+IF(OR($W825="",DO825=0),"",ROUND((VLOOKUP(ROUNDDOWN($D825-1/frec,0),cob_adi,DB$40,FALSE)*(1+i/frec)^-0.5*(1+Parámetros!$D$103)*(1+rec_fracc)/frec),6))</f>
        <v/>
      </c>
      <c r="DR825" s="66" t="str">
        <f t="shared" si="1173"/>
        <v/>
      </c>
      <c r="DS825" s="68" t="str">
        <f t="shared" si="1174"/>
        <v/>
      </c>
      <c r="DT825" s="66" t="str">
        <f>+IF($W825="","",ROUND(IF($B825&gt;Parámetros!$D$107,'Tablas Servicio'!DR825+('Tablas Servicio'!DT824-'Tablas Servicio'!DR824),DR825/(1-IF(B825&lt;=10,Parámetros!$D$100,0))),2))</f>
        <v/>
      </c>
      <c r="DU825" s="66" t="str">
        <f t="shared" si="1175"/>
        <v/>
      </c>
      <c r="DV825" s="66" t="str">
        <f t="shared" si="1175"/>
        <v/>
      </c>
      <c r="DW825" s="66" t="str">
        <f>+IF($W825="","",ROUND((DT825*Parámetros!$G$85),2))</f>
        <v/>
      </c>
      <c r="DX825" s="66" t="str">
        <f>+IF($W825="","",ROUND((DT825*(Parámetros!$G$86)),2))</f>
        <v/>
      </c>
      <c r="DY825" s="66" t="str">
        <f t="shared" si="1176"/>
        <v/>
      </c>
      <c r="DZ825" t="str">
        <f t="shared" si="1177"/>
        <v/>
      </c>
      <c r="EA825" s="118" t="str">
        <f t="shared" si="1177"/>
        <v/>
      </c>
      <c r="EB825" s="118" t="str">
        <f>+IF($W825="","",ROUND(IF(Parámetros!$D$25='TABLAS MORT'!$V$33,EB824,Z825/2),0))</f>
        <v/>
      </c>
      <c r="EC825" s="118" t="str">
        <f t="shared" si="1177"/>
        <v/>
      </c>
      <c r="ED825" s="122" t="str">
        <f>+IF(OR($W825="",EB825=0),"",ROUND((VLOOKUP(ROUNDDOWN($D825-1/frec,0),cob_adi,DO$40,FALSE)*(1+i/frec)^-0.5*(1+Parámetros!$D$103)*(1+rec_fracc)/frec),6))</f>
        <v/>
      </c>
      <c r="EE825" s="66" t="str">
        <f t="shared" si="1178"/>
        <v/>
      </c>
      <c r="EF825" s="68" t="str">
        <f t="shared" si="1179"/>
        <v/>
      </c>
      <c r="EG825" s="66" t="str">
        <f>+IF($W825="","",ROUND(IF($B825&gt;Parámetros!$D$107,'Tablas Servicio'!EE825+('Tablas Servicio'!EG824-'Tablas Servicio'!EE824),EE825/(1-IF(B825&lt;=10,Parámetros!$D$100,0))),2))</f>
        <v/>
      </c>
      <c r="EH825" s="66" t="str">
        <f t="shared" si="1180"/>
        <v/>
      </c>
      <c r="EI825" s="66" t="str">
        <f t="shared" si="1180"/>
        <v/>
      </c>
      <c r="EJ825" s="66" t="str">
        <f>+IF($W825="","",ROUND((EG825*Parámetros!$G$85),2))</f>
        <v/>
      </c>
      <c r="EK825" s="66" t="str">
        <f>+IF($W825="","",ROUND((EG825*(Parámetros!$G$86)),2))</f>
        <v/>
      </c>
      <c r="EL825" s="66" t="str">
        <f t="shared" si="1181"/>
        <v/>
      </c>
    </row>
    <row r="826" spans="1:142" x14ac:dyDescent="0.25">
      <c r="A826" t="str">
        <f>+IF($C826="","",ROUND(VLOOKUP('Tablas Servicio'!B826,Parámetros!$H$100:$J$159,IF(Parámetros!$E$16="F",2,3),FALSE),2))</f>
        <v/>
      </c>
      <c r="B826" t="str">
        <f t="shared" si="1132"/>
        <v/>
      </c>
      <c r="C826" s="57" t="str">
        <f>+IF(D826="","",'Tablas Servicio'!C825+1)</f>
        <v/>
      </c>
      <c r="D826" s="56" t="str">
        <f>+IF(D825&lt;edadmaxtabla,D825+1/Parámetros!$E$25,"")</f>
        <v/>
      </c>
      <c r="E826" s="57" t="str">
        <f t="shared" si="1142"/>
        <v/>
      </c>
      <c r="F826" s="59" t="str">
        <f t="shared" si="1143"/>
        <v/>
      </c>
      <c r="G826" s="66" t="str">
        <f t="shared" si="1133"/>
        <v/>
      </c>
      <c r="H826" s="66" t="str">
        <f t="shared" si="1134"/>
        <v/>
      </c>
      <c r="I826" s="66" t="str">
        <f t="shared" si="1182"/>
        <v/>
      </c>
      <c r="J826" s="66" t="str">
        <f t="shared" si="1135"/>
        <v/>
      </c>
      <c r="K826" s="66" t="str">
        <f t="shared" si="1136"/>
        <v/>
      </c>
      <c r="L826" s="66" t="str">
        <f t="shared" si="1137"/>
        <v/>
      </c>
      <c r="M826" s="66" t="str">
        <f t="shared" si="1138"/>
        <v/>
      </c>
      <c r="N826" s="66" t="str">
        <f>+IF(C826="","",ROUND(Parámetros!$D$23,2))</f>
        <v/>
      </c>
      <c r="O826" s="66" t="str">
        <f t="shared" si="1139"/>
        <v/>
      </c>
      <c r="P826" s="66" t="str">
        <f>+IF($C826="","",ROUND(IF(B826&gt;Parámetros!$D$117,0,N826*Parámetros!$D$116-G826*Parámetros!$D$100),2))</f>
        <v/>
      </c>
      <c r="Q826" s="75" t="str">
        <f t="shared" si="1183"/>
        <v/>
      </c>
      <c r="R826" s="75" t="str">
        <f t="shared" si="1184"/>
        <v/>
      </c>
      <c r="S826" s="117" t="str">
        <f>+IF($C826="","",ROUND((S825+I826)*(1+Parámetros!$D$91),2))</f>
        <v/>
      </c>
      <c r="T826" s="117" t="str">
        <f>+IF($C826="","",ROUND(S826*VLOOKUP(B826,Parámetros!$C$30:$D$39,2,TRUE),2))</f>
        <v/>
      </c>
      <c r="U826" s="117" t="str">
        <f>+IF($C826="","",ROUND((U825+I826)*(1+Parámetros!$D$92),2))</f>
        <v/>
      </c>
      <c r="V826" s="117" t="str">
        <f>+IF($C826="","",ROUND(U826*VLOOKUP(B826,Parámetros!$C$30:$D$39,2,TRUE),2))</f>
        <v/>
      </c>
      <c r="W826" s="57" t="str">
        <f t="shared" si="1185"/>
        <v/>
      </c>
      <c r="X826" t="str">
        <f t="shared" si="1186"/>
        <v/>
      </c>
      <c r="Y826" t="str">
        <f t="shared" si="1187"/>
        <v/>
      </c>
      <c r="Z826" s="118" t="str">
        <f>+IF($W826="","",ROUND(IF(Parámetros!$D$25='TABLAS MORT'!$V$33,Z825,Parámetros!$D$21-'Tablas Servicio'!T825),0))</f>
        <v/>
      </c>
      <c r="AA826" s="118" t="str">
        <f t="shared" si="1188"/>
        <v/>
      </c>
      <c r="AB826" s="119" t="str">
        <f>+IF(W826="","",ROUND((VLOOKUP(ROUNDDOWN($D826-1/frec,0),qx_tabla,2,FALSE)*(1+i/frec)^-0.5*(1+Parámetros!$D$103)*(1+rec_fracc)/frec),6))</f>
        <v/>
      </c>
      <c r="AC826" s="66" t="str">
        <f t="shared" si="1144"/>
        <v/>
      </c>
      <c r="AD826" s="119" t="str">
        <f t="shared" si="1140"/>
        <v/>
      </c>
      <c r="AE826" s="66" t="str">
        <f>+IF($W826="","",ROUND(IF($B826&gt;Parámetros!$D$107,'Tablas Servicio'!AC826+('Tablas Servicio'!AG825-'Tablas Servicio'!AC825),AC826/(1-IF(B826&lt;=10,Parámetros!$D$104,Parámetros!$D$105))),2))</f>
        <v/>
      </c>
      <c r="AF826" s="66" t="str">
        <f>+IF($W826="","",ROUND(IF($B826&gt;Parámetros!$D$107,'Tablas Servicio'!AC826+('Tablas Servicio'!AG825-'Tablas Servicio'!AC825),(AC826+$A825/frec)/(1-IF(B826&lt;=Parámetros!$D$117,Parámetros!$D$100,0))),2))</f>
        <v/>
      </c>
      <c r="AG826" s="66" t="str">
        <f t="shared" si="1145"/>
        <v/>
      </c>
      <c r="AH826" s="66" t="str">
        <f t="shared" si="1146"/>
        <v/>
      </c>
      <c r="AI826" s="66" t="str">
        <f t="shared" si="1147"/>
        <v/>
      </c>
      <c r="AJ826" s="66" t="str">
        <f>+IF($W826="","",ROUND((AG826*Parámetros!$G$85),2))</f>
        <v/>
      </c>
      <c r="AK826" s="66" t="str">
        <f>+IF($W826="","",ROUND((AG826*(Parámetros!$G$86)),2))</f>
        <v/>
      </c>
      <c r="AL826" s="66" t="str">
        <f t="shared" si="1141"/>
        <v/>
      </c>
      <c r="AM826" t="str">
        <f t="shared" si="1189"/>
        <v/>
      </c>
      <c r="AN826" t="str">
        <f t="shared" si="1190"/>
        <v/>
      </c>
      <c r="AO826" s="118" t="str">
        <f t="shared" si="1191"/>
        <v/>
      </c>
      <c r="AP826" s="118" t="str">
        <f t="shared" si="1192"/>
        <v/>
      </c>
      <c r="AQ826" s="119" t="str">
        <f>+IF(OR($W826="",AO826=0),"",ROUND((VLOOKUP(ROUNDDOWN($D826-1/frec,0),cob_adi,Z$40,FALSE)*(1+i/frec)^-0.5*(1+Parámetros!$D$103)*(1+rec_fracc)/frec),6))</f>
        <v/>
      </c>
      <c r="AR826" s="66" t="str">
        <f t="shared" si="1148"/>
        <v/>
      </c>
      <c r="AS826" s="119" t="str">
        <f t="shared" si="1149"/>
        <v/>
      </c>
      <c r="AT826" s="66" t="str">
        <f>+IF($W826="","",ROUND(IF($B826&gt;Parámetros!$D$107,'Tablas Servicio'!AR826+('Tablas Servicio'!AT825-'Tablas Servicio'!AR825),AR826/(1-IF(B826&lt;=10,Parámetros!$D$100,0))),2))</f>
        <v/>
      </c>
      <c r="AU826" s="66" t="str">
        <f t="shared" si="1150"/>
        <v/>
      </c>
      <c r="AV826" s="66" t="str">
        <f t="shared" si="1150"/>
        <v/>
      </c>
      <c r="AW826" s="66" t="str">
        <f>+IF($W826="","",ROUND((AT826*Parámetros!$G$85),2))</f>
        <v/>
      </c>
      <c r="AX826" s="66" t="str">
        <f>+IF($W826="","",ROUND((AT826*(Parámetros!$G$86)),2))</f>
        <v/>
      </c>
      <c r="AY826" s="66" t="str">
        <f t="shared" si="1151"/>
        <v/>
      </c>
      <c r="AZ826" t="str">
        <f t="shared" si="1193"/>
        <v/>
      </c>
      <c r="BA826" t="str">
        <f t="shared" si="1194"/>
        <v/>
      </c>
      <c r="BB826" s="118" t="str">
        <f t="shared" si="1195"/>
        <v/>
      </c>
      <c r="BC826" s="118" t="str">
        <f t="shared" si="1196"/>
        <v/>
      </c>
      <c r="BD826" s="119" t="str">
        <f>+IF(OR($W826="",BB826=0),"",ROUND((VLOOKUP(ROUNDDOWN($D826-1/frec,0),cob_adi,AO$40,FALSE)*(1+i/frec)^-0.5*(1+Parámetros!$D$103)*(1+rec_fracc)/frec),6))</f>
        <v/>
      </c>
      <c r="BE826" s="66" t="str">
        <f t="shared" si="1152"/>
        <v/>
      </c>
      <c r="BF826" s="119" t="str">
        <f t="shared" si="1153"/>
        <v/>
      </c>
      <c r="BG826" s="66" t="str">
        <f>+IF($W826="","",ROUND(IF($B826&gt;Parámetros!$D$107,'Tablas Servicio'!BE826+('Tablas Servicio'!BG825-'Tablas Servicio'!BE825),BE826/(1-IF(B826&lt;=10,Parámetros!$D$100,0))),2))</f>
        <v/>
      </c>
      <c r="BH826" s="66" t="str">
        <f t="shared" si="1154"/>
        <v/>
      </c>
      <c r="BI826" s="66" t="str">
        <f t="shared" si="1155"/>
        <v/>
      </c>
      <c r="BJ826" s="66" t="str">
        <f>+IF($W826="","",ROUND((BG826*Parámetros!$G$85),2))</f>
        <v/>
      </c>
      <c r="BK826" s="66" t="str">
        <f>+IF($W826="","",ROUND((BG826*(Parámetros!$G$86)),2))</f>
        <v/>
      </c>
      <c r="BL826" s="66" t="str">
        <f t="shared" si="1156"/>
        <v/>
      </c>
      <c r="BM826" t="str">
        <f t="shared" si="1197"/>
        <v/>
      </c>
      <c r="BN826" t="str">
        <f t="shared" si="1198"/>
        <v/>
      </c>
      <c r="BO826" s="118" t="str">
        <f t="shared" si="1199"/>
        <v/>
      </c>
      <c r="BP826" s="118" t="str">
        <f t="shared" si="1200"/>
        <v/>
      </c>
      <c r="BQ826" s="119" t="str">
        <f>+IF(OR($W826="",BO826=0),"",ROUND((VLOOKUP(ROUNDDOWN($D826-1/frec,0),cob_adi,BB$40,FALSE)*(1+i/frec)^-0.5*(1+Parámetros!$D$103)*(1+rec_fracc)/frec),6))</f>
        <v/>
      </c>
      <c r="BR826" s="66" t="str">
        <f t="shared" si="1157"/>
        <v/>
      </c>
      <c r="BS826" s="119" t="str">
        <f t="shared" si="1158"/>
        <v/>
      </c>
      <c r="BT826" s="66" t="str">
        <f>+IF($W826="","",ROUND(IF($B826&gt;Parámetros!$D$107,'Tablas Servicio'!BR826+('Tablas Servicio'!BT825-'Tablas Servicio'!BR825),BR826/(1-IF(B826&lt;=10,Parámetros!$D$100,0))),2))</f>
        <v/>
      </c>
      <c r="BU826" s="66" t="str">
        <f t="shared" si="1159"/>
        <v/>
      </c>
      <c r="BV826" s="66" t="str">
        <f t="shared" si="1159"/>
        <v/>
      </c>
      <c r="BW826" s="66" t="str">
        <f>+IF($W826="","",ROUND((BT826*Parámetros!$G$85),2))</f>
        <v/>
      </c>
      <c r="BX826" s="66" t="str">
        <f>+IF($W826="","",ROUND((BT826*(Parámetros!$G$86)),2))</f>
        <v/>
      </c>
      <c r="BY826" s="66" t="str">
        <f t="shared" si="1160"/>
        <v/>
      </c>
      <c r="BZ826" t="str">
        <f t="shared" si="1201"/>
        <v/>
      </c>
      <c r="CA826" t="str">
        <f t="shared" si="1202"/>
        <v/>
      </c>
      <c r="CB826" s="118" t="str">
        <f t="shared" si="1203"/>
        <v/>
      </c>
      <c r="CC826" s="118" t="str">
        <f t="shared" si="1204"/>
        <v/>
      </c>
      <c r="CD826" s="119" t="str">
        <f t="shared" si="1161"/>
        <v/>
      </c>
      <c r="CE826" s="66" t="str">
        <f>+IF($W826="","",ROUND((VLOOKUP(ROUNDDOWN($D826-1/frec,0),cob_adi,BO$40,FALSE)*(1+i/frec)^-0.5*(1+Parámetros!$D$103)*(1+rec_fracc)/frec*'TABLAS ADI'!$BC$17),2))</f>
        <v/>
      </c>
      <c r="CF826" s="119" t="str">
        <f t="shared" si="1162"/>
        <v/>
      </c>
      <c r="CG826" s="66" t="str">
        <f>+IF($W826="","",ROUND(IF($B826&gt;Parámetros!$D$107,'Tablas Servicio'!CE826+('Tablas Servicio'!CG825-'Tablas Servicio'!CE825),CE826/(1-IF(B826&lt;=10,Parámetros!$D$100,0))),2))</f>
        <v/>
      </c>
      <c r="CH826" s="66" t="str">
        <f t="shared" si="1163"/>
        <v/>
      </c>
      <c r="CI826" s="66" t="str">
        <f t="shared" si="1163"/>
        <v/>
      </c>
      <c r="CJ826" s="66" t="str">
        <f>+IF($W826="","",ROUND((CG826*Parámetros!$G$85),2))</f>
        <v/>
      </c>
      <c r="CK826" s="66" t="str">
        <f>+IF($W826="","",ROUND((CG826*(Parámetros!$G$86)),2))</f>
        <v/>
      </c>
      <c r="CL826" s="66" t="str">
        <f t="shared" si="1164"/>
        <v/>
      </c>
      <c r="CM826" t="str">
        <f t="shared" si="1205"/>
        <v/>
      </c>
      <c r="CN826" s="118" t="str">
        <f t="shared" si="1206"/>
        <v/>
      </c>
      <c r="CO826" s="118" t="str">
        <f t="shared" si="1207"/>
        <v/>
      </c>
      <c r="CP826" s="118" t="str">
        <f t="shared" si="1208"/>
        <v/>
      </c>
      <c r="CQ826" s="119" t="str">
        <f t="shared" si="1165"/>
        <v/>
      </c>
      <c r="CR826" s="66" t="str">
        <f>+IF($W826="","",ROUND((VLOOKUP(Parámetros!$F$51,'COBERTURAS ADICIONALES'!$S$4:$T$32,2,FALSE)*(1+i/frec)^-0.5*(1+Parámetros!$D$103)*(1+rec_fracc)/frec*$CO$42),2))</f>
        <v/>
      </c>
      <c r="CS826" s="119" t="str">
        <f t="shared" si="1166"/>
        <v/>
      </c>
      <c r="CT826" s="66" t="str">
        <f>+IF($W826="","",ROUND(IF($B826&gt;Parámetros!$D$107,'Tablas Servicio'!CR826+('Tablas Servicio'!CT825-'Tablas Servicio'!CR825),CR826/(1-IF(B826&lt;=10,Parámetros!$D$100,0))),2))</f>
        <v/>
      </c>
      <c r="CU826" s="66" t="str">
        <f t="shared" si="1167"/>
        <v/>
      </c>
      <c r="CV826" s="66" t="str">
        <f t="shared" si="1167"/>
        <v/>
      </c>
      <c r="CW826" s="66" t="str">
        <f>+IF($W826="","",ROUND((CT826*Parámetros!$G$85),2))</f>
        <v/>
      </c>
      <c r="CX826" s="66" t="str">
        <f>+IF($W826="","",ROUND((CT826*(Parámetros!$G$86)),2))</f>
        <v/>
      </c>
      <c r="CY826" s="66" t="str">
        <f t="shared" si="1168"/>
        <v/>
      </c>
      <c r="CZ826" t="str">
        <f t="shared" si="1209"/>
        <v/>
      </c>
      <c r="DA826" s="118" t="str">
        <f t="shared" si="1210"/>
        <v/>
      </c>
      <c r="DB826" s="118" t="str">
        <f t="shared" si="1211"/>
        <v/>
      </c>
      <c r="DC826" s="118" t="str">
        <f t="shared" si="1212"/>
        <v/>
      </c>
      <c r="DD826" s="121" t="str">
        <f>+IF(OR($W826="",DB826=0),"",ROUND((VLOOKUP(ROUNDDOWN($D826-1/frec,0),cob_adi,CO$40,FALSE)*(1+i/frec)^-0.5*(1+Parámetros!$D$103)*(1+rec_fracc)/frec),6))</f>
        <v/>
      </c>
      <c r="DE826" s="66" t="str">
        <f t="shared" si="1169"/>
        <v/>
      </c>
      <c r="DF826" s="119" t="str">
        <f t="shared" si="1170"/>
        <v/>
      </c>
      <c r="DG826" s="66" t="str">
        <f>+IF($W826="","",ROUND(IF($B826&gt;Parámetros!$D$107,'Tablas Servicio'!DE826+('Tablas Servicio'!DG825-'Tablas Servicio'!DE825),DE826/(1-IF(B826&lt;=10,Parámetros!$D$100,0))),2))</f>
        <v/>
      </c>
      <c r="DH826" s="66" t="str">
        <f t="shared" si="1171"/>
        <v/>
      </c>
      <c r="DI826" s="66" t="str">
        <f t="shared" si="1171"/>
        <v/>
      </c>
      <c r="DJ826" s="66" t="str">
        <f>+IF($W826="","",ROUND((DG826*Parámetros!$G$85),2))</f>
        <v/>
      </c>
      <c r="DK826" s="66" t="str">
        <f>+IF($W826="","",ROUND((DG826*(Parámetros!$G$86)),2))</f>
        <v/>
      </c>
      <c r="DL826" s="66" t="str">
        <f t="shared" si="1172"/>
        <v/>
      </c>
      <c r="DM826" t="str">
        <f t="shared" si="1213"/>
        <v/>
      </c>
      <c r="DN826" s="118" t="str">
        <f t="shared" si="1214"/>
        <v/>
      </c>
      <c r="DO826" s="118" t="str">
        <f t="shared" si="1215"/>
        <v/>
      </c>
      <c r="DP826" s="118" t="str">
        <f t="shared" si="1216"/>
        <v/>
      </c>
      <c r="DQ826" s="122" t="str">
        <f>+IF(OR($W826="",DO826=0),"",ROUND((VLOOKUP(ROUNDDOWN($D826-1/frec,0),cob_adi,DB$40,FALSE)*(1+i/frec)^-0.5*(1+Parámetros!$D$103)*(1+rec_fracc)/frec),6))</f>
        <v/>
      </c>
      <c r="DR826" s="66" t="str">
        <f t="shared" si="1173"/>
        <v/>
      </c>
      <c r="DS826" s="68" t="str">
        <f t="shared" si="1174"/>
        <v/>
      </c>
      <c r="DT826" s="66" t="str">
        <f>+IF($W826="","",ROUND(IF($B826&gt;Parámetros!$D$107,'Tablas Servicio'!DR826+('Tablas Servicio'!DT825-'Tablas Servicio'!DR825),DR826/(1-IF(B826&lt;=10,Parámetros!$D$100,0))),2))</f>
        <v/>
      </c>
      <c r="DU826" s="66" t="str">
        <f t="shared" si="1175"/>
        <v/>
      </c>
      <c r="DV826" s="66" t="str">
        <f t="shared" si="1175"/>
        <v/>
      </c>
      <c r="DW826" s="66" t="str">
        <f>+IF($W826="","",ROUND((DT826*Parámetros!$G$85),2))</f>
        <v/>
      </c>
      <c r="DX826" s="66" t="str">
        <f>+IF($W826="","",ROUND((DT826*(Parámetros!$G$86)),2))</f>
        <v/>
      </c>
      <c r="DY826" s="66" t="str">
        <f t="shared" si="1176"/>
        <v/>
      </c>
      <c r="DZ826" t="str">
        <f t="shared" si="1177"/>
        <v/>
      </c>
      <c r="EA826" s="118" t="str">
        <f t="shared" si="1177"/>
        <v/>
      </c>
      <c r="EB826" s="118" t="str">
        <f>+IF($W826="","",ROUND(IF(Parámetros!$D$25='TABLAS MORT'!$V$33,EB825,Z826/2),0))</f>
        <v/>
      </c>
      <c r="EC826" s="118" t="str">
        <f t="shared" si="1177"/>
        <v/>
      </c>
      <c r="ED826" s="122" t="str">
        <f>+IF(OR($W826="",EB826=0),"",ROUND((VLOOKUP(ROUNDDOWN($D826-1/frec,0),cob_adi,DO$40,FALSE)*(1+i/frec)^-0.5*(1+Parámetros!$D$103)*(1+rec_fracc)/frec),6))</f>
        <v/>
      </c>
      <c r="EE826" s="66" t="str">
        <f t="shared" si="1178"/>
        <v/>
      </c>
      <c r="EF826" s="68" t="str">
        <f t="shared" si="1179"/>
        <v/>
      </c>
      <c r="EG826" s="66" t="str">
        <f>+IF($W826="","",ROUND(IF($B826&gt;Parámetros!$D$107,'Tablas Servicio'!EE826+('Tablas Servicio'!EG825-'Tablas Servicio'!EE825),EE826/(1-IF(B826&lt;=10,Parámetros!$D$100,0))),2))</f>
        <v/>
      </c>
      <c r="EH826" s="66" t="str">
        <f t="shared" si="1180"/>
        <v/>
      </c>
      <c r="EI826" s="66" t="str">
        <f t="shared" si="1180"/>
        <v/>
      </c>
      <c r="EJ826" s="66" t="str">
        <f>+IF($W826="","",ROUND((EG826*Parámetros!$G$85),2))</f>
        <v/>
      </c>
      <c r="EK826" s="66" t="str">
        <f>+IF($W826="","",ROUND((EG826*(Parámetros!$G$86)),2))</f>
        <v/>
      </c>
      <c r="EL826" s="66" t="str">
        <f t="shared" si="1181"/>
        <v/>
      </c>
    </row>
    <row r="827" spans="1:142" x14ac:dyDescent="0.25">
      <c r="A827" t="str">
        <f>+IF($C827="","",ROUND(VLOOKUP('Tablas Servicio'!B827,Parámetros!$H$100:$J$159,IF(Parámetros!$E$16="F",2,3),FALSE),2))</f>
        <v/>
      </c>
      <c r="B827" t="str">
        <f t="shared" si="1132"/>
        <v/>
      </c>
      <c r="C827" s="57" t="str">
        <f>+IF(D827="","",'Tablas Servicio'!C826+1)</f>
        <v/>
      </c>
      <c r="D827" s="56" t="str">
        <f>+IF(D826&lt;edadmaxtabla,D826+1/Parámetros!$E$25,"")</f>
        <v/>
      </c>
      <c r="E827" s="57" t="str">
        <f t="shared" si="1142"/>
        <v/>
      </c>
      <c r="F827" s="59" t="str">
        <f t="shared" si="1143"/>
        <v/>
      </c>
      <c r="G827" s="66" t="str">
        <f t="shared" si="1133"/>
        <v/>
      </c>
      <c r="H827" s="66" t="str">
        <f t="shared" si="1134"/>
        <v/>
      </c>
      <c r="I827" s="66" t="str">
        <f t="shared" si="1182"/>
        <v/>
      </c>
      <c r="J827" s="66" t="str">
        <f t="shared" si="1135"/>
        <v/>
      </c>
      <c r="K827" s="66" t="str">
        <f t="shared" si="1136"/>
        <v/>
      </c>
      <c r="L827" s="66" t="str">
        <f t="shared" si="1137"/>
        <v/>
      </c>
      <c r="M827" s="66" t="str">
        <f t="shared" si="1138"/>
        <v/>
      </c>
      <c r="N827" s="66" t="str">
        <f>+IF(C827="","",ROUND(Parámetros!$D$23,2))</f>
        <v/>
      </c>
      <c r="O827" s="66" t="str">
        <f t="shared" si="1139"/>
        <v/>
      </c>
      <c r="P827" s="66" t="str">
        <f>+IF($C827="","",ROUND(IF(B827&gt;Parámetros!$D$117,0,N827*Parámetros!$D$116-G827*Parámetros!$D$100),2))</f>
        <v/>
      </c>
      <c r="Q827" s="75" t="str">
        <f t="shared" si="1183"/>
        <v/>
      </c>
      <c r="R827" s="75" t="str">
        <f t="shared" si="1184"/>
        <v/>
      </c>
      <c r="S827" s="117" t="str">
        <f>+IF($C827="","",ROUND((S826+I827)*(1+Parámetros!$D$91),2))</f>
        <v/>
      </c>
      <c r="T827" s="117" t="str">
        <f>+IF($C827="","",ROUND(S827*VLOOKUP(B827,Parámetros!$C$30:$D$39,2,TRUE),2))</f>
        <v/>
      </c>
      <c r="U827" s="117" t="str">
        <f>+IF($C827="","",ROUND((U826+I827)*(1+Parámetros!$D$92),2))</f>
        <v/>
      </c>
      <c r="V827" s="117" t="str">
        <f>+IF($C827="","",ROUND(U827*VLOOKUP(B827,Parámetros!$C$30:$D$39,2,TRUE),2))</f>
        <v/>
      </c>
      <c r="W827" s="57" t="str">
        <f t="shared" si="1185"/>
        <v/>
      </c>
      <c r="X827" t="str">
        <f t="shared" si="1186"/>
        <v/>
      </c>
      <c r="Y827" t="str">
        <f t="shared" si="1187"/>
        <v/>
      </c>
      <c r="Z827" s="118" t="str">
        <f>+IF($W827="","",ROUND(IF(Parámetros!$D$25='TABLAS MORT'!$V$33,Z826,Parámetros!$D$21-'Tablas Servicio'!T826),0))</f>
        <v/>
      </c>
      <c r="AA827" s="118" t="str">
        <f t="shared" si="1188"/>
        <v/>
      </c>
      <c r="AB827" s="119" t="str">
        <f>+IF(W827="","",ROUND((VLOOKUP(ROUNDDOWN($D827-1/frec,0),qx_tabla,2,FALSE)*(1+i/frec)^-0.5*(1+Parámetros!$D$103)*(1+rec_fracc)/frec),6))</f>
        <v/>
      </c>
      <c r="AC827" s="66" t="str">
        <f t="shared" si="1144"/>
        <v/>
      </c>
      <c r="AD827" s="119" t="str">
        <f t="shared" si="1140"/>
        <v/>
      </c>
      <c r="AE827" s="66" t="str">
        <f>+IF($W827="","",ROUND(IF($B827&gt;Parámetros!$D$107,'Tablas Servicio'!AC827+('Tablas Servicio'!AG826-'Tablas Servicio'!AC826),AC827/(1-IF(B827&lt;=10,Parámetros!$D$104,Parámetros!$D$105))),2))</f>
        <v/>
      </c>
      <c r="AF827" s="66" t="str">
        <f>+IF($W827="","",ROUND(IF($B827&gt;Parámetros!$D$107,'Tablas Servicio'!AC827+('Tablas Servicio'!AG826-'Tablas Servicio'!AC826),(AC827+$A826/frec)/(1-IF(B827&lt;=Parámetros!$D$117,Parámetros!$D$100,0))),2))</f>
        <v/>
      </c>
      <c r="AG827" s="66" t="str">
        <f t="shared" si="1145"/>
        <v/>
      </c>
      <c r="AH827" s="66" t="str">
        <f t="shared" si="1146"/>
        <v/>
      </c>
      <c r="AI827" s="66" t="str">
        <f t="shared" si="1147"/>
        <v/>
      </c>
      <c r="AJ827" s="66" t="str">
        <f>+IF($W827="","",ROUND((AG827*Parámetros!$G$85),2))</f>
        <v/>
      </c>
      <c r="AK827" s="66" t="str">
        <f>+IF($W827="","",ROUND((AG827*(Parámetros!$G$86)),2))</f>
        <v/>
      </c>
      <c r="AL827" s="66" t="str">
        <f t="shared" si="1141"/>
        <v/>
      </c>
      <c r="AM827" t="str">
        <f t="shared" si="1189"/>
        <v/>
      </c>
      <c r="AN827" t="str">
        <f t="shared" si="1190"/>
        <v/>
      </c>
      <c r="AO827" s="118" t="str">
        <f t="shared" si="1191"/>
        <v/>
      </c>
      <c r="AP827" s="118" t="str">
        <f t="shared" si="1192"/>
        <v/>
      </c>
      <c r="AQ827" s="119" t="str">
        <f>+IF(OR($W827="",AO827=0),"",ROUND((VLOOKUP(ROUNDDOWN($D827-1/frec,0),cob_adi,Z$40,FALSE)*(1+i/frec)^-0.5*(1+Parámetros!$D$103)*(1+rec_fracc)/frec),6))</f>
        <v/>
      </c>
      <c r="AR827" s="66" t="str">
        <f t="shared" si="1148"/>
        <v/>
      </c>
      <c r="AS827" s="119" t="str">
        <f t="shared" si="1149"/>
        <v/>
      </c>
      <c r="AT827" s="66" t="str">
        <f>+IF($W827="","",ROUND(IF($B827&gt;Parámetros!$D$107,'Tablas Servicio'!AR827+('Tablas Servicio'!AT826-'Tablas Servicio'!AR826),AR827/(1-IF(B827&lt;=10,Parámetros!$D$100,0))),2))</f>
        <v/>
      </c>
      <c r="AU827" s="66" t="str">
        <f t="shared" si="1150"/>
        <v/>
      </c>
      <c r="AV827" s="66" t="str">
        <f t="shared" si="1150"/>
        <v/>
      </c>
      <c r="AW827" s="66" t="str">
        <f>+IF($W827="","",ROUND((AT827*Parámetros!$G$85),2))</f>
        <v/>
      </c>
      <c r="AX827" s="66" t="str">
        <f>+IF($W827="","",ROUND((AT827*(Parámetros!$G$86)),2))</f>
        <v/>
      </c>
      <c r="AY827" s="66" t="str">
        <f t="shared" si="1151"/>
        <v/>
      </c>
      <c r="AZ827" t="str">
        <f t="shared" si="1193"/>
        <v/>
      </c>
      <c r="BA827" t="str">
        <f t="shared" si="1194"/>
        <v/>
      </c>
      <c r="BB827" s="118" t="str">
        <f t="shared" si="1195"/>
        <v/>
      </c>
      <c r="BC827" s="118" t="str">
        <f t="shared" si="1196"/>
        <v/>
      </c>
      <c r="BD827" s="119" t="str">
        <f>+IF(OR($W827="",BB827=0),"",ROUND((VLOOKUP(ROUNDDOWN($D827-1/frec,0),cob_adi,AO$40,FALSE)*(1+i/frec)^-0.5*(1+Parámetros!$D$103)*(1+rec_fracc)/frec),6))</f>
        <v/>
      </c>
      <c r="BE827" s="66" t="str">
        <f t="shared" si="1152"/>
        <v/>
      </c>
      <c r="BF827" s="119" t="str">
        <f t="shared" si="1153"/>
        <v/>
      </c>
      <c r="BG827" s="66" t="str">
        <f>+IF($W827="","",ROUND(IF($B827&gt;Parámetros!$D$107,'Tablas Servicio'!BE827+('Tablas Servicio'!BG826-'Tablas Servicio'!BE826),BE827/(1-IF(B827&lt;=10,Parámetros!$D$100,0))),2))</f>
        <v/>
      </c>
      <c r="BH827" s="66" t="str">
        <f t="shared" si="1154"/>
        <v/>
      </c>
      <c r="BI827" s="66" t="str">
        <f t="shared" si="1155"/>
        <v/>
      </c>
      <c r="BJ827" s="66" t="str">
        <f>+IF($W827="","",ROUND((BG827*Parámetros!$G$85),2))</f>
        <v/>
      </c>
      <c r="BK827" s="66" t="str">
        <f>+IF($W827="","",ROUND((BG827*(Parámetros!$G$86)),2))</f>
        <v/>
      </c>
      <c r="BL827" s="66" t="str">
        <f t="shared" si="1156"/>
        <v/>
      </c>
      <c r="BM827" t="str">
        <f t="shared" si="1197"/>
        <v/>
      </c>
      <c r="BN827" t="str">
        <f t="shared" si="1198"/>
        <v/>
      </c>
      <c r="BO827" s="118" t="str">
        <f t="shared" si="1199"/>
        <v/>
      </c>
      <c r="BP827" s="118" t="str">
        <f t="shared" si="1200"/>
        <v/>
      </c>
      <c r="BQ827" s="119" t="str">
        <f>+IF(OR($W827="",BO827=0),"",ROUND((VLOOKUP(ROUNDDOWN($D827-1/frec,0),cob_adi,BB$40,FALSE)*(1+i/frec)^-0.5*(1+Parámetros!$D$103)*(1+rec_fracc)/frec),6))</f>
        <v/>
      </c>
      <c r="BR827" s="66" t="str">
        <f t="shared" si="1157"/>
        <v/>
      </c>
      <c r="BS827" s="119" t="str">
        <f t="shared" si="1158"/>
        <v/>
      </c>
      <c r="BT827" s="66" t="str">
        <f>+IF($W827="","",ROUND(IF($B827&gt;Parámetros!$D$107,'Tablas Servicio'!BR827+('Tablas Servicio'!BT826-'Tablas Servicio'!BR826),BR827/(1-IF(B827&lt;=10,Parámetros!$D$100,0))),2))</f>
        <v/>
      </c>
      <c r="BU827" s="66" t="str">
        <f t="shared" si="1159"/>
        <v/>
      </c>
      <c r="BV827" s="66" t="str">
        <f t="shared" si="1159"/>
        <v/>
      </c>
      <c r="BW827" s="66" t="str">
        <f>+IF($W827="","",ROUND((BT827*Parámetros!$G$85),2))</f>
        <v/>
      </c>
      <c r="BX827" s="66" t="str">
        <f>+IF($W827="","",ROUND((BT827*(Parámetros!$G$86)),2))</f>
        <v/>
      </c>
      <c r="BY827" s="66" t="str">
        <f t="shared" si="1160"/>
        <v/>
      </c>
      <c r="BZ827" t="str">
        <f t="shared" si="1201"/>
        <v/>
      </c>
      <c r="CA827" t="str">
        <f t="shared" si="1202"/>
        <v/>
      </c>
      <c r="CB827" s="118" t="str">
        <f t="shared" si="1203"/>
        <v/>
      </c>
      <c r="CC827" s="118" t="str">
        <f t="shared" si="1204"/>
        <v/>
      </c>
      <c r="CD827" s="119" t="str">
        <f t="shared" si="1161"/>
        <v/>
      </c>
      <c r="CE827" s="66" t="str">
        <f>+IF($W827="","",ROUND((VLOOKUP(ROUNDDOWN($D827-1/frec,0),cob_adi,BO$40,FALSE)*(1+i/frec)^-0.5*(1+Parámetros!$D$103)*(1+rec_fracc)/frec*'TABLAS ADI'!$BC$17),2))</f>
        <v/>
      </c>
      <c r="CF827" s="119" t="str">
        <f t="shared" si="1162"/>
        <v/>
      </c>
      <c r="CG827" s="66" t="str">
        <f>+IF($W827="","",ROUND(IF($B827&gt;Parámetros!$D$107,'Tablas Servicio'!CE827+('Tablas Servicio'!CG826-'Tablas Servicio'!CE826),CE827/(1-IF(B827&lt;=10,Parámetros!$D$100,0))),2))</f>
        <v/>
      </c>
      <c r="CH827" s="66" t="str">
        <f t="shared" si="1163"/>
        <v/>
      </c>
      <c r="CI827" s="66" t="str">
        <f t="shared" si="1163"/>
        <v/>
      </c>
      <c r="CJ827" s="66" t="str">
        <f>+IF($W827="","",ROUND((CG827*Parámetros!$G$85),2))</f>
        <v/>
      </c>
      <c r="CK827" s="66" t="str">
        <f>+IF($W827="","",ROUND((CG827*(Parámetros!$G$86)),2))</f>
        <v/>
      </c>
      <c r="CL827" s="66" t="str">
        <f t="shared" si="1164"/>
        <v/>
      </c>
      <c r="CM827" t="str">
        <f t="shared" si="1205"/>
        <v/>
      </c>
      <c r="CN827" s="118" t="str">
        <f t="shared" si="1206"/>
        <v/>
      </c>
      <c r="CO827" s="118" t="str">
        <f t="shared" si="1207"/>
        <v/>
      </c>
      <c r="CP827" s="118" t="str">
        <f t="shared" si="1208"/>
        <v/>
      </c>
      <c r="CQ827" s="119" t="str">
        <f t="shared" si="1165"/>
        <v/>
      </c>
      <c r="CR827" s="66" t="str">
        <f>+IF($W827="","",ROUND((VLOOKUP(Parámetros!$F$51,'COBERTURAS ADICIONALES'!$S$4:$T$32,2,FALSE)*(1+i/frec)^-0.5*(1+Parámetros!$D$103)*(1+rec_fracc)/frec*$CO$42),2))</f>
        <v/>
      </c>
      <c r="CS827" s="119" t="str">
        <f t="shared" si="1166"/>
        <v/>
      </c>
      <c r="CT827" s="66" t="str">
        <f>+IF($W827="","",ROUND(IF($B827&gt;Parámetros!$D$107,'Tablas Servicio'!CR827+('Tablas Servicio'!CT826-'Tablas Servicio'!CR826),CR827/(1-IF(B827&lt;=10,Parámetros!$D$100,0))),2))</f>
        <v/>
      </c>
      <c r="CU827" s="66" t="str">
        <f t="shared" si="1167"/>
        <v/>
      </c>
      <c r="CV827" s="66" t="str">
        <f t="shared" si="1167"/>
        <v/>
      </c>
      <c r="CW827" s="66" t="str">
        <f>+IF($W827="","",ROUND((CT827*Parámetros!$G$85),2))</f>
        <v/>
      </c>
      <c r="CX827" s="66" t="str">
        <f>+IF($W827="","",ROUND((CT827*(Parámetros!$G$86)),2))</f>
        <v/>
      </c>
      <c r="CY827" s="66" t="str">
        <f t="shared" si="1168"/>
        <v/>
      </c>
      <c r="CZ827" t="str">
        <f t="shared" si="1209"/>
        <v/>
      </c>
      <c r="DA827" s="118" t="str">
        <f t="shared" si="1210"/>
        <v/>
      </c>
      <c r="DB827" s="118" t="str">
        <f t="shared" si="1211"/>
        <v/>
      </c>
      <c r="DC827" s="118" t="str">
        <f t="shared" si="1212"/>
        <v/>
      </c>
      <c r="DD827" s="121" t="str">
        <f>+IF(OR($W827="",DB827=0),"",ROUND((VLOOKUP(ROUNDDOWN($D827-1/frec,0),cob_adi,CO$40,FALSE)*(1+i/frec)^-0.5*(1+Parámetros!$D$103)*(1+rec_fracc)/frec),6))</f>
        <v/>
      </c>
      <c r="DE827" s="66" t="str">
        <f t="shared" si="1169"/>
        <v/>
      </c>
      <c r="DF827" s="119" t="str">
        <f t="shared" si="1170"/>
        <v/>
      </c>
      <c r="DG827" s="66" t="str">
        <f>+IF($W827="","",ROUND(IF($B827&gt;Parámetros!$D$107,'Tablas Servicio'!DE827+('Tablas Servicio'!DG826-'Tablas Servicio'!DE826),DE827/(1-IF(B827&lt;=10,Parámetros!$D$100,0))),2))</f>
        <v/>
      </c>
      <c r="DH827" s="66" t="str">
        <f t="shared" si="1171"/>
        <v/>
      </c>
      <c r="DI827" s="66" t="str">
        <f t="shared" si="1171"/>
        <v/>
      </c>
      <c r="DJ827" s="66" t="str">
        <f>+IF($W827="","",ROUND((DG827*Parámetros!$G$85),2))</f>
        <v/>
      </c>
      <c r="DK827" s="66" t="str">
        <f>+IF($W827="","",ROUND((DG827*(Parámetros!$G$86)),2))</f>
        <v/>
      </c>
      <c r="DL827" s="66" t="str">
        <f t="shared" si="1172"/>
        <v/>
      </c>
      <c r="DM827" t="str">
        <f t="shared" si="1213"/>
        <v/>
      </c>
      <c r="DN827" s="118" t="str">
        <f t="shared" si="1214"/>
        <v/>
      </c>
      <c r="DO827" s="118" t="str">
        <f t="shared" si="1215"/>
        <v/>
      </c>
      <c r="DP827" s="118" t="str">
        <f t="shared" si="1216"/>
        <v/>
      </c>
      <c r="DQ827" s="122" t="str">
        <f>+IF(OR($W827="",DO827=0),"",ROUND((VLOOKUP(ROUNDDOWN($D827-1/frec,0),cob_adi,DB$40,FALSE)*(1+i/frec)^-0.5*(1+Parámetros!$D$103)*(1+rec_fracc)/frec),6))</f>
        <v/>
      </c>
      <c r="DR827" s="66" t="str">
        <f t="shared" si="1173"/>
        <v/>
      </c>
      <c r="DS827" s="68" t="str">
        <f t="shared" si="1174"/>
        <v/>
      </c>
      <c r="DT827" s="66" t="str">
        <f>+IF($W827="","",ROUND(IF($B827&gt;Parámetros!$D$107,'Tablas Servicio'!DR827+('Tablas Servicio'!DT826-'Tablas Servicio'!DR826),DR827/(1-IF(B827&lt;=10,Parámetros!$D$100,0))),2))</f>
        <v/>
      </c>
      <c r="DU827" s="66" t="str">
        <f t="shared" si="1175"/>
        <v/>
      </c>
      <c r="DV827" s="66" t="str">
        <f t="shared" si="1175"/>
        <v/>
      </c>
      <c r="DW827" s="66" t="str">
        <f>+IF($W827="","",ROUND((DT827*Parámetros!$G$85),2))</f>
        <v/>
      </c>
      <c r="DX827" s="66" t="str">
        <f>+IF($W827="","",ROUND((DT827*(Parámetros!$G$86)),2))</f>
        <v/>
      </c>
      <c r="DY827" s="66" t="str">
        <f t="shared" si="1176"/>
        <v/>
      </c>
      <c r="DZ827" t="str">
        <f t="shared" ref="DZ827:EC842" si="1217">+IF($W827="","",DZ826)</f>
        <v/>
      </c>
      <c r="EA827" s="118" t="str">
        <f t="shared" si="1217"/>
        <v/>
      </c>
      <c r="EB827" s="118" t="str">
        <f>+IF($W827="","",ROUND(IF(Parámetros!$D$25='TABLAS MORT'!$V$33,EB826,Z827/2),0))</f>
        <v/>
      </c>
      <c r="EC827" s="118" t="str">
        <f t="shared" si="1217"/>
        <v/>
      </c>
      <c r="ED827" s="122" t="str">
        <f>+IF(OR($W827="",EB827=0),"",ROUND((VLOOKUP(ROUNDDOWN($D827-1/frec,0),cob_adi,DO$40,FALSE)*(1+i/frec)^-0.5*(1+Parámetros!$D$103)*(1+rec_fracc)/frec),6))</f>
        <v/>
      </c>
      <c r="EE827" s="66" t="str">
        <f t="shared" si="1178"/>
        <v/>
      </c>
      <c r="EF827" s="68" t="str">
        <f t="shared" si="1179"/>
        <v/>
      </c>
      <c r="EG827" s="66" t="str">
        <f>+IF($W827="","",ROUND(IF($B827&gt;Parámetros!$D$107,'Tablas Servicio'!EE827+('Tablas Servicio'!EG826-'Tablas Servicio'!EE826),EE827/(1-IF(B827&lt;=10,Parámetros!$D$100,0))),2))</f>
        <v/>
      </c>
      <c r="EH827" s="66" t="str">
        <f t="shared" si="1180"/>
        <v/>
      </c>
      <c r="EI827" s="66" t="str">
        <f t="shared" si="1180"/>
        <v/>
      </c>
      <c r="EJ827" s="66" t="str">
        <f>+IF($W827="","",ROUND((EG827*Parámetros!$G$85),2))</f>
        <v/>
      </c>
      <c r="EK827" s="66" t="str">
        <f>+IF($W827="","",ROUND((EG827*(Parámetros!$G$86)),2))</f>
        <v/>
      </c>
      <c r="EL827" s="66" t="str">
        <f t="shared" si="1181"/>
        <v/>
      </c>
    </row>
    <row r="828" spans="1:142" x14ac:dyDescent="0.25">
      <c r="A828" t="str">
        <f>+IF($C828="","",ROUND(VLOOKUP('Tablas Servicio'!B828,Parámetros!$H$100:$J$159,IF(Parámetros!$E$16="F",2,3),FALSE),2))</f>
        <v/>
      </c>
      <c r="B828" t="str">
        <f t="shared" si="1132"/>
        <v/>
      </c>
      <c r="C828" s="57" t="str">
        <f>+IF(D828="","",'Tablas Servicio'!C827+1)</f>
        <v/>
      </c>
      <c r="D828" s="56" t="str">
        <f>+IF(D827&lt;edadmaxtabla,D827+1/Parámetros!$E$25,"")</f>
        <v/>
      </c>
      <c r="E828" s="57" t="str">
        <f t="shared" si="1142"/>
        <v/>
      </c>
      <c r="F828" s="59" t="str">
        <f t="shared" si="1143"/>
        <v/>
      </c>
      <c r="G828" s="66" t="str">
        <f t="shared" si="1133"/>
        <v/>
      </c>
      <c r="H828" s="66" t="str">
        <f t="shared" si="1134"/>
        <v/>
      </c>
      <c r="I828" s="66" t="str">
        <f t="shared" si="1182"/>
        <v/>
      </c>
      <c r="J828" s="66" t="str">
        <f t="shared" si="1135"/>
        <v/>
      </c>
      <c r="K828" s="66" t="str">
        <f t="shared" si="1136"/>
        <v/>
      </c>
      <c r="L828" s="66" t="str">
        <f t="shared" si="1137"/>
        <v/>
      </c>
      <c r="M828" s="66" t="str">
        <f t="shared" si="1138"/>
        <v/>
      </c>
      <c r="N828" s="66" t="str">
        <f>+IF(C828="","",ROUND(Parámetros!$D$23,2))</f>
        <v/>
      </c>
      <c r="O828" s="66" t="str">
        <f t="shared" si="1139"/>
        <v/>
      </c>
      <c r="P828" s="66" t="str">
        <f>+IF($C828="","",ROUND(IF(B828&gt;Parámetros!$D$117,0,N828*Parámetros!$D$116-G828*Parámetros!$D$100),2))</f>
        <v/>
      </c>
      <c r="Q828" s="75" t="str">
        <f t="shared" si="1183"/>
        <v/>
      </c>
      <c r="R828" s="75" t="str">
        <f t="shared" si="1184"/>
        <v/>
      </c>
      <c r="S828" s="117" t="str">
        <f>+IF($C828="","",ROUND((S827+I828)*(1+Parámetros!$D$91),2))</f>
        <v/>
      </c>
      <c r="T828" s="117" t="str">
        <f>+IF($C828="","",ROUND(S828*VLOOKUP(B828,Parámetros!$C$30:$D$39,2,TRUE),2))</f>
        <v/>
      </c>
      <c r="U828" s="117" t="str">
        <f>+IF($C828="","",ROUND((U827+I828)*(1+Parámetros!$D$92),2))</f>
        <v/>
      </c>
      <c r="V828" s="117" t="str">
        <f>+IF($C828="","",ROUND(U828*VLOOKUP(B828,Parámetros!$C$30:$D$39,2,TRUE),2))</f>
        <v/>
      </c>
      <c r="W828" s="57" t="str">
        <f t="shared" si="1185"/>
        <v/>
      </c>
      <c r="X828" t="str">
        <f t="shared" si="1186"/>
        <v/>
      </c>
      <c r="Y828" t="str">
        <f t="shared" si="1187"/>
        <v/>
      </c>
      <c r="Z828" s="118" t="str">
        <f>+IF($W828="","",ROUND(IF(Parámetros!$D$25='TABLAS MORT'!$V$33,Z827,Parámetros!$D$21-'Tablas Servicio'!T827),0))</f>
        <v/>
      </c>
      <c r="AA828" s="118" t="str">
        <f t="shared" si="1188"/>
        <v/>
      </c>
      <c r="AB828" s="119" t="str">
        <f>+IF(W828="","",ROUND((VLOOKUP(ROUNDDOWN($D828-1/frec,0),qx_tabla,2,FALSE)*(1+i/frec)^-0.5*(1+Parámetros!$D$103)*(1+rec_fracc)/frec),6))</f>
        <v/>
      </c>
      <c r="AC828" s="66" t="str">
        <f t="shared" si="1144"/>
        <v/>
      </c>
      <c r="AD828" s="119" t="str">
        <f t="shared" si="1140"/>
        <v/>
      </c>
      <c r="AE828" s="66" t="str">
        <f>+IF($W828="","",ROUND(IF($B828&gt;Parámetros!$D$107,'Tablas Servicio'!AC828+('Tablas Servicio'!AG827-'Tablas Servicio'!AC827),AC828/(1-IF(B828&lt;=10,Parámetros!$D$104,Parámetros!$D$105))),2))</f>
        <v/>
      </c>
      <c r="AF828" s="66" t="str">
        <f>+IF($W828="","",ROUND(IF($B828&gt;Parámetros!$D$107,'Tablas Servicio'!AC828+('Tablas Servicio'!AG827-'Tablas Servicio'!AC827),(AC828+$A827/frec)/(1-IF(B828&lt;=Parámetros!$D$117,Parámetros!$D$100,0))),2))</f>
        <v/>
      </c>
      <c r="AG828" s="66" t="str">
        <f t="shared" si="1145"/>
        <v/>
      </c>
      <c r="AH828" s="66" t="str">
        <f t="shared" si="1146"/>
        <v/>
      </c>
      <c r="AI828" s="66" t="str">
        <f t="shared" si="1147"/>
        <v/>
      </c>
      <c r="AJ828" s="66" t="str">
        <f>+IF($W828="","",ROUND((AG828*Parámetros!$G$85),2))</f>
        <v/>
      </c>
      <c r="AK828" s="66" t="str">
        <f>+IF($W828="","",ROUND((AG828*(Parámetros!$G$86)),2))</f>
        <v/>
      </c>
      <c r="AL828" s="66" t="str">
        <f t="shared" si="1141"/>
        <v/>
      </c>
      <c r="AM828" t="str">
        <f t="shared" si="1189"/>
        <v/>
      </c>
      <c r="AN828" t="str">
        <f t="shared" si="1190"/>
        <v/>
      </c>
      <c r="AO828" s="118" t="str">
        <f t="shared" si="1191"/>
        <v/>
      </c>
      <c r="AP828" s="118" t="str">
        <f t="shared" si="1192"/>
        <v/>
      </c>
      <c r="AQ828" s="119" t="str">
        <f>+IF(OR($W828="",AO828=0),"",ROUND((VLOOKUP(ROUNDDOWN($D828-1/frec,0),cob_adi,Z$40,FALSE)*(1+i/frec)^-0.5*(1+Parámetros!$D$103)*(1+rec_fracc)/frec),6))</f>
        <v/>
      </c>
      <c r="AR828" s="66" t="str">
        <f t="shared" si="1148"/>
        <v/>
      </c>
      <c r="AS828" s="119" t="str">
        <f t="shared" si="1149"/>
        <v/>
      </c>
      <c r="AT828" s="66" t="str">
        <f>+IF($W828="","",ROUND(IF($B828&gt;Parámetros!$D$107,'Tablas Servicio'!AR828+('Tablas Servicio'!AT827-'Tablas Servicio'!AR827),AR828/(1-IF(B828&lt;=10,Parámetros!$D$100,0))),2))</f>
        <v/>
      </c>
      <c r="AU828" s="66" t="str">
        <f t="shared" si="1150"/>
        <v/>
      </c>
      <c r="AV828" s="66" t="str">
        <f t="shared" si="1150"/>
        <v/>
      </c>
      <c r="AW828" s="66" t="str">
        <f>+IF($W828="","",ROUND((AT828*Parámetros!$G$85),2))</f>
        <v/>
      </c>
      <c r="AX828" s="66" t="str">
        <f>+IF($W828="","",ROUND((AT828*(Parámetros!$G$86)),2))</f>
        <v/>
      </c>
      <c r="AY828" s="66" t="str">
        <f t="shared" si="1151"/>
        <v/>
      </c>
      <c r="AZ828" t="str">
        <f t="shared" si="1193"/>
        <v/>
      </c>
      <c r="BA828" t="str">
        <f t="shared" si="1194"/>
        <v/>
      </c>
      <c r="BB828" s="118" t="str">
        <f t="shared" si="1195"/>
        <v/>
      </c>
      <c r="BC828" s="118" t="str">
        <f t="shared" si="1196"/>
        <v/>
      </c>
      <c r="BD828" s="119" t="str">
        <f>+IF(OR($W828="",BB828=0),"",ROUND((VLOOKUP(ROUNDDOWN($D828-1/frec,0),cob_adi,AO$40,FALSE)*(1+i/frec)^-0.5*(1+Parámetros!$D$103)*(1+rec_fracc)/frec),6))</f>
        <v/>
      </c>
      <c r="BE828" s="66" t="str">
        <f t="shared" si="1152"/>
        <v/>
      </c>
      <c r="BF828" s="119" t="str">
        <f t="shared" si="1153"/>
        <v/>
      </c>
      <c r="BG828" s="66" t="str">
        <f>+IF($W828="","",ROUND(IF($B828&gt;Parámetros!$D$107,'Tablas Servicio'!BE828+('Tablas Servicio'!BG827-'Tablas Servicio'!BE827),BE828/(1-IF(B828&lt;=10,Parámetros!$D$100,0))),2))</f>
        <v/>
      </c>
      <c r="BH828" s="66" t="str">
        <f t="shared" si="1154"/>
        <v/>
      </c>
      <c r="BI828" s="66" t="str">
        <f t="shared" si="1155"/>
        <v/>
      </c>
      <c r="BJ828" s="66" t="str">
        <f>+IF($W828="","",ROUND((BG828*Parámetros!$G$85),2))</f>
        <v/>
      </c>
      <c r="BK828" s="66" t="str">
        <f>+IF($W828="","",ROUND((BG828*(Parámetros!$G$86)),2))</f>
        <v/>
      </c>
      <c r="BL828" s="66" t="str">
        <f t="shared" si="1156"/>
        <v/>
      </c>
      <c r="BM828" t="str">
        <f t="shared" si="1197"/>
        <v/>
      </c>
      <c r="BN828" t="str">
        <f t="shared" si="1198"/>
        <v/>
      </c>
      <c r="BO828" s="118" t="str">
        <f t="shared" si="1199"/>
        <v/>
      </c>
      <c r="BP828" s="118" t="str">
        <f t="shared" si="1200"/>
        <v/>
      </c>
      <c r="BQ828" s="119" t="str">
        <f>+IF(OR($W828="",BO828=0),"",ROUND((VLOOKUP(ROUNDDOWN($D828-1/frec,0),cob_adi,BB$40,FALSE)*(1+i/frec)^-0.5*(1+Parámetros!$D$103)*(1+rec_fracc)/frec),6))</f>
        <v/>
      </c>
      <c r="BR828" s="66" t="str">
        <f t="shared" si="1157"/>
        <v/>
      </c>
      <c r="BS828" s="119" t="str">
        <f t="shared" si="1158"/>
        <v/>
      </c>
      <c r="BT828" s="66" t="str">
        <f>+IF($W828="","",ROUND(IF($B828&gt;Parámetros!$D$107,'Tablas Servicio'!BR828+('Tablas Servicio'!BT827-'Tablas Servicio'!BR827),BR828/(1-IF(B828&lt;=10,Parámetros!$D$100,0))),2))</f>
        <v/>
      </c>
      <c r="BU828" s="66" t="str">
        <f t="shared" si="1159"/>
        <v/>
      </c>
      <c r="BV828" s="66" t="str">
        <f t="shared" si="1159"/>
        <v/>
      </c>
      <c r="BW828" s="66" t="str">
        <f>+IF($W828="","",ROUND((BT828*Parámetros!$G$85),2))</f>
        <v/>
      </c>
      <c r="BX828" s="66" t="str">
        <f>+IF($W828="","",ROUND((BT828*(Parámetros!$G$86)),2))</f>
        <v/>
      </c>
      <c r="BY828" s="66" t="str">
        <f t="shared" si="1160"/>
        <v/>
      </c>
      <c r="BZ828" t="str">
        <f t="shared" si="1201"/>
        <v/>
      </c>
      <c r="CA828" t="str">
        <f t="shared" si="1202"/>
        <v/>
      </c>
      <c r="CB828" s="118" t="str">
        <f t="shared" si="1203"/>
        <v/>
      </c>
      <c r="CC828" s="118" t="str">
        <f t="shared" si="1204"/>
        <v/>
      </c>
      <c r="CD828" s="119" t="str">
        <f t="shared" si="1161"/>
        <v/>
      </c>
      <c r="CE828" s="66" t="str">
        <f>+IF($W828="","",ROUND((VLOOKUP(ROUNDDOWN($D828-1/frec,0),cob_adi,BO$40,FALSE)*(1+i/frec)^-0.5*(1+Parámetros!$D$103)*(1+rec_fracc)/frec*'TABLAS ADI'!$BC$17),2))</f>
        <v/>
      </c>
      <c r="CF828" s="119" t="str">
        <f t="shared" si="1162"/>
        <v/>
      </c>
      <c r="CG828" s="66" t="str">
        <f>+IF($W828="","",ROUND(IF($B828&gt;Parámetros!$D$107,'Tablas Servicio'!CE828+('Tablas Servicio'!CG827-'Tablas Servicio'!CE827),CE828/(1-IF(B828&lt;=10,Parámetros!$D$100,0))),2))</f>
        <v/>
      </c>
      <c r="CH828" s="66" t="str">
        <f t="shared" si="1163"/>
        <v/>
      </c>
      <c r="CI828" s="66" t="str">
        <f t="shared" si="1163"/>
        <v/>
      </c>
      <c r="CJ828" s="66" t="str">
        <f>+IF($W828="","",ROUND((CG828*Parámetros!$G$85),2))</f>
        <v/>
      </c>
      <c r="CK828" s="66" t="str">
        <f>+IF($W828="","",ROUND((CG828*(Parámetros!$G$86)),2))</f>
        <v/>
      </c>
      <c r="CL828" s="66" t="str">
        <f t="shared" si="1164"/>
        <v/>
      </c>
      <c r="CM828" t="str">
        <f t="shared" si="1205"/>
        <v/>
      </c>
      <c r="CN828" s="118" t="str">
        <f t="shared" si="1206"/>
        <v/>
      </c>
      <c r="CO828" s="118" t="str">
        <f t="shared" si="1207"/>
        <v/>
      </c>
      <c r="CP828" s="118" t="str">
        <f t="shared" si="1208"/>
        <v/>
      </c>
      <c r="CQ828" s="119" t="str">
        <f t="shared" si="1165"/>
        <v/>
      </c>
      <c r="CR828" s="66" t="str">
        <f>+IF($W828="","",ROUND((VLOOKUP(Parámetros!$F$51,'COBERTURAS ADICIONALES'!$S$4:$T$32,2,FALSE)*(1+i/frec)^-0.5*(1+Parámetros!$D$103)*(1+rec_fracc)/frec*$CO$42),2))</f>
        <v/>
      </c>
      <c r="CS828" s="119" t="str">
        <f t="shared" si="1166"/>
        <v/>
      </c>
      <c r="CT828" s="66" t="str">
        <f>+IF($W828="","",ROUND(IF($B828&gt;Parámetros!$D$107,'Tablas Servicio'!CR828+('Tablas Servicio'!CT827-'Tablas Servicio'!CR827),CR828/(1-IF(B828&lt;=10,Parámetros!$D$100,0))),2))</f>
        <v/>
      </c>
      <c r="CU828" s="66" t="str">
        <f t="shared" si="1167"/>
        <v/>
      </c>
      <c r="CV828" s="66" t="str">
        <f t="shared" si="1167"/>
        <v/>
      </c>
      <c r="CW828" s="66" t="str">
        <f>+IF($W828="","",ROUND((CT828*Parámetros!$G$85),2))</f>
        <v/>
      </c>
      <c r="CX828" s="66" t="str">
        <f>+IF($W828="","",ROUND((CT828*(Parámetros!$G$86)),2))</f>
        <v/>
      </c>
      <c r="CY828" s="66" t="str">
        <f t="shared" si="1168"/>
        <v/>
      </c>
      <c r="CZ828" t="str">
        <f t="shared" si="1209"/>
        <v/>
      </c>
      <c r="DA828" s="118" t="str">
        <f t="shared" si="1210"/>
        <v/>
      </c>
      <c r="DB828" s="118" t="str">
        <f t="shared" si="1211"/>
        <v/>
      </c>
      <c r="DC828" s="118" t="str">
        <f t="shared" si="1212"/>
        <v/>
      </c>
      <c r="DD828" s="121" t="str">
        <f>+IF(OR($W828="",DB828=0),"",ROUND((VLOOKUP(ROUNDDOWN($D828-1/frec,0),cob_adi,CO$40,FALSE)*(1+i/frec)^-0.5*(1+Parámetros!$D$103)*(1+rec_fracc)/frec),6))</f>
        <v/>
      </c>
      <c r="DE828" s="66" t="str">
        <f t="shared" si="1169"/>
        <v/>
      </c>
      <c r="DF828" s="119" t="str">
        <f t="shared" si="1170"/>
        <v/>
      </c>
      <c r="DG828" s="66" t="str">
        <f>+IF($W828="","",ROUND(IF($B828&gt;Parámetros!$D$107,'Tablas Servicio'!DE828+('Tablas Servicio'!DG827-'Tablas Servicio'!DE827),DE828/(1-IF(B828&lt;=10,Parámetros!$D$100,0))),2))</f>
        <v/>
      </c>
      <c r="DH828" s="66" t="str">
        <f t="shared" si="1171"/>
        <v/>
      </c>
      <c r="DI828" s="66" t="str">
        <f t="shared" si="1171"/>
        <v/>
      </c>
      <c r="DJ828" s="66" t="str">
        <f>+IF($W828="","",ROUND((DG828*Parámetros!$G$85),2))</f>
        <v/>
      </c>
      <c r="DK828" s="66" t="str">
        <f>+IF($W828="","",ROUND((DG828*(Parámetros!$G$86)),2))</f>
        <v/>
      </c>
      <c r="DL828" s="66" t="str">
        <f t="shared" si="1172"/>
        <v/>
      </c>
      <c r="DM828" t="str">
        <f t="shared" si="1213"/>
        <v/>
      </c>
      <c r="DN828" s="118" t="str">
        <f t="shared" si="1214"/>
        <v/>
      </c>
      <c r="DO828" s="118" t="str">
        <f t="shared" si="1215"/>
        <v/>
      </c>
      <c r="DP828" s="118" t="str">
        <f t="shared" si="1216"/>
        <v/>
      </c>
      <c r="DQ828" s="122" t="str">
        <f>+IF(OR($W828="",DO828=0),"",ROUND((VLOOKUP(ROUNDDOWN($D828-1/frec,0),cob_adi,DB$40,FALSE)*(1+i/frec)^-0.5*(1+Parámetros!$D$103)*(1+rec_fracc)/frec),6))</f>
        <v/>
      </c>
      <c r="DR828" s="66" t="str">
        <f t="shared" si="1173"/>
        <v/>
      </c>
      <c r="DS828" s="68" t="str">
        <f t="shared" si="1174"/>
        <v/>
      </c>
      <c r="DT828" s="66" t="str">
        <f>+IF($W828="","",ROUND(IF($B828&gt;Parámetros!$D$107,'Tablas Servicio'!DR828+('Tablas Servicio'!DT827-'Tablas Servicio'!DR827),DR828/(1-IF(B828&lt;=10,Parámetros!$D$100,0))),2))</f>
        <v/>
      </c>
      <c r="DU828" s="66" t="str">
        <f t="shared" si="1175"/>
        <v/>
      </c>
      <c r="DV828" s="66" t="str">
        <f t="shared" si="1175"/>
        <v/>
      </c>
      <c r="DW828" s="66" t="str">
        <f>+IF($W828="","",ROUND((DT828*Parámetros!$G$85),2))</f>
        <v/>
      </c>
      <c r="DX828" s="66" t="str">
        <f>+IF($W828="","",ROUND((DT828*(Parámetros!$G$86)),2))</f>
        <v/>
      </c>
      <c r="DY828" s="66" t="str">
        <f t="shared" si="1176"/>
        <v/>
      </c>
      <c r="DZ828" t="str">
        <f t="shared" si="1217"/>
        <v/>
      </c>
      <c r="EA828" s="118" t="str">
        <f t="shared" si="1217"/>
        <v/>
      </c>
      <c r="EB828" s="118" t="str">
        <f>+IF($W828="","",ROUND(IF(Parámetros!$D$25='TABLAS MORT'!$V$33,EB827,Z828/2),0))</f>
        <v/>
      </c>
      <c r="EC828" s="118" t="str">
        <f t="shared" si="1217"/>
        <v/>
      </c>
      <c r="ED828" s="122" t="str">
        <f>+IF(OR($W828="",EB828=0),"",ROUND((VLOOKUP(ROUNDDOWN($D828-1/frec,0),cob_adi,DO$40,FALSE)*(1+i/frec)^-0.5*(1+Parámetros!$D$103)*(1+rec_fracc)/frec),6))</f>
        <v/>
      </c>
      <c r="EE828" s="66" t="str">
        <f t="shared" si="1178"/>
        <v/>
      </c>
      <c r="EF828" s="68" t="str">
        <f t="shared" si="1179"/>
        <v/>
      </c>
      <c r="EG828" s="66" t="str">
        <f>+IF($W828="","",ROUND(IF($B828&gt;Parámetros!$D$107,'Tablas Servicio'!EE828+('Tablas Servicio'!EG827-'Tablas Servicio'!EE827),EE828/(1-IF(B828&lt;=10,Parámetros!$D$100,0))),2))</f>
        <v/>
      </c>
      <c r="EH828" s="66" t="str">
        <f t="shared" si="1180"/>
        <v/>
      </c>
      <c r="EI828" s="66" t="str">
        <f t="shared" si="1180"/>
        <v/>
      </c>
      <c r="EJ828" s="66" t="str">
        <f>+IF($W828="","",ROUND((EG828*Parámetros!$G$85),2))</f>
        <v/>
      </c>
      <c r="EK828" s="66" t="str">
        <f>+IF($W828="","",ROUND((EG828*(Parámetros!$G$86)),2))</f>
        <v/>
      </c>
      <c r="EL828" s="66" t="str">
        <f t="shared" si="1181"/>
        <v/>
      </c>
    </row>
    <row r="829" spans="1:142" x14ac:dyDescent="0.25">
      <c r="A829" t="str">
        <f>+IF($C829="","",ROUND(VLOOKUP('Tablas Servicio'!B829,Parámetros!$H$100:$J$159,IF(Parámetros!$E$16="F",2,3),FALSE),2))</f>
        <v/>
      </c>
      <c r="B829" t="str">
        <f t="shared" si="1132"/>
        <v/>
      </c>
      <c r="C829" s="57" t="str">
        <f>+IF(D829="","",'Tablas Servicio'!C828+1)</f>
        <v/>
      </c>
      <c r="D829" s="56" t="str">
        <f>+IF(D828&lt;edadmaxtabla,D828+1/Parámetros!$E$25,"")</f>
        <v/>
      </c>
      <c r="E829" s="57" t="str">
        <f t="shared" si="1142"/>
        <v/>
      </c>
      <c r="F829" s="59" t="str">
        <f t="shared" si="1143"/>
        <v/>
      </c>
      <c r="G829" s="66" t="str">
        <f t="shared" si="1133"/>
        <v/>
      </c>
      <c r="H829" s="66" t="str">
        <f t="shared" si="1134"/>
        <v/>
      </c>
      <c r="I829" s="66" t="str">
        <f t="shared" si="1182"/>
        <v/>
      </c>
      <c r="J829" s="66" t="str">
        <f t="shared" si="1135"/>
        <v/>
      </c>
      <c r="K829" s="66" t="str">
        <f t="shared" si="1136"/>
        <v/>
      </c>
      <c r="L829" s="66" t="str">
        <f t="shared" si="1137"/>
        <v/>
      </c>
      <c r="M829" s="66" t="str">
        <f t="shared" si="1138"/>
        <v/>
      </c>
      <c r="N829" s="66" t="str">
        <f>+IF(C829="","",ROUND(Parámetros!$D$23,2))</f>
        <v/>
      </c>
      <c r="O829" s="66" t="str">
        <f t="shared" si="1139"/>
        <v/>
      </c>
      <c r="P829" s="66" t="str">
        <f>+IF($C829="","",ROUND(IF(B829&gt;Parámetros!$D$117,0,N829*Parámetros!$D$116-G829*Parámetros!$D$100),2))</f>
        <v/>
      </c>
      <c r="Q829" s="75" t="str">
        <f t="shared" si="1183"/>
        <v/>
      </c>
      <c r="R829" s="75" t="str">
        <f t="shared" si="1184"/>
        <v/>
      </c>
      <c r="S829" s="117" t="str">
        <f>+IF($C829="","",ROUND((S828+I829)*(1+Parámetros!$D$91),2))</f>
        <v/>
      </c>
      <c r="T829" s="117" t="str">
        <f>+IF($C829="","",ROUND(S829*VLOOKUP(B829,Parámetros!$C$30:$D$39,2,TRUE),2))</f>
        <v/>
      </c>
      <c r="U829" s="117" t="str">
        <f>+IF($C829="","",ROUND((U828+I829)*(1+Parámetros!$D$92),2))</f>
        <v/>
      </c>
      <c r="V829" s="117" t="str">
        <f>+IF($C829="","",ROUND(U829*VLOOKUP(B829,Parámetros!$C$30:$D$39,2,TRUE),2))</f>
        <v/>
      </c>
      <c r="W829" s="57" t="str">
        <f t="shared" si="1185"/>
        <v/>
      </c>
      <c r="X829" t="str">
        <f t="shared" si="1186"/>
        <v/>
      </c>
      <c r="Y829" t="str">
        <f t="shared" si="1187"/>
        <v/>
      </c>
      <c r="Z829" s="118" t="str">
        <f>+IF($W829="","",ROUND(IF(Parámetros!$D$25='TABLAS MORT'!$V$33,Z828,Parámetros!$D$21-'Tablas Servicio'!T828),0))</f>
        <v/>
      </c>
      <c r="AA829" s="118" t="str">
        <f t="shared" si="1188"/>
        <v/>
      </c>
      <c r="AB829" s="119" t="str">
        <f>+IF(W829="","",ROUND((VLOOKUP(ROUNDDOWN($D829-1/frec,0),qx_tabla,2,FALSE)*(1+i/frec)^-0.5*(1+Parámetros!$D$103)*(1+rec_fracc)/frec),6))</f>
        <v/>
      </c>
      <c r="AC829" s="66" t="str">
        <f t="shared" si="1144"/>
        <v/>
      </c>
      <c r="AD829" s="119" t="str">
        <f t="shared" si="1140"/>
        <v/>
      </c>
      <c r="AE829" s="66" t="str">
        <f>+IF($W829="","",ROUND(IF($B829&gt;Parámetros!$D$107,'Tablas Servicio'!AC829+('Tablas Servicio'!AG828-'Tablas Servicio'!AC828),AC829/(1-IF(B829&lt;=10,Parámetros!$D$104,Parámetros!$D$105))),2))</f>
        <v/>
      </c>
      <c r="AF829" s="66" t="str">
        <f>+IF($W829="","",ROUND(IF($B829&gt;Parámetros!$D$107,'Tablas Servicio'!AC829+('Tablas Servicio'!AG828-'Tablas Servicio'!AC828),(AC829+$A828/frec)/(1-IF(B829&lt;=Parámetros!$D$117,Parámetros!$D$100,0))),2))</f>
        <v/>
      </c>
      <c r="AG829" s="66" t="str">
        <f t="shared" si="1145"/>
        <v/>
      </c>
      <c r="AH829" s="66" t="str">
        <f t="shared" si="1146"/>
        <v/>
      </c>
      <c r="AI829" s="66" t="str">
        <f t="shared" si="1147"/>
        <v/>
      </c>
      <c r="AJ829" s="66" t="str">
        <f>+IF($W829="","",ROUND((AG829*Parámetros!$G$85),2))</f>
        <v/>
      </c>
      <c r="AK829" s="66" t="str">
        <f>+IF($W829="","",ROUND((AG829*(Parámetros!$G$86)),2))</f>
        <v/>
      </c>
      <c r="AL829" s="66" t="str">
        <f t="shared" si="1141"/>
        <v/>
      </c>
      <c r="AM829" t="str">
        <f t="shared" si="1189"/>
        <v/>
      </c>
      <c r="AN829" t="str">
        <f t="shared" si="1190"/>
        <v/>
      </c>
      <c r="AO829" s="118" t="str">
        <f t="shared" si="1191"/>
        <v/>
      </c>
      <c r="AP829" s="118" t="str">
        <f t="shared" si="1192"/>
        <v/>
      </c>
      <c r="AQ829" s="119" t="str">
        <f>+IF(OR($W829="",AO829=0),"",ROUND((VLOOKUP(ROUNDDOWN($D829-1/frec,0),cob_adi,Z$40,FALSE)*(1+i/frec)^-0.5*(1+Parámetros!$D$103)*(1+rec_fracc)/frec),6))</f>
        <v/>
      </c>
      <c r="AR829" s="66" t="str">
        <f t="shared" si="1148"/>
        <v/>
      </c>
      <c r="AS829" s="119" t="str">
        <f t="shared" si="1149"/>
        <v/>
      </c>
      <c r="AT829" s="66" t="str">
        <f>+IF($W829="","",ROUND(IF($B829&gt;Parámetros!$D$107,'Tablas Servicio'!AR829+('Tablas Servicio'!AT828-'Tablas Servicio'!AR828),AR829/(1-IF(B829&lt;=10,Parámetros!$D$100,0))),2))</f>
        <v/>
      </c>
      <c r="AU829" s="66" t="str">
        <f t="shared" si="1150"/>
        <v/>
      </c>
      <c r="AV829" s="66" t="str">
        <f t="shared" si="1150"/>
        <v/>
      </c>
      <c r="AW829" s="66" t="str">
        <f>+IF($W829="","",ROUND((AT829*Parámetros!$G$85),2))</f>
        <v/>
      </c>
      <c r="AX829" s="66" t="str">
        <f>+IF($W829="","",ROUND((AT829*(Parámetros!$G$86)),2))</f>
        <v/>
      </c>
      <c r="AY829" s="66" t="str">
        <f t="shared" si="1151"/>
        <v/>
      </c>
      <c r="AZ829" t="str">
        <f t="shared" si="1193"/>
        <v/>
      </c>
      <c r="BA829" t="str">
        <f t="shared" si="1194"/>
        <v/>
      </c>
      <c r="BB829" s="118" t="str">
        <f t="shared" si="1195"/>
        <v/>
      </c>
      <c r="BC829" s="118" t="str">
        <f t="shared" si="1196"/>
        <v/>
      </c>
      <c r="BD829" s="119" t="str">
        <f>+IF(OR($W829="",BB829=0),"",ROUND((VLOOKUP(ROUNDDOWN($D829-1/frec,0),cob_adi,AO$40,FALSE)*(1+i/frec)^-0.5*(1+Parámetros!$D$103)*(1+rec_fracc)/frec),6))</f>
        <v/>
      </c>
      <c r="BE829" s="66" t="str">
        <f t="shared" si="1152"/>
        <v/>
      </c>
      <c r="BF829" s="119" t="str">
        <f t="shared" si="1153"/>
        <v/>
      </c>
      <c r="BG829" s="66" t="str">
        <f>+IF($W829="","",ROUND(IF($B829&gt;Parámetros!$D$107,'Tablas Servicio'!BE829+('Tablas Servicio'!BG828-'Tablas Servicio'!BE828),BE829/(1-IF(B829&lt;=10,Parámetros!$D$100,0))),2))</f>
        <v/>
      </c>
      <c r="BH829" s="66" t="str">
        <f t="shared" si="1154"/>
        <v/>
      </c>
      <c r="BI829" s="66" t="str">
        <f t="shared" si="1155"/>
        <v/>
      </c>
      <c r="BJ829" s="66" t="str">
        <f>+IF($W829="","",ROUND((BG829*Parámetros!$G$85),2))</f>
        <v/>
      </c>
      <c r="BK829" s="66" t="str">
        <f>+IF($W829="","",ROUND((BG829*(Parámetros!$G$86)),2))</f>
        <v/>
      </c>
      <c r="BL829" s="66" t="str">
        <f t="shared" si="1156"/>
        <v/>
      </c>
      <c r="BM829" t="str">
        <f t="shared" si="1197"/>
        <v/>
      </c>
      <c r="BN829" t="str">
        <f t="shared" si="1198"/>
        <v/>
      </c>
      <c r="BO829" s="118" t="str">
        <f t="shared" si="1199"/>
        <v/>
      </c>
      <c r="BP829" s="118" t="str">
        <f t="shared" si="1200"/>
        <v/>
      </c>
      <c r="BQ829" s="119" t="str">
        <f>+IF(OR($W829="",BO829=0),"",ROUND((VLOOKUP(ROUNDDOWN($D829-1/frec,0),cob_adi,BB$40,FALSE)*(1+i/frec)^-0.5*(1+Parámetros!$D$103)*(1+rec_fracc)/frec),6))</f>
        <v/>
      </c>
      <c r="BR829" s="66" t="str">
        <f t="shared" si="1157"/>
        <v/>
      </c>
      <c r="BS829" s="119" t="str">
        <f t="shared" si="1158"/>
        <v/>
      </c>
      <c r="BT829" s="66" t="str">
        <f>+IF($W829="","",ROUND(IF($B829&gt;Parámetros!$D$107,'Tablas Servicio'!BR829+('Tablas Servicio'!BT828-'Tablas Servicio'!BR828),BR829/(1-IF(B829&lt;=10,Parámetros!$D$100,0))),2))</f>
        <v/>
      </c>
      <c r="BU829" s="66" t="str">
        <f t="shared" si="1159"/>
        <v/>
      </c>
      <c r="BV829" s="66" t="str">
        <f t="shared" si="1159"/>
        <v/>
      </c>
      <c r="BW829" s="66" t="str">
        <f>+IF($W829="","",ROUND((BT829*Parámetros!$G$85),2))</f>
        <v/>
      </c>
      <c r="BX829" s="66" t="str">
        <f>+IF($W829="","",ROUND((BT829*(Parámetros!$G$86)),2))</f>
        <v/>
      </c>
      <c r="BY829" s="66" t="str">
        <f t="shared" si="1160"/>
        <v/>
      </c>
      <c r="BZ829" t="str">
        <f t="shared" si="1201"/>
        <v/>
      </c>
      <c r="CA829" t="str">
        <f t="shared" si="1202"/>
        <v/>
      </c>
      <c r="CB829" s="118" t="str">
        <f t="shared" si="1203"/>
        <v/>
      </c>
      <c r="CC829" s="118" t="str">
        <f t="shared" si="1204"/>
        <v/>
      </c>
      <c r="CD829" s="119" t="str">
        <f t="shared" si="1161"/>
        <v/>
      </c>
      <c r="CE829" s="66" t="str">
        <f>+IF($W829="","",ROUND((VLOOKUP(ROUNDDOWN($D829-1/frec,0),cob_adi,BO$40,FALSE)*(1+i/frec)^-0.5*(1+Parámetros!$D$103)*(1+rec_fracc)/frec*'TABLAS ADI'!$BC$17),2))</f>
        <v/>
      </c>
      <c r="CF829" s="119" t="str">
        <f t="shared" si="1162"/>
        <v/>
      </c>
      <c r="CG829" s="66" t="str">
        <f>+IF($W829="","",ROUND(IF($B829&gt;Parámetros!$D$107,'Tablas Servicio'!CE829+('Tablas Servicio'!CG828-'Tablas Servicio'!CE828),CE829/(1-IF(B829&lt;=10,Parámetros!$D$100,0))),2))</f>
        <v/>
      </c>
      <c r="CH829" s="66" t="str">
        <f t="shared" si="1163"/>
        <v/>
      </c>
      <c r="CI829" s="66" t="str">
        <f t="shared" si="1163"/>
        <v/>
      </c>
      <c r="CJ829" s="66" t="str">
        <f>+IF($W829="","",ROUND((CG829*Parámetros!$G$85),2))</f>
        <v/>
      </c>
      <c r="CK829" s="66" t="str">
        <f>+IF($W829="","",ROUND((CG829*(Parámetros!$G$86)),2))</f>
        <v/>
      </c>
      <c r="CL829" s="66" t="str">
        <f t="shared" si="1164"/>
        <v/>
      </c>
      <c r="CM829" t="str">
        <f t="shared" si="1205"/>
        <v/>
      </c>
      <c r="CN829" s="118" t="str">
        <f t="shared" si="1206"/>
        <v/>
      </c>
      <c r="CO829" s="118" t="str">
        <f t="shared" si="1207"/>
        <v/>
      </c>
      <c r="CP829" s="118" t="str">
        <f t="shared" si="1208"/>
        <v/>
      </c>
      <c r="CQ829" s="119" t="str">
        <f t="shared" si="1165"/>
        <v/>
      </c>
      <c r="CR829" s="66" t="str">
        <f>+IF($W829="","",ROUND((VLOOKUP(Parámetros!$F$51,'COBERTURAS ADICIONALES'!$S$4:$T$32,2,FALSE)*(1+i/frec)^-0.5*(1+Parámetros!$D$103)*(1+rec_fracc)/frec*$CO$42),2))</f>
        <v/>
      </c>
      <c r="CS829" s="119" t="str">
        <f t="shared" si="1166"/>
        <v/>
      </c>
      <c r="CT829" s="66" t="str">
        <f>+IF($W829="","",ROUND(IF($B829&gt;Parámetros!$D$107,'Tablas Servicio'!CR829+('Tablas Servicio'!CT828-'Tablas Servicio'!CR828),CR829/(1-IF(B829&lt;=10,Parámetros!$D$100,0))),2))</f>
        <v/>
      </c>
      <c r="CU829" s="66" t="str">
        <f t="shared" si="1167"/>
        <v/>
      </c>
      <c r="CV829" s="66" t="str">
        <f t="shared" si="1167"/>
        <v/>
      </c>
      <c r="CW829" s="66" t="str">
        <f>+IF($W829="","",ROUND((CT829*Parámetros!$G$85),2))</f>
        <v/>
      </c>
      <c r="CX829" s="66" t="str">
        <f>+IF($W829="","",ROUND((CT829*(Parámetros!$G$86)),2))</f>
        <v/>
      </c>
      <c r="CY829" s="66" t="str">
        <f t="shared" si="1168"/>
        <v/>
      </c>
      <c r="CZ829" t="str">
        <f t="shared" si="1209"/>
        <v/>
      </c>
      <c r="DA829" s="118" t="str">
        <f t="shared" si="1210"/>
        <v/>
      </c>
      <c r="DB829" s="118" t="str">
        <f t="shared" si="1211"/>
        <v/>
      </c>
      <c r="DC829" s="118" t="str">
        <f t="shared" si="1212"/>
        <v/>
      </c>
      <c r="DD829" s="121" t="str">
        <f>+IF(OR($W829="",DB829=0),"",ROUND((VLOOKUP(ROUNDDOWN($D829-1/frec,0),cob_adi,CO$40,FALSE)*(1+i/frec)^-0.5*(1+Parámetros!$D$103)*(1+rec_fracc)/frec),6))</f>
        <v/>
      </c>
      <c r="DE829" s="66" t="str">
        <f t="shared" si="1169"/>
        <v/>
      </c>
      <c r="DF829" s="119" t="str">
        <f t="shared" si="1170"/>
        <v/>
      </c>
      <c r="DG829" s="66" t="str">
        <f>+IF($W829="","",ROUND(IF($B829&gt;Parámetros!$D$107,'Tablas Servicio'!DE829+('Tablas Servicio'!DG828-'Tablas Servicio'!DE828),DE829/(1-IF(B829&lt;=10,Parámetros!$D$100,0))),2))</f>
        <v/>
      </c>
      <c r="DH829" s="66" t="str">
        <f t="shared" si="1171"/>
        <v/>
      </c>
      <c r="DI829" s="66" t="str">
        <f t="shared" si="1171"/>
        <v/>
      </c>
      <c r="DJ829" s="66" t="str">
        <f>+IF($W829="","",ROUND((DG829*Parámetros!$G$85),2))</f>
        <v/>
      </c>
      <c r="DK829" s="66" t="str">
        <f>+IF($W829="","",ROUND((DG829*(Parámetros!$G$86)),2))</f>
        <v/>
      </c>
      <c r="DL829" s="66" t="str">
        <f t="shared" si="1172"/>
        <v/>
      </c>
      <c r="DM829" t="str">
        <f t="shared" si="1213"/>
        <v/>
      </c>
      <c r="DN829" s="118" t="str">
        <f t="shared" si="1214"/>
        <v/>
      </c>
      <c r="DO829" s="118" t="str">
        <f t="shared" si="1215"/>
        <v/>
      </c>
      <c r="DP829" s="118" t="str">
        <f t="shared" si="1216"/>
        <v/>
      </c>
      <c r="DQ829" s="122" t="str">
        <f>+IF(OR($W829="",DO829=0),"",ROUND((VLOOKUP(ROUNDDOWN($D829-1/frec,0),cob_adi,DB$40,FALSE)*(1+i/frec)^-0.5*(1+Parámetros!$D$103)*(1+rec_fracc)/frec),6))</f>
        <v/>
      </c>
      <c r="DR829" s="66" t="str">
        <f t="shared" si="1173"/>
        <v/>
      </c>
      <c r="DS829" s="68" t="str">
        <f t="shared" si="1174"/>
        <v/>
      </c>
      <c r="DT829" s="66" t="str">
        <f>+IF($W829="","",ROUND(IF($B829&gt;Parámetros!$D$107,'Tablas Servicio'!DR829+('Tablas Servicio'!DT828-'Tablas Servicio'!DR828),DR829/(1-IF(B829&lt;=10,Parámetros!$D$100,0))),2))</f>
        <v/>
      </c>
      <c r="DU829" s="66" t="str">
        <f t="shared" si="1175"/>
        <v/>
      </c>
      <c r="DV829" s="66" t="str">
        <f t="shared" si="1175"/>
        <v/>
      </c>
      <c r="DW829" s="66" t="str">
        <f>+IF($W829="","",ROUND((DT829*Parámetros!$G$85),2))</f>
        <v/>
      </c>
      <c r="DX829" s="66" t="str">
        <f>+IF($W829="","",ROUND((DT829*(Parámetros!$G$86)),2))</f>
        <v/>
      </c>
      <c r="DY829" s="66" t="str">
        <f t="shared" si="1176"/>
        <v/>
      </c>
      <c r="DZ829" t="str">
        <f t="shared" si="1217"/>
        <v/>
      </c>
      <c r="EA829" s="118" t="str">
        <f t="shared" si="1217"/>
        <v/>
      </c>
      <c r="EB829" s="118" t="str">
        <f>+IF($W829="","",ROUND(IF(Parámetros!$D$25='TABLAS MORT'!$V$33,EB828,Z829/2),0))</f>
        <v/>
      </c>
      <c r="EC829" s="118" t="str">
        <f t="shared" si="1217"/>
        <v/>
      </c>
      <c r="ED829" s="122" t="str">
        <f>+IF(OR($W829="",EB829=0),"",ROUND((VLOOKUP(ROUNDDOWN($D829-1/frec,0),cob_adi,DO$40,FALSE)*(1+i/frec)^-0.5*(1+Parámetros!$D$103)*(1+rec_fracc)/frec),6))</f>
        <v/>
      </c>
      <c r="EE829" s="66" t="str">
        <f t="shared" si="1178"/>
        <v/>
      </c>
      <c r="EF829" s="68" t="str">
        <f t="shared" si="1179"/>
        <v/>
      </c>
      <c r="EG829" s="66" t="str">
        <f>+IF($W829="","",ROUND(IF($B829&gt;Parámetros!$D$107,'Tablas Servicio'!EE829+('Tablas Servicio'!EG828-'Tablas Servicio'!EE828),EE829/(1-IF(B829&lt;=10,Parámetros!$D$100,0))),2))</f>
        <v/>
      </c>
      <c r="EH829" s="66" t="str">
        <f t="shared" si="1180"/>
        <v/>
      </c>
      <c r="EI829" s="66" t="str">
        <f t="shared" si="1180"/>
        <v/>
      </c>
      <c r="EJ829" s="66" t="str">
        <f>+IF($W829="","",ROUND((EG829*Parámetros!$G$85),2))</f>
        <v/>
      </c>
      <c r="EK829" s="66" t="str">
        <f>+IF($W829="","",ROUND((EG829*(Parámetros!$G$86)),2))</f>
        <v/>
      </c>
      <c r="EL829" s="66" t="str">
        <f t="shared" si="1181"/>
        <v/>
      </c>
    </row>
    <row r="830" spans="1:142" x14ac:dyDescent="0.25">
      <c r="A830" t="str">
        <f>+IF($C830="","",ROUND(VLOOKUP('Tablas Servicio'!B830,Parámetros!$H$100:$J$159,IF(Parámetros!$E$16="F",2,3),FALSE),2))</f>
        <v/>
      </c>
      <c r="B830" t="str">
        <f t="shared" si="1132"/>
        <v/>
      </c>
      <c r="C830" s="57" t="str">
        <f>+IF(D830="","",'Tablas Servicio'!C829+1)</f>
        <v/>
      </c>
      <c r="D830" s="56" t="str">
        <f>+IF(D829&lt;edadmaxtabla,D829+1/Parámetros!$E$25,"")</f>
        <v/>
      </c>
      <c r="E830" s="57" t="str">
        <f t="shared" si="1142"/>
        <v/>
      </c>
      <c r="F830" s="59" t="str">
        <f t="shared" si="1143"/>
        <v/>
      </c>
      <c r="G830" s="66" t="str">
        <f t="shared" si="1133"/>
        <v/>
      </c>
      <c r="H830" s="66" t="str">
        <f t="shared" si="1134"/>
        <v/>
      </c>
      <c r="I830" s="66" t="str">
        <f t="shared" si="1182"/>
        <v/>
      </c>
      <c r="J830" s="66" t="str">
        <f t="shared" si="1135"/>
        <v/>
      </c>
      <c r="K830" s="66" t="str">
        <f t="shared" si="1136"/>
        <v/>
      </c>
      <c r="L830" s="66" t="str">
        <f t="shared" si="1137"/>
        <v/>
      </c>
      <c r="M830" s="66" t="str">
        <f t="shared" si="1138"/>
        <v/>
      </c>
      <c r="N830" s="66" t="str">
        <f>+IF(C830="","",ROUND(Parámetros!$D$23,2))</f>
        <v/>
      </c>
      <c r="O830" s="66" t="str">
        <f t="shared" si="1139"/>
        <v/>
      </c>
      <c r="P830" s="66" t="str">
        <f>+IF($C830="","",ROUND(IF(B830&gt;Parámetros!$D$117,0,N830*Parámetros!$D$116-G830*Parámetros!$D$100),2))</f>
        <v/>
      </c>
      <c r="Q830" s="75" t="str">
        <f t="shared" si="1183"/>
        <v/>
      </c>
      <c r="R830" s="75" t="str">
        <f t="shared" si="1184"/>
        <v/>
      </c>
      <c r="S830" s="117" t="str">
        <f>+IF($C830="","",ROUND((S829+I830)*(1+Parámetros!$D$91),2))</f>
        <v/>
      </c>
      <c r="T830" s="117" t="str">
        <f>+IF($C830="","",ROUND(S830*VLOOKUP(B830,Parámetros!$C$30:$D$39,2,TRUE),2))</f>
        <v/>
      </c>
      <c r="U830" s="117" t="str">
        <f>+IF($C830="","",ROUND((U829+I830)*(1+Parámetros!$D$92),2))</f>
        <v/>
      </c>
      <c r="V830" s="117" t="str">
        <f>+IF($C830="","",ROUND(U830*VLOOKUP(B830,Parámetros!$C$30:$D$39,2,TRUE),2))</f>
        <v/>
      </c>
      <c r="W830" s="57" t="str">
        <f t="shared" si="1185"/>
        <v/>
      </c>
      <c r="X830" t="str">
        <f t="shared" si="1186"/>
        <v/>
      </c>
      <c r="Y830" t="str">
        <f t="shared" si="1187"/>
        <v/>
      </c>
      <c r="Z830" s="118" t="str">
        <f>+IF($W830="","",ROUND(IF(Parámetros!$D$25='TABLAS MORT'!$V$33,Z829,Parámetros!$D$21-'Tablas Servicio'!T829),0))</f>
        <v/>
      </c>
      <c r="AA830" s="118" t="str">
        <f t="shared" si="1188"/>
        <v/>
      </c>
      <c r="AB830" s="119" t="str">
        <f>+IF(W830="","",ROUND((VLOOKUP(ROUNDDOWN($D830-1/frec,0),qx_tabla,2,FALSE)*(1+i/frec)^-0.5*(1+Parámetros!$D$103)*(1+rec_fracc)/frec),6))</f>
        <v/>
      </c>
      <c r="AC830" s="66" t="str">
        <f t="shared" si="1144"/>
        <v/>
      </c>
      <c r="AD830" s="119" t="str">
        <f t="shared" si="1140"/>
        <v/>
      </c>
      <c r="AE830" s="66" t="str">
        <f>+IF($W830="","",ROUND(IF($B830&gt;Parámetros!$D$107,'Tablas Servicio'!AC830+('Tablas Servicio'!AG829-'Tablas Servicio'!AC829),AC830/(1-IF(B830&lt;=10,Parámetros!$D$104,Parámetros!$D$105))),2))</f>
        <v/>
      </c>
      <c r="AF830" s="66" t="str">
        <f>+IF($W830="","",ROUND(IF($B830&gt;Parámetros!$D$107,'Tablas Servicio'!AC830+('Tablas Servicio'!AG829-'Tablas Servicio'!AC829),(AC830+$A829/frec)/(1-IF(B830&lt;=Parámetros!$D$117,Parámetros!$D$100,0))),2))</f>
        <v/>
      </c>
      <c r="AG830" s="66" t="str">
        <f t="shared" si="1145"/>
        <v/>
      </c>
      <c r="AH830" s="66" t="str">
        <f t="shared" si="1146"/>
        <v/>
      </c>
      <c r="AI830" s="66" t="str">
        <f t="shared" si="1147"/>
        <v/>
      </c>
      <c r="AJ830" s="66" t="str">
        <f>+IF($W830="","",ROUND((AG830*Parámetros!$G$85),2))</f>
        <v/>
      </c>
      <c r="AK830" s="66" t="str">
        <f>+IF($W830="","",ROUND((AG830*(Parámetros!$G$86)),2))</f>
        <v/>
      </c>
      <c r="AL830" s="66" t="str">
        <f t="shared" si="1141"/>
        <v/>
      </c>
      <c r="AM830" t="str">
        <f t="shared" si="1189"/>
        <v/>
      </c>
      <c r="AN830" t="str">
        <f t="shared" si="1190"/>
        <v/>
      </c>
      <c r="AO830" s="118" t="str">
        <f t="shared" si="1191"/>
        <v/>
      </c>
      <c r="AP830" s="118" t="str">
        <f t="shared" si="1192"/>
        <v/>
      </c>
      <c r="AQ830" s="119" t="str">
        <f>+IF(OR($W830="",AO830=0),"",ROUND((VLOOKUP(ROUNDDOWN($D830-1/frec,0),cob_adi,Z$40,FALSE)*(1+i/frec)^-0.5*(1+Parámetros!$D$103)*(1+rec_fracc)/frec),6))</f>
        <v/>
      </c>
      <c r="AR830" s="66" t="str">
        <f t="shared" si="1148"/>
        <v/>
      </c>
      <c r="AS830" s="119" t="str">
        <f t="shared" si="1149"/>
        <v/>
      </c>
      <c r="AT830" s="66" t="str">
        <f>+IF($W830="","",ROUND(IF($B830&gt;Parámetros!$D$107,'Tablas Servicio'!AR830+('Tablas Servicio'!AT829-'Tablas Servicio'!AR829),AR830/(1-IF(B830&lt;=10,Parámetros!$D$100,0))),2))</f>
        <v/>
      </c>
      <c r="AU830" s="66" t="str">
        <f t="shared" si="1150"/>
        <v/>
      </c>
      <c r="AV830" s="66" t="str">
        <f t="shared" si="1150"/>
        <v/>
      </c>
      <c r="AW830" s="66" t="str">
        <f>+IF($W830="","",ROUND((AT830*Parámetros!$G$85),2))</f>
        <v/>
      </c>
      <c r="AX830" s="66" t="str">
        <f>+IF($W830="","",ROUND((AT830*(Parámetros!$G$86)),2))</f>
        <v/>
      </c>
      <c r="AY830" s="66" t="str">
        <f t="shared" si="1151"/>
        <v/>
      </c>
      <c r="AZ830" t="str">
        <f t="shared" si="1193"/>
        <v/>
      </c>
      <c r="BA830" t="str">
        <f t="shared" si="1194"/>
        <v/>
      </c>
      <c r="BB830" s="118" t="str">
        <f t="shared" si="1195"/>
        <v/>
      </c>
      <c r="BC830" s="118" t="str">
        <f t="shared" si="1196"/>
        <v/>
      </c>
      <c r="BD830" s="119" t="str">
        <f>+IF(OR($W830="",BB830=0),"",ROUND((VLOOKUP(ROUNDDOWN($D830-1/frec,0),cob_adi,AO$40,FALSE)*(1+i/frec)^-0.5*(1+Parámetros!$D$103)*(1+rec_fracc)/frec),6))</f>
        <v/>
      </c>
      <c r="BE830" s="66" t="str">
        <f t="shared" si="1152"/>
        <v/>
      </c>
      <c r="BF830" s="119" t="str">
        <f t="shared" si="1153"/>
        <v/>
      </c>
      <c r="BG830" s="66" t="str">
        <f>+IF($W830="","",ROUND(IF($B830&gt;Parámetros!$D$107,'Tablas Servicio'!BE830+('Tablas Servicio'!BG829-'Tablas Servicio'!BE829),BE830/(1-IF(B830&lt;=10,Parámetros!$D$100,0))),2))</f>
        <v/>
      </c>
      <c r="BH830" s="66" t="str">
        <f t="shared" si="1154"/>
        <v/>
      </c>
      <c r="BI830" s="66" t="str">
        <f t="shared" si="1155"/>
        <v/>
      </c>
      <c r="BJ830" s="66" t="str">
        <f>+IF($W830="","",ROUND((BG830*Parámetros!$G$85),2))</f>
        <v/>
      </c>
      <c r="BK830" s="66" t="str">
        <f>+IF($W830="","",ROUND((BG830*(Parámetros!$G$86)),2))</f>
        <v/>
      </c>
      <c r="BL830" s="66" t="str">
        <f t="shared" si="1156"/>
        <v/>
      </c>
      <c r="BM830" t="str">
        <f t="shared" si="1197"/>
        <v/>
      </c>
      <c r="BN830" t="str">
        <f t="shared" si="1198"/>
        <v/>
      </c>
      <c r="BO830" s="118" t="str">
        <f t="shared" si="1199"/>
        <v/>
      </c>
      <c r="BP830" s="118" t="str">
        <f t="shared" si="1200"/>
        <v/>
      </c>
      <c r="BQ830" s="119" t="str">
        <f>+IF(OR($W830="",BO830=0),"",ROUND((VLOOKUP(ROUNDDOWN($D830-1/frec,0),cob_adi,BB$40,FALSE)*(1+i/frec)^-0.5*(1+Parámetros!$D$103)*(1+rec_fracc)/frec),6))</f>
        <v/>
      </c>
      <c r="BR830" s="66" t="str">
        <f t="shared" si="1157"/>
        <v/>
      </c>
      <c r="BS830" s="119" t="str">
        <f t="shared" si="1158"/>
        <v/>
      </c>
      <c r="BT830" s="66" t="str">
        <f>+IF($W830="","",ROUND(IF($B830&gt;Parámetros!$D$107,'Tablas Servicio'!BR830+('Tablas Servicio'!BT829-'Tablas Servicio'!BR829),BR830/(1-IF(B830&lt;=10,Parámetros!$D$100,0))),2))</f>
        <v/>
      </c>
      <c r="BU830" s="66" t="str">
        <f t="shared" si="1159"/>
        <v/>
      </c>
      <c r="BV830" s="66" t="str">
        <f t="shared" si="1159"/>
        <v/>
      </c>
      <c r="BW830" s="66" t="str">
        <f>+IF($W830="","",ROUND((BT830*Parámetros!$G$85),2))</f>
        <v/>
      </c>
      <c r="BX830" s="66" t="str">
        <f>+IF($W830="","",ROUND((BT830*(Parámetros!$G$86)),2))</f>
        <v/>
      </c>
      <c r="BY830" s="66" t="str">
        <f t="shared" si="1160"/>
        <v/>
      </c>
      <c r="BZ830" t="str">
        <f t="shared" si="1201"/>
        <v/>
      </c>
      <c r="CA830" t="str">
        <f t="shared" si="1202"/>
        <v/>
      </c>
      <c r="CB830" s="118" t="str">
        <f t="shared" si="1203"/>
        <v/>
      </c>
      <c r="CC830" s="118" t="str">
        <f t="shared" si="1204"/>
        <v/>
      </c>
      <c r="CD830" s="119" t="str">
        <f t="shared" si="1161"/>
        <v/>
      </c>
      <c r="CE830" s="66" t="str">
        <f>+IF($W830="","",ROUND((VLOOKUP(ROUNDDOWN($D830-1/frec,0),cob_adi,BO$40,FALSE)*(1+i/frec)^-0.5*(1+Parámetros!$D$103)*(1+rec_fracc)/frec*'TABLAS ADI'!$BC$17),2))</f>
        <v/>
      </c>
      <c r="CF830" s="119" t="str">
        <f t="shared" si="1162"/>
        <v/>
      </c>
      <c r="CG830" s="66" t="str">
        <f>+IF($W830="","",ROUND(IF($B830&gt;Parámetros!$D$107,'Tablas Servicio'!CE830+('Tablas Servicio'!CG829-'Tablas Servicio'!CE829),CE830/(1-IF(B830&lt;=10,Parámetros!$D$100,0))),2))</f>
        <v/>
      </c>
      <c r="CH830" s="66" t="str">
        <f t="shared" si="1163"/>
        <v/>
      </c>
      <c r="CI830" s="66" t="str">
        <f t="shared" si="1163"/>
        <v/>
      </c>
      <c r="CJ830" s="66" t="str">
        <f>+IF($W830="","",ROUND((CG830*Parámetros!$G$85),2))</f>
        <v/>
      </c>
      <c r="CK830" s="66" t="str">
        <f>+IF($W830="","",ROUND((CG830*(Parámetros!$G$86)),2))</f>
        <v/>
      </c>
      <c r="CL830" s="66" t="str">
        <f t="shared" si="1164"/>
        <v/>
      </c>
      <c r="CM830" t="str">
        <f t="shared" si="1205"/>
        <v/>
      </c>
      <c r="CN830" s="118" t="str">
        <f t="shared" si="1206"/>
        <v/>
      </c>
      <c r="CO830" s="118" t="str">
        <f t="shared" si="1207"/>
        <v/>
      </c>
      <c r="CP830" s="118" t="str">
        <f t="shared" si="1208"/>
        <v/>
      </c>
      <c r="CQ830" s="119" t="str">
        <f t="shared" si="1165"/>
        <v/>
      </c>
      <c r="CR830" s="66" t="str">
        <f>+IF($W830="","",ROUND((VLOOKUP(Parámetros!$F$51,'COBERTURAS ADICIONALES'!$S$4:$T$32,2,FALSE)*(1+i/frec)^-0.5*(1+Parámetros!$D$103)*(1+rec_fracc)/frec*$CO$42),2))</f>
        <v/>
      </c>
      <c r="CS830" s="119" t="str">
        <f t="shared" si="1166"/>
        <v/>
      </c>
      <c r="CT830" s="66" t="str">
        <f>+IF($W830="","",ROUND(IF($B830&gt;Parámetros!$D$107,'Tablas Servicio'!CR830+('Tablas Servicio'!CT829-'Tablas Servicio'!CR829),CR830/(1-IF(B830&lt;=10,Parámetros!$D$100,0))),2))</f>
        <v/>
      </c>
      <c r="CU830" s="66" t="str">
        <f t="shared" si="1167"/>
        <v/>
      </c>
      <c r="CV830" s="66" t="str">
        <f t="shared" si="1167"/>
        <v/>
      </c>
      <c r="CW830" s="66" t="str">
        <f>+IF($W830="","",ROUND((CT830*Parámetros!$G$85),2))</f>
        <v/>
      </c>
      <c r="CX830" s="66" t="str">
        <f>+IF($W830="","",ROUND((CT830*(Parámetros!$G$86)),2))</f>
        <v/>
      </c>
      <c r="CY830" s="66" t="str">
        <f t="shared" si="1168"/>
        <v/>
      </c>
      <c r="CZ830" t="str">
        <f t="shared" si="1209"/>
        <v/>
      </c>
      <c r="DA830" s="118" t="str">
        <f t="shared" si="1210"/>
        <v/>
      </c>
      <c r="DB830" s="118" t="str">
        <f t="shared" si="1211"/>
        <v/>
      </c>
      <c r="DC830" s="118" t="str">
        <f t="shared" si="1212"/>
        <v/>
      </c>
      <c r="DD830" s="121" t="str">
        <f>+IF(OR($W830="",DB830=0),"",ROUND((VLOOKUP(ROUNDDOWN($D830-1/frec,0),cob_adi,CO$40,FALSE)*(1+i/frec)^-0.5*(1+Parámetros!$D$103)*(1+rec_fracc)/frec),6))</f>
        <v/>
      </c>
      <c r="DE830" s="66" t="str">
        <f t="shared" si="1169"/>
        <v/>
      </c>
      <c r="DF830" s="119" t="str">
        <f t="shared" si="1170"/>
        <v/>
      </c>
      <c r="DG830" s="66" t="str">
        <f>+IF($W830="","",ROUND(IF($B830&gt;Parámetros!$D$107,'Tablas Servicio'!DE830+('Tablas Servicio'!DG829-'Tablas Servicio'!DE829),DE830/(1-IF(B830&lt;=10,Parámetros!$D$100,0))),2))</f>
        <v/>
      </c>
      <c r="DH830" s="66" t="str">
        <f t="shared" si="1171"/>
        <v/>
      </c>
      <c r="DI830" s="66" t="str">
        <f t="shared" si="1171"/>
        <v/>
      </c>
      <c r="DJ830" s="66" t="str">
        <f>+IF($W830="","",ROUND((DG830*Parámetros!$G$85),2))</f>
        <v/>
      </c>
      <c r="DK830" s="66" t="str">
        <f>+IF($W830="","",ROUND((DG830*(Parámetros!$G$86)),2))</f>
        <v/>
      </c>
      <c r="DL830" s="66" t="str">
        <f t="shared" si="1172"/>
        <v/>
      </c>
      <c r="DM830" t="str">
        <f t="shared" si="1213"/>
        <v/>
      </c>
      <c r="DN830" s="118" t="str">
        <f t="shared" si="1214"/>
        <v/>
      </c>
      <c r="DO830" s="118" t="str">
        <f t="shared" si="1215"/>
        <v/>
      </c>
      <c r="DP830" s="118" t="str">
        <f t="shared" si="1216"/>
        <v/>
      </c>
      <c r="DQ830" s="122" t="str">
        <f>+IF(OR($W830="",DO830=0),"",ROUND((VLOOKUP(ROUNDDOWN($D830-1/frec,0),cob_adi,DB$40,FALSE)*(1+i/frec)^-0.5*(1+Parámetros!$D$103)*(1+rec_fracc)/frec),6))</f>
        <v/>
      </c>
      <c r="DR830" s="66" t="str">
        <f t="shared" si="1173"/>
        <v/>
      </c>
      <c r="DS830" s="68" t="str">
        <f t="shared" si="1174"/>
        <v/>
      </c>
      <c r="DT830" s="66" t="str">
        <f>+IF($W830="","",ROUND(IF($B830&gt;Parámetros!$D$107,'Tablas Servicio'!DR830+('Tablas Servicio'!DT829-'Tablas Servicio'!DR829),DR830/(1-IF(B830&lt;=10,Parámetros!$D$100,0))),2))</f>
        <v/>
      </c>
      <c r="DU830" s="66" t="str">
        <f t="shared" si="1175"/>
        <v/>
      </c>
      <c r="DV830" s="66" t="str">
        <f t="shared" si="1175"/>
        <v/>
      </c>
      <c r="DW830" s="66" t="str">
        <f>+IF($W830="","",ROUND((DT830*Parámetros!$G$85),2))</f>
        <v/>
      </c>
      <c r="DX830" s="66" t="str">
        <f>+IF($W830="","",ROUND((DT830*(Parámetros!$G$86)),2))</f>
        <v/>
      </c>
      <c r="DY830" s="66" t="str">
        <f t="shared" si="1176"/>
        <v/>
      </c>
      <c r="DZ830" t="str">
        <f t="shared" si="1217"/>
        <v/>
      </c>
      <c r="EA830" s="118" t="str">
        <f t="shared" si="1217"/>
        <v/>
      </c>
      <c r="EB830" s="118" t="str">
        <f>+IF($W830="","",ROUND(IF(Parámetros!$D$25='TABLAS MORT'!$V$33,EB829,Z830/2),0))</f>
        <v/>
      </c>
      <c r="EC830" s="118" t="str">
        <f t="shared" si="1217"/>
        <v/>
      </c>
      <c r="ED830" s="122" t="str">
        <f>+IF(OR($W830="",EB830=0),"",ROUND((VLOOKUP(ROUNDDOWN($D830-1/frec,0),cob_adi,DO$40,FALSE)*(1+i/frec)^-0.5*(1+Parámetros!$D$103)*(1+rec_fracc)/frec),6))</f>
        <v/>
      </c>
      <c r="EE830" s="66" t="str">
        <f t="shared" si="1178"/>
        <v/>
      </c>
      <c r="EF830" s="68" t="str">
        <f t="shared" si="1179"/>
        <v/>
      </c>
      <c r="EG830" s="66" t="str">
        <f>+IF($W830="","",ROUND(IF($B830&gt;Parámetros!$D$107,'Tablas Servicio'!EE830+('Tablas Servicio'!EG829-'Tablas Servicio'!EE829),EE830/(1-IF(B830&lt;=10,Parámetros!$D$100,0))),2))</f>
        <v/>
      </c>
      <c r="EH830" s="66" t="str">
        <f t="shared" si="1180"/>
        <v/>
      </c>
      <c r="EI830" s="66" t="str">
        <f t="shared" si="1180"/>
        <v/>
      </c>
      <c r="EJ830" s="66" t="str">
        <f>+IF($W830="","",ROUND((EG830*Parámetros!$G$85),2))</f>
        <v/>
      </c>
      <c r="EK830" s="66" t="str">
        <f>+IF($W830="","",ROUND((EG830*(Parámetros!$G$86)),2))</f>
        <v/>
      </c>
      <c r="EL830" s="66" t="str">
        <f t="shared" si="1181"/>
        <v/>
      </c>
    </row>
    <row r="831" spans="1:142" x14ac:dyDescent="0.25">
      <c r="A831" t="str">
        <f>+IF($C831="","",ROUND(VLOOKUP('Tablas Servicio'!B831,Parámetros!$H$100:$J$159,IF(Parámetros!$E$16="F",2,3),FALSE),2))</f>
        <v/>
      </c>
      <c r="B831" t="str">
        <f t="shared" si="1132"/>
        <v/>
      </c>
      <c r="C831" s="57" t="str">
        <f>+IF(D831="","",'Tablas Servicio'!C830+1)</f>
        <v/>
      </c>
      <c r="D831" s="56" t="str">
        <f>+IF(D830&lt;edadmaxtabla,D830+1/Parámetros!$E$25,"")</f>
        <v/>
      </c>
      <c r="E831" s="57" t="str">
        <f t="shared" si="1142"/>
        <v/>
      </c>
      <c r="F831" s="59" t="str">
        <f t="shared" si="1143"/>
        <v/>
      </c>
      <c r="G831" s="66" t="str">
        <f t="shared" si="1133"/>
        <v/>
      </c>
      <c r="H831" s="66" t="str">
        <f t="shared" si="1134"/>
        <v/>
      </c>
      <c r="I831" s="66" t="str">
        <f t="shared" si="1182"/>
        <v/>
      </c>
      <c r="J831" s="66" t="str">
        <f t="shared" si="1135"/>
        <v/>
      </c>
      <c r="K831" s="66" t="str">
        <f t="shared" si="1136"/>
        <v/>
      </c>
      <c r="L831" s="66" t="str">
        <f t="shared" si="1137"/>
        <v/>
      </c>
      <c r="M831" s="66" t="str">
        <f t="shared" si="1138"/>
        <v/>
      </c>
      <c r="N831" s="66" t="str">
        <f>+IF(C831="","",ROUND(Parámetros!$D$23,2))</f>
        <v/>
      </c>
      <c r="O831" s="66" t="str">
        <f t="shared" si="1139"/>
        <v/>
      </c>
      <c r="P831" s="66" t="str">
        <f>+IF($C831="","",ROUND(IF(B831&gt;Parámetros!$D$117,0,N831*Parámetros!$D$116-G831*Parámetros!$D$100),2))</f>
        <v/>
      </c>
      <c r="Q831" s="75" t="str">
        <f t="shared" si="1183"/>
        <v/>
      </c>
      <c r="R831" s="75" t="str">
        <f t="shared" si="1184"/>
        <v/>
      </c>
      <c r="S831" s="117" t="str">
        <f>+IF($C831="","",ROUND((S830+I831)*(1+Parámetros!$D$91),2))</f>
        <v/>
      </c>
      <c r="T831" s="117" t="str">
        <f>+IF($C831="","",ROUND(S831*VLOOKUP(B831,Parámetros!$C$30:$D$39,2,TRUE),2))</f>
        <v/>
      </c>
      <c r="U831" s="117" t="str">
        <f>+IF($C831="","",ROUND((U830+I831)*(1+Parámetros!$D$92),2))</f>
        <v/>
      </c>
      <c r="V831" s="117" t="str">
        <f>+IF($C831="","",ROUND(U831*VLOOKUP(B831,Parámetros!$C$30:$D$39,2,TRUE),2))</f>
        <v/>
      </c>
      <c r="W831" s="57" t="str">
        <f t="shared" si="1185"/>
        <v/>
      </c>
      <c r="X831" t="str">
        <f t="shared" si="1186"/>
        <v/>
      </c>
      <c r="Y831" t="str">
        <f t="shared" si="1187"/>
        <v/>
      </c>
      <c r="Z831" s="118" t="str">
        <f>+IF($W831="","",ROUND(IF(Parámetros!$D$25='TABLAS MORT'!$V$33,Z830,Parámetros!$D$21-'Tablas Servicio'!T830),0))</f>
        <v/>
      </c>
      <c r="AA831" s="118" t="str">
        <f t="shared" si="1188"/>
        <v/>
      </c>
      <c r="AB831" s="119" t="str">
        <f>+IF(W831="","",ROUND((VLOOKUP(ROUNDDOWN($D831-1/frec,0),qx_tabla,2,FALSE)*(1+i/frec)^-0.5*(1+Parámetros!$D$103)*(1+rec_fracc)/frec),6))</f>
        <v/>
      </c>
      <c r="AC831" s="66" t="str">
        <f t="shared" si="1144"/>
        <v/>
      </c>
      <c r="AD831" s="119" t="str">
        <f t="shared" si="1140"/>
        <v/>
      </c>
      <c r="AE831" s="66" t="str">
        <f>+IF($W831="","",ROUND(IF($B831&gt;Parámetros!$D$107,'Tablas Servicio'!AC831+('Tablas Servicio'!AG830-'Tablas Servicio'!AC830),AC831/(1-IF(B831&lt;=10,Parámetros!$D$104,Parámetros!$D$105))),2))</f>
        <v/>
      </c>
      <c r="AF831" s="66" t="str">
        <f>+IF($W831="","",ROUND(IF($B831&gt;Parámetros!$D$107,'Tablas Servicio'!AC831+('Tablas Servicio'!AG830-'Tablas Servicio'!AC830),(AC831+$A830/frec)/(1-IF(B831&lt;=Parámetros!$D$117,Parámetros!$D$100,0))),2))</f>
        <v/>
      </c>
      <c r="AG831" s="66" t="str">
        <f t="shared" si="1145"/>
        <v/>
      </c>
      <c r="AH831" s="66" t="str">
        <f t="shared" si="1146"/>
        <v/>
      </c>
      <c r="AI831" s="66" t="str">
        <f t="shared" si="1147"/>
        <v/>
      </c>
      <c r="AJ831" s="66" t="str">
        <f>+IF($W831="","",ROUND((AG831*Parámetros!$G$85),2))</f>
        <v/>
      </c>
      <c r="AK831" s="66" t="str">
        <f>+IF($W831="","",ROUND((AG831*(Parámetros!$G$86)),2))</f>
        <v/>
      </c>
      <c r="AL831" s="66" t="str">
        <f t="shared" si="1141"/>
        <v/>
      </c>
      <c r="AM831" t="str">
        <f t="shared" si="1189"/>
        <v/>
      </c>
      <c r="AN831" t="str">
        <f t="shared" si="1190"/>
        <v/>
      </c>
      <c r="AO831" s="118" t="str">
        <f t="shared" si="1191"/>
        <v/>
      </c>
      <c r="AP831" s="118" t="str">
        <f t="shared" si="1192"/>
        <v/>
      </c>
      <c r="AQ831" s="119" t="str">
        <f>+IF(OR($W831="",AO831=0),"",ROUND((VLOOKUP(ROUNDDOWN($D831-1/frec,0),cob_adi,Z$40,FALSE)*(1+i/frec)^-0.5*(1+Parámetros!$D$103)*(1+rec_fracc)/frec),6))</f>
        <v/>
      </c>
      <c r="AR831" s="66" t="str">
        <f t="shared" si="1148"/>
        <v/>
      </c>
      <c r="AS831" s="119" t="str">
        <f t="shared" si="1149"/>
        <v/>
      </c>
      <c r="AT831" s="66" t="str">
        <f>+IF($W831="","",ROUND(IF($B831&gt;Parámetros!$D$107,'Tablas Servicio'!AR831+('Tablas Servicio'!AT830-'Tablas Servicio'!AR830),AR831/(1-IF(B831&lt;=10,Parámetros!$D$100,0))),2))</f>
        <v/>
      </c>
      <c r="AU831" s="66" t="str">
        <f t="shared" si="1150"/>
        <v/>
      </c>
      <c r="AV831" s="66" t="str">
        <f t="shared" si="1150"/>
        <v/>
      </c>
      <c r="AW831" s="66" t="str">
        <f>+IF($W831="","",ROUND((AT831*Parámetros!$G$85),2))</f>
        <v/>
      </c>
      <c r="AX831" s="66" t="str">
        <f>+IF($W831="","",ROUND((AT831*(Parámetros!$G$86)),2))</f>
        <v/>
      </c>
      <c r="AY831" s="66" t="str">
        <f t="shared" si="1151"/>
        <v/>
      </c>
      <c r="AZ831" t="str">
        <f t="shared" si="1193"/>
        <v/>
      </c>
      <c r="BA831" t="str">
        <f t="shared" si="1194"/>
        <v/>
      </c>
      <c r="BB831" s="118" t="str">
        <f t="shared" si="1195"/>
        <v/>
      </c>
      <c r="BC831" s="118" t="str">
        <f t="shared" si="1196"/>
        <v/>
      </c>
      <c r="BD831" s="119" t="str">
        <f>+IF(OR($W831="",BB831=0),"",ROUND((VLOOKUP(ROUNDDOWN($D831-1/frec,0),cob_adi,AO$40,FALSE)*(1+i/frec)^-0.5*(1+Parámetros!$D$103)*(1+rec_fracc)/frec),6))</f>
        <v/>
      </c>
      <c r="BE831" s="66" t="str">
        <f t="shared" si="1152"/>
        <v/>
      </c>
      <c r="BF831" s="119" t="str">
        <f t="shared" si="1153"/>
        <v/>
      </c>
      <c r="BG831" s="66" t="str">
        <f>+IF($W831="","",ROUND(IF($B831&gt;Parámetros!$D$107,'Tablas Servicio'!BE831+('Tablas Servicio'!BG830-'Tablas Servicio'!BE830),BE831/(1-IF(B831&lt;=10,Parámetros!$D$100,0))),2))</f>
        <v/>
      </c>
      <c r="BH831" s="66" t="str">
        <f t="shared" si="1154"/>
        <v/>
      </c>
      <c r="BI831" s="66" t="str">
        <f t="shared" si="1155"/>
        <v/>
      </c>
      <c r="BJ831" s="66" t="str">
        <f>+IF($W831="","",ROUND((BG831*Parámetros!$G$85),2))</f>
        <v/>
      </c>
      <c r="BK831" s="66" t="str">
        <f>+IF($W831="","",ROUND((BG831*(Parámetros!$G$86)),2))</f>
        <v/>
      </c>
      <c r="BL831" s="66" t="str">
        <f t="shared" si="1156"/>
        <v/>
      </c>
      <c r="BM831" t="str">
        <f t="shared" si="1197"/>
        <v/>
      </c>
      <c r="BN831" t="str">
        <f t="shared" si="1198"/>
        <v/>
      </c>
      <c r="BO831" s="118" t="str">
        <f t="shared" si="1199"/>
        <v/>
      </c>
      <c r="BP831" s="118" t="str">
        <f t="shared" si="1200"/>
        <v/>
      </c>
      <c r="BQ831" s="119" t="str">
        <f>+IF(OR($W831="",BO831=0),"",ROUND((VLOOKUP(ROUNDDOWN($D831-1/frec,0),cob_adi,BB$40,FALSE)*(1+i/frec)^-0.5*(1+Parámetros!$D$103)*(1+rec_fracc)/frec),6))</f>
        <v/>
      </c>
      <c r="BR831" s="66" t="str">
        <f t="shared" si="1157"/>
        <v/>
      </c>
      <c r="BS831" s="119" t="str">
        <f t="shared" si="1158"/>
        <v/>
      </c>
      <c r="BT831" s="66" t="str">
        <f>+IF($W831="","",ROUND(IF($B831&gt;Parámetros!$D$107,'Tablas Servicio'!BR831+('Tablas Servicio'!BT830-'Tablas Servicio'!BR830),BR831/(1-IF(B831&lt;=10,Parámetros!$D$100,0))),2))</f>
        <v/>
      </c>
      <c r="BU831" s="66" t="str">
        <f t="shared" si="1159"/>
        <v/>
      </c>
      <c r="BV831" s="66" t="str">
        <f t="shared" si="1159"/>
        <v/>
      </c>
      <c r="BW831" s="66" t="str">
        <f>+IF($W831="","",ROUND((BT831*Parámetros!$G$85),2))</f>
        <v/>
      </c>
      <c r="BX831" s="66" t="str">
        <f>+IF($W831="","",ROUND((BT831*(Parámetros!$G$86)),2))</f>
        <v/>
      </c>
      <c r="BY831" s="66" t="str">
        <f t="shared" si="1160"/>
        <v/>
      </c>
      <c r="BZ831" t="str">
        <f t="shared" si="1201"/>
        <v/>
      </c>
      <c r="CA831" t="str">
        <f t="shared" si="1202"/>
        <v/>
      </c>
      <c r="CB831" s="118" t="str">
        <f t="shared" si="1203"/>
        <v/>
      </c>
      <c r="CC831" s="118" t="str">
        <f t="shared" si="1204"/>
        <v/>
      </c>
      <c r="CD831" s="119" t="str">
        <f t="shared" si="1161"/>
        <v/>
      </c>
      <c r="CE831" s="66" t="str">
        <f>+IF($W831="","",ROUND((VLOOKUP(ROUNDDOWN($D831-1/frec,0),cob_adi,BO$40,FALSE)*(1+i/frec)^-0.5*(1+Parámetros!$D$103)*(1+rec_fracc)/frec*'TABLAS ADI'!$BC$17),2))</f>
        <v/>
      </c>
      <c r="CF831" s="119" t="str">
        <f t="shared" si="1162"/>
        <v/>
      </c>
      <c r="CG831" s="66" t="str">
        <f>+IF($W831="","",ROUND(IF($B831&gt;Parámetros!$D$107,'Tablas Servicio'!CE831+('Tablas Servicio'!CG830-'Tablas Servicio'!CE830),CE831/(1-IF(B831&lt;=10,Parámetros!$D$100,0))),2))</f>
        <v/>
      </c>
      <c r="CH831" s="66" t="str">
        <f t="shared" si="1163"/>
        <v/>
      </c>
      <c r="CI831" s="66" t="str">
        <f t="shared" si="1163"/>
        <v/>
      </c>
      <c r="CJ831" s="66" t="str">
        <f>+IF($W831="","",ROUND((CG831*Parámetros!$G$85),2))</f>
        <v/>
      </c>
      <c r="CK831" s="66" t="str">
        <f>+IF($W831="","",ROUND((CG831*(Parámetros!$G$86)),2))</f>
        <v/>
      </c>
      <c r="CL831" s="66" t="str">
        <f t="shared" si="1164"/>
        <v/>
      </c>
      <c r="CM831" t="str">
        <f t="shared" si="1205"/>
        <v/>
      </c>
      <c r="CN831" s="118" t="str">
        <f t="shared" si="1206"/>
        <v/>
      </c>
      <c r="CO831" s="118" t="str">
        <f t="shared" si="1207"/>
        <v/>
      </c>
      <c r="CP831" s="118" t="str">
        <f t="shared" si="1208"/>
        <v/>
      </c>
      <c r="CQ831" s="119" t="str">
        <f t="shared" si="1165"/>
        <v/>
      </c>
      <c r="CR831" s="66" t="str">
        <f>+IF($W831="","",ROUND((VLOOKUP(Parámetros!$F$51,'COBERTURAS ADICIONALES'!$S$4:$T$32,2,FALSE)*(1+i/frec)^-0.5*(1+Parámetros!$D$103)*(1+rec_fracc)/frec*$CO$42),2))</f>
        <v/>
      </c>
      <c r="CS831" s="119" t="str">
        <f t="shared" si="1166"/>
        <v/>
      </c>
      <c r="CT831" s="66" t="str">
        <f>+IF($W831="","",ROUND(IF($B831&gt;Parámetros!$D$107,'Tablas Servicio'!CR831+('Tablas Servicio'!CT830-'Tablas Servicio'!CR830),CR831/(1-IF(B831&lt;=10,Parámetros!$D$100,0))),2))</f>
        <v/>
      </c>
      <c r="CU831" s="66" t="str">
        <f t="shared" si="1167"/>
        <v/>
      </c>
      <c r="CV831" s="66" t="str">
        <f t="shared" si="1167"/>
        <v/>
      </c>
      <c r="CW831" s="66" t="str">
        <f>+IF($W831="","",ROUND((CT831*Parámetros!$G$85),2))</f>
        <v/>
      </c>
      <c r="CX831" s="66" t="str">
        <f>+IF($W831="","",ROUND((CT831*(Parámetros!$G$86)),2))</f>
        <v/>
      </c>
      <c r="CY831" s="66" t="str">
        <f t="shared" si="1168"/>
        <v/>
      </c>
      <c r="CZ831" t="str">
        <f t="shared" si="1209"/>
        <v/>
      </c>
      <c r="DA831" s="118" t="str">
        <f t="shared" si="1210"/>
        <v/>
      </c>
      <c r="DB831" s="118" t="str">
        <f t="shared" si="1211"/>
        <v/>
      </c>
      <c r="DC831" s="118" t="str">
        <f t="shared" si="1212"/>
        <v/>
      </c>
      <c r="DD831" s="121" t="str">
        <f>+IF(OR($W831="",DB831=0),"",ROUND((VLOOKUP(ROUNDDOWN($D831-1/frec,0),cob_adi,CO$40,FALSE)*(1+i/frec)^-0.5*(1+Parámetros!$D$103)*(1+rec_fracc)/frec),6))</f>
        <v/>
      </c>
      <c r="DE831" s="66" t="str">
        <f t="shared" si="1169"/>
        <v/>
      </c>
      <c r="DF831" s="119" t="str">
        <f t="shared" si="1170"/>
        <v/>
      </c>
      <c r="DG831" s="66" t="str">
        <f>+IF($W831="","",ROUND(IF($B831&gt;Parámetros!$D$107,'Tablas Servicio'!DE831+('Tablas Servicio'!DG830-'Tablas Servicio'!DE830),DE831/(1-IF(B831&lt;=10,Parámetros!$D$100,0))),2))</f>
        <v/>
      </c>
      <c r="DH831" s="66" t="str">
        <f t="shared" si="1171"/>
        <v/>
      </c>
      <c r="DI831" s="66" t="str">
        <f t="shared" si="1171"/>
        <v/>
      </c>
      <c r="DJ831" s="66" t="str">
        <f>+IF($W831="","",ROUND((DG831*Parámetros!$G$85),2))</f>
        <v/>
      </c>
      <c r="DK831" s="66" t="str">
        <f>+IF($W831="","",ROUND((DG831*(Parámetros!$G$86)),2))</f>
        <v/>
      </c>
      <c r="DL831" s="66" t="str">
        <f t="shared" si="1172"/>
        <v/>
      </c>
      <c r="DM831" t="str">
        <f t="shared" si="1213"/>
        <v/>
      </c>
      <c r="DN831" s="118" t="str">
        <f t="shared" si="1214"/>
        <v/>
      </c>
      <c r="DO831" s="118" t="str">
        <f t="shared" si="1215"/>
        <v/>
      </c>
      <c r="DP831" s="118" t="str">
        <f t="shared" si="1216"/>
        <v/>
      </c>
      <c r="DQ831" s="122" t="str">
        <f>+IF(OR($W831="",DO831=0),"",ROUND((VLOOKUP(ROUNDDOWN($D831-1/frec,0),cob_adi,DB$40,FALSE)*(1+i/frec)^-0.5*(1+Parámetros!$D$103)*(1+rec_fracc)/frec),6))</f>
        <v/>
      </c>
      <c r="DR831" s="66" t="str">
        <f t="shared" si="1173"/>
        <v/>
      </c>
      <c r="DS831" s="68" t="str">
        <f t="shared" si="1174"/>
        <v/>
      </c>
      <c r="DT831" s="66" t="str">
        <f>+IF($W831="","",ROUND(IF($B831&gt;Parámetros!$D$107,'Tablas Servicio'!DR831+('Tablas Servicio'!DT830-'Tablas Servicio'!DR830),DR831/(1-IF(B831&lt;=10,Parámetros!$D$100,0))),2))</f>
        <v/>
      </c>
      <c r="DU831" s="66" t="str">
        <f t="shared" si="1175"/>
        <v/>
      </c>
      <c r="DV831" s="66" t="str">
        <f t="shared" si="1175"/>
        <v/>
      </c>
      <c r="DW831" s="66" t="str">
        <f>+IF($W831="","",ROUND((DT831*Parámetros!$G$85),2))</f>
        <v/>
      </c>
      <c r="DX831" s="66" t="str">
        <f>+IF($W831="","",ROUND((DT831*(Parámetros!$G$86)),2))</f>
        <v/>
      </c>
      <c r="DY831" s="66" t="str">
        <f t="shared" si="1176"/>
        <v/>
      </c>
      <c r="DZ831" t="str">
        <f t="shared" si="1217"/>
        <v/>
      </c>
      <c r="EA831" s="118" t="str">
        <f t="shared" si="1217"/>
        <v/>
      </c>
      <c r="EB831" s="118" t="str">
        <f>+IF($W831="","",ROUND(IF(Parámetros!$D$25='TABLAS MORT'!$V$33,EB830,Z831/2),0))</f>
        <v/>
      </c>
      <c r="EC831" s="118" t="str">
        <f t="shared" si="1217"/>
        <v/>
      </c>
      <c r="ED831" s="122" t="str">
        <f>+IF(OR($W831="",EB831=0),"",ROUND((VLOOKUP(ROUNDDOWN($D831-1/frec,0),cob_adi,DO$40,FALSE)*(1+i/frec)^-0.5*(1+Parámetros!$D$103)*(1+rec_fracc)/frec),6))</f>
        <v/>
      </c>
      <c r="EE831" s="66" t="str">
        <f t="shared" si="1178"/>
        <v/>
      </c>
      <c r="EF831" s="68" t="str">
        <f t="shared" si="1179"/>
        <v/>
      </c>
      <c r="EG831" s="66" t="str">
        <f>+IF($W831="","",ROUND(IF($B831&gt;Parámetros!$D$107,'Tablas Servicio'!EE831+('Tablas Servicio'!EG830-'Tablas Servicio'!EE830),EE831/(1-IF(B831&lt;=10,Parámetros!$D$100,0))),2))</f>
        <v/>
      </c>
      <c r="EH831" s="66" t="str">
        <f t="shared" si="1180"/>
        <v/>
      </c>
      <c r="EI831" s="66" t="str">
        <f t="shared" si="1180"/>
        <v/>
      </c>
      <c r="EJ831" s="66" t="str">
        <f>+IF($W831="","",ROUND((EG831*Parámetros!$G$85),2))</f>
        <v/>
      </c>
      <c r="EK831" s="66" t="str">
        <f>+IF($W831="","",ROUND((EG831*(Parámetros!$G$86)),2))</f>
        <v/>
      </c>
      <c r="EL831" s="66" t="str">
        <f t="shared" si="1181"/>
        <v/>
      </c>
    </row>
    <row r="832" spans="1:142" x14ac:dyDescent="0.25">
      <c r="A832" t="str">
        <f>+IF($C832="","",ROUND(VLOOKUP('Tablas Servicio'!B832,Parámetros!$H$100:$J$159,IF(Parámetros!$E$16="F",2,3),FALSE),2))</f>
        <v/>
      </c>
      <c r="B832" t="str">
        <f t="shared" si="1132"/>
        <v/>
      </c>
      <c r="C832" s="57" t="str">
        <f>+IF(D832="","",'Tablas Servicio'!C831+1)</f>
        <v/>
      </c>
      <c r="D832" s="56" t="str">
        <f>+IF(D831&lt;edadmaxtabla,D831+1/Parámetros!$E$25,"")</f>
        <v/>
      </c>
      <c r="E832" s="57" t="str">
        <f t="shared" si="1142"/>
        <v/>
      </c>
      <c r="F832" s="59" t="str">
        <f t="shared" si="1143"/>
        <v/>
      </c>
      <c r="G832" s="66" t="str">
        <f t="shared" si="1133"/>
        <v/>
      </c>
      <c r="H832" s="66" t="str">
        <f t="shared" si="1134"/>
        <v/>
      </c>
      <c r="I832" s="66" t="str">
        <f t="shared" si="1182"/>
        <v/>
      </c>
      <c r="J832" s="66" t="str">
        <f t="shared" si="1135"/>
        <v/>
      </c>
      <c r="K832" s="66" t="str">
        <f t="shared" si="1136"/>
        <v/>
      </c>
      <c r="L832" s="66" t="str">
        <f t="shared" si="1137"/>
        <v/>
      </c>
      <c r="M832" s="66" t="str">
        <f t="shared" si="1138"/>
        <v/>
      </c>
      <c r="N832" s="66" t="str">
        <f>+IF(C832="","",ROUND(Parámetros!$D$23,2))</f>
        <v/>
      </c>
      <c r="O832" s="66" t="str">
        <f t="shared" si="1139"/>
        <v/>
      </c>
      <c r="P832" s="66" t="str">
        <f>+IF($C832="","",ROUND(IF(B832&gt;Parámetros!$D$117,0,N832*Parámetros!$D$116-G832*Parámetros!$D$100),2))</f>
        <v/>
      </c>
      <c r="Q832" s="75" t="str">
        <f t="shared" si="1183"/>
        <v/>
      </c>
      <c r="R832" s="75" t="str">
        <f t="shared" si="1184"/>
        <v/>
      </c>
      <c r="S832" s="117" t="str">
        <f>+IF($C832="","",ROUND((S831+I832)*(1+Parámetros!$D$91),2))</f>
        <v/>
      </c>
      <c r="T832" s="117" t="str">
        <f>+IF($C832="","",ROUND(S832*VLOOKUP(B832,Parámetros!$C$30:$D$39,2,TRUE),2))</f>
        <v/>
      </c>
      <c r="U832" s="117" t="str">
        <f>+IF($C832="","",ROUND((U831+I832)*(1+Parámetros!$D$92),2))</f>
        <v/>
      </c>
      <c r="V832" s="117" t="str">
        <f>+IF($C832="","",ROUND(U832*VLOOKUP(B832,Parámetros!$C$30:$D$39,2,TRUE),2))</f>
        <v/>
      </c>
      <c r="W832" s="57" t="str">
        <f t="shared" si="1185"/>
        <v/>
      </c>
      <c r="X832" t="str">
        <f t="shared" si="1186"/>
        <v/>
      </c>
      <c r="Y832" t="str">
        <f t="shared" si="1187"/>
        <v/>
      </c>
      <c r="Z832" s="118" t="str">
        <f>+IF($W832="","",ROUND(IF(Parámetros!$D$25='TABLAS MORT'!$V$33,Z831,Parámetros!$D$21-'Tablas Servicio'!T831),0))</f>
        <v/>
      </c>
      <c r="AA832" s="118" t="str">
        <f t="shared" si="1188"/>
        <v/>
      </c>
      <c r="AB832" s="119" t="str">
        <f>+IF(W832="","",ROUND((VLOOKUP(ROUNDDOWN($D832-1/frec,0),qx_tabla,2,FALSE)*(1+i/frec)^-0.5*(1+Parámetros!$D$103)*(1+rec_fracc)/frec),6))</f>
        <v/>
      </c>
      <c r="AC832" s="66" t="str">
        <f t="shared" si="1144"/>
        <v/>
      </c>
      <c r="AD832" s="119" t="str">
        <f t="shared" si="1140"/>
        <v/>
      </c>
      <c r="AE832" s="66" t="str">
        <f>+IF($W832="","",ROUND(IF($B832&gt;Parámetros!$D$107,'Tablas Servicio'!AC832+('Tablas Servicio'!AG831-'Tablas Servicio'!AC831),AC832/(1-IF(B832&lt;=10,Parámetros!$D$104,Parámetros!$D$105))),2))</f>
        <v/>
      </c>
      <c r="AF832" s="66" t="str">
        <f>+IF($W832="","",ROUND(IF($B832&gt;Parámetros!$D$107,'Tablas Servicio'!AC832+('Tablas Servicio'!AG831-'Tablas Servicio'!AC831),(AC832+$A831/frec)/(1-IF(B832&lt;=Parámetros!$D$117,Parámetros!$D$100,0))),2))</f>
        <v/>
      </c>
      <c r="AG832" s="66" t="str">
        <f t="shared" si="1145"/>
        <v/>
      </c>
      <c r="AH832" s="66" t="str">
        <f t="shared" si="1146"/>
        <v/>
      </c>
      <c r="AI832" s="66" t="str">
        <f t="shared" si="1147"/>
        <v/>
      </c>
      <c r="AJ832" s="66" t="str">
        <f>+IF($W832="","",ROUND((AG832*Parámetros!$G$85),2))</f>
        <v/>
      </c>
      <c r="AK832" s="66" t="str">
        <f>+IF($W832="","",ROUND((AG832*(Parámetros!$G$86)),2))</f>
        <v/>
      </c>
      <c r="AL832" s="66" t="str">
        <f t="shared" si="1141"/>
        <v/>
      </c>
      <c r="AM832" t="str">
        <f t="shared" si="1189"/>
        <v/>
      </c>
      <c r="AN832" t="str">
        <f t="shared" si="1190"/>
        <v/>
      </c>
      <c r="AO832" s="118" t="str">
        <f t="shared" si="1191"/>
        <v/>
      </c>
      <c r="AP832" s="118" t="str">
        <f t="shared" si="1192"/>
        <v/>
      </c>
      <c r="AQ832" s="119" t="str">
        <f>+IF(OR($W832="",AO832=0),"",ROUND((VLOOKUP(ROUNDDOWN($D832-1/frec,0),cob_adi,Z$40,FALSE)*(1+i/frec)^-0.5*(1+Parámetros!$D$103)*(1+rec_fracc)/frec),6))</f>
        <v/>
      </c>
      <c r="AR832" s="66" t="str">
        <f t="shared" si="1148"/>
        <v/>
      </c>
      <c r="AS832" s="119" t="str">
        <f t="shared" si="1149"/>
        <v/>
      </c>
      <c r="AT832" s="66" t="str">
        <f>+IF($W832="","",ROUND(IF($B832&gt;Parámetros!$D$107,'Tablas Servicio'!AR832+('Tablas Servicio'!AT831-'Tablas Servicio'!AR831),AR832/(1-IF(B832&lt;=10,Parámetros!$D$100,0))),2))</f>
        <v/>
      </c>
      <c r="AU832" s="66" t="str">
        <f t="shared" si="1150"/>
        <v/>
      </c>
      <c r="AV832" s="66" t="str">
        <f t="shared" si="1150"/>
        <v/>
      </c>
      <c r="AW832" s="66" t="str">
        <f>+IF($W832="","",ROUND((AT832*Parámetros!$G$85),2))</f>
        <v/>
      </c>
      <c r="AX832" s="66" t="str">
        <f>+IF($W832="","",ROUND((AT832*(Parámetros!$G$86)),2))</f>
        <v/>
      </c>
      <c r="AY832" s="66" t="str">
        <f t="shared" si="1151"/>
        <v/>
      </c>
      <c r="AZ832" t="str">
        <f t="shared" si="1193"/>
        <v/>
      </c>
      <c r="BA832" t="str">
        <f t="shared" si="1194"/>
        <v/>
      </c>
      <c r="BB832" s="118" t="str">
        <f t="shared" si="1195"/>
        <v/>
      </c>
      <c r="BC832" s="118" t="str">
        <f t="shared" si="1196"/>
        <v/>
      </c>
      <c r="BD832" s="119" t="str">
        <f>+IF(OR($W832="",BB832=0),"",ROUND((VLOOKUP(ROUNDDOWN($D832-1/frec,0),cob_adi,AO$40,FALSE)*(1+i/frec)^-0.5*(1+Parámetros!$D$103)*(1+rec_fracc)/frec),6))</f>
        <v/>
      </c>
      <c r="BE832" s="66" t="str">
        <f t="shared" si="1152"/>
        <v/>
      </c>
      <c r="BF832" s="119" t="str">
        <f t="shared" si="1153"/>
        <v/>
      </c>
      <c r="BG832" s="66" t="str">
        <f>+IF($W832="","",ROUND(IF($B832&gt;Parámetros!$D$107,'Tablas Servicio'!BE832+('Tablas Servicio'!BG831-'Tablas Servicio'!BE831),BE832/(1-IF(B832&lt;=10,Parámetros!$D$100,0))),2))</f>
        <v/>
      </c>
      <c r="BH832" s="66" t="str">
        <f t="shared" si="1154"/>
        <v/>
      </c>
      <c r="BI832" s="66" t="str">
        <f t="shared" si="1155"/>
        <v/>
      </c>
      <c r="BJ832" s="66" t="str">
        <f>+IF($W832="","",ROUND((BG832*Parámetros!$G$85),2))</f>
        <v/>
      </c>
      <c r="BK832" s="66" t="str">
        <f>+IF($W832="","",ROUND((BG832*(Parámetros!$G$86)),2))</f>
        <v/>
      </c>
      <c r="BL832" s="66" t="str">
        <f t="shared" si="1156"/>
        <v/>
      </c>
      <c r="BM832" t="str">
        <f t="shared" si="1197"/>
        <v/>
      </c>
      <c r="BN832" t="str">
        <f t="shared" si="1198"/>
        <v/>
      </c>
      <c r="BO832" s="118" t="str">
        <f t="shared" si="1199"/>
        <v/>
      </c>
      <c r="BP832" s="118" t="str">
        <f t="shared" si="1200"/>
        <v/>
      </c>
      <c r="BQ832" s="119" t="str">
        <f>+IF(OR($W832="",BO832=0),"",ROUND((VLOOKUP(ROUNDDOWN($D832-1/frec,0),cob_adi,BB$40,FALSE)*(1+i/frec)^-0.5*(1+Parámetros!$D$103)*(1+rec_fracc)/frec),6))</f>
        <v/>
      </c>
      <c r="BR832" s="66" t="str">
        <f t="shared" si="1157"/>
        <v/>
      </c>
      <c r="BS832" s="119" t="str">
        <f t="shared" si="1158"/>
        <v/>
      </c>
      <c r="BT832" s="66" t="str">
        <f>+IF($W832="","",ROUND(IF($B832&gt;Parámetros!$D$107,'Tablas Servicio'!BR832+('Tablas Servicio'!BT831-'Tablas Servicio'!BR831),BR832/(1-IF(B832&lt;=10,Parámetros!$D$100,0))),2))</f>
        <v/>
      </c>
      <c r="BU832" s="66" t="str">
        <f t="shared" si="1159"/>
        <v/>
      </c>
      <c r="BV832" s="66" t="str">
        <f t="shared" si="1159"/>
        <v/>
      </c>
      <c r="BW832" s="66" t="str">
        <f>+IF($W832="","",ROUND((BT832*Parámetros!$G$85),2))</f>
        <v/>
      </c>
      <c r="BX832" s="66" t="str">
        <f>+IF($W832="","",ROUND((BT832*(Parámetros!$G$86)),2))</f>
        <v/>
      </c>
      <c r="BY832" s="66" t="str">
        <f t="shared" si="1160"/>
        <v/>
      </c>
      <c r="BZ832" t="str">
        <f t="shared" si="1201"/>
        <v/>
      </c>
      <c r="CA832" t="str">
        <f t="shared" si="1202"/>
        <v/>
      </c>
      <c r="CB832" s="118" t="str">
        <f t="shared" si="1203"/>
        <v/>
      </c>
      <c r="CC832" s="118" t="str">
        <f t="shared" si="1204"/>
        <v/>
      </c>
      <c r="CD832" s="119" t="str">
        <f t="shared" si="1161"/>
        <v/>
      </c>
      <c r="CE832" s="66" t="str">
        <f>+IF($W832="","",ROUND((VLOOKUP(ROUNDDOWN($D832-1/frec,0),cob_adi,BO$40,FALSE)*(1+i/frec)^-0.5*(1+Parámetros!$D$103)*(1+rec_fracc)/frec*'TABLAS ADI'!$BC$17),2))</f>
        <v/>
      </c>
      <c r="CF832" s="119" t="str">
        <f t="shared" si="1162"/>
        <v/>
      </c>
      <c r="CG832" s="66" t="str">
        <f>+IF($W832="","",ROUND(IF($B832&gt;Parámetros!$D$107,'Tablas Servicio'!CE832+('Tablas Servicio'!CG831-'Tablas Servicio'!CE831),CE832/(1-IF(B832&lt;=10,Parámetros!$D$100,0))),2))</f>
        <v/>
      </c>
      <c r="CH832" s="66" t="str">
        <f t="shared" si="1163"/>
        <v/>
      </c>
      <c r="CI832" s="66" t="str">
        <f t="shared" si="1163"/>
        <v/>
      </c>
      <c r="CJ832" s="66" t="str">
        <f>+IF($W832="","",ROUND((CG832*Parámetros!$G$85),2))</f>
        <v/>
      </c>
      <c r="CK832" s="66" t="str">
        <f>+IF($W832="","",ROUND((CG832*(Parámetros!$G$86)),2))</f>
        <v/>
      </c>
      <c r="CL832" s="66" t="str">
        <f t="shared" si="1164"/>
        <v/>
      </c>
      <c r="CM832" t="str">
        <f t="shared" si="1205"/>
        <v/>
      </c>
      <c r="CN832" s="118" t="str">
        <f t="shared" si="1206"/>
        <v/>
      </c>
      <c r="CO832" s="118" t="str">
        <f t="shared" si="1207"/>
        <v/>
      </c>
      <c r="CP832" s="118" t="str">
        <f t="shared" si="1208"/>
        <v/>
      </c>
      <c r="CQ832" s="119" t="str">
        <f t="shared" si="1165"/>
        <v/>
      </c>
      <c r="CR832" s="66" t="str">
        <f>+IF($W832="","",ROUND((VLOOKUP(Parámetros!$F$51,'COBERTURAS ADICIONALES'!$S$4:$T$32,2,FALSE)*(1+i/frec)^-0.5*(1+Parámetros!$D$103)*(1+rec_fracc)/frec*$CO$42),2))</f>
        <v/>
      </c>
      <c r="CS832" s="119" t="str">
        <f t="shared" si="1166"/>
        <v/>
      </c>
      <c r="CT832" s="66" t="str">
        <f>+IF($W832="","",ROUND(IF($B832&gt;Parámetros!$D$107,'Tablas Servicio'!CR832+('Tablas Servicio'!CT831-'Tablas Servicio'!CR831),CR832/(1-IF(B832&lt;=10,Parámetros!$D$100,0))),2))</f>
        <v/>
      </c>
      <c r="CU832" s="66" t="str">
        <f t="shared" si="1167"/>
        <v/>
      </c>
      <c r="CV832" s="66" t="str">
        <f t="shared" si="1167"/>
        <v/>
      </c>
      <c r="CW832" s="66" t="str">
        <f>+IF($W832="","",ROUND((CT832*Parámetros!$G$85),2))</f>
        <v/>
      </c>
      <c r="CX832" s="66" t="str">
        <f>+IF($W832="","",ROUND((CT832*(Parámetros!$G$86)),2))</f>
        <v/>
      </c>
      <c r="CY832" s="66" t="str">
        <f t="shared" si="1168"/>
        <v/>
      </c>
      <c r="CZ832" t="str">
        <f t="shared" si="1209"/>
        <v/>
      </c>
      <c r="DA832" s="118" t="str">
        <f t="shared" si="1210"/>
        <v/>
      </c>
      <c r="DB832" s="118" t="str">
        <f t="shared" si="1211"/>
        <v/>
      </c>
      <c r="DC832" s="118" t="str">
        <f t="shared" si="1212"/>
        <v/>
      </c>
      <c r="DD832" s="121" t="str">
        <f>+IF(OR($W832="",DB832=0),"",ROUND((VLOOKUP(ROUNDDOWN($D832-1/frec,0),cob_adi,CO$40,FALSE)*(1+i/frec)^-0.5*(1+Parámetros!$D$103)*(1+rec_fracc)/frec),6))</f>
        <v/>
      </c>
      <c r="DE832" s="66" t="str">
        <f t="shared" si="1169"/>
        <v/>
      </c>
      <c r="DF832" s="119" t="str">
        <f t="shared" si="1170"/>
        <v/>
      </c>
      <c r="DG832" s="66" t="str">
        <f>+IF($W832="","",ROUND(IF($B832&gt;Parámetros!$D$107,'Tablas Servicio'!DE832+('Tablas Servicio'!DG831-'Tablas Servicio'!DE831),DE832/(1-IF(B832&lt;=10,Parámetros!$D$100,0))),2))</f>
        <v/>
      </c>
      <c r="DH832" s="66" t="str">
        <f t="shared" si="1171"/>
        <v/>
      </c>
      <c r="DI832" s="66" t="str">
        <f t="shared" si="1171"/>
        <v/>
      </c>
      <c r="DJ832" s="66" t="str">
        <f>+IF($W832="","",ROUND((DG832*Parámetros!$G$85),2))</f>
        <v/>
      </c>
      <c r="DK832" s="66" t="str">
        <f>+IF($W832="","",ROUND((DG832*(Parámetros!$G$86)),2))</f>
        <v/>
      </c>
      <c r="DL832" s="66" t="str">
        <f t="shared" si="1172"/>
        <v/>
      </c>
      <c r="DM832" t="str">
        <f t="shared" si="1213"/>
        <v/>
      </c>
      <c r="DN832" s="118" t="str">
        <f t="shared" si="1214"/>
        <v/>
      </c>
      <c r="DO832" s="118" t="str">
        <f t="shared" si="1215"/>
        <v/>
      </c>
      <c r="DP832" s="118" t="str">
        <f t="shared" si="1216"/>
        <v/>
      </c>
      <c r="DQ832" s="122" t="str">
        <f>+IF(OR($W832="",DO832=0),"",ROUND((VLOOKUP(ROUNDDOWN($D832-1/frec,0),cob_adi,DB$40,FALSE)*(1+i/frec)^-0.5*(1+Parámetros!$D$103)*(1+rec_fracc)/frec),6))</f>
        <v/>
      </c>
      <c r="DR832" s="66" t="str">
        <f t="shared" si="1173"/>
        <v/>
      </c>
      <c r="DS832" s="68" t="str">
        <f t="shared" si="1174"/>
        <v/>
      </c>
      <c r="DT832" s="66" t="str">
        <f>+IF($W832="","",ROUND(IF($B832&gt;Parámetros!$D$107,'Tablas Servicio'!DR832+('Tablas Servicio'!DT831-'Tablas Servicio'!DR831),DR832/(1-IF(B832&lt;=10,Parámetros!$D$100,0))),2))</f>
        <v/>
      </c>
      <c r="DU832" s="66" t="str">
        <f t="shared" si="1175"/>
        <v/>
      </c>
      <c r="DV832" s="66" t="str">
        <f t="shared" si="1175"/>
        <v/>
      </c>
      <c r="DW832" s="66" t="str">
        <f>+IF($W832="","",ROUND((DT832*Parámetros!$G$85),2))</f>
        <v/>
      </c>
      <c r="DX832" s="66" t="str">
        <f>+IF($W832="","",ROUND((DT832*(Parámetros!$G$86)),2))</f>
        <v/>
      </c>
      <c r="DY832" s="66" t="str">
        <f t="shared" si="1176"/>
        <v/>
      </c>
      <c r="DZ832" t="str">
        <f t="shared" si="1217"/>
        <v/>
      </c>
      <c r="EA832" s="118" t="str">
        <f t="shared" si="1217"/>
        <v/>
      </c>
      <c r="EB832" s="118" t="str">
        <f>+IF($W832="","",ROUND(IF(Parámetros!$D$25='TABLAS MORT'!$V$33,EB831,Z832/2),0))</f>
        <v/>
      </c>
      <c r="EC832" s="118" t="str">
        <f t="shared" si="1217"/>
        <v/>
      </c>
      <c r="ED832" s="122" t="str">
        <f>+IF(OR($W832="",EB832=0),"",ROUND((VLOOKUP(ROUNDDOWN($D832-1/frec,0),cob_adi,DO$40,FALSE)*(1+i/frec)^-0.5*(1+Parámetros!$D$103)*(1+rec_fracc)/frec),6))</f>
        <v/>
      </c>
      <c r="EE832" s="66" t="str">
        <f t="shared" si="1178"/>
        <v/>
      </c>
      <c r="EF832" s="68" t="str">
        <f t="shared" si="1179"/>
        <v/>
      </c>
      <c r="EG832" s="66" t="str">
        <f>+IF($W832="","",ROUND(IF($B832&gt;Parámetros!$D$107,'Tablas Servicio'!EE832+('Tablas Servicio'!EG831-'Tablas Servicio'!EE831),EE832/(1-IF(B832&lt;=10,Parámetros!$D$100,0))),2))</f>
        <v/>
      </c>
      <c r="EH832" s="66" t="str">
        <f t="shared" si="1180"/>
        <v/>
      </c>
      <c r="EI832" s="66" t="str">
        <f t="shared" si="1180"/>
        <v/>
      </c>
      <c r="EJ832" s="66" t="str">
        <f>+IF($W832="","",ROUND((EG832*Parámetros!$G$85),2))</f>
        <v/>
      </c>
      <c r="EK832" s="66" t="str">
        <f>+IF($W832="","",ROUND((EG832*(Parámetros!$G$86)),2))</f>
        <v/>
      </c>
      <c r="EL832" s="66" t="str">
        <f t="shared" si="1181"/>
        <v/>
      </c>
    </row>
    <row r="833" spans="1:142" x14ac:dyDescent="0.25">
      <c r="A833" t="str">
        <f>+IF($C833="","",ROUND(VLOOKUP('Tablas Servicio'!B833,Parámetros!$H$100:$J$159,IF(Parámetros!$E$16="F",2,3),FALSE),2))</f>
        <v/>
      </c>
      <c r="B833" t="str">
        <f t="shared" si="1132"/>
        <v/>
      </c>
      <c r="C833" s="57" t="str">
        <f>+IF(D833="","",'Tablas Servicio'!C832+1)</f>
        <v/>
      </c>
      <c r="D833" s="56" t="str">
        <f>+IF(D832&lt;edadmaxtabla,D832+1/Parámetros!$E$25,"")</f>
        <v/>
      </c>
      <c r="E833" s="57" t="str">
        <f t="shared" si="1142"/>
        <v/>
      </c>
      <c r="F833" s="59" t="str">
        <f t="shared" si="1143"/>
        <v/>
      </c>
      <c r="G833" s="66" t="str">
        <f t="shared" si="1133"/>
        <v/>
      </c>
      <c r="H833" s="66" t="str">
        <f t="shared" si="1134"/>
        <v/>
      </c>
      <c r="I833" s="66" t="str">
        <f t="shared" si="1182"/>
        <v/>
      </c>
      <c r="J833" s="66" t="str">
        <f t="shared" si="1135"/>
        <v/>
      </c>
      <c r="K833" s="66" t="str">
        <f t="shared" si="1136"/>
        <v/>
      </c>
      <c r="L833" s="66" t="str">
        <f t="shared" si="1137"/>
        <v/>
      </c>
      <c r="M833" s="66" t="str">
        <f t="shared" si="1138"/>
        <v/>
      </c>
      <c r="N833" s="66" t="str">
        <f>+IF(C833="","",ROUND(Parámetros!$D$23,2))</f>
        <v/>
      </c>
      <c r="O833" s="66" t="str">
        <f t="shared" si="1139"/>
        <v/>
      </c>
      <c r="P833" s="66" t="str">
        <f>+IF($C833="","",ROUND(IF(B833&gt;Parámetros!$D$117,0,N833*Parámetros!$D$116-G833*Parámetros!$D$100),2))</f>
        <v/>
      </c>
      <c r="Q833" s="75" t="str">
        <f t="shared" si="1183"/>
        <v/>
      </c>
      <c r="R833" s="75" t="str">
        <f t="shared" si="1184"/>
        <v/>
      </c>
      <c r="S833" s="117" t="str">
        <f>+IF($C833="","",ROUND((S832+I833)*(1+Parámetros!$D$91),2))</f>
        <v/>
      </c>
      <c r="T833" s="117" t="str">
        <f>+IF($C833="","",ROUND(S833*VLOOKUP(B833,Parámetros!$C$30:$D$39,2,TRUE),2))</f>
        <v/>
      </c>
      <c r="U833" s="117" t="str">
        <f>+IF($C833="","",ROUND((U832+I833)*(1+Parámetros!$D$92),2))</f>
        <v/>
      </c>
      <c r="V833" s="117" t="str">
        <f>+IF($C833="","",ROUND(U833*VLOOKUP(B833,Parámetros!$C$30:$D$39,2,TRUE),2))</f>
        <v/>
      </c>
      <c r="W833" s="57" t="str">
        <f t="shared" si="1185"/>
        <v/>
      </c>
      <c r="X833" t="str">
        <f t="shared" si="1186"/>
        <v/>
      </c>
      <c r="Y833" t="str">
        <f t="shared" si="1187"/>
        <v/>
      </c>
      <c r="Z833" s="118" t="str">
        <f>+IF($W833="","",ROUND(IF(Parámetros!$D$25='TABLAS MORT'!$V$33,Z832,Parámetros!$D$21-'Tablas Servicio'!T832),0))</f>
        <v/>
      </c>
      <c r="AA833" s="118" t="str">
        <f t="shared" si="1188"/>
        <v/>
      </c>
      <c r="AB833" s="119" t="str">
        <f>+IF(W833="","",ROUND((VLOOKUP(ROUNDDOWN($D833-1/frec,0),qx_tabla,2,FALSE)*(1+i/frec)^-0.5*(1+Parámetros!$D$103)*(1+rec_fracc)/frec),6))</f>
        <v/>
      </c>
      <c r="AC833" s="66" t="str">
        <f t="shared" si="1144"/>
        <v/>
      </c>
      <c r="AD833" s="119" t="str">
        <f t="shared" si="1140"/>
        <v/>
      </c>
      <c r="AE833" s="66" t="str">
        <f>+IF($W833="","",ROUND(IF($B833&gt;Parámetros!$D$107,'Tablas Servicio'!AC833+('Tablas Servicio'!AG832-'Tablas Servicio'!AC832),AC833/(1-IF(B833&lt;=10,Parámetros!$D$104,Parámetros!$D$105))),2))</f>
        <v/>
      </c>
      <c r="AF833" s="66" t="str">
        <f>+IF($W833="","",ROUND(IF($B833&gt;Parámetros!$D$107,'Tablas Servicio'!AC833+('Tablas Servicio'!AG832-'Tablas Servicio'!AC832),(AC833+$A832/frec)/(1-IF(B833&lt;=Parámetros!$D$117,Parámetros!$D$100,0))),2))</f>
        <v/>
      </c>
      <c r="AG833" s="66" t="str">
        <f t="shared" si="1145"/>
        <v/>
      </c>
      <c r="AH833" s="66" t="str">
        <f t="shared" si="1146"/>
        <v/>
      </c>
      <c r="AI833" s="66" t="str">
        <f t="shared" si="1147"/>
        <v/>
      </c>
      <c r="AJ833" s="66" t="str">
        <f>+IF($W833="","",ROUND((AG833*Parámetros!$G$85),2))</f>
        <v/>
      </c>
      <c r="AK833" s="66" t="str">
        <f>+IF($W833="","",ROUND((AG833*(Parámetros!$G$86)),2))</f>
        <v/>
      </c>
      <c r="AL833" s="66" t="str">
        <f t="shared" si="1141"/>
        <v/>
      </c>
      <c r="AM833" t="str">
        <f t="shared" si="1189"/>
        <v/>
      </c>
      <c r="AN833" t="str">
        <f t="shared" si="1190"/>
        <v/>
      </c>
      <c r="AO833" s="118" t="str">
        <f t="shared" si="1191"/>
        <v/>
      </c>
      <c r="AP833" s="118" t="str">
        <f t="shared" si="1192"/>
        <v/>
      </c>
      <c r="AQ833" s="119" t="str">
        <f>+IF(OR($W833="",AO833=0),"",ROUND((VLOOKUP(ROUNDDOWN($D833-1/frec,0),cob_adi,Z$40,FALSE)*(1+i/frec)^-0.5*(1+Parámetros!$D$103)*(1+rec_fracc)/frec),6))</f>
        <v/>
      </c>
      <c r="AR833" s="66" t="str">
        <f t="shared" si="1148"/>
        <v/>
      </c>
      <c r="AS833" s="119" t="str">
        <f t="shared" si="1149"/>
        <v/>
      </c>
      <c r="AT833" s="66" t="str">
        <f>+IF($W833="","",ROUND(IF($B833&gt;Parámetros!$D$107,'Tablas Servicio'!AR833+('Tablas Servicio'!AT832-'Tablas Servicio'!AR832),AR833/(1-IF(B833&lt;=10,Parámetros!$D$100,0))),2))</f>
        <v/>
      </c>
      <c r="AU833" s="66" t="str">
        <f t="shared" si="1150"/>
        <v/>
      </c>
      <c r="AV833" s="66" t="str">
        <f t="shared" si="1150"/>
        <v/>
      </c>
      <c r="AW833" s="66" t="str">
        <f>+IF($W833="","",ROUND((AT833*Parámetros!$G$85),2))</f>
        <v/>
      </c>
      <c r="AX833" s="66" t="str">
        <f>+IF($W833="","",ROUND((AT833*(Parámetros!$G$86)),2))</f>
        <v/>
      </c>
      <c r="AY833" s="66" t="str">
        <f t="shared" si="1151"/>
        <v/>
      </c>
      <c r="AZ833" t="str">
        <f t="shared" si="1193"/>
        <v/>
      </c>
      <c r="BA833" t="str">
        <f t="shared" si="1194"/>
        <v/>
      </c>
      <c r="BB833" s="118" t="str">
        <f t="shared" si="1195"/>
        <v/>
      </c>
      <c r="BC833" s="118" t="str">
        <f t="shared" si="1196"/>
        <v/>
      </c>
      <c r="BD833" s="119" t="str">
        <f>+IF(OR($W833="",BB833=0),"",ROUND((VLOOKUP(ROUNDDOWN($D833-1/frec,0),cob_adi,AO$40,FALSE)*(1+i/frec)^-0.5*(1+Parámetros!$D$103)*(1+rec_fracc)/frec),6))</f>
        <v/>
      </c>
      <c r="BE833" s="66" t="str">
        <f t="shared" si="1152"/>
        <v/>
      </c>
      <c r="BF833" s="119" t="str">
        <f t="shared" si="1153"/>
        <v/>
      </c>
      <c r="BG833" s="66" t="str">
        <f>+IF($W833="","",ROUND(IF($B833&gt;Parámetros!$D$107,'Tablas Servicio'!BE833+('Tablas Servicio'!BG832-'Tablas Servicio'!BE832),BE833/(1-IF(B833&lt;=10,Parámetros!$D$100,0))),2))</f>
        <v/>
      </c>
      <c r="BH833" s="66" t="str">
        <f t="shared" si="1154"/>
        <v/>
      </c>
      <c r="BI833" s="66" t="str">
        <f t="shared" si="1155"/>
        <v/>
      </c>
      <c r="BJ833" s="66" t="str">
        <f>+IF($W833="","",ROUND((BG833*Parámetros!$G$85),2))</f>
        <v/>
      </c>
      <c r="BK833" s="66" t="str">
        <f>+IF($W833="","",ROUND((BG833*(Parámetros!$G$86)),2))</f>
        <v/>
      </c>
      <c r="BL833" s="66" t="str">
        <f t="shared" si="1156"/>
        <v/>
      </c>
      <c r="BM833" t="str">
        <f t="shared" si="1197"/>
        <v/>
      </c>
      <c r="BN833" t="str">
        <f t="shared" si="1198"/>
        <v/>
      </c>
      <c r="BO833" s="118" t="str">
        <f t="shared" si="1199"/>
        <v/>
      </c>
      <c r="BP833" s="118" t="str">
        <f t="shared" si="1200"/>
        <v/>
      </c>
      <c r="BQ833" s="119" t="str">
        <f>+IF(OR($W833="",BO833=0),"",ROUND((VLOOKUP(ROUNDDOWN($D833-1/frec,0),cob_adi,BB$40,FALSE)*(1+i/frec)^-0.5*(1+Parámetros!$D$103)*(1+rec_fracc)/frec),6))</f>
        <v/>
      </c>
      <c r="BR833" s="66" t="str">
        <f t="shared" si="1157"/>
        <v/>
      </c>
      <c r="BS833" s="119" t="str">
        <f t="shared" si="1158"/>
        <v/>
      </c>
      <c r="BT833" s="66" t="str">
        <f>+IF($W833="","",ROUND(IF($B833&gt;Parámetros!$D$107,'Tablas Servicio'!BR833+('Tablas Servicio'!BT832-'Tablas Servicio'!BR832),BR833/(1-IF(B833&lt;=10,Parámetros!$D$100,0))),2))</f>
        <v/>
      </c>
      <c r="BU833" s="66" t="str">
        <f t="shared" si="1159"/>
        <v/>
      </c>
      <c r="BV833" s="66" t="str">
        <f t="shared" si="1159"/>
        <v/>
      </c>
      <c r="BW833" s="66" t="str">
        <f>+IF($W833="","",ROUND((BT833*Parámetros!$G$85),2))</f>
        <v/>
      </c>
      <c r="BX833" s="66" t="str">
        <f>+IF($W833="","",ROUND((BT833*(Parámetros!$G$86)),2))</f>
        <v/>
      </c>
      <c r="BY833" s="66" t="str">
        <f t="shared" si="1160"/>
        <v/>
      </c>
      <c r="BZ833" t="str">
        <f t="shared" si="1201"/>
        <v/>
      </c>
      <c r="CA833" t="str">
        <f t="shared" si="1202"/>
        <v/>
      </c>
      <c r="CB833" s="118" t="str">
        <f t="shared" si="1203"/>
        <v/>
      </c>
      <c r="CC833" s="118" t="str">
        <f t="shared" si="1204"/>
        <v/>
      </c>
      <c r="CD833" s="119" t="str">
        <f t="shared" si="1161"/>
        <v/>
      </c>
      <c r="CE833" s="66" t="str">
        <f>+IF($W833="","",ROUND((VLOOKUP(ROUNDDOWN($D833-1/frec,0),cob_adi,BO$40,FALSE)*(1+i/frec)^-0.5*(1+Parámetros!$D$103)*(1+rec_fracc)/frec*'TABLAS ADI'!$BC$17),2))</f>
        <v/>
      </c>
      <c r="CF833" s="119" t="str">
        <f t="shared" si="1162"/>
        <v/>
      </c>
      <c r="CG833" s="66" t="str">
        <f>+IF($W833="","",ROUND(IF($B833&gt;Parámetros!$D$107,'Tablas Servicio'!CE833+('Tablas Servicio'!CG832-'Tablas Servicio'!CE832),CE833/(1-IF(B833&lt;=10,Parámetros!$D$100,0))),2))</f>
        <v/>
      </c>
      <c r="CH833" s="66" t="str">
        <f t="shared" si="1163"/>
        <v/>
      </c>
      <c r="CI833" s="66" t="str">
        <f t="shared" si="1163"/>
        <v/>
      </c>
      <c r="CJ833" s="66" t="str">
        <f>+IF($W833="","",ROUND((CG833*Parámetros!$G$85),2))</f>
        <v/>
      </c>
      <c r="CK833" s="66" t="str">
        <f>+IF($W833="","",ROUND((CG833*(Parámetros!$G$86)),2))</f>
        <v/>
      </c>
      <c r="CL833" s="66" t="str">
        <f t="shared" si="1164"/>
        <v/>
      </c>
      <c r="CM833" t="str">
        <f t="shared" si="1205"/>
        <v/>
      </c>
      <c r="CN833" s="118" t="str">
        <f t="shared" si="1206"/>
        <v/>
      </c>
      <c r="CO833" s="118" t="str">
        <f t="shared" si="1207"/>
        <v/>
      </c>
      <c r="CP833" s="118" t="str">
        <f t="shared" si="1208"/>
        <v/>
      </c>
      <c r="CQ833" s="119" t="str">
        <f t="shared" si="1165"/>
        <v/>
      </c>
      <c r="CR833" s="66" t="str">
        <f>+IF($W833="","",ROUND((VLOOKUP(Parámetros!$F$51,'COBERTURAS ADICIONALES'!$S$4:$T$32,2,FALSE)*(1+i/frec)^-0.5*(1+Parámetros!$D$103)*(1+rec_fracc)/frec*$CO$42),2))</f>
        <v/>
      </c>
      <c r="CS833" s="119" t="str">
        <f t="shared" si="1166"/>
        <v/>
      </c>
      <c r="CT833" s="66" t="str">
        <f>+IF($W833="","",ROUND(IF($B833&gt;Parámetros!$D$107,'Tablas Servicio'!CR833+('Tablas Servicio'!CT832-'Tablas Servicio'!CR832),CR833/(1-IF(B833&lt;=10,Parámetros!$D$100,0))),2))</f>
        <v/>
      </c>
      <c r="CU833" s="66" t="str">
        <f t="shared" si="1167"/>
        <v/>
      </c>
      <c r="CV833" s="66" t="str">
        <f t="shared" si="1167"/>
        <v/>
      </c>
      <c r="CW833" s="66" t="str">
        <f>+IF($W833="","",ROUND((CT833*Parámetros!$G$85),2))</f>
        <v/>
      </c>
      <c r="CX833" s="66" t="str">
        <f>+IF($W833="","",ROUND((CT833*(Parámetros!$G$86)),2))</f>
        <v/>
      </c>
      <c r="CY833" s="66" t="str">
        <f t="shared" si="1168"/>
        <v/>
      </c>
      <c r="CZ833" t="str">
        <f t="shared" si="1209"/>
        <v/>
      </c>
      <c r="DA833" s="118" t="str">
        <f t="shared" si="1210"/>
        <v/>
      </c>
      <c r="DB833" s="118" t="str">
        <f t="shared" si="1211"/>
        <v/>
      </c>
      <c r="DC833" s="118" t="str">
        <f t="shared" si="1212"/>
        <v/>
      </c>
      <c r="DD833" s="121" t="str">
        <f>+IF(OR($W833="",DB833=0),"",ROUND((VLOOKUP(ROUNDDOWN($D833-1/frec,0),cob_adi,CO$40,FALSE)*(1+i/frec)^-0.5*(1+Parámetros!$D$103)*(1+rec_fracc)/frec),6))</f>
        <v/>
      </c>
      <c r="DE833" s="66" t="str">
        <f t="shared" si="1169"/>
        <v/>
      </c>
      <c r="DF833" s="119" t="str">
        <f t="shared" si="1170"/>
        <v/>
      </c>
      <c r="DG833" s="66" t="str">
        <f>+IF($W833="","",ROUND(IF($B833&gt;Parámetros!$D$107,'Tablas Servicio'!DE833+('Tablas Servicio'!DG832-'Tablas Servicio'!DE832),DE833/(1-IF(B833&lt;=10,Parámetros!$D$100,0))),2))</f>
        <v/>
      </c>
      <c r="DH833" s="66" t="str">
        <f t="shared" si="1171"/>
        <v/>
      </c>
      <c r="DI833" s="66" t="str">
        <f t="shared" si="1171"/>
        <v/>
      </c>
      <c r="DJ833" s="66" t="str">
        <f>+IF($W833="","",ROUND((DG833*Parámetros!$G$85),2))</f>
        <v/>
      </c>
      <c r="DK833" s="66" t="str">
        <f>+IF($W833="","",ROUND((DG833*(Parámetros!$G$86)),2))</f>
        <v/>
      </c>
      <c r="DL833" s="66" t="str">
        <f t="shared" si="1172"/>
        <v/>
      </c>
      <c r="DM833" t="str">
        <f t="shared" si="1213"/>
        <v/>
      </c>
      <c r="DN833" s="118" t="str">
        <f t="shared" si="1214"/>
        <v/>
      </c>
      <c r="DO833" s="118" t="str">
        <f t="shared" si="1215"/>
        <v/>
      </c>
      <c r="DP833" s="118" t="str">
        <f t="shared" si="1216"/>
        <v/>
      </c>
      <c r="DQ833" s="122" t="str">
        <f>+IF(OR($W833="",DO833=0),"",ROUND((VLOOKUP(ROUNDDOWN($D833-1/frec,0),cob_adi,DB$40,FALSE)*(1+i/frec)^-0.5*(1+Parámetros!$D$103)*(1+rec_fracc)/frec),6))</f>
        <v/>
      </c>
      <c r="DR833" s="66" t="str">
        <f t="shared" si="1173"/>
        <v/>
      </c>
      <c r="DS833" s="68" t="str">
        <f t="shared" si="1174"/>
        <v/>
      </c>
      <c r="DT833" s="66" t="str">
        <f>+IF($W833="","",ROUND(IF($B833&gt;Parámetros!$D$107,'Tablas Servicio'!DR833+('Tablas Servicio'!DT832-'Tablas Servicio'!DR832),DR833/(1-IF(B833&lt;=10,Parámetros!$D$100,0))),2))</f>
        <v/>
      </c>
      <c r="DU833" s="66" t="str">
        <f t="shared" si="1175"/>
        <v/>
      </c>
      <c r="DV833" s="66" t="str">
        <f t="shared" si="1175"/>
        <v/>
      </c>
      <c r="DW833" s="66" t="str">
        <f>+IF($W833="","",ROUND((DT833*Parámetros!$G$85),2))</f>
        <v/>
      </c>
      <c r="DX833" s="66" t="str">
        <f>+IF($W833="","",ROUND((DT833*(Parámetros!$G$86)),2))</f>
        <v/>
      </c>
      <c r="DY833" s="66" t="str">
        <f t="shared" si="1176"/>
        <v/>
      </c>
      <c r="DZ833" t="str">
        <f t="shared" si="1217"/>
        <v/>
      </c>
      <c r="EA833" s="118" t="str">
        <f t="shared" si="1217"/>
        <v/>
      </c>
      <c r="EB833" s="118" t="str">
        <f>+IF($W833="","",ROUND(IF(Parámetros!$D$25='TABLAS MORT'!$V$33,EB832,Z833/2),0))</f>
        <v/>
      </c>
      <c r="EC833" s="118" t="str">
        <f t="shared" si="1217"/>
        <v/>
      </c>
      <c r="ED833" s="122" t="str">
        <f>+IF(OR($W833="",EB833=0),"",ROUND((VLOOKUP(ROUNDDOWN($D833-1/frec,0),cob_adi,DO$40,FALSE)*(1+i/frec)^-0.5*(1+Parámetros!$D$103)*(1+rec_fracc)/frec),6))</f>
        <v/>
      </c>
      <c r="EE833" s="66" t="str">
        <f t="shared" si="1178"/>
        <v/>
      </c>
      <c r="EF833" s="68" t="str">
        <f t="shared" si="1179"/>
        <v/>
      </c>
      <c r="EG833" s="66" t="str">
        <f>+IF($W833="","",ROUND(IF($B833&gt;Parámetros!$D$107,'Tablas Servicio'!EE833+('Tablas Servicio'!EG832-'Tablas Servicio'!EE832),EE833/(1-IF(B833&lt;=10,Parámetros!$D$100,0))),2))</f>
        <v/>
      </c>
      <c r="EH833" s="66" t="str">
        <f t="shared" si="1180"/>
        <v/>
      </c>
      <c r="EI833" s="66" t="str">
        <f t="shared" si="1180"/>
        <v/>
      </c>
      <c r="EJ833" s="66" t="str">
        <f>+IF($W833="","",ROUND((EG833*Parámetros!$G$85),2))</f>
        <v/>
      </c>
      <c r="EK833" s="66" t="str">
        <f>+IF($W833="","",ROUND((EG833*(Parámetros!$G$86)),2))</f>
        <v/>
      </c>
      <c r="EL833" s="66" t="str">
        <f t="shared" si="1181"/>
        <v/>
      </c>
    </row>
    <row r="834" spans="1:142" x14ac:dyDescent="0.25">
      <c r="A834" t="str">
        <f>+IF($C834="","",ROUND(VLOOKUP('Tablas Servicio'!B834,Parámetros!$H$100:$J$159,IF(Parámetros!$E$16="F",2,3),FALSE),2))</f>
        <v/>
      </c>
      <c r="B834" t="str">
        <f t="shared" si="1132"/>
        <v/>
      </c>
      <c r="C834" s="57" t="str">
        <f>+IF(D834="","",'Tablas Servicio'!C833+1)</f>
        <v/>
      </c>
      <c r="D834" s="56" t="str">
        <f>+IF(D833&lt;edadmaxtabla,D833+1/Parámetros!$E$25,"")</f>
        <v/>
      </c>
      <c r="E834" s="57" t="str">
        <f t="shared" si="1142"/>
        <v/>
      </c>
      <c r="F834" s="59" t="str">
        <f t="shared" si="1143"/>
        <v/>
      </c>
      <c r="G834" s="66" t="str">
        <f t="shared" si="1133"/>
        <v/>
      </c>
      <c r="H834" s="66" t="str">
        <f t="shared" si="1134"/>
        <v/>
      </c>
      <c r="I834" s="66" t="str">
        <f t="shared" si="1182"/>
        <v/>
      </c>
      <c r="J834" s="66" t="str">
        <f t="shared" si="1135"/>
        <v/>
      </c>
      <c r="K834" s="66" t="str">
        <f t="shared" si="1136"/>
        <v/>
      </c>
      <c r="L834" s="66" t="str">
        <f t="shared" si="1137"/>
        <v/>
      </c>
      <c r="M834" s="66" t="str">
        <f t="shared" si="1138"/>
        <v/>
      </c>
      <c r="N834" s="66" t="str">
        <f>+IF(C834="","",ROUND(Parámetros!$D$23,2))</f>
        <v/>
      </c>
      <c r="O834" s="66" t="str">
        <f t="shared" si="1139"/>
        <v/>
      </c>
      <c r="P834" s="66" t="str">
        <f>+IF($C834="","",ROUND(IF(B834&gt;Parámetros!$D$117,0,N834*Parámetros!$D$116-G834*Parámetros!$D$100),2))</f>
        <v/>
      </c>
      <c r="Q834" s="75" t="str">
        <f t="shared" si="1183"/>
        <v/>
      </c>
      <c r="R834" s="75" t="str">
        <f t="shared" si="1184"/>
        <v/>
      </c>
      <c r="S834" s="117" t="str">
        <f>+IF($C834="","",ROUND((S833+I834)*(1+Parámetros!$D$91),2))</f>
        <v/>
      </c>
      <c r="T834" s="117" t="str">
        <f>+IF($C834="","",ROUND(S834*VLOOKUP(B834,Parámetros!$C$30:$D$39,2,TRUE),2))</f>
        <v/>
      </c>
      <c r="U834" s="117" t="str">
        <f>+IF($C834="","",ROUND((U833+I834)*(1+Parámetros!$D$92),2))</f>
        <v/>
      </c>
      <c r="V834" s="117" t="str">
        <f>+IF($C834="","",ROUND(U834*VLOOKUP(B834,Parámetros!$C$30:$D$39,2,TRUE),2))</f>
        <v/>
      </c>
      <c r="W834" s="57" t="str">
        <f t="shared" si="1185"/>
        <v/>
      </c>
      <c r="X834" t="str">
        <f t="shared" si="1186"/>
        <v/>
      </c>
      <c r="Y834" t="str">
        <f t="shared" si="1187"/>
        <v/>
      </c>
      <c r="Z834" s="118" t="str">
        <f>+IF($W834="","",ROUND(IF(Parámetros!$D$25='TABLAS MORT'!$V$33,Z833,Parámetros!$D$21-'Tablas Servicio'!T833),0))</f>
        <v/>
      </c>
      <c r="AA834" s="118" t="str">
        <f t="shared" si="1188"/>
        <v/>
      </c>
      <c r="AB834" s="119" t="str">
        <f>+IF(W834="","",ROUND((VLOOKUP(ROUNDDOWN($D834-1/frec,0),qx_tabla,2,FALSE)*(1+i/frec)^-0.5*(1+Parámetros!$D$103)*(1+rec_fracc)/frec),6))</f>
        <v/>
      </c>
      <c r="AC834" s="66" t="str">
        <f t="shared" si="1144"/>
        <v/>
      </c>
      <c r="AD834" s="119" t="str">
        <f t="shared" si="1140"/>
        <v/>
      </c>
      <c r="AE834" s="66" t="str">
        <f>+IF($W834="","",ROUND(IF($B834&gt;Parámetros!$D$107,'Tablas Servicio'!AC834+('Tablas Servicio'!AG833-'Tablas Servicio'!AC833),AC834/(1-IF(B834&lt;=10,Parámetros!$D$104,Parámetros!$D$105))),2))</f>
        <v/>
      </c>
      <c r="AF834" s="66" t="str">
        <f>+IF($W834="","",ROUND(IF($B834&gt;Parámetros!$D$107,'Tablas Servicio'!AC834+('Tablas Servicio'!AG833-'Tablas Servicio'!AC833),(AC834+$A833/frec)/(1-IF(B834&lt;=Parámetros!$D$117,Parámetros!$D$100,0))),2))</f>
        <v/>
      </c>
      <c r="AG834" s="66" t="str">
        <f t="shared" si="1145"/>
        <v/>
      </c>
      <c r="AH834" s="66" t="str">
        <f t="shared" si="1146"/>
        <v/>
      </c>
      <c r="AI834" s="66" t="str">
        <f t="shared" si="1147"/>
        <v/>
      </c>
      <c r="AJ834" s="66" t="str">
        <f>+IF($W834="","",ROUND((AG834*Parámetros!$G$85),2))</f>
        <v/>
      </c>
      <c r="AK834" s="66" t="str">
        <f>+IF($W834="","",ROUND((AG834*(Parámetros!$G$86)),2))</f>
        <v/>
      </c>
      <c r="AL834" s="66" t="str">
        <f t="shared" si="1141"/>
        <v/>
      </c>
      <c r="AM834" t="str">
        <f t="shared" si="1189"/>
        <v/>
      </c>
      <c r="AN834" t="str">
        <f t="shared" si="1190"/>
        <v/>
      </c>
      <c r="AO834" s="118" t="str">
        <f t="shared" si="1191"/>
        <v/>
      </c>
      <c r="AP834" s="118" t="str">
        <f t="shared" si="1192"/>
        <v/>
      </c>
      <c r="AQ834" s="119" t="str">
        <f>+IF(OR($W834="",AO834=0),"",ROUND((VLOOKUP(ROUNDDOWN($D834-1/frec,0),cob_adi,Z$40,FALSE)*(1+i/frec)^-0.5*(1+Parámetros!$D$103)*(1+rec_fracc)/frec),6))</f>
        <v/>
      </c>
      <c r="AR834" s="66" t="str">
        <f t="shared" si="1148"/>
        <v/>
      </c>
      <c r="AS834" s="119" t="str">
        <f t="shared" si="1149"/>
        <v/>
      </c>
      <c r="AT834" s="66" t="str">
        <f>+IF($W834="","",ROUND(IF($B834&gt;Parámetros!$D$107,'Tablas Servicio'!AR834+('Tablas Servicio'!AT833-'Tablas Servicio'!AR833),AR834/(1-IF(B834&lt;=10,Parámetros!$D$100,0))),2))</f>
        <v/>
      </c>
      <c r="AU834" s="66" t="str">
        <f t="shared" si="1150"/>
        <v/>
      </c>
      <c r="AV834" s="66" t="str">
        <f t="shared" si="1150"/>
        <v/>
      </c>
      <c r="AW834" s="66" t="str">
        <f>+IF($W834="","",ROUND((AT834*Parámetros!$G$85),2))</f>
        <v/>
      </c>
      <c r="AX834" s="66" t="str">
        <f>+IF($W834="","",ROUND((AT834*(Parámetros!$G$86)),2))</f>
        <v/>
      </c>
      <c r="AY834" s="66" t="str">
        <f t="shared" si="1151"/>
        <v/>
      </c>
      <c r="AZ834" t="str">
        <f t="shared" si="1193"/>
        <v/>
      </c>
      <c r="BA834" t="str">
        <f t="shared" si="1194"/>
        <v/>
      </c>
      <c r="BB834" s="118" t="str">
        <f t="shared" si="1195"/>
        <v/>
      </c>
      <c r="BC834" s="118" t="str">
        <f t="shared" si="1196"/>
        <v/>
      </c>
      <c r="BD834" s="119" t="str">
        <f>+IF(OR($W834="",BB834=0),"",ROUND((VLOOKUP(ROUNDDOWN($D834-1/frec,0),cob_adi,AO$40,FALSE)*(1+i/frec)^-0.5*(1+Parámetros!$D$103)*(1+rec_fracc)/frec),6))</f>
        <v/>
      </c>
      <c r="BE834" s="66" t="str">
        <f t="shared" si="1152"/>
        <v/>
      </c>
      <c r="BF834" s="119" t="str">
        <f t="shared" si="1153"/>
        <v/>
      </c>
      <c r="BG834" s="66" t="str">
        <f>+IF($W834="","",ROUND(IF($B834&gt;Parámetros!$D$107,'Tablas Servicio'!BE834+('Tablas Servicio'!BG833-'Tablas Servicio'!BE833),BE834/(1-IF(B834&lt;=10,Parámetros!$D$100,0))),2))</f>
        <v/>
      </c>
      <c r="BH834" s="66" t="str">
        <f t="shared" si="1154"/>
        <v/>
      </c>
      <c r="BI834" s="66" t="str">
        <f t="shared" si="1155"/>
        <v/>
      </c>
      <c r="BJ834" s="66" t="str">
        <f>+IF($W834="","",ROUND((BG834*Parámetros!$G$85),2))</f>
        <v/>
      </c>
      <c r="BK834" s="66" t="str">
        <f>+IF($W834="","",ROUND((BG834*(Parámetros!$G$86)),2))</f>
        <v/>
      </c>
      <c r="BL834" s="66" t="str">
        <f t="shared" si="1156"/>
        <v/>
      </c>
      <c r="BM834" t="str">
        <f t="shared" si="1197"/>
        <v/>
      </c>
      <c r="BN834" t="str">
        <f t="shared" si="1198"/>
        <v/>
      </c>
      <c r="BO834" s="118" t="str">
        <f t="shared" si="1199"/>
        <v/>
      </c>
      <c r="BP834" s="118" t="str">
        <f t="shared" si="1200"/>
        <v/>
      </c>
      <c r="BQ834" s="119" t="str">
        <f>+IF(OR($W834="",BO834=0),"",ROUND((VLOOKUP(ROUNDDOWN($D834-1/frec,0),cob_adi,BB$40,FALSE)*(1+i/frec)^-0.5*(1+Parámetros!$D$103)*(1+rec_fracc)/frec),6))</f>
        <v/>
      </c>
      <c r="BR834" s="66" t="str">
        <f t="shared" si="1157"/>
        <v/>
      </c>
      <c r="BS834" s="119" t="str">
        <f t="shared" si="1158"/>
        <v/>
      </c>
      <c r="BT834" s="66" t="str">
        <f>+IF($W834="","",ROUND(IF($B834&gt;Parámetros!$D$107,'Tablas Servicio'!BR834+('Tablas Servicio'!BT833-'Tablas Servicio'!BR833),BR834/(1-IF(B834&lt;=10,Parámetros!$D$100,0))),2))</f>
        <v/>
      </c>
      <c r="BU834" s="66" t="str">
        <f t="shared" si="1159"/>
        <v/>
      </c>
      <c r="BV834" s="66" t="str">
        <f t="shared" si="1159"/>
        <v/>
      </c>
      <c r="BW834" s="66" t="str">
        <f>+IF($W834="","",ROUND((BT834*Parámetros!$G$85),2))</f>
        <v/>
      </c>
      <c r="BX834" s="66" t="str">
        <f>+IF($W834="","",ROUND((BT834*(Parámetros!$G$86)),2))</f>
        <v/>
      </c>
      <c r="BY834" s="66" t="str">
        <f t="shared" si="1160"/>
        <v/>
      </c>
      <c r="BZ834" t="str">
        <f t="shared" si="1201"/>
        <v/>
      </c>
      <c r="CA834" t="str">
        <f t="shared" si="1202"/>
        <v/>
      </c>
      <c r="CB834" s="118" t="str">
        <f t="shared" si="1203"/>
        <v/>
      </c>
      <c r="CC834" s="118" t="str">
        <f t="shared" si="1204"/>
        <v/>
      </c>
      <c r="CD834" s="119" t="str">
        <f t="shared" si="1161"/>
        <v/>
      </c>
      <c r="CE834" s="66" t="str">
        <f>+IF($W834="","",ROUND((VLOOKUP(ROUNDDOWN($D834-1/frec,0),cob_adi,BO$40,FALSE)*(1+i/frec)^-0.5*(1+Parámetros!$D$103)*(1+rec_fracc)/frec*'TABLAS ADI'!$BC$17),2))</f>
        <v/>
      </c>
      <c r="CF834" s="119" t="str">
        <f t="shared" si="1162"/>
        <v/>
      </c>
      <c r="CG834" s="66" t="str">
        <f>+IF($W834="","",ROUND(IF($B834&gt;Parámetros!$D$107,'Tablas Servicio'!CE834+('Tablas Servicio'!CG833-'Tablas Servicio'!CE833),CE834/(1-IF(B834&lt;=10,Parámetros!$D$100,0))),2))</f>
        <v/>
      </c>
      <c r="CH834" s="66" t="str">
        <f t="shared" si="1163"/>
        <v/>
      </c>
      <c r="CI834" s="66" t="str">
        <f t="shared" si="1163"/>
        <v/>
      </c>
      <c r="CJ834" s="66" t="str">
        <f>+IF($W834="","",ROUND((CG834*Parámetros!$G$85),2))</f>
        <v/>
      </c>
      <c r="CK834" s="66" t="str">
        <f>+IF($W834="","",ROUND((CG834*(Parámetros!$G$86)),2))</f>
        <v/>
      </c>
      <c r="CL834" s="66" t="str">
        <f t="shared" si="1164"/>
        <v/>
      </c>
      <c r="CM834" t="str">
        <f t="shared" si="1205"/>
        <v/>
      </c>
      <c r="CN834" s="118" t="str">
        <f t="shared" si="1206"/>
        <v/>
      </c>
      <c r="CO834" s="118" t="str">
        <f t="shared" si="1207"/>
        <v/>
      </c>
      <c r="CP834" s="118" t="str">
        <f t="shared" si="1208"/>
        <v/>
      </c>
      <c r="CQ834" s="119" t="str">
        <f t="shared" si="1165"/>
        <v/>
      </c>
      <c r="CR834" s="66" t="str">
        <f>+IF($W834="","",ROUND((VLOOKUP(Parámetros!$F$51,'COBERTURAS ADICIONALES'!$S$4:$T$32,2,FALSE)*(1+i/frec)^-0.5*(1+Parámetros!$D$103)*(1+rec_fracc)/frec*$CO$42),2))</f>
        <v/>
      </c>
      <c r="CS834" s="119" t="str">
        <f t="shared" si="1166"/>
        <v/>
      </c>
      <c r="CT834" s="66" t="str">
        <f>+IF($W834="","",ROUND(IF($B834&gt;Parámetros!$D$107,'Tablas Servicio'!CR834+('Tablas Servicio'!CT833-'Tablas Servicio'!CR833),CR834/(1-IF(B834&lt;=10,Parámetros!$D$100,0))),2))</f>
        <v/>
      </c>
      <c r="CU834" s="66" t="str">
        <f t="shared" si="1167"/>
        <v/>
      </c>
      <c r="CV834" s="66" t="str">
        <f t="shared" si="1167"/>
        <v/>
      </c>
      <c r="CW834" s="66" t="str">
        <f>+IF($W834="","",ROUND((CT834*Parámetros!$G$85),2))</f>
        <v/>
      </c>
      <c r="CX834" s="66" t="str">
        <f>+IF($W834="","",ROUND((CT834*(Parámetros!$G$86)),2))</f>
        <v/>
      </c>
      <c r="CY834" s="66" t="str">
        <f t="shared" si="1168"/>
        <v/>
      </c>
      <c r="CZ834" t="str">
        <f t="shared" si="1209"/>
        <v/>
      </c>
      <c r="DA834" s="118" t="str">
        <f t="shared" si="1210"/>
        <v/>
      </c>
      <c r="DB834" s="118" t="str">
        <f t="shared" si="1211"/>
        <v/>
      </c>
      <c r="DC834" s="118" t="str">
        <f t="shared" si="1212"/>
        <v/>
      </c>
      <c r="DD834" s="121" t="str">
        <f>+IF(OR($W834="",DB834=0),"",ROUND((VLOOKUP(ROUNDDOWN($D834-1/frec,0),cob_adi,CO$40,FALSE)*(1+i/frec)^-0.5*(1+Parámetros!$D$103)*(1+rec_fracc)/frec),6))</f>
        <v/>
      </c>
      <c r="DE834" s="66" t="str">
        <f t="shared" si="1169"/>
        <v/>
      </c>
      <c r="DF834" s="119" t="str">
        <f t="shared" si="1170"/>
        <v/>
      </c>
      <c r="DG834" s="66" t="str">
        <f>+IF($W834="","",ROUND(IF($B834&gt;Parámetros!$D$107,'Tablas Servicio'!DE834+('Tablas Servicio'!DG833-'Tablas Servicio'!DE833),DE834/(1-IF(B834&lt;=10,Parámetros!$D$100,0))),2))</f>
        <v/>
      </c>
      <c r="DH834" s="66" t="str">
        <f t="shared" si="1171"/>
        <v/>
      </c>
      <c r="DI834" s="66" t="str">
        <f t="shared" si="1171"/>
        <v/>
      </c>
      <c r="DJ834" s="66" t="str">
        <f>+IF($W834="","",ROUND((DG834*Parámetros!$G$85),2))</f>
        <v/>
      </c>
      <c r="DK834" s="66" t="str">
        <f>+IF($W834="","",ROUND((DG834*(Parámetros!$G$86)),2))</f>
        <v/>
      </c>
      <c r="DL834" s="66" t="str">
        <f t="shared" si="1172"/>
        <v/>
      </c>
      <c r="DM834" t="str">
        <f t="shared" si="1213"/>
        <v/>
      </c>
      <c r="DN834" s="118" t="str">
        <f t="shared" si="1214"/>
        <v/>
      </c>
      <c r="DO834" s="118" t="str">
        <f t="shared" si="1215"/>
        <v/>
      </c>
      <c r="DP834" s="118" t="str">
        <f t="shared" si="1216"/>
        <v/>
      </c>
      <c r="DQ834" s="122" t="str">
        <f>+IF(OR($W834="",DO834=0),"",ROUND((VLOOKUP(ROUNDDOWN($D834-1/frec,0),cob_adi,DB$40,FALSE)*(1+i/frec)^-0.5*(1+Parámetros!$D$103)*(1+rec_fracc)/frec),6))</f>
        <v/>
      </c>
      <c r="DR834" s="66" t="str">
        <f t="shared" si="1173"/>
        <v/>
      </c>
      <c r="DS834" s="68" t="str">
        <f t="shared" si="1174"/>
        <v/>
      </c>
      <c r="DT834" s="66" t="str">
        <f>+IF($W834="","",ROUND(IF($B834&gt;Parámetros!$D$107,'Tablas Servicio'!DR834+('Tablas Servicio'!DT833-'Tablas Servicio'!DR833),DR834/(1-IF(B834&lt;=10,Parámetros!$D$100,0))),2))</f>
        <v/>
      </c>
      <c r="DU834" s="66" t="str">
        <f t="shared" si="1175"/>
        <v/>
      </c>
      <c r="DV834" s="66" t="str">
        <f t="shared" si="1175"/>
        <v/>
      </c>
      <c r="DW834" s="66" t="str">
        <f>+IF($W834="","",ROUND((DT834*Parámetros!$G$85),2))</f>
        <v/>
      </c>
      <c r="DX834" s="66" t="str">
        <f>+IF($W834="","",ROUND((DT834*(Parámetros!$G$86)),2))</f>
        <v/>
      </c>
      <c r="DY834" s="66" t="str">
        <f t="shared" si="1176"/>
        <v/>
      </c>
      <c r="DZ834" t="str">
        <f t="shared" si="1217"/>
        <v/>
      </c>
      <c r="EA834" s="118" t="str">
        <f t="shared" si="1217"/>
        <v/>
      </c>
      <c r="EB834" s="118" t="str">
        <f>+IF($W834="","",ROUND(IF(Parámetros!$D$25='TABLAS MORT'!$V$33,EB833,Z834/2),0))</f>
        <v/>
      </c>
      <c r="EC834" s="118" t="str">
        <f t="shared" si="1217"/>
        <v/>
      </c>
      <c r="ED834" s="122" t="str">
        <f>+IF(OR($W834="",EB834=0),"",ROUND((VLOOKUP(ROUNDDOWN($D834-1/frec,0),cob_adi,DO$40,FALSE)*(1+i/frec)^-0.5*(1+Parámetros!$D$103)*(1+rec_fracc)/frec),6))</f>
        <v/>
      </c>
      <c r="EE834" s="66" t="str">
        <f t="shared" si="1178"/>
        <v/>
      </c>
      <c r="EF834" s="68" t="str">
        <f t="shared" si="1179"/>
        <v/>
      </c>
      <c r="EG834" s="66" t="str">
        <f>+IF($W834="","",ROUND(IF($B834&gt;Parámetros!$D$107,'Tablas Servicio'!EE834+('Tablas Servicio'!EG833-'Tablas Servicio'!EE833),EE834/(1-IF(B834&lt;=10,Parámetros!$D$100,0))),2))</f>
        <v/>
      </c>
      <c r="EH834" s="66" t="str">
        <f t="shared" si="1180"/>
        <v/>
      </c>
      <c r="EI834" s="66" t="str">
        <f t="shared" si="1180"/>
        <v/>
      </c>
      <c r="EJ834" s="66" t="str">
        <f>+IF($W834="","",ROUND((EG834*Parámetros!$G$85),2))</f>
        <v/>
      </c>
      <c r="EK834" s="66" t="str">
        <f>+IF($W834="","",ROUND((EG834*(Parámetros!$G$86)),2))</f>
        <v/>
      </c>
      <c r="EL834" s="66" t="str">
        <f t="shared" si="1181"/>
        <v/>
      </c>
    </row>
    <row r="835" spans="1:142" x14ac:dyDescent="0.25">
      <c r="A835" t="str">
        <f>+IF($C835="","",ROUND(VLOOKUP('Tablas Servicio'!B835,Parámetros!$H$100:$J$159,IF(Parámetros!$E$16="F",2,3),FALSE),2))</f>
        <v/>
      </c>
      <c r="B835" t="str">
        <f t="shared" si="1132"/>
        <v/>
      </c>
      <c r="C835" s="57" t="str">
        <f>+IF(D835="","",'Tablas Servicio'!C834+1)</f>
        <v/>
      </c>
      <c r="D835" s="56" t="str">
        <f>+IF(D834&lt;edadmaxtabla,D834+1/Parámetros!$E$25,"")</f>
        <v/>
      </c>
      <c r="E835" s="57" t="str">
        <f t="shared" si="1142"/>
        <v/>
      </c>
      <c r="F835" s="59" t="str">
        <f t="shared" si="1143"/>
        <v/>
      </c>
      <c r="G835" s="66" t="str">
        <f t="shared" si="1133"/>
        <v/>
      </c>
      <c r="H835" s="66" t="str">
        <f t="shared" si="1134"/>
        <v/>
      </c>
      <c r="I835" s="66" t="str">
        <f t="shared" si="1182"/>
        <v/>
      </c>
      <c r="J835" s="66" t="str">
        <f t="shared" si="1135"/>
        <v/>
      </c>
      <c r="K835" s="66" t="str">
        <f t="shared" si="1136"/>
        <v/>
      </c>
      <c r="L835" s="66" t="str">
        <f t="shared" si="1137"/>
        <v/>
      </c>
      <c r="M835" s="66" t="str">
        <f t="shared" si="1138"/>
        <v/>
      </c>
      <c r="N835" s="66" t="str">
        <f>+IF(C835="","",ROUND(Parámetros!$D$23,2))</f>
        <v/>
      </c>
      <c r="O835" s="66" t="str">
        <f t="shared" si="1139"/>
        <v/>
      </c>
      <c r="P835" s="66" t="str">
        <f>+IF($C835="","",ROUND(IF(B835&gt;Parámetros!$D$117,0,N835*Parámetros!$D$116-G835*Parámetros!$D$100),2))</f>
        <v/>
      </c>
      <c r="Q835" s="75" t="str">
        <f t="shared" si="1183"/>
        <v/>
      </c>
      <c r="R835" s="75" t="str">
        <f t="shared" si="1184"/>
        <v/>
      </c>
      <c r="S835" s="117" t="str">
        <f>+IF($C835="","",ROUND((S834+I835)*(1+Parámetros!$D$91),2))</f>
        <v/>
      </c>
      <c r="T835" s="117" t="str">
        <f>+IF($C835="","",ROUND(S835*VLOOKUP(B835,Parámetros!$C$30:$D$39,2,TRUE),2))</f>
        <v/>
      </c>
      <c r="U835" s="117" t="str">
        <f>+IF($C835="","",ROUND((U834+I835)*(1+Parámetros!$D$92),2))</f>
        <v/>
      </c>
      <c r="V835" s="117" t="str">
        <f>+IF($C835="","",ROUND(U835*VLOOKUP(B835,Parámetros!$C$30:$D$39,2,TRUE),2))</f>
        <v/>
      </c>
      <c r="W835" s="57" t="str">
        <f t="shared" si="1185"/>
        <v/>
      </c>
      <c r="X835" t="str">
        <f t="shared" si="1186"/>
        <v/>
      </c>
      <c r="Y835" t="str">
        <f t="shared" si="1187"/>
        <v/>
      </c>
      <c r="Z835" s="118" t="str">
        <f>+IF($W835="","",ROUND(IF(Parámetros!$D$25='TABLAS MORT'!$V$33,Z834,Parámetros!$D$21-'Tablas Servicio'!T834),0))</f>
        <v/>
      </c>
      <c r="AA835" s="118" t="str">
        <f t="shared" si="1188"/>
        <v/>
      </c>
      <c r="AB835" s="119" t="str">
        <f>+IF(W835="","",ROUND((VLOOKUP(ROUNDDOWN($D835-1/frec,0),qx_tabla,2,FALSE)*(1+i/frec)^-0.5*(1+Parámetros!$D$103)*(1+rec_fracc)/frec),6))</f>
        <v/>
      </c>
      <c r="AC835" s="66" t="str">
        <f t="shared" si="1144"/>
        <v/>
      </c>
      <c r="AD835" s="119" t="str">
        <f t="shared" si="1140"/>
        <v/>
      </c>
      <c r="AE835" s="66" t="str">
        <f>+IF($W835="","",ROUND(IF($B835&gt;Parámetros!$D$107,'Tablas Servicio'!AC835+('Tablas Servicio'!AG834-'Tablas Servicio'!AC834),AC835/(1-IF(B835&lt;=10,Parámetros!$D$104,Parámetros!$D$105))),2))</f>
        <v/>
      </c>
      <c r="AF835" s="66" t="str">
        <f>+IF($W835="","",ROUND(IF($B835&gt;Parámetros!$D$107,'Tablas Servicio'!AC835+('Tablas Servicio'!AG834-'Tablas Servicio'!AC834),(AC835+$A834/frec)/(1-IF(B835&lt;=Parámetros!$D$117,Parámetros!$D$100,0))),2))</f>
        <v/>
      </c>
      <c r="AG835" s="66" t="str">
        <f t="shared" si="1145"/>
        <v/>
      </c>
      <c r="AH835" s="66" t="str">
        <f t="shared" si="1146"/>
        <v/>
      </c>
      <c r="AI835" s="66" t="str">
        <f t="shared" si="1147"/>
        <v/>
      </c>
      <c r="AJ835" s="66" t="str">
        <f>+IF($W835="","",ROUND((AG835*Parámetros!$G$85),2))</f>
        <v/>
      </c>
      <c r="AK835" s="66" t="str">
        <f>+IF($W835="","",ROUND((AG835*(Parámetros!$G$86)),2))</f>
        <v/>
      </c>
      <c r="AL835" s="66" t="str">
        <f t="shared" si="1141"/>
        <v/>
      </c>
      <c r="AM835" t="str">
        <f t="shared" si="1189"/>
        <v/>
      </c>
      <c r="AN835" t="str">
        <f t="shared" si="1190"/>
        <v/>
      </c>
      <c r="AO835" s="118" t="str">
        <f t="shared" si="1191"/>
        <v/>
      </c>
      <c r="AP835" s="118" t="str">
        <f t="shared" si="1192"/>
        <v/>
      </c>
      <c r="AQ835" s="119" t="str">
        <f>+IF(OR($W835="",AO835=0),"",ROUND((VLOOKUP(ROUNDDOWN($D835-1/frec,0),cob_adi,Z$40,FALSE)*(1+i/frec)^-0.5*(1+Parámetros!$D$103)*(1+rec_fracc)/frec),6))</f>
        <v/>
      </c>
      <c r="AR835" s="66" t="str">
        <f t="shared" si="1148"/>
        <v/>
      </c>
      <c r="AS835" s="119" t="str">
        <f t="shared" si="1149"/>
        <v/>
      </c>
      <c r="AT835" s="66" t="str">
        <f>+IF($W835="","",ROUND(IF($B835&gt;Parámetros!$D$107,'Tablas Servicio'!AR835+('Tablas Servicio'!AT834-'Tablas Servicio'!AR834),AR835/(1-IF(B835&lt;=10,Parámetros!$D$100,0))),2))</f>
        <v/>
      </c>
      <c r="AU835" s="66" t="str">
        <f t="shared" si="1150"/>
        <v/>
      </c>
      <c r="AV835" s="66" t="str">
        <f t="shared" si="1150"/>
        <v/>
      </c>
      <c r="AW835" s="66" t="str">
        <f>+IF($W835="","",ROUND((AT835*Parámetros!$G$85),2))</f>
        <v/>
      </c>
      <c r="AX835" s="66" t="str">
        <f>+IF($W835="","",ROUND((AT835*(Parámetros!$G$86)),2))</f>
        <v/>
      </c>
      <c r="AY835" s="66" t="str">
        <f t="shared" si="1151"/>
        <v/>
      </c>
      <c r="AZ835" t="str">
        <f t="shared" si="1193"/>
        <v/>
      </c>
      <c r="BA835" t="str">
        <f t="shared" si="1194"/>
        <v/>
      </c>
      <c r="BB835" s="118" t="str">
        <f t="shared" si="1195"/>
        <v/>
      </c>
      <c r="BC835" s="118" t="str">
        <f t="shared" si="1196"/>
        <v/>
      </c>
      <c r="BD835" s="119" t="str">
        <f>+IF(OR($W835="",BB835=0),"",ROUND((VLOOKUP(ROUNDDOWN($D835-1/frec,0),cob_adi,AO$40,FALSE)*(1+i/frec)^-0.5*(1+Parámetros!$D$103)*(1+rec_fracc)/frec),6))</f>
        <v/>
      </c>
      <c r="BE835" s="66" t="str">
        <f t="shared" si="1152"/>
        <v/>
      </c>
      <c r="BF835" s="119" t="str">
        <f t="shared" si="1153"/>
        <v/>
      </c>
      <c r="BG835" s="66" t="str">
        <f>+IF($W835="","",ROUND(IF($B835&gt;Parámetros!$D$107,'Tablas Servicio'!BE835+('Tablas Servicio'!BG834-'Tablas Servicio'!BE834),BE835/(1-IF(B835&lt;=10,Parámetros!$D$100,0))),2))</f>
        <v/>
      </c>
      <c r="BH835" s="66" t="str">
        <f t="shared" si="1154"/>
        <v/>
      </c>
      <c r="BI835" s="66" t="str">
        <f t="shared" si="1155"/>
        <v/>
      </c>
      <c r="BJ835" s="66" t="str">
        <f>+IF($W835="","",ROUND((BG835*Parámetros!$G$85),2))</f>
        <v/>
      </c>
      <c r="BK835" s="66" t="str">
        <f>+IF($W835="","",ROUND((BG835*(Parámetros!$G$86)),2))</f>
        <v/>
      </c>
      <c r="BL835" s="66" t="str">
        <f t="shared" si="1156"/>
        <v/>
      </c>
      <c r="BM835" t="str">
        <f t="shared" si="1197"/>
        <v/>
      </c>
      <c r="BN835" t="str">
        <f t="shared" si="1198"/>
        <v/>
      </c>
      <c r="BO835" s="118" t="str">
        <f t="shared" si="1199"/>
        <v/>
      </c>
      <c r="BP835" s="118" t="str">
        <f t="shared" si="1200"/>
        <v/>
      </c>
      <c r="BQ835" s="119" t="str">
        <f>+IF(OR($W835="",BO835=0),"",ROUND((VLOOKUP(ROUNDDOWN($D835-1/frec,0),cob_adi,BB$40,FALSE)*(1+i/frec)^-0.5*(1+Parámetros!$D$103)*(1+rec_fracc)/frec),6))</f>
        <v/>
      </c>
      <c r="BR835" s="66" t="str">
        <f t="shared" si="1157"/>
        <v/>
      </c>
      <c r="BS835" s="119" t="str">
        <f t="shared" si="1158"/>
        <v/>
      </c>
      <c r="BT835" s="66" t="str">
        <f>+IF($W835="","",ROUND(IF($B835&gt;Parámetros!$D$107,'Tablas Servicio'!BR835+('Tablas Servicio'!BT834-'Tablas Servicio'!BR834),BR835/(1-IF(B835&lt;=10,Parámetros!$D$100,0))),2))</f>
        <v/>
      </c>
      <c r="BU835" s="66" t="str">
        <f t="shared" si="1159"/>
        <v/>
      </c>
      <c r="BV835" s="66" t="str">
        <f t="shared" si="1159"/>
        <v/>
      </c>
      <c r="BW835" s="66" t="str">
        <f>+IF($W835="","",ROUND((BT835*Parámetros!$G$85),2))</f>
        <v/>
      </c>
      <c r="BX835" s="66" t="str">
        <f>+IF($W835="","",ROUND((BT835*(Parámetros!$G$86)),2))</f>
        <v/>
      </c>
      <c r="BY835" s="66" t="str">
        <f t="shared" si="1160"/>
        <v/>
      </c>
      <c r="BZ835" t="str">
        <f t="shared" si="1201"/>
        <v/>
      </c>
      <c r="CA835" t="str">
        <f t="shared" si="1202"/>
        <v/>
      </c>
      <c r="CB835" s="118" t="str">
        <f t="shared" si="1203"/>
        <v/>
      </c>
      <c r="CC835" s="118" t="str">
        <f t="shared" si="1204"/>
        <v/>
      </c>
      <c r="CD835" s="119" t="str">
        <f t="shared" si="1161"/>
        <v/>
      </c>
      <c r="CE835" s="66" t="str">
        <f>+IF($W835="","",ROUND((VLOOKUP(ROUNDDOWN($D835-1/frec,0),cob_adi,BO$40,FALSE)*(1+i/frec)^-0.5*(1+Parámetros!$D$103)*(1+rec_fracc)/frec*'TABLAS ADI'!$BC$17),2))</f>
        <v/>
      </c>
      <c r="CF835" s="119" t="str">
        <f t="shared" si="1162"/>
        <v/>
      </c>
      <c r="CG835" s="66" t="str">
        <f>+IF($W835="","",ROUND(IF($B835&gt;Parámetros!$D$107,'Tablas Servicio'!CE835+('Tablas Servicio'!CG834-'Tablas Servicio'!CE834),CE835/(1-IF(B835&lt;=10,Parámetros!$D$100,0))),2))</f>
        <v/>
      </c>
      <c r="CH835" s="66" t="str">
        <f t="shared" si="1163"/>
        <v/>
      </c>
      <c r="CI835" s="66" t="str">
        <f t="shared" si="1163"/>
        <v/>
      </c>
      <c r="CJ835" s="66" t="str">
        <f>+IF($W835="","",ROUND((CG835*Parámetros!$G$85),2))</f>
        <v/>
      </c>
      <c r="CK835" s="66" t="str">
        <f>+IF($W835="","",ROUND((CG835*(Parámetros!$G$86)),2))</f>
        <v/>
      </c>
      <c r="CL835" s="66" t="str">
        <f t="shared" si="1164"/>
        <v/>
      </c>
      <c r="CM835" t="str">
        <f t="shared" si="1205"/>
        <v/>
      </c>
      <c r="CN835" s="118" t="str">
        <f t="shared" si="1206"/>
        <v/>
      </c>
      <c r="CO835" s="118" t="str">
        <f t="shared" si="1207"/>
        <v/>
      </c>
      <c r="CP835" s="118" t="str">
        <f t="shared" si="1208"/>
        <v/>
      </c>
      <c r="CQ835" s="119" t="str">
        <f t="shared" si="1165"/>
        <v/>
      </c>
      <c r="CR835" s="66" t="str">
        <f>+IF($W835="","",ROUND((VLOOKUP(Parámetros!$F$51,'COBERTURAS ADICIONALES'!$S$4:$T$32,2,FALSE)*(1+i/frec)^-0.5*(1+Parámetros!$D$103)*(1+rec_fracc)/frec*$CO$42),2))</f>
        <v/>
      </c>
      <c r="CS835" s="119" t="str">
        <f t="shared" si="1166"/>
        <v/>
      </c>
      <c r="CT835" s="66" t="str">
        <f>+IF($W835="","",ROUND(IF($B835&gt;Parámetros!$D$107,'Tablas Servicio'!CR835+('Tablas Servicio'!CT834-'Tablas Servicio'!CR834),CR835/(1-IF(B835&lt;=10,Parámetros!$D$100,0))),2))</f>
        <v/>
      </c>
      <c r="CU835" s="66" t="str">
        <f t="shared" si="1167"/>
        <v/>
      </c>
      <c r="CV835" s="66" t="str">
        <f t="shared" si="1167"/>
        <v/>
      </c>
      <c r="CW835" s="66" t="str">
        <f>+IF($W835="","",ROUND((CT835*Parámetros!$G$85),2))</f>
        <v/>
      </c>
      <c r="CX835" s="66" t="str">
        <f>+IF($W835="","",ROUND((CT835*(Parámetros!$G$86)),2))</f>
        <v/>
      </c>
      <c r="CY835" s="66" t="str">
        <f t="shared" si="1168"/>
        <v/>
      </c>
      <c r="CZ835" t="str">
        <f t="shared" si="1209"/>
        <v/>
      </c>
      <c r="DA835" s="118" t="str">
        <f t="shared" si="1210"/>
        <v/>
      </c>
      <c r="DB835" s="118" t="str">
        <f t="shared" si="1211"/>
        <v/>
      </c>
      <c r="DC835" s="118" t="str">
        <f t="shared" si="1212"/>
        <v/>
      </c>
      <c r="DD835" s="121" t="str">
        <f>+IF(OR($W835="",DB835=0),"",ROUND((VLOOKUP(ROUNDDOWN($D835-1/frec,0),cob_adi,CO$40,FALSE)*(1+i/frec)^-0.5*(1+Parámetros!$D$103)*(1+rec_fracc)/frec),6))</f>
        <v/>
      </c>
      <c r="DE835" s="66" t="str">
        <f t="shared" si="1169"/>
        <v/>
      </c>
      <c r="DF835" s="119" t="str">
        <f t="shared" si="1170"/>
        <v/>
      </c>
      <c r="DG835" s="66" t="str">
        <f>+IF($W835="","",ROUND(IF($B835&gt;Parámetros!$D$107,'Tablas Servicio'!DE835+('Tablas Servicio'!DG834-'Tablas Servicio'!DE834),DE835/(1-IF(B835&lt;=10,Parámetros!$D$100,0))),2))</f>
        <v/>
      </c>
      <c r="DH835" s="66" t="str">
        <f t="shared" si="1171"/>
        <v/>
      </c>
      <c r="DI835" s="66" t="str">
        <f t="shared" si="1171"/>
        <v/>
      </c>
      <c r="DJ835" s="66" t="str">
        <f>+IF($W835="","",ROUND((DG835*Parámetros!$G$85),2))</f>
        <v/>
      </c>
      <c r="DK835" s="66" t="str">
        <f>+IF($W835="","",ROUND((DG835*(Parámetros!$G$86)),2))</f>
        <v/>
      </c>
      <c r="DL835" s="66" t="str">
        <f t="shared" si="1172"/>
        <v/>
      </c>
      <c r="DM835" t="str">
        <f t="shared" si="1213"/>
        <v/>
      </c>
      <c r="DN835" s="118" t="str">
        <f t="shared" si="1214"/>
        <v/>
      </c>
      <c r="DO835" s="118" t="str">
        <f t="shared" si="1215"/>
        <v/>
      </c>
      <c r="DP835" s="118" t="str">
        <f t="shared" si="1216"/>
        <v/>
      </c>
      <c r="DQ835" s="122" t="str">
        <f>+IF(OR($W835="",DO835=0),"",ROUND((VLOOKUP(ROUNDDOWN($D835-1/frec,0),cob_adi,DB$40,FALSE)*(1+i/frec)^-0.5*(1+Parámetros!$D$103)*(1+rec_fracc)/frec),6))</f>
        <v/>
      </c>
      <c r="DR835" s="66" t="str">
        <f t="shared" si="1173"/>
        <v/>
      </c>
      <c r="DS835" s="68" t="str">
        <f t="shared" si="1174"/>
        <v/>
      </c>
      <c r="DT835" s="66" t="str">
        <f>+IF($W835="","",ROUND(IF($B835&gt;Parámetros!$D$107,'Tablas Servicio'!DR835+('Tablas Servicio'!DT834-'Tablas Servicio'!DR834),DR835/(1-IF(B835&lt;=10,Parámetros!$D$100,0))),2))</f>
        <v/>
      </c>
      <c r="DU835" s="66" t="str">
        <f t="shared" si="1175"/>
        <v/>
      </c>
      <c r="DV835" s="66" t="str">
        <f t="shared" si="1175"/>
        <v/>
      </c>
      <c r="DW835" s="66" t="str">
        <f>+IF($W835="","",ROUND((DT835*Parámetros!$G$85),2))</f>
        <v/>
      </c>
      <c r="DX835" s="66" t="str">
        <f>+IF($W835="","",ROUND((DT835*(Parámetros!$G$86)),2))</f>
        <v/>
      </c>
      <c r="DY835" s="66" t="str">
        <f t="shared" si="1176"/>
        <v/>
      </c>
      <c r="DZ835" t="str">
        <f t="shared" si="1217"/>
        <v/>
      </c>
      <c r="EA835" s="118" t="str">
        <f t="shared" si="1217"/>
        <v/>
      </c>
      <c r="EB835" s="118" t="str">
        <f>+IF($W835="","",ROUND(IF(Parámetros!$D$25='TABLAS MORT'!$V$33,EB834,Z835/2),0))</f>
        <v/>
      </c>
      <c r="EC835" s="118" t="str">
        <f t="shared" si="1217"/>
        <v/>
      </c>
      <c r="ED835" s="122" t="str">
        <f>+IF(OR($W835="",EB835=0),"",ROUND((VLOOKUP(ROUNDDOWN($D835-1/frec,0),cob_adi,DO$40,FALSE)*(1+i/frec)^-0.5*(1+Parámetros!$D$103)*(1+rec_fracc)/frec),6))</f>
        <v/>
      </c>
      <c r="EE835" s="66" t="str">
        <f t="shared" si="1178"/>
        <v/>
      </c>
      <c r="EF835" s="68" t="str">
        <f t="shared" si="1179"/>
        <v/>
      </c>
      <c r="EG835" s="66" t="str">
        <f>+IF($W835="","",ROUND(IF($B835&gt;Parámetros!$D$107,'Tablas Servicio'!EE835+('Tablas Servicio'!EG834-'Tablas Servicio'!EE834),EE835/(1-IF(B835&lt;=10,Parámetros!$D$100,0))),2))</f>
        <v/>
      </c>
      <c r="EH835" s="66" t="str">
        <f t="shared" si="1180"/>
        <v/>
      </c>
      <c r="EI835" s="66" t="str">
        <f t="shared" si="1180"/>
        <v/>
      </c>
      <c r="EJ835" s="66" t="str">
        <f>+IF($W835="","",ROUND((EG835*Parámetros!$G$85),2))</f>
        <v/>
      </c>
      <c r="EK835" s="66" t="str">
        <f>+IF($W835="","",ROUND((EG835*(Parámetros!$G$86)),2))</f>
        <v/>
      </c>
      <c r="EL835" s="66" t="str">
        <f t="shared" si="1181"/>
        <v/>
      </c>
    </row>
    <row r="836" spans="1:142" x14ac:dyDescent="0.25">
      <c r="A836" t="str">
        <f>+IF($C836="","",ROUND(VLOOKUP('Tablas Servicio'!B836,Parámetros!$H$100:$J$159,IF(Parámetros!$E$16="F",2,3),FALSE),2))</f>
        <v/>
      </c>
      <c r="B836" t="str">
        <f t="shared" si="1132"/>
        <v/>
      </c>
      <c r="C836" s="57" t="str">
        <f>+IF(D836="","",'Tablas Servicio'!C835+1)</f>
        <v/>
      </c>
      <c r="D836" s="56" t="str">
        <f>+IF(D835&lt;edadmaxtabla,D835+1/Parámetros!$E$25,"")</f>
        <v/>
      </c>
      <c r="E836" s="57" t="str">
        <f t="shared" si="1142"/>
        <v/>
      </c>
      <c r="F836" s="59" t="str">
        <f t="shared" si="1143"/>
        <v/>
      </c>
      <c r="G836" s="66" t="str">
        <f t="shared" si="1133"/>
        <v/>
      </c>
      <c r="H836" s="66" t="str">
        <f t="shared" si="1134"/>
        <v/>
      </c>
      <c r="I836" s="66" t="str">
        <f t="shared" si="1182"/>
        <v/>
      </c>
      <c r="J836" s="66" t="str">
        <f t="shared" si="1135"/>
        <v/>
      </c>
      <c r="K836" s="66" t="str">
        <f t="shared" si="1136"/>
        <v/>
      </c>
      <c r="L836" s="66" t="str">
        <f t="shared" si="1137"/>
        <v/>
      </c>
      <c r="M836" s="66" t="str">
        <f t="shared" si="1138"/>
        <v/>
      </c>
      <c r="N836" s="66" t="str">
        <f>+IF(C836="","",ROUND(Parámetros!$D$23,2))</f>
        <v/>
      </c>
      <c r="O836" s="66" t="str">
        <f t="shared" si="1139"/>
        <v/>
      </c>
      <c r="P836" s="66" t="str">
        <f>+IF($C836="","",ROUND(IF(B836&gt;Parámetros!$D$117,0,N836*Parámetros!$D$116-G836*Parámetros!$D$100),2))</f>
        <v/>
      </c>
      <c r="Q836" s="75" t="str">
        <f t="shared" si="1183"/>
        <v/>
      </c>
      <c r="R836" s="75" t="str">
        <f t="shared" si="1184"/>
        <v/>
      </c>
      <c r="S836" s="117" t="str">
        <f>+IF($C836="","",ROUND((S835+I836)*(1+Parámetros!$D$91),2))</f>
        <v/>
      </c>
      <c r="T836" s="117" t="str">
        <f>+IF($C836="","",ROUND(S836*VLOOKUP(B836,Parámetros!$C$30:$D$39,2,TRUE),2))</f>
        <v/>
      </c>
      <c r="U836" s="117" t="str">
        <f>+IF($C836="","",ROUND((U835+I836)*(1+Parámetros!$D$92),2))</f>
        <v/>
      </c>
      <c r="V836" s="117" t="str">
        <f>+IF($C836="","",ROUND(U836*VLOOKUP(B836,Parámetros!$C$30:$D$39,2,TRUE),2))</f>
        <v/>
      </c>
      <c r="W836" s="57" t="str">
        <f t="shared" si="1185"/>
        <v/>
      </c>
      <c r="X836" t="str">
        <f t="shared" si="1186"/>
        <v/>
      </c>
      <c r="Y836" t="str">
        <f t="shared" si="1187"/>
        <v/>
      </c>
      <c r="Z836" s="118" t="str">
        <f>+IF($W836="","",ROUND(IF(Parámetros!$D$25='TABLAS MORT'!$V$33,Z835,Parámetros!$D$21-'Tablas Servicio'!T835),0))</f>
        <v/>
      </c>
      <c r="AA836" s="118" t="str">
        <f t="shared" si="1188"/>
        <v/>
      </c>
      <c r="AB836" s="119" t="str">
        <f>+IF(W836="","",ROUND((VLOOKUP(ROUNDDOWN($D836-1/frec,0),qx_tabla,2,FALSE)*(1+i/frec)^-0.5*(1+Parámetros!$D$103)*(1+rec_fracc)/frec),6))</f>
        <v/>
      </c>
      <c r="AC836" s="66" t="str">
        <f t="shared" si="1144"/>
        <v/>
      </c>
      <c r="AD836" s="119" t="str">
        <f t="shared" si="1140"/>
        <v/>
      </c>
      <c r="AE836" s="66" t="str">
        <f>+IF($W836="","",ROUND(IF($B836&gt;Parámetros!$D$107,'Tablas Servicio'!AC836+('Tablas Servicio'!AG835-'Tablas Servicio'!AC835),AC836/(1-IF(B836&lt;=10,Parámetros!$D$104,Parámetros!$D$105))),2))</f>
        <v/>
      </c>
      <c r="AF836" s="66" t="str">
        <f>+IF($W836="","",ROUND(IF($B836&gt;Parámetros!$D$107,'Tablas Servicio'!AC836+('Tablas Servicio'!AG835-'Tablas Servicio'!AC835),(AC836+$A835/frec)/(1-IF(B836&lt;=Parámetros!$D$117,Parámetros!$D$100,0))),2))</f>
        <v/>
      </c>
      <c r="AG836" s="66" t="str">
        <f t="shared" si="1145"/>
        <v/>
      </c>
      <c r="AH836" s="66" t="str">
        <f t="shared" si="1146"/>
        <v/>
      </c>
      <c r="AI836" s="66" t="str">
        <f t="shared" si="1147"/>
        <v/>
      </c>
      <c r="AJ836" s="66" t="str">
        <f>+IF($W836="","",ROUND((AG836*Parámetros!$G$85),2))</f>
        <v/>
      </c>
      <c r="AK836" s="66" t="str">
        <f>+IF($W836="","",ROUND((AG836*(Parámetros!$G$86)),2))</f>
        <v/>
      </c>
      <c r="AL836" s="66" t="str">
        <f t="shared" si="1141"/>
        <v/>
      </c>
      <c r="AM836" t="str">
        <f t="shared" si="1189"/>
        <v/>
      </c>
      <c r="AN836" t="str">
        <f t="shared" si="1190"/>
        <v/>
      </c>
      <c r="AO836" s="118" t="str">
        <f t="shared" si="1191"/>
        <v/>
      </c>
      <c r="AP836" s="118" t="str">
        <f t="shared" si="1192"/>
        <v/>
      </c>
      <c r="AQ836" s="119" t="str">
        <f>+IF(OR($W836="",AO836=0),"",ROUND((VLOOKUP(ROUNDDOWN($D836-1/frec,0),cob_adi,Z$40,FALSE)*(1+i/frec)^-0.5*(1+Parámetros!$D$103)*(1+rec_fracc)/frec),6))</f>
        <v/>
      </c>
      <c r="AR836" s="66" t="str">
        <f t="shared" si="1148"/>
        <v/>
      </c>
      <c r="AS836" s="119" t="str">
        <f t="shared" si="1149"/>
        <v/>
      </c>
      <c r="AT836" s="66" t="str">
        <f>+IF($W836="","",ROUND(IF($B836&gt;Parámetros!$D$107,'Tablas Servicio'!AR836+('Tablas Servicio'!AT835-'Tablas Servicio'!AR835),AR836/(1-IF(B836&lt;=10,Parámetros!$D$100,0))),2))</f>
        <v/>
      </c>
      <c r="AU836" s="66" t="str">
        <f t="shared" si="1150"/>
        <v/>
      </c>
      <c r="AV836" s="66" t="str">
        <f t="shared" si="1150"/>
        <v/>
      </c>
      <c r="AW836" s="66" t="str">
        <f>+IF($W836="","",ROUND((AT836*Parámetros!$G$85),2))</f>
        <v/>
      </c>
      <c r="AX836" s="66" t="str">
        <f>+IF($W836="","",ROUND((AT836*(Parámetros!$G$86)),2))</f>
        <v/>
      </c>
      <c r="AY836" s="66" t="str">
        <f t="shared" si="1151"/>
        <v/>
      </c>
      <c r="AZ836" t="str">
        <f t="shared" si="1193"/>
        <v/>
      </c>
      <c r="BA836" t="str">
        <f t="shared" si="1194"/>
        <v/>
      </c>
      <c r="BB836" s="118" t="str">
        <f t="shared" si="1195"/>
        <v/>
      </c>
      <c r="BC836" s="118" t="str">
        <f t="shared" si="1196"/>
        <v/>
      </c>
      <c r="BD836" s="119" t="str">
        <f>+IF(OR($W836="",BB836=0),"",ROUND((VLOOKUP(ROUNDDOWN($D836-1/frec,0),cob_adi,AO$40,FALSE)*(1+i/frec)^-0.5*(1+Parámetros!$D$103)*(1+rec_fracc)/frec),6))</f>
        <v/>
      </c>
      <c r="BE836" s="66" t="str">
        <f t="shared" si="1152"/>
        <v/>
      </c>
      <c r="BF836" s="119" t="str">
        <f t="shared" si="1153"/>
        <v/>
      </c>
      <c r="BG836" s="66" t="str">
        <f>+IF($W836="","",ROUND(IF($B836&gt;Parámetros!$D$107,'Tablas Servicio'!BE836+('Tablas Servicio'!BG835-'Tablas Servicio'!BE835),BE836/(1-IF(B836&lt;=10,Parámetros!$D$100,0))),2))</f>
        <v/>
      </c>
      <c r="BH836" s="66" t="str">
        <f t="shared" si="1154"/>
        <v/>
      </c>
      <c r="BI836" s="66" t="str">
        <f t="shared" si="1155"/>
        <v/>
      </c>
      <c r="BJ836" s="66" t="str">
        <f>+IF($W836="","",ROUND((BG836*Parámetros!$G$85),2))</f>
        <v/>
      </c>
      <c r="BK836" s="66" t="str">
        <f>+IF($W836="","",ROUND((BG836*(Parámetros!$G$86)),2))</f>
        <v/>
      </c>
      <c r="BL836" s="66" t="str">
        <f t="shared" si="1156"/>
        <v/>
      </c>
      <c r="BM836" t="str">
        <f t="shared" si="1197"/>
        <v/>
      </c>
      <c r="BN836" t="str">
        <f t="shared" si="1198"/>
        <v/>
      </c>
      <c r="BO836" s="118" t="str">
        <f t="shared" si="1199"/>
        <v/>
      </c>
      <c r="BP836" s="118" t="str">
        <f t="shared" si="1200"/>
        <v/>
      </c>
      <c r="BQ836" s="119" t="str">
        <f>+IF(OR($W836="",BO836=0),"",ROUND((VLOOKUP(ROUNDDOWN($D836-1/frec,0),cob_adi,BB$40,FALSE)*(1+i/frec)^-0.5*(1+Parámetros!$D$103)*(1+rec_fracc)/frec),6))</f>
        <v/>
      </c>
      <c r="BR836" s="66" t="str">
        <f t="shared" si="1157"/>
        <v/>
      </c>
      <c r="BS836" s="119" t="str">
        <f t="shared" si="1158"/>
        <v/>
      </c>
      <c r="BT836" s="66" t="str">
        <f>+IF($W836="","",ROUND(IF($B836&gt;Parámetros!$D$107,'Tablas Servicio'!BR836+('Tablas Servicio'!BT835-'Tablas Servicio'!BR835),BR836/(1-IF(B836&lt;=10,Parámetros!$D$100,0))),2))</f>
        <v/>
      </c>
      <c r="BU836" s="66" t="str">
        <f t="shared" si="1159"/>
        <v/>
      </c>
      <c r="BV836" s="66" t="str">
        <f t="shared" si="1159"/>
        <v/>
      </c>
      <c r="BW836" s="66" t="str">
        <f>+IF($W836="","",ROUND((BT836*Parámetros!$G$85),2))</f>
        <v/>
      </c>
      <c r="BX836" s="66" t="str">
        <f>+IF($W836="","",ROUND((BT836*(Parámetros!$G$86)),2))</f>
        <v/>
      </c>
      <c r="BY836" s="66" t="str">
        <f t="shared" si="1160"/>
        <v/>
      </c>
      <c r="BZ836" t="str">
        <f t="shared" si="1201"/>
        <v/>
      </c>
      <c r="CA836" t="str">
        <f t="shared" si="1202"/>
        <v/>
      </c>
      <c r="CB836" s="118" t="str">
        <f t="shared" si="1203"/>
        <v/>
      </c>
      <c r="CC836" s="118" t="str">
        <f t="shared" si="1204"/>
        <v/>
      </c>
      <c r="CD836" s="119" t="str">
        <f t="shared" si="1161"/>
        <v/>
      </c>
      <c r="CE836" s="66" t="str">
        <f>+IF($W836="","",ROUND((VLOOKUP(ROUNDDOWN($D836-1/frec,0),cob_adi,BO$40,FALSE)*(1+i/frec)^-0.5*(1+Parámetros!$D$103)*(1+rec_fracc)/frec*'TABLAS ADI'!$BC$17),2))</f>
        <v/>
      </c>
      <c r="CF836" s="119" t="str">
        <f t="shared" si="1162"/>
        <v/>
      </c>
      <c r="CG836" s="66" t="str">
        <f>+IF($W836="","",ROUND(IF($B836&gt;Parámetros!$D$107,'Tablas Servicio'!CE836+('Tablas Servicio'!CG835-'Tablas Servicio'!CE835),CE836/(1-IF(B836&lt;=10,Parámetros!$D$100,0))),2))</f>
        <v/>
      </c>
      <c r="CH836" s="66" t="str">
        <f t="shared" si="1163"/>
        <v/>
      </c>
      <c r="CI836" s="66" t="str">
        <f t="shared" si="1163"/>
        <v/>
      </c>
      <c r="CJ836" s="66" t="str">
        <f>+IF($W836="","",ROUND((CG836*Parámetros!$G$85),2))</f>
        <v/>
      </c>
      <c r="CK836" s="66" t="str">
        <f>+IF($W836="","",ROUND((CG836*(Parámetros!$G$86)),2))</f>
        <v/>
      </c>
      <c r="CL836" s="66" t="str">
        <f t="shared" si="1164"/>
        <v/>
      </c>
      <c r="CM836" t="str">
        <f t="shared" si="1205"/>
        <v/>
      </c>
      <c r="CN836" s="118" t="str">
        <f t="shared" si="1206"/>
        <v/>
      </c>
      <c r="CO836" s="118" t="str">
        <f t="shared" si="1207"/>
        <v/>
      </c>
      <c r="CP836" s="118" t="str">
        <f t="shared" si="1208"/>
        <v/>
      </c>
      <c r="CQ836" s="119" t="str">
        <f t="shared" si="1165"/>
        <v/>
      </c>
      <c r="CR836" s="66" t="str">
        <f>+IF($W836="","",ROUND((VLOOKUP(Parámetros!$F$51,'COBERTURAS ADICIONALES'!$S$4:$T$32,2,FALSE)*(1+i/frec)^-0.5*(1+Parámetros!$D$103)*(1+rec_fracc)/frec*$CO$42),2))</f>
        <v/>
      </c>
      <c r="CS836" s="119" t="str">
        <f t="shared" si="1166"/>
        <v/>
      </c>
      <c r="CT836" s="66" t="str">
        <f>+IF($W836="","",ROUND(IF($B836&gt;Parámetros!$D$107,'Tablas Servicio'!CR836+('Tablas Servicio'!CT835-'Tablas Servicio'!CR835),CR836/(1-IF(B836&lt;=10,Parámetros!$D$100,0))),2))</f>
        <v/>
      </c>
      <c r="CU836" s="66" t="str">
        <f t="shared" si="1167"/>
        <v/>
      </c>
      <c r="CV836" s="66" t="str">
        <f t="shared" si="1167"/>
        <v/>
      </c>
      <c r="CW836" s="66" t="str">
        <f>+IF($W836="","",ROUND((CT836*Parámetros!$G$85),2))</f>
        <v/>
      </c>
      <c r="CX836" s="66" t="str">
        <f>+IF($W836="","",ROUND((CT836*(Parámetros!$G$86)),2))</f>
        <v/>
      </c>
      <c r="CY836" s="66" t="str">
        <f t="shared" si="1168"/>
        <v/>
      </c>
      <c r="CZ836" t="str">
        <f t="shared" si="1209"/>
        <v/>
      </c>
      <c r="DA836" s="118" t="str">
        <f t="shared" si="1210"/>
        <v/>
      </c>
      <c r="DB836" s="118" t="str">
        <f t="shared" si="1211"/>
        <v/>
      </c>
      <c r="DC836" s="118" t="str">
        <f t="shared" si="1212"/>
        <v/>
      </c>
      <c r="DD836" s="121" t="str">
        <f>+IF(OR($W836="",DB836=0),"",ROUND((VLOOKUP(ROUNDDOWN($D836-1/frec,0),cob_adi,CO$40,FALSE)*(1+i/frec)^-0.5*(1+Parámetros!$D$103)*(1+rec_fracc)/frec),6))</f>
        <v/>
      </c>
      <c r="DE836" s="66" t="str">
        <f t="shared" si="1169"/>
        <v/>
      </c>
      <c r="DF836" s="119" t="str">
        <f t="shared" si="1170"/>
        <v/>
      </c>
      <c r="DG836" s="66" t="str">
        <f>+IF($W836="","",ROUND(IF($B836&gt;Parámetros!$D$107,'Tablas Servicio'!DE836+('Tablas Servicio'!DG835-'Tablas Servicio'!DE835),DE836/(1-IF(B836&lt;=10,Parámetros!$D$100,0))),2))</f>
        <v/>
      </c>
      <c r="DH836" s="66" t="str">
        <f t="shared" si="1171"/>
        <v/>
      </c>
      <c r="DI836" s="66" t="str">
        <f t="shared" si="1171"/>
        <v/>
      </c>
      <c r="DJ836" s="66" t="str">
        <f>+IF($W836="","",ROUND((DG836*Parámetros!$G$85),2))</f>
        <v/>
      </c>
      <c r="DK836" s="66" t="str">
        <f>+IF($W836="","",ROUND((DG836*(Parámetros!$G$86)),2))</f>
        <v/>
      </c>
      <c r="DL836" s="66" t="str">
        <f t="shared" si="1172"/>
        <v/>
      </c>
      <c r="DM836" t="str">
        <f t="shared" si="1213"/>
        <v/>
      </c>
      <c r="DN836" s="118" t="str">
        <f t="shared" si="1214"/>
        <v/>
      </c>
      <c r="DO836" s="118" t="str">
        <f t="shared" si="1215"/>
        <v/>
      </c>
      <c r="DP836" s="118" t="str">
        <f t="shared" si="1216"/>
        <v/>
      </c>
      <c r="DQ836" s="122" t="str">
        <f>+IF(OR($W836="",DO836=0),"",ROUND((VLOOKUP(ROUNDDOWN($D836-1/frec,0),cob_adi,DB$40,FALSE)*(1+i/frec)^-0.5*(1+Parámetros!$D$103)*(1+rec_fracc)/frec),6))</f>
        <v/>
      </c>
      <c r="DR836" s="66" t="str">
        <f t="shared" si="1173"/>
        <v/>
      </c>
      <c r="DS836" s="68" t="str">
        <f t="shared" si="1174"/>
        <v/>
      </c>
      <c r="DT836" s="66" t="str">
        <f>+IF($W836="","",ROUND(IF($B836&gt;Parámetros!$D$107,'Tablas Servicio'!DR836+('Tablas Servicio'!DT835-'Tablas Servicio'!DR835),DR836/(1-IF(B836&lt;=10,Parámetros!$D$100,0))),2))</f>
        <v/>
      </c>
      <c r="DU836" s="66" t="str">
        <f t="shared" si="1175"/>
        <v/>
      </c>
      <c r="DV836" s="66" t="str">
        <f t="shared" si="1175"/>
        <v/>
      </c>
      <c r="DW836" s="66" t="str">
        <f>+IF($W836="","",ROUND((DT836*Parámetros!$G$85),2))</f>
        <v/>
      </c>
      <c r="DX836" s="66" t="str">
        <f>+IF($W836="","",ROUND((DT836*(Parámetros!$G$86)),2))</f>
        <v/>
      </c>
      <c r="DY836" s="66" t="str">
        <f t="shared" si="1176"/>
        <v/>
      </c>
      <c r="DZ836" t="str">
        <f t="shared" si="1217"/>
        <v/>
      </c>
      <c r="EA836" s="118" t="str">
        <f t="shared" si="1217"/>
        <v/>
      </c>
      <c r="EB836" s="118" t="str">
        <f>+IF($W836="","",ROUND(IF(Parámetros!$D$25='TABLAS MORT'!$V$33,EB835,Z836/2),0))</f>
        <v/>
      </c>
      <c r="EC836" s="118" t="str">
        <f t="shared" si="1217"/>
        <v/>
      </c>
      <c r="ED836" s="122" t="str">
        <f>+IF(OR($W836="",EB836=0),"",ROUND((VLOOKUP(ROUNDDOWN($D836-1/frec,0),cob_adi,DO$40,FALSE)*(1+i/frec)^-0.5*(1+Parámetros!$D$103)*(1+rec_fracc)/frec),6))</f>
        <v/>
      </c>
      <c r="EE836" s="66" t="str">
        <f t="shared" si="1178"/>
        <v/>
      </c>
      <c r="EF836" s="68" t="str">
        <f t="shared" si="1179"/>
        <v/>
      </c>
      <c r="EG836" s="66" t="str">
        <f>+IF($W836="","",ROUND(IF($B836&gt;Parámetros!$D$107,'Tablas Servicio'!EE836+('Tablas Servicio'!EG835-'Tablas Servicio'!EE835),EE836/(1-IF(B836&lt;=10,Parámetros!$D$100,0))),2))</f>
        <v/>
      </c>
      <c r="EH836" s="66" t="str">
        <f t="shared" si="1180"/>
        <v/>
      </c>
      <c r="EI836" s="66" t="str">
        <f t="shared" si="1180"/>
        <v/>
      </c>
      <c r="EJ836" s="66" t="str">
        <f>+IF($W836="","",ROUND((EG836*Parámetros!$G$85),2))</f>
        <v/>
      </c>
      <c r="EK836" s="66" t="str">
        <f>+IF($W836="","",ROUND((EG836*(Parámetros!$G$86)),2))</f>
        <v/>
      </c>
      <c r="EL836" s="66" t="str">
        <f t="shared" si="1181"/>
        <v/>
      </c>
    </row>
    <row r="837" spans="1:142" x14ac:dyDescent="0.25">
      <c r="A837" t="str">
        <f>+IF($C837="","",ROUND(VLOOKUP('Tablas Servicio'!B837,Parámetros!$H$100:$J$159,IF(Parámetros!$E$16="F",2,3),FALSE),2))</f>
        <v/>
      </c>
      <c r="B837" t="str">
        <f t="shared" si="1132"/>
        <v/>
      </c>
      <c r="C837" s="57" t="str">
        <f>+IF(D837="","",'Tablas Servicio'!C836+1)</f>
        <v/>
      </c>
      <c r="D837" s="56" t="str">
        <f>+IF(D836&lt;edadmaxtabla,D836+1/Parámetros!$E$25,"")</f>
        <v/>
      </c>
      <c r="E837" s="57" t="str">
        <f t="shared" si="1142"/>
        <v/>
      </c>
      <c r="F837" s="59" t="str">
        <f t="shared" si="1143"/>
        <v/>
      </c>
      <c r="G837" s="66" t="str">
        <f t="shared" si="1133"/>
        <v/>
      </c>
      <c r="H837" s="66" t="str">
        <f t="shared" si="1134"/>
        <v/>
      </c>
      <c r="I837" s="66" t="str">
        <f t="shared" si="1182"/>
        <v/>
      </c>
      <c r="J837" s="66" t="str">
        <f t="shared" si="1135"/>
        <v/>
      </c>
      <c r="K837" s="66" t="str">
        <f t="shared" si="1136"/>
        <v/>
      </c>
      <c r="L837" s="66" t="str">
        <f t="shared" si="1137"/>
        <v/>
      </c>
      <c r="M837" s="66" t="str">
        <f t="shared" si="1138"/>
        <v/>
      </c>
      <c r="N837" s="66" t="str">
        <f>+IF(C837="","",ROUND(Parámetros!$D$23,2))</f>
        <v/>
      </c>
      <c r="O837" s="66" t="str">
        <f t="shared" si="1139"/>
        <v/>
      </c>
      <c r="P837" s="66" t="str">
        <f>+IF($C837="","",ROUND(IF(B837&gt;Parámetros!$D$117,0,N837*Parámetros!$D$116-G837*Parámetros!$D$100),2))</f>
        <v/>
      </c>
      <c r="Q837" s="75" t="str">
        <f t="shared" si="1183"/>
        <v/>
      </c>
      <c r="R837" s="75" t="str">
        <f t="shared" si="1184"/>
        <v/>
      </c>
      <c r="S837" s="117" t="str">
        <f>+IF($C837="","",ROUND((S836+I837)*(1+Parámetros!$D$91),2))</f>
        <v/>
      </c>
      <c r="T837" s="117" t="str">
        <f>+IF($C837="","",ROUND(S837*VLOOKUP(B837,Parámetros!$C$30:$D$39,2,TRUE),2))</f>
        <v/>
      </c>
      <c r="U837" s="117" t="str">
        <f>+IF($C837="","",ROUND((U836+I837)*(1+Parámetros!$D$92),2))</f>
        <v/>
      </c>
      <c r="V837" s="117" t="str">
        <f>+IF($C837="","",ROUND(U837*VLOOKUP(B837,Parámetros!$C$30:$D$39,2,TRUE),2))</f>
        <v/>
      </c>
      <c r="W837" s="57" t="str">
        <f t="shared" si="1185"/>
        <v/>
      </c>
      <c r="X837" t="str">
        <f t="shared" si="1186"/>
        <v/>
      </c>
      <c r="Y837" t="str">
        <f t="shared" si="1187"/>
        <v/>
      </c>
      <c r="Z837" s="118" t="str">
        <f>+IF($W837="","",ROUND(IF(Parámetros!$D$25='TABLAS MORT'!$V$33,Z836,Parámetros!$D$21-'Tablas Servicio'!T836),0))</f>
        <v/>
      </c>
      <c r="AA837" s="118" t="str">
        <f t="shared" si="1188"/>
        <v/>
      </c>
      <c r="AB837" s="119" t="str">
        <f>+IF(W837="","",ROUND((VLOOKUP(ROUNDDOWN($D837-1/frec,0),qx_tabla,2,FALSE)*(1+i/frec)^-0.5*(1+Parámetros!$D$103)*(1+rec_fracc)/frec),6))</f>
        <v/>
      </c>
      <c r="AC837" s="66" t="str">
        <f t="shared" si="1144"/>
        <v/>
      </c>
      <c r="AD837" s="119" t="str">
        <f t="shared" si="1140"/>
        <v/>
      </c>
      <c r="AE837" s="66" t="str">
        <f>+IF($W837="","",ROUND(IF($B837&gt;Parámetros!$D$107,'Tablas Servicio'!AC837+('Tablas Servicio'!AG836-'Tablas Servicio'!AC836),AC837/(1-IF(B837&lt;=10,Parámetros!$D$104,Parámetros!$D$105))),2))</f>
        <v/>
      </c>
      <c r="AF837" s="66" t="str">
        <f>+IF($W837="","",ROUND(IF($B837&gt;Parámetros!$D$107,'Tablas Servicio'!AC837+('Tablas Servicio'!AG836-'Tablas Servicio'!AC836),(AC837+$A836/frec)/(1-IF(B837&lt;=Parámetros!$D$117,Parámetros!$D$100,0))),2))</f>
        <v/>
      </c>
      <c r="AG837" s="66" t="str">
        <f t="shared" si="1145"/>
        <v/>
      </c>
      <c r="AH837" s="66" t="str">
        <f t="shared" si="1146"/>
        <v/>
      </c>
      <c r="AI837" s="66" t="str">
        <f t="shared" si="1147"/>
        <v/>
      </c>
      <c r="AJ837" s="66" t="str">
        <f>+IF($W837="","",ROUND((AG837*Parámetros!$G$85),2))</f>
        <v/>
      </c>
      <c r="AK837" s="66" t="str">
        <f>+IF($W837="","",ROUND((AG837*(Parámetros!$G$86)),2))</f>
        <v/>
      </c>
      <c r="AL837" s="66" t="str">
        <f t="shared" si="1141"/>
        <v/>
      </c>
      <c r="AM837" t="str">
        <f t="shared" si="1189"/>
        <v/>
      </c>
      <c r="AN837" t="str">
        <f t="shared" si="1190"/>
        <v/>
      </c>
      <c r="AO837" s="118" t="str">
        <f t="shared" si="1191"/>
        <v/>
      </c>
      <c r="AP837" s="118" t="str">
        <f t="shared" si="1192"/>
        <v/>
      </c>
      <c r="AQ837" s="119" t="str">
        <f>+IF(OR($W837="",AO837=0),"",ROUND((VLOOKUP(ROUNDDOWN($D837-1/frec,0),cob_adi,Z$40,FALSE)*(1+i/frec)^-0.5*(1+Parámetros!$D$103)*(1+rec_fracc)/frec),6))</f>
        <v/>
      </c>
      <c r="AR837" s="66" t="str">
        <f t="shared" si="1148"/>
        <v/>
      </c>
      <c r="AS837" s="119" t="str">
        <f t="shared" si="1149"/>
        <v/>
      </c>
      <c r="AT837" s="66" t="str">
        <f>+IF($W837="","",ROUND(IF($B837&gt;Parámetros!$D$107,'Tablas Servicio'!AR837+('Tablas Servicio'!AT836-'Tablas Servicio'!AR836),AR837/(1-IF(B837&lt;=10,Parámetros!$D$100,0))),2))</f>
        <v/>
      </c>
      <c r="AU837" s="66" t="str">
        <f t="shared" si="1150"/>
        <v/>
      </c>
      <c r="AV837" s="66" t="str">
        <f t="shared" si="1150"/>
        <v/>
      </c>
      <c r="AW837" s="66" t="str">
        <f>+IF($W837="","",ROUND((AT837*Parámetros!$G$85),2))</f>
        <v/>
      </c>
      <c r="AX837" s="66" t="str">
        <f>+IF($W837="","",ROUND((AT837*(Parámetros!$G$86)),2))</f>
        <v/>
      </c>
      <c r="AY837" s="66" t="str">
        <f t="shared" si="1151"/>
        <v/>
      </c>
      <c r="AZ837" t="str">
        <f t="shared" si="1193"/>
        <v/>
      </c>
      <c r="BA837" t="str">
        <f t="shared" si="1194"/>
        <v/>
      </c>
      <c r="BB837" s="118" t="str">
        <f t="shared" si="1195"/>
        <v/>
      </c>
      <c r="BC837" s="118" t="str">
        <f t="shared" si="1196"/>
        <v/>
      </c>
      <c r="BD837" s="119" t="str">
        <f>+IF(OR($W837="",BB837=0),"",ROUND((VLOOKUP(ROUNDDOWN($D837-1/frec,0),cob_adi,AO$40,FALSE)*(1+i/frec)^-0.5*(1+Parámetros!$D$103)*(1+rec_fracc)/frec),6))</f>
        <v/>
      </c>
      <c r="BE837" s="66" t="str">
        <f t="shared" si="1152"/>
        <v/>
      </c>
      <c r="BF837" s="119" t="str">
        <f t="shared" si="1153"/>
        <v/>
      </c>
      <c r="BG837" s="66" t="str">
        <f>+IF($W837="","",ROUND(IF($B837&gt;Parámetros!$D$107,'Tablas Servicio'!BE837+('Tablas Servicio'!BG836-'Tablas Servicio'!BE836),BE837/(1-IF(B837&lt;=10,Parámetros!$D$100,0))),2))</f>
        <v/>
      </c>
      <c r="BH837" s="66" t="str">
        <f t="shared" si="1154"/>
        <v/>
      </c>
      <c r="BI837" s="66" t="str">
        <f t="shared" si="1155"/>
        <v/>
      </c>
      <c r="BJ837" s="66" t="str">
        <f>+IF($W837="","",ROUND((BG837*Parámetros!$G$85),2))</f>
        <v/>
      </c>
      <c r="BK837" s="66" t="str">
        <f>+IF($W837="","",ROUND((BG837*(Parámetros!$G$86)),2))</f>
        <v/>
      </c>
      <c r="BL837" s="66" t="str">
        <f t="shared" si="1156"/>
        <v/>
      </c>
      <c r="BM837" t="str">
        <f t="shared" si="1197"/>
        <v/>
      </c>
      <c r="BN837" t="str">
        <f t="shared" si="1198"/>
        <v/>
      </c>
      <c r="BO837" s="118" t="str">
        <f t="shared" si="1199"/>
        <v/>
      </c>
      <c r="BP837" s="118" t="str">
        <f t="shared" si="1200"/>
        <v/>
      </c>
      <c r="BQ837" s="119" t="str">
        <f>+IF(OR($W837="",BO837=0),"",ROUND((VLOOKUP(ROUNDDOWN($D837-1/frec,0),cob_adi,BB$40,FALSE)*(1+i/frec)^-0.5*(1+Parámetros!$D$103)*(1+rec_fracc)/frec),6))</f>
        <v/>
      </c>
      <c r="BR837" s="66" t="str">
        <f t="shared" si="1157"/>
        <v/>
      </c>
      <c r="BS837" s="119" t="str">
        <f t="shared" si="1158"/>
        <v/>
      </c>
      <c r="BT837" s="66" t="str">
        <f>+IF($W837="","",ROUND(IF($B837&gt;Parámetros!$D$107,'Tablas Servicio'!BR837+('Tablas Servicio'!BT836-'Tablas Servicio'!BR836),BR837/(1-IF(B837&lt;=10,Parámetros!$D$100,0))),2))</f>
        <v/>
      </c>
      <c r="BU837" s="66" t="str">
        <f t="shared" si="1159"/>
        <v/>
      </c>
      <c r="BV837" s="66" t="str">
        <f t="shared" si="1159"/>
        <v/>
      </c>
      <c r="BW837" s="66" t="str">
        <f>+IF($W837="","",ROUND((BT837*Parámetros!$G$85),2))</f>
        <v/>
      </c>
      <c r="BX837" s="66" t="str">
        <f>+IF($W837="","",ROUND((BT837*(Parámetros!$G$86)),2))</f>
        <v/>
      </c>
      <c r="BY837" s="66" t="str">
        <f t="shared" si="1160"/>
        <v/>
      </c>
      <c r="BZ837" t="str">
        <f t="shared" si="1201"/>
        <v/>
      </c>
      <c r="CA837" t="str">
        <f t="shared" si="1202"/>
        <v/>
      </c>
      <c r="CB837" s="118" t="str">
        <f t="shared" si="1203"/>
        <v/>
      </c>
      <c r="CC837" s="118" t="str">
        <f t="shared" si="1204"/>
        <v/>
      </c>
      <c r="CD837" s="119" t="str">
        <f t="shared" si="1161"/>
        <v/>
      </c>
      <c r="CE837" s="66" t="str">
        <f>+IF($W837="","",ROUND((VLOOKUP(ROUNDDOWN($D837-1/frec,0),cob_adi,BO$40,FALSE)*(1+i/frec)^-0.5*(1+Parámetros!$D$103)*(1+rec_fracc)/frec*'TABLAS ADI'!$BC$17),2))</f>
        <v/>
      </c>
      <c r="CF837" s="119" t="str">
        <f t="shared" si="1162"/>
        <v/>
      </c>
      <c r="CG837" s="66" t="str">
        <f>+IF($W837="","",ROUND(IF($B837&gt;Parámetros!$D$107,'Tablas Servicio'!CE837+('Tablas Servicio'!CG836-'Tablas Servicio'!CE836),CE837/(1-IF(B837&lt;=10,Parámetros!$D$100,0))),2))</f>
        <v/>
      </c>
      <c r="CH837" s="66" t="str">
        <f t="shared" si="1163"/>
        <v/>
      </c>
      <c r="CI837" s="66" t="str">
        <f t="shared" si="1163"/>
        <v/>
      </c>
      <c r="CJ837" s="66" t="str">
        <f>+IF($W837="","",ROUND((CG837*Parámetros!$G$85),2))</f>
        <v/>
      </c>
      <c r="CK837" s="66" t="str">
        <f>+IF($W837="","",ROUND((CG837*(Parámetros!$G$86)),2))</f>
        <v/>
      </c>
      <c r="CL837" s="66" t="str">
        <f t="shared" si="1164"/>
        <v/>
      </c>
      <c r="CM837" t="str">
        <f t="shared" si="1205"/>
        <v/>
      </c>
      <c r="CN837" s="118" t="str">
        <f t="shared" si="1206"/>
        <v/>
      </c>
      <c r="CO837" s="118" t="str">
        <f t="shared" si="1207"/>
        <v/>
      </c>
      <c r="CP837" s="118" t="str">
        <f t="shared" si="1208"/>
        <v/>
      </c>
      <c r="CQ837" s="119" t="str">
        <f t="shared" si="1165"/>
        <v/>
      </c>
      <c r="CR837" s="66" t="str">
        <f>+IF($W837="","",ROUND((VLOOKUP(Parámetros!$F$51,'COBERTURAS ADICIONALES'!$S$4:$T$32,2,FALSE)*(1+i/frec)^-0.5*(1+Parámetros!$D$103)*(1+rec_fracc)/frec*$CO$42),2))</f>
        <v/>
      </c>
      <c r="CS837" s="119" t="str">
        <f t="shared" si="1166"/>
        <v/>
      </c>
      <c r="CT837" s="66" t="str">
        <f>+IF($W837="","",ROUND(IF($B837&gt;Parámetros!$D$107,'Tablas Servicio'!CR837+('Tablas Servicio'!CT836-'Tablas Servicio'!CR836),CR837/(1-IF(B837&lt;=10,Parámetros!$D$100,0))),2))</f>
        <v/>
      </c>
      <c r="CU837" s="66" t="str">
        <f t="shared" si="1167"/>
        <v/>
      </c>
      <c r="CV837" s="66" t="str">
        <f t="shared" si="1167"/>
        <v/>
      </c>
      <c r="CW837" s="66" t="str">
        <f>+IF($W837="","",ROUND((CT837*Parámetros!$G$85),2))</f>
        <v/>
      </c>
      <c r="CX837" s="66" t="str">
        <f>+IF($W837="","",ROUND((CT837*(Parámetros!$G$86)),2))</f>
        <v/>
      </c>
      <c r="CY837" s="66" t="str">
        <f t="shared" si="1168"/>
        <v/>
      </c>
      <c r="CZ837" t="str">
        <f t="shared" si="1209"/>
        <v/>
      </c>
      <c r="DA837" s="118" t="str">
        <f t="shared" si="1210"/>
        <v/>
      </c>
      <c r="DB837" s="118" t="str">
        <f t="shared" si="1211"/>
        <v/>
      </c>
      <c r="DC837" s="118" t="str">
        <f t="shared" si="1212"/>
        <v/>
      </c>
      <c r="DD837" s="121" t="str">
        <f>+IF(OR($W837="",DB837=0),"",ROUND((VLOOKUP(ROUNDDOWN($D837-1/frec,0),cob_adi,CO$40,FALSE)*(1+i/frec)^-0.5*(1+Parámetros!$D$103)*(1+rec_fracc)/frec),6))</f>
        <v/>
      </c>
      <c r="DE837" s="66" t="str">
        <f t="shared" si="1169"/>
        <v/>
      </c>
      <c r="DF837" s="119" t="str">
        <f t="shared" si="1170"/>
        <v/>
      </c>
      <c r="DG837" s="66" t="str">
        <f>+IF($W837="","",ROUND(IF($B837&gt;Parámetros!$D$107,'Tablas Servicio'!DE837+('Tablas Servicio'!DG836-'Tablas Servicio'!DE836),DE837/(1-IF(B837&lt;=10,Parámetros!$D$100,0))),2))</f>
        <v/>
      </c>
      <c r="DH837" s="66" t="str">
        <f t="shared" si="1171"/>
        <v/>
      </c>
      <c r="DI837" s="66" t="str">
        <f t="shared" si="1171"/>
        <v/>
      </c>
      <c r="DJ837" s="66" t="str">
        <f>+IF($W837="","",ROUND((DG837*Parámetros!$G$85),2))</f>
        <v/>
      </c>
      <c r="DK837" s="66" t="str">
        <f>+IF($W837="","",ROUND((DG837*(Parámetros!$G$86)),2))</f>
        <v/>
      </c>
      <c r="DL837" s="66" t="str">
        <f t="shared" si="1172"/>
        <v/>
      </c>
      <c r="DM837" t="str">
        <f t="shared" si="1213"/>
        <v/>
      </c>
      <c r="DN837" s="118" t="str">
        <f t="shared" si="1214"/>
        <v/>
      </c>
      <c r="DO837" s="118" t="str">
        <f t="shared" si="1215"/>
        <v/>
      </c>
      <c r="DP837" s="118" t="str">
        <f t="shared" si="1216"/>
        <v/>
      </c>
      <c r="DQ837" s="122" t="str">
        <f>+IF(OR($W837="",DO837=0),"",ROUND((VLOOKUP(ROUNDDOWN($D837-1/frec,0),cob_adi,DB$40,FALSE)*(1+i/frec)^-0.5*(1+Parámetros!$D$103)*(1+rec_fracc)/frec),6))</f>
        <v/>
      </c>
      <c r="DR837" s="66" t="str">
        <f t="shared" si="1173"/>
        <v/>
      </c>
      <c r="DS837" s="68" t="str">
        <f t="shared" si="1174"/>
        <v/>
      </c>
      <c r="DT837" s="66" t="str">
        <f>+IF($W837="","",ROUND(IF($B837&gt;Parámetros!$D$107,'Tablas Servicio'!DR837+('Tablas Servicio'!DT836-'Tablas Servicio'!DR836),DR837/(1-IF(B837&lt;=10,Parámetros!$D$100,0))),2))</f>
        <v/>
      </c>
      <c r="DU837" s="66" t="str">
        <f t="shared" si="1175"/>
        <v/>
      </c>
      <c r="DV837" s="66" t="str">
        <f t="shared" si="1175"/>
        <v/>
      </c>
      <c r="DW837" s="66" t="str">
        <f>+IF($W837="","",ROUND((DT837*Parámetros!$G$85),2))</f>
        <v/>
      </c>
      <c r="DX837" s="66" t="str">
        <f>+IF($W837="","",ROUND((DT837*(Parámetros!$G$86)),2))</f>
        <v/>
      </c>
      <c r="DY837" s="66" t="str">
        <f t="shared" si="1176"/>
        <v/>
      </c>
      <c r="DZ837" t="str">
        <f t="shared" si="1217"/>
        <v/>
      </c>
      <c r="EA837" s="118" t="str">
        <f t="shared" si="1217"/>
        <v/>
      </c>
      <c r="EB837" s="118" t="str">
        <f>+IF($W837="","",ROUND(IF(Parámetros!$D$25='TABLAS MORT'!$V$33,EB836,Z837/2),0))</f>
        <v/>
      </c>
      <c r="EC837" s="118" t="str">
        <f t="shared" si="1217"/>
        <v/>
      </c>
      <c r="ED837" s="122" t="str">
        <f>+IF(OR($W837="",EB837=0),"",ROUND((VLOOKUP(ROUNDDOWN($D837-1/frec,0),cob_adi,DO$40,FALSE)*(1+i/frec)^-0.5*(1+Parámetros!$D$103)*(1+rec_fracc)/frec),6))</f>
        <v/>
      </c>
      <c r="EE837" s="66" t="str">
        <f t="shared" si="1178"/>
        <v/>
      </c>
      <c r="EF837" s="68" t="str">
        <f t="shared" si="1179"/>
        <v/>
      </c>
      <c r="EG837" s="66" t="str">
        <f>+IF($W837="","",ROUND(IF($B837&gt;Parámetros!$D$107,'Tablas Servicio'!EE837+('Tablas Servicio'!EG836-'Tablas Servicio'!EE836),EE837/(1-IF(B837&lt;=10,Parámetros!$D$100,0))),2))</f>
        <v/>
      </c>
      <c r="EH837" s="66" t="str">
        <f t="shared" si="1180"/>
        <v/>
      </c>
      <c r="EI837" s="66" t="str">
        <f t="shared" si="1180"/>
        <v/>
      </c>
      <c r="EJ837" s="66" t="str">
        <f>+IF($W837="","",ROUND((EG837*Parámetros!$G$85),2))</f>
        <v/>
      </c>
      <c r="EK837" s="66" t="str">
        <f>+IF($W837="","",ROUND((EG837*(Parámetros!$G$86)),2))</f>
        <v/>
      </c>
      <c r="EL837" s="66" t="str">
        <f t="shared" si="1181"/>
        <v/>
      </c>
    </row>
    <row r="838" spans="1:142" x14ac:dyDescent="0.25">
      <c r="A838" t="str">
        <f>+IF($C838="","",ROUND(VLOOKUP('Tablas Servicio'!B838,Parámetros!$H$100:$J$159,IF(Parámetros!$E$16="F",2,3),FALSE),2))</f>
        <v/>
      </c>
      <c r="B838" t="str">
        <f t="shared" si="1132"/>
        <v/>
      </c>
      <c r="C838" s="57" t="str">
        <f>+IF(D838="","",'Tablas Servicio'!C837+1)</f>
        <v/>
      </c>
      <c r="D838" s="56" t="str">
        <f>+IF(D837&lt;edadmaxtabla,D837+1/Parámetros!$E$25,"")</f>
        <v/>
      </c>
      <c r="E838" s="57" t="str">
        <f t="shared" si="1142"/>
        <v/>
      </c>
      <c r="F838" s="59" t="str">
        <f t="shared" si="1143"/>
        <v/>
      </c>
      <c r="G838" s="66" t="str">
        <f t="shared" si="1133"/>
        <v/>
      </c>
      <c r="H838" s="66" t="str">
        <f t="shared" si="1134"/>
        <v/>
      </c>
      <c r="I838" s="66" t="str">
        <f t="shared" si="1182"/>
        <v/>
      </c>
      <c r="J838" s="66" t="str">
        <f t="shared" si="1135"/>
        <v/>
      </c>
      <c r="K838" s="66" t="str">
        <f t="shared" si="1136"/>
        <v/>
      </c>
      <c r="L838" s="66" t="str">
        <f t="shared" si="1137"/>
        <v/>
      </c>
      <c r="M838" s="66" t="str">
        <f t="shared" si="1138"/>
        <v/>
      </c>
      <c r="N838" s="66" t="str">
        <f>+IF(C838="","",ROUND(Parámetros!$D$23,2))</f>
        <v/>
      </c>
      <c r="O838" s="66" t="str">
        <f t="shared" si="1139"/>
        <v/>
      </c>
      <c r="P838" s="66" t="str">
        <f>+IF($C838="","",ROUND(IF(B838&gt;Parámetros!$D$117,0,N838*Parámetros!$D$116-G838*Parámetros!$D$100),2))</f>
        <v/>
      </c>
      <c r="Q838" s="75" t="str">
        <f t="shared" si="1183"/>
        <v/>
      </c>
      <c r="R838" s="75" t="str">
        <f t="shared" si="1184"/>
        <v/>
      </c>
      <c r="S838" s="117" t="str">
        <f>+IF($C838="","",ROUND((S837+I838)*(1+Parámetros!$D$91),2))</f>
        <v/>
      </c>
      <c r="T838" s="117" t="str">
        <f>+IF($C838="","",ROUND(S838*VLOOKUP(B838,Parámetros!$C$30:$D$39,2,TRUE),2))</f>
        <v/>
      </c>
      <c r="U838" s="117" t="str">
        <f>+IF($C838="","",ROUND((U837+I838)*(1+Parámetros!$D$92),2))</f>
        <v/>
      </c>
      <c r="V838" s="117" t="str">
        <f>+IF($C838="","",ROUND(U838*VLOOKUP(B838,Parámetros!$C$30:$D$39,2,TRUE),2))</f>
        <v/>
      </c>
      <c r="W838" s="57" t="str">
        <f t="shared" si="1185"/>
        <v/>
      </c>
      <c r="X838" t="str">
        <f t="shared" si="1186"/>
        <v/>
      </c>
      <c r="Y838" t="str">
        <f t="shared" si="1187"/>
        <v/>
      </c>
      <c r="Z838" s="118" t="str">
        <f>+IF($W838="","",ROUND(IF(Parámetros!$D$25='TABLAS MORT'!$V$33,Z837,Parámetros!$D$21-'Tablas Servicio'!T837),0))</f>
        <v/>
      </c>
      <c r="AA838" s="118" t="str">
        <f t="shared" si="1188"/>
        <v/>
      </c>
      <c r="AB838" s="119" t="str">
        <f>+IF(W838="","",ROUND((VLOOKUP(ROUNDDOWN($D838-1/frec,0),qx_tabla,2,FALSE)*(1+i/frec)^-0.5*(1+Parámetros!$D$103)*(1+rec_fracc)/frec),6))</f>
        <v/>
      </c>
      <c r="AC838" s="66" t="str">
        <f t="shared" si="1144"/>
        <v/>
      </c>
      <c r="AD838" s="119" t="str">
        <f t="shared" si="1140"/>
        <v/>
      </c>
      <c r="AE838" s="66" t="str">
        <f>+IF($W838="","",ROUND(IF($B838&gt;Parámetros!$D$107,'Tablas Servicio'!AC838+('Tablas Servicio'!AG837-'Tablas Servicio'!AC837),AC838/(1-IF(B838&lt;=10,Parámetros!$D$104,Parámetros!$D$105))),2))</f>
        <v/>
      </c>
      <c r="AF838" s="66" t="str">
        <f>+IF($W838="","",ROUND(IF($B838&gt;Parámetros!$D$107,'Tablas Servicio'!AC838+('Tablas Servicio'!AG837-'Tablas Servicio'!AC837),(AC838+$A837/frec)/(1-IF(B838&lt;=Parámetros!$D$117,Parámetros!$D$100,0))),2))</f>
        <v/>
      </c>
      <c r="AG838" s="66" t="str">
        <f t="shared" si="1145"/>
        <v/>
      </c>
      <c r="AH838" s="66" t="str">
        <f t="shared" si="1146"/>
        <v/>
      </c>
      <c r="AI838" s="66" t="str">
        <f t="shared" si="1147"/>
        <v/>
      </c>
      <c r="AJ838" s="66" t="str">
        <f>+IF($W838="","",ROUND((AG838*Parámetros!$G$85),2))</f>
        <v/>
      </c>
      <c r="AK838" s="66" t="str">
        <f>+IF($W838="","",ROUND((AG838*(Parámetros!$G$86)),2))</f>
        <v/>
      </c>
      <c r="AL838" s="66" t="str">
        <f t="shared" si="1141"/>
        <v/>
      </c>
      <c r="AM838" t="str">
        <f t="shared" si="1189"/>
        <v/>
      </c>
      <c r="AN838" t="str">
        <f t="shared" si="1190"/>
        <v/>
      </c>
      <c r="AO838" s="118" t="str">
        <f t="shared" si="1191"/>
        <v/>
      </c>
      <c r="AP838" s="118" t="str">
        <f t="shared" si="1192"/>
        <v/>
      </c>
      <c r="AQ838" s="119" t="str">
        <f>+IF(OR($W838="",AO838=0),"",ROUND((VLOOKUP(ROUNDDOWN($D838-1/frec,0),cob_adi,Z$40,FALSE)*(1+i/frec)^-0.5*(1+Parámetros!$D$103)*(1+rec_fracc)/frec),6))</f>
        <v/>
      </c>
      <c r="AR838" s="66" t="str">
        <f t="shared" si="1148"/>
        <v/>
      </c>
      <c r="AS838" s="119" t="str">
        <f t="shared" si="1149"/>
        <v/>
      </c>
      <c r="AT838" s="66" t="str">
        <f>+IF($W838="","",ROUND(IF($B838&gt;Parámetros!$D$107,'Tablas Servicio'!AR838+('Tablas Servicio'!AT837-'Tablas Servicio'!AR837),AR838/(1-IF(B838&lt;=10,Parámetros!$D$100,0))),2))</f>
        <v/>
      </c>
      <c r="AU838" s="66" t="str">
        <f t="shared" si="1150"/>
        <v/>
      </c>
      <c r="AV838" s="66" t="str">
        <f t="shared" si="1150"/>
        <v/>
      </c>
      <c r="AW838" s="66" t="str">
        <f>+IF($W838="","",ROUND((AT838*Parámetros!$G$85),2))</f>
        <v/>
      </c>
      <c r="AX838" s="66" t="str">
        <f>+IF($W838="","",ROUND((AT838*(Parámetros!$G$86)),2))</f>
        <v/>
      </c>
      <c r="AY838" s="66" t="str">
        <f t="shared" si="1151"/>
        <v/>
      </c>
      <c r="AZ838" t="str">
        <f t="shared" si="1193"/>
        <v/>
      </c>
      <c r="BA838" t="str">
        <f t="shared" si="1194"/>
        <v/>
      </c>
      <c r="BB838" s="118" t="str">
        <f t="shared" si="1195"/>
        <v/>
      </c>
      <c r="BC838" s="118" t="str">
        <f t="shared" si="1196"/>
        <v/>
      </c>
      <c r="BD838" s="119" t="str">
        <f>+IF(OR($W838="",BB838=0),"",ROUND((VLOOKUP(ROUNDDOWN($D838-1/frec,0),cob_adi,AO$40,FALSE)*(1+i/frec)^-0.5*(1+Parámetros!$D$103)*(1+rec_fracc)/frec),6))</f>
        <v/>
      </c>
      <c r="BE838" s="66" t="str">
        <f t="shared" si="1152"/>
        <v/>
      </c>
      <c r="BF838" s="119" t="str">
        <f t="shared" si="1153"/>
        <v/>
      </c>
      <c r="BG838" s="66" t="str">
        <f>+IF($W838="","",ROUND(IF($B838&gt;Parámetros!$D$107,'Tablas Servicio'!BE838+('Tablas Servicio'!BG837-'Tablas Servicio'!BE837),BE838/(1-IF(B838&lt;=10,Parámetros!$D$100,0))),2))</f>
        <v/>
      </c>
      <c r="BH838" s="66" t="str">
        <f t="shared" si="1154"/>
        <v/>
      </c>
      <c r="BI838" s="66" t="str">
        <f t="shared" si="1155"/>
        <v/>
      </c>
      <c r="BJ838" s="66" t="str">
        <f>+IF($W838="","",ROUND((BG838*Parámetros!$G$85),2))</f>
        <v/>
      </c>
      <c r="BK838" s="66" t="str">
        <f>+IF($W838="","",ROUND((BG838*(Parámetros!$G$86)),2))</f>
        <v/>
      </c>
      <c r="BL838" s="66" t="str">
        <f t="shared" si="1156"/>
        <v/>
      </c>
      <c r="BM838" t="str">
        <f t="shared" si="1197"/>
        <v/>
      </c>
      <c r="BN838" t="str">
        <f t="shared" si="1198"/>
        <v/>
      </c>
      <c r="BO838" s="118" t="str">
        <f t="shared" si="1199"/>
        <v/>
      </c>
      <c r="BP838" s="118" t="str">
        <f t="shared" si="1200"/>
        <v/>
      </c>
      <c r="BQ838" s="119" t="str">
        <f>+IF(OR($W838="",BO838=0),"",ROUND((VLOOKUP(ROUNDDOWN($D838-1/frec,0),cob_adi,BB$40,FALSE)*(1+i/frec)^-0.5*(1+Parámetros!$D$103)*(1+rec_fracc)/frec),6))</f>
        <v/>
      </c>
      <c r="BR838" s="66" t="str">
        <f t="shared" si="1157"/>
        <v/>
      </c>
      <c r="BS838" s="119" t="str">
        <f t="shared" si="1158"/>
        <v/>
      </c>
      <c r="BT838" s="66" t="str">
        <f>+IF($W838="","",ROUND(IF($B838&gt;Parámetros!$D$107,'Tablas Servicio'!BR838+('Tablas Servicio'!BT837-'Tablas Servicio'!BR837),BR838/(1-IF(B838&lt;=10,Parámetros!$D$100,0))),2))</f>
        <v/>
      </c>
      <c r="BU838" s="66" t="str">
        <f t="shared" si="1159"/>
        <v/>
      </c>
      <c r="BV838" s="66" t="str">
        <f t="shared" si="1159"/>
        <v/>
      </c>
      <c r="BW838" s="66" t="str">
        <f>+IF($W838="","",ROUND((BT838*Parámetros!$G$85),2))</f>
        <v/>
      </c>
      <c r="BX838" s="66" t="str">
        <f>+IF($W838="","",ROUND((BT838*(Parámetros!$G$86)),2))</f>
        <v/>
      </c>
      <c r="BY838" s="66" t="str">
        <f t="shared" si="1160"/>
        <v/>
      </c>
      <c r="BZ838" t="str">
        <f t="shared" si="1201"/>
        <v/>
      </c>
      <c r="CA838" t="str">
        <f t="shared" si="1202"/>
        <v/>
      </c>
      <c r="CB838" s="118" t="str">
        <f t="shared" si="1203"/>
        <v/>
      </c>
      <c r="CC838" s="118" t="str">
        <f t="shared" si="1204"/>
        <v/>
      </c>
      <c r="CD838" s="119" t="str">
        <f t="shared" si="1161"/>
        <v/>
      </c>
      <c r="CE838" s="66" t="str">
        <f>+IF($W838="","",ROUND((VLOOKUP(ROUNDDOWN($D838-1/frec,0),cob_adi,BO$40,FALSE)*(1+i/frec)^-0.5*(1+Parámetros!$D$103)*(1+rec_fracc)/frec*'TABLAS ADI'!$BC$17),2))</f>
        <v/>
      </c>
      <c r="CF838" s="119" t="str">
        <f t="shared" si="1162"/>
        <v/>
      </c>
      <c r="CG838" s="66" t="str">
        <f>+IF($W838="","",ROUND(IF($B838&gt;Parámetros!$D$107,'Tablas Servicio'!CE838+('Tablas Servicio'!CG837-'Tablas Servicio'!CE837),CE838/(1-IF(B838&lt;=10,Parámetros!$D$100,0))),2))</f>
        <v/>
      </c>
      <c r="CH838" s="66" t="str">
        <f t="shared" si="1163"/>
        <v/>
      </c>
      <c r="CI838" s="66" t="str">
        <f t="shared" si="1163"/>
        <v/>
      </c>
      <c r="CJ838" s="66" t="str">
        <f>+IF($W838="","",ROUND((CG838*Parámetros!$G$85),2))</f>
        <v/>
      </c>
      <c r="CK838" s="66" t="str">
        <f>+IF($W838="","",ROUND((CG838*(Parámetros!$G$86)),2))</f>
        <v/>
      </c>
      <c r="CL838" s="66" t="str">
        <f t="shared" si="1164"/>
        <v/>
      </c>
      <c r="CM838" t="str">
        <f t="shared" si="1205"/>
        <v/>
      </c>
      <c r="CN838" s="118" t="str">
        <f t="shared" si="1206"/>
        <v/>
      </c>
      <c r="CO838" s="118" t="str">
        <f t="shared" si="1207"/>
        <v/>
      </c>
      <c r="CP838" s="118" t="str">
        <f t="shared" si="1208"/>
        <v/>
      </c>
      <c r="CQ838" s="119" t="str">
        <f t="shared" si="1165"/>
        <v/>
      </c>
      <c r="CR838" s="66" t="str">
        <f>+IF($W838="","",ROUND((VLOOKUP(Parámetros!$F$51,'COBERTURAS ADICIONALES'!$S$4:$T$32,2,FALSE)*(1+i/frec)^-0.5*(1+Parámetros!$D$103)*(1+rec_fracc)/frec*$CO$42),2))</f>
        <v/>
      </c>
      <c r="CS838" s="119" t="str">
        <f t="shared" si="1166"/>
        <v/>
      </c>
      <c r="CT838" s="66" t="str">
        <f>+IF($W838="","",ROUND(IF($B838&gt;Parámetros!$D$107,'Tablas Servicio'!CR838+('Tablas Servicio'!CT837-'Tablas Servicio'!CR837),CR838/(1-IF(B838&lt;=10,Parámetros!$D$100,0))),2))</f>
        <v/>
      </c>
      <c r="CU838" s="66" t="str">
        <f t="shared" si="1167"/>
        <v/>
      </c>
      <c r="CV838" s="66" t="str">
        <f t="shared" si="1167"/>
        <v/>
      </c>
      <c r="CW838" s="66" t="str">
        <f>+IF($W838="","",ROUND((CT838*Parámetros!$G$85),2))</f>
        <v/>
      </c>
      <c r="CX838" s="66" t="str">
        <f>+IF($W838="","",ROUND((CT838*(Parámetros!$G$86)),2))</f>
        <v/>
      </c>
      <c r="CY838" s="66" t="str">
        <f t="shared" si="1168"/>
        <v/>
      </c>
      <c r="CZ838" t="str">
        <f t="shared" si="1209"/>
        <v/>
      </c>
      <c r="DA838" s="118" t="str">
        <f t="shared" si="1210"/>
        <v/>
      </c>
      <c r="DB838" s="118" t="str">
        <f t="shared" si="1211"/>
        <v/>
      </c>
      <c r="DC838" s="118" t="str">
        <f t="shared" si="1212"/>
        <v/>
      </c>
      <c r="DD838" s="121" t="str">
        <f>+IF(OR($W838="",DB838=0),"",ROUND((VLOOKUP(ROUNDDOWN($D838-1/frec,0),cob_adi,CO$40,FALSE)*(1+i/frec)^-0.5*(1+Parámetros!$D$103)*(1+rec_fracc)/frec),6))</f>
        <v/>
      </c>
      <c r="DE838" s="66" t="str">
        <f t="shared" si="1169"/>
        <v/>
      </c>
      <c r="DF838" s="119" t="str">
        <f t="shared" si="1170"/>
        <v/>
      </c>
      <c r="DG838" s="66" t="str">
        <f>+IF($W838="","",ROUND(IF($B838&gt;Parámetros!$D$107,'Tablas Servicio'!DE838+('Tablas Servicio'!DG837-'Tablas Servicio'!DE837),DE838/(1-IF(B838&lt;=10,Parámetros!$D$100,0))),2))</f>
        <v/>
      </c>
      <c r="DH838" s="66" t="str">
        <f t="shared" si="1171"/>
        <v/>
      </c>
      <c r="DI838" s="66" t="str">
        <f t="shared" si="1171"/>
        <v/>
      </c>
      <c r="DJ838" s="66" t="str">
        <f>+IF($W838="","",ROUND((DG838*Parámetros!$G$85),2))</f>
        <v/>
      </c>
      <c r="DK838" s="66" t="str">
        <f>+IF($W838="","",ROUND((DG838*(Parámetros!$G$86)),2))</f>
        <v/>
      </c>
      <c r="DL838" s="66" t="str">
        <f t="shared" si="1172"/>
        <v/>
      </c>
      <c r="DM838" t="str">
        <f t="shared" si="1213"/>
        <v/>
      </c>
      <c r="DN838" s="118" t="str">
        <f t="shared" si="1214"/>
        <v/>
      </c>
      <c r="DO838" s="118" t="str">
        <f t="shared" si="1215"/>
        <v/>
      </c>
      <c r="DP838" s="118" t="str">
        <f t="shared" si="1216"/>
        <v/>
      </c>
      <c r="DQ838" s="122" t="str">
        <f>+IF(OR($W838="",DO838=0),"",ROUND((VLOOKUP(ROUNDDOWN($D838-1/frec,0),cob_adi,DB$40,FALSE)*(1+i/frec)^-0.5*(1+Parámetros!$D$103)*(1+rec_fracc)/frec),6))</f>
        <v/>
      </c>
      <c r="DR838" s="66" t="str">
        <f t="shared" si="1173"/>
        <v/>
      </c>
      <c r="DS838" s="68" t="str">
        <f t="shared" si="1174"/>
        <v/>
      </c>
      <c r="DT838" s="66" t="str">
        <f>+IF($W838="","",ROUND(IF($B838&gt;Parámetros!$D$107,'Tablas Servicio'!DR838+('Tablas Servicio'!DT837-'Tablas Servicio'!DR837),DR838/(1-IF(B838&lt;=10,Parámetros!$D$100,0))),2))</f>
        <v/>
      </c>
      <c r="DU838" s="66" t="str">
        <f t="shared" si="1175"/>
        <v/>
      </c>
      <c r="DV838" s="66" t="str">
        <f t="shared" si="1175"/>
        <v/>
      </c>
      <c r="DW838" s="66" t="str">
        <f>+IF($W838="","",ROUND((DT838*Parámetros!$G$85),2))</f>
        <v/>
      </c>
      <c r="DX838" s="66" t="str">
        <f>+IF($W838="","",ROUND((DT838*(Parámetros!$G$86)),2))</f>
        <v/>
      </c>
      <c r="DY838" s="66" t="str">
        <f t="shared" si="1176"/>
        <v/>
      </c>
      <c r="DZ838" t="str">
        <f t="shared" si="1217"/>
        <v/>
      </c>
      <c r="EA838" s="118" t="str">
        <f t="shared" si="1217"/>
        <v/>
      </c>
      <c r="EB838" s="118" t="str">
        <f>+IF($W838="","",ROUND(IF(Parámetros!$D$25='TABLAS MORT'!$V$33,EB837,Z838/2),0))</f>
        <v/>
      </c>
      <c r="EC838" s="118" t="str">
        <f t="shared" si="1217"/>
        <v/>
      </c>
      <c r="ED838" s="122" t="str">
        <f>+IF(OR($W838="",EB838=0),"",ROUND((VLOOKUP(ROUNDDOWN($D838-1/frec,0),cob_adi,DO$40,FALSE)*(1+i/frec)^-0.5*(1+Parámetros!$D$103)*(1+rec_fracc)/frec),6))</f>
        <v/>
      </c>
      <c r="EE838" s="66" t="str">
        <f t="shared" si="1178"/>
        <v/>
      </c>
      <c r="EF838" s="68" t="str">
        <f t="shared" si="1179"/>
        <v/>
      </c>
      <c r="EG838" s="66" t="str">
        <f>+IF($W838="","",ROUND(IF($B838&gt;Parámetros!$D$107,'Tablas Servicio'!EE838+('Tablas Servicio'!EG837-'Tablas Servicio'!EE837),EE838/(1-IF(B838&lt;=10,Parámetros!$D$100,0))),2))</f>
        <v/>
      </c>
      <c r="EH838" s="66" t="str">
        <f t="shared" si="1180"/>
        <v/>
      </c>
      <c r="EI838" s="66" t="str">
        <f t="shared" si="1180"/>
        <v/>
      </c>
      <c r="EJ838" s="66" t="str">
        <f>+IF($W838="","",ROUND((EG838*Parámetros!$G$85),2))</f>
        <v/>
      </c>
      <c r="EK838" s="66" t="str">
        <f>+IF($W838="","",ROUND((EG838*(Parámetros!$G$86)),2))</f>
        <v/>
      </c>
      <c r="EL838" s="66" t="str">
        <f t="shared" si="1181"/>
        <v/>
      </c>
    </row>
    <row r="839" spans="1:142" x14ac:dyDescent="0.25">
      <c r="A839" t="str">
        <f>+IF($C839="","",ROUND(VLOOKUP('Tablas Servicio'!B839,Parámetros!$H$100:$J$159,IF(Parámetros!$E$16="F",2,3),FALSE),2))</f>
        <v/>
      </c>
      <c r="B839" t="str">
        <f t="shared" si="1132"/>
        <v/>
      </c>
      <c r="C839" s="57" t="str">
        <f>+IF(D839="","",'Tablas Servicio'!C838+1)</f>
        <v/>
      </c>
      <c r="D839" s="56" t="str">
        <f>+IF(D838&lt;edadmaxtabla,D838+1/Parámetros!$E$25,"")</f>
        <v/>
      </c>
      <c r="E839" s="57" t="str">
        <f t="shared" si="1142"/>
        <v/>
      </c>
      <c r="F839" s="59" t="str">
        <f t="shared" si="1143"/>
        <v/>
      </c>
      <c r="G839" s="66" t="str">
        <f t="shared" si="1133"/>
        <v/>
      </c>
      <c r="H839" s="66" t="str">
        <f t="shared" si="1134"/>
        <v/>
      </c>
      <c r="I839" s="66" t="str">
        <f t="shared" si="1182"/>
        <v/>
      </c>
      <c r="J839" s="66" t="str">
        <f t="shared" si="1135"/>
        <v/>
      </c>
      <c r="K839" s="66" t="str">
        <f t="shared" si="1136"/>
        <v/>
      </c>
      <c r="L839" s="66" t="str">
        <f t="shared" si="1137"/>
        <v/>
      </c>
      <c r="M839" s="66" t="str">
        <f t="shared" si="1138"/>
        <v/>
      </c>
      <c r="N839" s="66" t="str">
        <f>+IF(C839="","",ROUND(Parámetros!$D$23,2))</f>
        <v/>
      </c>
      <c r="O839" s="66" t="str">
        <f t="shared" si="1139"/>
        <v/>
      </c>
      <c r="P839" s="66" t="str">
        <f>+IF($C839="","",ROUND(IF(B839&gt;Parámetros!$D$117,0,N839*Parámetros!$D$116-G839*Parámetros!$D$100),2))</f>
        <v/>
      </c>
      <c r="Q839" s="75" t="str">
        <f t="shared" si="1183"/>
        <v/>
      </c>
      <c r="R839" s="75" t="str">
        <f t="shared" si="1184"/>
        <v/>
      </c>
      <c r="S839" s="117" t="str">
        <f>+IF($C839="","",ROUND((S838+I839)*(1+Parámetros!$D$91),2))</f>
        <v/>
      </c>
      <c r="T839" s="117" t="str">
        <f>+IF($C839="","",ROUND(S839*VLOOKUP(B839,Parámetros!$C$30:$D$39,2,TRUE),2))</f>
        <v/>
      </c>
      <c r="U839" s="117" t="str">
        <f>+IF($C839="","",ROUND((U838+I839)*(1+Parámetros!$D$92),2))</f>
        <v/>
      </c>
      <c r="V839" s="117" t="str">
        <f>+IF($C839="","",ROUND(U839*VLOOKUP(B839,Parámetros!$C$30:$D$39,2,TRUE),2))</f>
        <v/>
      </c>
      <c r="W839" s="57" t="str">
        <f t="shared" si="1185"/>
        <v/>
      </c>
      <c r="X839" t="str">
        <f t="shared" si="1186"/>
        <v/>
      </c>
      <c r="Y839" t="str">
        <f t="shared" si="1187"/>
        <v/>
      </c>
      <c r="Z839" s="118" t="str">
        <f>+IF($W839="","",ROUND(IF(Parámetros!$D$25='TABLAS MORT'!$V$33,Z838,Parámetros!$D$21-'Tablas Servicio'!T838),0))</f>
        <v/>
      </c>
      <c r="AA839" s="118" t="str">
        <f t="shared" si="1188"/>
        <v/>
      </c>
      <c r="AB839" s="119" t="str">
        <f>+IF(W839="","",ROUND((VLOOKUP(ROUNDDOWN($D839-1/frec,0),qx_tabla,2,FALSE)*(1+i/frec)^-0.5*(1+Parámetros!$D$103)*(1+rec_fracc)/frec),6))</f>
        <v/>
      </c>
      <c r="AC839" s="66" t="str">
        <f t="shared" si="1144"/>
        <v/>
      </c>
      <c r="AD839" s="119" t="str">
        <f t="shared" si="1140"/>
        <v/>
      </c>
      <c r="AE839" s="66" t="str">
        <f>+IF($W839="","",ROUND(IF($B839&gt;Parámetros!$D$107,'Tablas Servicio'!AC839+('Tablas Servicio'!AG838-'Tablas Servicio'!AC838),AC839/(1-IF(B839&lt;=10,Parámetros!$D$104,Parámetros!$D$105))),2))</f>
        <v/>
      </c>
      <c r="AF839" s="66" t="str">
        <f>+IF($W839="","",ROUND(IF($B839&gt;Parámetros!$D$107,'Tablas Servicio'!AC839+('Tablas Servicio'!AG838-'Tablas Servicio'!AC838),(AC839+$A838/frec)/(1-IF(B839&lt;=Parámetros!$D$117,Parámetros!$D$100,0))),2))</f>
        <v/>
      </c>
      <c r="AG839" s="66" t="str">
        <f t="shared" si="1145"/>
        <v/>
      </c>
      <c r="AH839" s="66" t="str">
        <f t="shared" si="1146"/>
        <v/>
      </c>
      <c r="AI839" s="66" t="str">
        <f t="shared" si="1147"/>
        <v/>
      </c>
      <c r="AJ839" s="66" t="str">
        <f>+IF($W839="","",ROUND((AG839*Parámetros!$G$85),2))</f>
        <v/>
      </c>
      <c r="AK839" s="66" t="str">
        <f>+IF($W839="","",ROUND((AG839*(Parámetros!$G$86)),2))</f>
        <v/>
      </c>
      <c r="AL839" s="66" t="str">
        <f t="shared" si="1141"/>
        <v/>
      </c>
      <c r="AM839" t="str">
        <f t="shared" si="1189"/>
        <v/>
      </c>
      <c r="AN839" t="str">
        <f t="shared" si="1190"/>
        <v/>
      </c>
      <c r="AO839" s="118" t="str">
        <f t="shared" si="1191"/>
        <v/>
      </c>
      <c r="AP839" s="118" t="str">
        <f t="shared" si="1192"/>
        <v/>
      </c>
      <c r="AQ839" s="119" t="str">
        <f>+IF(OR($W839="",AO839=0),"",ROUND((VLOOKUP(ROUNDDOWN($D839-1/frec,0),cob_adi,Z$40,FALSE)*(1+i/frec)^-0.5*(1+Parámetros!$D$103)*(1+rec_fracc)/frec),6))</f>
        <v/>
      </c>
      <c r="AR839" s="66" t="str">
        <f t="shared" si="1148"/>
        <v/>
      </c>
      <c r="AS839" s="119" t="str">
        <f t="shared" si="1149"/>
        <v/>
      </c>
      <c r="AT839" s="66" t="str">
        <f>+IF($W839="","",ROUND(IF($B839&gt;Parámetros!$D$107,'Tablas Servicio'!AR839+('Tablas Servicio'!AT838-'Tablas Servicio'!AR838),AR839/(1-IF(B839&lt;=10,Parámetros!$D$100,0))),2))</f>
        <v/>
      </c>
      <c r="AU839" s="66" t="str">
        <f t="shared" si="1150"/>
        <v/>
      </c>
      <c r="AV839" s="66" t="str">
        <f t="shared" si="1150"/>
        <v/>
      </c>
      <c r="AW839" s="66" t="str">
        <f>+IF($W839="","",ROUND((AT839*Parámetros!$G$85),2))</f>
        <v/>
      </c>
      <c r="AX839" s="66" t="str">
        <f>+IF($W839="","",ROUND((AT839*(Parámetros!$G$86)),2))</f>
        <v/>
      </c>
      <c r="AY839" s="66" t="str">
        <f t="shared" si="1151"/>
        <v/>
      </c>
      <c r="AZ839" t="str">
        <f t="shared" si="1193"/>
        <v/>
      </c>
      <c r="BA839" t="str">
        <f t="shared" si="1194"/>
        <v/>
      </c>
      <c r="BB839" s="118" t="str">
        <f t="shared" si="1195"/>
        <v/>
      </c>
      <c r="BC839" s="118" t="str">
        <f t="shared" si="1196"/>
        <v/>
      </c>
      <c r="BD839" s="119" t="str">
        <f>+IF(OR($W839="",BB839=0),"",ROUND((VLOOKUP(ROUNDDOWN($D839-1/frec,0),cob_adi,AO$40,FALSE)*(1+i/frec)^-0.5*(1+Parámetros!$D$103)*(1+rec_fracc)/frec),6))</f>
        <v/>
      </c>
      <c r="BE839" s="66" t="str">
        <f t="shared" si="1152"/>
        <v/>
      </c>
      <c r="BF839" s="119" t="str">
        <f t="shared" si="1153"/>
        <v/>
      </c>
      <c r="BG839" s="66" t="str">
        <f>+IF($W839="","",ROUND(IF($B839&gt;Parámetros!$D$107,'Tablas Servicio'!BE839+('Tablas Servicio'!BG838-'Tablas Servicio'!BE838),BE839/(1-IF(B839&lt;=10,Parámetros!$D$100,0))),2))</f>
        <v/>
      </c>
      <c r="BH839" s="66" t="str">
        <f t="shared" si="1154"/>
        <v/>
      </c>
      <c r="BI839" s="66" t="str">
        <f t="shared" si="1155"/>
        <v/>
      </c>
      <c r="BJ839" s="66" t="str">
        <f>+IF($W839="","",ROUND((BG839*Parámetros!$G$85),2))</f>
        <v/>
      </c>
      <c r="BK839" s="66" t="str">
        <f>+IF($W839="","",ROUND((BG839*(Parámetros!$G$86)),2))</f>
        <v/>
      </c>
      <c r="BL839" s="66" t="str">
        <f t="shared" si="1156"/>
        <v/>
      </c>
      <c r="BM839" t="str">
        <f t="shared" si="1197"/>
        <v/>
      </c>
      <c r="BN839" t="str">
        <f t="shared" si="1198"/>
        <v/>
      </c>
      <c r="BO839" s="118" t="str">
        <f t="shared" si="1199"/>
        <v/>
      </c>
      <c r="BP839" s="118" t="str">
        <f t="shared" si="1200"/>
        <v/>
      </c>
      <c r="BQ839" s="119" t="str">
        <f>+IF(OR($W839="",BO839=0),"",ROUND((VLOOKUP(ROUNDDOWN($D839-1/frec,0),cob_adi,BB$40,FALSE)*(1+i/frec)^-0.5*(1+Parámetros!$D$103)*(1+rec_fracc)/frec),6))</f>
        <v/>
      </c>
      <c r="BR839" s="66" t="str">
        <f t="shared" si="1157"/>
        <v/>
      </c>
      <c r="BS839" s="119" t="str">
        <f t="shared" si="1158"/>
        <v/>
      </c>
      <c r="BT839" s="66" t="str">
        <f>+IF($W839="","",ROUND(IF($B839&gt;Parámetros!$D$107,'Tablas Servicio'!BR839+('Tablas Servicio'!BT838-'Tablas Servicio'!BR838),BR839/(1-IF(B839&lt;=10,Parámetros!$D$100,0))),2))</f>
        <v/>
      </c>
      <c r="BU839" s="66" t="str">
        <f t="shared" si="1159"/>
        <v/>
      </c>
      <c r="BV839" s="66" t="str">
        <f t="shared" si="1159"/>
        <v/>
      </c>
      <c r="BW839" s="66" t="str">
        <f>+IF($W839="","",ROUND((BT839*Parámetros!$G$85),2))</f>
        <v/>
      </c>
      <c r="BX839" s="66" t="str">
        <f>+IF($W839="","",ROUND((BT839*(Parámetros!$G$86)),2))</f>
        <v/>
      </c>
      <c r="BY839" s="66" t="str">
        <f t="shared" si="1160"/>
        <v/>
      </c>
      <c r="BZ839" t="str">
        <f t="shared" si="1201"/>
        <v/>
      </c>
      <c r="CA839" t="str">
        <f t="shared" si="1202"/>
        <v/>
      </c>
      <c r="CB839" s="118" t="str">
        <f t="shared" si="1203"/>
        <v/>
      </c>
      <c r="CC839" s="118" t="str">
        <f t="shared" si="1204"/>
        <v/>
      </c>
      <c r="CD839" s="119" t="str">
        <f t="shared" si="1161"/>
        <v/>
      </c>
      <c r="CE839" s="66" t="str">
        <f>+IF($W839="","",ROUND((VLOOKUP(ROUNDDOWN($D839-1/frec,0),cob_adi,BO$40,FALSE)*(1+i/frec)^-0.5*(1+Parámetros!$D$103)*(1+rec_fracc)/frec*'TABLAS ADI'!$BC$17),2))</f>
        <v/>
      </c>
      <c r="CF839" s="119" t="str">
        <f t="shared" si="1162"/>
        <v/>
      </c>
      <c r="CG839" s="66" t="str">
        <f>+IF($W839="","",ROUND(IF($B839&gt;Parámetros!$D$107,'Tablas Servicio'!CE839+('Tablas Servicio'!CG838-'Tablas Servicio'!CE838),CE839/(1-IF(B839&lt;=10,Parámetros!$D$100,0))),2))</f>
        <v/>
      </c>
      <c r="CH839" s="66" t="str">
        <f t="shared" si="1163"/>
        <v/>
      </c>
      <c r="CI839" s="66" t="str">
        <f t="shared" si="1163"/>
        <v/>
      </c>
      <c r="CJ839" s="66" t="str">
        <f>+IF($W839="","",ROUND((CG839*Parámetros!$G$85),2))</f>
        <v/>
      </c>
      <c r="CK839" s="66" t="str">
        <f>+IF($W839="","",ROUND((CG839*(Parámetros!$G$86)),2))</f>
        <v/>
      </c>
      <c r="CL839" s="66" t="str">
        <f t="shared" si="1164"/>
        <v/>
      </c>
      <c r="CM839" t="str">
        <f t="shared" si="1205"/>
        <v/>
      </c>
      <c r="CN839" s="118" t="str">
        <f t="shared" si="1206"/>
        <v/>
      </c>
      <c r="CO839" s="118" t="str">
        <f t="shared" si="1207"/>
        <v/>
      </c>
      <c r="CP839" s="118" t="str">
        <f t="shared" si="1208"/>
        <v/>
      </c>
      <c r="CQ839" s="119" t="str">
        <f t="shared" si="1165"/>
        <v/>
      </c>
      <c r="CR839" s="66" t="str">
        <f>+IF($W839="","",ROUND((VLOOKUP(Parámetros!$F$51,'COBERTURAS ADICIONALES'!$S$4:$T$32,2,FALSE)*(1+i/frec)^-0.5*(1+Parámetros!$D$103)*(1+rec_fracc)/frec*$CO$42),2))</f>
        <v/>
      </c>
      <c r="CS839" s="119" t="str">
        <f t="shared" si="1166"/>
        <v/>
      </c>
      <c r="CT839" s="66" t="str">
        <f>+IF($W839="","",ROUND(IF($B839&gt;Parámetros!$D$107,'Tablas Servicio'!CR839+('Tablas Servicio'!CT838-'Tablas Servicio'!CR838),CR839/(1-IF(B839&lt;=10,Parámetros!$D$100,0))),2))</f>
        <v/>
      </c>
      <c r="CU839" s="66" t="str">
        <f t="shared" si="1167"/>
        <v/>
      </c>
      <c r="CV839" s="66" t="str">
        <f t="shared" si="1167"/>
        <v/>
      </c>
      <c r="CW839" s="66" t="str">
        <f>+IF($W839="","",ROUND((CT839*Parámetros!$G$85),2))</f>
        <v/>
      </c>
      <c r="CX839" s="66" t="str">
        <f>+IF($W839="","",ROUND((CT839*(Parámetros!$G$86)),2))</f>
        <v/>
      </c>
      <c r="CY839" s="66" t="str">
        <f t="shared" si="1168"/>
        <v/>
      </c>
      <c r="CZ839" t="str">
        <f t="shared" si="1209"/>
        <v/>
      </c>
      <c r="DA839" s="118" t="str">
        <f t="shared" si="1210"/>
        <v/>
      </c>
      <c r="DB839" s="118" t="str">
        <f t="shared" si="1211"/>
        <v/>
      </c>
      <c r="DC839" s="118" t="str">
        <f t="shared" si="1212"/>
        <v/>
      </c>
      <c r="DD839" s="121" t="str">
        <f>+IF(OR($W839="",DB839=0),"",ROUND((VLOOKUP(ROUNDDOWN($D839-1/frec,0),cob_adi,CO$40,FALSE)*(1+i/frec)^-0.5*(1+Parámetros!$D$103)*(1+rec_fracc)/frec),6))</f>
        <v/>
      </c>
      <c r="DE839" s="66" t="str">
        <f t="shared" si="1169"/>
        <v/>
      </c>
      <c r="DF839" s="119" t="str">
        <f t="shared" si="1170"/>
        <v/>
      </c>
      <c r="DG839" s="66" t="str">
        <f>+IF($W839="","",ROUND(IF($B839&gt;Parámetros!$D$107,'Tablas Servicio'!DE839+('Tablas Servicio'!DG838-'Tablas Servicio'!DE838),DE839/(1-IF(B839&lt;=10,Parámetros!$D$100,0))),2))</f>
        <v/>
      </c>
      <c r="DH839" s="66" t="str">
        <f t="shared" si="1171"/>
        <v/>
      </c>
      <c r="DI839" s="66" t="str">
        <f t="shared" si="1171"/>
        <v/>
      </c>
      <c r="DJ839" s="66" t="str">
        <f>+IF($W839="","",ROUND((DG839*Parámetros!$G$85),2))</f>
        <v/>
      </c>
      <c r="DK839" s="66" t="str">
        <f>+IF($W839="","",ROUND((DG839*(Parámetros!$G$86)),2))</f>
        <v/>
      </c>
      <c r="DL839" s="66" t="str">
        <f t="shared" si="1172"/>
        <v/>
      </c>
      <c r="DM839" t="str">
        <f t="shared" si="1213"/>
        <v/>
      </c>
      <c r="DN839" s="118" t="str">
        <f t="shared" si="1214"/>
        <v/>
      </c>
      <c r="DO839" s="118" t="str">
        <f t="shared" si="1215"/>
        <v/>
      </c>
      <c r="DP839" s="118" t="str">
        <f t="shared" si="1216"/>
        <v/>
      </c>
      <c r="DQ839" s="122" t="str">
        <f>+IF(OR($W839="",DO839=0),"",ROUND((VLOOKUP(ROUNDDOWN($D839-1/frec,0),cob_adi,DB$40,FALSE)*(1+i/frec)^-0.5*(1+Parámetros!$D$103)*(1+rec_fracc)/frec),6))</f>
        <v/>
      </c>
      <c r="DR839" s="66" t="str">
        <f t="shared" si="1173"/>
        <v/>
      </c>
      <c r="DS839" s="68" t="str">
        <f t="shared" si="1174"/>
        <v/>
      </c>
      <c r="DT839" s="66" t="str">
        <f>+IF($W839="","",ROUND(IF($B839&gt;Parámetros!$D$107,'Tablas Servicio'!DR839+('Tablas Servicio'!DT838-'Tablas Servicio'!DR838),DR839/(1-IF(B839&lt;=10,Parámetros!$D$100,0))),2))</f>
        <v/>
      </c>
      <c r="DU839" s="66" t="str">
        <f t="shared" si="1175"/>
        <v/>
      </c>
      <c r="DV839" s="66" t="str">
        <f t="shared" si="1175"/>
        <v/>
      </c>
      <c r="DW839" s="66" t="str">
        <f>+IF($W839="","",ROUND((DT839*Parámetros!$G$85),2))</f>
        <v/>
      </c>
      <c r="DX839" s="66" t="str">
        <f>+IF($W839="","",ROUND((DT839*(Parámetros!$G$86)),2))</f>
        <v/>
      </c>
      <c r="DY839" s="66" t="str">
        <f t="shared" si="1176"/>
        <v/>
      </c>
      <c r="DZ839" t="str">
        <f t="shared" si="1217"/>
        <v/>
      </c>
      <c r="EA839" s="118" t="str">
        <f t="shared" si="1217"/>
        <v/>
      </c>
      <c r="EB839" s="118" t="str">
        <f>+IF($W839="","",ROUND(IF(Parámetros!$D$25='TABLAS MORT'!$V$33,EB838,Z839/2),0))</f>
        <v/>
      </c>
      <c r="EC839" s="118" t="str">
        <f t="shared" si="1217"/>
        <v/>
      </c>
      <c r="ED839" s="122" t="str">
        <f>+IF(OR($W839="",EB839=0),"",ROUND((VLOOKUP(ROUNDDOWN($D839-1/frec,0),cob_adi,DO$40,FALSE)*(1+i/frec)^-0.5*(1+Parámetros!$D$103)*(1+rec_fracc)/frec),6))</f>
        <v/>
      </c>
      <c r="EE839" s="66" t="str">
        <f t="shared" si="1178"/>
        <v/>
      </c>
      <c r="EF839" s="68" t="str">
        <f t="shared" si="1179"/>
        <v/>
      </c>
      <c r="EG839" s="66" t="str">
        <f>+IF($W839="","",ROUND(IF($B839&gt;Parámetros!$D$107,'Tablas Servicio'!EE839+('Tablas Servicio'!EG838-'Tablas Servicio'!EE838),EE839/(1-IF(B839&lt;=10,Parámetros!$D$100,0))),2))</f>
        <v/>
      </c>
      <c r="EH839" s="66" t="str">
        <f t="shared" si="1180"/>
        <v/>
      </c>
      <c r="EI839" s="66" t="str">
        <f t="shared" si="1180"/>
        <v/>
      </c>
      <c r="EJ839" s="66" t="str">
        <f>+IF($W839="","",ROUND((EG839*Parámetros!$G$85),2))</f>
        <v/>
      </c>
      <c r="EK839" s="66" t="str">
        <f>+IF($W839="","",ROUND((EG839*(Parámetros!$G$86)),2))</f>
        <v/>
      </c>
      <c r="EL839" s="66" t="str">
        <f t="shared" si="1181"/>
        <v/>
      </c>
    </row>
    <row r="840" spans="1:142" x14ac:dyDescent="0.25">
      <c r="A840" t="str">
        <f>+IF($C840="","",ROUND(VLOOKUP('Tablas Servicio'!B840,Parámetros!$H$100:$J$159,IF(Parámetros!$E$16="F",2,3),FALSE),2))</f>
        <v/>
      </c>
      <c r="B840" t="str">
        <f t="shared" si="1132"/>
        <v/>
      </c>
      <c r="C840" s="57" t="str">
        <f>+IF(D840="","",'Tablas Servicio'!C839+1)</f>
        <v/>
      </c>
      <c r="D840" s="56" t="str">
        <f>+IF(D839&lt;edadmaxtabla,D839+1/Parámetros!$E$25,"")</f>
        <v/>
      </c>
      <c r="E840" s="57" t="str">
        <f t="shared" si="1142"/>
        <v/>
      </c>
      <c r="F840" s="59" t="str">
        <f t="shared" si="1143"/>
        <v/>
      </c>
      <c r="G840" s="66" t="str">
        <f t="shared" si="1133"/>
        <v/>
      </c>
      <c r="H840" s="66" t="str">
        <f t="shared" si="1134"/>
        <v/>
      </c>
      <c r="I840" s="66" t="str">
        <f t="shared" si="1182"/>
        <v/>
      </c>
      <c r="J840" s="66" t="str">
        <f t="shared" si="1135"/>
        <v/>
      </c>
      <c r="K840" s="66" t="str">
        <f t="shared" si="1136"/>
        <v/>
      </c>
      <c r="L840" s="66" t="str">
        <f t="shared" si="1137"/>
        <v/>
      </c>
      <c r="M840" s="66" t="str">
        <f t="shared" si="1138"/>
        <v/>
      </c>
      <c r="N840" s="66" t="str">
        <f>+IF(C840="","",ROUND(Parámetros!$D$23,2))</f>
        <v/>
      </c>
      <c r="O840" s="66" t="str">
        <f t="shared" si="1139"/>
        <v/>
      </c>
      <c r="P840" s="66" t="str">
        <f>+IF($C840="","",ROUND(IF(B840&gt;Parámetros!$D$117,0,N840*Parámetros!$D$116-G840*Parámetros!$D$100),2))</f>
        <v/>
      </c>
      <c r="Q840" s="75" t="str">
        <f t="shared" si="1183"/>
        <v/>
      </c>
      <c r="R840" s="75" t="str">
        <f t="shared" si="1184"/>
        <v/>
      </c>
      <c r="S840" s="117" t="str">
        <f>+IF($C840="","",ROUND((S839+I840)*(1+Parámetros!$D$91),2))</f>
        <v/>
      </c>
      <c r="T840" s="117" t="str">
        <f>+IF($C840="","",ROUND(S840*VLOOKUP(B840,Parámetros!$C$30:$D$39,2,TRUE),2))</f>
        <v/>
      </c>
      <c r="U840" s="117" t="str">
        <f>+IF($C840="","",ROUND((U839+I840)*(1+Parámetros!$D$92),2))</f>
        <v/>
      </c>
      <c r="V840" s="117" t="str">
        <f>+IF($C840="","",ROUND(U840*VLOOKUP(B840,Parámetros!$C$30:$D$39,2,TRUE),2))</f>
        <v/>
      </c>
      <c r="W840" s="57" t="str">
        <f t="shared" si="1185"/>
        <v/>
      </c>
      <c r="X840" t="str">
        <f t="shared" si="1186"/>
        <v/>
      </c>
      <c r="Y840" t="str">
        <f t="shared" si="1187"/>
        <v/>
      </c>
      <c r="Z840" s="118" t="str">
        <f>+IF($W840="","",ROUND(IF(Parámetros!$D$25='TABLAS MORT'!$V$33,Z839,Parámetros!$D$21-'Tablas Servicio'!T839),0))</f>
        <v/>
      </c>
      <c r="AA840" s="118" t="str">
        <f t="shared" si="1188"/>
        <v/>
      </c>
      <c r="AB840" s="119" t="str">
        <f>+IF(W840="","",ROUND((VLOOKUP(ROUNDDOWN($D840-1/frec,0),qx_tabla,2,FALSE)*(1+i/frec)^-0.5*(1+Parámetros!$D$103)*(1+rec_fracc)/frec),6))</f>
        <v/>
      </c>
      <c r="AC840" s="66" t="str">
        <f t="shared" si="1144"/>
        <v/>
      </c>
      <c r="AD840" s="119" t="str">
        <f t="shared" si="1140"/>
        <v/>
      </c>
      <c r="AE840" s="66" t="str">
        <f>+IF($W840="","",ROUND(IF($B840&gt;Parámetros!$D$107,'Tablas Servicio'!AC840+('Tablas Servicio'!AG839-'Tablas Servicio'!AC839),AC840/(1-IF(B840&lt;=10,Parámetros!$D$104,Parámetros!$D$105))),2))</f>
        <v/>
      </c>
      <c r="AF840" s="66" t="str">
        <f>+IF($W840="","",ROUND(IF($B840&gt;Parámetros!$D$107,'Tablas Servicio'!AC840+('Tablas Servicio'!AG839-'Tablas Servicio'!AC839),(AC840+$A839/frec)/(1-IF(B840&lt;=Parámetros!$D$117,Parámetros!$D$100,0))),2))</f>
        <v/>
      </c>
      <c r="AG840" s="66" t="str">
        <f t="shared" si="1145"/>
        <v/>
      </c>
      <c r="AH840" s="66" t="str">
        <f t="shared" si="1146"/>
        <v/>
      </c>
      <c r="AI840" s="66" t="str">
        <f t="shared" si="1147"/>
        <v/>
      </c>
      <c r="AJ840" s="66" t="str">
        <f>+IF($W840="","",ROUND((AG840*Parámetros!$G$85),2))</f>
        <v/>
      </c>
      <c r="AK840" s="66" t="str">
        <f>+IF($W840="","",ROUND((AG840*(Parámetros!$G$86)),2))</f>
        <v/>
      </c>
      <c r="AL840" s="66" t="str">
        <f t="shared" si="1141"/>
        <v/>
      </c>
      <c r="AM840" t="str">
        <f t="shared" si="1189"/>
        <v/>
      </c>
      <c r="AN840" t="str">
        <f t="shared" si="1190"/>
        <v/>
      </c>
      <c r="AO840" s="118" t="str">
        <f t="shared" si="1191"/>
        <v/>
      </c>
      <c r="AP840" s="118" t="str">
        <f t="shared" si="1192"/>
        <v/>
      </c>
      <c r="AQ840" s="119" t="str">
        <f>+IF(OR($W840="",AO840=0),"",ROUND((VLOOKUP(ROUNDDOWN($D840-1/frec,0),cob_adi,Z$40,FALSE)*(1+i/frec)^-0.5*(1+Parámetros!$D$103)*(1+rec_fracc)/frec),6))</f>
        <v/>
      </c>
      <c r="AR840" s="66" t="str">
        <f t="shared" si="1148"/>
        <v/>
      </c>
      <c r="AS840" s="119" t="str">
        <f t="shared" si="1149"/>
        <v/>
      </c>
      <c r="AT840" s="66" t="str">
        <f>+IF($W840="","",ROUND(IF($B840&gt;Parámetros!$D$107,'Tablas Servicio'!AR840+('Tablas Servicio'!AT839-'Tablas Servicio'!AR839),AR840/(1-IF(B840&lt;=10,Parámetros!$D$100,0))),2))</f>
        <v/>
      </c>
      <c r="AU840" s="66" t="str">
        <f t="shared" si="1150"/>
        <v/>
      </c>
      <c r="AV840" s="66" t="str">
        <f t="shared" si="1150"/>
        <v/>
      </c>
      <c r="AW840" s="66" t="str">
        <f>+IF($W840="","",ROUND((AT840*Parámetros!$G$85),2))</f>
        <v/>
      </c>
      <c r="AX840" s="66" t="str">
        <f>+IF($W840="","",ROUND((AT840*(Parámetros!$G$86)),2))</f>
        <v/>
      </c>
      <c r="AY840" s="66" t="str">
        <f t="shared" si="1151"/>
        <v/>
      </c>
      <c r="AZ840" t="str">
        <f t="shared" si="1193"/>
        <v/>
      </c>
      <c r="BA840" t="str">
        <f t="shared" si="1194"/>
        <v/>
      </c>
      <c r="BB840" s="118" t="str">
        <f t="shared" si="1195"/>
        <v/>
      </c>
      <c r="BC840" s="118" t="str">
        <f t="shared" si="1196"/>
        <v/>
      </c>
      <c r="BD840" s="119" t="str">
        <f>+IF(OR($W840="",BB840=0),"",ROUND((VLOOKUP(ROUNDDOWN($D840-1/frec,0),cob_adi,AO$40,FALSE)*(1+i/frec)^-0.5*(1+Parámetros!$D$103)*(1+rec_fracc)/frec),6))</f>
        <v/>
      </c>
      <c r="BE840" s="66" t="str">
        <f t="shared" si="1152"/>
        <v/>
      </c>
      <c r="BF840" s="119" t="str">
        <f t="shared" si="1153"/>
        <v/>
      </c>
      <c r="BG840" s="66" t="str">
        <f>+IF($W840="","",ROUND(IF($B840&gt;Parámetros!$D$107,'Tablas Servicio'!BE840+('Tablas Servicio'!BG839-'Tablas Servicio'!BE839),BE840/(1-IF(B840&lt;=10,Parámetros!$D$100,0))),2))</f>
        <v/>
      </c>
      <c r="BH840" s="66" t="str">
        <f t="shared" si="1154"/>
        <v/>
      </c>
      <c r="BI840" s="66" t="str">
        <f t="shared" si="1155"/>
        <v/>
      </c>
      <c r="BJ840" s="66" t="str">
        <f>+IF($W840="","",ROUND((BG840*Parámetros!$G$85),2))</f>
        <v/>
      </c>
      <c r="BK840" s="66" t="str">
        <f>+IF($W840="","",ROUND((BG840*(Parámetros!$G$86)),2))</f>
        <v/>
      </c>
      <c r="BL840" s="66" t="str">
        <f t="shared" si="1156"/>
        <v/>
      </c>
      <c r="BM840" t="str">
        <f t="shared" si="1197"/>
        <v/>
      </c>
      <c r="BN840" t="str">
        <f t="shared" si="1198"/>
        <v/>
      </c>
      <c r="BO840" s="118" t="str">
        <f t="shared" si="1199"/>
        <v/>
      </c>
      <c r="BP840" s="118" t="str">
        <f t="shared" si="1200"/>
        <v/>
      </c>
      <c r="BQ840" s="119" t="str">
        <f>+IF(OR($W840="",BO840=0),"",ROUND((VLOOKUP(ROUNDDOWN($D840-1/frec,0),cob_adi,BB$40,FALSE)*(1+i/frec)^-0.5*(1+Parámetros!$D$103)*(1+rec_fracc)/frec),6))</f>
        <v/>
      </c>
      <c r="BR840" s="66" t="str">
        <f t="shared" si="1157"/>
        <v/>
      </c>
      <c r="BS840" s="119" t="str">
        <f t="shared" si="1158"/>
        <v/>
      </c>
      <c r="BT840" s="66" t="str">
        <f>+IF($W840="","",ROUND(IF($B840&gt;Parámetros!$D$107,'Tablas Servicio'!BR840+('Tablas Servicio'!BT839-'Tablas Servicio'!BR839),BR840/(1-IF(B840&lt;=10,Parámetros!$D$100,0))),2))</f>
        <v/>
      </c>
      <c r="BU840" s="66" t="str">
        <f t="shared" si="1159"/>
        <v/>
      </c>
      <c r="BV840" s="66" t="str">
        <f t="shared" si="1159"/>
        <v/>
      </c>
      <c r="BW840" s="66" t="str">
        <f>+IF($W840="","",ROUND((BT840*Parámetros!$G$85),2))</f>
        <v/>
      </c>
      <c r="BX840" s="66" t="str">
        <f>+IF($W840="","",ROUND((BT840*(Parámetros!$G$86)),2))</f>
        <v/>
      </c>
      <c r="BY840" s="66" t="str">
        <f t="shared" si="1160"/>
        <v/>
      </c>
      <c r="BZ840" t="str">
        <f t="shared" si="1201"/>
        <v/>
      </c>
      <c r="CA840" t="str">
        <f t="shared" si="1202"/>
        <v/>
      </c>
      <c r="CB840" s="118" t="str">
        <f t="shared" si="1203"/>
        <v/>
      </c>
      <c r="CC840" s="118" t="str">
        <f t="shared" si="1204"/>
        <v/>
      </c>
      <c r="CD840" s="119" t="str">
        <f t="shared" si="1161"/>
        <v/>
      </c>
      <c r="CE840" s="66" t="str">
        <f>+IF($W840="","",ROUND((VLOOKUP(ROUNDDOWN($D840-1/frec,0),cob_adi,BO$40,FALSE)*(1+i/frec)^-0.5*(1+Parámetros!$D$103)*(1+rec_fracc)/frec*'TABLAS ADI'!$BC$17),2))</f>
        <v/>
      </c>
      <c r="CF840" s="119" t="str">
        <f t="shared" si="1162"/>
        <v/>
      </c>
      <c r="CG840" s="66" t="str">
        <f>+IF($W840="","",ROUND(IF($B840&gt;Parámetros!$D$107,'Tablas Servicio'!CE840+('Tablas Servicio'!CG839-'Tablas Servicio'!CE839),CE840/(1-IF(B840&lt;=10,Parámetros!$D$100,0))),2))</f>
        <v/>
      </c>
      <c r="CH840" s="66" t="str">
        <f t="shared" si="1163"/>
        <v/>
      </c>
      <c r="CI840" s="66" t="str">
        <f t="shared" si="1163"/>
        <v/>
      </c>
      <c r="CJ840" s="66" t="str">
        <f>+IF($W840="","",ROUND((CG840*Parámetros!$G$85),2))</f>
        <v/>
      </c>
      <c r="CK840" s="66" t="str">
        <f>+IF($W840="","",ROUND((CG840*(Parámetros!$G$86)),2))</f>
        <v/>
      </c>
      <c r="CL840" s="66" t="str">
        <f t="shared" si="1164"/>
        <v/>
      </c>
      <c r="CM840" t="str">
        <f t="shared" si="1205"/>
        <v/>
      </c>
      <c r="CN840" s="118" t="str">
        <f t="shared" si="1206"/>
        <v/>
      </c>
      <c r="CO840" s="118" t="str">
        <f t="shared" si="1207"/>
        <v/>
      </c>
      <c r="CP840" s="118" t="str">
        <f t="shared" si="1208"/>
        <v/>
      </c>
      <c r="CQ840" s="119" t="str">
        <f t="shared" si="1165"/>
        <v/>
      </c>
      <c r="CR840" s="66" t="str">
        <f>+IF($W840="","",ROUND((VLOOKUP(Parámetros!$F$51,'COBERTURAS ADICIONALES'!$S$4:$T$32,2,FALSE)*(1+i/frec)^-0.5*(1+Parámetros!$D$103)*(1+rec_fracc)/frec*$CO$42),2))</f>
        <v/>
      </c>
      <c r="CS840" s="119" t="str">
        <f t="shared" si="1166"/>
        <v/>
      </c>
      <c r="CT840" s="66" t="str">
        <f>+IF($W840="","",ROUND(IF($B840&gt;Parámetros!$D$107,'Tablas Servicio'!CR840+('Tablas Servicio'!CT839-'Tablas Servicio'!CR839),CR840/(1-IF(B840&lt;=10,Parámetros!$D$100,0))),2))</f>
        <v/>
      </c>
      <c r="CU840" s="66" t="str">
        <f t="shared" si="1167"/>
        <v/>
      </c>
      <c r="CV840" s="66" t="str">
        <f t="shared" si="1167"/>
        <v/>
      </c>
      <c r="CW840" s="66" t="str">
        <f>+IF($W840="","",ROUND((CT840*Parámetros!$G$85),2))</f>
        <v/>
      </c>
      <c r="CX840" s="66" t="str">
        <f>+IF($W840="","",ROUND((CT840*(Parámetros!$G$86)),2))</f>
        <v/>
      </c>
      <c r="CY840" s="66" t="str">
        <f t="shared" si="1168"/>
        <v/>
      </c>
      <c r="CZ840" t="str">
        <f t="shared" si="1209"/>
        <v/>
      </c>
      <c r="DA840" s="118" t="str">
        <f t="shared" si="1210"/>
        <v/>
      </c>
      <c r="DB840" s="118" t="str">
        <f t="shared" si="1211"/>
        <v/>
      </c>
      <c r="DC840" s="118" t="str">
        <f t="shared" si="1212"/>
        <v/>
      </c>
      <c r="DD840" s="121" t="str">
        <f>+IF(OR($W840="",DB840=0),"",ROUND((VLOOKUP(ROUNDDOWN($D840-1/frec,0),cob_adi,CO$40,FALSE)*(1+i/frec)^-0.5*(1+Parámetros!$D$103)*(1+rec_fracc)/frec),6))</f>
        <v/>
      </c>
      <c r="DE840" s="66" t="str">
        <f t="shared" si="1169"/>
        <v/>
      </c>
      <c r="DF840" s="119" t="str">
        <f t="shared" si="1170"/>
        <v/>
      </c>
      <c r="DG840" s="66" t="str">
        <f>+IF($W840="","",ROUND(IF($B840&gt;Parámetros!$D$107,'Tablas Servicio'!DE840+('Tablas Servicio'!DG839-'Tablas Servicio'!DE839),DE840/(1-IF(B840&lt;=10,Parámetros!$D$100,0))),2))</f>
        <v/>
      </c>
      <c r="DH840" s="66" t="str">
        <f t="shared" si="1171"/>
        <v/>
      </c>
      <c r="DI840" s="66" t="str">
        <f t="shared" si="1171"/>
        <v/>
      </c>
      <c r="DJ840" s="66" t="str">
        <f>+IF($W840="","",ROUND((DG840*Parámetros!$G$85),2))</f>
        <v/>
      </c>
      <c r="DK840" s="66" t="str">
        <f>+IF($W840="","",ROUND((DG840*(Parámetros!$G$86)),2))</f>
        <v/>
      </c>
      <c r="DL840" s="66" t="str">
        <f t="shared" si="1172"/>
        <v/>
      </c>
      <c r="DM840" t="str">
        <f t="shared" si="1213"/>
        <v/>
      </c>
      <c r="DN840" s="118" t="str">
        <f t="shared" si="1214"/>
        <v/>
      </c>
      <c r="DO840" s="118" t="str">
        <f t="shared" si="1215"/>
        <v/>
      </c>
      <c r="DP840" s="118" t="str">
        <f t="shared" si="1216"/>
        <v/>
      </c>
      <c r="DQ840" s="122" t="str">
        <f>+IF(OR($W840="",DO840=0),"",ROUND((VLOOKUP(ROUNDDOWN($D840-1/frec,0),cob_adi,DB$40,FALSE)*(1+i/frec)^-0.5*(1+Parámetros!$D$103)*(1+rec_fracc)/frec),6))</f>
        <v/>
      </c>
      <c r="DR840" s="66" t="str">
        <f t="shared" si="1173"/>
        <v/>
      </c>
      <c r="DS840" s="68" t="str">
        <f t="shared" si="1174"/>
        <v/>
      </c>
      <c r="DT840" s="66" t="str">
        <f>+IF($W840="","",ROUND(IF($B840&gt;Parámetros!$D$107,'Tablas Servicio'!DR840+('Tablas Servicio'!DT839-'Tablas Servicio'!DR839),DR840/(1-IF(B840&lt;=10,Parámetros!$D$100,0))),2))</f>
        <v/>
      </c>
      <c r="DU840" s="66" t="str">
        <f t="shared" si="1175"/>
        <v/>
      </c>
      <c r="DV840" s="66" t="str">
        <f t="shared" si="1175"/>
        <v/>
      </c>
      <c r="DW840" s="66" t="str">
        <f>+IF($W840="","",ROUND((DT840*Parámetros!$G$85),2))</f>
        <v/>
      </c>
      <c r="DX840" s="66" t="str">
        <f>+IF($W840="","",ROUND((DT840*(Parámetros!$G$86)),2))</f>
        <v/>
      </c>
      <c r="DY840" s="66" t="str">
        <f t="shared" si="1176"/>
        <v/>
      </c>
      <c r="DZ840" t="str">
        <f t="shared" si="1217"/>
        <v/>
      </c>
      <c r="EA840" s="118" t="str">
        <f t="shared" si="1217"/>
        <v/>
      </c>
      <c r="EB840" s="118" t="str">
        <f>+IF($W840="","",ROUND(IF(Parámetros!$D$25='TABLAS MORT'!$V$33,EB839,Z840/2),0))</f>
        <v/>
      </c>
      <c r="EC840" s="118" t="str">
        <f t="shared" si="1217"/>
        <v/>
      </c>
      <c r="ED840" s="122" t="str">
        <f>+IF(OR($W840="",EB840=0),"",ROUND((VLOOKUP(ROUNDDOWN($D840-1/frec,0),cob_adi,DO$40,FALSE)*(1+i/frec)^-0.5*(1+Parámetros!$D$103)*(1+rec_fracc)/frec),6))</f>
        <v/>
      </c>
      <c r="EE840" s="66" t="str">
        <f t="shared" si="1178"/>
        <v/>
      </c>
      <c r="EF840" s="68" t="str">
        <f t="shared" si="1179"/>
        <v/>
      </c>
      <c r="EG840" s="66" t="str">
        <f>+IF($W840="","",ROUND(IF($B840&gt;Parámetros!$D$107,'Tablas Servicio'!EE840+('Tablas Servicio'!EG839-'Tablas Servicio'!EE839),EE840/(1-IF(B840&lt;=10,Parámetros!$D$100,0))),2))</f>
        <v/>
      </c>
      <c r="EH840" s="66" t="str">
        <f t="shared" si="1180"/>
        <v/>
      </c>
      <c r="EI840" s="66" t="str">
        <f t="shared" si="1180"/>
        <v/>
      </c>
      <c r="EJ840" s="66" t="str">
        <f>+IF($W840="","",ROUND((EG840*Parámetros!$G$85),2))</f>
        <v/>
      </c>
      <c r="EK840" s="66" t="str">
        <f>+IF($W840="","",ROUND((EG840*(Parámetros!$G$86)),2))</f>
        <v/>
      </c>
      <c r="EL840" s="66" t="str">
        <f t="shared" si="1181"/>
        <v/>
      </c>
    </row>
    <row r="841" spans="1:142" x14ac:dyDescent="0.25">
      <c r="A841" t="str">
        <f>+IF($C841="","",ROUND(VLOOKUP('Tablas Servicio'!B841,Parámetros!$H$100:$J$159,IF(Parámetros!$E$16="F",2,3),FALSE),2))</f>
        <v/>
      </c>
      <c r="B841" t="str">
        <f t="shared" si="1132"/>
        <v/>
      </c>
      <c r="C841" s="57" t="str">
        <f>+IF(D841="","",'Tablas Servicio'!C840+1)</f>
        <v/>
      </c>
      <c r="D841" s="56" t="str">
        <f>+IF(D840&lt;edadmaxtabla,D840+1/Parámetros!$E$25,"")</f>
        <v/>
      </c>
      <c r="E841" s="57" t="str">
        <f t="shared" si="1142"/>
        <v/>
      </c>
      <c r="F841" s="59" t="str">
        <f t="shared" si="1143"/>
        <v/>
      </c>
      <c r="G841" s="66" t="str">
        <f t="shared" si="1133"/>
        <v/>
      </c>
      <c r="H841" s="66" t="str">
        <f t="shared" si="1134"/>
        <v/>
      </c>
      <c r="I841" s="66" t="str">
        <f t="shared" si="1182"/>
        <v/>
      </c>
      <c r="J841" s="66" t="str">
        <f t="shared" si="1135"/>
        <v/>
      </c>
      <c r="K841" s="66" t="str">
        <f t="shared" si="1136"/>
        <v/>
      </c>
      <c r="L841" s="66" t="str">
        <f t="shared" si="1137"/>
        <v/>
      </c>
      <c r="M841" s="66" t="str">
        <f t="shared" si="1138"/>
        <v/>
      </c>
      <c r="N841" s="66" t="str">
        <f>+IF(C841="","",ROUND(Parámetros!$D$23,2))</f>
        <v/>
      </c>
      <c r="O841" s="66" t="str">
        <f t="shared" si="1139"/>
        <v/>
      </c>
      <c r="P841" s="66" t="str">
        <f>+IF($C841="","",ROUND(IF(B841&gt;Parámetros!$D$117,0,N841*Parámetros!$D$116-G841*Parámetros!$D$100),2))</f>
        <v/>
      </c>
      <c r="Q841" s="75" t="str">
        <f t="shared" si="1183"/>
        <v/>
      </c>
      <c r="R841" s="75" t="str">
        <f t="shared" si="1184"/>
        <v/>
      </c>
      <c r="S841" s="117" t="str">
        <f>+IF($C841="","",ROUND((S840+I841)*(1+Parámetros!$D$91),2))</f>
        <v/>
      </c>
      <c r="T841" s="117" t="str">
        <f>+IF($C841="","",ROUND(S841*VLOOKUP(B841,Parámetros!$C$30:$D$39,2,TRUE),2))</f>
        <v/>
      </c>
      <c r="U841" s="117" t="str">
        <f>+IF($C841="","",ROUND((U840+I841)*(1+Parámetros!$D$92),2))</f>
        <v/>
      </c>
      <c r="V841" s="117" t="str">
        <f>+IF($C841="","",ROUND(U841*VLOOKUP(B841,Parámetros!$C$30:$D$39,2,TRUE),2))</f>
        <v/>
      </c>
      <c r="W841" s="57" t="str">
        <f t="shared" si="1185"/>
        <v/>
      </c>
      <c r="X841" t="str">
        <f t="shared" si="1186"/>
        <v/>
      </c>
      <c r="Y841" t="str">
        <f t="shared" si="1187"/>
        <v/>
      </c>
      <c r="Z841" s="118" t="str">
        <f>+IF($W841="","",ROUND(IF(Parámetros!$D$25='TABLAS MORT'!$V$33,Z840,Parámetros!$D$21-'Tablas Servicio'!T840),0))</f>
        <v/>
      </c>
      <c r="AA841" s="118" t="str">
        <f t="shared" si="1188"/>
        <v/>
      </c>
      <c r="AB841" s="119" t="str">
        <f>+IF(W841="","",ROUND((VLOOKUP(ROUNDDOWN($D841-1/frec,0),qx_tabla,2,FALSE)*(1+i/frec)^-0.5*(1+Parámetros!$D$103)*(1+rec_fracc)/frec),6))</f>
        <v/>
      </c>
      <c r="AC841" s="66" t="str">
        <f t="shared" si="1144"/>
        <v/>
      </c>
      <c r="AD841" s="119" t="str">
        <f t="shared" si="1140"/>
        <v/>
      </c>
      <c r="AE841" s="66" t="str">
        <f>+IF($W841="","",ROUND(IF($B841&gt;Parámetros!$D$107,'Tablas Servicio'!AC841+('Tablas Servicio'!AG840-'Tablas Servicio'!AC840),AC841/(1-IF(B841&lt;=10,Parámetros!$D$104,Parámetros!$D$105))),2))</f>
        <v/>
      </c>
      <c r="AF841" s="66" t="str">
        <f>+IF($W841="","",ROUND(IF($B841&gt;Parámetros!$D$107,'Tablas Servicio'!AC841+('Tablas Servicio'!AG840-'Tablas Servicio'!AC840),(AC841+$A840/frec)/(1-IF(B841&lt;=Parámetros!$D$117,Parámetros!$D$100,0))),2))</f>
        <v/>
      </c>
      <c r="AG841" s="66" t="str">
        <f t="shared" si="1145"/>
        <v/>
      </c>
      <c r="AH841" s="66" t="str">
        <f t="shared" si="1146"/>
        <v/>
      </c>
      <c r="AI841" s="66" t="str">
        <f t="shared" si="1147"/>
        <v/>
      </c>
      <c r="AJ841" s="66" t="str">
        <f>+IF($W841="","",ROUND((AG841*Parámetros!$G$85),2))</f>
        <v/>
      </c>
      <c r="AK841" s="66" t="str">
        <f>+IF($W841="","",ROUND((AG841*(Parámetros!$G$86)),2))</f>
        <v/>
      </c>
      <c r="AL841" s="66" t="str">
        <f t="shared" si="1141"/>
        <v/>
      </c>
      <c r="AM841" t="str">
        <f t="shared" si="1189"/>
        <v/>
      </c>
      <c r="AN841" t="str">
        <f t="shared" si="1190"/>
        <v/>
      </c>
      <c r="AO841" s="118" t="str">
        <f t="shared" si="1191"/>
        <v/>
      </c>
      <c r="AP841" s="118" t="str">
        <f t="shared" si="1192"/>
        <v/>
      </c>
      <c r="AQ841" s="119" t="str">
        <f>+IF(OR($W841="",AO841=0),"",ROUND((VLOOKUP(ROUNDDOWN($D841-1/frec,0),cob_adi,Z$40,FALSE)*(1+i/frec)^-0.5*(1+Parámetros!$D$103)*(1+rec_fracc)/frec),6))</f>
        <v/>
      </c>
      <c r="AR841" s="66" t="str">
        <f t="shared" si="1148"/>
        <v/>
      </c>
      <c r="AS841" s="119" t="str">
        <f t="shared" si="1149"/>
        <v/>
      </c>
      <c r="AT841" s="66" t="str">
        <f>+IF($W841="","",ROUND(IF($B841&gt;Parámetros!$D$107,'Tablas Servicio'!AR841+('Tablas Servicio'!AT840-'Tablas Servicio'!AR840),AR841/(1-IF(B841&lt;=10,Parámetros!$D$100,0))),2))</f>
        <v/>
      </c>
      <c r="AU841" s="66" t="str">
        <f t="shared" si="1150"/>
        <v/>
      </c>
      <c r="AV841" s="66" t="str">
        <f t="shared" si="1150"/>
        <v/>
      </c>
      <c r="AW841" s="66" t="str">
        <f>+IF($W841="","",ROUND((AT841*Parámetros!$G$85),2))</f>
        <v/>
      </c>
      <c r="AX841" s="66" t="str">
        <f>+IF($W841="","",ROUND((AT841*(Parámetros!$G$86)),2))</f>
        <v/>
      </c>
      <c r="AY841" s="66" t="str">
        <f t="shared" si="1151"/>
        <v/>
      </c>
      <c r="AZ841" t="str">
        <f t="shared" si="1193"/>
        <v/>
      </c>
      <c r="BA841" t="str">
        <f t="shared" si="1194"/>
        <v/>
      </c>
      <c r="BB841" s="118" t="str">
        <f t="shared" si="1195"/>
        <v/>
      </c>
      <c r="BC841" s="118" t="str">
        <f t="shared" si="1196"/>
        <v/>
      </c>
      <c r="BD841" s="119" t="str">
        <f>+IF(OR($W841="",BB841=0),"",ROUND((VLOOKUP(ROUNDDOWN($D841-1/frec,0),cob_adi,AO$40,FALSE)*(1+i/frec)^-0.5*(1+Parámetros!$D$103)*(1+rec_fracc)/frec),6))</f>
        <v/>
      </c>
      <c r="BE841" s="66" t="str">
        <f t="shared" si="1152"/>
        <v/>
      </c>
      <c r="BF841" s="119" t="str">
        <f t="shared" si="1153"/>
        <v/>
      </c>
      <c r="BG841" s="66" t="str">
        <f>+IF($W841="","",ROUND(IF($B841&gt;Parámetros!$D$107,'Tablas Servicio'!BE841+('Tablas Servicio'!BG840-'Tablas Servicio'!BE840),BE841/(1-IF(B841&lt;=10,Parámetros!$D$100,0))),2))</f>
        <v/>
      </c>
      <c r="BH841" s="66" t="str">
        <f t="shared" si="1154"/>
        <v/>
      </c>
      <c r="BI841" s="66" t="str">
        <f t="shared" si="1155"/>
        <v/>
      </c>
      <c r="BJ841" s="66" t="str">
        <f>+IF($W841="","",ROUND((BG841*Parámetros!$G$85),2))</f>
        <v/>
      </c>
      <c r="BK841" s="66" t="str">
        <f>+IF($W841="","",ROUND((BG841*(Parámetros!$G$86)),2))</f>
        <v/>
      </c>
      <c r="BL841" s="66" t="str">
        <f t="shared" si="1156"/>
        <v/>
      </c>
      <c r="BM841" t="str">
        <f t="shared" si="1197"/>
        <v/>
      </c>
      <c r="BN841" t="str">
        <f t="shared" si="1198"/>
        <v/>
      </c>
      <c r="BO841" s="118" t="str">
        <f t="shared" si="1199"/>
        <v/>
      </c>
      <c r="BP841" s="118" t="str">
        <f t="shared" si="1200"/>
        <v/>
      </c>
      <c r="BQ841" s="119" t="str">
        <f>+IF(OR($W841="",BO841=0),"",ROUND((VLOOKUP(ROUNDDOWN($D841-1/frec,0),cob_adi,BB$40,FALSE)*(1+i/frec)^-0.5*(1+Parámetros!$D$103)*(1+rec_fracc)/frec),6))</f>
        <v/>
      </c>
      <c r="BR841" s="66" t="str">
        <f t="shared" si="1157"/>
        <v/>
      </c>
      <c r="BS841" s="119" t="str">
        <f t="shared" si="1158"/>
        <v/>
      </c>
      <c r="BT841" s="66" t="str">
        <f>+IF($W841="","",ROUND(IF($B841&gt;Parámetros!$D$107,'Tablas Servicio'!BR841+('Tablas Servicio'!BT840-'Tablas Servicio'!BR840),BR841/(1-IF(B841&lt;=10,Parámetros!$D$100,0))),2))</f>
        <v/>
      </c>
      <c r="BU841" s="66" t="str">
        <f t="shared" si="1159"/>
        <v/>
      </c>
      <c r="BV841" s="66" t="str">
        <f t="shared" si="1159"/>
        <v/>
      </c>
      <c r="BW841" s="66" t="str">
        <f>+IF($W841="","",ROUND((BT841*Parámetros!$G$85),2))</f>
        <v/>
      </c>
      <c r="BX841" s="66" t="str">
        <f>+IF($W841="","",ROUND((BT841*(Parámetros!$G$86)),2))</f>
        <v/>
      </c>
      <c r="BY841" s="66" t="str">
        <f t="shared" si="1160"/>
        <v/>
      </c>
      <c r="BZ841" t="str">
        <f t="shared" si="1201"/>
        <v/>
      </c>
      <c r="CA841" t="str">
        <f t="shared" si="1202"/>
        <v/>
      </c>
      <c r="CB841" s="118" t="str">
        <f t="shared" si="1203"/>
        <v/>
      </c>
      <c r="CC841" s="118" t="str">
        <f t="shared" si="1204"/>
        <v/>
      </c>
      <c r="CD841" s="119" t="str">
        <f t="shared" si="1161"/>
        <v/>
      </c>
      <c r="CE841" s="66" t="str">
        <f>+IF($W841="","",ROUND((VLOOKUP(ROUNDDOWN($D841-1/frec,0),cob_adi,BO$40,FALSE)*(1+i/frec)^-0.5*(1+Parámetros!$D$103)*(1+rec_fracc)/frec*'TABLAS ADI'!$BC$17),2))</f>
        <v/>
      </c>
      <c r="CF841" s="119" t="str">
        <f t="shared" si="1162"/>
        <v/>
      </c>
      <c r="CG841" s="66" t="str">
        <f>+IF($W841="","",ROUND(IF($B841&gt;Parámetros!$D$107,'Tablas Servicio'!CE841+('Tablas Servicio'!CG840-'Tablas Servicio'!CE840),CE841/(1-IF(B841&lt;=10,Parámetros!$D$100,0))),2))</f>
        <v/>
      </c>
      <c r="CH841" s="66" t="str">
        <f t="shared" si="1163"/>
        <v/>
      </c>
      <c r="CI841" s="66" t="str">
        <f t="shared" si="1163"/>
        <v/>
      </c>
      <c r="CJ841" s="66" t="str">
        <f>+IF($W841="","",ROUND((CG841*Parámetros!$G$85),2))</f>
        <v/>
      </c>
      <c r="CK841" s="66" t="str">
        <f>+IF($W841="","",ROUND((CG841*(Parámetros!$G$86)),2))</f>
        <v/>
      </c>
      <c r="CL841" s="66" t="str">
        <f t="shared" si="1164"/>
        <v/>
      </c>
      <c r="CM841" t="str">
        <f t="shared" si="1205"/>
        <v/>
      </c>
      <c r="CN841" s="118" t="str">
        <f t="shared" si="1206"/>
        <v/>
      </c>
      <c r="CO841" s="118" t="str">
        <f t="shared" si="1207"/>
        <v/>
      </c>
      <c r="CP841" s="118" t="str">
        <f t="shared" si="1208"/>
        <v/>
      </c>
      <c r="CQ841" s="119" t="str">
        <f t="shared" si="1165"/>
        <v/>
      </c>
      <c r="CR841" s="66" t="str">
        <f>+IF($W841="","",ROUND((VLOOKUP(Parámetros!$F$51,'COBERTURAS ADICIONALES'!$S$4:$T$32,2,FALSE)*(1+i/frec)^-0.5*(1+Parámetros!$D$103)*(1+rec_fracc)/frec*$CO$42),2))</f>
        <v/>
      </c>
      <c r="CS841" s="119" t="str">
        <f t="shared" si="1166"/>
        <v/>
      </c>
      <c r="CT841" s="66" t="str">
        <f>+IF($W841="","",ROUND(IF($B841&gt;Parámetros!$D$107,'Tablas Servicio'!CR841+('Tablas Servicio'!CT840-'Tablas Servicio'!CR840),CR841/(1-IF(B841&lt;=10,Parámetros!$D$100,0))),2))</f>
        <v/>
      </c>
      <c r="CU841" s="66" t="str">
        <f t="shared" si="1167"/>
        <v/>
      </c>
      <c r="CV841" s="66" t="str">
        <f t="shared" si="1167"/>
        <v/>
      </c>
      <c r="CW841" s="66" t="str">
        <f>+IF($W841="","",ROUND((CT841*Parámetros!$G$85),2))</f>
        <v/>
      </c>
      <c r="CX841" s="66" t="str">
        <f>+IF($W841="","",ROUND((CT841*(Parámetros!$G$86)),2))</f>
        <v/>
      </c>
      <c r="CY841" s="66" t="str">
        <f t="shared" si="1168"/>
        <v/>
      </c>
      <c r="CZ841" t="str">
        <f t="shared" si="1209"/>
        <v/>
      </c>
      <c r="DA841" s="118" t="str">
        <f t="shared" si="1210"/>
        <v/>
      </c>
      <c r="DB841" s="118" t="str">
        <f t="shared" si="1211"/>
        <v/>
      </c>
      <c r="DC841" s="118" t="str">
        <f t="shared" si="1212"/>
        <v/>
      </c>
      <c r="DD841" s="121" t="str">
        <f>+IF(OR($W841="",DB841=0),"",ROUND((VLOOKUP(ROUNDDOWN($D841-1/frec,0),cob_adi,CO$40,FALSE)*(1+i/frec)^-0.5*(1+Parámetros!$D$103)*(1+rec_fracc)/frec),6))</f>
        <v/>
      </c>
      <c r="DE841" s="66" t="str">
        <f t="shared" si="1169"/>
        <v/>
      </c>
      <c r="DF841" s="119" t="str">
        <f t="shared" si="1170"/>
        <v/>
      </c>
      <c r="DG841" s="66" t="str">
        <f>+IF($W841="","",ROUND(IF($B841&gt;Parámetros!$D$107,'Tablas Servicio'!DE841+('Tablas Servicio'!DG840-'Tablas Servicio'!DE840),DE841/(1-IF(B841&lt;=10,Parámetros!$D$100,0))),2))</f>
        <v/>
      </c>
      <c r="DH841" s="66" t="str">
        <f t="shared" si="1171"/>
        <v/>
      </c>
      <c r="DI841" s="66" t="str">
        <f t="shared" si="1171"/>
        <v/>
      </c>
      <c r="DJ841" s="66" t="str">
        <f>+IF($W841="","",ROUND((DG841*Parámetros!$G$85),2))</f>
        <v/>
      </c>
      <c r="DK841" s="66" t="str">
        <f>+IF($W841="","",ROUND((DG841*(Parámetros!$G$86)),2))</f>
        <v/>
      </c>
      <c r="DL841" s="66" t="str">
        <f t="shared" si="1172"/>
        <v/>
      </c>
      <c r="DM841" t="str">
        <f t="shared" si="1213"/>
        <v/>
      </c>
      <c r="DN841" s="118" t="str">
        <f t="shared" si="1214"/>
        <v/>
      </c>
      <c r="DO841" s="118" t="str">
        <f t="shared" si="1215"/>
        <v/>
      </c>
      <c r="DP841" s="118" t="str">
        <f t="shared" si="1216"/>
        <v/>
      </c>
      <c r="DQ841" s="122" t="str">
        <f>+IF(OR($W841="",DO841=0),"",ROUND((VLOOKUP(ROUNDDOWN($D841-1/frec,0),cob_adi,DB$40,FALSE)*(1+i/frec)^-0.5*(1+Parámetros!$D$103)*(1+rec_fracc)/frec),6))</f>
        <v/>
      </c>
      <c r="DR841" s="66" t="str">
        <f t="shared" si="1173"/>
        <v/>
      </c>
      <c r="DS841" s="68" t="str">
        <f t="shared" si="1174"/>
        <v/>
      </c>
      <c r="DT841" s="66" t="str">
        <f>+IF($W841="","",ROUND(IF($B841&gt;Parámetros!$D$107,'Tablas Servicio'!DR841+('Tablas Servicio'!DT840-'Tablas Servicio'!DR840),DR841/(1-IF(B841&lt;=10,Parámetros!$D$100,0))),2))</f>
        <v/>
      </c>
      <c r="DU841" s="66" t="str">
        <f t="shared" si="1175"/>
        <v/>
      </c>
      <c r="DV841" s="66" t="str">
        <f t="shared" si="1175"/>
        <v/>
      </c>
      <c r="DW841" s="66" t="str">
        <f>+IF($W841="","",ROUND((DT841*Parámetros!$G$85),2))</f>
        <v/>
      </c>
      <c r="DX841" s="66" t="str">
        <f>+IF($W841="","",ROUND((DT841*(Parámetros!$G$86)),2))</f>
        <v/>
      </c>
      <c r="DY841" s="66" t="str">
        <f t="shared" si="1176"/>
        <v/>
      </c>
      <c r="DZ841" t="str">
        <f t="shared" si="1217"/>
        <v/>
      </c>
      <c r="EA841" s="118" t="str">
        <f t="shared" si="1217"/>
        <v/>
      </c>
      <c r="EB841" s="118" t="str">
        <f>+IF($W841="","",ROUND(IF(Parámetros!$D$25='TABLAS MORT'!$V$33,EB840,Z841/2),0))</f>
        <v/>
      </c>
      <c r="EC841" s="118" t="str">
        <f t="shared" si="1217"/>
        <v/>
      </c>
      <c r="ED841" s="122" t="str">
        <f>+IF(OR($W841="",EB841=0),"",ROUND((VLOOKUP(ROUNDDOWN($D841-1/frec,0),cob_adi,DO$40,FALSE)*(1+i/frec)^-0.5*(1+Parámetros!$D$103)*(1+rec_fracc)/frec),6))</f>
        <v/>
      </c>
      <c r="EE841" s="66" t="str">
        <f t="shared" si="1178"/>
        <v/>
      </c>
      <c r="EF841" s="68" t="str">
        <f t="shared" si="1179"/>
        <v/>
      </c>
      <c r="EG841" s="66" t="str">
        <f>+IF($W841="","",ROUND(IF($B841&gt;Parámetros!$D$107,'Tablas Servicio'!EE841+('Tablas Servicio'!EG840-'Tablas Servicio'!EE840),EE841/(1-IF(B841&lt;=10,Parámetros!$D$100,0))),2))</f>
        <v/>
      </c>
      <c r="EH841" s="66" t="str">
        <f t="shared" si="1180"/>
        <v/>
      </c>
      <c r="EI841" s="66" t="str">
        <f t="shared" si="1180"/>
        <v/>
      </c>
      <c r="EJ841" s="66" t="str">
        <f>+IF($W841="","",ROUND((EG841*Parámetros!$G$85),2))</f>
        <v/>
      </c>
      <c r="EK841" s="66" t="str">
        <f>+IF($W841="","",ROUND((EG841*(Parámetros!$G$86)),2))</f>
        <v/>
      </c>
      <c r="EL841" s="66" t="str">
        <f t="shared" si="1181"/>
        <v/>
      </c>
    </row>
    <row r="842" spans="1:142" x14ac:dyDescent="0.25">
      <c r="A842" t="str">
        <f>+IF($C842="","",ROUND(VLOOKUP('Tablas Servicio'!B842,Parámetros!$H$100:$J$159,IF(Parámetros!$E$16="F",2,3),FALSE),2))</f>
        <v/>
      </c>
      <c r="B842" t="str">
        <f t="shared" si="1132"/>
        <v/>
      </c>
      <c r="C842" s="57" t="str">
        <f>+IF(D842="","",'Tablas Servicio'!C841+1)</f>
        <v/>
      </c>
      <c r="D842" s="56" t="str">
        <f>+IF(D841&lt;edadmaxtabla,D841+1/Parámetros!$E$25,"")</f>
        <v/>
      </c>
      <c r="E842" s="57" t="str">
        <f t="shared" si="1142"/>
        <v/>
      </c>
      <c r="F842" s="59" t="str">
        <f t="shared" si="1143"/>
        <v/>
      </c>
      <c r="G842" s="66" t="str">
        <f t="shared" si="1133"/>
        <v/>
      </c>
      <c r="H842" s="66" t="str">
        <f t="shared" si="1134"/>
        <v/>
      </c>
      <c r="I842" s="66" t="str">
        <f t="shared" si="1182"/>
        <v/>
      </c>
      <c r="J842" s="66" t="str">
        <f t="shared" si="1135"/>
        <v/>
      </c>
      <c r="K842" s="66" t="str">
        <f t="shared" si="1136"/>
        <v/>
      </c>
      <c r="L842" s="66" t="str">
        <f t="shared" si="1137"/>
        <v/>
      </c>
      <c r="M842" s="66" t="str">
        <f t="shared" si="1138"/>
        <v/>
      </c>
      <c r="N842" s="66" t="str">
        <f>+IF(C842="","",ROUND(Parámetros!$D$23,2))</f>
        <v/>
      </c>
      <c r="O842" s="66" t="str">
        <f t="shared" si="1139"/>
        <v/>
      </c>
      <c r="P842" s="66" t="str">
        <f>+IF($C842="","",ROUND(IF(B842&gt;Parámetros!$D$117,0,N842*Parámetros!$D$116-G842*Parámetros!$D$100),2))</f>
        <v/>
      </c>
      <c r="Q842" s="75" t="str">
        <f t="shared" si="1183"/>
        <v/>
      </c>
      <c r="R842" s="75" t="str">
        <f t="shared" si="1184"/>
        <v/>
      </c>
      <c r="S842" s="117" t="str">
        <f>+IF($C842="","",ROUND((S841+I842)*(1+Parámetros!$D$91),2))</f>
        <v/>
      </c>
      <c r="T842" s="117" t="str">
        <f>+IF($C842="","",ROUND(S842*VLOOKUP(B842,Parámetros!$C$30:$D$39,2,TRUE),2))</f>
        <v/>
      </c>
      <c r="U842" s="117" t="str">
        <f>+IF($C842="","",ROUND((U841+I842)*(1+Parámetros!$D$92),2))</f>
        <v/>
      </c>
      <c r="V842" s="117" t="str">
        <f>+IF($C842="","",ROUND(U842*VLOOKUP(B842,Parámetros!$C$30:$D$39,2,TRUE),2))</f>
        <v/>
      </c>
      <c r="W842" s="57" t="str">
        <f t="shared" si="1185"/>
        <v/>
      </c>
      <c r="X842" t="str">
        <f t="shared" si="1186"/>
        <v/>
      </c>
      <c r="Y842" t="str">
        <f t="shared" si="1187"/>
        <v/>
      </c>
      <c r="Z842" s="118" t="str">
        <f>+IF($W842="","",ROUND(IF(Parámetros!$D$25='TABLAS MORT'!$V$33,Z841,Parámetros!$D$21-'Tablas Servicio'!T841),0))</f>
        <v/>
      </c>
      <c r="AA842" s="118" t="str">
        <f t="shared" si="1188"/>
        <v/>
      </c>
      <c r="AB842" s="119" t="str">
        <f>+IF(W842="","",ROUND((VLOOKUP(ROUNDDOWN($D842-1/frec,0),qx_tabla,2,FALSE)*(1+i/frec)^-0.5*(1+Parámetros!$D$103)*(1+rec_fracc)/frec),6))</f>
        <v/>
      </c>
      <c r="AC842" s="66" t="str">
        <f t="shared" si="1144"/>
        <v/>
      </c>
      <c r="AD842" s="119" t="str">
        <f t="shared" si="1140"/>
        <v/>
      </c>
      <c r="AE842" s="66" t="str">
        <f>+IF($W842="","",ROUND(IF($B842&gt;Parámetros!$D$107,'Tablas Servicio'!AC842+('Tablas Servicio'!AG841-'Tablas Servicio'!AC841),AC842/(1-IF(B842&lt;=10,Parámetros!$D$104,Parámetros!$D$105))),2))</f>
        <v/>
      </c>
      <c r="AF842" s="66" t="str">
        <f>+IF($W842="","",ROUND(IF($B842&gt;Parámetros!$D$107,'Tablas Servicio'!AC842+('Tablas Servicio'!AG841-'Tablas Servicio'!AC841),(AC842+$A841/frec)/(1-IF(B842&lt;=Parámetros!$D$117,Parámetros!$D$100,0))),2))</f>
        <v/>
      </c>
      <c r="AG842" s="66" t="str">
        <f t="shared" si="1145"/>
        <v/>
      </c>
      <c r="AH842" s="66" t="str">
        <f t="shared" si="1146"/>
        <v/>
      </c>
      <c r="AI842" s="66" t="str">
        <f t="shared" si="1147"/>
        <v/>
      </c>
      <c r="AJ842" s="66" t="str">
        <f>+IF($W842="","",ROUND((AG842*Parámetros!$G$85),2))</f>
        <v/>
      </c>
      <c r="AK842" s="66" t="str">
        <f>+IF($W842="","",ROUND((AG842*(Parámetros!$G$86)),2))</f>
        <v/>
      </c>
      <c r="AL842" s="66" t="str">
        <f t="shared" si="1141"/>
        <v/>
      </c>
      <c r="AM842" t="str">
        <f t="shared" si="1189"/>
        <v/>
      </c>
      <c r="AN842" t="str">
        <f t="shared" si="1190"/>
        <v/>
      </c>
      <c r="AO842" s="118" t="str">
        <f t="shared" si="1191"/>
        <v/>
      </c>
      <c r="AP842" s="118" t="str">
        <f t="shared" si="1192"/>
        <v/>
      </c>
      <c r="AQ842" s="119" t="str">
        <f>+IF(OR($W842="",AO842=0),"",ROUND((VLOOKUP(ROUNDDOWN($D842-1/frec,0),cob_adi,Z$40,FALSE)*(1+i/frec)^-0.5*(1+Parámetros!$D$103)*(1+rec_fracc)/frec),6))</f>
        <v/>
      </c>
      <c r="AR842" s="66" t="str">
        <f t="shared" si="1148"/>
        <v/>
      </c>
      <c r="AS842" s="119" t="str">
        <f t="shared" si="1149"/>
        <v/>
      </c>
      <c r="AT842" s="66" t="str">
        <f>+IF($W842="","",ROUND(IF($B842&gt;Parámetros!$D$107,'Tablas Servicio'!AR842+('Tablas Servicio'!AT841-'Tablas Servicio'!AR841),AR842/(1-IF(B842&lt;=10,Parámetros!$D$100,0))),2))</f>
        <v/>
      </c>
      <c r="AU842" s="66" t="str">
        <f t="shared" si="1150"/>
        <v/>
      </c>
      <c r="AV842" s="66" t="str">
        <f t="shared" si="1150"/>
        <v/>
      </c>
      <c r="AW842" s="66" t="str">
        <f>+IF($W842="","",ROUND((AT842*Parámetros!$G$85),2))</f>
        <v/>
      </c>
      <c r="AX842" s="66" t="str">
        <f>+IF($W842="","",ROUND((AT842*(Parámetros!$G$86)),2))</f>
        <v/>
      </c>
      <c r="AY842" s="66" t="str">
        <f t="shared" si="1151"/>
        <v/>
      </c>
      <c r="AZ842" t="str">
        <f t="shared" si="1193"/>
        <v/>
      </c>
      <c r="BA842" t="str">
        <f t="shared" si="1194"/>
        <v/>
      </c>
      <c r="BB842" s="118" t="str">
        <f t="shared" si="1195"/>
        <v/>
      </c>
      <c r="BC842" s="118" t="str">
        <f t="shared" si="1196"/>
        <v/>
      </c>
      <c r="BD842" s="119" t="str">
        <f>+IF(OR($W842="",BB842=0),"",ROUND((VLOOKUP(ROUNDDOWN($D842-1/frec,0),cob_adi,AO$40,FALSE)*(1+i/frec)^-0.5*(1+Parámetros!$D$103)*(1+rec_fracc)/frec),6))</f>
        <v/>
      </c>
      <c r="BE842" s="66" t="str">
        <f t="shared" si="1152"/>
        <v/>
      </c>
      <c r="BF842" s="119" t="str">
        <f t="shared" si="1153"/>
        <v/>
      </c>
      <c r="BG842" s="66" t="str">
        <f>+IF($W842="","",ROUND(IF($B842&gt;Parámetros!$D$107,'Tablas Servicio'!BE842+('Tablas Servicio'!BG841-'Tablas Servicio'!BE841),BE842/(1-IF(B842&lt;=10,Parámetros!$D$100,0))),2))</f>
        <v/>
      </c>
      <c r="BH842" s="66" t="str">
        <f t="shared" si="1154"/>
        <v/>
      </c>
      <c r="BI842" s="66" t="str">
        <f t="shared" si="1155"/>
        <v/>
      </c>
      <c r="BJ842" s="66" t="str">
        <f>+IF($W842="","",ROUND((BG842*Parámetros!$G$85),2))</f>
        <v/>
      </c>
      <c r="BK842" s="66" t="str">
        <f>+IF($W842="","",ROUND((BG842*(Parámetros!$G$86)),2))</f>
        <v/>
      </c>
      <c r="BL842" s="66" t="str">
        <f t="shared" si="1156"/>
        <v/>
      </c>
      <c r="BM842" t="str">
        <f t="shared" si="1197"/>
        <v/>
      </c>
      <c r="BN842" t="str">
        <f t="shared" si="1198"/>
        <v/>
      </c>
      <c r="BO842" s="118" t="str">
        <f t="shared" si="1199"/>
        <v/>
      </c>
      <c r="BP842" s="118" t="str">
        <f t="shared" si="1200"/>
        <v/>
      </c>
      <c r="BQ842" s="119" t="str">
        <f>+IF(OR($W842="",BO842=0),"",ROUND((VLOOKUP(ROUNDDOWN($D842-1/frec,0),cob_adi,BB$40,FALSE)*(1+i/frec)^-0.5*(1+Parámetros!$D$103)*(1+rec_fracc)/frec),6))</f>
        <v/>
      </c>
      <c r="BR842" s="66" t="str">
        <f t="shared" si="1157"/>
        <v/>
      </c>
      <c r="BS842" s="119" t="str">
        <f t="shared" si="1158"/>
        <v/>
      </c>
      <c r="BT842" s="66" t="str">
        <f>+IF($W842="","",ROUND(IF($B842&gt;Parámetros!$D$107,'Tablas Servicio'!BR842+('Tablas Servicio'!BT841-'Tablas Servicio'!BR841),BR842/(1-IF(B842&lt;=10,Parámetros!$D$100,0))),2))</f>
        <v/>
      </c>
      <c r="BU842" s="66" t="str">
        <f t="shared" si="1159"/>
        <v/>
      </c>
      <c r="BV842" s="66" t="str">
        <f t="shared" si="1159"/>
        <v/>
      </c>
      <c r="BW842" s="66" t="str">
        <f>+IF($W842="","",ROUND((BT842*Parámetros!$G$85),2))</f>
        <v/>
      </c>
      <c r="BX842" s="66" t="str">
        <f>+IF($W842="","",ROUND((BT842*(Parámetros!$G$86)),2))</f>
        <v/>
      </c>
      <c r="BY842" s="66" t="str">
        <f t="shared" si="1160"/>
        <v/>
      </c>
      <c r="BZ842" t="str">
        <f t="shared" si="1201"/>
        <v/>
      </c>
      <c r="CA842" t="str">
        <f t="shared" si="1202"/>
        <v/>
      </c>
      <c r="CB842" s="118" t="str">
        <f t="shared" si="1203"/>
        <v/>
      </c>
      <c r="CC842" s="118" t="str">
        <f t="shared" si="1204"/>
        <v/>
      </c>
      <c r="CD842" s="119" t="str">
        <f t="shared" si="1161"/>
        <v/>
      </c>
      <c r="CE842" s="66" t="str">
        <f>+IF($W842="","",ROUND((VLOOKUP(ROUNDDOWN($D842-1/frec,0),cob_adi,BO$40,FALSE)*(1+i/frec)^-0.5*(1+Parámetros!$D$103)*(1+rec_fracc)/frec*'TABLAS ADI'!$BC$17),2))</f>
        <v/>
      </c>
      <c r="CF842" s="119" t="str">
        <f t="shared" si="1162"/>
        <v/>
      </c>
      <c r="CG842" s="66" t="str">
        <f>+IF($W842="","",ROUND(IF($B842&gt;Parámetros!$D$107,'Tablas Servicio'!CE842+('Tablas Servicio'!CG841-'Tablas Servicio'!CE841),CE842/(1-IF(B842&lt;=10,Parámetros!$D$100,0))),2))</f>
        <v/>
      </c>
      <c r="CH842" s="66" t="str">
        <f t="shared" si="1163"/>
        <v/>
      </c>
      <c r="CI842" s="66" t="str">
        <f t="shared" si="1163"/>
        <v/>
      </c>
      <c r="CJ842" s="66" t="str">
        <f>+IF($W842="","",ROUND((CG842*Parámetros!$G$85),2))</f>
        <v/>
      </c>
      <c r="CK842" s="66" t="str">
        <f>+IF($W842="","",ROUND((CG842*(Parámetros!$G$86)),2))</f>
        <v/>
      </c>
      <c r="CL842" s="66" t="str">
        <f t="shared" si="1164"/>
        <v/>
      </c>
      <c r="CM842" t="str">
        <f t="shared" si="1205"/>
        <v/>
      </c>
      <c r="CN842" s="118" t="str">
        <f t="shared" si="1206"/>
        <v/>
      </c>
      <c r="CO842" s="118" t="str">
        <f t="shared" si="1207"/>
        <v/>
      </c>
      <c r="CP842" s="118" t="str">
        <f t="shared" si="1208"/>
        <v/>
      </c>
      <c r="CQ842" s="119" t="str">
        <f t="shared" si="1165"/>
        <v/>
      </c>
      <c r="CR842" s="66" t="str">
        <f>+IF($W842="","",ROUND((VLOOKUP(Parámetros!$F$51,'COBERTURAS ADICIONALES'!$S$4:$T$32,2,FALSE)*(1+i/frec)^-0.5*(1+Parámetros!$D$103)*(1+rec_fracc)/frec*$CO$42),2))</f>
        <v/>
      </c>
      <c r="CS842" s="119" t="str">
        <f t="shared" si="1166"/>
        <v/>
      </c>
      <c r="CT842" s="66" t="str">
        <f>+IF($W842="","",ROUND(IF($B842&gt;Parámetros!$D$107,'Tablas Servicio'!CR842+('Tablas Servicio'!CT841-'Tablas Servicio'!CR841),CR842/(1-IF(B842&lt;=10,Parámetros!$D$100,0))),2))</f>
        <v/>
      </c>
      <c r="CU842" s="66" t="str">
        <f t="shared" si="1167"/>
        <v/>
      </c>
      <c r="CV842" s="66" t="str">
        <f t="shared" si="1167"/>
        <v/>
      </c>
      <c r="CW842" s="66" t="str">
        <f>+IF($W842="","",ROUND((CT842*Parámetros!$G$85),2))</f>
        <v/>
      </c>
      <c r="CX842" s="66" t="str">
        <f>+IF($W842="","",ROUND((CT842*(Parámetros!$G$86)),2))</f>
        <v/>
      </c>
      <c r="CY842" s="66" t="str">
        <f t="shared" si="1168"/>
        <v/>
      </c>
      <c r="CZ842" t="str">
        <f t="shared" si="1209"/>
        <v/>
      </c>
      <c r="DA842" s="118" t="str">
        <f t="shared" si="1210"/>
        <v/>
      </c>
      <c r="DB842" s="118" t="str">
        <f t="shared" si="1211"/>
        <v/>
      </c>
      <c r="DC842" s="118" t="str">
        <f t="shared" si="1212"/>
        <v/>
      </c>
      <c r="DD842" s="121" t="str">
        <f>+IF(OR($W842="",DB842=0),"",ROUND((VLOOKUP(ROUNDDOWN($D842-1/frec,0),cob_adi,CO$40,FALSE)*(1+i/frec)^-0.5*(1+Parámetros!$D$103)*(1+rec_fracc)/frec),6))</f>
        <v/>
      </c>
      <c r="DE842" s="66" t="str">
        <f t="shared" si="1169"/>
        <v/>
      </c>
      <c r="DF842" s="119" t="str">
        <f t="shared" si="1170"/>
        <v/>
      </c>
      <c r="DG842" s="66" t="str">
        <f>+IF($W842="","",ROUND(IF($B842&gt;Parámetros!$D$107,'Tablas Servicio'!DE842+('Tablas Servicio'!DG841-'Tablas Servicio'!DE841),DE842/(1-IF(B842&lt;=10,Parámetros!$D$100,0))),2))</f>
        <v/>
      </c>
      <c r="DH842" s="66" t="str">
        <f t="shared" si="1171"/>
        <v/>
      </c>
      <c r="DI842" s="66" t="str">
        <f t="shared" si="1171"/>
        <v/>
      </c>
      <c r="DJ842" s="66" t="str">
        <f>+IF($W842="","",ROUND((DG842*Parámetros!$G$85),2))</f>
        <v/>
      </c>
      <c r="DK842" s="66" t="str">
        <f>+IF($W842="","",ROUND((DG842*(Parámetros!$G$86)),2))</f>
        <v/>
      </c>
      <c r="DL842" s="66" t="str">
        <f t="shared" si="1172"/>
        <v/>
      </c>
      <c r="DM842" t="str">
        <f t="shared" si="1213"/>
        <v/>
      </c>
      <c r="DN842" s="118" t="str">
        <f t="shared" si="1214"/>
        <v/>
      </c>
      <c r="DO842" s="118" t="str">
        <f t="shared" si="1215"/>
        <v/>
      </c>
      <c r="DP842" s="118" t="str">
        <f t="shared" si="1216"/>
        <v/>
      </c>
      <c r="DQ842" s="122" t="str">
        <f>+IF(OR($W842="",DO842=0),"",ROUND((VLOOKUP(ROUNDDOWN($D842-1/frec,0),cob_adi,DB$40,FALSE)*(1+i/frec)^-0.5*(1+Parámetros!$D$103)*(1+rec_fracc)/frec),6))</f>
        <v/>
      </c>
      <c r="DR842" s="66" t="str">
        <f t="shared" si="1173"/>
        <v/>
      </c>
      <c r="DS842" s="68" t="str">
        <f t="shared" si="1174"/>
        <v/>
      </c>
      <c r="DT842" s="66" t="str">
        <f>+IF($W842="","",ROUND(IF($B842&gt;Parámetros!$D$107,'Tablas Servicio'!DR842+('Tablas Servicio'!DT841-'Tablas Servicio'!DR841),DR842/(1-IF(B842&lt;=10,Parámetros!$D$100,0))),2))</f>
        <v/>
      </c>
      <c r="DU842" s="66" t="str">
        <f t="shared" si="1175"/>
        <v/>
      </c>
      <c r="DV842" s="66" t="str">
        <f t="shared" si="1175"/>
        <v/>
      </c>
      <c r="DW842" s="66" t="str">
        <f>+IF($W842="","",ROUND((DT842*Parámetros!$G$85),2))</f>
        <v/>
      </c>
      <c r="DX842" s="66" t="str">
        <f>+IF($W842="","",ROUND((DT842*(Parámetros!$G$86)),2))</f>
        <v/>
      </c>
      <c r="DY842" s="66" t="str">
        <f t="shared" si="1176"/>
        <v/>
      </c>
      <c r="DZ842" t="str">
        <f t="shared" si="1217"/>
        <v/>
      </c>
      <c r="EA842" s="118" t="str">
        <f t="shared" si="1217"/>
        <v/>
      </c>
      <c r="EB842" s="118" t="str">
        <f>+IF($W842="","",ROUND(IF(Parámetros!$D$25='TABLAS MORT'!$V$33,EB841,Z842/2),0))</f>
        <v/>
      </c>
      <c r="EC842" s="118" t="str">
        <f t="shared" si="1217"/>
        <v/>
      </c>
      <c r="ED842" s="122" t="str">
        <f>+IF(OR($W842="",EB842=0),"",ROUND((VLOOKUP(ROUNDDOWN($D842-1/frec,0),cob_adi,DO$40,FALSE)*(1+i/frec)^-0.5*(1+Parámetros!$D$103)*(1+rec_fracc)/frec),6))</f>
        <v/>
      </c>
      <c r="EE842" s="66" t="str">
        <f t="shared" si="1178"/>
        <v/>
      </c>
      <c r="EF842" s="68" t="str">
        <f t="shared" si="1179"/>
        <v/>
      </c>
      <c r="EG842" s="66" t="str">
        <f>+IF($W842="","",ROUND(IF($B842&gt;Parámetros!$D$107,'Tablas Servicio'!EE842+('Tablas Servicio'!EG841-'Tablas Servicio'!EE841),EE842/(1-IF(B842&lt;=10,Parámetros!$D$100,0))),2))</f>
        <v/>
      </c>
      <c r="EH842" s="66" t="str">
        <f t="shared" si="1180"/>
        <v/>
      </c>
      <c r="EI842" s="66" t="str">
        <f t="shared" si="1180"/>
        <v/>
      </c>
      <c r="EJ842" s="66" t="str">
        <f>+IF($W842="","",ROUND((EG842*Parámetros!$G$85),2))</f>
        <v/>
      </c>
      <c r="EK842" s="66" t="str">
        <f>+IF($W842="","",ROUND((EG842*(Parámetros!$G$86)),2))</f>
        <v/>
      </c>
      <c r="EL842" s="66" t="str">
        <f t="shared" si="1181"/>
        <v/>
      </c>
    </row>
    <row r="843" spans="1:142" x14ac:dyDescent="0.25">
      <c r="A843" t="str">
        <f>+IF($C843="","",ROUND(VLOOKUP('Tablas Servicio'!B843,Parámetros!$H$100:$J$159,IF(Parámetros!$E$16="F",2,3),FALSE),2))</f>
        <v/>
      </c>
      <c r="B843" t="str">
        <f t="shared" si="1132"/>
        <v/>
      </c>
      <c r="C843" s="57" t="str">
        <f>+IF(D843="","",'Tablas Servicio'!C842+1)</f>
        <v/>
      </c>
      <c r="D843" s="56" t="str">
        <f>+IF(D842&lt;edadmaxtabla,D842+1/Parámetros!$E$25,"")</f>
        <v/>
      </c>
      <c r="E843" s="57" t="str">
        <f t="shared" si="1142"/>
        <v/>
      </c>
      <c r="F843" s="59" t="str">
        <f t="shared" si="1143"/>
        <v/>
      </c>
      <c r="G843" s="66" t="str">
        <f t="shared" si="1133"/>
        <v/>
      </c>
      <c r="H843" s="66" t="str">
        <f t="shared" si="1134"/>
        <v/>
      </c>
      <c r="I843" s="66" t="str">
        <f t="shared" si="1182"/>
        <v/>
      </c>
      <c r="J843" s="66" t="str">
        <f t="shared" si="1135"/>
        <v/>
      </c>
      <c r="K843" s="66" t="str">
        <f t="shared" si="1136"/>
        <v/>
      </c>
      <c r="L843" s="66" t="str">
        <f t="shared" si="1137"/>
        <v/>
      </c>
      <c r="M843" s="66" t="str">
        <f t="shared" si="1138"/>
        <v/>
      </c>
      <c r="N843" s="66" t="str">
        <f>+IF(C843="","",ROUND(Parámetros!$D$23,2))</f>
        <v/>
      </c>
      <c r="O843" s="66" t="str">
        <f t="shared" si="1139"/>
        <v/>
      </c>
      <c r="P843" s="66" t="str">
        <f>+IF($C843="","",ROUND(IF(B843&gt;Parámetros!$D$117,0,N843*Parámetros!$D$116-G843*Parámetros!$D$100),2))</f>
        <v/>
      </c>
      <c r="Q843" s="75" t="str">
        <f t="shared" si="1183"/>
        <v/>
      </c>
      <c r="R843" s="75" t="str">
        <f t="shared" si="1184"/>
        <v/>
      </c>
      <c r="S843" s="117" t="str">
        <f>+IF($C843="","",ROUND((S842+I843)*(1+Parámetros!$D$91),2))</f>
        <v/>
      </c>
      <c r="T843" s="117" t="str">
        <f>+IF($C843="","",ROUND(S843*VLOOKUP(B843,Parámetros!$C$30:$D$39,2,TRUE),2))</f>
        <v/>
      </c>
      <c r="U843" s="117" t="str">
        <f>+IF($C843="","",ROUND((U842+I843)*(1+Parámetros!$D$92),2))</f>
        <v/>
      </c>
      <c r="V843" s="117" t="str">
        <f>+IF($C843="","",ROUND(U843*VLOOKUP(B843,Parámetros!$C$30:$D$39,2,TRUE),2))</f>
        <v/>
      </c>
      <c r="W843" s="57" t="str">
        <f t="shared" si="1185"/>
        <v/>
      </c>
      <c r="X843" t="str">
        <f t="shared" si="1186"/>
        <v/>
      </c>
      <c r="Y843" t="str">
        <f t="shared" si="1187"/>
        <v/>
      </c>
      <c r="Z843" s="118" t="str">
        <f>+IF($W843="","",ROUND(IF(Parámetros!$D$25='TABLAS MORT'!$V$33,Z842,Parámetros!$D$21-'Tablas Servicio'!T842),0))</f>
        <v/>
      </c>
      <c r="AA843" s="118" t="str">
        <f t="shared" si="1188"/>
        <v/>
      </c>
      <c r="AB843" s="119" t="str">
        <f>+IF(W843="","",ROUND((VLOOKUP(ROUNDDOWN($D843-1/frec,0),qx_tabla,2,FALSE)*(1+i/frec)^-0.5*(1+Parámetros!$D$103)*(1+rec_fracc)/frec),6))</f>
        <v/>
      </c>
      <c r="AC843" s="66" t="str">
        <f t="shared" si="1144"/>
        <v/>
      </c>
      <c r="AD843" s="119" t="str">
        <f t="shared" si="1140"/>
        <v/>
      </c>
      <c r="AE843" s="66" t="str">
        <f>+IF($W843="","",ROUND(IF($B843&gt;Parámetros!$D$107,'Tablas Servicio'!AC843+('Tablas Servicio'!AG842-'Tablas Servicio'!AC842),AC843/(1-IF(B843&lt;=10,Parámetros!$D$104,Parámetros!$D$105))),2))</f>
        <v/>
      </c>
      <c r="AF843" s="66" t="str">
        <f>+IF($W843="","",ROUND(IF($B843&gt;Parámetros!$D$107,'Tablas Servicio'!AC843+('Tablas Servicio'!AG842-'Tablas Servicio'!AC842),(AC843+$A842/frec)/(1-IF(B843&lt;=Parámetros!$D$117,Parámetros!$D$100,0))),2))</f>
        <v/>
      </c>
      <c r="AG843" s="66" t="str">
        <f t="shared" si="1145"/>
        <v/>
      </c>
      <c r="AH843" s="66" t="str">
        <f t="shared" si="1146"/>
        <v/>
      </c>
      <c r="AI843" s="66" t="str">
        <f t="shared" si="1147"/>
        <v/>
      </c>
      <c r="AJ843" s="66" t="str">
        <f>+IF($W843="","",ROUND((AG843*Parámetros!$G$85),2))</f>
        <v/>
      </c>
      <c r="AK843" s="66" t="str">
        <f>+IF($W843="","",ROUND((AG843*(Parámetros!$G$86)),2))</f>
        <v/>
      </c>
      <c r="AL843" s="66" t="str">
        <f t="shared" si="1141"/>
        <v/>
      </c>
      <c r="AM843" t="str">
        <f t="shared" si="1189"/>
        <v/>
      </c>
      <c r="AN843" t="str">
        <f t="shared" si="1190"/>
        <v/>
      </c>
      <c r="AO843" s="118" t="str">
        <f t="shared" si="1191"/>
        <v/>
      </c>
      <c r="AP843" s="118" t="str">
        <f t="shared" si="1192"/>
        <v/>
      </c>
      <c r="AQ843" s="119" t="str">
        <f>+IF(OR($W843="",AO843=0),"",ROUND((VLOOKUP(ROUNDDOWN($D843-1/frec,0),cob_adi,Z$40,FALSE)*(1+i/frec)^-0.5*(1+Parámetros!$D$103)*(1+rec_fracc)/frec),6))</f>
        <v/>
      </c>
      <c r="AR843" s="66" t="str">
        <f t="shared" si="1148"/>
        <v/>
      </c>
      <c r="AS843" s="119" t="str">
        <f t="shared" si="1149"/>
        <v/>
      </c>
      <c r="AT843" s="66" t="str">
        <f>+IF($W843="","",ROUND(IF($B843&gt;Parámetros!$D$107,'Tablas Servicio'!AR843+('Tablas Servicio'!AT842-'Tablas Servicio'!AR842),AR843/(1-IF(B843&lt;=10,Parámetros!$D$100,0))),2))</f>
        <v/>
      </c>
      <c r="AU843" s="66" t="str">
        <f t="shared" ref="AU843:AV861" si="1218">+IF($W843="","",0)</f>
        <v/>
      </c>
      <c r="AV843" s="66" t="str">
        <f t="shared" si="1218"/>
        <v/>
      </c>
      <c r="AW843" s="66" t="str">
        <f>+IF($W843="","",ROUND((AT843*Parámetros!$G$85),2))</f>
        <v/>
      </c>
      <c r="AX843" s="66" t="str">
        <f>+IF($W843="","",ROUND((AT843*(Parámetros!$G$86)),2))</f>
        <v/>
      </c>
      <c r="AY843" s="66" t="str">
        <f t="shared" si="1151"/>
        <v/>
      </c>
      <c r="AZ843" t="str">
        <f t="shared" si="1193"/>
        <v/>
      </c>
      <c r="BA843" t="str">
        <f t="shared" si="1194"/>
        <v/>
      </c>
      <c r="BB843" s="118" t="str">
        <f t="shared" si="1195"/>
        <v/>
      </c>
      <c r="BC843" s="118" t="str">
        <f t="shared" si="1196"/>
        <v/>
      </c>
      <c r="BD843" s="119" t="str">
        <f>+IF(OR($W843="",BB843=0),"",ROUND((VLOOKUP(ROUNDDOWN($D843-1/frec,0),cob_adi,AO$40,FALSE)*(1+i/frec)^-0.5*(1+Parámetros!$D$103)*(1+rec_fracc)/frec),6))</f>
        <v/>
      </c>
      <c r="BE843" s="66" t="str">
        <f t="shared" si="1152"/>
        <v/>
      </c>
      <c r="BF843" s="119" t="str">
        <f t="shared" si="1153"/>
        <v/>
      </c>
      <c r="BG843" s="66" t="str">
        <f>+IF($W843="","",ROUND(IF($B843&gt;Parámetros!$D$107,'Tablas Servicio'!BE843+('Tablas Servicio'!BG842-'Tablas Servicio'!BE842),BE843/(1-IF(B843&lt;=10,Parámetros!$D$100,0))),2))</f>
        <v/>
      </c>
      <c r="BH843" s="66" t="str">
        <f t="shared" si="1154"/>
        <v/>
      </c>
      <c r="BI843" s="66" t="str">
        <f t="shared" si="1155"/>
        <v/>
      </c>
      <c r="BJ843" s="66" t="str">
        <f>+IF($W843="","",ROUND((BG843*Parámetros!$G$85),2))</f>
        <v/>
      </c>
      <c r="BK843" s="66" t="str">
        <f>+IF($W843="","",ROUND((BG843*(Parámetros!$G$86)),2))</f>
        <v/>
      </c>
      <c r="BL843" s="66" t="str">
        <f t="shared" si="1156"/>
        <v/>
      </c>
      <c r="BM843" t="str">
        <f t="shared" si="1197"/>
        <v/>
      </c>
      <c r="BN843" t="str">
        <f t="shared" si="1198"/>
        <v/>
      </c>
      <c r="BO843" s="118" t="str">
        <f t="shared" si="1199"/>
        <v/>
      </c>
      <c r="BP843" s="118" t="str">
        <f t="shared" si="1200"/>
        <v/>
      </c>
      <c r="BQ843" s="119" t="str">
        <f>+IF(OR($W843="",BO843=0),"",ROUND((VLOOKUP(ROUNDDOWN($D843-1/frec,0),cob_adi,BB$40,FALSE)*(1+i/frec)^-0.5*(1+Parámetros!$D$103)*(1+rec_fracc)/frec),6))</f>
        <v/>
      </c>
      <c r="BR843" s="66" t="str">
        <f t="shared" si="1157"/>
        <v/>
      </c>
      <c r="BS843" s="119" t="str">
        <f t="shared" si="1158"/>
        <v/>
      </c>
      <c r="BT843" s="66" t="str">
        <f>+IF($W843="","",ROUND(IF($B843&gt;Parámetros!$D$107,'Tablas Servicio'!BR843+('Tablas Servicio'!BT842-'Tablas Servicio'!BR842),BR843/(1-IF(B843&lt;=10,Parámetros!$D$100,0))),2))</f>
        <v/>
      </c>
      <c r="BU843" s="66" t="str">
        <f t="shared" ref="BU843:BV861" si="1219">+IF($W843="","",0)</f>
        <v/>
      </c>
      <c r="BV843" s="66" t="str">
        <f t="shared" si="1219"/>
        <v/>
      </c>
      <c r="BW843" s="66" t="str">
        <f>+IF($W843="","",ROUND((BT843*Parámetros!$G$85),2))</f>
        <v/>
      </c>
      <c r="BX843" s="66" t="str">
        <f>+IF($W843="","",ROUND((BT843*(Parámetros!$G$86)),2))</f>
        <v/>
      </c>
      <c r="BY843" s="66" t="str">
        <f t="shared" si="1160"/>
        <v/>
      </c>
      <c r="BZ843" t="str">
        <f t="shared" si="1201"/>
        <v/>
      </c>
      <c r="CA843" t="str">
        <f t="shared" si="1202"/>
        <v/>
      </c>
      <c r="CB843" s="118" t="str">
        <f t="shared" si="1203"/>
        <v/>
      </c>
      <c r="CC843" s="118" t="str">
        <f t="shared" si="1204"/>
        <v/>
      </c>
      <c r="CD843" s="119" t="str">
        <f t="shared" si="1161"/>
        <v/>
      </c>
      <c r="CE843" s="66" t="str">
        <f>+IF($W843="","",ROUND((VLOOKUP(ROUNDDOWN($D843-1/frec,0),cob_adi,BO$40,FALSE)*(1+i/frec)^-0.5*(1+Parámetros!$D$103)*(1+rec_fracc)/frec*'TABLAS ADI'!$BC$17),2))</f>
        <v/>
      </c>
      <c r="CF843" s="119" t="str">
        <f t="shared" si="1162"/>
        <v/>
      </c>
      <c r="CG843" s="66" t="str">
        <f>+IF($W843="","",ROUND(IF($B843&gt;Parámetros!$D$107,'Tablas Servicio'!CE843+('Tablas Servicio'!CG842-'Tablas Servicio'!CE842),CE843/(1-IF(B843&lt;=10,Parámetros!$D$100,0))),2))</f>
        <v/>
      </c>
      <c r="CH843" s="66" t="str">
        <f t="shared" ref="CH843:CI861" si="1220">+IF($W843="","",0)</f>
        <v/>
      </c>
      <c r="CI843" s="66" t="str">
        <f t="shared" si="1220"/>
        <v/>
      </c>
      <c r="CJ843" s="66" t="str">
        <f>+IF($W843="","",ROUND((CG843*Parámetros!$G$85),2))</f>
        <v/>
      </c>
      <c r="CK843" s="66" t="str">
        <f>+IF($W843="","",ROUND((CG843*(Parámetros!$G$86)),2))</f>
        <v/>
      </c>
      <c r="CL843" s="66" t="str">
        <f t="shared" si="1164"/>
        <v/>
      </c>
      <c r="CM843" t="str">
        <f t="shared" si="1205"/>
        <v/>
      </c>
      <c r="CN843" s="118" t="str">
        <f t="shared" si="1206"/>
        <v/>
      </c>
      <c r="CO843" s="118" t="str">
        <f t="shared" si="1207"/>
        <v/>
      </c>
      <c r="CP843" s="118" t="str">
        <f t="shared" si="1208"/>
        <v/>
      </c>
      <c r="CQ843" s="119" t="str">
        <f t="shared" si="1165"/>
        <v/>
      </c>
      <c r="CR843" s="66" t="str">
        <f>+IF($W843="","",ROUND((VLOOKUP(Parámetros!$F$51,'COBERTURAS ADICIONALES'!$S$4:$T$32,2,FALSE)*(1+i/frec)^-0.5*(1+Parámetros!$D$103)*(1+rec_fracc)/frec*$CO$42),2))</f>
        <v/>
      </c>
      <c r="CS843" s="119" t="str">
        <f t="shared" si="1166"/>
        <v/>
      </c>
      <c r="CT843" s="66" t="str">
        <f>+IF($W843="","",ROUND(IF($B843&gt;Parámetros!$D$107,'Tablas Servicio'!CR843+('Tablas Servicio'!CT842-'Tablas Servicio'!CR842),CR843/(1-IF(B843&lt;=10,Parámetros!$D$100,0))),2))</f>
        <v/>
      </c>
      <c r="CU843" s="66" t="str">
        <f t="shared" ref="CU843:CV861" si="1221">+IF($W843="","",0)</f>
        <v/>
      </c>
      <c r="CV843" s="66" t="str">
        <f t="shared" si="1221"/>
        <v/>
      </c>
      <c r="CW843" s="66" t="str">
        <f>+IF($W843="","",ROUND((CT843*Parámetros!$G$85),2))</f>
        <v/>
      </c>
      <c r="CX843" s="66" t="str">
        <f>+IF($W843="","",ROUND((CT843*(Parámetros!$G$86)),2))</f>
        <v/>
      </c>
      <c r="CY843" s="66" t="str">
        <f t="shared" si="1168"/>
        <v/>
      </c>
      <c r="CZ843" t="str">
        <f t="shared" si="1209"/>
        <v/>
      </c>
      <c r="DA843" s="118" t="str">
        <f t="shared" si="1210"/>
        <v/>
      </c>
      <c r="DB843" s="118" t="str">
        <f t="shared" si="1211"/>
        <v/>
      </c>
      <c r="DC843" s="118" t="str">
        <f t="shared" si="1212"/>
        <v/>
      </c>
      <c r="DD843" s="121" t="str">
        <f>+IF(OR($W843="",DB843=0),"",ROUND((VLOOKUP(ROUNDDOWN($D843-1/frec,0),cob_adi,CO$40,FALSE)*(1+i/frec)^-0.5*(1+Parámetros!$D$103)*(1+rec_fracc)/frec),6))</f>
        <v/>
      </c>
      <c r="DE843" s="66" t="str">
        <f t="shared" si="1169"/>
        <v/>
      </c>
      <c r="DF843" s="119" t="str">
        <f t="shared" si="1170"/>
        <v/>
      </c>
      <c r="DG843" s="66" t="str">
        <f>+IF($W843="","",ROUND(IF($B843&gt;Parámetros!$D$107,'Tablas Servicio'!DE843+('Tablas Servicio'!DG842-'Tablas Servicio'!DE842),DE843/(1-IF(B843&lt;=10,Parámetros!$D$100,0))),2))</f>
        <v/>
      </c>
      <c r="DH843" s="66" t="str">
        <f t="shared" ref="DH843:DI861" si="1222">+IF($W843="","",0)</f>
        <v/>
      </c>
      <c r="DI843" s="66" t="str">
        <f t="shared" si="1222"/>
        <v/>
      </c>
      <c r="DJ843" s="66" t="str">
        <f>+IF($W843="","",ROUND((DG843*Parámetros!$G$85),2))</f>
        <v/>
      </c>
      <c r="DK843" s="66" t="str">
        <f>+IF($W843="","",ROUND((DG843*(Parámetros!$G$86)),2))</f>
        <v/>
      </c>
      <c r="DL843" s="66" t="str">
        <f t="shared" si="1172"/>
        <v/>
      </c>
      <c r="DM843" t="str">
        <f t="shared" si="1213"/>
        <v/>
      </c>
      <c r="DN843" s="118" t="str">
        <f t="shared" si="1214"/>
        <v/>
      </c>
      <c r="DO843" s="118" t="str">
        <f t="shared" si="1215"/>
        <v/>
      </c>
      <c r="DP843" s="118" t="str">
        <f t="shared" si="1216"/>
        <v/>
      </c>
      <c r="DQ843" s="122" t="str">
        <f>+IF(OR($W843="",DO843=0),"",ROUND((VLOOKUP(ROUNDDOWN($D843-1/frec,0),cob_adi,DB$40,FALSE)*(1+i/frec)^-0.5*(1+Parámetros!$D$103)*(1+rec_fracc)/frec),6))</f>
        <v/>
      </c>
      <c r="DR843" s="66" t="str">
        <f t="shared" si="1173"/>
        <v/>
      </c>
      <c r="DS843" s="68" t="str">
        <f t="shared" si="1174"/>
        <v/>
      </c>
      <c r="DT843" s="66" t="str">
        <f>+IF($W843="","",ROUND(IF($B843&gt;Parámetros!$D$107,'Tablas Servicio'!DR843+('Tablas Servicio'!DT842-'Tablas Servicio'!DR842),DR843/(1-IF(B843&lt;=10,Parámetros!$D$100,0))),2))</f>
        <v/>
      </c>
      <c r="DU843" s="66" t="str">
        <f t="shared" ref="DU843:DV861" si="1223">+IF($W843="","",0)</f>
        <v/>
      </c>
      <c r="DV843" s="66" t="str">
        <f t="shared" si="1223"/>
        <v/>
      </c>
      <c r="DW843" s="66" t="str">
        <f>+IF($W843="","",ROUND((DT843*Parámetros!$G$85),2))</f>
        <v/>
      </c>
      <c r="DX843" s="66" t="str">
        <f>+IF($W843="","",ROUND((DT843*(Parámetros!$G$86)),2))</f>
        <v/>
      </c>
      <c r="DY843" s="66" t="str">
        <f t="shared" si="1176"/>
        <v/>
      </c>
      <c r="DZ843" t="str">
        <f t="shared" ref="DZ843:EC858" si="1224">+IF($W843="","",DZ842)</f>
        <v/>
      </c>
      <c r="EA843" s="118" t="str">
        <f t="shared" si="1224"/>
        <v/>
      </c>
      <c r="EB843" s="118" t="str">
        <f>+IF($W843="","",ROUND(IF(Parámetros!$D$25='TABLAS MORT'!$V$33,EB842,Z843/2),0))</f>
        <v/>
      </c>
      <c r="EC843" s="118" t="str">
        <f t="shared" si="1224"/>
        <v/>
      </c>
      <c r="ED843" s="122" t="str">
        <f>+IF(OR($W843="",EB843=0),"",ROUND((VLOOKUP(ROUNDDOWN($D843-1/frec,0),cob_adi,DO$40,FALSE)*(1+i/frec)^-0.5*(1+Parámetros!$D$103)*(1+rec_fracc)/frec),6))</f>
        <v/>
      </c>
      <c r="EE843" s="66" t="str">
        <f t="shared" si="1178"/>
        <v/>
      </c>
      <c r="EF843" s="68" t="str">
        <f t="shared" si="1179"/>
        <v/>
      </c>
      <c r="EG843" s="66" t="str">
        <f>+IF($W843="","",ROUND(IF($B843&gt;Parámetros!$D$107,'Tablas Servicio'!EE843+('Tablas Servicio'!EG842-'Tablas Servicio'!EE842),EE843/(1-IF(B843&lt;=10,Parámetros!$D$100,0))),2))</f>
        <v/>
      </c>
      <c r="EH843" s="66" t="str">
        <f t="shared" ref="EH843:EI861" si="1225">+IF($W843="","",0)</f>
        <v/>
      </c>
      <c r="EI843" s="66" t="str">
        <f t="shared" si="1225"/>
        <v/>
      </c>
      <c r="EJ843" s="66" t="str">
        <f>+IF($W843="","",ROUND((EG843*Parámetros!$G$85),2))</f>
        <v/>
      </c>
      <c r="EK843" s="66" t="str">
        <f>+IF($W843="","",ROUND((EG843*(Parámetros!$G$86)),2))</f>
        <v/>
      </c>
      <c r="EL843" s="66" t="str">
        <f t="shared" si="1181"/>
        <v/>
      </c>
    </row>
    <row r="844" spans="1:142" x14ac:dyDescent="0.25">
      <c r="A844" t="str">
        <f>+IF($C844="","",ROUND(VLOOKUP('Tablas Servicio'!B844,Parámetros!$H$100:$J$159,IF(Parámetros!$E$16="F",2,3),FALSE),2))</f>
        <v/>
      </c>
      <c r="B844" t="str">
        <f t="shared" si="1132"/>
        <v/>
      </c>
      <c r="C844" s="57" t="str">
        <f>+IF(D844="","",'Tablas Servicio'!C843+1)</f>
        <v/>
      </c>
      <c r="D844" s="56" t="str">
        <f>+IF(D843&lt;edadmaxtabla,D843+1/Parámetros!$E$25,"")</f>
        <v/>
      </c>
      <c r="E844" s="57" t="str">
        <f t="shared" si="1142"/>
        <v/>
      </c>
      <c r="F844" s="59" t="str">
        <f t="shared" si="1143"/>
        <v/>
      </c>
      <c r="G844" s="66" t="str">
        <f t="shared" si="1133"/>
        <v/>
      </c>
      <c r="H844" s="66" t="str">
        <f t="shared" si="1134"/>
        <v/>
      </c>
      <c r="I844" s="66" t="str">
        <f t="shared" si="1182"/>
        <v/>
      </c>
      <c r="J844" s="66" t="str">
        <f t="shared" si="1135"/>
        <v/>
      </c>
      <c r="K844" s="66" t="str">
        <f t="shared" si="1136"/>
        <v/>
      </c>
      <c r="L844" s="66" t="str">
        <f t="shared" si="1137"/>
        <v/>
      </c>
      <c r="M844" s="66" t="str">
        <f t="shared" si="1138"/>
        <v/>
      </c>
      <c r="N844" s="66" t="str">
        <f>+IF(C844="","",ROUND(Parámetros!$D$23,2))</f>
        <v/>
      </c>
      <c r="O844" s="66" t="str">
        <f t="shared" si="1139"/>
        <v/>
      </c>
      <c r="P844" s="66" t="str">
        <f>+IF($C844="","",ROUND(IF(B844&gt;Parámetros!$D$117,0,N844*Parámetros!$D$116-G844*Parámetros!$D$100),2))</f>
        <v/>
      </c>
      <c r="Q844" s="75" t="str">
        <f t="shared" si="1183"/>
        <v/>
      </c>
      <c r="R844" s="75" t="str">
        <f t="shared" si="1184"/>
        <v/>
      </c>
      <c r="S844" s="117" t="str">
        <f>+IF($C844="","",ROUND((S843+I844)*(1+Parámetros!$D$91),2))</f>
        <v/>
      </c>
      <c r="T844" s="117" t="str">
        <f>+IF($C844="","",ROUND(S844*VLOOKUP(B844,Parámetros!$C$30:$D$39,2,TRUE),2))</f>
        <v/>
      </c>
      <c r="U844" s="117" t="str">
        <f>+IF($C844="","",ROUND((U843+I844)*(1+Parámetros!$D$92),2))</f>
        <v/>
      </c>
      <c r="V844" s="117" t="str">
        <f>+IF($C844="","",ROUND(U844*VLOOKUP(B844,Parámetros!$C$30:$D$39,2,TRUE),2))</f>
        <v/>
      </c>
      <c r="W844" s="57" t="str">
        <f t="shared" si="1185"/>
        <v/>
      </c>
      <c r="X844" t="str">
        <f t="shared" si="1186"/>
        <v/>
      </c>
      <c r="Y844" t="str">
        <f t="shared" si="1187"/>
        <v/>
      </c>
      <c r="Z844" s="118" t="str">
        <f>+IF($W844="","",ROUND(IF(Parámetros!$D$25='TABLAS MORT'!$V$33,Z843,Parámetros!$D$21-'Tablas Servicio'!T843),0))</f>
        <v/>
      </c>
      <c r="AA844" s="118" t="str">
        <f t="shared" si="1188"/>
        <v/>
      </c>
      <c r="AB844" s="119" t="str">
        <f>+IF(W844="","",ROUND((VLOOKUP(ROUNDDOWN($D844-1/frec,0),qx_tabla,2,FALSE)*(1+i/frec)^-0.5*(1+Parámetros!$D$103)*(1+rec_fracc)/frec),6))</f>
        <v/>
      </c>
      <c r="AC844" s="66" t="str">
        <f t="shared" si="1144"/>
        <v/>
      </c>
      <c r="AD844" s="119" t="str">
        <f t="shared" si="1140"/>
        <v/>
      </c>
      <c r="AE844" s="66" t="str">
        <f>+IF($W844="","",ROUND(IF($B844&gt;Parámetros!$D$107,'Tablas Servicio'!AC844+('Tablas Servicio'!AG843-'Tablas Servicio'!AC843),AC844/(1-IF(B844&lt;=10,Parámetros!$D$104,Parámetros!$D$105))),2))</f>
        <v/>
      </c>
      <c r="AF844" s="66" t="str">
        <f>+IF($W844="","",ROUND(IF($B844&gt;Parámetros!$D$107,'Tablas Servicio'!AC844+('Tablas Servicio'!AG843-'Tablas Servicio'!AC843),(AC844+$A843/frec)/(1-IF(B844&lt;=Parámetros!$D$117,Parámetros!$D$100,0))),2))</f>
        <v/>
      </c>
      <c r="AG844" s="66" t="str">
        <f t="shared" si="1145"/>
        <v/>
      </c>
      <c r="AH844" s="66" t="str">
        <f t="shared" si="1146"/>
        <v/>
      </c>
      <c r="AI844" s="66" t="str">
        <f t="shared" si="1147"/>
        <v/>
      </c>
      <c r="AJ844" s="66" t="str">
        <f>+IF($W844="","",ROUND((AG844*Parámetros!$G$85),2))</f>
        <v/>
      </c>
      <c r="AK844" s="66" t="str">
        <f>+IF($W844="","",ROUND((AG844*(Parámetros!$G$86)),2))</f>
        <v/>
      </c>
      <c r="AL844" s="66" t="str">
        <f t="shared" si="1141"/>
        <v/>
      </c>
      <c r="AM844" t="str">
        <f t="shared" si="1189"/>
        <v/>
      </c>
      <c r="AN844" t="str">
        <f t="shared" si="1190"/>
        <v/>
      </c>
      <c r="AO844" s="118" t="str">
        <f t="shared" si="1191"/>
        <v/>
      </c>
      <c r="AP844" s="118" t="str">
        <f t="shared" si="1192"/>
        <v/>
      </c>
      <c r="AQ844" s="119" t="str">
        <f>+IF(OR($W844="",AO844=0),"",ROUND((VLOOKUP(ROUNDDOWN($D844-1/frec,0),cob_adi,Z$40,FALSE)*(1+i/frec)^-0.5*(1+Parámetros!$D$103)*(1+rec_fracc)/frec),6))</f>
        <v/>
      </c>
      <c r="AR844" s="66" t="str">
        <f t="shared" si="1148"/>
        <v/>
      </c>
      <c r="AS844" s="119" t="str">
        <f t="shared" si="1149"/>
        <v/>
      </c>
      <c r="AT844" s="66" t="str">
        <f>+IF($W844="","",ROUND(IF($B844&gt;Parámetros!$D$107,'Tablas Servicio'!AR844+('Tablas Servicio'!AT843-'Tablas Servicio'!AR843),AR844/(1-IF(B844&lt;=10,Parámetros!$D$100,0))),2))</f>
        <v/>
      </c>
      <c r="AU844" s="66" t="str">
        <f t="shared" si="1218"/>
        <v/>
      </c>
      <c r="AV844" s="66" t="str">
        <f t="shared" si="1218"/>
        <v/>
      </c>
      <c r="AW844" s="66" t="str">
        <f>+IF($W844="","",ROUND((AT844*Parámetros!$G$85),2))</f>
        <v/>
      </c>
      <c r="AX844" s="66" t="str">
        <f>+IF($W844="","",ROUND((AT844*(Parámetros!$G$86)),2))</f>
        <v/>
      </c>
      <c r="AY844" s="66" t="str">
        <f t="shared" si="1151"/>
        <v/>
      </c>
      <c r="AZ844" t="str">
        <f t="shared" si="1193"/>
        <v/>
      </c>
      <c r="BA844" t="str">
        <f t="shared" si="1194"/>
        <v/>
      </c>
      <c r="BB844" s="118" t="str">
        <f t="shared" si="1195"/>
        <v/>
      </c>
      <c r="BC844" s="118" t="str">
        <f t="shared" si="1196"/>
        <v/>
      </c>
      <c r="BD844" s="119" t="str">
        <f>+IF(OR($W844="",BB844=0),"",ROUND((VLOOKUP(ROUNDDOWN($D844-1/frec,0),cob_adi,AO$40,FALSE)*(1+i/frec)^-0.5*(1+Parámetros!$D$103)*(1+rec_fracc)/frec),6))</f>
        <v/>
      </c>
      <c r="BE844" s="66" t="str">
        <f t="shared" si="1152"/>
        <v/>
      </c>
      <c r="BF844" s="119" t="str">
        <f t="shared" si="1153"/>
        <v/>
      </c>
      <c r="BG844" s="66" t="str">
        <f>+IF($W844="","",ROUND(IF($B844&gt;Parámetros!$D$107,'Tablas Servicio'!BE844+('Tablas Servicio'!BG843-'Tablas Servicio'!BE843),BE844/(1-IF(B844&lt;=10,Parámetros!$D$100,0))),2))</f>
        <v/>
      </c>
      <c r="BH844" s="66" t="str">
        <f t="shared" si="1154"/>
        <v/>
      </c>
      <c r="BI844" s="66" t="str">
        <f t="shared" si="1155"/>
        <v/>
      </c>
      <c r="BJ844" s="66" t="str">
        <f>+IF($W844="","",ROUND((BG844*Parámetros!$G$85),2))</f>
        <v/>
      </c>
      <c r="BK844" s="66" t="str">
        <f>+IF($W844="","",ROUND((BG844*(Parámetros!$G$86)),2))</f>
        <v/>
      </c>
      <c r="BL844" s="66" t="str">
        <f t="shared" si="1156"/>
        <v/>
      </c>
      <c r="BM844" t="str">
        <f t="shared" si="1197"/>
        <v/>
      </c>
      <c r="BN844" t="str">
        <f t="shared" si="1198"/>
        <v/>
      </c>
      <c r="BO844" s="118" t="str">
        <f t="shared" si="1199"/>
        <v/>
      </c>
      <c r="BP844" s="118" t="str">
        <f t="shared" si="1200"/>
        <v/>
      </c>
      <c r="BQ844" s="119" t="str">
        <f>+IF(OR($W844="",BO844=0),"",ROUND((VLOOKUP(ROUNDDOWN($D844-1/frec,0),cob_adi,BB$40,FALSE)*(1+i/frec)^-0.5*(1+Parámetros!$D$103)*(1+rec_fracc)/frec),6))</f>
        <v/>
      </c>
      <c r="BR844" s="66" t="str">
        <f t="shared" si="1157"/>
        <v/>
      </c>
      <c r="BS844" s="119" t="str">
        <f t="shared" si="1158"/>
        <v/>
      </c>
      <c r="BT844" s="66" t="str">
        <f>+IF($W844="","",ROUND(IF($B844&gt;Parámetros!$D$107,'Tablas Servicio'!BR844+('Tablas Servicio'!BT843-'Tablas Servicio'!BR843),BR844/(1-IF(B844&lt;=10,Parámetros!$D$100,0))),2))</f>
        <v/>
      </c>
      <c r="BU844" s="66" t="str">
        <f t="shared" si="1219"/>
        <v/>
      </c>
      <c r="BV844" s="66" t="str">
        <f t="shared" si="1219"/>
        <v/>
      </c>
      <c r="BW844" s="66" t="str">
        <f>+IF($W844="","",ROUND((BT844*Parámetros!$G$85),2))</f>
        <v/>
      </c>
      <c r="BX844" s="66" t="str">
        <f>+IF($W844="","",ROUND((BT844*(Parámetros!$G$86)),2))</f>
        <v/>
      </c>
      <c r="BY844" s="66" t="str">
        <f t="shared" si="1160"/>
        <v/>
      </c>
      <c r="BZ844" t="str">
        <f t="shared" si="1201"/>
        <v/>
      </c>
      <c r="CA844" t="str">
        <f t="shared" si="1202"/>
        <v/>
      </c>
      <c r="CB844" s="118" t="str">
        <f t="shared" si="1203"/>
        <v/>
      </c>
      <c r="CC844" s="118" t="str">
        <f t="shared" si="1204"/>
        <v/>
      </c>
      <c r="CD844" s="119" t="str">
        <f t="shared" si="1161"/>
        <v/>
      </c>
      <c r="CE844" s="66" t="str">
        <f>+IF($W844="","",ROUND((VLOOKUP(ROUNDDOWN($D844-1/frec,0),cob_adi,BO$40,FALSE)*(1+i/frec)^-0.5*(1+Parámetros!$D$103)*(1+rec_fracc)/frec*'TABLAS ADI'!$BC$17),2))</f>
        <v/>
      </c>
      <c r="CF844" s="119" t="str">
        <f t="shared" si="1162"/>
        <v/>
      </c>
      <c r="CG844" s="66" t="str">
        <f>+IF($W844="","",ROUND(IF($B844&gt;Parámetros!$D$107,'Tablas Servicio'!CE844+('Tablas Servicio'!CG843-'Tablas Servicio'!CE843),CE844/(1-IF(B844&lt;=10,Parámetros!$D$100,0))),2))</f>
        <v/>
      </c>
      <c r="CH844" s="66" t="str">
        <f t="shared" si="1220"/>
        <v/>
      </c>
      <c r="CI844" s="66" t="str">
        <f t="shared" si="1220"/>
        <v/>
      </c>
      <c r="CJ844" s="66" t="str">
        <f>+IF($W844="","",ROUND((CG844*Parámetros!$G$85),2))</f>
        <v/>
      </c>
      <c r="CK844" s="66" t="str">
        <f>+IF($W844="","",ROUND((CG844*(Parámetros!$G$86)),2))</f>
        <v/>
      </c>
      <c r="CL844" s="66" t="str">
        <f t="shared" si="1164"/>
        <v/>
      </c>
      <c r="CM844" t="str">
        <f t="shared" si="1205"/>
        <v/>
      </c>
      <c r="CN844" s="118" t="str">
        <f t="shared" si="1206"/>
        <v/>
      </c>
      <c r="CO844" s="118" t="str">
        <f t="shared" si="1207"/>
        <v/>
      </c>
      <c r="CP844" s="118" t="str">
        <f t="shared" si="1208"/>
        <v/>
      </c>
      <c r="CQ844" s="119" t="str">
        <f t="shared" si="1165"/>
        <v/>
      </c>
      <c r="CR844" s="66" t="str">
        <f>+IF($W844="","",ROUND((VLOOKUP(Parámetros!$F$51,'COBERTURAS ADICIONALES'!$S$4:$T$32,2,FALSE)*(1+i/frec)^-0.5*(1+Parámetros!$D$103)*(1+rec_fracc)/frec*$CO$42),2))</f>
        <v/>
      </c>
      <c r="CS844" s="119" t="str">
        <f t="shared" si="1166"/>
        <v/>
      </c>
      <c r="CT844" s="66" t="str">
        <f>+IF($W844="","",ROUND(IF($B844&gt;Parámetros!$D$107,'Tablas Servicio'!CR844+('Tablas Servicio'!CT843-'Tablas Servicio'!CR843),CR844/(1-IF(B844&lt;=10,Parámetros!$D$100,0))),2))</f>
        <v/>
      </c>
      <c r="CU844" s="66" t="str">
        <f t="shared" si="1221"/>
        <v/>
      </c>
      <c r="CV844" s="66" t="str">
        <f t="shared" si="1221"/>
        <v/>
      </c>
      <c r="CW844" s="66" t="str">
        <f>+IF($W844="","",ROUND((CT844*Parámetros!$G$85),2))</f>
        <v/>
      </c>
      <c r="CX844" s="66" t="str">
        <f>+IF($W844="","",ROUND((CT844*(Parámetros!$G$86)),2))</f>
        <v/>
      </c>
      <c r="CY844" s="66" t="str">
        <f t="shared" si="1168"/>
        <v/>
      </c>
      <c r="CZ844" t="str">
        <f t="shared" si="1209"/>
        <v/>
      </c>
      <c r="DA844" s="118" t="str">
        <f t="shared" si="1210"/>
        <v/>
      </c>
      <c r="DB844" s="118" t="str">
        <f t="shared" si="1211"/>
        <v/>
      </c>
      <c r="DC844" s="118" t="str">
        <f t="shared" si="1212"/>
        <v/>
      </c>
      <c r="DD844" s="121" t="str">
        <f>+IF(OR($W844="",DB844=0),"",ROUND((VLOOKUP(ROUNDDOWN($D844-1/frec,0),cob_adi,CO$40,FALSE)*(1+i/frec)^-0.5*(1+Parámetros!$D$103)*(1+rec_fracc)/frec),6))</f>
        <v/>
      </c>
      <c r="DE844" s="66" t="str">
        <f t="shared" si="1169"/>
        <v/>
      </c>
      <c r="DF844" s="119" t="str">
        <f t="shared" si="1170"/>
        <v/>
      </c>
      <c r="DG844" s="66" t="str">
        <f>+IF($W844="","",ROUND(IF($B844&gt;Parámetros!$D$107,'Tablas Servicio'!DE844+('Tablas Servicio'!DG843-'Tablas Servicio'!DE843),DE844/(1-IF(B844&lt;=10,Parámetros!$D$100,0))),2))</f>
        <v/>
      </c>
      <c r="DH844" s="66" t="str">
        <f t="shared" si="1222"/>
        <v/>
      </c>
      <c r="DI844" s="66" t="str">
        <f t="shared" si="1222"/>
        <v/>
      </c>
      <c r="DJ844" s="66" t="str">
        <f>+IF($W844="","",ROUND((DG844*Parámetros!$G$85),2))</f>
        <v/>
      </c>
      <c r="DK844" s="66" t="str">
        <f>+IF($W844="","",ROUND((DG844*(Parámetros!$G$86)),2))</f>
        <v/>
      </c>
      <c r="DL844" s="66" t="str">
        <f t="shared" si="1172"/>
        <v/>
      </c>
      <c r="DM844" t="str">
        <f t="shared" si="1213"/>
        <v/>
      </c>
      <c r="DN844" s="118" t="str">
        <f t="shared" si="1214"/>
        <v/>
      </c>
      <c r="DO844" s="118" t="str">
        <f t="shared" si="1215"/>
        <v/>
      </c>
      <c r="DP844" s="118" t="str">
        <f t="shared" si="1216"/>
        <v/>
      </c>
      <c r="DQ844" s="122" t="str">
        <f>+IF(OR($W844="",DO844=0),"",ROUND((VLOOKUP(ROUNDDOWN($D844-1/frec,0),cob_adi,DB$40,FALSE)*(1+i/frec)^-0.5*(1+Parámetros!$D$103)*(1+rec_fracc)/frec),6))</f>
        <v/>
      </c>
      <c r="DR844" s="66" t="str">
        <f t="shared" si="1173"/>
        <v/>
      </c>
      <c r="DS844" s="68" t="str">
        <f t="shared" si="1174"/>
        <v/>
      </c>
      <c r="DT844" s="66" t="str">
        <f>+IF($W844="","",ROUND(IF($B844&gt;Parámetros!$D$107,'Tablas Servicio'!DR844+('Tablas Servicio'!DT843-'Tablas Servicio'!DR843),DR844/(1-IF(B844&lt;=10,Parámetros!$D$100,0))),2))</f>
        <v/>
      </c>
      <c r="DU844" s="66" t="str">
        <f t="shared" si="1223"/>
        <v/>
      </c>
      <c r="DV844" s="66" t="str">
        <f t="shared" si="1223"/>
        <v/>
      </c>
      <c r="DW844" s="66" t="str">
        <f>+IF($W844="","",ROUND((DT844*Parámetros!$G$85),2))</f>
        <v/>
      </c>
      <c r="DX844" s="66" t="str">
        <f>+IF($W844="","",ROUND((DT844*(Parámetros!$G$86)),2))</f>
        <v/>
      </c>
      <c r="DY844" s="66" t="str">
        <f t="shared" si="1176"/>
        <v/>
      </c>
      <c r="DZ844" t="str">
        <f t="shared" si="1224"/>
        <v/>
      </c>
      <c r="EA844" s="118" t="str">
        <f t="shared" si="1224"/>
        <v/>
      </c>
      <c r="EB844" s="118" t="str">
        <f>+IF($W844="","",ROUND(IF(Parámetros!$D$25='TABLAS MORT'!$V$33,EB843,Z844/2),0))</f>
        <v/>
      </c>
      <c r="EC844" s="118" t="str">
        <f t="shared" si="1224"/>
        <v/>
      </c>
      <c r="ED844" s="122" t="str">
        <f>+IF(OR($W844="",EB844=0),"",ROUND((VLOOKUP(ROUNDDOWN($D844-1/frec,0),cob_adi,DO$40,FALSE)*(1+i/frec)^-0.5*(1+Parámetros!$D$103)*(1+rec_fracc)/frec),6))</f>
        <v/>
      </c>
      <c r="EE844" s="66" t="str">
        <f t="shared" si="1178"/>
        <v/>
      </c>
      <c r="EF844" s="68" t="str">
        <f t="shared" si="1179"/>
        <v/>
      </c>
      <c r="EG844" s="66" t="str">
        <f>+IF($W844="","",ROUND(IF($B844&gt;Parámetros!$D$107,'Tablas Servicio'!EE844+('Tablas Servicio'!EG843-'Tablas Servicio'!EE843),EE844/(1-IF(B844&lt;=10,Parámetros!$D$100,0))),2))</f>
        <v/>
      </c>
      <c r="EH844" s="66" t="str">
        <f t="shared" si="1225"/>
        <v/>
      </c>
      <c r="EI844" s="66" t="str">
        <f t="shared" si="1225"/>
        <v/>
      </c>
      <c r="EJ844" s="66" t="str">
        <f>+IF($W844="","",ROUND((EG844*Parámetros!$G$85),2))</f>
        <v/>
      </c>
      <c r="EK844" s="66" t="str">
        <f>+IF($W844="","",ROUND((EG844*(Parámetros!$G$86)),2))</f>
        <v/>
      </c>
      <c r="EL844" s="66" t="str">
        <f t="shared" si="1181"/>
        <v/>
      </c>
    </row>
    <row r="845" spans="1:142" x14ac:dyDescent="0.25">
      <c r="A845" t="str">
        <f>+IF($C845="","",ROUND(VLOOKUP('Tablas Servicio'!B845,Parámetros!$H$100:$J$159,IF(Parámetros!$E$16="F",2,3),FALSE),2))</f>
        <v/>
      </c>
      <c r="B845" t="str">
        <f t="shared" si="1132"/>
        <v/>
      </c>
      <c r="C845" s="57" t="str">
        <f>+IF(D845="","",'Tablas Servicio'!C844+1)</f>
        <v/>
      </c>
      <c r="D845" s="56" t="str">
        <f>+IF(D844&lt;edadmaxtabla,D844+1/Parámetros!$E$25,"")</f>
        <v/>
      </c>
      <c r="E845" s="57" t="str">
        <f t="shared" si="1142"/>
        <v/>
      </c>
      <c r="F845" s="59" t="str">
        <f t="shared" si="1143"/>
        <v/>
      </c>
      <c r="G845" s="66" t="str">
        <f t="shared" si="1133"/>
        <v/>
      </c>
      <c r="H845" s="66" t="str">
        <f t="shared" si="1134"/>
        <v/>
      </c>
      <c r="I845" s="66" t="str">
        <f t="shared" si="1182"/>
        <v/>
      </c>
      <c r="J845" s="66" t="str">
        <f t="shared" si="1135"/>
        <v/>
      </c>
      <c r="K845" s="66" t="str">
        <f t="shared" si="1136"/>
        <v/>
      </c>
      <c r="L845" s="66" t="str">
        <f t="shared" si="1137"/>
        <v/>
      </c>
      <c r="M845" s="66" t="str">
        <f t="shared" si="1138"/>
        <v/>
      </c>
      <c r="N845" s="66" t="str">
        <f>+IF(C845="","",ROUND(Parámetros!$D$23,2))</f>
        <v/>
      </c>
      <c r="O845" s="66" t="str">
        <f t="shared" si="1139"/>
        <v/>
      </c>
      <c r="P845" s="66" t="str">
        <f>+IF($C845="","",ROUND(IF(B845&gt;Parámetros!$D$117,0,N845*Parámetros!$D$116-G845*Parámetros!$D$100),2))</f>
        <v/>
      </c>
      <c r="Q845" s="75" t="str">
        <f t="shared" si="1183"/>
        <v/>
      </c>
      <c r="R845" s="75" t="str">
        <f t="shared" si="1184"/>
        <v/>
      </c>
      <c r="S845" s="117" t="str">
        <f>+IF($C845="","",ROUND((S844+I845)*(1+Parámetros!$D$91),2))</f>
        <v/>
      </c>
      <c r="T845" s="117" t="str">
        <f>+IF($C845="","",ROUND(S845*VLOOKUP(B845,Parámetros!$C$30:$D$39,2,TRUE),2))</f>
        <v/>
      </c>
      <c r="U845" s="117" t="str">
        <f>+IF($C845="","",ROUND((U844+I845)*(1+Parámetros!$D$92),2))</f>
        <v/>
      </c>
      <c r="V845" s="117" t="str">
        <f>+IF($C845="","",ROUND(U845*VLOOKUP(B845,Parámetros!$C$30:$D$39,2,TRUE),2))</f>
        <v/>
      </c>
      <c r="W845" s="57" t="str">
        <f t="shared" si="1185"/>
        <v/>
      </c>
      <c r="X845" t="str">
        <f t="shared" si="1186"/>
        <v/>
      </c>
      <c r="Y845" t="str">
        <f t="shared" si="1187"/>
        <v/>
      </c>
      <c r="Z845" s="118" t="str">
        <f>+IF($W845="","",ROUND(IF(Parámetros!$D$25='TABLAS MORT'!$V$33,Z844,Parámetros!$D$21-'Tablas Servicio'!T844),0))</f>
        <v/>
      </c>
      <c r="AA845" s="118" t="str">
        <f t="shared" si="1188"/>
        <v/>
      </c>
      <c r="AB845" s="119" t="str">
        <f>+IF(W845="","",ROUND((VLOOKUP(ROUNDDOWN($D845-1/frec,0),qx_tabla,2,FALSE)*(1+i/frec)^-0.5*(1+Parámetros!$D$103)*(1+rec_fracc)/frec),6))</f>
        <v/>
      </c>
      <c r="AC845" s="66" t="str">
        <f t="shared" si="1144"/>
        <v/>
      </c>
      <c r="AD845" s="119" t="str">
        <f t="shared" si="1140"/>
        <v/>
      </c>
      <c r="AE845" s="66" t="str">
        <f>+IF($W845="","",ROUND(IF($B845&gt;Parámetros!$D$107,'Tablas Servicio'!AC845+('Tablas Servicio'!AG844-'Tablas Servicio'!AC844),AC845/(1-IF(B845&lt;=10,Parámetros!$D$104,Parámetros!$D$105))),2))</f>
        <v/>
      </c>
      <c r="AF845" s="66" t="str">
        <f>+IF($W845="","",ROUND(IF($B845&gt;Parámetros!$D$107,'Tablas Servicio'!AC845+('Tablas Servicio'!AG844-'Tablas Servicio'!AC844),(AC845+$A844/frec)/(1-IF(B845&lt;=Parámetros!$D$117,Parámetros!$D$100,0))),2))</f>
        <v/>
      </c>
      <c r="AG845" s="66" t="str">
        <f t="shared" si="1145"/>
        <v/>
      </c>
      <c r="AH845" s="66" t="str">
        <f t="shared" si="1146"/>
        <v/>
      </c>
      <c r="AI845" s="66" t="str">
        <f t="shared" si="1147"/>
        <v/>
      </c>
      <c r="AJ845" s="66" t="str">
        <f>+IF($W845="","",ROUND((AG845*Parámetros!$G$85),2))</f>
        <v/>
      </c>
      <c r="AK845" s="66" t="str">
        <f>+IF($W845="","",ROUND((AG845*(Parámetros!$G$86)),2))</f>
        <v/>
      </c>
      <c r="AL845" s="66" t="str">
        <f t="shared" si="1141"/>
        <v/>
      </c>
      <c r="AM845" t="str">
        <f t="shared" si="1189"/>
        <v/>
      </c>
      <c r="AN845" t="str">
        <f t="shared" si="1190"/>
        <v/>
      </c>
      <c r="AO845" s="118" t="str">
        <f t="shared" si="1191"/>
        <v/>
      </c>
      <c r="AP845" s="118" t="str">
        <f t="shared" si="1192"/>
        <v/>
      </c>
      <c r="AQ845" s="119" t="str">
        <f>+IF(OR($W845="",AO845=0),"",ROUND((VLOOKUP(ROUNDDOWN($D845-1/frec,0),cob_adi,Z$40,FALSE)*(1+i/frec)^-0.5*(1+Parámetros!$D$103)*(1+rec_fracc)/frec),6))</f>
        <v/>
      </c>
      <c r="AR845" s="66" t="str">
        <f t="shared" si="1148"/>
        <v/>
      </c>
      <c r="AS845" s="119" t="str">
        <f t="shared" si="1149"/>
        <v/>
      </c>
      <c r="AT845" s="66" t="str">
        <f>+IF($W845="","",ROUND(IF($B845&gt;Parámetros!$D$107,'Tablas Servicio'!AR845+('Tablas Servicio'!AT844-'Tablas Servicio'!AR844),AR845/(1-IF(B845&lt;=10,Parámetros!$D$100,0))),2))</f>
        <v/>
      </c>
      <c r="AU845" s="66" t="str">
        <f t="shared" si="1218"/>
        <v/>
      </c>
      <c r="AV845" s="66" t="str">
        <f t="shared" si="1218"/>
        <v/>
      </c>
      <c r="AW845" s="66" t="str">
        <f>+IF($W845="","",ROUND((AT845*Parámetros!$G$85),2))</f>
        <v/>
      </c>
      <c r="AX845" s="66" t="str">
        <f>+IF($W845="","",ROUND((AT845*(Parámetros!$G$86)),2))</f>
        <v/>
      </c>
      <c r="AY845" s="66" t="str">
        <f t="shared" si="1151"/>
        <v/>
      </c>
      <c r="AZ845" t="str">
        <f t="shared" si="1193"/>
        <v/>
      </c>
      <c r="BA845" t="str">
        <f t="shared" si="1194"/>
        <v/>
      </c>
      <c r="BB845" s="118" t="str">
        <f t="shared" si="1195"/>
        <v/>
      </c>
      <c r="BC845" s="118" t="str">
        <f t="shared" si="1196"/>
        <v/>
      </c>
      <c r="BD845" s="119" t="str">
        <f>+IF(OR($W845="",BB845=0),"",ROUND((VLOOKUP(ROUNDDOWN($D845-1/frec,0),cob_adi,AO$40,FALSE)*(1+i/frec)^-0.5*(1+Parámetros!$D$103)*(1+rec_fracc)/frec),6))</f>
        <v/>
      </c>
      <c r="BE845" s="66" t="str">
        <f t="shared" si="1152"/>
        <v/>
      </c>
      <c r="BF845" s="119" t="str">
        <f t="shared" si="1153"/>
        <v/>
      </c>
      <c r="BG845" s="66" t="str">
        <f>+IF($W845="","",ROUND(IF($B845&gt;Parámetros!$D$107,'Tablas Servicio'!BE845+('Tablas Servicio'!BG844-'Tablas Servicio'!BE844),BE845/(1-IF(B845&lt;=10,Parámetros!$D$100,0))),2))</f>
        <v/>
      </c>
      <c r="BH845" s="66" t="str">
        <f t="shared" si="1154"/>
        <v/>
      </c>
      <c r="BI845" s="66" t="str">
        <f t="shared" si="1155"/>
        <v/>
      </c>
      <c r="BJ845" s="66" t="str">
        <f>+IF($W845="","",ROUND((BG845*Parámetros!$G$85),2))</f>
        <v/>
      </c>
      <c r="BK845" s="66" t="str">
        <f>+IF($W845="","",ROUND((BG845*(Parámetros!$G$86)),2))</f>
        <v/>
      </c>
      <c r="BL845" s="66" t="str">
        <f t="shared" si="1156"/>
        <v/>
      </c>
      <c r="BM845" t="str">
        <f t="shared" si="1197"/>
        <v/>
      </c>
      <c r="BN845" t="str">
        <f t="shared" si="1198"/>
        <v/>
      </c>
      <c r="BO845" s="118" t="str">
        <f t="shared" si="1199"/>
        <v/>
      </c>
      <c r="BP845" s="118" t="str">
        <f t="shared" si="1200"/>
        <v/>
      </c>
      <c r="BQ845" s="119" t="str">
        <f>+IF(OR($W845="",BO845=0),"",ROUND((VLOOKUP(ROUNDDOWN($D845-1/frec,0),cob_adi,BB$40,FALSE)*(1+i/frec)^-0.5*(1+Parámetros!$D$103)*(1+rec_fracc)/frec),6))</f>
        <v/>
      </c>
      <c r="BR845" s="66" t="str">
        <f t="shared" si="1157"/>
        <v/>
      </c>
      <c r="BS845" s="119" t="str">
        <f t="shared" si="1158"/>
        <v/>
      </c>
      <c r="BT845" s="66" t="str">
        <f>+IF($W845="","",ROUND(IF($B845&gt;Parámetros!$D$107,'Tablas Servicio'!BR845+('Tablas Servicio'!BT844-'Tablas Servicio'!BR844),BR845/(1-IF(B845&lt;=10,Parámetros!$D$100,0))),2))</f>
        <v/>
      </c>
      <c r="BU845" s="66" t="str">
        <f t="shared" si="1219"/>
        <v/>
      </c>
      <c r="BV845" s="66" t="str">
        <f t="shared" si="1219"/>
        <v/>
      </c>
      <c r="BW845" s="66" t="str">
        <f>+IF($W845="","",ROUND((BT845*Parámetros!$G$85),2))</f>
        <v/>
      </c>
      <c r="BX845" s="66" t="str">
        <f>+IF($W845="","",ROUND((BT845*(Parámetros!$G$86)),2))</f>
        <v/>
      </c>
      <c r="BY845" s="66" t="str">
        <f t="shared" si="1160"/>
        <v/>
      </c>
      <c r="BZ845" t="str">
        <f t="shared" si="1201"/>
        <v/>
      </c>
      <c r="CA845" t="str">
        <f t="shared" si="1202"/>
        <v/>
      </c>
      <c r="CB845" s="118" t="str">
        <f t="shared" si="1203"/>
        <v/>
      </c>
      <c r="CC845" s="118" t="str">
        <f t="shared" si="1204"/>
        <v/>
      </c>
      <c r="CD845" s="119" t="str">
        <f t="shared" si="1161"/>
        <v/>
      </c>
      <c r="CE845" s="66" t="str">
        <f>+IF($W845="","",ROUND((VLOOKUP(ROUNDDOWN($D845-1/frec,0),cob_adi,BO$40,FALSE)*(1+i/frec)^-0.5*(1+Parámetros!$D$103)*(1+rec_fracc)/frec*'TABLAS ADI'!$BC$17),2))</f>
        <v/>
      </c>
      <c r="CF845" s="119" t="str">
        <f t="shared" si="1162"/>
        <v/>
      </c>
      <c r="CG845" s="66" t="str">
        <f>+IF($W845="","",ROUND(IF($B845&gt;Parámetros!$D$107,'Tablas Servicio'!CE845+('Tablas Servicio'!CG844-'Tablas Servicio'!CE844),CE845/(1-IF(B845&lt;=10,Parámetros!$D$100,0))),2))</f>
        <v/>
      </c>
      <c r="CH845" s="66" t="str">
        <f t="shared" si="1220"/>
        <v/>
      </c>
      <c r="CI845" s="66" t="str">
        <f t="shared" si="1220"/>
        <v/>
      </c>
      <c r="CJ845" s="66" t="str">
        <f>+IF($W845="","",ROUND((CG845*Parámetros!$G$85),2))</f>
        <v/>
      </c>
      <c r="CK845" s="66" t="str">
        <f>+IF($W845="","",ROUND((CG845*(Parámetros!$G$86)),2))</f>
        <v/>
      </c>
      <c r="CL845" s="66" t="str">
        <f t="shared" si="1164"/>
        <v/>
      </c>
      <c r="CM845" t="str">
        <f t="shared" si="1205"/>
        <v/>
      </c>
      <c r="CN845" s="118" t="str">
        <f t="shared" si="1206"/>
        <v/>
      </c>
      <c r="CO845" s="118" t="str">
        <f t="shared" si="1207"/>
        <v/>
      </c>
      <c r="CP845" s="118" t="str">
        <f t="shared" si="1208"/>
        <v/>
      </c>
      <c r="CQ845" s="119" t="str">
        <f t="shared" si="1165"/>
        <v/>
      </c>
      <c r="CR845" s="66" t="str">
        <f>+IF($W845="","",ROUND((VLOOKUP(Parámetros!$F$51,'COBERTURAS ADICIONALES'!$S$4:$T$32,2,FALSE)*(1+i/frec)^-0.5*(1+Parámetros!$D$103)*(1+rec_fracc)/frec*$CO$42),2))</f>
        <v/>
      </c>
      <c r="CS845" s="119" t="str">
        <f t="shared" si="1166"/>
        <v/>
      </c>
      <c r="CT845" s="66" t="str">
        <f>+IF($W845="","",ROUND(IF($B845&gt;Parámetros!$D$107,'Tablas Servicio'!CR845+('Tablas Servicio'!CT844-'Tablas Servicio'!CR844),CR845/(1-IF(B845&lt;=10,Parámetros!$D$100,0))),2))</f>
        <v/>
      </c>
      <c r="CU845" s="66" t="str">
        <f t="shared" si="1221"/>
        <v/>
      </c>
      <c r="CV845" s="66" t="str">
        <f t="shared" si="1221"/>
        <v/>
      </c>
      <c r="CW845" s="66" t="str">
        <f>+IF($W845="","",ROUND((CT845*Parámetros!$G$85),2))</f>
        <v/>
      </c>
      <c r="CX845" s="66" t="str">
        <f>+IF($W845="","",ROUND((CT845*(Parámetros!$G$86)),2))</f>
        <v/>
      </c>
      <c r="CY845" s="66" t="str">
        <f t="shared" si="1168"/>
        <v/>
      </c>
      <c r="CZ845" t="str">
        <f t="shared" si="1209"/>
        <v/>
      </c>
      <c r="DA845" s="118" t="str">
        <f t="shared" si="1210"/>
        <v/>
      </c>
      <c r="DB845" s="118" t="str">
        <f t="shared" si="1211"/>
        <v/>
      </c>
      <c r="DC845" s="118" t="str">
        <f t="shared" si="1212"/>
        <v/>
      </c>
      <c r="DD845" s="121" t="str">
        <f>+IF(OR($W845="",DB845=0),"",ROUND((VLOOKUP(ROUNDDOWN($D845-1/frec,0),cob_adi,CO$40,FALSE)*(1+i/frec)^-0.5*(1+Parámetros!$D$103)*(1+rec_fracc)/frec),6))</f>
        <v/>
      </c>
      <c r="DE845" s="66" t="str">
        <f t="shared" si="1169"/>
        <v/>
      </c>
      <c r="DF845" s="119" t="str">
        <f t="shared" si="1170"/>
        <v/>
      </c>
      <c r="DG845" s="66" t="str">
        <f>+IF($W845="","",ROUND(IF($B845&gt;Parámetros!$D$107,'Tablas Servicio'!DE845+('Tablas Servicio'!DG844-'Tablas Servicio'!DE844),DE845/(1-IF(B845&lt;=10,Parámetros!$D$100,0))),2))</f>
        <v/>
      </c>
      <c r="DH845" s="66" t="str">
        <f t="shared" si="1222"/>
        <v/>
      </c>
      <c r="DI845" s="66" t="str">
        <f t="shared" si="1222"/>
        <v/>
      </c>
      <c r="DJ845" s="66" t="str">
        <f>+IF($W845="","",ROUND((DG845*Parámetros!$G$85),2))</f>
        <v/>
      </c>
      <c r="DK845" s="66" t="str">
        <f>+IF($W845="","",ROUND((DG845*(Parámetros!$G$86)),2))</f>
        <v/>
      </c>
      <c r="DL845" s="66" t="str">
        <f t="shared" si="1172"/>
        <v/>
      </c>
      <c r="DM845" t="str">
        <f t="shared" si="1213"/>
        <v/>
      </c>
      <c r="DN845" s="118" t="str">
        <f t="shared" si="1214"/>
        <v/>
      </c>
      <c r="DO845" s="118" t="str">
        <f t="shared" si="1215"/>
        <v/>
      </c>
      <c r="DP845" s="118" t="str">
        <f t="shared" si="1216"/>
        <v/>
      </c>
      <c r="DQ845" s="122" t="str">
        <f>+IF(OR($W845="",DO845=0),"",ROUND((VLOOKUP(ROUNDDOWN($D845-1/frec,0),cob_adi,DB$40,FALSE)*(1+i/frec)^-0.5*(1+Parámetros!$D$103)*(1+rec_fracc)/frec),6))</f>
        <v/>
      </c>
      <c r="DR845" s="66" t="str">
        <f t="shared" si="1173"/>
        <v/>
      </c>
      <c r="DS845" s="68" t="str">
        <f t="shared" si="1174"/>
        <v/>
      </c>
      <c r="DT845" s="66" t="str">
        <f>+IF($W845="","",ROUND(IF($B845&gt;Parámetros!$D$107,'Tablas Servicio'!DR845+('Tablas Servicio'!DT844-'Tablas Servicio'!DR844),DR845/(1-IF(B845&lt;=10,Parámetros!$D$100,0))),2))</f>
        <v/>
      </c>
      <c r="DU845" s="66" t="str">
        <f t="shared" si="1223"/>
        <v/>
      </c>
      <c r="DV845" s="66" t="str">
        <f t="shared" si="1223"/>
        <v/>
      </c>
      <c r="DW845" s="66" t="str">
        <f>+IF($W845="","",ROUND((DT845*Parámetros!$G$85),2))</f>
        <v/>
      </c>
      <c r="DX845" s="66" t="str">
        <f>+IF($W845="","",ROUND((DT845*(Parámetros!$G$86)),2))</f>
        <v/>
      </c>
      <c r="DY845" s="66" t="str">
        <f t="shared" si="1176"/>
        <v/>
      </c>
      <c r="DZ845" t="str">
        <f t="shared" si="1224"/>
        <v/>
      </c>
      <c r="EA845" s="118" t="str">
        <f t="shared" si="1224"/>
        <v/>
      </c>
      <c r="EB845" s="118" t="str">
        <f>+IF($W845="","",ROUND(IF(Parámetros!$D$25='TABLAS MORT'!$V$33,EB844,Z845/2),0))</f>
        <v/>
      </c>
      <c r="EC845" s="118" t="str">
        <f t="shared" si="1224"/>
        <v/>
      </c>
      <c r="ED845" s="122" t="str">
        <f>+IF(OR($W845="",EB845=0),"",ROUND((VLOOKUP(ROUNDDOWN($D845-1/frec,0),cob_adi,DO$40,FALSE)*(1+i/frec)^-0.5*(1+Parámetros!$D$103)*(1+rec_fracc)/frec),6))</f>
        <v/>
      </c>
      <c r="EE845" s="66" t="str">
        <f t="shared" si="1178"/>
        <v/>
      </c>
      <c r="EF845" s="68" t="str">
        <f t="shared" si="1179"/>
        <v/>
      </c>
      <c r="EG845" s="66" t="str">
        <f>+IF($W845="","",ROUND(IF($B845&gt;Parámetros!$D$107,'Tablas Servicio'!EE845+('Tablas Servicio'!EG844-'Tablas Servicio'!EE844),EE845/(1-IF(B845&lt;=10,Parámetros!$D$100,0))),2))</f>
        <v/>
      </c>
      <c r="EH845" s="66" t="str">
        <f t="shared" si="1225"/>
        <v/>
      </c>
      <c r="EI845" s="66" t="str">
        <f t="shared" si="1225"/>
        <v/>
      </c>
      <c r="EJ845" s="66" t="str">
        <f>+IF($W845="","",ROUND((EG845*Parámetros!$G$85),2))</f>
        <v/>
      </c>
      <c r="EK845" s="66" t="str">
        <f>+IF($W845="","",ROUND((EG845*(Parámetros!$G$86)),2))</f>
        <v/>
      </c>
      <c r="EL845" s="66" t="str">
        <f t="shared" si="1181"/>
        <v/>
      </c>
    </row>
    <row r="846" spans="1:142" x14ac:dyDescent="0.25">
      <c r="A846" t="str">
        <f>+IF($C846="","",ROUND(VLOOKUP('Tablas Servicio'!B846,Parámetros!$H$100:$J$159,IF(Parámetros!$E$16="F",2,3),FALSE),2))</f>
        <v/>
      </c>
      <c r="B846" t="str">
        <f t="shared" si="1132"/>
        <v/>
      </c>
      <c r="C846" s="57" t="str">
        <f>+IF(D846="","",'Tablas Servicio'!C845+1)</f>
        <v/>
      </c>
      <c r="D846" s="56" t="str">
        <f>+IF(D845&lt;edadmaxtabla,D845+1/Parámetros!$E$25,"")</f>
        <v/>
      </c>
      <c r="E846" s="57" t="str">
        <f t="shared" si="1142"/>
        <v/>
      </c>
      <c r="F846" s="59" t="str">
        <f t="shared" si="1143"/>
        <v/>
      </c>
      <c r="G846" s="66" t="str">
        <f t="shared" si="1133"/>
        <v/>
      </c>
      <c r="H846" s="66" t="str">
        <f t="shared" si="1134"/>
        <v/>
      </c>
      <c r="I846" s="66" t="str">
        <f t="shared" si="1182"/>
        <v/>
      </c>
      <c r="J846" s="66" t="str">
        <f t="shared" si="1135"/>
        <v/>
      </c>
      <c r="K846" s="66" t="str">
        <f t="shared" si="1136"/>
        <v/>
      </c>
      <c r="L846" s="66" t="str">
        <f t="shared" si="1137"/>
        <v/>
      </c>
      <c r="M846" s="66" t="str">
        <f t="shared" si="1138"/>
        <v/>
      </c>
      <c r="N846" s="66" t="str">
        <f>+IF(C846="","",ROUND(Parámetros!$D$23,2))</f>
        <v/>
      </c>
      <c r="O846" s="66" t="str">
        <f t="shared" si="1139"/>
        <v/>
      </c>
      <c r="P846" s="66" t="str">
        <f>+IF($C846="","",ROUND(IF(B846&gt;Parámetros!$D$117,0,N846*Parámetros!$D$116-G846*Parámetros!$D$100),2))</f>
        <v/>
      </c>
      <c r="Q846" s="75" t="str">
        <f t="shared" si="1183"/>
        <v/>
      </c>
      <c r="R846" s="75" t="str">
        <f t="shared" si="1184"/>
        <v/>
      </c>
      <c r="S846" s="117" t="str">
        <f>+IF($C846="","",ROUND((S845+I846)*(1+Parámetros!$D$91),2))</f>
        <v/>
      </c>
      <c r="T846" s="117" t="str">
        <f>+IF($C846="","",ROUND(S846*VLOOKUP(B846,Parámetros!$C$30:$D$39,2,TRUE),2))</f>
        <v/>
      </c>
      <c r="U846" s="117" t="str">
        <f>+IF($C846="","",ROUND((U845+I846)*(1+Parámetros!$D$92),2))</f>
        <v/>
      </c>
      <c r="V846" s="117" t="str">
        <f>+IF($C846="","",ROUND(U846*VLOOKUP(B846,Parámetros!$C$30:$D$39,2,TRUE),2))</f>
        <v/>
      </c>
      <c r="W846" s="57" t="str">
        <f t="shared" si="1185"/>
        <v/>
      </c>
      <c r="X846" t="str">
        <f t="shared" si="1186"/>
        <v/>
      </c>
      <c r="Y846" t="str">
        <f t="shared" si="1187"/>
        <v/>
      </c>
      <c r="Z846" s="118" t="str">
        <f>+IF($W846="","",ROUND(IF(Parámetros!$D$25='TABLAS MORT'!$V$33,Z845,Parámetros!$D$21-'Tablas Servicio'!T845),0))</f>
        <v/>
      </c>
      <c r="AA846" s="118" t="str">
        <f t="shared" si="1188"/>
        <v/>
      </c>
      <c r="AB846" s="119" t="str">
        <f>+IF(W846="","",ROUND((VLOOKUP(ROUNDDOWN($D846-1/frec,0),qx_tabla,2,FALSE)*(1+i/frec)^-0.5*(1+Parámetros!$D$103)*(1+rec_fracc)/frec),6))</f>
        <v/>
      </c>
      <c r="AC846" s="66" t="str">
        <f t="shared" si="1144"/>
        <v/>
      </c>
      <c r="AD846" s="119" t="str">
        <f t="shared" si="1140"/>
        <v/>
      </c>
      <c r="AE846" s="66" t="str">
        <f>+IF($W846="","",ROUND(IF($B846&gt;Parámetros!$D$107,'Tablas Servicio'!AC846+('Tablas Servicio'!AG845-'Tablas Servicio'!AC845),AC846/(1-IF(B846&lt;=10,Parámetros!$D$104,Parámetros!$D$105))),2))</f>
        <v/>
      </c>
      <c r="AF846" s="66" t="str">
        <f>+IF($W846="","",ROUND(IF($B846&gt;Parámetros!$D$107,'Tablas Servicio'!AC846+('Tablas Servicio'!AG845-'Tablas Servicio'!AC845),(AC846+$A845/frec)/(1-IF(B846&lt;=Parámetros!$D$117,Parámetros!$D$100,0))),2))</f>
        <v/>
      </c>
      <c r="AG846" s="66" t="str">
        <f t="shared" si="1145"/>
        <v/>
      </c>
      <c r="AH846" s="66" t="str">
        <f t="shared" si="1146"/>
        <v/>
      </c>
      <c r="AI846" s="66" t="str">
        <f t="shared" si="1147"/>
        <v/>
      </c>
      <c r="AJ846" s="66" t="str">
        <f>+IF($W846="","",ROUND((AG846*Parámetros!$G$85),2))</f>
        <v/>
      </c>
      <c r="AK846" s="66" t="str">
        <f>+IF($W846="","",ROUND((AG846*(Parámetros!$G$86)),2))</f>
        <v/>
      </c>
      <c r="AL846" s="66" t="str">
        <f t="shared" si="1141"/>
        <v/>
      </c>
      <c r="AM846" t="str">
        <f t="shared" si="1189"/>
        <v/>
      </c>
      <c r="AN846" t="str">
        <f t="shared" si="1190"/>
        <v/>
      </c>
      <c r="AO846" s="118" t="str">
        <f t="shared" si="1191"/>
        <v/>
      </c>
      <c r="AP846" s="118" t="str">
        <f t="shared" si="1192"/>
        <v/>
      </c>
      <c r="AQ846" s="119" t="str">
        <f>+IF(OR($W846="",AO846=0),"",ROUND((VLOOKUP(ROUNDDOWN($D846-1/frec,0),cob_adi,Z$40,FALSE)*(1+i/frec)^-0.5*(1+Parámetros!$D$103)*(1+rec_fracc)/frec),6))</f>
        <v/>
      </c>
      <c r="AR846" s="66" t="str">
        <f t="shared" si="1148"/>
        <v/>
      </c>
      <c r="AS846" s="119" t="str">
        <f t="shared" si="1149"/>
        <v/>
      </c>
      <c r="AT846" s="66" t="str">
        <f>+IF($W846="","",ROUND(IF($B846&gt;Parámetros!$D$107,'Tablas Servicio'!AR846+('Tablas Servicio'!AT845-'Tablas Servicio'!AR845),AR846/(1-IF(B846&lt;=10,Parámetros!$D$100,0))),2))</f>
        <v/>
      </c>
      <c r="AU846" s="66" t="str">
        <f t="shared" si="1218"/>
        <v/>
      </c>
      <c r="AV846" s="66" t="str">
        <f t="shared" si="1218"/>
        <v/>
      </c>
      <c r="AW846" s="66" t="str">
        <f>+IF($W846="","",ROUND((AT846*Parámetros!$G$85),2))</f>
        <v/>
      </c>
      <c r="AX846" s="66" t="str">
        <f>+IF($W846="","",ROUND((AT846*(Parámetros!$G$86)),2))</f>
        <v/>
      </c>
      <c r="AY846" s="66" t="str">
        <f t="shared" si="1151"/>
        <v/>
      </c>
      <c r="AZ846" t="str">
        <f t="shared" si="1193"/>
        <v/>
      </c>
      <c r="BA846" t="str">
        <f t="shared" si="1194"/>
        <v/>
      </c>
      <c r="BB846" s="118" t="str">
        <f t="shared" si="1195"/>
        <v/>
      </c>
      <c r="BC846" s="118" t="str">
        <f t="shared" si="1196"/>
        <v/>
      </c>
      <c r="BD846" s="119" t="str">
        <f>+IF(OR($W846="",BB846=0),"",ROUND((VLOOKUP(ROUNDDOWN($D846-1/frec,0),cob_adi,AO$40,FALSE)*(1+i/frec)^-0.5*(1+Parámetros!$D$103)*(1+rec_fracc)/frec),6))</f>
        <v/>
      </c>
      <c r="BE846" s="66" t="str">
        <f t="shared" si="1152"/>
        <v/>
      </c>
      <c r="BF846" s="119" t="str">
        <f t="shared" si="1153"/>
        <v/>
      </c>
      <c r="BG846" s="66" t="str">
        <f>+IF($W846="","",ROUND(IF($B846&gt;Parámetros!$D$107,'Tablas Servicio'!BE846+('Tablas Servicio'!BG845-'Tablas Servicio'!BE845),BE846/(1-IF(B846&lt;=10,Parámetros!$D$100,0))),2))</f>
        <v/>
      </c>
      <c r="BH846" s="66" t="str">
        <f t="shared" si="1154"/>
        <v/>
      </c>
      <c r="BI846" s="66" t="str">
        <f t="shared" si="1155"/>
        <v/>
      </c>
      <c r="BJ846" s="66" t="str">
        <f>+IF($W846="","",ROUND((BG846*Parámetros!$G$85),2))</f>
        <v/>
      </c>
      <c r="BK846" s="66" t="str">
        <f>+IF($W846="","",ROUND((BG846*(Parámetros!$G$86)),2))</f>
        <v/>
      </c>
      <c r="BL846" s="66" t="str">
        <f t="shared" si="1156"/>
        <v/>
      </c>
      <c r="BM846" t="str">
        <f t="shared" si="1197"/>
        <v/>
      </c>
      <c r="BN846" t="str">
        <f t="shared" si="1198"/>
        <v/>
      </c>
      <c r="BO846" s="118" t="str">
        <f t="shared" si="1199"/>
        <v/>
      </c>
      <c r="BP846" s="118" t="str">
        <f t="shared" si="1200"/>
        <v/>
      </c>
      <c r="BQ846" s="119" t="str">
        <f>+IF(OR($W846="",BO846=0),"",ROUND((VLOOKUP(ROUNDDOWN($D846-1/frec,0),cob_adi,BB$40,FALSE)*(1+i/frec)^-0.5*(1+Parámetros!$D$103)*(1+rec_fracc)/frec),6))</f>
        <v/>
      </c>
      <c r="BR846" s="66" t="str">
        <f t="shared" si="1157"/>
        <v/>
      </c>
      <c r="BS846" s="119" t="str">
        <f t="shared" si="1158"/>
        <v/>
      </c>
      <c r="BT846" s="66" t="str">
        <f>+IF($W846="","",ROUND(IF($B846&gt;Parámetros!$D$107,'Tablas Servicio'!BR846+('Tablas Servicio'!BT845-'Tablas Servicio'!BR845),BR846/(1-IF(B846&lt;=10,Parámetros!$D$100,0))),2))</f>
        <v/>
      </c>
      <c r="BU846" s="66" t="str">
        <f t="shared" si="1219"/>
        <v/>
      </c>
      <c r="BV846" s="66" t="str">
        <f t="shared" si="1219"/>
        <v/>
      </c>
      <c r="BW846" s="66" t="str">
        <f>+IF($W846="","",ROUND((BT846*Parámetros!$G$85),2))</f>
        <v/>
      </c>
      <c r="BX846" s="66" t="str">
        <f>+IF($W846="","",ROUND((BT846*(Parámetros!$G$86)),2))</f>
        <v/>
      </c>
      <c r="BY846" s="66" t="str">
        <f t="shared" si="1160"/>
        <v/>
      </c>
      <c r="BZ846" t="str">
        <f t="shared" si="1201"/>
        <v/>
      </c>
      <c r="CA846" t="str">
        <f t="shared" si="1202"/>
        <v/>
      </c>
      <c r="CB846" s="118" t="str">
        <f t="shared" si="1203"/>
        <v/>
      </c>
      <c r="CC846" s="118" t="str">
        <f t="shared" si="1204"/>
        <v/>
      </c>
      <c r="CD846" s="119" t="str">
        <f t="shared" si="1161"/>
        <v/>
      </c>
      <c r="CE846" s="66" t="str">
        <f>+IF($W846="","",ROUND((VLOOKUP(ROUNDDOWN($D846-1/frec,0),cob_adi,BO$40,FALSE)*(1+i/frec)^-0.5*(1+Parámetros!$D$103)*(1+rec_fracc)/frec*'TABLAS ADI'!$BC$17),2))</f>
        <v/>
      </c>
      <c r="CF846" s="119" t="str">
        <f t="shared" si="1162"/>
        <v/>
      </c>
      <c r="CG846" s="66" t="str">
        <f>+IF($W846="","",ROUND(IF($B846&gt;Parámetros!$D$107,'Tablas Servicio'!CE846+('Tablas Servicio'!CG845-'Tablas Servicio'!CE845),CE846/(1-IF(B846&lt;=10,Parámetros!$D$100,0))),2))</f>
        <v/>
      </c>
      <c r="CH846" s="66" t="str">
        <f t="shared" si="1220"/>
        <v/>
      </c>
      <c r="CI846" s="66" t="str">
        <f t="shared" si="1220"/>
        <v/>
      </c>
      <c r="CJ846" s="66" t="str">
        <f>+IF($W846="","",ROUND((CG846*Parámetros!$G$85),2))</f>
        <v/>
      </c>
      <c r="CK846" s="66" t="str">
        <f>+IF($W846="","",ROUND((CG846*(Parámetros!$G$86)),2))</f>
        <v/>
      </c>
      <c r="CL846" s="66" t="str">
        <f t="shared" si="1164"/>
        <v/>
      </c>
      <c r="CM846" t="str">
        <f t="shared" si="1205"/>
        <v/>
      </c>
      <c r="CN846" s="118" t="str">
        <f t="shared" si="1206"/>
        <v/>
      </c>
      <c r="CO846" s="118" t="str">
        <f t="shared" si="1207"/>
        <v/>
      </c>
      <c r="CP846" s="118" t="str">
        <f t="shared" si="1208"/>
        <v/>
      </c>
      <c r="CQ846" s="119" t="str">
        <f t="shared" si="1165"/>
        <v/>
      </c>
      <c r="CR846" s="66" t="str">
        <f>+IF($W846="","",ROUND((VLOOKUP(Parámetros!$F$51,'COBERTURAS ADICIONALES'!$S$4:$T$32,2,FALSE)*(1+i/frec)^-0.5*(1+Parámetros!$D$103)*(1+rec_fracc)/frec*$CO$42),2))</f>
        <v/>
      </c>
      <c r="CS846" s="119" t="str">
        <f t="shared" si="1166"/>
        <v/>
      </c>
      <c r="CT846" s="66" t="str">
        <f>+IF($W846="","",ROUND(IF($B846&gt;Parámetros!$D$107,'Tablas Servicio'!CR846+('Tablas Servicio'!CT845-'Tablas Servicio'!CR845),CR846/(1-IF(B846&lt;=10,Parámetros!$D$100,0))),2))</f>
        <v/>
      </c>
      <c r="CU846" s="66" t="str">
        <f t="shared" si="1221"/>
        <v/>
      </c>
      <c r="CV846" s="66" t="str">
        <f t="shared" si="1221"/>
        <v/>
      </c>
      <c r="CW846" s="66" t="str">
        <f>+IF($W846="","",ROUND((CT846*Parámetros!$G$85),2))</f>
        <v/>
      </c>
      <c r="CX846" s="66" t="str">
        <f>+IF($W846="","",ROUND((CT846*(Parámetros!$G$86)),2))</f>
        <v/>
      </c>
      <c r="CY846" s="66" t="str">
        <f t="shared" si="1168"/>
        <v/>
      </c>
      <c r="CZ846" t="str">
        <f t="shared" si="1209"/>
        <v/>
      </c>
      <c r="DA846" s="118" t="str">
        <f t="shared" si="1210"/>
        <v/>
      </c>
      <c r="DB846" s="118" t="str">
        <f t="shared" si="1211"/>
        <v/>
      </c>
      <c r="DC846" s="118" t="str">
        <f t="shared" si="1212"/>
        <v/>
      </c>
      <c r="DD846" s="121" t="str">
        <f>+IF(OR($W846="",DB846=0),"",ROUND((VLOOKUP(ROUNDDOWN($D846-1/frec,0),cob_adi,CO$40,FALSE)*(1+i/frec)^-0.5*(1+Parámetros!$D$103)*(1+rec_fracc)/frec),6))</f>
        <v/>
      </c>
      <c r="DE846" s="66" t="str">
        <f t="shared" si="1169"/>
        <v/>
      </c>
      <c r="DF846" s="119" t="str">
        <f t="shared" si="1170"/>
        <v/>
      </c>
      <c r="DG846" s="66" t="str">
        <f>+IF($W846="","",ROUND(IF($B846&gt;Parámetros!$D$107,'Tablas Servicio'!DE846+('Tablas Servicio'!DG845-'Tablas Servicio'!DE845),DE846/(1-IF(B846&lt;=10,Parámetros!$D$100,0))),2))</f>
        <v/>
      </c>
      <c r="DH846" s="66" t="str">
        <f t="shared" si="1222"/>
        <v/>
      </c>
      <c r="DI846" s="66" t="str">
        <f t="shared" si="1222"/>
        <v/>
      </c>
      <c r="DJ846" s="66" t="str">
        <f>+IF($W846="","",ROUND((DG846*Parámetros!$G$85),2))</f>
        <v/>
      </c>
      <c r="DK846" s="66" t="str">
        <f>+IF($W846="","",ROUND((DG846*(Parámetros!$G$86)),2))</f>
        <v/>
      </c>
      <c r="DL846" s="66" t="str">
        <f t="shared" si="1172"/>
        <v/>
      </c>
      <c r="DM846" t="str">
        <f t="shared" si="1213"/>
        <v/>
      </c>
      <c r="DN846" s="118" t="str">
        <f t="shared" si="1214"/>
        <v/>
      </c>
      <c r="DO846" s="118" t="str">
        <f t="shared" si="1215"/>
        <v/>
      </c>
      <c r="DP846" s="118" t="str">
        <f t="shared" si="1216"/>
        <v/>
      </c>
      <c r="DQ846" s="122" t="str">
        <f>+IF(OR($W846="",DO846=0),"",ROUND((VLOOKUP(ROUNDDOWN($D846-1/frec,0),cob_adi,DB$40,FALSE)*(1+i/frec)^-0.5*(1+Parámetros!$D$103)*(1+rec_fracc)/frec),6))</f>
        <v/>
      </c>
      <c r="DR846" s="66" t="str">
        <f t="shared" si="1173"/>
        <v/>
      </c>
      <c r="DS846" s="68" t="str">
        <f t="shared" si="1174"/>
        <v/>
      </c>
      <c r="DT846" s="66" t="str">
        <f>+IF($W846="","",ROUND(IF($B846&gt;Parámetros!$D$107,'Tablas Servicio'!DR846+('Tablas Servicio'!DT845-'Tablas Servicio'!DR845),DR846/(1-IF(B846&lt;=10,Parámetros!$D$100,0))),2))</f>
        <v/>
      </c>
      <c r="DU846" s="66" t="str">
        <f t="shared" si="1223"/>
        <v/>
      </c>
      <c r="DV846" s="66" t="str">
        <f t="shared" si="1223"/>
        <v/>
      </c>
      <c r="DW846" s="66" t="str">
        <f>+IF($W846="","",ROUND((DT846*Parámetros!$G$85),2))</f>
        <v/>
      </c>
      <c r="DX846" s="66" t="str">
        <f>+IF($W846="","",ROUND((DT846*(Parámetros!$G$86)),2))</f>
        <v/>
      </c>
      <c r="DY846" s="66" t="str">
        <f t="shared" si="1176"/>
        <v/>
      </c>
      <c r="DZ846" t="str">
        <f t="shared" si="1224"/>
        <v/>
      </c>
      <c r="EA846" s="118" t="str">
        <f t="shared" si="1224"/>
        <v/>
      </c>
      <c r="EB846" s="118" t="str">
        <f>+IF($W846="","",ROUND(IF(Parámetros!$D$25='TABLAS MORT'!$V$33,EB845,Z846/2),0))</f>
        <v/>
      </c>
      <c r="EC846" s="118" t="str">
        <f t="shared" si="1224"/>
        <v/>
      </c>
      <c r="ED846" s="122" t="str">
        <f>+IF(OR($W846="",EB846=0),"",ROUND((VLOOKUP(ROUNDDOWN($D846-1/frec,0),cob_adi,DO$40,FALSE)*(1+i/frec)^-0.5*(1+Parámetros!$D$103)*(1+rec_fracc)/frec),6))</f>
        <v/>
      </c>
      <c r="EE846" s="66" t="str">
        <f t="shared" si="1178"/>
        <v/>
      </c>
      <c r="EF846" s="68" t="str">
        <f t="shared" si="1179"/>
        <v/>
      </c>
      <c r="EG846" s="66" t="str">
        <f>+IF($W846="","",ROUND(IF($B846&gt;Parámetros!$D$107,'Tablas Servicio'!EE846+('Tablas Servicio'!EG845-'Tablas Servicio'!EE845),EE846/(1-IF(B846&lt;=10,Parámetros!$D$100,0))),2))</f>
        <v/>
      </c>
      <c r="EH846" s="66" t="str">
        <f t="shared" si="1225"/>
        <v/>
      </c>
      <c r="EI846" s="66" t="str">
        <f t="shared" si="1225"/>
        <v/>
      </c>
      <c r="EJ846" s="66" t="str">
        <f>+IF($W846="","",ROUND((EG846*Parámetros!$G$85),2))</f>
        <v/>
      </c>
      <c r="EK846" s="66" t="str">
        <f>+IF($W846="","",ROUND((EG846*(Parámetros!$G$86)),2))</f>
        <v/>
      </c>
      <c r="EL846" s="66" t="str">
        <f t="shared" si="1181"/>
        <v/>
      </c>
    </row>
    <row r="847" spans="1:142" x14ac:dyDescent="0.25">
      <c r="A847" t="str">
        <f>+IF($C847="","",ROUND(VLOOKUP('Tablas Servicio'!B847,Parámetros!$H$100:$J$159,IF(Parámetros!$E$16="F",2,3),FALSE),2))</f>
        <v/>
      </c>
      <c r="B847" t="str">
        <f t="shared" si="1132"/>
        <v/>
      </c>
      <c r="C847" s="57" t="str">
        <f>+IF(D847="","",'Tablas Servicio'!C846+1)</f>
        <v/>
      </c>
      <c r="D847" s="56" t="str">
        <f>+IF(D846&lt;edadmaxtabla,D846+1/Parámetros!$E$25,"")</f>
        <v/>
      </c>
      <c r="E847" s="57" t="str">
        <f t="shared" si="1142"/>
        <v/>
      </c>
      <c r="F847" s="59" t="str">
        <f t="shared" si="1143"/>
        <v/>
      </c>
      <c r="G847" s="66" t="str">
        <f t="shared" si="1133"/>
        <v/>
      </c>
      <c r="H847" s="66" t="str">
        <f t="shared" si="1134"/>
        <v/>
      </c>
      <c r="I847" s="66" t="str">
        <f t="shared" si="1182"/>
        <v/>
      </c>
      <c r="J847" s="66" t="str">
        <f t="shared" si="1135"/>
        <v/>
      </c>
      <c r="K847" s="66" t="str">
        <f t="shared" si="1136"/>
        <v/>
      </c>
      <c r="L847" s="66" t="str">
        <f t="shared" si="1137"/>
        <v/>
      </c>
      <c r="M847" s="66" t="str">
        <f t="shared" si="1138"/>
        <v/>
      </c>
      <c r="N847" s="66" t="str">
        <f>+IF(C847="","",ROUND(Parámetros!$D$23,2))</f>
        <v/>
      </c>
      <c r="O847" s="66" t="str">
        <f t="shared" si="1139"/>
        <v/>
      </c>
      <c r="P847" s="66" t="str">
        <f>+IF($C847="","",ROUND(IF(B847&gt;Parámetros!$D$117,0,N847*Parámetros!$D$116-G847*Parámetros!$D$100),2))</f>
        <v/>
      </c>
      <c r="Q847" s="75" t="str">
        <f t="shared" si="1183"/>
        <v/>
      </c>
      <c r="R847" s="75" t="str">
        <f t="shared" si="1184"/>
        <v/>
      </c>
      <c r="S847" s="117" t="str">
        <f>+IF($C847="","",ROUND((S846+I847)*(1+Parámetros!$D$91),2))</f>
        <v/>
      </c>
      <c r="T847" s="117" t="str">
        <f>+IF($C847="","",ROUND(S847*VLOOKUP(B847,Parámetros!$C$30:$D$39,2,TRUE),2))</f>
        <v/>
      </c>
      <c r="U847" s="117" t="str">
        <f>+IF($C847="","",ROUND((U846+I847)*(1+Parámetros!$D$92),2))</f>
        <v/>
      </c>
      <c r="V847" s="117" t="str">
        <f>+IF($C847="","",ROUND(U847*VLOOKUP(B847,Parámetros!$C$30:$D$39,2,TRUE),2))</f>
        <v/>
      </c>
      <c r="W847" s="57" t="str">
        <f t="shared" si="1185"/>
        <v/>
      </c>
      <c r="X847" t="str">
        <f t="shared" si="1186"/>
        <v/>
      </c>
      <c r="Y847" t="str">
        <f t="shared" si="1187"/>
        <v/>
      </c>
      <c r="Z847" s="118" t="str">
        <f>+IF($W847="","",ROUND(IF(Parámetros!$D$25='TABLAS MORT'!$V$33,Z846,Parámetros!$D$21-'Tablas Servicio'!T846),0))</f>
        <v/>
      </c>
      <c r="AA847" s="118" t="str">
        <f t="shared" si="1188"/>
        <v/>
      </c>
      <c r="AB847" s="119" t="str">
        <f>+IF(W847="","",ROUND((VLOOKUP(ROUNDDOWN($D847-1/frec,0),qx_tabla,2,FALSE)*(1+i/frec)^-0.5*(1+Parámetros!$D$103)*(1+rec_fracc)/frec),6))</f>
        <v/>
      </c>
      <c r="AC847" s="66" t="str">
        <f t="shared" si="1144"/>
        <v/>
      </c>
      <c r="AD847" s="119" t="str">
        <f t="shared" si="1140"/>
        <v/>
      </c>
      <c r="AE847" s="66" t="str">
        <f>+IF($W847="","",ROUND(IF($B847&gt;Parámetros!$D$107,'Tablas Servicio'!AC847+('Tablas Servicio'!AG846-'Tablas Servicio'!AC846),AC847/(1-IF(B847&lt;=10,Parámetros!$D$104,Parámetros!$D$105))),2))</f>
        <v/>
      </c>
      <c r="AF847" s="66" t="str">
        <f>+IF($W847="","",ROUND(IF($B847&gt;Parámetros!$D$107,'Tablas Servicio'!AC847+('Tablas Servicio'!AG846-'Tablas Servicio'!AC846),(AC847+$A846/frec)/(1-IF(B847&lt;=Parámetros!$D$117,Parámetros!$D$100,0))),2))</f>
        <v/>
      </c>
      <c r="AG847" s="66" t="str">
        <f t="shared" si="1145"/>
        <v/>
      </c>
      <c r="AH847" s="66" t="str">
        <f t="shared" si="1146"/>
        <v/>
      </c>
      <c r="AI847" s="66" t="str">
        <f t="shared" si="1147"/>
        <v/>
      </c>
      <c r="AJ847" s="66" t="str">
        <f>+IF($W847="","",ROUND((AG847*Parámetros!$G$85),2))</f>
        <v/>
      </c>
      <c r="AK847" s="66" t="str">
        <f>+IF($W847="","",ROUND((AG847*(Parámetros!$G$86)),2))</f>
        <v/>
      </c>
      <c r="AL847" s="66" t="str">
        <f t="shared" si="1141"/>
        <v/>
      </c>
      <c r="AM847" t="str">
        <f t="shared" si="1189"/>
        <v/>
      </c>
      <c r="AN847" t="str">
        <f t="shared" si="1190"/>
        <v/>
      </c>
      <c r="AO847" s="118" t="str">
        <f t="shared" si="1191"/>
        <v/>
      </c>
      <c r="AP847" s="118" t="str">
        <f t="shared" si="1192"/>
        <v/>
      </c>
      <c r="AQ847" s="119" t="str">
        <f>+IF(OR($W847="",AO847=0),"",ROUND((VLOOKUP(ROUNDDOWN($D847-1/frec,0),cob_adi,Z$40,FALSE)*(1+i/frec)^-0.5*(1+Parámetros!$D$103)*(1+rec_fracc)/frec),6))</f>
        <v/>
      </c>
      <c r="AR847" s="66" t="str">
        <f t="shared" si="1148"/>
        <v/>
      </c>
      <c r="AS847" s="119" t="str">
        <f t="shared" si="1149"/>
        <v/>
      </c>
      <c r="AT847" s="66" t="str">
        <f>+IF($W847="","",ROUND(IF($B847&gt;Parámetros!$D$107,'Tablas Servicio'!AR847+('Tablas Servicio'!AT846-'Tablas Servicio'!AR846),AR847/(1-IF(B847&lt;=10,Parámetros!$D$100,0))),2))</f>
        <v/>
      </c>
      <c r="AU847" s="66" t="str">
        <f t="shared" si="1218"/>
        <v/>
      </c>
      <c r="AV847" s="66" t="str">
        <f t="shared" si="1218"/>
        <v/>
      </c>
      <c r="AW847" s="66" t="str">
        <f>+IF($W847="","",ROUND((AT847*Parámetros!$G$85),2))</f>
        <v/>
      </c>
      <c r="AX847" s="66" t="str">
        <f>+IF($W847="","",ROUND((AT847*(Parámetros!$G$86)),2))</f>
        <v/>
      </c>
      <c r="AY847" s="66" t="str">
        <f t="shared" si="1151"/>
        <v/>
      </c>
      <c r="AZ847" t="str">
        <f t="shared" si="1193"/>
        <v/>
      </c>
      <c r="BA847" t="str">
        <f t="shared" si="1194"/>
        <v/>
      </c>
      <c r="BB847" s="118" t="str">
        <f t="shared" si="1195"/>
        <v/>
      </c>
      <c r="BC847" s="118" t="str">
        <f t="shared" si="1196"/>
        <v/>
      </c>
      <c r="BD847" s="119" t="str">
        <f>+IF(OR($W847="",BB847=0),"",ROUND((VLOOKUP(ROUNDDOWN($D847-1/frec,0),cob_adi,AO$40,FALSE)*(1+i/frec)^-0.5*(1+Parámetros!$D$103)*(1+rec_fracc)/frec),6))</f>
        <v/>
      </c>
      <c r="BE847" s="66" t="str">
        <f t="shared" si="1152"/>
        <v/>
      </c>
      <c r="BF847" s="119" t="str">
        <f t="shared" si="1153"/>
        <v/>
      </c>
      <c r="BG847" s="66" t="str">
        <f>+IF($W847="","",ROUND(IF($B847&gt;Parámetros!$D$107,'Tablas Servicio'!BE847+('Tablas Servicio'!BG846-'Tablas Servicio'!BE846),BE847/(1-IF(B847&lt;=10,Parámetros!$D$100,0))),2))</f>
        <v/>
      </c>
      <c r="BH847" s="66" t="str">
        <f t="shared" si="1154"/>
        <v/>
      </c>
      <c r="BI847" s="66" t="str">
        <f t="shared" si="1155"/>
        <v/>
      </c>
      <c r="BJ847" s="66" t="str">
        <f>+IF($W847="","",ROUND((BG847*Parámetros!$G$85),2))</f>
        <v/>
      </c>
      <c r="BK847" s="66" t="str">
        <f>+IF($W847="","",ROUND((BG847*(Parámetros!$G$86)),2))</f>
        <v/>
      </c>
      <c r="BL847" s="66" t="str">
        <f t="shared" si="1156"/>
        <v/>
      </c>
      <c r="BM847" t="str">
        <f t="shared" si="1197"/>
        <v/>
      </c>
      <c r="BN847" t="str">
        <f t="shared" si="1198"/>
        <v/>
      </c>
      <c r="BO847" s="118" t="str">
        <f t="shared" si="1199"/>
        <v/>
      </c>
      <c r="BP847" s="118" t="str">
        <f t="shared" si="1200"/>
        <v/>
      </c>
      <c r="BQ847" s="119" t="str">
        <f>+IF(OR($W847="",BO847=0),"",ROUND((VLOOKUP(ROUNDDOWN($D847-1/frec,0),cob_adi,BB$40,FALSE)*(1+i/frec)^-0.5*(1+Parámetros!$D$103)*(1+rec_fracc)/frec),6))</f>
        <v/>
      </c>
      <c r="BR847" s="66" t="str">
        <f t="shared" si="1157"/>
        <v/>
      </c>
      <c r="BS847" s="119" t="str">
        <f t="shared" si="1158"/>
        <v/>
      </c>
      <c r="BT847" s="66" t="str">
        <f>+IF($W847="","",ROUND(IF($B847&gt;Parámetros!$D$107,'Tablas Servicio'!BR847+('Tablas Servicio'!BT846-'Tablas Servicio'!BR846),BR847/(1-IF(B847&lt;=10,Parámetros!$D$100,0))),2))</f>
        <v/>
      </c>
      <c r="BU847" s="66" t="str">
        <f t="shared" si="1219"/>
        <v/>
      </c>
      <c r="BV847" s="66" t="str">
        <f t="shared" si="1219"/>
        <v/>
      </c>
      <c r="BW847" s="66" t="str">
        <f>+IF($W847="","",ROUND((BT847*Parámetros!$G$85),2))</f>
        <v/>
      </c>
      <c r="BX847" s="66" t="str">
        <f>+IF($W847="","",ROUND((BT847*(Parámetros!$G$86)),2))</f>
        <v/>
      </c>
      <c r="BY847" s="66" t="str">
        <f t="shared" si="1160"/>
        <v/>
      </c>
      <c r="BZ847" t="str">
        <f t="shared" si="1201"/>
        <v/>
      </c>
      <c r="CA847" t="str">
        <f t="shared" si="1202"/>
        <v/>
      </c>
      <c r="CB847" s="118" t="str">
        <f t="shared" si="1203"/>
        <v/>
      </c>
      <c r="CC847" s="118" t="str">
        <f t="shared" si="1204"/>
        <v/>
      </c>
      <c r="CD847" s="119" t="str">
        <f t="shared" si="1161"/>
        <v/>
      </c>
      <c r="CE847" s="66" t="str">
        <f>+IF($W847="","",ROUND((VLOOKUP(ROUNDDOWN($D847-1/frec,0),cob_adi,BO$40,FALSE)*(1+i/frec)^-0.5*(1+Parámetros!$D$103)*(1+rec_fracc)/frec*'TABLAS ADI'!$BC$17),2))</f>
        <v/>
      </c>
      <c r="CF847" s="119" t="str">
        <f t="shared" si="1162"/>
        <v/>
      </c>
      <c r="CG847" s="66" t="str">
        <f>+IF($W847="","",ROUND(IF($B847&gt;Parámetros!$D$107,'Tablas Servicio'!CE847+('Tablas Servicio'!CG846-'Tablas Servicio'!CE846),CE847/(1-IF(B847&lt;=10,Parámetros!$D$100,0))),2))</f>
        <v/>
      </c>
      <c r="CH847" s="66" t="str">
        <f t="shared" si="1220"/>
        <v/>
      </c>
      <c r="CI847" s="66" t="str">
        <f t="shared" si="1220"/>
        <v/>
      </c>
      <c r="CJ847" s="66" t="str">
        <f>+IF($W847="","",ROUND((CG847*Parámetros!$G$85),2))</f>
        <v/>
      </c>
      <c r="CK847" s="66" t="str">
        <f>+IF($W847="","",ROUND((CG847*(Parámetros!$G$86)),2))</f>
        <v/>
      </c>
      <c r="CL847" s="66" t="str">
        <f t="shared" si="1164"/>
        <v/>
      </c>
      <c r="CM847" t="str">
        <f t="shared" si="1205"/>
        <v/>
      </c>
      <c r="CN847" s="118" t="str">
        <f t="shared" si="1206"/>
        <v/>
      </c>
      <c r="CO847" s="118" t="str">
        <f t="shared" si="1207"/>
        <v/>
      </c>
      <c r="CP847" s="118" t="str">
        <f t="shared" si="1208"/>
        <v/>
      </c>
      <c r="CQ847" s="119" t="str">
        <f t="shared" si="1165"/>
        <v/>
      </c>
      <c r="CR847" s="66" t="str">
        <f>+IF($W847="","",ROUND((VLOOKUP(Parámetros!$F$51,'COBERTURAS ADICIONALES'!$S$4:$T$32,2,FALSE)*(1+i/frec)^-0.5*(1+Parámetros!$D$103)*(1+rec_fracc)/frec*$CO$42),2))</f>
        <v/>
      </c>
      <c r="CS847" s="119" t="str">
        <f t="shared" si="1166"/>
        <v/>
      </c>
      <c r="CT847" s="66" t="str">
        <f>+IF($W847="","",ROUND(IF($B847&gt;Parámetros!$D$107,'Tablas Servicio'!CR847+('Tablas Servicio'!CT846-'Tablas Servicio'!CR846),CR847/(1-IF(B847&lt;=10,Parámetros!$D$100,0))),2))</f>
        <v/>
      </c>
      <c r="CU847" s="66" t="str">
        <f t="shared" si="1221"/>
        <v/>
      </c>
      <c r="CV847" s="66" t="str">
        <f t="shared" si="1221"/>
        <v/>
      </c>
      <c r="CW847" s="66" t="str">
        <f>+IF($W847="","",ROUND((CT847*Parámetros!$G$85),2))</f>
        <v/>
      </c>
      <c r="CX847" s="66" t="str">
        <f>+IF($W847="","",ROUND((CT847*(Parámetros!$G$86)),2))</f>
        <v/>
      </c>
      <c r="CY847" s="66" t="str">
        <f t="shared" si="1168"/>
        <v/>
      </c>
      <c r="CZ847" t="str">
        <f t="shared" si="1209"/>
        <v/>
      </c>
      <c r="DA847" s="118" t="str">
        <f t="shared" si="1210"/>
        <v/>
      </c>
      <c r="DB847" s="118" t="str">
        <f t="shared" si="1211"/>
        <v/>
      </c>
      <c r="DC847" s="118" t="str">
        <f t="shared" si="1212"/>
        <v/>
      </c>
      <c r="DD847" s="121" t="str">
        <f>+IF(OR($W847="",DB847=0),"",ROUND((VLOOKUP(ROUNDDOWN($D847-1/frec,0),cob_adi,CO$40,FALSE)*(1+i/frec)^-0.5*(1+Parámetros!$D$103)*(1+rec_fracc)/frec),6))</f>
        <v/>
      </c>
      <c r="DE847" s="66" t="str">
        <f t="shared" si="1169"/>
        <v/>
      </c>
      <c r="DF847" s="119" t="str">
        <f t="shared" si="1170"/>
        <v/>
      </c>
      <c r="DG847" s="66" t="str">
        <f>+IF($W847="","",ROUND(IF($B847&gt;Parámetros!$D$107,'Tablas Servicio'!DE847+('Tablas Servicio'!DG846-'Tablas Servicio'!DE846),DE847/(1-IF(B847&lt;=10,Parámetros!$D$100,0))),2))</f>
        <v/>
      </c>
      <c r="DH847" s="66" t="str">
        <f t="shared" si="1222"/>
        <v/>
      </c>
      <c r="DI847" s="66" t="str">
        <f t="shared" si="1222"/>
        <v/>
      </c>
      <c r="DJ847" s="66" t="str">
        <f>+IF($W847="","",ROUND((DG847*Parámetros!$G$85),2))</f>
        <v/>
      </c>
      <c r="DK847" s="66" t="str">
        <f>+IF($W847="","",ROUND((DG847*(Parámetros!$G$86)),2))</f>
        <v/>
      </c>
      <c r="DL847" s="66" t="str">
        <f t="shared" si="1172"/>
        <v/>
      </c>
      <c r="DM847" t="str">
        <f t="shared" si="1213"/>
        <v/>
      </c>
      <c r="DN847" s="118" t="str">
        <f t="shared" si="1214"/>
        <v/>
      </c>
      <c r="DO847" s="118" t="str">
        <f t="shared" si="1215"/>
        <v/>
      </c>
      <c r="DP847" s="118" t="str">
        <f t="shared" si="1216"/>
        <v/>
      </c>
      <c r="DQ847" s="122" t="str">
        <f>+IF(OR($W847="",DO847=0),"",ROUND((VLOOKUP(ROUNDDOWN($D847-1/frec,0),cob_adi,DB$40,FALSE)*(1+i/frec)^-0.5*(1+Parámetros!$D$103)*(1+rec_fracc)/frec),6))</f>
        <v/>
      </c>
      <c r="DR847" s="66" t="str">
        <f t="shared" si="1173"/>
        <v/>
      </c>
      <c r="DS847" s="68" t="str">
        <f t="shared" si="1174"/>
        <v/>
      </c>
      <c r="DT847" s="66" t="str">
        <f>+IF($W847="","",ROUND(IF($B847&gt;Parámetros!$D$107,'Tablas Servicio'!DR847+('Tablas Servicio'!DT846-'Tablas Servicio'!DR846),DR847/(1-IF(B847&lt;=10,Parámetros!$D$100,0))),2))</f>
        <v/>
      </c>
      <c r="DU847" s="66" t="str">
        <f t="shared" si="1223"/>
        <v/>
      </c>
      <c r="DV847" s="66" t="str">
        <f t="shared" si="1223"/>
        <v/>
      </c>
      <c r="DW847" s="66" t="str">
        <f>+IF($W847="","",ROUND((DT847*Parámetros!$G$85),2))</f>
        <v/>
      </c>
      <c r="DX847" s="66" t="str">
        <f>+IF($W847="","",ROUND((DT847*(Parámetros!$G$86)),2))</f>
        <v/>
      </c>
      <c r="DY847" s="66" t="str">
        <f t="shared" si="1176"/>
        <v/>
      </c>
      <c r="DZ847" t="str">
        <f t="shared" si="1224"/>
        <v/>
      </c>
      <c r="EA847" s="118" t="str">
        <f t="shared" si="1224"/>
        <v/>
      </c>
      <c r="EB847" s="118" t="str">
        <f>+IF($W847="","",ROUND(IF(Parámetros!$D$25='TABLAS MORT'!$V$33,EB846,Z847/2),0))</f>
        <v/>
      </c>
      <c r="EC847" s="118" t="str">
        <f t="shared" si="1224"/>
        <v/>
      </c>
      <c r="ED847" s="122" t="str">
        <f>+IF(OR($W847="",EB847=0),"",ROUND((VLOOKUP(ROUNDDOWN($D847-1/frec,0),cob_adi,DO$40,FALSE)*(1+i/frec)^-0.5*(1+Parámetros!$D$103)*(1+rec_fracc)/frec),6))</f>
        <v/>
      </c>
      <c r="EE847" s="66" t="str">
        <f t="shared" si="1178"/>
        <v/>
      </c>
      <c r="EF847" s="68" t="str">
        <f t="shared" si="1179"/>
        <v/>
      </c>
      <c r="EG847" s="66" t="str">
        <f>+IF($W847="","",ROUND(IF($B847&gt;Parámetros!$D$107,'Tablas Servicio'!EE847+('Tablas Servicio'!EG846-'Tablas Servicio'!EE846),EE847/(1-IF(B847&lt;=10,Parámetros!$D$100,0))),2))</f>
        <v/>
      </c>
      <c r="EH847" s="66" t="str">
        <f t="shared" si="1225"/>
        <v/>
      </c>
      <c r="EI847" s="66" t="str">
        <f t="shared" si="1225"/>
        <v/>
      </c>
      <c r="EJ847" s="66" t="str">
        <f>+IF($W847="","",ROUND((EG847*Parámetros!$G$85),2))</f>
        <v/>
      </c>
      <c r="EK847" s="66" t="str">
        <f>+IF($W847="","",ROUND((EG847*(Parámetros!$G$86)),2))</f>
        <v/>
      </c>
      <c r="EL847" s="66" t="str">
        <f t="shared" si="1181"/>
        <v/>
      </c>
    </row>
    <row r="848" spans="1:142" x14ac:dyDescent="0.25">
      <c r="A848" t="str">
        <f>+IF($C848="","",ROUND(VLOOKUP('Tablas Servicio'!B848,Parámetros!$H$100:$J$159,IF(Parámetros!$E$16="F",2,3),FALSE),2))</f>
        <v/>
      </c>
      <c r="B848" t="str">
        <f t="shared" si="1132"/>
        <v/>
      </c>
      <c r="C848" s="57" t="str">
        <f>+IF(D848="","",'Tablas Servicio'!C847+1)</f>
        <v/>
      </c>
      <c r="D848" s="56" t="str">
        <f>+IF(D847&lt;edadmaxtabla,D847+1/Parámetros!$E$25,"")</f>
        <v/>
      </c>
      <c r="E848" s="57" t="str">
        <f t="shared" si="1142"/>
        <v/>
      </c>
      <c r="F848" s="59" t="str">
        <f t="shared" si="1143"/>
        <v/>
      </c>
      <c r="G848" s="66" t="str">
        <f t="shared" si="1133"/>
        <v/>
      </c>
      <c r="H848" s="66" t="str">
        <f t="shared" si="1134"/>
        <v/>
      </c>
      <c r="I848" s="66" t="str">
        <f t="shared" si="1182"/>
        <v/>
      </c>
      <c r="J848" s="66" t="str">
        <f t="shared" si="1135"/>
        <v/>
      </c>
      <c r="K848" s="66" t="str">
        <f t="shared" si="1136"/>
        <v/>
      </c>
      <c r="L848" s="66" t="str">
        <f t="shared" si="1137"/>
        <v/>
      </c>
      <c r="M848" s="66" t="str">
        <f t="shared" si="1138"/>
        <v/>
      </c>
      <c r="N848" s="66" t="str">
        <f>+IF(C848="","",ROUND(Parámetros!$D$23,2))</f>
        <v/>
      </c>
      <c r="O848" s="66" t="str">
        <f t="shared" si="1139"/>
        <v/>
      </c>
      <c r="P848" s="66" t="str">
        <f>+IF($C848="","",ROUND(IF(B848&gt;Parámetros!$D$117,0,N848*Parámetros!$D$116-G848*Parámetros!$D$100),2))</f>
        <v/>
      </c>
      <c r="Q848" s="75" t="str">
        <f t="shared" si="1183"/>
        <v/>
      </c>
      <c r="R848" s="75" t="str">
        <f t="shared" si="1184"/>
        <v/>
      </c>
      <c r="S848" s="117" t="str">
        <f>+IF($C848="","",ROUND((S847+I848)*(1+Parámetros!$D$91),2))</f>
        <v/>
      </c>
      <c r="T848" s="117" t="str">
        <f>+IF($C848="","",ROUND(S848*VLOOKUP(B848,Parámetros!$C$30:$D$39,2,TRUE),2))</f>
        <v/>
      </c>
      <c r="U848" s="117" t="str">
        <f>+IF($C848="","",ROUND((U847+I848)*(1+Parámetros!$D$92),2))</f>
        <v/>
      </c>
      <c r="V848" s="117" t="str">
        <f>+IF($C848="","",ROUND(U848*VLOOKUP(B848,Parámetros!$C$30:$D$39,2,TRUE),2))</f>
        <v/>
      </c>
      <c r="W848" s="57" t="str">
        <f t="shared" si="1185"/>
        <v/>
      </c>
      <c r="X848" t="str">
        <f t="shared" si="1186"/>
        <v/>
      </c>
      <c r="Y848" t="str">
        <f t="shared" si="1187"/>
        <v/>
      </c>
      <c r="Z848" s="118" t="str">
        <f>+IF($W848="","",ROUND(IF(Parámetros!$D$25='TABLAS MORT'!$V$33,Z847,Parámetros!$D$21-'Tablas Servicio'!T847),0))</f>
        <v/>
      </c>
      <c r="AA848" s="118" t="str">
        <f t="shared" si="1188"/>
        <v/>
      </c>
      <c r="AB848" s="119" t="str">
        <f>+IF(W848="","",ROUND((VLOOKUP(ROUNDDOWN($D848-1/frec,0),qx_tabla,2,FALSE)*(1+i/frec)^-0.5*(1+Parámetros!$D$103)*(1+rec_fracc)/frec),6))</f>
        <v/>
      </c>
      <c r="AC848" s="66" t="str">
        <f t="shared" si="1144"/>
        <v/>
      </c>
      <c r="AD848" s="119" t="str">
        <f t="shared" si="1140"/>
        <v/>
      </c>
      <c r="AE848" s="66" t="str">
        <f>+IF($W848="","",ROUND(IF($B848&gt;Parámetros!$D$107,'Tablas Servicio'!AC848+('Tablas Servicio'!AG847-'Tablas Servicio'!AC847),AC848/(1-IF(B848&lt;=10,Parámetros!$D$104,Parámetros!$D$105))),2))</f>
        <v/>
      </c>
      <c r="AF848" s="66" t="str">
        <f>+IF($W848="","",ROUND(IF($B848&gt;Parámetros!$D$107,'Tablas Servicio'!AC848+('Tablas Servicio'!AG847-'Tablas Servicio'!AC847),(AC848+$A847/frec)/(1-IF(B848&lt;=Parámetros!$D$117,Parámetros!$D$100,0))),2))</f>
        <v/>
      </c>
      <c r="AG848" s="66" t="str">
        <f t="shared" si="1145"/>
        <v/>
      </c>
      <c r="AH848" s="66" t="str">
        <f t="shared" si="1146"/>
        <v/>
      </c>
      <c r="AI848" s="66" t="str">
        <f t="shared" si="1147"/>
        <v/>
      </c>
      <c r="AJ848" s="66" t="str">
        <f>+IF($W848="","",ROUND((AG848*Parámetros!$G$85),2))</f>
        <v/>
      </c>
      <c r="AK848" s="66" t="str">
        <f>+IF($W848="","",ROUND((AG848*(Parámetros!$G$86)),2))</f>
        <v/>
      </c>
      <c r="AL848" s="66" t="str">
        <f t="shared" si="1141"/>
        <v/>
      </c>
      <c r="AM848" t="str">
        <f t="shared" si="1189"/>
        <v/>
      </c>
      <c r="AN848" t="str">
        <f t="shared" si="1190"/>
        <v/>
      </c>
      <c r="AO848" s="118" t="str">
        <f t="shared" si="1191"/>
        <v/>
      </c>
      <c r="AP848" s="118" t="str">
        <f t="shared" si="1192"/>
        <v/>
      </c>
      <c r="AQ848" s="119" t="str">
        <f>+IF(OR($W848="",AO848=0),"",ROUND((VLOOKUP(ROUNDDOWN($D848-1/frec,0),cob_adi,Z$40,FALSE)*(1+i/frec)^-0.5*(1+Parámetros!$D$103)*(1+rec_fracc)/frec),6))</f>
        <v/>
      </c>
      <c r="AR848" s="66" t="str">
        <f t="shared" si="1148"/>
        <v/>
      </c>
      <c r="AS848" s="119" t="str">
        <f t="shared" si="1149"/>
        <v/>
      </c>
      <c r="AT848" s="66" t="str">
        <f>+IF($W848="","",ROUND(IF($B848&gt;Parámetros!$D$107,'Tablas Servicio'!AR848+('Tablas Servicio'!AT847-'Tablas Servicio'!AR847),AR848/(1-IF(B848&lt;=10,Parámetros!$D$100,0))),2))</f>
        <v/>
      </c>
      <c r="AU848" s="66" t="str">
        <f t="shared" si="1218"/>
        <v/>
      </c>
      <c r="AV848" s="66" t="str">
        <f t="shared" si="1218"/>
        <v/>
      </c>
      <c r="AW848" s="66" t="str">
        <f>+IF($W848="","",ROUND((AT848*Parámetros!$G$85),2))</f>
        <v/>
      </c>
      <c r="AX848" s="66" t="str">
        <f>+IF($W848="","",ROUND((AT848*(Parámetros!$G$86)),2))</f>
        <v/>
      </c>
      <c r="AY848" s="66" t="str">
        <f t="shared" si="1151"/>
        <v/>
      </c>
      <c r="AZ848" t="str">
        <f t="shared" si="1193"/>
        <v/>
      </c>
      <c r="BA848" t="str">
        <f t="shared" si="1194"/>
        <v/>
      </c>
      <c r="BB848" s="118" t="str">
        <f t="shared" si="1195"/>
        <v/>
      </c>
      <c r="BC848" s="118" t="str">
        <f t="shared" si="1196"/>
        <v/>
      </c>
      <c r="BD848" s="119" t="str">
        <f>+IF(OR($W848="",BB848=0),"",ROUND((VLOOKUP(ROUNDDOWN($D848-1/frec,0),cob_adi,AO$40,FALSE)*(1+i/frec)^-0.5*(1+Parámetros!$D$103)*(1+rec_fracc)/frec),6))</f>
        <v/>
      </c>
      <c r="BE848" s="66" t="str">
        <f t="shared" si="1152"/>
        <v/>
      </c>
      <c r="BF848" s="119" t="str">
        <f t="shared" si="1153"/>
        <v/>
      </c>
      <c r="BG848" s="66" t="str">
        <f>+IF($W848="","",ROUND(IF($B848&gt;Parámetros!$D$107,'Tablas Servicio'!BE848+('Tablas Servicio'!BG847-'Tablas Servicio'!BE847),BE848/(1-IF(B848&lt;=10,Parámetros!$D$100,0))),2))</f>
        <v/>
      </c>
      <c r="BH848" s="66" t="str">
        <f t="shared" si="1154"/>
        <v/>
      </c>
      <c r="BI848" s="66" t="str">
        <f t="shared" si="1155"/>
        <v/>
      </c>
      <c r="BJ848" s="66" t="str">
        <f>+IF($W848="","",ROUND((BG848*Parámetros!$G$85),2))</f>
        <v/>
      </c>
      <c r="BK848" s="66" t="str">
        <f>+IF($W848="","",ROUND((BG848*(Parámetros!$G$86)),2))</f>
        <v/>
      </c>
      <c r="BL848" s="66" t="str">
        <f t="shared" si="1156"/>
        <v/>
      </c>
      <c r="BM848" t="str">
        <f t="shared" si="1197"/>
        <v/>
      </c>
      <c r="BN848" t="str">
        <f t="shared" si="1198"/>
        <v/>
      </c>
      <c r="BO848" s="118" t="str">
        <f t="shared" si="1199"/>
        <v/>
      </c>
      <c r="BP848" s="118" t="str">
        <f t="shared" si="1200"/>
        <v/>
      </c>
      <c r="BQ848" s="119" t="str">
        <f>+IF(OR($W848="",BO848=0),"",ROUND((VLOOKUP(ROUNDDOWN($D848-1/frec,0),cob_adi,BB$40,FALSE)*(1+i/frec)^-0.5*(1+Parámetros!$D$103)*(1+rec_fracc)/frec),6))</f>
        <v/>
      </c>
      <c r="BR848" s="66" t="str">
        <f t="shared" si="1157"/>
        <v/>
      </c>
      <c r="BS848" s="119" t="str">
        <f t="shared" si="1158"/>
        <v/>
      </c>
      <c r="BT848" s="66" t="str">
        <f>+IF($W848="","",ROUND(IF($B848&gt;Parámetros!$D$107,'Tablas Servicio'!BR848+('Tablas Servicio'!BT847-'Tablas Servicio'!BR847),BR848/(1-IF(B848&lt;=10,Parámetros!$D$100,0))),2))</f>
        <v/>
      </c>
      <c r="BU848" s="66" t="str">
        <f t="shared" si="1219"/>
        <v/>
      </c>
      <c r="BV848" s="66" t="str">
        <f t="shared" si="1219"/>
        <v/>
      </c>
      <c r="BW848" s="66" t="str">
        <f>+IF($W848="","",ROUND((BT848*Parámetros!$G$85),2))</f>
        <v/>
      </c>
      <c r="BX848" s="66" t="str">
        <f>+IF($W848="","",ROUND((BT848*(Parámetros!$G$86)),2))</f>
        <v/>
      </c>
      <c r="BY848" s="66" t="str">
        <f t="shared" si="1160"/>
        <v/>
      </c>
      <c r="BZ848" t="str">
        <f t="shared" si="1201"/>
        <v/>
      </c>
      <c r="CA848" t="str">
        <f t="shared" si="1202"/>
        <v/>
      </c>
      <c r="CB848" s="118" t="str">
        <f t="shared" si="1203"/>
        <v/>
      </c>
      <c r="CC848" s="118" t="str">
        <f t="shared" si="1204"/>
        <v/>
      </c>
      <c r="CD848" s="119" t="str">
        <f t="shared" si="1161"/>
        <v/>
      </c>
      <c r="CE848" s="66" t="str">
        <f>+IF($W848="","",ROUND((VLOOKUP(ROUNDDOWN($D848-1/frec,0),cob_adi,BO$40,FALSE)*(1+i/frec)^-0.5*(1+Parámetros!$D$103)*(1+rec_fracc)/frec*'TABLAS ADI'!$BC$17),2))</f>
        <v/>
      </c>
      <c r="CF848" s="119" t="str">
        <f t="shared" si="1162"/>
        <v/>
      </c>
      <c r="CG848" s="66" t="str">
        <f>+IF($W848="","",ROUND(IF($B848&gt;Parámetros!$D$107,'Tablas Servicio'!CE848+('Tablas Servicio'!CG847-'Tablas Servicio'!CE847),CE848/(1-IF(B848&lt;=10,Parámetros!$D$100,0))),2))</f>
        <v/>
      </c>
      <c r="CH848" s="66" t="str">
        <f t="shared" si="1220"/>
        <v/>
      </c>
      <c r="CI848" s="66" t="str">
        <f t="shared" si="1220"/>
        <v/>
      </c>
      <c r="CJ848" s="66" t="str">
        <f>+IF($W848="","",ROUND((CG848*Parámetros!$G$85),2))</f>
        <v/>
      </c>
      <c r="CK848" s="66" t="str">
        <f>+IF($W848="","",ROUND((CG848*(Parámetros!$G$86)),2))</f>
        <v/>
      </c>
      <c r="CL848" s="66" t="str">
        <f t="shared" si="1164"/>
        <v/>
      </c>
      <c r="CM848" t="str">
        <f t="shared" si="1205"/>
        <v/>
      </c>
      <c r="CN848" s="118" t="str">
        <f t="shared" si="1206"/>
        <v/>
      </c>
      <c r="CO848" s="118" t="str">
        <f t="shared" si="1207"/>
        <v/>
      </c>
      <c r="CP848" s="118" t="str">
        <f t="shared" si="1208"/>
        <v/>
      </c>
      <c r="CQ848" s="119" t="str">
        <f t="shared" si="1165"/>
        <v/>
      </c>
      <c r="CR848" s="66" t="str">
        <f>+IF($W848="","",ROUND((VLOOKUP(Parámetros!$F$51,'COBERTURAS ADICIONALES'!$S$4:$T$32,2,FALSE)*(1+i/frec)^-0.5*(1+Parámetros!$D$103)*(1+rec_fracc)/frec*$CO$42),2))</f>
        <v/>
      </c>
      <c r="CS848" s="119" t="str">
        <f t="shared" si="1166"/>
        <v/>
      </c>
      <c r="CT848" s="66" t="str">
        <f>+IF($W848="","",ROUND(IF($B848&gt;Parámetros!$D$107,'Tablas Servicio'!CR848+('Tablas Servicio'!CT847-'Tablas Servicio'!CR847),CR848/(1-IF(B848&lt;=10,Parámetros!$D$100,0))),2))</f>
        <v/>
      </c>
      <c r="CU848" s="66" t="str">
        <f t="shared" si="1221"/>
        <v/>
      </c>
      <c r="CV848" s="66" t="str">
        <f t="shared" si="1221"/>
        <v/>
      </c>
      <c r="CW848" s="66" t="str">
        <f>+IF($W848="","",ROUND((CT848*Parámetros!$G$85),2))</f>
        <v/>
      </c>
      <c r="CX848" s="66" t="str">
        <f>+IF($W848="","",ROUND((CT848*(Parámetros!$G$86)),2))</f>
        <v/>
      </c>
      <c r="CY848" s="66" t="str">
        <f t="shared" si="1168"/>
        <v/>
      </c>
      <c r="CZ848" t="str">
        <f t="shared" si="1209"/>
        <v/>
      </c>
      <c r="DA848" s="118" t="str">
        <f t="shared" si="1210"/>
        <v/>
      </c>
      <c r="DB848" s="118" t="str">
        <f t="shared" si="1211"/>
        <v/>
      </c>
      <c r="DC848" s="118" t="str">
        <f t="shared" si="1212"/>
        <v/>
      </c>
      <c r="DD848" s="121" t="str">
        <f>+IF(OR($W848="",DB848=0),"",ROUND((VLOOKUP(ROUNDDOWN($D848-1/frec,0),cob_adi,CO$40,FALSE)*(1+i/frec)^-0.5*(1+Parámetros!$D$103)*(1+rec_fracc)/frec),6))</f>
        <v/>
      </c>
      <c r="DE848" s="66" t="str">
        <f t="shared" si="1169"/>
        <v/>
      </c>
      <c r="DF848" s="119" t="str">
        <f t="shared" si="1170"/>
        <v/>
      </c>
      <c r="DG848" s="66" t="str">
        <f>+IF($W848="","",ROUND(IF($B848&gt;Parámetros!$D$107,'Tablas Servicio'!DE848+('Tablas Servicio'!DG847-'Tablas Servicio'!DE847),DE848/(1-IF(B848&lt;=10,Parámetros!$D$100,0))),2))</f>
        <v/>
      </c>
      <c r="DH848" s="66" t="str">
        <f t="shared" si="1222"/>
        <v/>
      </c>
      <c r="DI848" s="66" t="str">
        <f t="shared" si="1222"/>
        <v/>
      </c>
      <c r="DJ848" s="66" t="str">
        <f>+IF($W848="","",ROUND((DG848*Parámetros!$G$85),2))</f>
        <v/>
      </c>
      <c r="DK848" s="66" t="str">
        <f>+IF($W848="","",ROUND((DG848*(Parámetros!$G$86)),2))</f>
        <v/>
      </c>
      <c r="DL848" s="66" t="str">
        <f t="shared" si="1172"/>
        <v/>
      </c>
      <c r="DM848" t="str">
        <f t="shared" si="1213"/>
        <v/>
      </c>
      <c r="DN848" s="118" t="str">
        <f t="shared" si="1214"/>
        <v/>
      </c>
      <c r="DO848" s="118" t="str">
        <f t="shared" si="1215"/>
        <v/>
      </c>
      <c r="DP848" s="118" t="str">
        <f t="shared" si="1216"/>
        <v/>
      </c>
      <c r="DQ848" s="122" t="str">
        <f>+IF(OR($W848="",DO848=0),"",ROUND((VLOOKUP(ROUNDDOWN($D848-1/frec,0),cob_adi,DB$40,FALSE)*(1+i/frec)^-0.5*(1+Parámetros!$D$103)*(1+rec_fracc)/frec),6))</f>
        <v/>
      </c>
      <c r="DR848" s="66" t="str">
        <f t="shared" si="1173"/>
        <v/>
      </c>
      <c r="DS848" s="68" t="str">
        <f t="shared" si="1174"/>
        <v/>
      </c>
      <c r="DT848" s="66" t="str">
        <f>+IF($W848="","",ROUND(IF($B848&gt;Parámetros!$D$107,'Tablas Servicio'!DR848+('Tablas Servicio'!DT847-'Tablas Servicio'!DR847),DR848/(1-IF(B848&lt;=10,Parámetros!$D$100,0))),2))</f>
        <v/>
      </c>
      <c r="DU848" s="66" t="str">
        <f t="shared" si="1223"/>
        <v/>
      </c>
      <c r="DV848" s="66" t="str">
        <f t="shared" si="1223"/>
        <v/>
      </c>
      <c r="DW848" s="66" t="str">
        <f>+IF($W848="","",ROUND((DT848*Parámetros!$G$85),2))</f>
        <v/>
      </c>
      <c r="DX848" s="66" t="str">
        <f>+IF($W848="","",ROUND((DT848*(Parámetros!$G$86)),2))</f>
        <v/>
      </c>
      <c r="DY848" s="66" t="str">
        <f t="shared" si="1176"/>
        <v/>
      </c>
      <c r="DZ848" t="str">
        <f t="shared" si="1224"/>
        <v/>
      </c>
      <c r="EA848" s="118" t="str">
        <f t="shared" si="1224"/>
        <v/>
      </c>
      <c r="EB848" s="118" t="str">
        <f>+IF($W848="","",ROUND(IF(Parámetros!$D$25='TABLAS MORT'!$V$33,EB847,Z848/2),0))</f>
        <v/>
      </c>
      <c r="EC848" s="118" t="str">
        <f t="shared" si="1224"/>
        <v/>
      </c>
      <c r="ED848" s="122" t="str">
        <f>+IF(OR($W848="",EB848=0),"",ROUND((VLOOKUP(ROUNDDOWN($D848-1/frec,0),cob_adi,DO$40,FALSE)*(1+i/frec)^-0.5*(1+Parámetros!$D$103)*(1+rec_fracc)/frec),6))</f>
        <v/>
      </c>
      <c r="EE848" s="66" t="str">
        <f t="shared" si="1178"/>
        <v/>
      </c>
      <c r="EF848" s="68" t="str">
        <f t="shared" si="1179"/>
        <v/>
      </c>
      <c r="EG848" s="66" t="str">
        <f>+IF($W848="","",ROUND(IF($B848&gt;Parámetros!$D$107,'Tablas Servicio'!EE848+('Tablas Servicio'!EG847-'Tablas Servicio'!EE847),EE848/(1-IF(B848&lt;=10,Parámetros!$D$100,0))),2))</f>
        <v/>
      </c>
      <c r="EH848" s="66" t="str">
        <f t="shared" si="1225"/>
        <v/>
      </c>
      <c r="EI848" s="66" t="str">
        <f t="shared" si="1225"/>
        <v/>
      </c>
      <c r="EJ848" s="66" t="str">
        <f>+IF($W848="","",ROUND((EG848*Parámetros!$G$85),2))</f>
        <v/>
      </c>
      <c r="EK848" s="66" t="str">
        <f>+IF($W848="","",ROUND((EG848*(Parámetros!$G$86)),2))</f>
        <v/>
      </c>
      <c r="EL848" s="66" t="str">
        <f t="shared" si="1181"/>
        <v/>
      </c>
    </row>
    <row r="849" spans="1:142" x14ac:dyDescent="0.25">
      <c r="A849" t="str">
        <f>+IF($C849="","",ROUND(VLOOKUP('Tablas Servicio'!B849,Parámetros!$H$100:$J$159,IF(Parámetros!$E$16="F",2,3),FALSE),2))</f>
        <v/>
      </c>
      <c r="B849" t="str">
        <f t="shared" si="1132"/>
        <v/>
      </c>
      <c r="C849" s="57" t="str">
        <f>+IF(D849="","",'Tablas Servicio'!C848+1)</f>
        <v/>
      </c>
      <c r="D849" s="56" t="str">
        <f>+IF(D848&lt;edadmaxtabla,D848+1/Parámetros!$E$25,"")</f>
        <v/>
      </c>
      <c r="E849" s="57" t="str">
        <f t="shared" si="1142"/>
        <v/>
      </c>
      <c r="F849" s="59" t="str">
        <f t="shared" si="1143"/>
        <v/>
      </c>
      <c r="G849" s="66" t="str">
        <f t="shared" si="1133"/>
        <v/>
      </c>
      <c r="H849" s="66" t="str">
        <f t="shared" si="1134"/>
        <v/>
      </c>
      <c r="I849" s="66" t="str">
        <f t="shared" si="1182"/>
        <v/>
      </c>
      <c r="J849" s="66" t="str">
        <f t="shared" si="1135"/>
        <v/>
      </c>
      <c r="K849" s="66" t="str">
        <f t="shared" si="1136"/>
        <v/>
      </c>
      <c r="L849" s="66" t="str">
        <f t="shared" si="1137"/>
        <v/>
      </c>
      <c r="M849" s="66" t="str">
        <f t="shared" si="1138"/>
        <v/>
      </c>
      <c r="N849" s="66" t="str">
        <f>+IF(C849="","",ROUND(Parámetros!$D$23,2))</f>
        <v/>
      </c>
      <c r="O849" s="66" t="str">
        <f t="shared" si="1139"/>
        <v/>
      </c>
      <c r="P849" s="66" t="str">
        <f>+IF($C849="","",ROUND(IF(B849&gt;Parámetros!$D$117,0,N849*Parámetros!$D$116-G849*Parámetros!$D$100),2))</f>
        <v/>
      </c>
      <c r="Q849" s="75" t="str">
        <f t="shared" si="1183"/>
        <v/>
      </c>
      <c r="R849" s="75" t="str">
        <f t="shared" si="1184"/>
        <v/>
      </c>
      <c r="S849" s="117" t="str">
        <f>+IF($C849="","",ROUND((S848+I849)*(1+Parámetros!$D$91),2))</f>
        <v/>
      </c>
      <c r="T849" s="117" t="str">
        <f>+IF($C849="","",ROUND(S849*VLOOKUP(B849,Parámetros!$C$30:$D$39,2,TRUE),2))</f>
        <v/>
      </c>
      <c r="U849" s="117" t="str">
        <f>+IF($C849="","",ROUND((U848+I849)*(1+Parámetros!$D$92),2))</f>
        <v/>
      </c>
      <c r="V849" s="117" t="str">
        <f>+IF($C849="","",ROUND(U849*VLOOKUP(B849,Parámetros!$C$30:$D$39,2,TRUE),2))</f>
        <v/>
      </c>
      <c r="W849" s="57" t="str">
        <f t="shared" si="1185"/>
        <v/>
      </c>
      <c r="X849" t="str">
        <f t="shared" si="1186"/>
        <v/>
      </c>
      <c r="Y849" t="str">
        <f t="shared" si="1187"/>
        <v/>
      </c>
      <c r="Z849" s="118" t="str">
        <f>+IF($W849="","",ROUND(IF(Parámetros!$D$25='TABLAS MORT'!$V$33,Z848,Parámetros!$D$21-'Tablas Servicio'!T848),0))</f>
        <v/>
      </c>
      <c r="AA849" s="118" t="str">
        <f t="shared" si="1188"/>
        <v/>
      </c>
      <c r="AB849" s="119" t="str">
        <f>+IF(W849="","",ROUND((VLOOKUP(ROUNDDOWN($D849-1/frec,0),qx_tabla,2,FALSE)*(1+i/frec)^-0.5*(1+Parámetros!$D$103)*(1+rec_fracc)/frec),6))</f>
        <v/>
      </c>
      <c r="AC849" s="66" t="str">
        <f t="shared" si="1144"/>
        <v/>
      </c>
      <c r="AD849" s="119" t="str">
        <f t="shared" si="1140"/>
        <v/>
      </c>
      <c r="AE849" s="66" t="str">
        <f>+IF($W849="","",ROUND(IF($B849&gt;Parámetros!$D$107,'Tablas Servicio'!AC849+('Tablas Servicio'!AG848-'Tablas Servicio'!AC848),AC849/(1-IF(B849&lt;=10,Parámetros!$D$104,Parámetros!$D$105))),2))</f>
        <v/>
      </c>
      <c r="AF849" s="66" t="str">
        <f>+IF($W849="","",ROUND(IF($B849&gt;Parámetros!$D$107,'Tablas Servicio'!AC849+('Tablas Servicio'!AG848-'Tablas Servicio'!AC848),(AC849+$A848/frec)/(1-IF(B849&lt;=Parámetros!$D$117,Parámetros!$D$100,0))),2))</f>
        <v/>
      </c>
      <c r="AG849" s="66" t="str">
        <f t="shared" si="1145"/>
        <v/>
      </c>
      <c r="AH849" s="66" t="str">
        <f t="shared" si="1146"/>
        <v/>
      </c>
      <c r="AI849" s="66" t="str">
        <f t="shared" si="1147"/>
        <v/>
      </c>
      <c r="AJ849" s="66" t="str">
        <f>+IF($W849="","",ROUND((AG849*Parámetros!$G$85),2))</f>
        <v/>
      </c>
      <c r="AK849" s="66" t="str">
        <f>+IF($W849="","",ROUND((AG849*(Parámetros!$G$86)),2))</f>
        <v/>
      </c>
      <c r="AL849" s="66" t="str">
        <f t="shared" si="1141"/>
        <v/>
      </c>
      <c r="AM849" t="str">
        <f t="shared" si="1189"/>
        <v/>
      </c>
      <c r="AN849" t="str">
        <f t="shared" si="1190"/>
        <v/>
      </c>
      <c r="AO849" s="118" t="str">
        <f t="shared" si="1191"/>
        <v/>
      </c>
      <c r="AP849" s="118" t="str">
        <f t="shared" si="1192"/>
        <v/>
      </c>
      <c r="AQ849" s="119" t="str">
        <f>+IF(OR($W849="",AO849=0),"",ROUND((VLOOKUP(ROUNDDOWN($D849-1/frec,0),cob_adi,Z$40,FALSE)*(1+i/frec)^-0.5*(1+Parámetros!$D$103)*(1+rec_fracc)/frec),6))</f>
        <v/>
      </c>
      <c r="AR849" s="66" t="str">
        <f t="shared" si="1148"/>
        <v/>
      </c>
      <c r="AS849" s="119" t="str">
        <f t="shared" si="1149"/>
        <v/>
      </c>
      <c r="AT849" s="66" t="str">
        <f>+IF($W849="","",ROUND(IF($B849&gt;Parámetros!$D$107,'Tablas Servicio'!AR849+('Tablas Servicio'!AT848-'Tablas Servicio'!AR848),AR849/(1-IF(B849&lt;=10,Parámetros!$D$100,0))),2))</f>
        <v/>
      </c>
      <c r="AU849" s="66" t="str">
        <f t="shared" si="1218"/>
        <v/>
      </c>
      <c r="AV849" s="66" t="str">
        <f t="shared" si="1218"/>
        <v/>
      </c>
      <c r="AW849" s="66" t="str">
        <f>+IF($W849="","",ROUND((AT849*Parámetros!$G$85),2))</f>
        <v/>
      </c>
      <c r="AX849" s="66" t="str">
        <f>+IF($W849="","",ROUND((AT849*(Parámetros!$G$86)),2))</f>
        <v/>
      </c>
      <c r="AY849" s="66" t="str">
        <f t="shared" si="1151"/>
        <v/>
      </c>
      <c r="AZ849" t="str">
        <f t="shared" si="1193"/>
        <v/>
      </c>
      <c r="BA849" t="str">
        <f t="shared" si="1194"/>
        <v/>
      </c>
      <c r="BB849" s="118" t="str">
        <f t="shared" si="1195"/>
        <v/>
      </c>
      <c r="BC849" s="118" t="str">
        <f t="shared" si="1196"/>
        <v/>
      </c>
      <c r="BD849" s="119" t="str">
        <f>+IF(OR($W849="",BB849=0),"",ROUND((VLOOKUP(ROUNDDOWN($D849-1/frec,0),cob_adi,AO$40,FALSE)*(1+i/frec)^-0.5*(1+Parámetros!$D$103)*(1+rec_fracc)/frec),6))</f>
        <v/>
      </c>
      <c r="BE849" s="66" t="str">
        <f t="shared" si="1152"/>
        <v/>
      </c>
      <c r="BF849" s="119" t="str">
        <f t="shared" si="1153"/>
        <v/>
      </c>
      <c r="BG849" s="66" t="str">
        <f>+IF($W849="","",ROUND(IF($B849&gt;Parámetros!$D$107,'Tablas Servicio'!BE849+('Tablas Servicio'!BG848-'Tablas Servicio'!BE848),BE849/(1-IF(B849&lt;=10,Parámetros!$D$100,0))),2))</f>
        <v/>
      </c>
      <c r="BH849" s="66" t="str">
        <f t="shared" si="1154"/>
        <v/>
      </c>
      <c r="BI849" s="66" t="str">
        <f t="shared" si="1155"/>
        <v/>
      </c>
      <c r="BJ849" s="66" t="str">
        <f>+IF($W849="","",ROUND((BG849*Parámetros!$G$85),2))</f>
        <v/>
      </c>
      <c r="BK849" s="66" t="str">
        <f>+IF($W849="","",ROUND((BG849*(Parámetros!$G$86)),2))</f>
        <v/>
      </c>
      <c r="BL849" s="66" t="str">
        <f t="shared" si="1156"/>
        <v/>
      </c>
      <c r="BM849" t="str">
        <f t="shared" si="1197"/>
        <v/>
      </c>
      <c r="BN849" t="str">
        <f t="shared" si="1198"/>
        <v/>
      </c>
      <c r="BO849" s="118" t="str">
        <f t="shared" si="1199"/>
        <v/>
      </c>
      <c r="BP849" s="118" t="str">
        <f t="shared" si="1200"/>
        <v/>
      </c>
      <c r="BQ849" s="119" t="str">
        <f>+IF(OR($W849="",BO849=0),"",ROUND((VLOOKUP(ROUNDDOWN($D849-1/frec,0),cob_adi,BB$40,FALSE)*(1+i/frec)^-0.5*(1+Parámetros!$D$103)*(1+rec_fracc)/frec),6))</f>
        <v/>
      </c>
      <c r="BR849" s="66" t="str">
        <f t="shared" si="1157"/>
        <v/>
      </c>
      <c r="BS849" s="119" t="str">
        <f t="shared" si="1158"/>
        <v/>
      </c>
      <c r="BT849" s="66" t="str">
        <f>+IF($W849="","",ROUND(IF($B849&gt;Parámetros!$D$107,'Tablas Servicio'!BR849+('Tablas Servicio'!BT848-'Tablas Servicio'!BR848),BR849/(1-IF(B849&lt;=10,Parámetros!$D$100,0))),2))</f>
        <v/>
      </c>
      <c r="BU849" s="66" t="str">
        <f t="shared" si="1219"/>
        <v/>
      </c>
      <c r="BV849" s="66" t="str">
        <f t="shared" si="1219"/>
        <v/>
      </c>
      <c r="BW849" s="66" t="str">
        <f>+IF($W849="","",ROUND((BT849*Parámetros!$G$85),2))</f>
        <v/>
      </c>
      <c r="BX849" s="66" t="str">
        <f>+IF($W849="","",ROUND((BT849*(Parámetros!$G$86)),2))</f>
        <v/>
      </c>
      <c r="BY849" s="66" t="str">
        <f t="shared" si="1160"/>
        <v/>
      </c>
      <c r="BZ849" t="str">
        <f t="shared" si="1201"/>
        <v/>
      </c>
      <c r="CA849" t="str">
        <f t="shared" si="1202"/>
        <v/>
      </c>
      <c r="CB849" s="118" t="str">
        <f t="shared" si="1203"/>
        <v/>
      </c>
      <c r="CC849" s="118" t="str">
        <f t="shared" si="1204"/>
        <v/>
      </c>
      <c r="CD849" s="119" t="str">
        <f t="shared" si="1161"/>
        <v/>
      </c>
      <c r="CE849" s="66" t="str">
        <f>+IF($W849="","",ROUND((VLOOKUP(ROUNDDOWN($D849-1/frec,0),cob_adi,BO$40,FALSE)*(1+i/frec)^-0.5*(1+Parámetros!$D$103)*(1+rec_fracc)/frec*'TABLAS ADI'!$BC$17),2))</f>
        <v/>
      </c>
      <c r="CF849" s="119" t="str">
        <f t="shared" si="1162"/>
        <v/>
      </c>
      <c r="CG849" s="66" t="str">
        <f>+IF($W849="","",ROUND(IF($B849&gt;Parámetros!$D$107,'Tablas Servicio'!CE849+('Tablas Servicio'!CG848-'Tablas Servicio'!CE848),CE849/(1-IF(B849&lt;=10,Parámetros!$D$100,0))),2))</f>
        <v/>
      </c>
      <c r="CH849" s="66" t="str">
        <f t="shared" si="1220"/>
        <v/>
      </c>
      <c r="CI849" s="66" t="str">
        <f t="shared" si="1220"/>
        <v/>
      </c>
      <c r="CJ849" s="66" t="str">
        <f>+IF($W849="","",ROUND((CG849*Parámetros!$G$85),2))</f>
        <v/>
      </c>
      <c r="CK849" s="66" t="str">
        <f>+IF($W849="","",ROUND((CG849*(Parámetros!$G$86)),2))</f>
        <v/>
      </c>
      <c r="CL849" s="66" t="str">
        <f t="shared" si="1164"/>
        <v/>
      </c>
      <c r="CM849" t="str">
        <f t="shared" si="1205"/>
        <v/>
      </c>
      <c r="CN849" s="118" t="str">
        <f t="shared" si="1206"/>
        <v/>
      </c>
      <c r="CO849" s="118" t="str">
        <f t="shared" si="1207"/>
        <v/>
      </c>
      <c r="CP849" s="118" t="str">
        <f t="shared" si="1208"/>
        <v/>
      </c>
      <c r="CQ849" s="119" t="str">
        <f t="shared" si="1165"/>
        <v/>
      </c>
      <c r="CR849" s="66" t="str">
        <f>+IF($W849="","",ROUND((VLOOKUP(Parámetros!$F$51,'COBERTURAS ADICIONALES'!$S$4:$T$32,2,FALSE)*(1+i/frec)^-0.5*(1+Parámetros!$D$103)*(1+rec_fracc)/frec*$CO$42),2))</f>
        <v/>
      </c>
      <c r="CS849" s="119" t="str">
        <f t="shared" si="1166"/>
        <v/>
      </c>
      <c r="CT849" s="66" t="str">
        <f>+IF($W849="","",ROUND(IF($B849&gt;Parámetros!$D$107,'Tablas Servicio'!CR849+('Tablas Servicio'!CT848-'Tablas Servicio'!CR848),CR849/(1-IF(B849&lt;=10,Parámetros!$D$100,0))),2))</f>
        <v/>
      </c>
      <c r="CU849" s="66" t="str">
        <f t="shared" si="1221"/>
        <v/>
      </c>
      <c r="CV849" s="66" t="str">
        <f t="shared" si="1221"/>
        <v/>
      </c>
      <c r="CW849" s="66" t="str">
        <f>+IF($W849="","",ROUND((CT849*Parámetros!$G$85),2))</f>
        <v/>
      </c>
      <c r="CX849" s="66" t="str">
        <f>+IF($W849="","",ROUND((CT849*(Parámetros!$G$86)),2))</f>
        <v/>
      </c>
      <c r="CY849" s="66" t="str">
        <f t="shared" si="1168"/>
        <v/>
      </c>
      <c r="CZ849" t="str">
        <f t="shared" si="1209"/>
        <v/>
      </c>
      <c r="DA849" s="118" t="str">
        <f t="shared" si="1210"/>
        <v/>
      </c>
      <c r="DB849" s="118" t="str">
        <f t="shared" si="1211"/>
        <v/>
      </c>
      <c r="DC849" s="118" t="str">
        <f t="shared" si="1212"/>
        <v/>
      </c>
      <c r="DD849" s="121" t="str">
        <f>+IF(OR($W849="",DB849=0),"",ROUND((VLOOKUP(ROUNDDOWN($D849-1/frec,0),cob_adi,CO$40,FALSE)*(1+i/frec)^-0.5*(1+Parámetros!$D$103)*(1+rec_fracc)/frec),6))</f>
        <v/>
      </c>
      <c r="DE849" s="66" t="str">
        <f t="shared" si="1169"/>
        <v/>
      </c>
      <c r="DF849" s="119" t="str">
        <f t="shared" si="1170"/>
        <v/>
      </c>
      <c r="DG849" s="66" t="str">
        <f>+IF($W849="","",ROUND(IF($B849&gt;Parámetros!$D$107,'Tablas Servicio'!DE849+('Tablas Servicio'!DG848-'Tablas Servicio'!DE848),DE849/(1-IF(B849&lt;=10,Parámetros!$D$100,0))),2))</f>
        <v/>
      </c>
      <c r="DH849" s="66" t="str">
        <f t="shared" si="1222"/>
        <v/>
      </c>
      <c r="DI849" s="66" t="str">
        <f t="shared" si="1222"/>
        <v/>
      </c>
      <c r="DJ849" s="66" t="str">
        <f>+IF($W849="","",ROUND((DG849*Parámetros!$G$85),2))</f>
        <v/>
      </c>
      <c r="DK849" s="66" t="str">
        <f>+IF($W849="","",ROUND((DG849*(Parámetros!$G$86)),2))</f>
        <v/>
      </c>
      <c r="DL849" s="66" t="str">
        <f t="shared" si="1172"/>
        <v/>
      </c>
      <c r="DM849" t="str">
        <f t="shared" si="1213"/>
        <v/>
      </c>
      <c r="DN849" s="118" t="str">
        <f t="shared" si="1214"/>
        <v/>
      </c>
      <c r="DO849" s="118" t="str">
        <f t="shared" si="1215"/>
        <v/>
      </c>
      <c r="DP849" s="118" t="str">
        <f t="shared" si="1216"/>
        <v/>
      </c>
      <c r="DQ849" s="122" t="str">
        <f>+IF(OR($W849="",DO849=0),"",ROUND((VLOOKUP(ROUNDDOWN($D849-1/frec,0),cob_adi,DB$40,FALSE)*(1+i/frec)^-0.5*(1+Parámetros!$D$103)*(1+rec_fracc)/frec),6))</f>
        <v/>
      </c>
      <c r="DR849" s="66" t="str">
        <f t="shared" si="1173"/>
        <v/>
      </c>
      <c r="DS849" s="68" t="str">
        <f t="shared" si="1174"/>
        <v/>
      </c>
      <c r="DT849" s="66" t="str">
        <f>+IF($W849="","",ROUND(IF($B849&gt;Parámetros!$D$107,'Tablas Servicio'!DR849+('Tablas Servicio'!DT848-'Tablas Servicio'!DR848),DR849/(1-IF(B849&lt;=10,Parámetros!$D$100,0))),2))</f>
        <v/>
      </c>
      <c r="DU849" s="66" t="str">
        <f t="shared" si="1223"/>
        <v/>
      </c>
      <c r="DV849" s="66" t="str">
        <f t="shared" si="1223"/>
        <v/>
      </c>
      <c r="DW849" s="66" t="str">
        <f>+IF($W849="","",ROUND((DT849*Parámetros!$G$85),2))</f>
        <v/>
      </c>
      <c r="DX849" s="66" t="str">
        <f>+IF($W849="","",ROUND((DT849*(Parámetros!$G$86)),2))</f>
        <v/>
      </c>
      <c r="DY849" s="66" t="str">
        <f t="shared" si="1176"/>
        <v/>
      </c>
      <c r="DZ849" t="str">
        <f t="shared" si="1224"/>
        <v/>
      </c>
      <c r="EA849" s="118" t="str">
        <f t="shared" si="1224"/>
        <v/>
      </c>
      <c r="EB849" s="118" t="str">
        <f>+IF($W849="","",ROUND(IF(Parámetros!$D$25='TABLAS MORT'!$V$33,EB848,Z849/2),0))</f>
        <v/>
      </c>
      <c r="EC849" s="118" t="str">
        <f t="shared" si="1224"/>
        <v/>
      </c>
      <c r="ED849" s="122" t="str">
        <f>+IF(OR($W849="",EB849=0),"",ROUND((VLOOKUP(ROUNDDOWN($D849-1/frec,0),cob_adi,DO$40,FALSE)*(1+i/frec)^-0.5*(1+Parámetros!$D$103)*(1+rec_fracc)/frec),6))</f>
        <v/>
      </c>
      <c r="EE849" s="66" t="str">
        <f t="shared" si="1178"/>
        <v/>
      </c>
      <c r="EF849" s="68" t="str">
        <f t="shared" si="1179"/>
        <v/>
      </c>
      <c r="EG849" s="66" t="str">
        <f>+IF($W849="","",ROUND(IF($B849&gt;Parámetros!$D$107,'Tablas Servicio'!EE849+('Tablas Servicio'!EG848-'Tablas Servicio'!EE848),EE849/(1-IF(B849&lt;=10,Parámetros!$D$100,0))),2))</f>
        <v/>
      </c>
      <c r="EH849" s="66" t="str">
        <f t="shared" si="1225"/>
        <v/>
      </c>
      <c r="EI849" s="66" t="str">
        <f t="shared" si="1225"/>
        <v/>
      </c>
      <c r="EJ849" s="66" t="str">
        <f>+IF($W849="","",ROUND((EG849*Parámetros!$G$85),2))</f>
        <v/>
      </c>
      <c r="EK849" s="66" t="str">
        <f>+IF($W849="","",ROUND((EG849*(Parámetros!$G$86)),2))</f>
        <v/>
      </c>
      <c r="EL849" s="66" t="str">
        <f t="shared" si="1181"/>
        <v/>
      </c>
    </row>
    <row r="850" spans="1:142" x14ac:dyDescent="0.25">
      <c r="A850" t="str">
        <f>+IF($C850="","",ROUND(VLOOKUP('Tablas Servicio'!B850,Parámetros!$H$100:$J$159,IF(Parámetros!$E$16="F",2,3),FALSE),2))</f>
        <v/>
      </c>
      <c r="B850" t="str">
        <f t="shared" si="1132"/>
        <v/>
      </c>
      <c r="C850" s="57" t="str">
        <f>+IF(D850="","",'Tablas Servicio'!C849+1)</f>
        <v/>
      </c>
      <c r="D850" s="56" t="str">
        <f>+IF(D849&lt;edadmaxtabla,D849+1/Parámetros!$E$25,"")</f>
        <v/>
      </c>
      <c r="E850" s="57" t="str">
        <f t="shared" si="1142"/>
        <v/>
      </c>
      <c r="F850" s="59" t="str">
        <f t="shared" si="1143"/>
        <v/>
      </c>
      <c r="G850" s="66" t="str">
        <f t="shared" si="1133"/>
        <v/>
      </c>
      <c r="H850" s="66" t="str">
        <f t="shared" si="1134"/>
        <v/>
      </c>
      <c r="I850" s="66" t="str">
        <f t="shared" si="1182"/>
        <v/>
      </c>
      <c r="J850" s="66" t="str">
        <f t="shared" si="1135"/>
        <v/>
      </c>
      <c r="K850" s="66" t="str">
        <f t="shared" si="1136"/>
        <v/>
      </c>
      <c r="L850" s="66" t="str">
        <f t="shared" si="1137"/>
        <v/>
      </c>
      <c r="M850" s="66" t="str">
        <f t="shared" si="1138"/>
        <v/>
      </c>
      <c r="N850" s="66" t="str">
        <f>+IF(C850="","",ROUND(Parámetros!$D$23,2))</f>
        <v/>
      </c>
      <c r="O850" s="66" t="str">
        <f t="shared" si="1139"/>
        <v/>
      </c>
      <c r="P850" s="66" t="str">
        <f>+IF($C850="","",ROUND(IF(B850&gt;Parámetros!$D$117,0,N850*Parámetros!$D$116-G850*Parámetros!$D$100),2))</f>
        <v/>
      </c>
      <c r="Q850" s="75" t="str">
        <f t="shared" si="1183"/>
        <v/>
      </c>
      <c r="R850" s="75" t="str">
        <f t="shared" si="1184"/>
        <v/>
      </c>
      <c r="S850" s="117" t="str">
        <f>+IF($C850="","",ROUND((S849+I850)*(1+Parámetros!$D$91),2))</f>
        <v/>
      </c>
      <c r="T850" s="117" t="str">
        <f>+IF($C850="","",ROUND(S850*VLOOKUP(B850,Parámetros!$C$30:$D$39,2,TRUE),2))</f>
        <v/>
      </c>
      <c r="U850" s="117" t="str">
        <f>+IF($C850="","",ROUND((U849+I850)*(1+Parámetros!$D$92),2))</f>
        <v/>
      </c>
      <c r="V850" s="117" t="str">
        <f>+IF($C850="","",ROUND(U850*VLOOKUP(B850,Parámetros!$C$30:$D$39,2,TRUE),2))</f>
        <v/>
      </c>
      <c r="W850" s="57" t="str">
        <f t="shared" si="1185"/>
        <v/>
      </c>
      <c r="X850" t="str">
        <f t="shared" si="1186"/>
        <v/>
      </c>
      <c r="Y850" t="str">
        <f t="shared" si="1187"/>
        <v/>
      </c>
      <c r="Z850" s="118" t="str">
        <f>+IF($W850="","",ROUND(IF(Parámetros!$D$25='TABLAS MORT'!$V$33,Z849,Parámetros!$D$21-'Tablas Servicio'!T849),0))</f>
        <v/>
      </c>
      <c r="AA850" s="118" t="str">
        <f t="shared" si="1188"/>
        <v/>
      </c>
      <c r="AB850" s="119" t="str">
        <f>+IF(W850="","",ROUND((VLOOKUP(ROUNDDOWN($D850-1/frec,0),qx_tabla,2,FALSE)*(1+i/frec)^-0.5*(1+Parámetros!$D$103)*(1+rec_fracc)/frec),6))</f>
        <v/>
      </c>
      <c r="AC850" s="66" t="str">
        <f t="shared" si="1144"/>
        <v/>
      </c>
      <c r="AD850" s="119" t="str">
        <f t="shared" si="1140"/>
        <v/>
      </c>
      <c r="AE850" s="66" t="str">
        <f>+IF($W850="","",ROUND(IF($B850&gt;Parámetros!$D$107,'Tablas Servicio'!AC850+('Tablas Servicio'!AG849-'Tablas Servicio'!AC849),AC850/(1-IF(B850&lt;=10,Parámetros!$D$104,Parámetros!$D$105))),2))</f>
        <v/>
      </c>
      <c r="AF850" s="66" t="str">
        <f>+IF($W850="","",ROUND(IF($B850&gt;Parámetros!$D$107,'Tablas Servicio'!AC850+('Tablas Servicio'!AG849-'Tablas Servicio'!AC849),(AC850+$A849/frec)/(1-IF(B850&lt;=Parámetros!$D$117,Parámetros!$D$100,0))),2))</f>
        <v/>
      </c>
      <c r="AG850" s="66" t="str">
        <f t="shared" si="1145"/>
        <v/>
      </c>
      <c r="AH850" s="66" t="str">
        <f t="shared" si="1146"/>
        <v/>
      </c>
      <c r="AI850" s="66" t="str">
        <f t="shared" si="1147"/>
        <v/>
      </c>
      <c r="AJ850" s="66" t="str">
        <f>+IF($W850="","",ROUND((AG850*Parámetros!$G$85),2))</f>
        <v/>
      </c>
      <c r="AK850" s="66" t="str">
        <f>+IF($W850="","",ROUND((AG850*(Parámetros!$G$86)),2))</f>
        <v/>
      </c>
      <c r="AL850" s="66" t="str">
        <f t="shared" si="1141"/>
        <v/>
      </c>
      <c r="AM850" t="str">
        <f t="shared" si="1189"/>
        <v/>
      </c>
      <c r="AN850" t="str">
        <f t="shared" si="1190"/>
        <v/>
      </c>
      <c r="AO850" s="118" t="str">
        <f t="shared" si="1191"/>
        <v/>
      </c>
      <c r="AP850" s="118" t="str">
        <f t="shared" si="1192"/>
        <v/>
      </c>
      <c r="AQ850" s="119" t="str">
        <f>+IF(OR($W850="",AO850=0),"",ROUND((VLOOKUP(ROUNDDOWN($D850-1/frec,0),cob_adi,Z$40,FALSE)*(1+i/frec)^-0.5*(1+Parámetros!$D$103)*(1+rec_fracc)/frec),6))</f>
        <v/>
      </c>
      <c r="AR850" s="66" t="str">
        <f t="shared" si="1148"/>
        <v/>
      </c>
      <c r="AS850" s="119" t="str">
        <f t="shared" si="1149"/>
        <v/>
      </c>
      <c r="AT850" s="66" t="str">
        <f>+IF($W850="","",ROUND(IF($B850&gt;Parámetros!$D$107,'Tablas Servicio'!AR850+('Tablas Servicio'!AT849-'Tablas Servicio'!AR849),AR850/(1-IF(B850&lt;=10,Parámetros!$D$100,0))),2))</f>
        <v/>
      </c>
      <c r="AU850" s="66" t="str">
        <f t="shared" si="1218"/>
        <v/>
      </c>
      <c r="AV850" s="66" t="str">
        <f t="shared" si="1218"/>
        <v/>
      </c>
      <c r="AW850" s="66" t="str">
        <f>+IF($W850="","",ROUND((AT850*Parámetros!$G$85),2))</f>
        <v/>
      </c>
      <c r="AX850" s="66" t="str">
        <f>+IF($W850="","",ROUND((AT850*(Parámetros!$G$86)),2))</f>
        <v/>
      </c>
      <c r="AY850" s="66" t="str">
        <f t="shared" si="1151"/>
        <v/>
      </c>
      <c r="AZ850" t="str">
        <f t="shared" si="1193"/>
        <v/>
      </c>
      <c r="BA850" t="str">
        <f t="shared" si="1194"/>
        <v/>
      </c>
      <c r="BB850" s="118" t="str">
        <f t="shared" si="1195"/>
        <v/>
      </c>
      <c r="BC850" s="118" t="str">
        <f t="shared" si="1196"/>
        <v/>
      </c>
      <c r="BD850" s="119" t="str">
        <f>+IF(OR($W850="",BB850=0),"",ROUND((VLOOKUP(ROUNDDOWN($D850-1/frec,0),cob_adi,AO$40,FALSE)*(1+i/frec)^-0.5*(1+Parámetros!$D$103)*(1+rec_fracc)/frec),6))</f>
        <v/>
      </c>
      <c r="BE850" s="66" t="str">
        <f t="shared" si="1152"/>
        <v/>
      </c>
      <c r="BF850" s="119" t="str">
        <f t="shared" si="1153"/>
        <v/>
      </c>
      <c r="BG850" s="66" t="str">
        <f>+IF($W850="","",ROUND(IF($B850&gt;Parámetros!$D$107,'Tablas Servicio'!BE850+('Tablas Servicio'!BG849-'Tablas Servicio'!BE849),BE850/(1-IF(B850&lt;=10,Parámetros!$D$100,0))),2))</f>
        <v/>
      </c>
      <c r="BH850" s="66" t="str">
        <f t="shared" si="1154"/>
        <v/>
      </c>
      <c r="BI850" s="66" t="str">
        <f t="shared" si="1155"/>
        <v/>
      </c>
      <c r="BJ850" s="66" t="str">
        <f>+IF($W850="","",ROUND((BG850*Parámetros!$G$85),2))</f>
        <v/>
      </c>
      <c r="BK850" s="66" t="str">
        <f>+IF($W850="","",ROUND((BG850*(Parámetros!$G$86)),2))</f>
        <v/>
      </c>
      <c r="BL850" s="66" t="str">
        <f t="shared" si="1156"/>
        <v/>
      </c>
      <c r="BM850" t="str">
        <f t="shared" si="1197"/>
        <v/>
      </c>
      <c r="BN850" t="str">
        <f t="shared" si="1198"/>
        <v/>
      </c>
      <c r="BO850" s="118" t="str">
        <f t="shared" si="1199"/>
        <v/>
      </c>
      <c r="BP850" s="118" t="str">
        <f t="shared" si="1200"/>
        <v/>
      </c>
      <c r="BQ850" s="119" t="str">
        <f>+IF(OR($W850="",BO850=0),"",ROUND((VLOOKUP(ROUNDDOWN($D850-1/frec,0),cob_adi,BB$40,FALSE)*(1+i/frec)^-0.5*(1+Parámetros!$D$103)*(1+rec_fracc)/frec),6))</f>
        <v/>
      </c>
      <c r="BR850" s="66" t="str">
        <f t="shared" si="1157"/>
        <v/>
      </c>
      <c r="BS850" s="119" t="str">
        <f t="shared" si="1158"/>
        <v/>
      </c>
      <c r="BT850" s="66" t="str">
        <f>+IF($W850="","",ROUND(IF($B850&gt;Parámetros!$D$107,'Tablas Servicio'!BR850+('Tablas Servicio'!BT849-'Tablas Servicio'!BR849),BR850/(1-IF(B850&lt;=10,Parámetros!$D$100,0))),2))</f>
        <v/>
      </c>
      <c r="BU850" s="66" t="str">
        <f t="shared" si="1219"/>
        <v/>
      </c>
      <c r="BV850" s="66" t="str">
        <f t="shared" si="1219"/>
        <v/>
      </c>
      <c r="BW850" s="66" t="str">
        <f>+IF($W850="","",ROUND((BT850*Parámetros!$G$85),2))</f>
        <v/>
      </c>
      <c r="BX850" s="66" t="str">
        <f>+IF($W850="","",ROUND((BT850*(Parámetros!$G$86)),2))</f>
        <v/>
      </c>
      <c r="BY850" s="66" t="str">
        <f t="shared" si="1160"/>
        <v/>
      </c>
      <c r="BZ850" t="str">
        <f t="shared" si="1201"/>
        <v/>
      </c>
      <c r="CA850" t="str">
        <f t="shared" si="1202"/>
        <v/>
      </c>
      <c r="CB850" s="118" t="str">
        <f t="shared" si="1203"/>
        <v/>
      </c>
      <c r="CC850" s="118" t="str">
        <f t="shared" si="1204"/>
        <v/>
      </c>
      <c r="CD850" s="119" t="str">
        <f t="shared" si="1161"/>
        <v/>
      </c>
      <c r="CE850" s="66" t="str">
        <f>+IF($W850="","",ROUND((VLOOKUP(ROUNDDOWN($D850-1/frec,0),cob_adi,BO$40,FALSE)*(1+i/frec)^-0.5*(1+Parámetros!$D$103)*(1+rec_fracc)/frec*'TABLAS ADI'!$BC$17),2))</f>
        <v/>
      </c>
      <c r="CF850" s="119" t="str">
        <f t="shared" si="1162"/>
        <v/>
      </c>
      <c r="CG850" s="66" t="str">
        <f>+IF($W850="","",ROUND(IF($B850&gt;Parámetros!$D$107,'Tablas Servicio'!CE850+('Tablas Servicio'!CG849-'Tablas Servicio'!CE849),CE850/(1-IF(B850&lt;=10,Parámetros!$D$100,0))),2))</f>
        <v/>
      </c>
      <c r="CH850" s="66" t="str">
        <f t="shared" si="1220"/>
        <v/>
      </c>
      <c r="CI850" s="66" t="str">
        <f t="shared" si="1220"/>
        <v/>
      </c>
      <c r="CJ850" s="66" t="str">
        <f>+IF($W850="","",ROUND((CG850*Parámetros!$G$85),2))</f>
        <v/>
      </c>
      <c r="CK850" s="66" t="str">
        <f>+IF($W850="","",ROUND((CG850*(Parámetros!$G$86)),2))</f>
        <v/>
      </c>
      <c r="CL850" s="66" t="str">
        <f t="shared" si="1164"/>
        <v/>
      </c>
      <c r="CM850" t="str">
        <f t="shared" si="1205"/>
        <v/>
      </c>
      <c r="CN850" s="118" t="str">
        <f t="shared" si="1206"/>
        <v/>
      </c>
      <c r="CO850" s="118" t="str">
        <f t="shared" si="1207"/>
        <v/>
      </c>
      <c r="CP850" s="118" t="str">
        <f t="shared" si="1208"/>
        <v/>
      </c>
      <c r="CQ850" s="119" t="str">
        <f t="shared" si="1165"/>
        <v/>
      </c>
      <c r="CR850" s="66" t="str">
        <f>+IF($W850="","",ROUND((VLOOKUP(Parámetros!$F$51,'COBERTURAS ADICIONALES'!$S$4:$T$32,2,FALSE)*(1+i/frec)^-0.5*(1+Parámetros!$D$103)*(1+rec_fracc)/frec*$CO$42),2))</f>
        <v/>
      </c>
      <c r="CS850" s="119" t="str">
        <f t="shared" si="1166"/>
        <v/>
      </c>
      <c r="CT850" s="66" t="str">
        <f>+IF($W850="","",ROUND(IF($B850&gt;Parámetros!$D$107,'Tablas Servicio'!CR850+('Tablas Servicio'!CT849-'Tablas Servicio'!CR849),CR850/(1-IF(B850&lt;=10,Parámetros!$D$100,0))),2))</f>
        <v/>
      </c>
      <c r="CU850" s="66" t="str">
        <f t="shared" si="1221"/>
        <v/>
      </c>
      <c r="CV850" s="66" t="str">
        <f t="shared" si="1221"/>
        <v/>
      </c>
      <c r="CW850" s="66" t="str">
        <f>+IF($W850="","",ROUND((CT850*Parámetros!$G$85),2))</f>
        <v/>
      </c>
      <c r="CX850" s="66" t="str">
        <f>+IF($W850="","",ROUND((CT850*(Parámetros!$G$86)),2))</f>
        <v/>
      </c>
      <c r="CY850" s="66" t="str">
        <f t="shared" si="1168"/>
        <v/>
      </c>
      <c r="CZ850" t="str">
        <f t="shared" si="1209"/>
        <v/>
      </c>
      <c r="DA850" s="118" t="str">
        <f t="shared" si="1210"/>
        <v/>
      </c>
      <c r="DB850" s="118" t="str">
        <f t="shared" si="1211"/>
        <v/>
      </c>
      <c r="DC850" s="118" t="str">
        <f t="shared" si="1212"/>
        <v/>
      </c>
      <c r="DD850" s="121" t="str">
        <f>+IF(OR($W850="",DB850=0),"",ROUND((VLOOKUP(ROUNDDOWN($D850-1/frec,0),cob_adi,CO$40,FALSE)*(1+i/frec)^-0.5*(1+Parámetros!$D$103)*(1+rec_fracc)/frec),6))</f>
        <v/>
      </c>
      <c r="DE850" s="66" t="str">
        <f t="shared" si="1169"/>
        <v/>
      </c>
      <c r="DF850" s="119" t="str">
        <f t="shared" si="1170"/>
        <v/>
      </c>
      <c r="DG850" s="66" t="str">
        <f>+IF($W850="","",ROUND(IF($B850&gt;Parámetros!$D$107,'Tablas Servicio'!DE850+('Tablas Servicio'!DG849-'Tablas Servicio'!DE849),DE850/(1-IF(B850&lt;=10,Parámetros!$D$100,0))),2))</f>
        <v/>
      </c>
      <c r="DH850" s="66" t="str">
        <f t="shared" si="1222"/>
        <v/>
      </c>
      <c r="DI850" s="66" t="str">
        <f t="shared" si="1222"/>
        <v/>
      </c>
      <c r="DJ850" s="66" t="str">
        <f>+IF($W850="","",ROUND((DG850*Parámetros!$G$85),2))</f>
        <v/>
      </c>
      <c r="DK850" s="66" t="str">
        <f>+IF($W850="","",ROUND((DG850*(Parámetros!$G$86)),2))</f>
        <v/>
      </c>
      <c r="DL850" s="66" t="str">
        <f t="shared" si="1172"/>
        <v/>
      </c>
      <c r="DM850" t="str">
        <f t="shared" si="1213"/>
        <v/>
      </c>
      <c r="DN850" s="118" t="str">
        <f t="shared" si="1214"/>
        <v/>
      </c>
      <c r="DO850" s="118" t="str">
        <f t="shared" si="1215"/>
        <v/>
      </c>
      <c r="DP850" s="118" t="str">
        <f t="shared" si="1216"/>
        <v/>
      </c>
      <c r="DQ850" s="122" t="str">
        <f>+IF(OR($W850="",DO850=0),"",ROUND((VLOOKUP(ROUNDDOWN($D850-1/frec,0),cob_adi,DB$40,FALSE)*(1+i/frec)^-0.5*(1+Parámetros!$D$103)*(1+rec_fracc)/frec),6))</f>
        <v/>
      </c>
      <c r="DR850" s="66" t="str">
        <f t="shared" si="1173"/>
        <v/>
      </c>
      <c r="DS850" s="68" t="str">
        <f t="shared" si="1174"/>
        <v/>
      </c>
      <c r="DT850" s="66" t="str">
        <f>+IF($W850="","",ROUND(IF($B850&gt;Parámetros!$D$107,'Tablas Servicio'!DR850+('Tablas Servicio'!DT849-'Tablas Servicio'!DR849),DR850/(1-IF(B850&lt;=10,Parámetros!$D$100,0))),2))</f>
        <v/>
      </c>
      <c r="DU850" s="66" t="str">
        <f t="shared" si="1223"/>
        <v/>
      </c>
      <c r="DV850" s="66" t="str">
        <f t="shared" si="1223"/>
        <v/>
      </c>
      <c r="DW850" s="66" t="str">
        <f>+IF($W850="","",ROUND((DT850*Parámetros!$G$85),2))</f>
        <v/>
      </c>
      <c r="DX850" s="66" t="str">
        <f>+IF($W850="","",ROUND((DT850*(Parámetros!$G$86)),2))</f>
        <v/>
      </c>
      <c r="DY850" s="66" t="str">
        <f t="shared" si="1176"/>
        <v/>
      </c>
      <c r="DZ850" t="str">
        <f t="shared" si="1224"/>
        <v/>
      </c>
      <c r="EA850" s="118" t="str">
        <f t="shared" si="1224"/>
        <v/>
      </c>
      <c r="EB850" s="118" t="str">
        <f>+IF($W850="","",ROUND(IF(Parámetros!$D$25='TABLAS MORT'!$V$33,EB849,Z850/2),0))</f>
        <v/>
      </c>
      <c r="EC850" s="118" t="str">
        <f t="shared" si="1224"/>
        <v/>
      </c>
      <c r="ED850" s="122" t="str">
        <f>+IF(OR($W850="",EB850=0),"",ROUND((VLOOKUP(ROUNDDOWN($D850-1/frec,0),cob_adi,DO$40,FALSE)*(1+i/frec)^-0.5*(1+Parámetros!$D$103)*(1+rec_fracc)/frec),6))</f>
        <v/>
      </c>
      <c r="EE850" s="66" t="str">
        <f t="shared" si="1178"/>
        <v/>
      </c>
      <c r="EF850" s="68" t="str">
        <f t="shared" si="1179"/>
        <v/>
      </c>
      <c r="EG850" s="66" t="str">
        <f>+IF($W850="","",ROUND(IF($B850&gt;Parámetros!$D$107,'Tablas Servicio'!EE850+('Tablas Servicio'!EG849-'Tablas Servicio'!EE849),EE850/(1-IF(B850&lt;=10,Parámetros!$D$100,0))),2))</f>
        <v/>
      </c>
      <c r="EH850" s="66" t="str">
        <f t="shared" si="1225"/>
        <v/>
      </c>
      <c r="EI850" s="66" t="str">
        <f t="shared" si="1225"/>
        <v/>
      </c>
      <c r="EJ850" s="66" t="str">
        <f>+IF($W850="","",ROUND((EG850*Parámetros!$G$85),2))</f>
        <v/>
      </c>
      <c r="EK850" s="66" t="str">
        <f>+IF($W850="","",ROUND((EG850*(Parámetros!$G$86)),2))</f>
        <v/>
      </c>
      <c r="EL850" s="66" t="str">
        <f t="shared" si="1181"/>
        <v/>
      </c>
    </row>
    <row r="851" spans="1:142" x14ac:dyDescent="0.25">
      <c r="A851" t="str">
        <f>+IF($C851="","",ROUND(VLOOKUP('Tablas Servicio'!B851,Parámetros!$H$100:$J$159,IF(Parámetros!$E$16="F",2,3),FALSE),2))</f>
        <v/>
      </c>
      <c r="B851" t="str">
        <f t="shared" si="1132"/>
        <v/>
      </c>
      <c r="C851" s="57" t="str">
        <f>+IF(D851="","",'Tablas Servicio'!C850+1)</f>
        <v/>
      </c>
      <c r="D851" s="56" t="str">
        <f>+IF(D850&lt;edadmaxtabla,D850+1/Parámetros!$E$25,"")</f>
        <v/>
      </c>
      <c r="E851" s="57" t="str">
        <f t="shared" si="1142"/>
        <v/>
      </c>
      <c r="F851" s="59" t="str">
        <f t="shared" si="1143"/>
        <v/>
      </c>
      <c r="G851" s="66" t="str">
        <f t="shared" si="1133"/>
        <v/>
      </c>
      <c r="H851" s="66" t="str">
        <f t="shared" si="1134"/>
        <v/>
      </c>
      <c r="I851" s="66" t="str">
        <f t="shared" si="1182"/>
        <v/>
      </c>
      <c r="J851" s="66" t="str">
        <f t="shared" si="1135"/>
        <v/>
      </c>
      <c r="K851" s="66" t="str">
        <f t="shared" si="1136"/>
        <v/>
      </c>
      <c r="L851" s="66" t="str">
        <f t="shared" si="1137"/>
        <v/>
      </c>
      <c r="M851" s="66" t="str">
        <f t="shared" si="1138"/>
        <v/>
      </c>
      <c r="N851" s="66" t="str">
        <f>+IF(C851="","",ROUND(Parámetros!$D$23,2))</f>
        <v/>
      </c>
      <c r="O851" s="66" t="str">
        <f t="shared" si="1139"/>
        <v/>
      </c>
      <c r="P851" s="66" t="str">
        <f>+IF($C851="","",ROUND(IF(B851&gt;Parámetros!$D$117,0,N851*Parámetros!$D$116-G851*Parámetros!$D$100),2))</f>
        <v/>
      </c>
      <c r="Q851" s="75" t="str">
        <f t="shared" si="1183"/>
        <v/>
      </c>
      <c r="R851" s="75" t="str">
        <f t="shared" si="1184"/>
        <v/>
      </c>
      <c r="S851" s="117" t="str">
        <f>+IF($C851="","",ROUND((S850+I851)*(1+Parámetros!$D$91),2))</f>
        <v/>
      </c>
      <c r="T851" s="117" t="str">
        <f>+IF($C851="","",ROUND(S851*VLOOKUP(B851,Parámetros!$C$30:$D$39,2,TRUE),2))</f>
        <v/>
      </c>
      <c r="U851" s="117" t="str">
        <f>+IF($C851="","",ROUND((U850+I851)*(1+Parámetros!$D$92),2))</f>
        <v/>
      </c>
      <c r="V851" s="117" t="str">
        <f>+IF($C851="","",ROUND(U851*VLOOKUP(B851,Parámetros!$C$30:$D$39,2,TRUE),2))</f>
        <v/>
      </c>
      <c r="W851" s="57" t="str">
        <f t="shared" si="1185"/>
        <v/>
      </c>
      <c r="X851" t="str">
        <f t="shared" si="1186"/>
        <v/>
      </c>
      <c r="Y851" t="str">
        <f t="shared" si="1187"/>
        <v/>
      </c>
      <c r="Z851" s="118" t="str">
        <f>+IF($W851="","",ROUND(IF(Parámetros!$D$25='TABLAS MORT'!$V$33,Z850,Parámetros!$D$21-'Tablas Servicio'!T850),0))</f>
        <v/>
      </c>
      <c r="AA851" s="118" t="str">
        <f t="shared" si="1188"/>
        <v/>
      </c>
      <c r="AB851" s="119" t="str">
        <f>+IF(W851="","",ROUND((VLOOKUP(ROUNDDOWN($D851-1/frec,0),qx_tabla,2,FALSE)*(1+i/frec)^-0.5*(1+Parámetros!$D$103)*(1+rec_fracc)/frec),6))</f>
        <v/>
      </c>
      <c r="AC851" s="66" t="str">
        <f t="shared" si="1144"/>
        <v/>
      </c>
      <c r="AD851" s="119" t="str">
        <f t="shared" si="1140"/>
        <v/>
      </c>
      <c r="AE851" s="66" t="str">
        <f>+IF($W851="","",ROUND(IF($B851&gt;Parámetros!$D$107,'Tablas Servicio'!AC851+('Tablas Servicio'!AG850-'Tablas Servicio'!AC850),AC851/(1-IF(B851&lt;=10,Parámetros!$D$104,Parámetros!$D$105))),2))</f>
        <v/>
      </c>
      <c r="AF851" s="66" t="str">
        <f>+IF($W851="","",ROUND(IF($B851&gt;Parámetros!$D$107,'Tablas Servicio'!AC851+('Tablas Servicio'!AG850-'Tablas Servicio'!AC850),(AC851+$A850/frec)/(1-IF(B851&lt;=Parámetros!$D$117,Parámetros!$D$100,0))),2))</f>
        <v/>
      </c>
      <c r="AG851" s="66" t="str">
        <f t="shared" si="1145"/>
        <v/>
      </c>
      <c r="AH851" s="66" t="str">
        <f t="shared" si="1146"/>
        <v/>
      </c>
      <c r="AI851" s="66" t="str">
        <f t="shared" si="1147"/>
        <v/>
      </c>
      <c r="AJ851" s="66" t="str">
        <f>+IF($W851="","",ROUND((AG851*Parámetros!$G$85),2))</f>
        <v/>
      </c>
      <c r="AK851" s="66" t="str">
        <f>+IF($W851="","",ROUND((AG851*(Parámetros!$G$86)),2))</f>
        <v/>
      </c>
      <c r="AL851" s="66" t="str">
        <f t="shared" si="1141"/>
        <v/>
      </c>
      <c r="AM851" t="str">
        <f t="shared" si="1189"/>
        <v/>
      </c>
      <c r="AN851" t="str">
        <f t="shared" si="1190"/>
        <v/>
      </c>
      <c r="AO851" s="118" t="str">
        <f t="shared" si="1191"/>
        <v/>
      </c>
      <c r="AP851" s="118" t="str">
        <f t="shared" si="1192"/>
        <v/>
      </c>
      <c r="AQ851" s="119" t="str">
        <f>+IF(OR($W851="",AO851=0),"",ROUND((VLOOKUP(ROUNDDOWN($D851-1/frec,0),cob_adi,Z$40,FALSE)*(1+i/frec)^-0.5*(1+Parámetros!$D$103)*(1+rec_fracc)/frec),6))</f>
        <v/>
      </c>
      <c r="AR851" s="66" t="str">
        <f t="shared" si="1148"/>
        <v/>
      </c>
      <c r="AS851" s="119" t="str">
        <f t="shared" si="1149"/>
        <v/>
      </c>
      <c r="AT851" s="66" t="str">
        <f>+IF($W851="","",ROUND(IF($B851&gt;Parámetros!$D$107,'Tablas Servicio'!AR851+('Tablas Servicio'!AT850-'Tablas Servicio'!AR850),AR851/(1-IF(B851&lt;=10,Parámetros!$D$100,0))),2))</f>
        <v/>
      </c>
      <c r="AU851" s="66" t="str">
        <f t="shared" si="1218"/>
        <v/>
      </c>
      <c r="AV851" s="66" t="str">
        <f t="shared" si="1218"/>
        <v/>
      </c>
      <c r="AW851" s="66" t="str">
        <f>+IF($W851="","",ROUND((AT851*Parámetros!$G$85),2))</f>
        <v/>
      </c>
      <c r="AX851" s="66" t="str">
        <f>+IF($W851="","",ROUND((AT851*(Parámetros!$G$86)),2))</f>
        <v/>
      </c>
      <c r="AY851" s="66" t="str">
        <f t="shared" si="1151"/>
        <v/>
      </c>
      <c r="AZ851" t="str">
        <f t="shared" si="1193"/>
        <v/>
      </c>
      <c r="BA851" t="str">
        <f t="shared" si="1194"/>
        <v/>
      </c>
      <c r="BB851" s="118" t="str">
        <f t="shared" si="1195"/>
        <v/>
      </c>
      <c r="BC851" s="118" t="str">
        <f t="shared" si="1196"/>
        <v/>
      </c>
      <c r="BD851" s="119" t="str">
        <f>+IF(OR($W851="",BB851=0),"",ROUND((VLOOKUP(ROUNDDOWN($D851-1/frec,0),cob_adi,AO$40,FALSE)*(1+i/frec)^-0.5*(1+Parámetros!$D$103)*(1+rec_fracc)/frec),6))</f>
        <v/>
      </c>
      <c r="BE851" s="66" t="str">
        <f t="shared" si="1152"/>
        <v/>
      </c>
      <c r="BF851" s="119" t="str">
        <f t="shared" si="1153"/>
        <v/>
      </c>
      <c r="BG851" s="66" t="str">
        <f>+IF($W851="","",ROUND(IF($B851&gt;Parámetros!$D$107,'Tablas Servicio'!BE851+('Tablas Servicio'!BG850-'Tablas Servicio'!BE850),BE851/(1-IF(B851&lt;=10,Parámetros!$D$100,0))),2))</f>
        <v/>
      </c>
      <c r="BH851" s="66" t="str">
        <f t="shared" si="1154"/>
        <v/>
      </c>
      <c r="BI851" s="66" t="str">
        <f t="shared" si="1155"/>
        <v/>
      </c>
      <c r="BJ851" s="66" t="str">
        <f>+IF($W851="","",ROUND((BG851*Parámetros!$G$85),2))</f>
        <v/>
      </c>
      <c r="BK851" s="66" t="str">
        <f>+IF($W851="","",ROUND((BG851*(Parámetros!$G$86)),2))</f>
        <v/>
      </c>
      <c r="BL851" s="66" t="str">
        <f t="shared" si="1156"/>
        <v/>
      </c>
      <c r="BM851" t="str">
        <f t="shared" si="1197"/>
        <v/>
      </c>
      <c r="BN851" t="str">
        <f t="shared" si="1198"/>
        <v/>
      </c>
      <c r="BO851" s="118" t="str">
        <f t="shared" si="1199"/>
        <v/>
      </c>
      <c r="BP851" s="118" t="str">
        <f t="shared" si="1200"/>
        <v/>
      </c>
      <c r="BQ851" s="119" t="str">
        <f>+IF(OR($W851="",BO851=0),"",ROUND((VLOOKUP(ROUNDDOWN($D851-1/frec,0),cob_adi,BB$40,FALSE)*(1+i/frec)^-0.5*(1+Parámetros!$D$103)*(1+rec_fracc)/frec),6))</f>
        <v/>
      </c>
      <c r="BR851" s="66" t="str">
        <f t="shared" si="1157"/>
        <v/>
      </c>
      <c r="BS851" s="119" t="str">
        <f t="shared" si="1158"/>
        <v/>
      </c>
      <c r="BT851" s="66" t="str">
        <f>+IF($W851="","",ROUND(IF($B851&gt;Parámetros!$D$107,'Tablas Servicio'!BR851+('Tablas Servicio'!BT850-'Tablas Servicio'!BR850),BR851/(1-IF(B851&lt;=10,Parámetros!$D$100,0))),2))</f>
        <v/>
      </c>
      <c r="BU851" s="66" t="str">
        <f t="shared" si="1219"/>
        <v/>
      </c>
      <c r="BV851" s="66" t="str">
        <f t="shared" si="1219"/>
        <v/>
      </c>
      <c r="BW851" s="66" t="str">
        <f>+IF($W851="","",ROUND((BT851*Parámetros!$G$85),2))</f>
        <v/>
      </c>
      <c r="BX851" s="66" t="str">
        <f>+IF($W851="","",ROUND((BT851*(Parámetros!$G$86)),2))</f>
        <v/>
      </c>
      <c r="BY851" s="66" t="str">
        <f t="shared" si="1160"/>
        <v/>
      </c>
      <c r="BZ851" t="str">
        <f t="shared" si="1201"/>
        <v/>
      </c>
      <c r="CA851" t="str">
        <f t="shared" si="1202"/>
        <v/>
      </c>
      <c r="CB851" s="118" t="str">
        <f t="shared" si="1203"/>
        <v/>
      </c>
      <c r="CC851" s="118" t="str">
        <f t="shared" si="1204"/>
        <v/>
      </c>
      <c r="CD851" s="119" t="str">
        <f t="shared" si="1161"/>
        <v/>
      </c>
      <c r="CE851" s="66" t="str">
        <f>+IF($W851="","",ROUND((VLOOKUP(ROUNDDOWN($D851-1/frec,0),cob_adi,BO$40,FALSE)*(1+i/frec)^-0.5*(1+Parámetros!$D$103)*(1+rec_fracc)/frec*'TABLAS ADI'!$BC$17),2))</f>
        <v/>
      </c>
      <c r="CF851" s="119" t="str">
        <f t="shared" si="1162"/>
        <v/>
      </c>
      <c r="CG851" s="66" t="str">
        <f>+IF($W851="","",ROUND(IF($B851&gt;Parámetros!$D$107,'Tablas Servicio'!CE851+('Tablas Servicio'!CG850-'Tablas Servicio'!CE850),CE851/(1-IF(B851&lt;=10,Parámetros!$D$100,0))),2))</f>
        <v/>
      </c>
      <c r="CH851" s="66" t="str">
        <f t="shared" si="1220"/>
        <v/>
      </c>
      <c r="CI851" s="66" t="str">
        <f t="shared" si="1220"/>
        <v/>
      </c>
      <c r="CJ851" s="66" t="str">
        <f>+IF($W851="","",ROUND((CG851*Parámetros!$G$85),2))</f>
        <v/>
      </c>
      <c r="CK851" s="66" t="str">
        <f>+IF($W851="","",ROUND((CG851*(Parámetros!$G$86)),2))</f>
        <v/>
      </c>
      <c r="CL851" s="66" t="str">
        <f t="shared" si="1164"/>
        <v/>
      </c>
      <c r="CM851" t="str">
        <f t="shared" si="1205"/>
        <v/>
      </c>
      <c r="CN851" s="118" t="str">
        <f t="shared" si="1206"/>
        <v/>
      </c>
      <c r="CO851" s="118" t="str">
        <f t="shared" si="1207"/>
        <v/>
      </c>
      <c r="CP851" s="118" t="str">
        <f t="shared" si="1208"/>
        <v/>
      </c>
      <c r="CQ851" s="119" t="str">
        <f t="shared" si="1165"/>
        <v/>
      </c>
      <c r="CR851" s="66" t="str">
        <f>+IF($W851="","",ROUND((VLOOKUP(Parámetros!$F$51,'COBERTURAS ADICIONALES'!$S$4:$T$32,2,FALSE)*(1+i/frec)^-0.5*(1+Parámetros!$D$103)*(1+rec_fracc)/frec*$CO$42),2))</f>
        <v/>
      </c>
      <c r="CS851" s="119" t="str">
        <f t="shared" si="1166"/>
        <v/>
      </c>
      <c r="CT851" s="66" t="str">
        <f>+IF($W851="","",ROUND(IF($B851&gt;Parámetros!$D$107,'Tablas Servicio'!CR851+('Tablas Servicio'!CT850-'Tablas Servicio'!CR850),CR851/(1-IF(B851&lt;=10,Parámetros!$D$100,0))),2))</f>
        <v/>
      </c>
      <c r="CU851" s="66" t="str">
        <f t="shared" si="1221"/>
        <v/>
      </c>
      <c r="CV851" s="66" t="str">
        <f t="shared" si="1221"/>
        <v/>
      </c>
      <c r="CW851" s="66" t="str">
        <f>+IF($W851="","",ROUND((CT851*Parámetros!$G$85),2))</f>
        <v/>
      </c>
      <c r="CX851" s="66" t="str">
        <f>+IF($W851="","",ROUND((CT851*(Parámetros!$G$86)),2))</f>
        <v/>
      </c>
      <c r="CY851" s="66" t="str">
        <f t="shared" si="1168"/>
        <v/>
      </c>
      <c r="CZ851" t="str">
        <f t="shared" si="1209"/>
        <v/>
      </c>
      <c r="DA851" s="118" t="str">
        <f t="shared" si="1210"/>
        <v/>
      </c>
      <c r="DB851" s="118" t="str">
        <f t="shared" si="1211"/>
        <v/>
      </c>
      <c r="DC851" s="118" t="str">
        <f t="shared" si="1212"/>
        <v/>
      </c>
      <c r="DD851" s="121" t="str">
        <f>+IF(OR($W851="",DB851=0),"",ROUND((VLOOKUP(ROUNDDOWN($D851-1/frec,0),cob_adi,CO$40,FALSE)*(1+i/frec)^-0.5*(1+Parámetros!$D$103)*(1+rec_fracc)/frec),6))</f>
        <v/>
      </c>
      <c r="DE851" s="66" t="str">
        <f t="shared" si="1169"/>
        <v/>
      </c>
      <c r="DF851" s="119" t="str">
        <f t="shared" si="1170"/>
        <v/>
      </c>
      <c r="DG851" s="66" t="str">
        <f>+IF($W851="","",ROUND(IF($B851&gt;Parámetros!$D$107,'Tablas Servicio'!DE851+('Tablas Servicio'!DG850-'Tablas Servicio'!DE850),DE851/(1-IF(B851&lt;=10,Parámetros!$D$100,0))),2))</f>
        <v/>
      </c>
      <c r="DH851" s="66" t="str">
        <f t="shared" si="1222"/>
        <v/>
      </c>
      <c r="DI851" s="66" t="str">
        <f t="shared" si="1222"/>
        <v/>
      </c>
      <c r="DJ851" s="66" t="str">
        <f>+IF($W851="","",ROUND((DG851*Parámetros!$G$85),2))</f>
        <v/>
      </c>
      <c r="DK851" s="66" t="str">
        <f>+IF($W851="","",ROUND((DG851*(Parámetros!$G$86)),2))</f>
        <v/>
      </c>
      <c r="DL851" s="66" t="str">
        <f t="shared" si="1172"/>
        <v/>
      </c>
      <c r="DM851" t="str">
        <f t="shared" si="1213"/>
        <v/>
      </c>
      <c r="DN851" s="118" t="str">
        <f t="shared" si="1214"/>
        <v/>
      </c>
      <c r="DO851" s="118" t="str">
        <f t="shared" si="1215"/>
        <v/>
      </c>
      <c r="DP851" s="118" t="str">
        <f t="shared" si="1216"/>
        <v/>
      </c>
      <c r="DQ851" s="122" t="str">
        <f>+IF(OR($W851="",DO851=0),"",ROUND((VLOOKUP(ROUNDDOWN($D851-1/frec,0),cob_adi,DB$40,FALSE)*(1+i/frec)^-0.5*(1+Parámetros!$D$103)*(1+rec_fracc)/frec),6))</f>
        <v/>
      </c>
      <c r="DR851" s="66" t="str">
        <f t="shared" si="1173"/>
        <v/>
      </c>
      <c r="DS851" s="68" t="str">
        <f t="shared" si="1174"/>
        <v/>
      </c>
      <c r="DT851" s="66" t="str">
        <f>+IF($W851="","",ROUND(IF($B851&gt;Parámetros!$D$107,'Tablas Servicio'!DR851+('Tablas Servicio'!DT850-'Tablas Servicio'!DR850),DR851/(1-IF(B851&lt;=10,Parámetros!$D$100,0))),2))</f>
        <v/>
      </c>
      <c r="DU851" s="66" t="str">
        <f t="shared" si="1223"/>
        <v/>
      </c>
      <c r="DV851" s="66" t="str">
        <f t="shared" si="1223"/>
        <v/>
      </c>
      <c r="DW851" s="66" t="str">
        <f>+IF($W851="","",ROUND((DT851*Parámetros!$G$85),2))</f>
        <v/>
      </c>
      <c r="DX851" s="66" t="str">
        <f>+IF($W851="","",ROUND((DT851*(Parámetros!$G$86)),2))</f>
        <v/>
      </c>
      <c r="DY851" s="66" t="str">
        <f t="shared" si="1176"/>
        <v/>
      </c>
      <c r="DZ851" t="str">
        <f t="shared" si="1224"/>
        <v/>
      </c>
      <c r="EA851" s="118" t="str">
        <f t="shared" si="1224"/>
        <v/>
      </c>
      <c r="EB851" s="118" t="str">
        <f>+IF($W851="","",ROUND(IF(Parámetros!$D$25='TABLAS MORT'!$V$33,EB850,Z851/2),0))</f>
        <v/>
      </c>
      <c r="EC851" s="118" t="str">
        <f t="shared" si="1224"/>
        <v/>
      </c>
      <c r="ED851" s="122" t="str">
        <f>+IF(OR($W851="",EB851=0),"",ROUND((VLOOKUP(ROUNDDOWN($D851-1/frec,0),cob_adi,DO$40,FALSE)*(1+i/frec)^-0.5*(1+Parámetros!$D$103)*(1+rec_fracc)/frec),6))</f>
        <v/>
      </c>
      <c r="EE851" s="66" t="str">
        <f t="shared" si="1178"/>
        <v/>
      </c>
      <c r="EF851" s="68" t="str">
        <f t="shared" si="1179"/>
        <v/>
      </c>
      <c r="EG851" s="66" t="str">
        <f>+IF($W851="","",ROUND(IF($B851&gt;Parámetros!$D$107,'Tablas Servicio'!EE851+('Tablas Servicio'!EG850-'Tablas Servicio'!EE850),EE851/(1-IF(B851&lt;=10,Parámetros!$D$100,0))),2))</f>
        <v/>
      </c>
      <c r="EH851" s="66" t="str">
        <f t="shared" si="1225"/>
        <v/>
      </c>
      <c r="EI851" s="66" t="str">
        <f t="shared" si="1225"/>
        <v/>
      </c>
      <c r="EJ851" s="66" t="str">
        <f>+IF($W851="","",ROUND((EG851*Parámetros!$G$85),2))</f>
        <v/>
      </c>
      <c r="EK851" s="66" t="str">
        <f>+IF($W851="","",ROUND((EG851*(Parámetros!$G$86)),2))</f>
        <v/>
      </c>
      <c r="EL851" s="66" t="str">
        <f t="shared" si="1181"/>
        <v/>
      </c>
    </row>
    <row r="852" spans="1:142" x14ac:dyDescent="0.25">
      <c r="A852" t="str">
        <f>+IF($C852="","",ROUND(VLOOKUP('Tablas Servicio'!B852,Parámetros!$H$100:$J$159,IF(Parámetros!$E$16="F",2,3),FALSE),2))</f>
        <v/>
      </c>
      <c r="B852" t="str">
        <f t="shared" si="1132"/>
        <v/>
      </c>
      <c r="C852" s="57" t="str">
        <f>+IF(D852="","",'Tablas Servicio'!C851+1)</f>
        <v/>
      </c>
      <c r="D852" s="56" t="str">
        <f>+IF(D851&lt;edadmaxtabla,D851+1/Parámetros!$E$25,"")</f>
        <v/>
      </c>
      <c r="E852" s="57" t="str">
        <f t="shared" si="1142"/>
        <v/>
      </c>
      <c r="F852" s="59" t="str">
        <f t="shared" si="1143"/>
        <v/>
      </c>
      <c r="G852" s="66" t="str">
        <f t="shared" si="1133"/>
        <v/>
      </c>
      <c r="H852" s="66" t="str">
        <f t="shared" si="1134"/>
        <v/>
      </c>
      <c r="I852" s="66" t="str">
        <f t="shared" si="1182"/>
        <v/>
      </c>
      <c r="J852" s="66" t="str">
        <f t="shared" si="1135"/>
        <v/>
      </c>
      <c r="K852" s="66" t="str">
        <f t="shared" si="1136"/>
        <v/>
      </c>
      <c r="L852" s="66" t="str">
        <f t="shared" si="1137"/>
        <v/>
      </c>
      <c r="M852" s="66" t="str">
        <f t="shared" si="1138"/>
        <v/>
      </c>
      <c r="N852" s="66" t="str">
        <f>+IF(C852="","",ROUND(Parámetros!$D$23,2))</f>
        <v/>
      </c>
      <c r="O852" s="66" t="str">
        <f t="shared" si="1139"/>
        <v/>
      </c>
      <c r="P852" s="66" t="str">
        <f>+IF($C852="","",ROUND(IF(B852&gt;Parámetros!$D$117,0,N852*Parámetros!$D$116-G852*Parámetros!$D$100),2))</f>
        <v/>
      </c>
      <c r="Q852" s="75" t="str">
        <f t="shared" si="1183"/>
        <v/>
      </c>
      <c r="R852" s="75" t="str">
        <f t="shared" si="1184"/>
        <v/>
      </c>
      <c r="S852" s="117" t="str">
        <f>+IF($C852="","",ROUND((S851+I852)*(1+Parámetros!$D$91),2))</f>
        <v/>
      </c>
      <c r="T852" s="117" t="str">
        <f>+IF($C852="","",ROUND(S852*VLOOKUP(B852,Parámetros!$C$30:$D$39,2,TRUE),2))</f>
        <v/>
      </c>
      <c r="U852" s="117" t="str">
        <f>+IF($C852="","",ROUND((U851+I852)*(1+Parámetros!$D$92),2))</f>
        <v/>
      </c>
      <c r="V852" s="117" t="str">
        <f>+IF($C852="","",ROUND(U852*VLOOKUP(B852,Parámetros!$C$30:$D$39,2,TRUE),2))</f>
        <v/>
      </c>
      <c r="W852" s="57" t="str">
        <f t="shared" si="1185"/>
        <v/>
      </c>
      <c r="X852" t="str">
        <f t="shared" si="1186"/>
        <v/>
      </c>
      <c r="Y852" t="str">
        <f t="shared" si="1187"/>
        <v/>
      </c>
      <c r="Z852" s="118" t="str">
        <f>+IF($W852="","",ROUND(IF(Parámetros!$D$25='TABLAS MORT'!$V$33,Z851,Parámetros!$D$21-'Tablas Servicio'!T851),0))</f>
        <v/>
      </c>
      <c r="AA852" s="118" t="str">
        <f t="shared" si="1188"/>
        <v/>
      </c>
      <c r="AB852" s="119" t="str">
        <f>+IF(W852="","",ROUND((VLOOKUP(ROUNDDOWN($D852-1/frec,0),qx_tabla,2,FALSE)*(1+i/frec)^-0.5*(1+Parámetros!$D$103)*(1+rec_fracc)/frec),6))</f>
        <v/>
      </c>
      <c r="AC852" s="66" t="str">
        <f t="shared" si="1144"/>
        <v/>
      </c>
      <c r="AD852" s="119" t="str">
        <f t="shared" si="1140"/>
        <v/>
      </c>
      <c r="AE852" s="66" t="str">
        <f>+IF($W852="","",ROUND(IF($B852&gt;Parámetros!$D$107,'Tablas Servicio'!AC852+('Tablas Servicio'!AG851-'Tablas Servicio'!AC851),AC852/(1-IF(B852&lt;=10,Parámetros!$D$104,Parámetros!$D$105))),2))</f>
        <v/>
      </c>
      <c r="AF852" s="66" t="str">
        <f>+IF($W852="","",ROUND(IF($B852&gt;Parámetros!$D$107,'Tablas Servicio'!AC852+('Tablas Servicio'!AG851-'Tablas Servicio'!AC851),(AC852+$A851/frec)/(1-IF(B852&lt;=Parámetros!$D$117,Parámetros!$D$100,0))),2))</f>
        <v/>
      </c>
      <c r="AG852" s="66" t="str">
        <f t="shared" si="1145"/>
        <v/>
      </c>
      <c r="AH852" s="66" t="str">
        <f t="shared" si="1146"/>
        <v/>
      </c>
      <c r="AI852" s="66" t="str">
        <f t="shared" si="1147"/>
        <v/>
      </c>
      <c r="AJ852" s="66" t="str">
        <f>+IF($W852="","",ROUND((AG852*Parámetros!$G$85),2))</f>
        <v/>
      </c>
      <c r="AK852" s="66" t="str">
        <f>+IF($W852="","",ROUND((AG852*(Parámetros!$G$86)),2))</f>
        <v/>
      </c>
      <c r="AL852" s="66" t="str">
        <f t="shared" si="1141"/>
        <v/>
      </c>
      <c r="AM852" t="str">
        <f t="shared" si="1189"/>
        <v/>
      </c>
      <c r="AN852" t="str">
        <f t="shared" si="1190"/>
        <v/>
      </c>
      <c r="AO852" s="118" t="str">
        <f t="shared" si="1191"/>
        <v/>
      </c>
      <c r="AP852" s="118" t="str">
        <f t="shared" si="1192"/>
        <v/>
      </c>
      <c r="AQ852" s="119" t="str">
        <f>+IF(OR($W852="",AO852=0),"",ROUND((VLOOKUP(ROUNDDOWN($D852-1/frec,0),cob_adi,Z$40,FALSE)*(1+i/frec)^-0.5*(1+Parámetros!$D$103)*(1+rec_fracc)/frec),6))</f>
        <v/>
      </c>
      <c r="AR852" s="66" t="str">
        <f t="shared" si="1148"/>
        <v/>
      </c>
      <c r="AS852" s="119" t="str">
        <f t="shared" si="1149"/>
        <v/>
      </c>
      <c r="AT852" s="66" t="str">
        <f>+IF($W852="","",ROUND(IF($B852&gt;Parámetros!$D$107,'Tablas Servicio'!AR852+('Tablas Servicio'!AT851-'Tablas Servicio'!AR851),AR852/(1-IF(B852&lt;=10,Parámetros!$D$100,0))),2))</f>
        <v/>
      </c>
      <c r="AU852" s="66" t="str">
        <f t="shared" si="1218"/>
        <v/>
      </c>
      <c r="AV852" s="66" t="str">
        <f t="shared" si="1218"/>
        <v/>
      </c>
      <c r="AW852" s="66" t="str">
        <f>+IF($W852="","",ROUND((AT852*Parámetros!$G$85),2))</f>
        <v/>
      </c>
      <c r="AX852" s="66" t="str">
        <f>+IF($W852="","",ROUND((AT852*(Parámetros!$G$86)),2))</f>
        <v/>
      </c>
      <c r="AY852" s="66" t="str">
        <f t="shared" si="1151"/>
        <v/>
      </c>
      <c r="AZ852" t="str">
        <f t="shared" si="1193"/>
        <v/>
      </c>
      <c r="BA852" t="str">
        <f t="shared" si="1194"/>
        <v/>
      </c>
      <c r="BB852" s="118" t="str">
        <f t="shared" si="1195"/>
        <v/>
      </c>
      <c r="BC852" s="118" t="str">
        <f t="shared" si="1196"/>
        <v/>
      </c>
      <c r="BD852" s="119" t="str">
        <f>+IF(OR($W852="",BB852=0),"",ROUND((VLOOKUP(ROUNDDOWN($D852-1/frec,0),cob_adi,AO$40,FALSE)*(1+i/frec)^-0.5*(1+Parámetros!$D$103)*(1+rec_fracc)/frec),6))</f>
        <v/>
      </c>
      <c r="BE852" s="66" t="str">
        <f t="shared" si="1152"/>
        <v/>
      </c>
      <c r="BF852" s="119" t="str">
        <f t="shared" si="1153"/>
        <v/>
      </c>
      <c r="BG852" s="66" t="str">
        <f>+IF($W852="","",ROUND(IF($B852&gt;Parámetros!$D$107,'Tablas Servicio'!BE852+('Tablas Servicio'!BG851-'Tablas Servicio'!BE851),BE852/(1-IF(B852&lt;=10,Parámetros!$D$100,0))),2))</f>
        <v/>
      </c>
      <c r="BH852" s="66" t="str">
        <f t="shared" si="1154"/>
        <v/>
      </c>
      <c r="BI852" s="66" t="str">
        <f t="shared" si="1155"/>
        <v/>
      </c>
      <c r="BJ852" s="66" t="str">
        <f>+IF($W852="","",ROUND((BG852*Parámetros!$G$85),2))</f>
        <v/>
      </c>
      <c r="BK852" s="66" t="str">
        <f>+IF($W852="","",ROUND((BG852*(Parámetros!$G$86)),2))</f>
        <v/>
      </c>
      <c r="BL852" s="66" t="str">
        <f t="shared" si="1156"/>
        <v/>
      </c>
      <c r="BM852" t="str">
        <f t="shared" si="1197"/>
        <v/>
      </c>
      <c r="BN852" t="str">
        <f t="shared" si="1198"/>
        <v/>
      </c>
      <c r="BO852" s="118" t="str">
        <f t="shared" si="1199"/>
        <v/>
      </c>
      <c r="BP852" s="118" t="str">
        <f t="shared" si="1200"/>
        <v/>
      </c>
      <c r="BQ852" s="119" t="str">
        <f>+IF(OR($W852="",BO852=0),"",ROUND((VLOOKUP(ROUNDDOWN($D852-1/frec,0),cob_adi,BB$40,FALSE)*(1+i/frec)^-0.5*(1+Parámetros!$D$103)*(1+rec_fracc)/frec),6))</f>
        <v/>
      </c>
      <c r="BR852" s="66" t="str">
        <f t="shared" si="1157"/>
        <v/>
      </c>
      <c r="BS852" s="119" t="str">
        <f t="shared" si="1158"/>
        <v/>
      </c>
      <c r="BT852" s="66" t="str">
        <f>+IF($W852="","",ROUND(IF($B852&gt;Parámetros!$D$107,'Tablas Servicio'!BR852+('Tablas Servicio'!BT851-'Tablas Servicio'!BR851),BR852/(1-IF(B852&lt;=10,Parámetros!$D$100,0))),2))</f>
        <v/>
      </c>
      <c r="BU852" s="66" t="str">
        <f t="shared" si="1219"/>
        <v/>
      </c>
      <c r="BV852" s="66" t="str">
        <f t="shared" si="1219"/>
        <v/>
      </c>
      <c r="BW852" s="66" t="str">
        <f>+IF($W852="","",ROUND((BT852*Parámetros!$G$85),2))</f>
        <v/>
      </c>
      <c r="BX852" s="66" t="str">
        <f>+IF($W852="","",ROUND((BT852*(Parámetros!$G$86)),2))</f>
        <v/>
      </c>
      <c r="BY852" s="66" t="str">
        <f t="shared" si="1160"/>
        <v/>
      </c>
      <c r="BZ852" t="str">
        <f t="shared" si="1201"/>
        <v/>
      </c>
      <c r="CA852" t="str">
        <f t="shared" si="1202"/>
        <v/>
      </c>
      <c r="CB852" s="118" t="str">
        <f t="shared" si="1203"/>
        <v/>
      </c>
      <c r="CC852" s="118" t="str">
        <f t="shared" si="1204"/>
        <v/>
      </c>
      <c r="CD852" s="119" t="str">
        <f t="shared" si="1161"/>
        <v/>
      </c>
      <c r="CE852" s="66" t="str">
        <f>+IF($W852="","",ROUND((VLOOKUP(ROUNDDOWN($D852-1/frec,0),cob_adi,BO$40,FALSE)*(1+i/frec)^-0.5*(1+Parámetros!$D$103)*(1+rec_fracc)/frec*'TABLAS ADI'!$BC$17),2))</f>
        <v/>
      </c>
      <c r="CF852" s="119" t="str">
        <f t="shared" si="1162"/>
        <v/>
      </c>
      <c r="CG852" s="66" t="str">
        <f>+IF($W852="","",ROUND(IF($B852&gt;Parámetros!$D$107,'Tablas Servicio'!CE852+('Tablas Servicio'!CG851-'Tablas Servicio'!CE851),CE852/(1-IF(B852&lt;=10,Parámetros!$D$100,0))),2))</f>
        <v/>
      </c>
      <c r="CH852" s="66" t="str">
        <f t="shared" si="1220"/>
        <v/>
      </c>
      <c r="CI852" s="66" t="str">
        <f t="shared" si="1220"/>
        <v/>
      </c>
      <c r="CJ852" s="66" t="str">
        <f>+IF($W852="","",ROUND((CG852*Parámetros!$G$85),2))</f>
        <v/>
      </c>
      <c r="CK852" s="66" t="str">
        <f>+IF($W852="","",ROUND((CG852*(Parámetros!$G$86)),2))</f>
        <v/>
      </c>
      <c r="CL852" s="66" t="str">
        <f t="shared" si="1164"/>
        <v/>
      </c>
      <c r="CM852" t="str">
        <f t="shared" si="1205"/>
        <v/>
      </c>
      <c r="CN852" s="118" t="str">
        <f t="shared" si="1206"/>
        <v/>
      </c>
      <c r="CO852" s="118" t="str">
        <f t="shared" si="1207"/>
        <v/>
      </c>
      <c r="CP852" s="118" t="str">
        <f t="shared" si="1208"/>
        <v/>
      </c>
      <c r="CQ852" s="119" t="str">
        <f t="shared" si="1165"/>
        <v/>
      </c>
      <c r="CR852" s="66" t="str">
        <f>+IF($W852="","",ROUND((VLOOKUP(Parámetros!$F$51,'COBERTURAS ADICIONALES'!$S$4:$T$32,2,FALSE)*(1+i/frec)^-0.5*(1+Parámetros!$D$103)*(1+rec_fracc)/frec*$CO$42),2))</f>
        <v/>
      </c>
      <c r="CS852" s="119" t="str">
        <f t="shared" si="1166"/>
        <v/>
      </c>
      <c r="CT852" s="66" t="str">
        <f>+IF($W852="","",ROUND(IF($B852&gt;Parámetros!$D$107,'Tablas Servicio'!CR852+('Tablas Servicio'!CT851-'Tablas Servicio'!CR851),CR852/(1-IF(B852&lt;=10,Parámetros!$D$100,0))),2))</f>
        <v/>
      </c>
      <c r="CU852" s="66" t="str">
        <f t="shared" si="1221"/>
        <v/>
      </c>
      <c r="CV852" s="66" t="str">
        <f t="shared" si="1221"/>
        <v/>
      </c>
      <c r="CW852" s="66" t="str">
        <f>+IF($W852="","",ROUND((CT852*Parámetros!$G$85),2))</f>
        <v/>
      </c>
      <c r="CX852" s="66" t="str">
        <f>+IF($W852="","",ROUND((CT852*(Parámetros!$G$86)),2))</f>
        <v/>
      </c>
      <c r="CY852" s="66" t="str">
        <f t="shared" si="1168"/>
        <v/>
      </c>
      <c r="CZ852" t="str">
        <f t="shared" si="1209"/>
        <v/>
      </c>
      <c r="DA852" s="118" t="str">
        <f t="shared" si="1210"/>
        <v/>
      </c>
      <c r="DB852" s="118" t="str">
        <f t="shared" si="1211"/>
        <v/>
      </c>
      <c r="DC852" s="118" t="str">
        <f t="shared" si="1212"/>
        <v/>
      </c>
      <c r="DD852" s="121" t="str">
        <f>+IF(OR($W852="",DB852=0),"",ROUND((VLOOKUP(ROUNDDOWN($D852-1/frec,0),cob_adi,CO$40,FALSE)*(1+i/frec)^-0.5*(1+Parámetros!$D$103)*(1+rec_fracc)/frec),6))</f>
        <v/>
      </c>
      <c r="DE852" s="66" t="str">
        <f t="shared" si="1169"/>
        <v/>
      </c>
      <c r="DF852" s="119" t="str">
        <f t="shared" si="1170"/>
        <v/>
      </c>
      <c r="DG852" s="66" t="str">
        <f>+IF($W852="","",ROUND(IF($B852&gt;Parámetros!$D$107,'Tablas Servicio'!DE852+('Tablas Servicio'!DG851-'Tablas Servicio'!DE851),DE852/(1-IF(B852&lt;=10,Parámetros!$D$100,0))),2))</f>
        <v/>
      </c>
      <c r="DH852" s="66" t="str">
        <f t="shared" si="1222"/>
        <v/>
      </c>
      <c r="DI852" s="66" t="str">
        <f t="shared" si="1222"/>
        <v/>
      </c>
      <c r="DJ852" s="66" t="str">
        <f>+IF($W852="","",ROUND((DG852*Parámetros!$G$85),2))</f>
        <v/>
      </c>
      <c r="DK852" s="66" t="str">
        <f>+IF($W852="","",ROUND((DG852*(Parámetros!$G$86)),2))</f>
        <v/>
      </c>
      <c r="DL852" s="66" t="str">
        <f t="shared" si="1172"/>
        <v/>
      </c>
      <c r="DM852" t="str">
        <f t="shared" si="1213"/>
        <v/>
      </c>
      <c r="DN852" s="118" t="str">
        <f t="shared" si="1214"/>
        <v/>
      </c>
      <c r="DO852" s="118" t="str">
        <f t="shared" si="1215"/>
        <v/>
      </c>
      <c r="DP852" s="118" t="str">
        <f t="shared" si="1216"/>
        <v/>
      </c>
      <c r="DQ852" s="122" t="str">
        <f>+IF(OR($W852="",DO852=0),"",ROUND((VLOOKUP(ROUNDDOWN($D852-1/frec,0),cob_adi,DB$40,FALSE)*(1+i/frec)^-0.5*(1+Parámetros!$D$103)*(1+rec_fracc)/frec),6))</f>
        <v/>
      </c>
      <c r="DR852" s="66" t="str">
        <f t="shared" si="1173"/>
        <v/>
      </c>
      <c r="DS852" s="68" t="str">
        <f t="shared" si="1174"/>
        <v/>
      </c>
      <c r="DT852" s="66" t="str">
        <f>+IF($W852="","",ROUND(IF($B852&gt;Parámetros!$D$107,'Tablas Servicio'!DR852+('Tablas Servicio'!DT851-'Tablas Servicio'!DR851),DR852/(1-IF(B852&lt;=10,Parámetros!$D$100,0))),2))</f>
        <v/>
      </c>
      <c r="DU852" s="66" t="str">
        <f t="shared" si="1223"/>
        <v/>
      </c>
      <c r="DV852" s="66" t="str">
        <f t="shared" si="1223"/>
        <v/>
      </c>
      <c r="DW852" s="66" t="str">
        <f>+IF($W852="","",ROUND((DT852*Parámetros!$G$85),2))</f>
        <v/>
      </c>
      <c r="DX852" s="66" t="str">
        <f>+IF($W852="","",ROUND((DT852*(Parámetros!$G$86)),2))</f>
        <v/>
      </c>
      <c r="DY852" s="66" t="str">
        <f t="shared" si="1176"/>
        <v/>
      </c>
      <c r="DZ852" t="str">
        <f t="shared" si="1224"/>
        <v/>
      </c>
      <c r="EA852" s="118" t="str">
        <f t="shared" si="1224"/>
        <v/>
      </c>
      <c r="EB852" s="118" t="str">
        <f>+IF($W852="","",ROUND(IF(Parámetros!$D$25='TABLAS MORT'!$V$33,EB851,Z852/2),0))</f>
        <v/>
      </c>
      <c r="EC852" s="118" t="str">
        <f t="shared" si="1224"/>
        <v/>
      </c>
      <c r="ED852" s="122" t="str">
        <f>+IF(OR($W852="",EB852=0),"",ROUND((VLOOKUP(ROUNDDOWN($D852-1/frec,0),cob_adi,DO$40,FALSE)*(1+i/frec)^-0.5*(1+Parámetros!$D$103)*(1+rec_fracc)/frec),6))</f>
        <v/>
      </c>
      <c r="EE852" s="66" t="str">
        <f t="shared" si="1178"/>
        <v/>
      </c>
      <c r="EF852" s="68" t="str">
        <f t="shared" si="1179"/>
        <v/>
      </c>
      <c r="EG852" s="66" t="str">
        <f>+IF($W852="","",ROUND(IF($B852&gt;Parámetros!$D$107,'Tablas Servicio'!EE852+('Tablas Servicio'!EG851-'Tablas Servicio'!EE851),EE852/(1-IF(B852&lt;=10,Parámetros!$D$100,0))),2))</f>
        <v/>
      </c>
      <c r="EH852" s="66" t="str">
        <f t="shared" si="1225"/>
        <v/>
      </c>
      <c r="EI852" s="66" t="str">
        <f t="shared" si="1225"/>
        <v/>
      </c>
      <c r="EJ852" s="66" t="str">
        <f>+IF($W852="","",ROUND((EG852*Parámetros!$G$85),2))</f>
        <v/>
      </c>
      <c r="EK852" s="66" t="str">
        <f>+IF($W852="","",ROUND((EG852*(Parámetros!$G$86)),2))</f>
        <v/>
      </c>
      <c r="EL852" s="66" t="str">
        <f t="shared" si="1181"/>
        <v/>
      </c>
    </row>
    <row r="853" spans="1:142" x14ac:dyDescent="0.25">
      <c r="A853" t="str">
        <f>+IF($C853="","",ROUND(VLOOKUP('Tablas Servicio'!B853,Parámetros!$H$100:$J$159,IF(Parámetros!$E$16="F",2,3),FALSE),2))</f>
        <v/>
      </c>
      <c r="B853" t="str">
        <f t="shared" si="1132"/>
        <v/>
      </c>
      <c r="C853" s="57" t="str">
        <f>+IF(D853="","",'Tablas Servicio'!C852+1)</f>
        <v/>
      </c>
      <c r="D853" s="56" t="str">
        <f>+IF(D852&lt;edadmaxtabla,D852+1/Parámetros!$E$25,"")</f>
        <v/>
      </c>
      <c r="E853" s="57" t="str">
        <f t="shared" si="1142"/>
        <v/>
      </c>
      <c r="F853" s="59" t="str">
        <f t="shared" si="1143"/>
        <v/>
      </c>
      <c r="G853" s="66" t="str">
        <f t="shared" si="1133"/>
        <v/>
      </c>
      <c r="H853" s="66" t="str">
        <f t="shared" si="1134"/>
        <v/>
      </c>
      <c r="I853" s="66" t="str">
        <f t="shared" si="1182"/>
        <v/>
      </c>
      <c r="J853" s="66" t="str">
        <f t="shared" si="1135"/>
        <v/>
      </c>
      <c r="K853" s="66" t="str">
        <f t="shared" si="1136"/>
        <v/>
      </c>
      <c r="L853" s="66" t="str">
        <f t="shared" si="1137"/>
        <v/>
      </c>
      <c r="M853" s="66" t="str">
        <f t="shared" si="1138"/>
        <v/>
      </c>
      <c r="N853" s="66" t="str">
        <f>+IF(C853="","",ROUND(Parámetros!$D$23,2))</f>
        <v/>
      </c>
      <c r="O853" s="66" t="str">
        <f t="shared" si="1139"/>
        <v/>
      </c>
      <c r="P853" s="66" t="str">
        <f>+IF($C853="","",ROUND(IF(B853&gt;Parámetros!$D$117,0,N853*Parámetros!$D$116-G853*Parámetros!$D$100),2))</f>
        <v/>
      </c>
      <c r="Q853" s="75" t="str">
        <f t="shared" si="1183"/>
        <v/>
      </c>
      <c r="R853" s="75" t="str">
        <f t="shared" si="1184"/>
        <v/>
      </c>
      <c r="S853" s="117" t="str">
        <f>+IF($C853="","",ROUND((S852+I853)*(1+Parámetros!$D$91),2))</f>
        <v/>
      </c>
      <c r="T853" s="117" t="str">
        <f>+IF($C853="","",ROUND(S853*VLOOKUP(B853,Parámetros!$C$30:$D$39,2,TRUE),2))</f>
        <v/>
      </c>
      <c r="U853" s="117" t="str">
        <f>+IF($C853="","",ROUND((U852+I853)*(1+Parámetros!$D$92),2))</f>
        <v/>
      </c>
      <c r="V853" s="117" t="str">
        <f>+IF($C853="","",ROUND(U853*VLOOKUP(B853,Parámetros!$C$30:$D$39,2,TRUE),2))</f>
        <v/>
      </c>
      <c r="W853" s="57" t="str">
        <f t="shared" si="1185"/>
        <v/>
      </c>
      <c r="X853" t="str">
        <f t="shared" si="1186"/>
        <v/>
      </c>
      <c r="Y853" t="str">
        <f t="shared" si="1187"/>
        <v/>
      </c>
      <c r="Z853" s="118" t="str">
        <f>+IF($W853="","",ROUND(IF(Parámetros!$D$25='TABLAS MORT'!$V$33,Z852,Parámetros!$D$21-'Tablas Servicio'!T852),0))</f>
        <v/>
      </c>
      <c r="AA853" s="118" t="str">
        <f t="shared" si="1188"/>
        <v/>
      </c>
      <c r="AB853" s="119" t="str">
        <f>+IF(W853="","",ROUND((VLOOKUP(ROUNDDOWN($D853-1/frec,0),qx_tabla,2,FALSE)*(1+i/frec)^-0.5*(1+Parámetros!$D$103)*(1+rec_fracc)/frec),6))</f>
        <v/>
      </c>
      <c r="AC853" s="66" t="str">
        <f t="shared" si="1144"/>
        <v/>
      </c>
      <c r="AD853" s="119" t="str">
        <f t="shared" si="1140"/>
        <v/>
      </c>
      <c r="AE853" s="66" t="str">
        <f>+IF($W853="","",ROUND(IF($B853&gt;Parámetros!$D$107,'Tablas Servicio'!AC853+('Tablas Servicio'!AG852-'Tablas Servicio'!AC852),AC853/(1-IF(B853&lt;=10,Parámetros!$D$104,Parámetros!$D$105))),2))</f>
        <v/>
      </c>
      <c r="AF853" s="66" t="str">
        <f>+IF($W853="","",ROUND(IF($B853&gt;Parámetros!$D$107,'Tablas Servicio'!AC853+('Tablas Servicio'!AG852-'Tablas Servicio'!AC852),(AC853+$A852/frec)/(1-IF(B853&lt;=Parámetros!$D$117,Parámetros!$D$100,0))),2))</f>
        <v/>
      </c>
      <c r="AG853" s="66" t="str">
        <f t="shared" si="1145"/>
        <v/>
      </c>
      <c r="AH853" s="66" t="str">
        <f t="shared" si="1146"/>
        <v/>
      </c>
      <c r="AI853" s="66" t="str">
        <f t="shared" si="1147"/>
        <v/>
      </c>
      <c r="AJ853" s="66" t="str">
        <f>+IF($W853="","",ROUND((AG853*Parámetros!$G$85),2))</f>
        <v/>
      </c>
      <c r="AK853" s="66" t="str">
        <f>+IF($W853="","",ROUND((AG853*(Parámetros!$G$86)),2))</f>
        <v/>
      </c>
      <c r="AL853" s="66" t="str">
        <f t="shared" si="1141"/>
        <v/>
      </c>
      <c r="AM853" t="str">
        <f t="shared" si="1189"/>
        <v/>
      </c>
      <c r="AN853" t="str">
        <f t="shared" si="1190"/>
        <v/>
      </c>
      <c r="AO853" s="118" t="str">
        <f t="shared" si="1191"/>
        <v/>
      </c>
      <c r="AP853" s="118" t="str">
        <f t="shared" si="1192"/>
        <v/>
      </c>
      <c r="AQ853" s="119" t="str">
        <f>+IF(OR($W853="",AO853=0),"",ROUND((VLOOKUP(ROUNDDOWN($D853-1/frec,0),cob_adi,Z$40,FALSE)*(1+i/frec)^-0.5*(1+Parámetros!$D$103)*(1+rec_fracc)/frec),6))</f>
        <v/>
      </c>
      <c r="AR853" s="66" t="str">
        <f t="shared" si="1148"/>
        <v/>
      </c>
      <c r="AS853" s="119" t="str">
        <f t="shared" si="1149"/>
        <v/>
      </c>
      <c r="AT853" s="66" t="str">
        <f>+IF($W853="","",ROUND(IF($B853&gt;Parámetros!$D$107,'Tablas Servicio'!AR853+('Tablas Servicio'!AT852-'Tablas Servicio'!AR852),AR853/(1-IF(B853&lt;=10,Parámetros!$D$100,0))),2))</f>
        <v/>
      </c>
      <c r="AU853" s="66" t="str">
        <f t="shared" si="1218"/>
        <v/>
      </c>
      <c r="AV853" s="66" t="str">
        <f t="shared" si="1218"/>
        <v/>
      </c>
      <c r="AW853" s="66" t="str">
        <f>+IF($W853="","",ROUND((AT853*Parámetros!$G$85),2))</f>
        <v/>
      </c>
      <c r="AX853" s="66" t="str">
        <f>+IF($W853="","",ROUND((AT853*(Parámetros!$G$86)),2))</f>
        <v/>
      </c>
      <c r="AY853" s="66" t="str">
        <f t="shared" si="1151"/>
        <v/>
      </c>
      <c r="AZ853" t="str">
        <f t="shared" si="1193"/>
        <v/>
      </c>
      <c r="BA853" t="str">
        <f t="shared" si="1194"/>
        <v/>
      </c>
      <c r="BB853" s="118" t="str">
        <f t="shared" si="1195"/>
        <v/>
      </c>
      <c r="BC853" s="118" t="str">
        <f t="shared" si="1196"/>
        <v/>
      </c>
      <c r="BD853" s="119" t="str">
        <f>+IF(OR($W853="",BB853=0),"",ROUND((VLOOKUP(ROUNDDOWN($D853-1/frec,0),cob_adi,AO$40,FALSE)*(1+i/frec)^-0.5*(1+Parámetros!$D$103)*(1+rec_fracc)/frec),6))</f>
        <v/>
      </c>
      <c r="BE853" s="66" t="str">
        <f t="shared" si="1152"/>
        <v/>
      </c>
      <c r="BF853" s="119" t="str">
        <f t="shared" si="1153"/>
        <v/>
      </c>
      <c r="BG853" s="66" t="str">
        <f>+IF($W853="","",ROUND(IF($B853&gt;Parámetros!$D$107,'Tablas Servicio'!BE853+('Tablas Servicio'!BG852-'Tablas Servicio'!BE852),BE853/(1-IF(B853&lt;=10,Parámetros!$D$100,0))),2))</f>
        <v/>
      </c>
      <c r="BH853" s="66" t="str">
        <f t="shared" si="1154"/>
        <v/>
      </c>
      <c r="BI853" s="66" t="str">
        <f t="shared" si="1155"/>
        <v/>
      </c>
      <c r="BJ853" s="66" t="str">
        <f>+IF($W853="","",ROUND((BG853*Parámetros!$G$85),2))</f>
        <v/>
      </c>
      <c r="BK853" s="66" t="str">
        <f>+IF($W853="","",ROUND((BG853*(Parámetros!$G$86)),2))</f>
        <v/>
      </c>
      <c r="BL853" s="66" t="str">
        <f t="shared" si="1156"/>
        <v/>
      </c>
      <c r="BM853" t="str">
        <f t="shared" si="1197"/>
        <v/>
      </c>
      <c r="BN853" t="str">
        <f t="shared" si="1198"/>
        <v/>
      </c>
      <c r="BO853" s="118" t="str">
        <f t="shared" si="1199"/>
        <v/>
      </c>
      <c r="BP853" s="118" t="str">
        <f t="shared" si="1200"/>
        <v/>
      </c>
      <c r="BQ853" s="119" t="str">
        <f>+IF(OR($W853="",BO853=0),"",ROUND((VLOOKUP(ROUNDDOWN($D853-1/frec,0),cob_adi,BB$40,FALSE)*(1+i/frec)^-0.5*(1+Parámetros!$D$103)*(1+rec_fracc)/frec),6))</f>
        <v/>
      </c>
      <c r="BR853" s="66" t="str">
        <f t="shared" si="1157"/>
        <v/>
      </c>
      <c r="BS853" s="119" t="str">
        <f t="shared" si="1158"/>
        <v/>
      </c>
      <c r="BT853" s="66" t="str">
        <f>+IF($W853="","",ROUND(IF($B853&gt;Parámetros!$D$107,'Tablas Servicio'!BR853+('Tablas Servicio'!BT852-'Tablas Servicio'!BR852),BR853/(1-IF(B853&lt;=10,Parámetros!$D$100,0))),2))</f>
        <v/>
      </c>
      <c r="BU853" s="66" t="str">
        <f t="shared" si="1219"/>
        <v/>
      </c>
      <c r="BV853" s="66" t="str">
        <f t="shared" si="1219"/>
        <v/>
      </c>
      <c r="BW853" s="66" t="str">
        <f>+IF($W853="","",ROUND((BT853*Parámetros!$G$85),2))</f>
        <v/>
      </c>
      <c r="BX853" s="66" t="str">
        <f>+IF($W853="","",ROUND((BT853*(Parámetros!$G$86)),2))</f>
        <v/>
      </c>
      <c r="BY853" s="66" t="str">
        <f t="shared" si="1160"/>
        <v/>
      </c>
      <c r="BZ853" t="str">
        <f t="shared" si="1201"/>
        <v/>
      </c>
      <c r="CA853" t="str">
        <f t="shared" si="1202"/>
        <v/>
      </c>
      <c r="CB853" s="118" t="str">
        <f t="shared" si="1203"/>
        <v/>
      </c>
      <c r="CC853" s="118" t="str">
        <f t="shared" si="1204"/>
        <v/>
      </c>
      <c r="CD853" s="119" t="str">
        <f t="shared" si="1161"/>
        <v/>
      </c>
      <c r="CE853" s="66" t="str">
        <f>+IF($W853="","",ROUND((VLOOKUP(ROUNDDOWN($D853-1/frec,0),cob_adi,BO$40,FALSE)*(1+i/frec)^-0.5*(1+Parámetros!$D$103)*(1+rec_fracc)/frec*'TABLAS ADI'!$BC$17),2))</f>
        <v/>
      </c>
      <c r="CF853" s="119" t="str">
        <f t="shared" si="1162"/>
        <v/>
      </c>
      <c r="CG853" s="66" t="str">
        <f>+IF($W853="","",ROUND(IF($B853&gt;Parámetros!$D$107,'Tablas Servicio'!CE853+('Tablas Servicio'!CG852-'Tablas Servicio'!CE852),CE853/(1-IF(B853&lt;=10,Parámetros!$D$100,0))),2))</f>
        <v/>
      </c>
      <c r="CH853" s="66" t="str">
        <f t="shared" si="1220"/>
        <v/>
      </c>
      <c r="CI853" s="66" t="str">
        <f t="shared" si="1220"/>
        <v/>
      </c>
      <c r="CJ853" s="66" t="str">
        <f>+IF($W853="","",ROUND((CG853*Parámetros!$G$85),2))</f>
        <v/>
      </c>
      <c r="CK853" s="66" t="str">
        <f>+IF($W853="","",ROUND((CG853*(Parámetros!$G$86)),2))</f>
        <v/>
      </c>
      <c r="CL853" s="66" t="str">
        <f t="shared" si="1164"/>
        <v/>
      </c>
      <c r="CM853" t="str">
        <f t="shared" si="1205"/>
        <v/>
      </c>
      <c r="CN853" s="118" t="str">
        <f t="shared" si="1206"/>
        <v/>
      </c>
      <c r="CO853" s="118" t="str">
        <f t="shared" si="1207"/>
        <v/>
      </c>
      <c r="CP853" s="118" t="str">
        <f t="shared" si="1208"/>
        <v/>
      </c>
      <c r="CQ853" s="119" t="str">
        <f t="shared" si="1165"/>
        <v/>
      </c>
      <c r="CR853" s="66" t="str">
        <f>+IF($W853="","",ROUND((VLOOKUP(Parámetros!$F$51,'COBERTURAS ADICIONALES'!$S$4:$T$32,2,FALSE)*(1+i/frec)^-0.5*(1+Parámetros!$D$103)*(1+rec_fracc)/frec*$CO$42),2))</f>
        <v/>
      </c>
      <c r="CS853" s="119" t="str">
        <f t="shared" si="1166"/>
        <v/>
      </c>
      <c r="CT853" s="66" t="str">
        <f>+IF($W853="","",ROUND(IF($B853&gt;Parámetros!$D$107,'Tablas Servicio'!CR853+('Tablas Servicio'!CT852-'Tablas Servicio'!CR852),CR853/(1-IF(B853&lt;=10,Parámetros!$D$100,0))),2))</f>
        <v/>
      </c>
      <c r="CU853" s="66" t="str">
        <f t="shared" si="1221"/>
        <v/>
      </c>
      <c r="CV853" s="66" t="str">
        <f t="shared" si="1221"/>
        <v/>
      </c>
      <c r="CW853" s="66" t="str">
        <f>+IF($W853="","",ROUND((CT853*Parámetros!$G$85),2))</f>
        <v/>
      </c>
      <c r="CX853" s="66" t="str">
        <f>+IF($W853="","",ROUND((CT853*(Parámetros!$G$86)),2))</f>
        <v/>
      </c>
      <c r="CY853" s="66" t="str">
        <f t="shared" si="1168"/>
        <v/>
      </c>
      <c r="CZ853" t="str">
        <f t="shared" si="1209"/>
        <v/>
      </c>
      <c r="DA853" s="118" t="str">
        <f t="shared" si="1210"/>
        <v/>
      </c>
      <c r="DB853" s="118" t="str">
        <f t="shared" si="1211"/>
        <v/>
      </c>
      <c r="DC853" s="118" t="str">
        <f t="shared" si="1212"/>
        <v/>
      </c>
      <c r="DD853" s="121" t="str">
        <f>+IF(OR($W853="",DB853=0),"",ROUND((VLOOKUP(ROUNDDOWN($D853-1/frec,0),cob_adi,CO$40,FALSE)*(1+i/frec)^-0.5*(1+Parámetros!$D$103)*(1+rec_fracc)/frec),6))</f>
        <v/>
      </c>
      <c r="DE853" s="66" t="str">
        <f t="shared" si="1169"/>
        <v/>
      </c>
      <c r="DF853" s="119" t="str">
        <f t="shared" si="1170"/>
        <v/>
      </c>
      <c r="DG853" s="66" t="str">
        <f>+IF($W853="","",ROUND(IF($B853&gt;Parámetros!$D$107,'Tablas Servicio'!DE853+('Tablas Servicio'!DG852-'Tablas Servicio'!DE852),DE853/(1-IF(B853&lt;=10,Parámetros!$D$100,0))),2))</f>
        <v/>
      </c>
      <c r="DH853" s="66" t="str">
        <f t="shared" si="1222"/>
        <v/>
      </c>
      <c r="DI853" s="66" t="str">
        <f t="shared" si="1222"/>
        <v/>
      </c>
      <c r="DJ853" s="66" t="str">
        <f>+IF($W853="","",ROUND((DG853*Parámetros!$G$85),2))</f>
        <v/>
      </c>
      <c r="DK853" s="66" t="str">
        <f>+IF($W853="","",ROUND((DG853*(Parámetros!$G$86)),2))</f>
        <v/>
      </c>
      <c r="DL853" s="66" t="str">
        <f t="shared" si="1172"/>
        <v/>
      </c>
      <c r="DM853" t="str">
        <f t="shared" si="1213"/>
        <v/>
      </c>
      <c r="DN853" s="118" t="str">
        <f t="shared" si="1214"/>
        <v/>
      </c>
      <c r="DO853" s="118" t="str">
        <f t="shared" si="1215"/>
        <v/>
      </c>
      <c r="DP853" s="118" t="str">
        <f t="shared" si="1216"/>
        <v/>
      </c>
      <c r="DQ853" s="122" t="str">
        <f>+IF(OR($W853="",DO853=0),"",ROUND((VLOOKUP(ROUNDDOWN($D853-1/frec,0),cob_adi,DB$40,FALSE)*(1+i/frec)^-0.5*(1+Parámetros!$D$103)*(1+rec_fracc)/frec),6))</f>
        <v/>
      </c>
      <c r="DR853" s="66" t="str">
        <f t="shared" si="1173"/>
        <v/>
      </c>
      <c r="DS853" s="68" t="str">
        <f t="shared" si="1174"/>
        <v/>
      </c>
      <c r="DT853" s="66" t="str">
        <f>+IF($W853="","",ROUND(IF($B853&gt;Parámetros!$D$107,'Tablas Servicio'!DR853+('Tablas Servicio'!DT852-'Tablas Servicio'!DR852),DR853/(1-IF(B853&lt;=10,Parámetros!$D$100,0))),2))</f>
        <v/>
      </c>
      <c r="DU853" s="66" t="str">
        <f t="shared" si="1223"/>
        <v/>
      </c>
      <c r="DV853" s="66" t="str">
        <f t="shared" si="1223"/>
        <v/>
      </c>
      <c r="DW853" s="66" t="str">
        <f>+IF($W853="","",ROUND((DT853*Parámetros!$G$85),2))</f>
        <v/>
      </c>
      <c r="DX853" s="66" t="str">
        <f>+IF($W853="","",ROUND((DT853*(Parámetros!$G$86)),2))</f>
        <v/>
      </c>
      <c r="DY853" s="66" t="str">
        <f t="shared" si="1176"/>
        <v/>
      </c>
      <c r="DZ853" t="str">
        <f t="shared" si="1224"/>
        <v/>
      </c>
      <c r="EA853" s="118" t="str">
        <f t="shared" si="1224"/>
        <v/>
      </c>
      <c r="EB853" s="118" t="str">
        <f>+IF($W853="","",ROUND(IF(Parámetros!$D$25='TABLAS MORT'!$V$33,EB852,Z853/2),0))</f>
        <v/>
      </c>
      <c r="EC853" s="118" t="str">
        <f t="shared" si="1224"/>
        <v/>
      </c>
      <c r="ED853" s="122" t="str">
        <f>+IF(OR($W853="",EB853=0),"",ROUND((VLOOKUP(ROUNDDOWN($D853-1/frec,0),cob_adi,DO$40,FALSE)*(1+i/frec)^-0.5*(1+Parámetros!$D$103)*(1+rec_fracc)/frec),6))</f>
        <v/>
      </c>
      <c r="EE853" s="66" t="str">
        <f t="shared" si="1178"/>
        <v/>
      </c>
      <c r="EF853" s="68" t="str">
        <f t="shared" si="1179"/>
        <v/>
      </c>
      <c r="EG853" s="66" t="str">
        <f>+IF($W853="","",ROUND(IF($B853&gt;Parámetros!$D$107,'Tablas Servicio'!EE853+('Tablas Servicio'!EG852-'Tablas Servicio'!EE852),EE853/(1-IF(B853&lt;=10,Parámetros!$D$100,0))),2))</f>
        <v/>
      </c>
      <c r="EH853" s="66" t="str">
        <f t="shared" si="1225"/>
        <v/>
      </c>
      <c r="EI853" s="66" t="str">
        <f t="shared" si="1225"/>
        <v/>
      </c>
      <c r="EJ853" s="66" t="str">
        <f>+IF($W853="","",ROUND((EG853*Parámetros!$G$85),2))</f>
        <v/>
      </c>
      <c r="EK853" s="66" t="str">
        <f>+IF($W853="","",ROUND((EG853*(Parámetros!$G$86)),2))</f>
        <v/>
      </c>
      <c r="EL853" s="66" t="str">
        <f t="shared" si="1181"/>
        <v/>
      </c>
    </row>
    <row r="854" spans="1:142" x14ac:dyDescent="0.25">
      <c r="A854" t="str">
        <f>+IF($C854="","",ROUND(VLOOKUP('Tablas Servicio'!B854,Parámetros!$H$100:$J$159,IF(Parámetros!$E$16="F",2,3),FALSE),2))</f>
        <v/>
      </c>
      <c r="B854" t="str">
        <f t="shared" si="1132"/>
        <v/>
      </c>
      <c r="C854" s="57" t="str">
        <f>+IF(D854="","",'Tablas Servicio'!C853+1)</f>
        <v/>
      </c>
      <c r="D854" s="56" t="str">
        <f>+IF(D853&lt;edadmaxtabla,D853+1/Parámetros!$E$25,"")</f>
        <v/>
      </c>
      <c r="E854" s="57" t="str">
        <f t="shared" si="1142"/>
        <v/>
      </c>
      <c r="F854" s="59" t="str">
        <f t="shared" si="1143"/>
        <v/>
      </c>
      <c r="G854" s="66" t="str">
        <f t="shared" si="1133"/>
        <v/>
      </c>
      <c r="H854" s="66" t="str">
        <f t="shared" si="1134"/>
        <v/>
      </c>
      <c r="I854" s="66" t="str">
        <f t="shared" si="1182"/>
        <v/>
      </c>
      <c r="J854" s="66" t="str">
        <f t="shared" si="1135"/>
        <v/>
      </c>
      <c r="K854" s="66" t="str">
        <f t="shared" si="1136"/>
        <v/>
      </c>
      <c r="L854" s="66" t="str">
        <f t="shared" si="1137"/>
        <v/>
      </c>
      <c r="M854" s="66" t="str">
        <f t="shared" si="1138"/>
        <v/>
      </c>
      <c r="N854" s="66" t="str">
        <f>+IF(C854="","",ROUND(Parámetros!$D$23,2))</f>
        <v/>
      </c>
      <c r="O854" s="66" t="str">
        <f t="shared" si="1139"/>
        <v/>
      </c>
      <c r="P854" s="66" t="str">
        <f>+IF($C854="","",ROUND(IF(B854&gt;Parámetros!$D$117,0,N854*Parámetros!$D$116-G854*Parámetros!$D$100),2))</f>
        <v/>
      </c>
      <c r="Q854" s="75" t="str">
        <f t="shared" si="1183"/>
        <v/>
      </c>
      <c r="R854" s="75" t="str">
        <f t="shared" si="1184"/>
        <v/>
      </c>
      <c r="S854" s="117" t="str">
        <f>+IF($C854="","",ROUND((S853+I854)*(1+Parámetros!$D$91),2))</f>
        <v/>
      </c>
      <c r="T854" s="117" t="str">
        <f>+IF($C854="","",ROUND(S854*VLOOKUP(B854,Parámetros!$C$30:$D$39,2,TRUE),2))</f>
        <v/>
      </c>
      <c r="U854" s="117" t="str">
        <f>+IF($C854="","",ROUND((U853+I854)*(1+Parámetros!$D$92),2))</f>
        <v/>
      </c>
      <c r="V854" s="117" t="str">
        <f>+IF($C854="","",ROUND(U854*VLOOKUP(B854,Parámetros!$C$30:$D$39,2,TRUE),2))</f>
        <v/>
      </c>
      <c r="W854" s="57" t="str">
        <f t="shared" si="1185"/>
        <v/>
      </c>
      <c r="X854" t="str">
        <f t="shared" si="1186"/>
        <v/>
      </c>
      <c r="Y854" t="str">
        <f t="shared" si="1187"/>
        <v/>
      </c>
      <c r="Z854" s="118" t="str">
        <f>+IF($W854="","",ROUND(IF(Parámetros!$D$25='TABLAS MORT'!$V$33,Z853,Parámetros!$D$21-'Tablas Servicio'!T853),0))</f>
        <v/>
      </c>
      <c r="AA854" s="118" t="str">
        <f t="shared" si="1188"/>
        <v/>
      </c>
      <c r="AB854" s="119" t="str">
        <f>+IF(W854="","",ROUND((VLOOKUP(ROUNDDOWN($D854-1/frec,0),qx_tabla,2,FALSE)*(1+i/frec)^-0.5*(1+Parámetros!$D$103)*(1+rec_fracc)/frec),6))</f>
        <v/>
      </c>
      <c r="AC854" s="66" t="str">
        <f t="shared" si="1144"/>
        <v/>
      </c>
      <c r="AD854" s="119" t="str">
        <f t="shared" si="1140"/>
        <v/>
      </c>
      <c r="AE854" s="66" t="str">
        <f>+IF($W854="","",ROUND(IF($B854&gt;Parámetros!$D$107,'Tablas Servicio'!AC854+('Tablas Servicio'!AG853-'Tablas Servicio'!AC853),AC854/(1-IF(B854&lt;=10,Parámetros!$D$104,Parámetros!$D$105))),2))</f>
        <v/>
      </c>
      <c r="AF854" s="66" t="str">
        <f>+IF($W854="","",ROUND(IF($B854&gt;Parámetros!$D$107,'Tablas Servicio'!AC854+('Tablas Servicio'!AG853-'Tablas Servicio'!AC853),(AC854+$A853/frec)/(1-IF(B854&lt;=Parámetros!$D$117,Parámetros!$D$100,0))),2))</f>
        <v/>
      </c>
      <c r="AG854" s="66" t="str">
        <f t="shared" si="1145"/>
        <v/>
      </c>
      <c r="AH854" s="66" t="str">
        <f t="shared" si="1146"/>
        <v/>
      </c>
      <c r="AI854" s="66" t="str">
        <f t="shared" si="1147"/>
        <v/>
      </c>
      <c r="AJ854" s="66" t="str">
        <f>+IF($W854="","",ROUND((AG854*Parámetros!$G$85),2))</f>
        <v/>
      </c>
      <c r="AK854" s="66" t="str">
        <f>+IF($W854="","",ROUND((AG854*(Parámetros!$G$86)),2))</f>
        <v/>
      </c>
      <c r="AL854" s="66" t="str">
        <f t="shared" si="1141"/>
        <v/>
      </c>
      <c r="AM854" t="str">
        <f t="shared" si="1189"/>
        <v/>
      </c>
      <c r="AN854" t="str">
        <f t="shared" si="1190"/>
        <v/>
      </c>
      <c r="AO854" s="118" t="str">
        <f t="shared" si="1191"/>
        <v/>
      </c>
      <c r="AP854" s="118" t="str">
        <f t="shared" si="1192"/>
        <v/>
      </c>
      <c r="AQ854" s="119" t="str">
        <f>+IF(OR($W854="",AO854=0),"",ROUND((VLOOKUP(ROUNDDOWN($D854-1/frec,0),cob_adi,Z$40,FALSE)*(1+i/frec)^-0.5*(1+Parámetros!$D$103)*(1+rec_fracc)/frec),6))</f>
        <v/>
      </c>
      <c r="AR854" s="66" t="str">
        <f t="shared" si="1148"/>
        <v/>
      </c>
      <c r="AS854" s="119" t="str">
        <f t="shared" si="1149"/>
        <v/>
      </c>
      <c r="AT854" s="66" t="str">
        <f>+IF($W854="","",ROUND(IF($B854&gt;Parámetros!$D$107,'Tablas Servicio'!AR854+('Tablas Servicio'!AT853-'Tablas Servicio'!AR853),AR854/(1-IF(B854&lt;=10,Parámetros!$D$100,0))),2))</f>
        <v/>
      </c>
      <c r="AU854" s="66" t="str">
        <f t="shared" si="1218"/>
        <v/>
      </c>
      <c r="AV854" s="66" t="str">
        <f t="shared" si="1218"/>
        <v/>
      </c>
      <c r="AW854" s="66" t="str">
        <f>+IF($W854="","",ROUND((AT854*Parámetros!$G$85),2))</f>
        <v/>
      </c>
      <c r="AX854" s="66" t="str">
        <f>+IF($W854="","",ROUND((AT854*(Parámetros!$G$86)),2))</f>
        <v/>
      </c>
      <c r="AY854" s="66" t="str">
        <f t="shared" si="1151"/>
        <v/>
      </c>
      <c r="AZ854" t="str">
        <f t="shared" si="1193"/>
        <v/>
      </c>
      <c r="BA854" t="str">
        <f t="shared" si="1194"/>
        <v/>
      </c>
      <c r="BB854" s="118" t="str">
        <f t="shared" si="1195"/>
        <v/>
      </c>
      <c r="BC854" s="118" t="str">
        <f t="shared" si="1196"/>
        <v/>
      </c>
      <c r="BD854" s="119" t="str">
        <f>+IF(OR($W854="",BB854=0),"",ROUND((VLOOKUP(ROUNDDOWN($D854-1/frec,0),cob_adi,AO$40,FALSE)*(1+i/frec)^-0.5*(1+Parámetros!$D$103)*(1+rec_fracc)/frec),6))</f>
        <v/>
      </c>
      <c r="BE854" s="66" t="str">
        <f t="shared" si="1152"/>
        <v/>
      </c>
      <c r="BF854" s="119" t="str">
        <f t="shared" si="1153"/>
        <v/>
      </c>
      <c r="BG854" s="66" t="str">
        <f>+IF($W854="","",ROUND(IF($B854&gt;Parámetros!$D$107,'Tablas Servicio'!BE854+('Tablas Servicio'!BG853-'Tablas Servicio'!BE853),BE854/(1-IF(B854&lt;=10,Parámetros!$D$100,0))),2))</f>
        <v/>
      </c>
      <c r="BH854" s="66" t="str">
        <f t="shared" si="1154"/>
        <v/>
      </c>
      <c r="BI854" s="66" t="str">
        <f t="shared" si="1155"/>
        <v/>
      </c>
      <c r="BJ854" s="66" t="str">
        <f>+IF($W854="","",ROUND((BG854*Parámetros!$G$85),2))</f>
        <v/>
      </c>
      <c r="BK854" s="66" t="str">
        <f>+IF($W854="","",ROUND((BG854*(Parámetros!$G$86)),2))</f>
        <v/>
      </c>
      <c r="BL854" s="66" t="str">
        <f t="shared" si="1156"/>
        <v/>
      </c>
      <c r="BM854" t="str">
        <f t="shared" si="1197"/>
        <v/>
      </c>
      <c r="BN854" t="str">
        <f t="shared" si="1198"/>
        <v/>
      </c>
      <c r="BO854" s="118" t="str">
        <f t="shared" si="1199"/>
        <v/>
      </c>
      <c r="BP854" s="118" t="str">
        <f t="shared" si="1200"/>
        <v/>
      </c>
      <c r="BQ854" s="119" t="str">
        <f>+IF(OR($W854="",BO854=0),"",ROUND((VLOOKUP(ROUNDDOWN($D854-1/frec,0),cob_adi,BB$40,FALSE)*(1+i/frec)^-0.5*(1+Parámetros!$D$103)*(1+rec_fracc)/frec),6))</f>
        <v/>
      </c>
      <c r="BR854" s="66" t="str">
        <f t="shared" si="1157"/>
        <v/>
      </c>
      <c r="BS854" s="119" t="str">
        <f t="shared" si="1158"/>
        <v/>
      </c>
      <c r="BT854" s="66" t="str">
        <f>+IF($W854="","",ROUND(IF($B854&gt;Parámetros!$D$107,'Tablas Servicio'!BR854+('Tablas Servicio'!BT853-'Tablas Servicio'!BR853),BR854/(1-IF(B854&lt;=10,Parámetros!$D$100,0))),2))</f>
        <v/>
      </c>
      <c r="BU854" s="66" t="str">
        <f t="shared" si="1219"/>
        <v/>
      </c>
      <c r="BV854" s="66" t="str">
        <f t="shared" si="1219"/>
        <v/>
      </c>
      <c r="BW854" s="66" t="str">
        <f>+IF($W854="","",ROUND((BT854*Parámetros!$G$85),2))</f>
        <v/>
      </c>
      <c r="BX854" s="66" t="str">
        <f>+IF($W854="","",ROUND((BT854*(Parámetros!$G$86)),2))</f>
        <v/>
      </c>
      <c r="BY854" s="66" t="str">
        <f t="shared" si="1160"/>
        <v/>
      </c>
      <c r="BZ854" t="str">
        <f t="shared" si="1201"/>
        <v/>
      </c>
      <c r="CA854" t="str">
        <f t="shared" si="1202"/>
        <v/>
      </c>
      <c r="CB854" s="118" t="str">
        <f t="shared" si="1203"/>
        <v/>
      </c>
      <c r="CC854" s="118" t="str">
        <f t="shared" si="1204"/>
        <v/>
      </c>
      <c r="CD854" s="119" t="str">
        <f t="shared" si="1161"/>
        <v/>
      </c>
      <c r="CE854" s="66" t="str">
        <f>+IF($W854="","",ROUND((VLOOKUP(ROUNDDOWN($D854-1/frec,0),cob_adi,BO$40,FALSE)*(1+i/frec)^-0.5*(1+Parámetros!$D$103)*(1+rec_fracc)/frec*'TABLAS ADI'!$BC$17),2))</f>
        <v/>
      </c>
      <c r="CF854" s="119" t="str">
        <f t="shared" si="1162"/>
        <v/>
      </c>
      <c r="CG854" s="66" t="str">
        <f>+IF($W854="","",ROUND(IF($B854&gt;Parámetros!$D$107,'Tablas Servicio'!CE854+('Tablas Servicio'!CG853-'Tablas Servicio'!CE853),CE854/(1-IF(B854&lt;=10,Parámetros!$D$100,0))),2))</f>
        <v/>
      </c>
      <c r="CH854" s="66" t="str">
        <f t="shared" si="1220"/>
        <v/>
      </c>
      <c r="CI854" s="66" t="str">
        <f t="shared" si="1220"/>
        <v/>
      </c>
      <c r="CJ854" s="66" t="str">
        <f>+IF($W854="","",ROUND((CG854*Parámetros!$G$85),2))</f>
        <v/>
      </c>
      <c r="CK854" s="66" t="str">
        <f>+IF($W854="","",ROUND((CG854*(Parámetros!$G$86)),2))</f>
        <v/>
      </c>
      <c r="CL854" s="66" t="str">
        <f t="shared" si="1164"/>
        <v/>
      </c>
      <c r="CM854" t="str">
        <f t="shared" si="1205"/>
        <v/>
      </c>
      <c r="CN854" s="118" t="str">
        <f t="shared" si="1206"/>
        <v/>
      </c>
      <c r="CO854" s="118" t="str">
        <f t="shared" si="1207"/>
        <v/>
      </c>
      <c r="CP854" s="118" t="str">
        <f t="shared" si="1208"/>
        <v/>
      </c>
      <c r="CQ854" s="119" t="str">
        <f t="shared" si="1165"/>
        <v/>
      </c>
      <c r="CR854" s="66" t="str">
        <f>+IF($W854="","",ROUND((VLOOKUP(Parámetros!$F$51,'COBERTURAS ADICIONALES'!$S$4:$T$32,2,FALSE)*(1+i/frec)^-0.5*(1+Parámetros!$D$103)*(1+rec_fracc)/frec*$CO$42),2))</f>
        <v/>
      </c>
      <c r="CS854" s="119" t="str">
        <f t="shared" si="1166"/>
        <v/>
      </c>
      <c r="CT854" s="66" t="str">
        <f>+IF($W854="","",ROUND(IF($B854&gt;Parámetros!$D$107,'Tablas Servicio'!CR854+('Tablas Servicio'!CT853-'Tablas Servicio'!CR853),CR854/(1-IF(B854&lt;=10,Parámetros!$D$100,0))),2))</f>
        <v/>
      </c>
      <c r="CU854" s="66" t="str">
        <f t="shared" si="1221"/>
        <v/>
      </c>
      <c r="CV854" s="66" t="str">
        <f t="shared" si="1221"/>
        <v/>
      </c>
      <c r="CW854" s="66" t="str">
        <f>+IF($W854="","",ROUND((CT854*Parámetros!$G$85),2))</f>
        <v/>
      </c>
      <c r="CX854" s="66" t="str">
        <f>+IF($W854="","",ROUND((CT854*(Parámetros!$G$86)),2))</f>
        <v/>
      </c>
      <c r="CY854" s="66" t="str">
        <f t="shared" si="1168"/>
        <v/>
      </c>
      <c r="CZ854" t="str">
        <f t="shared" si="1209"/>
        <v/>
      </c>
      <c r="DA854" s="118" t="str">
        <f t="shared" si="1210"/>
        <v/>
      </c>
      <c r="DB854" s="118" t="str">
        <f t="shared" si="1211"/>
        <v/>
      </c>
      <c r="DC854" s="118" t="str">
        <f t="shared" si="1212"/>
        <v/>
      </c>
      <c r="DD854" s="121" t="str">
        <f>+IF(OR($W854="",DB854=0),"",ROUND((VLOOKUP(ROUNDDOWN($D854-1/frec,0),cob_adi,CO$40,FALSE)*(1+i/frec)^-0.5*(1+Parámetros!$D$103)*(1+rec_fracc)/frec),6))</f>
        <v/>
      </c>
      <c r="DE854" s="66" t="str">
        <f t="shared" si="1169"/>
        <v/>
      </c>
      <c r="DF854" s="119" t="str">
        <f t="shared" si="1170"/>
        <v/>
      </c>
      <c r="DG854" s="66" t="str">
        <f>+IF($W854="","",ROUND(IF($B854&gt;Parámetros!$D$107,'Tablas Servicio'!DE854+('Tablas Servicio'!DG853-'Tablas Servicio'!DE853),DE854/(1-IF(B854&lt;=10,Parámetros!$D$100,0))),2))</f>
        <v/>
      </c>
      <c r="DH854" s="66" t="str">
        <f t="shared" si="1222"/>
        <v/>
      </c>
      <c r="DI854" s="66" t="str">
        <f t="shared" si="1222"/>
        <v/>
      </c>
      <c r="DJ854" s="66" t="str">
        <f>+IF($W854="","",ROUND((DG854*Parámetros!$G$85),2))</f>
        <v/>
      </c>
      <c r="DK854" s="66" t="str">
        <f>+IF($W854="","",ROUND((DG854*(Parámetros!$G$86)),2))</f>
        <v/>
      </c>
      <c r="DL854" s="66" t="str">
        <f t="shared" si="1172"/>
        <v/>
      </c>
      <c r="DM854" t="str">
        <f t="shared" si="1213"/>
        <v/>
      </c>
      <c r="DN854" s="118" t="str">
        <f t="shared" si="1214"/>
        <v/>
      </c>
      <c r="DO854" s="118" t="str">
        <f t="shared" si="1215"/>
        <v/>
      </c>
      <c r="DP854" s="118" t="str">
        <f t="shared" si="1216"/>
        <v/>
      </c>
      <c r="DQ854" s="122" t="str">
        <f>+IF(OR($W854="",DO854=0),"",ROUND((VLOOKUP(ROUNDDOWN($D854-1/frec,0),cob_adi,DB$40,FALSE)*(1+i/frec)^-0.5*(1+Parámetros!$D$103)*(1+rec_fracc)/frec),6))</f>
        <v/>
      </c>
      <c r="DR854" s="66" t="str">
        <f t="shared" si="1173"/>
        <v/>
      </c>
      <c r="DS854" s="68" t="str">
        <f t="shared" si="1174"/>
        <v/>
      </c>
      <c r="DT854" s="66" t="str">
        <f>+IF($W854="","",ROUND(IF($B854&gt;Parámetros!$D$107,'Tablas Servicio'!DR854+('Tablas Servicio'!DT853-'Tablas Servicio'!DR853),DR854/(1-IF(B854&lt;=10,Parámetros!$D$100,0))),2))</f>
        <v/>
      </c>
      <c r="DU854" s="66" t="str">
        <f t="shared" si="1223"/>
        <v/>
      </c>
      <c r="DV854" s="66" t="str">
        <f t="shared" si="1223"/>
        <v/>
      </c>
      <c r="DW854" s="66" t="str">
        <f>+IF($W854="","",ROUND((DT854*Parámetros!$G$85),2))</f>
        <v/>
      </c>
      <c r="DX854" s="66" t="str">
        <f>+IF($W854="","",ROUND((DT854*(Parámetros!$G$86)),2))</f>
        <v/>
      </c>
      <c r="DY854" s="66" t="str">
        <f t="shared" si="1176"/>
        <v/>
      </c>
      <c r="DZ854" t="str">
        <f t="shared" si="1224"/>
        <v/>
      </c>
      <c r="EA854" s="118" t="str">
        <f t="shared" si="1224"/>
        <v/>
      </c>
      <c r="EB854" s="118" t="str">
        <f>+IF($W854="","",ROUND(IF(Parámetros!$D$25='TABLAS MORT'!$V$33,EB853,Z854/2),0))</f>
        <v/>
      </c>
      <c r="EC854" s="118" t="str">
        <f t="shared" si="1224"/>
        <v/>
      </c>
      <c r="ED854" s="122" t="str">
        <f>+IF(OR($W854="",EB854=0),"",ROUND((VLOOKUP(ROUNDDOWN($D854-1/frec,0),cob_adi,DO$40,FALSE)*(1+i/frec)^-0.5*(1+Parámetros!$D$103)*(1+rec_fracc)/frec),6))</f>
        <v/>
      </c>
      <c r="EE854" s="66" t="str">
        <f t="shared" si="1178"/>
        <v/>
      </c>
      <c r="EF854" s="68" t="str">
        <f t="shared" si="1179"/>
        <v/>
      </c>
      <c r="EG854" s="66" t="str">
        <f>+IF($W854="","",ROUND(IF($B854&gt;Parámetros!$D$107,'Tablas Servicio'!EE854+('Tablas Servicio'!EG853-'Tablas Servicio'!EE853),EE854/(1-IF(B854&lt;=10,Parámetros!$D$100,0))),2))</f>
        <v/>
      </c>
      <c r="EH854" s="66" t="str">
        <f t="shared" si="1225"/>
        <v/>
      </c>
      <c r="EI854" s="66" t="str">
        <f t="shared" si="1225"/>
        <v/>
      </c>
      <c r="EJ854" s="66" t="str">
        <f>+IF($W854="","",ROUND((EG854*Parámetros!$G$85),2))</f>
        <v/>
      </c>
      <c r="EK854" s="66" t="str">
        <f>+IF($W854="","",ROUND((EG854*(Parámetros!$G$86)),2))</f>
        <v/>
      </c>
      <c r="EL854" s="66" t="str">
        <f t="shared" si="1181"/>
        <v/>
      </c>
    </row>
    <row r="855" spans="1:142" x14ac:dyDescent="0.25">
      <c r="A855" t="str">
        <f>+IF($C855="","",ROUND(VLOOKUP('Tablas Servicio'!B855,Parámetros!$H$100:$J$159,IF(Parámetros!$E$16="F",2,3),FALSE),2))</f>
        <v/>
      </c>
      <c r="B855" t="str">
        <f t="shared" si="1132"/>
        <v/>
      </c>
      <c r="C855" s="57" t="str">
        <f>+IF(D855="","",'Tablas Servicio'!C854+1)</f>
        <v/>
      </c>
      <c r="D855" s="56" t="str">
        <f>+IF(D854&lt;edadmaxtabla,D854+1/Parámetros!$E$25,"")</f>
        <v/>
      </c>
      <c r="E855" s="57" t="str">
        <f t="shared" si="1142"/>
        <v/>
      </c>
      <c r="F855" s="59" t="str">
        <f t="shared" si="1143"/>
        <v/>
      </c>
      <c r="G855" s="66" t="str">
        <f t="shared" si="1133"/>
        <v/>
      </c>
      <c r="H855" s="66" t="str">
        <f t="shared" si="1134"/>
        <v/>
      </c>
      <c r="I855" s="66" t="str">
        <f t="shared" si="1182"/>
        <v/>
      </c>
      <c r="J855" s="66" t="str">
        <f t="shared" si="1135"/>
        <v/>
      </c>
      <c r="K855" s="66" t="str">
        <f t="shared" si="1136"/>
        <v/>
      </c>
      <c r="L855" s="66" t="str">
        <f t="shared" si="1137"/>
        <v/>
      </c>
      <c r="M855" s="66" t="str">
        <f t="shared" si="1138"/>
        <v/>
      </c>
      <c r="N855" s="66" t="str">
        <f>+IF(C855="","",ROUND(Parámetros!$D$23,2))</f>
        <v/>
      </c>
      <c r="O855" s="66" t="str">
        <f t="shared" si="1139"/>
        <v/>
      </c>
      <c r="P855" s="66" t="str">
        <f>+IF($C855="","",ROUND(IF(B855&gt;Parámetros!$D$117,0,N855*Parámetros!$D$116-G855*Parámetros!$D$100),2))</f>
        <v/>
      </c>
      <c r="Q855" s="75" t="str">
        <f t="shared" si="1183"/>
        <v/>
      </c>
      <c r="R855" s="75" t="str">
        <f t="shared" si="1184"/>
        <v/>
      </c>
      <c r="S855" s="117" t="str">
        <f>+IF($C855="","",ROUND((S854+I855)*(1+Parámetros!$D$91),2))</f>
        <v/>
      </c>
      <c r="T855" s="117" t="str">
        <f>+IF($C855="","",ROUND(S855*VLOOKUP(B855,Parámetros!$C$30:$D$39,2,TRUE),2))</f>
        <v/>
      </c>
      <c r="U855" s="117" t="str">
        <f>+IF($C855="","",ROUND((U854+I855)*(1+Parámetros!$D$92),2))</f>
        <v/>
      </c>
      <c r="V855" s="117" t="str">
        <f>+IF($C855="","",ROUND(U855*VLOOKUP(B855,Parámetros!$C$30:$D$39,2,TRUE),2))</f>
        <v/>
      </c>
      <c r="W855" s="57" t="str">
        <f t="shared" si="1185"/>
        <v/>
      </c>
      <c r="X855" t="str">
        <f t="shared" si="1186"/>
        <v/>
      </c>
      <c r="Y855" t="str">
        <f t="shared" si="1187"/>
        <v/>
      </c>
      <c r="Z855" s="118" t="str">
        <f>+IF($W855="","",ROUND(IF(Parámetros!$D$25='TABLAS MORT'!$V$33,Z854,Parámetros!$D$21-'Tablas Servicio'!T854),0))</f>
        <v/>
      </c>
      <c r="AA855" s="118" t="str">
        <f t="shared" si="1188"/>
        <v/>
      </c>
      <c r="AB855" s="119" t="str">
        <f>+IF(W855="","",ROUND((VLOOKUP(ROUNDDOWN($D855-1/frec,0),qx_tabla,2,FALSE)*(1+i/frec)^-0.5*(1+Parámetros!$D$103)*(1+rec_fracc)/frec),6))</f>
        <v/>
      </c>
      <c r="AC855" s="66" t="str">
        <f t="shared" si="1144"/>
        <v/>
      </c>
      <c r="AD855" s="119" t="str">
        <f t="shared" si="1140"/>
        <v/>
      </c>
      <c r="AE855" s="66" t="str">
        <f>+IF($W855="","",ROUND(IF($B855&gt;Parámetros!$D$107,'Tablas Servicio'!AC855+('Tablas Servicio'!AG854-'Tablas Servicio'!AC854),AC855/(1-IF(B855&lt;=10,Parámetros!$D$104,Parámetros!$D$105))),2))</f>
        <v/>
      </c>
      <c r="AF855" s="66" t="str">
        <f>+IF($W855="","",ROUND(IF($B855&gt;Parámetros!$D$107,'Tablas Servicio'!AC855+('Tablas Servicio'!AG854-'Tablas Servicio'!AC854),(AC855+$A854/frec)/(1-IF(B855&lt;=Parámetros!$D$117,Parámetros!$D$100,0))),2))</f>
        <v/>
      </c>
      <c r="AG855" s="66" t="str">
        <f t="shared" si="1145"/>
        <v/>
      </c>
      <c r="AH855" s="66" t="str">
        <f t="shared" si="1146"/>
        <v/>
      </c>
      <c r="AI855" s="66" t="str">
        <f t="shared" si="1147"/>
        <v/>
      </c>
      <c r="AJ855" s="66" t="str">
        <f>+IF($W855="","",ROUND((AG855*Parámetros!$G$85),2))</f>
        <v/>
      </c>
      <c r="AK855" s="66" t="str">
        <f>+IF($W855="","",ROUND((AG855*(Parámetros!$G$86)),2))</f>
        <v/>
      </c>
      <c r="AL855" s="66" t="str">
        <f t="shared" si="1141"/>
        <v/>
      </c>
      <c r="AM855" t="str">
        <f t="shared" si="1189"/>
        <v/>
      </c>
      <c r="AN855" t="str">
        <f t="shared" si="1190"/>
        <v/>
      </c>
      <c r="AO855" s="118" t="str">
        <f t="shared" si="1191"/>
        <v/>
      </c>
      <c r="AP855" s="118" t="str">
        <f t="shared" si="1192"/>
        <v/>
      </c>
      <c r="AQ855" s="119" t="str">
        <f>+IF(OR($W855="",AO855=0),"",ROUND((VLOOKUP(ROUNDDOWN($D855-1/frec,0),cob_adi,Z$40,FALSE)*(1+i/frec)^-0.5*(1+Parámetros!$D$103)*(1+rec_fracc)/frec),6))</f>
        <v/>
      </c>
      <c r="AR855" s="66" t="str">
        <f t="shared" si="1148"/>
        <v/>
      </c>
      <c r="AS855" s="119" t="str">
        <f t="shared" si="1149"/>
        <v/>
      </c>
      <c r="AT855" s="66" t="str">
        <f>+IF($W855="","",ROUND(IF($B855&gt;Parámetros!$D$107,'Tablas Servicio'!AR855+('Tablas Servicio'!AT854-'Tablas Servicio'!AR854),AR855/(1-IF(B855&lt;=10,Parámetros!$D$100,0))),2))</f>
        <v/>
      </c>
      <c r="AU855" s="66" t="str">
        <f t="shared" si="1218"/>
        <v/>
      </c>
      <c r="AV855" s="66" t="str">
        <f t="shared" si="1218"/>
        <v/>
      </c>
      <c r="AW855" s="66" t="str">
        <f>+IF($W855="","",ROUND((AT855*Parámetros!$G$85),2))</f>
        <v/>
      </c>
      <c r="AX855" s="66" t="str">
        <f>+IF($W855="","",ROUND((AT855*(Parámetros!$G$86)),2))</f>
        <v/>
      </c>
      <c r="AY855" s="66" t="str">
        <f t="shared" si="1151"/>
        <v/>
      </c>
      <c r="AZ855" t="str">
        <f t="shared" si="1193"/>
        <v/>
      </c>
      <c r="BA855" t="str">
        <f t="shared" si="1194"/>
        <v/>
      </c>
      <c r="BB855" s="118" t="str">
        <f t="shared" si="1195"/>
        <v/>
      </c>
      <c r="BC855" s="118" t="str">
        <f t="shared" si="1196"/>
        <v/>
      </c>
      <c r="BD855" s="119" t="str">
        <f>+IF(OR($W855="",BB855=0),"",ROUND((VLOOKUP(ROUNDDOWN($D855-1/frec,0),cob_adi,AO$40,FALSE)*(1+i/frec)^-0.5*(1+Parámetros!$D$103)*(1+rec_fracc)/frec),6))</f>
        <v/>
      </c>
      <c r="BE855" s="66" t="str">
        <f t="shared" si="1152"/>
        <v/>
      </c>
      <c r="BF855" s="119" t="str">
        <f t="shared" si="1153"/>
        <v/>
      </c>
      <c r="BG855" s="66" t="str">
        <f>+IF($W855="","",ROUND(IF($B855&gt;Parámetros!$D$107,'Tablas Servicio'!BE855+('Tablas Servicio'!BG854-'Tablas Servicio'!BE854),BE855/(1-IF(B855&lt;=10,Parámetros!$D$100,0))),2))</f>
        <v/>
      </c>
      <c r="BH855" s="66" t="str">
        <f t="shared" si="1154"/>
        <v/>
      </c>
      <c r="BI855" s="66" t="str">
        <f t="shared" si="1155"/>
        <v/>
      </c>
      <c r="BJ855" s="66" t="str">
        <f>+IF($W855="","",ROUND((BG855*Parámetros!$G$85),2))</f>
        <v/>
      </c>
      <c r="BK855" s="66" t="str">
        <f>+IF($W855="","",ROUND((BG855*(Parámetros!$G$86)),2))</f>
        <v/>
      </c>
      <c r="BL855" s="66" t="str">
        <f t="shared" si="1156"/>
        <v/>
      </c>
      <c r="BM855" t="str">
        <f t="shared" si="1197"/>
        <v/>
      </c>
      <c r="BN855" t="str">
        <f t="shared" si="1198"/>
        <v/>
      </c>
      <c r="BO855" s="118" t="str">
        <f t="shared" si="1199"/>
        <v/>
      </c>
      <c r="BP855" s="118" t="str">
        <f t="shared" si="1200"/>
        <v/>
      </c>
      <c r="BQ855" s="119" t="str">
        <f>+IF(OR($W855="",BO855=0),"",ROUND((VLOOKUP(ROUNDDOWN($D855-1/frec,0),cob_adi,BB$40,FALSE)*(1+i/frec)^-0.5*(1+Parámetros!$D$103)*(1+rec_fracc)/frec),6))</f>
        <v/>
      </c>
      <c r="BR855" s="66" t="str">
        <f t="shared" si="1157"/>
        <v/>
      </c>
      <c r="BS855" s="119" t="str">
        <f t="shared" si="1158"/>
        <v/>
      </c>
      <c r="BT855" s="66" t="str">
        <f>+IF($W855="","",ROUND(IF($B855&gt;Parámetros!$D$107,'Tablas Servicio'!BR855+('Tablas Servicio'!BT854-'Tablas Servicio'!BR854),BR855/(1-IF(B855&lt;=10,Parámetros!$D$100,0))),2))</f>
        <v/>
      </c>
      <c r="BU855" s="66" t="str">
        <f t="shared" si="1219"/>
        <v/>
      </c>
      <c r="BV855" s="66" t="str">
        <f t="shared" si="1219"/>
        <v/>
      </c>
      <c r="BW855" s="66" t="str">
        <f>+IF($W855="","",ROUND((BT855*Parámetros!$G$85),2))</f>
        <v/>
      </c>
      <c r="BX855" s="66" t="str">
        <f>+IF($W855="","",ROUND((BT855*(Parámetros!$G$86)),2))</f>
        <v/>
      </c>
      <c r="BY855" s="66" t="str">
        <f t="shared" si="1160"/>
        <v/>
      </c>
      <c r="BZ855" t="str">
        <f t="shared" si="1201"/>
        <v/>
      </c>
      <c r="CA855" t="str">
        <f t="shared" si="1202"/>
        <v/>
      </c>
      <c r="CB855" s="118" t="str">
        <f t="shared" si="1203"/>
        <v/>
      </c>
      <c r="CC855" s="118" t="str">
        <f t="shared" si="1204"/>
        <v/>
      </c>
      <c r="CD855" s="119" t="str">
        <f t="shared" si="1161"/>
        <v/>
      </c>
      <c r="CE855" s="66" t="str">
        <f>+IF($W855="","",ROUND((VLOOKUP(ROUNDDOWN($D855-1/frec,0),cob_adi,BO$40,FALSE)*(1+i/frec)^-0.5*(1+Parámetros!$D$103)*(1+rec_fracc)/frec*'TABLAS ADI'!$BC$17),2))</f>
        <v/>
      </c>
      <c r="CF855" s="119" t="str">
        <f t="shared" si="1162"/>
        <v/>
      </c>
      <c r="CG855" s="66" t="str">
        <f>+IF($W855="","",ROUND(IF($B855&gt;Parámetros!$D$107,'Tablas Servicio'!CE855+('Tablas Servicio'!CG854-'Tablas Servicio'!CE854),CE855/(1-IF(B855&lt;=10,Parámetros!$D$100,0))),2))</f>
        <v/>
      </c>
      <c r="CH855" s="66" t="str">
        <f t="shared" si="1220"/>
        <v/>
      </c>
      <c r="CI855" s="66" t="str">
        <f t="shared" si="1220"/>
        <v/>
      </c>
      <c r="CJ855" s="66" t="str">
        <f>+IF($W855="","",ROUND((CG855*Parámetros!$G$85),2))</f>
        <v/>
      </c>
      <c r="CK855" s="66" t="str">
        <f>+IF($W855="","",ROUND((CG855*(Parámetros!$G$86)),2))</f>
        <v/>
      </c>
      <c r="CL855" s="66" t="str">
        <f t="shared" si="1164"/>
        <v/>
      </c>
      <c r="CM855" t="str">
        <f t="shared" si="1205"/>
        <v/>
      </c>
      <c r="CN855" s="118" t="str">
        <f t="shared" si="1206"/>
        <v/>
      </c>
      <c r="CO855" s="118" t="str">
        <f t="shared" si="1207"/>
        <v/>
      </c>
      <c r="CP855" s="118" t="str">
        <f t="shared" si="1208"/>
        <v/>
      </c>
      <c r="CQ855" s="119" t="str">
        <f t="shared" si="1165"/>
        <v/>
      </c>
      <c r="CR855" s="66" t="str">
        <f>+IF($W855="","",ROUND((VLOOKUP(Parámetros!$F$51,'COBERTURAS ADICIONALES'!$S$4:$T$32,2,FALSE)*(1+i/frec)^-0.5*(1+Parámetros!$D$103)*(1+rec_fracc)/frec*$CO$42),2))</f>
        <v/>
      </c>
      <c r="CS855" s="119" t="str">
        <f t="shared" si="1166"/>
        <v/>
      </c>
      <c r="CT855" s="66" t="str">
        <f>+IF($W855="","",ROUND(IF($B855&gt;Parámetros!$D$107,'Tablas Servicio'!CR855+('Tablas Servicio'!CT854-'Tablas Servicio'!CR854),CR855/(1-IF(B855&lt;=10,Parámetros!$D$100,0))),2))</f>
        <v/>
      </c>
      <c r="CU855" s="66" t="str">
        <f t="shared" si="1221"/>
        <v/>
      </c>
      <c r="CV855" s="66" t="str">
        <f t="shared" si="1221"/>
        <v/>
      </c>
      <c r="CW855" s="66" t="str">
        <f>+IF($W855="","",ROUND((CT855*Parámetros!$G$85),2))</f>
        <v/>
      </c>
      <c r="CX855" s="66" t="str">
        <f>+IF($W855="","",ROUND((CT855*(Parámetros!$G$86)),2))</f>
        <v/>
      </c>
      <c r="CY855" s="66" t="str">
        <f t="shared" si="1168"/>
        <v/>
      </c>
      <c r="CZ855" t="str">
        <f t="shared" si="1209"/>
        <v/>
      </c>
      <c r="DA855" s="118" t="str">
        <f t="shared" si="1210"/>
        <v/>
      </c>
      <c r="DB855" s="118" t="str">
        <f t="shared" si="1211"/>
        <v/>
      </c>
      <c r="DC855" s="118" t="str">
        <f t="shared" si="1212"/>
        <v/>
      </c>
      <c r="DD855" s="121" t="str">
        <f>+IF(OR($W855="",DB855=0),"",ROUND((VLOOKUP(ROUNDDOWN($D855-1/frec,0),cob_adi,CO$40,FALSE)*(1+i/frec)^-0.5*(1+Parámetros!$D$103)*(1+rec_fracc)/frec),6))</f>
        <v/>
      </c>
      <c r="DE855" s="66" t="str">
        <f t="shared" si="1169"/>
        <v/>
      </c>
      <c r="DF855" s="119" t="str">
        <f t="shared" si="1170"/>
        <v/>
      </c>
      <c r="DG855" s="66" t="str">
        <f>+IF($W855="","",ROUND(IF($B855&gt;Parámetros!$D$107,'Tablas Servicio'!DE855+('Tablas Servicio'!DG854-'Tablas Servicio'!DE854),DE855/(1-IF(B855&lt;=10,Parámetros!$D$100,0))),2))</f>
        <v/>
      </c>
      <c r="DH855" s="66" t="str">
        <f t="shared" si="1222"/>
        <v/>
      </c>
      <c r="DI855" s="66" t="str">
        <f t="shared" si="1222"/>
        <v/>
      </c>
      <c r="DJ855" s="66" t="str">
        <f>+IF($W855="","",ROUND((DG855*Parámetros!$G$85),2))</f>
        <v/>
      </c>
      <c r="DK855" s="66" t="str">
        <f>+IF($W855="","",ROUND((DG855*(Parámetros!$G$86)),2))</f>
        <v/>
      </c>
      <c r="DL855" s="66" t="str">
        <f t="shared" si="1172"/>
        <v/>
      </c>
      <c r="DM855" t="str">
        <f t="shared" si="1213"/>
        <v/>
      </c>
      <c r="DN855" s="118" t="str">
        <f t="shared" si="1214"/>
        <v/>
      </c>
      <c r="DO855" s="118" t="str">
        <f t="shared" si="1215"/>
        <v/>
      </c>
      <c r="DP855" s="118" t="str">
        <f t="shared" si="1216"/>
        <v/>
      </c>
      <c r="DQ855" s="122" t="str">
        <f>+IF(OR($W855="",DO855=0),"",ROUND((VLOOKUP(ROUNDDOWN($D855-1/frec,0),cob_adi,DB$40,FALSE)*(1+i/frec)^-0.5*(1+Parámetros!$D$103)*(1+rec_fracc)/frec),6))</f>
        <v/>
      </c>
      <c r="DR855" s="66" t="str">
        <f t="shared" si="1173"/>
        <v/>
      </c>
      <c r="DS855" s="68" t="str">
        <f t="shared" si="1174"/>
        <v/>
      </c>
      <c r="DT855" s="66" t="str">
        <f>+IF($W855="","",ROUND(IF($B855&gt;Parámetros!$D$107,'Tablas Servicio'!DR855+('Tablas Servicio'!DT854-'Tablas Servicio'!DR854),DR855/(1-IF(B855&lt;=10,Parámetros!$D$100,0))),2))</f>
        <v/>
      </c>
      <c r="DU855" s="66" t="str">
        <f t="shared" si="1223"/>
        <v/>
      </c>
      <c r="DV855" s="66" t="str">
        <f t="shared" si="1223"/>
        <v/>
      </c>
      <c r="DW855" s="66" t="str">
        <f>+IF($W855="","",ROUND((DT855*Parámetros!$G$85),2))</f>
        <v/>
      </c>
      <c r="DX855" s="66" t="str">
        <f>+IF($W855="","",ROUND((DT855*(Parámetros!$G$86)),2))</f>
        <v/>
      </c>
      <c r="DY855" s="66" t="str">
        <f t="shared" si="1176"/>
        <v/>
      </c>
      <c r="DZ855" t="str">
        <f t="shared" si="1224"/>
        <v/>
      </c>
      <c r="EA855" s="118" t="str">
        <f t="shared" si="1224"/>
        <v/>
      </c>
      <c r="EB855" s="118" t="str">
        <f>+IF($W855="","",ROUND(IF(Parámetros!$D$25='TABLAS MORT'!$V$33,EB854,Z855/2),0))</f>
        <v/>
      </c>
      <c r="EC855" s="118" t="str">
        <f t="shared" si="1224"/>
        <v/>
      </c>
      <c r="ED855" s="122" t="str">
        <f>+IF(OR($W855="",EB855=0),"",ROUND((VLOOKUP(ROUNDDOWN($D855-1/frec,0),cob_adi,DO$40,FALSE)*(1+i/frec)^-0.5*(1+Parámetros!$D$103)*(1+rec_fracc)/frec),6))</f>
        <v/>
      </c>
      <c r="EE855" s="66" t="str">
        <f t="shared" si="1178"/>
        <v/>
      </c>
      <c r="EF855" s="68" t="str">
        <f t="shared" si="1179"/>
        <v/>
      </c>
      <c r="EG855" s="66" t="str">
        <f>+IF($W855="","",ROUND(IF($B855&gt;Parámetros!$D$107,'Tablas Servicio'!EE855+('Tablas Servicio'!EG854-'Tablas Servicio'!EE854),EE855/(1-IF(B855&lt;=10,Parámetros!$D$100,0))),2))</f>
        <v/>
      </c>
      <c r="EH855" s="66" t="str">
        <f t="shared" si="1225"/>
        <v/>
      </c>
      <c r="EI855" s="66" t="str">
        <f t="shared" si="1225"/>
        <v/>
      </c>
      <c r="EJ855" s="66" t="str">
        <f>+IF($W855="","",ROUND((EG855*Parámetros!$G$85),2))</f>
        <v/>
      </c>
      <c r="EK855" s="66" t="str">
        <f>+IF($W855="","",ROUND((EG855*(Parámetros!$G$86)),2))</f>
        <v/>
      </c>
      <c r="EL855" s="66" t="str">
        <f t="shared" si="1181"/>
        <v/>
      </c>
    </row>
    <row r="856" spans="1:142" x14ac:dyDescent="0.25">
      <c r="A856" t="str">
        <f>+IF($C856="","",ROUND(VLOOKUP('Tablas Servicio'!B856,Parámetros!$H$100:$J$159,IF(Parámetros!$E$16="F",2,3),FALSE),2))</f>
        <v/>
      </c>
      <c r="B856" t="str">
        <f t="shared" si="1132"/>
        <v/>
      </c>
      <c r="C856" s="57" t="str">
        <f>+IF(D856="","",'Tablas Servicio'!C855+1)</f>
        <v/>
      </c>
      <c r="D856" s="56" t="str">
        <f>+IF(D855&lt;edadmaxtabla,D855+1/Parámetros!$E$25,"")</f>
        <v/>
      </c>
      <c r="E856" s="57" t="str">
        <f t="shared" si="1142"/>
        <v/>
      </c>
      <c r="F856" s="59" t="str">
        <f t="shared" si="1143"/>
        <v/>
      </c>
      <c r="G856" s="66" t="str">
        <f t="shared" si="1133"/>
        <v/>
      </c>
      <c r="H856" s="66" t="str">
        <f t="shared" si="1134"/>
        <v/>
      </c>
      <c r="I856" s="66" t="str">
        <f t="shared" si="1182"/>
        <v/>
      </c>
      <c r="J856" s="66" t="str">
        <f t="shared" si="1135"/>
        <v/>
      </c>
      <c r="K856" s="66" t="str">
        <f t="shared" si="1136"/>
        <v/>
      </c>
      <c r="L856" s="66" t="str">
        <f t="shared" si="1137"/>
        <v/>
      </c>
      <c r="M856" s="66" t="str">
        <f t="shared" si="1138"/>
        <v/>
      </c>
      <c r="N856" s="66" t="str">
        <f>+IF(C856="","",ROUND(Parámetros!$D$23,2))</f>
        <v/>
      </c>
      <c r="O856" s="66" t="str">
        <f t="shared" si="1139"/>
        <v/>
      </c>
      <c r="P856" s="66" t="str">
        <f>+IF($C856="","",ROUND(IF(B856&gt;Parámetros!$D$117,0,N856*Parámetros!$D$116-G856*Parámetros!$D$100),2))</f>
        <v/>
      </c>
      <c r="Q856" s="75" t="str">
        <f t="shared" si="1183"/>
        <v/>
      </c>
      <c r="R856" s="75" t="str">
        <f t="shared" si="1184"/>
        <v/>
      </c>
      <c r="S856" s="117" t="str">
        <f>+IF($C856="","",ROUND((S855+I856)*(1+Parámetros!$D$91),2))</f>
        <v/>
      </c>
      <c r="T856" s="117" t="str">
        <f>+IF($C856="","",ROUND(S856*VLOOKUP(B856,Parámetros!$C$30:$D$39,2,TRUE),2))</f>
        <v/>
      </c>
      <c r="U856" s="117" t="str">
        <f>+IF($C856="","",ROUND((U855+I856)*(1+Parámetros!$D$92),2))</f>
        <v/>
      </c>
      <c r="V856" s="117" t="str">
        <f>+IF($C856="","",ROUND(U856*VLOOKUP(B856,Parámetros!$C$30:$D$39,2,TRUE),2))</f>
        <v/>
      </c>
      <c r="W856" s="57" t="str">
        <f t="shared" si="1185"/>
        <v/>
      </c>
      <c r="X856" t="str">
        <f t="shared" si="1186"/>
        <v/>
      </c>
      <c r="Y856" t="str">
        <f t="shared" si="1187"/>
        <v/>
      </c>
      <c r="Z856" s="118" t="str">
        <f>+IF($W856="","",ROUND(IF(Parámetros!$D$25='TABLAS MORT'!$V$33,Z855,Parámetros!$D$21-'Tablas Servicio'!T855),0))</f>
        <v/>
      </c>
      <c r="AA856" s="118" t="str">
        <f t="shared" si="1188"/>
        <v/>
      </c>
      <c r="AB856" s="119" t="str">
        <f>+IF(W856="","",ROUND((VLOOKUP(ROUNDDOWN($D856-1/frec,0),qx_tabla,2,FALSE)*(1+i/frec)^-0.5*(1+Parámetros!$D$103)*(1+rec_fracc)/frec),6))</f>
        <v/>
      </c>
      <c r="AC856" s="66" t="str">
        <f t="shared" si="1144"/>
        <v/>
      </c>
      <c r="AD856" s="119" t="str">
        <f t="shared" si="1140"/>
        <v/>
      </c>
      <c r="AE856" s="66" t="str">
        <f>+IF($W856="","",ROUND(IF($B856&gt;Parámetros!$D$107,'Tablas Servicio'!AC856+('Tablas Servicio'!AG855-'Tablas Servicio'!AC855),AC856/(1-IF(B856&lt;=10,Parámetros!$D$104,Parámetros!$D$105))),2))</f>
        <v/>
      </c>
      <c r="AF856" s="66" t="str">
        <f>+IF($W856="","",ROUND(IF($B856&gt;Parámetros!$D$107,'Tablas Servicio'!AC856+('Tablas Servicio'!AG855-'Tablas Servicio'!AC855),(AC856+$A855/frec)/(1-IF(B856&lt;=Parámetros!$D$117,Parámetros!$D$100,0))),2))</f>
        <v/>
      </c>
      <c r="AG856" s="66" t="str">
        <f t="shared" si="1145"/>
        <v/>
      </c>
      <c r="AH856" s="66" t="str">
        <f t="shared" si="1146"/>
        <v/>
      </c>
      <c r="AI856" s="66" t="str">
        <f t="shared" si="1147"/>
        <v/>
      </c>
      <c r="AJ856" s="66" t="str">
        <f>+IF($W856="","",ROUND((AG856*Parámetros!$G$85),2))</f>
        <v/>
      </c>
      <c r="AK856" s="66" t="str">
        <f>+IF($W856="","",ROUND((AG856*(Parámetros!$G$86)),2))</f>
        <v/>
      </c>
      <c r="AL856" s="66" t="str">
        <f t="shared" si="1141"/>
        <v/>
      </c>
      <c r="AM856" t="str">
        <f t="shared" si="1189"/>
        <v/>
      </c>
      <c r="AN856" t="str">
        <f t="shared" si="1190"/>
        <v/>
      </c>
      <c r="AO856" s="118" t="str">
        <f t="shared" si="1191"/>
        <v/>
      </c>
      <c r="AP856" s="118" t="str">
        <f t="shared" si="1192"/>
        <v/>
      </c>
      <c r="AQ856" s="119" t="str">
        <f>+IF(OR($W856="",AO856=0),"",ROUND((VLOOKUP(ROUNDDOWN($D856-1/frec,0),cob_adi,Z$40,FALSE)*(1+i/frec)^-0.5*(1+Parámetros!$D$103)*(1+rec_fracc)/frec),6))</f>
        <v/>
      </c>
      <c r="AR856" s="66" t="str">
        <f t="shared" si="1148"/>
        <v/>
      </c>
      <c r="AS856" s="119" t="str">
        <f t="shared" si="1149"/>
        <v/>
      </c>
      <c r="AT856" s="66" t="str">
        <f>+IF($W856="","",ROUND(IF($B856&gt;Parámetros!$D$107,'Tablas Servicio'!AR856+('Tablas Servicio'!AT855-'Tablas Servicio'!AR855),AR856/(1-IF(B856&lt;=10,Parámetros!$D$100,0))),2))</f>
        <v/>
      </c>
      <c r="AU856" s="66" t="str">
        <f t="shared" si="1218"/>
        <v/>
      </c>
      <c r="AV856" s="66" t="str">
        <f t="shared" si="1218"/>
        <v/>
      </c>
      <c r="AW856" s="66" t="str">
        <f>+IF($W856="","",ROUND((AT856*Parámetros!$G$85),2))</f>
        <v/>
      </c>
      <c r="AX856" s="66" t="str">
        <f>+IF($W856="","",ROUND((AT856*(Parámetros!$G$86)),2))</f>
        <v/>
      </c>
      <c r="AY856" s="66" t="str">
        <f t="shared" si="1151"/>
        <v/>
      </c>
      <c r="AZ856" t="str">
        <f t="shared" si="1193"/>
        <v/>
      </c>
      <c r="BA856" t="str">
        <f t="shared" si="1194"/>
        <v/>
      </c>
      <c r="BB856" s="118" t="str">
        <f t="shared" si="1195"/>
        <v/>
      </c>
      <c r="BC856" s="118" t="str">
        <f t="shared" si="1196"/>
        <v/>
      </c>
      <c r="BD856" s="119" t="str">
        <f>+IF(OR($W856="",BB856=0),"",ROUND((VLOOKUP(ROUNDDOWN($D856-1/frec,0),cob_adi,AO$40,FALSE)*(1+i/frec)^-0.5*(1+Parámetros!$D$103)*(1+rec_fracc)/frec),6))</f>
        <v/>
      </c>
      <c r="BE856" s="66" t="str">
        <f t="shared" si="1152"/>
        <v/>
      </c>
      <c r="BF856" s="119" t="str">
        <f t="shared" si="1153"/>
        <v/>
      </c>
      <c r="BG856" s="66" t="str">
        <f>+IF($W856="","",ROUND(IF($B856&gt;Parámetros!$D$107,'Tablas Servicio'!BE856+('Tablas Servicio'!BG855-'Tablas Servicio'!BE855),BE856/(1-IF(B856&lt;=10,Parámetros!$D$100,0))),2))</f>
        <v/>
      </c>
      <c r="BH856" s="66" t="str">
        <f t="shared" si="1154"/>
        <v/>
      </c>
      <c r="BI856" s="66" t="str">
        <f t="shared" si="1155"/>
        <v/>
      </c>
      <c r="BJ856" s="66" t="str">
        <f>+IF($W856="","",ROUND((BG856*Parámetros!$G$85),2))</f>
        <v/>
      </c>
      <c r="BK856" s="66" t="str">
        <f>+IF($W856="","",ROUND((BG856*(Parámetros!$G$86)),2))</f>
        <v/>
      </c>
      <c r="BL856" s="66" t="str">
        <f t="shared" si="1156"/>
        <v/>
      </c>
      <c r="BM856" t="str">
        <f t="shared" si="1197"/>
        <v/>
      </c>
      <c r="BN856" t="str">
        <f t="shared" si="1198"/>
        <v/>
      </c>
      <c r="BO856" s="118" t="str">
        <f t="shared" si="1199"/>
        <v/>
      </c>
      <c r="BP856" s="118" t="str">
        <f t="shared" si="1200"/>
        <v/>
      </c>
      <c r="BQ856" s="119" t="str">
        <f>+IF(OR($W856="",BO856=0),"",ROUND((VLOOKUP(ROUNDDOWN($D856-1/frec,0),cob_adi,BB$40,FALSE)*(1+i/frec)^-0.5*(1+Parámetros!$D$103)*(1+rec_fracc)/frec),6))</f>
        <v/>
      </c>
      <c r="BR856" s="66" t="str">
        <f t="shared" si="1157"/>
        <v/>
      </c>
      <c r="BS856" s="119" t="str">
        <f t="shared" si="1158"/>
        <v/>
      </c>
      <c r="BT856" s="66" t="str">
        <f>+IF($W856="","",ROUND(IF($B856&gt;Parámetros!$D$107,'Tablas Servicio'!BR856+('Tablas Servicio'!BT855-'Tablas Servicio'!BR855),BR856/(1-IF(B856&lt;=10,Parámetros!$D$100,0))),2))</f>
        <v/>
      </c>
      <c r="BU856" s="66" t="str">
        <f t="shared" si="1219"/>
        <v/>
      </c>
      <c r="BV856" s="66" t="str">
        <f t="shared" si="1219"/>
        <v/>
      </c>
      <c r="BW856" s="66" t="str">
        <f>+IF($W856="","",ROUND((BT856*Parámetros!$G$85),2))</f>
        <v/>
      </c>
      <c r="BX856" s="66" t="str">
        <f>+IF($W856="","",ROUND((BT856*(Parámetros!$G$86)),2))</f>
        <v/>
      </c>
      <c r="BY856" s="66" t="str">
        <f t="shared" si="1160"/>
        <v/>
      </c>
      <c r="BZ856" t="str">
        <f t="shared" si="1201"/>
        <v/>
      </c>
      <c r="CA856" t="str">
        <f t="shared" si="1202"/>
        <v/>
      </c>
      <c r="CB856" s="118" t="str">
        <f t="shared" si="1203"/>
        <v/>
      </c>
      <c r="CC856" s="118" t="str">
        <f t="shared" si="1204"/>
        <v/>
      </c>
      <c r="CD856" s="119" t="str">
        <f t="shared" si="1161"/>
        <v/>
      </c>
      <c r="CE856" s="66" t="str">
        <f>+IF($W856="","",ROUND((VLOOKUP(ROUNDDOWN($D856-1/frec,0),cob_adi,BO$40,FALSE)*(1+i/frec)^-0.5*(1+Parámetros!$D$103)*(1+rec_fracc)/frec*'TABLAS ADI'!$BC$17),2))</f>
        <v/>
      </c>
      <c r="CF856" s="119" t="str">
        <f t="shared" si="1162"/>
        <v/>
      </c>
      <c r="CG856" s="66" t="str">
        <f>+IF($W856="","",ROUND(IF($B856&gt;Parámetros!$D$107,'Tablas Servicio'!CE856+('Tablas Servicio'!CG855-'Tablas Servicio'!CE855),CE856/(1-IF(B856&lt;=10,Parámetros!$D$100,0))),2))</f>
        <v/>
      </c>
      <c r="CH856" s="66" t="str">
        <f t="shared" si="1220"/>
        <v/>
      </c>
      <c r="CI856" s="66" t="str">
        <f t="shared" si="1220"/>
        <v/>
      </c>
      <c r="CJ856" s="66" t="str">
        <f>+IF($W856="","",ROUND((CG856*Parámetros!$G$85),2))</f>
        <v/>
      </c>
      <c r="CK856" s="66" t="str">
        <f>+IF($W856="","",ROUND((CG856*(Parámetros!$G$86)),2))</f>
        <v/>
      </c>
      <c r="CL856" s="66" t="str">
        <f t="shared" si="1164"/>
        <v/>
      </c>
      <c r="CM856" t="str">
        <f t="shared" si="1205"/>
        <v/>
      </c>
      <c r="CN856" s="118" t="str">
        <f t="shared" si="1206"/>
        <v/>
      </c>
      <c r="CO856" s="118" t="str">
        <f t="shared" si="1207"/>
        <v/>
      </c>
      <c r="CP856" s="118" t="str">
        <f t="shared" si="1208"/>
        <v/>
      </c>
      <c r="CQ856" s="119" t="str">
        <f t="shared" si="1165"/>
        <v/>
      </c>
      <c r="CR856" s="66" t="str">
        <f>+IF($W856="","",ROUND((VLOOKUP(Parámetros!$F$51,'COBERTURAS ADICIONALES'!$S$4:$T$32,2,FALSE)*(1+i/frec)^-0.5*(1+Parámetros!$D$103)*(1+rec_fracc)/frec*$CO$42),2))</f>
        <v/>
      </c>
      <c r="CS856" s="119" t="str">
        <f t="shared" si="1166"/>
        <v/>
      </c>
      <c r="CT856" s="66" t="str">
        <f>+IF($W856="","",ROUND(IF($B856&gt;Parámetros!$D$107,'Tablas Servicio'!CR856+('Tablas Servicio'!CT855-'Tablas Servicio'!CR855),CR856/(1-IF(B856&lt;=10,Parámetros!$D$100,0))),2))</f>
        <v/>
      </c>
      <c r="CU856" s="66" t="str">
        <f t="shared" si="1221"/>
        <v/>
      </c>
      <c r="CV856" s="66" t="str">
        <f t="shared" si="1221"/>
        <v/>
      </c>
      <c r="CW856" s="66" t="str">
        <f>+IF($W856="","",ROUND((CT856*Parámetros!$G$85),2))</f>
        <v/>
      </c>
      <c r="CX856" s="66" t="str">
        <f>+IF($W856="","",ROUND((CT856*(Parámetros!$G$86)),2))</f>
        <v/>
      </c>
      <c r="CY856" s="66" t="str">
        <f t="shared" si="1168"/>
        <v/>
      </c>
      <c r="CZ856" t="str">
        <f t="shared" si="1209"/>
        <v/>
      </c>
      <c r="DA856" s="118" t="str">
        <f t="shared" si="1210"/>
        <v/>
      </c>
      <c r="DB856" s="118" t="str">
        <f t="shared" si="1211"/>
        <v/>
      </c>
      <c r="DC856" s="118" t="str">
        <f t="shared" si="1212"/>
        <v/>
      </c>
      <c r="DD856" s="121" t="str">
        <f>+IF(OR($W856="",DB856=0),"",ROUND((VLOOKUP(ROUNDDOWN($D856-1/frec,0),cob_adi,CO$40,FALSE)*(1+i/frec)^-0.5*(1+Parámetros!$D$103)*(1+rec_fracc)/frec),6))</f>
        <v/>
      </c>
      <c r="DE856" s="66" t="str">
        <f t="shared" si="1169"/>
        <v/>
      </c>
      <c r="DF856" s="119" t="str">
        <f t="shared" si="1170"/>
        <v/>
      </c>
      <c r="DG856" s="66" t="str">
        <f>+IF($W856="","",ROUND(IF($B856&gt;Parámetros!$D$107,'Tablas Servicio'!DE856+('Tablas Servicio'!DG855-'Tablas Servicio'!DE855),DE856/(1-IF(B856&lt;=10,Parámetros!$D$100,0))),2))</f>
        <v/>
      </c>
      <c r="DH856" s="66" t="str">
        <f t="shared" si="1222"/>
        <v/>
      </c>
      <c r="DI856" s="66" t="str">
        <f t="shared" si="1222"/>
        <v/>
      </c>
      <c r="DJ856" s="66" t="str">
        <f>+IF($W856="","",ROUND((DG856*Parámetros!$G$85),2))</f>
        <v/>
      </c>
      <c r="DK856" s="66" t="str">
        <f>+IF($W856="","",ROUND((DG856*(Parámetros!$G$86)),2))</f>
        <v/>
      </c>
      <c r="DL856" s="66" t="str">
        <f t="shared" si="1172"/>
        <v/>
      </c>
      <c r="DM856" t="str">
        <f t="shared" si="1213"/>
        <v/>
      </c>
      <c r="DN856" s="118" t="str">
        <f t="shared" si="1214"/>
        <v/>
      </c>
      <c r="DO856" s="118" t="str">
        <f t="shared" si="1215"/>
        <v/>
      </c>
      <c r="DP856" s="118" t="str">
        <f t="shared" si="1216"/>
        <v/>
      </c>
      <c r="DQ856" s="122" t="str">
        <f>+IF(OR($W856="",DO856=0),"",ROUND((VLOOKUP(ROUNDDOWN($D856-1/frec,0),cob_adi,DB$40,FALSE)*(1+i/frec)^-0.5*(1+Parámetros!$D$103)*(1+rec_fracc)/frec),6))</f>
        <v/>
      </c>
      <c r="DR856" s="66" t="str">
        <f t="shared" si="1173"/>
        <v/>
      </c>
      <c r="DS856" s="68" t="str">
        <f t="shared" si="1174"/>
        <v/>
      </c>
      <c r="DT856" s="66" t="str">
        <f>+IF($W856="","",ROUND(IF($B856&gt;Parámetros!$D$107,'Tablas Servicio'!DR856+('Tablas Servicio'!DT855-'Tablas Servicio'!DR855),DR856/(1-IF(B856&lt;=10,Parámetros!$D$100,0))),2))</f>
        <v/>
      </c>
      <c r="DU856" s="66" t="str">
        <f t="shared" si="1223"/>
        <v/>
      </c>
      <c r="DV856" s="66" t="str">
        <f t="shared" si="1223"/>
        <v/>
      </c>
      <c r="DW856" s="66" t="str">
        <f>+IF($W856="","",ROUND((DT856*Parámetros!$G$85),2))</f>
        <v/>
      </c>
      <c r="DX856" s="66" t="str">
        <f>+IF($W856="","",ROUND((DT856*(Parámetros!$G$86)),2))</f>
        <v/>
      </c>
      <c r="DY856" s="66" t="str">
        <f t="shared" si="1176"/>
        <v/>
      </c>
      <c r="DZ856" t="str">
        <f t="shared" si="1224"/>
        <v/>
      </c>
      <c r="EA856" s="118" t="str">
        <f t="shared" si="1224"/>
        <v/>
      </c>
      <c r="EB856" s="118" t="str">
        <f>+IF($W856="","",ROUND(IF(Parámetros!$D$25='TABLAS MORT'!$V$33,EB855,Z856/2),0))</f>
        <v/>
      </c>
      <c r="EC856" s="118" t="str">
        <f t="shared" si="1224"/>
        <v/>
      </c>
      <c r="ED856" s="122" t="str">
        <f>+IF(OR($W856="",EB856=0),"",ROUND((VLOOKUP(ROUNDDOWN($D856-1/frec,0),cob_adi,DO$40,FALSE)*(1+i/frec)^-0.5*(1+Parámetros!$D$103)*(1+rec_fracc)/frec),6))</f>
        <v/>
      </c>
      <c r="EE856" s="66" t="str">
        <f t="shared" si="1178"/>
        <v/>
      </c>
      <c r="EF856" s="68" t="str">
        <f t="shared" si="1179"/>
        <v/>
      </c>
      <c r="EG856" s="66" t="str">
        <f>+IF($W856="","",ROUND(IF($B856&gt;Parámetros!$D$107,'Tablas Servicio'!EE856+('Tablas Servicio'!EG855-'Tablas Servicio'!EE855),EE856/(1-IF(B856&lt;=10,Parámetros!$D$100,0))),2))</f>
        <v/>
      </c>
      <c r="EH856" s="66" t="str">
        <f t="shared" si="1225"/>
        <v/>
      </c>
      <c r="EI856" s="66" t="str">
        <f t="shared" si="1225"/>
        <v/>
      </c>
      <c r="EJ856" s="66" t="str">
        <f>+IF($W856="","",ROUND((EG856*Parámetros!$G$85),2))</f>
        <v/>
      </c>
      <c r="EK856" s="66" t="str">
        <f>+IF($W856="","",ROUND((EG856*(Parámetros!$G$86)),2))</f>
        <v/>
      </c>
      <c r="EL856" s="66" t="str">
        <f t="shared" si="1181"/>
        <v/>
      </c>
    </row>
    <row r="857" spans="1:142" x14ac:dyDescent="0.25">
      <c r="A857" t="str">
        <f>+IF($C857="","",ROUND(VLOOKUP('Tablas Servicio'!B857,Parámetros!$H$100:$J$159,IF(Parámetros!$E$16="F",2,3),FALSE),2))</f>
        <v/>
      </c>
      <c r="B857" t="str">
        <f t="shared" si="1132"/>
        <v/>
      </c>
      <c r="C857" s="57" t="str">
        <f>+IF(D857="","",'Tablas Servicio'!C856+1)</f>
        <v/>
      </c>
      <c r="D857" s="56" t="str">
        <f>+IF(D856&lt;edadmaxtabla,D856+1/Parámetros!$E$25,"")</f>
        <v/>
      </c>
      <c r="E857" s="57" t="str">
        <f t="shared" si="1142"/>
        <v/>
      </c>
      <c r="F857" s="59" t="str">
        <f t="shared" si="1143"/>
        <v/>
      </c>
      <c r="G857" s="66" t="str">
        <f t="shared" si="1133"/>
        <v/>
      </c>
      <c r="H857" s="66" t="str">
        <f t="shared" si="1134"/>
        <v/>
      </c>
      <c r="I857" s="66" t="str">
        <f t="shared" si="1182"/>
        <v/>
      </c>
      <c r="J857" s="66" t="str">
        <f t="shared" si="1135"/>
        <v/>
      </c>
      <c r="K857" s="66" t="str">
        <f t="shared" si="1136"/>
        <v/>
      </c>
      <c r="L857" s="66" t="str">
        <f t="shared" si="1137"/>
        <v/>
      </c>
      <c r="M857" s="66" t="str">
        <f t="shared" si="1138"/>
        <v/>
      </c>
      <c r="N857" s="66" t="str">
        <f>+IF(C857="","",ROUND(Parámetros!$D$23,2))</f>
        <v/>
      </c>
      <c r="O857" s="66" t="str">
        <f t="shared" si="1139"/>
        <v/>
      </c>
      <c r="P857" s="66" t="str">
        <f>+IF($C857="","",ROUND(IF(B857&gt;Parámetros!$D$117,0,N857*Parámetros!$D$116-G857*Parámetros!$D$100),2))</f>
        <v/>
      </c>
      <c r="Q857" s="75" t="str">
        <f t="shared" si="1183"/>
        <v/>
      </c>
      <c r="R857" s="75" t="str">
        <f t="shared" si="1184"/>
        <v/>
      </c>
      <c r="S857" s="117" t="str">
        <f>+IF($C857="","",ROUND((S856+I857)*(1+Parámetros!$D$91),2))</f>
        <v/>
      </c>
      <c r="T857" s="117" t="str">
        <f>+IF($C857="","",ROUND(S857*VLOOKUP(B857,Parámetros!$C$30:$D$39,2,TRUE),2))</f>
        <v/>
      </c>
      <c r="U857" s="117" t="str">
        <f>+IF($C857="","",ROUND((U856+I857)*(1+Parámetros!$D$92),2))</f>
        <v/>
      </c>
      <c r="V857" s="117" t="str">
        <f>+IF($C857="","",ROUND(U857*VLOOKUP(B857,Parámetros!$C$30:$D$39,2,TRUE),2))</f>
        <v/>
      </c>
      <c r="W857" s="57" t="str">
        <f t="shared" si="1185"/>
        <v/>
      </c>
      <c r="X857" t="str">
        <f t="shared" si="1186"/>
        <v/>
      </c>
      <c r="Y857" t="str">
        <f t="shared" si="1187"/>
        <v/>
      </c>
      <c r="Z857" s="118" t="str">
        <f>+IF($W857="","",ROUND(IF(Parámetros!$D$25='TABLAS MORT'!$V$33,Z856,Parámetros!$D$21-'Tablas Servicio'!T856),0))</f>
        <v/>
      </c>
      <c r="AA857" s="118" t="str">
        <f t="shared" si="1188"/>
        <v/>
      </c>
      <c r="AB857" s="119" t="str">
        <f>+IF(W857="","",ROUND((VLOOKUP(ROUNDDOWN($D857-1/frec,0),qx_tabla,2,FALSE)*(1+i/frec)^-0.5*(1+Parámetros!$D$103)*(1+rec_fracc)/frec),6))</f>
        <v/>
      </c>
      <c r="AC857" s="66" t="str">
        <f t="shared" si="1144"/>
        <v/>
      </c>
      <c r="AD857" s="119" t="str">
        <f t="shared" si="1140"/>
        <v/>
      </c>
      <c r="AE857" s="66" t="str">
        <f>+IF($W857="","",ROUND(IF($B857&gt;Parámetros!$D$107,'Tablas Servicio'!AC857+('Tablas Servicio'!AG856-'Tablas Servicio'!AC856),AC857/(1-IF(B857&lt;=10,Parámetros!$D$104,Parámetros!$D$105))),2))</f>
        <v/>
      </c>
      <c r="AF857" s="66" t="str">
        <f>+IF($W857="","",ROUND(IF($B857&gt;Parámetros!$D$107,'Tablas Servicio'!AC857+('Tablas Servicio'!AG856-'Tablas Servicio'!AC856),(AC857+$A856/frec)/(1-IF(B857&lt;=Parámetros!$D$117,Parámetros!$D$100,0))),2))</f>
        <v/>
      </c>
      <c r="AG857" s="66" t="str">
        <f t="shared" si="1145"/>
        <v/>
      </c>
      <c r="AH857" s="66" t="str">
        <f t="shared" si="1146"/>
        <v/>
      </c>
      <c r="AI857" s="66" t="str">
        <f t="shared" si="1147"/>
        <v/>
      </c>
      <c r="AJ857" s="66" t="str">
        <f>+IF($W857="","",ROUND((AG857*Parámetros!$G$85),2))</f>
        <v/>
      </c>
      <c r="AK857" s="66" t="str">
        <f>+IF($W857="","",ROUND((AG857*(Parámetros!$G$86)),2))</f>
        <v/>
      </c>
      <c r="AL857" s="66" t="str">
        <f t="shared" si="1141"/>
        <v/>
      </c>
      <c r="AM857" t="str">
        <f t="shared" si="1189"/>
        <v/>
      </c>
      <c r="AN857" t="str">
        <f t="shared" si="1190"/>
        <v/>
      </c>
      <c r="AO857" s="118" t="str">
        <f t="shared" si="1191"/>
        <v/>
      </c>
      <c r="AP857" s="118" t="str">
        <f t="shared" si="1192"/>
        <v/>
      </c>
      <c r="AQ857" s="119" t="str">
        <f>+IF(OR($W857="",AO857=0),"",ROUND((VLOOKUP(ROUNDDOWN($D857-1/frec,0),cob_adi,Z$40,FALSE)*(1+i/frec)^-0.5*(1+Parámetros!$D$103)*(1+rec_fracc)/frec),6))</f>
        <v/>
      </c>
      <c r="AR857" s="66" t="str">
        <f t="shared" si="1148"/>
        <v/>
      </c>
      <c r="AS857" s="119" t="str">
        <f t="shared" si="1149"/>
        <v/>
      </c>
      <c r="AT857" s="66" t="str">
        <f>+IF($W857="","",ROUND(IF($B857&gt;Parámetros!$D$107,'Tablas Servicio'!AR857+('Tablas Servicio'!AT856-'Tablas Servicio'!AR856),AR857/(1-IF(B857&lt;=10,Parámetros!$D$100,0))),2))</f>
        <v/>
      </c>
      <c r="AU857" s="66" t="str">
        <f t="shared" si="1218"/>
        <v/>
      </c>
      <c r="AV857" s="66" t="str">
        <f t="shared" si="1218"/>
        <v/>
      </c>
      <c r="AW857" s="66" t="str">
        <f>+IF($W857="","",ROUND((AT857*Parámetros!$G$85),2))</f>
        <v/>
      </c>
      <c r="AX857" s="66" t="str">
        <f>+IF($W857="","",ROUND((AT857*(Parámetros!$G$86)),2))</f>
        <v/>
      </c>
      <c r="AY857" s="66" t="str">
        <f t="shared" si="1151"/>
        <v/>
      </c>
      <c r="AZ857" t="str">
        <f t="shared" si="1193"/>
        <v/>
      </c>
      <c r="BA857" t="str">
        <f t="shared" si="1194"/>
        <v/>
      </c>
      <c r="BB857" s="118" t="str">
        <f t="shared" si="1195"/>
        <v/>
      </c>
      <c r="BC857" s="118" t="str">
        <f t="shared" si="1196"/>
        <v/>
      </c>
      <c r="BD857" s="119" t="str">
        <f>+IF(OR($W857="",BB857=0),"",ROUND((VLOOKUP(ROUNDDOWN($D857-1/frec,0),cob_adi,AO$40,FALSE)*(1+i/frec)^-0.5*(1+Parámetros!$D$103)*(1+rec_fracc)/frec),6))</f>
        <v/>
      </c>
      <c r="BE857" s="66" t="str">
        <f t="shared" si="1152"/>
        <v/>
      </c>
      <c r="BF857" s="119" t="str">
        <f t="shared" si="1153"/>
        <v/>
      </c>
      <c r="BG857" s="66" t="str">
        <f>+IF($W857="","",ROUND(IF($B857&gt;Parámetros!$D$107,'Tablas Servicio'!BE857+('Tablas Servicio'!BG856-'Tablas Servicio'!BE856),BE857/(1-IF(B857&lt;=10,Parámetros!$D$100,0))),2))</f>
        <v/>
      </c>
      <c r="BH857" s="66" t="str">
        <f t="shared" si="1154"/>
        <v/>
      </c>
      <c r="BI857" s="66" t="str">
        <f t="shared" si="1155"/>
        <v/>
      </c>
      <c r="BJ857" s="66" t="str">
        <f>+IF($W857="","",ROUND((BG857*Parámetros!$G$85),2))</f>
        <v/>
      </c>
      <c r="BK857" s="66" t="str">
        <f>+IF($W857="","",ROUND((BG857*(Parámetros!$G$86)),2))</f>
        <v/>
      </c>
      <c r="BL857" s="66" t="str">
        <f t="shared" si="1156"/>
        <v/>
      </c>
      <c r="BM857" t="str">
        <f t="shared" si="1197"/>
        <v/>
      </c>
      <c r="BN857" t="str">
        <f t="shared" si="1198"/>
        <v/>
      </c>
      <c r="BO857" s="118" t="str">
        <f t="shared" si="1199"/>
        <v/>
      </c>
      <c r="BP857" s="118" t="str">
        <f t="shared" si="1200"/>
        <v/>
      </c>
      <c r="BQ857" s="119" t="str">
        <f>+IF(OR($W857="",BO857=0),"",ROUND((VLOOKUP(ROUNDDOWN($D857-1/frec,0),cob_adi,BB$40,FALSE)*(1+i/frec)^-0.5*(1+Parámetros!$D$103)*(1+rec_fracc)/frec),6))</f>
        <v/>
      </c>
      <c r="BR857" s="66" t="str">
        <f t="shared" si="1157"/>
        <v/>
      </c>
      <c r="BS857" s="119" t="str">
        <f t="shared" si="1158"/>
        <v/>
      </c>
      <c r="BT857" s="66" t="str">
        <f>+IF($W857="","",ROUND(IF($B857&gt;Parámetros!$D$107,'Tablas Servicio'!BR857+('Tablas Servicio'!BT856-'Tablas Servicio'!BR856),BR857/(1-IF(B857&lt;=10,Parámetros!$D$100,0))),2))</f>
        <v/>
      </c>
      <c r="BU857" s="66" t="str">
        <f t="shared" si="1219"/>
        <v/>
      </c>
      <c r="BV857" s="66" t="str">
        <f t="shared" si="1219"/>
        <v/>
      </c>
      <c r="BW857" s="66" t="str">
        <f>+IF($W857="","",ROUND((BT857*Parámetros!$G$85),2))</f>
        <v/>
      </c>
      <c r="BX857" s="66" t="str">
        <f>+IF($W857="","",ROUND((BT857*(Parámetros!$G$86)),2))</f>
        <v/>
      </c>
      <c r="BY857" s="66" t="str">
        <f t="shared" si="1160"/>
        <v/>
      </c>
      <c r="BZ857" t="str">
        <f t="shared" si="1201"/>
        <v/>
      </c>
      <c r="CA857" t="str">
        <f t="shared" si="1202"/>
        <v/>
      </c>
      <c r="CB857" s="118" t="str">
        <f t="shared" si="1203"/>
        <v/>
      </c>
      <c r="CC857" s="118" t="str">
        <f t="shared" si="1204"/>
        <v/>
      </c>
      <c r="CD857" s="119" t="str">
        <f t="shared" si="1161"/>
        <v/>
      </c>
      <c r="CE857" s="66" t="str">
        <f>+IF($W857="","",ROUND((VLOOKUP(ROUNDDOWN($D857-1/frec,0),cob_adi,BO$40,FALSE)*(1+i/frec)^-0.5*(1+Parámetros!$D$103)*(1+rec_fracc)/frec*'TABLAS ADI'!$BC$17),2))</f>
        <v/>
      </c>
      <c r="CF857" s="119" t="str">
        <f t="shared" si="1162"/>
        <v/>
      </c>
      <c r="CG857" s="66" t="str">
        <f>+IF($W857="","",ROUND(IF($B857&gt;Parámetros!$D$107,'Tablas Servicio'!CE857+('Tablas Servicio'!CG856-'Tablas Servicio'!CE856),CE857/(1-IF(B857&lt;=10,Parámetros!$D$100,0))),2))</f>
        <v/>
      </c>
      <c r="CH857" s="66" t="str">
        <f t="shared" si="1220"/>
        <v/>
      </c>
      <c r="CI857" s="66" t="str">
        <f t="shared" si="1220"/>
        <v/>
      </c>
      <c r="CJ857" s="66" t="str">
        <f>+IF($W857="","",ROUND((CG857*Parámetros!$G$85),2))</f>
        <v/>
      </c>
      <c r="CK857" s="66" t="str">
        <f>+IF($W857="","",ROUND((CG857*(Parámetros!$G$86)),2))</f>
        <v/>
      </c>
      <c r="CL857" s="66" t="str">
        <f t="shared" si="1164"/>
        <v/>
      </c>
      <c r="CM857" t="str">
        <f t="shared" si="1205"/>
        <v/>
      </c>
      <c r="CN857" s="118" t="str">
        <f t="shared" si="1206"/>
        <v/>
      </c>
      <c r="CO857" s="118" t="str">
        <f t="shared" si="1207"/>
        <v/>
      </c>
      <c r="CP857" s="118" t="str">
        <f t="shared" si="1208"/>
        <v/>
      </c>
      <c r="CQ857" s="119" t="str">
        <f t="shared" si="1165"/>
        <v/>
      </c>
      <c r="CR857" s="66" t="str">
        <f>+IF($W857="","",ROUND((VLOOKUP(Parámetros!$F$51,'COBERTURAS ADICIONALES'!$S$4:$T$32,2,FALSE)*(1+i/frec)^-0.5*(1+Parámetros!$D$103)*(1+rec_fracc)/frec*$CO$42),2))</f>
        <v/>
      </c>
      <c r="CS857" s="119" t="str">
        <f t="shared" si="1166"/>
        <v/>
      </c>
      <c r="CT857" s="66" t="str">
        <f>+IF($W857="","",ROUND(IF($B857&gt;Parámetros!$D$107,'Tablas Servicio'!CR857+('Tablas Servicio'!CT856-'Tablas Servicio'!CR856),CR857/(1-IF(B857&lt;=10,Parámetros!$D$100,0))),2))</f>
        <v/>
      </c>
      <c r="CU857" s="66" t="str">
        <f t="shared" si="1221"/>
        <v/>
      </c>
      <c r="CV857" s="66" t="str">
        <f t="shared" si="1221"/>
        <v/>
      </c>
      <c r="CW857" s="66" t="str">
        <f>+IF($W857="","",ROUND((CT857*Parámetros!$G$85),2))</f>
        <v/>
      </c>
      <c r="CX857" s="66" t="str">
        <f>+IF($W857="","",ROUND((CT857*(Parámetros!$G$86)),2))</f>
        <v/>
      </c>
      <c r="CY857" s="66" t="str">
        <f t="shared" si="1168"/>
        <v/>
      </c>
      <c r="CZ857" t="str">
        <f t="shared" si="1209"/>
        <v/>
      </c>
      <c r="DA857" s="118" t="str">
        <f t="shared" si="1210"/>
        <v/>
      </c>
      <c r="DB857" s="118" t="str">
        <f t="shared" si="1211"/>
        <v/>
      </c>
      <c r="DC857" s="118" t="str">
        <f t="shared" si="1212"/>
        <v/>
      </c>
      <c r="DD857" s="121" t="str">
        <f>+IF(OR($W857="",DB857=0),"",ROUND((VLOOKUP(ROUNDDOWN($D857-1/frec,0),cob_adi,CO$40,FALSE)*(1+i/frec)^-0.5*(1+Parámetros!$D$103)*(1+rec_fracc)/frec),6))</f>
        <v/>
      </c>
      <c r="DE857" s="66" t="str">
        <f t="shared" si="1169"/>
        <v/>
      </c>
      <c r="DF857" s="119" t="str">
        <f t="shared" si="1170"/>
        <v/>
      </c>
      <c r="DG857" s="66" t="str">
        <f>+IF($W857="","",ROUND(IF($B857&gt;Parámetros!$D$107,'Tablas Servicio'!DE857+('Tablas Servicio'!DG856-'Tablas Servicio'!DE856),DE857/(1-IF(B857&lt;=10,Parámetros!$D$100,0))),2))</f>
        <v/>
      </c>
      <c r="DH857" s="66" t="str">
        <f t="shared" si="1222"/>
        <v/>
      </c>
      <c r="DI857" s="66" t="str">
        <f t="shared" si="1222"/>
        <v/>
      </c>
      <c r="DJ857" s="66" t="str">
        <f>+IF($W857="","",ROUND((DG857*Parámetros!$G$85),2))</f>
        <v/>
      </c>
      <c r="DK857" s="66" t="str">
        <f>+IF($W857="","",ROUND((DG857*(Parámetros!$G$86)),2))</f>
        <v/>
      </c>
      <c r="DL857" s="66" t="str">
        <f t="shared" si="1172"/>
        <v/>
      </c>
      <c r="DM857" t="str">
        <f t="shared" si="1213"/>
        <v/>
      </c>
      <c r="DN857" s="118" t="str">
        <f t="shared" si="1214"/>
        <v/>
      </c>
      <c r="DO857" s="118" t="str">
        <f t="shared" si="1215"/>
        <v/>
      </c>
      <c r="DP857" s="118" t="str">
        <f t="shared" si="1216"/>
        <v/>
      </c>
      <c r="DQ857" s="122" t="str">
        <f>+IF(OR($W857="",DO857=0),"",ROUND((VLOOKUP(ROUNDDOWN($D857-1/frec,0),cob_adi,DB$40,FALSE)*(1+i/frec)^-0.5*(1+Parámetros!$D$103)*(1+rec_fracc)/frec),6))</f>
        <v/>
      </c>
      <c r="DR857" s="66" t="str">
        <f t="shared" si="1173"/>
        <v/>
      </c>
      <c r="DS857" s="68" t="str">
        <f t="shared" si="1174"/>
        <v/>
      </c>
      <c r="DT857" s="66" t="str">
        <f>+IF($W857="","",ROUND(IF($B857&gt;Parámetros!$D$107,'Tablas Servicio'!DR857+('Tablas Servicio'!DT856-'Tablas Servicio'!DR856),DR857/(1-IF(B857&lt;=10,Parámetros!$D$100,0))),2))</f>
        <v/>
      </c>
      <c r="DU857" s="66" t="str">
        <f t="shared" si="1223"/>
        <v/>
      </c>
      <c r="DV857" s="66" t="str">
        <f t="shared" si="1223"/>
        <v/>
      </c>
      <c r="DW857" s="66" t="str">
        <f>+IF($W857="","",ROUND((DT857*Parámetros!$G$85),2))</f>
        <v/>
      </c>
      <c r="DX857" s="66" t="str">
        <f>+IF($W857="","",ROUND((DT857*(Parámetros!$G$86)),2))</f>
        <v/>
      </c>
      <c r="DY857" s="66" t="str">
        <f t="shared" si="1176"/>
        <v/>
      </c>
      <c r="DZ857" t="str">
        <f t="shared" si="1224"/>
        <v/>
      </c>
      <c r="EA857" s="118" t="str">
        <f t="shared" si="1224"/>
        <v/>
      </c>
      <c r="EB857" s="118" t="str">
        <f>+IF($W857="","",ROUND(IF(Parámetros!$D$25='TABLAS MORT'!$V$33,EB856,Z857/2),0))</f>
        <v/>
      </c>
      <c r="EC857" s="118" t="str">
        <f t="shared" si="1224"/>
        <v/>
      </c>
      <c r="ED857" s="122" t="str">
        <f>+IF(OR($W857="",EB857=0),"",ROUND((VLOOKUP(ROUNDDOWN($D857-1/frec,0),cob_adi,DO$40,FALSE)*(1+i/frec)^-0.5*(1+Parámetros!$D$103)*(1+rec_fracc)/frec),6))</f>
        <v/>
      </c>
      <c r="EE857" s="66" t="str">
        <f t="shared" si="1178"/>
        <v/>
      </c>
      <c r="EF857" s="68" t="str">
        <f t="shared" si="1179"/>
        <v/>
      </c>
      <c r="EG857" s="66" t="str">
        <f>+IF($W857="","",ROUND(IF($B857&gt;Parámetros!$D$107,'Tablas Servicio'!EE857+('Tablas Servicio'!EG856-'Tablas Servicio'!EE856),EE857/(1-IF(B857&lt;=10,Parámetros!$D$100,0))),2))</f>
        <v/>
      </c>
      <c r="EH857" s="66" t="str">
        <f t="shared" si="1225"/>
        <v/>
      </c>
      <c r="EI857" s="66" t="str">
        <f t="shared" si="1225"/>
        <v/>
      </c>
      <c r="EJ857" s="66" t="str">
        <f>+IF($W857="","",ROUND((EG857*Parámetros!$G$85),2))</f>
        <v/>
      </c>
      <c r="EK857" s="66" t="str">
        <f>+IF($W857="","",ROUND((EG857*(Parámetros!$G$86)),2))</f>
        <v/>
      </c>
      <c r="EL857" s="66" t="str">
        <f t="shared" si="1181"/>
        <v/>
      </c>
    </row>
    <row r="858" spans="1:142" x14ac:dyDescent="0.25">
      <c r="A858" t="str">
        <f>+IF($C858="","",ROUND(VLOOKUP('Tablas Servicio'!B858,Parámetros!$H$100:$J$159,IF(Parámetros!$E$16="F",2,3),FALSE),2))</f>
        <v/>
      </c>
      <c r="B858" t="str">
        <f t="shared" si="1132"/>
        <v/>
      </c>
      <c r="C858" s="57" t="str">
        <f>+IF(D858="","",'Tablas Servicio'!C857+1)</f>
        <v/>
      </c>
      <c r="D858" s="56" t="str">
        <f>+IF(D857&lt;edadmaxtabla,D857+1/Parámetros!$E$25,"")</f>
        <v/>
      </c>
      <c r="E858" s="57" t="str">
        <f t="shared" si="1142"/>
        <v/>
      </c>
      <c r="F858" s="59" t="str">
        <f t="shared" si="1143"/>
        <v/>
      </c>
      <c r="G858" s="66" t="str">
        <f t="shared" si="1133"/>
        <v/>
      </c>
      <c r="H858" s="66" t="str">
        <f t="shared" si="1134"/>
        <v/>
      </c>
      <c r="I858" s="66" t="str">
        <f t="shared" si="1182"/>
        <v/>
      </c>
      <c r="J858" s="66" t="str">
        <f t="shared" si="1135"/>
        <v/>
      </c>
      <c r="K858" s="66" t="str">
        <f t="shared" si="1136"/>
        <v/>
      </c>
      <c r="L858" s="66" t="str">
        <f t="shared" si="1137"/>
        <v/>
      </c>
      <c r="M858" s="66" t="str">
        <f t="shared" si="1138"/>
        <v/>
      </c>
      <c r="N858" s="66" t="str">
        <f>+IF(C858="","",ROUND(Parámetros!$D$23,2))</f>
        <v/>
      </c>
      <c r="O858" s="66" t="str">
        <f t="shared" si="1139"/>
        <v/>
      </c>
      <c r="P858" s="66" t="str">
        <f>+IF($C858="","",ROUND(IF(B858&gt;Parámetros!$D$117,0,N858*Parámetros!$D$116-G858*Parámetros!$D$100),2))</f>
        <v/>
      </c>
      <c r="Q858" s="75" t="str">
        <f t="shared" si="1183"/>
        <v/>
      </c>
      <c r="R858" s="75" t="str">
        <f t="shared" si="1184"/>
        <v/>
      </c>
      <c r="S858" s="117" t="str">
        <f>+IF($C858="","",ROUND((S857+I858)*(1+Parámetros!$D$91),2))</f>
        <v/>
      </c>
      <c r="T858" s="117" t="str">
        <f>+IF($C858="","",ROUND(S858*VLOOKUP(B858,Parámetros!$C$30:$D$39,2,TRUE),2))</f>
        <v/>
      </c>
      <c r="U858" s="117" t="str">
        <f>+IF($C858="","",ROUND((U857+I858)*(1+Parámetros!$D$92),2))</f>
        <v/>
      </c>
      <c r="V858" s="117" t="str">
        <f>+IF($C858="","",ROUND(U858*VLOOKUP(B858,Parámetros!$C$30:$D$39,2,TRUE),2))</f>
        <v/>
      </c>
      <c r="W858" s="57" t="str">
        <f t="shared" si="1185"/>
        <v/>
      </c>
      <c r="X858" t="str">
        <f t="shared" si="1186"/>
        <v/>
      </c>
      <c r="Y858" t="str">
        <f t="shared" si="1187"/>
        <v/>
      </c>
      <c r="Z858" s="118" t="str">
        <f>+IF($W858="","",ROUND(IF(Parámetros!$D$25='TABLAS MORT'!$V$33,Z857,Parámetros!$D$21-'Tablas Servicio'!T857),0))</f>
        <v/>
      </c>
      <c r="AA858" s="118" t="str">
        <f t="shared" si="1188"/>
        <v/>
      </c>
      <c r="AB858" s="119" t="str">
        <f>+IF(W858="","",ROUND((VLOOKUP(ROUNDDOWN($D858-1/frec,0),qx_tabla,2,FALSE)*(1+i/frec)^-0.5*(1+Parámetros!$D$103)*(1+rec_fracc)/frec),6))</f>
        <v/>
      </c>
      <c r="AC858" s="66" t="str">
        <f t="shared" si="1144"/>
        <v/>
      </c>
      <c r="AD858" s="119" t="str">
        <f t="shared" si="1140"/>
        <v/>
      </c>
      <c r="AE858" s="66" t="str">
        <f>+IF($W858="","",ROUND(IF($B858&gt;Parámetros!$D$107,'Tablas Servicio'!AC858+('Tablas Servicio'!AG857-'Tablas Servicio'!AC857),AC858/(1-IF(B858&lt;=10,Parámetros!$D$104,Parámetros!$D$105))),2))</f>
        <v/>
      </c>
      <c r="AF858" s="66" t="str">
        <f>+IF($W858="","",ROUND(IF($B858&gt;Parámetros!$D$107,'Tablas Servicio'!AC858+('Tablas Servicio'!AG857-'Tablas Servicio'!AC857),(AC858+$A857/frec)/(1-IF(B858&lt;=Parámetros!$D$117,Parámetros!$D$100,0))),2))</f>
        <v/>
      </c>
      <c r="AG858" s="66" t="str">
        <f t="shared" si="1145"/>
        <v/>
      </c>
      <c r="AH858" s="66" t="str">
        <f t="shared" si="1146"/>
        <v/>
      </c>
      <c r="AI858" s="66" t="str">
        <f t="shared" si="1147"/>
        <v/>
      </c>
      <c r="AJ858" s="66" t="str">
        <f>+IF($W858="","",ROUND((AG858*Parámetros!$G$85),2))</f>
        <v/>
      </c>
      <c r="AK858" s="66" t="str">
        <f>+IF($W858="","",ROUND((AG858*(Parámetros!$G$86)),2))</f>
        <v/>
      </c>
      <c r="AL858" s="66" t="str">
        <f t="shared" si="1141"/>
        <v/>
      </c>
      <c r="AM858" t="str">
        <f t="shared" si="1189"/>
        <v/>
      </c>
      <c r="AN858" t="str">
        <f t="shared" si="1190"/>
        <v/>
      </c>
      <c r="AO858" s="118" t="str">
        <f t="shared" si="1191"/>
        <v/>
      </c>
      <c r="AP858" s="118" t="str">
        <f t="shared" si="1192"/>
        <v/>
      </c>
      <c r="AQ858" s="119" t="str">
        <f>+IF(OR($W858="",AO858=0),"",ROUND((VLOOKUP(ROUNDDOWN($D858-1/frec,0),cob_adi,Z$40,FALSE)*(1+i/frec)^-0.5*(1+Parámetros!$D$103)*(1+rec_fracc)/frec),6))</f>
        <v/>
      </c>
      <c r="AR858" s="66" t="str">
        <f t="shared" si="1148"/>
        <v/>
      </c>
      <c r="AS858" s="119" t="str">
        <f t="shared" si="1149"/>
        <v/>
      </c>
      <c r="AT858" s="66" t="str">
        <f>+IF($W858="","",ROUND(IF($B858&gt;Parámetros!$D$107,'Tablas Servicio'!AR858+('Tablas Servicio'!AT857-'Tablas Servicio'!AR857),AR858/(1-IF(B858&lt;=10,Parámetros!$D$100,0))),2))</f>
        <v/>
      </c>
      <c r="AU858" s="66" t="str">
        <f t="shared" si="1218"/>
        <v/>
      </c>
      <c r="AV858" s="66" t="str">
        <f t="shared" si="1218"/>
        <v/>
      </c>
      <c r="AW858" s="66" t="str">
        <f>+IF($W858="","",ROUND((AT858*Parámetros!$G$85),2))</f>
        <v/>
      </c>
      <c r="AX858" s="66" t="str">
        <f>+IF($W858="","",ROUND((AT858*(Parámetros!$G$86)),2))</f>
        <v/>
      </c>
      <c r="AY858" s="66" t="str">
        <f t="shared" si="1151"/>
        <v/>
      </c>
      <c r="AZ858" t="str">
        <f t="shared" si="1193"/>
        <v/>
      </c>
      <c r="BA858" t="str">
        <f t="shared" si="1194"/>
        <v/>
      </c>
      <c r="BB858" s="118" t="str">
        <f t="shared" si="1195"/>
        <v/>
      </c>
      <c r="BC858" s="118" t="str">
        <f t="shared" si="1196"/>
        <v/>
      </c>
      <c r="BD858" s="119" t="str">
        <f>+IF(OR($W858="",BB858=0),"",ROUND((VLOOKUP(ROUNDDOWN($D858-1/frec,0),cob_adi,AO$40,FALSE)*(1+i/frec)^-0.5*(1+Parámetros!$D$103)*(1+rec_fracc)/frec),6))</f>
        <v/>
      </c>
      <c r="BE858" s="66" t="str">
        <f t="shared" si="1152"/>
        <v/>
      </c>
      <c r="BF858" s="119" t="str">
        <f t="shared" si="1153"/>
        <v/>
      </c>
      <c r="BG858" s="66" t="str">
        <f>+IF($W858="","",ROUND(IF($B858&gt;Parámetros!$D$107,'Tablas Servicio'!BE858+('Tablas Servicio'!BG857-'Tablas Servicio'!BE857),BE858/(1-IF(B858&lt;=10,Parámetros!$D$100,0))),2))</f>
        <v/>
      </c>
      <c r="BH858" s="66" t="str">
        <f t="shared" si="1154"/>
        <v/>
      </c>
      <c r="BI858" s="66" t="str">
        <f t="shared" si="1155"/>
        <v/>
      </c>
      <c r="BJ858" s="66" t="str">
        <f>+IF($W858="","",ROUND((BG858*Parámetros!$G$85),2))</f>
        <v/>
      </c>
      <c r="BK858" s="66" t="str">
        <f>+IF($W858="","",ROUND((BG858*(Parámetros!$G$86)),2))</f>
        <v/>
      </c>
      <c r="BL858" s="66" t="str">
        <f t="shared" si="1156"/>
        <v/>
      </c>
      <c r="BM858" t="str">
        <f t="shared" si="1197"/>
        <v/>
      </c>
      <c r="BN858" t="str">
        <f t="shared" si="1198"/>
        <v/>
      </c>
      <c r="BO858" s="118" t="str">
        <f t="shared" si="1199"/>
        <v/>
      </c>
      <c r="BP858" s="118" t="str">
        <f t="shared" si="1200"/>
        <v/>
      </c>
      <c r="BQ858" s="119" t="str">
        <f>+IF(OR($W858="",BO858=0),"",ROUND((VLOOKUP(ROUNDDOWN($D858-1/frec,0),cob_adi,BB$40,FALSE)*(1+i/frec)^-0.5*(1+Parámetros!$D$103)*(1+rec_fracc)/frec),6))</f>
        <v/>
      </c>
      <c r="BR858" s="66" t="str">
        <f t="shared" si="1157"/>
        <v/>
      </c>
      <c r="BS858" s="119" t="str">
        <f t="shared" si="1158"/>
        <v/>
      </c>
      <c r="BT858" s="66" t="str">
        <f>+IF($W858="","",ROUND(IF($B858&gt;Parámetros!$D$107,'Tablas Servicio'!BR858+('Tablas Servicio'!BT857-'Tablas Servicio'!BR857),BR858/(1-IF(B858&lt;=10,Parámetros!$D$100,0))),2))</f>
        <v/>
      </c>
      <c r="BU858" s="66" t="str">
        <f t="shared" si="1219"/>
        <v/>
      </c>
      <c r="BV858" s="66" t="str">
        <f t="shared" si="1219"/>
        <v/>
      </c>
      <c r="BW858" s="66" t="str">
        <f>+IF($W858="","",ROUND((BT858*Parámetros!$G$85),2))</f>
        <v/>
      </c>
      <c r="BX858" s="66" t="str">
        <f>+IF($W858="","",ROUND((BT858*(Parámetros!$G$86)),2))</f>
        <v/>
      </c>
      <c r="BY858" s="66" t="str">
        <f t="shared" si="1160"/>
        <v/>
      </c>
      <c r="BZ858" t="str">
        <f t="shared" si="1201"/>
        <v/>
      </c>
      <c r="CA858" t="str">
        <f t="shared" si="1202"/>
        <v/>
      </c>
      <c r="CB858" s="118" t="str">
        <f t="shared" si="1203"/>
        <v/>
      </c>
      <c r="CC858" s="118" t="str">
        <f t="shared" si="1204"/>
        <v/>
      </c>
      <c r="CD858" s="119" t="str">
        <f t="shared" si="1161"/>
        <v/>
      </c>
      <c r="CE858" s="66" t="str">
        <f>+IF($W858="","",ROUND((VLOOKUP(ROUNDDOWN($D858-1/frec,0),cob_adi,BO$40,FALSE)*(1+i/frec)^-0.5*(1+Parámetros!$D$103)*(1+rec_fracc)/frec*'TABLAS ADI'!$BC$17),2))</f>
        <v/>
      </c>
      <c r="CF858" s="119" t="str">
        <f t="shared" si="1162"/>
        <v/>
      </c>
      <c r="CG858" s="66" t="str">
        <f>+IF($W858="","",ROUND(IF($B858&gt;Parámetros!$D$107,'Tablas Servicio'!CE858+('Tablas Servicio'!CG857-'Tablas Servicio'!CE857),CE858/(1-IF(B858&lt;=10,Parámetros!$D$100,0))),2))</f>
        <v/>
      </c>
      <c r="CH858" s="66" t="str">
        <f t="shared" si="1220"/>
        <v/>
      </c>
      <c r="CI858" s="66" t="str">
        <f t="shared" si="1220"/>
        <v/>
      </c>
      <c r="CJ858" s="66" t="str">
        <f>+IF($W858="","",ROUND((CG858*Parámetros!$G$85),2))</f>
        <v/>
      </c>
      <c r="CK858" s="66" t="str">
        <f>+IF($W858="","",ROUND((CG858*(Parámetros!$G$86)),2))</f>
        <v/>
      </c>
      <c r="CL858" s="66" t="str">
        <f t="shared" si="1164"/>
        <v/>
      </c>
      <c r="CM858" t="str">
        <f t="shared" si="1205"/>
        <v/>
      </c>
      <c r="CN858" s="118" t="str">
        <f t="shared" si="1206"/>
        <v/>
      </c>
      <c r="CO858" s="118" t="str">
        <f t="shared" si="1207"/>
        <v/>
      </c>
      <c r="CP858" s="118" t="str">
        <f t="shared" si="1208"/>
        <v/>
      </c>
      <c r="CQ858" s="119" t="str">
        <f t="shared" si="1165"/>
        <v/>
      </c>
      <c r="CR858" s="66" t="str">
        <f>+IF($W858="","",ROUND((VLOOKUP(Parámetros!$F$51,'COBERTURAS ADICIONALES'!$S$4:$T$32,2,FALSE)*(1+i/frec)^-0.5*(1+Parámetros!$D$103)*(1+rec_fracc)/frec*$CO$42),2))</f>
        <v/>
      </c>
      <c r="CS858" s="119" t="str">
        <f t="shared" si="1166"/>
        <v/>
      </c>
      <c r="CT858" s="66" t="str">
        <f>+IF($W858="","",ROUND(IF($B858&gt;Parámetros!$D$107,'Tablas Servicio'!CR858+('Tablas Servicio'!CT857-'Tablas Servicio'!CR857),CR858/(1-IF(B858&lt;=10,Parámetros!$D$100,0))),2))</f>
        <v/>
      </c>
      <c r="CU858" s="66" t="str">
        <f t="shared" si="1221"/>
        <v/>
      </c>
      <c r="CV858" s="66" t="str">
        <f t="shared" si="1221"/>
        <v/>
      </c>
      <c r="CW858" s="66" t="str">
        <f>+IF($W858="","",ROUND((CT858*Parámetros!$G$85),2))</f>
        <v/>
      </c>
      <c r="CX858" s="66" t="str">
        <f>+IF($W858="","",ROUND((CT858*(Parámetros!$G$86)),2))</f>
        <v/>
      </c>
      <c r="CY858" s="66" t="str">
        <f t="shared" si="1168"/>
        <v/>
      </c>
      <c r="CZ858" t="str">
        <f t="shared" si="1209"/>
        <v/>
      </c>
      <c r="DA858" s="118" t="str">
        <f t="shared" si="1210"/>
        <v/>
      </c>
      <c r="DB858" s="118" t="str">
        <f t="shared" si="1211"/>
        <v/>
      </c>
      <c r="DC858" s="118" t="str">
        <f t="shared" si="1212"/>
        <v/>
      </c>
      <c r="DD858" s="121" t="str">
        <f>+IF(OR($W858="",DB858=0),"",ROUND((VLOOKUP(ROUNDDOWN($D858-1/frec,0),cob_adi,CO$40,FALSE)*(1+i/frec)^-0.5*(1+Parámetros!$D$103)*(1+rec_fracc)/frec),6))</f>
        <v/>
      </c>
      <c r="DE858" s="66" t="str">
        <f t="shared" si="1169"/>
        <v/>
      </c>
      <c r="DF858" s="119" t="str">
        <f t="shared" si="1170"/>
        <v/>
      </c>
      <c r="DG858" s="66" t="str">
        <f>+IF($W858="","",ROUND(IF($B858&gt;Parámetros!$D$107,'Tablas Servicio'!DE858+('Tablas Servicio'!DG857-'Tablas Servicio'!DE857),DE858/(1-IF(B858&lt;=10,Parámetros!$D$100,0))),2))</f>
        <v/>
      </c>
      <c r="DH858" s="66" t="str">
        <f t="shared" si="1222"/>
        <v/>
      </c>
      <c r="DI858" s="66" t="str">
        <f t="shared" si="1222"/>
        <v/>
      </c>
      <c r="DJ858" s="66" t="str">
        <f>+IF($W858="","",ROUND((DG858*Parámetros!$G$85),2))</f>
        <v/>
      </c>
      <c r="DK858" s="66" t="str">
        <f>+IF($W858="","",ROUND((DG858*(Parámetros!$G$86)),2))</f>
        <v/>
      </c>
      <c r="DL858" s="66" t="str">
        <f t="shared" si="1172"/>
        <v/>
      </c>
      <c r="DM858" t="str">
        <f t="shared" si="1213"/>
        <v/>
      </c>
      <c r="DN858" s="118" t="str">
        <f t="shared" si="1214"/>
        <v/>
      </c>
      <c r="DO858" s="118" t="str">
        <f t="shared" si="1215"/>
        <v/>
      </c>
      <c r="DP858" s="118" t="str">
        <f t="shared" si="1216"/>
        <v/>
      </c>
      <c r="DQ858" s="122" t="str">
        <f>+IF(OR($W858="",DO858=0),"",ROUND((VLOOKUP(ROUNDDOWN($D858-1/frec,0),cob_adi,DB$40,FALSE)*(1+i/frec)^-0.5*(1+Parámetros!$D$103)*(1+rec_fracc)/frec),6))</f>
        <v/>
      </c>
      <c r="DR858" s="66" t="str">
        <f t="shared" si="1173"/>
        <v/>
      </c>
      <c r="DS858" s="68" t="str">
        <f t="shared" si="1174"/>
        <v/>
      </c>
      <c r="DT858" s="66" t="str">
        <f>+IF($W858="","",ROUND(IF($B858&gt;Parámetros!$D$107,'Tablas Servicio'!DR858+('Tablas Servicio'!DT857-'Tablas Servicio'!DR857),DR858/(1-IF(B858&lt;=10,Parámetros!$D$100,0))),2))</f>
        <v/>
      </c>
      <c r="DU858" s="66" t="str">
        <f t="shared" si="1223"/>
        <v/>
      </c>
      <c r="DV858" s="66" t="str">
        <f t="shared" si="1223"/>
        <v/>
      </c>
      <c r="DW858" s="66" t="str">
        <f>+IF($W858="","",ROUND((DT858*Parámetros!$G$85),2))</f>
        <v/>
      </c>
      <c r="DX858" s="66" t="str">
        <f>+IF($W858="","",ROUND((DT858*(Parámetros!$G$86)),2))</f>
        <v/>
      </c>
      <c r="DY858" s="66" t="str">
        <f t="shared" si="1176"/>
        <v/>
      </c>
      <c r="DZ858" t="str">
        <f t="shared" si="1224"/>
        <v/>
      </c>
      <c r="EA858" s="118" t="str">
        <f t="shared" si="1224"/>
        <v/>
      </c>
      <c r="EB858" s="118" t="str">
        <f>+IF($W858="","",ROUND(IF(Parámetros!$D$25='TABLAS MORT'!$V$33,EB857,Z858/2),0))</f>
        <v/>
      </c>
      <c r="EC858" s="118" t="str">
        <f t="shared" si="1224"/>
        <v/>
      </c>
      <c r="ED858" s="122" t="str">
        <f>+IF(OR($W858="",EB858=0),"",ROUND((VLOOKUP(ROUNDDOWN($D858-1/frec,0),cob_adi,DO$40,FALSE)*(1+i/frec)^-0.5*(1+Parámetros!$D$103)*(1+rec_fracc)/frec),6))</f>
        <v/>
      </c>
      <c r="EE858" s="66" t="str">
        <f t="shared" si="1178"/>
        <v/>
      </c>
      <c r="EF858" s="68" t="str">
        <f t="shared" si="1179"/>
        <v/>
      </c>
      <c r="EG858" s="66" t="str">
        <f>+IF($W858="","",ROUND(IF($B858&gt;Parámetros!$D$107,'Tablas Servicio'!EE858+('Tablas Servicio'!EG857-'Tablas Servicio'!EE857),EE858/(1-IF(B858&lt;=10,Parámetros!$D$100,0))),2))</f>
        <v/>
      </c>
      <c r="EH858" s="66" t="str">
        <f t="shared" si="1225"/>
        <v/>
      </c>
      <c r="EI858" s="66" t="str">
        <f t="shared" si="1225"/>
        <v/>
      </c>
      <c r="EJ858" s="66" t="str">
        <f>+IF($W858="","",ROUND((EG858*Parámetros!$G$85),2))</f>
        <v/>
      </c>
      <c r="EK858" s="66" t="str">
        <f>+IF($W858="","",ROUND((EG858*(Parámetros!$G$86)),2))</f>
        <v/>
      </c>
      <c r="EL858" s="66" t="str">
        <f t="shared" si="1181"/>
        <v/>
      </c>
    </row>
    <row r="859" spans="1:142" x14ac:dyDescent="0.25">
      <c r="A859" t="str">
        <f>+IF($C859="","",ROUND(VLOOKUP('Tablas Servicio'!B859,Parámetros!$H$100:$J$159,IF(Parámetros!$E$16="F",2,3),FALSE),2))</f>
        <v/>
      </c>
      <c r="B859" t="str">
        <f t="shared" si="1132"/>
        <v/>
      </c>
      <c r="C859" s="57" t="str">
        <f>+IF(D859="","",'Tablas Servicio'!C858+1)</f>
        <v/>
      </c>
      <c r="D859" s="56" t="str">
        <f>+IF(D858&lt;edadmaxtabla,D858+1/Parámetros!$E$25,"")</f>
        <v/>
      </c>
      <c r="E859" s="57" t="str">
        <f t="shared" si="1142"/>
        <v/>
      </c>
      <c r="F859" s="59" t="str">
        <f t="shared" si="1143"/>
        <v/>
      </c>
      <c r="G859" s="66" t="str">
        <f t="shared" si="1133"/>
        <v/>
      </c>
      <c r="H859" s="66" t="str">
        <f t="shared" si="1134"/>
        <v/>
      </c>
      <c r="I859" s="66" t="str">
        <f t="shared" si="1182"/>
        <v/>
      </c>
      <c r="J859" s="66" t="str">
        <f t="shared" si="1135"/>
        <v/>
      </c>
      <c r="K859" s="66" t="str">
        <f t="shared" si="1136"/>
        <v/>
      </c>
      <c r="L859" s="66" t="str">
        <f t="shared" si="1137"/>
        <v/>
      </c>
      <c r="M859" s="66" t="str">
        <f t="shared" si="1138"/>
        <v/>
      </c>
      <c r="N859" s="66" t="str">
        <f>+IF(C859="","",ROUND(Parámetros!$D$23,2))</f>
        <v/>
      </c>
      <c r="O859" s="66" t="str">
        <f t="shared" si="1139"/>
        <v/>
      </c>
      <c r="P859" s="66" t="str">
        <f>+IF($C859="","",ROUND(IF(B859&gt;Parámetros!$D$117,0,N859*Parámetros!$D$116-G859*Parámetros!$D$100),2))</f>
        <v/>
      </c>
      <c r="Q859" s="75" t="str">
        <f t="shared" si="1183"/>
        <v/>
      </c>
      <c r="R859" s="75" t="str">
        <f t="shared" si="1184"/>
        <v/>
      </c>
      <c r="S859" s="117" t="str">
        <f>+IF($C859="","",ROUND((S858+I859)*(1+Parámetros!$D$91),2))</f>
        <v/>
      </c>
      <c r="T859" s="117" t="str">
        <f>+IF($C859="","",ROUND(S859*VLOOKUP(B859,Parámetros!$C$30:$D$39,2,TRUE),2))</f>
        <v/>
      </c>
      <c r="U859" s="117" t="str">
        <f>+IF($C859="","",ROUND((U858+I859)*(1+Parámetros!$D$92),2))</f>
        <v/>
      </c>
      <c r="V859" s="117" t="str">
        <f>+IF($C859="","",ROUND(U859*VLOOKUP(B859,Parámetros!$C$30:$D$39,2,TRUE),2))</f>
        <v/>
      </c>
      <c r="W859" s="57" t="str">
        <f t="shared" si="1185"/>
        <v/>
      </c>
      <c r="X859" t="str">
        <f t="shared" si="1186"/>
        <v/>
      </c>
      <c r="Y859" t="str">
        <f t="shared" si="1187"/>
        <v/>
      </c>
      <c r="Z859" s="118" t="str">
        <f>+IF($W859="","",ROUND(IF(Parámetros!$D$25='TABLAS MORT'!$V$33,Z858,Parámetros!$D$21-'Tablas Servicio'!T858),0))</f>
        <v/>
      </c>
      <c r="AA859" s="118" t="str">
        <f t="shared" si="1188"/>
        <v/>
      </c>
      <c r="AB859" s="119" t="str">
        <f>+IF(W859="","",ROUND((VLOOKUP(ROUNDDOWN($D859-1/frec,0),qx_tabla,2,FALSE)*(1+i/frec)^-0.5*(1+Parámetros!$D$103)*(1+rec_fracc)/frec),6))</f>
        <v/>
      </c>
      <c r="AC859" s="66" t="str">
        <f t="shared" si="1144"/>
        <v/>
      </c>
      <c r="AD859" s="119" t="str">
        <f t="shared" si="1140"/>
        <v/>
      </c>
      <c r="AE859" s="66" t="str">
        <f>+IF($W859="","",ROUND(IF($B859&gt;Parámetros!$D$107,'Tablas Servicio'!AC859+('Tablas Servicio'!AG858-'Tablas Servicio'!AC858),AC859/(1-IF(B859&lt;=10,Parámetros!$D$104,Parámetros!$D$105))),2))</f>
        <v/>
      </c>
      <c r="AF859" s="66" t="str">
        <f>+IF($W859="","",ROUND(IF($B859&gt;Parámetros!$D$107,'Tablas Servicio'!AC859+('Tablas Servicio'!AG858-'Tablas Servicio'!AC858),(AC859+$A858/frec)/(1-IF(B859&lt;=Parámetros!$D$117,Parámetros!$D$100,0))),2))</f>
        <v/>
      </c>
      <c r="AG859" s="66" t="str">
        <f t="shared" si="1145"/>
        <v/>
      </c>
      <c r="AH859" s="66" t="str">
        <f t="shared" si="1146"/>
        <v/>
      </c>
      <c r="AI859" s="66" t="str">
        <f t="shared" si="1147"/>
        <v/>
      </c>
      <c r="AJ859" s="66" t="str">
        <f>+IF($W859="","",ROUND((AG859*Parámetros!$G$85),2))</f>
        <v/>
      </c>
      <c r="AK859" s="66" t="str">
        <f>+IF($W859="","",ROUND((AG859*(Parámetros!$G$86)),2))</f>
        <v/>
      </c>
      <c r="AL859" s="66" t="str">
        <f t="shared" si="1141"/>
        <v/>
      </c>
      <c r="AM859" t="str">
        <f t="shared" si="1189"/>
        <v/>
      </c>
      <c r="AN859" t="str">
        <f t="shared" si="1190"/>
        <v/>
      </c>
      <c r="AO859" s="118" t="str">
        <f t="shared" si="1191"/>
        <v/>
      </c>
      <c r="AP859" s="118" t="str">
        <f t="shared" si="1192"/>
        <v/>
      </c>
      <c r="AQ859" s="119" t="str">
        <f>+IF(OR($W859="",AO859=0),"",ROUND((VLOOKUP(ROUNDDOWN($D859-1/frec,0),cob_adi,Z$40,FALSE)*(1+i/frec)^-0.5*(1+Parámetros!$D$103)*(1+rec_fracc)/frec),6))</f>
        <v/>
      </c>
      <c r="AR859" s="66" t="str">
        <f t="shared" si="1148"/>
        <v/>
      </c>
      <c r="AS859" s="119" t="str">
        <f t="shared" si="1149"/>
        <v/>
      </c>
      <c r="AT859" s="66" t="str">
        <f>+IF($W859="","",ROUND(IF($B859&gt;Parámetros!$D$107,'Tablas Servicio'!AR859+('Tablas Servicio'!AT858-'Tablas Servicio'!AR858),AR859/(1-IF(B859&lt;=10,Parámetros!$D$100,0))),2))</f>
        <v/>
      </c>
      <c r="AU859" s="66" t="str">
        <f t="shared" si="1218"/>
        <v/>
      </c>
      <c r="AV859" s="66" t="str">
        <f t="shared" si="1218"/>
        <v/>
      </c>
      <c r="AW859" s="66" t="str">
        <f>+IF($W859="","",ROUND((AT859*Parámetros!$G$85),2))</f>
        <v/>
      </c>
      <c r="AX859" s="66" t="str">
        <f>+IF($W859="","",ROUND((AT859*(Parámetros!$G$86)),2))</f>
        <v/>
      </c>
      <c r="AY859" s="66" t="str">
        <f t="shared" si="1151"/>
        <v/>
      </c>
      <c r="AZ859" t="str">
        <f t="shared" si="1193"/>
        <v/>
      </c>
      <c r="BA859" t="str">
        <f t="shared" si="1194"/>
        <v/>
      </c>
      <c r="BB859" s="118" t="str">
        <f t="shared" si="1195"/>
        <v/>
      </c>
      <c r="BC859" s="118" t="str">
        <f t="shared" si="1196"/>
        <v/>
      </c>
      <c r="BD859" s="119" t="str">
        <f>+IF(OR($W859="",BB859=0),"",ROUND((VLOOKUP(ROUNDDOWN($D859-1/frec,0),cob_adi,AO$40,FALSE)*(1+i/frec)^-0.5*(1+Parámetros!$D$103)*(1+rec_fracc)/frec),6))</f>
        <v/>
      </c>
      <c r="BE859" s="66" t="str">
        <f t="shared" si="1152"/>
        <v/>
      </c>
      <c r="BF859" s="119" t="str">
        <f t="shared" si="1153"/>
        <v/>
      </c>
      <c r="BG859" s="66" t="str">
        <f>+IF($W859="","",ROUND(IF($B859&gt;Parámetros!$D$107,'Tablas Servicio'!BE859+('Tablas Servicio'!BG858-'Tablas Servicio'!BE858),BE859/(1-IF(B859&lt;=10,Parámetros!$D$100,0))),2))</f>
        <v/>
      </c>
      <c r="BH859" s="66" t="str">
        <f t="shared" si="1154"/>
        <v/>
      </c>
      <c r="BI859" s="66" t="str">
        <f t="shared" si="1155"/>
        <v/>
      </c>
      <c r="BJ859" s="66" t="str">
        <f>+IF($W859="","",ROUND((BG859*Parámetros!$G$85),2))</f>
        <v/>
      </c>
      <c r="BK859" s="66" t="str">
        <f>+IF($W859="","",ROUND((BG859*(Parámetros!$G$86)),2))</f>
        <v/>
      </c>
      <c r="BL859" s="66" t="str">
        <f t="shared" si="1156"/>
        <v/>
      </c>
      <c r="BM859" t="str">
        <f t="shared" si="1197"/>
        <v/>
      </c>
      <c r="BN859" t="str">
        <f t="shared" si="1198"/>
        <v/>
      </c>
      <c r="BO859" s="118" t="str">
        <f t="shared" si="1199"/>
        <v/>
      </c>
      <c r="BP859" s="118" t="str">
        <f t="shared" si="1200"/>
        <v/>
      </c>
      <c r="BQ859" s="119" t="str">
        <f>+IF(OR($W859="",BO859=0),"",ROUND((VLOOKUP(ROUNDDOWN($D859-1/frec,0),cob_adi,BB$40,FALSE)*(1+i/frec)^-0.5*(1+Parámetros!$D$103)*(1+rec_fracc)/frec),6))</f>
        <v/>
      </c>
      <c r="BR859" s="66" t="str">
        <f t="shared" si="1157"/>
        <v/>
      </c>
      <c r="BS859" s="119" t="str">
        <f t="shared" si="1158"/>
        <v/>
      </c>
      <c r="BT859" s="66" t="str">
        <f>+IF($W859="","",ROUND(IF($B859&gt;Parámetros!$D$107,'Tablas Servicio'!BR859+('Tablas Servicio'!BT858-'Tablas Servicio'!BR858),BR859/(1-IF(B859&lt;=10,Parámetros!$D$100,0))),2))</f>
        <v/>
      </c>
      <c r="BU859" s="66" t="str">
        <f t="shared" si="1219"/>
        <v/>
      </c>
      <c r="BV859" s="66" t="str">
        <f t="shared" si="1219"/>
        <v/>
      </c>
      <c r="BW859" s="66" t="str">
        <f>+IF($W859="","",ROUND((BT859*Parámetros!$G$85),2))</f>
        <v/>
      </c>
      <c r="BX859" s="66" t="str">
        <f>+IF($W859="","",ROUND((BT859*(Parámetros!$G$86)),2))</f>
        <v/>
      </c>
      <c r="BY859" s="66" t="str">
        <f t="shared" si="1160"/>
        <v/>
      </c>
      <c r="BZ859" t="str">
        <f t="shared" si="1201"/>
        <v/>
      </c>
      <c r="CA859" t="str">
        <f t="shared" si="1202"/>
        <v/>
      </c>
      <c r="CB859" s="118" t="str">
        <f t="shared" si="1203"/>
        <v/>
      </c>
      <c r="CC859" s="118" t="str">
        <f t="shared" si="1204"/>
        <v/>
      </c>
      <c r="CD859" s="119" t="str">
        <f t="shared" si="1161"/>
        <v/>
      </c>
      <c r="CE859" s="66" t="str">
        <f>+IF($W859="","",ROUND((VLOOKUP(ROUNDDOWN($D859-1/frec,0),cob_adi,BO$40,FALSE)*(1+i/frec)^-0.5*(1+Parámetros!$D$103)*(1+rec_fracc)/frec*'TABLAS ADI'!$BC$17),2))</f>
        <v/>
      </c>
      <c r="CF859" s="119" t="str">
        <f t="shared" si="1162"/>
        <v/>
      </c>
      <c r="CG859" s="66" t="str">
        <f>+IF($W859="","",ROUND(IF($B859&gt;Parámetros!$D$107,'Tablas Servicio'!CE859+('Tablas Servicio'!CG858-'Tablas Servicio'!CE858),CE859/(1-IF(B859&lt;=10,Parámetros!$D$100,0))),2))</f>
        <v/>
      </c>
      <c r="CH859" s="66" t="str">
        <f t="shared" si="1220"/>
        <v/>
      </c>
      <c r="CI859" s="66" t="str">
        <f t="shared" si="1220"/>
        <v/>
      </c>
      <c r="CJ859" s="66" t="str">
        <f>+IF($W859="","",ROUND((CG859*Parámetros!$G$85),2))</f>
        <v/>
      </c>
      <c r="CK859" s="66" t="str">
        <f>+IF($W859="","",ROUND((CG859*(Parámetros!$G$86)),2))</f>
        <v/>
      </c>
      <c r="CL859" s="66" t="str">
        <f t="shared" si="1164"/>
        <v/>
      </c>
      <c r="CM859" t="str">
        <f t="shared" si="1205"/>
        <v/>
      </c>
      <c r="CN859" s="118" t="str">
        <f t="shared" si="1206"/>
        <v/>
      </c>
      <c r="CO859" s="118" t="str">
        <f t="shared" si="1207"/>
        <v/>
      </c>
      <c r="CP859" s="118" t="str">
        <f t="shared" si="1208"/>
        <v/>
      </c>
      <c r="CQ859" s="119" t="str">
        <f t="shared" si="1165"/>
        <v/>
      </c>
      <c r="CR859" s="66" t="str">
        <f>+IF($W859="","",ROUND((VLOOKUP(Parámetros!$F$51,'COBERTURAS ADICIONALES'!$S$4:$T$32,2,FALSE)*(1+i/frec)^-0.5*(1+Parámetros!$D$103)*(1+rec_fracc)/frec*$CO$42),2))</f>
        <v/>
      </c>
      <c r="CS859" s="119" t="str">
        <f t="shared" si="1166"/>
        <v/>
      </c>
      <c r="CT859" s="66" t="str">
        <f>+IF($W859="","",ROUND(IF($B859&gt;Parámetros!$D$107,'Tablas Servicio'!CR859+('Tablas Servicio'!CT858-'Tablas Servicio'!CR858),CR859/(1-IF(B859&lt;=10,Parámetros!$D$100,0))),2))</f>
        <v/>
      </c>
      <c r="CU859" s="66" t="str">
        <f t="shared" si="1221"/>
        <v/>
      </c>
      <c r="CV859" s="66" t="str">
        <f t="shared" si="1221"/>
        <v/>
      </c>
      <c r="CW859" s="66" t="str">
        <f>+IF($W859="","",ROUND((CT859*Parámetros!$G$85),2))</f>
        <v/>
      </c>
      <c r="CX859" s="66" t="str">
        <f>+IF($W859="","",ROUND((CT859*(Parámetros!$G$86)),2))</f>
        <v/>
      </c>
      <c r="CY859" s="66" t="str">
        <f t="shared" si="1168"/>
        <v/>
      </c>
      <c r="CZ859" t="str">
        <f t="shared" si="1209"/>
        <v/>
      </c>
      <c r="DA859" s="118" t="str">
        <f t="shared" si="1210"/>
        <v/>
      </c>
      <c r="DB859" s="118" t="str">
        <f t="shared" si="1211"/>
        <v/>
      </c>
      <c r="DC859" s="118" t="str">
        <f t="shared" si="1212"/>
        <v/>
      </c>
      <c r="DD859" s="121" t="str">
        <f>+IF(OR($W859="",DB859=0),"",ROUND((VLOOKUP(ROUNDDOWN($D859-1/frec,0),cob_adi,CO$40,FALSE)*(1+i/frec)^-0.5*(1+Parámetros!$D$103)*(1+rec_fracc)/frec),6))</f>
        <v/>
      </c>
      <c r="DE859" s="66" t="str">
        <f t="shared" si="1169"/>
        <v/>
      </c>
      <c r="DF859" s="119" t="str">
        <f t="shared" si="1170"/>
        <v/>
      </c>
      <c r="DG859" s="66" t="str">
        <f>+IF($W859="","",ROUND(IF($B859&gt;Parámetros!$D$107,'Tablas Servicio'!DE859+('Tablas Servicio'!DG858-'Tablas Servicio'!DE858),DE859/(1-IF(B859&lt;=10,Parámetros!$D$100,0))),2))</f>
        <v/>
      </c>
      <c r="DH859" s="66" t="str">
        <f t="shared" si="1222"/>
        <v/>
      </c>
      <c r="DI859" s="66" t="str">
        <f t="shared" si="1222"/>
        <v/>
      </c>
      <c r="DJ859" s="66" t="str">
        <f>+IF($W859="","",ROUND((DG859*Parámetros!$G$85),2))</f>
        <v/>
      </c>
      <c r="DK859" s="66" t="str">
        <f>+IF($W859="","",ROUND((DG859*(Parámetros!$G$86)),2))</f>
        <v/>
      </c>
      <c r="DL859" s="66" t="str">
        <f t="shared" si="1172"/>
        <v/>
      </c>
      <c r="DM859" t="str">
        <f t="shared" si="1213"/>
        <v/>
      </c>
      <c r="DN859" s="118" t="str">
        <f t="shared" si="1214"/>
        <v/>
      </c>
      <c r="DO859" s="118" t="str">
        <f t="shared" si="1215"/>
        <v/>
      </c>
      <c r="DP859" s="118" t="str">
        <f t="shared" si="1216"/>
        <v/>
      </c>
      <c r="DQ859" s="122" t="str">
        <f>+IF(OR($W859="",DO859=0),"",ROUND((VLOOKUP(ROUNDDOWN($D859-1/frec,0),cob_adi,DB$40,FALSE)*(1+i/frec)^-0.5*(1+Parámetros!$D$103)*(1+rec_fracc)/frec),6))</f>
        <v/>
      </c>
      <c r="DR859" s="66" t="str">
        <f t="shared" si="1173"/>
        <v/>
      </c>
      <c r="DS859" s="68" t="str">
        <f t="shared" si="1174"/>
        <v/>
      </c>
      <c r="DT859" s="66" t="str">
        <f>+IF($W859="","",ROUND(IF($B859&gt;Parámetros!$D$107,'Tablas Servicio'!DR859+('Tablas Servicio'!DT858-'Tablas Servicio'!DR858),DR859/(1-IF(B859&lt;=10,Parámetros!$D$100,0))),2))</f>
        <v/>
      </c>
      <c r="DU859" s="66" t="str">
        <f t="shared" si="1223"/>
        <v/>
      </c>
      <c r="DV859" s="66" t="str">
        <f t="shared" si="1223"/>
        <v/>
      </c>
      <c r="DW859" s="66" t="str">
        <f>+IF($W859="","",ROUND((DT859*Parámetros!$G$85),2))</f>
        <v/>
      </c>
      <c r="DX859" s="66" t="str">
        <f>+IF($W859="","",ROUND((DT859*(Parámetros!$G$86)),2))</f>
        <v/>
      </c>
      <c r="DY859" s="66" t="str">
        <f t="shared" si="1176"/>
        <v/>
      </c>
      <c r="DZ859" t="str">
        <f t="shared" ref="DZ859:EC861" si="1226">+IF($W859="","",DZ858)</f>
        <v/>
      </c>
      <c r="EA859" s="118" t="str">
        <f t="shared" si="1226"/>
        <v/>
      </c>
      <c r="EB859" s="118" t="str">
        <f>+IF($W859="","",ROUND(IF(Parámetros!$D$25='TABLAS MORT'!$V$33,EB858,Z859/2),0))</f>
        <v/>
      </c>
      <c r="EC859" s="118" t="str">
        <f t="shared" si="1226"/>
        <v/>
      </c>
      <c r="ED859" s="122" t="str">
        <f>+IF(OR($W859="",EB859=0),"",ROUND((VLOOKUP(ROUNDDOWN($D859-1/frec,0),cob_adi,DO$40,FALSE)*(1+i/frec)^-0.5*(1+Parámetros!$D$103)*(1+rec_fracc)/frec),6))</f>
        <v/>
      </c>
      <c r="EE859" s="66" t="str">
        <f t="shared" si="1178"/>
        <v/>
      </c>
      <c r="EF859" s="68" t="str">
        <f t="shared" si="1179"/>
        <v/>
      </c>
      <c r="EG859" s="66" t="str">
        <f>+IF($W859="","",ROUND(IF($B859&gt;Parámetros!$D$107,'Tablas Servicio'!EE859+('Tablas Servicio'!EG858-'Tablas Servicio'!EE858),EE859/(1-IF(B859&lt;=10,Parámetros!$D$100,0))),2))</f>
        <v/>
      </c>
      <c r="EH859" s="66" t="str">
        <f t="shared" si="1225"/>
        <v/>
      </c>
      <c r="EI859" s="66" t="str">
        <f t="shared" si="1225"/>
        <v/>
      </c>
      <c r="EJ859" s="66" t="str">
        <f>+IF($W859="","",ROUND((EG859*Parámetros!$G$85),2))</f>
        <v/>
      </c>
      <c r="EK859" s="66" t="str">
        <f>+IF($W859="","",ROUND((EG859*(Parámetros!$G$86)),2))</f>
        <v/>
      </c>
      <c r="EL859" s="66" t="str">
        <f t="shared" si="1181"/>
        <v/>
      </c>
    </row>
    <row r="860" spans="1:142" x14ac:dyDescent="0.25">
      <c r="A860" t="str">
        <f>+IF($C860="","",ROUND(VLOOKUP('Tablas Servicio'!B860,Parámetros!$H$100:$J$159,IF(Parámetros!$E$16="F",2,3),FALSE),2))</f>
        <v/>
      </c>
      <c r="B860" t="str">
        <f t="shared" si="1132"/>
        <v/>
      </c>
      <c r="C860" s="57" t="str">
        <f>+IF(D860="","",'Tablas Servicio'!C859+1)</f>
        <v/>
      </c>
      <c r="D860" s="56" t="str">
        <f>+IF(D859&lt;edadmaxtabla,D859+1/Parámetros!$E$25,"")</f>
        <v/>
      </c>
      <c r="E860" s="57" t="str">
        <f t="shared" si="1142"/>
        <v/>
      </c>
      <c r="F860" s="59" t="str">
        <f t="shared" si="1143"/>
        <v/>
      </c>
      <c r="G860" s="66" t="str">
        <f t="shared" si="1133"/>
        <v/>
      </c>
      <c r="H860" s="66" t="str">
        <f t="shared" si="1134"/>
        <v/>
      </c>
      <c r="I860" s="66" t="str">
        <f t="shared" si="1182"/>
        <v/>
      </c>
      <c r="J860" s="66" t="str">
        <f t="shared" si="1135"/>
        <v/>
      </c>
      <c r="K860" s="66" t="str">
        <f t="shared" si="1136"/>
        <v/>
      </c>
      <c r="L860" s="66" t="str">
        <f t="shared" si="1137"/>
        <v/>
      </c>
      <c r="M860" s="66" t="str">
        <f t="shared" si="1138"/>
        <v/>
      </c>
      <c r="N860" s="66" t="str">
        <f>+IF(C860="","",ROUND(Parámetros!$D$23,2))</f>
        <v/>
      </c>
      <c r="O860" s="66" t="str">
        <f t="shared" si="1139"/>
        <v/>
      </c>
      <c r="P860" s="66" t="str">
        <f>+IF($C860="","",ROUND(IF(B860&gt;Parámetros!$D$117,0,N860*Parámetros!$D$116-G860*Parámetros!$D$100),2))</f>
        <v/>
      </c>
      <c r="Q860" s="75" t="str">
        <f t="shared" si="1183"/>
        <v/>
      </c>
      <c r="R860" s="75" t="str">
        <f t="shared" si="1184"/>
        <v/>
      </c>
      <c r="S860" s="117" t="str">
        <f>+IF($C860="","",ROUND((S859+I860)*(1+Parámetros!$D$91),2))</f>
        <v/>
      </c>
      <c r="T860" s="117" t="str">
        <f>+IF($C860="","",ROUND(S860*VLOOKUP(B860,Parámetros!$C$30:$D$39,2,TRUE),2))</f>
        <v/>
      </c>
      <c r="U860" s="117" t="str">
        <f>+IF($C860="","",ROUND((U859+I860)*(1+Parámetros!$D$92),2))</f>
        <v/>
      </c>
      <c r="V860" s="117" t="str">
        <f>+IF($C860="","",ROUND(U860*VLOOKUP(B860,Parámetros!$C$30:$D$39,2,TRUE),2))</f>
        <v/>
      </c>
      <c r="W860" s="57" t="str">
        <f t="shared" si="1185"/>
        <v/>
      </c>
      <c r="X860" t="str">
        <f t="shared" si="1186"/>
        <v/>
      </c>
      <c r="Y860" t="str">
        <f t="shared" si="1187"/>
        <v/>
      </c>
      <c r="Z860" s="118" t="str">
        <f>+IF($W860="","",ROUND(IF(Parámetros!$D$25='TABLAS MORT'!$V$33,Z859,Parámetros!$D$21-'Tablas Servicio'!T859),0))</f>
        <v/>
      </c>
      <c r="AA860" s="118" t="str">
        <f t="shared" si="1188"/>
        <v/>
      </c>
      <c r="AB860" s="119" t="str">
        <f>+IF(W860="","",ROUND((VLOOKUP(ROUNDDOWN($D860-1/frec,0),qx_tabla,2,FALSE)*(1+i/frec)^-0.5*(1+Parámetros!$D$103)*(1+rec_fracc)/frec),6))</f>
        <v/>
      </c>
      <c r="AC860" s="66" t="str">
        <f t="shared" si="1144"/>
        <v/>
      </c>
      <c r="AD860" s="119" t="str">
        <f t="shared" si="1140"/>
        <v/>
      </c>
      <c r="AE860" s="66" t="str">
        <f>+IF($W860="","",ROUND(IF($B860&gt;Parámetros!$D$107,'Tablas Servicio'!AC860+('Tablas Servicio'!AG859-'Tablas Servicio'!AC859),AC860/(1-IF(B860&lt;=10,Parámetros!$D$104,Parámetros!$D$105))),2))</f>
        <v/>
      </c>
      <c r="AF860" s="66" t="str">
        <f>+IF($W860="","",ROUND(IF($B860&gt;Parámetros!$D$107,'Tablas Servicio'!AC860+('Tablas Servicio'!AG859-'Tablas Servicio'!AC859),(AC860+$A859/frec)/(1-IF(B860&lt;=Parámetros!$D$117,Parámetros!$D$100,0))),2))</f>
        <v/>
      </c>
      <c r="AG860" s="66" t="str">
        <f t="shared" si="1145"/>
        <v/>
      </c>
      <c r="AH860" s="66" t="str">
        <f t="shared" si="1146"/>
        <v/>
      </c>
      <c r="AI860" s="66" t="str">
        <f t="shared" si="1147"/>
        <v/>
      </c>
      <c r="AJ860" s="66" t="str">
        <f>+IF($W860="","",ROUND((AG860*Parámetros!$G$85),2))</f>
        <v/>
      </c>
      <c r="AK860" s="66" t="str">
        <f>+IF($W860="","",ROUND((AG860*(Parámetros!$G$86)),2))</f>
        <v/>
      </c>
      <c r="AL860" s="66" t="str">
        <f t="shared" si="1141"/>
        <v/>
      </c>
      <c r="AM860" t="str">
        <f t="shared" si="1189"/>
        <v/>
      </c>
      <c r="AN860" t="str">
        <f t="shared" si="1190"/>
        <v/>
      </c>
      <c r="AO860" s="118" t="str">
        <f t="shared" si="1191"/>
        <v/>
      </c>
      <c r="AP860" s="118" t="str">
        <f t="shared" si="1192"/>
        <v/>
      </c>
      <c r="AQ860" s="119" t="str">
        <f>+IF(OR($W860="",AO860=0),"",ROUND((VLOOKUP(ROUNDDOWN($D860-1/frec,0),cob_adi,Z$40,FALSE)*(1+i/frec)^-0.5*(1+Parámetros!$D$103)*(1+rec_fracc)/frec),6))</f>
        <v/>
      </c>
      <c r="AR860" s="66" t="str">
        <f t="shared" si="1148"/>
        <v/>
      </c>
      <c r="AS860" s="119" t="str">
        <f t="shared" si="1149"/>
        <v/>
      </c>
      <c r="AT860" s="66" t="str">
        <f>+IF($W860="","",ROUND(IF($B860&gt;Parámetros!$D$107,'Tablas Servicio'!AR860+('Tablas Servicio'!AT859-'Tablas Servicio'!AR859),AR860/(1-IF(B860&lt;=10,Parámetros!$D$100,0))),2))</f>
        <v/>
      </c>
      <c r="AU860" s="66" t="str">
        <f t="shared" si="1218"/>
        <v/>
      </c>
      <c r="AV860" s="66" t="str">
        <f t="shared" si="1218"/>
        <v/>
      </c>
      <c r="AW860" s="66" t="str">
        <f>+IF($W860="","",ROUND((AT860*Parámetros!$G$85),2))</f>
        <v/>
      </c>
      <c r="AX860" s="66" t="str">
        <f>+IF($W860="","",ROUND((AT860*(Parámetros!$G$86)),2))</f>
        <v/>
      </c>
      <c r="AY860" s="66" t="str">
        <f t="shared" si="1151"/>
        <v/>
      </c>
      <c r="AZ860" t="str">
        <f t="shared" si="1193"/>
        <v/>
      </c>
      <c r="BA860" t="str">
        <f t="shared" si="1194"/>
        <v/>
      </c>
      <c r="BB860" s="118" t="str">
        <f t="shared" si="1195"/>
        <v/>
      </c>
      <c r="BC860" s="118" t="str">
        <f t="shared" si="1196"/>
        <v/>
      </c>
      <c r="BD860" s="119" t="str">
        <f>+IF(OR($W860="",BB860=0),"",ROUND((VLOOKUP(ROUNDDOWN($D860-1/frec,0),cob_adi,AO$40,FALSE)*(1+i/frec)^-0.5*(1+Parámetros!$D$103)*(1+rec_fracc)/frec),6))</f>
        <v/>
      </c>
      <c r="BE860" s="66" t="str">
        <f t="shared" si="1152"/>
        <v/>
      </c>
      <c r="BF860" s="119" t="str">
        <f t="shared" si="1153"/>
        <v/>
      </c>
      <c r="BG860" s="66" t="str">
        <f>+IF($W860="","",ROUND(IF($B860&gt;Parámetros!$D$107,'Tablas Servicio'!BE860+('Tablas Servicio'!BG859-'Tablas Servicio'!BE859),BE860/(1-IF(B860&lt;=10,Parámetros!$D$100,0))),2))</f>
        <v/>
      </c>
      <c r="BH860" s="66" t="str">
        <f t="shared" si="1154"/>
        <v/>
      </c>
      <c r="BI860" s="66" t="str">
        <f t="shared" si="1155"/>
        <v/>
      </c>
      <c r="BJ860" s="66" t="str">
        <f>+IF($W860="","",ROUND((BG860*Parámetros!$G$85),2))</f>
        <v/>
      </c>
      <c r="BK860" s="66" t="str">
        <f>+IF($W860="","",ROUND((BG860*(Parámetros!$G$86)),2))</f>
        <v/>
      </c>
      <c r="BL860" s="66" t="str">
        <f t="shared" si="1156"/>
        <v/>
      </c>
      <c r="BM860" t="str">
        <f t="shared" si="1197"/>
        <v/>
      </c>
      <c r="BN860" t="str">
        <f t="shared" si="1198"/>
        <v/>
      </c>
      <c r="BO860" s="118" t="str">
        <f t="shared" si="1199"/>
        <v/>
      </c>
      <c r="BP860" s="118" t="str">
        <f t="shared" si="1200"/>
        <v/>
      </c>
      <c r="BQ860" s="119" t="str">
        <f>+IF(OR($W860="",BO860=0),"",ROUND((VLOOKUP(ROUNDDOWN($D860-1/frec,0),cob_adi,BB$40,FALSE)*(1+i/frec)^-0.5*(1+Parámetros!$D$103)*(1+rec_fracc)/frec),6))</f>
        <v/>
      </c>
      <c r="BR860" s="66" t="str">
        <f t="shared" si="1157"/>
        <v/>
      </c>
      <c r="BS860" s="119" t="str">
        <f t="shared" si="1158"/>
        <v/>
      </c>
      <c r="BT860" s="66" t="str">
        <f>+IF($W860="","",ROUND(IF($B860&gt;Parámetros!$D$107,'Tablas Servicio'!BR860+('Tablas Servicio'!BT859-'Tablas Servicio'!BR859),BR860/(1-IF(B860&lt;=10,Parámetros!$D$100,0))),2))</f>
        <v/>
      </c>
      <c r="BU860" s="66" t="str">
        <f t="shared" si="1219"/>
        <v/>
      </c>
      <c r="BV860" s="66" t="str">
        <f t="shared" si="1219"/>
        <v/>
      </c>
      <c r="BW860" s="66" t="str">
        <f>+IF($W860="","",ROUND((BT860*Parámetros!$G$85),2))</f>
        <v/>
      </c>
      <c r="BX860" s="66" t="str">
        <f>+IF($W860="","",ROUND((BT860*(Parámetros!$G$86)),2))</f>
        <v/>
      </c>
      <c r="BY860" s="66" t="str">
        <f t="shared" si="1160"/>
        <v/>
      </c>
      <c r="BZ860" t="str">
        <f t="shared" si="1201"/>
        <v/>
      </c>
      <c r="CA860" t="str">
        <f t="shared" si="1202"/>
        <v/>
      </c>
      <c r="CB860" s="118" t="str">
        <f t="shared" si="1203"/>
        <v/>
      </c>
      <c r="CC860" s="118" t="str">
        <f t="shared" si="1204"/>
        <v/>
      </c>
      <c r="CD860" s="119" t="str">
        <f t="shared" si="1161"/>
        <v/>
      </c>
      <c r="CE860" s="66" t="str">
        <f>+IF($W860="","",ROUND((VLOOKUP(ROUNDDOWN($D860-1/frec,0),cob_adi,BO$40,FALSE)*(1+i/frec)^-0.5*(1+Parámetros!$D$103)*(1+rec_fracc)/frec*'TABLAS ADI'!$BC$17),2))</f>
        <v/>
      </c>
      <c r="CF860" s="119" t="str">
        <f t="shared" si="1162"/>
        <v/>
      </c>
      <c r="CG860" s="66" t="str">
        <f>+IF($W860="","",ROUND(IF($B860&gt;Parámetros!$D$107,'Tablas Servicio'!CE860+('Tablas Servicio'!CG859-'Tablas Servicio'!CE859),CE860/(1-IF(B860&lt;=10,Parámetros!$D$100,0))),2))</f>
        <v/>
      </c>
      <c r="CH860" s="66" t="str">
        <f t="shared" si="1220"/>
        <v/>
      </c>
      <c r="CI860" s="66" t="str">
        <f t="shared" si="1220"/>
        <v/>
      </c>
      <c r="CJ860" s="66" t="str">
        <f>+IF($W860="","",ROUND((CG860*Parámetros!$G$85),2))</f>
        <v/>
      </c>
      <c r="CK860" s="66" t="str">
        <f>+IF($W860="","",ROUND((CG860*(Parámetros!$G$86)),2))</f>
        <v/>
      </c>
      <c r="CL860" s="66" t="str">
        <f t="shared" si="1164"/>
        <v/>
      </c>
      <c r="CM860" t="str">
        <f t="shared" si="1205"/>
        <v/>
      </c>
      <c r="CN860" s="118" t="str">
        <f t="shared" si="1206"/>
        <v/>
      </c>
      <c r="CO860" s="118" t="str">
        <f t="shared" si="1207"/>
        <v/>
      </c>
      <c r="CP860" s="118" t="str">
        <f t="shared" si="1208"/>
        <v/>
      </c>
      <c r="CQ860" s="119" t="str">
        <f t="shared" si="1165"/>
        <v/>
      </c>
      <c r="CR860" s="66" t="str">
        <f>+IF($W860="","",ROUND((VLOOKUP(Parámetros!$F$51,'COBERTURAS ADICIONALES'!$S$4:$T$32,2,FALSE)*(1+i/frec)^-0.5*(1+Parámetros!$D$103)*(1+rec_fracc)/frec*$CO$42),2))</f>
        <v/>
      </c>
      <c r="CS860" s="119" t="str">
        <f t="shared" si="1166"/>
        <v/>
      </c>
      <c r="CT860" s="66" t="str">
        <f>+IF($W860="","",ROUND(IF($B860&gt;Parámetros!$D$107,'Tablas Servicio'!CR860+('Tablas Servicio'!CT859-'Tablas Servicio'!CR859),CR860/(1-IF(B860&lt;=10,Parámetros!$D$100,0))),2))</f>
        <v/>
      </c>
      <c r="CU860" s="66" t="str">
        <f t="shared" si="1221"/>
        <v/>
      </c>
      <c r="CV860" s="66" t="str">
        <f t="shared" si="1221"/>
        <v/>
      </c>
      <c r="CW860" s="66" t="str">
        <f>+IF($W860="","",ROUND((CT860*Parámetros!$G$85),2))</f>
        <v/>
      </c>
      <c r="CX860" s="66" t="str">
        <f>+IF($W860="","",ROUND((CT860*(Parámetros!$G$86)),2))</f>
        <v/>
      </c>
      <c r="CY860" s="66" t="str">
        <f t="shared" si="1168"/>
        <v/>
      </c>
      <c r="CZ860" t="str">
        <f t="shared" si="1209"/>
        <v/>
      </c>
      <c r="DA860" s="118" t="str">
        <f t="shared" si="1210"/>
        <v/>
      </c>
      <c r="DB860" s="118" t="str">
        <f t="shared" si="1211"/>
        <v/>
      </c>
      <c r="DC860" s="118" t="str">
        <f t="shared" si="1212"/>
        <v/>
      </c>
      <c r="DD860" s="121" t="str">
        <f>+IF(OR($W860="",DB860=0),"",ROUND((VLOOKUP(ROUNDDOWN($D860-1/frec,0),cob_adi,CO$40,FALSE)*(1+i/frec)^-0.5*(1+Parámetros!$D$103)*(1+rec_fracc)/frec),6))</f>
        <v/>
      </c>
      <c r="DE860" s="66" t="str">
        <f t="shared" si="1169"/>
        <v/>
      </c>
      <c r="DF860" s="119" t="str">
        <f t="shared" si="1170"/>
        <v/>
      </c>
      <c r="DG860" s="66" t="str">
        <f>+IF($W860="","",ROUND(IF($B860&gt;Parámetros!$D$107,'Tablas Servicio'!DE860+('Tablas Servicio'!DG859-'Tablas Servicio'!DE859),DE860/(1-IF(B860&lt;=10,Parámetros!$D$100,0))),2))</f>
        <v/>
      </c>
      <c r="DH860" s="66" t="str">
        <f t="shared" si="1222"/>
        <v/>
      </c>
      <c r="DI860" s="66" t="str">
        <f t="shared" si="1222"/>
        <v/>
      </c>
      <c r="DJ860" s="66" t="str">
        <f>+IF($W860="","",ROUND((DG860*Parámetros!$G$85),2))</f>
        <v/>
      </c>
      <c r="DK860" s="66" t="str">
        <f>+IF($W860="","",ROUND((DG860*(Parámetros!$G$86)),2))</f>
        <v/>
      </c>
      <c r="DL860" s="66" t="str">
        <f t="shared" si="1172"/>
        <v/>
      </c>
      <c r="DM860" t="str">
        <f t="shared" si="1213"/>
        <v/>
      </c>
      <c r="DN860" s="118" t="str">
        <f t="shared" si="1214"/>
        <v/>
      </c>
      <c r="DO860" s="118" t="str">
        <f t="shared" si="1215"/>
        <v/>
      </c>
      <c r="DP860" s="118" t="str">
        <f t="shared" si="1216"/>
        <v/>
      </c>
      <c r="DQ860" s="122" t="str">
        <f>+IF(OR($W860="",DO860=0),"",ROUND((VLOOKUP(ROUNDDOWN($D860-1/frec,0),cob_adi,DB$40,FALSE)*(1+i/frec)^-0.5*(1+Parámetros!$D$103)*(1+rec_fracc)/frec),6))</f>
        <v/>
      </c>
      <c r="DR860" s="66" t="str">
        <f t="shared" si="1173"/>
        <v/>
      </c>
      <c r="DS860" s="68" t="str">
        <f t="shared" si="1174"/>
        <v/>
      </c>
      <c r="DT860" s="66" t="str">
        <f>+IF($W860="","",ROUND(IF($B860&gt;Parámetros!$D$107,'Tablas Servicio'!DR860+('Tablas Servicio'!DT859-'Tablas Servicio'!DR859),DR860/(1-IF(B860&lt;=10,Parámetros!$D$100,0))),2))</f>
        <v/>
      </c>
      <c r="DU860" s="66" t="str">
        <f t="shared" si="1223"/>
        <v/>
      </c>
      <c r="DV860" s="66" t="str">
        <f t="shared" si="1223"/>
        <v/>
      </c>
      <c r="DW860" s="66" t="str">
        <f>+IF($W860="","",ROUND((DT860*Parámetros!$G$85),2))</f>
        <v/>
      </c>
      <c r="DX860" s="66" t="str">
        <f>+IF($W860="","",ROUND((DT860*(Parámetros!$G$86)),2))</f>
        <v/>
      </c>
      <c r="DY860" s="66" t="str">
        <f t="shared" si="1176"/>
        <v/>
      </c>
      <c r="DZ860" t="str">
        <f t="shared" si="1226"/>
        <v/>
      </c>
      <c r="EA860" s="118" t="str">
        <f t="shared" si="1226"/>
        <v/>
      </c>
      <c r="EB860" s="118" t="str">
        <f>+IF($W860="","",ROUND(IF(Parámetros!$D$25='TABLAS MORT'!$V$33,EB859,Z860/2),0))</f>
        <v/>
      </c>
      <c r="EC860" s="118" t="str">
        <f t="shared" si="1226"/>
        <v/>
      </c>
      <c r="ED860" s="122" t="str">
        <f>+IF(OR($W860="",EB860=0),"",ROUND((VLOOKUP(ROUNDDOWN($D860-1/frec,0),cob_adi,DO$40,FALSE)*(1+i/frec)^-0.5*(1+Parámetros!$D$103)*(1+rec_fracc)/frec),6))</f>
        <v/>
      </c>
      <c r="EE860" s="66" t="str">
        <f t="shared" si="1178"/>
        <v/>
      </c>
      <c r="EF860" s="68" t="str">
        <f t="shared" si="1179"/>
        <v/>
      </c>
      <c r="EG860" s="66" t="str">
        <f>+IF($W860="","",ROUND(IF($B860&gt;Parámetros!$D$107,'Tablas Servicio'!EE860+('Tablas Servicio'!EG859-'Tablas Servicio'!EE859),EE860/(1-IF(B860&lt;=10,Parámetros!$D$100,0))),2))</f>
        <v/>
      </c>
      <c r="EH860" s="66" t="str">
        <f t="shared" si="1225"/>
        <v/>
      </c>
      <c r="EI860" s="66" t="str">
        <f t="shared" si="1225"/>
        <v/>
      </c>
      <c r="EJ860" s="66" t="str">
        <f>+IF($W860="","",ROUND((EG860*Parámetros!$G$85),2))</f>
        <v/>
      </c>
      <c r="EK860" s="66" t="str">
        <f>+IF($W860="","",ROUND((EG860*(Parámetros!$G$86)),2))</f>
        <v/>
      </c>
      <c r="EL860" s="66" t="str">
        <f t="shared" si="1181"/>
        <v/>
      </c>
    </row>
    <row r="861" spans="1:142" x14ac:dyDescent="0.25">
      <c r="A861" t="str">
        <f>+IF($C861="","",ROUND(VLOOKUP('Tablas Servicio'!B861,Parámetros!$H$100:$J$159,IF(Parámetros!$E$16="F",2,3),FALSE),2))</f>
        <v/>
      </c>
      <c r="B861" t="str">
        <f t="shared" si="1132"/>
        <v/>
      </c>
      <c r="C861" s="57" t="str">
        <f>+IF(D861="","",'Tablas Servicio'!C860+1)</f>
        <v/>
      </c>
      <c r="D861" s="56" t="str">
        <f>+IF(D860&lt;edadmaxtabla,D860+1/Parámetros!$E$25,"")</f>
        <v/>
      </c>
      <c r="E861" s="57" t="str">
        <f t="shared" si="1142"/>
        <v/>
      </c>
      <c r="F861" s="59" t="str">
        <f t="shared" si="1143"/>
        <v/>
      </c>
      <c r="G861" s="66" t="str">
        <f t="shared" si="1133"/>
        <v/>
      </c>
      <c r="H861" s="66" t="str">
        <f t="shared" si="1134"/>
        <v/>
      </c>
      <c r="I861" s="66" t="str">
        <f t="shared" si="1182"/>
        <v/>
      </c>
      <c r="J861" s="66" t="str">
        <f t="shared" si="1135"/>
        <v/>
      </c>
      <c r="K861" s="66" t="str">
        <f t="shared" si="1136"/>
        <v/>
      </c>
      <c r="L861" s="66" t="str">
        <f t="shared" si="1137"/>
        <v/>
      </c>
      <c r="M861" s="66" t="str">
        <f t="shared" si="1138"/>
        <v/>
      </c>
      <c r="N861" s="66" t="str">
        <f>+IF(C861="","",ROUND(Parámetros!$D$23,2))</f>
        <v/>
      </c>
      <c r="O861" s="66" t="str">
        <f t="shared" si="1139"/>
        <v/>
      </c>
      <c r="P861" s="66" t="str">
        <f>+IF($C861="","",ROUND(IF(B861&gt;Parámetros!$D$117,0,N861*Parámetros!$D$116-G861*Parámetros!$D$100),2))</f>
        <v/>
      </c>
      <c r="Q861" s="75" t="str">
        <f t="shared" si="1183"/>
        <v/>
      </c>
      <c r="R861" s="75" t="str">
        <f t="shared" si="1184"/>
        <v/>
      </c>
      <c r="S861" s="117" t="str">
        <f>+IF($C861="","",ROUND((S860+I861)*(1+Parámetros!$D$91),2))</f>
        <v/>
      </c>
      <c r="T861" s="117" t="str">
        <f>+IF($C861="","",ROUND(S861*VLOOKUP(B861,Parámetros!$C$30:$D$39,2,TRUE),2))</f>
        <v/>
      </c>
      <c r="U861" s="117" t="str">
        <f>+IF($C861="","",ROUND((U860+I861)*(1+Parámetros!$D$92),2))</f>
        <v/>
      </c>
      <c r="V861" s="117" t="str">
        <f>+IF($C861="","",ROUND(U861*VLOOKUP(B861,Parámetros!$C$30:$D$39,2,TRUE),2))</f>
        <v/>
      </c>
      <c r="W861" s="57" t="str">
        <f t="shared" si="1185"/>
        <v/>
      </c>
      <c r="X861" t="str">
        <f t="shared" si="1186"/>
        <v/>
      </c>
      <c r="Y861" t="str">
        <f t="shared" si="1187"/>
        <v/>
      </c>
      <c r="Z861" s="118" t="str">
        <f>+IF($W861="","",ROUND(IF(Parámetros!$D$25='TABLAS MORT'!$V$33,Z860,Parámetros!$D$21-'Tablas Servicio'!T860),0))</f>
        <v/>
      </c>
      <c r="AA861" s="118" t="str">
        <f t="shared" si="1188"/>
        <v/>
      </c>
      <c r="AB861" s="119" t="str">
        <f>+IF(W861="","",ROUND((VLOOKUP(ROUNDDOWN($D861-1/frec,0),qx_tabla,2,FALSE)*(1+i/frec)^-0.5*(1+Parámetros!$D$103)*(1+rec_fracc)/frec),6))</f>
        <v/>
      </c>
      <c r="AC861" s="66" t="str">
        <f t="shared" si="1144"/>
        <v/>
      </c>
      <c r="AD861" s="119" t="str">
        <f t="shared" si="1140"/>
        <v/>
      </c>
      <c r="AE861" s="66" t="str">
        <f>+IF($W861="","",ROUND(IF($B861&gt;Parámetros!$D$107,'Tablas Servicio'!AC861+('Tablas Servicio'!AG860-'Tablas Servicio'!AC860),AC861/(1-IF(B861&lt;=10,Parámetros!$D$104,Parámetros!$D$105))),2))</f>
        <v/>
      </c>
      <c r="AF861" s="66" t="str">
        <f>+IF($W861="","",ROUND(IF($B861&gt;Parámetros!$D$107,'Tablas Servicio'!AC861+('Tablas Servicio'!AG860-'Tablas Servicio'!AC860),(AC861+$A860/frec)/(1-IF(B861&lt;=Parámetros!$D$117,Parámetros!$D$100,0))),2))</f>
        <v/>
      </c>
      <c r="AG861" s="66" t="str">
        <f t="shared" si="1145"/>
        <v/>
      </c>
      <c r="AH861" s="66" t="str">
        <f t="shared" si="1146"/>
        <v/>
      </c>
      <c r="AI861" s="66" t="str">
        <f t="shared" si="1147"/>
        <v/>
      </c>
      <c r="AJ861" s="66" t="str">
        <f>+IF($W861="","",ROUND((AG861*Parámetros!$G$85),2))</f>
        <v/>
      </c>
      <c r="AK861" s="66" t="str">
        <f>+IF($W861="","",ROUND((AG861*(Parámetros!$G$86)),2))</f>
        <v/>
      </c>
      <c r="AL861" s="66" t="str">
        <f t="shared" si="1141"/>
        <v/>
      </c>
      <c r="AM861" t="str">
        <f t="shared" si="1189"/>
        <v/>
      </c>
      <c r="AN861" t="str">
        <f t="shared" si="1190"/>
        <v/>
      </c>
      <c r="AO861" s="118" t="str">
        <f t="shared" si="1191"/>
        <v/>
      </c>
      <c r="AP861" s="118" t="str">
        <f t="shared" si="1192"/>
        <v/>
      </c>
      <c r="AQ861" s="119" t="str">
        <f>+IF(OR($W861="",AO861=0),"",ROUND((VLOOKUP(ROUNDDOWN($D861-1/frec,0),cob_adi,Z$40,FALSE)*(1+i/frec)^-0.5*(1+Parámetros!$D$103)*(1+rec_fracc)/frec),6))</f>
        <v/>
      </c>
      <c r="AR861" s="66" t="str">
        <f t="shared" si="1148"/>
        <v/>
      </c>
      <c r="AS861" s="119" t="str">
        <f t="shared" si="1149"/>
        <v/>
      </c>
      <c r="AT861" s="66" t="str">
        <f>+IF($W861="","",ROUND(IF($B861&gt;Parámetros!$D$107,'Tablas Servicio'!AR861+('Tablas Servicio'!AT860-'Tablas Servicio'!AR860),AR861/(1-IF(B861&lt;=10,Parámetros!$D$100,0))),2))</f>
        <v/>
      </c>
      <c r="AU861" s="66" t="str">
        <f t="shared" si="1218"/>
        <v/>
      </c>
      <c r="AV861" s="66" t="str">
        <f t="shared" si="1218"/>
        <v/>
      </c>
      <c r="AW861" s="66" t="str">
        <f>+IF($W861="","",ROUND((AT861*Parámetros!$G$85),2))</f>
        <v/>
      </c>
      <c r="AX861" s="66" t="str">
        <f>+IF($W861="","",ROUND((AT861*(Parámetros!$G$86)),2))</f>
        <v/>
      </c>
      <c r="AY861" s="66" t="str">
        <f t="shared" si="1151"/>
        <v/>
      </c>
      <c r="AZ861" t="str">
        <f t="shared" si="1193"/>
        <v/>
      </c>
      <c r="BA861" t="str">
        <f t="shared" si="1194"/>
        <v/>
      </c>
      <c r="BB861" s="118" t="str">
        <f t="shared" si="1195"/>
        <v/>
      </c>
      <c r="BC861" s="118" t="str">
        <f t="shared" si="1196"/>
        <v/>
      </c>
      <c r="BD861" s="119" t="str">
        <f>+IF(OR($W861="",BB861=0),"",ROUND((VLOOKUP(ROUNDDOWN($D861-1/frec,0),cob_adi,AO$40,FALSE)*(1+i/frec)^-0.5*(1+Parámetros!$D$103)*(1+rec_fracc)/frec),6))</f>
        <v/>
      </c>
      <c r="BE861" s="66" t="str">
        <f t="shared" si="1152"/>
        <v/>
      </c>
      <c r="BF861" s="119" t="str">
        <f t="shared" si="1153"/>
        <v/>
      </c>
      <c r="BG861" s="66" t="str">
        <f>+IF($W861="","",ROUND(IF($B861&gt;Parámetros!$D$107,'Tablas Servicio'!BE861+('Tablas Servicio'!BG860-'Tablas Servicio'!BE860),BE861/(1-IF(B861&lt;=10,Parámetros!$D$100,0))),2))</f>
        <v/>
      </c>
      <c r="BH861" s="66" t="str">
        <f t="shared" si="1154"/>
        <v/>
      </c>
      <c r="BI861" s="66" t="str">
        <f t="shared" si="1155"/>
        <v/>
      </c>
      <c r="BJ861" s="66" t="str">
        <f>+IF($W861="","",ROUND((BG861*Parámetros!$G$85),2))</f>
        <v/>
      </c>
      <c r="BK861" s="66" t="str">
        <f>+IF($W861="","",ROUND((BG861*(Parámetros!$G$86)),2))</f>
        <v/>
      </c>
      <c r="BL861" s="66" t="str">
        <f t="shared" si="1156"/>
        <v/>
      </c>
      <c r="BM861" t="str">
        <f t="shared" si="1197"/>
        <v/>
      </c>
      <c r="BN861" t="str">
        <f t="shared" si="1198"/>
        <v/>
      </c>
      <c r="BO861" s="118" t="str">
        <f t="shared" si="1199"/>
        <v/>
      </c>
      <c r="BP861" s="118" t="str">
        <f t="shared" si="1200"/>
        <v/>
      </c>
      <c r="BQ861" s="119" t="str">
        <f>+IF(OR($W861="",BO861=0),"",ROUND((VLOOKUP(ROUNDDOWN($D861-1/frec,0),cob_adi,BB$40,FALSE)*(1+i/frec)^-0.5*(1+Parámetros!$D$103)*(1+rec_fracc)/frec),6))</f>
        <v/>
      </c>
      <c r="BR861" s="66" t="str">
        <f t="shared" si="1157"/>
        <v/>
      </c>
      <c r="BS861" s="119" t="str">
        <f t="shared" si="1158"/>
        <v/>
      </c>
      <c r="BT861" s="66" t="str">
        <f>+IF($W861="","",ROUND(IF($B861&gt;Parámetros!$D$107,'Tablas Servicio'!BR861+('Tablas Servicio'!BT860-'Tablas Servicio'!BR860),BR861/(1-IF(B861&lt;=10,Parámetros!$D$100,0))),2))</f>
        <v/>
      </c>
      <c r="BU861" s="66" t="str">
        <f t="shared" si="1219"/>
        <v/>
      </c>
      <c r="BV861" s="66" t="str">
        <f t="shared" si="1219"/>
        <v/>
      </c>
      <c r="BW861" s="66" t="str">
        <f>+IF($W861="","",ROUND((BT861*Parámetros!$G$85),2))</f>
        <v/>
      </c>
      <c r="BX861" s="66" t="str">
        <f>+IF($W861="","",ROUND((BT861*(Parámetros!$G$86)),2))</f>
        <v/>
      </c>
      <c r="BY861" s="66" t="str">
        <f t="shared" si="1160"/>
        <v/>
      </c>
      <c r="BZ861" t="str">
        <f t="shared" si="1201"/>
        <v/>
      </c>
      <c r="CA861" t="str">
        <f t="shared" si="1202"/>
        <v/>
      </c>
      <c r="CB861" s="118" t="str">
        <f t="shared" si="1203"/>
        <v/>
      </c>
      <c r="CC861" s="118" t="str">
        <f t="shared" si="1204"/>
        <v/>
      </c>
      <c r="CD861" s="119" t="str">
        <f t="shared" si="1161"/>
        <v/>
      </c>
      <c r="CE861" s="66" t="str">
        <f>+IF($W861="","",ROUND((VLOOKUP(ROUNDDOWN($D861-1/frec,0),cob_adi,BO$40,FALSE)*(1+i/frec)^-0.5*(1+Parámetros!$D$103)*(1+rec_fracc)/frec*'TABLAS ADI'!$BC$17),2))</f>
        <v/>
      </c>
      <c r="CF861" s="119" t="str">
        <f t="shared" si="1162"/>
        <v/>
      </c>
      <c r="CG861" s="66" t="str">
        <f>+IF($W861="","",ROUND(IF($B861&gt;Parámetros!$D$107,'Tablas Servicio'!CE861+('Tablas Servicio'!CG860-'Tablas Servicio'!CE860),CE861/(1-IF(B861&lt;=10,Parámetros!$D$100,0))),2))</f>
        <v/>
      </c>
      <c r="CH861" s="66" t="str">
        <f t="shared" si="1220"/>
        <v/>
      </c>
      <c r="CI861" s="66" t="str">
        <f t="shared" si="1220"/>
        <v/>
      </c>
      <c r="CJ861" s="66" t="str">
        <f>+IF($W861="","",ROUND((CG861*Parámetros!$G$85),2))</f>
        <v/>
      </c>
      <c r="CK861" s="66" t="str">
        <f>+IF($W861="","",ROUND((CG861*(Parámetros!$G$86)),2))</f>
        <v/>
      </c>
      <c r="CL861" s="66" t="str">
        <f t="shared" si="1164"/>
        <v/>
      </c>
      <c r="CM861" t="str">
        <f t="shared" si="1205"/>
        <v/>
      </c>
      <c r="CN861" s="118" t="str">
        <f t="shared" si="1206"/>
        <v/>
      </c>
      <c r="CO861" s="118" t="str">
        <f t="shared" si="1207"/>
        <v/>
      </c>
      <c r="CP861" s="118" t="str">
        <f t="shared" si="1208"/>
        <v/>
      </c>
      <c r="CQ861" s="119" t="str">
        <f t="shared" si="1165"/>
        <v/>
      </c>
      <c r="CR861" s="66" t="str">
        <f>+IF($W861="","",ROUND((VLOOKUP(Parámetros!$F$51,'COBERTURAS ADICIONALES'!$S$4:$T$32,2,FALSE)*(1+i/frec)^-0.5*(1+Parámetros!$D$103)*(1+rec_fracc)/frec*$CO$42),2))</f>
        <v/>
      </c>
      <c r="CS861" s="119" t="str">
        <f t="shared" si="1166"/>
        <v/>
      </c>
      <c r="CT861" s="66" t="str">
        <f>+IF($W861="","",ROUND(IF($B861&gt;Parámetros!$D$107,'Tablas Servicio'!CR861+('Tablas Servicio'!CT860-'Tablas Servicio'!CR860),CR861/(1-IF(B861&lt;=10,Parámetros!$D$100,0))),2))</f>
        <v/>
      </c>
      <c r="CU861" s="66" t="str">
        <f t="shared" si="1221"/>
        <v/>
      </c>
      <c r="CV861" s="66" t="str">
        <f t="shared" si="1221"/>
        <v/>
      </c>
      <c r="CW861" s="66" t="str">
        <f>+IF($W861="","",ROUND((CT861*Parámetros!$G$85),2))</f>
        <v/>
      </c>
      <c r="CX861" s="66" t="str">
        <f>+IF($W861="","",ROUND((CT861*(Parámetros!$G$86)),2))</f>
        <v/>
      </c>
      <c r="CY861" s="66" t="str">
        <f t="shared" si="1168"/>
        <v/>
      </c>
      <c r="CZ861" t="str">
        <f t="shared" si="1209"/>
        <v/>
      </c>
      <c r="DA861" s="118" t="str">
        <f t="shared" si="1210"/>
        <v/>
      </c>
      <c r="DB861" s="118" t="str">
        <f t="shared" si="1211"/>
        <v/>
      </c>
      <c r="DC861" s="118" t="str">
        <f t="shared" si="1212"/>
        <v/>
      </c>
      <c r="DD861" s="121" t="str">
        <f>+IF(OR($W861="",DB861=0),"",ROUND((VLOOKUP(ROUNDDOWN($D861-1/frec,0),cob_adi,CO$40,FALSE)*(1+i/frec)^-0.5*(1+Parámetros!$D$103)*(1+rec_fracc)/frec),6))</f>
        <v/>
      </c>
      <c r="DE861" s="66" t="str">
        <f t="shared" si="1169"/>
        <v/>
      </c>
      <c r="DF861" s="119" t="str">
        <f t="shared" si="1170"/>
        <v/>
      </c>
      <c r="DG861" s="66" t="str">
        <f>+IF($W861="","",ROUND(IF($B861&gt;Parámetros!$D$107,'Tablas Servicio'!DE861+('Tablas Servicio'!DG860-'Tablas Servicio'!DE860),DE861/(1-IF(B861&lt;=10,Parámetros!$D$100,0))),2))</f>
        <v/>
      </c>
      <c r="DH861" s="66" t="str">
        <f t="shared" si="1222"/>
        <v/>
      </c>
      <c r="DI861" s="66" t="str">
        <f t="shared" si="1222"/>
        <v/>
      </c>
      <c r="DJ861" s="66" t="str">
        <f>+IF($W861="","",ROUND((DG861*Parámetros!$G$85),2))</f>
        <v/>
      </c>
      <c r="DK861" s="66" t="str">
        <f>+IF($W861="","",ROUND((DG861*(Parámetros!$G$86)),2))</f>
        <v/>
      </c>
      <c r="DL861" s="66" t="str">
        <f t="shared" si="1172"/>
        <v/>
      </c>
      <c r="DM861" t="str">
        <f t="shared" si="1213"/>
        <v/>
      </c>
      <c r="DN861" s="118" t="str">
        <f t="shared" si="1214"/>
        <v/>
      </c>
      <c r="DO861" s="118" t="str">
        <f t="shared" si="1215"/>
        <v/>
      </c>
      <c r="DP861" s="118" t="str">
        <f t="shared" si="1216"/>
        <v/>
      </c>
      <c r="DQ861" s="122" t="str">
        <f>+IF(OR($W861="",DO861=0),"",ROUND((VLOOKUP(ROUNDDOWN($D861-1/frec,0),cob_adi,DB$40,FALSE)*(1+i/frec)^-0.5*(1+Parámetros!$D$103)*(1+rec_fracc)/frec),6))</f>
        <v/>
      </c>
      <c r="DR861" s="66" t="str">
        <f t="shared" si="1173"/>
        <v/>
      </c>
      <c r="DS861" s="68" t="str">
        <f t="shared" si="1174"/>
        <v/>
      </c>
      <c r="DT861" s="66" t="str">
        <f>+IF($W861="","",ROUND(IF($B861&gt;Parámetros!$D$107,'Tablas Servicio'!DR861+('Tablas Servicio'!DT860-'Tablas Servicio'!DR860),DR861/(1-IF(B861&lt;=10,Parámetros!$D$100,0))),2))</f>
        <v/>
      </c>
      <c r="DU861" s="66" t="str">
        <f t="shared" si="1223"/>
        <v/>
      </c>
      <c r="DV861" s="66" t="str">
        <f t="shared" si="1223"/>
        <v/>
      </c>
      <c r="DW861" s="66" t="str">
        <f>+IF($W861="","",ROUND((DT861*Parámetros!$G$85),2))</f>
        <v/>
      </c>
      <c r="DX861" s="66" t="str">
        <f>+IF($W861="","",ROUND((DT861*(Parámetros!$G$86)),2))</f>
        <v/>
      </c>
      <c r="DY861" s="66" t="str">
        <f t="shared" si="1176"/>
        <v/>
      </c>
      <c r="DZ861" t="str">
        <f t="shared" si="1226"/>
        <v/>
      </c>
      <c r="EA861" s="118" t="str">
        <f t="shared" si="1226"/>
        <v/>
      </c>
      <c r="EB861" s="118" t="str">
        <f>+IF($W861="","",ROUND(IF(Parámetros!$D$25='TABLAS MORT'!$V$33,EB860,Z861/2),0))</f>
        <v/>
      </c>
      <c r="EC861" s="118" t="str">
        <f t="shared" si="1226"/>
        <v/>
      </c>
      <c r="ED861" s="122" t="str">
        <f>+IF(OR($W861="",EB861=0),"",ROUND((VLOOKUP(ROUNDDOWN($D861-1/frec,0),cob_adi,DO$40,FALSE)*(1+i/frec)^-0.5*(1+Parámetros!$D$103)*(1+rec_fracc)/frec),6))</f>
        <v/>
      </c>
      <c r="EE861" s="66" t="str">
        <f t="shared" si="1178"/>
        <v/>
      </c>
      <c r="EF861" s="68" t="str">
        <f t="shared" si="1179"/>
        <v/>
      </c>
      <c r="EG861" s="66" t="str">
        <f>+IF($W861="","",ROUND(IF($B861&gt;Parámetros!$D$107,'Tablas Servicio'!EE861+('Tablas Servicio'!EG860-'Tablas Servicio'!EE860),EE861/(1-IF(B861&lt;=10,Parámetros!$D$100,0))),2))</f>
        <v/>
      </c>
      <c r="EH861" s="66" t="str">
        <f t="shared" si="1225"/>
        <v/>
      </c>
      <c r="EI861" s="66" t="str">
        <f t="shared" si="1225"/>
        <v/>
      </c>
      <c r="EJ861" s="66" t="str">
        <f>+IF($W861="","",ROUND((EG861*Parámetros!$G$85),2))</f>
        <v/>
      </c>
      <c r="EK861" s="66" t="str">
        <f>+IF($W861="","",ROUND((EG861*(Parámetros!$G$86)),2))</f>
        <v/>
      </c>
      <c r="EL861" s="66" t="str">
        <f t="shared" si="1181"/>
        <v/>
      </c>
    </row>
    <row r="864" spans="1:142" x14ac:dyDescent="0.25">
      <c r="AG864" s="66"/>
    </row>
  </sheetData>
  <autoFilter ref="B41:DY861"/>
  <phoneticPr fontId="15" type="noConversion"/>
  <pageMargins left="0.7" right="0.7" top="0.75" bottom="0.75" header="0.3" footer="0.3"/>
  <ignoredErrors>
    <ignoredError sqref="L30:L37 Z43:Z861 EB43:EB861" formula="1"/>
    <ignoredError sqref="D36:D3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E52"/>
  <sheetViews>
    <sheetView zoomScaleNormal="100" workbookViewId="0">
      <selection activeCell="H15" sqref="H15"/>
    </sheetView>
  </sheetViews>
  <sheetFormatPr baseColWidth="10" defaultRowHeight="13.8" x14ac:dyDescent="0.25"/>
  <sheetData>
    <row r="1" spans="1:31" x14ac:dyDescent="0.25">
      <c r="A1" t="s">
        <v>411</v>
      </c>
      <c r="C1" s="103">
        <f>Parámetros!D27</f>
        <v>1</v>
      </c>
      <c r="G1" s="104" t="s">
        <v>412</v>
      </c>
      <c r="H1" s="104">
        <v>1</v>
      </c>
      <c r="I1" s="104"/>
      <c r="J1" s="104"/>
      <c r="K1" s="104"/>
      <c r="L1" s="107" t="s">
        <v>412</v>
      </c>
      <c r="M1" s="107">
        <v>2</v>
      </c>
      <c r="N1" s="107"/>
      <c r="O1" s="107"/>
      <c r="P1" s="107"/>
      <c r="Q1" s="109" t="s">
        <v>412</v>
      </c>
      <c r="R1" s="109">
        <v>3</v>
      </c>
      <c r="S1" s="109"/>
      <c r="T1" s="109"/>
      <c r="U1" s="109"/>
      <c r="V1" s="111" t="s">
        <v>412</v>
      </c>
      <c r="W1" s="111">
        <v>4</v>
      </c>
      <c r="X1" s="111"/>
      <c r="Y1" s="111"/>
      <c r="Z1" s="111"/>
      <c r="AA1" s="113" t="s">
        <v>412</v>
      </c>
      <c r="AB1" s="113">
        <v>5</v>
      </c>
      <c r="AC1" s="113"/>
      <c r="AD1" s="113"/>
      <c r="AE1" s="113"/>
    </row>
    <row r="2" spans="1:31" x14ac:dyDescent="0.25">
      <c r="B2">
        <f>+$C$1*5-(5-B3)</f>
        <v>2</v>
      </c>
      <c r="C2">
        <f t="shared" ref="C2:E2" si="0">+$C$1*5-(5-C3)</f>
        <v>3</v>
      </c>
      <c r="D2">
        <f t="shared" si="0"/>
        <v>4</v>
      </c>
      <c r="E2">
        <f t="shared" si="0"/>
        <v>5</v>
      </c>
      <c r="G2" s="104"/>
      <c r="H2" s="104"/>
      <c r="I2" s="104"/>
      <c r="J2" s="104"/>
      <c r="K2" s="104"/>
      <c r="L2" s="107"/>
      <c r="M2" s="107"/>
      <c r="N2" s="107"/>
      <c r="O2" s="107"/>
      <c r="P2" s="107"/>
      <c r="Q2" s="109"/>
      <c r="R2" s="109"/>
      <c r="S2" s="109"/>
      <c r="T2" s="109"/>
      <c r="U2" s="109"/>
      <c r="V2" s="111"/>
      <c r="W2" s="111"/>
      <c r="X2" s="111"/>
      <c r="Y2" s="111"/>
      <c r="Z2" s="111"/>
      <c r="AA2" s="113"/>
      <c r="AB2" s="113"/>
      <c r="AC2" s="113"/>
      <c r="AD2" s="113"/>
      <c r="AE2" s="113"/>
    </row>
    <row r="3" spans="1:31" x14ac:dyDescent="0.25">
      <c r="A3">
        <v>1</v>
      </c>
      <c r="B3">
        <v>2</v>
      </c>
      <c r="C3">
        <v>3</v>
      </c>
      <c r="D3">
        <v>4</v>
      </c>
      <c r="E3">
        <v>5</v>
      </c>
      <c r="G3" s="104">
        <v>1</v>
      </c>
      <c r="H3" s="104">
        <v>2</v>
      </c>
      <c r="I3" s="104">
        <v>3</v>
      </c>
      <c r="J3" s="104">
        <v>4</v>
      </c>
      <c r="K3" s="104">
        <v>5</v>
      </c>
      <c r="L3" s="107">
        <f>+K3+1</f>
        <v>6</v>
      </c>
      <c r="M3" s="107">
        <f>+L3+1</f>
        <v>7</v>
      </c>
      <c r="N3" s="107">
        <f t="shared" ref="N3:P3" si="1">+M3+1</f>
        <v>8</v>
      </c>
      <c r="O3" s="107">
        <f t="shared" si="1"/>
        <v>9</v>
      </c>
      <c r="P3" s="107">
        <f t="shared" si="1"/>
        <v>10</v>
      </c>
      <c r="Q3" s="109">
        <f>+P3+1</f>
        <v>11</v>
      </c>
      <c r="R3" s="109">
        <f t="shared" ref="R3:U3" si="2">+Q3+1</f>
        <v>12</v>
      </c>
      <c r="S3" s="109">
        <f t="shared" si="2"/>
        <v>13</v>
      </c>
      <c r="T3" s="109">
        <f t="shared" si="2"/>
        <v>14</v>
      </c>
      <c r="U3" s="109">
        <f t="shared" si="2"/>
        <v>15</v>
      </c>
      <c r="V3" s="111">
        <f>+U3+1</f>
        <v>16</v>
      </c>
      <c r="W3" s="111">
        <f t="shared" ref="W3:Z3" si="3">+V3+1</f>
        <v>17</v>
      </c>
      <c r="X3" s="111">
        <f t="shared" si="3"/>
        <v>18</v>
      </c>
      <c r="Y3" s="111">
        <f t="shared" si="3"/>
        <v>19</v>
      </c>
      <c r="Z3" s="111">
        <f t="shared" si="3"/>
        <v>20</v>
      </c>
      <c r="AA3" s="113">
        <f>+Z3+1</f>
        <v>21</v>
      </c>
      <c r="AB3" s="113">
        <f t="shared" ref="AB3:AE3" si="4">+AA3+1</f>
        <v>22</v>
      </c>
      <c r="AC3" s="113">
        <f t="shared" si="4"/>
        <v>23</v>
      </c>
      <c r="AD3" s="113">
        <f t="shared" si="4"/>
        <v>24</v>
      </c>
      <c r="AE3" s="113">
        <f t="shared" si="4"/>
        <v>25</v>
      </c>
    </row>
    <row r="4" spans="1:31" x14ac:dyDescent="0.25">
      <c r="A4" t="s">
        <v>3</v>
      </c>
      <c r="B4" t="s">
        <v>14</v>
      </c>
      <c r="C4" t="s">
        <v>15</v>
      </c>
      <c r="D4" t="s">
        <v>9</v>
      </c>
      <c r="E4" t="s">
        <v>13</v>
      </c>
      <c r="G4" s="105" t="s">
        <v>3</v>
      </c>
      <c r="H4" s="105" t="s">
        <v>14</v>
      </c>
      <c r="I4" s="105" t="s">
        <v>15</v>
      </c>
      <c r="J4" s="105" t="s">
        <v>9</v>
      </c>
      <c r="K4" s="105" t="s">
        <v>13</v>
      </c>
      <c r="L4" s="108" t="s">
        <v>3</v>
      </c>
      <c r="M4" s="108" t="s">
        <v>14</v>
      </c>
      <c r="N4" s="108" t="s">
        <v>15</v>
      </c>
      <c r="O4" s="108" t="s">
        <v>9</v>
      </c>
      <c r="P4" s="108" t="s">
        <v>13</v>
      </c>
      <c r="Q4" s="110" t="s">
        <v>3</v>
      </c>
      <c r="R4" s="110" t="s">
        <v>14</v>
      </c>
      <c r="S4" s="110" t="s">
        <v>15</v>
      </c>
      <c r="T4" s="110" t="s">
        <v>9</v>
      </c>
      <c r="U4" s="110" t="s">
        <v>13</v>
      </c>
      <c r="V4" s="112" t="s">
        <v>3</v>
      </c>
      <c r="W4" s="112" t="s">
        <v>14</v>
      </c>
      <c r="X4" s="112" t="s">
        <v>15</v>
      </c>
      <c r="Y4" s="112" t="s">
        <v>9</v>
      </c>
      <c r="Z4" s="112" t="s">
        <v>13</v>
      </c>
      <c r="AA4" s="114" t="s">
        <v>3</v>
      </c>
      <c r="AB4" s="114" t="s">
        <v>14</v>
      </c>
      <c r="AC4" s="114" t="s">
        <v>15</v>
      </c>
      <c r="AD4" s="114" t="s">
        <v>9</v>
      </c>
      <c r="AE4" s="114" t="s">
        <v>13</v>
      </c>
    </row>
    <row r="5" spans="1:31" x14ac:dyDescent="0.25">
      <c r="A5">
        <v>18</v>
      </c>
      <c r="B5">
        <f>+VLOOKUP($A5,$G$5:$AE$52,B$2,FALSE)</f>
        <v>659</v>
      </c>
      <c r="C5">
        <f t="shared" ref="C5:E20" si="5">+VLOOKUP($A5,$G$5:$AE$52,C$2,FALSE)</f>
        <v>595</v>
      </c>
      <c r="D5">
        <f t="shared" si="5"/>
        <v>747</v>
      </c>
      <c r="E5">
        <f t="shared" si="5"/>
        <v>715</v>
      </c>
      <c r="G5" s="104">
        <v>18</v>
      </c>
      <c r="H5" s="104">
        <v>659</v>
      </c>
      <c r="I5" s="104">
        <v>595</v>
      </c>
      <c r="J5" s="104">
        <v>747</v>
      </c>
      <c r="K5" s="104">
        <v>715</v>
      </c>
      <c r="L5" s="107">
        <v>18</v>
      </c>
      <c r="M5" s="107">
        <f>30*12</f>
        <v>360</v>
      </c>
      <c r="N5" s="107">
        <f t="shared" ref="N5:P24" si="6">30*12</f>
        <v>360</v>
      </c>
      <c r="O5" s="107">
        <f t="shared" si="6"/>
        <v>360</v>
      </c>
      <c r="P5" s="107">
        <f t="shared" si="6"/>
        <v>360</v>
      </c>
      <c r="Q5" s="109">
        <v>18</v>
      </c>
      <c r="R5" s="109">
        <f>50*12</f>
        <v>600</v>
      </c>
      <c r="S5" s="109">
        <f t="shared" ref="S5:U24" si="7">50*12</f>
        <v>600</v>
      </c>
      <c r="T5" s="109">
        <f t="shared" si="7"/>
        <v>600</v>
      </c>
      <c r="U5" s="109">
        <f t="shared" si="7"/>
        <v>600</v>
      </c>
      <c r="V5" s="111">
        <v>18</v>
      </c>
      <c r="W5" s="111">
        <f>100*12</f>
        <v>1200</v>
      </c>
      <c r="X5" s="111">
        <f t="shared" ref="X5:Z5" si="8">100*12</f>
        <v>1200</v>
      </c>
      <c r="Y5" s="111">
        <f t="shared" si="8"/>
        <v>1200</v>
      </c>
      <c r="Z5" s="111">
        <f t="shared" si="8"/>
        <v>1200</v>
      </c>
      <c r="AA5" s="113">
        <v>18</v>
      </c>
      <c r="AB5" s="113">
        <v>120</v>
      </c>
      <c r="AC5" s="113">
        <v>120</v>
      </c>
      <c r="AD5" s="113">
        <v>120</v>
      </c>
      <c r="AE5" s="113">
        <v>120</v>
      </c>
    </row>
    <row r="6" spans="1:31" x14ac:dyDescent="0.25">
      <c r="A6">
        <v>19</v>
      </c>
      <c r="B6">
        <f t="shared" ref="B6:E52" si="9">+VLOOKUP($A6,$G$5:$AE$52,B$2,FALSE)</f>
        <v>671</v>
      </c>
      <c r="C6">
        <f t="shared" si="5"/>
        <v>610</v>
      </c>
      <c r="D6">
        <f t="shared" si="5"/>
        <v>763</v>
      </c>
      <c r="E6">
        <f t="shared" si="5"/>
        <v>723</v>
      </c>
      <c r="G6" s="104">
        <v>19</v>
      </c>
      <c r="H6" s="104">
        <v>671</v>
      </c>
      <c r="I6" s="104">
        <v>610</v>
      </c>
      <c r="J6" s="104">
        <v>763</v>
      </c>
      <c r="K6" s="104">
        <v>723</v>
      </c>
      <c r="L6" s="107">
        <v>19</v>
      </c>
      <c r="M6" s="107">
        <f t="shared" ref="M6:P25" si="10">30*12</f>
        <v>360</v>
      </c>
      <c r="N6" s="107">
        <f t="shared" si="6"/>
        <v>360</v>
      </c>
      <c r="O6" s="107">
        <f t="shared" si="6"/>
        <v>360</v>
      </c>
      <c r="P6" s="107">
        <f t="shared" si="6"/>
        <v>360</v>
      </c>
      <c r="Q6" s="109">
        <v>19</v>
      </c>
      <c r="R6" s="109">
        <f t="shared" ref="R6:U25" si="11">50*12</f>
        <v>600</v>
      </c>
      <c r="S6" s="109">
        <f t="shared" si="7"/>
        <v>600</v>
      </c>
      <c r="T6" s="109">
        <f t="shared" si="7"/>
        <v>600</v>
      </c>
      <c r="U6" s="109">
        <f t="shared" si="7"/>
        <v>600</v>
      </c>
      <c r="V6" s="111">
        <v>19</v>
      </c>
      <c r="W6" s="111">
        <f t="shared" ref="W6:Z52" si="12">100*12</f>
        <v>1200</v>
      </c>
      <c r="X6" s="111">
        <f t="shared" si="12"/>
        <v>1200</v>
      </c>
      <c r="Y6" s="111">
        <f t="shared" si="12"/>
        <v>1200</v>
      </c>
      <c r="Z6" s="111">
        <f t="shared" si="12"/>
        <v>1200</v>
      </c>
      <c r="AA6" s="113">
        <v>19</v>
      </c>
      <c r="AB6" s="113">
        <v>120</v>
      </c>
      <c r="AC6" s="113">
        <v>120</v>
      </c>
      <c r="AD6" s="113">
        <v>120</v>
      </c>
      <c r="AE6" s="113">
        <v>120</v>
      </c>
    </row>
    <row r="7" spans="1:31" x14ac:dyDescent="0.25">
      <c r="A7">
        <v>20</v>
      </c>
      <c r="B7">
        <f t="shared" si="9"/>
        <v>684</v>
      </c>
      <c r="C7">
        <f t="shared" si="5"/>
        <v>624</v>
      </c>
      <c r="D7">
        <f t="shared" si="5"/>
        <v>780</v>
      </c>
      <c r="E7">
        <f t="shared" si="5"/>
        <v>732</v>
      </c>
      <c r="G7" s="104">
        <v>20</v>
      </c>
      <c r="H7" s="106">
        <v>684</v>
      </c>
      <c r="I7" s="106">
        <v>624</v>
      </c>
      <c r="J7" s="106">
        <v>780</v>
      </c>
      <c r="K7" s="106">
        <v>732</v>
      </c>
      <c r="L7" s="107">
        <v>20</v>
      </c>
      <c r="M7" s="107">
        <f t="shared" si="10"/>
        <v>360</v>
      </c>
      <c r="N7" s="107">
        <f t="shared" si="6"/>
        <v>360</v>
      </c>
      <c r="O7" s="107">
        <f t="shared" si="6"/>
        <v>360</v>
      </c>
      <c r="P7" s="107">
        <f t="shared" si="6"/>
        <v>360</v>
      </c>
      <c r="Q7" s="109">
        <v>20</v>
      </c>
      <c r="R7" s="109">
        <f t="shared" si="11"/>
        <v>600</v>
      </c>
      <c r="S7" s="109">
        <f t="shared" si="7"/>
        <v>600</v>
      </c>
      <c r="T7" s="109">
        <f t="shared" si="7"/>
        <v>600</v>
      </c>
      <c r="U7" s="109">
        <f t="shared" si="7"/>
        <v>600</v>
      </c>
      <c r="V7" s="111">
        <v>20</v>
      </c>
      <c r="W7" s="111">
        <f t="shared" si="12"/>
        <v>1200</v>
      </c>
      <c r="X7" s="111">
        <f t="shared" si="12"/>
        <v>1200</v>
      </c>
      <c r="Y7" s="111">
        <f t="shared" si="12"/>
        <v>1200</v>
      </c>
      <c r="Z7" s="111">
        <f t="shared" si="12"/>
        <v>1200</v>
      </c>
      <c r="AA7" s="113">
        <v>20</v>
      </c>
      <c r="AB7" s="113">
        <v>120</v>
      </c>
      <c r="AC7" s="113">
        <v>120</v>
      </c>
      <c r="AD7" s="113">
        <v>120</v>
      </c>
      <c r="AE7" s="113">
        <v>120</v>
      </c>
    </row>
    <row r="8" spans="1:31" x14ac:dyDescent="0.25">
      <c r="A8">
        <v>21</v>
      </c>
      <c r="B8">
        <f t="shared" si="9"/>
        <v>697</v>
      </c>
      <c r="C8">
        <f t="shared" si="5"/>
        <v>638</v>
      </c>
      <c r="D8">
        <f t="shared" si="5"/>
        <v>799</v>
      </c>
      <c r="E8">
        <f t="shared" si="5"/>
        <v>742</v>
      </c>
      <c r="G8" s="104">
        <v>21</v>
      </c>
      <c r="H8" s="106">
        <v>697</v>
      </c>
      <c r="I8" s="106">
        <v>638</v>
      </c>
      <c r="J8" s="106">
        <v>799</v>
      </c>
      <c r="K8" s="106">
        <v>742</v>
      </c>
      <c r="L8" s="107">
        <v>21</v>
      </c>
      <c r="M8" s="107">
        <f t="shared" si="10"/>
        <v>360</v>
      </c>
      <c r="N8" s="107">
        <f t="shared" si="6"/>
        <v>360</v>
      </c>
      <c r="O8" s="107">
        <f t="shared" si="6"/>
        <v>360</v>
      </c>
      <c r="P8" s="107">
        <f t="shared" si="6"/>
        <v>360</v>
      </c>
      <c r="Q8" s="109">
        <v>21</v>
      </c>
      <c r="R8" s="109">
        <f t="shared" si="11"/>
        <v>600</v>
      </c>
      <c r="S8" s="109">
        <f t="shared" si="7"/>
        <v>600</v>
      </c>
      <c r="T8" s="109">
        <f t="shared" si="7"/>
        <v>600</v>
      </c>
      <c r="U8" s="109">
        <f t="shared" si="7"/>
        <v>600</v>
      </c>
      <c r="V8" s="111">
        <v>21</v>
      </c>
      <c r="W8" s="111">
        <f t="shared" si="12"/>
        <v>1200</v>
      </c>
      <c r="X8" s="111">
        <f t="shared" si="12"/>
        <v>1200</v>
      </c>
      <c r="Y8" s="111">
        <f t="shared" si="12"/>
        <v>1200</v>
      </c>
      <c r="Z8" s="111">
        <f t="shared" si="12"/>
        <v>1200</v>
      </c>
      <c r="AA8" s="113">
        <v>21</v>
      </c>
      <c r="AB8" s="113">
        <v>120</v>
      </c>
      <c r="AC8" s="113">
        <v>120</v>
      </c>
      <c r="AD8" s="113">
        <v>120</v>
      </c>
      <c r="AE8" s="113">
        <v>120</v>
      </c>
    </row>
    <row r="9" spans="1:31" x14ac:dyDescent="0.25">
      <c r="A9">
        <v>22</v>
      </c>
      <c r="B9">
        <f t="shared" si="9"/>
        <v>703</v>
      </c>
      <c r="C9">
        <f t="shared" si="5"/>
        <v>653</v>
      </c>
      <c r="D9">
        <f t="shared" si="5"/>
        <v>816</v>
      </c>
      <c r="E9">
        <f t="shared" si="5"/>
        <v>754</v>
      </c>
      <c r="G9" s="104">
        <v>22</v>
      </c>
      <c r="H9" s="106">
        <v>703</v>
      </c>
      <c r="I9" s="106">
        <v>653</v>
      </c>
      <c r="J9" s="106">
        <v>816</v>
      </c>
      <c r="K9" s="106">
        <v>754</v>
      </c>
      <c r="L9" s="107">
        <v>22</v>
      </c>
      <c r="M9" s="107">
        <f t="shared" si="10"/>
        <v>360</v>
      </c>
      <c r="N9" s="107">
        <f t="shared" si="6"/>
        <v>360</v>
      </c>
      <c r="O9" s="107">
        <f t="shared" si="6"/>
        <v>360</v>
      </c>
      <c r="P9" s="107">
        <f t="shared" si="6"/>
        <v>360</v>
      </c>
      <c r="Q9" s="109">
        <v>22</v>
      </c>
      <c r="R9" s="109">
        <f t="shared" si="11"/>
        <v>600</v>
      </c>
      <c r="S9" s="109">
        <f t="shared" si="7"/>
        <v>600</v>
      </c>
      <c r="T9" s="109">
        <f t="shared" si="7"/>
        <v>600</v>
      </c>
      <c r="U9" s="109">
        <f t="shared" si="7"/>
        <v>600</v>
      </c>
      <c r="V9" s="111">
        <v>22</v>
      </c>
      <c r="W9" s="111">
        <f t="shared" si="12"/>
        <v>1200</v>
      </c>
      <c r="X9" s="111">
        <f t="shared" si="12"/>
        <v>1200</v>
      </c>
      <c r="Y9" s="111">
        <f t="shared" si="12"/>
        <v>1200</v>
      </c>
      <c r="Z9" s="111">
        <f t="shared" si="12"/>
        <v>1200</v>
      </c>
      <c r="AA9" s="113">
        <v>22</v>
      </c>
      <c r="AB9" s="113">
        <v>120</v>
      </c>
      <c r="AC9" s="113">
        <v>120</v>
      </c>
      <c r="AD9" s="113">
        <v>120</v>
      </c>
      <c r="AE9" s="113">
        <v>120</v>
      </c>
    </row>
    <row r="10" spans="1:31" x14ac:dyDescent="0.25">
      <c r="A10">
        <v>23</v>
      </c>
      <c r="B10">
        <f t="shared" si="9"/>
        <v>706</v>
      </c>
      <c r="C10">
        <f t="shared" si="5"/>
        <v>652</v>
      </c>
      <c r="D10">
        <f t="shared" si="5"/>
        <v>822</v>
      </c>
      <c r="E10">
        <f t="shared" si="5"/>
        <v>750</v>
      </c>
      <c r="G10" s="104">
        <v>23</v>
      </c>
      <c r="H10" s="106">
        <v>706</v>
      </c>
      <c r="I10" s="106">
        <v>652</v>
      </c>
      <c r="J10" s="106">
        <v>822</v>
      </c>
      <c r="K10" s="106">
        <v>750</v>
      </c>
      <c r="L10" s="107">
        <v>23</v>
      </c>
      <c r="M10" s="107">
        <f t="shared" si="10"/>
        <v>360</v>
      </c>
      <c r="N10" s="107">
        <f t="shared" si="6"/>
        <v>360</v>
      </c>
      <c r="O10" s="107">
        <f t="shared" si="6"/>
        <v>360</v>
      </c>
      <c r="P10" s="107">
        <f t="shared" si="6"/>
        <v>360</v>
      </c>
      <c r="Q10" s="109">
        <v>23</v>
      </c>
      <c r="R10" s="109">
        <f t="shared" si="11"/>
        <v>600</v>
      </c>
      <c r="S10" s="109">
        <f t="shared" si="7"/>
        <v>600</v>
      </c>
      <c r="T10" s="109">
        <f t="shared" si="7"/>
        <v>600</v>
      </c>
      <c r="U10" s="109">
        <f t="shared" si="7"/>
        <v>600</v>
      </c>
      <c r="V10" s="111">
        <v>23</v>
      </c>
      <c r="W10" s="111">
        <f t="shared" si="12"/>
        <v>1200</v>
      </c>
      <c r="X10" s="111">
        <f t="shared" si="12"/>
        <v>1200</v>
      </c>
      <c r="Y10" s="111">
        <f t="shared" si="12"/>
        <v>1200</v>
      </c>
      <c r="Z10" s="111">
        <f t="shared" si="12"/>
        <v>1200</v>
      </c>
      <c r="AA10" s="113">
        <v>23</v>
      </c>
      <c r="AB10" s="113">
        <v>120</v>
      </c>
      <c r="AC10" s="113">
        <v>120</v>
      </c>
      <c r="AD10" s="113">
        <v>120</v>
      </c>
      <c r="AE10" s="113">
        <v>120</v>
      </c>
    </row>
    <row r="11" spans="1:31" x14ac:dyDescent="0.25">
      <c r="A11">
        <v>24</v>
      </c>
      <c r="B11">
        <f t="shared" si="9"/>
        <v>713</v>
      </c>
      <c r="C11">
        <f t="shared" si="5"/>
        <v>654</v>
      </c>
      <c r="D11">
        <f t="shared" si="5"/>
        <v>833</v>
      </c>
      <c r="E11">
        <f t="shared" si="5"/>
        <v>751</v>
      </c>
      <c r="G11" s="104">
        <v>24</v>
      </c>
      <c r="H11" s="106">
        <v>713</v>
      </c>
      <c r="I11" s="106">
        <v>654</v>
      </c>
      <c r="J11" s="106">
        <v>833</v>
      </c>
      <c r="K11" s="106">
        <v>751</v>
      </c>
      <c r="L11" s="107">
        <v>24</v>
      </c>
      <c r="M11" s="107">
        <f t="shared" si="10"/>
        <v>360</v>
      </c>
      <c r="N11" s="107">
        <f t="shared" si="6"/>
        <v>360</v>
      </c>
      <c r="O11" s="107">
        <f t="shared" si="6"/>
        <v>360</v>
      </c>
      <c r="P11" s="107">
        <f t="shared" si="6"/>
        <v>360</v>
      </c>
      <c r="Q11" s="109">
        <v>24</v>
      </c>
      <c r="R11" s="109">
        <f t="shared" si="11"/>
        <v>600</v>
      </c>
      <c r="S11" s="109">
        <f t="shared" si="7"/>
        <v>600</v>
      </c>
      <c r="T11" s="109">
        <f t="shared" si="7"/>
        <v>600</v>
      </c>
      <c r="U11" s="109">
        <f t="shared" si="7"/>
        <v>600</v>
      </c>
      <c r="V11" s="111">
        <v>24</v>
      </c>
      <c r="W11" s="111">
        <f t="shared" si="12"/>
        <v>1200</v>
      </c>
      <c r="X11" s="111">
        <f t="shared" si="12"/>
        <v>1200</v>
      </c>
      <c r="Y11" s="111">
        <f t="shared" si="12"/>
        <v>1200</v>
      </c>
      <c r="Z11" s="111">
        <f t="shared" si="12"/>
        <v>1200</v>
      </c>
      <c r="AA11" s="113">
        <v>24</v>
      </c>
      <c r="AB11" s="113">
        <v>120</v>
      </c>
      <c r="AC11" s="113">
        <v>120</v>
      </c>
      <c r="AD11" s="113">
        <v>120</v>
      </c>
      <c r="AE11" s="113">
        <v>120</v>
      </c>
    </row>
    <row r="12" spans="1:31" x14ac:dyDescent="0.25">
      <c r="A12">
        <v>25</v>
      </c>
      <c r="B12">
        <f t="shared" si="9"/>
        <v>756</v>
      </c>
      <c r="C12">
        <f t="shared" si="5"/>
        <v>696</v>
      </c>
      <c r="D12">
        <f t="shared" si="5"/>
        <v>888</v>
      </c>
      <c r="E12">
        <f t="shared" si="5"/>
        <v>792</v>
      </c>
      <c r="G12" s="104">
        <v>25</v>
      </c>
      <c r="H12" s="106">
        <v>756</v>
      </c>
      <c r="I12" s="106">
        <v>696</v>
      </c>
      <c r="J12" s="106">
        <v>888</v>
      </c>
      <c r="K12" s="106">
        <v>792</v>
      </c>
      <c r="L12" s="107">
        <v>25</v>
      </c>
      <c r="M12" s="107">
        <f t="shared" si="10"/>
        <v>360</v>
      </c>
      <c r="N12" s="107">
        <f t="shared" si="6"/>
        <v>360</v>
      </c>
      <c r="O12" s="107">
        <f t="shared" si="6"/>
        <v>360</v>
      </c>
      <c r="P12" s="107">
        <f t="shared" si="6"/>
        <v>360</v>
      </c>
      <c r="Q12" s="109">
        <v>25</v>
      </c>
      <c r="R12" s="109">
        <f t="shared" si="11"/>
        <v>600</v>
      </c>
      <c r="S12" s="109">
        <f t="shared" si="7"/>
        <v>600</v>
      </c>
      <c r="T12" s="109">
        <f t="shared" si="7"/>
        <v>600</v>
      </c>
      <c r="U12" s="109">
        <f t="shared" si="7"/>
        <v>600</v>
      </c>
      <c r="V12" s="111">
        <v>25</v>
      </c>
      <c r="W12" s="111">
        <f t="shared" si="12"/>
        <v>1200</v>
      </c>
      <c r="X12" s="111">
        <f t="shared" si="12"/>
        <v>1200</v>
      </c>
      <c r="Y12" s="111">
        <f t="shared" si="12"/>
        <v>1200</v>
      </c>
      <c r="Z12" s="111">
        <f t="shared" si="12"/>
        <v>1200</v>
      </c>
      <c r="AA12" s="113">
        <v>25</v>
      </c>
      <c r="AB12" s="113">
        <v>120</v>
      </c>
      <c r="AC12" s="113">
        <v>120</v>
      </c>
      <c r="AD12" s="113">
        <v>120</v>
      </c>
      <c r="AE12" s="113">
        <v>120</v>
      </c>
    </row>
    <row r="13" spans="1:31" x14ac:dyDescent="0.25">
      <c r="A13">
        <v>26</v>
      </c>
      <c r="B13">
        <f t="shared" si="9"/>
        <v>737</v>
      </c>
      <c r="C13">
        <f t="shared" si="5"/>
        <v>668</v>
      </c>
      <c r="D13">
        <f t="shared" si="5"/>
        <v>872</v>
      </c>
      <c r="E13">
        <f t="shared" si="5"/>
        <v>765</v>
      </c>
      <c r="G13" s="104">
        <v>26</v>
      </c>
      <c r="H13" s="106">
        <v>737</v>
      </c>
      <c r="I13" s="106">
        <v>668</v>
      </c>
      <c r="J13" s="106">
        <v>872</v>
      </c>
      <c r="K13" s="106">
        <v>765</v>
      </c>
      <c r="L13" s="107">
        <v>26</v>
      </c>
      <c r="M13" s="107">
        <f t="shared" si="10"/>
        <v>360</v>
      </c>
      <c r="N13" s="107">
        <f t="shared" si="6"/>
        <v>360</v>
      </c>
      <c r="O13" s="107">
        <f t="shared" si="6"/>
        <v>360</v>
      </c>
      <c r="P13" s="107">
        <f t="shared" si="6"/>
        <v>360</v>
      </c>
      <c r="Q13" s="109">
        <v>26</v>
      </c>
      <c r="R13" s="109">
        <f t="shared" si="11"/>
        <v>600</v>
      </c>
      <c r="S13" s="109">
        <f t="shared" si="7"/>
        <v>600</v>
      </c>
      <c r="T13" s="109">
        <f t="shared" si="7"/>
        <v>600</v>
      </c>
      <c r="U13" s="109">
        <f t="shared" si="7"/>
        <v>600</v>
      </c>
      <c r="V13" s="111">
        <v>26</v>
      </c>
      <c r="W13" s="111">
        <f t="shared" si="12"/>
        <v>1200</v>
      </c>
      <c r="X13" s="111">
        <f t="shared" si="12"/>
        <v>1200</v>
      </c>
      <c r="Y13" s="111">
        <f t="shared" si="12"/>
        <v>1200</v>
      </c>
      <c r="Z13" s="111">
        <f t="shared" si="12"/>
        <v>1200</v>
      </c>
      <c r="AA13" s="113">
        <v>26</v>
      </c>
      <c r="AB13" s="113">
        <v>120</v>
      </c>
      <c r="AC13" s="113">
        <v>120</v>
      </c>
      <c r="AD13" s="113">
        <v>120</v>
      </c>
      <c r="AE13" s="113">
        <v>120</v>
      </c>
    </row>
    <row r="14" spans="1:31" x14ac:dyDescent="0.25">
      <c r="A14">
        <v>27</v>
      </c>
      <c r="B14">
        <f t="shared" si="9"/>
        <v>754</v>
      </c>
      <c r="C14">
        <f t="shared" si="5"/>
        <v>680</v>
      </c>
      <c r="D14">
        <f t="shared" si="5"/>
        <v>900</v>
      </c>
      <c r="E14">
        <f t="shared" si="5"/>
        <v>779</v>
      </c>
      <c r="G14" s="104">
        <v>27</v>
      </c>
      <c r="H14" s="106">
        <v>754</v>
      </c>
      <c r="I14" s="106">
        <v>680</v>
      </c>
      <c r="J14" s="106">
        <v>900</v>
      </c>
      <c r="K14" s="106">
        <v>779</v>
      </c>
      <c r="L14" s="107">
        <v>27</v>
      </c>
      <c r="M14" s="107">
        <f t="shared" si="10"/>
        <v>360</v>
      </c>
      <c r="N14" s="107">
        <f t="shared" si="6"/>
        <v>360</v>
      </c>
      <c r="O14" s="107">
        <f t="shared" si="6"/>
        <v>360</v>
      </c>
      <c r="P14" s="107">
        <f t="shared" si="6"/>
        <v>360</v>
      </c>
      <c r="Q14" s="109">
        <v>27</v>
      </c>
      <c r="R14" s="109">
        <f t="shared" si="11"/>
        <v>600</v>
      </c>
      <c r="S14" s="109">
        <f t="shared" si="7"/>
        <v>600</v>
      </c>
      <c r="T14" s="109">
        <f t="shared" si="7"/>
        <v>600</v>
      </c>
      <c r="U14" s="109">
        <f t="shared" si="7"/>
        <v>600</v>
      </c>
      <c r="V14" s="111">
        <v>27</v>
      </c>
      <c r="W14" s="111">
        <f t="shared" si="12"/>
        <v>1200</v>
      </c>
      <c r="X14" s="111">
        <f t="shared" si="12"/>
        <v>1200</v>
      </c>
      <c r="Y14" s="111">
        <f t="shared" si="12"/>
        <v>1200</v>
      </c>
      <c r="Z14" s="111">
        <f t="shared" si="12"/>
        <v>1200</v>
      </c>
      <c r="AA14" s="113">
        <v>27</v>
      </c>
      <c r="AB14" s="113">
        <v>120</v>
      </c>
      <c r="AC14" s="113">
        <v>120</v>
      </c>
      <c r="AD14" s="113">
        <v>120</v>
      </c>
      <c r="AE14" s="113">
        <v>120</v>
      </c>
    </row>
    <row r="15" spans="1:31" x14ac:dyDescent="0.25">
      <c r="A15">
        <v>28</v>
      </c>
      <c r="B15">
        <f t="shared" si="9"/>
        <v>775</v>
      </c>
      <c r="C15">
        <f t="shared" si="5"/>
        <v>696</v>
      </c>
      <c r="D15">
        <f t="shared" si="5"/>
        <v>932</v>
      </c>
      <c r="E15">
        <f t="shared" si="5"/>
        <v>798</v>
      </c>
      <c r="G15" s="104">
        <v>28</v>
      </c>
      <c r="H15" s="106">
        <v>775</v>
      </c>
      <c r="I15" s="106">
        <v>696</v>
      </c>
      <c r="J15" s="106">
        <v>932</v>
      </c>
      <c r="K15" s="106">
        <v>798</v>
      </c>
      <c r="L15" s="107">
        <v>28</v>
      </c>
      <c r="M15" s="107">
        <f t="shared" si="10"/>
        <v>360</v>
      </c>
      <c r="N15" s="107">
        <f t="shared" si="6"/>
        <v>360</v>
      </c>
      <c r="O15" s="107">
        <f t="shared" si="6"/>
        <v>360</v>
      </c>
      <c r="P15" s="107">
        <f t="shared" si="6"/>
        <v>360</v>
      </c>
      <c r="Q15" s="109">
        <v>28</v>
      </c>
      <c r="R15" s="109">
        <f t="shared" si="11"/>
        <v>600</v>
      </c>
      <c r="S15" s="109">
        <f t="shared" si="7"/>
        <v>600</v>
      </c>
      <c r="T15" s="109">
        <f t="shared" si="7"/>
        <v>600</v>
      </c>
      <c r="U15" s="109">
        <f t="shared" si="7"/>
        <v>600</v>
      </c>
      <c r="V15" s="111">
        <v>28</v>
      </c>
      <c r="W15" s="111">
        <f t="shared" si="12"/>
        <v>1200</v>
      </c>
      <c r="X15" s="111">
        <f t="shared" si="12"/>
        <v>1200</v>
      </c>
      <c r="Y15" s="111">
        <f t="shared" si="12"/>
        <v>1200</v>
      </c>
      <c r="Z15" s="111">
        <f t="shared" si="12"/>
        <v>1200</v>
      </c>
      <c r="AA15" s="113">
        <v>28</v>
      </c>
      <c r="AB15" s="113">
        <v>120</v>
      </c>
      <c r="AC15" s="113">
        <v>120</v>
      </c>
      <c r="AD15" s="113">
        <v>120</v>
      </c>
      <c r="AE15" s="113">
        <v>120</v>
      </c>
    </row>
    <row r="16" spans="1:31" x14ac:dyDescent="0.25">
      <c r="A16">
        <v>29</v>
      </c>
      <c r="B16">
        <f t="shared" si="9"/>
        <v>800</v>
      </c>
      <c r="C16">
        <f t="shared" si="5"/>
        <v>715</v>
      </c>
      <c r="D16">
        <f t="shared" si="5"/>
        <v>971</v>
      </c>
      <c r="E16">
        <f t="shared" si="5"/>
        <v>820</v>
      </c>
      <c r="G16" s="104">
        <v>29</v>
      </c>
      <c r="H16" s="106">
        <v>800</v>
      </c>
      <c r="I16" s="106">
        <v>715</v>
      </c>
      <c r="J16" s="106">
        <v>971</v>
      </c>
      <c r="K16" s="106">
        <v>820</v>
      </c>
      <c r="L16" s="107">
        <v>29</v>
      </c>
      <c r="M16" s="107">
        <f t="shared" si="10"/>
        <v>360</v>
      </c>
      <c r="N16" s="107">
        <f t="shared" si="6"/>
        <v>360</v>
      </c>
      <c r="O16" s="107">
        <f t="shared" si="6"/>
        <v>360</v>
      </c>
      <c r="P16" s="107">
        <f t="shared" si="6"/>
        <v>360</v>
      </c>
      <c r="Q16" s="109">
        <v>29</v>
      </c>
      <c r="R16" s="109">
        <f t="shared" si="11"/>
        <v>600</v>
      </c>
      <c r="S16" s="109">
        <f t="shared" si="7"/>
        <v>600</v>
      </c>
      <c r="T16" s="109">
        <f t="shared" si="7"/>
        <v>600</v>
      </c>
      <c r="U16" s="109">
        <f t="shared" si="7"/>
        <v>600</v>
      </c>
      <c r="V16" s="111">
        <v>29</v>
      </c>
      <c r="W16" s="111">
        <f t="shared" si="12"/>
        <v>1200</v>
      </c>
      <c r="X16" s="111">
        <f t="shared" si="12"/>
        <v>1200</v>
      </c>
      <c r="Y16" s="111">
        <f t="shared" si="12"/>
        <v>1200</v>
      </c>
      <c r="Z16" s="111">
        <f t="shared" si="12"/>
        <v>1200</v>
      </c>
      <c r="AA16" s="113">
        <v>29</v>
      </c>
      <c r="AB16" s="113">
        <v>120</v>
      </c>
      <c r="AC16" s="113">
        <v>120</v>
      </c>
      <c r="AD16" s="113">
        <v>120</v>
      </c>
      <c r="AE16" s="113">
        <v>120</v>
      </c>
    </row>
    <row r="17" spans="1:31" x14ac:dyDescent="0.25">
      <c r="A17">
        <v>30</v>
      </c>
      <c r="B17">
        <f t="shared" si="9"/>
        <v>840</v>
      </c>
      <c r="C17">
        <f t="shared" si="5"/>
        <v>768</v>
      </c>
      <c r="D17">
        <f t="shared" si="5"/>
        <v>1032</v>
      </c>
      <c r="E17">
        <f t="shared" si="5"/>
        <v>876</v>
      </c>
      <c r="G17" s="104">
        <v>30</v>
      </c>
      <c r="H17" s="106">
        <v>840</v>
      </c>
      <c r="I17" s="106">
        <v>768</v>
      </c>
      <c r="J17" s="106">
        <v>1032</v>
      </c>
      <c r="K17" s="106">
        <v>876</v>
      </c>
      <c r="L17" s="107">
        <v>30</v>
      </c>
      <c r="M17" s="107">
        <f t="shared" si="10"/>
        <v>360</v>
      </c>
      <c r="N17" s="107">
        <f t="shared" si="6"/>
        <v>360</v>
      </c>
      <c r="O17" s="107">
        <f t="shared" si="6"/>
        <v>360</v>
      </c>
      <c r="P17" s="107">
        <f t="shared" si="6"/>
        <v>360</v>
      </c>
      <c r="Q17" s="109">
        <v>30</v>
      </c>
      <c r="R17" s="109">
        <f t="shared" si="11"/>
        <v>600</v>
      </c>
      <c r="S17" s="109">
        <f t="shared" si="7"/>
        <v>600</v>
      </c>
      <c r="T17" s="109">
        <f t="shared" si="7"/>
        <v>600</v>
      </c>
      <c r="U17" s="109">
        <f t="shared" si="7"/>
        <v>600</v>
      </c>
      <c r="V17" s="111">
        <v>30</v>
      </c>
      <c r="W17" s="111">
        <f t="shared" si="12"/>
        <v>1200</v>
      </c>
      <c r="X17" s="111">
        <f t="shared" si="12"/>
        <v>1200</v>
      </c>
      <c r="Y17" s="111">
        <f t="shared" si="12"/>
        <v>1200</v>
      </c>
      <c r="Z17" s="111">
        <f t="shared" si="12"/>
        <v>1200</v>
      </c>
      <c r="AA17" s="113">
        <v>30</v>
      </c>
      <c r="AB17" s="113">
        <v>120</v>
      </c>
      <c r="AC17" s="113">
        <v>120</v>
      </c>
      <c r="AD17" s="113">
        <v>120</v>
      </c>
      <c r="AE17" s="113">
        <v>120</v>
      </c>
    </row>
    <row r="18" spans="1:31" x14ac:dyDescent="0.25">
      <c r="A18">
        <v>31</v>
      </c>
      <c r="B18">
        <f t="shared" si="9"/>
        <v>861</v>
      </c>
      <c r="C18">
        <f t="shared" si="5"/>
        <v>764</v>
      </c>
      <c r="D18">
        <f t="shared" si="5"/>
        <v>1063</v>
      </c>
      <c r="E18">
        <f t="shared" si="5"/>
        <v>879</v>
      </c>
      <c r="G18" s="104">
        <v>31</v>
      </c>
      <c r="H18" s="106">
        <v>861</v>
      </c>
      <c r="I18" s="106">
        <v>764</v>
      </c>
      <c r="J18" s="106">
        <v>1063</v>
      </c>
      <c r="K18" s="106">
        <v>879</v>
      </c>
      <c r="L18" s="107">
        <v>31</v>
      </c>
      <c r="M18" s="107">
        <f t="shared" si="10"/>
        <v>360</v>
      </c>
      <c r="N18" s="107">
        <f t="shared" si="6"/>
        <v>360</v>
      </c>
      <c r="O18" s="107">
        <f t="shared" si="6"/>
        <v>360</v>
      </c>
      <c r="P18" s="107">
        <f t="shared" si="6"/>
        <v>360</v>
      </c>
      <c r="Q18" s="109">
        <v>31</v>
      </c>
      <c r="R18" s="109">
        <f t="shared" si="11"/>
        <v>600</v>
      </c>
      <c r="S18" s="109">
        <f t="shared" si="7"/>
        <v>600</v>
      </c>
      <c r="T18" s="109">
        <f t="shared" si="7"/>
        <v>600</v>
      </c>
      <c r="U18" s="109">
        <f t="shared" si="7"/>
        <v>600</v>
      </c>
      <c r="V18" s="111">
        <v>31</v>
      </c>
      <c r="W18" s="111">
        <f t="shared" si="12"/>
        <v>1200</v>
      </c>
      <c r="X18" s="111">
        <f t="shared" si="12"/>
        <v>1200</v>
      </c>
      <c r="Y18" s="111">
        <f t="shared" si="12"/>
        <v>1200</v>
      </c>
      <c r="Z18" s="111">
        <f t="shared" si="12"/>
        <v>1200</v>
      </c>
      <c r="AA18" s="113">
        <v>31</v>
      </c>
      <c r="AB18" s="113">
        <v>120</v>
      </c>
      <c r="AC18" s="113">
        <v>120</v>
      </c>
      <c r="AD18" s="113">
        <v>120</v>
      </c>
      <c r="AE18" s="113">
        <v>120</v>
      </c>
    </row>
    <row r="19" spans="1:31" x14ac:dyDescent="0.25">
      <c r="A19">
        <v>32</v>
      </c>
      <c r="B19">
        <f t="shared" si="9"/>
        <v>897</v>
      </c>
      <c r="C19">
        <f t="shared" si="5"/>
        <v>794</v>
      </c>
      <c r="D19">
        <f t="shared" si="5"/>
        <v>1118</v>
      </c>
      <c r="E19">
        <f t="shared" si="5"/>
        <v>915</v>
      </c>
      <c r="G19" s="104">
        <v>32</v>
      </c>
      <c r="H19" s="106">
        <v>897</v>
      </c>
      <c r="I19" s="106">
        <v>794</v>
      </c>
      <c r="J19" s="106">
        <v>1118</v>
      </c>
      <c r="K19" s="106">
        <v>915</v>
      </c>
      <c r="L19" s="107">
        <v>32</v>
      </c>
      <c r="M19" s="107">
        <f t="shared" si="10"/>
        <v>360</v>
      </c>
      <c r="N19" s="107">
        <f t="shared" si="6"/>
        <v>360</v>
      </c>
      <c r="O19" s="107">
        <f t="shared" si="6"/>
        <v>360</v>
      </c>
      <c r="P19" s="107">
        <f t="shared" si="6"/>
        <v>360</v>
      </c>
      <c r="Q19" s="109">
        <v>32</v>
      </c>
      <c r="R19" s="109">
        <f t="shared" si="11"/>
        <v>600</v>
      </c>
      <c r="S19" s="109">
        <f t="shared" si="7"/>
        <v>600</v>
      </c>
      <c r="T19" s="109">
        <f t="shared" si="7"/>
        <v>600</v>
      </c>
      <c r="U19" s="109">
        <f t="shared" si="7"/>
        <v>600</v>
      </c>
      <c r="V19" s="111">
        <v>32</v>
      </c>
      <c r="W19" s="111">
        <f t="shared" si="12"/>
        <v>1200</v>
      </c>
      <c r="X19" s="111">
        <f t="shared" si="12"/>
        <v>1200</v>
      </c>
      <c r="Y19" s="111">
        <f t="shared" si="12"/>
        <v>1200</v>
      </c>
      <c r="Z19" s="111">
        <f t="shared" si="12"/>
        <v>1200</v>
      </c>
      <c r="AA19" s="113">
        <v>32</v>
      </c>
      <c r="AB19" s="113">
        <v>120</v>
      </c>
      <c r="AC19" s="113">
        <v>120</v>
      </c>
      <c r="AD19" s="113">
        <v>120</v>
      </c>
      <c r="AE19" s="113">
        <v>120</v>
      </c>
    </row>
    <row r="20" spans="1:31" x14ac:dyDescent="0.25">
      <c r="A20">
        <v>33</v>
      </c>
      <c r="B20">
        <f t="shared" si="9"/>
        <v>936</v>
      </c>
      <c r="C20">
        <f t="shared" si="5"/>
        <v>827</v>
      </c>
      <c r="D20">
        <f t="shared" si="5"/>
        <v>1177</v>
      </c>
      <c r="E20">
        <f t="shared" si="5"/>
        <v>955</v>
      </c>
      <c r="G20" s="104">
        <v>33</v>
      </c>
      <c r="H20" s="106">
        <v>936</v>
      </c>
      <c r="I20" s="106">
        <v>827</v>
      </c>
      <c r="J20" s="106">
        <v>1177</v>
      </c>
      <c r="K20" s="106">
        <v>955</v>
      </c>
      <c r="L20" s="107">
        <v>33</v>
      </c>
      <c r="M20" s="107">
        <f t="shared" si="10"/>
        <v>360</v>
      </c>
      <c r="N20" s="107">
        <f t="shared" si="6"/>
        <v>360</v>
      </c>
      <c r="O20" s="107">
        <f t="shared" si="6"/>
        <v>360</v>
      </c>
      <c r="P20" s="107">
        <f t="shared" si="6"/>
        <v>360</v>
      </c>
      <c r="Q20" s="109">
        <v>33</v>
      </c>
      <c r="R20" s="109">
        <f t="shared" si="11"/>
        <v>600</v>
      </c>
      <c r="S20" s="109">
        <f t="shared" si="7"/>
        <v>600</v>
      </c>
      <c r="T20" s="109">
        <f t="shared" si="7"/>
        <v>600</v>
      </c>
      <c r="U20" s="109">
        <f t="shared" si="7"/>
        <v>600</v>
      </c>
      <c r="V20" s="111">
        <v>33</v>
      </c>
      <c r="W20" s="111">
        <f t="shared" si="12"/>
        <v>1200</v>
      </c>
      <c r="X20" s="111">
        <f t="shared" si="12"/>
        <v>1200</v>
      </c>
      <c r="Y20" s="111">
        <f t="shared" si="12"/>
        <v>1200</v>
      </c>
      <c r="Z20" s="111">
        <f t="shared" si="12"/>
        <v>1200</v>
      </c>
      <c r="AA20" s="113">
        <v>33</v>
      </c>
      <c r="AB20" s="113">
        <v>120</v>
      </c>
      <c r="AC20" s="113">
        <v>120</v>
      </c>
      <c r="AD20" s="113">
        <v>120</v>
      </c>
      <c r="AE20" s="113">
        <v>120</v>
      </c>
    </row>
    <row r="21" spans="1:31" x14ac:dyDescent="0.25">
      <c r="A21">
        <v>34</v>
      </c>
      <c r="B21">
        <f t="shared" si="9"/>
        <v>979</v>
      </c>
      <c r="C21">
        <f t="shared" si="9"/>
        <v>863</v>
      </c>
      <c r="D21">
        <f t="shared" si="9"/>
        <v>1242</v>
      </c>
      <c r="E21">
        <f t="shared" si="9"/>
        <v>1000</v>
      </c>
      <c r="G21" s="104">
        <v>34</v>
      </c>
      <c r="H21" s="106">
        <v>979</v>
      </c>
      <c r="I21" s="106">
        <v>863</v>
      </c>
      <c r="J21" s="106">
        <v>1242</v>
      </c>
      <c r="K21" s="106">
        <v>1000</v>
      </c>
      <c r="L21" s="107">
        <v>34</v>
      </c>
      <c r="M21" s="107">
        <f t="shared" si="10"/>
        <v>360</v>
      </c>
      <c r="N21" s="107">
        <f t="shared" si="6"/>
        <v>360</v>
      </c>
      <c r="O21" s="107">
        <f t="shared" si="6"/>
        <v>360</v>
      </c>
      <c r="P21" s="107">
        <f t="shared" si="6"/>
        <v>360</v>
      </c>
      <c r="Q21" s="109">
        <v>34</v>
      </c>
      <c r="R21" s="109">
        <f t="shared" si="11"/>
        <v>600</v>
      </c>
      <c r="S21" s="109">
        <f t="shared" si="7"/>
        <v>600</v>
      </c>
      <c r="T21" s="109">
        <f t="shared" si="7"/>
        <v>600</v>
      </c>
      <c r="U21" s="109">
        <f t="shared" si="7"/>
        <v>600</v>
      </c>
      <c r="V21" s="111">
        <v>34</v>
      </c>
      <c r="W21" s="111">
        <f t="shared" si="12"/>
        <v>1200</v>
      </c>
      <c r="X21" s="111">
        <f t="shared" si="12"/>
        <v>1200</v>
      </c>
      <c r="Y21" s="111">
        <f t="shared" si="12"/>
        <v>1200</v>
      </c>
      <c r="Z21" s="111">
        <f t="shared" si="12"/>
        <v>1200</v>
      </c>
      <c r="AA21" s="113">
        <v>34</v>
      </c>
      <c r="AB21" s="113">
        <v>120</v>
      </c>
      <c r="AC21" s="113">
        <v>120</v>
      </c>
      <c r="AD21" s="113">
        <v>120</v>
      </c>
      <c r="AE21" s="113">
        <v>120</v>
      </c>
    </row>
    <row r="22" spans="1:31" x14ac:dyDescent="0.25">
      <c r="A22">
        <v>35</v>
      </c>
      <c r="B22">
        <f t="shared" si="9"/>
        <v>1020</v>
      </c>
      <c r="C22">
        <f t="shared" si="9"/>
        <v>924</v>
      </c>
      <c r="D22">
        <f t="shared" si="9"/>
        <v>1332</v>
      </c>
      <c r="E22">
        <f t="shared" si="9"/>
        <v>1068</v>
      </c>
      <c r="G22" s="104">
        <v>35</v>
      </c>
      <c r="H22" s="106">
        <v>1020</v>
      </c>
      <c r="I22" s="106">
        <v>924</v>
      </c>
      <c r="J22" s="106">
        <v>1332</v>
      </c>
      <c r="K22" s="106">
        <v>1068</v>
      </c>
      <c r="L22" s="107">
        <v>35</v>
      </c>
      <c r="M22" s="107">
        <f t="shared" si="10"/>
        <v>360</v>
      </c>
      <c r="N22" s="107">
        <f t="shared" si="6"/>
        <v>360</v>
      </c>
      <c r="O22" s="107">
        <f t="shared" si="6"/>
        <v>360</v>
      </c>
      <c r="P22" s="107">
        <f t="shared" si="6"/>
        <v>360</v>
      </c>
      <c r="Q22" s="109">
        <v>35</v>
      </c>
      <c r="R22" s="109">
        <f t="shared" si="11"/>
        <v>600</v>
      </c>
      <c r="S22" s="109">
        <f t="shared" si="7"/>
        <v>600</v>
      </c>
      <c r="T22" s="109">
        <f t="shared" si="7"/>
        <v>600</v>
      </c>
      <c r="U22" s="109">
        <f t="shared" si="7"/>
        <v>600</v>
      </c>
      <c r="V22" s="111">
        <v>35</v>
      </c>
      <c r="W22" s="111">
        <f t="shared" si="12"/>
        <v>1200</v>
      </c>
      <c r="X22" s="111">
        <f t="shared" si="12"/>
        <v>1200</v>
      </c>
      <c r="Y22" s="111">
        <f t="shared" si="12"/>
        <v>1200</v>
      </c>
      <c r="Z22" s="111">
        <f t="shared" si="12"/>
        <v>1200</v>
      </c>
      <c r="AA22" s="113">
        <v>35</v>
      </c>
      <c r="AB22" s="113">
        <v>120</v>
      </c>
      <c r="AC22" s="113">
        <v>120</v>
      </c>
      <c r="AD22" s="113">
        <v>120</v>
      </c>
      <c r="AE22" s="113">
        <v>120</v>
      </c>
    </row>
    <row r="23" spans="1:31" x14ac:dyDescent="0.25">
      <c r="A23">
        <v>36</v>
      </c>
      <c r="B23">
        <f t="shared" si="9"/>
        <v>1077</v>
      </c>
      <c r="C23">
        <f t="shared" si="9"/>
        <v>946</v>
      </c>
      <c r="D23">
        <f t="shared" si="9"/>
        <v>1389</v>
      </c>
      <c r="E23">
        <f t="shared" si="9"/>
        <v>1103</v>
      </c>
      <c r="G23" s="104">
        <v>36</v>
      </c>
      <c r="H23" s="106">
        <v>1077</v>
      </c>
      <c r="I23" s="106">
        <v>946</v>
      </c>
      <c r="J23" s="106">
        <v>1389</v>
      </c>
      <c r="K23" s="106">
        <v>1103</v>
      </c>
      <c r="L23" s="107">
        <v>36</v>
      </c>
      <c r="M23" s="107">
        <f t="shared" si="10"/>
        <v>360</v>
      </c>
      <c r="N23" s="107">
        <f t="shared" si="6"/>
        <v>360</v>
      </c>
      <c r="O23" s="107">
        <f t="shared" si="6"/>
        <v>360</v>
      </c>
      <c r="P23" s="107">
        <f t="shared" si="6"/>
        <v>360</v>
      </c>
      <c r="Q23" s="109">
        <v>36</v>
      </c>
      <c r="R23" s="109">
        <f t="shared" si="11"/>
        <v>600</v>
      </c>
      <c r="S23" s="109">
        <f t="shared" si="7"/>
        <v>600</v>
      </c>
      <c r="T23" s="109">
        <f t="shared" si="7"/>
        <v>600</v>
      </c>
      <c r="U23" s="109">
        <f t="shared" si="7"/>
        <v>600</v>
      </c>
      <c r="V23" s="111">
        <v>36</v>
      </c>
      <c r="W23" s="111">
        <f t="shared" si="12"/>
        <v>1200</v>
      </c>
      <c r="X23" s="111">
        <f t="shared" si="12"/>
        <v>1200</v>
      </c>
      <c r="Y23" s="111">
        <f t="shared" si="12"/>
        <v>1200</v>
      </c>
      <c r="Z23" s="111">
        <f t="shared" si="12"/>
        <v>1200</v>
      </c>
      <c r="AA23" s="113">
        <v>36</v>
      </c>
      <c r="AB23" s="113">
        <v>120</v>
      </c>
      <c r="AC23" s="113">
        <v>120</v>
      </c>
      <c r="AD23" s="113">
        <v>120</v>
      </c>
      <c r="AE23" s="113">
        <v>120</v>
      </c>
    </row>
    <row r="24" spans="1:31" x14ac:dyDescent="0.25">
      <c r="A24">
        <v>37</v>
      </c>
      <c r="B24">
        <f t="shared" si="9"/>
        <v>1131</v>
      </c>
      <c r="C24">
        <f t="shared" si="9"/>
        <v>992</v>
      </c>
      <c r="D24">
        <f t="shared" si="9"/>
        <v>1470</v>
      </c>
      <c r="E24">
        <f t="shared" si="9"/>
        <v>1161</v>
      </c>
      <c r="G24" s="104">
        <v>37</v>
      </c>
      <c r="H24" s="106">
        <v>1131</v>
      </c>
      <c r="I24" s="106">
        <v>992</v>
      </c>
      <c r="J24" s="106">
        <v>1470</v>
      </c>
      <c r="K24" s="106">
        <v>1161</v>
      </c>
      <c r="L24" s="107">
        <v>37</v>
      </c>
      <c r="M24" s="107">
        <f t="shared" si="10"/>
        <v>360</v>
      </c>
      <c r="N24" s="107">
        <f t="shared" si="6"/>
        <v>360</v>
      </c>
      <c r="O24" s="107">
        <f t="shared" si="6"/>
        <v>360</v>
      </c>
      <c r="P24" s="107">
        <f t="shared" si="6"/>
        <v>360</v>
      </c>
      <c r="Q24" s="109">
        <v>37</v>
      </c>
      <c r="R24" s="109">
        <f t="shared" si="11"/>
        <v>600</v>
      </c>
      <c r="S24" s="109">
        <f t="shared" si="7"/>
        <v>600</v>
      </c>
      <c r="T24" s="109">
        <f t="shared" si="7"/>
        <v>600</v>
      </c>
      <c r="U24" s="109">
        <f t="shared" si="7"/>
        <v>600</v>
      </c>
      <c r="V24" s="111">
        <v>37</v>
      </c>
      <c r="W24" s="111">
        <f t="shared" si="12"/>
        <v>1200</v>
      </c>
      <c r="X24" s="111">
        <f t="shared" si="12"/>
        <v>1200</v>
      </c>
      <c r="Y24" s="111">
        <f t="shared" si="12"/>
        <v>1200</v>
      </c>
      <c r="Z24" s="111">
        <f t="shared" si="12"/>
        <v>1200</v>
      </c>
      <c r="AA24" s="113">
        <v>37</v>
      </c>
      <c r="AB24" s="113">
        <v>120</v>
      </c>
      <c r="AC24" s="113">
        <v>120</v>
      </c>
      <c r="AD24" s="113">
        <v>120</v>
      </c>
      <c r="AE24" s="113">
        <v>120</v>
      </c>
    </row>
    <row r="25" spans="1:31" x14ac:dyDescent="0.25">
      <c r="A25">
        <v>38</v>
      </c>
      <c r="B25">
        <f t="shared" si="9"/>
        <v>1188</v>
      </c>
      <c r="C25">
        <f t="shared" si="9"/>
        <v>1043</v>
      </c>
      <c r="D25">
        <f t="shared" si="9"/>
        <v>1556</v>
      </c>
      <c r="E25">
        <f t="shared" si="9"/>
        <v>1224</v>
      </c>
      <c r="G25" s="104">
        <v>38</v>
      </c>
      <c r="H25" s="106">
        <v>1188</v>
      </c>
      <c r="I25" s="106">
        <v>1043</v>
      </c>
      <c r="J25" s="106">
        <v>1556</v>
      </c>
      <c r="K25" s="106">
        <v>1224</v>
      </c>
      <c r="L25" s="107">
        <v>38</v>
      </c>
      <c r="M25" s="107">
        <f t="shared" si="10"/>
        <v>360</v>
      </c>
      <c r="N25" s="107">
        <f t="shared" si="10"/>
        <v>360</v>
      </c>
      <c r="O25" s="107">
        <f t="shared" si="10"/>
        <v>360</v>
      </c>
      <c r="P25" s="107">
        <f t="shared" si="10"/>
        <v>360</v>
      </c>
      <c r="Q25" s="109">
        <v>38</v>
      </c>
      <c r="R25" s="109">
        <f t="shared" si="11"/>
        <v>600</v>
      </c>
      <c r="S25" s="109">
        <f t="shared" si="11"/>
        <v>600</v>
      </c>
      <c r="T25" s="109">
        <f t="shared" si="11"/>
        <v>600</v>
      </c>
      <c r="U25" s="109">
        <f t="shared" si="11"/>
        <v>600</v>
      </c>
      <c r="V25" s="111">
        <v>38</v>
      </c>
      <c r="W25" s="111">
        <f t="shared" si="12"/>
        <v>1200</v>
      </c>
      <c r="X25" s="111">
        <f t="shared" si="12"/>
        <v>1200</v>
      </c>
      <c r="Y25" s="111">
        <f t="shared" si="12"/>
        <v>1200</v>
      </c>
      <c r="Z25" s="111">
        <f t="shared" si="12"/>
        <v>1200</v>
      </c>
      <c r="AA25" s="113">
        <v>38</v>
      </c>
      <c r="AB25" s="113">
        <v>120</v>
      </c>
      <c r="AC25" s="113">
        <v>120</v>
      </c>
      <c r="AD25" s="113">
        <v>120</v>
      </c>
      <c r="AE25" s="113">
        <v>120</v>
      </c>
    </row>
    <row r="26" spans="1:31" x14ac:dyDescent="0.25">
      <c r="A26">
        <v>39</v>
      </c>
      <c r="B26">
        <f t="shared" si="9"/>
        <v>1250</v>
      </c>
      <c r="C26">
        <f t="shared" si="9"/>
        <v>1096</v>
      </c>
      <c r="D26">
        <f t="shared" si="9"/>
        <v>1648</v>
      </c>
      <c r="E26">
        <f t="shared" si="9"/>
        <v>1291</v>
      </c>
      <c r="G26" s="104">
        <v>39</v>
      </c>
      <c r="H26" s="106">
        <v>1250</v>
      </c>
      <c r="I26" s="106">
        <v>1096</v>
      </c>
      <c r="J26" s="106">
        <v>1648</v>
      </c>
      <c r="K26" s="106">
        <v>1291</v>
      </c>
      <c r="L26" s="107">
        <v>39</v>
      </c>
      <c r="M26" s="107">
        <f t="shared" ref="M26:P52" si="13">30*12</f>
        <v>360</v>
      </c>
      <c r="N26" s="107">
        <f t="shared" si="13"/>
        <v>360</v>
      </c>
      <c r="O26" s="107">
        <f t="shared" si="13"/>
        <v>360</v>
      </c>
      <c r="P26" s="107">
        <f t="shared" si="13"/>
        <v>360</v>
      </c>
      <c r="Q26" s="109">
        <v>39</v>
      </c>
      <c r="R26" s="109">
        <f t="shared" ref="R26:U52" si="14">50*12</f>
        <v>600</v>
      </c>
      <c r="S26" s="109">
        <f t="shared" si="14"/>
        <v>600</v>
      </c>
      <c r="T26" s="109">
        <f t="shared" si="14"/>
        <v>600</v>
      </c>
      <c r="U26" s="109">
        <f t="shared" si="14"/>
        <v>600</v>
      </c>
      <c r="V26" s="111">
        <v>39</v>
      </c>
      <c r="W26" s="111">
        <f t="shared" si="12"/>
        <v>1200</v>
      </c>
      <c r="X26" s="111">
        <f t="shared" si="12"/>
        <v>1200</v>
      </c>
      <c r="Y26" s="111">
        <f t="shared" si="12"/>
        <v>1200</v>
      </c>
      <c r="Z26" s="111">
        <f t="shared" si="12"/>
        <v>1200</v>
      </c>
      <c r="AA26" s="113">
        <v>39</v>
      </c>
      <c r="AB26" s="113">
        <v>120</v>
      </c>
      <c r="AC26" s="113">
        <v>120</v>
      </c>
      <c r="AD26" s="113">
        <v>120</v>
      </c>
      <c r="AE26" s="113">
        <v>120</v>
      </c>
    </row>
    <row r="27" spans="1:31" x14ac:dyDescent="0.25">
      <c r="A27">
        <v>40</v>
      </c>
      <c r="B27">
        <f t="shared" si="9"/>
        <v>1296</v>
      </c>
      <c r="C27">
        <f t="shared" si="9"/>
        <v>1128</v>
      </c>
      <c r="D27">
        <f t="shared" si="9"/>
        <v>1740</v>
      </c>
      <c r="E27">
        <f t="shared" si="9"/>
        <v>1356</v>
      </c>
      <c r="G27" s="104">
        <v>40</v>
      </c>
      <c r="H27" s="106">
        <v>1296</v>
      </c>
      <c r="I27" s="106">
        <v>1128</v>
      </c>
      <c r="J27" s="106">
        <v>1740</v>
      </c>
      <c r="K27" s="106">
        <v>1356</v>
      </c>
      <c r="L27" s="107">
        <v>40</v>
      </c>
      <c r="M27" s="107">
        <f t="shared" si="13"/>
        <v>360</v>
      </c>
      <c r="N27" s="107">
        <f t="shared" si="13"/>
        <v>360</v>
      </c>
      <c r="O27" s="107">
        <f t="shared" si="13"/>
        <v>360</v>
      </c>
      <c r="P27" s="107">
        <f t="shared" si="13"/>
        <v>360</v>
      </c>
      <c r="Q27" s="109">
        <v>40</v>
      </c>
      <c r="R27" s="109">
        <f t="shared" si="14"/>
        <v>600</v>
      </c>
      <c r="S27" s="109">
        <f t="shared" si="14"/>
        <v>600</v>
      </c>
      <c r="T27" s="109">
        <f t="shared" si="14"/>
        <v>600</v>
      </c>
      <c r="U27" s="109">
        <f t="shared" si="14"/>
        <v>600</v>
      </c>
      <c r="V27" s="111">
        <v>40</v>
      </c>
      <c r="W27" s="111">
        <f t="shared" si="12"/>
        <v>1200</v>
      </c>
      <c r="X27" s="111">
        <f t="shared" si="12"/>
        <v>1200</v>
      </c>
      <c r="Y27" s="111">
        <f t="shared" si="12"/>
        <v>1200</v>
      </c>
      <c r="Z27" s="111">
        <f t="shared" si="12"/>
        <v>1200</v>
      </c>
      <c r="AA27" s="113">
        <v>40</v>
      </c>
      <c r="AB27" s="113">
        <v>120</v>
      </c>
      <c r="AC27" s="113">
        <v>120</v>
      </c>
      <c r="AD27" s="113">
        <v>120</v>
      </c>
      <c r="AE27" s="113">
        <v>120</v>
      </c>
    </row>
    <row r="28" spans="1:31" x14ac:dyDescent="0.25">
      <c r="A28">
        <v>41</v>
      </c>
      <c r="B28">
        <f t="shared" si="9"/>
        <v>1384</v>
      </c>
      <c r="C28">
        <f t="shared" si="9"/>
        <v>1213</v>
      </c>
      <c r="D28">
        <f t="shared" si="9"/>
        <v>1848</v>
      </c>
      <c r="E28">
        <f t="shared" si="9"/>
        <v>1438</v>
      </c>
      <c r="G28" s="104">
        <v>41</v>
      </c>
      <c r="H28" s="106">
        <v>1384</v>
      </c>
      <c r="I28" s="106">
        <v>1213</v>
      </c>
      <c r="J28" s="106">
        <v>1848</v>
      </c>
      <c r="K28" s="106">
        <v>1438</v>
      </c>
      <c r="L28" s="107">
        <v>41</v>
      </c>
      <c r="M28" s="107">
        <f t="shared" si="13"/>
        <v>360</v>
      </c>
      <c r="N28" s="107">
        <f t="shared" si="13"/>
        <v>360</v>
      </c>
      <c r="O28" s="107">
        <f t="shared" si="13"/>
        <v>360</v>
      </c>
      <c r="P28" s="107">
        <f t="shared" si="13"/>
        <v>360</v>
      </c>
      <c r="Q28" s="109">
        <v>41</v>
      </c>
      <c r="R28" s="109">
        <f t="shared" si="14"/>
        <v>600</v>
      </c>
      <c r="S28" s="109">
        <f t="shared" si="14"/>
        <v>600</v>
      </c>
      <c r="T28" s="109">
        <f t="shared" si="14"/>
        <v>600</v>
      </c>
      <c r="U28" s="109">
        <f t="shared" si="14"/>
        <v>600</v>
      </c>
      <c r="V28" s="111">
        <v>41</v>
      </c>
      <c r="W28" s="111">
        <f t="shared" si="12"/>
        <v>1200</v>
      </c>
      <c r="X28" s="111">
        <f t="shared" si="12"/>
        <v>1200</v>
      </c>
      <c r="Y28" s="111">
        <f t="shared" si="12"/>
        <v>1200</v>
      </c>
      <c r="Z28" s="111">
        <f t="shared" si="12"/>
        <v>1200</v>
      </c>
      <c r="AA28" s="113">
        <v>41</v>
      </c>
      <c r="AB28" s="113">
        <v>120</v>
      </c>
      <c r="AC28" s="113">
        <v>120</v>
      </c>
      <c r="AD28" s="113">
        <v>120</v>
      </c>
      <c r="AE28" s="113">
        <v>120</v>
      </c>
    </row>
    <row r="29" spans="1:31" x14ac:dyDescent="0.25">
      <c r="A29">
        <v>42</v>
      </c>
      <c r="B29">
        <f t="shared" si="9"/>
        <v>1456</v>
      </c>
      <c r="C29">
        <f t="shared" si="9"/>
        <v>1277</v>
      </c>
      <c r="D29">
        <f t="shared" si="9"/>
        <v>1956</v>
      </c>
      <c r="E29">
        <f t="shared" si="9"/>
        <v>1518</v>
      </c>
      <c r="G29" s="104">
        <v>42</v>
      </c>
      <c r="H29" s="106">
        <v>1456</v>
      </c>
      <c r="I29" s="106">
        <v>1277</v>
      </c>
      <c r="J29" s="106">
        <v>1956</v>
      </c>
      <c r="K29" s="106">
        <v>1518</v>
      </c>
      <c r="L29" s="107">
        <v>42</v>
      </c>
      <c r="M29" s="107">
        <f t="shared" si="13"/>
        <v>360</v>
      </c>
      <c r="N29" s="107">
        <f t="shared" si="13"/>
        <v>360</v>
      </c>
      <c r="O29" s="107">
        <f t="shared" si="13"/>
        <v>360</v>
      </c>
      <c r="P29" s="107">
        <f t="shared" si="13"/>
        <v>360</v>
      </c>
      <c r="Q29" s="109">
        <v>42</v>
      </c>
      <c r="R29" s="109">
        <f t="shared" si="14"/>
        <v>600</v>
      </c>
      <c r="S29" s="109">
        <f t="shared" si="14"/>
        <v>600</v>
      </c>
      <c r="T29" s="109">
        <f t="shared" si="14"/>
        <v>600</v>
      </c>
      <c r="U29" s="109">
        <f t="shared" si="14"/>
        <v>600</v>
      </c>
      <c r="V29" s="111">
        <v>42</v>
      </c>
      <c r="W29" s="111">
        <f t="shared" si="12"/>
        <v>1200</v>
      </c>
      <c r="X29" s="111">
        <f t="shared" si="12"/>
        <v>1200</v>
      </c>
      <c r="Y29" s="111">
        <f t="shared" si="12"/>
        <v>1200</v>
      </c>
      <c r="Z29" s="111">
        <f t="shared" si="12"/>
        <v>1200</v>
      </c>
      <c r="AA29" s="113">
        <v>42</v>
      </c>
      <c r="AB29" s="113">
        <v>120</v>
      </c>
      <c r="AC29" s="113">
        <v>120</v>
      </c>
      <c r="AD29" s="113">
        <v>120</v>
      </c>
      <c r="AE29" s="113">
        <v>120</v>
      </c>
    </row>
    <row r="30" spans="1:31" x14ac:dyDescent="0.25">
      <c r="A30">
        <v>43</v>
      </c>
      <c r="B30">
        <f t="shared" si="9"/>
        <v>1532</v>
      </c>
      <c r="C30">
        <f t="shared" si="9"/>
        <v>1344</v>
      </c>
      <c r="D30">
        <f t="shared" si="9"/>
        <v>2070</v>
      </c>
      <c r="E30">
        <f t="shared" si="9"/>
        <v>1603</v>
      </c>
      <c r="G30" s="104">
        <v>43</v>
      </c>
      <c r="H30" s="106">
        <v>1532</v>
      </c>
      <c r="I30" s="106">
        <v>1344</v>
      </c>
      <c r="J30" s="106">
        <v>2070</v>
      </c>
      <c r="K30" s="106">
        <v>1603</v>
      </c>
      <c r="L30" s="107">
        <v>43</v>
      </c>
      <c r="M30" s="107">
        <f t="shared" si="13"/>
        <v>360</v>
      </c>
      <c r="N30" s="107">
        <f t="shared" si="13"/>
        <v>360</v>
      </c>
      <c r="O30" s="107">
        <f t="shared" si="13"/>
        <v>360</v>
      </c>
      <c r="P30" s="107">
        <f t="shared" si="13"/>
        <v>360</v>
      </c>
      <c r="Q30" s="109">
        <v>43</v>
      </c>
      <c r="R30" s="109">
        <f t="shared" si="14"/>
        <v>600</v>
      </c>
      <c r="S30" s="109">
        <f t="shared" si="14"/>
        <v>600</v>
      </c>
      <c r="T30" s="109">
        <f t="shared" si="14"/>
        <v>600</v>
      </c>
      <c r="U30" s="109">
        <f t="shared" si="14"/>
        <v>600</v>
      </c>
      <c r="V30" s="111">
        <v>43</v>
      </c>
      <c r="W30" s="111">
        <f t="shared" si="12"/>
        <v>1200</v>
      </c>
      <c r="X30" s="111">
        <f t="shared" si="12"/>
        <v>1200</v>
      </c>
      <c r="Y30" s="111">
        <f t="shared" si="12"/>
        <v>1200</v>
      </c>
      <c r="Z30" s="111">
        <f t="shared" si="12"/>
        <v>1200</v>
      </c>
      <c r="AA30" s="113">
        <v>43</v>
      </c>
      <c r="AB30" s="113">
        <v>120</v>
      </c>
      <c r="AC30" s="113">
        <v>120</v>
      </c>
      <c r="AD30" s="113">
        <v>120</v>
      </c>
      <c r="AE30" s="113">
        <v>120</v>
      </c>
    </row>
    <row r="31" spans="1:31" x14ac:dyDescent="0.25">
      <c r="A31">
        <v>44</v>
      </c>
      <c r="B31">
        <f t="shared" si="9"/>
        <v>1612</v>
      </c>
      <c r="C31">
        <f t="shared" si="9"/>
        <v>1415</v>
      </c>
      <c r="D31">
        <f t="shared" si="9"/>
        <v>2188</v>
      </c>
      <c r="E31">
        <f t="shared" si="9"/>
        <v>1692</v>
      </c>
      <c r="G31" s="104">
        <v>44</v>
      </c>
      <c r="H31" s="106">
        <v>1612</v>
      </c>
      <c r="I31" s="106">
        <v>1415</v>
      </c>
      <c r="J31" s="106">
        <v>2188</v>
      </c>
      <c r="K31" s="106">
        <v>1692</v>
      </c>
      <c r="L31" s="107">
        <v>44</v>
      </c>
      <c r="M31" s="107">
        <f t="shared" si="13"/>
        <v>360</v>
      </c>
      <c r="N31" s="107">
        <f t="shared" si="13"/>
        <v>360</v>
      </c>
      <c r="O31" s="107">
        <f t="shared" si="13"/>
        <v>360</v>
      </c>
      <c r="P31" s="107">
        <f t="shared" si="13"/>
        <v>360</v>
      </c>
      <c r="Q31" s="109">
        <v>44</v>
      </c>
      <c r="R31" s="109">
        <f t="shared" si="14"/>
        <v>600</v>
      </c>
      <c r="S31" s="109">
        <f t="shared" si="14"/>
        <v>600</v>
      </c>
      <c r="T31" s="109">
        <f t="shared" si="14"/>
        <v>600</v>
      </c>
      <c r="U31" s="109">
        <f t="shared" si="14"/>
        <v>600</v>
      </c>
      <c r="V31" s="111">
        <v>44</v>
      </c>
      <c r="W31" s="111">
        <f t="shared" si="12"/>
        <v>1200</v>
      </c>
      <c r="X31" s="111">
        <f t="shared" si="12"/>
        <v>1200</v>
      </c>
      <c r="Y31" s="111">
        <f t="shared" si="12"/>
        <v>1200</v>
      </c>
      <c r="Z31" s="111">
        <f t="shared" si="12"/>
        <v>1200</v>
      </c>
      <c r="AA31" s="113">
        <v>44</v>
      </c>
      <c r="AB31" s="113">
        <v>120</v>
      </c>
      <c r="AC31" s="113">
        <v>120</v>
      </c>
      <c r="AD31" s="113">
        <v>120</v>
      </c>
      <c r="AE31" s="113">
        <v>120</v>
      </c>
    </row>
    <row r="32" spans="1:31" x14ac:dyDescent="0.25">
      <c r="A32">
        <v>45</v>
      </c>
      <c r="B32">
        <f t="shared" si="9"/>
        <v>1692</v>
      </c>
      <c r="C32">
        <f t="shared" si="9"/>
        <v>1464</v>
      </c>
      <c r="D32">
        <f t="shared" si="9"/>
        <v>2292</v>
      </c>
      <c r="E32">
        <f t="shared" si="9"/>
        <v>1764</v>
      </c>
      <c r="G32" s="104">
        <v>45</v>
      </c>
      <c r="H32" s="106">
        <v>1692</v>
      </c>
      <c r="I32" s="106">
        <v>1464</v>
      </c>
      <c r="J32" s="106">
        <v>2292</v>
      </c>
      <c r="K32" s="106">
        <v>1764</v>
      </c>
      <c r="L32" s="107">
        <v>45</v>
      </c>
      <c r="M32" s="107">
        <f t="shared" si="13"/>
        <v>360</v>
      </c>
      <c r="N32" s="107">
        <f t="shared" si="13"/>
        <v>360</v>
      </c>
      <c r="O32" s="107">
        <f t="shared" si="13"/>
        <v>360</v>
      </c>
      <c r="P32" s="107">
        <f t="shared" si="13"/>
        <v>360</v>
      </c>
      <c r="Q32" s="109">
        <v>45</v>
      </c>
      <c r="R32" s="109">
        <f t="shared" si="14"/>
        <v>600</v>
      </c>
      <c r="S32" s="109">
        <f t="shared" si="14"/>
        <v>600</v>
      </c>
      <c r="T32" s="109">
        <f t="shared" si="14"/>
        <v>600</v>
      </c>
      <c r="U32" s="109">
        <f t="shared" si="14"/>
        <v>600</v>
      </c>
      <c r="V32" s="111">
        <v>45</v>
      </c>
      <c r="W32" s="111">
        <f t="shared" si="12"/>
        <v>1200</v>
      </c>
      <c r="X32" s="111">
        <f t="shared" si="12"/>
        <v>1200</v>
      </c>
      <c r="Y32" s="111">
        <f t="shared" si="12"/>
        <v>1200</v>
      </c>
      <c r="Z32" s="111">
        <f t="shared" si="12"/>
        <v>1200</v>
      </c>
      <c r="AA32" s="113">
        <v>45</v>
      </c>
      <c r="AB32" s="113">
        <v>120</v>
      </c>
      <c r="AC32" s="113">
        <v>120</v>
      </c>
      <c r="AD32" s="113">
        <v>120</v>
      </c>
      <c r="AE32" s="113">
        <v>120</v>
      </c>
    </row>
    <row r="33" spans="1:31" x14ac:dyDescent="0.25">
      <c r="A33">
        <v>46</v>
      </c>
      <c r="B33">
        <f t="shared" si="9"/>
        <v>1783</v>
      </c>
      <c r="C33">
        <f t="shared" si="9"/>
        <v>1566</v>
      </c>
      <c r="D33">
        <f t="shared" si="9"/>
        <v>2442</v>
      </c>
      <c r="E33">
        <f t="shared" si="9"/>
        <v>1883</v>
      </c>
      <c r="G33" s="104">
        <v>46</v>
      </c>
      <c r="H33" s="106">
        <v>1783</v>
      </c>
      <c r="I33" s="106">
        <v>1566</v>
      </c>
      <c r="J33" s="106">
        <v>2442</v>
      </c>
      <c r="K33" s="106">
        <v>1883</v>
      </c>
      <c r="L33" s="107">
        <v>46</v>
      </c>
      <c r="M33" s="107">
        <f t="shared" si="13"/>
        <v>360</v>
      </c>
      <c r="N33" s="107">
        <f t="shared" si="13"/>
        <v>360</v>
      </c>
      <c r="O33" s="107">
        <f t="shared" si="13"/>
        <v>360</v>
      </c>
      <c r="P33" s="107">
        <f t="shared" si="13"/>
        <v>360</v>
      </c>
      <c r="Q33" s="109">
        <v>46</v>
      </c>
      <c r="R33" s="109">
        <f t="shared" si="14"/>
        <v>600</v>
      </c>
      <c r="S33" s="109">
        <f t="shared" si="14"/>
        <v>600</v>
      </c>
      <c r="T33" s="109">
        <f t="shared" si="14"/>
        <v>600</v>
      </c>
      <c r="U33" s="109">
        <f t="shared" si="14"/>
        <v>600</v>
      </c>
      <c r="V33" s="111">
        <v>46</v>
      </c>
      <c r="W33" s="111">
        <f t="shared" si="12"/>
        <v>1200</v>
      </c>
      <c r="X33" s="111">
        <f t="shared" si="12"/>
        <v>1200</v>
      </c>
      <c r="Y33" s="111">
        <f t="shared" si="12"/>
        <v>1200</v>
      </c>
      <c r="Z33" s="111">
        <f t="shared" si="12"/>
        <v>1200</v>
      </c>
      <c r="AA33" s="113">
        <v>46</v>
      </c>
      <c r="AB33" s="113">
        <v>120</v>
      </c>
      <c r="AC33" s="113">
        <v>120</v>
      </c>
      <c r="AD33" s="113">
        <v>120</v>
      </c>
      <c r="AE33" s="113">
        <v>120</v>
      </c>
    </row>
    <row r="34" spans="1:31" x14ac:dyDescent="0.25">
      <c r="A34">
        <v>47</v>
      </c>
      <c r="B34">
        <f t="shared" si="9"/>
        <v>1873</v>
      </c>
      <c r="C34">
        <f t="shared" si="9"/>
        <v>1647</v>
      </c>
      <c r="D34">
        <f t="shared" si="9"/>
        <v>2577</v>
      </c>
      <c r="E34">
        <f t="shared" si="9"/>
        <v>1985</v>
      </c>
      <c r="G34" s="104">
        <v>47</v>
      </c>
      <c r="H34" s="106">
        <v>1873</v>
      </c>
      <c r="I34" s="106">
        <v>1647</v>
      </c>
      <c r="J34" s="106">
        <v>2577</v>
      </c>
      <c r="K34" s="106">
        <v>1985</v>
      </c>
      <c r="L34" s="107">
        <v>47</v>
      </c>
      <c r="M34" s="107">
        <f t="shared" si="13"/>
        <v>360</v>
      </c>
      <c r="N34" s="107">
        <f t="shared" si="13"/>
        <v>360</v>
      </c>
      <c r="O34" s="107">
        <f t="shared" si="13"/>
        <v>360</v>
      </c>
      <c r="P34" s="107">
        <f t="shared" si="13"/>
        <v>360</v>
      </c>
      <c r="Q34" s="109">
        <v>47</v>
      </c>
      <c r="R34" s="109">
        <f t="shared" si="14"/>
        <v>600</v>
      </c>
      <c r="S34" s="109">
        <f t="shared" si="14"/>
        <v>600</v>
      </c>
      <c r="T34" s="109">
        <f t="shared" si="14"/>
        <v>600</v>
      </c>
      <c r="U34" s="109">
        <f t="shared" si="14"/>
        <v>600</v>
      </c>
      <c r="V34" s="111">
        <v>47</v>
      </c>
      <c r="W34" s="111">
        <f t="shared" si="12"/>
        <v>1200</v>
      </c>
      <c r="X34" s="111">
        <f t="shared" si="12"/>
        <v>1200</v>
      </c>
      <c r="Y34" s="111">
        <f t="shared" si="12"/>
        <v>1200</v>
      </c>
      <c r="Z34" s="111">
        <f t="shared" si="12"/>
        <v>1200</v>
      </c>
      <c r="AA34" s="113">
        <v>47</v>
      </c>
      <c r="AB34" s="113">
        <v>120</v>
      </c>
      <c r="AC34" s="113">
        <v>120</v>
      </c>
      <c r="AD34" s="113">
        <v>120</v>
      </c>
      <c r="AE34" s="113">
        <v>120</v>
      </c>
    </row>
    <row r="35" spans="1:31" x14ac:dyDescent="0.25">
      <c r="A35">
        <v>48</v>
      </c>
      <c r="B35">
        <f t="shared" si="9"/>
        <v>1968</v>
      </c>
      <c r="C35">
        <f t="shared" si="9"/>
        <v>1732</v>
      </c>
      <c r="D35">
        <f t="shared" si="9"/>
        <v>2717</v>
      </c>
      <c r="E35">
        <f t="shared" si="9"/>
        <v>2092</v>
      </c>
      <c r="G35" s="104">
        <v>48</v>
      </c>
      <c r="H35" s="106">
        <v>1968</v>
      </c>
      <c r="I35" s="106">
        <v>1732</v>
      </c>
      <c r="J35" s="106">
        <v>2717</v>
      </c>
      <c r="K35" s="106">
        <v>2092</v>
      </c>
      <c r="L35" s="107">
        <v>48</v>
      </c>
      <c r="M35" s="107">
        <f t="shared" si="13"/>
        <v>360</v>
      </c>
      <c r="N35" s="107">
        <f t="shared" si="13"/>
        <v>360</v>
      </c>
      <c r="O35" s="107">
        <f t="shared" si="13"/>
        <v>360</v>
      </c>
      <c r="P35" s="107">
        <f t="shared" si="13"/>
        <v>360</v>
      </c>
      <c r="Q35" s="109">
        <v>48</v>
      </c>
      <c r="R35" s="109">
        <f t="shared" si="14"/>
        <v>600</v>
      </c>
      <c r="S35" s="109">
        <f t="shared" si="14"/>
        <v>600</v>
      </c>
      <c r="T35" s="109">
        <f t="shared" si="14"/>
        <v>600</v>
      </c>
      <c r="U35" s="109">
        <f t="shared" si="14"/>
        <v>600</v>
      </c>
      <c r="V35" s="111">
        <v>48</v>
      </c>
      <c r="W35" s="111">
        <f t="shared" si="12"/>
        <v>1200</v>
      </c>
      <c r="X35" s="111">
        <f t="shared" si="12"/>
        <v>1200</v>
      </c>
      <c r="Y35" s="111">
        <f t="shared" si="12"/>
        <v>1200</v>
      </c>
      <c r="Z35" s="111">
        <f t="shared" si="12"/>
        <v>1200</v>
      </c>
      <c r="AA35" s="113">
        <v>48</v>
      </c>
      <c r="AB35" s="113">
        <v>120</v>
      </c>
      <c r="AC35" s="113">
        <v>120</v>
      </c>
      <c r="AD35" s="113">
        <v>120</v>
      </c>
      <c r="AE35" s="113">
        <v>120</v>
      </c>
    </row>
    <row r="36" spans="1:31" x14ac:dyDescent="0.25">
      <c r="A36">
        <v>49</v>
      </c>
      <c r="B36">
        <f t="shared" si="9"/>
        <v>2066</v>
      </c>
      <c r="C36">
        <f t="shared" si="9"/>
        <v>1819</v>
      </c>
      <c r="D36">
        <f t="shared" si="9"/>
        <v>2863</v>
      </c>
      <c r="E36">
        <f t="shared" si="9"/>
        <v>2203</v>
      </c>
      <c r="G36" s="104">
        <v>49</v>
      </c>
      <c r="H36" s="106">
        <v>2066</v>
      </c>
      <c r="I36" s="106">
        <v>1819</v>
      </c>
      <c r="J36" s="106">
        <v>2863</v>
      </c>
      <c r="K36" s="106">
        <v>2203</v>
      </c>
      <c r="L36" s="107">
        <v>49</v>
      </c>
      <c r="M36" s="107">
        <f t="shared" si="13"/>
        <v>360</v>
      </c>
      <c r="N36" s="107">
        <f t="shared" si="13"/>
        <v>360</v>
      </c>
      <c r="O36" s="107">
        <f t="shared" si="13"/>
        <v>360</v>
      </c>
      <c r="P36" s="107">
        <f t="shared" si="13"/>
        <v>360</v>
      </c>
      <c r="Q36" s="109">
        <v>49</v>
      </c>
      <c r="R36" s="109">
        <f t="shared" si="14"/>
        <v>600</v>
      </c>
      <c r="S36" s="109">
        <f t="shared" si="14"/>
        <v>600</v>
      </c>
      <c r="T36" s="109">
        <f t="shared" si="14"/>
        <v>600</v>
      </c>
      <c r="U36" s="109">
        <f t="shared" si="14"/>
        <v>600</v>
      </c>
      <c r="V36" s="111">
        <v>49</v>
      </c>
      <c r="W36" s="111">
        <f t="shared" si="12"/>
        <v>1200</v>
      </c>
      <c r="X36" s="111">
        <f t="shared" si="12"/>
        <v>1200</v>
      </c>
      <c r="Y36" s="111">
        <f t="shared" si="12"/>
        <v>1200</v>
      </c>
      <c r="Z36" s="111">
        <f t="shared" si="12"/>
        <v>1200</v>
      </c>
      <c r="AA36" s="113">
        <v>49</v>
      </c>
      <c r="AB36" s="113">
        <v>120</v>
      </c>
      <c r="AC36" s="113">
        <v>120</v>
      </c>
      <c r="AD36" s="113">
        <v>120</v>
      </c>
      <c r="AE36" s="113">
        <v>120</v>
      </c>
    </row>
    <row r="37" spans="1:31" x14ac:dyDescent="0.25">
      <c r="A37">
        <v>50</v>
      </c>
      <c r="B37">
        <f t="shared" si="9"/>
        <v>2172</v>
      </c>
      <c r="C37">
        <f t="shared" si="9"/>
        <v>1872</v>
      </c>
      <c r="D37">
        <f t="shared" si="9"/>
        <v>2952</v>
      </c>
      <c r="E37">
        <f t="shared" si="9"/>
        <v>2244</v>
      </c>
      <c r="G37" s="104">
        <v>50</v>
      </c>
      <c r="H37" s="106">
        <v>2172</v>
      </c>
      <c r="I37" s="106">
        <v>1872</v>
      </c>
      <c r="J37" s="106">
        <v>2952</v>
      </c>
      <c r="K37" s="106">
        <v>2244</v>
      </c>
      <c r="L37" s="107">
        <v>50</v>
      </c>
      <c r="M37" s="107">
        <f t="shared" si="13"/>
        <v>360</v>
      </c>
      <c r="N37" s="107">
        <f t="shared" si="13"/>
        <v>360</v>
      </c>
      <c r="O37" s="107">
        <f t="shared" si="13"/>
        <v>360</v>
      </c>
      <c r="P37" s="107">
        <f t="shared" si="13"/>
        <v>360</v>
      </c>
      <c r="Q37" s="109">
        <v>50</v>
      </c>
      <c r="R37" s="109">
        <f t="shared" si="14"/>
        <v>600</v>
      </c>
      <c r="S37" s="109">
        <f t="shared" si="14"/>
        <v>600</v>
      </c>
      <c r="T37" s="109">
        <f t="shared" si="14"/>
        <v>600</v>
      </c>
      <c r="U37" s="109">
        <f t="shared" si="14"/>
        <v>600</v>
      </c>
      <c r="V37" s="111">
        <v>50</v>
      </c>
      <c r="W37" s="111">
        <f t="shared" si="12"/>
        <v>1200</v>
      </c>
      <c r="X37" s="111">
        <f t="shared" si="12"/>
        <v>1200</v>
      </c>
      <c r="Y37" s="111">
        <f t="shared" si="12"/>
        <v>1200</v>
      </c>
      <c r="Z37" s="111">
        <f t="shared" si="12"/>
        <v>1200</v>
      </c>
      <c r="AA37" s="113">
        <v>50</v>
      </c>
      <c r="AB37" s="113">
        <v>120</v>
      </c>
      <c r="AC37" s="113">
        <v>120</v>
      </c>
      <c r="AD37" s="113">
        <v>120</v>
      </c>
      <c r="AE37" s="113">
        <v>120</v>
      </c>
    </row>
    <row r="38" spans="1:31" x14ac:dyDescent="0.25">
      <c r="A38">
        <v>51</v>
      </c>
      <c r="B38">
        <f t="shared" si="9"/>
        <v>2273</v>
      </c>
      <c r="C38">
        <f t="shared" si="9"/>
        <v>2005</v>
      </c>
      <c r="D38">
        <f t="shared" si="9"/>
        <v>3170</v>
      </c>
      <c r="E38">
        <f t="shared" si="9"/>
        <v>2439</v>
      </c>
      <c r="G38" s="104">
        <v>51</v>
      </c>
      <c r="H38" s="106">
        <v>2273</v>
      </c>
      <c r="I38" s="106">
        <v>2005</v>
      </c>
      <c r="J38" s="106">
        <v>3170</v>
      </c>
      <c r="K38" s="106">
        <v>2439</v>
      </c>
      <c r="L38" s="107">
        <v>51</v>
      </c>
      <c r="M38" s="107">
        <f t="shared" si="13"/>
        <v>360</v>
      </c>
      <c r="N38" s="107">
        <f t="shared" si="13"/>
        <v>360</v>
      </c>
      <c r="O38" s="107">
        <f t="shared" si="13"/>
        <v>360</v>
      </c>
      <c r="P38" s="107">
        <f t="shared" si="13"/>
        <v>360</v>
      </c>
      <c r="Q38" s="109">
        <v>51</v>
      </c>
      <c r="R38" s="109">
        <f t="shared" si="14"/>
        <v>600</v>
      </c>
      <c r="S38" s="109">
        <f t="shared" si="14"/>
        <v>600</v>
      </c>
      <c r="T38" s="109">
        <f t="shared" si="14"/>
        <v>600</v>
      </c>
      <c r="U38" s="109">
        <f t="shared" si="14"/>
        <v>600</v>
      </c>
      <c r="V38" s="111">
        <v>51</v>
      </c>
      <c r="W38" s="111">
        <f t="shared" si="12"/>
        <v>1200</v>
      </c>
      <c r="X38" s="111">
        <f t="shared" si="12"/>
        <v>1200</v>
      </c>
      <c r="Y38" s="111">
        <f t="shared" si="12"/>
        <v>1200</v>
      </c>
      <c r="Z38" s="111">
        <f t="shared" si="12"/>
        <v>1200</v>
      </c>
      <c r="AA38" s="113">
        <v>51</v>
      </c>
      <c r="AB38" s="113">
        <v>120</v>
      </c>
      <c r="AC38" s="113">
        <v>120</v>
      </c>
      <c r="AD38" s="113">
        <v>120</v>
      </c>
      <c r="AE38" s="113">
        <v>120</v>
      </c>
    </row>
    <row r="39" spans="1:31" x14ac:dyDescent="0.25">
      <c r="A39">
        <v>52</v>
      </c>
      <c r="B39">
        <f t="shared" si="9"/>
        <v>2382</v>
      </c>
      <c r="C39">
        <f t="shared" si="9"/>
        <v>2103</v>
      </c>
      <c r="D39">
        <f t="shared" si="9"/>
        <v>3332</v>
      </c>
      <c r="E39">
        <f t="shared" si="9"/>
        <v>2563</v>
      </c>
      <c r="G39" s="104">
        <v>52</v>
      </c>
      <c r="H39" s="106">
        <v>2382</v>
      </c>
      <c r="I39" s="106">
        <v>2103</v>
      </c>
      <c r="J39" s="106">
        <v>3332</v>
      </c>
      <c r="K39" s="106">
        <v>2563</v>
      </c>
      <c r="L39" s="107">
        <v>52</v>
      </c>
      <c r="M39" s="107">
        <f t="shared" si="13"/>
        <v>360</v>
      </c>
      <c r="N39" s="107">
        <f t="shared" si="13"/>
        <v>360</v>
      </c>
      <c r="O39" s="107">
        <f t="shared" si="13"/>
        <v>360</v>
      </c>
      <c r="P39" s="107">
        <f t="shared" si="13"/>
        <v>360</v>
      </c>
      <c r="Q39" s="109">
        <v>52</v>
      </c>
      <c r="R39" s="109">
        <f t="shared" si="14"/>
        <v>600</v>
      </c>
      <c r="S39" s="109">
        <f t="shared" si="14"/>
        <v>600</v>
      </c>
      <c r="T39" s="109">
        <f t="shared" si="14"/>
        <v>600</v>
      </c>
      <c r="U39" s="109">
        <f t="shared" si="14"/>
        <v>600</v>
      </c>
      <c r="V39" s="111">
        <v>52</v>
      </c>
      <c r="W39" s="111">
        <f t="shared" si="12"/>
        <v>1200</v>
      </c>
      <c r="X39" s="111">
        <f t="shared" si="12"/>
        <v>1200</v>
      </c>
      <c r="Y39" s="111">
        <f t="shared" si="12"/>
        <v>1200</v>
      </c>
      <c r="Z39" s="111">
        <f t="shared" si="12"/>
        <v>1200</v>
      </c>
      <c r="AA39" s="113">
        <v>52</v>
      </c>
      <c r="AB39" s="113">
        <v>120</v>
      </c>
      <c r="AC39" s="113">
        <v>120</v>
      </c>
      <c r="AD39" s="113">
        <v>120</v>
      </c>
      <c r="AE39" s="113">
        <v>120</v>
      </c>
    </row>
    <row r="40" spans="1:31" x14ac:dyDescent="0.25">
      <c r="A40">
        <v>53</v>
      </c>
      <c r="B40">
        <f t="shared" si="9"/>
        <v>2495</v>
      </c>
      <c r="C40">
        <f t="shared" si="9"/>
        <v>2205</v>
      </c>
      <c r="D40">
        <f t="shared" si="9"/>
        <v>3499</v>
      </c>
      <c r="E40">
        <f t="shared" si="9"/>
        <v>2692</v>
      </c>
      <c r="G40" s="104">
        <v>53</v>
      </c>
      <c r="H40" s="106">
        <v>2495</v>
      </c>
      <c r="I40" s="106">
        <v>2205</v>
      </c>
      <c r="J40" s="106">
        <v>3499</v>
      </c>
      <c r="K40" s="106">
        <v>2692</v>
      </c>
      <c r="L40" s="107">
        <v>53</v>
      </c>
      <c r="M40" s="107">
        <f t="shared" si="13"/>
        <v>360</v>
      </c>
      <c r="N40" s="107">
        <f t="shared" si="13"/>
        <v>360</v>
      </c>
      <c r="O40" s="107">
        <f t="shared" si="13"/>
        <v>360</v>
      </c>
      <c r="P40" s="107">
        <f t="shared" si="13"/>
        <v>360</v>
      </c>
      <c r="Q40" s="109">
        <v>53</v>
      </c>
      <c r="R40" s="109">
        <f t="shared" si="14"/>
        <v>600</v>
      </c>
      <c r="S40" s="109">
        <f t="shared" si="14"/>
        <v>600</v>
      </c>
      <c r="T40" s="109">
        <f t="shared" si="14"/>
        <v>600</v>
      </c>
      <c r="U40" s="109">
        <f t="shared" si="14"/>
        <v>600</v>
      </c>
      <c r="V40" s="111">
        <v>53</v>
      </c>
      <c r="W40" s="111">
        <f t="shared" si="12"/>
        <v>1200</v>
      </c>
      <c r="X40" s="111">
        <f t="shared" si="12"/>
        <v>1200</v>
      </c>
      <c r="Y40" s="111">
        <f t="shared" si="12"/>
        <v>1200</v>
      </c>
      <c r="Z40" s="111">
        <f t="shared" si="12"/>
        <v>1200</v>
      </c>
      <c r="AA40" s="113">
        <v>53</v>
      </c>
      <c r="AB40" s="113">
        <v>120</v>
      </c>
      <c r="AC40" s="113">
        <v>120</v>
      </c>
      <c r="AD40" s="113">
        <v>120</v>
      </c>
      <c r="AE40" s="113">
        <v>120</v>
      </c>
    </row>
    <row r="41" spans="1:31" x14ac:dyDescent="0.25">
      <c r="A41">
        <v>54</v>
      </c>
      <c r="B41">
        <f t="shared" si="9"/>
        <v>2611</v>
      </c>
      <c r="C41">
        <f t="shared" si="9"/>
        <v>2310</v>
      </c>
      <c r="D41">
        <f t="shared" si="9"/>
        <v>3671</v>
      </c>
      <c r="E41">
        <f t="shared" si="9"/>
        <v>2825</v>
      </c>
      <c r="G41" s="104">
        <v>54</v>
      </c>
      <c r="H41" s="106">
        <v>2611</v>
      </c>
      <c r="I41" s="106">
        <v>2310</v>
      </c>
      <c r="J41" s="106">
        <v>3671</v>
      </c>
      <c r="K41" s="106">
        <v>2825</v>
      </c>
      <c r="L41" s="107">
        <v>54</v>
      </c>
      <c r="M41" s="107">
        <f t="shared" si="13"/>
        <v>360</v>
      </c>
      <c r="N41" s="107">
        <f t="shared" si="13"/>
        <v>360</v>
      </c>
      <c r="O41" s="107">
        <f t="shared" si="13"/>
        <v>360</v>
      </c>
      <c r="P41" s="107">
        <f t="shared" si="13"/>
        <v>360</v>
      </c>
      <c r="Q41" s="109">
        <v>54</v>
      </c>
      <c r="R41" s="109">
        <f t="shared" si="14"/>
        <v>600</v>
      </c>
      <c r="S41" s="109">
        <f t="shared" si="14"/>
        <v>600</v>
      </c>
      <c r="T41" s="109">
        <f t="shared" si="14"/>
        <v>600</v>
      </c>
      <c r="U41" s="109">
        <f t="shared" si="14"/>
        <v>600</v>
      </c>
      <c r="V41" s="111">
        <v>54</v>
      </c>
      <c r="W41" s="111">
        <f t="shared" si="12"/>
        <v>1200</v>
      </c>
      <c r="X41" s="111">
        <f t="shared" si="12"/>
        <v>1200</v>
      </c>
      <c r="Y41" s="111">
        <f t="shared" si="12"/>
        <v>1200</v>
      </c>
      <c r="Z41" s="111">
        <f t="shared" si="12"/>
        <v>1200</v>
      </c>
      <c r="AA41" s="113">
        <v>54</v>
      </c>
      <c r="AB41" s="113">
        <v>120</v>
      </c>
      <c r="AC41" s="113">
        <v>120</v>
      </c>
      <c r="AD41" s="113">
        <v>120</v>
      </c>
      <c r="AE41" s="113">
        <v>120</v>
      </c>
    </row>
    <row r="42" spans="1:31" x14ac:dyDescent="0.25">
      <c r="A42">
        <v>55</v>
      </c>
      <c r="B42">
        <f t="shared" si="9"/>
        <v>2736</v>
      </c>
      <c r="C42">
        <f t="shared" si="9"/>
        <v>2460</v>
      </c>
      <c r="D42">
        <f t="shared" si="9"/>
        <v>3900</v>
      </c>
      <c r="E42">
        <f t="shared" si="9"/>
        <v>3024</v>
      </c>
      <c r="G42" s="104">
        <v>55</v>
      </c>
      <c r="H42" s="106">
        <v>2736</v>
      </c>
      <c r="I42" s="106">
        <v>2460</v>
      </c>
      <c r="J42" s="106">
        <v>3900</v>
      </c>
      <c r="K42" s="106">
        <v>3024</v>
      </c>
      <c r="L42" s="107">
        <v>55</v>
      </c>
      <c r="M42" s="107">
        <f t="shared" si="13"/>
        <v>360</v>
      </c>
      <c r="N42" s="107">
        <f t="shared" si="13"/>
        <v>360</v>
      </c>
      <c r="O42" s="107">
        <f t="shared" si="13"/>
        <v>360</v>
      </c>
      <c r="P42" s="107">
        <f t="shared" si="13"/>
        <v>360</v>
      </c>
      <c r="Q42" s="109">
        <v>55</v>
      </c>
      <c r="R42" s="109">
        <f t="shared" si="14"/>
        <v>600</v>
      </c>
      <c r="S42" s="109">
        <f t="shared" si="14"/>
        <v>600</v>
      </c>
      <c r="T42" s="109">
        <f t="shared" si="14"/>
        <v>600</v>
      </c>
      <c r="U42" s="109">
        <f t="shared" si="14"/>
        <v>600</v>
      </c>
      <c r="V42" s="111">
        <v>55</v>
      </c>
      <c r="W42" s="111">
        <f t="shared" si="12"/>
        <v>1200</v>
      </c>
      <c r="X42" s="111">
        <f t="shared" si="12"/>
        <v>1200</v>
      </c>
      <c r="Y42" s="111">
        <f t="shared" si="12"/>
        <v>1200</v>
      </c>
      <c r="Z42" s="111">
        <f t="shared" si="12"/>
        <v>1200</v>
      </c>
      <c r="AA42" s="113">
        <v>55</v>
      </c>
      <c r="AB42" s="113">
        <v>120</v>
      </c>
      <c r="AC42" s="113">
        <v>120</v>
      </c>
      <c r="AD42" s="113">
        <v>120</v>
      </c>
      <c r="AE42" s="113">
        <v>120</v>
      </c>
    </row>
    <row r="43" spans="1:31" x14ac:dyDescent="0.25">
      <c r="A43">
        <v>56</v>
      </c>
      <c r="B43">
        <f t="shared" si="9"/>
        <v>2855</v>
      </c>
      <c r="C43">
        <f t="shared" si="9"/>
        <v>2530</v>
      </c>
      <c r="D43">
        <f t="shared" si="9"/>
        <v>4032</v>
      </c>
      <c r="E43">
        <f t="shared" si="9"/>
        <v>3105</v>
      </c>
      <c r="G43" s="104">
        <v>56</v>
      </c>
      <c r="H43" s="106">
        <v>2855</v>
      </c>
      <c r="I43" s="106">
        <v>2530</v>
      </c>
      <c r="J43" s="106">
        <v>4032</v>
      </c>
      <c r="K43" s="106">
        <v>3105</v>
      </c>
      <c r="L43" s="107">
        <v>56</v>
      </c>
      <c r="M43" s="107">
        <f t="shared" si="13"/>
        <v>360</v>
      </c>
      <c r="N43" s="107">
        <f t="shared" si="13"/>
        <v>360</v>
      </c>
      <c r="O43" s="107">
        <f t="shared" si="13"/>
        <v>360</v>
      </c>
      <c r="P43" s="107">
        <f t="shared" si="13"/>
        <v>360</v>
      </c>
      <c r="Q43" s="109">
        <v>56</v>
      </c>
      <c r="R43" s="109">
        <f t="shared" si="14"/>
        <v>600</v>
      </c>
      <c r="S43" s="109">
        <f t="shared" si="14"/>
        <v>600</v>
      </c>
      <c r="T43" s="109">
        <f t="shared" si="14"/>
        <v>600</v>
      </c>
      <c r="U43" s="109">
        <f t="shared" si="14"/>
        <v>600</v>
      </c>
      <c r="V43" s="111">
        <v>56</v>
      </c>
      <c r="W43" s="111">
        <f t="shared" si="12"/>
        <v>1200</v>
      </c>
      <c r="X43" s="111">
        <f t="shared" si="12"/>
        <v>1200</v>
      </c>
      <c r="Y43" s="111">
        <f t="shared" si="12"/>
        <v>1200</v>
      </c>
      <c r="Z43" s="111">
        <f t="shared" si="12"/>
        <v>1200</v>
      </c>
      <c r="AA43" s="113">
        <v>56</v>
      </c>
      <c r="AB43" s="113">
        <v>120</v>
      </c>
      <c r="AC43" s="113">
        <v>120</v>
      </c>
      <c r="AD43" s="113">
        <v>120</v>
      </c>
      <c r="AE43" s="113">
        <v>120</v>
      </c>
    </row>
    <row r="44" spans="1:31" x14ac:dyDescent="0.25">
      <c r="A44">
        <v>57</v>
      </c>
      <c r="B44">
        <f t="shared" si="9"/>
        <v>2983</v>
      </c>
      <c r="C44">
        <f t="shared" si="9"/>
        <v>2645</v>
      </c>
      <c r="D44">
        <f t="shared" si="9"/>
        <v>4220</v>
      </c>
      <c r="E44">
        <f t="shared" si="9"/>
        <v>3252</v>
      </c>
      <c r="G44" s="104">
        <v>57</v>
      </c>
      <c r="H44" s="106">
        <v>2983</v>
      </c>
      <c r="I44" s="106">
        <v>2645</v>
      </c>
      <c r="J44" s="106">
        <v>4220</v>
      </c>
      <c r="K44" s="106">
        <v>3252</v>
      </c>
      <c r="L44" s="107">
        <v>57</v>
      </c>
      <c r="M44" s="107">
        <f t="shared" si="13"/>
        <v>360</v>
      </c>
      <c r="N44" s="107">
        <f t="shared" si="13"/>
        <v>360</v>
      </c>
      <c r="O44" s="107">
        <f t="shared" si="13"/>
        <v>360</v>
      </c>
      <c r="P44" s="107">
        <f t="shared" si="13"/>
        <v>360</v>
      </c>
      <c r="Q44" s="109">
        <v>57</v>
      </c>
      <c r="R44" s="109">
        <f t="shared" si="14"/>
        <v>600</v>
      </c>
      <c r="S44" s="109">
        <f t="shared" si="14"/>
        <v>600</v>
      </c>
      <c r="T44" s="109">
        <f t="shared" si="14"/>
        <v>600</v>
      </c>
      <c r="U44" s="109">
        <f t="shared" si="14"/>
        <v>600</v>
      </c>
      <c r="V44" s="111">
        <v>57</v>
      </c>
      <c r="W44" s="111">
        <f t="shared" si="12"/>
        <v>1200</v>
      </c>
      <c r="X44" s="111">
        <f t="shared" si="12"/>
        <v>1200</v>
      </c>
      <c r="Y44" s="111">
        <f t="shared" si="12"/>
        <v>1200</v>
      </c>
      <c r="Z44" s="111">
        <f t="shared" si="12"/>
        <v>1200</v>
      </c>
      <c r="AA44" s="113">
        <v>57</v>
      </c>
      <c r="AB44" s="113">
        <v>120</v>
      </c>
      <c r="AC44" s="113">
        <v>120</v>
      </c>
      <c r="AD44" s="113">
        <v>120</v>
      </c>
      <c r="AE44" s="113">
        <v>120</v>
      </c>
    </row>
    <row r="45" spans="1:31" x14ac:dyDescent="0.25">
      <c r="A45">
        <v>58</v>
      </c>
      <c r="B45">
        <f t="shared" si="9"/>
        <v>3114</v>
      </c>
      <c r="C45">
        <f t="shared" si="9"/>
        <v>2764</v>
      </c>
      <c r="D45">
        <f t="shared" si="9"/>
        <v>4414</v>
      </c>
      <c r="E45">
        <f t="shared" si="9"/>
        <v>3403</v>
      </c>
      <c r="G45" s="104">
        <v>58</v>
      </c>
      <c r="H45" s="106">
        <v>3114</v>
      </c>
      <c r="I45" s="106">
        <v>2764</v>
      </c>
      <c r="J45" s="106">
        <v>4414</v>
      </c>
      <c r="K45" s="106">
        <v>3403</v>
      </c>
      <c r="L45" s="107">
        <v>58</v>
      </c>
      <c r="M45" s="107">
        <f t="shared" si="13"/>
        <v>360</v>
      </c>
      <c r="N45" s="107">
        <f t="shared" si="13"/>
        <v>360</v>
      </c>
      <c r="O45" s="107">
        <f t="shared" si="13"/>
        <v>360</v>
      </c>
      <c r="P45" s="107">
        <f t="shared" si="13"/>
        <v>360</v>
      </c>
      <c r="Q45" s="109">
        <v>58</v>
      </c>
      <c r="R45" s="109">
        <f t="shared" si="14"/>
        <v>600</v>
      </c>
      <c r="S45" s="109">
        <f t="shared" si="14"/>
        <v>600</v>
      </c>
      <c r="T45" s="109">
        <f t="shared" si="14"/>
        <v>600</v>
      </c>
      <c r="U45" s="109">
        <f t="shared" si="14"/>
        <v>600</v>
      </c>
      <c r="V45" s="111">
        <v>58</v>
      </c>
      <c r="W45" s="111">
        <f t="shared" si="12"/>
        <v>1200</v>
      </c>
      <c r="X45" s="111">
        <f t="shared" si="12"/>
        <v>1200</v>
      </c>
      <c r="Y45" s="111">
        <f t="shared" si="12"/>
        <v>1200</v>
      </c>
      <c r="Z45" s="111">
        <f t="shared" si="12"/>
        <v>1200</v>
      </c>
      <c r="AA45" s="113">
        <v>58</v>
      </c>
      <c r="AB45" s="113">
        <v>120</v>
      </c>
      <c r="AC45" s="113">
        <v>120</v>
      </c>
      <c r="AD45" s="113">
        <v>120</v>
      </c>
      <c r="AE45" s="113">
        <v>120</v>
      </c>
    </row>
    <row r="46" spans="1:31" x14ac:dyDescent="0.25">
      <c r="A46">
        <v>59</v>
      </c>
      <c r="B46">
        <f t="shared" si="9"/>
        <v>3248</v>
      </c>
      <c r="C46">
        <f t="shared" si="9"/>
        <v>2886</v>
      </c>
      <c r="D46">
        <f t="shared" si="9"/>
        <v>4613</v>
      </c>
      <c r="E46">
        <f t="shared" si="9"/>
        <v>3558</v>
      </c>
      <c r="G46" s="104">
        <v>59</v>
      </c>
      <c r="H46" s="106">
        <v>3248</v>
      </c>
      <c r="I46" s="106">
        <v>2886</v>
      </c>
      <c r="J46" s="106">
        <v>4613</v>
      </c>
      <c r="K46" s="106">
        <v>3558</v>
      </c>
      <c r="L46" s="107">
        <v>59</v>
      </c>
      <c r="M46" s="107">
        <f t="shared" si="13"/>
        <v>360</v>
      </c>
      <c r="N46" s="107">
        <f t="shared" si="13"/>
        <v>360</v>
      </c>
      <c r="O46" s="107">
        <f t="shared" si="13"/>
        <v>360</v>
      </c>
      <c r="P46" s="107">
        <f t="shared" si="13"/>
        <v>360</v>
      </c>
      <c r="Q46" s="109">
        <v>59</v>
      </c>
      <c r="R46" s="109">
        <f t="shared" si="14"/>
        <v>600</v>
      </c>
      <c r="S46" s="109">
        <f t="shared" si="14"/>
        <v>600</v>
      </c>
      <c r="T46" s="109">
        <f t="shared" si="14"/>
        <v>600</v>
      </c>
      <c r="U46" s="109">
        <f t="shared" si="14"/>
        <v>600</v>
      </c>
      <c r="V46" s="111">
        <v>59</v>
      </c>
      <c r="W46" s="111">
        <f t="shared" si="12"/>
        <v>1200</v>
      </c>
      <c r="X46" s="111">
        <f t="shared" si="12"/>
        <v>1200</v>
      </c>
      <c r="Y46" s="111">
        <f t="shared" si="12"/>
        <v>1200</v>
      </c>
      <c r="Z46" s="111">
        <f t="shared" si="12"/>
        <v>1200</v>
      </c>
      <c r="AA46" s="113">
        <v>59</v>
      </c>
      <c r="AB46" s="113">
        <v>120</v>
      </c>
      <c r="AC46" s="113">
        <v>120</v>
      </c>
      <c r="AD46" s="113">
        <v>120</v>
      </c>
      <c r="AE46" s="113">
        <v>120</v>
      </c>
    </row>
    <row r="47" spans="1:31" x14ac:dyDescent="0.25">
      <c r="A47">
        <v>60</v>
      </c>
      <c r="B47">
        <f t="shared" si="9"/>
        <v>3387</v>
      </c>
      <c r="C47">
        <f t="shared" si="9"/>
        <v>3011</v>
      </c>
      <c r="D47">
        <f t="shared" si="9"/>
        <v>4818</v>
      </c>
      <c r="E47">
        <f t="shared" si="9"/>
        <v>3718</v>
      </c>
      <c r="G47" s="104">
        <v>60</v>
      </c>
      <c r="H47" s="106">
        <v>3387</v>
      </c>
      <c r="I47" s="106">
        <v>3011</v>
      </c>
      <c r="J47" s="106">
        <v>4818</v>
      </c>
      <c r="K47" s="106">
        <v>3718</v>
      </c>
      <c r="L47" s="107">
        <v>60</v>
      </c>
      <c r="M47" s="107">
        <f t="shared" si="13"/>
        <v>360</v>
      </c>
      <c r="N47" s="107">
        <f t="shared" si="13"/>
        <v>360</v>
      </c>
      <c r="O47" s="107">
        <f t="shared" si="13"/>
        <v>360</v>
      </c>
      <c r="P47" s="107">
        <f t="shared" si="13"/>
        <v>360</v>
      </c>
      <c r="Q47" s="109">
        <v>60</v>
      </c>
      <c r="R47" s="109">
        <f t="shared" si="14"/>
        <v>600</v>
      </c>
      <c r="S47" s="109">
        <f t="shared" si="14"/>
        <v>600</v>
      </c>
      <c r="T47" s="109">
        <f t="shared" si="14"/>
        <v>600</v>
      </c>
      <c r="U47" s="109">
        <f t="shared" si="14"/>
        <v>600</v>
      </c>
      <c r="V47" s="111">
        <v>60</v>
      </c>
      <c r="W47" s="111">
        <f t="shared" si="12"/>
        <v>1200</v>
      </c>
      <c r="X47" s="111">
        <f t="shared" si="12"/>
        <v>1200</v>
      </c>
      <c r="Y47" s="111">
        <f t="shared" si="12"/>
        <v>1200</v>
      </c>
      <c r="Z47" s="111">
        <f t="shared" si="12"/>
        <v>1200</v>
      </c>
      <c r="AA47" s="113">
        <v>60</v>
      </c>
      <c r="AB47" s="113">
        <v>120</v>
      </c>
      <c r="AC47" s="113">
        <v>120</v>
      </c>
      <c r="AD47" s="113">
        <v>120</v>
      </c>
      <c r="AE47" s="113">
        <v>120</v>
      </c>
    </row>
    <row r="48" spans="1:31" x14ac:dyDescent="0.25">
      <c r="A48">
        <v>61</v>
      </c>
      <c r="B48">
        <f t="shared" si="9"/>
        <v>3529</v>
      </c>
      <c r="C48">
        <f t="shared" si="9"/>
        <v>3140</v>
      </c>
      <c r="D48">
        <f t="shared" si="9"/>
        <v>5028</v>
      </c>
      <c r="E48">
        <f t="shared" si="9"/>
        <v>3882</v>
      </c>
      <c r="G48" s="104">
        <v>61</v>
      </c>
      <c r="H48" s="106">
        <v>3529</v>
      </c>
      <c r="I48" s="106">
        <v>3140</v>
      </c>
      <c r="J48" s="106">
        <v>5028</v>
      </c>
      <c r="K48" s="106">
        <v>3882</v>
      </c>
      <c r="L48" s="107">
        <v>61</v>
      </c>
      <c r="M48" s="107">
        <f t="shared" si="13"/>
        <v>360</v>
      </c>
      <c r="N48" s="107">
        <f t="shared" si="13"/>
        <v>360</v>
      </c>
      <c r="O48" s="107">
        <f t="shared" si="13"/>
        <v>360</v>
      </c>
      <c r="P48" s="107">
        <f t="shared" si="13"/>
        <v>360</v>
      </c>
      <c r="Q48" s="109">
        <v>61</v>
      </c>
      <c r="R48" s="109">
        <f t="shared" si="14"/>
        <v>600</v>
      </c>
      <c r="S48" s="109">
        <f t="shared" si="14"/>
        <v>600</v>
      </c>
      <c r="T48" s="109">
        <f t="shared" si="14"/>
        <v>600</v>
      </c>
      <c r="U48" s="109">
        <f t="shared" si="14"/>
        <v>600</v>
      </c>
      <c r="V48" s="111">
        <v>61</v>
      </c>
      <c r="W48" s="111">
        <f t="shared" si="12"/>
        <v>1200</v>
      </c>
      <c r="X48" s="111">
        <f t="shared" si="12"/>
        <v>1200</v>
      </c>
      <c r="Y48" s="111">
        <f t="shared" si="12"/>
        <v>1200</v>
      </c>
      <c r="Z48" s="111">
        <f t="shared" si="12"/>
        <v>1200</v>
      </c>
      <c r="AA48" s="113">
        <v>61</v>
      </c>
      <c r="AB48" s="113">
        <v>120</v>
      </c>
      <c r="AC48" s="113">
        <v>120</v>
      </c>
      <c r="AD48" s="113">
        <v>120</v>
      </c>
      <c r="AE48" s="113">
        <v>120</v>
      </c>
    </row>
    <row r="49" spans="1:31" x14ac:dyDescent="0.25">
      <c r="A49">
        <v>62</v>
      </c>
      <c r="B49">
        <f t="shared" si="9"/>
        <v>3674</v>
      </c>
      <c r="C49">
        <f t="shared" si="9"/>
        <v>3273</v>
      </c>
      <c r="D49">
        <f t="shared" si="9"/>
        <v>5243</v>
      </c>
      <c r="E49">
        <f t="shared" si="9"/>
        <v>4051</v>
      </c>
      <c r="G49" s="104">
        <v>62</v>
      </c>
      <c r="H49" s="106">
        <v>3674</v>
      </c>
      <c r="I49" s="106">
        <v>3273</v>
      </c>
      <c r="J49" s="106">
        <v>5243</v>
      </c>
      <c r="K49" s="106">
        <v>4051</v>
      </c>
      <c r="L49" s="107">
        <v>62</v>
      </c>
      <c r="M49" s="107">
        <f t="shared" si="13"/>
        <v>360</v>
      </c>
      <c r="N49" s="107">
        <f t="shared" si="13"/>
        <v>360</v>
      </c>
      <c r="O49" s="107">
        <f t="shared" si="13"/>
        <v>360</v>
      </c>
      <c r="P49" s="107">
        <f t="shared" si="13"/>
        <v>360</v>
      </c>
      <c r="Q49" s="109">
        <v>62</v>
      </c>
      <c r="R49" s="109">
        <f t="shared" si="14"/>
        <v>600</v>
      </c>
      <c r="S49" s="109">
        <f t="shared" si="14"/>
        <v>600</v>
      </c>
      <c r="T49" s="109">
        <f t="shared" si="14"/>
        <v>600</v>
      </c>
      <c r="U49" s="109">
        <f t="shared" si="14"/>
        <v>600</v>
      </c>
      <c r="V49" s="111">
        <v>62</v>
      </c>
      <c r="W49" s="111">
        <f t="shared" si="12"/>
        <v>1200</v>
      </c>
      <c r="X49" s="111">
        <f t="shared" si="12"/>
        <v>1200</v>
      </c>
      <c r="Y49" s="111">
        <f t="shared" si="12"/>
        <v>1200</v>
      </c>
      <c r="Z49" s="111">
        <f t="shared" si="12"/>
        <v>1200</v>
      </c>
      <c r="AA49" s="113">
        <v>62</v>
      </c>
      <c r="AB49" s="113">
        <v>120</v>
      </c>
      <c r="AC49" s="113">
        <v>120</v>
      </c>
      <c r="AD49" s="113">
        <v>120</v>
      </c>
      <c r="AE49" s="113">
        <v>120</v>
      </c>
    </row>
    <row r="50" spans="1:31" x14ac:dyDescent="0.25">
      <c r="A50">
        <v>63</v>
      </c>
      <c r="B50">
        <f t="shared" si="9"/>
        <v>3824</v>
      </c>
      <c r="C50">
        <f t="shared" si="9"/>
        <v>3408</v>
      </c>
      <c r="D50">
        <f t="shared" si="9"/>
        <v>5464</v>
      </c>
      <c r="E50">
        <f t="shared" si="9"/>
        <v>4224</v>
      </c>
      <c r="G50" s="104">
        <v>63</v>
      </c>
      <c r="H50" s="106">
        <v>3824</v>
      </c>
      <c r="I50" s="106">
        <v>3408</v>
      </c>
      <c r="J50" s="106">
        <v>5464</v>
      </c>
      <c r="K50" s="106">
        <v>4224</v>
      </c>
      <c r="L50" s="107">
        <v>63</v>
      </c>
      <c r="M50" s="107">
        <f t="shared" si="13"/>
        <v>360</v>
      </c>
      <c r="N50" s="107">
        <f t="shared" si="13"/>
        <v>360</v>
      </c>
      <c r="O50" s="107">
        <f t="shared" si="13"/>
        <v>360</v>
      </c>
      <c r="P50" s="107">
        <f t="shared" si="13"/>
        <v>360</v>
      </c>
      <c r="Q50" s="109">
        <v>63</v>
      </c>
      <c r="R50" s="109">
        <f t="shared" si="14"/>
        <v>600</v>
      </c>
      <c r="S50" s="109">
        <f t="shared" si="14"/>
        <v>600</v>
      </c>
      <c r="T50" s="109">
        <f t="shared" si="14"/>
        <v>600</v>
      </c>
      <c r="U50" s="109">
        <f t="shared" si="14"/>
        <v>600</v>
      </c>
      <c r="V50" s="111">
        <v>63</v>
      </c>
      <c r="W50" s="111">
        <f t="shared" si="12"/>
        <v>1200</v>
      </c>
      <c r="X50" s="111">
        <f t="shared" si="12"/>
        <v>1200</v>
      </c>
      <c r="Y50" s="111">
        <f t="shared" si="12"/>
        <v>1200</v>
      </c>
      <c r="Z50" s="111">
        <f t="shared" si="12"/>
        <v>1200</v>
      </c>
      <c r="AA50" s="113">
        <v>63</v>
      </c>
      <c r="AB50" s="113">
        <v>120</v>
      </c>
      <c r="AC50" s="113">
        <v>120</v>
      </c>
      <c r="AD50" s="113">
        <v>120</v>
      </c>
      <c r="AE50" s="113">
        <v>120</v>
      </c>
    </row>
    <row r="51" spans="1:31" x14ac:dyDescent="0.25">
      <c r="A51">
        <v>64</v>
      </c>
      <c r="B51">
        <f t="shared" si="9"/>
        <v>3977</v>
      </c>
      <c r="C51">
        <f t="shared" si="9"/>
        <v>3547</v>
      </c>
      <c r="D51">
        <f t="shared" si="9"/>
        <v>5690</v>
      </c>
      <c r="E51">
        <f t="shared" si="9"/>
        <v>4401</v>
      </c>
      <c r="G51" s="104">
        <v>64</v>
      </c>
      <c r="H51" s="106">
        <v>3977</v>
      </c>
      <c r="I51" s="106">
        <v>3547</v>
      </c>
      <c r="J51" s="106">
        <v>5690</v>
      </c>
      <c r="K51" s="106">
        <v>4401</v>
      </c>
      <c r="L51" s="107">
        <v>64</v>
      </c>
      <c r="M51" s="107">
        <f t="shared" si="13"/>
        <v>360</v>
      </c>
      <c r="N51" s="107">
        <f t="shared" si="13"/>
        <v>360</v>
      </c>
      <c r="O51" s="107">
        <f t="shared" si="13"/>
        <v>360</v>
      </c>
      <c r="P51" s="107">
        <f t="shared" si="13"/>
        <v>360</v>
      </c>
      <c r="Q51" s="109">
        <v>64</v>
      </c>
      <c r="R51" s="109">
        <f t="shared" si="14"/>
        <v>600</v>
      </c>
      <c r="S51" s="109">
        <f t="shared" si="14"/>
        <v>600</v>
      </c>
      <c r="T51" s="109">
        <f t="shared" si="14"/>
        <v>600</v>
      </c>
      <c r="U51" s="109">
        <f t="shared" si="14"/>
        <v>600</v>
      </c>
      <c r="V51" s="111">
        <v>64</v>
      </c>
      <c r="W51" s="111">
        <f t="shared" si="12"/>
        <v>1200</v>
      </c>
      <c r="X51" s="111">
        <f t="shared" si="12"/>
        <v>1200</v>
      </c>
      <c r="Y51" s="111">
        <f t="shared" si="12"/>
        <v>1200</v>
      </c>
      <c r="Z51" s="111">
        <f t="shared" si="12"/>
        <v>1200</v>
      </c>
      <c r="AA51" s="113">
        <v>64</v>
      </c>
      <c r="AB51" s="113">
        <v>120</v>
      </c>
      <c r="AC51" s="113">
        <v>120</v>
      </c>
      <c r="AD51" s="113">
        <v>120</v>
      </c>
      <c r="AE51" s="113">
        <v>120</v>
      </c>
    </row>
    <row r="52" spans="1:31" x14ac:dyDescent="0.25">
      <c r="A52">
        <v>65</v>
      </c>
      <c r="B52">
        <f t="shared" si="9"/>
        <v>4134</v>
      </c>
      <c r="C52">
        <f t="shared" si="9"/>
        <v>3690</v>
      </c>
      <c r="D52">
        <f t="shared" si="9"/>
        <v>5922</v>
      </c>
      <c r="E52">
        <f t="shared" si="9"/>
        <v>4583</v>
      </c>
      <c r="G52" s="104">
        <v>65</v>
      </c>
      <c r="H52" s="106">
        <v>4134</v>
      </c>
      <c r="I52" s="106">
        <v>3690</v>
      </c>
      <c r="J52" s="106">
        <v>5922</v>
      </c>
      <c r="K52" s="106">
        <v>4583</v>
      </c>
      <c r="L52" s="107">
        <v>65</v>
      </c>
      <c r="M52" s="107">
        <f t="shared" si="13"/>
        <v>360</v>
      </c>
      <c r="N52" s="107">
        <f t="shared" si="13"/>
        <v>360</v>
      </c>
      <c r="O52" s="107">
        <f t="shared" si="13"/>
        <v>360</v>
      </c>
      <c r="P52" s="107">
        <f t="shared" si="13"/>
        <v>360</v>
      </c>
      <c r="Q52" s="109">
        <v>65</v>
      </c>
      <c r="R52" s="109">
        <f t="shared" si="14"/>
        <v>600</v>
      </c>
      <c r="S52" s="109">
        <f t="shared" si="14"/>
        <v>600</v>
      </c>
      <c r="T52" s="109">
        <f t="shared" si="14"/>
        <v>600</v>
      </c>
      <c r="U52" s="109">
        <f t="shared" si="14"/>
        <v>600</v>
      </c>
      <c r="V52" s="111">
        <v>65</v>
      </c>
      <c r="W52" s="111">
        <f t="shared" si="12"/>
        <v>1200</v>
      </c>
      <c r="X52" s="111">
        <f t="shared" si="12"/>
        <v>1200</v>
      </c>
      <c r="Y52" s="111">
        <f t="shared" si="12"/>
        <v>1200</v>
      </c>
      <c r="Z52" s="111">
        <f t="shared" si="12"/>
        <v>1200</v>
      </c>
      <c r="AA52" s="113">
        <v>65</v>
      </c>
      <c r="AB52" s="113">
        <v>120</v>
      </c>
      <c r="AC52" s="113">
        <v>120</v>
      </c>
      <c r="AD52" s="113">
        <v>120</v>
      </c>
      <c r="AE52" s="113">
        <v>120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Q548"/>
  <sheetViews>
    <sheetView topLeftCell="A7" zoomScale="85" zoomScaleNormal="85" workbookViewId="0">
      <pane ySplit="1" topLeftCell="A8" activePane="bottomLeft" state="frozen"/>
      <selection activeCell="A7" sqref="A7"/>
      <selection pane="bottomLeft" activeCell="R9" sqref="R9"/>
    </sheetView>
  </sheetViews>
  <sheetFormatPr baseColWidth="10" defaultRowHeight="13.8" x14ac:dyDescent="0.25"/>
  <cols>
    <col min="5" max="6" width="11.8984375" customWidth="1"/>
    <col min="17" max="18" width="11.5" bestFit="1" customWidth="1"/>
  </cols>
  <sheetData>
    <row r="1" spans="1:43" x14ac:dyDescent="0.25">
      <c r="A1" s="293" t="s">
        <v>323</v>
      </c>
      <c r="B1" s="293"/>
      <c r="C1" s="293"/>
    </row>
    <row r="2" spans="1:43" ht="26.4" x14ac:dyDescent="0.25">
      <c r="A2" s="294" t="s">
        <v>324</v>
      </c>
      <c r="B2" s="294"/>
      <c r="C2" s="97">
        <v>0.8</v>
      </c>
      <c r="D2" s="83"/>
      <c r="G2" s="96" t="s">
        <v>365</v>
      </c>
      <c r="H2" s="96" t="s">
        <v>366</v>
      </c>
      <c r="I2" s="96" t="s">
        <v>367</v>
      </c>
      <c r="L2" s="96" t="s">
        <v>361</v>
      </c>
      <c r="Y2" s="289" t="s">
        <v>383</v>
      </c>
      <c r="Z2" s="289"/>
      <c r="AA2" s="74"/>
    </row>
    <row r="3" spans="1:43" x14ac:dyDescent="0.25">
      <c r="A3" s="294" t="s">
        <v>325</v>
      </c>
      <c r="B3" s="294"/>
      <c r="C3" s="97">
        <f>+C2*$D$3</f>
        <v>0.60000000000000009</v>
      </c>
      <c r="D3" s="81">
        <v>0.75</v>
      </c>
      <c r="F3" s="95" t="s">
        <v>154</v>
      </c>
      <c r="G3" s="94">
        <f>+SUMIF($A$9:$A$548,1,$K$9:$K$548)-SUMIF($A$9:$A$548,1,$H$9:$H$548)</f>
        <v>11.159999999999911</v>
      </c>
      <c r="H3" s="94">
        <f>+SUMIF($A$9:$A$548,1,$O$9:$O$548)</f>
        <v>99.120000000000047</v>
      </c>
      <c r="I3" s="94">
        <f>+M9</f>
        <v>610.63200000000006</v>
      </c>
      <c r="K3" s="95" t="s">
        <v>154</v>
      </c>
      <c r="L3" s="97">
        <v>1</v>
      </c>
      <c r="M3" s="58"/>
      <c r="Y3" s="91" t="s">
        <v>378</v>
      </c>
      <c r="Z3" s="80">
        <v>0.4</v>
      </c>
    </row>
    <row r="4" spans="1:43" x14ac:dyDescent="0.25">
      <c r="A4" s="294" t="s">
        <v>364</v>
      </c>
      <c r="B4" s="294"/>
      <c r="C4" s="97">
        <f>+C2*$D$4</f>
        <v>0.68</v>
      </c>
      <c r="D4" s="81">
        <v>0.85</v>
      </c>
      <c r="F4" s="95" t="s">
        <v>155</v>
      </c>
      <c r="G4" s="94">
        <f>+SUMIF($A$9:$A$548,2,$K$9:$K$548)-SUMIF($A$9:$A$548,2,$H$9:$H$548)</f>
        <v>12</v>
      </c>
      <c r="H4" s="94">
        <f>+SUMIF($A$9:$A$548,2,$O$9:$O$548)</f>
        <v>96.480000000000032</v>
      </c>
      <c r="I4" s="94">
        <f>+VLOOKUP(frec+1,$B$9:$M$548,12,FALSE)</f>
        <v>407.80799999999999</v>
      </c>
      <c r="K4" s="95" t="s">
        <v>155</v>
      </c>
      <c r="L4" s="97">
        <v>0.5</v>
      </c>
      <c r="M4" s="58"/>
      <c r="Y4" s="91" t="s">
        <v>379</v>
      </c>
      <c r="Z4" s="80">
        <v>0.7</v>
      </c>
    </row>
    <row r="6" spans="1:43" ht="14.25" customHeight="1" x14ac:dyDescent="0.25">
      <c r="E6" s="290" t="s">
        <v>329</v>
      </c>
      <c r="F6" s="290"/>
      <c r="G6" s="290"/>
      <c r="H6" s="291" t="s">
        <v>338</v>
      </c>
      <c r="I6" s="291"/>
      <c r="J6" s="291"/>
      <c r="K6" s="291"/>
      <c r="L6" s="292" t="s">
        <v>346</v>
      </c>
      <c r="M6" s="292"/>
      <c r="N6" s="292"/>
      <c r="O6" s="292"/>
      <c r="P6" s="290" t="s">
        <v>359</v>
      </c>
      <c r="Q6" s="290"/>
      <c r="R6" s="290"/>
      <c r="S6" s="291" t="s">
        <v>355</v>
      </c>
      <c r="T6" s="291"/>
      <c r="U6" s="291"/>
      <c r="V6" s="291"/>
      <c r="W6" s="291"/>
      <c r="X6" s="291"/>
      <c r="Y6" s="290" t="s">
        <v>382</v>
      </c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</row>
    <row r="7" spans="1:43" ht="52.8" x14ac:dyDescent="0.25">
      <c r="A7" s="82" t="s">
        <v>308</v>
      </c>
      <c r="B7" s="82" t="s">
        <v>310</v>
      </c>
      <c r="C7" s="82" t="s">
        <v>3</v>
      </c>
      <c r="D7" s="84" t="s">
        <v>333</v>
      </c>
      <c r="E7" s="86" t="s">
        <v>326</v>
      </c>
      <c r="F7" s="86" t="s">
        <v>327</v>
      </c>
      <c r="G7" s="86" t="s">
        <v>328</v>
      </c>
      <c r="H7" s="87" t="s">
        <v>334</v>
      </c>
      <c r="I7" s="87" t="s">
        <v>336</v>
      </c>
      <c r="J7" s="87" t="s">
        <v>337</v>
      </c>
      <c r="K7" s="87" t="s">
        <v>348</v>
      </c>
      <c r="L7" s="88" t="s">
        <v>339</v>
      </c>
      <c r="M7" s="88" t="s">
        <v>341</v>
      </c>
      <c r="N7" s="88" t="s">
        <v>342</v>
      </c>
      <c r="O7" s="88" t="s">
        <v>344</v>
      </c>
      <c r="P7" s="86" t="s">
        <v>29</v>
      </c>
      <c r="Q7" s="86" t="s">
        <v>351</v>
      </c>
      <c r="R7" s="86" t="s">
        <v>352</v>
      </c>
      <c r="S7" s="87" t="s">
        <v>355</v>
      </c>
      <c r="T7" s="87" t="s">
        <v>356</v>
      </c>
      <c r="U7" s="87" t="s">
        <v>358</v>
      </c>
      <c r="V7" s="87" t="s">
        <v>362</v>
      </c>
      <c r="W7" s="87" t="s">
        <v>368</v>
      </c>
      <c r="X7" s="87" t="s">
        <v>363</v>
      </c>
      <c r="Y7" s="86" t="s">
        <v>27</v>
      </c>
      <c r="Z7" s="86" t="s">
        <v>380</v>
      </c>
      <c r="AA7" s="86" t="s">
        <v>377</v>
      </c>
      <c r="AB7" s="290" t="s">
        <v>381</v>
      </c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</row>
    <row r="8" spans="1:43" ht="26.4" x14ac:dyDescent="0.25">
      <c r="A8" s="82"/>
      <c r="B8" s="82"/>
      <c r="C8" s="82"/>
      <c r="D8" s="85" t="s">
        <v>330</v>
      </c>
      <c r="E8" s="86" t="s">
        <v>331</v>
      </c>
      <c r="F8" s="86" t="s">
        <v>332</v>
      </c>
      <c r="G8" s="86" t="s">
        <v>371</v>
      </c>
      <c r="H8" s="87" t="s">
        <v>335</v>
      </c>
      <c r="I8" s="87" t="s">
        <v>372</v>
      </c>
      <c r="J8" s="87" t="s">
        <v>373</v>
      </c>
      <c r="K8" s="87" t="s">
        <v>340</v>
      </c>
      <c r="L8" s="88" t="s">
        <v>349</v>
      </c>
      <c r="M8" s="88" t="s">
        <v>343</v>
      </c>
      <c r="N8" s="88" t="s">
        <v>345</v>
      </c>
      <c r="O8" s="88" t="s">
        <v>347</v>
      </c>
      <c r="P8" s="86" t="s">
        <v>350</v>
      </c>
      <c r="Q8" s="86" t="s">
        <v>353</v>
      </c>
      <c r="R8" s="86" t="s">
        <v>354</v>
      </c>
      <c r="S8" s="87" t="s">
        <v>374</v>
      </c>
      <c r="T8" s="87" t="s">
        <v>357</v>
      </c>
      <c r="U8" s="87" t="s">
        <v>375</v>
      </c>
      <c r="V8" s="87" t="s">
        <v>360</v>
      </c>
      <c r="W8" s="87" t="s">
        <v>369</v>
      </c>
      <c r="X8" s="87" t="s">
        <v>376</v>
      </c>
      <c r="Y8" s="93"/>
      <c r="Z8" s="93"/>
      <c r="AA8" s="93"/>
      <c r="AB8" s="86">
        <v>1</v>
      </c>
      <c r="AC8" s="86">
        <v>2</v>
      </c>
      <c r="AD8" s="86">
        <v>3</v>
      </c>
      <c r="AE8" s="86">
        <v>4</v>
      </c>
      <c r="AF8" s="86">
        <v>5</v>
      </c>
      <c r="AG8" s="86">
        <v>6</v>
      </c>
      <c r="AH8" s="86">
        <v>7</v>
      </c>
      <c r="AI8" s="86">
        <v>8</v>
      </c>
      <c r="AJ8" s="86">
        <v>9</v>
      </c>
      <c r="AK8" s="86">
        <v>10</v>
      </c>
      <c r="AL8" s="86">
        <v>11</v>
      </c>
      <c r="AM8" s="86">
        <v>12</v>
      </c>
    </row>
    <row r="9" spans="1:43" x14ac:dyDescent="0.25">
      <c r="A9">
        <f>+'Tablas Servicio'!B42</f>
        <v>1</v>
      </c>
      <c r="B9">
        <f>+'Tablas Servicio'!C42</f>
        <v>1</v>
      </c>
      <c r="C9" s="56">
        <f>+'Tablas Servicio'!D42</f>
        <v>40.103333333333339</v>
      </c>
      <c r="D9" s="58">
        <f>+'Tablas Servicio'!N42</f>
        <v>94</v>
      </c>
      <c r="E9" s="66">
        <f>+'Tablas Servicio'!AC42</f>
        <v>11</v>
      </c>
      <c r="F9" s="66">
        <f>+IF(A9="","",'Tablas Servicio'!O42-'Modelo Financiero'!E9)</f>
        <v>0.40000000000000036</v>
      </c>
      <c r="G9" s="58">
        <f>+IF(A9="","",IF(A9=1,$C$3,$C$4)*E9+$C$2*F9)</f>
        <v>6.9200000000000017</v>
      </c>
      <c r="H9" s="66">
        <f>+'Tablas Servicio'!G42</f>
        <v>23.21</v>
      </c>
      <c r="I9" s="72">
        <f>IF(A9="","",1-(E9+F9)/H9)</f>
        <v>0.50883239982766049</v>
      </c>
      <c r="J9" s="66">
        <f>+IF(A9="","",H9-E9-F9)</f>
        <v>11.81</v>
      </c>
      <c r="K9" s="66">
        <f>+'Tablas Servicio'!H42</f>
        <v>24.14</v>
      </c>
      <c r="L9" s="66">
        <f>+IF(A9="","",ROUND(H9*Parámetros!$D$100,2))</f>
        <v>2.71</v>
      </c>
      <c r="M9" s="58">
        <f>+IF(A9="","",IF(AND(A9=1,B9=1),Parámetros!$D$114*(D9*frec-$G$3-$H$3),IF(AND(A9=2,B9=frec+1),Parámetros!$D$115*(D9*frec-$G$4-$H$4),0)))</f>
        <v>610.63200000000006</v>
      </c>
      <c r="N9" s="58">
        <f>+IF(A9="","",IF(A9&gt;Parámetros!$D$117,0,ROUND('Modelo Financiero'!D9*Parámetros!$D$116,2)))</f>
        <v>10.97</v>
      </c>
      <c r="O9" s="58">
        <f>+IF(A9="","",MAX(N9-L9,0))</f>
        <v>8.2600000000000016</v>
      </c>
      <c r="P9" s="66">
        <f>+'Tablas Servicio'!I42</f>
        <v>61.6</v>
      </c>
      <c r="Q9" s="66">
        <f>+'Tablas Servicio'!S42</f>
        <v>61.77</v>
      </c>
      <c r="R9" s="66">
        <f>+'Tablas Servicio'!T42</f>
        <v>0</v>
      </c>
      <c r="S9" s="66">
        <f>+IF(A9="","",D9-P9-G9-(K9-H9)-M9)</f>
        <v>-586.08200000000011</v>
      </c>
      <c r="T9" s="66">
        <f>+IF(A9="","",S9)</f>
        <v>-586.08200000000011</v>
      </c>
      <c r="U9" s="66">
        <f>+IF(A9="","",T9+(Q9-R9))</f>
        <v>-524.31200000000013</v>
      </c>
      <c r="V9" s="81">
        <f>+IF(A9="","",IF(A9=1,$L$3,IF(A9=2,$L$4,0)))</f>
        <v>1</v>
      </c>
      <c r="W9" s="66">
        <f>+IF(A9="","",IF(A9=1,$I$3,IF(A9=2,$I$4,0))*V9)</f>
        <v>610.63200000000006</v>
      </c>
      <c r="X9" s="66">
        <f>+IF(A9="","",U9+W9)</f>
        <v>86.319999999999936</v>
      </c>
      <c r="Y9">
        <v>1</v>
      </c>
      <c r="Z9" s="58">
        <f>+SUMIF($A$9:$A$548,Y9,$H$9:$H$548)-SUMIF($A$9:$A$548,Y9,$G$9:$G$548)</f>
        <v>195.48000000000002</v>
      </c>
      <c r="AA9" s="92">
        <f>+Z9*$Z$3</f>
        <v>78.192000000000007</v>
      </c>
      <c r="AB9" s="92">
        <f>Z9*$Z$4*(25-2*AB$8)/24</f>
        <v>131.1345</v>
      </c>
      <c r="AC9" s="92">
        <f t="shared" ref="AC9:AM9" si="0">AA9*$Z$4*(25-2*AC$8)/24</f>
        <v>47.892599999999995</v>
      </c>
      <c r="AD9" s="92">
        <f t="shared" si="0"/>
        <v>72.670368750000009</v>
      </c>
      <c r="AE9" s="92">
        <f t="shared" si="0"/>
        <v>23.746747499999994</v>
      </c>
      <c r="AF9" s="92">
        <f t="shared" si="0"/>
        <v>31.793286328125003</v>
      </c>
      <c r="AG9" s="92">
        <f t="shared" si="0"/>
        <v>9.0039750937499985</v>
      </c>
      <c r="AH9" s="92">
        <f t="shared" si="0"/>
        <v>10.200346030273439</v>
      </c>
      <c r="AI9" s="92">
        <f t="shared" si="0"/>
        <v>2.3635434621093747</v>
      </c>
      <c r="AJ9" s="92">
        <f t="shared" si="0"/>
        <v>2.0825706478474935</v>
      </c>
      <c r="AK9" s="92">
        <f t="shared" si="0"/>
        <v>0.34468342155761711</v>
      </c>
      <c r="AL9" s="92">
        <f t="shared" si="0"/>
        <v>0.18222493168665566</v>
      </c>
      <c r="AM9" s="92">
        <f t="shared" si="0"/>
        <v>1.0053266462097166E-2</v>
      </c>
      <c r="AN9" s="72"/>
      <c r="AO9" s="72"/>
      <c r="AP9" s="72"/>
      <c r="AQ9" s="72"/>
    </row>
    <row r="10" spans="1:43" x14ac:dyDescent="0.25">
      <c r="A10">
        <f>+'Tablas Servicio'!B43</f>
        <v>1</v>
      </c>
      <c r="B10">
        <f>+'Tablas Servicio'!C43</f>
        <v>2</v>
      </c>
      <c r="C10" s="56">
        <f>+'Tablas Servicio'!D43</f>
        <v>40.186666666666675</v>
      </c>
      <c r="D10" s="58">
        <f>+'Tablas Servicio'!N43</f>
        <v>94</v>
      </c>
      <c r="E10" s="66">
        <f>+'Tablas Servicio'!AC43</f>
        <v>11</v>
      </c>
      <c r="F10" s="66">
        <f>+IF(A10="","",'Tablas Servicio'!O43-'Modelo Financiero'!E10)</f>
        <v>0.40000000000000036</v>
      </c>
      <c r="G10" s="58">
        <f t="shared" ref="G10:G73" si="1">+IF(A10="","",IF(A10=1,$C$3,$C$4)*E10+$C$2*F10)</f>
        <v>6.9200000000000017</v>
      </c>
      <c r="H10" s="66">
        <f>+'Tablas Servicio'!G43</f>
        <v>23.21</v>
      </c>
      <c r="I10" s="72">
        <f t="shared" ref="I10:I73" si="2">IF(A10="","",1-(E10+F10)/H10)</f>
        <v>0.50883239982766049</v>
      </c>
      <c r="J10" s="66">
        <f t="shared" ref="J10:J73" si="3">+IF(A10="","",H10-E10-F10)</f>
        <v>11.81</v>
      </c>
      <c r="K10" s="66">
        <f>+'Tablas Servicio'!H43</f>
        <v>24.14</v>
      </c>
      <c r="L10" s="66">
        <f>+IF(A10="","",ROUND(H10*Parámetros!$D$100,2))</f>
        <v>2.71</v>
      </c>
      <c r="M10" s="58">
        <f>+IF(A10="","",IF(AND(A10=1,B10=1),Parámetros!$D$114*(D10*frec-$G$3-$H$3),IF(AND(A10=2,B10=frec+1),Parámetros!$D$115*(D10*frec-$G$4-$H$4),0)))</f>
        <v>0</v>
      </c>
      <c r="N10" s="58">
        <f>+IF(A10="","",IF(A10&gt;Parámetros!$D$117,0,ROUND('Modelo Financiero'!D10*Parámetros!$D$116,2)))</f>
        <v>10.97</v>
      </c>
      <c r="O10" s="58">
        <f t="shared" ref="O10:O73" si="4">+IF(A10="","",MAX(N10-L10,0))</f>
        <v>8.2600000000000016</v>
      </c>
      <c r="P10" s="66">
        <f>+'Tablas Servicio'!I43</f>
        <v>61.6</v>
      </c>
      <c r="Q10" s="66">
        <f>+'Tablas Servicio'!S43</f>
        <v>123.72</v>
      </c>
      <c r="R10" s="66">
        <f>+'Tablas Servicio'!T43</f>
        <v>0</v>
      </c>
      <c r="S10" s="66">
        <f t="shared" ref="S10:S72" si="5">+IF(A10="","",D10-P10-G10-(K10-H10)-M10)</f>
        <v>24.549999999999997</v>
      </c>
      <c r="T10" s="66">
        <f>+IF(A10="","",T9+S10)</f>
        <v>-561.53200000000015</v>
      </c>
      <c r="U10" s="66">
        <f t="shared" ref="U10:U73" si="6">+IF(A10="","",T10+(Q10-R10))</f>
        <v>-437.81200000000013</v>
      </c>
      <c r="V10" s="81">
        <f t="shared" ref="V10:V73" si="7">+IF(A10="","",IF(A10=1,$L$3,IF(A10=2,$L$4,0)))</f>
        <v>1</v>
      </c>
      <c r="W10" s="66">
        <f t="shared" ref="W10:W73" si="8">+IF(A10="","",IF(A10=1,$I$3,IF(A10=2,$I$4,0))*V10)</f>
        <v>610.63200000000006</v>
      </c>
      <c r="X10" s="66">
        <f t="shared" ref="X10:X73" si="9">+IF(A10="","",U10+W10)</f>
        <v>172.81999999999994</v>
      </c>
      <c r="Y10">
        <v>2</v>
      </c>
      <c r="Z10" s="58">
        <f t="shared" ref="Z10:Z53" si="10">+SUMIF($A$9:$A$548,Y10,$H$9:$H$548)-SUMIF($A$9:$A$548,Y10,$G$9:$G$548)</f>
        <v>199.89599999999996</v>
      </c>
      <c r="AA10" s="92">
        <f t="shared" ref="AA10:AA53" si="11">+Z10*$Z$3</f>
        <v>79.958399999999983</v>
      </c>
      <c r="AB10" s="92">
        <f t="shared" ref="AB10:AB53" si="12">Z10*$Z$4*(25-2*AB$8)/24</f>
        <v>134.09689999999998</v>
      </c>
      <c r="AC10" s="92">
        <f t="shared" ref="AC10:AC53" si="13">AA10*$Z$4*(25-2*AC$8)/24</f>
        <v>48.974519999999984</v>
      </c>
      <c r="AD10" s="92">
        <f t="shared" ref="AD10:AD53" si="14">AB10*$Z$4*(25-2*AD$8)/24</f>
        <v>74.312032083333321</v>
      </c>
      <c r="AE10" s="92">
        <f t="shared" ref="AE10:AE53" si="15">AC10*$Z$4*(25-2*AE$8)/24</f>
        <v>24.283199499999991</v>
      </c>
      <c r="AF10" s="92">
        <f t="shared" ref="AF10:AF53" si="16">AD10*$Z$4*(25-2*AF$8)/24</f>
        <v>32.511514036458323</v>
      </c>
      <c r="AG10" s="92">
        <f t="shared" ref="AG10:AG53" si="17">AE10*$Z$4*(25-2*AG$8)/24</f>
        <v>9.2073798104166631</v>
      </c>
      <c r="AH10" s="92">
        <f t="shared" ref="AH10:AH53" si="18">AF10*$Z$4*(25-2*AH$8)/24</f>
        <v>10.430777420030378</v>
      </c>
      <c r="AI10" s="92">
        <f t="shared" ref="AI10:AI53" si="19">AG10*$Z$4*(25-2*AI$8)/24</f>
        <v>2.4169372002343739</v>
      </c>
      <c r="AJ10" s="92">
        <f t="shared" ref="AJ10:AJ53" si="20">AH10*$Z$4*(25-2*AJ$8)/24</f>
        <v>2.1296170565895354</v>
      </c>
      <c r="AK10" s="92">
        <f t="shared" ref="AK10:AK53" si="21">AI10*$Z$4*(25-2*AK$8)/24</f>
        <v>0.3524700083675128</v>
      </c>
      <c r="AL10" s="92">
        <f t="shared" ref="AL10:AL53" si="22">AJ10*$Z$4*(25-2*AL$8)/24</f>
        <v>0.18634149245158435</v>
      </c>
      <c r="AM10" s="92">
        <f t="shared" ref="AM10:AM53" si="23">AK10*$Z$4*(25-2*AM$8)/24</f>
        <v>1.0280375244052455E-2</v>
      </c>
    </row>
    <row r="11" spans="1:43" x14ac:dyDescent="0.25">
      <c r="A11">
        <f>+'Tablas Servicio'!B44</f>
        <v>1</v>
      </c>
      <c r="B11">
        <f>+'Tablas Servicio'!C44</f>
        <v>3</v>
      </c>
      <c r="C11" s="56">
        <f>+'Tablas Servicio'!D44</f>
        <v>40.27000000000001</v>
      </c>
      <c r="D11" s="58">
        <f>+'Tablas Servicio'!N44</f>
        <v>94</v>
      </c>
      <c r="E11" s="66">
        <f>+'Tablas Servicio'!AC44</f>
        <v>11</v>
      </c>
      <c r="F11" s="66">
        <f>+IF(A11="","",'Tablas Servicio'!O44-'Modelo Financiero'!E11)</f>
        <v>0.40000000000000036</v>
      </c>
      <c r="G11" s="58">
        <f t="shared" si="1"/>
        <v>6.9200000000000017</v>
      </c>
      <c r="H11" s="66">
        <f>+'Tablas Servicio'!G44</f>
        <v>23.21</v>
      </c>
      <c r="I11" s="72">
        <f t="shared" si="2"/>
        <v>0.50883239982766049</v>
      </c>
      <c r="J11" s="66">
        <f t="shared" si="3"/>
        <v>11.81</v>
      </c>
      <c r="K11" s="66">
        <f>+'Tablas Servicio'!H44</f>
        <v>24.14</v>
      </c>
      <c r="L11" s="66">
        <f>+IF(A11="","",ROUND(H11*Parámetros!$D$100,2))</f>
        <v>2.71</v>
      </c>
      <c r="M11" s="58">
        <f>+IF(A11="","",IF(AND(A11=1,B11=1),Parámetros!$D$114*(D11*frec-$G$3-$H$3),IF(AND(A11=2,B11=frec+1),Parámetros!$D$115*(D11*frec-$G$4-$H$4),0)))</f>
        <v>0</v>
      </c>
      <c r="N11" s="58">
        <f>+IF(A11="","",IF(A11&gt;Parámetros!$D$117,0,ROUND('Modelo Financiero'!D11*Parámetros!$D$116,2)))</f>
        <v>10.97</v>
      </c>
      <c r="O11" s="58">
        <f t="shared" si="4"/>
        <v>8.2600000000000016</v>
      </c>
      <c r="P11" s="66">
        <f>+'Tablas Servicio'!I44</f>
        <v>61.6</v>
      </c>
      <c r="Q11" s="66">
        <f>+'Tablas Servicio'!S44</f>
        <v>185.85</v>
      </c>
      <c r="R11" s="66">
        <f>+'Tablas Servicio'!T44</f>
        <v>0</v>
      </c>
      <c r="S11" s="66">
        <f t="shared" si="5"/>
        <v>24.549999999999997</v>
      </c>
      <c r="T11" s="66">
        <f t="shared" ref="T11:T74" si="24">+IF(A11="","",T10+S11)</f>
        <v>-536.9820000000002</v>
      </c>
      <c r="U11" s="66">
        <f t="shared" si="6"/>
        <v>-351.13200000000018</v>
      </c>
      <c r="V11" s="81">
        <f t="shared" si="7"/>
        <v>1</v>
      </c>
      <c r="W11" s="66">
        <f t="shared" si="8"/>
        <v>610.63200000000006</v>
      </c>
      <c r="X11" s="66">
        <f t="shared" si="9"/>
        <v>259.49999999999989</v>
      </c>
      <c r="Y11">
        <v>3</v>
      </c>
      <c r="Z11" s="58">
        <f t="shared" si="10"/>
        <v>216.57599999999991</v>
      </c>
      <c r="AA11" s="92">
        <f t="shared" si="11"/>
        <v>86.630399999999966</v>
      </c>
      <c r="AB11" s="92">
        <f t="shared" si="12"/>
        <v>145.28639999999993</v>
      </c>
      <c r="AC11" s="92">
        <f t="shared" si="13"/>
        <v>53.061119999999981</v>
      </c>
      <c r="AD11" s="92">
        <f t="shared" si="14"/>
        <v>80.512879999999953</v>
      </c>
      <c r="AE11" s="92">
        <f t="shared" si="15"/>
        <v>26.309471999999989</v>
      </c>
      <c r="AF11" s="92">
        <f t="shared" si="16"/>
        <v>35.224384999999977</v>
      </c>
      <c r="AG11" s="92">
        <f t="shared" si="17"/>
        <v>9.9756747999999948</v>
      </c>
      <c r="AH11" s="92">
        <f t="shared" si="18"/>
        <v>11.301156854166658</v>
      </c>
      <c r="AI11" s="92">
        <f t="shared" si="19"/>
        <v>2.6186146349999988</v>
      </c>
      <c r="AJ11" s="92">
        <f t="shared" si="20"/>
        <v>2.307319524392359</v>
      </c>
      <c r="AK11" s="92">
        <f t="shared" si="21"/>
        <v>0.38188130093749978</v>
      </c>
      <c r="AL11" s="92">
        <f t="shared" si="22"/>
        <v>0.20189045838433139</v>
      </c>
      <c r="AM11" s="92">
        <f t="shared" si="23"/>
        <v>1.1138204610677077E-2</v>
      </c>
    </row>
    <row r="12" spans="1:43" x14ac:dyDescent="0.25">
      <c r="A12">
        <f>+'Tablas Servicio'!B45</f>
        <v>1</v>
      </c>
      <c r="B12">
        <f>+'Tablas Servicio'!C45</f>
        <v>4</v>
      </c>
      <c r="C12" s="56">
        <f>+'Tablas Servicio'!D45</f>
        <v>40.353333333333346</v>
      </c>
      <c r="D12" s="58">
        <f>+'Tablas Servicio'!N45</f>
        <v>94</v>
      </c>
      <c r="E12" s="66">
        <f>+'Tablas Servicio'!AC45</f>
        <v>11</v>
      </c>
      <c r="F12" s="66">
        <f>+IF(A12="","",'Tablas Servicio'!O45-'Modelo Financiero'!E12)</f>
        <v>0.40000000000000036</v>
      </c>
      <c r="G12" s="58">
        <f t="shared" si="1"/>
        <v>6.9200000000000017</v>
      </c>
      <c r="H12" s="66">
        <f>+'Tablas Servicio'!G45</f>
        <v>23.21</v>
      </c>
      <c r="I12" s="72">
        <f t="shared" si="2"/>
        <v>0.50883239982766049</v>
      </c>
      <c r="J12" s="66">
        <f t="shared" si="3"/>
        <v>11.81</v>
      </c>
      <c r="K12" s="66">
        <f>+'Tablas Servicio'!H45</f>
        <v>24.14</v>
      </c>
      <c r="L12" s="66">
        <f>+IF(A12="","",ROUND(H12*Parámetros!$D$100,2))</f>
        <v>2.71</v>
      </c>
      <c r="M12" s="58">
        <f>+IF(A12="","",IF(AND(A12=1,B12=1),Parámetros!$D$114*(D12*frec-$G$3-$H$3),IF(AND(A12=2,B12=frec+1),Parámetros!$D$115*(D12*frec-$G$4-$H$4),0)))</f>
        <v>0</v>
      </c>
      <c r="N12" s="58">
        <f>+IF(A12="","",IF(A12&gt;Parámetros!$D$117,0,ROUND('Modelo Financiero'!D12*Parámetros!$D$116,2)))</f>
        <v>10.97</v>
      </c>
      <c r="O12" s="58">
        <f t="shared" si="4"/>
        <v>8.2600000000000016</v>
      </c>
      <c r="P12" s="66">
        <f>+'Tablas Servicio'!I45</f>
        <v>61.6</v>
      </c>
      <c r="Q12" s="66">
        <f>+'Tablas Servicio'!S45</f>
        <v>248.15</v>
      </c>
      <c r="R12" s="66">
        <f>+'Tablas Servicio'!T45</f>
        <v>0</v>
      </c>
      <c r="S12" s="66">
        <f t="shared" si="5"/>
        <v>24.549999999999997</v>
      </c>
      <c r="T12" s="66">
        <f t="shared" si="24"/>
        <v>-512.43200000000024</v>
      </c>
      <c r="U12" s="66">
        <f t="shared" si="6"/>
        <v>-264.28200000000027</v>
      </c>
      <c r="V12" s="81">
        <f t="shared" si="7"/>
        <v>1</v>
      </c>
      <c r="W12" s="66">
        <f t="shared" si="8"/>
        <v>610.63200000000006</v>
      </c>
      <c r="X12" s="66">
        <f t="shared" si="9"/>
        <v>346.3499999999998</v>
      </c>
      <c r="Y12">
        <v>4</v>
      </c>
      <c r="Z12" s="58">
        <f t="shared" si="10"/>
        <v>233.25599999999991</v>
      </c>
      <c r="AA12" s="92">
        <f t="shared" si="11"/>
        <v>93.302399999999977</v>
      </c>
      <c r="AB12" s="92">
        <f t="shared" si="12"/>
        <v>156.47589999999994</v>
      </c>
      <c r="AC12" s="92">
        <f t="shared" si="13"/>
        <v>57.147719999999985</v>
      </c>
      <c r="AD12" s="92">
        <f t="shared" si="14"/>
        <v>86.713727916666642</v>
      </c>
      <c r="AE12" s="92">
        <f t="shared" si="15"/>
        <v>28.335744499999993</v>
      </c>
      <c r="AF12" s="92">
        <f t="shared" si="16"/>
        <v>37.937255963541652</v>
      </c>
      <c r="AG12" s="92">
        <f t="shared" si="17"/>
        <v>10.743969789583332</v>
      </c>
      <c r="AH12" s="92">
        <f t="shared" si="18"/>
        <v>12.171536288302946</v>
      </c>
      <c r="AI12" s="92">
        <f t="shared" si="19"/>
        <v>2.8202920697656242</v>
      </c>
      <c r="AJ12" s="92">
        <f t="shared" si="20"/>
        <v>2.4850219921951844</v>
      </c>
      <c r="AK12" s="92">
        <f t="shared" si="21"/>
        <v>0.41129259350748687</v>
      </c>
      <c r="AL12" s="92">
        <f t="shared" si="22"/>
        <v>0.21743942431707863</v>
      </c>
      <c r="AM12" s="92">
        <f t="shared" si="23"/>
        <v>1.1996033977301699E-2</v>
      </c>
    </row>
    <row r="13" spans="1:43" x14ac:dyDescent="0.25">
      <c r="A13">
        <f>+'Tablas Servicio'!B46</f>
        <v>1</v>
      </c>
      <c r="B13">
        <f>+'Tablas Servicio'!C46</f>
        <v>5</v>
      </c>
      <c r="C13" s="56">
        <f>+'Tablas Servicio'!D46</f>
        <v>40.436666666666682</v>
      </c>
      <c r="D13" s="58">
        <f>+'Tablas Servicio'!N46</f>
        <v>94</v>
      </c>
      <c r="E13" s="66">
        <f>+'Tablas Servicio'!AC46</f>
        <v>11</v>
      </c>
      <c r="F13" s="66">
        <f>+IF(A13="","",'Tablas Servicio'!O46-'Modelo Financiero'!E13)</f>
        <v>0.40000000000000036</v>
      </c>
      <c r="G13" s="58">
        <f t="shared" si="1"/>
        <v>6.9200000000000017</v>
      </c>
      <c r="H13" s="66">
        <f>+'Tablas Servicio'!G46</f>
        <v>23.21</v>
      </c>
      <c r="I13" s="72">
        <f t="shared" si="2"/>
        <v>0.50883239982766049</v>
      </c>
      <c r="J13" s="66">
        <f t="shared" si="3"/>
        <v>11.81</v>
      </c>
      <c r="K13" s="66">
        <f>+'Tablas Servicio'!H46</f>
        <v>24.14</v>
      </c>
      <c r="L13" s="66">
        <f>+IF(A13="","",ROUND(H13*Parámetros!$D$100,2))</f>
        <v>2.71</v>
      </c>
      <c r="M13" s="58">
        <f>+IF(A13="","",IF(AND(A13=1,B13=1),Parámetros!$D$114*(D13*frec-$G$3-$H$3),IF(AND(A13=2,B13=frec+1),Parámetros!$D$115*(D13*frec-$G$4-$H$4),0)))</f>
        <v>0</v>
      </c>
      <c r="N13" s="58">
        <f>+IF(A13="","",IF(A13&gt;Parámetros!$D$117,0,ROUND('Modelo Financiero'!D13*Parámetros!$D$116,2)))</f>
        <v>10.97</v>
      </c>
      <c r="O13" s="58">
        <f t="shared" si="4"/>
        <v>8.2600000000000016</v>
      </c>
      <c r="P13" s="66">
        <f>+'Tablas Servicio'!I46</f>
        <v>61.6</v>
      </c>
      <c r="Q13" s="66">
        <f>+'Tablas Servicio'!S46</f>
        <v>310.63</v>
      </c>
      <c r="R13" s="66">
        <f>+'Tablas Servicio'!T46</f>
        <v>0</v>
      </c>
      <c r="S13" s="66">
        <f t="shared" si="5"/>
        <v>24.549999999999997</v>
      </c>
      <c r="T13" s="66">
        <f t="shared" si="24"/>
        <v>-487.88200000000023</v>
      </c>
      <c r="U13" s="66">
        <f t="shared" si="6"/>
        <v>-177.25200000000024</v>
      </c>
      <c r="V13" s="81">
        <f t="shared" si="7"/>
        <v>1</v>
      </c>
      <c r="W13" s="66">
        <f t="shared" si="8"/>
        <v>610.63200000000006</v>
      </c>
      <c r="X13" s="66">
        <f t="shared" si="9"/>
        <v>433.37999999999982</v>
      </c>
      <c r="Y13">
        <v>5</v>
      </c>
      <c r="Z13" s="58">
        <f t="shared" si="10"/>
        <v>248.23199999999997</v>
      </c>
      <c r="AA13" s="92">
        <f t="shared" si="11"/>
        <v>99.2928</v>
      </c>
      <c r="AB13" s="92">
        <f t="shared" si="12"/>
        <v>166.52229999999994</v>
      </c>
      <c r="AC13" s="92">
        <f t="shared" si="13"/>
        <v>60.816839999999992</v>
      </c>
      <c r="AD13" s="92">
        <f t="shared" si="14"/>
        <v>92.281107916666613</v>
      </c>
      <c r="AE13" s="92">
        <f t="shared" si="15"/>
        <v>30.155016499999991</v>
      </c>
      <c r="AF13" s="92">
        <f t="shared" si="16"/>
        <v>40.372984713541648</v>
      </c>
      <c r="AG13" s="92">
        <f t="shared" si="17"/>
        <v>11.43377708958333</v>
      </c>
      <c r="AH13" s="92">
        <f t="shared" si="18"/>
        <v>12.952999262261278</v>
      </c>
      <c r="AI13" s="92">
        <f t="shared" si="19"/>
        <v>3.0013664860156246</v>
      </c>
      <c r="AJ13" s="92">
        <f t="shared" si="20"/>
        <v>2.6445706827116773</v>
      </c>
      <c r="AK13" s="92">
        <f t="shared" si="21"/>
        <v>0.43769927921061186</v>
      </c>
      <c r="AL13" s="92">
        <f t="shared" si="22"/>
        <v>0.23139993473727175</v>
      </c>
      <c r="AM13" s="92">
        <f t="shared" si="23"/>
        <v>1.2766228976976178E-2</v>
      </c>
    </row>
    <row r="14" spans="1:43" x14ac:dyDescent="0.25">
      <c r="A14">
        <f>+'Tablas Servicio'!B47</f>
        <v>1</v>
      </c>
      <c r="B14">
        <f>+'Tablas Servicio'!C47</f>
        <v>6</v>
      </c>
      <c r="C14" s="56">
        <f>+'Tablas Servicio'!D47</f>
        <v>40.520000000000017</v>
      </c>
      <c r="D14" s="58">
        <f>+'Tablas Servicio'!N47</f>
        <v>94</v>
      </c>
      <c r="E14" s="66">
        <f>+'Tablas Servicio'!AC47</f>
        <v>11</v>
      </c>
      <c r="F14" s="66">
        <f>+IF(A14="","",'Tablas Servicio'!O47-'Modelo Financiero'!E14)</f>
        <v>0.40000000000000036</v>
      </c>
      <c r="G14" s="58">
        <f t="shared" si="1"/>
        <v>6.9200000000000017</v>
      </c>
      <c r="H14" s="66">
        <f>+'Tablas Servicio'!G47</f>
        <v>23.21</v>
      </c>
      <c r="I14" s="72">
        <f t="shared" si="2"/>
        <v>0.50883239982766049</v>
      </c>
      <c r="J14" s="66">
        <f t="shared" si="3"/>
        <v>11.81</v>
      </c>
      <c r="K14" s="66">
        <f>+'Tablas Servicio'!H47</f>
        <v>24.14</v>
      </c>
      <c r="L14" s="66">
        <f>+IF(A14="","",ROUND(H14*Parámetros!$D$100,2))</f>
        <v>2.71</v>
      </c>
      <c r="M14" s="58">
        <f>+IF(A14="","",IF(AND(A14=1,B14=1),Parámetros!$D$114*(D14*frec-$G$3-$H$3),IF(AND(A14=2,B14=frec+1),Parámetros!$D$115*(D14*frec-$G$4-$H$4),0)))</f>
        <v>0</v>
      </c>
      <c r="N14" s="58">
        <f>+IF(A14="","",IF(A14&gt;Parámetros!$D$117,0,ROUND('Modelo Financiero'!D14*Parámetros!$D$116,2)))</f>
        <v>10.97</v>
      </c>
      <c r="O14" s="58">
        <f t="shared" si="4"/>
        <v>8.2600000000000016</v>
      </c>
      <c r="P14" s="66">
        <f>+'Tablas Servicio'!I47</f>
        <v>61.6</v>
      </c>
      <c r="Q14" s="66">
        <f>+'Tablas Servicio'!S47</f>
        <v>373.29</v>
      </c>
      <c r="R14" s="66">
        <f>+'Tablas Servicio'!T47</f>
        <v>0</v>
      </c>
      <c r="S14" s="66">
        <f t="shared" si="5"/>
        <v>24.549999999999997</v>
      </c>
      <c r="T14" s="66">
        <f t="shared" si="24"/>
        <v>-463.33200000000022</v>
      </c>
      <c r="U14" s="66">
        <f t="shared" si="6"/>
        <v>-90.042000000000201</v>
      </c>
      <c r="V14" s="81">
        <f t="shared" si="7"/>
        <v>1</v>
      </c>
      <c r="W14" s="66">
        <f t="shared" si="8"/>
        <v>610.63200000000006</v>
      </c>
      <c r="X14" s="66">
        <f t="shared" si="9"/>
        <v>520.58999999999992</v>
      </c>
      <c r="Y14">
        <v>6</v>
      </c>
      <c r="Z14" s="58">
        <f t="shared" si="10"/>
        <v>257.95200000000011</v>
      </c>
      <c r="AA14" s="92">
        <f t="shared" si="11"/>
        <v>103.18080000000005</v>
      </c>
      <c r="AB14" s="92">
        <f t="shared" si="12"/>
        <v>173.04280000000006</v>
      </c>
      <c r="AC14" s="92">
        <f t="shared" si="13"/>
        <v>63.198240000000027</v>
      </c>
      <c r="AD14" s="92">
        <f t="shared" si="14"/>
        <v>95.894551666666686</v>
      </c>
      <c r="AE14" s="92">
        <f t="shared" si="15"/>
        <v>31.335794000000011</v>
      </c>
      <c r="AF14" s="92">
        <f t="shared" si="16"/>
        <v>41.953866354166671</v>
      </c>
      <c r="AG14" s="92">
        <f t="shared" si="17"/>
        <v>11.881488558333338</v>
      </c>
      <c r="AH14" s="92">
        <f t="shared" si="18"/>
        <v>13.460198788628473</v>
      </c>
      <c r="AI14" s="92">
        <f t="shared" si="19"/>
        <v>3.1188907465625011</v>
      </c>
      <c r="AJ14" s="92">
        <f t="shared" si="20"/>
        <v>2.7481239193449798</v>
      </c>
      <c r="AK14" s="92">
        <f t="shared" si="21"/>
        <v>0.45483823387369798</v>
      </c>
      <c r="AL14" s="92">
        <f t="shared" si="22"/>
        <v>0.24046084294268569</v>
      </c>
      <c r="AM14" s="92">
        <f t="shared" si="23"/>
        <v>1.3266115154649524E-2</v>
      </c>
    </row>
    <row r="15" spans="1:43" x14ac:dyDescent="0.25">
      <c r="A15">
        <f>+'Tablas Servicio'!B48</f>
        <v>1</v>
      </c>
      <c r="B15">
        <f>+'Tablas Servicio'!C48</f>
        <v>7</v>
      </c>
      <c r="C15" s="56">
        <f>+'Tablas Servicio'!D48</f>
        <v>40.603333333333353</v>
      </c>
      <c r="D15" s="58">
        <f>+'Tablas Servicio'!N48</f>
        <v>94</v>
      </c>
      <c r="E15" s="66">
        <f>+'Tablas Servicio'!AC48</f>
        <v>11</v>
      </c>
      <c r="F15" s="66">
        <f>+IF(A15="","",'Tablas Servicio'!O48-'Modelo Financiero'!E15)</f>
        <v>0.40000000000000036</v>
      </c>
      <c r="G15" s="58">
        <f t="shared" si="1"/>
        <v>6.9200000000000017</v>
      </c>
      <c r="H15" s="66">
        <f>+'Tablas Servicio'!G48</f>
        <v>23.21</v>
      </c>
      <c r="I15" s="72">
        <f t="shared" si="2"/>
        <v>0.50883239982766049</v>
      </c>
      <c r="J15" s="66">
        <f t="shared" si="3"/>
        <v>11.81</v>
      </c>
      <c r="K15" s="66">
        <f>+'Tablas Servicio'!H48</f>
        <v>24.14</v>
      </c>
      <c r="L15" s="66">
        <f>+IF(A15="","",ROUND(H15*Parámetros!$D$100,2))</f>
        <v>2.71</v>
      </c>
      <c r="M15" s="58">
        <f>+IF(A15="","",IF(AND(A15=1,B15=1),Parámetros!$D$114*(D15*frec-$G$3-$H$3),IF(AND(A15=2,B15=frec+1),Parámetros!$D$115*(D15*frec-$G$4-$H$4),0)))</f>
        <v>0</v>
      </c>
      <c r="N15" s="58">
        <f>+IF(A15="","",IF(A15&gt;Parámetros!$D$117,0,ROUND('Modelo Financiero'!D15*Parámetros!$D$116,2)))</f>
        <v>10.97</v>
      </c>
      <c r="O15" s="58">
        <f t="shared" si="4"/>
        <v>8.2600000000000016</v>
      </c>
      <c r="P15" s="66">
        <f>+'Tablas Servicio'!I48</f>
        <v>61.6</v>
      </c>
      <c r="Q15" s="66">
        <f>+'Tablas Servicio'!S48</f>
        <v>436.12</v>
      </c>
      <c r="R15" s="66">
        <f>+'Tablas Servicio'!T48</f>
        <v>0</v>
      </c>
      <c r="S15" s="66">
        <f t="shared" si="5"/>
        <v>24.549999999999997</v>
      </c>
      <c r="T15" s="66">
        <f t="shared" si="24"/>
        <v>-438.78200000000021</v>
      </c>
      <c r="U15" s="66">
        <f t="shared" si="6"/>
        <v>-2.6620000000002051</v>
      </c>
      <c r="V15" s="81">
        <f t="shared" si="7"/>
        <v>1</v>
      </c>
      <c r="W15" s="66">
        <f t="shared" si="8"/>
        <v>610.63200000000006</v>
      </c>
      <c r="X15" s="66">
        <f t="shared" si="9"/>
        <v>607.9699999999998</v>
      </c>
      <c r="Y15">
        <v>7</v>
      </c>
      <c r="Z15" s="58">
        <f t="shared" si="10"/>
        <v>263.85599999999994</v>
      </c>
      <c r="AA15" s="92">
        <f t="shared" si="11"/>
        <v>105.54239999999999</v>
      </c>
      <c r="AB15" s="92">
        <f t="shared" si="12"/>
        <v>177.00339999999994</v>
      </c>
      <c r="AC15" s="92">
        <f t="shared" si="13"/>
        <v>64.644719999999978</v>
      </c>
      <c r="AD15" s="92">
        <f t="shared" si="14"/>
        <v>98.089384166666619</v>
      </c>
      <c r="AE15" s="92">
        <f t="shared" si="15"/>
        <v>32.053006999999987</v>
      </c>
      <c r="AF15" s="92">
        <f t="shared" si="16"/>
        <v>42.91410557291664</v>
      </c>
      <c r="AG15" s="92">
        <f t="shared" si="17"/>
        <v>12.153431820833328</v>
      </c>
      <c r="AH15" s="92">
        <f t="shared" si="18"/>
        <v>13.768275537977422</v>
      </c>
      <c r="AI15" s="92">
        <f t="shared" si="19"/>
        <v>3.1902758529687483</v>
      </c>
      <c r="AJ15" s="92">
        <f t="shared" si="20"/>
        <v>2.8110229223370564</v>
      </c>
      <c r="AK15" s="92">
        <f t="shared" si="21"/>
        <v>0.46524856189127578</v>
      </c>
      <c r="AL15" s="92">
        <f t="shared" si="22"/>
        <v>0.24596450570449244</v>
      </c>
      <c r="AM15" s="92">
        <f t="shared" si="23"/>
        <v>1.3569749721828875E-2</v>
      </c>
    </row>
    <row r="16" spans="1:43" x14ac:dyDescent="0.25">
      <c r="A16">
        <f>+'Tablas Servicio'!B49</f>
        <v>1</v>
      </c>
      <c r="B16">
        <f>+'Tablas Servicio'!C49</f>
        <v>8</v>
      </c>
      <c r="C16" s="56">
        <f>+'Tablas Servicio'!D49</f>
        <v>40.686666666666689</v>
      </c>
      <c r="D16" s="58">
        <f>+'Tablas Servicio'!N49</f>
        <v>94</v>
      </c>
      <c r="E16" s="66">
        <f>+'Tablas Servicio'!AC49</f>
        <v>11</v>
      </c>
      <c r="F16" s="66">
        <f>+IF(A16="","",'Tablas Servicio'!O49-'Modelo Financiero'!E16)</f>
        <v>0.40000000000000036</v>
      </c>
      <c r="G16" s="58">
        <f t="shared" si="1"/>
        <v>6.9200000000000017</v>
      </c>
      <c r="H16" s="66">
        <f>+'Tablas Servicio'!G49</f>
        <v>23.21</v>
      </c>
      <c r="I16" s="72">
        <f t="shared" si="2"/>
        <v>0.50883239982766049</v>
      </c>
      <c r="J16" s="66">
        <f t="shared" si="3"/>
        <v>11.81</v>
      </c>
      <c r="K16" s="66">
        <f>+'Tablas Servicio'!H49</f>
        <v>24.14</v>
      </c>
      <c r="L16" s="66">
        <f>+IF(A16="","",ROUND(H16*Parámetros!$D$100,2))</f>
        <v>2.71</v>
      </c>
      <c r="M16" s="58">
        <f>+IF(A16="","",IF(AND(A16=1,B16=1),Parámetros!$D$114*(D16*frec-$G$3-$H$3),IF(AND(A16=2,B16=frec+1),Parámetros!$D$115*(D16*frec-$G$4-$H$4),0)))</f>
        <v>0</v>
      </c>
      <c r="N16" s="58">
        <f>+IF(A16="","",IF(A16&gt;Parámetros!$D$117,0,ROUND('Modelo Financiero'!D16*Parámetros!$D$116,2)))</f>
        <v>10.97</v>
      </c>
      <c r="O16" s="58">
        <f t="shared" si="4"/>
        <v>8.2600000000000016</v>
      </c>
      <c r="P16" s="66">
        <f>+'Tablas Servicio'!I49</f>
        <v>61.6</v>
      </c>
      <c r="Q16" s="66">
        <f>+'Tablas Servicio'!S49</f>
        <v>499.13</v>
      </c>
      <c r="R16" s="66">
        <f>+'Tablas Servicio'!T49</f>
        <v>0</v>
      </c>
      <c r="S16" s="66">
        <f t="shared" si="5"/>
        <v>24.549999999999997</v>
      </c>
      <c r="T16" s="66">
        <f t="shared" si="24"/>
        <v>-414.2320000000002</v>
      </c>
      <c r="U16" s="66">
        <f t="shared" si="6"/>
        <v>84.897999999999797</v>
      </c>
      <c r="V16" s="81">
        <f t="shared" si="7"/>
        <v>1</v>
      </c>
      <c r="W16" s="66">
        <f t="shared" si="8"/>
        <v>610.63200000000006</v>
      </c>
      <c r="X16" s="66">
        <f t="shared" si="9"/>
        <v>695.52999999999986</v>
      </c>
      <c r="Y16">
        <v>8</v>
      </c>
      <c r="Z16" s="58">
        <f t="shared" si="10"/>
        <v>269.87999999999988</v>
      </c>
      <c r="AA16" s="92">
        <f t="shared" si="11"/>
        <v>107.95199999999996</v>
      </c>
      <c r="AB16" s="92">
        <f t="shared" si="12"/>
        <v>181.04449999999994</v>
      </c>
      <c r="AC16" s="92">
        <f t="shared" si="13"/>
        <v>66.120599999999968</v>
      </c>
      <c r="AD16" s="92">
        <f t="shared" si="14"/>
        <v>100.32882708333329</v>
      </c>
      <c r="AE16" s="92">
        <f t="shared" si="15"/>
        <v>32.784797499999982</v>
      </c>
      <c r="AF16" s="92">
        <f t="shared" si="16"/>
        <v>43.893861848958316</v>
      </c>
      <c r="AG16" s="92">
        <f t="shared" si="17"/>
        <v>12.430902385416658</v>
      </c>
      <c r="AH16" s="92">
        <f t="shared" si="18"/>
        <v>14.082614009874126</v>
      </c>
      <c r="AI16" s="92">
        <f t="shared" si="19"/>
        <v>3.2631118761718718</v>
      </c>
      <c r="AJ16" s="92">
        <f t="shared" si="20"/>
        <v>2.8752003603493002</v>
      </c>
      <c r="AK16" s="92">
        <f t="shared" si="21"/>
        <v>0.47587048194173126</v>
      </c>
      <c r="AL16" s="92">
        <f t="shared" si="22"/>
        <v>0.25158003153056374</v>
      </c>
      <c r="AM16" s="92">
        <f t="shared" si="23"/>
        <v>1.3879555723300496E-2</v>
      </c>
    </row>
    <row r="17" spans="1:43" x14ac:dyDescent="0.25">
      <c r="A17">
        <f>+'Tablas Servicio'!B50</f>
        <v>1</v>
      </c>
      <c r="B17">
        <f>+'Tablas Servicio'!C50</f>
        <v>9</v>
      </c>
      <c r="C17" s="56">
        <f>+'Tablas Servicio'!D50</f>
        <v>40.770000000000024</v>
      </c>
      <c r="D17" s="58">
        <f>+'Tablas Servicio'!N50</f>
        <v>94</v>
      </c>
      <c r="E17" s="66">
        <f>+'Tablas Servicio'!AC50</f>
        <v>11</v>
      </c>
      <c r="F17" s="66">
        <f>+IF(A17="","",'Tablas Servicio'!O50-'Modelo Financiero'!E17)</f>
        <v>0.40000000000000036</v>
      </c>
      <c r="G17" s="58">
        <f t="shared" si="1"/>
        <v>6.9200000000000017</v>
      </c>
      <c r="H17" s="66">
        <f>+'Tablas Servicio'!G50</f>
        <v>23.21</v>
      </c>
      <c r="I17" s="72">
        <f t="shared" si="2"/>
        <v>0.50883239982766049</v>
      </c>
      <c r="J17" s="66">
        <f t="shared" si="3"/>
        <v>11.81</v>
      </c>
      <c r="K17" s="66">
        <f>+'Tablas Servicio'!H50</f>
        <v>24.14</v>
      </c>
      <c r="L17" s="66">
        <f>+IF(A17="","",ROUND(H17*Parámetros!$D$100,2))</f>
        <v>2.71</v>
      </c>
      <c r="M17" s="58">
        <f>+IF(A17="","",IF(AND(A17=1,B17=1),Parámetros!$D$114*(D17*frec-$G$3-$H$3),IF(AND(A17=2,B17=frec+1),Parámetros!$D$115*(D17*frec-$G$4-$H$4),0)))</f>
        <v>0</v>
      </c>
      <c r="N17" s="58">
        <f>+IF(A17="","",IF(A17&gt;Parámetros!$D$117,0,ROUND('Modelo Financiero'!D17*Parámetros!$D$116,2)))</f>
        <v>10.97</v>
      </c>
      <c r="O17" s="58">
        <f t="shared" si="4"/>
        <v>8.2600000000000016</v>
      </c>
      <c r="P17" s="66">
        <f>+'Tablas Servicio'!I50</f>
        <v>61.6</v>
      </c>
      <c r="Q17" s="66">
        <f>+'Tablas Servicio'!S50</f>
        <v>562.32000000000005</v>
      </c>
      <c r="R17" s="66">
        <f>+'Tablas Servicio'!T50</f>
        <v>0</v>
      </c>
      <c r="S17" s="66">
        <f t="shared" si="5"/>
        <v>24.549999999999997</v>
      </c>
      <c r="T17" s="66">
        <f t="shared" si="24"/>
        <v>-389.68200000000019</v>
      </c>
      <c r="U17" s="66">
        <f t="shared" si="6"/>
        <v>172.63799999999986</v>
      </c>
      <c r="V17" s="81">
        <f t="shared" si="7"/>
        <v>1</v>
      </c>
      <c r="W17" s="66">
        <f t="shared" si="8"/>
        <v>610.63200000000006</v>
      </c>
      <c r="X17" s="66">
        <f t="shared" si="9"/>
        <v>783.27</v>
      </c>
      <c r="Y17">
        <v>9</v>
      </c>
      <c r="Z17" s="58">
        <f t="shared" si="10"/>
        <v>276.91199999999998</v>
      </c>
      <c r="AA17" s="92">
        <f t="shared" si="11"/>
        <v>110.76479999999999</v>
      </c>
      <c r="AB17" s="92">
        <f t="shared" si="12"/>
        <v>185.76179999999999</v>
      </c>
      <c r="AC17" s="92">
        <f t="shared" si="13"/>
        <v>67.843440000000001</v>
      </c>
      <c r="AD17" s="92">
        <f t="shared" si="14"/>
        <v>102.94299749999999</v>
      </c>
      <c r="AE17" s="92">
        <f t="shared" si="15"/>
        <v>33.639038999999997</v>
      </c>
      <c r="AF17" s="92">
        <f t="shared" si="16"/>
        <v>45.037561406249985</v>
      </c>
      <c r="AG17" s="92">
        <f t="shared" si="17"/>
        <v>12.754802287499999</v>
      </c>
      <c r="AH17" s="92">
        <f t="shared" si="18"/>
        <v>14.44955095117187</v>
      </c>
      <c r="AI17" s="92">
        <f t="shared" si="19"/>
        <v>3.3481356004687495</v>
      </c>
      <c r="AJ17" s="92">
        <f t="shared" si="20"/>
        <v>2.9501166525309235</v>
      </c>
      <c r="AK17" s="92">
        <f t="shared" si="21"/>
        <v>0.48826977506835928</v>
      </c>
      <c r="AL17" s="92">
        <f t="shared" si="22"/>
        <v>0.25813520709645577</v>
      </c>
      <c r="AM17" s="92">
        <f t="shared" si="23"/>
        <v>1.4241201772827145E-2</v>
      </c>
    </row>
    <row r="18" spans="1:43" x14ac:dyDescent="0.25">
      <c r="A18">
        <f>+'Tablas Servicio'!B51</f>
        <v>1</v>
      </c>
      <c r="B18">
        <f>+'Tablas Servicio'!C51</f>
        <v>10</v>
      </c>
      <c r="C18" s="56">
        <f>+'Tablas Servicio'!D51</f>
        <v>40.85333333333336</v>
      </c>
      <c r="D18" s="58">
        <f>+'Tablas Servicio'!N51</f>
        <v>94</v>
      </c>
      <c r="E18" s="66">
        <f>+'Tablas Servicio'!AC51</f>
        <v>11</v>
      </c>
      <c r="F18" s="66">
        <f>+IF(A18="","",'Tablas Servicio'!O51-'Modelo Financiero'!E18)</f>
        <v>0.40000000000000036</v>
      </c>
      <c r="G18" s="58">
        <f t="shared" si="1"/>
        <v>6.9200000000000017</v>
      </c>
      <c r="H18" s="66">
        <f>+'Tablas Servicio'!G51</f>
        <v>23.21</v>
      </c>
      <c r="I18" s="72">
        <f t="shared" si="2"/>
        <v>0.50883239982766049</v>
      </c>
      <c r="J18" s="66">
        <f t="shared" si="3"/>
        <v>11.81</v>
      </c>
      <c r="K18" s="66">
        <f>+'Tablas Servicio'!H51</f>
        <v>24.14</v>
      </c>
      <c r="L18" s="66">
        <f>+IF(A18="","",ROUND(H18*Parámetros!$D$100,2))</f>
        <v>2.71</v>
      </c>
      <c r="M18" s="58">
        <f>+IF(A18="","",IF(AND(A18=1,B18=1),Parámetros!$D$114*(D18*frec-$G$3-$H$3),IF(AND(A18=2,B18=frec+1),Parámetros!$D$115*(D18*frec-$G$4-$H$4),0)))</f>
        <v>0</v>
      </c>
      <c r="N18" s="58">
        <f>+IF(A18="","",IF(A18&gt;Parámetros!$D$117,0,ROUND('Modelo Financiero'!D18*Parámetros!$D$116,2)))</f>
        <v>10.97</v>
      </c>
      <c r="O18" s="58">
        <f t="shared" si="4"/>
        <v>8.2600000000000016</v>
      </c>
      <c r="P18" s="66">
        <f>+'Tablas Servicio'!I51</f>
        <v>61.6</v>
      </c>
      <c r="Q18" s="66">
        <f>+'Tablas Servicio'!S51</f>
        <v>625.69000000000005</v>
      </c>
      <c r="R18" s="66">
        <f>+'Tablas Servicio'!T51</f>
        <v>0</v>
      </c>
      <c r="S18" s="66">
        <f t="shared" si="5"/>
        <v>24.549999999999997</v>
      </c>
      <c r="T18" s="66">
        <f t="shared" si="24"/>
        <v>-365.13200000000018</v>
      </c>
      <c r="U18" s="66">
        <f t="shared" si="6"/>
        <v>260.55799999999988</v>
      </c>
      <c r="V18" s="81">
        <f t="shared" si="7"/>
        <v>1</v>
      </c>
      <c r="W18" s="66">
        <f t="shared" si="8"/>
        <v>610.63200000000006</v>
      </c>
      <c r="X18" s="66">
        <f t="shared" si="9"/>
        <v>871.18999999999994</v>
      </c>
      <c r="Y18">
        <v>10</v>
      </c>
      <c r="Z18" s="58">
        <f t="shared" si="10"/>
        <v>283.94399999999985</v>
      </c>
      <c r="AA18" s="92">
        <f t="shared" si="11"/>
        <v>113.57759999999995</v>
      </c>
      <c r="AB18" s="92">
        <f t="shared" si="12"/>
        <v>190.47909999999987</v>
      </c>
      <c r="AC18" s="92">
        <f t="shared" si="13"/>
        <v>69.566279999999963</v>
      </c>
      <c r="AD18" s="92">
        <f t="shared" si="14"/>
        <v>105.55716791666659</v>
      </c>
      <c r="AE18" s="92">
        <f t="shared" si="15"/>
        <v>34.493280499999976</v>
      </c>
      <c r="AF18" s="92">
        <f t="shared" si="16"/>
        <v>46.181260963541632</v>
      </c>
      <c r="AG18" s="92">
        <f t="shared" si="17"/>
        <v>13.078702189583323</v>
      </c>
      <c r="AH18" s="92">
        <f t="shared" si="18"/>
        <v>14.816487892469608</v>
      </c>
      <c r="AI18" s="92">
        <f t="shared" si="19"/>
        <v>3.4331593247656222</v>
      </c>
      <c r="AJ18" s="92">
        <f t="shared" si="20"/>
        <v>3.0250329447125446</v>
      </c>
      <c r="AK18" s="92">
        <f t="shared" si="21"/>
        <v>0.50066906819498658</v>
      </c>
      <c r="AL18" s="92">
        <f t="shared" si="22"/>
        <v>0.26469038266234762</v>
      </c>
      <c r="AM18" s="92">
        <f t="shared" si="23"/>
        <v>1.4602847822353776E-2</v>
      </c>
    </row>
    <row r="19" spans="1:43" x14ac:dyDescent="0.25">
      <c r="A19">
        <f>+'Tablas Servicio'!B52</f>
        <v>1</v>
      </c>
      <c r="B19">
        <f>+'Tablas Servicio'!C52</f>
        <v>11</v>
      </c>
      <c r="C19" s="56">
        <f>+'Tablas Servicio'!D52</f>
        <v>40.936666666666696</v>
      </c>
      <c r="D19" s="58">
        <f>+'Tablas Servicio'!N52</f>
        <v>94</v>
      </c>
      <c r="E19" s="66">
        <f>+'Tablas Servicio'!AC52</f>
        <v>11</v>
      </c>
      <c r="F19" s="66">
        <f>+IF(A19="","",'Tablas Servicio'!O52-'Modelo Financiero'!E19)</f>
        <v>0.40000000000000036</v>
      </c>
      <c r="G19" s="58">
        <f t="shared" si="1"/>
        <v>6.9200000000000017</v>
      </c>
      <c r="H19" s="66">
        <f>+'Tablas Servicio'!G52</f>
        <v>23.21</v>
      </c>
      <c r="I19" s="72">
        <f t="shared" si="2"/>
        <v>0.50883239982766049</v>
      </c>
      <c r="J19" s="66">
        <f t="shared" si="3"/>
        <v>11.81</v>
      </c>
      <c r="K19" s="66">
        <f>+'Tablas Servicio'!H52</f>
        <v>24.14</v>
      </c>
      <c r="L19" s="66">
        <f>+IF(A19="","",ROUND(H19*Parámetros!$D$100,2))</f>
        <v>2.71</v>
      </c>
      <c r="M19" s="58">
        <f>+IF(A19="","",IF(AND(A19=1,B19=1),Parámetros!$D$114*(D19*frec-$G$3-$H$3),IF(AND(A19=2,B19=frec+1),Parámetros!$D$115*(D19*frec-$G$4-$H$4),0)))</f>
        <v>0</v>
      </c>
      <c r="N19" s="58">
        <f>+IF(A19="","",IF(A19&gt;Parámetros!$D$117,0,ROUND('Modelo Financiero'!D19*Parámetros!$D$116,2)))</f>
        <v>10.97</v>
      </c>
      <c r="O19" s="58">
        <f t="shared" si="4"/>
        <v>8.2600000000000016</v>
      </c>
      <c r="P19" s="66">
        <f>+'Tablas Servicio'!I52</f>
        <v>61.6</v>
      </c>
      <c r="Q19" s="66">
        <f>+'Tablas Servicio'!S52</f>
        <v>689.24</v>
      </c>
      <c r="R19" s="66">
        <f>+'Tablas Servicio'!T52</f>
        <v>0</v>
      </c>
      <c r="S19" s="66">
        <f t="shared" si="5"/>
        <v>24.549999999999997</v>
      </c>
      <c r="T19" s="66">
        <f t="shared" si="24"/>
        <v>-340.58200000000016</v>
      </c>
      <c r="U19" s="66">
        <f t="shared" si="6"/>
        <v>348.65799999999984</v>
      </c>
      <c r="V19" s="81">
        <f t="shared" si="7"/>
        <v>1</v>
      </c>
      <c r="W19" s="66">
        <f t="shared" si="8"/>
        <v>610.63200000000006</v>
      </c>
      <c r="X19" s="66">
        <f t="shared" si="9"/>
        <v>959.29</v>
      </c>
      <c r="Y19">
        <v>11</v>
      </c>
      <c r="Z19" s="58">
        <f t="shared" si="10"/>
        <v>237.4080000000001</v>
      </c>
      <c r="AA19" s="92">
        <f t="shared" si="11"/>
        <v>94.963200000000043</v>
      </c>
      <c r="AB19" s="92">
        <f t="shared" si="12"/>
        <v>159.26120000000006</v>
      </c>
      <c r="AC19" s="92">
        <f t="shared" si="13"/>
        <v>58.164960000000015</v>
      </c>
      <c r="AD19" s="92">
        <f t="shared" si="14"/>
        <v>88.257248333333351</v>
      </c>
      <c r="AE19" s="92">
        <f t="shared" si="15"/>
        <v>28.840126000000001</v>
      </c>
      <c r="AF19" s="92">
        <f t="shared" si="16"/>
        <v>38.612546145833342</v>
      </c>
      <c r="AG19" s="92">
        <f t="shared" si="17"/>
        <v>10.935214441666666</v>
      </c>
      <c r="AH19" s="92">
        <f t="shared" si="18"/>
        <v>12.388191888454864</v>
      </c>
      <c r="AI19" s="92">
        <f t="shared" si="19"/>
        <v>2.8704937909374997</v>
      </c>
      <c r="AJ19" s="92">
        <f t="shared" si="20"/>
        <v>2.5292558438928676</v>
      </c>
      <c r="AK19" s="92">
        <f t="shared" si="21"/>
        <v>0.41861367784505205</v>
      </c>
      <c r="AL19" s="92">
        <f t="shared" si="22"/>
        <v>0.2213098863406259</v>
      </c>
      <c r="AM19" s="92">
        <f t="shared" si="23"/>
        <v>1.2209565603814018E-2</v>
      </c>
    </row>
    <row r="20" spans="1:43" x14ac:dyDescent="0.25">
      <c r="A20">
        <f>+'Tablas Servicio'!B53</f>
        <v>1</v>
      </c>
      <c r="B20">
        <f>+'Tablas Servicio'!C53</f>
        <v>12</v>
      </c>
      <c r="C20" s="56">
        <f>+'Tablas Servicio'!D53</f>
        <v>41.020000000000032</v>
      </c>
      <c r="D20" s="58">
        <f>+'Tablas Servicio'!N53</f>
        <v>94</v>
      </c>
      <c r="E20" s="66">
        <f>+'Tablas Servicio'!AC53</f>
        <v>11</v>
      </c>
      <c r="F20" s="66">
        <f>+IF(A20="","",'Tablas Servicio'!O53-'Modelo Financiero'!E20)</f>
        <v>0.40000000000000036</v>
      </c>
      <c r="G20" s="58">
        <f t="shared" si="1"/>
        <v>6.9200000000000017</v>
      </c>
      <c r="H20" s="66">
        <f>+'Tablas Servicio'!G53</f>
        <v>23.21</v>
      </c>
      <c r="I20" s="72">
        <f t="shared" si="2"/>
        <v>0.50883239982766049</v>
      </c>
      <c r="J20" s="66">
        <f t="shared" si="3"/>
        <v>11.81</v>
      </c>
      <c r="K20" s="66">
        <f>+'Tablas Servicio'!H53</f>
        <v>24.14</v>
      </c>
      <c r="L20" s="66">
        <f>+IF(A20="","",ROUND(H20*Parámetros!$D$100,2))</f>
        <v>2.71</v>
      </c>
      <c r="M20" s="58">
        <f>+IF(A20="","",IF(AND(A20=1,B20=1),Parámetros!$D$114*(D20*frec-$G$3-$H$3),IF(AND(A20=2,B20=frec+1),Parámetros!$D$115*(D20*frec-$G$4-$H$4),0)))</f>
        <v>0</v>
      </c>
      <c r="N20" s="58">
        <f>+IF(A20="","",IF(A20&gt;Parámetros!$D$117,0,ROUND('Modelo Financiero'!D20*Parámetros!$D$116,2)))</f>
        <v>10.97</v>
      </c>
      <c r="O20" s="58">
        <f t="shared" si="4"/>
        <v>8.2600000000000016</v>
      </c>
      <c r="P20" s="66">
        <f>+'Tablas Servicio'!I53</f>
        <v>61.6</v>
      </c>
      <c r="Q20" s="66">
        <f>+'Tablas Servicio'!S53</f>
        <v>752.97</v>
      </c>
      <c r="R20" s="66">
        <f>+'Tablas Servicio'!T53</f>
        <v>0</v>
      </c>
      <c r="S20" s="66">
        <f t="shared" si="5"/>
        <v>24.549999999999997</v>
      </c>
      <c r="T20" s="66">
        <f t="shared" si="24"/>
        <v>-316.03200000000015</v>
      </c>
      <c r="U20" s="66">
        <f t="shared" si="6"/>
        <v>436.93799999999987</v>
      </c>
      <c r="V20" s="81">
        <f t="shared" si="7"/>
        <v>1</v>
      </c>
      <c r="W20" s="66">
        <f t="shared" si="8"/>
        <v>610.63200000000006</v>
      </c>
      <c r="X20" s="66">
        <f t="shared" si="9"/>
        <v>1047.57</v>
      </c>
      <c r="Y20">
        <v>12</v>
      </c>
      <c r="Z20" s="58">
        <f t="shared" si="10"/>
        <v>243.55199999999994</v>
      </c>
      <c r="AA20" s="92">
        <f t="shared" si="11"/>
        <v>97.420799999999986</v>
      </c>
      <c r="AB20" s="92">
        <f t="shared" si="12"/>
        <v>163.38279999999995</v>
      </c>
      <c r="AC20" s="92">
        <f t="shared" si="13"/>
        <v>59.670239999999986</v>
      </c>
      <c r="AD20" s="92">
        <f t="shared" si="14"/>
        <v>90.541301666666627</v>
      </c>
      <c r="AE20" s="92">
        <f t="shared" si="15"/>
        <v>29.586493999999991</v>
      </c>
      <c r="AF20" s="92">
        <f t="shared" si="16"/>
        <v>39.611819479166648</v>
      </c>
      <c r="AG20" s="92">
        <f t="shared" si="17"/>
        <v>11.218212308333328</v>
      </c>
      <c r="AH20" s="92">
        <f t="shared" si="18"/>
        <v>12.708792082899299</v>
      </c>
      <c r="AI20" s="92">
        <f t="shared" si="19"/>
        <v>2.9447807309374987</v>
      </c>
      <c r="AJ20" s="92">
        <f t="shared" si="20"/>
        <v>2.5947117169252736</v>
      </c>
      <c r="AK20" s="92">
        <f t="shared" si="21"/>
        <v>0.42944718992838515</v>
      </c>
      <c r="AL20" s="92">
        <f t="shared" si="22"/>
        <v>0.22703727523096143</v>
      </c>
      <c r="AM20" s="92">
        <f t="shared" si="23"/>
        <v>1.2525543039577898E-2</v>
      </c>
    </row>
    <row r="21" spans="1:43" x14ac:dyDescent="0.25">
      <c r="A21">
        <f>+'Tablas Servicio'!B54</f>
        <v>2</v>
      </c>
      <c r="B21">
        <f>+'Tablas Servicio'!C54</f>
        <v>13</v>
      </c>
      <c r="C21" s="56">
        <f>+'Tablas Servicio'!D54</f>
        <v>41.103333333333367</v>
      </c>
      <c r="D21" s="58">
        <f>+'Tablas Servicio'!N54</f>
        <v>94</v>
      </c>
      <c r="E21" s="66">
        <f>+'Tablas Servicio'!AC54</f>
        <v>11.9</v>
      </c>
      <c r="F21" s="66">
        <f>+IF(A21="","",'Tablas Servicio'!O54-'Modelo Financiero'!E21)</f>
        <v>0.40000000000000036</v>
      </c>
      <c r="G21" s="58">
        <f t="shared" si="1"/>
        <v>8.4120000000000008</v>
      </c>
      <c r="H21" s="66">
        <f>+'Tablas Servicio'!G54</f>
        <v>25.07</v>
      </c>
      <c r="I21" s="72">
        <f t="shared" si="2"/>
        <v>0.5093737534902274</v>
      </c>
      <c r="J21" s="66">
        <f t="shared" si="3"/>
        <v>12.77</v>
      </c>
      <c r="K21" s="66">
        <f>+'Tablas Servicio'!H54</f>
        <v>26.07</v>
      </c>
      <c r="L21" s="66">
        <f>+IF(A21="","",ROUND(H21*Parámetros!$D$100,2))</f>
        <v>2.93</v>
      </c>
      <c r="M21" s="58">
        <f>+IF(A21="","",IF(AND(A21=1,B21=1),Parámetros!$D$114*(D21*frec-$G$3-$H$3),IF(AND(A21=2,B21=frec+1),Parámetros!$D$115*(D21*frec-$G$4-$H$4),0)))</f>
        <v>407.80799999999999</v>
      </c>
      <c r="N21" s="58">
        <f>+IF(A21="","",IF(A21&gt;Parámetros!$D$117,0,ROUND('Modelo Financiero'!D21*Parámetros!$D$116,2)))</f>
        <v>10.97</v>
      </c>
      <c r="O21" s="58">
        <f t="shared" si="4"/>
        <v>8.0400000000000009</v>
      </c>
      <c r="P21" s="66">
        <f>+'Tablas Servicio'!I54</f>
        <v>59.88000000000001</v>
      </c>
      <c r="Q21" s="66">
        <f>+'Tablas Servicio'!S54</f>
        <v>815.16</v>
      </c>
      <c r="R21" s="66">
        <f>+'Tablas Servicio'!T54</f>
        <v>0</v>
      </c>
      <c r="S21" s="66">
        <f t="shared" si="5"/>
        <v>-383.1</v>
      </c>
      <c r="T21" s="66">
        <f t="shared" si="24"/>
        <v>-699.13200000000018</v>
      </c>
      <c r="U21" s="66">
        <f t="shared" si="6"/>
        <v>116.02799999999979</v>
      </c>
      <c r="V21" s="81">
        <f t="shared" si="7"/>
        <v>0.5</v>
      </c>
      <c r="W21" s="66">
        <f t="shared" si="8"/>
        <v>203.904</v>
      </c>
      <c r="X21" s="66">
        <f t="shared" si="9"/>
        <v>319.93199999999979</v>
      </c>
      <c r="Y21">
        <v>13</v>
      </c>
      <c r="Z21" s="58">
        <f t="shared" si="10"/>
        <v>250.84800000000013</v>
      </c>
      <c r="AA21" s="92">
        <f t="shared" si="11"/>
        <v>100.33920000000006</v>
      </c>
      <c r="AB21" s="92">
        <f t="shared" si="12"/>
        <v>168.27720000000008</v>
      </c>
      <c r="AC21" s="92">
        <f t="shared" si="13"/>
        <v>61.457760000000029</v>
      </c>
      <c r="AD21" s="92">
        <f t="shared" si="14"/>
        <v>93.253615000000039</v>
      </c>
      <c r="AE21" s="92">
        <f t="shared" si="15"/>
        <v>30.472806000000016</v>
      </c>
      <c r="AF21" s="92">
        <f t="shared" si="16"/>
        <v>40.798456562500014</v>
      </c>
      <c r="AG21" s="92">
        <f t="shared" si="17"/>
        <v>11.554272275000008</v>
      </c>
      <c r="AH21" s="92">
        <f t="shared" si="18"/>
        <v>13.089504813802087</v>
      </c>
      <c r="AI21" s="92">
        <f t="shared" si="19"/>
        <v>3.0329964721875018</v>
      </c>
      <c r="AJ21" s="92">
        <f t="shared" si="20"/>
        <v>2.6724405661512591</v>
      </c>
      <c r="AK21" s="92">
        <f t="shared" si="21"/>
        <v>0.44231198552734391</v>
      </c>
      <c r="AL21" s="92">
        <f t="shared" si="22"/>
        <v>0.23383854953823516</v>
      </c>
      <c r="AM21" s="92">
        <f t="shared" si="23"/>
        <v>1.2900766244547529E-2</v>
      </c>
      <c r="AN21" s="72"/>
      <c r="AO21" s="72"/>
      <c r="AP21" s="72"/>
      <c r="AQ21" s="72"/>
    </row>
    <row r="22" spans="1:43" x14ac:dyDescent="0.25">
      <c r="A22">
        <f>+'Tablas Servicio'!B55</f>
        <v>2</v>
      </c>
      <c r="B22">
        <f>+'Tablas Servicio'!C55</f>
        <v>14</v>
      </c>
      <c r="C22" s="56">
        <f>+'Tablas Servicio'!D55</f>
        <v>41.186666666666703</v>
      </c>
      <c r="D22" s="58">
        <f>+'Tablas Servicio'!N55</f>
        <v>94</v>
      </c>
      <c r="E22" s="66">
        <f>+'Tablas Servicio'!AC55</f>
        <v>11.9</v>
      </c>
      <c r="F22" s="66">
        <f>+IF(A22="","",'Tablas Servicio'!O55-'Modelo Financiero'!E22)</f>
        <v>0.40000000000000036</v>
      </c>
      <c r="G22" s="58">
        <f t="shared" si="1"/>
        <v>8.4120000000000008</v>
      </c>
      <c r="H22" s="66">
        <f>+'Tablas Servicio'!G55</f>
        <v>25.07</v>
      </c>
      <c r="I22" s="72">
        <f t="shared" si="2"/>
        <v>0.5093737534902274</v>
      </c>
      <c r="J22" s="66">
        <f t="shared" si="3"/>
        <v>12.77</v>
      </c>
      <c r="K22" s="66">
        <f>+'Tablas Servicio'!H55</f>
        <v>26.07</v>
      </c>
      <c r="L22" s="66">
        <f>+IF(A22="","",ROUND(H22*Parámetros!$D$100,2))</f>
        <v>2.93</v>
      </c>
      <c r="M22" s="58">
        <f>+IF(A22="","",IF(AND(A22=1,B22=1),Parámetros!$D$114*(D22*frec-$G$3-$H$3),IF(AND(A22=2,B22=frec+1),Parámetros!$D$115*(D22*frec-$G$4-$H$4),0)))</f>
        <v>0</v>
      </c>
      <c r="N22" s="58">
        <f>+IF(A22="","",IF(A22&gt;Parámetros!$D$117,0,ROUND('Modelo Financiero'!D22*Parámetros!$D$116,2)))</f>
        <v>10.97</v>
      </c>
      <c r="O22" s="58">
        <f t="shared" si="4"/>
        <v>8.0400000000000009</v>
      </c>
      <c r="P22" s="66">
        <f>+'Tablas Servicio'!I55</f>
        <v>59.88000000000001</v>
      </c>
      <c r="Q22" s="66">
        <f>+'Tablas Servicio'!S55</f>
        <v>877.52</v>
      </c>
      <c r="R22" s="66">
        <f>+'Tablas Servicio'!T55</f>
        <v>0</v>
      </c>
      <c r="S22" s="66">
        <f t="shared" si="5"/>
        <v>24.707999999999991</v>
      </c>
      <c r="T22" s="66">
        <f t="shared" si="24"/>
        <v>-674.42400000000021</v>
      </c>
      <c r="U22" s="66">
        <f t="shared" si="6"/>
        <v>203.09599999999978</v>
      </c>
      <c r="V22" s="81">
        <f t="shared" si="7"/>
        <v>0.5</v>
      </c>
      <c r="W22" s="66">
        <f t="shared" si="8"/>
        <v>203.904</v>
      </c>
      <c r="X22" s="66">
        <f t="shared" si="9"/>
        <v>406.99999999999977</v>
      </c>
      <c r="Y22">
        <v>14</v>
      </c>
      <c r="Z22" s="58">
        <f t="shared" si="10"/>
        <v>258.91199999999992</v>
      </c>
      <c r="AA22" s="92">
        <f t="shared" si="11"/>
        <v>103.56479999999998</v>
      </c>
      <c r="AB22" s="92">
        <f t="shared" si="12"/>
        <v>173.68679999999995</v>
      </c>
      <c r="AC22" s="92">
        <f t="shared" si="13"/>
        <v>63.433439999999983</v>
      </c>
      <c r="AD22" s="92">
        <f t="shared" si="14"/>
        <v>96.251434999999958</v>
      </c>
      <c r="AE22" s="92">
        <f t="shared" si="15"/>
        <v>31.45241399999999</v>
      </c>
      <c r="AF22" s="92">
        <f t="shared" si="16"/>
        <v>42.110002812499978</v>
      </c>
      <c r="AG22" s="92">
        <f t="shared" si="17"/>
        <v>11.925706974999995</v>
      </c>
      <c r="AH22" s="92">
        <f t="shared" si="18"/>
        <v>13.510292569010408</v>
      </c>
      <c r="AI22" s="92">
        <f t="shared" si="19"/>
        <v>3.1304980809374983</v>
      </c>
      <c r="AJ22" s="92">
        <f t="shared" si="20"/>
        <v>2.7583513995062918</v>
      </c>
      <c r="AK22" s="92">
        <f t="shared" si="21"/>
        <v>0.45653097013671845</v>
      </c>
      <c r="AL22" s="92">
        <f t="shared" si="22"/>
        <v>0.24135574745680052</v>
      </c>
      <c r="AM22" s="92">
        <f t="shared" si="23"/>
        <v>1.331548662898762E-2</v>
      </c>
    </row>
    <row r="23" spans="1:43" x14ac:dyDescent="0.25">
      <c r="A23">
        <f>+'Tablas Servicio'!B56</f>
        <v>2</v>
      </c>
      <c r="B23">
        <f>+'Tablas Servicio'!C56</f>
        <v>15</v>
      </c>
      <c r="C23" s="56">
        <f>+'Tablas Servicio'!D56</f>
        <v>41.270000000000039</v>
      </c>
      <c r="D23" s="58">
        <f>+'Tablas Servicio'!N56</f>
        <v>94</v>
      </c>
      <c r="E23" s="66">
        <f>+'Tablas Servicio'!AC56</f>
        <v>11.9</v>
      </c>
      <c r="F23" s="66">
        <f>+IF(A23="","",'Tablas Servicio'!O56-'Modelo Financiero'!E23)</f>
        <v>0.40000000000000036</v>
      </c>
      <c r="G23" s="58">
        <f t="shared" si="1"/>
        <v>8.4120000000000008</v>
      </c>
      <c r="H23" s="66">
        <f>+'Tablas Servicio'!G56</f>
        <v>25.07</v>
      </c>
      <c r="I23" s="72">
        <f t="shared" si="2"/>
        <v>0.5093737534902274</v>
      </c>
      <c r="J23" s="66">
        <f t="shared" si="3"/>
        <v>12.77</v>
      </c>
      <c r="K23" s="66">
        <f>+'Tablas Servicio'!H56</f>
        <v>26.07</v>
      </c>
      <c r="L23" s="66">
        <f>+IF(A23="","",ROUND(H23*Parámetros!$D$100,2))</f>
        <v>2.93</v>
      </c>
      <c r="M23" s="58">
        <f>+IF(A23="","",IF(AND(A23=1,B23=1),Parámetros!$D$114*(D23*frec-$G$3-$H$3),IF(AND(A23=2,B23=frec+1),Parámetros!$D$115*(D23*frec-$G$4-$H$4),0)))</f>
        <v>0</v>
      </c>
      <c r="N23" s="58">
        <f>+IF(A23="","",IF(A23&gt;Parámetros!$D$117,0,ROUND('Modelo Financiero'!D23*Parámetros!$D$116,2)))</f>
        <v>10.97</v>
      </c>
      <c r="O23" s="58">
        <f t="shared" si="4"/>
        <v>8.0400000000000009</v>
      </c>
      <c r="P23" s="66">
        <f>+'Tablas Servicio'!I56</f>
        <v>59.88000000000001</v>
      </c>
      <c r="Q23" s="66">
        <f>+'Tablas Servicio'!S56</f>
        <v>940.06</v>
      </c>
      <c r="R23" s="66">
        <f>+'Tablas Servicio'!T56</f>
        <v>0</v>
      </c>
      <c r="S23" s="66">
        <f t="shared" si="5"/>
        <v>24.707999999999991</v>
      </c>
      <c r="T23" s="66">
        <f t="shared" si="24"/>
        <v>-649.71600000000024</v>
      </c>
      <c r="U23" s="66">
        <f t="shared" si="6"/>
        <v>290.34399999999971</v>
      </c>
      <c r="V23" s="81">
        <f t="shared" si="7"/>
        <v>0.5</v>
      </c>
      <c r="W23" s="66">
        <f t="shared" si="8"/>
        <v>203.904</v>
      </c>
      <c r="X23" s="66">
        <f t="shared" si="9"/>
        <v>494.24799999999971</v>
      </c>
      <c r="Y23">
        <v>15</v>
      </c>
      <c r="Z23" s="58">
        <f t="shared" si="10"/>
        <v>267.74400000000003</v>
      </c>
      <c r="AA23" s="92">
        <f t="shared" si="11"/>
        <v>107.09760000000001</v>
      </c>
      <c r="AB23" s="92">
        <f t="shared" si="12"/>
        <v>179.61160000000004</v>
      </c>
      <c r="AC23" s="92">
        <f t="shared" si="13"/>
        <v>65.597279999999998</v>
      </c>
      <c r="AD23" s="92">
        <f t="shared" si="14"/>
        <v>99.534761666666682</v>
      </c>
      <c r="AE23" s="92">
        <f t="shared" si="15"/>
        <v>32.525317999999999</v>
      </c>
      <c r="AF23" s="92">
        <f t="shared" si="16"/>
        <v>43.546458229166667</v>
      </c>
      <c r="AG23" s="92">
        <f t="shared" si="17"/>
        <v>12.332516408333333</v>
      </c>
      <c r="AH23" s="92">
        <f t="shared" si="18"/>
        <v>13.971155348524306</v>
      </c>
      <c r="AI23" s="92">
        <f t="shared" si="19"/>
        <v>3.2372855571874997</v>
      </c>
      <c r="AJ23" s="92">
        <f t="shared" si="20"/>
        <v>2.8524442169903792</v>
      </c>
      <c r="AK23" s="92">
        <f t="shared" si="21"/>
        <v>0.47210414375651033</v>
      </c>
      <c r="AL23" s="92">
        <f t="shared" si="22"/>
        <v>0.24958886898665819</v>
      </c>
      <c r="AM23" s="92">
        <f t="shared" si="23"/>
        <v>1.3769704192898217E-2</v>
      </c>
    </row>
    <row r="24" spans="1:43" x14ac:dyDescent="0.25">
      <c r="A24">
        <f>+'Tablas Servicio'!B57</f>
        <v>2</v>
      </c>
      <c r="B24">
        <f>+'Tablas Servicio'!C57</f>
        <v>16</v>
      </c>
      <c r="C24" s="56">
        <f>+'Tablas Servicio'!D57</f>
        <v>41.353333333333374</v>
      </c>
      <c r="D24" s="58">
        <f>+'Tablas Servicio'!N57</f>
        <v>94</v>
      </c>
      <c r="E24" s="66">
        <f>+'Tablas Servicio'!AC57</f>
        <v>11.9</v>
      </c>
      <c r="F24" s="66">
        <f>+IF(A24="","",'Tablas Servicio'!O57-'Modelo Financiero'!E24)</f>
        <v>0.40000000000000036</v>
      </c>
      <c r="G24" s="58">
        <f t="shared" si="1"/>
        <v>8.4120000000000008</v>
      </c>
      <c r="H24" s="66">
        <f>+'Tablas Servicio'!G57</f>
        <v>25.07</v>
      </c>
      <c r="I24" s="72">
        <f t="shared" si="2"/>
        <v>0.5093737534902274</v>
      </c>
      <c r="J24" s="66">
        <f t="shared" si="3"/>
        <v>12.77</v>
      </c>
      <c r="K24" s="66">
        <f>+'Tablas Servicio'!H57</f>
        <v>26.07</v>
      </c>
      <c r="L24" s="66">
        <f>+IF(A24="","",ROUND(H24*Parámetros!$D$100,2))</f>
        <v>2.93</v>
      </c>
      <c r="M24" s="58">
        <f>+IF(A24="","",IF(AND(A24=1,B24=1),Parámetros!$D$114*(D24*frec-$G$3-$H$3),IF(AND(A24=2,B24=frec+1),Parámetros!$D$115*(D24*frec-$G$4-$H$4),0)))</f>
        <v>0</v>
      </c>
      <c r="N24" s="58">
        <f>+IF(A24="","",IF(A24&gt;Parámetros!$D$117,0,ROUND('Modelo Financiero'!D24*Parámetros!$D$116,2)))</f>
        <v>10.97</v>
      </c>
      <c r="O24" s="58">
        <f t="shared" si="4"/>
        <v>8.0400000000000009</v>
      </c>
      <c r="P24" s="66">
        <f>+'Tablas Servicio'!I57</f>
        <v>59.88000000000001</v>
      </c>
      <c r="Q24" s="66">
        <f>+'Tablas Servicio'!S57</f>
        <v>1002.78</v>
      </c>
      <c r="R24" s="66">
        <f>+'Tablas Servicio'!T57</f>
        <v>0</v>
      </c>
      <c r="S24" s="66">
        <f t="shared" si="5"/>
        <v>24.707999999999991</v>
      </c>
      <c r="T24" s="66">
        <f t="shared" si="24"/>
        <v>-625.00800000000027</v>
      </c>
      <c r="U24" s="66">
        <f t="shared" si="6"/>
        <v>377.77199999999971</v>
      </c>
      <c r="V24" s="81">
        <f t="shared" si="7"/>
        <v>0.5</v>
      </c>
      <c r="W24" s="66">
        <f t="shared" si="8"/>
        <v>203.904</v>
      </c>
      <c r="X24" s="66">
        <f t="shared" si="9"/>
        <v>581.6759999999997</v>
      </c>
      <c r="Y24">
        <v>16</v>
      </c>
      <c r="Z24" s="58">
        <f t="shared" si="10"/>
        <v>277.65600000000001</v>
      </c>
      <c r="AA24" s="92">
        <f t="shared" si="11"/>
        <v>111.06240000000001</v>
      </c>
      <c r="AB24" s="92">
        <f t="shared" si="12"/>
        <v>186.26089999999999</v>
      </c>
      <c r="AC24" s="92">
        <f t="shared" si="13"/>
        <v>68.025719999999993</v>
      </c>
      <c r="AD24" s="92">
        <f t="shared" si="14"/>
        <v>103.21958208333331</v>
      </c>
      <c r="AE24" s="92">
        <f t="shared" si="15"/>
        <v>33.729419499999999</v>
      </c>
      <c r="AF24" s="92">
        <f t="shared" si="16"/>
        <v>45.158567161458315</v>
      </c>
      <c r="AG24" s="92">
        <f t="shared" si="17"/>
        <v>12.789071560416666</v>
      </c>
      <c r="AH24" s="92">
        <f t="shared" si="18"/>
        <v>14.488373630967876</v>
      </c>
      <c r="AI24" s="92">
        <f t="shared" si="19"/>
        <v>3.3571312846093746</v>
      </c>
      <c r="AJ24" s="92">
        <f t="shared" si="20"/>
        <v>2.9580429496559408</v>
      </c>
      <c r="AK24" s="92">
        <f t="shared" si="21"/>
        <v>0.48958164567220047</v>
      </c>
      <c r="AL24" s="92">
        <f t="shared" si="22"/>
        <v>0.25882875809489481</v>
      </c>
      <c r="AM24" s="92">
        <f t="shared" si="23"/>
        <v>1.427946466543918E-2</v>
      </c>
    </row>
    <row r="25" spans="1:43" x14ac:dyDescent="0.25">
      <c r="A25">
        <f>+'Tablas Servicio'!B58</f>
        <v>2</v>
      </c>
      <c r="B25">
        <f>+'Tablas Servicio'!C58</f>
        <v>17</v>
      </c>
      <c r="C25" s="56">
        <f>+'Tablas Servicio'!D58</f>
        <v>41.43666666666671</v>
      </c>
      <c r="D25" s="58">
        <f>+'Tablas Servicio'!N58</f>
        <v>94</v>
      </c>
      <c r="E25" s="66">
        <f>+'Tablas Servicio'!AC58</f>
        <v>11.9</v>
      </c>
      <c r="F25" s="66">
        <f>+IF(A25="","",'Tablas Servicio'!O58-'Modelo Financiero'!E25)</f>
        <v>0.40000000000000036</v>
      </c>
      <c r="G25" s="58">
        <f t="shared" si="1"/>
        <v>8.4120000000000008</v>
      </c>
      <c r="H25" s="66">
        <f>+'Tablas Servicio'!G58</f>
        <v>25.07</v>
      </c>
      <c r="I25" s="72">
        <f t="shared" si="2"/>
        <v>0.5093737534902274</v>
      </c>
      <c r="J25" s="66">
        <f t="shared" si="3"/>
        <v>12.77</v>
      </c>
      <c r="K25" s="66">
        <f>+'Tablas Servicio'!H58</f>
        <v>26.07</v>
      </c>
      <c r="L25" s="66">
        <f>+IF(A25="","",ROUND(H25*Parámetros!$D$100,2))</f>
        <v>2.93</v>
      </c>
      <c r="M25" s="58">
        <f>+IF(A25="","",IF(AND(A25=1,B25=1),Parámetros!$D$114*(D25*frec-$G$3-$H$3),IF(AND(A25=2,B25=frec+1),Parámetros!$D$115*(D25*frec-$G$4-$H$4),0)))</f>
        <v>0</v>
      </c>
      <c r="N25" s="58">
        <f>+IF(A25="","",IF(A25&gt;Parámetros!$D$117,0,ROUND('Modelo Financiero'!D25*Parámetros!$D$116,2)))</f>
        <v>10.97</v>
      </c>
      <c r="O25" s="58">
        <f t="shared" si="4"/>
        <v>8.0400000000000009</v>
      </c>
      <c r="P25" s="66">
        <f>+'Tablas Servicio'!I58</f>
        <v>59.88000000000001</v>
      </c>
      <c r="Q25" s="66">
        <f>+'Tablas Servicio'!S58</f>
        <v>1065.67</v>
      </c>
      <c r="R25" s="66">
        <f>+'Tablas Servicio'!T58</f>
        <v>0</v>
      </c>
      <c r="S25" s="66">
        <f t="shared" si="5"/>
        <v>24.707999999999991</v>
      </c>
      <c r="T25" s="66">
        <f t="shared" si="24"/>
        <v>-600.3000000000003</v>
      </c>
      <c r="U25" s="66">
        <f t="shared" si="6"/>
        <v>465.36999999999978</v>
      </c>
      <c r="V25" s="81">
        <f t="shared" si="7"/>
        <v>0.5</v>
      </c>
      <c r="W25" s="66">
        <f t="shared" si="8"/>
        <v>203.904</v>
      </c>
      <c r="X25" s="66">
        <f t="shared" si="9"/>
        <v>669.27399999999977</v>
      </c>
      <c r="Y25">
        <v>17</v>
      </c>
      <c r="Z25" s="58">
        <f t="shared" si="10"/>
        <v>287.25599999999991</v>
      </c>
      <c r="AA25" s="92">
        <f t="shared" si="11"/>
        <v>114.90239999999997</v>
      </c>
      <c r="AB25" s="92">
        <f t="shared" si="12"/>
        <v>192.70089999999993</v>
      </c>
      <c r="AC25" s="92">
        <f t="shared" si="13"/>
        <v>70.377719999999968</v>
      </c>
      <c r="AD25" s="92">
        <f t="shared" si="14"/>
        <v>106.78841541666661</v>
      </c>
      <c r="AE25" s="92">
        <f t="shared" si="15"/>
        <v>34.895619499999988</v>
      </c>
      <c r="AF25" s="92">
        <f t="shared" si="16"/>
        <v>46.719931744791637</v>
      </c>
      <c r="AG25" s="92">
        <f t="shared" si="17"/>
        <v>13.23125572708333</v>
      </c>
      <c r="AH25" s="92">
        <f t="shared" si="18"/>
        <v>14.989311434787316</v>
      </c>
      <c r="AI25" s="92">
        <f t="shared" si="19"/>
        <v>3.4732046283593738</v>
      </c>
      <c r="AJ25" s="92">
        <f t="shared" si="20"/>
        <v>3.0603177512690767</v>
      </c>
      <c r="AK25" s="92">
        <f t="shared" si="21"/>
        <v>0.50650900830240864</v>
      </c>
      <c r="AL25" s="92">
        <f t="shared" si="22"/>
        <v>0.26777780323604417</v>
      </c>
      <c r="AM25" s="92">
        <f t="shared" si="23"/>
        <v>1.4773179408820251E-2</v>
      </c>
    </row>
    <row r="26" spans="1:43" x14ac:dyDescent="0.25">
      <c r="A26">
        <f>+'Tablas Servicio'!B59</f>
        <v>2</v>
      </c>
      <c r="B26">
        <f>+'Tablas Servicio'!C59</f>
        <v>18</v>
      </c>
      <c r="C26" s="56">
        <f>+'Tablas Servicio'!D59</f>
        <v>41.520000000000046</v>
      </c>
      <c r="D26" s="58">
        <f>+'Tablas Servicio'!N59</f>
        <v>94</v>
      </c>
      <c r="E26" s="66">
        <f>+'Tablas Servicio'!AC59</f>
        <v>11.9</v>
      </c>
      <c r="F26" s="66">
        <f>+IF(A26="","",'Tablas Servicio'!O59-'Modelo Financiero'!E26)</f>
        <v>0.40000000000000036</v>
      </c>
      <c r="G26" s="58">
        <f t="shared" si="1"/>
        <v>8.4120000000000008</v>
      </c>
      <c r="H26" s="66">
        <f>+'Tablas Servicio'!G59</f>
        <v>25.07</v>
      </c>
      <c r="I26" s="72">
        <f t="shared" si="2"/>
        <v>0.5093737534902274</v>
      </c>
      <c r="J26" s="66">
        <f t="shared" si="3"/>
        <v>12.77</v>
      </c>
      <c r="K26" s="66">
        <f>+'Tablas Servicio'!H59</f>
        <v>26.07</v>
      </c>
      <c r="L26" s="66">
        <f>+IF(A26="","",ROUND(H26*Parámetros!$D$100,2))</f>
        <v>2.93</v>
      </c>
      <c r="M26" s="58">
        <f>+IF(A26="","",IF(AND(A26=1,B26=1),Parámetros!$D$114*(D26*frec-$G$3-$H$3),IF(AND(A26=2,B26=frec+1),Parámetros!$D$115*(D26*frec-$G$4-$H$4),0)))</f>
        <v>0</v>
      </c>
      <c r="N26" s="58">
        <f>+IF(A26="","",IF(A26&gt;Parámetros!$D$117,0,ROUND('Modelo Financiero'!D26*Parámetros!$D$116,2)))</f>
        <v>10.97</v>
      </c>
      <c r="O26" s="58">
        <f t="shared" si="4"/>
        <v>8.0400000000000009</v>
      </c>
      <c r="P26" s="66">
        <f>+'Tablas Servicio'!I59</f>
        <v>59.88000000000001</v>
      </c>
      <c r="Q26" s="66">
        <f>+'Tablas Servicio'!S59</f>
        <v>1128.74</v>
      </c>
      <c r="R26" s="66">
        <f>+'Tablas Servicio'!T59</f>
        <v>0</v>
      </c>
      <c r="S26" s="66">
        <f t="shared" si="5"/>
        <v>24.707999999999991</v>
      </c>
      <c r="T26" s="66">
        <f t="shared" si="24"/>
        <v>-575.59200000000033</v>
      </c>
      <c r="U26" s="66">
        <f t="shared" si="6"/>
        <v>553.14799999999968</v>
      </c>
      <c r="V26" s="81">
        <f t="shared" si="7"/>
        <v>0.5</v>
      </c>
      <c r="W26" s="66">
        <f t="shared" si="8"/>
        <v>203.904</v>
      </c>
      <c r="X26" s="66">
        <f t="shared" si="9"/>
        <v>757.05199999999968</v>
      </c>
      <c r="Y26">
        <v>18</v>
      </c>
      <c r="Z26" s="58">
        <f t="shared" si="10"/>
        <v>296.4719999999997</v>
      </c>
      <c r="AA26" s="92">
        <f t="shared" si="11"/>
        <v>118.58879999999988</v>
      </c>
      <c r="AB26" s="92">
        <f t="shared" si="12"/>
        <v>198.88329999999982</v>
      </c>
      <c r="AC26" s="92">
        <f t="shared" si="13"/>
        <v>72.635639999999924</v>
      </c>
      <c r="AD26" s="92">
        <f t="shared" si="14"/>
        <v>110.21449541666657</v>
      </c>
      <c r="AE26" s="92">
        <f t="shared" si="15"/>
        <v>36.015171499999958</v>
      </c>
      <c r="AF26" s="92">
        <f t="shared" si="16"/>
        <v>48.218841744791611</v>
      </c>
      <c r="AG26" s="92">
        <f t="shared" si="17"/>
        <v>13.655752527083317</v>
      </c>
      <c r="AH26" s="92">
        <f t="shared" si="18"/>
        <v>15.470211726453975</v>
      </c>
      <c r="AI26" s="92">
        <f t="shared" si="19"/>
        <v>3.5846350383593708</v>
      </c>
      <c r="AJ26" s="92">
        <f t="shared" si="20"/>
        <v>3.1585015608176867</v>
      </c>
      <c r="AK26" s="92">
        <f t="shared" si="21"/>
        <v>0.52275927642740827</v>
      </c>
      <c r="AL26" s="92">
        <f t="shared" si="22"/>
        <v>0.27636888657154757</v>
      </c>
      <c r="AM26" s="92">
        <f t="shared" si="23"/>
        <v>1.5247145562466072E-2</v>
      </c>
    </row>
    <row r="27" spans="1:43" x14ac:dyDescent="0.25">
      <c r="A27">
        <f>+'Tablas Servicio'!B60</f>
        <v>2</v>
      </c>
      <c r="B27">
        <f>+'Tablas Servicio'!C60</f>
        <v>19</v>
      </c>
      <c r="C27" s="56">
        <f>+'Tablas Servicio'!D60</f>
        <v>41.603333333333381</v>
      </c>
      <c r="D27" s="58">
        <f>+'Tablas Servicio'!N60</f>
        <v>94</v>
      </c>
      <c r="E27" s="66">
        <f>+'Tablas Servicio'!AC60</f>
        <v>11.9</v>
      </c>
      <c r="F27" s="66">
        <f>+IF(A27="","",'Tablas Servicio'!O60-'Modelo Financiero'!E27)</f>
        <v>0.40000000000000036</v>
      </c>
      <c r="G27" s="58">
        <f t="shared" si="1"/>
        <v>8.4120000000000008</v>
      </c>
      <c r="H27" s="66">
        <f>+'Tablas Servicio'!G60</f>
        <v>25.07</v>
      </c>
      <c r="I27" s="72">
        <f t="shared" si="2"/>
        <v>0.5093737534902274</v>
      </c>
      <c r="J27" s="66">
        <f t="shared" si="3"/>
        <v>12.77</v>
      </c>
      <c r="K27" s="66">
        <f>+'Tablas Servicio'!H60</f>
        <v>26.07</v>
      </c>
      <c r="L27" s="66">
        <f>+IF(A27="","",ROUND(H27*Parámetros!$D$100,2))</f>
        <v>2.93</v>
      </c>
      <c r="M27" s="58">
        <f>+IF(A27="","",IF(AND(A27=1,B27=1),Parámetros!$D$114*(D27*frec-$G$3-$H$3),IF(AND(A27=2,B27=frec+1),Parámetros!$D$115*(D27*frec-$G$4-$H$4),0)))</f>
        <v>0</v>
      </c>
      <c r="N27" s="58">
        <f>+IF(A27="","",IF(A27&gt;Parámetros!$D$117,0,ROUND('Modelo Financiero'!D27*Parámetros!$D$116,2)))</f>
        <v>10.97</v>
      </c>
      <c r="O27" s="58">
        <f t="shared" si="4"/>
        <v>8.0400000000000009</v>
      </c>
      <c r="P27" s="66">
        <f>+'Tablas Servicio'!I60</f>
        <v>59.88000000000001</v>
      </c>
      <c r="Q27" s="66">
        <f>+'Tablas Servicio'!S60</f>
        <v>1191.99</v>
      </c>
      <c r="R27" s="66">
        <f>+'Tablas Servicio'!T60</f>
        <v>0</v>
      </c>
      <c r="S27" s="66">
        <f t="shared" si="5"/>
        <v>24.707999999999991</v>
      </c>
      <c r="T27" s="66">
        <f t="shared" si="24"/>
        <v>-550.88400000000036</v>
      </c>
      <c r="U27" s="66">
        <f t="shared" si="6"/>
        <v>641.10599999999965</v>
      </c>
      <c r="V27" s="81">
        <f t="shared" si="7"/>
        <v>0.5</v>
      </c>
      <c r="W27" s="66">
        <f t="shared" si="8"/>
        <v>203.904</v>
      </c>
      <c r="X27" s="66">
        <f t="shared" si="9"/>
        <v>845.00999999999965</v>
      </c>
      <c r="Y27">
        <v>19</v>
      </c>
      <c r="Z27" s="58">
        <f t="shared" si="10"/>
        <v>305.30400000000009</v>
      </c>
      <c r="AA27" s="92">
        <f t="shared" si="11"/>
        <v>122.12160000000004</v>
      </c>
      <c r="AB27" s="92">
        <f t="shared" si="12"/>
        <v>204.80810000000005</v>
      </c>
      <c r="AC27" s="92">
        <f t="shared" si="13"/>
        <v>74.799480000000017</v>
      </c>
      <c r="AD27" s="92">
        <f t="shared" si="14"/>
        <v>113.49782208333335</v>
      </c>
      <c r="AE27" s="92">
        <f t="shared" si="15"/>
        <v>37.088075500000009</v>
      </c>
      <c r="AF27" s="92">
        <f t="shared" si="16"/>
        <v>49.655297161458329</v>
      </c>
      <c r="AG27" s="92">
        <f t="shared" si="17"/>
        <v>14.062561960416668</v>
      </c>
      <c r="AH27" s="92">
        <f t="shared" si="18"/>
        <v>15.93107450596788</v>
      </c>
      <c r="AI27" s="92">
        <f t="shared" si="19"/>
        <v>3.6914225146093753</v>
      </c>
      <c r="AJ27" s="92">
        <f t="shared" si="20"/>
        <v>3.2525943783017754</v>
      </c>
      <c r="AK27" s="92">
        <f t="shared" si="21"/>
        <v>0.53833245004720054</v>
      </c>
      <c r="AL27" s="92">
        <f t="shared" si="22"/>
        <v>0.28460200810140535</v>
      </c>
      <c r="AM27" s="92">
        <f t="shared" si="23"/>
        <v>1.5701363126376679E-2</v>
      </c>
    </row>
    <row r="28" spans="1:43" s="76" customFormat="1" x14ac:dyDescent="0.25">
      <c r="A28" s="76">
        <f>+'Tablas Servicio'!B61</f>
        <v>2</v>
      </c>
      <c r="B28" s="76">
        <f>+'Tablas Servicio'!C61</f>
        <v>20</v>
      </c>
      <c r="C28" s="77">
        <f>+'Tablas Servicio'!D61</f>
        <v>41.686666666666717</v>
      </c>
      <c r="D28" s="100">
        <f>+'Tablas Servicio'!N61</f>
        <v>94</v>
      </c>
      <c r="E28" s="78">
        <f>+'Tablas Servicio'!AC61</f>
        <v>11.9</v>
      </c>
      <c r="F28" s="78">
        <f>+IF(A28="","",'Tablas Servicio'!O61-'Modelo Financiero'!E28)</f>
        <v>0.40000000000000036</v>
      </c>
      <c r="G28" s="100">
        <f t="shared" si="1"/>
        <v>8.4120000000000008</v>
      </c>
      <c r="H28" s="78">
        <f>+'Tablas Servicio'!G61</f>
        <v>25.07</v>
      </c>
      <c r="I28" s="79">
        <f t="shared" si="2"/>
        <v>0.5093737534902274</v>
      </c>
      <c r="J28" s="78">
        <f t="shared" si="3"/>
        <v>12.77</v>
      </c>
      <c r="K28" s="78">
        <f>+'Tablas Servicio'!H61</f>
        <v>26.07</v>
      </c>
      <c r="L28" s="78">
        <f>+IF(A28="","",ROUND(H28*Parámetros!$D$100,2))</f>
        <v>2.93</v>
      </c>
      <c r="M28" s="100">
        <f>+IF(A28="","",IF(AND(A28=1,B28=1),Parámetros!$D$114*(D28*frec-$G$3-$H$3),IF(AND(A28=2,B28=frec+1),Parámetros!$D$115*(D28*frec-$G$4-$H$4),0)))</f>
        <v>0</v>
      </c>
      <c r="N28" s="100">
        <f>+IF(A28="","",IF(A28&gt;Parámetros!$D$117,0,ROUND('Modelo Financiero'!D28*Parámetros!$D$116,2)))</f>
        <v>10.97</v>
      </c>
      <c r="O28" s="100">
        <f t="shared" si="4"/>
        <v>8.0400000000000009</v>
      </c>
      <c r="P28" s="78">
        <f>+'Tablas Servicio'!I61</f>
        <v>59.88000000000001</v>
      </c>
      <c r="Q28" s="78">
        <f>+'Tablas Servicio'!S61</f>
        <v>1255.42</v>
      </c>
      <c r="R28" s="78">
        <f>+'Tablas Servicio'!T61</f>
        <v>0</v>
      </c>
      <c r="S28" s="78">
        <f t="shared" si="5"/>
        <v>24.707999999999991</v>
      </c>
      <c r="T28" s="78">
        <f t="shared" si="24"/>
        <v>-526.17600000000039</v>
      </c>
      <c r="U28" s="78">
        <f t="shared" si="6"/>
        <v>729.24399999999969</v>
      </c>
      <c r="V28" s="101">
        <f t="shared" si="7"/>
        <v>0.5</v>
      </c>
      <c r="W28" s="78">
        <f t="shared" si="8"/>
        <v>203.904</v>
      </c>
      <c r="X28" s="78">
        <f t="shared" si="9"/>
        <v>933.14799999999968</v>
      </c>
      <c r="Y28" s="76">
        <v>20</v>
      </c>
      <c r="Z28" s="100">
        <f t="shared" si="10"/>
        <v>314.904</v>
      </c>
      <c r="AA28" s="102">
        <f t="shared" si="11"/>
        <v>125.9616</v>
      </c>
      <c r="AB28" s="102">
        <f t="shared" si="12"/>
        <v>211.24809999999999</v>
      </c>
      <c r="AC28" s="102">
        <f t="shared" si="13"/>
        <v>77.151480000000006</v>
      </c>
      <c r="AD28" s="102">
        <f t="shared" si="14"/>
        <v>117.06665541666665</v>
      </c>
      <c r="AE28" s="102">
        <f t="shared" si="15"/>
        <v>38.254275499999999</v>
      </c>
      <c r="AF28" s="102">
        <f t="shared" si="16"/>
        <v>51.216661744791658</v>
      </c>
      <c r="AG28" s="102">
        <f t="shared" si="17"/>
        <v>14.504746127083331</v>
      </c>
      <c r="AH28" s="102">
        <f t="shared" si="18"/>
        <v>16.432012309787321</v>
      </c>
      <c r="AI28" s="102">
        <f t="shared" si="19"/>
        <v>3.8074958583593745</v>
      </c>
      <c r="AJ28" s="102">
        <f t="shared" si="20"/>
        <v>3.3548691799149108</v>
      </c>
      <c r="AK28" s="102">
        <f t="shared" si="21"/>
        <v>0.55525981267740876</v>
      </c>
      <c r="AL28" s="102">
        <f t="shared" si="22"/>
        <v>0.2935510532425547</v>
      </c>
      <c r="AM28" s="102">
        <f t="shared" si="23"/>
        <v>1.6195077869757754E-2</v>
      </c>
    </row>
    <row r="29" spans="1:43" x14ac:dyDescent="0.25">
      <c r="A29">
        <f>+'Tablas Servicio'!B62</f>
        <v>2</v>
      </c>
      <c r="B29">
        <f>+'Tablas Servicio'!C62</f>
        <v>21</v>
      </c>
      <c r="C29" s="56">
        <f>+'Tablas Servicio'!D62</f>
        <v>41.770000000000053</v>
      </c>
      <c r="D29" s="58">
        <f>+'Tablas Servicio'!N62</f>
        <v>94</v>
      </c>
      <c r="E29" s="66">
        <f>+'Tablas Servicio'!AC62</f>
        <v>11.9</v>
      </c>
      <c r="F29" s="66">
        <f>+IF(A29="","",'Tablas Servicio'!O62-'Modelo Financiero'!E29)</f>
        <v>0.40000000000000036</v>
      </c>
      <c r="G29" s="58">
        <f t="shared" si="1"/>
        <v>8.4120000000000008</v>
      </c>
      <c r="H29" s="66">
        <f>+'Tablas Servicio'!G62</f>
        <v>25.07</v>
      </c>
      <c r="I29" s="72">
        <f t="shared" si="2"/>
        <v>0.5093737534902274</v>
      </c>
      <c r="J29" s="66">
        <f t="shared" si="3"/>
        <v>12.77</v>
      </c>
      <c r="K29" s="66">
        <f>+'Tablas Servicio'!H62</f>
        <v>26.07</v>
      </c>
      <c r="L29" s="66">
        <f>+IF(A29="","",ROUND(H29*Parámetros!$D$100,2))</f>
        <v>2.93</v>
      </c>
      <c r="M29" s="58">
        <f>+IF(A29="","",IF(AND(A29=1,B29=1),Parámetros!$D$114*(D29*frec-$G$3-$H$3),IF(AND(A29=2,B29=frec+1),Parámetros!$D$115*(D29*frec-$G$4-$H$4),0)))</f>
        <v>0</v>
      </c>
      <c r="N29" s="58">
        <f>+IF(A29="","",IF(A29&gt;Parámetros!$D$117,0,ROUND('Modelo Financiero'!D29*Parámetros!$D$116,2)))</f>
        <v>10.97</v>
      </c>
      <c r="O29" s="58">
        <f t="shared" si="4"/>
        <v>8.0400000000000009</v>
      </c>
      <c r="P29" s="66">
        <f>+'Tablas Servicio'!I62</f>
        <v>59.88000000000001</v>
      </c>
      <c r="Q29" s="66">
        <f>+'Tablas Servicio'!S62</f>
        <v>1319.03</v>
      </c>
      <c r="R29" s="66">
        <f>+'Tablas Servicio'!T62</f>
        <v>0</v>
      </c>
      <c r="S29" s="66">
        <f t="shared" si="5"/>
        <v>24.707999999999991</v>
      </c>
      <c r="T29" s="66">
        <f t="shared" si="24"/>
        <v>-501.46800000000042</v>
      </c>
      <c r="U29" s="66">
        <f t="shared" si="6"/>
        <v>817.56199999999956</v>
      </c>
      <c r="V29" s="81">
        <f t="shared" si="7"/>
        <v>0.5</v>
      </c>
      <c r="W29" s="66">
        <f t="shared" si="8"/>
        <v>203.904</v>
      </c>
      <c r="X29" s="66">
        <f t="shared" si="9"/>
        <v>1021.4659999999996</v>
      </c>
      <c r="Y29">
        <v>21</v>
      </c>
      <c r="Z29" s="58">
        <f t="shared" si="10"/>
        <v>327.86399999999981</v>
      </c>
      <c r="AA29" s="92">
        <f t="shared" si="11"/>
        <v>131.14559999999992</v>
      </c>
      <c r="AB29" s="92">
        <f t="shared" si="12"/>
        <v>219.94209999999987</v>
      </c>
      <c r="AC29" s="92">
        <f t="shared" si="13"/>
        <v>80.326679999999939</v>
      </c>
      <c r="AD29" s="92">
        <f t="shared" si="14"/>
        <v>121.88458041666659</v>
      </c>
      <c r="AE29" s="92">
        <f t="shared" si="15"/>
        <v>39.828645499999965</v>
      </c>
      <c r="AF29" s="92">
        <f t="shared" si="16"/>
        <v>53.324503932291634</v>
      </c>
      <c r="AG29" s="92">
        <f t="shared" si="17"/>
        <v>15.101694752083318</v>
      </c>
      <c r="AH29" s="92">
        <f t="shared" si="18"/>
        <v>17.108278344943567</v>
      </c>
      <c r="AI29" s="92">
        <f t="shared" si="19"/>
        <v>3.9641948724218707</v>
      </c>
      <c r="AJ29" s="92">
        <f t="shared" si="20"/>
        <v>3.4929401620926446</v>
      </c>
      <c r="AK29" s="92">
        <f t="shared" si="21"/>
        <v>0.57811175222818945</v>
      </c>
      <c r="AL29" s="92">
        <f t="shared" si="22"/>
        <v>0.30563226418310641</v>
      </c>
      <c r="AM29" s="92">
        <f t="shared" si="23"/>
        <v>1.6861592773322189E-2</v>
      </c>
    </row>
    <row r="30" spans="1:43" x14ac:dyDescent="0.25">
      <c r="A30">
        <f>+'Tablas Servicio'!B63</f>
        <v>2</v>
      </c>
      <c r="B30">
        <f>+'Tablas Servicio'!C63</f>
        <v>22</v>
      </c>
      <c r="C30" s="56">
        <f>+'Tablas Servicio'!D63</f>
        <v>41.853333333333389</v>
      </c>
      <c r="D30" s="58">
        <f>+'Tablas Servicio'!N63</f>
        <v>94</v>
      </c>
      <c r="E30" s="66">
        <f>+'Tablas Servicio'!AC63</f>
        <v>11.9</v>
      </c>
      <c r="F30" s="66">
        <f>+IF(A30="","",'Tablas Servicio'!O63-'Modelo Financiero'!E30)</f>
        <v>0.40000000000000036</v>
      </c>
      <c r="G30" s="58">
        <f t="shared" si="1"/>
        <v>8.4120000000000008</v>
      </c>
      <c r="H30" s="66">
        <f>+'Tablas Servicio'!G63</f>
        <v>25.07</v>
      </c>
      <c r="I30" s="72">
        <f t="shared" si="2"/>
        <v>0.5093737534902274</v>
      </c>
      <c r="J30" s="66">
        <f t="shared" si="3"/>
        <v>12.77</v>
      </c>
      <c r="K30" s="66">
        <f>+'Tablas Servicio'!H63</f>
        <v>26.07</v>
      </c>
      <c r="L30" s="66">
        <f>+IF(A30="","",ROUND(H30*Parámetros!$D$100,2))</f>
        <v>2.93</v>
      </c>
      <c r="M30" s="58">
        <f>+IF(A30="","",IF(AND(A30=1,B30=1),Parámetros!$D$114*(D30*frec-$G$3-$H$3),IF(AND(A30=2,B30=frec+1),Parámetros!$D$115*(D30*frec-$G$4-$H$4),0)))</f>
        <v>0</v>
      </c>
      <c r="N30" s="58">
        <f>+IF(A30="","",IF(A30&gt;Parámetros!$D$117,0,ROUND('Modelo Financiero'!D30*Parámetros!$D$116,2)))</f>
        <v>10.97</v>
      </c>
      <c r="O30" s="58">
        <f t="shared" si="4"/>
        <v>8.0400000000000009</v>
      </c>
      <c r="P30" s="66">
        <f>+'Tablas Servicio'!I63</f>
        <v>59.88000000000001</v>
      </c>
      <c r="Q30" s="66">
        <f>+'Tablas Servicio'!S63</f>
        <v>1382.82</v>
      </c>
      <c r="R30" s="66">
        <f>+'Tablas Servicio'!T63</f>
        <v>0</v>
      </c>
      <c r="S30" s="66">
        <f t="shared" si="5"/>
        <v>24.707999999999991</v>
      </c>
      <c r="T30" s="66">
        <f t="shared" si="24"/>
        <v>-476.76000000000045</v>
      </c>
      <c r="U30" s="66">
        <f t="shared" si="6"/>
        <v>906.05999999999949</v>
      </c>
      <c r="V30" s="81">
        <f t="shared" si="7"/>
        <v>0.5</v>
      </c>
      <c r="W30" s="66">
        <f t="shared" si="8"/>
        <v>203.904</v>
      </c>
      <c r="X30" s="66">
        <f t="shared" si="9"/>
        <v>1109.9639999999995</v>
      </c>
      <c r="Y30">
        <v>22</v>
      </c>
      <c r="Z30" s="58">
        <f t="shared" si="10"/>
        <v>340.9199999999999</v>
      </c>
      <c r="AA30" s="92">
        <f t="shared" si="11"/>
        <v>136.36799999999997</v>
      </c>
      <c r="AB30" s="92">
        <f t="shared" si="12"/>
        <v>228.70049999999992</v>
      </c>
      <c r="AC30" s="92">
        <f t="shared" si="13"/>
        <v>83.525399999999976</v>
      </c>
      <c r="AD30" s="92">
        <f t="shared" si="14"/>
        <v>126.73819374999995</v>
      </c>
      <c r="AE30" s="92">
        <f t="shared" si="15"/>
        <v>41.414677499999982</v>
      </c>
      <c r="AF30" s="92">
        <f t="shared" si="16"/>
        <v>55.447959765624972</v>
      </c>
      <c r="AG30" s="92">
        <f t="shared" si="17"/>
        <v>15.703065218749991</v>
      </c>
      <c r="AH30" s="92">
        <f t="shared" si="18"/>
        <v>17.789553758138013</v>
      </c>
      <c r="AI30" s="92">
        <f t="shared" si="19"/>
        <v>4.1220546199218724</v>
      </c>
      <c r="AJ30" s="92">
        <f t="shared" si="20"/>
        <v>3.6320338922865112</v>
      </c>
      <c r="AK30" s="92">
        <f t="shared" si="21"/>
        <v>0.60113296540527295</v>
      </c>
      <c r="AL30" s="92">
        <f t="shared" si="22"/>
        <v>0.31780296557506971</v>
      </c>
      <c r="AM30" s="92">
        <f t="shared" si="23"/>
        <v>1.753304482432046E-2</v>
      </c>
    </row>
    <row r="31" spans="1:43" x14ac:dyDescent="0.25">
      <c r="A31">
        <f>+'Tablas Servicio'!B64</f>
        <v>2</v>
      </c>
      <c r="B31">
        <f>+'Tablas Servicio'!C64</f>
        <v>23</v>
      </c>
      <c r="C31" s="56">
        <f>+'Tablas Servicio'!D64</f>
        <v>41.936666666666724</v>
      </c>
      <c r="D31" s="58">
        <f>+'Tablas Servicio'!N64</f>
        <v>94</v>
      </c>
      <c r="E31" s="66">
        <f>+'Tablas Servicio'!AC64</f>
        <v>11.9</v>
      </c>
      <c r="F31" s="66">
        <f>+IF(A31="","",'Tablas Servicio'!O64-'Modelo Financiero'!E31)</f>
        <v>0.40000000000000036</v>
      </c>
      <c r="G31" s="58">
        <f t="shared" si="1"/>
        <v>8.4120000000000008</v>
      </c>
      <c r="H31" s="66">
        <f>+'Tablas Servicio'!G64</f>
        <v>25.07</v>
      </c>
      <c r="I31" s="72">
        <f t="shared" si="2"/>
        <v>0.5093737534902274</v>
      </c>
      <c r="J31" s="66">
        <f t="shared" si="3"/>
        <v>12.77</v>
      </c>
      <c r="K31" s="66">
        <f>+'Tablas Servicio'!H64</f>
        <v>26.07</v>
      </c>
      <c r="L31" s="66">
        <f>+IF(A31="","",ROUND(H31*Parámetros!$D$100,2))</f>
        <v>2.93</v>
      </c>
      <c r="M31" s="58">
        <f>+IF(A31="","",IF(AND(A31=1,B31=1),Parámetros!$D$114*(D31*frec-$G$3-$H$3),IF(AND(A31=2,B31=frec+1),Parámetros!$D$115*(D31*frec-$G$4-$H$4),0)))</f>
        <v>0</v>
      </c>
      <c r="N31" s="58">
        <f>+IF(A31="","",IF(A31&gt;Parámetros!$D$117,0,ROUND('Modelo Financiero'!D31*Parámetros!$D$116,2)))</f>
        <v>10.97</v>
      </c>
      <c r="O31" s="58">
        <f t="shared" si="4"/>
        <v>8.0400000000000009</v>
      </c>
      <c r="P31" s="66">
        <f>+'Tablas Servicio'!I64</f>
        <v>59.88000000000001</v>
      </c>
      <c r="Q31" s="66">
        <f>+'Tablas Servicio'!S64</f>
        <v>1446.79</v>
      </c>
      <c r="R31" s="66">
        <f>+'Tablas Servicio'!T64</f>
        <v>0</v>
      </c>
      <c r="S31" s="66">
        <f t="shared" si="5"/>
        <v>24.707999999999991</v>
      </c>
      <c r="T31" s="66">
        <f t="shared" si="24"/>
        <v>-452.05200000000048</v>
      </c>
      <c r="U31" s="66">
        <f t="shared" si="6"/>
        <v>994.73799999999949</v>
      </c>
      <c r="V31" s="81">
        <f t="shared" si="7"/>
        <v>0.5</v>
      </c>
      <c r="W31" s="66">
        <f t="shared" si="8"/>
        <v>203.904</v>
      </c>
      <c r="X31" s="66">
        <f t="shared" si="9"/>
        <v>1198.6419999999994</v>
      </c>
      <c r="Y31">
        <v>23</v>
      </c>
      <c r="Z31" s="58">
        <f t="shared" si="10"/>
        <v>357.8160000000002</v>
      </c>
      <c r="AA31" s="92">
        <f t="shared" si="11"/>
        <v>143.12640000000007</v>
      </c>
      <c r="AB31" s="92">
        <f t="shared" si="12"/>
        <v>240.03490000000011</v>
      </c>
      <c r="AC31" s="92">
        <f t="shared" si="13"/>
        <v>87.664920000000038</v>
      </c>
      <c r="AD31" s="92">
        <f t="shared" si="14"/>
        <v>133.01934041666672</v>
      </c>
      <c r="AE31" s="92">
        <f t="shared" si="15"/>
        <v>43.467189500000018</v>
      </c>
      <c r="AF31" s="92">
        <f t="shared" si="16"/>
        <v>58.195961432291689</v>
      </c>
      <c r="AG31" s="92">
        <f t="shared" si="17"/>
        <v>16.48130935208334</v>
      </c>
      <c r="AH31" s="92">
        <f t="shared" si="18"/>
        <v>18.671204292860249</v>
      </c>
      <c r="AI31" s="92">
        <f t="shared" si="19"/>
        <v>4.3263437049218769</v>
      </c>
      <c r="AJ31" s="92">
        <f t="shared" si="20"/>
        <v>3.8120375431256339</v>
      </c>
      <c r="AK31" s="92">
        <f t="shared" si="21"/>
        <v>0.63092512363444031</v>
      </c>
      <c r="AL31" s="92">
        <f t="shared" si="22"/>
        <v>0.33355328502349296</v>
      </c>
      <c r="AM31" s="92">
        <f t="shared" si="23"/>
        <v>1.8401982772671174E-2</v>
      </c>
    </row>
    <row r="32" spans="1:43" x14ac:dyDescent="0.25">
      <c r="A32">
        <f>+'Tablas Servicio'!B65</f>
        <v>2</v>
      </c>
      <c r="B32">
        <f>+'Tablas Servicio'!C65</f>
        <v>24</v>
      </c>
      <c r="C32" s="56">
        <f>+'Tablas Servicio'!D65</f>
        <v>42.02000000000006</v>
      </c>
      <c r="D32" s="58">
        <f>+'Tablas Servicio'!N65</f>
        <v>94</v>
      </c>
      <c r="E32" s="66">
        <f>+'Tablas Servicio'!AC65</f>
        <v>11.9</v>
      </c>
      <c r="F32" s="66">
        <f>+IF(A32="","",'Tablas Servicio'!O65-'Modelo Financiero'!E32)</f>
        <v>0.40000000000000036</v>
      </c>
      <c r="G32" s="58">
        <f t="shared" si="1"/>
        <v>8.4120000000000008</v>
      </c>
      <c r="H32" s="66">
        <f>+'Tablas Servicio'!G65</f>
        <v>25.07</v>
      </c>
      <c r="I32" s="72">
        <f t="shared" si="2"/>
        <v>0.5093737534902274</v>
      </c>
      <c r="J32" s="66">
        <f t="shared" si="3"/>
        <v>12.77</v>
      </c>
      <c r="K32" s="66">
        <f>+'Tablas Servicio'!H65</f>
        <v>26.07</v>
      </c>
      <c r="L32" s="66">
        <f>+IF(A32="","",ROUND(H32*Parámetros!$D$100,2))</f>
        <v>2.93</v>
      </c>
      <c r="M32" s="58">
        <f>+IF(A32="","",IF(AND(A32=1,B32=1),Parámetros!$D$114*(D32*frec-$G$3-$H$3),IF(AND(A32=2,B32=frec+1),Parámetros!$D$115*(D32*frec-$G$4-$H$4),0)))</f>
        <v>0</v>
      </c>
      <c r="N32" s="58">
        <f>+IF(A32="","",IF(A32&gt;Parámetros!$D$117,0,ROUND('Modelo Financiero'!D32*Parámetros!$D$116,2)))</f>
        <v>10.97</v>
      </c>
      <c r="O32" s="58">
        <f t="shared" si="4"/>
        <v>8.0400000000000009</v>
      </c>
      <c r="P32" s="66">
        <f>+'Tablas Servicio'!I65</f>
        <v>59.88000000000001</v>
      </c>
      <c r="Q32" s="66">
        <f>+'Tablas Servicio'!S65</f>
        <v>1510.94</v>
      </c>
      <c r="R32" s="66">
        <f>+'Tablas Servicio'!T65</f>
        <v>0</v>
      </c>
      <c r="S32" s="66">
        <f t="shared" si="5"/>
        <v>24.707999999999991</v>
      </c>
      <c r="T32" s="66">
        <f t="shared" si="24"/>
        <v>-427.34400000000051</v>
      </c>
      <c r="U32" s="66">
        <f t="shared" si="6"/>
        <v>1083.5959999999995</v>
      </c>
      <c r="V32" s="81">
        <f t="shared" si="7"/>
        <v>0.5</v>
      </c>
      <c r="W32" s="66">
        <f t="shared" si="8"/>
        <v>203.904</v>
      </c>
      <c r="X32" s="66">
        <f t="shared" si="9"/>
        <v>1287.4999999999995</v>
      </c>
      <c r="Y32">
        <v>24</v>
      </c>
      <c r="Z32" s="58">
        <f t="shared" si="10"/>
        <v>378.55199999999996</v>
      </c>
      <c r="AA32" s="92">
        <f t="shared" si="11"/>
        <v>151.42079999999999</v>
      </c>
      <c r="AB32" s="92">
        <f t="shared" si="12"/>
        <v>253.94529999999995</v>
      </c>
      <c r="AC32" s="92">
        <f t="shared" si="13"/>
        <v>92.745239999999981</v>
      </c>
      <c r="AD32" s="92">
        <f t="shared" si="14"/>
        <v>140.72802041666662</v>
      </c>
      <c r="AE32" s="92">
        <f t="shared" si="15"/>
        <v>45.986181499999986</v>
      </c>
      <c r="AF32" s="92">
        <f t="shared" si="16"/>
        <v>61.56850893229165</v>
      </c>
      <c r="AG32" s="92">
        <f t="shared" si="17"/>
        <v>17.436427152083326</v>
      </c>
      <c r="AH32" s="92">
        <f t="shared" si="18"/>
        <v>19.753229949110235</v>
      </c>
      <c r="AI32" s="92">
        <f t="shared" si="19"/>
        <v>4.5770621274218728</v>
      </c>
      <c r="AJ32" s="92">
        <f t="shared" si="20"/>
        <v>4.0329511146100065</v>
      </c>
      <c r="AK32" s="92">
        <f t="shared" si="21"/>
        <v>0.66748822691568976</v>
      </c>
      <c r="AL32" s="92">
        <f t="shared" si="22"/>
        <v>0.35288322252837556</v>
      </c>
      <c r="AM32" s="92">
        <f t="shared" si="23"/>
        <v>1.9468406618374283E-2</v>
      </c>
    </row>
    <row r="33" spans="1:39" x14ac:dyDescent="0.25">
      <c r="A33">
        <f>+'Tablas Servicio'!B66</f>
        <v>3</v>
      </c>
      <c r="B33">
        <f>+'Tablas Servicio'!C66</f>
        <v>25</v>
      </c>
      <c r="C33" s="56">
        <f>+'Tablas Servicio'!D66</f>
        <v>42.103333333333396</v>
      </c>
      <c r="D33" s="58">
        <f>+'Tablas Servicio'!N66</f>
        <v>94</v>
      </c>
      <c r="E33" s="66">
        <f>+'Tablas Servicio'!AC66</f>
        <v>12.9</v>
      </c>
      <c r="F33" s="66">
        <f>+IF(A33="","",'Tablas Servicio'!O66-'Modelo Financiero'!E33)</f>
        <v>0.40000000000000036</v>
      </c>
      <c r="G33" s="58">
        <f t="shared" si="1"/>
        <v>9.0920000000000005</v>
      </c>
      <c r="H33" s="66">
        <f>+'Tablas Servicio'!G66</f>
        <v>27.14</v>
      </c>
      <c r="I33" s="72">
        <f t="shared" si="2"/>
        <v>0.5099484156226971</v>
      </c>
      <c r="J33" s="66">
        <f t="shared" si="3"/>
        <v>13.84</v>
      </c>
      <c r="K33" s="66">
        <f>+'Tablas Servicio'!H66</f>
        <v>28.22</v>
      </c>
      <c r="L33" s="66">
        <f>+IF(A33="","",ROUND(H33*Parámetros!$D$100,2))</f>
        <v>3.17</v>
      </c>
      <c r="M33" s="58">
        <f>+IF(A33="","",IF(AND(A33=1,B33=1),Parámetros!$D$114*(D33*frec-$G$3-$H$3),IF(AND(A33=2,B33=frec+1),Parámetros!$D$115*(D33*frec-$G$4-$H$4),0)))</f>
        <v>0</v>
      </c>
      <c r="N33" s="58">
        <f>+IF(A33="","",IF(A33&gt;Parámetros!$D$117,0,ROUND('Modelo Financiero'!D33*Parámetros!$D$116,2)))</f>
        <v>10.97</v>
      </c>
      <c r="O33" s="58">
        <f t="shared" si="4"/>
        <v>7.8000000000000007</v>
      </c>
      <c r="P33" s="66">
        <f>+'Tablas Servicio'!I66</f>
        <v>57.980000000000004</v>
      </c>
      <c r="Q33" s="66">
        <f>+'Tablas Servicio'!S66</f>
        <v>1573.37</v>
      </c>
      <c r="R33" s="66">
        <f>+'Tablas Servicio'!T66</f>
        <v>0</v>
      </c>
      <c r="S33" s="66">
        <f t="shared" si="5"/>
        <v>25.847999999999999</v>
      </c>
      <c r="T33" s="66">
        <f t="shared" si="24"/>
        <v>-401.49600000000049</v>
      </c>
      <c r="U33" s="66">
        <f t="shared" si="6"/>
        <v>1171.8739999999993</v>
      </c>
      <c r="V33" s="81">
        <f t="shared" si="7"/>
        <v>0</v>
      </c>
      <c r="W33" s="66">
        <f t="shared" si="8"/>
        <v>0</v>
      </c>
      <c r="X33" s="66">
        <f t="shared" si="9"/>
        <v>1171.8739999999993</v>
      </c>
      <c r="Y33">
        <v>25</v>
      </c>
      <c r="Z33" s="58">
        <f t="shared" si="10"/>
        <v>403.51199999999983</v>
      </c>
      <c r="AA33" s="92">
        <f t="shared" si="11"/>
        <v>161.40479999999994</v>
      </c>
      <c r="AB33" s="92">
        <f t="shared" si="12"/>
        <v>270.68929999999989</v>
      </c>
      <c r="AC33" s="92">
        <f t="shared" si="13"/>
        <v>98.860439999999969</v>
      </c>
      <c r="AD33" s="92">
        <f t="shared" si="14"/>
        <v>150.00698708333326</v>
      </c>
      <c r="AE33" s="92">
        <f t="shared" si="15"/>
        <v>49.018301499999978</v>
      </c>
      <c r="AF33" s="92">
        <f t="shared" si="16"/>
        <v>65.628056848958295</v>
      </c>
      <c r="AG33" s="92">
        <f t="shared" si="17"/>
        <v>18.586105985416655</v>
      </c>
      <c r="AH33" s="92">
        <f t="shared" si="18"/>
        <v>21.055668239040784</v>
      </c>
      <c r="AI33" s="92">
        <f t="shared" si="19"/>
        <v>4.8788528211718711</v>
      </c>
      <c r="AJ33" s="92">
        <f t="shared" si="20"/>
        <v>4.2988655988041602</v>
      </c>
      <c r="AK33" s="92">
        <f t="shared" si="21"/>
        <v>0.71149936975423123</v>
      </c>
      <c r="AL33" s="92">
        <f t="shared" si="22"/>
        <v>0.37615073989536402</v>
      </c>
      <c r="AM33" s="92">
        <f t="shared" si="23"/>
        <v>2.0752064951165074E-2</v>
      </c>
    </row>
    <row r="34" spans="1:39" x14ac:dyDescent="0.25">
      <c r="A34">
        <f>+'Tablas Servicio'!B67</f>
        <v>3</v>
      </c>
      <c r="B34">
        <f>+'Tablas Servicio'!C67</f>
        <v>26</v>
      </c>
      <c r="C34" s="56">
        <f>+'Tablas Servicio'!D67</f>
        <v>42.186666666666731</v>
      </c>
      <c r="D34" s="58">
        <f>+'Tablas Servicio'!N67</f>
        <v>94</v>
      </c>
      <c r="E34" s="66">
        <f>+'Tablas Servicio'!AC67</f>
        <v>12.9</v>
      </c>
      <c r="F34" s="66">
        <f>+IF(A34="","",'Tablas Servicio'!O67-'Modelo Financiero'!E34)</f>
        <v>0.40000000000000036</v>
      </c>
      <c r="G34" s="58">
        <f t="shared" si="1"/>
        <v>9.0920000000000005</v>
      </c>
      <c r="H34" s="66">
        <f>+'Tablas Servicio'!G67</f>
        <v>27.14</v>
      </c>
      <c r="I34" s="72">
        <f t="shared" si="2"/>
        <v>0.5099484156226971</v>
      </c>
      <c r="J34" s="66">
        <f t="shared" si="3"/>
        <v>13.84</v>
      </c>
      <c r="K34" s="66">
        <f>+'Tablas Servicio'!H67</f>
        <v>28.22</v>
      </c>
      <c r="L34" s="66">
        <f>+IF(A34="","",ROUND(H34*Parámetros!$D$100,2))</f>
        <v>3.17</v>
      </c>
      <c r="M34" s="58">
        <f>+IF(A34="","",IF(AND(A34=1,B34=1),Parámetros!$D$114*(D34*frec-$G$3-$H$3),IF(AND(A34=2,B34=frec+1),Parámetros!$D$115*(D34*frec-$G$4-$H$4),0)))</f>
        <v>0</v>
      </c>
      <c r="N34" s="58">
        <f>+IF(A34="","",IF(A34&gt;Parámetros!$D$117,0,ROUND('Modelo Financiero'!D34*Parámetros!$D$116,2)))</f>
        <v>10.97</v>
      </c>
      <c r="O34" s="58">
        <f t="shared" si="4"/>
        <v>7.8000000000000007</v>
      </c>
      <c r="P34" s="66">
        <f>+'Tablas Servicio'!I67</f>
        <v>57.980000000000004</v>
      </c>
      <c r="Q34" s="66">
        <f>+'Tablas Servicio'!S67</f>
        <v>1635.98</v>
      </c>
      <c r="R34" s="66">
        <f>+'Tablas Servicio'!T67</f>
        <v>0</v>
      </c>
      <c r="S34" s="66">
        <f t="shared" si="5"/>
        <v>25.847999999999999</v>
      </c>
      <c r="T34" s="66">
        <f t="shared" si="24"/>
        <v>-375.64800000000048</v>
      </c>
      <c r="U34" s="66">
        <f t="shared" si="6"/>
        <v>1260.3319999999994</v>
      </c>
      <c r="V34" s="81">
        <f t="shared" si="7"/>
        <v>0</v>
      </c>
      <c r="W34" s="66">
        <f t="shared" si="8"/>
        <v>0</v>
      </c>
      <c r="X34" s="66">
        <f t="shared" si="9"/>
        <v>1260.3319999999994</v>
      </c>
      <c r="Y34">
        <v>26</v>
      </c>
      <c r="Z34" s="58">
        <f t="shared" si="10"/>
        <v>432.31199999999967</v>
      </c>
      <c r="AA34" s="92">
        <f t="shared" si="11"/>
        <v>172.92479999999989</v>
      </c>
      <c r="AB34" s="92">
        <f t="shared" si="12"/>
        <v>290.00929999999977</v>
      </c>
      <c r="AC34" s="92">
        <f t="shared" si="13"/>
        <v>105.91643999999992</v>
      </c>
      <c r="AD34" s="92">
        <f t="shared" si="14"/>
        <v>160.71348708333321</v>
      </c>
      <c r="AE34" s="92">
        <f t="shared" si="15"/>
        <v>52.51690149999996</v>
      </c>
      <c r="AF34" s="92">
        <f t="shared" si="16"/>
        <v>70.312150598958269</v>
      </c>
      <c r="AG34" s="92">
        <f t="shared" si="17"/>
        <v>19.91265848541665</v>
      </c>
      <c r="AH34" s="92">
        <f t="shared" si="18"/>
        <v>22.558481650499107</v>
      </c>
      <c r="AI34" s="92">
        <f t="shared" si="19"/>
        <v>5.2270728524218706</v>
      </c>
      <c r="AJ34" s="92">
        <f t="shared" si="20"/>
        <v>4.6056900036435673</v>
      </c>
      <c r="AK34" s="92">
        <f t="shared" si="21"/>
        <v>0.76228145764485611</v>
      </c>
      <c r="AL34" s="92">
        <f t="shared" si="22"/>
        <v>0.40299787531881209</v>
      </c>
      <c r="AM34" s="92">
        <f t="shared" si="23"/>
        <v>2.2233209181308302E-2</v>
      </c>
    </row>
    <row r="35" spans="1:39" x14ac:dyDescent="0.25">
      <c r="A35">
        <f>+'Tablas Servicio'!B68</f>
        <v>3</v>
      </c>
      <c r="B35">
        <f>+'Tablas Servicio'!C68</f>
        <v>27</v>
      </c>
      <c r="C35" s="56">
        <f>+'Tablas Servicio'!D68</f>
        <v>42.270000000000067</v>
      </c>
      <c r="D35" s="58">
        <f>+'Tablas Servicio'!N68</f>
        <v>94</v>
      </c>
      <c r="E35" s="66">
        <f>+'Tablas Servicio'!AC68</f>
        <v>12.9</v>
      </c>
      <c r="F35" s="66">
        <f>+IF(A35="","",'Tablas Servicio'!O68-'Modelo Financiero'!E35)</f>
        <v>0.40000000000000036</v>
      </c>
      <c r="G35" s="58">
        <f t="shared" si="1"/>
        <v>9.0920000000000005</v>
      </c>
      <c r="H35" s="66">
        <f>+'Tablas Servicio'!G68</f>
        <v>27.14</v>
      </c>
      <c r="I35" s="72">
        <f t="shared" si="2"/>
        <v>0.5099484156226971</v>
      </c>
      <c r="J35" s="66">
        <f t="shared" si="3"/>
        <v>13.84</v>
      </c>
      <c r="K35" s="66">
        <f>+'Tablas Servicio'!H68</f>
        <v>28.22</v>
      </c>
      <c r="L35" s="66">
        <f>+IF(A35="","",ROUND(H35*Parámetros!$D$100,2))</f>
        <v>3.17</v>
      </c>
      <c r="M35" s="58">
        <f>+IF(A35="","",IF(AND(A35=1,B35=1),Parámetros!$D$114*(D35*frec-$G$3-$H$3),IF(AND(A35=2,B35=frec+1),Parámetros!$D$115*(D35*frec-$G$4-$H$4),0)))</f>
        <v>0</v>
      </c>
      <c r="N35" s="58">
        <f>+IF(A35="","",IF(A35&gt;Parámetros!$D$117,0,ROUND('Modelo Financiero'!D35*Parámetros!$D$116,2)))</f>
        <v>10.97</v>
      </c>
      <c r="O35" s="58">
        <f t="shared" si="4"/>
        <v>7.8000000000000007</v>
      </c>
      <c r="P35" s="66">
        <f>+'Tablas Servicio'!I68</f>
        <v>57.980000000000004</v>
      </c>
      <c r="Q35" s="66">
        <f>+'Tablas Servicio'!S68</f>
        <v>1698.76</v>
      </c>
      <c r="R35" s="66">
        <f>+'Tablas Servicio'!T68</f>
        <v>0</v>
      </c>
      <c r="S35" s="66">
        <f t="shared" si="5"/>
        <v>25.847999999999999</v>
      </c>
      <c r="T35" s="66">
        <f t="shared" si="24"/>
        <v>-349.80000000000047</v>
      </c>
      <c r="U35" s="66">
        <f t="shared" si="6"/>
        <v>1348.9599999999996</v>
      </c>
      <c r="V35" s="81">
        <f t="shared" si="7"/>
        <v>0</v>
      </c>
      <c r="W35" s="66">
        <f t="shared" si="8"/>
        <v>0</v>
      </c>
      <c r="X35" s="66">
        <f t="shared" si="9"/>
        <v>1348.9599999999996</v>
      </c>
      <c r="Y35">
        <v>27</v>
      </c>
      <c r="Z35" s="58">
        <f t="shared" si="10"/>
        <v>461.49599999999987</v>
      </c>
      <c r="AA35" s="92">
        <f t="shared" si="11"/>
        <v>184.59839999999997</v>
      </c>
      <c r="AB35" s="92">
        <f t="shared" si="12"/>
        <v>309.58689999999984</v>
      </c>
      <c r="AC35" s="92">
        <f t="shared" si="13"/>
        <v>113.06651999999998</v>
      </c>
      <c r="AD35" s="92">
        <f t="shared" si="14"/>
        <v>171.56274041666657</v>
      </c>
      <c r="AE35" s="92">
        <f t="shared" si="15"/>
        <v>56.062149499999983</v>
      </c>
      <c r="AF35" s="92">
        <f t="shared" si="16"/>
        <v>75.05869893229162</v>
      </c>
      <c r="AG35" s="92">
        <f t="shared" si="17"/>
        <v>21.256898352083326</v>
      </c>
      <c r="AH35" s="92">
        <f t="shared" si="18"/>
        <v>24.081332574110224</v>
      </c>
      <c r="AI35" s="92">
        <f t="shared" si="19"/>
        <v>5.5799358174218732</v>
      </c>
      <c r="AJ35" s="92">
        <f t="shared" si="20"/>
        <v>4.9166054005475042</v>
      </c>
      <c r="AK35" s="92">
        <f t="shared" si="21"/>
        <v>0.8137406400406898</v>
      </c>
      <c r="AL35" s="92">
        <f t="shared" si="22"/>
        <v>0.43020297254790657</v>
      </c>
      <c r="AM35" s="92">
        <f t="shared" si="23"/>
        <v>2.3734102001186783E-2</v>
      </c>
    </row>
    <row r="36" spans="1:39" x14ac:dyDescent="0.25">
      <c r="A36">
        <f>+'Tablas Servicio'!B69</f>
        <v>3</v>
      </c>
      <c r="B36">
        <f>+'Tablas Servicio'!C69</f>
        <v>28</v>
      </c>
      <c r="C36" s="56">
        <f>+'Tablas Servicio'!D69</f>
        <v>42.353333333333403</v>
      </c>
      <c r="D36" s="58">
        <f>+'Tablas Servicio'!N69</f>
        <v>94</v>
      </c>
      <c r="E36" s="66">
        <f>+'Tablas Servicio'!AC69</f>
        <v>12.9</v>
      </c>
      <c r="F36" s="66">
        <f>+IF(A36="","",'Tablas Servicio'!O69-'Modelo Financiero'!E36)</f>
        <v>0.40000000000000036</v>
      </c>
      <c r="G36" s="58">
        <f t="shared" si="1"/>
        <v>9.0920000000000005</v>
      </c>
      <c r="H36" s="66">
        <f>+'Tablas Servicio'!G69</f>
        <v>27.14</v>
      </c>
      <c r="I36" s="72">
        <f t="shared" si="2"/>
        <v>0.5099484156226971</v>
      </c>
      <c r="J36" s="66">
        <f t="shared" si="3"/>
        <v>13.84</v>
      </c>
      <c r="K36" s="66">
        <f>+'Tablas Servicio'!H69</f>
        <v>28.22</v>
      </c>
      <c r="L36" s="66">
        <f>+IF(A36="","",ROUND(H36*Parámetros!$D$100,2))</f>
        <v>3.17</v>
      </c>
      <c r="M36" s="58">
        <f>+IF(A36="","",IF(AND(A36=1,B36=1),Parámetros!$D$114*(D36*frec-$G$3-$H$3),IF(AND(A36=2,B36=frec+1),Parámetros!$D$115*(D36*frec-$G$4-$H$4),0)))</f>
        <v>0</v>
      </c>
      <c r="N36" s="58">
        <f>+IF(A36="","",IF(A36&gt;Parámetros!$D$117,0,ROUND('Modelo Financiero'!D36*Parámetros!$D$116,2)))</f>
        <v>10.97</v>
      </c>
      <c r="O36" s="58">
        <f t="shared" si="4"/>
        <v>7.8000000000000007</v>
      </c>
      <c r="P36" s="66">
        <f>+'Tablas Servicio'!I69</f>
        <v>57.980000000000004</v>
      </c>
      <c r="Q36" s="66">
        <f>+'Tablas Servicio'!S69</f>
        <v>1761.72</v>
      </c>
      <c r="R36" s="66">
        <f>+'Tablas Servicio'!T69</f>
        <v>0</v>
      </c>
      <c r="S36" s="66">
        <f t="shared" si="5"/>
        <v>25.847999999999999</v>
      </c>
      <c r="T36" s="66">
        <f t="shared" si="24"/>
        <v>-323.95200000000045</v>
      </c>
      <c r="U36" s="66">
        <f t="shared" si="6"/>
        <v>1437.7679999999996</v>
      </c>
      <c r="V36" s="81">
        <f t="shared" si="7"/>
        <v>0</v>
      </c>
      <c r="W36" s="66">
        <f t="shared" si="8"/>
        <v>0</v>
      </c>
      <c r="X36" s="66">
        <f t="shared" si="9"/>
        <v>1437.7679999999996</v>
      </c>
      <c r="Y36">
        <v>28</v>
      </c>
      <c r="Z36" s="58">
        <f t="shared" si="10"/>
        <v>490.67999999999995</v>
      </c>
      <c r="AA36" s="92">
        <f t="shared" si="11"/>
        <v>196.27199999999999</v>
      </c>
      <c r="AB36" s="92">
        <f t="shared" si="12"/>
        <v>329.16449999999992</v>
      </c>
      <c r="AC36" s="92">
        <f t="shared" si="13"/>
        <v>120.21659999999997</v>
      </c>
      <c r="AD36" s="92">
        <f t="shared" si="14"/>
        <v>182.41199374999994</v>
      </c>
      <c r="AE36" s="92">
        <f t="shared" si="15"/>
        <v>59.60739749999999</v>
      </c>
      <c r="AF36" s="92">
        <f t="shared" si="16"/>
        <v>79.805247265624971</v>
      </c>
      <c r="AG36" s="92">
        <f t="shared" si="17"/>
        <v>22.601138218749995</v>
      </c>
      <c r="AH36" s="92">
        <f t="shared" si="18"/>
        <v>25.604183497721341</v>
      </c>
      <c r="AI36" s="92">
        <f t="shared" si="19"/>
        <v>5.9327987824218731</v>
      </c>
      <c r="AJ36" s="92">
        <f t="shared" si="20"/>
        <v>5.2275207974514402</v>
      </c>
      <c r="AK36" s="92">
        <f t="shared" si="21"/>
        <v>0.86519982243652327</v>
      </c>
      <c r="AL36" s="92">
        <f t="shared" si="22"/>
        <v>0.45740806977700094</v>
      </c>
      <c r="AM36" s="92">
        <f t="shared" si="23"/>
        <v>2.5234994821065258E-2</v>
      </c>
    </row>
    <row r="37" spans="1:39" x14ac:dyDescent="0.25">
      <c r="A37">
        <f>+'Tablas Servicio'!B70</f>
        <v>3</v>
      </c>
      <c r="B37">
        <f>+'Tablas Servicio'!C70</f>
        <v>29</v>
      </c>
      <c r="C37" s="56">
        <f>+'Tablas Servicio'!D70</f>
        <v>42.436666666666738</v>
      </c>
      <c r="D37" s="58">
        <f>+'Tablas Servicio'!N70</f>
        <v>94</v>
      </c>
      <c r="E37" s="66">
        <f>+'Tablas Servicio'!AC70</f>
        <v>12.9</v>
      </c>
      <c r="F37" s="66">
        <f>+IF(A37="","",'Tablas Servicio'!O70-'Modelo Financiero'!E37)</f>
        <v>0.40000000000000036</v>
      </c>
      <c r="G37" s="58">
        <f t="shared" si="1"/>
        <v>9.0920000000000005</v>
      </c>
      <c r="H37" s="66">
        <f>+'Tablas Servicio'!G70</f>
        <v>27.14</v>
      </c>
      <c r="I37" s="72">
        <f t="shared" si="2"/>
        <v>0.5099484156226971</v>
      </c>
      <c r="J37" s="66">
        <f t="shared" si="3"/>
        <v>13.84</v>
      </c>
      <c r="K37" s="66">
        <f>+'Tablas Servicio'!H70</f>
        <v>28.22</v>
      </c>
      <c r="L37" s="66">
        <f>+IF(A37="","",ROUND(H37*Parámetros!$D$100,2))</f>
        <v>3.17</v>
      </c>
      <c r="M37" s="58">
        <f>+IF(A37="","",IF(AND(A37=1,B37=1),Parámetros!$D$114*(D37*frec-$G$3-$H$3),IF(AND(A37=2,B37=frec+1),Parámetros!$D$115*(D37*frec-$G$4-$H$4),0)))</f>
        <v>0</v>
      </c>
      <c r="N37" s="58">
        <f>+IF(A37="","",IF(A37&gt;Parámetros!$D$117,0,ROUND('Modelo Financiero'!D37*Parámetros!$D$116,2)))</f>
        <v>10.97</v>
      </c>
      <c r="O37" s="58">
        <f t="shared" si="4"/>
        <v>7.8000000000000007</v>
      </c>
      <c r="P37" s="66">
        <f>+'Tablas Servicio'!I70</f>
        <v>57.980000000000004</v>
      </c>
      <c r="Q37" s="66">
        <f>+'Tablas Servicio'!S70</f>
        <v>1824.86</v>
      </c>
      <c r="R37" s="66">
        <f>+'Tablas Servicio'!T70</f>
        <v>0</v>
      </c>
      <c r="S37" s="66">
        <f t="shared" si="5"/>
        <v>25.847999999999999</v>
      </c>
      <c r="T37" s="66">
        <f t="shared" si="24"/>
        <v>-298.10400000000044</v>
      </c>
      <c r="U37" s="66">
        <f t="shared" si="6"/>
        <v>1526.7559999999994</v>
      </c>
      <c r="V37" s="81">
        <f t="shared" si="7"/>
        <v>0</v>
      </c>
      <c r="W37" s="66">
        <f t="shared" si="8"/>
        <v>0</v>
      </c>
      <c r="X37" s="66">
        <f t="shared" si="9"/>
        <v>1526.7559999999994</v>
      </c>
      <c r="Y37">
        <v>29</v>
      </c>
      <c r="Z37" s="58">
        <f t="shared" si="10"/>
        <v>520.24800000000027</v>
      </c>
      <c r="AA37" s="92">
        <f t="shared" si="11"/>
        <v>208.09920000000011</v>
      </c>
      <c r="AB37" s="92">
        <f t="shared" si="12"/>
        <v>348.99970000000013</v>
      </c>
      <c r="AC37" s="92">
        <f t="shared" si="13"/>
        <v>127.46076000000005</v>
      </c>
      <c r="AD37" s="92">
        <f t="shared" si="14"/>
        <v>193.40400041666672</v>
      </c>
      <c r="AE37" s="92">
        <f t="shared" si="15"/>
        <v>63.199293500000017</v>
      </c>
      <c r="AF37" s="92">
        <f t="shared" si="16"/>
        <v>84.614250182291684</v>
      </c>
      <c r="AG37" s="92">
        <f t="shared" si="17"/>
        <v>23.963065452083338</v>
      </c>
      <c r="AH37" s="92">
        <f t="shared" si="18"/>
        <v>27.14707193348525</v>
      </c>
      <c r="AI37" s="92">
        <f t="shared" si="19"/>
        <v>6.2903046811718761</v>
      </c>
      <c r="AJ37" s="92">
        <f t="shared" si="20"/>
        <v>5.5425271864199042</v>
      </c>
      <c r="AK37" s="92">
        <f t="shared" si="21"/>
        <v>0.91733609933756532</v>
      </c>
      <c r="AL37" s="92">
        <f t="shared" si="22"/>
        <v>0.48497112881174159</v>
      </c>
      <c r="AM37" s="92">
        <f t="shared" si="23"/>
        <v>2.6755636230678989E-2</v>
      </c>
    </row>
    <row r="38" spans="1:39" x14ac:dyDescent="0.25">
      <c r="A38">
        <f>+'Tablas Servicio'!B71</f>
        <v>3</v>
      </c>
      <c r="B38">
        <f>+'Tablas Servicio'!C71</f>
        <v>30</v>
      </c>
      <c r="C38" s="56">
        <f>+'Tablas Servicio'!D71</f>
        <v>42.520000000000074</v>
      </c>
      <c r="D38" s="58">
        <f>+'Tablas Servicio'!N71</f>
        <v>94</v>
      </c>
      <c r="E38" s="66">
        <f>+'Tablas Servicio'!AC71</f>
        <v>12.9</v>
      </c>
      <c r="F38" s="66">
        <f>+IF(A38="","",'Tablas Servicio'!O71-'Modelo Financiero'!E38)</f>
        <v>0.40000000000000036</v>
      </c>
      <c r="G38" s="58">
        <f t="shared" si="1"/>
        <v>9.0920000000000005</v>
      </c>
      <c r="H38" s="66">
        <f>+'Tablas Servicio'!G71</f>
        <v>27.14</v>
      </c>
      <c r="I38" s="72">
        <f t="shared" si="2"/>
        <v>0.5099484156226971</v>
      </c>
      <c r="J38" s="66">
        <f t="shared" si="3"/>
        <v>13.84</v>
      </c>
      <c r="K38" s="66">
        <f>+'Tablas Servicio'!H71</f>
        <v>28.22</v>
      </c>
      <c r="L38" s="66">
        <f>+IF(A38="","",ROUND(H38*Parámetros!$D$100,2))</f>
        <v>3.17</v>
      </c>
      <c r="M38" s="58">
        <f>+IF(A38="","",IF(AND(A38=1,B38=1),Parámetros!$D$114*(D38*frec-$G$3-$H$3),IF(AND(A38=2,B38=frec+1),Parámetros!$D$115*(D38*frec-$G$4-$H$4),0)))</f>
        <v>0</v>
      </c>
      <c r="N38" s="58">
        <f>+IF(A38="","",IF(A38&gt;Parámetros!$D$117,0,ROUND('Modelo Financiero'!D38*Parámetros!$D$116,2)))</f>
        <v>10.97</v>
      </c>
      <c r="O38" s="58">
        <f t="shared" si="4"/>
        <v>7.8000000000000007</v>
      </c>
      <c r="P38" s="66">
        <f>+'Tablas Servicio'!I71</f>
        <v>57.980000000000004</v>
      </c>
      <c r="Q38" s="66">
        <f>+'Tablas Servicio'!S71</f>
        <v>1888.18</v>
      </c>
      <c r="R38" s="66">
        <f>+'Tablas Servicio'!T71</f>
        <v>0</v>
      </c>
      <c r="S38" s="66">
        <f t="shared" si="5"/>
        <v>25.847999999999999</v>
      </c>
      <c r="T38" s="66">
        <f t="shared" si="24"/>
        <v>-272.25600000000043</v>
      </c>
      <c r="U38" s="66">
        <f t="shared" si="6"/>
        <v>1615.9239999999995</v>
      </c>
      <c r="V38" s="81">
        <f t="shared" si="7"/>
        <v>0</v>
      </c>
      <c r="W38" s="66">
        <f t="shared" si="8"/>
        <v>0</v>
      </c>
      <c r="X38" s="66">
        <f t="shared" si="9"/>
        <v>1615.9239999999995</v>
      </c>
      <c r="Y38">
        <v>30</v>
      </c>
      <c r="Z38" s="58">
        <f t="shared" si="10"/>
        <v>552.11999999999989</v>
      </c>
      <c r="AA38" s="92">
        <f t="shared" si="11"/>
        <v>220.84799999999996</v>
      </c>
      <c r="AB38" s="92">
        <f t="shared" si="12"/>
        <v>370.38049999999993</v>
      </c>
      <c r="AC38" s="92">
        <f t="shared" si="13"/>
        <v>135.26939999999996</v>
      </c>
      <c r="AD38" s="92">
        <f t="shared" si="14"/>
        <v>205.25252708333326</v>
      </c>
      <c r="AE38" s="92">
        <f t="shared" si="15"/>
        <v>67.071077499999987</v>
      </c>
      <c r="AF38" s="92">
        <f t="shared" si="16"/>
        <v>89.79798059895829</v>
      </c>
      <c r="AG38" s="92">
        <f t="shared" si="17"/>
        <v>25.43111688541666</v>
      </c>
      <c r="AH38" s="92">
        <f t="shared" si="18"/>
        <v>28.810185442165785</v>
      </c>
      <c r="AI38" s="92">
        <f t="shared" si="19"/>
        <v>6.6756681824218731</v>
      </c>
      <c r="AJ38" s="92">
        <f t="shared" si="20"/>
        <v>5.882079527775514</v>
      </c>
      <c r="AK38" s="92">
        <f t="shared" si="21"/>
        <v>0.97353494326985646</v>
      </c>
      <c r="AL38" s="92">
        <f t="shared" si="22"/>
        <v>0.51468195868035749</v>
      </c>
      <c r="AM38" s="92">
        <f t="shared" si="23"/>
        <v>2.8394769178704145E-2</v>
      </c>
    </row>
    <row r="39" spans="1:39" x14ac:dyDescent="0.25">
      <c r="A39">
        <f>+'Tablas Servicio'!B72</f>
        <v>3</v>
      </c>
      <c r="B39">
        <f>+'Tablas Servicio'!C72</f>
        <v>31</v>
      </c>
      <c r="C39" s="56">
        <f>+'Tablas Servicio'!D72</f>
        <v>42.60333333333341</v>
      </c>
      <c r="D39" s="58">
        <f>+'Tablas Servicio'!N72</f>
        <v>94</v>
      </c>
      <c r="E39" s="66">
        <f>+'Tablas Servicio'!AC72</f>
        <v>12.9</v>
      </c>
      <c r="F39" s="66">
        <f>+IF(A39="","",'Tablas Servicio'!O72-'Modelo Financiero'!E39)</f>
        <v>0.40000000000000036</v>
      </c>
      <c r="G39" s="58">
        <f t="shared" si="1"/>
        <v>9.0920000000000005</v>
      </c>
      <c r="H39" s="66">
        <f>+'Tablas Servicio'!G72</f>
        <v>27.14</v>
      </c>
      <c r="I39" s="72">
        <f t="shared" si="2"/>
        <v>0.5099484156226971</v>
      </c>
      <c r="J39" s="66">
        <f t="shared" si="3"/>
        <v>13.84</v>
      </c>
      <c r="K39" s="66">
        <f>+'Tablas Servicio'!H72</f>
        <v>28.22</v>
      </c>
      <c r="L39" s="66">
        <f>+IF(A39="","",ROUND(H39*Parámetros!$D$100,2))</f>
        <v>3.17</v>
      </c>
      <c r="M39" s="58">
        <f>+IF(A39="","",IF(AND(A39=1,B39=1),Parámetros!$D$114*(D39*frec-$G$3-$H$3),IF(AND(A39=2,B39=frec+1),Parámetros!$D$115*(D39*frec-$G$4-$H$4),0)))</f>
        <v>0</v>
      </c>
      <c r="N39" s="58">
        <f>+IF(A39="","",IF(A39&gt;Parámetros!$D$117,0,ROUND('Modelo Financiero'!D39*Parámetros!$D$116,2)))</f>
        <v>10.97</v>
      </c>
      <c r="O39" s="58">
        <f t="shared" si="4"/>
        <v>7.8000000000000007</v>
      </c>
      <c r="P39" s="66">
        <f>+'Tablas Servicio'!I72</f>
        <v>57.980000000000004</v>
      </c>
      <c r="Q39" s="66">
        <f>+'Tablas Servicio'!S72</f>
        <v>1951.68</v>
      </c>
      <c r="R39" s="66">
        <f>+'Tablas Servicio'!T72</f>
        <v>0</v>
      </c>
      <c r="S39" s="66">
        <f t="shared" si="5"/>
        <v>25.847999999999999</v>
      </c>
      <c r="T39" s="66">
        <f t="shared" si="24"/>
        <v>-246.40800000000041</v>
      </c>
      <c r="U39" s="66">
        <f t="shared" si="6"/>
        <v>1705.2719999999997</v>
      </c>
      <c r="V39" s="81">
        <f t="shared" si="7"/>
        <v>0</v>
      </c>
      <c r="W39" s="66">
        <f t="shared" si="8"/>
        <v>0</v>
      </c>
      <c r="X39" s="66">
        <f t="shared" si="9"/>
        <v>1705.2719999999997</v>
      </c>
      <c r="Y39">
        <v>31</v>
      </c>
      <c r="Z39" s="58">
        <f t="shared" si="10"/>
        <v>589.79999999999984</v>
      </c>
      <c r="AA39" s="92">
        <f t="shared" si="11"/>
        <v>235.91999999999996</v>
      </c>
      <c r="AB39" s="92">
        <f t="shared" si="12"/>
        <v>395.65749999999986</v>
      </c>
      <c r="AC39" s="92">
        <f t="shared" si="13"/>
        <v>144.50099999999995</v>
      </c>
      <c r="AD39" s="92">
        <f t="shared" si="14"/>
        <v>219.26019791666656</v>
      </c>
      <c r="AE39" s="92">
        <f t="shared" si="15"/>
        <v>71.648412499999964</v>
      </c>
      <c r="AF39" s="92">
        <f t="shared" si="16"/>
        <v>95.926336588541616</v>
      </c>
      <c r="AG39" s="92">
        <f t="shared" si="17"/>
        <v>27.166689739583319</v>
      </c>
      <c r="AH39" s="92">
        <f t="shared" si="18"/>
        <v>30.776366322157099</v>
      </c>
      <c r="AI39" s="92">
        <f t="shared" si="19"/>
        <v>7.1312560566406207</v>
      </c>
      <c r="AJ39" s="92">
        <f t="shared" si="20"/>
        <v>6.2835081241070752</v>
      </c>
      <c r="AK39" s="92">
        <f t="shared" si="21"/>
        <v>1.0399748415934238</v>
      </c>
      <c r="AL39" s="92">
        <f t="shared" si="22"/>
        <v>0.54980696085936909</v>
      </c>
      <c r="AM39" s="92">
        <f t="shared" si="23"/>
        <v>3.0332599546474857E-2</v>
      </c>
    </row>
    <row r="40" spans="1:39" x14ac:dyDescent="0.25">
      <c r="A40">
        <f>+'Tablas Servicio'!B73</f>
        <v>3</v>
      </c>
      <c r="B40">
        <f>+'Tablas Servicio'!C73</f>
        <v>32</v>
      </c>
      <c r="C40" s="56">
        <f>+'Tablas Servicio'!D73</f>
        <v>42.686666666666746</v>
      </c>
      <c r="D40" s="58">
        <f>+'Tablas Servicio'!N73</f>
        <v>94</v>
      </c>
      <c r="E40" s="66">
        <f>+'Tablas Servicio'!AC73</f>
        <v>12.9</v>
      </c>
      <c r="F40" s="66">
        <f>+IF(A40="","",'Tablas Servicio'!O73-'Modelo Financiero'!E40)</f>
        <v>0.40000000000000036</v>
      </c>
      <c r="G40" s="58">
        <f t="shared" si="1"/>
        <v>9.0920000000000005</v>
      </c>
      <c r="H40" s="66">
        <f>+'Tablas Servicio'!G73</f>
        <v>27.14</v>
      </c>
      <c r="I40" s="72">
        <f t="shared" si="2"/>
        <v>0.5099484156226971</v>
      </c>
      <c r="J40" s="66">
        <f t="shared" si="3"/>
        <v>13.84</v>
      </c>
      <c r="K40" s="66">
        <f>+'Tablas Servicio'!H73</f>
        <v>28.22</v>
      </c>
      <c r="L40" s="66">
        <f>+IF(A40="","",ROUND(H40*Parámetros!$D$100,2))</f>
        <v>3.17</v>
      </c>
      <c r="M40" s="58">
        <f>+IF(A40="","",IF(AND(A40=1,B40=1),Parámetros!$D$114*(D40*frec-$G$3-$H$3),IF(AND(A40=2,B40=frec+1),Parámetros!$D$115*(D40*frec-$G$4-$H$4),0)))</f>
        <v>0</v>
      </c>
      <c r="N40" s="58">
        <f>+IF(A40="","",IF(A40&gt;Parámetros!$D$117,0,ROUND('Modelo Financiero'!D40*Parámetros!$D$116,2)))</f>
        <v>10.97</v>
      </c>
      <c r="O40" s="58">
        <f t="shared" si="4"/>
        <v>7.8000000000000007</v>
      </c>
      <c r="P40" s="66">
        <f>+'Tablas Servicio'!I73</f>
        <v>57.980000000000004</v>
      </c>
      <c r="Q40" s="66">
        <f>+'Tablas Servicio'!S73</f>
        <v>2015.36</v>
      </c>
      <c r="R40" s="66">
        <f>+'Tablas Servicio'!T73</f>
        <v>0</v>
      </c>
      <c r="S40" s="66">
        <f t="shared" si="5"/>
        <v>25.847999999999999</v>
      </c>
      <c r="T40" s="66">
        <f t="shared" si="24"/>
        <v>-220.5600000000004</v>
      </c>
      <c r="U40" s="66">
        <f t="shared" si="6"/>
        <v>1794.7999999999995</v>
      </c>
      <c r="V40" s="81">
        <f t="shared" si="7"/>
        <v>0</v>
      </c>
      <c r="W40" s="66">
        <f t="shared" si="8"/>
        <v>0</v>
      </c>
      <c r="X40" s="66">
        <f t="shared" si="9"/>
        <v>1794.7999999999995</v>
      </c>
      <c r="Y40">
        <v>32</v>
      </c>
      <c r="Z40" s="58">
        <f t="shared" si="10"/>
        <v>633.57600000000048</v>
      </c>
      <c r="AA40" s="92">
        <f t="shared" si="11"/>
        <v>253.43040000000019</v>
      </c>
      <c r="AB40" s="92">
        <f t="shared" si="12"/>
        <v>425.02390000000031</v>
      </c>
      <c r="AC40" s="92">
        <f t="shared" si="13"/>
        <v>155.22612000000012</v>
      </c>
      <c r="AD40" s="92">
        <f t="shared" si="14"/>
        <v>235.53407791666686</v>
      </c>
      <c r="AE40" s="92">
        <f t="shared" si="15"/>
        <v>76.966284500000057</v>
      </c>
      <c r="AF40" s="92">
        <f t="shared" si="16"/>
        <v>103.04615908854174</v>
      </c>
      <c r="AG40" s="92">
        <f t="shared" si="17"/>
        <v>29.183049539583354</v>
      </c>
      <c r="AH40" s="92">
        <f t="shared" si="18"/>
        <v>33.060642707573813</v>
      </c>
      <c r="AI40" s="92">
        <f t="shared" si="19"/>
        <v>7.6605505041406303</v>
      </c>
      <c r="AJ40" s="92">
        <f t="shared" si="20"/>
        <v>6.7498812194629858</v>
      </c>
      <c r="AK40" s="92">
        <f t="shared" si="21"/>
        <v>1.1171636151871753</v>
      </c>
      <c r="AL40" s="92">
        <f t="shared" si="22"/>
        <v>0.59061460670301125</v>
      </c>
      <c r="AM40" s="92">
        <f t="shared" si="23"/>
        <v>3.2583938776292613E-2</v>
      </c>
    </row>
    <row r="41" spans="1:39" x14ac:dyDescent="0.25">
      <c r="A41">
        <f>+'Tablas Servicio'!B74</f>
        <v>3</v>
      </c>
      <c r="B41">
        <f>+'Tablas Servicio'!C74</f>
        <v>33</v>
      </c>
      <c r="C41" s="56">
        <f>+'Tablas Servicio'!D74</f>
        <v>42.770000000000081</v>
      </c>
      <c r="D41" s="58">
        <f>+'Tablas Servicio'!N74</f>
        <v>94</v>
      </c>
      <c r="E41" s="66">
        <f>+'Tablas Servicio'!AC74</f>
        <v>12.9</v>
      </c>
      <c r="F41" s="66">
        <f>+IF(A41="","",'Tablas Servicio'!O74-'Modelo Financiero'!E41)</f>
        <v>0.40000000000000036</v>
      </c>
      <c r="G41" s="58">
        <f t="shared" si="1"/>
        <v>9.0920000000000005</v>
      </c>
      <c r="H41" s="66">
        <f>+'Tablas Servicio'!G74</f>
        <v>27.14</v>
      </c>
      <c r="I41" s="72">
        <f t="shared" si="2"/>
        <v>0.5099484156226971</v>
      </c>
      <c r="J41" s="66">
        <f t="shared" si="3"/>
        <v>13.84</v>
      </c>
      <c r="K41" s="66">
        <f>+'Tablas Servicio'!H74</f>
        <v>28.22</v>
      </c>
      <c r="L41" s="66">
        <f>+IF(A41="","",ROUND(H41*Parámetros!$D$100,2))</f>
        <v>3.17</v>
      </c>
      <c r="M41" s="58">
        <f>+IF(A41="","",IF(AND(A41=1,B41=1),Parámetros!$D$114*(D41*frec-$G$3-$H$3),IF(AND(A41=2,B41=frec+1),Parámetros!$D$115*(D41*frec-$G$4-$H$4),0)))</f>
        <v>0</v>
      </c>
      <c r="N41" s="58">
        <f>+IF(A41="","",IF(A41&gt;Parámetros!$D$117,0,ROUND('Modelo Financiero'!D41*Parámetros!$D$116,2)))</f>
        <v>10.97</v>
      </c>
      <c r="O41" s="58">
        <f t="shared" si="4"/>
        <v>7.8000000000000007</v>
      </c>
      <c r="P41" s="66">
        <f>+'Tablas Servicio'!I74</f>
        <v>57.980000000000004</v>
      </c>
      <c r="Q41" s="66">
        <f>+'Tablas Servicio'!S74</f>
        <v>2079.2199999999998</v>
      </c>
      <c r="R41" s="66">
        <f>+'Tablas Servicio'!T74</f>
        <v>0</v>
      </c>
      <c r="S41" s="66">
        <f t="shared" si="5"/>
        <v>25.847999999999999</v>
      </c>
      <c r="T41" s="66">
        <f t="shared" si="24"/>
        <v>-194.71200000000039</v>
      </c>
      <c r="U41" s="66">
        <f t="shared" si="6"/>
        <v>1884.5079999999994</v>
      </c>
      <c r="V41" s="81">
        <f t="shared" si="7"/>
        <v>0</v>
      </c>
      <c r="W41" s="66">
        <f t="shared" si="8"/>
        <v>0</v>
      </c>
      <c r="X41" s="66">
        <f t="shared" si="9"/>
        <v>1884.5079999999994</v>
      </c>
      <c r="Y41">
        <v>33</v>
      </c>
      <c r="Z41" s="58">
        <f t="shared" si="10"/>
        <v>688.10399999999936</v>
      </c>
      <c r="AA41" s="92">
        <f t="shared" si="11"/>
        <v>275.24159999999978</v>
      </c>
      <c r="AB41" s="92">
        <f t="shared" si="12"/>
        <v>461.60309999999959</v>
      </c>
      <c r="AC41" s="92">
        <f t="shared" si="13"/>
        <v>168.58547999999985</v>
      </c>
      <c r="AD41" s="92">
        <f t="shared" si="14"/>
        <v>255.80505124999976</v>
      </c>
      <c r="AE41" s="92">
        <f t="shared" si="15"/>
        <v>83.590300499999913</v>
      </c>
      <c r="AF41" s="92">
        <f t="shared" si="16"/>
        <v>111.91470992187489</v>
      </c>
      <c r="AG41" s="92">
        <f t="shared" si="17"/>
        <v>31.694655606249967</v>
      </c>
      <c r="AH41" s="92">
        <f t="shared" si="18"/>
        <v>35.90596943326819</v>
      </c>
      <c r="AI41" s="92">
        <f t="shared" si="19"/>
        <v>8.3198470966406166</v>
      </c>
      <c r="AJ41" s="92">
        <f t="shared" si="20"/>
        <v>7.3308020926255892</v>
      </c>
      <c r="AK41" s="92">
        <f t="shared" si="21"/>
        <v>1.2133110349267566</v>
      </c>
      <c r="AL41" s="92">
        <f t="shared" si="22"/>
        <v>0.64144518310473897</v>
      </c>
      <c r="AM41" s="92">
        <f t="shared" si="23"/>
        <v>3.5388238518697067E-2</v>
      </c>
    </row>
    <row r="42" spans="1:39" x14ac:dyDescent="0.25">
      <c r="A42">
        <f>+'Tablas Servicio'!B75</f>
        <v>3</v>
      </c>
      <c r="B42">
        <f>+'Tablas Servicio'!C75</f>
        <v>34</v>
      </c>
      <c r="C42" s="56">
        <f>+'Tablas Servicio'!D75</f>
        <v>42.853333333333417</v>
      </c>
      <c r="D42" s="58">
        <f>+'Tablas Servicio'!N75</f>
        <v>94</v>
      </c>
      <c r="E42" s="66">
        <f>+'Tablas Servicio'!AC75</f>
        <v>12.9</v>
      </c>
      <c r="F42" s="66">
        <f>+IF(A42="","",'Tablas Servicio'!O75-'Modelo Financiero'!E42)</f>
        <v>0.40000000000000036</v>
      </c>
      <c r="G42" s="58">
        <f t="shared" si="1"/>
        <v>9.0920000000000005</v>
      </c>
      <c r="H42" s="66">
        <f>+'Tablas Servicio'!G75</f>
        <v>27.14</v>
      </c>
      <c r="I42" s="72">
        <f t="shared" si="2"/>
        <v>0.5099484156226971</v>
      </c>
      <c r="J42" s="66">
        <f t="shared" si="3"/>
        <v>13.84</v>
      </c>
      <c r="K42" s="66">
        <f>+'Tablas Servicio'!H75</f>
        <v>28.22</v>
      </c>
      <c r="L42" s="66">
        <f>+IF(A42="","",ROUND(H42*Parámetros!$D$100,2))</f>
        <v>3.17</v>
      </c>
      <c r="M42" s="58">
        <f>+IF(A42="","",IF(AND(A42=1,B42=1),Parámetros!$D$114*(D42*frec-$G$3-$H$3),IF(AND(A42=2,B42=frec+1),Parámetros!$D$115*(D42*frec-$G$4-$H$4),0)))</f>
        <v>0</v>
      </c>
      <c r="N42" s="58">
        <f>+IF(A42="","",IF(A42&gt;Parámetros!$D$117,0,ROUND('Modelo Financiero'!D42*Parámetros!$D$116,2)))</f>
        <v>10.97</v>
      </c>
      <c r="O42" s="58">
        <f t="shared" si="4"/>
        <v>7.8000000000000007</v>
      </c>
      <c r="P42" s="66">
        <f>+'Tablas Servicio'!I75</f>
        <v>57.980000000000004</v>
      </c>
      <c r="Q42" s="66">
        <f>+'Tablas Servicio'!S75</f>
        <v>2143.2600000000002</v>
      </c>
      <c r="R42" s="66">
        <f>+'Tablas Servicio'!T75</f>
        <v>0</v>
      </c>
      <c r="S42" s="66">
        <f t="shared" si="5"/>
        <v>25.847999999999999</v>
      </c>
      <c r="T42" s="66">
        <f t="shared" si="24"/>
        <v>-168.86400000000037</v>
      </c>
      <c r="U42" s="66">
        <f t="shared" si="6"/>
        <v>1974.3959999999997</v>
      </c>
      <c r="V42" s="81">
        <f t="shared" si="7"/>
        <v>0</v>
      </c>
      <c r="W42" s="66">
        <f t="shared" si="8"/>
        <v>0</v>
      </c>
      <c r="X42" s="66">
        <f t="shared" si="9"/>
        <v>1974.3959999999997</v>
      </c>
      <c r="Y42">
        <v>34</v>
      </c>
      <c r="Z42" s="58">
        <f t="shared" si="10"/>
        <v>754.53600000000051</v>
      </c>
      <c r="AA42" s="92">
        <f t="shared" si="11"/>
        <v>301.81440000000021</v>
      </c>
      <c r="AB42" s="92">
        <f t="shared" si="12"/>
        <v>506.16790000000037</v>
      </c>
      <c r="AC42" s="92">
        <f t="shared" si="13"/>
        <v>184.86132000000009</v>
      </c>
      <c r="AD42" s="92">
        <f t="shared" si="14"/>
        <v>280.50137791666685</v>
      </c>
      <c r="AE42" s="92">
        <f t="shared" si="15"/>
        <v>91.660404500000041</v>
      </c>
      <c r="AF42" s="92">
        <f t="shared" si="16"/>
        <v>122.71935283854175</v>
      </c>
      <c r="AG42" s="92">
        <f t="shared" si="17"/>
        <v>34.754570039583349</v>
      </c>
      <c r="AH42" s="92">
        <f t="shared" si="18"/>
        <v>39.37245903569881</v>
      </c>
      <c r="AI42" s="92">
        <f t="shared" si="19"/>
        <v>9.123074635390628</v>
      </c>
      <c r="AJ42" s="92">
        <f t="shared" si="20"/>
        <v>8.0385437197885068</v>
      </c>
      <c r="AK42" s="92">
        <f t="shared" si="21"/>
        <v>1.3304483843277997</v>
      </c>
      <c r="AL42" s="92">
        <f t="shared" si="22"/>
        <v>0.70337257548149434</v>
      </c>
      <c r="AM42" s="92">
        <f t="shared" si="23"/>
        <v>3.8804744542894155E-2</v>
      </c>
    </row>
    <row r="43" spans="1:39" x14ac:dyDescent="0.25">
      <c r="A43">
        <f>+'Tablas Servicio'!B76</f>
        <v>3</v>
      </c>
      <c r="B43">
        <f>+'Tablas Servicio'!C76</f>
        <v>35</v>
      </c>
      <c r="C43" s="56">
        <f>+'Tablas Servicio'!D76</f>
        <v>42.936666666666753</v>
      </c>
      <c r="D43" s="58">
        <f>+'Tablas Servicio'!N76</f>
        <v>94</v>
      </c>
      <c r="E43" s="66">
        <f>+'Tablas Servicio'!AC76</f>
        <v>12.9</v>
      </c>
      <c r="F43" s="66">
        <f>+IF(A43="","",'Tablas Servicio'!O76-'Modelo Financiero'!E43)</f>
        <v>0.40000000000000036</v>
      </c>
      <c r="G43" s="58">
        <f t="shared" si="1"/>
        <v>9.0920000000000005</v>
      </c>
      <c r="H43" s="66">
        <f>+'Tablas Servicio'!G76</f>
        <v>27.14</v>
      </c>
      <c r="I43" s="72">
        <f t="shared" si="2"/>
        <v>0.5099484156226971</v>
      </c>
      <c r="J43" s="66">
        <f t="shared" si="3"/>
        <v>13.84</v>
      </c>
      <c r="K43" s="66">
        <f>+'Tablas Servicio'!H76</f>
        <v>28.22</v>
      </c>
      <c r="L43" s="66">
        <f>+IF(A43="","",ROUND(H43*Parámetros!$D$100,2))</f>
        <v>3.17</v>
      </c>
      <c r="M43" s="58">
        <f>+IF(A43="","",IF(AND(A43=1,B43=1),Parámetros!$D$114*(D43*frec-$G$3-$H$3),IF(AND(A43=2,B43=frec+1),Parámetros!$D$115*(D43*frec-$G$4-$H$4),0)))</f>
        <v>0</v>
      </c>
      <c r="N43" s="58">
        <f>+IF(A43="","",IF(A43&gt;Parámetros!$D$117,0,ROUND('Modelo Financiero'!D43*Parámetros!$D$116,2)))</f>
        <v>10.97</v>
      </c>
      <c r="O43" s="58">
        <f t="shared" si="4"/>
        <v>7.8000000000000007</v>
      </c>
      <c r="P43" s="66">
        <f>+'Tablas Servicio'!I76</f>
        <v>57.980000000000004</v>
      </c>
      <c r="Q43" s="66">
        <f>+'Tablas Servicio'!S76</f>
        <v>2207.48</v>
      </c>
      <c r="R43" s="66">
        <f>+'Tablas Servicio'!T76</f>
        <v>0</v>
      </c>
      <c r="S43" s="66">
        <f t="shared" si="5"/>
        <v>25.847999999999999</v>
      </c>
      <c r="T43" s="66">
        <f t="shared" si="24"/>
        <v>-143.01600000000036</v>
      </c>
      <c r="U43" s="66">
        <f t="shared" si="6"/>
        <v>2064.4639999999995</v>
      </c>
      <c r="V43" s="81">
        <f t="shared" si="7"/>
        <v>0</v>
      </c>
      <c r="W43" s="66">
        <f t="shared" si="8"/>
        <v>0</v>
      </c>
      <c r="X43" s="66">
        <f t="shared" si="9"/>
        <v>2064.4639999999995</v>
      </c>
      <c r="Y43">
        <v>35</v>
      </c>
      <c r="Z43" s="58">
        <f t="shared" si="10"/>
        <v>832.48800000000006</v>
      </c>
      <c r="AA43" s="92">
        <f t="shared" si="11"/>
        <v>332.99520000000007</v>
      </c>
      <c r="AB43" s="92">
        <f t="shared" si="12"/>
        <v>558.46069999999997</v>
      </c>
      <c r="AC43" s="92">
        <f t="shared" si="13"/>
        <v>203.95956000000004</v>
      </c>
      <c r="AD43" s="92">
        <f t="shared" si="14"/>
        <v>309.48030458333329</v>
      </c>
      <c r="AE43" s="92">
        <f t="shared" si="15"/>
        <v>101.12994850000003</v>
      </c>
      <c r="AF43" s="92">
        <f t="shared" si="16"/>
        <v>135.39763325520832</v>
      </c>
      <c r="AG43" s="92">
        <f t="shared" si="17"/>
        <v>38.345105472916678</v>
      </c>
      <c r="AH43" s="92">
        <f t="shared" si="18"/>
        <v>43.440074002712663</v>
      </c>
      <c r="AI43" s="92">
        <f t="shared" si="19"/>
        <v>10.065590186640629</v>
      </c>
      <c r="AJ43" s="92">
        <f t="shared" si="20"/>
        <v>8.8690151088871669</v>
      </c>
      <c r="AK43" s="92">
        <f t="shared" si="21"/>
        <v>1.4678985688850916</v>
      </c>
      <c r="AL43" s="92">
        <f t="shared" si="22"/>
        <v>0.77603882202762708</v>
      </c>
      <c r="AM43" s="92">
        <f t="shared" si="23"/>
        <v>4.2813708259148507E-2</v>
      </c>
    </row>
    <row r="44" spans="1:39" x14ac:dyDescent="0.25">
      <c r="A44">
        <f>+'Tablas Servicio'!B77</f>
        <v>3</v>
      </c>
      <c r="B44">
        <f>+'Tablas Servicio'!C77</f>
        <v>36</v>
      </c>
      <c r="C44" s="56">
        <f>+'Tablas Servicio'!D77</f>
        <v>43.020000000000088</v>
      </c>
      <c r="D44" s="58">
        <f>+'Tablas Servicio'!N77</f>
        <v>94</v>
      </c>
      <c r="E44" s="66">
        <f>+'Tablas Servicio'!AC77</f>
        <v>12.9</v>
      </c>
      <c r="F44" s="66">
        <f>+IF(A44="","",'Tablas Servicio'!O77-'Modelo Financiero'!E44)</f>
        <v>0.40000000000000036</v>
      </c>
      <c r="G44" s="58">
        <f t="shared" si="1"/>
        <v>9.0920000000000005</v>
      </c>
      <c r="H44" s="66">
        <f>+'Tablas Servicio'!G77</f>
        <v>27.14</v>
      </c>
      <c r="I44" s="72">
        <f t="shared" si="2"/>
        <v>0.5099484156226971</v>
      </c>
      <c r="J44" s="66">
        <f t="shared" si="3"/>
        <v>13.84</v>
      </c>
      <c r="K44" s="66">
        <f>+'Tablas Servicio'!H77</f>
        <v>28.22</v>
      </c>
      <c r="L44" s="66">
        <f>+IF(A44="","",ROUND(H44*Parámetros!$D$100,2))</f>
        <v>3.17</v>
      </c>
      <c r="M44" s="58">
        <f>+IF(A44="","",IF(AND(A44=1,B44=1),Parámetros!$D$114*(D44*frec-$G$3-$H$3),IF(AND(A44=2,B44=frec+1),Parámetros!$D$115*(D44*frec-$G$4-$H$4),0)))</f>
        <v>0</v>
      </c>
      <c r="N44" s="58">
        <f>+IF(A44="","",IF(A44&gt;Parámetros!$D$117,0,ROUND('Modelo Financiero'!D44*Parámetros!$D$116,2)))</f>
        <v>10.97</v>
      </c>
      <c r="O44" s="58">
        <f t="shared" si="4"/>
        <v>7.8000000000000007</v>
      </c>
      <c r="P44" s="66">
        <f>+'Tablas Servicio'!I77</f>
        <v>57.980000000000004</v>
      </c>
      <c r="Q44" s="66">
        <f>+'Tablas Servicio'!S77</f>
        <v>2271.89</v>
      </c>
      <c r="R44" s="66">
        <f>+'Tablas Servicio'!T77</f>
        <v>0</v>
      </c>
      <c r="S44" s="66">
        <f t="shared" si="5"/>
        <v>25.847999999999999</v>
      </c>
      <c r="T44" s="66">
        <f t="shared" si="24"/>
        <v>-117.16800000000036</v>
      </c>
      <c r="U44" s="66">
        <f t="shared" si="6"/>
        <v>2154.7219999999993</v>
      </c>
      <c r="V44" s="81">
        <f t="shared" si="7"/>
        <v>0</v>
      </c>
      <c r="W44" s="66">
        <f t="shared" si="8"/>
        <v>0</v>
      </c>
      <c r="X44" s="66">
        <f t="shared" si="9"/>
        <v>2154.7219999999993</v>
      </c>
      <c r="Y44">
        <v>36</v>
      </c>
      <c r="Z44" s="58">
        <f t="shared" si="10"/>
        <v>0</v>
      </c>
      <c r="AA44" s="92">
        <f t="shared" si="11"/>
        <v>0</v>
      </c>
      <c r="AB44" s="92">
        <f t="shared" si="12"/>
        <v>0</v>
      </c>
      <c r="AC44" s="92">
        <f t="shared" si="13"/>
        <v>0</v>
      </c>
      <c r="AD44" s="92">
        <f t="shared" si="14"/>
        <v>0</v>
      </c>
      <c r="AE44" s="92">
        <f t="shared" si="15"/>
        <v>0</v>
      </c>
      <c r="AF44" s="92">
        <f t="shared" si="16"/>
        <v>0</v>
      </c>
      <c r="AG44" s="92">
        <f t="shared" si="17"/>
        <v>0</v>
      </c>
      <c r="AH44" s="92">
        <f t="shared" si="18"/>
        <v>0</v>
      </c>
      <c r="AI44" s="92">
        <f t="shared" si="19"/>
        <v>0</v>
      </c>
      <c r="AJ44" s="92">
        <f t="shared" si="20"/>
        <v>0</v>
      </c>
      <c r="AK44" s="92">
        <f t="shared" si="21"/>
        <v>0</v>
      </c>
      <c r="AL44" s="92">
        <f t="shared" si="22"/>
        <v>0</v>
      </c>
      <c r="AM44" s="92">
        <f t="shared" si="23"/>
        <v>0</v>
      </c>
    </row>
    <row r="45" spans="1:39" x14ac:dyDescent="0.25">
      <c r="A45">
        <f>+'Tablas Servicio'!B78</f>
        <v>4</v>
      </c>
      <c r="B45">
        <f>+'Tablas Servicio'!C78</f>
        <v>37</v>
      </c>
      <c r="C45" s="56">
        <f>+'Tablas Servicio'!D78</f>
        <v>43.103333333333424</v>
      </c>
      <c r="D45" s="58">
        <f>+'Tablas Servicio'!N78</f>
        <v>94</v>
      </c>
      <c r="E45" s="66">
        <f>+'Tablas Servicio'!AC78</f>
        <v>13.9</v>
      </c>
      <c r="F45" s="66">
        <f>+IF(A45="","",'Tablas Servicio'!O78-'Modelo Financiero'!E45)</f>
        <v>0.40000000000000036</v>
      </c>
      <c r="G45" s="58">
        <f t="shared" si="1"/>
        <v>9.772000000000002</v>
      </c>
      <c r="H45" s="66">
        <f>+'Tablas Servicio'!G78</f>
        <v>29.21</v>
      </c>
      <c r="I45" s="72">
        <f t="shared" si="2"/>
        <v>0.51044162957891137</v>
      </c>
      <c r="J45" s="66">
        <f t="shared" si="3"/>
        <v>14.91</v>
      </c>
      <c r="K45" s="66">
        <f>+'Tablas Servicio'!H78</f>
        <v>30.38</v>
      </c>
      <c r="L45" s="66">
        <f>+IF(A45="","",ROUND(H45*Parámetros!$D$100,2))</f>
        <v>3.41</v>
      </c>
      <c r="M45" s="58">
        <f>+IF(A45="","",IF(AND(A45=1,B45=1),Parámetros!$D$114*(D45*frec-$G$3-$H$3),IF(AND(A45=2,B45=frec+1),Parámetros!$D$115*(D45*frec-$G$4-$H$4),0)))</f>
        <v>0</v>
      </c>
      <c r="N45" s="58">
        <f>+IF(A45="","",IF(A45&gt;Parámetros!$D$117,0,ROUND('Modelo Financiero'!D45*Parámetros!$D$116,2)))</f>
        <v>10.97</v>
      </c>
      <c r="O45" s="58">
        <f t="shared" si="4"/>
        <v>7.5600000000000005</v>
      </c>
      <c r="P45" s="66">
        <f>+'Tablas Servicio'!I78</f>
        <v>56.06</v>
      </c>
      <c r="Q45" s="66">
        <f>+'Tablas Servicio'!S78</f>
        <v>2334.5500000000002</v>
      </c>
      <c r="R45" s="66">
        <f>+'Tablas Servicio'!T78</f>
        <v>466.91</v>
      </c>
      <c r="S45" s="66">
        <f t="shared" si="5"/>
        <v>26.997999999999998</v>
      </c>
      <c r="T45" s="66">
        <f t="shared" si="24"/>
        <v>-90.170000000000357</v>
      </c>
      <c r="U45" s="66">
        <f t="shared" si="6"/>
        <v>1777.4699999999998</v>
      </c>
      <c r="V45" s="81">
        <f t="shared" si="7"/>
        <v>0</v>
      </c>
      <c r="W45" s="66">
        <f t="shared" si="8"/>
        <v>0</v>
      </c>
      <c r="X45" s="66">
        <f t="shared" si="9"/>
        <v>1777.4699999999998</v>
      </c>
      <c r="Y45">
        <v>37</v>
      </c>
      <c r="Z45" s="58">
        <f t="shared" si="10"/>
        <v>0</v>
      </c>
      <c r="AA45" s="92">
        <f t="shared" si="11"/>
        <v>0</v>
      </c>
      <c r="AB45" s="92">
        <f t="shared" si="12"/>
        <v>0</v>
      </c>
      <c r="AC45" s="92">
        <f t="shared" si="13"/>
        <v>0</v>
      </c>
      <c r="AD45" s="92">
        <f t="shared" si="14"/>
        <v>0</v>
      </c>
      <c r="AE45" s="92">
        <f t="shared" si="15"/>
        <v>0</v>
      </c>
      <c r="AF45" s="92">
        <f t="shared" si="16"/>
        <v>0</v>
      </c>
      <c r="AG45" s="92">
        <f t="shared" si="17"/>
        <v>0</v>
      </c>
      <c r="AH45" s="92">
        <f t="shared" si="18"/>
        <v>0</v>
      </c>
      <c r="AI45" s="92">
        <f t="shared" si="19"/>
        <v>0</v>
      </c>
      <c r="AJ45" s="92">
        <f t="shared" si="20"/>
        <v>0</v>
      </c>
      <c r="AK45" s="92">
        <f t="shared" si="21"/>
        <v>0</v>
      </c>
      <c r="AL45" s="92">
        <f t="shared" si="22"/>
        <v>0</v>
      </c>
      <c r="AM45" s="92">
        <f t="shared" si="23"/>
        <v>0</v>
      </c>
    </row>
    <row r="46" spans="1:39" x14ac:dyDescent="0.25">
      <c r="A46">
        <f>+'Tablas Servicio'!B79</f>
        <v>4</v>
      </c>
      <c r="B46">
        <f>+'Tablas Servicio'!C79</f>
        <v>38</v>
      </c>
      <c r="C46" s="56">
        <f>+'Tablas Servicio'!D79</f>
        <v>43.18666666666676</v>
      </c>
      <c r="D46" s="58">
        <f>+'Tablas Servicio'!N79</f>
        <v>94</v>
      </c>
      <c r="E46" s="66">
        <f>+'Tablas Servicio'!AC79</f>
        <v>13.9</v>
      </c>
      <c r="F46" s="66">
        <f>+IF(A46="","",'Tablas Servicio'!O79-'Modelo Financiero'!E46)</f>
        <v>0.40000000000000036</v>
      </c>
      <c r="G46" s="58">
        <f t="shared" si="1"/>
        <v>9.772000000000002</v>
      </c>
      <c r="H46" s="66">
        <f>+'Tablas Servicio'!G79</f>
        <v>29.21</v>
      </c>
      <c r="I46" s="72">
        <f t="shared" si="2"/>
        <v>0.51044162957891137</v>
      </c>
      <c r="J46" s="66">
        <f t="shared" si="3"/>
        <v>14.91</v>
      </c>
      <c r="K46" s="66">
        <f>+'Tablas Servicio'!H79</f>
        <v>30.38</v>
      </c>
      <c r="L46" s="66">
        <f>+IF(A46="","",ROUND(H46*Parámetros!$D$100,2))</f>
        <v>3.41</v>
      </c>
      <c r="M46" s="58">
        <f>+IF(A46="","",IF(AND(A46=1,B46=1),Parámetros!$D$114*(D46*frec-$G$3-$H$3),IF(AND(A46=2,B46=frec+1),Parámetros!$D$115*(D46*frec-$G$4-$H$4),0)))</f>
        <v>0</v>
      </c>
      <c r="N46" s="58">
        <f>+IF(A46="","",IF(A46&gt;Parámetros!$D$117,0,ROUND('Modelo Financiero'!D46*Parámetros!$D$116,2)))</f>
        <v>10.97</v>
      </c>
      <c r="O46" s="58">
        <f t="shared" si="4"/>
        <v>7.5600000000000005</v>
      </c>
      <c r="P46" s="66">
        <f>+'Tablas Servicio'!I79</f>
        <v>56.06</v>
      </c>
      <c r="Q46" s="66">
        <f>+'Tablas Servicio'!S79</f>
        <v>2397.39</v>
      </c>
      <c r="R46" s="66">
        <f>+'Tablas Servicio'!T79</f>
        <v>479.48</v>
      </c>
      <c r="S46" s="66">
        <f t="shared" si="5"/>
        <v>26.997999999999998</v>
      </c>
      <c r="T46" s="66">
        <f t="shared" si="24"/>
        <v>-63.172000000000359</v>
      </c>
      <c r="U46" s="66">
        <f t="shared" si="6"/>
        <v>1854.7379999999996</v>
      </c>
      <c r="V46" s="81">
        <f t="shared" si="7"/>
        <v>0</v>
      </c>
      <c r="W46" s="66">
        <f t="shared" si="8"/>
        <v>0</v>
      </c>
      <c r="X46" s="66">
        <f t="shared" si="9"/>
        <v>1854.7379999999996</v>
      </c>
      <c r="Y46">
        <v>38</v>
      </c>
      <c r="Z46" s="58">
        <f t="shared" si="10"/>
        <v>0</v>
      </c>
      <c r="AA46" s="92">
        <f t="shared" si="11"/>
        <v>0</v>
      </c>
      <c r="AB46" s="92">
        <f t="shared" si="12"/>
        <v>0</v>
      </c>
      <c r="AC46" s="92">
        <f t="shared" si="13"/>
        <v>0</v>
      </c>
      <c r="AD46" s="92">
        <f t="shared" si="14"/>
        <v>0</v>
      </c>
      <c r="AE46" s="92">
        <f t="shared" si="15"/>
        <v>0</v>
      </c>
      <c r="AF46" s="92">
        <f t="shared" si="16"/>
        <v>0</v>
      </c>
      <c r="AG46" s="92">
        <f t="shared" si="17"/>
        <v>0</v>
      </c>
      <c r="AH46" s="92">
        <f t="shared" si="18"/>
        <v>0</v>
      </c>
      <c r="AI46" s="92">
        <f t="shared" si="19"/>
        <v>0</v>
      </c>
      <c r="AJ46" s="92">
        <f t="shared" si="20"/>
        <v>0</v>
      </c>
      <c r="AK46" s="92">
        <f t="shared" si="21"/>
        <v>0</v>
      </c>
      <c r="AL46" s="92">
        <f t="shared" si="22"/>
        <v>0</v>
      </c>
      <c r="AM46" s="92">
        <f t="shared" si="23"/>
        <v>0</v>
      </c>
    </row>
    <row r="47" spans="1:39" x14ac:dyDescent="0.25">
      <c r="A47">
        <f>+'Tablas Servicio'!B80</f>
        <v>4</v>
      </c>
      <c r="B47">
        <f>+'Tablas Servicio'!C80</f>
        <v>39</v>
      </c>
      <c r="C47" s="56">
        <f>+'Tablas Servicio'!D80</f>
        <v>43.270000000000095</v>
      </c>
      <c r="D47" s="58">
        <f>+'Tablas Servicio'!N80</f>
        <v>94</v>
      </c>
      <c r="E47" s="66">
        <f>+'Tablas Servicio'!AC80</f>
        <v>13.9</v>
      </c>
      <c r="F47" s="66">
        <f>+IF(A47="","",'Tablas Servicio'!O80-'Modelo Financiero'!E47)</f>
        <v>0.40000000000000036</v>
      </c>
      <c r="G47" s="58">
        <f t="shared" si="1"/>
        <v>9.772000000000002</v>
      </c>
      <c r="H47" s="66">
        <f>+'Tablas Servicio'!G80</f>
        <v>29.21</v>
      </c>
      <c r="I47" s="72">
        <f t="shared" si="2"/>
        <v>0.51044162957891137</v>
      </c>
      <c r="J47" s="66">
        <f t="shared" si="3"/>
        <v>14.91</v>
      </c>
      <c r="K47" s="66">
        <f>+'Tablas Servicio'!H80</f>
        <v>30.38</v>
      </c>
      <c r="L47" s="66">
        <f>+IF(A47="","",ROUND(H47*Parámetros!$D$100,2))</f>
        <v>3.41</v>
      </c>
      <c r="M47" s="58">
        <f>+IF(A47="","",IF(AND(A47=1,B47=1),Parámetros!$D$114*(D47*frec-$G$3-$H$3),IF(AND(A47=2,B47=frec+1),Parámetros!$D$115*(D47*frec-$G$4-$H$4),0)))</f>
        <v>0</v>
      </c>
      <c r="N47" s="58">
        <f>+IF(A47="","",IF(A47&gt;Parámetros!$D$117,0,ROUND('Modelo Financiero'!D47*Parámetros!$D$116,2)))</f>
        <v>10.97</v>
      </c>
      <c r="O47" s="58">
        <f t="shared" si="4"/>
        <v>7.5600000000000005</v>
      </c>
      <c r="P47" s="66">
        <f>+'Tablas Servicio'!I80</f>
        <v>56.06</v>
      </c>
      <c r="Q47" s="66">
        <f>+'Tablas Servicio'!S80</f>
        <v>2460.41</v>
      </c>
      <c r="R47" s="66">
        <f>+'Tablas Servicio'!T80</f>
        <v>492.08</v>
      </c>
      <c r="S47" s="66">
        <f t="shared" si="5"/>
        <v>26.997999999999998</v>
      </c>
      <c r="T47" s="66">
        <f t="shared" si="24"/>
        <v>-36.174000000000362</v>
      </c>
      <c r="U47" s="66">
        <f t="shared" si="6"/>
        <v>1932.1559999999995</v>
      </c>
      <c r="V47" s="81">
        <f t="shared" si="7"/>
        <v>0</v>
      </c>
      <c r="W47" s="66">
        <f t="shared" si="8"/>
        <v>0</v>
      </c>
      <c r="X47" s="66">
        <f t="shared" si="9"/>
        <v>1932.1559999999995</v>
      </c>
      <c r="Y47">
        <v>39</v>
      </c>
      <c r="Z47" s="58">
        <f t="shared" si="10"/>
        <v>0</v>
      </c>
      <c r="AA47" s="92">
        <f t="shared" si="11"/>
        <v>0</v>
      </c>
      <c r="AB47" s="92">
        <f t="shared" si="12"/>
        <v>0</v>
      </c>
      <c r="AC47" s="92">
        <f t="shared" si="13"/>
        <v>0</v>
      </c>
      <c r="AD47" s="92">
        <f t="shared" si="14"/>
        <v>0</v>
      </c>
      <c r="AE47" s="92">
        <f t="shared" si="15"/>
        <v>0</v>
      </c>
      <c r="AF47" s="92">
        <f t="shared" si="16"/>
        <v>0</v>
      </c>
      <c r="AG47" s="92">
        <f t="shared" si="17"/>
        <v>0</v>
      </c>
      <c r="AH47" s="92">
        <f t="shared" si="18"/>
        <v>0</v>
      </c>
      <c r="AI47" s="92">
        <f t="shared" si="19"/>
        <v>0</v>
      </c>
      <c r="AJ47" s="92">
        <f t="shared" si="20"/>
        <v>0</v>
      </c>
      <c r="AK47" s="92">
        <f t="shared" si="21"/>
        <v>0</v>
      </c>
      <c r="AL47" s="92">
        <f t="shared" si="22"/>
        <v>0</v>
      </c>
      <c r="AM47" s="92">
        <f t="shared" si="23"/>
        <v>0</v>
      </c>
    </row>
    <row r="48" spans="1:39" x14ac:dyDescent="0.25">
      <c r="A48">
        <f>+'Tablas Servicio'!B81</f>
        <v>4</v>
      </c>
      <c r="B48">
        <f>+'Tablas Servicio'!C81</f>
        <v>40</v>
      </c>
      <c r="C48" s="56">
        <f>+'Tablas Servicio'!D81</f>
        <v>43.353333333333431</v>
      </c>
      <c r="D48" s="58">
        <f>+'Tablas Servicio'!N81</f>
        <v>94</v>
      </c>
      <c r="E48" s="66">
        <f>+'Tablas Servicio'!AC81</f>
        <v>13.9</v>
      </c>
      <c r="F48" s="66">
        <f>+IF(A48="","",'Tablas Servicio'!O81-'Modelo Financiero'!E48)</f>
        <v>0.40000000000000036</v>
      </c>
      <c r="G48" s="58">
        <f t="shared" si="1"/>
        <v>9.772000000000002</v>
      </c>
      <c r="H48" s="66">
        <f>+'Tablas Servicio'!G81</f>
        <v>29.21</v>
      </c>
      <c r="I48" s="72">
        <f t="shared" si="2"/>
        <v>0.51044162957891137</v>
      </c>
      <c r="J48" s="66">
        <f t="shared" si="3"/>
        <v>14.91</v>
      </c>
      <c r="K48" s="66">
        <f>+'Tablas Servicio'!H81</f>
        <v>30.38</v>
      </c>
      <c r="L48" s="66">
        <f>+IF(A48="","",ROUND(H48*Parámetros!$D$100,2))</f>
        <v>3.41</v>
      </c>
      <c r="M48" s="58">
        <f>+IF(A48="","",IF(AND(A48=1,B48=1),Parámetros!$D$114*(D48*frec-$G$3-$H$3),IF(AND(A48=2,B48=frec+1),Parámetros!$D$115*(D48*frec-$G$4-$H$4),0)))</f>
        <v>0</v>
      </c>
      <c r="N48" s="58">
        <f>+IF(A48="","",IF(A48&gt;Parámetros!$D$117,0,ROUND('Modelo Financiero'!D48*Parámetros!$D$116,2)))</f>
        <v>10.97</v>
      </c>
      <c r="O48" s="58">
        <f t="shared" si="4"/>
        <v>7.5600000000000005</v>
      </c>
      <c r="P48" s="66">
        <f>+'Tablas Servicio'!I81</f>
        <v>56.06</v>
      </c>
      <c r="Q48" s="66">
        <f>+'Tablas Servicio'!S81</f>
        <v>2523.61</v>
      </c>
      <c r="R48" s="66">
        <f>+'Tablas Servicio'!T81</f>
        <v>504.72</v>
      </c>
      <c r="S48" s="66">
        <f t="shared" si="5"/>
        <v>26.997999999999998</v>
      </c>
      <c r="T48" s="66">
        <f t="shared" si="24"/>
        <v>-9.1760000000003643</v>
      </c>
      <c r="U48" s="66">
        <f t="shared" si="6"/>
        <v>2009.7139999999997</v>
      </c>
      <c r="V48" s="81">
        <f t="shared" si="7"/>
        <v>0</v>
      </c>
      <c r="W48" s="66">
        <f t="shared" si="8"/>
        <v>0</v>
      </c>
      <c r="X48" s="66">
        <f t="shared" si="9"/>
        <v>2009.7139999999997</v>
      </c>
      <c r="Y48">
        <v>40</v>
      </c>
      <c r="Z48" s="58">
        <f t="shared" si="10"/>
        <v>0</v>
      </c>
      <c r="AA48" s="92">
        <f t="shared" si="11"/>
        <v>0</v>
      </c>
      <c r="AB48" s="92">
        <f t="shared" si="12"/>
        <v>0</v>
      </c>
      <c r="AC48" s="92">
        <f t="shared" si="13"/>
        <v>0</v>
      </c>
      <c r="AD48" s="92">
        <f t="shared" si="14"/>
        <v>0</v>
      </c>
      <c r="AE48" s="92">
        <f t="shared" si="15"/>
        <v>0</v>
      </c>
      <c r="AF48" s="92">
        <f t="shared" si="16"/>
        <v>0</v>
      </c>
      <c r="AG48" s="92">
        <f t="shared" si="17"/>
        <v>0</v>
      </c>
      <c r="AH48" s="92">
        <f t="shared" si="18"/>
        <v>0</v>
      </c>
      <c r="AI48" s="92">
        <f t="shared" si="19"/>
        <v>0</v>
      </c>
      <c r="AJ48" s="92">
        <f t="shared" si="20"/>
        <v>0</v>
      </c>
      <c r="AK48" s="92">
        <f t="shared" si="21"/>
        <v>0</v>
      </c>
      <c r="AL48" s="92">
        <f t="shared" si="22"/>
        <v>0</v>
      </c>
      <c r="AM48" s="92">
        <f t="shared" si="23"/>
        <v>0</v>
      </c>
    </row>
    <row r="49" spans="1:39" x14ac:dyDescent="0.25">
      <c r="A49">
        <f>+'Tablas Servicio'!B82</f>
        <v>4</v>
      </c>
      <c r="B49">
        <f>+'Tablas Servicio'!C82</f>
        <v>41</v>
      </c>
      <c r="C49" s="56">
        <f>+'Tablas Servicio'!D82</f>
        <v>43.436666666666767</v>
      </c>
      <c r="D49" s="58">
        <f>+'Tablas Servicio'!N82</f>
        <v>94</v>
      </c>
      <c r="E49" s="66">
        <f>+'Tablas Servicio'!AC82</f>
        <v>13.9</v>
      </c>
      <c r="F49" s="66">
        <f>+IF(A49="","",'Tablas Servicio'!O82-'Modelo Financiero'!E49)</f>
        <v>0.40000000000000036</v>
      </c>
      <c r="G49" s="58">
        <f t="shared" si="1"/>
        <v>9.772000000000002</v>
      </c>
      <c r="H49" s="66">
        <f>+'Tablas Servicio'!G82</f>
        <v>29.21</v>
      </c>
      <c r="I49" s="72">
        <f t="shared" si="2"/>
        <v>0.51044162957891137</v>
      </c>
      <c r="J49" s="66">
        <f t="shared" si="3"/>
        <v>14.91</v>
      </c>
      <c r="K49" s="66">
        <f>+'Tablas Servicio'!H82</f>
        <v>30.38</v>
      </c>
      <c r="L49" s="66">
        <f>+IF(A49="","",ROUND(H49*Parámetros!$D$100,2))</f>
        <v>3.41</v>
      </c>
      <c r="M49" s="58">
        <f>+IF(A49="","",IF(AND(A49=1,B49=1),Parámetros!$D$114*(D49*frec-$G$3-$H$3),IF(AND(A49=2,B49=frec+1),Parámetros!$D$115*(D49*frec-$G$4-$H$4),0)))</f>
        <v>0</v>
      </c>
      <c r="N49" s="58">
        <f>+IF(A49="","",IF(A49&gt;Parámetros!$D$117,0,ROUND('Modelo Financiero'!D49*Parámetros!$D$116,2)))</f>
        <v>10.97</v>
      </c>
      <c r="O49" s="58">
        <f t="shared" si="4"/>
        <v>7.5600000000000005</v>
      </c>
      <c r="P49" s="66">
        <f>+'Tablas Servicio'!I82</f>
        <v>56.06</v>
      </c>
      <c r="Q49" s="66">
        <f>+'Tablas Servicio'!S82</f>
        <v>2586.9899999999998</v>
      </c>
      <c r="R49" s="66">
        <f>+'Tablas Servicio'!T82</f>
        <v>517.4</v>
      </c>
      <c r="S49" s="66">
        <f t="shared" si="5"/>
        <v>26.997999999999998</v>
      </c>
      <c r="T49" s="66">
        <f t="shared" si="24"/>
        <v>17.821999999999633</v>
      </c>
      <c r="U49" s="66">
        <f t="shared" si="6"/>
        <v>2087.4119999999994</v>
      </c>
      <c r="V49" s="81">
        <f t="shared" si="7"/>
        <v>0</v>
      </c>
      <c r="W49" s="66">
        <f t="shared" si="8"/>
        <v>0</v>
      </c>
      <c r="X49" s="66">
        <f t="shared" si="9"/>
        <v>2087.4119999999994</v>
      </c>
      <c r="Y49">
        <v>41</v>
      </c>
      <c r="Z49" s="58">
        <f t="shared" si="10"/>
        <v>0</v>
      </c>
      <c r="AA49" s="92">
        <f t="shared" si="11"/>
        <v>0</v>
      </c>
      <c r="AB49" s="92">
        <f t="shared" si="12"/>
        <v>0</v>
      </c>
      <c r="AC49" s="92">
        <f t="shared" si="13"/>
        <v>0</v>
      </c>
      <c r="AD49" s="92">
        <f t="shared" si="14"/>
        <v>0</v>
      </c>
      <c r="AE49" s="92">
        <f t="shared" si="15"/>
        <v>0</v>
      </c>
      <c r="AF49" s="92">
        <f t="shared" si="16"/>
        <v>0</v>
      </c>
      <c r="AG49" s="92">
        <f t="shared" si="17"/>
        <v>0</v>
      </c>
      <c r="AH49" s="92">
        <f t="shared" si="18"/>
        <v>0</v>
      </c>
      <c r="AI49" s="92">
        <f t="shared" si="19"/>
        <v>0</v>
      </c>
      <c r="AJ49" s="92">
        <f t="shared" si="20"/>
        <v>0</v>
      </c>
      <c r="AK49" s="92">
        <f t="shared" si="21"/>
        <v>0</v>
      </c>
      <c r="AL49" s="92">
        <f t="shared" si="22"/>
        <v>0</v>
      </c>
      <c r="AM49" s="92">
        <f t="shared" si="23"/>
        <v>0</v>
      </c>
    </row>
    <row r="50" spans="1:39" x14ac:dyDescent="0.25">
      <c r="A50">
        <f>+'Tablas Servicio'!B83</f>
        <v>4</v>
      </c>
      <c r="B50">
        <f>+'Tablas Servicio'!C83</f>
        <v>42</v>
      </c>
      <c r="C50" s="56">
        <f>+'Tablas Servicio'!D83</f>
        <v>43.520000000000103</v>
      </c>
      <c r="D50" s="58">
        <f>+'Tablas Servicio'!N83</f>
        <v>94</v>
      </c>
      <c r="E50" s="66">
        <f>+'Tablas Servicio'!AC83</f>
        <v>13.9</v>
      </c>
      <c r="F50" s="66">
        <f>+IF(A50="","",'Tablas Servicio'!O83-'Modelo Financiero'!E50)</f>
        <v>0.40000000000000036</v>
      </c>
      <c r="G50" s="58">
        <f t="shared" si="1"/>
        <v>9.772000000000002</v>
      </c>
      <c r="H50" s="66">
        <f>+'Tablas Servicio'!G83</f>
        <v>29.21</v>
      </c>
      <c r="I50" s="72">
        <f t="shared" si="2"/>
        <v>0.51044162957891137</v>
      </c>
      <c r="J50" s="66">
        <f t="shared" si="3"/>
        <v>14.91</v>
      </c>
      <c r="K50" s="66">
        <f>+'Tablas Servicio'!H83</f>
        <v>30.38</v>
      </c>
      <c r="L50" s="66">
        <f>+IF(A50="","",ROUND(H50*Parámetros!$D$100,2))</f>
        <v>3.41</v>
      </c>
      <c r="M50" s="58">
        <f>+IF(A50="","",IF(AND(A50=1,B50=1),Parámetros!$D$114*(D50*frec-$G$3-$H$3),IF(AND(A50=2,B50=frec+1),Parámetros!$D$115*(D50*frec-$G$4-$H$4),0)))</f>
        <v>0</v>
      </c>
      <c r="N50" s="58">
        <f>+IF(A50="","",IF(A50&gt;Parámetros!$D$117,0,ROUND('Modelo Financiero'!D50*Parámetros!$D$116,2)))</f>
        <v>10.97</v>
      </c>
      <c r="O50" s="58">
        <f t="shared" si="4"/>
        <v>7.5600000000000005</v>
      </c>
      <c r="P50" s="66">
        <f>+'Tablas Servicio'!I83</f>
        <v>56.06</v>
      </c>
      <c r="Q50" s="66">
        <f>+'Tablas Servicio'!S83</f>
        <v>2650.55</v>
      </c>
      <c r="R50" s="66">
        <f>+'Tablas Servicio'!T83</f>
        <v>530.11</v>
      </c>
      <c r="S50" s="66">
        <f t="shared" si="5"/>
        <v>26.997999999999998</v>
      </c>
      <c r="T50" s="66">
        <f t="shared" si="24"/>
        <v>44.819999999999631</v>
      </c>
      <c r="U50" s="66">
        <f t="shared" si="6"/>
        <v>2165.2599999999998</v>
      </c>
      <c r="V50" s="81">
        <f t="shared" si="7"/>
        <v>0</v>
      </c>
      <c r="W50" s="66">
        <f t="shared" si="8"/>
        <v>0</v>
      </c>
      <c r="X50" s="66">
        <f t="shared" si="9"/>
        <v>2165.2599999999998</v>
      </c>
      <c r="Y50">
        <v>42</v>
      </c>
      <c r="Z50" s="58">
        <f t="shared" si="10"/>
        <v>0</v>
      </c>
      <c r="AA50" s="92">
        <f t="shared" si="11"/>
        <v>0</v>
      </c>
      <c r="AB50" s="92">
        <f t="shared" si="12"/>
        <v>0</v>
      </c>
      <c r="AC50" s="92">
        <f t="shared" si="13"/>
        <v>0</v>
      </c>
      <c r="AD50" s="92">
        <f t="shared" si="14"/>
        <v>0</v>
      </c>
      <c r="AE50" s="92">
        <f t="shared" si="15"/>
        <v>0</v>
      </c>
      <c r="AF50" s="92">
        <f t="shared" si="16"/>
        <v>0</v>
      </c>
      <c r="AG50" s="92">
        <f t="shared" si="17"/>
        <v>0</v>
      </c>
      <c r="AH50" s="92">
        <f t="shared" si="18"/>
        <v>0</v>
      </c>
      <c r="AI50" s="92">
        <f t="shared" si="19"/>
        <v>0</v>
      </c>
      <c r="AJ50" s="92">
        <f t="shared" si="20"/>
        <v>0</v>
      </c>
      <c r="AK50" s="92">
        <f t="shared" si="21"/>
        <v>0</v>
      </c>
      <c r="AL50" s="92">
        <f t="shared" si="22"/>
        <v>0</v>
      </c>
      <c r="AM50" s="92">
        <f t="shared" si="23"/>
        <v>0</v>
      </c>
    </row>
    <row r="51" spans="1:39" x14ac:dyDescent="0.25">
      <c r="A51">
        <f>+'Tablas Servicio'!B84</f>
        <v>4</v>
      </c>
      <c r="B51">
        <f>+'Tablas Servicio'!C84</f>
        <v>43</v>
      </c>
      <c r="C51" s="56">
        <f>+'Tablas Servicio'!D84</f>
        <v>43.603333333333438</v>
      </c>
      <c r="D51" s="58">
        <f>+'Tablas Servicio'!N84</f>
        <v>94</v>
      </c>
      <c r="E51" s="66">
        <f>+'Tablas Servicio'!AC84</f>
        <v>13.9</v>
      </c>
      <c r="F51" s="66">
        <f>+IF(A51="","",'Tablas Servicio'!O84-'Modelo Financiero'!E51)</f>
        <v>0.40000000000000036</v>
      </c>
      <c r="G51" s="58">
        <f t="shared" si="1"/>
        <v>9.772000000000002</v>
      </c>
      <c r="H51" s="66">
        <f>+'Tablas Servicio'!G84</f>
        <v>29.21</v>
      </c>
      <c r="I51" s="72">
        <f t="shared" si="2"/>
        <v>0.51044162957891137</v>
      </c>
      <c r="J51" s="66">
        <f t="shared" si="3"/>
        <v>14.91</v>
      </c>
      <c r="K51" s="66">
        <f>+'Tablas Servicio'!H84</f>
        <v>30.38</v>
      </c>
      <c r="L51" s="66">
        <f>+IF(A51="","",ROUND(H51*Parámetros!$D$100,2))</f>
        <v>3.41</v>
      </c>
      <c r="M51" s="58">
        <f>+IF(A51="","",IF(AND(A51=1,B51=1),Parámetros!$D$114*(D51*frec-$G$3-$H$3),IF(AND(A51=2,B51=frec+1),Parámetros!$D$115*(D51*frec-$G$4-$H$4),0)))</f>
        <v>0</v>
      </c>
      <c r="N51" s="58">
        <f>+IF(A51="","",IF(A51&gt;Parámetros!$D$117,0,ROUND('Modelo Financiero'!D51*Parámetros!$D$116,2)))</f>
        <v>10.97</v>
      </c>
      <c r="O51" s="58">
        <f t="shared" si="4"/>
        <v>7.5600000000000005</v>
      </c>
      <c r="P51" s="66">
        <f>+'Tablas Servicio'!I84</f>
        <v>56.06</v>
      </c>
      <c r="Q51" s="66">
        <f>+'Tablas Servicio'!S84</f>
        <v>2714.29</v>
      </c>
      <c r="R51" s="66">
        <f>+'Tablas Servicio'!T84</f>
        <v>542.86</v>
      </c>
      <c r="S51" s="66">
        <f t="shared" si="5"/>
        <v>26.997999999999998</v>
      </c>
      <c r="T51" s="66">
        <f t="shared" si="24"/>
        <v>71.817999999999628</v>
      </c>
      <c r="U51" s="66">
        <f t="shared" si="6"/>
        <v>2243.2479999999996</v>
      </c>
      <c r="V51" s="81">
        <f t="shared" si="7"/>
        <v>0</v>
      </c>
      <c r="W51" s="66">
        <f t="shared" si="8"/>
        <v>0</v>
      </c>
      <c r="X51" s="66">
        <f t="shared" si="9"/>
        <v>2243.2479999999996</v>
      </c>
      <c r="Y51">
        <v>43</v>
      </c>
      <c r="Z51" s="58">
        <f t="shared" si="10"/>
        <v>0</v>
      </c>
      <c r="AA51" s="92">
        <f t="shared" si="11"/>
        <v>0</v>
      </c>
      <c r="AB51" s="92">
        <f t="shared" si="12"/>
        <v>0</v>
      </c>
      <c r="AC51" s="92">
        <f t="shared" si="13"/>
        <v>0</v>
      </c>
      <c r="AD51" s="92">
        <f t="shared" si="14"/>
        <v>0</v>
      </c>
      <c r="AE51" s="92">
        <f t="shared" si="15"/>
        <v>0</v>
      </c>
      <c r="AF51" s="92">
        <f t="shared" si="16"/>
        <v>0</v>
      </c>
      <c r="AG51" s="92">
        <f t="shared" si="17"/>
        <v>0</v>
      </c>
      <c r="AH51" s="92">
        <f t="shared" si="18"/>
        <v>0</v>
      </c>
      <c r="AI51" s="92">
        <f t="shared" si="19"/>
        <v>0</v>
      </c>
      <c r="AJ51" s="92">
        <f t="shared" si="20"/>
        <v>0</v>
      </c>
      <c r="AK51" s="92">
        <f t="shared" si="21"/>
        <v>0</v>
      </c>
      <c r="AL51" s="92">
        <f t="shared" si="22"/>
        <v>0</v>
      </c>
      <c r="AM51" s="92">
        <f t="shared" si="23"/>
        <v>0</v>
      </c>
    </row>
    <row r="52" spans="1:39" x14ac:dyDescent="0.25">
      <c r="A52">
        <f>+'Tablas Servicio'!B85</f>
        <v>4</v>
      </c>
      <c r="B52">
        <f>+'Tablas Servicio'!C85</f>
        <v>44</v>
      </c>
      <c r="C52" s="56">
        <f>+'Tablas Servicio'!D85</f>
        <v>43.686666666666774</v>
      </c>
      <c r="D52" s="58">
        <f>+'Tablas Servicio'!N85</f>
        <v>94</v>
      </c>
      <c r="E52" s="66">
        <f>+'Tablas Servicio'!AC85</f>
        <v>13.9</v>
      </c>
      <c r="F52" s="66">
        <f>+IF(A52="","",'Tablas Servicio'!O85-'Modelo Financiero'!E52)</f>
        <v>0.40000000000000036</v>
      </c>
      <c r="G52" s="58">
        <f t="shared" si="1"/>
        <v>9.772000000000002</v>
      </c>
      <c r="H52" s="66">
        <f>+'Tablas Servicio'!G85</f>
        <v>29.21</v>
      </c>
      <c r="I52" s="72">
        <f t="shared" si="2"/>
        <v>0.51044162957891137</v>
      </c>
      <c r="J52" s="66">
        <f t="shared" si="3"/>
        <v>14.91</v>
      </c>
      <c r="K52" s="66">
        <f>+'Tablas Servicio'!H85</f>
        <v>30.38</v>
      </c>
      <c r="L52" s="66">
        <f>+IF(A52="","",ROUND(H52*Parámetros!$D$100,2))</f>
        <v>3.41</v>
      </c>
      <c r="M52" s="58">
        <f>+IF(A52="","",IF(AND(A52=1,B52=1),Parámetros!$D$114*(D52*frec-$G$3-$H$3),IF(AND(A52=2,B52=frec+1),Parámetros!$D$115*(D52*frec-$G$4-$H$4),0)))</f>
        <v>0</v>
      </c>
      <c r="N52" s="58">
        <f>+IF(A52="","",IF(A52&gt;Parámetros!$D$117,0,ROUND('Modelo Financiero'!D52*Parámetros!$D$116,2)))</f>
        <v>10.97</v>
      </c>
      <c r="O52" s="58">
        <f t="shared" si="4"/>
        <v>7.5600000000000005</v>
      </c>
      <c r="P52" s="66">
        <f>+'Tablas Servicio'!I85</f>
        <v>56.06</v>
      </c>
      <c r="Q52" s="66">
        <f>+'Tablas Servicio'!S85</f>
        <v>2778.21</v>
      </c>
      <c r="R52" s="66">
        <f>+'Tablas Servicio'!T85</f>
        <v>555.64</v>
      </c>
      <c r="S52" s="66">
        <f t="shared" si="5"/>
        <v>26.997999999999998</v>
      </c>
      <c r="T52" s="66">
        <f t="shared" si="24"/>
        <v>98.815999999999633</v>
      </c>
      <c r="U52" s="66">
        <f t="shared" si="6"/>
        <v>2321.386</v>
      </c>
      <c r="V52" s="81">
        <f t="shared" si="7"/>
        <v>0</v>
      </c>
      <c r="W52" s="66">
        <f t="shared" si="8"/>
        <v>0</v>
      </c>
      <c r="X52" s="66">
        <f t="shared" si="9"/>
        <v>2321.386</v>
      </c>
      <c r="Y52">
        <v>44</v>
      </c>
      <c r="Z52" s="58">
        <f t="shared" si="10"/>
        <v>0</v>
      </c>
      <c r="AA52" s="92">
        <f t="shared" si="11"/>
        <v>0</v>
      </c>
      <c r="AB52" s="92">
        <f t="shared" si="12"/>
        <v>0</v>
      </c>
      <c r="AC52" s="92">
        <f t="shared" si="13"/>
        <v>0</v>
      </c>
      <c r="AD52" s="92">
        <f t="shared" si="14"/>
        <v>0</v>
      </c>
      <c r="AE52" s="92">
        <f t="shared" si="15"/>
        <v>0</v>
      </c>
      <c r="AF52" s="92">
        <f t="shared" si="16"/>
        <v>0</v>
      </c>
      <c r="AG52" s="92">
        <f t="shared" si="17"/>
        <v>0</v>
      </c>
      <c r="AH52" s="92">
        <f t="shared" si="18"/>
        <v>0</v>
      </c>
      <c r="AI52" s="92">
        <f t="shared" si="19"/>
        <v>0</v>
      </c>
      <c r="AJ52" s="92">
        <f t="shared" si="20"/>
        <v>0</v>
      </c>
      <c r="AK52" s="92">
        <f t="shared" si="21"/>
        <v>0</v>
      </c>
      <c r="AL52" s="92">
        <f t="shared" si="22"/>
        <v>0</v>
      </c>
      <c r="AM52" s="92">
        <f t="shared" si="23"/>
        <v>0</v>
      </c>
    </row>
    <row r="53" spans="1:39" x14ac:dyDescent="0.25">
      <c r="A53">
        <f>+'Tablas Servicio'!B86</f>
        <v>4</v>
      </c>
      <c r="B53">
        <f>+'Tablas Servicio'!C86</f>
        <v>45</v>
      </c>
      <c r="C53" s="56">
        <f>+'Tablas Servicio'!D86</f>
        <v>43.77000000000011</v>
      </c>
      <c r="D53" s="58">
        <f>+'Tablas Servicio'!N86</f>
        <v>94</v>
      </c>
      <c r="E53" s="66">
        <f>+'Tablas Servicio'!AC86</f>
        <v>13.9</v>
      </c>
      <c r="F53" s="66">
        <f>+IF(A53="","",'Tablas Servicio'!O86-'Modelo Financiero'!E53)</f>
        <v>0.40000000000000036</v>
      </c>
      <c r="G53" s="58">
        <f t="shared" si="1"/>
        <v>9.772000000000002</v>
      </c>
      <c r="H53" s="66">
        <f>+'Tablas Servicio'!G86</f>
        <v>29.21</v>
      </c>
      <c r="I53" s="72">
        <f t="shared" si="2"/>
        <v>0.51044162957891137</v>
      </c>
      <c r="J53" s="66">
        <f t="shared" si="3"/>
        <v>14.91</v>
      </c>
      <c r="K53" s="66">
        <f>+'Tablas Servicio'!H86</f>
        <v>30.38</v>
      </c>
      <c r="L53" s="66">
        <f>+IF(A53="","",ROUND(H53*Parámetros!$D$100,2))</f>
        <v>3.41</v>
      </c>
      <c r="M53" s="58">
        <f>+IF(A53="","",IF(AND(A53=1,B53=1),Parámetros!$D$114*(D53*frec-$G$3-$H$3),IF(AND(A53=2,B53=frec+1),Parámetros!$D$115*(D53*frec-$G$4-$H$4),0)))</f>
        <v>0</v>
      </c>
      <c r="N53" s="58">
        <f>+IF(A53="","",IF(A53&gt;Parámetros!$D$117,0,ROUND('Modelo Financiero'!D53*Parámetros!$D$116,2)))</f>
        <v>10.97</v>
      </c>
      <c r="O53" s="58">
        <f t="shared" si="4"/>
        <v>7.5600000000000005</v>
      </c>
      <c r="P53" s="66">
        <f>+'Tablas Servicio'!I86</f>
        <v>56.06</v>
      </c>
      <c r="Q53" s="66">
        <f>+'Tablas Servicio'!S86</f>
        <v>2842.31</v>
      </c>
      <c r="R53" s="66">
        <f>+'Tablas Servicio'!T86</f>
        <v>568.46</v>
      </c>
      <c r="S53" s="66">
        <f t="shared" si="5"/>
        <v>26.997999999999998</v>
      </c>
      <c r="T53" s="66">
        <f t="shared" si="24"/>
        <v>125.81399999999962</v>
      </c>
      <c r="U53" s="66">
        <f t="shared" si="6"/>
        <v>2399.6639999999998</v>
      </c>
      <c r="V53" s="81">
        <f t="shared" si="7"/>
        <v>0</v>
      </c>
      <c r="W53" s="66">
        <f t="shared" si="8"/>
        <v>0</v>
      </c>
      <c r="X53" s="66">
        <f t="shared" si="9"/>
        <v>2399.6639999999998</v>
      </c>
      <c r="Y53">
        <v>45</v>
      </c>
      <c r="Z53" s="58">
        <f t="shared" si="10"/>
        <v>0</v>
      </c>
      <c r="AA53" s="92">
        <f t="shared" si="11"/>
        <v>0</v>
      </c>
      <c r="AB53" s="92">
        <f t="shared" si="12"/>
        <v>0</v>
      </c>
      <c r="AC53" s="92">
        <f t="shared" si="13"/>
        <v>0</v>
      </c>
      <c r="AD53" s="92">
        <f t="shared" si="14"/>
        <v>0</v>
      </c>
      <c r="AE53" s="92">
        <f t="shared" si="15"/>
        <v>0</v>
      </c>
      <c r="AF53" s="92">
        <f t="shared" si="16"/>
        <v>0</v>
      </c>
      <c r="AG53" s="92">
        <f t="shared" si="17"/>
        <v>0</v>
      </c>
      <c r="AH53" s="92">
        <f t="shared" si="18"/>
        <v>0</v>
      </c>
      <c r="AI53" s="92">
        <f t="shared" si="19"/>
        <v>0</v>
      </c>
      <c r="AJ53" s="92">
        <f t="shared" si="20"/>
        <v>0</v>
      </c>
      <c r="AK53" s="92">
        <f t="shared" si="21"/>
        <v>0</v>
      </c>
      <c r="AL53" s="92">
        <f t="shared" si="22"/>
        <v>0</v>
      </c>
      <c r="AM53" s="92">
        <f t="shared" si="23"/>
        <v>0</v>
      </c>
    </row>
    <row r="54" spans="1:39" x14ac:dyDescent="0.25">
      <c r="A54">
        <f>+'Tablas Servicio'!B87</f>
        <v>4</v>
      </c>
      <c r="B54">
        <f>+'Tablas Servicio'!C87</f>
        <v>46</v>
      </c>
      <c r="C54" s="56">
        <f>+'Tablas Servicio'!D87</f>
        <v>43.853333333333445</v>
      </c>
      <c r="D54" s="58">
        <f>+'Tablas Servicio'!N87</f>
        <v>94</v>
      </c>
      <c r="E54" s="66">
        <f>+'Tablas Servicio'!AC87</f>
        <v>13.9</v>
      </c>
      <c r="F54" s="66">
        <f>+IF(A54="","",'Tablas Servicio'!O87-'Modelo Financiero'!E54)</f>
        <v>0.40000000000000036</v>
      </c>
      <c r="G54" s="58">
        <f t="shared" si="1"/>
        <v>9.772000000000002</v>
      </c>
      <c r="H54" s="66">
        <f>+'Tablas Servicio'!G87</f>
        <v>29.21</v>
      </c>
      <c r="I54" s="72">
        <f t="shared" si="2"/>
        <v>0.51044162957891137</v>
      </c>
      <c r="J54" s="66">
        <f t="shared" si="3"/>
        <v>14.91</v>
      </c>
      <c r="K54" s="66">
        <f>+'Tablas Servicio'!H87</f>
        <v>30.38</v>
      </c>
      <c r="L54" s="66">
        <f>+IF(A54="","",ROUND(H54*Parámetros!$D$100,2))</f>
        <v>3.41</v>
      </c>
      <c r="M54" s="58">
        <f>+IF(A54="","",IF(AND(A54=1,B54=1),Parámetros!$D$114*(D54*frec-$G$3-$H$3),IF(AND(A54=2,B54=frec+1),Parámetros!$D$115*(D54*frec-$G$4-$H$4),0)))</f>
        <v>0</v>
      </c>
      <c r="N54" s="58">
        <f>+IF(A54="","",IF(A54&gt;Parámetros!$D$117,0,ROUND('Modelo Financiero'!D54*Parámetros!$D$116,2)))</f>
        <v>10.97</v>
      </c>
      <c r="O54" s="58">
        <f t="shared" si="4"/>
        <v>7.5600000000000005</v>
      </c>
      <c r="P54" s="66">
        <f>+'Tablas Servicio'!I87</f>
        <v>56.06</v>
      </c>
      <c r="Q54" s="66">
        <f>+'Tablas Servicio'!S87</f>
        <v>2906.59</v>
      </c>
      <c r="R54" s="66">
        <f>+'Tablas Servicio'!T87</f>
        <v>581.32000000000005</v>
      </c>
      <c r="S54" s="66">
        <f t="shared" si="5"/>
        <v>26.997999999999998</v>
      </c>
      <c r="T54" s="66">
        <f t="shared" si="24"/>
        <v>152.81199999999961</v>
      </c>
      <c r="U54" s="66">
        <f t="shared" si="6"/>
        <v>2478.0819999999994</v>
      </c>
      <c r="V54" s="81">
        <f t="shared" si="7"/>
        <v>0</v>
      </c>
      <c r="W54" s="66">
        <f t="shared" si="8"/>
        <v>0</v>
      </c>
      <c r="X54" s="66">
        <f t="shared" si="9"/>
        <v>2478.0819999999994</v>
      </c>
    </row>
    <row r="55" spans="1:39" x14ac:dyDescent="0.25">
      <c r="A55">
        <f>+'Tablas Servicio'!B88</f>
        <v>4</v>
      </c>
      <c r="B55">
        <f>+'Tablas Servicio'!C88</f>
        <v>47</v>
      </c>
      <c r="C55" s="56">
        <f>+'Tablas Servicio'!D88</f>
        <v>43.936666666666781</v>
      </c>
      <c r="D55" s="58">
        <f>+'Tablas Servicio'!N88</f>
        <v>94</v>
      </c>
      <c r="E55" s="66">
        <f>+'Tablas Servicio'!AC88</f>
        <v>13.9</v>
      </c>
      <c r="F55" s="66">
        <f>+IF(A55="","",'Tablas Servicio'!O88-'Modelo Financiero'!E55)</f>
        <v>0.40000000000000036</v>
      </c>
      <c r="G55" s="58">
        <f t="shared" si="1"/>
        <v>9.772000000000002</v>
      </c>
      <c r="H55" s="66">
        <f>+'Tablas Servicio'!G88</f>
        <v>29.21</v>
      </c>
      <c r="I55" s="72">
        <f t="shared" si="2"/>
        <v>0.51044162957891137</v>
      </c>
      <c r="J55" s="66">
        <f t="shared" si="3"/>
        <v>14.91</v>
      </c>
      <c r="K55" s="66">
        <f>+'Tablas Servicio'!H88</f>
        <v>30.38</v>
      </c>
      <c r="L55" s="66">
        <f>+IF(A55="","",ROUND(H55*Parámetros!$D$100,2))</f>
        <v>3.41</v>
      </c>
      <c r="M55" s="58">
        <f>+IF(A55="","",IF(AND(A55=1,B55=1),Parámetros!$D$114*(D55*frec-$G$3-$H$3),IF(AND(A55=2,B55=frec+1),Parámetros!$D$115*(D55*frec-$G$4-$H$4),0)))</f>
        <v>0</v>
      </c>
      <c r="N55" s="58">
        <f>+IF(A55="","",IF(A55&gt;Parámetros!$D$117,0,ROUND('Modelo Financiero'!D55*Parámetros!$D$116,2)))</f>
        <v>10.97</v>
      </c>
      <c r="O55" s="58">
        <f t="shared" si="4"/>
        <v>7.5600000000000005</v>
      </c>
      <c r="P55" s="66">
        <f>+'Tablas Servicio'!I88</f>
        <v>56.06</v>
      </c>
      <c r="Q55" s="66">
        <f>+'Tablas Servicio'!S88</f>
        <v>2971.05</v>
      </c>
      <c r="R55" s="66">
        <f>+'Tablas Servicio'!T88</f>
        <v>594.21</v>
      </c>
      <c r="S55" s="66">
        <f t="shared" si="5"/>
        <v>26.997999999999998</v>
      </c>
      <c r="T55" s="66">
        <f t="shared" si="24"/>
        <v>179.8099999999996</v>
      </c>
      <c r="U55" s="66">
        <f t="shared" si="6"/>
        <v>2556.6499999999996</v>
      </c>
      <c r="V55" s="81">
        <f t="shared" si="7"/>
        <v>0</v>
      </c>
      <c r="W55" s="66">
        <f t="shared" si="8"/>
        <v>0</v>
      </c>
      <c r="X55" s="66">
        <f t="shared" si="9"/>
        <v>2556.6499999999996</v>
      </c>
    </row>
    <row r="56" spans="1:39" x14ac:dyDescent="0.25">
      <c r="A56">
        <f>+'Tablas Servicio'!B89</f>
        <v>4</v>
      </c>
      <c r="B56">
        <f>+'Tablas Servicio'!C89</f>
        <v>48</v>
      </c>
      <c r="C56" s="56">
        <f>+'Tablas Servicio'!D89</f>
        <v>44.020000000000117</v>
      </c>
      <c r="D56" s="58">
        <f>+'Tablas Servicio'!N89</f>
        <v>94</v>
      </c>
      <c r="E56" s="66">
        <f>+'Tablas Servicio'!AC89</f>
        <v>13.9</v>
      </c>
      <c r="F56" s="66">
        <f>+IF(A56="","",'Tablas Servicio'!O89-'Modelo Financiero'!E56)</f>
        <v>0.40000000000000036</v>
      </c>
      <c r="G56" s="58">
        <f t="shared" si="1"/>
        <v>9.772000000000002</v>
      </c>
      <c r="H56" s="66">
        <f>+'Tablas Servicio'!G89</f>
        <v>29.21</v>
      </c>
      <c r="I56" s="72">
        <f t="shared" si="2"/>
        <v>0.51044162957891137</v>
      </c>
      <c r="J56" s="66">
        <f t="shared" si="3"/>
        <v>14.91</v>
      </c>
      <c r="K56" s="66">
        <f>+'Tablas Servicio'!H89</f>
        <v>30.38</v>
      </c>
      <c r="L56" s="66">
        <f>+IF(A56="","",ROUND(H56*Parámetros!$D$100,2))</f>
        <v>3.41</v>
      </c>
      <c r="M56" s="58">
        <f>+IF(A56="","",IF(AND(A56=1,B56=1),Parámetros!$D$114*(D56*frec-$G$3-$H$3),IF(AND(A56=2,B56=frec+1),Parámetros!$D$115*(D56*frec-$G$4-$H$4),0)))</f>
        <v>0</v>
      </c>
      <c r="N56" s="58">
        <f>+IF(A56="","",IF(A56&gt;Parámetros!$D$117,0,ROUND('Modelo Financiero'!D56*Parámetros!$D$116,2)))</f>
        <v>10.97</v>
      </c>
      <c r="O56" s="58">
        <f t="shared" si="4"/>
        <v>7.5600000000000005</v>
      </c>
      <c r="P56" s="66">
        <f>+'Tablas Servicio'!I89</f>
        <v>56.06</v>
      </c>
      <c r="Q56" s="66">
        <f>+'Tablas Servicio'!S89</f>
        <v>3035.7</v>
      </c>
      <c r="R56" s="66">
        <f>+'Tablas Servicio'!T89</f>
        <v>607.14</v>
      </c>
      <c r="S56" s="66">
        <f t="shared" si="5"/>
        <v>26.997999999999998</v>
      </c>
      <c r="T56" s="66">
        <f t="shared" si="24"/>
        <v>206.80799999999959</v>
      </c>
      <c r="U56" s="66">
        <f t="shared" si="6"/>
        <v>2635.3679999999995</v>
      </c>
      <c r="V56" s="81">
        <f t="shared" si="7"/>
        <v>0</v>
      </c>
      <c r="W56" s="66">
        <f t="shared" si="8"/>
        <v>0</v>
      </c>
      <c r="X56" s="66">
        <f t="shared" si="9"/>
        <v>2635.3679999999995</v>
      </c>
    </row>
    <row r="57" spans="1:39" x14ac:dyDescent="0.25">
      <c r="A57">
        <f>+'Tablas Servicio'!B90</f>
        <v>5</v>
      </c>
      <c r="B57">
        <f>+'Tablas Servicio'!C90</f>
        <v>49</v>
      </c>
      <c r="C57" s="56">
        <f>+'Tablas Servicio'!D90</f>
        <v>44.103333333333453</v>
      </c>
      <c r="D57" s="58">
        <f>+'Tablas Servicio'!N90</f>
        <v>94</v>
      </c>
      <c r="E57" s="66">
        <f>+'Tablas Servicio'!AC90</f>
        <v>14.8</v>
      </c>
      <c r="F57" s="66">
        <f>+IF(A57="","",'Tablas Servicio'!O90-'Modelo Financiero'!E57)</f>
        <v>0.40000000000000036</v>
      </c>
      <c r="G57" s="58">
        <f t="shared" si="1"/>
        <v>10.384000000000002</v>
      </c>
      <c r="H57" s="66">
        <f>+'Tablas Servicio'!G90</f>
        <v>31.07</v>
      </c>
      <c r="I57" s="72">
        <f t="shared" si="2"/>
        <v>0.51078210492436438</v>
      </c>
      <c r="J57" s="66">
        <f t="shared" si="3"/>
        <v>15.87</v>
      </c>
      <c r="K57" s="66">
        <f>+'Tablas Servicio'!H90</f>
        <v>32.31</v>
      </c>
      <c r="L57" s="66">
        <f>+IF(A57="","",ROUND(H57*Parámetros!$D$100,2))</f>
        <v>3.63</v>
      </c>
      <c r="M57" s="58">
        <f>+IF(A57="","",IF(AND(A57=1,B57=1),Parámetros!$D$114*(D57*frec-$G$3-$H$3),IF(AND(A57=2,B57=frec+1),Parámetros!$D$115*(D57*frec-$G$4-$H$4),0)))</f>
        <v>0</v>
      </c>
      <c r="N57" s="58">
        <f>+IF(A57="","",IF(A57&gt;Parámetros!$D$117,0,ROUND('Modelo Financiero'!D57*Parámetros!$D$116,2)))</f>
        <v>10.97</v>
      </c>
      <c r="O57" s="58">
        <f t="shared" si="4"/>
        <v>7.3400000000000007</v>
      </c>
      <c r="P57" s="66">
        <f>+'Tablas Servicio'!I90</f>
        <v>54.339999999999996</v>
      </c>
      <c r="Q57" s="66">
        <f>+'Tablas Servicio'!S90</f>
        <v>3098.8</v>
      </c>
      <c r="R57" s="66">
        <f>+'Tablas Servicio'!T90</f>
        <v>1239.52</v>
      </c>
      <c r="S57" s="66">
        <f t="shared" si="5"/>
        <v>28.036000000000001</v>
      </c>
      <c r="T57" s="66">
        <f t="shared" si="24"/>
        <v>234.8439999999996</v>
      </c>
      <c r="U57" s="66">
        <f t="shared" si="6"/>
        <v>2094.1239999999998</v>
      </c>
      <c r="V57" s="81">
        <f t="shared" si="7"/>
        <v>0</v>
      </c>
      <c r="W57" s="66">
        <f t="shared" si="8"/>
        <v>0</v>
      </c>
      <c r="X57" s="66">
        <f t="shared" si="9"/>
        <v>2094.1239999999998</v>
      </c>
    </row>
    <row r="58" spans="1:39" x14ac:dyDescent="0.25">
      <c r="A58">
        <f>+'Tablas Servicio'!B91</f>
        <v>5</v>
      </c>
      <c r="B58">
        <f>+'Tablas Servicio'!C91</f>
        <v>50</v>
      </c>
      <c r="C58" s="56">
        <f>+'Tablas Servicio'!D91</f>
        <v>44.186666666666788</v>
      </c>
      <c r="D58" s="58">
        <f>+'Tablas Servicio'!N91</f>
        <v>94</v>
      </c>
      <c r="E58" s="66">
        <f>+'Tablas Servicio'!AC91</f>
        <v>14.8</v>
      </c>
      <c r="F58" s="66">
        <f>+IF(A58="","",'Tablas Servicio'!O91-'Modelo Financiero'!E58)</f>
        <v>0.40000000000000036</v>
      </c>
      <c r="G58" s="58">
        <f t="shared" si="1"/>
        <v>10.384000000000002</v>
      </c>
      <c r="H58" s="66">
        <f>+'Tablas Servicio'!G91</f>
        <v>31.07</v>
      </c>
      <c r="I58" s="72">
        <f t="shared" si="2"/>
        <v>0.51078210492436438</v>
      </c>
      <c r="J58" s="66">
        <f t="shared" si="3"/>
        <v>15.87</v>
      </c>
      <c r="K58" s="66">
        <f>+'Tablas Servicio'!H91</f>
        <v>32.31</v>
      </c>
      <c r="L58" s="66">
        <f>+IF(A58="","",ROUND(H58*Parámetros!$D$100,2))</f>
        <v>3.63</v>
      </c>
      <c r="M58" s="58">
        <f>+IF(A58="","",IF(AND(A58=1,B58=1),Parámetros!$D$114*(D58*frec-$G$3-$H$3),IF(AND(A58=2,B58=frec+1),Parámetros!$D$115*(D58*frec-$G$4-$H$4),0)))</f>
        <v>0</v>
      </c>
      <c r="N58" s="58">
        <f>+IF(A58="","",IF(A58&gt;Parámetros!$D$117,0,ROUND('Modelo Financiero'!D58*Parámetros!$D$116,2)))</f>
        <v>10.97</v>
      </c>
      <c r="O58" s="58">
        <f t="shared" si="4"/>
        <v>7.3400000000000007</v>
      </c>
      <c r="P58" s="66">
        <f>+'Tablas Servicio'!I91</f>
        <v>54.339999999999996</v>
      </c>
      <c r="Q58" s="66">
        <f>+'Tablas Servicio'!S91</f>
        <v>3162.08</v>
      </c>
      <c r="R58" s="66">
        <f>+'Tablas Servicio'!T91</f>
        <v>1264.83</v>
      </c>
      <c r="S58" s="66">
        <f t="shared" si="5"/>
        <v>28.036000000000001</v>
      </c>
      <c r="T58" s="66">
        <f t="shared" si="24"/>
        <v>262.8799999999996</v>
      </c>
      <c r="U58" s="66">
        <f t="shared" si="6"/>
        <v>2160.1299999999997</v>
      </c>
      <c r="V58" s="81">
        <f t="shared" si="7"/>
        <v>0</v>
      </c>
      <c r="W58" s="66">
        <f t="shared" si="8"/>
        <v>0</v>
      </c>
      <c r="X58" s="66">
        <f t="shared" si="9"/>
        <v>2160.1299999999997</v>
      </c>
    </row>
    <row r="59" spans="1:39" x14ac:dyDescent="0.25">
      <c r="A59">
        <f>+'Tablas Servicio'!B92</f>
        <v>5</v>
      </c>
      <c r="B59">
        <f>+'Tablas Servicio'!C92</f>
        <v>51</v>
      </c>
      <c r="C59" s="56">
        <f>+'Tablas Servicio'!D92</f>
        <v>44.270000000000124</v>
      </c>
      <c r="D59" s="58">
        <f>+'Tablas Servicio'!N92</f>
        <v>94</v>
      </c>
      <c r="E59" s="66">
        <f>+'Tablas Servicio'!AC92</f>
        <v>14.8</v>
      </c>
      <c r="F59" s="66">
        <f>+IF(A59="","",'Tablas Servicio'!O92-'Modelo Financiero'!E59)</f>
        <v>0.40000000000000036</v>
      </c>
      <c r="G59" s="58">
        <f t="shared" si="1"/>
        <v>10.384000000000002</v>
      </c>
      <c r="H59" s="66">
        <f>+'Tablas Servicio'!G92</f>
        <v>31.07</v>
      </c>
      <c r="I59" s="72">
        <f t="shared" si="2"/>
        <v>0.51078210492436438</v>
      </c>
      <c r="J59" s="66">
        <f t="shared" si="3"/>
        <v>15.87</v>
      </c>
      <c r="K59" s="66">
        <f>+'Tablas Servicio'!H92</f>
        <v>32.31</v>
      </c>
      <c r="L59" s="66">
        <f>+IF(A59="","",ROUND(H59*Parámetros!$D$100,2))</f>
        <v>3.63</v>
      </c>
      <c r="M59" s="58">
        <f>+IF(A59="","",IF(AND(A59=1,B59=1),Parámetros!$D$114*(D59*frec-$G$3-$H$3),IF(AND(A59=2,B59=frec+1),Parámetros!$D$115*(D59*frec-$G$4-$H$4),0)))</f>
        <v>0</v>
      </c>
      <c r="N59" s="58">
        <f>+IF(A59="","",IF(A59&gt;Parámetros!$D$117,0,ROUND('Modelo Financiero'!D59*Parámetros!$D$116,2)))</f>
        <v>10.97</v>
      </c>
      <c r="O59" s="58">
        <f t="shared" si="4"/>
        <v>7.3400000000000007</v>
      </c>
      <c r="P59" s="66">
        <f>+'Tablas Servicio'!I92</f>
        <v>54.339999999999996</v>
      </c>
      <c r="Q59" s="66">
        <f>+'Tablas Servicio'!S92</f>
        <v>3225.54</v>
      </c>
      <c r="R59" s="66">
        <f>+'Tablas Servicio'!T92</f>
        <v>1290.22</v>
      </c>
      <c r="S59" s="66">
        <f t="shared" si="5"/>
        <v>28.036000000000001</v>
      </c>
      <c r="T59" s="66">
        <f t="shared" si="24"/>
        <v>290.9159999999996</v>
      </c>
      <c r="U59" s="66">
        <f t="shared" si="6"/>
        <v>2226.2359999999994</v>
      </c>
      <c r="V59" s="81">
        <f t="shared" si="7"/>
        <v>0</v>
      </c>
      <c r="W59" s="66">
        <f t="shared" si="8"/>
        <v>0</v>
      </c>
      <c r="X59" s="66">
        <f t="shared" si="9"/>
        <v>2226.2359999999994</v>
      </c>
    </row>
    <row r="60" spans="1:39" x14ac:dyDescent="0.25">
      <c r="A60">
        <f>+'Tablas Servicio'!B93</f>
        <v>5</v>
      </c>
      <c r="B60">
        <f>+'Tablas Servicio'!C93</f>
        <v>52</v>
      </c>
      <c r="C60" s="56">
        <f>+'Tablas Servicio'!D93</f>
        <v>44.35333333333346</v>
      </c>
      <c r="D60" s="58">
        <f>+'Tablas Servicio'!N93</f>
        <v>94</v>
      </c>
      <c r="E60" s="66">
        <f>+'Tablas Servicio'!AC93</f>
        <v>14.8</v>
      </c>
      <c r="F60" s="66">
        <f>+IF(A60="","",'Tablas Servicio'!O93-'Modelo Financiero'!E60)</f>
        <v>0.40000000000000036</v>
      </c>
      <c r="G60" s="58">
        <f t="shared" si="1"/>
        <v>10.384000000000002</v>
      </c>
      <c r="H60" s="66">
        <f>+'Tablas Servicio'!G93</f>
        <v>31.07</v>
      </c>
      <c r="I60" s="72">
        <f t="shared" si="2"/>
        <v>0.51078210492436438</v>
      </c>
      <c r="J60" s="66">
        <f t="shared" si="3"/>
        <v>15.87</v>
      </c>
      <c r="K60" s="66">
        <f>+'Tablas Servicio'!H93</f>
        <v>32.31</v>
      </c>
      <c r="L60" s="66">
        <f>+IF(A60="","",ROUND(H60*Parámetros!$D$100,2))</f>
        <v>3.63</v>
      </c>
      <c r="M60" s="58">
        <f>+IF(A60="","",IF(AND(A60=1,B60=1),Parámetros!$D$114*(D60*frec-$G$3-$H$3),IF(AND(A60=2,B60=frec+1),Parámetros!$D$115*(D60*frec-$G$4-$H$4),0)))</f>
        <v>0</v>
      </c>
      <c r="N60" s="58">
        <f>+IF(A60="","",IF(A60&gt;Parámetros!$D$117,0,ROUND('Modelo Financiero'!D60*Parámetros!$D$116,2)))</f>
        <v>10.97</v>
      </c>
      <c r="O60" s="58">
        <f t="shared" si="4"/>
        <v>7.3400000000000007</v>
      </c>
      <c r="P60" s="66">
        <f>+'Tablas Servicio'!I93</f>
        <v>54.339999999999996</v>
      </c>
      <c r="Q60" s="66">
        <f>+'Tablas Servicio'!S93</f>
        <v>3289.18</v>
      </c>
      <c r="R60" s="66">
        <f>+'Tablas Servicio'!T93</f>
        <v>1315.67</v>
      </c>
      <c r="S60" s="66">
        <f t="shared" si="5"/>
        <v>28.036000000000001</v>
      </c>
      <c r="T60" s="66">
        <f t="shared" si="24"/>
        <v>318.9519999999996</v>
      </c>
      <c r="U60" s="66">
        <f t="shared" si="6"/>
        <v>2292.4619999999995</v>
      </c>
      <c r="V60" s="81">
        <f t="shared" si="7"/>
        <v>0</v>
      </c>
      <c r="W60" s="66">
        <f t="shared" si="8"/>
        <v>0</v>
      </c>
      <c r="X60" s="66">
        <f t="shared" si="9"/>
        <v>2292.4619999999995</v>
      </c>
    </row>
    <row r="61" spans="1:39" x14ac:dyDescent="0.25">
      <c r="A61">
        <f>+'Tablas Servicio'!B94</f>
        <v>5</v>
      </c>
      <c r="B61">
        <f>+'Tablas Servicio'!C94</f>
        <v>53</v>
      </c>
      <c r="C61" s="56">
        <f>+'Tablas Servicio'!D94</f>
        <v>44.436666666666795</v>
      </c>
      <c r="D61" s="58">
        <f>+'Tablas Servicio'!N94</f>
        <v>94</v>
      </c>
      <c r="E61" s="66">
        <f>+'Tablas Servicio'!AC94</f>
        <v>14.8</v>
      </c>
      <c r="F61" s="66">
        <f>+IF(A61="","",'Tablas Servicio'!O94-'Modelo Financiero'!E61)</f>
        <v>0.40000000000000036</v>
      </c>
      <c r="G61" s="58">
        <f t="shared" si="1"/>
        <v>10.384000000000002</v>
      </c>
      <c r="H61" s="66">
        <f>+'Tablas Servicio'!G94</f>
        <v>31.07</v>
      </c>
      <c r="I61" s="72">
        <f t="shared" si="2"/>
        <v>0.51078210492436438</v>
      </c>
      <c r="J61" s="66">
        <f t="shared" si="3"/>
        <v>15.87</v>
      </c>
      <c r="K61" s="66">
        <f>+'Tablas Servicio'!H94</f>
        <v>32.31</v>
      </c>
      <c r="L61" s="66">
        <f>+IF(A61="","",ROUND(H61*Parámetros!$D$100,2))</f>
        <v>3.63</v>
      </c>
      <c r="M61" s="58">
        <f>+IF(A61="","",IF(AND(A61=1,B61=1),Parámetros!$D$114*(D61*frec-$G$3-$H$3),IF(AND(A61=2,B61=frec+1),Parámetros!$D$115*(D61*frec-$G$4-$H$4),0)))</f>
        <v>0</v>
      </c>
      <c r="N61" s="58">
        <f>+IF(A61="","",IF(A61&gt;Parámetros!$D$117,0,ROUND('Modelo Financiero'!D61*Parámetros!$D$116,2)))</f>
        <v>10.97</v>
      </c>
      <c r="O61" s="58">
        <f t="shared" si="4"/>
        <v>7.3400000000000007</v>
      </c>
      <c r="P61" s="66">
        <f>+'Tablas Servicio'!I94</f>
        <v>54.339999999999996</v>
      </c>
      <c r="Q61" s="66">
        <f>+'Tablas Servicio'!S94</f>
        <v>3353</v>
      </c>
      <c r="R61" s="66">
        <f>+'Tablas Servicio'!T94</f>
        <v>1341.2</v>
      </c>
      <c r="S61" s="66">
        <f t="shared" si="5"/>
        <v>28.036000000000001</v>
      </c>
      <c r="T61" s="66">
        <f t="shared" si="24"/>
        <v>346.9879999999996</v>
      </c>
      <c r="U61" s="66">
        <f t="shared" si="6"/>
        <v>2358.7879999999996</v>
      </c>
      <c r="V61" s="81">
        <f t="shared" si="7"/>
        <v>0</v>
      </c>
      <c r="W61" s="66">
        <f t="shared" si="8"/>
        <v>0</v>
      </c>
      <c r="X61" s="66">
        <f t="shared" si="9"/>
        <v>2358.7879999999996</v>
      </c>
    </row>
    <row r="62" spans="1:39" x14ac:dyDescent="0.25">
      <c r="A62">
        <f>+'Tablas Servicio'!B95</f>
        <v>5</v>
      </c>
      <c r="B62">
        <f>+'Tablas Servicio'!C95</f>
        <v>54</v>
      </c>
      <c r="C62" s="56">
        <f>+'Tablas Servicio'!D95</f>
        <v>44.520000000000131</v>
      </c>
      <c r="D62" s="58">
        <f>+'Tablas Servicio'!N95</f>
        <v>94</v>
      </c>
      <c r="E62" s="66">
        <f>+'Tablas Servicio'!AC95</f>
        <v>14.8</v>
      </c>
      <c r="F62" s="66">
        <f>+IF(A62="","",'Tablas Servicio'!O95-'Modelo Financiero'!E62)</f>
        <v>0.40000000000000036</v>
      </c>
      <c r="G62" s="58">
        <f t="shared" si="1"/>
        <v>10.384000000000002</v>
      </c>
      <c r="H62" s="66">
        <f>+'Tablas Servicio'!G95</f>
        <v>31.07</v>
      </c>
      <c r="I62" s="72">
        <f t="shared" si="2"/>
        <v>0.51078210492436438</v>
      </c>
      <c r="J62" s="66">
        <f t="shared" si="3"/>
        <v>15.87</v>
      </c>
      <c r="K62" s="66">
        <f>+'Tablas Servicio'!H95</f>
        <v>32.31</v>
      </c>
      <c r="L62" s="66">
        <f>+IF(A62="","",ROUND(H62*Parámetros!$D$100,2))</f>
        <v>3.63</v>
      </c>
      <c r="M62" s="58">
        <f>+IF(A62="","",IF(AND(A62=1,B62=1),Parámetros!$D$114*(D62*frec-$G$3-$H$3),IF(AND(A62=2,B62=frec+1),Parámetros!$D$115*(D62*frec-$G$4-$H$4),0)))</f>
        <v>0</v>
      </c>
      <c r="N62" s="58">
        <f>+IF(A62="","",IF(A62&gt;Parámetros!$D$117,0,ROUND('Modelo Financiero'!D62*Parámetros!$D$116,2)))</f>
        <v>10.97</v>
      </c>
      <c r="O62" s="58">
        <f t="shared" si="4"/>
        <v>7.3400000000000007</v>
      </c>
      <c r="P62" s="66">
        <f>+'Tablas Servicio'!I95</f>
        <v>54.339999999999996</v>
      </c>
      <c r="Q62" s="66">
        <f>+'Tablas Servicio'!S95</f>
        <v>3417</v>
      </c>
      <c r="R62" s="66">
        <f>+'Tablas Servicio'!T95</f>
        <v>1366.8</v>
      </c>
      <c r="S62" s="66">
        <f t="shared" si="5"/>
        <v>28.036000000000001</v>
      </c>
      <c r="T62" s="66">
        <f t="shared" si="24"/>
        <v>375.0239999999996</v>
      </c>
      <c r="U62" s="66">
        <f t="shared" si="6"/>
        <v>2425.2239999999993</v>
      </c>
      <c r="V62" s="81">
        <f t="shared" si="7"/>
        <v>0</v>
      </c>
      <c r="W62" s="66">
        <f t="shared" si="8"/>
        <v>0</v>
      </c>
      <c r="X62" s="66">
        <f t="shared" si="9"/>
        <v>2425.2239999999993</v>
      </c>
    </row>
    <row r="63" spans="1:39" x14ac:dyDescent="0.25">
      <c r="A63">
        <f>+'Tablas Servicio'!B96</f>
        <v>5</v>
      </c>
      <c r="B63">
        <f>+'Tablas Servicio'!C96</f>
        <v>55</v>
      </c>
      <c r="C63" s="56">
        <f>+'Tablas Servicio'!D96</f>
        <v>44.603333333333467</v>
      </c>
      <c r="D63" s="58">
        <f>+'Tablas Servicio'!N96</f>
        <v>94</v>
      </c>
      <c r="E63" s="66">
        <f>+'Tablas Servicio'!AC96</f>
        <v>14.8</v>
      </c>
      <c r="F63" s="66">
        <f>+IF(A63="","",'Tablas Servicio'!O96-'Modelo Financiero'!E63)</f>
        <v>0.40000000000000036</v>
      </c>
      <c r="G63" s="58">
        <f t="shared" si="1"/>
        <v>10.384000000000002</v>
      </c>
      <c r="H63" s="66">
        <f>+'Tablas Servicio'!G96</f>
        <v>31.07</v>
      </c>
      <c r="I63" s="72">
        <f t="shared" si="2"/>
        <v>0.51078210492436438</v>
      </c>
      <c r="J63" s="66">
        <f t="shared" si="3"/>
        <v>15.87</v>
      </c>
      <c r="K63" s="66">
        <f>+'Tablas Servicio'!H96</f>
        <v>32.31</v>
      </c>
      <c r="L63" s="66">
        <f>+IF(A63="","",ROUND(H63*Parámetros!$D$100,2))</f>
        <v>3.63</v>
      </c>
      <c r="M63" s="58">
        <f>+IF(A63="","",IF(AND(A63=1,B63=1),Parámetros!$D$114*(D63*frec-$G$3-$H$3),IF(AND(A63=2,B63=frec+1),Parámetros!$D$115*(D63*frec-$G$4-$H$4),0)))</f>
        <v>0</v>
      </c>
      <c r="N63" s="58">
        <f>+IF(A63="","",IF(A63&gt;Parámetros!$D$117,0,ROUND('Modelo Financiero'!D63*Parámetros!$D$116,2)))</f>
        <v>10.97</v>
      </c>
      <c r="O63" s="58">
        <f t="shared" si="4"/>
        <v>7.3400000000000007</v>
      </c>
      <c r="P63" s="66">
        <f>+'Tablas Servicio'!I96</f>
        <v>54.339999999999996</v>
      </c>
      <c r="Q63" s="66">
        <f>+'Tablas Servicio'!S96</f>
        <v>3481.19</v>
      </c>
      <c r="R63" s="66">
        <f>+'Tablas Servicio'!T96</f>
        <v>1392.48</v>
      </c>
      <c r="S63" s="66">
        <f t="shared" si="5"/>
        <v>28.036000000000001</v>
      </c>
      <c r="T63" s="66">
        <f t="shared" si="24"/>
        <v>403.0599999999996</v>
      </c>
      <c r="U63" s="66">
        <f t="shared" si="6"/>
        <v>2491.7699999999995</v>
      </c>
      <c r="V63" s="81">
        <f t="shared" si="7"/>
        <v>0</v>
      </c>
      <c r="W63" s="66">
        <f t="shared" si="8"/>
        <v>0</v>
      </c>
      <c r="X63" s="66">
        <f t="shared" si="9"/>
        <v>2491.7699999999995</v>
      </c>
    </row>
    <row r="64" spans="1:39" x14ac:dyDescent="0.25">
      <c r="A64">
        <f>+'Tablas Servicio'!B97</f>
        <v>5</v>
      </c>
      <c r="B64">
        <f>+'Tablas Servicio'!C97</f>
        <v>56</v>
      </c>
      <c r="C64" s="56">
        <f>+'Tablas Servicio'!D97</f>
        <v>44.686666666666802</v>
      </c>
      <c r="D64" s="58">
        <f>+'Tablas Servicio'!N97</f>
        <v>94</v>
      </c>
      <c r="E64" s="66">
        <f>+'Tablas Servicio'!AC97</f>
        <v>14.8</v>
      </c>
      <c r="F64" s="66">
        <f>+IF(A64="","",'Tablas Servicio'!O97-'Modelo Financiero'!E64)</f>
        <v>0.40000000000000036</v>
      </c>
      <c r="G64" s="58">
        <f t="shared" si="1"/>
        <v>10.384000000000002</v>
      </c>
      <c r="H64" s="66">
        <f>+'Tablas Servicio'!G97</f>
        <v>31.07</v>
      </c>
      <c r="I64" s="72">
        <f t="shared" si="2"/>
        <v>0.51078210492436438</v>
      </c>
      <c r="J64" s="66">
        <f t="shared" si="3"/>
        <v>15.87</v>
      </c>
      <c r="K64" s="66">
        <f>+'Tablas Servicio'!H97</f>
        <v>32.31</v>
      </c>
      <c r="L64" s="66">
        <f>+IF(A64="","",ROUND(H64*Parámetros!$D$100,2))</f>
        <v>3.63</v>
      </c>
      <c r="M64" s="58">
        <f>+IF(A64="","",IF(AND(A64=1,B64=1),Parámetros!$D$114*(D64*frec-$G$3-$H$3),IF(AND(A64=2,B64=frec+1),Parámetros!$D$115*(D64*frec-$G$4-$H$4),0)))</f>
        <v>0</v>
      </c>
      <c r="N64" s="58">
        <f>+IF(A64="","",IF(A64&gt;Parámetros!$D$117,0,ROUND('Modelo Financiero'!D64*Parámetros!$D$116,2)))</f>
        <v>10.97</v>
      </c>
      <c r="O64" s="58">
        <f t="shared" si="4"/>
        <v>7.3400000000000007</v>
      </c>
      <c r="P64" s="66">
        <f>+'Tablas Servicio'!I97</f>
        <v>54.339999999999996</v>
      </c>
      <c r="Q64" s="66">
        <f>+'Tablas Servicio'!S97</f>
        <v>3545.56</v>
      </c>
      <c r="R64" s="66">
        <f>+'Tablas Servicio'!T97</f>
        <v>1418.22</v>
      </c>
      <c r="S64" s="66">
        <f t="shared" si="5"/>
        <v>28.036000000000001</v>
      </c>
      <c r="T64" s="66">
        <f t="shared" si="24"/>
        <v>431.09599999999961</v>
      </c>
      <c r="U64" s="66">
        <f t="shared" si="6"/>
        <v>2558.4359999999997</v>
      </c>
      <c r="V64" s="81">
        <f t="shared" si="7"/>
        <v>0</v>
      </c>
      <c r="W64" s="66">
        <f t="shared" si="8"/>
        <v>0</v>
      </c>
      <c r="X64" s="66">
        <f t="shared" si="9"/>
        <v>2558.4359999999997</v>
      </c>
    </row>
    <row r="65" spans="1:24" x14ac:dyDescent="0.25">
      <c r="A65">
        <f>+'Tablas Servicio'!B98</f>
        <v>5</v>
      </c>
      <c r="B65">
        <f>+'Tablas Servicio'!C98</f>
        <v>57</v>
      </c>
      <c r="C65" s="56">
        <f>+'Tablas Servicio'!D98</f>
        <v>44.770000000000138</v>
      </c>
      <c r="D65" s="58">
        <f>+'Tablas Servicio'!N98</f>
        <v>94</v>
      </c>
      <c r="E65" s="66">
        <f>+'Tablas Servicio'!AC98</f>
        <v>14.8</v>
      </c>
      <c r="F65" s="66">
        <f>+IF(A65="","",'Tablas Servicio'!O98-'Modelo Financiero'!E65)</f>
        <v>0.40000000000000036</v>
      </c>
      <c r="G65" s="58">
        <f t="shared" si="1"/>
        <v>10.384000000000002</v>
      </c>
      <c r="H65" s="66">
        <f>+'Tablas Servicio'!G98</f>
        <v>31.07</v>
      </c>
      <c r="I65" s="72">
        <f t="shared" si="2"/>
        <v>0.51078210492436438</v>
      </c>
      <c r="J65" s="66">
        <f t="shared" si="3"/>
        <v>15.87</v>
      </c>
      <c r="K65" s="66">
        <f>+'Tablas Servicio'!H98</f>
        <v>32.31</v>
      </c>
      <c r="L65" s="66">
        <f>+IF(A65="","",ROUND(H65*Parámetros!$D$100,2))</f>
        <v>3.63</v>
      </c>
      <c r="M65" s="58">
        <f>+IF(A65="","",IF(AND(A65=1,B65=1),Parámetros!$D$114*(D65*frec-$G$3-$H$3),IF(AND(A65=2,B65=frec+1),Parámetros!$D$115*(D65*frec-$G$4-$H$4),0)))</f>
        <v>0</v>
      </c>
      <c r="N65" s="58">
        <f>+IF(A65="","",IF(A65&gt;Parámetros!$D$117,0,ROUND('Modelo Financiero'!D65*Parámetros!$D$116,2)))</f>
        <v>10.97</v>
      </c>
      <c r="O65" s="58">
        <f t="shared" si="4"/>
        <v>7.3400000000000007</v>
      </c>
      <c r="P65" s="66">
        <f>+'Tablas Servicio'!I98</f>
        <v>54.339999999999996</v>
      </c>
      <c r="Q65" s="66">
        <f>+'Tablas Servicio'!S98</f>
        <v>3610.11</v>
      </c>
      <c r="R65" s="66">
        <f>+'Tablas Servicio'!T98</f>
        <v>1444.04</v>
      </c>
      <c r="S65" s="66">
        <f t="shared" si="5"/>
        <v>28.036000000000001</v>
      </c>
      <c r="T65" s="66">
        <f t="shared" si="24"/>
        <v>459.13199999999961</v>
      </c>
      <c r="U65" s="66">
        <f t="shared" si="6"/>
        <v>2625.2019999999998</v>
      </c>
      <c r="V65" s="81">
        <f t="shared" si="7"/>
        <v>0</v>
      </c>
      <c r="W65" s="66">
        <f t="shared" si="8"/>
        <v>0</v>
      </c>
      <c r="X65" s="66">
        <f t="shared" si="9"/>
        <v>2625.2019999999998</v>
      </c>
    </row>
    <row r="66" spans="1:24" x14ac:dyDescent="0.25">
      <c r="A66">
        <f>+'Tablas Servicio'!B99</f>
        <v>5</v>
      </c>
      <c r="B66">
        <f>+'Tablas Servicio'!C99</f>
        <v>58</v>
      </c>
      <c r="C66" s="56">
        <f>+'Tablas Servicio'!D99</f>
        <v>44.853333333333474</v>
      </c>
      <c r="D66" s="58">
        <f>+'Tablas Servicio'!N99</f>
        <v>94</v>
      </c>
      <c r="E66" s="66">
        <f>+'Tablas Servicio'!AC99</f>
        <v>14.8</v>
      </c>
      <c r="F66" s="66">
        <f>+IF(A66="","",'Tablas Servicio'!O99-'Modelo Financiero'!E66)</f>
        <v>0.40000000000000036</v>
      </c>
      <c r="G66" s="58">
        <f t="shared" si="1"/>
        <v>10.384000000000002</v>
      </c>
      <c r="H66" s="66">
        <f>+'Tablas Servicio'!G99</f>
        <v>31.07</v>
      </c>
      <c r="I66" s="72">
        <f t="shared" si="2"/>
        <v>0.51078210492436438</v>
      </c>
      <c r="J66" s="66">
        <f t="shared" si="3"/>
        <v>15.87</v>
      </c>
      <c r="K66" s="66">
        <f>+'Tablas Servicio'!H99</f>
        <v>32.31</v>
      </c>
      <c r="L66" s="66">
        <f>+IF(A66="","",ROUND(H66*Parámetros!$D$100,2))</f>
        <v>3.63</v>
      </c>
      <c r="M66" s="58">
        <f>+IF(A66="","",IF(AND(A66=1,B66=1),Parámetros!$D$114*(D66*frec-$G$3-$H$3),IF(AND(A66=2,B66=frec+1),Parámetros!$D$115*(D66*frec-$G$4-$H$4),0)))</f>
        <v>0</v>
      </c>
      <c r="N66" s="58">
        <f>+IF(A66="","",IF(A66&gt;Parámetros!$D$117,0,ROUND('Modelo Financiero'!D66*Parámetros!$D$116,2)))</f>
        <v>10.97</v>
      </c>
      <c r="O66" s="58">
        <f t="shared" si="4"/>
        <v>7.3400000000000007</v>
      </c>
      <c r="P66" s="66">
        <f>+'Tablas Servicio'!I99</f>
        <v>54.339999999999996</v>
      </c>
      <c r="Q66" s="66">
        <f>+'Tablas Servicio'!S99</f>
        <v>3674.84</v>
      </c>
      <c r="R66" s="66">
        <f>+'Tablas Servicio'!T99</f>
        <v>1469.94</v>
      </c>
      <c r="S66" s="66">
        <f t="shared" si="5"/>
        <v>28.036000000000001</v>
      </c>
      <c r="T66" s="66">
        <f t="shared" si="24"/>
        <v>487.16799999999961</v>
      </c>
      <c r="U66" s="66">
        <f t="shared" si="6"/>
        <v>2692.0679999999998</v>
      </c>
      <c r="V66" s="81">
        <f t="shared" si="7"/>
        <v>0</v>
      </c>
      <c r="W66" s="66">
        <f t="shared" si="8"/>
        <v>0</v>
      </c>
      <c r="X66" s="66">
        <f t="shared" si="9"/>
        <v>2692.0679999999998</v>
      </c>
    </row>
    <row r="67" spans="1:24" x14ac:dyDescent="0.25">
      <c r="A67">
        <f>+'Tablas Servicio'!B100</f>
        <v>5</v>
      </c>
      <c r="B67">
        <f>+'Tablas Servicio'!C100</f>
        <v>59</v>
      </c>
      <c r="C67" s="56">
        <f>+'Tablas Servicio'!D100</f>
        <v>44.93666666666681</v>
      </c>
      <c r="D67" s="58">
        <f>+'Tablas Servicio'!N100</f>
        <v>94</v>
      </c>
      <c r="E67" s="66">
        <f>+'Tablas Servicio'!AC100</f>
        <v>14.8</v>
      </c>
      <c r="F67" s="66">
        <f>+IF(A67="","",'Tablas Servicio'!O100-'Modelo Financiero'!E67)</f>
        <v>0.40000000000000036</v>
      </c>
      <c r="G67" s="58">
        <f t="shared" si="1"/>
        <v>10.384000000000002</v>
      </c>
      <c r="H67" s="66">
        <f>+'Tablas Servicio'!G100</f>
        <v>31.07</v>
      </c>
      <c r="I67" s="72">
        <f t="shared" si="2"/>
        <v>0.51078210492436438</v>
      </c>
      <c r="J67" s="66">
        <f t="shared" si="3"/>
        <v>15.87</v>
      </c>
      <c r="K67" s="66">
        <f>+'Tablas Servicio'!H100</f>
        <v>32.31</v>
      </c>
      <c r="L67" s="66">
        <f>+IF(A67="","",ROUND(H67*Parámetros!$D$100,2))</f>
        <v>3.63</v>
      </c>
      <c r="M67" s="58">
        <f>+IF(A67="","",IF(AND(A67=1,B67=1),Parámetros!$D$114*(D67*frec-$G$3-$H$3),IF(AND(A67=2,B67=frec+1),Parámetros!$D$115*(D67*frec-$G$4-$H$4),0)))</f>
        <v>0</v>
      </c>
      <c r="N67" s="58">
        <f>+IF(A67="","",IF(A67&gt;Parámetros!$D$117,0,ROUND('Modelo Financiero'!D67*Parámetros!$D$116,2)))</f>
        <v>10.97</v>
      </c>
      <c r="O67" s="58">
        <f t="shared" si="4"/>
        <v>7.3400000000000007</v>
      </c>
      <c r="P67" s="66">
        <f>+'Tablas Servicio'!I100</f>
        <v>54.339999999999996</v>
      </c>
      <c r="Q67" s="66">
        <f>+'Tablas Servicio'!S100</f>
        <v>3739.76</v>
      </c>
      <c r="R67" s="66">
        <f>+'Tablas Servicio'!T100</f>
        <v>1495.9</v>
      </c>
      <c r="S67" s="66">
        <f t="shared" si="5"/>
        <v>28.036000000000001</v>
      </c>
      <c r="T67" s="66">
        <f t="shared" si="24"/>
        <v>515.20399999999961</v>
      </c>
      <c r="U67" s="66">
        <f t="shared" si="6"/>
        <v>2759.0639999999999</v>
      </c>
      <c r="V67" s="81">
        <f t="shared" si="7"/>
        <v>0</v>
      </c>
      <c r="W67" s="66">
        <f t="shared" si="8"/>
        <v>0</v>
      </c>
      <c r="X67" s="66">
        <f t="shared" si="9"/>
        <v>2759.0639999999999</v>
      </c>
    </row>
    <row r="68" spans="1:24" x14ac:dyDescent="0.25">
      <c r="A68">
        <f>+'Tablas Servicio'!B101</f>
        <v>5</v>
      </c>
      <c r="B68">
        <f>+'Tablas Servicio'!C101</f>
        <v>60</v>
      </c>
      <c r="C68" s="56">
        <f>+'Tablas Servicio'!D101</f>
        <v>45.020000000000145</v>
      </c>
      <c r="D68" s="58">
        <f>+'Tablas Servicio'!N101</f>
        <v>94</v>
      </c>
      <c r="E68" s="66">
        <f>+'Tablas Servicio'!AC101</f>
        <v>14.8</v>
      </c>
      <c r="F68" s="66">
        <f>+IF(A68="","",'Tablas Servicio'!O101-'Modelo Financiero'!E68)</f>
        <v>0.40000000000000036</v>
      </c>
      <c r="G68" s="58">
        <f t="shared" si="1"/>
        <v>10.384000000000002</v>
      </c>
      <c r="H68" s="66">
        <f>+'Tablas Servicio'!G101</f>
        <v>31.07</v>
      </c>
      <c r="I68" s="72">
        <f t="shared" si="2"/>
        <v>0.51078210492436438</v>
      </c>
      <c r="J68" s="66">
        <f t="shared" si="3"/>
        <v>15.87</v>
      </c>
      <c r="K68" s="66">
        <f>+'Tablas Servicio'!H101</f>
        <v>32.31</v>
      </c>
      <c r="L68" s="66">
        <f>+IF(A68="","",ROUND(H68*Parámetros!$D$100,2))</f>
        <v>3.63</v>
      </c>
      <c r="M68" s="58">
        <f>+IF(A68="","",IF(AND(A68=1,B68=1),Parámetros!$D$114*(D68*frec-$G$3-$H$3),IF(AND(A68=2,B68=frec+1),Parámetros!$D$115*(D68*frec-$G$4-$H$4),0)))</f>
        <v>0</v>
      </c>
      <c r="N68" s="58">
        <f>+IF(A68="","",IF(A68&gt;Parámetros!$D$117,0,ROUND('Modelo Financiero'!D68*Parámetros!$D$116,2)))</f>
        <v>10.97</v>
      </c>
      <c r="O68" s="58">
        <f t="shared" si="4"/>
        <v>7.3400000000000007</v>
      </c>
      <c r="P68" s="66">
        <f>+'Tablas Servicio'!I101</f>
        <v>54.339999999999996</v>
      </c>
      <c r="Q68" s="66">
        <f>+'Tablas Servicio'!S101</f>
        <v>3804.86</v>
      </c>
      <c r="R68" s="66">
        <f>+'Tablas Servicio'!T101</f>
        <v>1521.94</v>
      </c>
      <c r="S68" s="66">
        <f t="shared" si="5"/>
        <v>28.036000000000001</v>
      </c>
      <c r="T68" s="66">
        <f t="shared" si="24"/>
        <v>543.23999999999955</v>
      </c>
      <c r="U68" s="66">
        <f t="shared" si="6"/>
        <v>2826.16</v>
      </c>
      <c r="V68" s="81">
        <f t="shared" si="7"/>
        <v>0</v>
      </c>
      <c r="W68" s="66">
        <f t="shared" si="8"/>
        <v>0</v>
      </c>
      <c r="X68" s="66">
        <f t="shared" si="9"/>
        <v>2826.16</v>
      </c>
    </row>
    <row r="69" spans="1:24" x14ac:dyDescent="0.25">
      <c r="A69">
        <f>+'Tablas Servicio'!B102</f>
        <v>6</v>
      </c>
      <c r="B69">
        <f>+'Tablas Servicio'!C102</f>
        <v>61</v>
      </c>
      <c r="C69" s="56">
        <f>+'Tablas Servicio'!D102</f>
        <v>45.103333333333481</v>
      </c>
      <c r="D69" s="58">
        <f>+'Tablas Servicio'!N102</f>
        <v>94</v>
      </c>
      <c r="E69" s="66">
        <f>+'Tablas Servicio'!AC102</f>
        <v>15.8</v>
      </c>
      <c r="F69" s="66">
        <f>+IF(A69="","",'Tablas Servicio'!O102-'Modelo Financiero'!E69)</f>
        <v>0.60000000000000142</v>
      </c>
      <c r="G69" s="58">
        <f t="shared" si="1"/>
        <v>11.224000000000002</v>
      </c>
      <c r="H69" s="66">
        <f>+'Tablas Servicio'!G102</f>
        <v>32.72</v>
      </c>
      <c r="I69" s="72">
        <f t="shared" si="2"/>
        <v>0.4987775061124694</v>
      </c>
      <c r="J69" s="66">
        <f t="shared" si="3"/>
        <v>16.319999999999997</v>
      </c>
      <c r="K69" s="66">
        <f>+'Tablas Servicio'!H102</f>
        <v>34.020000000000003</v>
      </c>
      <c r="L69" s="66">
        <f>+IF(A69="","",ROUND(H69*Parámetros!$D$100,2))</f>
        <v>3.82</v>
      </c>
      <c r="M69" s="58">
        <f>+IF(A69="","",IF(AND(A69=1,B69=1),Parámetros!$D$114*(D69*frec-$G$3-$H$3),IF(AND(A69=2,B69=frec+1),Parámetros!$D$115*(D69*frec-$G$4-$H$4),0)))</f>
        <v>0</v>
      </c>
      <c r="N69" s="58">
        <f>+IF(A69="","",IF(A69&gt;Parámetros!$D$117,0,ROUND('Modelo Financiero'!D69*Parámetros!$D$116,2)))</f>
        <v>10.97</v>
      </c>
      <c r="O69" s="58">
        <f t="shared" si="4"/>
        <v>7.15</v>
      </c>
      <c r="P69" s="66">
        <f>+'Tablas Servicio'!I102</f>
        <v>52.83</v>
      </c>
      <c r="Q69" s="66">
        <f>+'Tablas Servicio'!S102</f>
        <v>3868.63</v>
      </c>
      <c r="R69" s="66">
        <f>+'Tablas Servicio'!T102</f>
        <v>2321.1799999999998</v>
      </c>
      <c r="S69" s="66">
        <f t="shared" si="5"/>
        <v>28.645999999999994</v>
      </c>
      <c r="T69" s="66">
        <f t="shared" si="24"/>
        <v>571.88599999999951</v>
      </c>
      <c r="U69" s="66">
        <f t="shared" si="6"/>
        <v>2119.3359999999998</v>
      </c>
      <c r="V69" s="81">
        <f t="shared" si="7"/>
        <v>0</v>
      </c>
      <c r="W69" s="66">
        <f t="shared" si="8"/>
        <v>0</v>
      </c>
      <c r="X69" s="66">
        <f t="shared" si="9"/>
        <v>2119.3359999999998</v>
      </c>
    </row>
    <row r="70" spans="1:24" x14ac:dyDescent="0.25">
      <c r="A70">
        <f>+'Tablas Servicio'!B103</f>
        <v>6</v>
      </c>
      <c r="B70">
        <f>+'Tablas Servicio'!C103</f>
        <v>62</v>
      </c>
      <c r="C70" s="56">
        <f>+'Tablas Servicio'!D103</f>
        <v>45.186666666666817</v>
      </c>
      <c r="D70" s="58">
        <f>+'Tablas Servicio'!N103</f>
        <v>94</v>
      </c>
      <c r="E70" s="66">
        <f>+'Tablas Servicio'!AC103</f>
        <v>15.8</v>
      </c>
      <c r="F70" s="66">
        <f>+IF(A70="","",'Tablas Servicio'!O103-'Modelo Financiero'!E70)</f>
        <v>0.60000000000000142</v>
      </c>
      <c r="G70" s="58">
        <f t="shared" si="1"/>
        <v>11.224000000000002</v>
      </c>
      <c r="H70" s="66">
        <f>+'Tablas Servicio'!G103</f>
        <v>32.72</v>
      </c>
      <c r="I70" s="72">
        <f t="shared" si="2"/>
        <v>0.4987775061124694</v>
      </c>
      <c r="J70" s="66">
        <f t="shared" si="3"/>
        <v>16.319999999999997</v>
      </c>
      <c r="K70" s="66">
        <f>+'Tablas Servicio'!H103</f>
        <v>34.020000000000003</v>
      </c>
      <c r="L70" s="66">
        <f>+IF(A70="","",ROUND(H70*Parámetros!$D$100,2))</f>
        <v>3.82</v>
      </c>
      <c r="M70" s="58">
        <f>+IF(A70="","",IF(AND(A70=1,B70=1),Parámetros!$D$114*(D70*frec-$G$3-$H$3),IF(AND(A70=2,B70=frec+1),Parámetros!$D$115*(D70*frec-$G$4-$H$4),0)))</f>
        <v>0</v>
      </c>
      <c r="N70" s="58">
        <f>+IF(A70="","",IF(A70&gt;Parámetros!$D$117,0,ROUND('Modelo Financiero'!D70*Parámetros!$D$116,2)))</f>
        <v>10.97</v>
      </c>
      <c r="O70" s="58">
        <f t="shared" si="4"/>
        <v>7.15</v>
      </c>
      <c r="P70" s="66">
        <f>+'Tablas Servicio'!I103</f>
        <v>52.83</v>
      </c>
      <c r="Q70" s="66">
        <f>+'Tablas Servicio'!S103</f>
        <v>3932.58</v>
      </c>
      <c r="R70" s="66">
        <f>+'Tablas Servicio'!T103</f>
        <v>2359.5500000000002</v>
      </c>
      <c r="S70" s="66">
        <f t="shared" si="5"/>
        <v>28.645999999999994</v>
      </c>
      <c r="T70" s="66">
        <f t="shared" si="24"/>
        <v>600.53199999999947</v>
      </c>
      <c r="U70" s="66">
        <f t="shared" si="6"/>
        <v>2173.561999999999</v>
      </c>
      <c r="V70" s="81">
        <f t="shared" si="7"/>
        <v>0</v>
      </c>
      <c r="W70" s="66">
        <f t="shared" si="8"/>
        <v>0</v>
      </c>
      <c r="X70" s="66">
        <f t="shared" si="9"/>
        <v>2173.561999999999</v>
      </c>
    </row>
    <row r="71" spans="1:24" x14ac:dyDescent="0.25">
      <c r="A71">
        <f>+'Tablas Servicio'!B104</f>
        <v>6</v>
      </c>
      <c r="B71">
        <f>+'Tablas Servicio'!C104</f>
        <v>63</v>
      </c>
      <c r="C71" s="56">
        <f>+'Tablas Servicio'!D104</f>
        <v>45.270000000000152</v>
      </c>
      <c r="D71" s="58">
        <f>+'Tablas Servicio'!N104</f>
        <v>94</v>
      </c>
      <c r="E71" s="66">
        <f>+'Tablas Servicio'!AC104</f>
        <v>15.8</v>
      </c>
      <c r="F71" s="66">
        <f>+IF(A71="","",'Tablas Servicio'!O104-'Modelo Financiero'!E71)</f>
        <v>0.60000000000000142</v>
      </c>
      <c r="G71" s="58">
        <f t="shared" si="1"/>
        <v>11.224000000000002</v>
      </c>
      <c r="H71" s="66">
        <f>+'Tablas Servicio'!G104</f>
        <v>32.72</v>
      </c>
      <c r="I71" s="72">
        <f t="shared" si="2"/>
        <v>0.4987775061124694</v>
      </c>
      <c r="J71" s="66">
        <f t="shared" si="3"/>
        <v>16.319999999999997</v>
      </c>
      <c r="K71" s="66">
        <f>+'Tablas Servicio'!H104</f>
        <v>34.020000000000003</v>
      </c>
      <c r="L71" s="66">
        <f>+IF(A71="","",ROUND(H71*Parámetros!$D$100,2))</f>
        <v>3.82</v>
      </c>
      <c r="M71" s="58">
        <f>+IF(A71="","",IF(AND(A71=1,B71=1),Parámetros!$D$114*(D71*frec-$G$3-$H$3),IF(AND(A71=2,B71=frec+1),Parámetros!$D$115*(D71*frec-$G$4-$H$4),0)))</f>
        <v>0</v>
      </c>
      <c r="N71" s="58">
        <f>+IF(A71="","",IF(A71&gt;Parámetros!$D$117,0,ROUND('Modelo Financiero'!D71*Parámetros!$D$116,2)))</f>
        <v>10.97</v>
      </c>
      <c r="O71" s="58">
        <f t="shared" si="4"/>
        <v>7.15</v>
      </c>
      <c r="P71" s="66">
        <f>+'Tablas Servicio'!I104</f>
        <v>52.83</v>
      </c>
      <c r="Q71" s="66">
        <f>+'Tablas Servicio'!S104</f>
        <v>3996.71</v>
      </c>
      <c r="R71" s="66">
        <f>+'Tablas Servicio'!T104</f>
        <v>2398.0300000000002</v>
      </c>
      <c r="S71" s="66">
        <f t="shared" si="5"/>
        <v>28.645999999999994</v>
      </c>
      <c r="T71" s="66">
        <f t="shared" si="24"/>
        <v>629.17799999999943</v>
      </c>
      <c r="U71" s="66">
        <f t="shared" si="6"/>
        <v>2227.8579999999993</v>
      </c>
      <c r="V71" s="81">
        <f t="shared" si="7"/>
        <v>0</v>
      </c>
      <c r="W71" s="66">
        <f t="shared" si="8"/>
        <v>0</v>
      </c>
      <c r="X71" s="66">
        <f t="shared" si="9"/>
        <v>2227.8579999999993</v>
      </c>
    </row>
    <row r="72" spans="1:24" x14ac:dyDescent="0.25">
      <c r="A72">
        <f>+'Tablas Servicio'!B105</f>
        <v>6</v>
      </c>
      <c r="B72">
        <f>+'Tablas Servicio'!C105</f>
        <v>64</v>
      </c>
      <c r="C72" s="56">
        <f>+'Tablas Servicio'!D105</f>
        <v>45.353333333333488</v>
      </c>
      <c r="D72" s="58">
        <f>+'Tablas Servicio'!N105</f>
        <v>94</v>
      </c>
      <c r="E72" s="66">
        <f>+'Tablas Servicio'!AC105</f>
        <v>15.8</v>
      </c>
      <c r="F72" s="66">
        <f>+IF(A72="","",'Tablas Servicio'!O105-'Modelo Financiero'!E72)</f>
        <v>0.60000000000000142</v>
      </c>
      <c r="G72" s="58">
        <f t="shared" si="1"/>
        <v>11.224000000000002</v>
      </c>
      <c r="H72" s="66">
        <f>+'Tablas Servicio'!G105</f>
        <v>32.72</v>
      </c>
      <c r="I72" s="72">
        <f t="shared" si="2"/>
        <v>0.4987775061124694</v>
      </c>
      <c r="J72" s="66">
        <f t="shared" si="3"/>
        <v>16.319999999999997</v>
      </c>
      <c r="K72" s="66">
        <f>+'Tablas Servicio'!H105</f>
        <v>34.020000000000003</v>
      </c>
      <c r="L72" s="66">
        <f>+IF(A72="","",ROUND(H72*Parámetros!$D$100,2))</f>
        <v>3.82</v>
      </c>
      <c r="M72" s="58">
        <f>+IF(A72="","",IF(AND(A72=1,B72=1),Parámetros!$D$114*(D72*frec-$G$3-$H$3),IF(AND(A72=2,B72=frec+1),Parámetros!$D$115*(D72*frec-$G$4-$H$4),0)))</f>
        <v>0</v>
      </c>
      <c r="N72" s="58">
        <f>+IF(A72="","",IF(A72&gt;Parámetros!$D$117,0,ROUND('Modelo Financiero'!D72*Parámetros!$D$116,2)))</f>
        <v>10.97</v>
      </c>
      <c r="O72" s="58">
        <f t="shared" si="4"/>
        <v>7.15</v>
      </c>
      <c r="P72" s="66">
        <f>+'Tablas Servicio'!I105</f>
        <v>52.83</v>
      </c>
      <c r="Q72" s="66">
        <f>+'Tablas Servicio'!S105</f>
        <v>4061.03</v>
      </c>
      <c r="R72" s="66">
        <f>+'Tablas Servicio'!T105</f>
        <v>2436.62</v>
      </c>
      <c r="S72" s="66">
        <f t="shared" si="5"/>
        <v>28.645999999999994</v>
      </c>
      <c r="T72" s="66">
        <f t="shared" si="24"/>
        <v>657.82399999999939</v>
      </c>
      <c r="U72" s="66">
        <f t="shared" si="6"/>
        <v>2282.2339999999995</v>
      </c>
      <c r="V72" s="81">
        <f t="shared" si="7"/>
        <v>0</v>
      </c>
      <c r="W72" s="66">
        <f t="shared" si="8"/>
        <v>0</v>
      </c>
      <c r="X72" s="66">
        <f t="shared" si="9"/>
        <v>2282.2339999999995</v>
      </c>
    </row>
    <row r="73" spans="1:24" x14ac:dyDescent="0.25">
      <c r="A73">
        <f>+'Tablas Servicio'!B106</f>
        <v>6</v>
      </c>
      <c r="B73">
        <f>+'Tablas Servicio'!C106</f>
        <v>65</v>
      </c>
      <c r="C73" s="56">
        <f>+'Tablas Servicio'!D106</f>
        <v>45.436666666666824</v>
      </c>
      <c r="D73" s="58">
        <f>+'Tablas Servicio'!N106</f>
        <v>94</v>
      </c>
      <c r="E73" s="66">
        <f>+'Tablas Servicio'!AC106</f>
        <v>15.8</v>
      </c>
      <c r="F73" s="66">
        <f>+IF(A73="","",'Tablas Servicio'!O106-'Modelo Financiero'!E73)</f>
        <v>0.60000000000000142</v>
      </c>
      <c r="G73" s="58">
        <f t="shared" si="1"/>
        <v>11.224000000000002</v>
      </c>
      <c r="H73" s="66">
        <f>+'Tablas Servicio'!G106</f>
        <v>32.72</v>
      </c>
      <c r="I73" s="72">
        <f t="shared" si="2"/>
        <v>0.4987775061124694</v>
      </c>
      <c r="J73" s="66">
        <f t="shared" si="3"/>
        <v>16.319999999999997</v>
      </c>
      <c r="K73" s="66">
        <f>+'Tablas Servicio'!H106</f>
        <v>34.020000000000003</v>
      </c>
      <c r="L73" s="66">
        <f>+IF(A73="","",ROUND(H73*Parámetros!$D$100,2))</f>
        <v>3.82</v>
      </c>
      <c r="M73" s="58">
        <f>+IF(A73="","",IF(AND(A73=1,B73=1),Parámetros!$D$114*(D73*frec-$G$3-$H$3),IF(AND(A73=2,B73=frec+1),Parámetros!$D$115*(D73*frec-$G$4-$H$4),0)))</f>
        <v>0</v>
      </c>
      <c r="N73" s="58">
        <f>+IF(A73="","",IF(A73&gt;Parámetros!$D$117,0,ROUND('Modelo Financiero'!D73*Parámetros!$D$116,2)))</f>
        <v>10.97</v>
      </c>
      <c r="O73" s="58">
        <f t="shared" si="4"/>
        <v>7.15</v>
      </c>
      <c r="P73" s="66">
        <f>+'Tablas Servicio'!I106</f>
        <v>52.83</v>
      </c>
      <c r="Q73" s="66">
        <f>+'Tablas Servicio'!S106</f>
        <v>4125.53</v>
      </c>
      <c r="R73" s="66">
        <f>+'Tablas Servicio'!T106</f>
        <v>2475.3200000000002</v>
      </c>
      <c r="S73" s="66">
        <f t="shared" ref="S73:S136" si="25">+IF(A73="","",D73-P73-G73-(K73-H73)-M73)</f>
        <v>28.645999999999994</v>
      </c>
      <c r="T73" s="66">
        <f t="shared" si="24"/>
        <v>686.46999999999935</v>
      </c>
      <c r="U73" s="66">
        <f t="shared" si="6"/>
        <v>2336.6799999999989</v>
      </c>
      <c r="V73" s="81">
        <f t="shared" si="7"/>
        <v>0</v>
      </c>
      <c r="W73" s="66">
        <f t="shared" si="8"/>
        <v>0</v>
      </c>
      <c r="X73" s="66">
        <f t="shared" si="9"/>
        <v>2336.6799999999989</v>
      </c>
    </row>
    <row r="74" spans="1:24" x14ac:dyDescent="0.25">
      <c r="A74">
        <f>+'Tablas Servicio'!B107</f>
        <v>6</v>
      </c>
      <c r="B74">
        <f>+'Tablas Servicio'!C107</f>
        <v>66</v>
      </c>
      <c r="C74" s="56">
        <f>+'Tablas Servicio'!D107</f>
        <v>45.520000000000159</v>
      </c>
      <c r="D74" s="58">
        <f>+'Tablas Servicio'!N107</f>
        <v>94</v>
      </c>
      <c r="E74" s="66">
        <f>+'Tablas Servicio'!AC107</f>
        <v>15.8</v>
      </c>
      <c r="F74" s="66">
        <f>+IF(A74="","",'Tablas Servicio'!O107-'Modelo Financiero'!E74)</f>
        <v>0.60000000000000142</v>
      </c>
      <c r="G74" s="58">
        <f t="shared" ref="G74:G137" si="26">+IF(A74="","",IF(A74=1,$C$3,$C$4)*E74+$C$2*F74)</f>
        <v>11.224000000000002</v>
      </c>
      <c r="H74" s="66">
        <f>+'Tablas Servicio'!G107</f>
        <v>32.72</v>
      </c>
      <c r="I74" s="72">
        <f t="shared" ref="I74:I137" si="27">IF(A74="","",1-(E74+F74)/H74)</f>
        <v>0.4987775061124694</v>
      </c>
      <c r="J74" s="66">
        <f t="shared" ref="J74:J137" si="28">+IF(A74="","",H74-E74-F74)</f>
        <v>16.319999999999997</v>
      </c>
      <c r="K74" s="66">
        <f>+'Tablas Servicio'!H107</f>
        <v>34.020000000000003</v>
      </c>
      <c r="L74" s="66">
        <f>+IF(A74="","",ROUND(H74*Parámetros!$D$100,2))</f>
        <v>3.82</v>
      </c>
      <c r="M74" s="58">
        <f>+IF(A74="","",IF(AND(A74=1,B74=1),Parámetros!$D$114*(D74*frec-$G$3-$H$3),IF(AND(A74=2,B74=frec+1),Parámetros!$D$115*(D74*frec-$G$4-$H$4),0)))</f>
        <v>0</v>
      </c>
      <c r="N74" s="58">
        <f>+IF(A74="","",IF(A74&gt;Parámetros!$D$117,0,ROUND('Modelo Financiero'!D74*Parámetros!$D$116,2)))</f>
        <v>10.97</v>
      </c>
      <c r="O74" s="58">
        <f t="shared" ref="O74:O137" si="29">+IF(A74="","",MAX(N74-L74,0))</f>
        <v>7.15</v>
      </c>
      <c r="P74" s="66">
        <f>+'Tablas Servicio'!I107</f>
        <v>52.83</v>
      </c>
      <c r="Q74" s="66">
        <f>+'Tablas Servicio'!S107</f>
        <v>4190.21</v>
      </c>
      <c r="R74" s="66">
        <f>+'Tablas Servicio'!T107</f>
        <v>2514.13</v>
      </c>
      <c r="S74" s="66">
        <f t="shared" si="25"/>
        <v>28.645999999999994</v>
      </c>
      <c r="T74" s="66">
        <f t="shared" si="24"/>
        <v>715.1159999999993</v>
      </c>
      <c r="U74" s="66">
        <f t="shared" ref="U74:U137" si="30">+IF(A74="","",T74+(Q74-R74))</f>
        <v>2391.195999999999</v>
      </c>
      <c r="V74" s="81">
        <f t="shared" ref="V74:V137" si="31">+IF(A74="","",IF(A74=1,$L$3,IF(A74=2,$L$4,0)))</f>
        <v>0</v>
      </c>
      <c r="W74" s="66">
        <f t="shared" ref="W74:W137" si="32">+IF(A74="","",IF(A74=1,$I$3,IF(A74=2,$I$4,0))*V74)</f>
        <v>0</v>
      </c>
      <c r="X74" s="66">
        <f t="shared" ref="X74:X137" si="33">+IF(A74="","",U74+W74)</f>
        <v>2391.195999999999</v>
      </c>
    </row>
    <row r="75" spans="1:24" x14ac:dyDescent="0.25">
      <c r="A75">
        <f>+'Tablas Servicio'!B108</f>
        <v>6</v>
      </c>
      <c r="B75">
        <f>+'Tablas Servicio'!C108</f>
        <v>67</v>
      </c>
      <c r="C75" s="56">
        <f>+'Tablas Servicio'!D108</f>
        <v>45.603333333333495</v>
      </c>
      <c r="D75" s="58">
        <f>+'Tablas Servicio'!N108</f>
        <v>94</v>
      </c>
      <c r="E75" s="66">
        <f>+'Tablas Servicio'!AC108</f>
        <v>15.8</v>
      </c>
      <c r="F75" s="66">
        <f>+IF(A75="","",'Tablas Servicio'!O108-'Modelo Financiero'!E75)</f>
        <v>0.60000000000000142</v>
      </c>
      <c r="G75" s="58">
        <f t="shared" si="26"/>
        <v>11.224000000000002</v>
      </c>
      <c r="H75" s="66">
        <f>+'Tablas Servicio'!G108</f>
        <v>32.72</v>
      </c>
      <c r="I75" s="72">
        <f t="shared" si="27"/>
        <v>0.4987775061124694</v>
      </c>
      <c r="J75" s="66">
        <f t="shared" si="28"/>
        <v>16.319999999999997</v>
      </c>
      <c r="K75" s="66">
        <f>+'Tablas Servicio'!H108</f>
        <v>34.020000000000003</v>
      </c>
      <c r="L75" s="66">
        <f>+IF(A75="","",ROUND(H75*Parámetros!$D$100,2))</f>
        <v>3.82</v>
      </c>
      <c r="M75" s="58">
        <f>+IF(A75="","",IF(AND(A75=1,B75=1),Parámetros!$D$114*(D75*frec-$G$3-$H$3),IF(AND(A75=2,B75=frec+1),Parámetros!$D$115*(D75*frec-$G$4-$H$4),0)))</f>
        <v>0</v>
      </c>
      <c r="N75" s="58">
        <f>+IF(A75="","",IF(A75&gt;Parámetros!$D$117,0,ROUND('Modelo Financiero'!D75*Parámetros!$D$116,2)))</f>
        <v>10.97</v>
      </c>
      <c r="O75" s="58">
        <f t="shared" si="29"/>
        <v>7.15</v>
      </c>
      <c r="P75" s="66">
        <f>+'Tablas Servicio'!I108</f>
        <v>52.83</v>
      </c>
      <c r="Q75" s="66">
        <f>+'Tablas Servicio'!S108</f>
        <v>4255.08</v>
      </c>
      <c r="R75" s="66">
        <f>+'Tablas Servicio'!T108</f>
        <v>2553.0500000000002</v>
      </c>
      <c r="S75" s="66">
        <f t="shared" si="25"/>
        <v>28.645999999999994</v>
      </c>
      <c r="T75" s="66">
        <f t="shared" ref="T75:T138" si="34">+IF(A75="","",T74+S75)</f>
        <v>743.76199999999926</v>
      </c>
      <c r="U75" s="66">
        <f t="shared" si="30"/>
        <v>2445.791999999999</v>
      </c>
      <c r="V75" s="81">
        <f t="shared" si="31"/>
        <v>0</v>
      </c>
      <c r="W75" s="66">
        <f t="shared" si="32"/>
        <v>0</v>
      </c>
      <c r="X75" s="66">
        <f t="shared" si="33"/>
        <v>2445.791999999999</v>
      </c>
    </row>
    <row r="76" spans="1:24" x14ac:dyDescent="0.25">
      <c r="A76">
        <f>+'Tablas Servicio'!B109</f>
        <v>6</v>
      </c>
      <c r="B76">
        <f>+'Tablas Servicio'!C109</f>
        <v>68</v>
      </c>
      <c r="C76" s="56">
        <f>+'Tablas Servicio'!D109</f>
        <v>45.686666666666831</v>
      </c>
      <c r="D76" s="58">
        <f>+'Tablas Servicio'!N109</f>
        <v>94</v>
      </c>
      <c r="E76" s="66">
        <f>+'Tablas Servicio'!AC109</f>
        <v>15.8</v>
      </c>
      <c r="F76" s="66">
        <f>+IF(A76="","",'Tablas Servicio'!O109-'Modelo Financiero'!E76)</f>
        <v>0.60000000000000142</v>
      </c>
      <c r="G76" s="58">
        <f t="shared" si="26"/>
        <v>11.224000000000002</v>
      </c>
      <c r="H76" s="66">
        <f>+'Tablas Servicio'!G109</f>
        <v>32.72</v>
      </c>
      <c r="I76" s="72">
        <f t="shared" si="27"/>
        <v>0.4987775061124694</v>
      </c>
      <c r="J76" s="66">
        <f t="shared" si="28"/>
        <v>16.319999999999997</v>
      </c>
      <c r="K76" s="66">
        <f>+'Tablas Servicio'!H109</f>
        <v>34.020000000000003</v>
      </c>
      <c r="L76" s="66">
        <f>+IF(A76="","",ROUND(H76*Parámetros!$D$100,2))</f>
        <v>3.82</v>
      </c>
      <c r="M76" s="58">
        <f>+IF(A76="","",IF(AND(A76=1,B76=1),Parámetros!$D$114*(D76*frec-$G$3-$H$3),IF(AND(A76=2,B76=frec+1),Parámetros!$D$115*(D76*frec-$G$4-$H$4),0)))</f>
        <v>0</v>
      </c>
      <c r="N76" s="58">
        <f>+IF(A76="","",IF(A76&gt;Parámetros!$D$117,0,ROUND('Modelo Financiero'!D76*Parámetros!$D$116,2)))</f>
        <v>10.97</v>
      </c>
      <c r="O76" s="58">
        <f t="shared" si="29"/>
        <v>7.15</v>
      </c>
      <c r="P76" s="66">
        <f>+'Tablas Servicio'!I109</f>
        <v>52.83</v>
      </c>
      <c r="Q76" s="66">
        <f>+'Tablas Servicio'!S109</f>
        <v>4320.13</v>
      </c>
      <c r="R76" s="66">
        <f>+'Tablas Servicio'!T109</f>
        <v>2592.08</v>
      </c>
      <c r="S76" s="66">
        <f t="shared" si="25"/>
        <v>28.645999999999994</v>
      </c>
      <c r="T76" s="66">
        <f t="shared" si="34"/>
        <v>772.40799999999922</v>
      </c>
      <c r="U76" s="66">
        <f t="shared" si="30"/>
        <v>2500.4579999999996</v>
      </c>
      <c r="V76" s="81">
        <f t="shared" si="31"/>
        <v>0</v>
      </c>
      <c r="W76" s="66">
        <f t="shared" si="32"/>
        <v>0</v>
      </c>
      <c r="X76" s="66">
        <f t="shared" si="33"/>
        <v>2500.4579999999996</v>
      </c>
    </row>
    <row r="77" spans="1:24" x14ac:dyDescent="0.25">
      <c r="A77">
        <f>+'Tablas Servicio'!B110</f>
        <v>6</v>
      </c>
      <c r="B77">
        <f>+'Tablas Servicio'!C110</f>
        <v>69</v>
      </c>
      <c r="C77" s="56">
        <f>+'Tablas Servicio'!D110</f>
        <v>45.770000000000167</v>
      </c>
      <c r="D77" s="58">
        <f>+'Tablas Servicio'!N110</f>
        <v>94</v>
      </c>
      <c r="E77" s="66">
        <f>+'Tablas Servicio'!AC110</f>
        <v>15.8</v>
      </c>
      <c r="F77" s="66">
        <f>+IF(A77="","",'Tablas Servicio'!O110-'Modelo Financiero'!E77)</f>
        <v>0.60000000000000142</v>
      </c>
      <c r="G77" s="58">
        <f t="shared" si="26"/>
        <v>11.224000000000002</v>
      </c>
      <c r="H77" s="66">
        <f>+'Tablas Servicio'!G110</f>
        <v>32.72</v>
      </c>
      <c r="I77" s="72">
        <f t="shared" si="27"/>
        <v>0.4987775061124694</v>
      </c>
      <c r="J77" s="66">
        <f t="shared" si="28"/>
        <v>16.319999999999997</v>
      </c>
      <c r="K77" s="66">
        <f>+'Tablas Servicio'!H110</f>
        <v>34.020000000000003</v>
      </c>
      <c r="L77" s="66">
        <f>+IF(A77="","",ROUND(H77*Parámetros!$D$100,2))</f>
        <v>3.82</v>
      </c>
      <c r="M77" s="58">
        <f>+IF(A77="","",IF(AND(A77=1,B77=1),Parámetros!$D$114*(D77*frec-$G$3-$H$3),IF(AND(A77=2,B77=frec+1),Parámetros!$D$115*(D77*frec-$G$4-$H$4),0)))</f>
        <v>0</v>
      </c>
      <c r="N77" s="58">
        <f>+IF(A77="","",IF(A77&gt;Parámetros!$D$117,0,ROUND('Modelo Financiero'!D77*Parámetros!$D$116,2)))</f>
        <v>10.97</v>
      </c>
      <c r="O77" s="58">
        <f t="shared" si="29"/>
        <v>7.15</v>
      </c>
      <c r="P77" s="66">
        <f>+'Tablas Servicio'!I110</f>
        <v>52.83</v>
      </c>
      <c r="Q77" s="66">
        <f>+'Tablas Servicio'!S110</f>
        <v>4385.3599999999997</v>
      </c>
      <c r="R77" s="66">
        <f>+'Tablas Servicio'!T110</f>
        <v>2631.22</v>
      </c>
      <c r="S77" s="66">
        <f t="shared" si="25"/>
        <v>28.645999999999994</v>
      </c>
      <c r="T77" s="66">
        <f t="shared" si="34"/>
        <v>801.05399999999918</v>
      </c>
      <c r="U77" s="66">
        <f t="shared" si="30"/>
        <v>2555.1939999999991</v>
      </c>
      <c r="V77" s="81">
        <f t="shared" si="31"/>
        <v>0</v>
      </c>
      <c r="W77" s="66">
        <f t="shared" si="32"/>
        <v>0</v>
      </c>
      <c r="X77" s="66">
        <f t="shared" si="33"/>
        <v>2555.1939999999991</v>
      </c>
    </row>
    <row r="78" spans="1:24" x14ac:dyDescent="0.25">
      <c r="A78">
        <f>+'Tablas Servicio'!B111</f>
        <v>6</v>
      </c>
      <c r="B78">
        <f>+'Tablas Servicio'!C111</f>
        <v>70</v>
      </c>
      <c r="C78" s="56">
        <f>+'Tablas Servicio'!D111</f>
        <v>45.853333333333502</v>
      </c>
      <c r="D78" s="58">
        <f>+'Tablas Servicio'!N111</f>
        <v>94</v>
      </c>
      <c r="E78" s="66">
        <f>+'Tablas Servicio'!AC111</f>
        <v>15.8</v>
      </c>
      <c r="F78" s="66">
        <f>+IF(A78="","",'Tablas Servicio'!O111-'Modelo Financiero'!E78)</f>
        <v>0.60000000000000142</v>
      </c>
      <c r="G78" s="58">
        <f t="shared" si="26"/>
        <v>11.224000000000002</v>
      </c>
      <c r="H78" s="66">
        <f>+'Tablas Servicio'!G111</f>
        <v>32.72</v>
      </c>
      <c r="I78" s="72">
        <f t="shared" si="27"/>
        <v>0.4987775061124694</v>
      </c>
      <c r="J78" s="66">
        <f t="shared" si="28"/>
        <v>16.319999999999997</v>
      </c>
      <c r="K78" s="66">
        <f>+'Tablas Servicio'!H111</f>
        <v>34.020000000000003</v>
      </c>
      <c r="L78" s="66">
        <f>+IF(A78="","",ROUND(H78*Parámetros!$D$100,2))</f>
        <v>3.82</v>
      </c>
      <c r="M78" s="58">
        <f>+IF(A78="","",IF(AND(A78=1,B78=1),Parámetros!$D$114*(D78*frec-$G$3-$H$3),IF(AND(A78=2,B78=frec+1),Parámetros!$D$115*(D78*frec-$G$4-$H$4),0)))</f>
        <v>0</v>
      </c>
      <c r="N78" s="58">
        <f>+IF(A78="","",IF(A78&gt;Parámetros!$D$117,0,ROUND('Modelo Financiero'!D78*Parámetros!$D$116,2)))</f>
        <v>10.97</v>
      </c>
      <c r="O78" s="58">
        <f t="shared" si="29"/>
        <v>7.15</v>
      </c>
      <c r="P78" s="66">
        <f>+'Tablas Servicio'!I111</f>
        <v>52.83</v>
      </c>
      <c r="Q78" s="66">
        <f>+'Tablas Servicio'!S111</f>
        <v>4450.78</v>
      </c>
      <c r="R78" s="66">
        <f>+'Tablas Servicio'!T111</f>
        <v>2670.47</v>
      </c>
      <c r="S78" s="66">
        <f t="shared" si="25"/>
        <v>28.645999999999994</v>
      </c>
      <c r="T78" s="66">
        <f t="shared" si="34"/>
        <v>829.69999999999914</v>
      </c>
      <c r="U78" s="66">
        <f t="shared" si="30"/>
        <v>2610.0099999999993</v>
      </c>
      <c r="V78" s="81">
        <f t="shared" si="31"/>
        <v>0</v>
      </c>
      <c r="W78" s="66">
        <f t="shared" si="32"/>
        <v>0</v>
      </c>
      <c r="X78" s="66">
        <f t="shared" si="33"/>
        <v>2610.0099999999993</v>
      </c>
    </row>
    <row r="79" spans="1:24" x14ac:dyDescent="0.25">
      <c r="A79">
        <f>+'Tablas Servicio'!B112</f>
        <v>6</v>
      </c>
      <c r="B79">
        <f>+'Tablas Servicio'!C112</f>
        <v>71</v>
      </c>
      <c r="C79" s="56">
        <f>+'Tablas Servicio'!D112</f>
        <v>45.936666666666838</v>
      </c>
      <c r="D79" s="58">
        <f>+'Tablas Servicio'!N112</f>
        <v>94</v>
      </c>
      <c r="E79" s="66">
        <f>+'Tablas Servicio'!AC112</f>
        <v>15.8</v>
      </c>
      <c r="F79" s="66">
        <f>+IF(A79="","",'Tablas Servicio'!O112-'Modelo Financiero'!E79)</f>
        <v>0.60000000000000142</v>
      </c>
      <c r="G79" s="58">
        <f t="shared" si="26"/>
        <v>11.224000000000002</v>
      </c>
      <c r="H79" s="66">
        <f>+'Tablas Servicio'!G112</f>
        <v>32.72</v>
      </c>
      <c r="I79" s="72">
        <f t="shared" si="27"/>
        <v>0.4987775061124694</v>
      </c>
      <c r="J79" s="66">
        <f t="shared" si="28"/>
        <v>16.319999999999997</v>
      </c>
      <c r="K79" s="66">
        <f>+'Tablas Servicio'!H112</f>
        <v>34.020000000000003</v>
      </c>
      <c r="L79" s="66">
        <f>+IF(A79="","",ROUND(H79*Parámetros!$D$100,2))</f>
        <v>3.82</v>
      </c>
      <c r="M79" s="58">
        <f>+IF(A79="","",IF(AND(A79=1,B79=1),Parámetros!$D$114*(D79*frec-$G$3-$H$3),IF(AND(A79=2,B79=frec+1),Parámetros!$D$115*(D79*frec-$G$4-$H$4),0)))</f>
        <v>0</v>
      </c>
      <c r="N79" s="58">
        <f>+IF(A79="","",IF(A79&gt;Parámetros!$D$117,0,ROUND('Modelo Financiero'!D79*Parámetros!$D$116,2)))</f>
        <v>10.97</v>
      </c>
      <c r="O79" s="58">
        <f t="shared" si="29"/>
        <v>7.15</v>
      </c>
      <c r="P79" s="66">
        <f>+'Tablas Servicio'!I112</f>
        <v>52.83</v>
      </c>
      <c r="Q79" s="66">
        <f>+'Tablas Servicio'!S112</f>
        <v>4516.38</v>
      </c>
      <c r="R79" s="66">
        <f>+'Tablas Servicio'!T112</f>
        <v>2709.83</v>
      </c>
      <c r="S79" s="66">
        <f t="shared" si="25"/>
        <v>28.645999999999994</v>
      </c>
      <c r="T79" s="66">
        <f t="shared" si="34"/>
        <v>858.34599999999909</v>
      </c>
      <c r="U79" s="66">
        <f t="shared" si="30"/>
        <v>2664.8959999999993</v>
      </c>
      <c r="V79" s="81">
        <f t="shared" si="31"/>
        <v>0</v>
      </c>
      <c r="W79" s="66">
        <f t="shared" si="32"/>
        <v>0</v>
      </c>
      <c r="X79" s="66">
        <f t="shared" si="33"/>
        <v>2664.8959999999993</v>
      </c>
    </row>
    <row r="80" spans="1:24" x14ac:dyDescent="0.25">
      <c r="A80">
        <f>+'Tablas Servicio'!B113</f>
        <v>6</v>
      </c>
      <c r="B80">
        <f>+'Tablas Servicio'!C113</f>
        <v>72</v>
      </c>
      <c r="C80" s="56">
        <f>+'Tablas Servicio'!D113</f>
        <v>46.020000000000174</v>
      </c>
      <c r="D80" s="58">
        <f>+'Tablas Servicio'!N113</f>
        <v>94</v>
      </c>
      <c r="E80" s="66">
        <f>+'Tablas Servicio'!AC113</f>
        <v>15.8</v>
      </c>
      <c r="F80" s="66">
        <f>+IF(A80="","",'Tablas Servicio'!O113-'Modelo Financiero'!E80)</f>
        <v>0.60000000000000142</v>
      </c>
      <c r="G80" s="58">
        <f t="shared" si="26"/>
        <v>11.224000000000002</v>
      </c>
      <c r="H80" s="66">
        <f>+'Tablas Servicio'!G113</f>
        <v>32.72</v>
      </c>
      <c r="I80" s="72">
        <f t="shared" si="27"/>
        <v>0.4987775061124694</v>
      </c>
      <c r="J80" s="66">
        <f t="shared" si="28"/>
        <v>16.319999999999997</v>
      </c>
      <c r="K80" s="66">
        <f>+'Tablas Servicio'!H113</f>
        <v>34.020000000000003</v>
      </c>
      <c r="L80" s="66">
        <f>+IF(A80="","",ROUND(H80*Parámetros!$D$100,2))</f>
        <v>3.82</v>
      </c>
      <c r="M80" s="58">
        <f>+IF(A80="","",IF(AND(A80=1,B80=1),Parámetros!$D$114*(D80*frec-$G$3-$H$3),IF(AND(A80=2,B80=frec+1),Parámetros!$D$115*(D80*frec-$G$4-$H$4),0)))</f>
        <v>0</v>
      </c>
      <c r="N80" s="58">
        <f>+IF(A80="","",IF(A80&gt;Parámetros!$D$117,0,ROUND('Modelo Financiero'!D80*Parámetros!$D$116,2)))</f>
        <v>10.97</v>
      </c>
      <c r="O80" s="58">
        <f t="shared" si="29"/>
        <v>7.15</v>
      </c>
      <c r="P80" s="66">
        <f>+'Tablas Servicio'!I113</f>
        <v>52.83</v>
      </c>
      <c r="Q80" s="66">
        <f>+'Tablas Servicio'!S113</f>
        <v>4582.17</v>
      </c>
      <c r="R80" s="66">
        <f>+'Tablas Servicio'!T113</f>
        <v>2749.3</v>
      </c>
      <c r="S80" s="66">
        <f t="shared" si="25"/>
        <v>28.645999999999994</v>
      </c>
      <c r="T80" s="66">
        <f t="shared" si="34"/>
        <v>886.99199999999905</v>
      </c>
      <c r="U80" s="66">
        <f t="shared" si="30"/>
        <v>2719.8619999999992</v>
      </c>
      <c r="V80" s="81">
        <f t="shared" si="31"/>
        <v>0</v>
      </c>
      <c r="W80" s="66">
        <f t="shared" si="32"/>
        <v>0</v>
      </c>
      <c r="X80" s="66">
        <f t="shared" si="33"/>
        <v>2719.8619999999992</v>
      </c>
    </row>
    <row r="81" spans="1:24" x14ac:dyDescent="0.25">
      <c r="A81">
        <f>+'Tablas Servicio'!B114</f>
        <v>7</v>
      </c>
      <c r="B81">
        <f>+'Tablas Servicio'!C114</f>
        <v>73</v>
      </c>
      <c r="C81" s="56">
        <f>+'Tablas Servicio'!D114</f>
        <v>46.103333333333509</v>
      </c>
      <c r="D81" s="58">
        <f>+'Tablas Servicio'!N114</f>
        <v>94</v>
      </c>
      <c r="E81" s="66">
        <f>+'Tablas Servicio'!AC114</f>
        <v>16.899999999999999</v>
      </c>
      <c r="F81" s="66">
        <f>+IF(A81="","",'Tablas Servicio'!O114-'Modelo Financiero'!E81)</f>
        <v>0.60000000000000142</v>
      </c>
      <c r="G81" s="58">
        <f t="shared" si="26"/>
        <v>11.972</v>
      </c>
      <c r="H81" s="66">
        <f>+'Tablas Servicio'!G114</f>
        <v>33.96</v>
      </c>
      <c r="I81" s="72">
        <f t="shared" si="27"/>
        <v>0.48468786808009423</v>
      </c>
      <c r="J81" s="66">
        <f t="shared" si="28"/>
        <v>16.46</v>
      </c>
      <c r="K81" s="66">
        <f>+'Tablas Servicio'!H114</f>
        <v>35.31</v>
      </c>
      <c r="L81" s="66">
        <f>+IF(A81="","",ROUND(H81*Parámetros!$D$100,2))</f>
        <v>3.96</v>
      </c>
      <c r="M81" s="58">
        <f>+IF(A81="","",IF(AND(A81=1,B81=1),Parámetros!$D$114*(D81*frec-$G$3-$H$3),IF(AND(A81=2,B81=frec+1),Parámetros!$D$115*(D81*frec-$G$4-$H$4),0)))</f>
        <v>0</v>
      </c>
      <c r="N81" s="58">
        <f>+IF(A81="","",IF(A81&gt;Parámetros!$D$117,0,ROUND('Modelo Financiero'!D81*Parámetros!$D$116,2)))</f>
        <v>10.97</v>
      </c>
      <c r="O81" s="58">
        <f t="shared" si="29"/>
        <v>7.0100000000000007</v>
      </c>
      <c r="P81" s="66">
        <f>+'Tablas Servicio'!I114</f>
        <v>51.68</v>
      </c>
      <c r="Q81" s="66">
        <f>+'Tablas Servicio'!S114</f>
        <v>4646.99</v>
      </c>
      <c r="R81" s="66">
        <f>+'Tablas Servicio'!T114</f>
        <v>3485.24</v>
      </c>
      <c r="S81" s="66">
        <f t="shared" si="25"/>
        <v>28.997999999999998</v>
      </c>
      <c r="T81" s="66">
        <f t="shared" si="34"/>
        <v>915.9899999999991</v>
      </c>
      <c r="U81" s="66">
        <f t="shared" si="30"/>
        <v>2077.7399999999989</v>
      </c>
      <c r="V81" s="81">
        <f t="shared" si="31"/>
        <v>0</v>
      </c>
      <c r="W81" s="66">
        <f t="shared" si="32"/>
        <v>0</v>
      </c>
      <c r="X81" s="66">
        <f t="shared" si="33"/>
        <v>2077.7399999999989</v>
      </c>
    </row>
    <row r="82" spans="1:24" x14ac:dyDescent="0.25">
      <c r="A82">
        <f>+'Tablas Servicio'!B115</f>
        <v>7</v>
      </c>
      <c r="B82">
        <f>+'Tablas Servicio'!C115</f>
        <v>74</v>
      </c>
      <c r="C82" s="56">
        <f>+'Tablas Servicio'!D115</f>
        <v>46.186666666666845</v>
      </c>
      <c r="D82" s="58">
        <f>+'Tablas Servicio'!N115</f>
        <v>94</v>
      </c>
      <c r="E82" s="66">
        <f>+'Tablas Servicio'!AC115</f>
        <v>16.899999999999999</v>
      </c>
      <c r="F82" s="66">
        <f>+IF(A82="","",'Tablas Servicio'!O115-'Modelo Financiero'!E82)</f>
        <v>0.60000000000000142</v>
      </c>
      <c r="G82" s="58">
        <f t="shared" si="26"/>
        <v>11.972</v>
      </c>
      <c r="H82" s="66">
        <f>+'Tablas Servicio'!G115</f>
        <v>33.96</v>
      </c>
      <c r="I82" s="72">
        <f t="shared" si="27"/>
        <v>0.48468786808009423</v>
      </c>
      <c r="J82" s="66">
        <f t="shared" si="28"/>
        <v>16.46</v>
      </c>
      <c r="K82" s="66">
        <f>+'Tablas Servicio'!H115</f>
        <v>35.31</v>
      </c>
      <c r="L82" s="66">
        <f>+IF(A82="","",ROUND(H82*Parámetros!$D$100,2))</f>
        <v>3.96</v>
      </c>
      <c r="M82" s="58">
        <f>+IF(A82="","",IF(AND(A82=1,B82=1),Parámetros!$D$114*(D82*frec-$G$3-$H$3),IF(AND(A82=2,B82=frec+1),Parámetros!$D$115*(D82*frec-$G$4-$H$4),0)))</f>
        <v>0</v>
      </c>
      <c r="N82" s="58">
        <f>+IF(A82="","",IF(A82&gt;Parámetros!$D$117,0,ROUND('Modelo Financiero'!D82*Parámetros!$D$116,2)))</f>
        <v>10.97</v>
      </c>
      <c r="O82" s="58">
        <f t="shared" si="29"/>
        <v>7.0100000000000007</v>
      </c>
      <c r="P82" s="66">
        <f>+'Tablas Servicio'!I115</f>
        <v>51.68</v>
      </c>
      <c r="Q82" s="66">
        <f>+'Tablas Servicio'!S115</f>
        <v>4712</v>
      </c>
      <c r="R82" s="66">
        <f>+'Tablas Servicio'!T115</f>
        <v>3534</v>
      </c>
      <c r="S82" s="66">
        <f t="shared" si="25"/>
        <v>28.997999999999998</v>
      </c>
      <c r="T82" s="66">
        <f t="shared" si="34"/>
        <v>944.98799999999915</v>
      </c>
      <c r="U82" s="66">
        <f t="shared" si="30"/>
        <v>2122.9879999999994</v>
      </c>
      <c r="V82" s="81">
        <f t="shared" si="31"/>
        <v>0</v>
      </c>
      <c r="W82" s="66">
        <f t="shared" si="32"/>
        <v>0</v>
      </c>
      <c r="X82" s="66">
        <f t="shared" si="33"/>
        <v>2122.9879999999994</v>
      </c>
    </row>
    <row r="83" spans="1:24" x14ac:dyDescent="0.25">
      <c r="A83">
        <f>+'Tablas Servicio'!B116</f>
        <v>7</v>
      </c>
      <c r="B83">
        <f>+'Tablas Servicio'!C116</f>
        <v>75</v>
      </c>
      <c r="C83" s="56">
        <f>+'Tablas Servicio'!D116</f>
        <v>46.270000000000181</v>
      </c>
      <c r="D83" s="58">
        <f>+'Tablas Servicio'!N116</f>
        <v>94</v>
      </c>
      <c r="E83" s="66">
        <f>+'Tablas Servicio'!AC116</f>
        <v>16.899999999999999</v>
      </c>
      <c r="F83" s="66">
        <f>+IF(A83="","",'Tablas Servicio'!O116-'Modelo Financiero'!E83)</f>
        <v>0.60000000000000142</v>
      </c>
      <c r="G83" s="58">
        <f t="shared" si="26"/>
        <v>11.972</v>
      </c>
      <c r="H83" s="66">
        <f>+'Tablas Servicio'!G116</f>
        <v>33.96</v>
      </c>
      <c r="I83" s="72">
        <f t="shared" si="27"/>
        <v>0.48468786808009423</v>
      </c>
      <c r="J83" s="66">
        <f t="shared" si="28"/>
        <v>16.46</v>
      </c>
      <c r="K83" s="66">
        <f>+'Tablas Servicio'!H116</f>
        <v>35.31</v>
      </c>
      <c r="L83" s="66">
        <f>+IF(A83="","",ROUND(H83*Parámetros!$D$100,2))</f>
        <v>3.96</v>
      </c>
      <c r="M83" s="58">
        <f>+IF(A83="","",IF(AND(A83=1,B83=1),Parámetros!$D$114*(D83*frec-$G$3-$H$3),IF(AND(A83=2,B83=frec+1),Parámetros!$D$115*(D83*frec-$G$4-$H$4),0)))</f>
        <v>0</v>
      </c>
      <c r="N83" s="58">
        <f>+IF(A83="","",IF(A83&gt;Parámetros!$D$117,0,ROUND('Modelo Financiero'!D83*Parámetros!$D$116,2)))</f>
        <v>10.97</v>
      </c>
      <c r="O83" s="58">
        <f t="shared" si="29"/>
        <v>7.0100000000000007</v>
      </c>
      <c r="P83" s="66">
        <f>+'Tablas Servicio'!I116</f>
        <v>51.68</v>
      </c>
      <c r="Q83" s="66">
        <f>+'Tablas Servicio'!S116</f>
        <v>4777.1899999999996</v>
      </c>
      <c r="R83" s="66">
        <f>+'Tablas Servicio'!T116</f>
        <v>3582.89</v>
      </c>
      <c r="S83" s="66">
        <f t="shared" si="25"/>
        <v>28.997999999999998</v>
      </c>
      <c r="T83" s="66">
        <f t="shared" si="34"/>
        <v>973.98599999999919</v>
      </c>
      <c r="U83" s="66">
        <f t="shared" si="30"/>
        <v>2168.2859999999991</v>
      </c>
      <c r="V83" s="81">
        <f t="shared" si="31"/>
        <v>0</v>
      </c>
      <c r="W83" s="66">
        <f t="shared" si="32"/>
        <v>0</v>
      </c>
      <c r="X83" s="66">
        <f t="shared" si="33"/>
        <v>2168.2859999999991</v>
      </c>
    </row>
    <row r="84" spans="1:24" x14ac:dyDescent="0.25">
      <c r="A84">
        <f>+'Tablas Servicio'!B117</f>
        <v>7</v>
      </c>
      <c r="B84">
        <f>+'Tablas Servicio'!C117</f>
        <v>76</v>
      </c>
      <c r="C84" s="56">
        <f>+'Tablas Servicio'!D117</f>
        <v>46.353333333333516</v>
      </c>
      <c r="D84" s="58">
        <f>+'Tablas Servicio'!N117</f>
        <v>94</v>
      </c>
      <c r="E84" s="66">
        <f>+'Tablas Servicio'!AC117</f>
        <v>16.899999999999999</v>
      </c>
      <c r="F84" s="66">
        <f>+IF(A84="","",'Tablas Servicio'!O117-'Modelo Financiero'!E84)</f>
        <v>0.60000000000000142</v>
      </c>
      <c r="G84" s="58">
        <f t="shared" si="26"/>
        <v>11.972</v>
      </c>
      <c r="H84" s="66">
        <f>+'Tablas Servicio'!G117</f>
        <v>33.96</v>
      </c>
      <c r="I84" s="72">
        <f t="shared" si="27"/>
        <v>0.48468786808009423</v>
      </c>
      <c r="J84" s="66">
        <f t="shared" si="28"/>
        <v>16.46</v>
      </c>
      <c r="K84" s="66">
        <f>+'Tablas Servicio'!H117</f>
        <v>35.31</v>
      </c>
      <c r="L84" s="66">
        <f>+IF(A84="","",ROUND(H84*Parámetros!$D$100,2))</f>
        <v>3.96</v>
      </c>
      <c r="M84" s="58">
        <f>+IF(A84="","",IF(AND(A84=1,B84=1),Parámetros!$D$114*(D84*frec-$G$3-$H$3),IF(AND(A84=2,B84=frec+1),Parámetros!$D$115*(D84*frec-$G$4-$H$4),0)))</f>
        <v>0</v>
      </c>
      <c r="N84" s="58">
        <f>+IF(A84="","",IF(A84&gt;Parámetros!$D$117,0,ROUND('Modelo Financiero'!D84*Parámetros!$D$116,2)))</f>
        <v>10.97</v>
      </c>
      <c r="O84" s="58">
        <f t="shared" si="29"/>
        <v>7.0100000000000007</v>
      </c>
      <c r="P84" s="66">
        <f>+'Tablas Servicio'!I117</f>
        <v>51.68</v>
      </c>
      <c r="Q84" s="66">
        <f>+'Tablas Servicio'!S117</f>
        <v>4842.57</v>
      </c>
      <c r="R84" s="66">
        <f>+'Tablas Servicio'!T117</f>
        <v>3631.93</v>
      </c>
      <c r="S84" s="66">
        <f t="shared" si="25"/>
        <v>28.997999999999998</v>
      </c>
      <c r="T84" s="66">
        <f t="shared" si="34"/>
        <v>1002.9839999999992</v>
      </c>
      <c r="U84" s="66">
        <f t="shared" si="30"/>
        <v>2213.6239999999989</v>
      </c>
      <c r="V84" s="81">
        <f t="shared" si="31"/>
        <v>0</v>
      </c>
      <c r="W84" s="66">
        <f t="shared" si="32"/>
        <v>0</v>
      </c>
      <c r="X84" s="66">
        <f t="shared" si="33"/>
        <v>2213.6239999999989</v>
      </c>
    </row>
    <row r="85" spans="1:24" x14ac:dyDescent="0.25">
      <c r="A85">
        <f>+'Tablas Servicio'!B118</f>
        <v>7</v>
      </c>
      <c r="B85">
        <f>+'Tablas Servicio'!C118</f>
        <v>77</v>
      </c>
      <c r="C85" s="56">
        <f>+'Tablas Servicio'!D118</f>
        <v>46.436666666666852</v>
      </c>
      <c r="D85" s="58">
        <f>+'Tablas Servicio'!N118</f>
        <v>94</v>
      </c>
      <c r="E85" s="66">
        <f>+'Tablas Servicio'!AC118</f>
        <v>16.899999999999999</v>
      </c>
      <c r="F85" s="66">
        <f>+IF(A85="","",'Tablas Servicio'!O118-'Modelo Financiero'!E85)</f>
        <v>0.60000000000000142</v>
      </c>
      <c r="G85" s="58">
        <f t="shared" si="26"/>
        <v>11.972</v>
      </c>
      <c r="H85" s="66">
        <f>+'Tablas Servicio'!G118</f>
        <v>33.96</v>
      </c>
      <c r="I85" s="72">
        <f t="shared" si="27"/>
        <v>0.48468786808009423</v>
      </c>
      <c r="J85" s="66">
        <f t="shared" si="28"/>
        <v>16.46</v>
      </c>
      <c r="K85" s="66">
        <f>+'Tablas Servicio'!H118</f>
        <v>35.31</v>
      </c>
      <c r="L85" s="66">
        <f>+IF(A85="","",ROUND(H85*Parámetros!$D$100,2))</f>
        <v>3.96</v>
      </c>
      <c r="M85" s="58">
        <f>+IF(A85="","",IF(AND(A85=1,B85=1),Parámetros!$D$114*(D85*frec-$G$3-$H$3),IF(AND(A85=2,B85=frec+1),Parámetros!$D$115*(D85*frec-$G$4-$H$4),0)))</f>
        <v>0</v>
      </c>
      <c r="N85" s="58">
        <f>+IF(A85="","",IF(A85&gt;Parámetros!$D$117,0,ROUND('Modelo Financiero'!D85*Parámetros!$D$116,2)))</f>
        <v>10.97</v>
      </c>
      <c r="O85" s="58">
        <f t="shared" si="29"/>
        <v>7.0100000000000007</v>
      </c>
      <c r="P85" s="66">
        <f>+'Tablas Servicio'!I118</f>
        <v>51.68</v>
      </c>
      <c r="Q85" s="66">
        <f>+'Tablas Servicio'!S118</f>
        <v>4908.13</v>
      </c>
      <c r="R85" s="66">
        <f>+'Tablas Servicio'!T118</f>
        <v>3681.1</v>
      </c>
      <c r="S85" s="66">
        <f t="shared" si="25"/>
        <v>28.997999999999998</v>
      </c>
      <c r="T85" s="66">
        <f t="shared" si="34"/>
        <v>1031.9819999999993</v>
      </c>
      <c r="U85" s="66">
        <f t="shared" si="30"/>
        <v>2259.0119999999997</v>
      </c>
      <c r="V85" s="81">
        <f t="shared" si="31"/>
        <v>0</v>
      </c>
      <c r="W85" s="66">
        <f t="shared" si="32"/>
        <v>0</v>
      </c>
      <c r="X85" s="66">
        <f t="shared" si="33"/>
        <v>2259.0119999999997</v>
      </c>
    </row>
    <row r="86" spans="1:24" x14ac:dyDescent="0.25">
      <c r="A86">
        <f>+'Tablas Servicio'!B119</f>
        <v>7</v>
      </c>
      <c r="B86">
        <f>+'Tablas Servicio'!C119</f>
        <v>78</v>
      </c>
      <c r="C86" s="56">
        <f>+'Tablas Servicio'!D119</f>
        <v>46.520000000000188</v>
      </c>
      <c r="D86" s="58">
        <f>+'Tablas Servicio'!N119</f>
        <v>94</v>
      </c>
      <c r="E86" s="66">
        <f>+'Tablas Servicio'!AC119</f>
        <v>16.899999999999999</v>
      </c>
      <c r="F86" s="66">
        <f>+IF(A86="","",'Tablas Servicio'!O119-'Modelo Financiero'!E86)</f>
        <v>0.60000000000000142</v>
      </c>
      <c r="G86" s="58">
        <f t="shared" si="26"/>
        <v>11.972</v>
      </c>
      <c r="H86" s="66">
        <f>+'Tablas Servicio'!G119</f>
        <v>33.96</v>
      </c>
      <c r="I86" s="72">
        <f t="shared" si="27"/>
        <v>0.48468786808009423</v>
      </c>
      <c r="J86" s="66">
        <f t="shared" si="28"/>
        <v>16.46</v>
      </c>
      <c r="K86" s="66">
        <f>+'Tablas Servicio'!H119</f>
        <v>35.31</v>
      </c>
      <c r="L86" s="66">
        <f>+IF(A86="","",ROUND(H86*Parámetros!$D$100,2))</f>
        <v>3.96</v>
      </c>
      <c r="M86" s="58">
        <f>+IF(A86="","",IF(AND(A86=1,B86=1),Parámetros!$D$114*(D86*frec-$G$3-$H$3),IF(AND(A86=2,B86=frec+1),Parámetros!$D$115*(D86*frec-$G$4-$H$4),0)))</f>
        <v>0</v>
      </c>
      <c r="N86" s="58">
        <f>+IF(A86="","",IF(A86&gt;Parámetros!$D$117,0,ROUND('Modelo Financiero'!D86*Parámetros!$D$116,2)))</f>
        <v>10.97</v>
      </c>
      <c r="O86" s="58">
        <f t="shared" si="29"/>
        <v>7.0100000000000007</v>
      </c>
      <c r="P86" s="66">
        <f>+'Tablas Servicio'!I119</f>
        <v>51.68</v>
      </c>
      <c r="Q86" s="66">
        <f>+'Tablas Servicio'!S119</f>
        <v>4973.88</v>
      </c>
      <c r="R86" s="66">
        <f>+'Tablas Servicio'!T119</f>
        <v>3730.41</v>
      </c>
      <c r="S86" s="66">
        <f t="shared" si="25"/>
        <v>28.997999999999998</v>
      </c>
      <c r="T86" s="66">
        <f t="shared" si="34"/>
        <v>1060.9799999999993</v>
      </c>
      <c r="U86" s="66">
        <f t="shared" si="30"/>
        <v>2304.4499999999998</v>
      </c>
      <c r="V86" s="81">
        <f t="shared" si="31"/>
        <v>0</v>
      </c>
      <c r="W86" s="66">
        <f t="shared" si="32"/>
        <v>0</v>
      </c>
      <c r="X86" s="66">
        <f t="shared" si="33"/>
        <v>2304.4499999999998</v>
      </c>
    </row>
    <row r="87" spans="1:24" x14ac:dyDescent="0.25">
      <c r="A87">
        <f>+'Tablas Servicio'!B120</f>
        <v>7</v>
      </c>
      <c r="B87">
        <f>+'Tablas Servicio'!C120</f>
        <v>79</v>
      </c>
      <c r="C87" s="56">
        <f>+'Tablas Servicio'!D120</f>
        <v>46.603333333333524</v>
      </c>
      <c r="D87" s="58">
        <f>+'Tablas Servicio'!N120</f>
        <v>94</v>
      </c>
      <c r="E87" s="66">
        <f>+'Tablas Servicio'!AC120</f>
        <v>16.899999999999999</v>
      </c>
      <c r="F87" s="66">
        <f>+IF(A87="","",'Tablas Servicio'!O120-'Modelo Financiero'!E87)</f>
        <v>0.60000000000000142</v>
      </c>
      <c r="G87" s="58">
        <f t="shared" si="26"/>
        <v>11.972</v>
      </c>
      <c r="H87" s="66">
        <f>+'Tablas Servicio'!G120</f>
        <v>33.96</v>
      </c>
      <c r="I87" s="72">
        <f t="shared" si="27"/>
        <v>0.48468786808009423</v>
      </c>
      <c r="J87" s="66">
        <f t="shared" si="28"/>
        <v>16.46</v>
      </c>
      <c r="K87" s="66">
        <f>+'Tablas Servicio'!H120</f>
        <v>35.31</v>
      </c>
      <c r="L87" s="66">
        <f>+IF(A87="","",ROUND(H87*Parámetros!$D$100,2))</f>
        <v>3.96</v>
      </c>
      <c r="M87" s="58">
        <f>+IF(A87="","",IF(AND(A87=1,B87=1),Parámetros!$D$114*(D87*frec-$G$3-$H$3),IF(AND(A87=2,B87=frec+1),Parámetros!$D$115*(D87*frec-$G$4-$H$4),0)))</f>
        <v>0</v>
      </c>
      <c r="N87" s="58">
        <f>+IF(A87="","",IF(A87&gt;Parámetros!$D$117,0,ROUND('Modelo Financiero'!D87*Parámetros!$D$116,2)))</f>
        <v>10.97</v>
      </c>
      <c r="O87" s="58">
        <f t="shared" si="29"/>
        <v>7.0100000000000007</v>
      </c>
      <c r="P87" s="66">
        <f>+'Tablas Servicio'!I120</f>
        <v>51.68</v>
      </c>
      <c r="Q87" s="66">
        <f>+'Tablas Servicio'!S120</f>
        <v>5039.8100000000004</v>
      </c>
      <c r="R87" s="66">
        <f>+'Tablas Servicio'!T120</f>
        <v>3779.86</v>
      </c>
      <c r="S87" s="66">
        <f t="shared" si="25"/>
        <v>28.997999999999998</v>
      </c>
      <c r="T87" s="66">
        <f t="shared" si="34"/>
        <v>1089.9779999999994</v>
      </c>
      <c r="U87" s="66">
        <f t="shared" si="30"/>
        <v>2349.9279999999999</v>
      </c>
      <c r="V87" s="81">
        <f t="shared" si="31"/>
        <v>0</v>
      </c>
      <c r="W87" s="66">
        <f t="shared" si="32"/>
        <v>0</v>
      </c>
      <c r="X87" s="66">
        <f t="shared" si="33"/>
        <v>2349.9279999999999</v>
      </c>
    </row>
    <row r="88" spans="1:24" x14ac:dyDescent="0.25">
      <c r="A88">
        <f>+'Tablas Servicio'!B121</f>
        <v>7</v>
      </c>
      <c r="B88">
        <f>+'Tablas Servicio'!C121</f>
        <v>80</v>
      </c>
      <c r="C88" s="56">
        <f>+'Tablas Servicio'!D121</f>
        <v>46.686666666666859</v>
      </c>
      <c r="D88" s="58">
        <f>+'Tablas Servicio'!N121</f>
        <v>94</v>
      </c>
      <c r="E88" s="66">
        <f>+'Tablas Servicio'!AC121</f>
        <v>16.899999999999999</v>
      </c>
      <c r="F88" s="66">
        <f>+IF(A88="","",'Tablas Servicio'!O121-'Modelo Financiero'!E88)</f>
        <v>0.60000000000000142</v>
      </c>
      <c r="G88" s="58">
        <f t="shared" si="26"/>
        <v>11.972</v>
      </c>
      <c r="H88" s="66">
        <f>+'Tablas Servicio'!G121</f>
        <v>33.96</v>
      </c>
      <c r="I88" s="72">
        <f t="shared" si="27"/>
        <v>0.48468786808009423</v>
      </c>
      <c r="J88" s="66">
        <f t="shared" si="28"/>
        <v>16.46</v>
      </c>
      <c r="K88" s="66">
        <f>+'Tablas Servicio'!H121</f>
        <v>35.31</v>
      </c>
      <c r="L88" s="66">
        <f>+IF(A88="","",ROUND(H88*Parámetros!$D$100,2))</f>
        <v>3.96</v>
      </c>
      <c r="M88" s="58">
        <f>+IF(A88="","",IF(AND(A88=1,B88=1),Parámetros!$D$114*(D88*frec-$G$3-$H$3),IF(AND(A88=2,B88=frec+1),Parámetros!$D$115*(D88*frec-$G$4-$H$4),0)))</f>
        <v>0</v>
      </c>
      <c r="N88" s="58">
        <f>+IF(A88="","",IF(A88&gt;Parámetros!$D$117,0,ROUND('Modelo Financiero'!D88*Parámetros!$D$116,2)))</f>
        <v>10.97</v>
      </c>
      <c r="O88" s="58">
        <f t="shared" si="29"/>
        <v>7.0100000000000007</v>
      </c>
      <c r="P88" s="66">
        <f>+'Tablas Servicio'!I121</f>
        <v>51.68</v>
      </c>
      <c r="Q88" s="66">
        <f>+'Tablas Servicio'!S121</f>
        <v>5105.93</v>
      </c>
      <c r="R88" s="66">
        <f>+'Tablas Servicio'!T121</f>
        <v>3829.45</v>
      </c>
      <c r="S88" s="66">
        <f t="shared" si="25"/>
        <v>28.997999999999998</v>
      </c>
      <c r="T88" s="66">
        <f t="shared" si="34"/>
        <v>1118.9759999999994</v>
      </c>
      <c r="U88" s="66">
        <f t="shared" si="30"/>
        <v>2395.4560000000001</v>
      </c>
      <c r="V88" s="81">
        <f t="shared" si="31"/>
        <v>0</v>
      </c>
      <c r="W88" s="66">
        <f t="shared" si="32"/>
        <v>0</v>
      </c>
      <c r="X88" s="66">
        <f t="shared" si="33"/>
        <v>2395.4560000000001</v>
      </c>
    </row>
    <row r="89" spans="1:24" x14ac:dyDescent="0.25">
      <c r="A89">
        <f>+'Tablas Servicio'!B122</f>
        <v>7</v>
      </c>
      <c r="B89">
        <f>+'Tablas Servicio'!C122</f>
        <v>81</v>
      </c>
      <c r="C89" s="56">
        <f>+'Tablas Servicio'!D122</f>
        <v>46.770000000000195</v>
      </c>
      <c r="D89" s="58">
        <f>+'Tablas Servicio'!N122</f>
        <v>94</v>
      </c>
      <c r="E89" s="66">
        <f>+'Tablas Servicio'!AC122</f>
        <v>16.899999999999999</v>
      </c>
      <c r="F89" s="66">
        <f>+IF(A89="","",'Tablas Servicio'!O122-'Modelo Financiero'!E89)</f>
        <v>0.60000000000000142</v>
      </c>
      <c r="G89" s="58">
        <f t="shared" si="26"/>
        <v>11.972</v>
      </c>
      <c r="H89" s="66">
        <f>+'Tablas Servicio'!G122</f>
        <v>33.96</v>
      </c>
      <c r="I89" s="72">
        <f t="shared" si="27"/>
        <v>0.48468786808009423</v>
      </c>
      <c r="J89" s="66">
        <f t="shared" si="28"/>
        <v>16.46</v>
      </c>
      <c r="K89" s="66">
        <f>+'Tablas Servicio'!H122</f>
        <v>35.31</v>
      </c>
      <c r="L89" s="66">
        <f>+IF(A89="","",ROUND(H89*Parámetros!$D$100,2))</f>
        <v>3.96</v>
      </c>
      <c r="M89" s="58">
        <f>+IF(A89="","",IF(AND(A89=1,B89=1),Parámetros!$D$114*(D89*frec-$G$3-$H$3),IF(AND(A89=2,B89=frec+1),Parámetros!$D$115*(D89*frec-$G$4-$H$4),0)))</f>
        <v>0</v>
      </c>
      <c r="N89" s="58">
        <f>+IF(A89="","",IF(A89&gt;Parámetros!$D$117,0,ROUND('Modelo Financiero'!D89*Parámetros!$D$116,2)))</f>
        <v>10.97</v>
      </c>
      <c r="O89" s="58">
        <f t="shared" si="29"/>
        <v>7.0100000000000007</v>
      </c>
      <c r="P89" s="66">
        <f>+'Tablas Servicio'!I122</f>
        <v>51.68</v>
      </c>
      <c r="Q89" s="66">
        <f>+'Tablas Servicio'!S122</f>
        <v>5172.24</v>
      </c>
      <c r="R89" s="66">
        <f>+'Tablas Servicio'!T122</f>
        <v>3879.18</v>
      </c>
      <c r="S89" s="66">
        <f t="shared" si="25"/>
        <v>28.997999999999998</v>
      </c>
      <c r="T89" s="66">
        <f t="shared" si="34"/>
        <v>1147.9739999999995</v>
      </c>
      <c r="U89" s="66">
        <f t="shared" si="30"/>
        <v>2441.0339999999997</v>
      </c>
      <c r="V89" s="81">
        <f t="shared" si="31"/>
        <v>0</v>
      </c>
      <c r="W89" s="66">
        <f t="shared" si="32"/>
        <v>0</v>
      </c>
      <c r="X89" s="66">
        <f t="shared" si="33"/>
        <v>2441.0339999999997</v>
      </c>
    </row>
    <row r="90" spans="1:24" x14ac:dyDescent="0.25">
      <c r="A90">
        <f>+'Tablas Servicio'!B123</f>
        <v>7</v>
      </c>
      <c r="B90">
        <f>+'Tablas Servicio'!C123</f>
        <v>82</v>
      </c>
      <c r="C90" s="56">
        <f>+'Tablas Servicio'!D123</f>
        <v>46.853333333333531</v>
      </c>
      <c r="D90" s="58">
        <f>+'Tablas Servicio'!N123</f>
        <v>94</v>
      </c>
      <c r="E90" s="66">
        <f>+'Tablas Servicio'!AC123</f>
        <v>16.899999999999999</v>
      </c>
      <c r="F90" s="66">
        <f>+IF(A90="","",'Tablas Servicio'!O123-'Modelo Financiero'!E90)</f>
        <v>0.60000000000000142</v>
      </c>
      <c r="G90" s="58">
        <f t="shared" si="26"/>
        <v>11.972</v>
      </c>
      <c r="H90" s="66">
        <f>+'Tablas Servicio'!G123</f>
        <v>33.96</v>
      </c>
      <c r="I90" s="72">
        <f t="shared" si="27"/>
        <v>0.48468786808009423</v>
      </c>
      <c r="J90" s="66">
        <f t="shared" si="28"/>
        <v>16.46</v>
      </c>
      <c r="K90" s="66">
        <f>+'Tablas Servicio'!H123</f>
        <v>35.31</v>
      </c>
      <c r="L90" s="66">
        <f>+IF(A90="","",ROUND(H90*Parámetros!$D$100,2))</f>
        <v>3.96</v>
      </c>
      <c r="M90" s="58">
        <f>+IF(A90="","",IF(AND(A90=1,B90=1),Parámetros!$D$114*(D90*frec-$G$3-$H$3),IF(AND(A90=2,B90=frec+1),Parámetros!$D$115*(D90*frec-$G$4-$H$4),0)))</f>
        <v>0</v>
      </c>
      <c r="N90" s="58">
        <f>+IF(A90="","",IF(A90&gt;Parámetros!$D$117,0,ROUND('Modelo Financiero'!D90*Parámetros!$D$116,2)))</f>
        <v>10.97</v>
      </c>
      <c r="O90" s="58">
        <f t="shared" si="29"/>
        <v>7.0100000000000007</v>
      </c>
      <c r="P90" s="66">
        <f>+'Tablas Servicio'!I123</f>
        <v>51.68</v>
      </c>
      <c r="Q90" s="66">
        <f>+'Tablas Servicio'!S123</f>
        <v>5238.74</v>
      </c>
      <c r="R90" s="66">
        <f>+'Tablas Servicio'!T123</f>
        <v>3929.06</v>
      </c>
      <c r="S90" s="66">
        <f t="shared" si="25"/>
        <v>28.997999999999998</v>
      </c>
      <c r="T90" s="66">
        <f t="shared" si="34"/>
        <v>1176.9719999999995</v>
      </c>
      <c r="U90" s="66">
        <f t="shared" si="30"/>
        <v>2486.6519999999991</v>
      </c>
      <c r="V90" s="81">
        <f t="shared" si="31"/>
        <v>0</v>
      </c>
      <c r="W90" s="66">
        <f t="shared" si="32"/>
        <v>0</v>
      </c>
      <c r="X90" s="66">
        <f t="shared" si="33"/>
        <v>2486.6519999999991</v>
      </c>
    </row>
    <row r="91" spans="1:24" x14ac:dyDescent="0.25">
      <c r="A91">
        <f>+'Tablas Servicio'!B124</f>
        <v>7</v>
      </c>
      <c r="B91">
        <f>+'Tablas Servicio'!C124</f>
        <v>83</v>
      </c>
      <c r="C91" s="56">
        <f>+'Tablas Servicio'!D124</f>
        <v>46.936666666666866</v>
      </c>
      <c r="D91" s="58">
        <f>+'Tablas Servicio'!N124</f>
        <v>94</v>
      </c>
      <c r="E91" s="66">
        <f>+'Tablas Servicio'!AC124</f>
        <v>16.899999999999999</v>
      </c>
      <c r="F91" s="66">
        <f>+IF(A91="","",'Tablas Servicio'!O124-'Modelo Financiero'!E91)</f>
        <v>0.60000000000000142</v>
      </c>
      <c r="G91" s="58">
        <f t="shared" si="26"/>
        <v>11.972</v>
      </c>
      <c r="H91" s="66">
        <f>+'Tablas Servicio'!G124</f>
        <v>33.96</v>
      </c>
      <c r="I91" s="72">
        <f t="shared" si="27"/>
        <v>0.48468786808009423</v>
      </c>
      <c r="J91" s="66">
        <f t="shared" si="28"/>
        <v>16.46</v>
      </c>
      <c r="K91" s="66">
        <f>+'Tablas Servicio'!H124</f>
        <v>35.31</v>
      </c>
      <c r="L91" s="66">
        <f>+IF(A91="","",ROUND(H91*Parámetros!$D$100,2))</f>
        <v>3.96</v>
      </c>
      <c r="M91" s="58">
        <f>+IF(A91="","",IF(AND(A91=1,B91=1),Parámetros!$D$114*(D91*frec-$G$3-$H$3),IF(AND(A91=2,B91=frec+1),Parámetros!$D$115*(D91*frec-$G$4-$H$4),0)))</f>
        <v>0</v>
      </c>
      <c r="N91" s="58">
        <f>+IF(A91="","",IF(A91&gt;Parámetros!$D$117,0,ROUND('Modelo Financiero'!D91*Parámetros!$D$116,2)))</f>
        <v>10.97</v>
      </c>
      <c r="O91" s="58">
        <f t="shared" si="29"/>
        <v>7.0100000000000007</v>
      </c>
      <c r="P91" s="66">
        <f>+'Tablas Servicio'!I124</f>
        <v>51.68</v>
      </c>
      <c r="Q91" s="66">
        <f>+'Tablas Servicio'!S124</f>
        <v>5305.43</v>
      </c>
      <c r="R91" s="66">
        <f>+'Tablas Servicio'!T124</f>
        <v>3979.07</v>
      </c>
      <c r="S91" s="66">
        <f t="shared" si="25"/>
        <v>28.997999999999998</v>
      </c>
      <c r="T91" s="66">
        <f t="shared" si="34"/>
        <v>1205.9699999999996</v>
      </c>
      <c r="U91" s="66">
        <f t="shared" si="30"/>
        <v>2532.33</v>
      </c>
      <c r="V91" s="81">
        <f t="shared" si="31"/>
        <v>0</v>
      </c>
      <c r="W91" s="66">
        <f t="shared" si="32"/>
        <v>0</v>
      </c>
      <c r="X91" s="66">
        <f t="shared" si="33"/>
        <v>2532.33</v>
      </c>
    </row>
    <row r="92" spans="1:24" x14ac:dyDescent="0.25">
      <c r="A92">
        <f>+'Tablas Servicio'!B125</f>
        <v>7</v>
      </c>
      <c r="B92">
        <f>+'Tablas Servicio'!C125</f>
        <v>84</v>
      </c>
      <c r="C92" s="56">
        <f>+'Tablas Servicio'!D125</f>
        <v>47.020000000000202</v>
      </c>
      <c r="D92" s="58">
        <f>+'Tablas Servicio'!N125</f>
        <v>94</v>
      </c>
      <c r="E92" s="66">
        <f>+'Tablas Servicio'!AC125</f>
        <v>16.899999999999999</v>
      </c>
      <c r="F92" s="66">
        <f>+IF(A92="","",'Tablas Servicio'!O125-'Modelo Financiero'!E92)</f>
        <v>0.60000000000000142</v>
      </c>
      <c r="G92" s="58">
        <f t="shared" si="26"/>
        <v>11.972</v>
      </c>
      <c r="H92" s="66">
        <f>+'Tablas Servicio'!G125</f>
        <v>33.96</v>
      </c>
      <c r="I92" s="72">
        <f t="shared" si="27"/>
        <v>0.48468786808009423</v>
      </c>
      <c r="J92" s="66">
        <f t="shared" si="28"/>
        <v>16.46</v>
      </c>
      <c r="K92" s="66">
        <f>+'Tablas Servicio'!H125</f>
        <v>35.31</v>
      </c>
      <c r="L92" s="66">
        <f>+IF(A92="","",ROUND(H92*Parámetros!$D$100,2))</f>
        <v>3.96</v>
      </c>
      <c r="M92" s="58">
        <f>+IF(A92="","",IF(AND(A92=1,B92=1),Parámetros!$D$114*(D92*frec-$G$3-$H$3),IF(AND(A92=2,B92=frec+1),Parámetros!$D$115*(D92*frec-$G$4-$H$4),0)))</f>
        <v>0</v>
      </c>
      <c r="N92" s="58">
        <f>+IF(A92="","",IF(A92&gt;Parámetros!$D$117,0,ROUND('Modelo Financiero'!D92*Parámetros!$D$116,2)))</f>
        <v>10.97</v>
      </c>
      <c r="O92" s="58">
        <f t="shared" si="29"/>
        <v>7.0100000000000007</v>
      </c>
      <c r="P92" s="66">
        <f>+'Tablas Servicio'!I125</f>
        <v>51.68</v>
      </c>
      <c r="Q92" s="66">
        <f>+'Tablas Servicio'!S125</f>
        <v>5372.31</v>
      </c>
      <c r="R92" s="66">
        <f>+'Tablas Servicio'!T125</f>
        <v>4029.23</v>
      </c>
      <c r="S92" s="66">
        <f t="shared" si="25"/>
        <v>28.997999999999998</v>
      </c>
      <c r="T92" s="66">
        <f t="shared" si="34"/>
        <v>1234.9679999999996</v>
      </c>
      <c r="U92" s="66">
        <f t="shared" si="30"/>
        <v>2578.0479999999998</v>
      </c>
      <c r="V92" s="81">
        <f t="shared" si="31"/>
        <v>0</v>
      </c>
      <c r="W92" s="66">
        <f t="shared" si="32"/>
        <v>0</v>
      </c>
      <c r="X92" s="66">
        <f t="shared" si="33"/>
        <v>2578.0479999999998</v>
      </c>
    </row>
    <row r="93" spans="1:24" x14ac:dyDescent="0.25">
      <c r="A93">
        <f>+'Tablas Servicio'!B126</f>
        <v>8</v>
      </c>
      <c r="B93">
        <f>+'Tablas Servicio'!C126</f>
        <v>85</v>
      </c>
      <c r="C93" s="56">
        <f>+'Tablas Servicio'!D126</f>
        <v>47.103333333333538</v>
      </c>
      <c r="D93" s="58">
        <f>+'Tablas Servicio'!N126</f>
        <v>94</v>
      </c>
      <c r="E93" s="66">
        <f>+'Tablas Servicio'!AC126</f>
        <v>18</v>
      </c>
      <c r="F93" s="66">
        <f>+IF(A93="","",'Tablas Servicio'!O126-'Modelo Financiero'!E93)</f>
        <v>0.60000000000000142</v>
      </c>
      <c r="G93" s="58">
        <f t="shared" si="26"/>
        <v>12.72</v>
      </c>
      <c r="H93" s="66">
        <f>+'Tablas Servicio'!G126</f>
        <v>35.21</v>
      </c>
      <c r="I93" s="72">
        <f t="shared" si="27"/>
        <v>0.47174098267537634</v>
      </c>
      <c r="J93" s="66">
        <f t="shared" si="28"/>
        <v>16.61</v>
      </c>
      <c r="K93" s="66">
        <f>+'Tablas Servicio'!H126</f>
        <v>36.61</v>
      </c>
      <c r="L93" s="66">
        <f>+IF(A93="","",ROUND(H93*Parámetros!$D$100,2))</f>
        <v>4.1100000000000003</v>
      </c>
      <c r="M93" s="58">
        <f>+IF(A93="","",IF(AND(A93=1,B93=1),Parámetros!$D$114*(D93*frec-$G$3-$H$3),IF(AND(A93=2,B93=frec+1),Parámetros!$D$115*(D93*frec-$G$4-$H$4),0)))</f>
        <v>0</v>
      </c>
      <c r="N93" s="58">
        <f>+IF(A93="","",IF(A93&gt;Parámetros!$D$117,0,ROUND('Modelo Financiero'!D93*Parámetros!$D$116,2)))</f>
        <v>10.97</v>
      </c>
      <c r="O93" s="58">
        <f t="shared" si="29"/>
        <v>6.86</v>
      </c>
      <c r="P93" s="66">
        <f>+'Tablas Servicio'!I126</f>
        <v>50.53</v>
      </c>
      <c r="Q93" s="66">
        <f>+'Tablas Servicio'!S126</f>
        <v>5438.22</v>
      </c>
      <c r="R93" s="66">
        <f>+'Tablas Servicio'!T126</f>
        <v>4622.49</v>
      </c>
      <c r="S93" s="66">
        <f t="shared" si="25"/>
        <v>29.35</v>
      </c>
      <c r="T93" s="66">
        <f t="shared" si="34"/>
        <v>1264.3179999999995</v>
      </c>
      <c r="U93" s="66">
        <f t="shared" si="30"/>
        <v>2080.0479999999998</v>
      </c>
      <c r="V93" s="81">
        <f t="shared" si="31"/>
        <v>0</v>
      </c>
      <c r="W93" s="66">
        <f t="shared" si="32"/>
        <v>0</v>
      </c>
      <c r="X93" s="66">
        <f t="shared" si="33"/>
        <v>2080.0479999999998</v>
      </c>
    </row>
    <row r="94" spans="1:24" x14ac:dyDescent="0.25">
      <c r="A94">
        <f>+'Tablas Servicio'!B127</f>
        <v>8</v>
      </c>
      <c r="B94">
        <f>+'Tablas Servicio'!C127</f>
        <v>86</v>
      </c>
      <c r="C94" s="56">
        <f>+'Tablas Servicio'!D127</f>
        <v>47.186666666666873</v>
      </c>
      <c r="D94" s="58">
        <f>+'Tablas Servicio'!N127</f>
        <v>94</v>
      </c>
      <c r="E94" s="66">
        <f>+'Tablas Servicio'!AC127</f>
        <v>18</v>
      </c>
      <c r="F94" s="66">
        <f>+IF(A94="","",'Tablas Servicio'!O127-'Modelo Financiero'!E94)</f>
        <v>0.60000000000000142</v>
      </c>
      <c r="G94" s="58">
        <f t="shared" si="26"/>
        <v>12.72</v>
      </c>
      <c r="H94" s="66">
        <f>+'Tablas Servicio'!G127</f>
        <v>35.21</v>
      </c>
      <c r="I94" s="72">
        <f t="shared" si="27"/>
        <v>0.47174098267537634</v>
      </c>
      <c r="J94" s="66">
        <f t="shared" si="28"/>
        <v>16.61</v>
      </c>
      <c r="K94" s="66">
        <f>+'Tablas Servicio'!H127</f>
        <v>36.61</v>
      </c>
      <c r="L94" s="66">
        <f>+IF(A94="","",ROUND(H94*Parámetros!$D$100,2))</f>
        <v>4.1100000000000003</v>
      </c>
      <c r="M94" s="58">
        <f>+IF(A94="","",IF(AND(A94=1,B94=1),Parámetros!$D$114*(D94*frec-$G$3-$H$3),IF(AND(A94=2,B94=frec+1),Parámetros!$D$115*(D94*frec-$G$4-$H$4),0)))</f>
        <v>0</v>
      </c>
      <c r="N94" s="58">
        <f>+IF(A94="","",IF(A94&gt;Parámetros!$D$117,0,ROUND('Modelo Financiero'!D94*Parámetros!$D$116,2)))</f>
        <v>10.97</v>
      </c>
      <c r="O94" s="58">
        <f t="shared" si="29"/>
        <v>6.86</v>
      </c>
      <c r="P94" s="66">
        <f>+'Tablas Servicio'!I127</f>
        <v>50.53</v>
      </c>
      <c r="Q94" s="66">
        <f>+'Tablas Servicio'!S127</f>
        <v>5504.32</v>
      </c>
      <c r="R94" s="66">
        <f>+'Tablas Servicio'!T127</f>
        <v>4678.67</v>
      </c>
      <c r="S94" s="66">
        <f t="shared" si="25"/>
        <v>29.35</v>
      </c>
      <c r="T94" s="66">
        <f t="shared" si="34"/>
        <v>1293.6679999999994</v>
      </c>
      <c r="U94" s="66">
        <f t="shared" si="30"/>
        <v>2119.3179999999993</v>
      </c>
      <c r="V94" s="81">
        <f t="shared" si="31"/>
        <v>0</v>
      </c>
      <c r="W94" s="66">
        <f t="shared" si="32"/>
        <v>0</v>
      </c>
      <c r="X94" s="66">
        <f t="shared" si="33"/>
        <v>2119.3179999999993</v>
      </c>
    </row>
    <row r="95" spans="1:24" x14ac:dyDescent="0.25">
      <c r="A95">
        <f>+'Tablas Servicio'!B128</f>
        <v>8</v>
      </c>
      <c r="B95">
        <f>+'Tablas Servicio'!C128</f>
        <v>87</v>
      </c>
      <c r="C95" s="56">
        <f>+'Tablas Servicio'!D128</f>
        <v>47.270000000000209</v>
      </c>
      <c r="D95" s="58">
        <f>+'Tablas Servicio'!N128</f>
        <v>94</v>
      </c>
      <c r="E95" s="66">
        <f>+'Tablas Servicio'!AC128</f>
        <v>18</v>
      </c>
      <c r="F95" s="66">
        <f>+IF(A95="","",'Tablas Servicio'!O128-'Modelo Financiero'!E95)</f>
        <v>0.60000000000000142</v>
      </c>
      <c r="G95" s="58">
        <f t="shared" si="26"/>
        <v>12.72</v>
      </c>
      <c r="H95" s="66">
        <f>+'Tablas Servicio'!G128</f>
        <v>35.21</v>
      </c>
      <c r="I95" s="72">
        <f t="shared" si="27"/>
        <v>0.47174098267537634</v>
      </c>
      <c r="J95" s="66">
        <f t="shared" si="28"/>
        <v>16.61</v>
      </c>
      <c r="K95" s="66">
        <f>+'Tablas Servicio'!H128</f>
        <v>36.61</v>
      </c>
      <c r="L95" s="66">
        <f>+IF(A95="","",ROUND(H95*Parámetros!$D$100,2))</f>
        <v>4.1100000000000003</v>
      </c>
      <c r="M95" s="58">
        <f>+IF(A95="","",IF(AND(A95=1,B95=1),Parámetros!$D$114*(D95*frec-$G$3-$H$3),IF(AND(A95=2,B95=frec+1),Parámetros!$D$115*(D95*frec-$G$4-$H$4),0)))</f>
        <v>0</v>
      </c>
      <c r="N95" s="58">
        <f>+IF(A95="","",IF(A95&gt;Parámetros!$D$117,0,ROUND('Modelo Financiero'!D95*Parámetros!$D$116,2)))</f>
        <v>10.97</v>
      </c>
      <c r="O95" s="58">
        <f t="shared" si="29"/>
        <v>6.86</v>
      </c>
      <c r="P95" s="66">
        <f>+'Tablas Servicio'!I128</f>
        <v>50.53</v>
      </c>
      <c r="Q95" s="66">
        <f>+'Tablas Servicio'!S128</f>
        <v>5570.61</v>
      </c>
      <c r="R95" s="66">
        <f>+'Tablas Servicio'!T128</f>
        <v>4735.0200000000004</v>
      </c>
      <c r="S95" s="66">
        <f t="shared" si="25"/>
        <v>29.35</v>
      </c>
      <c r="T95" s="66">
        <f t="shared" si="34"/>
        <v>1323.0179999999993</v>
      </c>
      <c r="U95" s="66">
        <f t="shared" si="30"/>
        <v>2158.6079999999984</v>
      </c>
      <c r="V95" s="81">
        <f t="shared" si="31"/>
        <v>0</v>
      </c>
      <c r="W95" s="66">
        <f t="shared" si="32"/>
        <v>0</v>
      </c>
      <c r="X95" s="66">
        <f t="shared" si="33"/>
        <v>2158.6079999999984</v>
      </c>
    </row>
    <row r="96" spans="1:24" x14ac:dyDescent="0.25">
      <c r="A96">
        <f>+'Tablas Servicio'!B129</f>
        <v>8</v>
      </c>
      <c r="B96">
        <f>+'Tablas Servicio'!C129</f>
        <v>88</v>
      </c>
      <c r="C96" s="56">
        <f>+'Tablas Servicio'!D129</f>
        <v>47.353333333333545</v>
      </c>
      <c r="D96" s="58">
        <f>+'Tablas Servicio'!N129</f>
        <v>94</v>
      </c>
      <c r="E96" s="66">
        <f>+'Tablas Servicio'!AC129</f>
        <v>18</v>
      </c>
      <c r="F96" s="66">
        <f>+IF(A96="","",'Tablas Servicio'!O129-'Modelo Financiero'!E96)</f>
        <v>0.60000000000000142</v>
      </c>
      <c r="G96" s="58">
        <f t="shared" si="26"/>
        <v>12.72</v>
      </c>
      <c r="H96" s="66">
        <f>+'Tablas Servicio'!G129</f>
        <v>35.21</v>
      </c>
      <c r="I96" s="72">
        <f t="shared" si="27"/>
        <v>0.47174098267537634</v>
      </c>
      <c r="J96" s="66">
        <f t="shared" si="28"/>
        <v>16.61</v>
      </c>
      <c r="K96" s="66">
        <f>+'Tablas Servicio'!H129</f>
        <v>36.61</v>
      </c>
      <c r="L96" s="66">
        <f>+IF(A96="","",ROUND(H96*Parámetros!$D$100,2))</f>
        <v>4.1100000000000003</v>
      </c>
      <c r="M96" s="58">
        <f>+IF(A96="","",IF(AND(A96=1,B96=1),Parámetros!$D$114*(D96*frec-$G$3-$H$3),IF(AND(A96=2,B96=frec+1),Parámetros!$D$115*(D96*frec-$G$4-$H$4),0)))</f>
        <v>0</v>
      </c>
      <c r="N96" s="58">
        <f>+IF(A96="","",IF(A96&gt;Parámetros!$D$117,0,ROUND('Modelo Financiero'!D96*Parámetros!$D$116,2)))</f>
        <v>10.97</v>
      </c>
      <c r="O96" s="58">
        <f t="shared" si="29"/>
        <v>6.86</v>
      </c>
      <c r="P96" s="66">
        <f>+'Tablas Servicio'!I129</f>
        <v>50.53</v>
      </c>
      <c r="Q96" s="66">
        <f>+'Tablas Servicio'!S129</f>
        <v>5637.08</v>
      </c>
      <c r="R96" s="66">
        <f>+'Tablas Servicio'!T129</f>
        <v>4791.5200000000004</v>
      </c>
      <c r="S96" s="66">
        <f t="shared" si="25"/>
        <v>29.35</v>
      </c>
      <c r="T96" s="66">
        <f t="shared" si="34"/>
        <v>1352.3679999999993</v>
      </c>
      <c r="U96" s="66">
        <f t="shared" si="30"/>
        <v>2197.927999999999</v>
      </c>
      <c r="V96" s="81">
        <f t="shared" si="31"/>
        <v>0</v>
      </c>
      <c r="W96" s="66">
        <f t="shared" si="32"/>
        <v>0</v>
      </c>
      <c r="X96" s="66">
        <f t="shared" si="33"/>
        <v>2197.927999999999</v>
      </c>
    </row>
    <row r="97" spans="1:24" x14ac:dyDescent="0.25">
      <c r="A97">
        <f>+'Tablas Servicio'!B130</f>
        <v>8</v>
      </c>
      <c r="B97">
        <f>+'Tablas Servicio'!C130</f>
        <v>89</v>
      </c>
      <c r="C97" s="56">
        <f>+'Tablas Servicio'!D130</f>
        <v>47.436666666666881</v>
      </c>
      <c r="D97" s="58">
        <f>+'Tablas Servicio'!N130</f>
        <v>94</v>
      </c>
      <c r="E97" s="66">
        <f>+'Tablas Servicio'!AC130</f>
        <v>18</v>
      </c>
      <c r="F97" s="66">
        <f>+IF(A97="","",'Tablas Servicio'!O130-'Modelo Financiero'!E97)</f>
        <v>0.60000000000000142</v>
      </c>
      <c r="G97" s="58">
        <f t="shared" si="26"/>
        <v>12.72</v>
      </c>
      <c r="H97" s="66">
        <f>+'Tablas Servicio'!G130</f>
        <v>35.21</v>
      </c>
      <c r="I97" s="72">
        <f t="shared" si="27"/>
        <v>0.47174098267537634</v>
      </c>
      <c r="J97" s="66">
        <f t="shared" si="28"/>
        <v>16.61</v>
      </c>
      <c r="K97" s="66">
        <f>+'Tablas Servicio'!H130</f>
        <v>36.61</v>
      </c>
      <c r="L97" s="66">
        <f>+IF(A97="","",ROUND(H97*Parámetros!$D$100,2))</f>
        <v>4.1100000000000003</v>
      </c>
      <c r="M97" s="58">
        <f>+IF(A97="","",IF(AND(A97=1,B97=1),Parámetros!$D$114*(D97*frec-$G$3-$H$3),IF(AND(A97=2,B97=frec+1),Parámetros!$D$115*(D97*frec-$G$4-$H$4),0)))</f>
        <v>0</v>
      </c>
      <c r="N97" s="58">
        <f>+IF(A97="","",IF(A97&gt;Parámetros!$D$117,0,ROUND('Modelo Financiero'!D97*Parámetros!$D$116,2)))</f>
        <v>10.97</v>
      </c>
      <c r="O97" s="58">
        <f t="shared" si="29"/>
        <v>6.86</v>
      </c>
      <c r="P97" s="66">
        <f>+'Tablas Servicio'!I130</f>
        <v>50.53</v>
      </c>
      <c r="Q97" s="66">
        <f>+'Tablas Servicio'!S130</f>
        <v>5703.74</v>
      </c>
      <c r="R97" s="66">
        <f>+'Tablas Servicio'!T130</f>
        <v>4848.18</v>
      </c>
      <c r="S97" s="66">
        <f t="shared" si="25"/>
        <v>29.35</v>
      </c>
      <c r="T97" s="66">
        <f t="shared" si="34"/>
        <v>1381.7179999999992</v>
      </c>
      <c r="U97" s="66">
        <f t="shared" si="30"/>
        <v>2237.2779999999984</v>
      </c>
      <c r="V97" s="81">
        <f t="shared" si="31"/>
        <v>0</v>
      </c>
      <c r="W97" s="66">
        <f t="shared" si="32"/>
        <v>0</v>
      </c>
      <c r="X97" s="66">
        <f t="shared" si="33"/>
        <v>2237.2779999999984</v>
      </c>
    </row>
    <row r="98" spans="1:24" x14ac:dyDescent="0.25">
      <c r="A98">
        <f>+'Tablas Servicio'!B131</f>
        <v>8</v>
      </c>
      <c r="B98">
        <f>+'Tablas Servicio'!C131</f>
        <v>90</v>
      </c>
      <c r="C98" s="56">
        <f>+'Tablas Servicio'!D131</f>
        <v>47.520000000000216</v>
      </c>
      <c r="D98" s="58">
        <f>+'Tablas Servicio'!N131</f>
        <v>94</v>
      </c>
      <c r="E98" s="66">
        <f>+'Tablas Servicio'!AC131</f>
        <v>18</v>
      </c>
      <c r="F98" s="66">
        <f>+IF(A98="","",'Tablas Servicio'!O131-'Modelo Financiero'!E98)</f>
        <v>0.60000000000000142</v>
      </c>
      <c r="G98" s="58">
        <f t="shared" si="26"/>
        <v>12.72</v>
      </c>
      <c r="H98" s="66">
        <f>+'Tablas Servicio'!G131</f>
        <v>35.21</v>
      </c>
      <c r="I98" s="72">
        <f t="shared" si="27"/>
        <v>0.47174098267537634</v>
      </c>
      <c r="J98" s="66">
        <f t="shared" si="28"/>
        <v>16.61</v>
      </c>
      <c r="K98" s="66">
        <f>+'Tablas Servicio'!H131</f>
        <v>36.61</v>
      </c>
      <c r="L98" s="66">
        <f>+IF(A98="","",ROUND(H98*Parámetros!$D$100,2))</f>
        <v>4.1100000000000003</v>
      </c>
      <c r="M98" s="58">
        <f>+IF(A98="","",IF(AND(A98=1,B98=1),Parámetros!$D$114*(D98*frec-$G$3-$H$3),IF(AND(A98=2,B98=frec+1),Parámetros!$D$115*(D98*frec-$G$4-$H$4),0)))</f>
        <v>0</v>
      </c>
      <c r="N98" s="58">
        <f>+IF(A98="","",IF(A98&gt;Parámetros!$D$117,0,ROUND('Modelo Financiero'!D98*Parámetros!$D$116,2)))</f>
        <v>10.97</v>
      </c>
      <c r="O98" s="58">
        <f t="shared" si="29"/>
        <v>6.86</v>
      </c>
      <c r="P98" s="66">
        <f>+'Tablas Servicio'!I131</f>
        <v>50.53</v>
      </c>
      <c r="Q98" s="66">
        <f>+'Tablas Servicio'!S131</f>
        <v>5770.59</v>
      </c>
      <c r="R98" s="66">
        <f>+'Tablas Servicio'!T131</f>
        <v>4905</v>
      </c>
      <c r="S98" s="66">
        <f t="shared" si="25"/>
        <v>29.35</v>
      </c>
      <c r="T98" s="66">
        <f t="shared" si="34"/>
        <v>1411.0679999999991</v>
      </c>
      <c r="U98" s="66">
        <f t="shared" si="30"/>
        <v>2276.6579999999994</v>
      </c>
      <c r="V98" s="81">
        <f t="shared" si="31"/>
        <v>0</v>
      </c>
      <c r="W98" s="66">
        <f t="shared" si="32"/>
        <v>0</v>
      </c>
      <c r="X98" s="66">
        <f t="shared" si="33"/>
        <v>2276.6579999999994</v>
      </c>
    </row>
    <row r="99" spans="1:24" x14ac:dyDescent="0.25">
      <c r="A99">
        <f>+'Tablas Servicio'!B132</f>
        <v>8</v>
      </c>
      <c r="B99">
        <f>+'Tablas Servicio'!C132</f>
        <v>91</v>
      </c>
      <c r="C99" s="56">
        <f>+'Tablas Servicio'!D132</f>
        <v>47.603333333333552</v>
      </c>
      <c r="D99" s="58">
        <f>+'Tablas Servicio'!N132</f>
        <v>94</v>
      </c>
      <c r="E99" s="66">
        <f>+'Tablas Servicio'!AC132</f>
        <v>18</v>
      </c>
      <c r="F99" s="66">
        <f>+IF(A99="","",'Tablas Servicio'!O132-'Modelo Financiero'!E99)</f>
        <v>0.60000000000000142</v>
      </c>
      <c r="G99" s="58">
        <f t="shared" si="26"/>
        <v>12.72</v>
      </c>
      <c r="H99" s="66">
        <f>+'Tablas Servicio'!G132</f>
        <v>35.21</v>
      </c>
      <c r="I99" s="72">
        <f t="shared" si="27"/>
        <v>0.47174098267537634</v>
      </c>
      <c r="J99" s="66">
        <f t="shared" si="28"/>
        <v>16.61</v>
      </c>
      <c r="K99" s="66">
        <f>+'Tablas Servicio'!H132</f>
        <v>36.61</v>
      </c>
      <c r="L99" s="66">
        <f>+IF(A99="","",ROUND(H99*Parámetros!$D$100,2))</f>
        <v>4.1100000000000003</v>
      </c>
      <c r="M99" s="58">
        <f>+IF(A99="","",IF(AND(A99=1,B99=1),Parámetros!$D$114*(D99*frec-$G$3-$H$3),IF(AND(A99=2,B99=frec+1),Parámetros!$D$115*(D99*frec-$G$4-$H$4),0)))</f>
        <v>0</v>
      </c>
      <c r="N99" s="58">
        <f>+IF(A99="","",IF(A99&gt;Parámetros!$D$117,0,ROUND('Modelo Financiero'!D99*Parámetros!$D$116,2)))</f>
        <v>10.97</v>
      </c>
      <c r="O99" s="58">
        <f t="shared" si="29"/>
        <v>6.86</v>
      </c>
      <c r="P99" s="66">
        <f>+'Tablas Servicio'!I132</f>
        <v>50.53</v>
      </c>
      <c r="Q99" s="66">
        <f>+'Tablas Servicio'!S132</f>
        <v>5837.63</v>
      </c>
      <c r="R99" s="66">
        <f>+'Tablas Servicio'!T132</f>
        <v>4961.99</v>
      </c>
      <c r="S99" s="66">
        <f t="shared" si="25"/>
        <v>29.35</v>
      </c>
      <c r="T99" s="66">
        <f t="shared" si="34"/>
        <v>1440.417999999999</v>
      </c>
      <c r="U99" s="66">
        <f t="shared" si="30"/>
        <v>2316.0579999999991</v>
      </c>
      <c r="V99" s="81">
        <f t="shared" si="31"/>
        <v>0</v>
      </c>
      <c r="W99" s="66">
        <f t="shared" si="32"/>
        <v>0</v>
      </c>
      <c r="X99" s="66">
        <f t="shared" si="33"/>
        <v>2316.0579999999991</v>
      </c>
    </row>
    <row r="100" spans="1:24" x14ac:dyDescent="0.25">
      <c r="A100">
        <f>+'Tablas Servicio'!B133</f>
        <v>8</v>
      </c>
      <c r="B100">
        <f>+'Tablas Servicio'!C133</f>
        <v>92</v>
      </c>
      <c r="C100" s="56">
        <f>+'Tablas Servicio'!D133</f>
        <v>47.686666666666888</v>
      </c>
      <c r="D100" s="58">
        <f>+'Tablas Servicio'!N133</f>
        <v>94</v>
      </c>
      <c r="E100" s="66">
        <f>+'Tablas Servicio'!AC133</f>
        <v>18</v>
      </c>
      <c r="F100" s="66">
        <f>+IF(A100="","",'Tablas Servicio'!O133-'Modelo Financiero'!E100)</f>
        <v>0.60000000000000142</v>
      </c>
      <c r="G100" s="58">
        <f t="shared" si="26"/>
        <v>12.72</v>
      </c>
      <c r="H100" s="66">
        <f>+'Tablas Servicio'!G133</f>
        <v>35.21</v>
      </c>
      <c r="I100" s="72">
        <f t="shared" si="27"/>
        <v>0.47174098267537634</v>
      </c>
      <c r="J100" s="66">
        <f t="shared" si="28"/>
        <v>16.61</v>
      </c>
      <c r="K100" s="66">
        <f>+'Tablas Servicio'!H133</f>
        <v>36.61</v>
      </c>
      <c r="L100" s="66">
        <f>+IF(A100="","",ROUND(H100*Parámetros!$D$100,2))</f>
        <v>4.1100000000000003</v>
      </c>
      <c r="M100" s="58">
        <f>+IF(A100="","",IF(AND(A100=1,B100=1),Parámetros!$D$114*(D100*frec-$G$3-$H$3),IF(AND(A100=2,B100=frec+1),Parámetros!$D$115*(D100*frec-$G$4-$H$4),0)))</f>
        <v>0</v>
      </c>
      <c r="N100" s="58">
        <f>+IF(A100="","",IF(A100&gt;Parámetros!$D$117,0,ROUND('Modelo Financiero'!D100*Parámetros!$D$116,2)))</f>
        <v>10.97</v>
      </c>
      <c r="O100" s="58">
        <f t="shared" si="29"/>
        <v>6.86</v>
      </c>
      <c r="P100" s="66">
        <f>+'Tablas Servicio'!I133</f>
        <v>50.53</v>
      </c>
      <c r="Q100" s="66">
        <f>+'Tablas Servicio'!S133</f>
        <v>5904.86</v>
      </c>
      <c r="R100" s="66">
        <f>+'Tablas Servicio'!T133</f>
        <v>5019.13</v>
      </c>
      <c r="S100" s="66">
        <f t="shared" si="25"/>
        <v>29.35</v>
      </c>
      <c r="T100" s="66">
        <f t="shared" si="34"/>
        <v>1469.7679999999989</v>
      </c>
      <c r="U100" s="66">
        <f t="shared" si="30"/>
        <v>2355.4979999999987</v>
      </c>
      <c r="V100" s="81">
        <f t="shared" si="31"/>
        <v>0</v>
      </c>
      <c r="W100" s="66">
        <f t="shared" si="32"/>
        <v>0</v>
      </c>
      <c r="X100" s="66">
        <f t="shared" si="33"/>
        <v>2355.4979999999987</v>
      </c>
    </row>
    <row r="101" spans="1:24" x14ac:dyDescent="0.25">
      <c r="A101">
        <f>+'Tablas Servicio'!B134</f>
        <v>8</v>
      </c>
      <c r="B101">
        <f>+'Tablas Servicio'!C134</f>
        <v>93</v>
      </c>
      <c r="C101" s="56">
        <f>+'Tablas Servicio'!D134</f>
        <v>47.770000000000223</v>
      </c>
      <c r="D101" s="58">
        <f>+'Tablas Servicio'!N134</f>
        <v>94</v>
      </c>
      <c r="E101" s="66">
        <f>+'Tablas Servicio'!AC134</f>
        <v>18</v>
      </c>
      <c r="F101" s="66">
        <f>+IF(A101="","",'Tablas Servicio'!O134-'Modelo Financiero'!E101)</f>
        <v>0.60000000000000142</v>
      </c>
      <c r="G101" s="58">
        <f t="shared" si="26"/>
        <v>12.72</v>
      </c>
      <c r="H101" s="66">
        <f>+'Tablas Servicio'!G134</f>
        <v>35.21</v>
      </c>
      <c r="I101" s="72">
        <f t="shared" si="27"/>
        <v>0.47174098267537634</v>
      </c>
      <c r="J101" s="66">
        <f t="shared" si="28"/>
        <v>16.61</v>
      </c>
      <c r="K101" s="66">
        <f>+'Tablas Servicio'!H134</f>
        <v>36.61</v>
      </c>
      <c r="L101" s="66">
        <f>+IF(A101="","",ROUND(H101*Parámetros!$D$100,2))</f>
        <v>4.1100000000000003</v>
      </c>
      <c r="M101" s="58">
        <f>+IF(A101="","",IF(AND(A101=1,B101=1),Parámetros!$D$114*(D101*frec-$G$3-$H$3),IF(AND(A101=2,B101=frec+1),Parámetros!$D$115*(D101*frec-$G$4-$H$4),0)))</f>
        <v>0</v>
      </c>
      <c r="N101" s="58">
        <f>+IF(A101="","",IF(A101&gt;Parámetros!$D$117,0,ROUND('Modelo Financiero'!D101*Parámetros!$D$116,2)))</f>
        <v>10.97</v>
      </c>
      <c r="O101" s="58">
        <f t="shared" si="29"/>
        <v>6.86</v>
      </c>
      <c r="P101" s="66">
        <f>+'Tablas Servicio'!I134</f>
        <v>50.53</v>
      </c>
      <c r="Q101" s="66">
        <f>+'Tablas Servicio'!S134</f>
        <v>5972.28</v>
      </c>
      <c r="R101" s="66">
        <f>+'Tablas Servicio'!T134</f>
        <v>5076.4399999999996</v>
      </c>
      <c r="S101" s="66">
        <f t="shared" si="25"/>
        <v>29.35</v>
      </c>
      <c r="T101" s="66">
        <f t="shared" si="34"/>
        <v>1499.1179999999988</v>
      </c>
      <c r="U101" s="66">
        <f t="shared" si="30"/>
        <v>2394.9579999999987</v>
      </c>
      <c r="V101" s="81">
        <f t="shared" si="31"/>
        <v>0</v>
      </c>
      <c r="W101" s="66">
        <f t="shared" si="32"/>
        <v>0</v>
      </c>
      <c r="X101" s="66">
        <f t="shared" si="33"/>
        <v>2394.9579999999987</v>
      </c>
    </row>
    <row r="102" spans="1:24" x14ac:dyDescent="0.25">
      <c r="A102">
        <f>+'Tablas Servicio'!B135</f>
        <v>8</v>
      </c>
      <c r="B102">
        <f>+'Tablas Servicio'!C135</f>
        <v>94</v>
      </c>
      <c r="C102" s="56">
        <f>+'Tablas Servicio'!D135</f>
        <v>47.853333333333559</v>
      </c>
      <c r="D102" s="58">
        <f>+'Tablas Servicio'!N135</f>
        <v>94</v>
      </c>
      <c r="E102" s="66">
        <f>+'Tablas Servicio'!AC135</f>
        <v>18</v>
      </c>
      <c r="F102" s="66">
        <f>+IF(A102="","",'Tablas Servicio'!O135-'Modelo Financiero'!E102)</f>
        <v>0.60000000000000142</v>
      </c>
      <c r="G102" s="58">
        <f t="shared" si="26"/>
        <v>12.72</v>
      </c>
      <c r="H102" s="66">
        <f>+'Tablas Servicio'!G135</f>
        <v>35.21</v>
      </c>
      <c r="I102" s="72">
        <f t="shared" si="27"/>
        <v>0.47174098267537634</v>
      </c>
      <c r="J102" s="66">
        <f t="shared" si="28"/>
        <v>16.61</v>
      </c>
      <c r="K102" s="66">
        <f>+'Tablas Servicio'!H135</f>
        <v>36.61</v>
      </c>
      <c r="L102" s="66">
        <f>+IF(A102="","",ROUND(H102*Parámetros!$D$100,2))</f>
        <v>4.1100000000000003</v>
      </c>
      <c r="M102" s="58">
        <f>+IF(A102="","",IF(AND(A102=1,B102=1),Parámetros!$D$114*(D102*frec-$G$3-$H$3),IF(AND(A102=2,B102=frec+1),Parámetros!$D$115*(D102*frec-$G$4-$H$4),0)))</f>
        <v>0</v>
      </c>
      <c r="N102" s="58">
        <f>+IF(A102="","",IF(A102&gt;Parámetros!$D$117,0,ROUND('Modelo Financiero'!D102*Parámetros!$D$116,2)))</f>
        <v>10.97</v>
      </c>
      <c r="O102" s="58">
        <f t="shared" si="29"/>
        <v>6.86</v>
      </c>
      <c r="P102" s="66">
        <f>+'Tablas Servicio'!I135</f>
        <v>50.53</v>
      </c>
      <c r="Q102" s="66">
        <f>+'Tablas Servicio'!S135</f>
        <v>6039.89</v>
      </c>
      <c r="R102" s="66">
        <f>+'Tablas Servicio'!T135</f>
        <v>5133.91</v>
      </c>
      <c r="S102" s="66">
        <f t="shared" si="25"/>
        <v>29.35</v>
      </c>
      <c r="T102" s="66">
        <f t="shared" si="34"/>
        <v>1528.4679999999987</v>
      </c>
      <c r="U102" s="66">
        <f t="shared" si="30"/>
        <v>2434.4479999999994</v>
      </c>
      <c r="V102" s="81">
        <f t="shared" si="31"/>
        <v>0</v>
      </c>
      <c r="W102" s="66">
        <f t="shared" si="32"/>
        <v>0</v>
      </c>
      <c r="X102" s="66">
        <f t="shared" si="33"/>
        <v>2434.4479999999994</v>
      </c>
    </row>
    <row r="103" spans="1:24" x14ac:dyDescent="0.25">
      <c r="A103">
        <f>+'Tablas Servicio'!B136</f>
        <v>8</v>
      </c>
      <c r="B103">
        <f>+'Tablas Servicio'!C136</f>
        <v>95</v>
      </c>
      <c r="C103" s="56">
        <f>+'Tablas Servicio'!D136</f>
        <v>47.936666666666895</v>
      </c>
      <c r="D103" s="58">
        <f>+'Tablas Servicio'!N136</f>
        <v>94</v>
      </c>
      <c r="E103" s="66">
        <f>+'Tablas Servicio'!AC136</f>
        <v>18</v>
      </c>
      <c r="F103" s="66">
        <f>+IF(A103="","",'Tablas Servicio'!O136-'Modelo Financiero'!E103)</f>
        <v>0.60000000000000142</v>
      </c>
      <c r="G103" s="58">
        <f t="shared" si="26"/>
        <v>12.72</v>
      </c>
      <c r="H103" s="66">
        <f>+'Tablas Servicio'!G136</f>
        <v>35.21</v>
      </c>
      <c r="I103" s="72">
        <f t="shared" si="27"/>
        <v>0.47174098267537634</v>
      </c>
      <c r="J103" s="66">
        <f t="shared" si="28"/>
        <v>16.61</v>
      </c>
      <c r="K103" s="66">
        <f>+'Tablas Servicio'!H136</f>
        <v>36.61</v>
      </c>
      <c r="L103" s="66">
        <f>+IF(A103="","",ROUND(H103*Parámetros!$D$100,2))</f>
        <v>4.1100000000000003</v>
      </c>
      <c r="M103" s="58">
        <f>+IF(A103="","",IF(AND(A103=1,B103=1),Parámetros!$D$114*(D103*frec-$G$3-$H$3),IF(AND(A103=2,B103=frec+1),Parámetros!$D$115*(D103*frec-$G$4-$H$4),0)))</f>
        <v>0</v>
      </c>
      <c r="N103" s="58">
        <f>+IF(A103="","",IF(A103&gt;Parámetros!$D$117,0,ROUND('Modelo Financiero'!D103*Parámetros!$D$116,2)))</f>
        <v>10.97</v>
      </c>
      <c r="O103" s="58">
        <f t="shared" si="29"/>
        <v>6.86</v>
      </c>
      <c r="P103" s="66">
        <f>+'Tablas Servicio'!I136</f>
        <v>50.53</v>
      </c>
      <c r="Q103" s="66">
        <f>+'Tablas Servicio'!S136</f>
        <v>6107.7</v>
      </c>
      <c r="R103" s="66">
        <f>+'Tablas Servicio'!T136</f>
        <v>5191.55</v>
      </c>
      <c r="S103" s="66">
        <f t="shared" si="25"/>
        <v>29.35</v>
      </c>
      <c r="T103" s="66">
        <f t="shared" si="34"/>
        <v>1557.8179999999986</v>
      </c>
      <c r="U103" s="66">
        <f t="shared" si="30"/>
        <v>2473.967999999998</v>
      </c>
      <c r="V103" s="81">
        <f t="shared" si="31"/>
        <v>0</v>
      </c>
      <c r="W103" s="66">
        <f t="shared" si="32"/>
        <v>0</v>
      </c>
      <c r="X103" s="66">
        <f t="shared" si="33"/>
        <v>2473.967999999998</v>
      </c>
    </row>
    <row r="104" spans="1:24" x14ac:dyDescent="0.25">
      <c r="A104">
        <f>+'Tablas Servicio'!B137</f>
        <v>8</v>
      </c>
      <c r="B104">
        <f>+'Tablas Servicio'!C137</f>
        <v>96</v>
      </c>
      <c r="C104" s="56">
        <f>+'Tablas Servicio'!D137</f>
        <v>48.020000000000231</v>
      </c>
      <c r="D104" s="58">
        <f>+'Tablas Servicio'!N137</f>
        <v>94</v>
      </c>
      <c r="E104" s="66">
        <f>+'Tablas Servicio'!AC137</f>
        <v>18</v>
      </c>
      <c r="F104" s="66">
        <f>+IF(A104="","",'Tablas Servicio'!O137-'Modelo Financiero'!E104)</f>
        <v>0.60000000000000142</v>
      </c>
      <c r="G104" s="58">
        <f t="shared" si="26"/>
        <v>12.72</v>
      </c>
      <c r="H104" s="66">
        <f>+'Tablas Servicio'!G137</f>
        <v>35.21</v>
      </c>
      <c r="I104" s="72">
        <f t="shared" si="27"/>
        <v>0.47174098267537634</v>
      </c>
      <c r="J104" s="66">
        <f t="shared" si="28"/>
        <v>16.61</v>
      </c>
      <c r="K104" s="66">
        <f>+'Tablas Servicio'!H137</f>
        <v>36.61</v>
      </c>
      <c r="L104" s="66">
        <f>+IF(A104="","",ROUND(H104*Parámetros!$D$100,2))</f>
        <v>4.1100000000000003</v>
      </c>
      <c r="M104" s="58">
        <f>+IF(A104="","",IF(AND(A104=1,B104=1),Parámetros!$D$114*(D104*frec-$G$3-$H$3),IF(AND(A104=2,B104=frec+1),Parámetros!$D$115*(D104*frec-$G$4-$H$4),0)))</f>
        <v>0</v>
      </c>
      <c r="N104" s="58">
        <f>+IF(A104="","",IF(A104&gt;Parámetros!$D$117,0,ROUND('Modelo Financiero'!D104*Parámetros!$D$116,2)))</f>
        <v>10.97</v>
      </c>
      <c r="O104" s="58">
        <f t="shared" si="29"/>
        <v>6.86</v>
      </c>
      <c r="P104" s="66">
        <f>+'Tablas Servicio'!I137</f>
        <v>50.53</v>
      </c>
      <c r="Q104" s="66">
        <f>+'Tablas Servicio'!S137</f>
        <v>6175.7</v>
      </c>
      <c r="R104" s="66">
        <f>+'Tablas Servicio'!T137</f>
        <v>5249.35</v>
      </c>
      <c r="S104" s="66">
        <f t="shared" si="25"/>
        <v>29.35</v>
      </c>
      <c r="T104" s="66">
        <f t="shared" si="34"/>
        <v>1587.1679999999985</v>
      </c>
      <c r="U104" s="66">
        <f t="shared" si="30"/>
        <v>2513.5179999999982</v>
      </c>
      <c r="V104" s="81">
        <f t="shared" si="31"/>
        <v>0</v>
      </c>
      <c r="W104" s="66">
        <f t="shared" si="32"/>
        <v>0</v>
      </c>
      <c r="X104" s="66">
        <f t="shared" si="33"/>
        <v>2513.5179999999982</v>
      </c>
    </row>
    <row r="105" spans="1:24" x14ac:dyDescent="0.25">
      <c r="A105">
        <f>+'Tablas Servicio'!B138</f>
        <v>9</v>
      </c>
      <c r="B105">
        <f>+'Tablas Servicio'!C138</f>
        <v>97</v>
      </c>
      <c r="C105" s="56">
        <f>+'Tablas Servicio'!D138</f>
        <v>48.103333333333566</v>
      </c>
      <c r="D105" s="58">
        <f>+'Tablas Servicio'!N138</f>
        <v>94</v>
      </c>
      <c r="E105" s="66">
        <f>+'Tablas Servicio'!AC138</f>
        <v>19.3</v>
      </c>
      <c r="F105" s="66">
        <f>+IF(A105="","",'Tablas Servicio'!O138-'Modelo Financiero'!E105)</f>
        <v>0.60000000000000142</v>
      </c>
      <c r="G105" s="58">
        <f t="shared" si="26"/>
        <v>13.604000000000001</v>
      </c>
      <c r="H105" s="66">
        <f>+'Tablas Servicio'!G138</f>
        <v>36.68</v>
      </c>
      <c r="I105" s="72">
        <f t="shared" si="27"/>
        <v>0.4574700109051254</v>
      </c>
      <c r="J105" s="66">
        <f t="shared" si="28"/>
        <v>16.779999999999998</v>
      </c>
      <c r="K105" s="66">
        <f>+'Tablas Servicio'!H138</f>
        <v>38.14</v>
      </c>
      <c r="L105" s="66">
        <f>+IF(A105="","",ROUND(H105*Parámetros!$D$100,2))</f>
        <v>4.28</v>
      </c>
      <c r="M105" s="58">
        <f>+IF(A105="","",IF(AND(A105=1,B105=1),Parámetros!$D$114*(D105*frec-$G$3-$H$3),IF(AND(A105=2,B105=frec+1),Parámetros!$D$115*(D105*frec-$G$4-$H$4),0)))</f>
        <v>0</v>
      </c>
      <c r="N105" s="58">
        <f>+IF(A105="","",IF(A105&gt;Parámetros!$D$117,0,ROUND('Modelo Financiero'!D105*Parámetros!$D$116,2)))</f>
        <v>10.97</v>
      </c>
      <c r="O105" s="58">
        <f t="shared" si="29"/>
        <v>6.69</v>
      </c>
      <c r="P105" s="66">
        <f>+'Tablas Servicio'!I138</f>
        <v>49.17</v>
      </c>
      <c r="Q105" s="66">
        <f>+'Tablas Servicio'!S138</f>
        <v>6242.53</v>
      </c>
      <c r="R105" s="66">
        <f>+'Tablas Servicio'!T138</f>
        <v>5930.4</v>
      </c>
      <c r="S105" s="66">
        <f t="shared" si="25"/>
        <v>29.765999999999998</v>
      </c>
      <c r="T105" s="66">
        <f t="shared" si="34"/>
        <v>1616.9339999999986</v>
      </c>
      <c r="U105" s="66">
        <f t="shared" si="30"/>
        <v>1929.0639999999987</v>
      </c>
      <c r="V105" s="81">
        <f t="shared" si="31"/>
        <v>0</v>
      </c>
      <c r="W105" s="66">
        <f t="shared" si="32"/>
        <v>0</v>
      </c>
      <c r="X105" s="66">
        <f t="shared" si="33"/>
        <v>1929.0639999999987</v>
      </c>
    </row>
    <row r="106" spans="1:24" x14ac:dyDescent="0.25">
      <c r="A106">
        <f>+'Tablas Servicio'!B139</f>
        <v>9</v>
      </c>
      <c r="B106">
        <f>+'Tablas Servicio'!C139</f>
        <v>98</v>
      </c>
      <c r="C106" s="56">
        <f>+'Tablas Servicio'!D139</f>
        <v>48.186666666666902</v>
      </c>
      <c r="D106" s="58">
        <f>+'Tablas Servicio'!N139</f>
        <v>94</v>
      </c>
      <c r="E106" s="66">
        <f>+'Tablas Servicio'!AC139</f>
        <v>19.3</v>
      </c>
      <c r="F106" s="66">
        <f>+IF(A106="","",'Tablas Servicio'!O139-'Modelo Financiero'!E106)</f>
        <v>0.60000000000000142</v>
      </c>
      <c r="G106" s="58">
        <f t="shared" si="26"/>
        <v>13.604000000000001</v>
      </c>
      <c r="H106" s="66">
        <f>+'Tablas Servicio'!G139</f>
        <v>36.68</v>
      </c>
      <c r="I106" s="72">
        <f t="shared" si="27"/>
        <v>0.4574700109051254</v>
      </c>
      <c r="J106" s="66">
        <f t="shared" si="28"/>
        <v>16.779999999999998</v>
      </c>
      <c r="K106" s="66">
        <f>+'Tablas Servicio'!H139</f>
        <v>38.14</v>
      </c>
      <c r="L106" s="66">
        <f>+IF(A106="","",ROUND(H106*Parámetros!$D$100,2))</f>
        <v>4.28</v>
      </c>
      <c r="M106" s="58">
        <f>+IF(A106="","",IF(AND(A106=1,B106=1),Parámetros!$D$114*(D106*frec-$G$3-$H$3),IF(AND(A106=2,B106=frec+1),Parámetros!$D$115*(D106*frec-$G$4-$H$4),0)))</f>
        <v>0</v>
      </c>
      <c r="N106" s="58">
        <f>+IF(A106="","",IF(A106&gt;Parámetros!$D$117,0,ROUND('Modelo Financiero'!D106*Parámetros!$D$116,2)))</f>
        <v>10.97</v>
      </c>
      <c r="O106" s="58">
        <f t="shared" si="29"/>
        <v>6.69</v>
      </c>
      <c r="P106" s="66">
        <f>+'Tablas Servicio'!I139</f>
        <v>49.17</v>
      </c>
      <c r="Q106" s="66">
        <f>+'Tablas Servicio'!S139</f>
        <v>6309.55</v>
      </c>
      <c r="R106" s="66">
        <f>+'Tablas Servicio'!T139</f>
        <v>5994.07</v>
      </c>
      <c r="S106" s="66">
        <f t="shared" si="25"/>
        <v>29.765999999999998</v>
      </c>
      <c r="T106" s="66">
        <f t="shared" si="34"/>
        <v>1646.6999999999987</v>
      </c>
      <c r="U106" s="66">
        <f t="shared" si="30"/>
        <v>1962.1799999999992</v>
      </c>
      <c r="V106" s="81">
        <f t="shared" si="31"/>
        <v>0</v>
      </c>
      <c r="W106" s="66">
        <f t="shared" si="32"/>
        <v>0</v>
      </c>
      <c r="X106" s="66">
        <f t="shared" si="33"/>
        <v>1962.1799999999992</v>
      </c>
    </row>
    <row r="107" spans="1:24" x14ac:dyDescent="0.25">
      <c r="A107">
        <f>+'Tablas Servicio'!B140</f>
        <v>9</v>
      </c>
      <c r="B107">
        <f>+'Tablas Servicio'!C140</f>
        <v>99</v>
      </c>
      <c r="C107" s="56">
        <f>+'Tablas Servicio'!D140</f>
        <v>48.270000000000238</v>
      </c>
      <c r="D107" s="58">
        <f>+'Tablas Servicio'!N140</f>
        <v>94</v>
      </c>
      <c r="E107" s="66">
        <f>+'Tablas Servicio'!AC140</f>
        <v>19.3</v>
      </c>
      <c r="F107" s="66">
        <f>+IF(A107="","",'Tablas Servicio'!O140-'Modelo Financiero'!E107)</f>
        <v>0.60000000000000142</v>
      </c>
      <c r="G107" s="58">
        <f t="shared" si="26"/>
        <v>13.604000000000001</v>
      </c>
      <c r="H107" s="66">
        <f>+'Tablas Servicio'!G140</f>
        <v>36.68</v>
      </c>
      <c r="I107" s="72">
        <f t="shared" si="27"/>
        <v>0.4574700109051254</v>
      </c>
      <c r="J107" s="66">
        <f t="shared" si="28"/>
        <v>16.779999999999998</v>
      </c>
      <c r="K107" s="66">
        <f>+'Tablas Servicio'!H140</f>
        <v>38.14</v>
      </c>
      <c r="L107" s="66">
        <f>+IF(A107="","",ROUND(H107*Parámetros!$D$100,2))</f>
        <v>4.28</v>
      </c>
      <c r="M107" s="58">
        <f>+IF(A107="","",IF(AND(A107=1,B107=1),Parámetros!$D$114*(D107*frec-$G$3-$H$3),IF(AND(A107=2,B107=frec+1),Parámetros!$D$115*(D107*frec-$G$4-$H$4),0)))</f>
        <v>0</v>
      </c>
      <c r="N107" s="58">
        <f>+IF(A107="","",IF(A107&gt;Parámetros!$D$117,0,ROUND('Modelo Financiero'!D107*Parámetros!$D$116,2)))</f>
        <v>10.97</v>
      </c>
      <c r="O107" s="58">
        <f t="shared" si="29"/>
        <v>6.69</v>
      </c>
      <c r="P107" s="66">
        <f>+'Tablas Servicio'!I140</f>
        <v>49.17</v>
      </c>
      <c r="Q107" s="66">
        <f>+'Tablas Servicio'!S140</f>
        <v>6376.76</v>
      </c>
      <c r="R107" s="66">
        <f>+'Tablas Servicio'!T140</f>
        <v>6057.92</v>
      </c>
      <c r="S107" s="66">
        <f t="shared" si="25"/>
        <v>29.765999999999998</v>
      </c>
      <c r="T107" s="66">
        <f t="shared" si="34"/>
        <v>1676.4659999999988</v>
      </c>
      <c r="U107" s="66">
        <f t="shared" si="30"/>
        <v>1995.3059999999989</v>
      </c>
      <c r="V107" s="81">
        <f t="shared" si="31"/>
        <v>0</v>
      </c>
      <c r="W107" s="66">
        <f t="shared" si="32"/>
        <v>0</v>
      </c>
      <c r="X107" s="66">
        <f t="shared" si="33"/>
        <v>1995.3059999999989</v>
      </c>
    </row>
    <row r="108" spans="1:24" x14ac:dyDescent="0.25">
      <c r="A108">
        <f>+'Tablas Servicio'!B141</f>
        <v>9</v>
      </c>
      <c r="B108">
        <f>+'Tablas Servicio'!C141</f>
        <v>100</v>
      </c>
      <c r="C108" s="56">
        <f>+'Tablas Servicio'!D141</f>
        <v>48.353333333333573</v>
      </c>
      <c r="D108" s="58">
        <f>+'Tablas Servicio'!N141</f>
        <v>94</v>
      </c>
      <c r="E108" s="66">
        <f>+'Tablas Servicio'!AC141</f>
        <v>19.3</v>
      </c>
      <c r="F108" s="66">
        <f>+IF(A108="","",'Tablas Servicio'!O141-'Modelo Financiero'!E108)</f>
        <v>0.60000000000000142</v>
      </c>
      <c r="G108" s="58">
        <f t="shared" si="26"/>
        <v>13.604000000000001</v>
      </c>
      <c r="H108" s="66">
        <f>+'Tablas Servicio'!G141</f>
        <v>36.68</v>
      </c>
      <c r="I108" s="72">
        <f t="shared" si="27"/>
        <v>0.4574700109051254</v>
      </c>
      <c r="J108" s="66">
        <f t="shared" si="28"/>
        <v>16.779999999999998</v>
      </c>
      <c r="K108" s="66">
        <f>+'Tablas Servicio'!H141</f>
        <v>38.14</v>
      </c>
      <c r="L108" s="66">
        <f>+IF(A108="","",ROUND(H108*Parámetros!$D$100,2))</f>
        <v>4.28</v>
      </c>
      <c r="M108" s="58">
        <f>+IF(A108="","",IF(AND(A108=1,B108=1),Parámetros!$D$114*(D108*frec-$G$3-$H$3),IF(AND(A108=2,B108=frec+1),Parámetros!$D$115*(D108*frec-$G$4-$H$4),0)))</f>
        <v>0</v>
      </c>
      <c r="N108" s="58">
        <f>+IF(A108="","",IF(A108&gt;Parámetros!$D$117,0,ROUND('Modelo Financiero'!D108*Parámetros!$D$116,2)))</f>
        <v>10.97</v>
      </c>
      <c r="O108" s="58">
        <f t="shared" si="29"/>
        <v>6.69</v>
      </c>
      <c r="P108" s="66">
        <f>+'Tablas Servicio'!I141</f>
        <v>49.17</v>
      </c>
      <c r="Q108" s="66">
        <f>+'Tablas Servicio'!S141</f>
        <v>6444.16</v>
      </c>
      <c r="R108" s="66">
        <f>+'Tablas Servicio'!T141</f>
        <v>6121.95</v>
      </c>
      <c r="S108" s="66">
        <f t="shared" si="25"/>
        <v>29.765999999999998</v>
      </c>
      <c r="T108" s="66">
        <f t="shared" si="34"/>
        <v>1706.2319999999988</v>
      </c>
      <c r="U108" s="66">
        <f t="shared" si="30"/>
        <v>2028.4419999999989</v>
      </c>
      <c r="V108" s="81">
        <f t="shared" si="31"/>
        <v>0</v>
      </c>
      <c r="W108" s="66">
        <f t="shared" si="32"/>
        <v>0</v>
      </c>
      <c r="X108" s="66">
        <f t="shared" si="33"/>
        <v>2028.4419999999989</v>
      </c>
    </row>
    <row r="109" spans="1:24" x14ac:dyDescent="0.25">
      <c r="A109">
        <f>+'Tablas Servicio'!B142</f>
        <v>9</v>
      </c>
      <c r="B109">
        <f>+'Tablas Servicio'!C142</f>
        <v>101</v>
      </c>
      <c r="C109" s="56">
        <f>+'Tablas Servicio'!D142</f>
        <v>48.436666666666909</v>
      </c>
      <c r="D109" s="58">
        <f>+'Tablas Servicio'!N142</f>
        <v>94</v>
      </c>
      <c r="E109" s="66">
        <f>+'Tablas Servicio'!AC142</f>
        <v>19.3</v>
      </c>
      <c r="F109" s="66">
        <f>+IF(A109="","",'Tablas Servicio'!O142-'Modelo Financiero'!E109)</f>
        <v>0.60000000000000142</v>
      </c>
      <c r="G109" s="58">
        <f t="shared" si="26"/>
        <v>13.604000000000001</v>
      </c>
      <c r="H109" s="66">
        <f>+'Tablas Servicio'!G142</f>
        <v>36.68</v>
      </c>
      <c r="I109" s="72">
        <f t="shared" si="27"/>
        <v>0.4574700109051254</v>
      </c>
      <c r="J109" s="66">
        <f t="shared" si="28"/>
        <v>16.779999999999998</v>
      </c>
      <c r="K109" s="66">
        <f>+'Tablas Servicio'!H142</f>
        <v>38.14</v>
      </c>
      <c r="L109" s="66">
        <f>+IF(A109="","",ROUND(H109*Parámetros!$D$100,2))</f>
        <v>4.28</v>
      </c>
      <c r="M109" s="58">
        <f>+IF(A109="","",IF(AND(A109=1,B109=1),Parámetros!$D$114*(D109*frec-$G$3-$H$3),IF(AND(A109=2,B109=frec+1),Parámetros!$D$115*(D109*frec-$G$4-$H$4),0)))</f>
        <v>0</v>
      </c>
      <c r="N109" s="58">
        <f>+IF(A109="","",IF(A109&gt;Parámetros!$D$117,0,ROUND('Modelo Financiero'!D109*Parámetros!$D$116,2)))</f>
        <v>10.97</v>
      </c>
      <c r="O109" s="58">
        <f t="shared" si="29"/>
        <v>6.69</v>
      </c>
      <c r="P109" s="66">
        <f>+'Tablas Servicio'!I142</f>
        <v>49.17</v>
      </c>
      <c r="Q109" s="66">
        <f>+'Tablas Servicio'!S142</f>
        <v>6511.75</v>
      </c>
      <c r="R109" s="66">
        <f>+'Tablas Servicio'!T142</f>
        <v>6186.16</v>
      </c>
      <c r="S109" s="66">
        <f t="shared" si="25"/>
        <v>29.765999999999998</v>
      </c>
      <c r="T109" s="66">
        <f t="shared" si="34"/>
        <v>1735.9979999999989</v>
      </c>
      <c r="U109" s="66">
        <f t="shared" si="30"/>
        <v>2061.5879999999988</v>
      </c>
      <c r="V109" s="81">
        <f t="shared" si="31"/>
        <v>0</v>
      </c>
      <c r="W109" s="66">
        <f t="shared" si="32"/>
        <v>0</v>
      </c>
      <c r="X109" s="66">
        <f t="shared" si="33"/>
        <v>2061.5879999999988</v>
      </c>
    </row>
    <row r="110" spans="1:24" x14ac:dyDescent="0.25">
      <c r="A110">
        <f>+'Tablas Servicio'!B143</f>
        <v>9</v>
      </c>
      <c r="B110">
        <f>+'Tablas Servicio'!C143</f>
        <v>102</v>
      </c>
      <c r="C110" s="56">
        <f>+'Tablas Servicio'!D143</f>
        <v>48.520000000000245</v>
      </c>
      <c r="D110" s="58">
        <f>+'Tablas Servicio'!N143</f>
        <v>94</v>
      </c>
      <c r="E110" s="66">
        <f>+'Tablas Servicio'!AC143</f>
        <v>19.3</v>
      </c>
      <c r="F110" s="66">
        <f>+IF(A110="","",'Tablas Servicio'!O143-'Modelo Financiero'!E110)</f>
        <v>0.60000000000000142</v>
      </c>
      <c r="G110" s="58">
        <f t="shared" si="26"/>
        <v>13.604000000000001</v>
      </c>
      <c r="H110" s="66">
        <f>+'Tablas Servicio'!G143</f>
        <v>36.68</v>
      </c>
      <c r="I110" s="72">
        <f t="shared" si="27"/>
        <v>0.4574700109051254</v>
      </c>
      <c r="J110" s="66">
        <f t="shared" si="28"/>
        <v>16.779999999999998</v>
      </c>
      <c r="K110" s="66">
        <f>+'Tablas Servicio'!H143</f>
        <v>38.14</v>
      </c>
      <c r="L110" s="66">
        <f>+IF(A110="","",ROUND(H110*Parámetros!$D$100,2))</f>
        <v>4.28</v>
      </c>
      <c r="M110" s="58">
        <f>+IF(A110="","",IF(AND(A110=1,B110=1),Parámetros!$D$114*(D110*frec-$G$3-$H$3),IF(AND(A110=2,B110=frec+1),Parámetros!$D$115*(D110*frec-$G$4-$H$4),0)))</f>
        <v>0</v>
      </c>
      <c r="N110" s="58">
        <f>+IF(A110="","",IF(A110&gt;Parámetros!$D$117,0,ROUND('Modelo Financiero'!D110*Parámetros!$D$116,2)))</f>
        <v>10.97</v>
      </c>
      <c r="O110" s="58">
        <f t="shared" si="29"/>
        <v>6.69</v>
      </c>
      <c r="P110" s="66">
        <f>+'Tablas Servicio'!I143</f>
        <v>49.17</v>
      </c>
      <c r="Q110" s="66">
        <f>+'Tablas Servicio'!S143</f>
        <v>6579.53</v>
      </c>
      <c r="R110" s="66">
        <f>+'Tablas Servicio'!T143</f>
        <v>6250.55</v>
      </c>
      <c r="S110" s="66">
        <f t="shared" si="25"/>
        <v>29.765999999999998</v>
      </c>
      <c r="T110" s="66">
        <f t="shared" si="34"/>
        <v>1765.763999999999</v>
      </c>
      <c r="U110" s="66">
        <f t="shared" si="30"/>
        <v>2094.7439999999988</v>
      </c>
      <c r="V110" s="81">
        <f t="shared" si="31"/>
        <v>0</v>
      </c>
      <c r="W110" s="66">
        <f t="shared" si="32"/>
        <v>0</v>
      </c>
      <c r="X110" s="66">
        <f t="shared" si="33"/>
        <v>2094.7439999999988</v>
      </c>
    </row>
    <row r="111" spans="1:24" x14ac:dyDescent="0.25">
      <c r="A111">
        <f>+'Tablas Servicio'!B144</f>
        <v>9</v>
      </c>
      <c r="B111">
        <f>+'Tablas Servicio'!C144</f>
        <v>103</v>
      </c>
      <c r="C111" s="56">
        <f>+'Tablas Servicio'!D144</f>
        <v>48.60333333333358</v>
      </c>
      <c r="D111" s="58">
        <f>+'Tablas Servicio'!N144</f>
        <v>94</v>
      </c>
      <c r="E111" s="66">
        <f>+'Tablas Servicio'!AC144</f>
        <v>19.3</v>
      </c>
      <c r="F111" s="66">
        <f>+IF(A111="","",'Tablas Servicio'!O144-'Modelo Financiero'!E111)</f>
        <v>0.60000000000000142</v>
      </c>
      <c r="G111" s="58">
        <f t="shared" si="26"/>
        <v>13.604000000000001</v>
      </c>
      <c r="H111" s="66">
        <f>+'Tablas Servicio'!G144</f>
        <v>36.68</v>
      </c>
      <c r="I111" s="72">
        <f t="shared" si="27"/>
        <v>0.4574700109051254</v>
      </c>
      <c r="J111" s="66">
        <f t="shared" si="28"/>
        <v>16.779999999999998</v>
      </c>
      <c r="K111" s="66">
        <f>+'Tablas Servicio'!H144</f>
        <v>38.14</v>
      </c>
      <c r="L111" s="66">
        <f>+IF(A111="","",ROUND(H111*Parámetros!$D$100,2))</f>
        <v>4.28</v>
      </c>
      <c r="M111" s="58">
        <f>+IF(A111="","",IF(AND(A111=1,B111=1),Parámetros!$D$114*(D111*frec-$G$3-$H$3),IF(AND(A111=2,B111=frec+1),Parámetros!$D$115*(D111*frec-$G$4-$H$4),0)))</f>
        <v>0</v>
      </c>
      <c r="N111" s="58">
        <f>+IF(A111="","",IF(A111&gt;Parámetros!$D$117,0,ROUND('Modelo Financiero'!D111*Parámetros!$D$116,2)))</f>
        <v>10.97</v>
      </c>
      <c r="O111" s="58">
        <f t="shared" si="29"/>
        <v>6.69</v>
      </c>
      <c r="P111" s="66">
        <f>+'Tablas Servicio'!I144</f>
        <v>49.17</v>
      </c>
      <c r="Q111" s="66">
        <f>+'Tablas Servicio'!S144</f>
        <v>6647.5</v>
      </c>
      <c r="R111" s="66">
        <f>+'Tablas Servicio'!T144</f>
        <v>6315.13</v>
      </c>
      <c r="S111" s="66">
        <f t="shared" si="25"/>
        <v>29.765999999999998</v>
      </c>
      <c r="T111" s="66">
        <f t="shared" si="34"/>
        <v>1795.5299999999991</v>
      </c>
      <c r="U111" s="66">
        <f t="shared" si="30"/>
        <v>2127.8999999999987</v>
      </c>
      <c r="V111" s="81">
        <f t="shared" si="31"/>
        <v>0</v>
      </c>
      <c r="W111" s="66">
        <f t="shared" si="32"/>
        <v>0</v>
      </c>
      <c r="X111" s="66">
        <f t="shared" si="33"/>
        <v>2127.8999999999987</v>
      </c>
    </row>
    <row r="112" spans="1:24" x14ac:dyDescent="0.25">
      <c r="A112">
        <f>+'Tablas Servicio'!B145</f>
        <v>9</v>
      </c>
      <c r="B112">
        <f>+'Tablas Servicio'!C145</f>
        <v>104</v>
      </c>
      <c r="C112" s="56">
        <f>+'Tablas Servicio'!D145</f>
        <v>48.686666666666916</v>
      </c>
      <c r="D112" s="58">
        <f>+'Tablas Servicio'!N145</f>
        <v>94</v>
      </c>
      <c r="E112" s="66">
        <f>+'Tablas Servicio'!AC145</f>
        <v>19.3</v>
      </c>
      <c r="F112" s="66">
        <f>+IF(A112="","",'Tablas Servicio'!O145-'Modelo Financiero'!E112)</f>
        <v>0.60000000000000142</v>
      </c>
      <c r="G112" s="58">
        <f t="shared" si="26"/>
        <v>13.604000000000001</v>
      </c>
      <c r="H112" s="66">
        <f>+'Tablas Servicio'!G145</f>
        <v>36.68</v>
      </c>
      <c r="I112" s="72">
        <f t="shared" si="27"/>
        <v>0.4574700109051254</v>
      </c>
      <c r="J112" s="66">
        <f t="shared" si="28"/>
        <v>16.779999999999998</v>
      </c>
      <c r="K112" s="66">
        <f>+'Tablas Servicio'!H145</f>
        <v>38.14</v>
      </c>
      <c r="L112" s="66">
        <f>+IF(A112="","",ROUND(H112*Parámetros!$D$100,2))</f>
        <v>4.28</v>
      </c>
      <c r="M112" s="58">
        <f>+IF(A112="","",IF(AND(A112=1,B112=1),Parámetros!$D$114*(D112*frec-$G$3-$H$3),IF(AND(A112=2,B112=frec+1),Parámetros!$D$115*(D112*frec-$G$4-$H$4),0)))</f>
        <v>0</v>
      </c>
      <c r="N112" s="58">
        <f>+IF(A112="","",IF(A112&gt;Parámetros!$D$117,0,ROUND('Modelo Financiero'!D112*Parámetros!$D$116,2)))</f>
        <v>10.97</v>
      </c>
      <c r="O112" s="58">
        <f t="shared" si="29"/>
        <v>6.69</v>
      </c>
      <c r="P112" s="66">
        <f>+'Tablas Servicio'!I145</f>
        <v>49.17</v>
      </c>
      <c r="Q112" s="66">
        <f>+'Tablas Servicio'!S145</f>
        <v>6715.66</v>
      </c>
      <c r="R112" s="66">
        <f>+'Tablas Servicio'!T145</f>
        <v>6379.88</v>
      </c>
      <c r="S112" s="66">
        <f t="shared" si="25"/>
        <v>29.765999999999998</v>
      </c>
      <c r="T112" s="66">
        <f t="shared" si="34"/>
        <v>1825.2959999999991</v>
      </c>
      <c r="U112" s="66">
        <f t="shared" si="30"/>
        <v>2161.0759999999991</v>
      </c>
      <c r="V112" s="81">
        <f t="shared" si="31"/>
        <v>0</v>
      </c>
      <c r="W112" s="66">
        <f t="shared" si="32"/>
        <v>0</v>
      </c>
      <c r="X112" s="66">
        <f t="shared" si="33"/>
        <v>2161.0759999999991</v>
      </c>
    </row>
    <row r="113" spans="1:24" x14ac:dyDescent="0.25">
      <c r="A113">
        <f>+'Tablas Servicio'!B146</f>
        <v>9</v>
      </c>
      <c r="B113">
        <f>+'Tablas Servicio'!C146</f>
        <v>105</v>
      </c>
      <c r="C113" s="56">
        <f>+'Tablas Servicio'!D146</f>
        <v>48.770000000000252</v>
      </c>
      <c r="D113" s="58">
        <f>+'Tablas Servicio'!N146</f>
        <v>94</v>
      </c>
      <c r="E113" s="66">
        <f>+'Tablas Servicio'!AC146</f>
        <v>19.3</v>
      </c>
      <c r="F113" s="66">
        <f>+IF(A113="","",'Tablas Servicio'!O146-'Modelo Financiero'!E113)</f>
        <v>0.60000000000000142</v>
      </c>
      <c r="G113" s="58">
        <f t="shared" si="26"/>
        <v>13.604000000000001</v>
      </c>
      <c r="H113" s="66">
        <f>+'Tablas Servicio'!G146</f>
        <v>36.68</v>
      </c>
      <c r="I113" s="72">
        <f t="shared" si="27"/>
        <v>0.4574700109051254</v>
      </c>
      <c r="J113" s="66">
        <f t="shared" si="28"/>
        <v>16.779999999999998</v>
      </c>
      <c r="K113" s="66">
        <f>+'Tablas Servicio'!H146</f>
        <v>38.14</v>
      </c>
      <c r="L113" s="66">
        <f>+IF(A113="","",ROUND(H113*Parámetros!$D$100,2))</f>
        <v>4.28</v>
      </c>
      <c r="M113" s="58">
        <f>+IF(A113="","",IF(AND(A113=1,B113=1),Parámetros!$D$114*(D113*frec-$G$3-$H$3),IF(AND(A113=2,B113=frec+1),Parámetros!$D$115*(D113*frec-$G$4-$H$4),0)))</f>
        <v>0</v>
      </c>
      <c r="N113" s="58">
        <f>+IF(A113="","",IF(A113&gt;Parámetros!$D$117,0,ROUND('Modelo Financiero'!D113*Parámetros!$D$116,2)))</f>
        <v>10.97</v>
      </c>
      <c r="O113" s="58">
        <f t="shared" si="29"/>
        <v>6.69</v>
      </c>
      <c r="P113" s="66">
        <f>+'Tablas Servicio'!I146</f>
        <v>49.17</v>
      </c>
      <c r="Q113" s="66">
        <f>+'Tablas Servicio'!S146</f>
        <v>6784.02</v>
      </c>
      <c r="R113" s="66">
        <f>+'Tablas Servicio'!T146</f>
        <v>6444.82</v>
      </c>
      <c r="S113" s="66">
        <f t="shared" si="25"/>
        <v>29.765999999999998</v>
      </c>
      <c r="T113" s="66">
        <f t="shared" si="34"/>
        <v>1855.0619999999992</v>
      </c>
      <c r="U113" s="66">
        <f t="shared" si="30"/>
        <v>2194.2619999999997</v>
      </c>
      <c r="V113" s="81">
        <f t="shared" si="31"/>
        <v>0</v>
      </c>
      <c r="W113" s="66">
        <f t="shared" si="32"/>
        <v>0</v>
      </c>
      <c r="X113" s="66">
        <f t="shared" si="33"/>
        <v>2194.2619999999997</v>
      </c>
    </row>
    <row r="114" spans="1:24" x14ac:dyDescent="0.25">
      <c r="A114">
        <f>+'Tablas Servicio'!B147</f>
        <v>9</v>
      </c>
      <c r="B114">
        <f>+'Tablas Servicio'!C147</f>
        <v>106</v>
      </c>
      <c r="C114" s="56">
        <f>+'Tablas Servicio'!D147</f>
        <v>48.853333333333588</v>
      </c>
      <c r="D114" s="58">
        <f>+'Tablas Servicio'!N147</f>
        <v>94</v>
      </c>
      <c r="E114" s="66">
        <f>+'Tablas Servicio'!AC147</f>
        <v>19.3</v>
      </c>
      <c r="F114" s="66">
        <f>+IF(A114="","",'Tablas Servicio'!O147-'Modelo Financiero'!E114)</f>
        <v>0.60000000000000142</v>
      </c>
      <c r="G114" s="58">
        <f t="shared" si="26"/>
        <v>13.604000000000001</v>
      </c>
      <c r="H114" s="66">
        <f>+'Tablas Servicio'!G147</f>
        <v>36.68</v>
      </c>
      <c r="I114" s="72">
        <f t="shared" si="27"/>
        <v>0.4574700109051254</v>
      </c>
      <c r="J114" s="66">
        <f t="shared" si="28"/>
        <v>16.779999999999998</v>
      </c>
      <c r="K114" s="66">
        <f>+'Tablas Servicio'!H147</f>
        <v>38.14</v>
      </c>
      <c r="L114" s="66">
        <f>+IF(A114="","",ROUND(H114*Parámetros!$D$100,2))</f>
        <v>4.28</v>
      </c>
      <c r="M114" s="58">
        <f>+IF(A114="","",IF(AND(A114=1,B114=1),Parámetros!$D$114*(D114*frec-$G$3-$H$3),IF(AND(A114=2,B114=frec+1),Parámetros!$D$115*(D114*frec-$G$4-$H$4),0)))</f>
        <v>0</v>
      </c>
      <c r="N114" s="58">
        <f>+IF(A114="","",IF(A114&gt;Parámetros!$D$117,0,ROUND('Modelo Financiero'!D114*Parámetros!$D$116,2)))</f>
        <v>10.97</v>
      </c>
      <c r="O114" s="58">
        <f t="shared" si="29"/>
        <v>6.69</v>
      </c>
      <c r="P114" s="66">
        <f>+'Tablas Servicio'!I147</f>
        <v>49.17</v>
      </c>
      <c r="Q114" s="66">
        <f>+'Tablas Servicio'!S147</f>
        <v>6852.57</v>
      </c>
      <c r="R114" s="66">
        <f>+'Tablas Servicio'!T147</f>
        <v>6509.94</v>
      </c>
      <c r="S114" s="66">
        <f t="shared" si="25"/>
        <v>29.765999999999998</v>
      </c>
      <c r="T114" s="66">
        <f t="shared" si="34"/>
        <v>1884.8279999999993</v>
      </c>
      <c r="U114" s="66">
        <f t="shared" si="30"/>
        <v>2227.4579999999996</v>
      </c>
      <c r="V114" s="81">
        <f t="shared" si="31"/>
        <v>0</v>
      </c>
      <c r="W114" s="66">
        <f t="shared" si="32"/>
        <v>0</v>
      </c>
      <c r="X114" s="66">
        <f t="shared" si="33"/>
        <v>2227.4579999999996</v>
      </c>
    </row>
    <row r="115" spans="1:24" x14ac:dyDescent="0.25">
      <c r="A115">
        <f>+'Tablas Servicio'!B148</f>
        <v>9</v>
      </c>
      <c r="B115">
        <f>+'Tablas Servicio'!C148</f>
        <v>107</v>
      </c>
      <c r="C115" s="56">
        <f>+'Tablas Servicio'!D148</f>
        <v>48.936666666666923</v>
      </c>
      <c r="D115" s="58">
        <f>+'Tablas Servicio'!N148</f>
        <v>94</v>
      </c>
      <c r="E115" s="66">
        <f>+'Tablas Servicio'!AC148</f>
        <v>19.3</v>
      </c>
      <c r="F115" s="66">
        <f>+IF(A115="","",'Tablas Servicio'!O148-'Modelo Financiero'!E115)</f>
        <v>0.60000000000000142</v>
      </c>
      <c r="G115" s="58">
        <f t="shared" si="26"/>
        <v>13.604000000000001</v>
      </c>
      <c r="H115" s="66">
        <f>+'Tablas Servicio'!G148</f>
        <v>36.68</v>
      </c>
      <c r="I115" s="72">
        <f t="shared" si="27"/>
        <v>0.4574700109051254</v>
      </c>
      <c r="J115" s="66">
        <f t="shared" si="28"/>
        <v>16.779999999999998</v>
      </c>
      <c r="K115" s="66">
        <f>+'Tablas Servicio'!H148</f>
        <v>38.14</v>
      </c>
      <c r="L115" s="66">
        <f>+IF(A115="","",ROUND(H115*Parámetros!$D$100,2))</f>
        <v>4.28</v>
      </c>
      <c r="M115" s="58">
        <f>+IF(A115="","",IF(AND(A115=1,B115=1),Parámetros!$D$114*(D115*frec-$G$3-$H$3),IF(AND(A115=2,B115=frec+1),Parámetros!$D$115*(D115*frec-$G$4-$H$4),0)))</f>
        <v>0</v>
      </c>
      <c r="N115" s="58">
        <f>+IF(A115="","",IF(A115&gt;Parámetros!$D$117,0,ROUND('Modelo Financiero'!D115*Parámetros!$D$116,2)))</f>
        <v>10.97</v>
      </c>
      <c r="O115" s="58">
        <f t="shared" si="29"/>
        <v>6.69</v>
      </c>
      <c r="P115" s="66">
        <f>+'Tablas Servicio'!I148</f>
        <v>49.17</v>
      </c>
      <c r="Q115" s="66">
        <f>+'Tablas Servicio'!S148</f>
        <v>6921.32</v>
      </c>
      <c r="R115" s="66">
        <f>+'Tablas Servicio'!T148</f>
        <v>6575.25</v>
      </c>
      <c r="S115" s="66">
        <f t="shared" si="25"/>
        <v>29.765999999999998</v>
      </c>
      <c r="T115" s="66">
        <f t="shared" si="34"/>
        <v>1914.5939999999994</v>
      </c>
      <c r="U115" s="66">
        <f t="shared" si="30"/>
        <v>2260.6639999999989</v>
      </c>
      <c r="V115" s="81">
        <f t="shared" si="31"/>
        <v>0</v>
      </c>
      <c r="W115" s="66">
        <f t="shared" si="32"/>
        <v>0</v>
      </c>
      <c r="X115" s="66">
        <f t="shared" si="33"/>
        <v>2260.6639999999989</v>
      </c>
    </row>
    <row r="116" spans="1:24" x14ac:dyDescent="0.25">
      <c r="A116">
        <f>+'Tablas Servicio'!B149</f>
        <v>9</v>
      </c>
      <c r="B116">
        <f>+'Tablas Servicio'!C149</f>
        <v>108</v>
      </c>
      <c r="C116" s="56">
        <f>+'Tablas Servicio'!D149</f>
        <v>49.020000000000259</v>
      </c>
      <c r="D116" s="58">
        <f>+'Tablas Servicio'!N149</f>
        <v>94</v>
      </c>
      <c r="E116" s="66">
        <f>+'Tablas Servicio'!AC149</f>
        <v>19.3</v>
      </c>
      <c r="F116" s="66">
        <f>+IF(A116="","",'Tablas Servicio'!O149-'Modelo Financiero'!E116)</f>
        <v>0.60000000000000142</v>
      </c>
      <c r="G116" s="58">
        <f t="shared" si="26"/>
        <v>13.604000000000001</v>
      </c>
      <c r="H116" s="66">
        <f>+'Tablas Servicio'!G149</f>
        <v>36.68</v>
      </c>
      <c r="I116" s="72">
        <f t="shared" si="27"/>
        <v>0.4574700109051254</v>
      </c>
      <c r="J116" s="66">
        <f t="shared" si="28"/>
        <v>16.779999999999998</v>
      </c>
      <c r="K116" s="66">
        <f>+'Tablas Servicio'!H149</f>
        <v>38.14</v>
      </c>
      <c r="L116" s="66">
        <f>+IF(A116="","",ROUND(H116*Parámetros!$D$100,2))</f>
        <v>4.28</v>
      </c>
      <c r="M116" s="58">
        <f>+IF(A116="","",IF(AND(A116=1,B116=1),Parámetros!$D$114*(D116*frec-$G$3-$H$3),IF(AND(A116=2,B116=frec+1),Parámetros!$D$115*(D116*frec-$G$4-$H$4),0)))</f>
        <v>0</v>
      </c>
      <c r="N116" s="58">
        <f>+IF(A116="","",IF(A116&gt;Parámetros!$D$117,0,ROUND('Modelo Financiero'!D116*Parámetros!$D$116,2)))</f>
        <v>10.97</v>
      </c>
      <c r="O116" s="58">
        <f t="shared" si="29"/>
        <v>6.69</v>
      </c>
      <c r="P116" s="66">
        <f>+'Tablas Servicio'!I149</f>
        <v>49.17</v>
      </c>
      <c r="Q116" s="66">
        <f>+'Tablas Servicio'!S149</f>
        <v>6990.26</v>
      </c>
      <c r="R116" s="66">
        <f>+'Tablas Servicio'!T149</f>
        <v>6640.75</v>
      </c>
      <c r="S116" s="66">
        <f t="shared" si="25"/>
        <v>29.765999999999998</v>
      </c>
      <c r="T116" s="66">
        <f t="shared" si="34"/>
        <v>1944.3599999999994</v>
      </c>
      <c r="U116" s="66">
        <f t="shared" si="30"/>
        <v>2293.87</v>
      </c>
      <c r="V116" s="81">
        <f t="shared" si="31"/>
        <v>0</v>
      </c>
      <c r="W116" s="66">
        <f t="shared" si="32"/>
        <v>0</v>
      </c>
      <c r="X116" s="66">
        <f t="shared" si="33"/>
        <v>2293.87</v>
      </c>
    </row>
    <row r="117" spans="1:24" x14ac:dyDescent="0.25">
      <c r="A117">
        <f>+'Tablas Servicio'!B150</f>
        <v>10</v>
      </c>
      <c r="B117">
        <f>+'Tablas Servicio'!C150</f>
        <v>109</v>
      </c>
      <c r="C117" s="56">
        <f>+'Tablas Servicio'!D150</f>
        <v>49.103333333333595</v>
      </c>
      <c r="D117" s="58">
        <f>+'Tablas Servicio'!N150</f>
        <v>94</v>
      </c>
      <c r="E117" s="66">
        <f>+'Tablas Servicio'!AC150</f>
        <v>20.6</v>
      </c>
      <c r="F117" s="66">
        <f>+IF(A117="","",'Tablas Servicio'!O150-'Modelo Financiero'!E117)</f>
        <v>0.60000000000000142</v>
      </c>
      <c r="G117" s="58">
        <f t="shared" si="26"/>
        <v>14.488000000000003</v>
      </c>
      <c r="H117" s="66">
        <f>+'Tablas Servicio'!G150</f>
        <v>38.15</v>
      </c>
      <c r="I117" s="72">
        <f t="shared" si="27"/>
        <v>0.44429882044560931</v>
      </c>
      <c r="J117" s="66">
        <f t="shared" si="28"/>
        <v>16.949999999999996</v>
      </c>
      <c r="K117" s="66">
        <f>+'Tablas Servicio'!H150</f>
        <v>39.67</v>
      </c>
      <c r="L117" s="66">
        <f>+IF(A117="","",ROUND(H117*Parámetros!$D$100,2))</f>
        <v>4.45</v>
      </c>
      <c r="M117" s="58">
        <f>+IF(A117="","",IF(AND(A117=1,B117=1),Parámetros!$D$114*(D117*frec-$G$3-$H$3),IF(AND(A117=2,B117=frec+1),Parámetros!$D$115*(D117*frec-$G$4-$H$4),0)))</f>
        <v>0</v>
      </c>
      <c r="N117" s="58">
        <f>+IF(A117="","",IF(A117&gt;Parámetros!$D$117,0,ROUND('Modelo Financiero'!D117*Parámetros!$D$116,2)))</f>
        <v>10.97</v>
      </c>
      <c r="O117" s="58">
        <f t="shared" si="29"/>
        <v>6.5200000000000005</v>
      </c>
      <c r="P117" s="66">
        <f>+'Tablas Servicio'!I150</f>
        <v>47.81</v>
      </c>
      <c r="Q117" s="66">
        <f>+'Tablas Servicio'!S150</f>
        <v>7058.03</v>
      </c>
      <c r="R117" s="66">
        <f>+'Tablas Servicio'!T150</f>
        <v>7058.03</v>
      </c>
      <c r="S117" s="66">
        <f t="shared" si="25"/>
        <v>30.181999999999992</v>
      </c>
      <c r="T117" s="66">
        <f t="shared" si="34"/>
        <v>1974.5419999999995</v>
      </c>
      <c r="U117" s="66">
        <f t="shared" si="30"/>
        <v>1974.5419999999995</v>
      </c>
      <c r="V117" s="81">
        <f t="shared" si="31"/>
        <v>0</v>
      </c>
      <c r="W117" s="66">
        <f t="shared" si="32"/>
        <v>0</v>
      </c>
      <c r="X117" s="66">
        <f t="shared" si="33"/>
        <v>1974.5419999999995</v>
      </c>
    </row>
    <row r="118" spans="1:24" x14ac:dyDescent="0.25">
      <c r="A118">
        <f>+'Tablas Servicio'!B151</f>
        <v>10</v>
      </c>
      <c r="B118">
        <f>+'Tablas Servicio'!C151</f>
        <v>110</v>
      </c>
      <c r="C118" s="56">
        <f>+'Tablas Servicio'!D151</f>
        <v>49.18666666666693</v>
      </c>
      <c r="D118" s="58">
        <f>+'Tablas Servicio'!N151</f>
        <v>94</v>
      </c>
      <c r="E118" s="66">
        <f>+'Tablas Servicio'!AC151</f>
        <v>20.6</v>
      </c>
      <c r="F118" s="66">
        <f>+IF(A118="","",'Tablas Servicio'!O151-'Modelo Financiero'!E118)</f>
        <v>0.60000000000000142</v>
      </c>
      <c r="G118" s="58">
        <f t="shared" si="26"/>
        <v>14.488000000000003</v>
      </c>
      <c r="H118" s="66">
        <f>+'Tablas Servicio'!G151</f>
        <v>38.15</v>
      </c>
      <c r="I118" s="72">
        <f t="shared" si="27"/>
        <v>0.44429882044560931</v>
      </c>
      <c r="J118" s="66">
        <f t="shared" si="28"/>
        <v>16.949999999999996</v>
      </c>
      <c r="K118" s="66">
        <f>+'Tablas Servicio'!H151</f>
        <v>39.67</v>
      </c>
      <c r="L118" s="66">
        <f>+IF(A118="","",ROUND(H118*Parámetros!$D$100,2))</f>
        <v>4.45</v>
      </c>
      <c r="M118" s="58">
        <f>+IF(A118="","",IF(AND(A118=1,B118=1),Parámetros!$D$114*(D118*frec-$G$3-$H$3),IF(AND(A118=2,B118=frec+1),Parámetros!$D$115*(D118*frec-$G$4-$H$4),0)))</f>
        <v>0</v>
      </c>
      <c r="N118" s="58">
        <f>+IF(A118="","",IF(A118&gt;Parámetros!$D$117,0,ROUND('Modelo Financiero'!D118*Parámetros!$D$116,2)))</f>
        <v>10.97</v>
      </c>
      <c r="O118" s="58">
        <f t="shared" si="29"/>
        <v>6.5200000000000005</v>
      </c>
      <c r="P118" s="66">
        <f>+'Tablas Servicio'!I151</f>
        <v>47.81</v>
      </c>
      <c r="Q118" s="66">
        <f>+'Tablas Servicio'!S151</f>
        <v>7126</v>
      </c>
      <c r="R118" s="66">
        <f>+'Tablas Servicio'!T151</f>
        <v>7126</v>
      </c>
      <c r="S118" s="66">
        <f t="shared" si="25"/>
        <v>30.181999999999992</v>
      </c>
      <c r="T118" s="66">
        <f t="shared" si="34"/>
        <v>2004.7239999999995</v>
      </c>
      <c r="U118" s="66">
        <f t="shared" si="30"/>
        <v>2004.7239999999995</v>
      </c>
      <c r="V118" s="81">
        <f t="shared" si="31"/>
        <v>0</v>
      </c>
      <c r="W118" s="66">
        <f t="shared" si="32"/>
        <v>0</v>
      </c>
      <c r="X118" s="66">
        <f t="shared" si="33"/>
        <v>2004.7239999999995</v>
      </c>
    </row>
    <row r="119" spans="1:24" x14ac:dyDescent="0.25">
      <c r="A119">
        <f>+'Tablas Servicio'!B152</f>
        <v>10</v>
      </c>
      <c r="B119">
        <f>+'Tablas Servicio'!C152</f>
        <v>111</v>
      </c>
      <c r="C119" s="56">
        <f>+'Tablas Servicio'!D152</f>
        <v>49.270000000000266</v>
      </c>
      <c r="D119" s="58">
        <f>+'Tablas Servicio'!N152</f>
        <v>94</v>
      </c>
      <c r="E119" s="66">
        <f>+'Tablas Servicio'!AC152</f>
        <v>20.6</v>
      </c>
      <c r="F119" s="66">
        <f>+IF(A119="","",'Tablas Servicio'!O152-'Modelo Financiero'!E119)</f>
        <v>0.60000000000000142</v>
      </c>
      <c r="G119" s="58">
        <f t="shared" si="26"/>
        <v>14.488000000000003</v>
      </c>
      <c r="H119" s="66">
        <f>+'Tablas Servicio'!G152</f>
        <v>38.15</v>
      </c>
      <c r="I119" s="72">
        <f t="shared" si="27"/>
        <v>0.44429882044560931</v>
      </c>
      <c r="J119" s="66">
        <f t="shared" si="28"/>
        <v>16.949999999999996</v>
      </c>
      <c r="K119" s="66">
        <f>+'Tablas Servicio'!H152</f>
        <v>39.67</v>
      </c>
      <c r="L119" s="66">
        <f>+IF(A119="","",ROUND(H119*Parámetros!$D$100,2))</f>
        <v>4.45</v>
      </c>
      <c r="M119" s="58">
        <f>+IF(A119="","",IF(AND(A119=1,B119=1),Parámetros!$D$114*(D119*frec-$G$3-$H$3),IF(AND(A119=2,B119=frec+1),Parámetros!$D$115*(D119*frec-$G$4-$H$4),0)))</f>
        <v>0</v>
      </c>
      <c r="N119" s="58">
        <f>+IF(A119="","",IF(A119&gt;Parámetros!$D$117,0,ROUND('Modelo Financiero'!D119*Parámetros!$D$116,2)))</f>
        <v>10.97</v>
      </c>
      <c r="O119" s="58">
        <f t="shared" si="29"/>
        <v>6.5200000000000005</v>
      </c>
      <c r="P119" s="66">
        <f>+'Tablas Servicio'!I152</f>
        <v>47.81</v>
      </c>
      <c r="Q119" s="66">
        <f>+'Tablas Servicio'!S152</f>
        <v>7194.16</v>
      </c>
      <c r="R119" s="66">
        <f>+'Tablas Servicio'!T152</f>
        <v>7194.16</v>
      </c>
      <c r="S119" s="66">
        <f t="shared" si="25"/>
        <v>30.181999999999992</v>
      </c>
      <c r="T119" s="66">
        <f t="shared" si="34"/>
        <v>2034.9059999999995</v>
      </c>
      <c r="U119" s="66">
        <f t="shared" si="30"/>
        <v>2034.9059999999995</v>
      </c>
      <c r="V119" s="81">
        <f t="shared" si="31"/>
        <v>0</v>
      </c>
      <c r="W119" s="66">
        <f t="shared" si="32"/>
        <v>0</v>
      </c>
      <c r="X119" s="66">
        <f t="shared" si="33"/>
        <v>2034.9059999999995</v>
      </c>
    </row>
    <row r="120" spans="1:24" x14ac:dyDescent="0.25">
      <c r="A120">
        <f>+'Tablas Servicio'!B153</f>
        <v>10</v>
      </c>
      <c r="B120">
        <f>+'Tablas Servicio'!C153</f>
        <v>112</v>
      </c>
      <c r="C120" s="56">
        <f>+'Tablas Servicio'!D153</f>
        <v>49.353333333333602</v>
      </c>
      <c r="D120" s="58">
        <f>+'Tablas Servicio'!N153</f>
        <v>94</v>
      </c>
      <c r="E120" s="66">
        <f>+'Tablas Servicio'!AC153</f>
        <v>20.6</v>
      </c>
      <c r="F120" s="66">
        <f>+IF(A120="","",'Tablas Servicio'!O153-'Modelo Financiero'!E120)</f>
        <v>0.60000000000000142</v>
      </c>
      <c r="G120" s="58">
        <f t="shared" si="26"/>
        <v>14.488000000000003</v>
      </c>
      <c r="H120" s="66">
        <f>+'Tablas Servicio'!G153</f>
        <v>38.15</v>
      </c>
      <c r="I120" s="72">
        <f t="shared" si="27"/>
        <v>0.44429882044560931</v>
      </c>
      <c r="J120" s="66">
        <f t="shared" si="28"/>
        <v>16.949999999999996</v>
      </c>
      <c r="K120" s="66">
        <f>+'Tablas Servicio'!H153</f>
        <v>39.67</v>
      </c>
      <c r="L120" s="66">
        <f>+IF(A120="","",ROUND(H120*Parámetros!$D$100,2))</f>
        <v>4.45</v>
      </c>
      <c r="M120" s="58">
        <f>+IF(A120="","",IF(AND(A120=1,B120=1),Parámetros!$D$114*(D120*frec-$G$3-$H$3),IF(AND(A120=2,B120=frec+1),Parámetros!$D$115*(D120*frec-$G$4-$H$4),0)))</f>
        <v>0</v>
      </c>
      <c r="N120" s="58">
        <f>+IF(A120="","",IF(A120&gt;Parámetros!$D$117,0,ROUND('Modelo Financiero'!D120*Parámetros!$D$116,2)))</f>
        <v>10.97</v>
      </c>
      <c r="O120" s="58">
        <f t="shared" si="29"/>
        <v>6.5200000000000005</v>
      </c>
      <c r="P120" s="66">
        <f>+'Tablas Servicio'!I153</f>
        <v>47.81</v>
      </c>
      <c r="Q120" s="66">
        <f>+'Tablas Servicio'!S153</f>
        <v>7262.51</v>
      </c>
      <c r="R120" s="66">
        <f>+'Tablas Servicio'!T153</f>
        <v>7262.51</v>
      </c>
      <c r="S120" s="66">
        <f t="shared" si="25"/>
        <v>30.181999999999992</v>
      </c>
      <c r="T120" s="66">
        <f t="shared" si="34"/>
        <v>2065.0879999999993</v>
      </c>
      <c r="U120" s="66">
        <f t="shared" si="30"/>
        <v>2065.0879999999993</v>
      </c>
      <c r="V120" s="81">
        <f t="shared" si="31"/>
        <v>0</v>
      </c>
      <c r="W120" s="66">
        <f t="shared" si="32"/>
        <v>0</v>
      </c>
      <c r="X120" s="66">
        <f t="shared" si="33"/>
        <v>2065.0879999999993</v>
      </c>
    </row>
    <row r="121" spans="1:24" x14ac:dyDescent="0.25">
      <c r="A121">
        <f>+'Tablas Servicio'!B154</f>
        <v>10</v>
      </c>
      <c r="B121">
        <f>+'Tablas Servicio'!C154</f>
        <v>113</v>
      </c>
      <c r="C121" s="56">
        <f>+'Tablas Servicio'!D154</f>
        <v>49.436666666666937</v>
      </c>
      <c r="D121" s="58">
        <f>+'Tablas Servicio'!N154</f>
        <v>94</v>
      </c>
      <c r="E121" s="66">
        <f>+'Tablas Servicio'!AC154</f>
        <v>20.6</v>
      </c>
      <c r="F121" s="66">
        <f>+IF(A121="","",'Tablas Servicio'!O154-'Modelo Financiero'!E121)</f>
        <v>0.60000000000000142</v>
      </c>
      <c r="G121" s="58">
        <f t="shared" si="26"/>
        <v>14.488000000000003</v>
      </c>
      <c r="H121" s="66">
        <f>+'Tablas Servicio'!G154</f>
        <v>38.15</v>
      </c>
      <c r="I121" s="72">
        <f t="shared" si="27"/>
        <v>0.44429882044560931</v>
      </c>
      <c r="J121" s="66">
        <f t="shared" si="28"/>
        <v>16.949999999999996</v>
      </c>
      <c r="K121" s="66">
        <f>+'Tablas Servicio'!H154</f>
        <v>39.67</v>
      </c>
      <c r="L121" s="66">
        <f>+IF(A121="","",ROUND(H121*Parámetros!$D$100,2))</f>
        <v>4.45</v>
      </c>
      <c r="M121" s="58">
        <f>+IF(A121="","",IF(AND(A121=1,B121=1),Parámetros!$D$114*(D121*frec-$G$3-$H$3),IF(AND(A121=2,B121=frec+1),Parámetros!$D$115*(D121*frec-$G$4-$H$4),0)))</f>
        <v>0</v>
      </c>
      <c r="N121" s="58">
        <f>+IF(A121="","",IF(A121&gt;Parámetros!$D$117,0,ROUND('Modelo Financiero'!D121*Parámetros!$D$116,2)))</f>
        <v>10.97</v>
      </c>
      <c r="O121" s="58">
        <f t="shared" si="29"/>
        <v>6.5200000000000005</v>
      </c>
      <c r="P121" s="66">
        <f>+'Tablas Servicio'!I154</f>
        <v>47.81</v>
      </c>
      <c r="Q121" s="66">
        <f>+'Tablas Servicio'!S154</f>
        <v>7331.06</v>
      </c>
      <c r="R121" s="66">
        <f>+'Tablas Servicio'!T154</f>
        <v>7331.06</v>
      </c>
      <c r="S121" s="66">
        <f t="shared" si="25"/>
        <v>30.181999999999992</v>
      </c>
      <c r="T121" s="66">
        <f t="shared" si="34"/>
        <v>2095.2699999999991</v>
      </c>
      <c r="U121" s="66">
        <f t="shared" si="30"/>
        <v>2095.2699999999991</v>
      </c>
      <c r="V121" s="81">
        <f t="shared" si="31"/>
        <v>0</v>
      </c>
      <c r="W121" s="66">
        <f t="shared" si="32"/>
        <v>0</v>
      </c>
      <c r="X121" s="66">
        <f t="shared" si="33"/>
        <v>2095.2699999999991</v>
      </c>
    </row>
    <row r="122" spans="1:24" x14ac:dyDescent="0.25">
      <c r="A122">
        <f>+'Tablas Servicio'!B155</f>
        <v>10</v>
      </c>
      <c r="B122">
        <f>+'Tablas Servicio'!C155</f>
        <v>114</v>
      </c>
      <c r="C122" s="56">
        <f>+'Tablas Servicio'!D155</f>
        <v>49.520000000000273</v>
      </c>
      <c r="D122" s="58">
        <f>+'Tablas Servicio'!N155</f>
        <v>94</v>
      </c>
      <c r="E122" s="66">
        <f>+'Tablas Servicio'!AC155</f>
        <v>20.6</v>
      </c>
      <c r="F122" s="66">
        <f>+IF(A122="","",'Tablas Servicio'!O155-'Modelo Financiero'!E122)</f>
        <v>0.60000000000000142</v>
      </c>
      <c r="G122" s="58">
        <f t="shared" si="26"/>
        <v>14.488000000000003</v>
      </c>
      <c r="H122" s="66">
        <f>+'Tablas Servicio'!G155</f>
        <v>38.15</v>
      </c>
      <c r="I122" s="72">
        <f t="shared" si="27"/>
        <v>0.44429882044560931</v>
      </c>
      <c r="J122" s="66">
        <f t="shared" si="28"/>
        <v>16.949999999999996</v>
      </c>
      <c r="K122" s="66">
        <f>+'Tablas Servicio'!H155</f>
        <v>39.67</v>
      </c>
      <c r="L122" s="66">
        <f>+IF(A122="","",ROUND(H122*Parámetros!$D$100,2))</f>
        <v>4.45</v>
      </c>
      <c r="M122" s="58">
        <f>+IF(A122="","",IF(AND(A122=1,B122=1),Parámetros!$D$114*(D122*frec-$G$3-$H$3),IF(AND(A122=2,B122=frec+1),Parámetros!$D$115*(D122*frec-$G$4-$H$4),0)))</f>
        <v>0</v>
      </c>
      <c r="N122" s="58">
        <f>+IF(A122="","",IF(A122&gt;Parámetros!$D$117,0,ROUND('Modelo Financiero'!D122*Parámetros!$D$116,2)))</f>
        <v>10.97</v>
      </c>
      <c r="O122" s="58">
        <f t="shared" si="29"/>
        <v>6.5200000000000005</v>
      </c>
      <c r="P122" s="66">
        <f>+'Tablas Servicio'!I155</f>
        <v>47.81</v>
      </c>
      <c r="Q122" s="66">
        <f>+'Tablas Servicio'!S155</f>
        <v>7399.8</v>
      </c>
      <c r="R122" s="66">
        <f>+'Tablas Servicio'!T155</f>
        <v>7399.8</v>
      </c>
      <c r="S122" s="66">
        <f t="shared" si="25"/>
        <v>30.181999999999992</v>
      </c>
      <c r="T122" s="66">
        <f t="shared" si="34"/>
        <v>2125.4519999999989</v>
      </c>
      <c r="U122" s="66">
        <f t="shared" si="30"/>
        <v>2125.4519999999989</v>
      </c>
      <c r="V122" s="81">
        <f t="shared" si="31"/>
        <v>0</v>
      </c>
      <c r="W122" s="66">
        <f t="shared" si="32"/>
        <v>0</v>
      </c>
      <c r="X122" s="66">
        <f t="shared" si="33"/>
        <v>2125.4519999999989</v>
      </c>
    </row>
    <row r="123" spans="1:24" x14ac:dyDescent="0.25">
      <c r="A123">
        <f>+'Tablas Servicio'!B156</f>
        <v>10</v>
      </c>
      <c r="B123">
        <f>+'Tablas Servicio'!C156</f>
        <v>115</v>
      </c>
      <c r="C123" s="56">
        <f>+'Tablas Servicio'!D156</f>
        <v>49.603333333333609</v>
      </c>
      <c r="D123" s="58">
        <f>+'Tablas Servicio'!N156</f>
        <v>94</v>
      </c>
      <c r="E123" s="66">
        <f>+'Tablas Servicio'!AC156</f>
        <v>20.6</v>
      </c>
      <c r="F123" s="66">
        <f>+IF(A123="","",'Tablas Servicio'!O156-'Modelo Financiero'!E123)</f>
        <v>0.60000000000000142</v>
      </c>
      <c r="G123" s="58">
        <f t="shared" si="26"/>
        <v>14.488000000000003</v>
      </c>
      <c r="H123" s="66">
        <f>+'Tablas Servicio'!G156</f>
        <v>38.15</v>
      </c>
      <c r="I123" s="72">
        <f t="shared" si="27"/>
        <v>0.44429882044560931</v>
      </c>
      <c r="J123" s="66">
        <f t="shared" si="28"/>
        <v>16.949999999999996</v>
      </c>
      <c r="K123" s="66">
        <f>+'Tablas Servicio'!H156</f>
        <v>39.67</v>
      </c>
      <c r="L123" s="66">
        <f>+IF(A123="","",ROUND(H123*Parámetros!$D$100,2))</f>
        <v>4.45</v>
      </c>
      <c r="M123" s="58">
        <f>+IF(A123="","",IF(AND(A123=1,B123=1),Parámetros!$D$114*(D123*frec-$G$3-$H$3),IF(AND(A123=2,B123=frec+1),Parámetros!$D$115*(D123*frec-$G$4-$H$4),0)))</f>
        <v>0</v>
      </c>
      <c r="N123" s="58">
        <f>+IF(A123="","",IF(A123&gt;Parámetros!$D$117,0,ROUND('Modelo Financiero'!D123*Parámetros!$D$116,2)))</f>
        <v>10.97</v>
      </c>
      <c r="O123" s="58">
        <f t="shared" si="29"/>
        <v>6.5200000000000005</v>
      </c>
      <c r="P123" s="66">
        <f>+'Tablas Servicio'!I156</f>
        <v>47.81</v>
      </c>
      <c r="Q123" s="66">
        <f>+'Tablas Servicio'!S156</f>
        <v>7468.73</v>
      </c>
      <c r="R123" s="66">
        <f>+'Tablas Servicio'!T156</f>
        <v>7468.73</v>
      </c>
      <c r="S123" s="66">
        <f t="shared" si="25"/>
        <v>30.181999999999992</v>
      </c>
      <c r="T123" s="66">
        <f t="shared" si="34"/>
        <v>2155.6339999999987</v>
      </c>
      <c r="U123" s="66">
        <f t="shared" si="30"/>
        <v>2155.6339999999987</v>
      </c>
      <c r="V123" s="81">
        <f t="shared" si="31"/>
        <v>0</v>
      </c>
      <c r="W123" s="66">
        <f t="shared" si="32"/>
        <v>0</v>
      </c>
      <c r="X123" s="66">
        <f t="shared" si="33"/>
        <v>2155.6339999999987</v>
      </c>
    </row>
    <row r="124" spans="1:24" x14ac:dyDescent="0.25">
      <c r="A124">
        <f>+'Tablas Servicio'!B157</f>
        <v>10</v>
      </c>
      <c r="B124">
        <f>+'Tablas Servicio'!C157</f>
        <v>116</v>
      </c>
      <c r="C124" s="56">
        <f>+'Tablas Servicio'!D157</f>
        <v>49.686666666666945</v>
      </c>
      <c r="D124" s="58">
        <f>+'Tablas Servicio'!N157</f>
        <v>94</v>
      </c>
      <c r="E124" s="66">
        <f>+'Tablas Servicio'!AC157</f>
        <v>20.6</v>
      </c>
      <c r="F124" s="66">
        <f>+IF(A124="","",'Tablas Servicio'!O157-'Modelo Financiero'!E124)</f>
        <v>0.60000000000000142</v>
      </c>
      <c r="G124" s="58">
        <f t="shared" si="26"/>
        <v>14.488000000000003</v>
      </c>
      <c r="H124" s="66">
        <f>+'Tablas Servicio'!G157</f>
        <v>38.15</v>
      </c>
      <c r="I124" s="72">
        <f t="shared" si="27"/>
        <v>0.44429882044560931</v>
      </c>
      <c r="J124" s="66">
        <f t="shared" si="28"/>
        <v>16.949999999999996</v>
      </c>
      <c r="K124" s="66">
        <f>+'Tablas Servicio'!H157</f>
        <v>39.67</v>
      </c>
      <c r="L124" s="66">
        <f>+IF(A124="","",ROUND(H124*Parámetros!$D$100,2))</f>
        <v>4.45</v>
      </c>
      <c r="M124" s="58">
        <f>+IF(A124="","",IF(AND(A124=1,B124=1),Parámetros!$D$114*(D124*frec-$G$3-$H$3),IF(AND(A124=2,B124=frec+1),Parámetros!$D$115*(D124*frec-$G$4-$H$4),0)))</f>
        <v>0</v>
      </c>
      <c r="N124" s="58">
        <f>+IF(A124="","",IF(A124&gt;Parámetros!$D$117,0,ROUND('Modelo Financiero'!D124*Parámetros!$D$116,2)))</f>
        <v>10.97</v>
      </c>
      <c r="O124" s="58">
        <f t="shared" si="29"/>
        <v>6.5200000000000005</v>
      </c>
      <c r="P124" s="66">
        <f>+'Tablas Servicio'!I157</f>
        <v>47.81</v>
      </c>
      <c r="Q124" s="66">
        <f>+'Tablas Servicio'!S157</f>
        <v>7537.86</v>
      </c>
      <c r="R124" s="66">
        <f>+'Tablas Servicio'!T157</f>
        <v>7537.86</v>
      </c>
      <c r="S124" s="66">
        <f t="shared" si="25"/>
        <v>30.181999999999992</v>
      </c>
      <c r="T124" s="66">
        <f t="shared" si="34"/>
        <v>2185.8159999999984</v>
      </c>
      <c r="U124" s="66">
        <f t="shared" si="30"/>
        <v>2185.8159999999984</v>
      </c>
      <c r="V124" s="81">
        <f t="shared" si="31"/>
        <v>0</v>
      </c>
      <c r="W124" s="66">
        <f t="shared" si="32"/>
        <v>0</v>
      </c>
      <c r="X124" s="66">
        <f t="shared" si="33"/>
        <v>2185.8159999999984</v>
      </c>
    </row>
    <row r="125" spans="1:24" x14ac:dyDescent="0.25">
      <c r="A125">
        <f>+'Tablas Servicio'!B158</f>
        <v>10</v>
      </c>
      <c r="B125">
        <f>+'Tablas Servicio'!C158</f>
        <v>117</v>
      </c>
      <c r="C125" s="56">
        <f>+'Tablas Servicio'!D158</f>
        <v>49.77000000000028</v>
      </c>
      <c r="D125" s="58">
        <f>+'Tablas Servicio'!N158</f>
        <v>94</v>
      </c>
      <c r="E125" s="66">
        <f>+'Tablas Servicio'!AC158</f>
        <v>20.6</v>
      </c>
      <c r="F125" s="66">
        <f>+IF(A125="","",'Tablas Servicio'!O158-'Modelo Financiero'!E125)</f>
        <v>0.60000000000000142</v>
      </c>
      <c r="G125" s="58">
        <f t="shared" si="26"/>
        <v>14.488000000000003</v>
      </c>
      <c r="H125" s="66">
        <f>+'Tablas Servicio'!G158</f>
        <v>38.15</v>
      </c>
      <c r="I125" s="72">
        <f t="shared" si="27"/>
        <v>0.44429882044560931</v>
      </c>
      <c r="J125" s="66">
        <f t="shared" si="28"/>
        <v>16.949999999999996</v>
      </c>
      <c r="K125" s="66">
        <f>+'Tablas Servicio'!H158</f>
        <v>39.67</v>
      </c>
      <c r="L125" s="66">
        <f>+IF(A125="","",ROUND(H125*Parámetros!$D$100,2))</f>
        <v>4.45</v>
      </c>
      <c r="M125" s="58">
        <f>+IF(A125="","",IF(AND(A125=1,B125=1),Parámetros!$D$114*(D125*frec-$G$3-$H$3),IF(AND(A125=2,B125=frec+1),Parámetros!$D$115*(D125*frec-$G$4-$H$4),0)))</f>
        <v>0</v>
      </c>
      <c r="N125" s="58">
        <f>+IF(A125="","",IF(A125&gt;Parámetros!$D$117,0,ROUND('Modelo Financiero'!D125*Parámetros!$D$116,2)))</f>
        <v>10.97</v>
      </c>
      <c r="O125" s="58">
        <f t="shared" si="29"/>
        <v>6.5200000000000005</v>
      </c>
      <c r="P125" s="66">
        <f>+'Tablas Servicio'!I158</f>
        <v>47.81</v>
      </c>
      <c r="Q125" s="66">
        <f>+'Tablas Servicio'!S158</f>
        <v>7607.19</v>
      </c>
      <c r="R125" s="66">
        <f>+'Tablas Servicio'!T158</f>
        <v>7607.19</v>
      </c>
      <c r="S125" s="66">
        <f t="shared" si="25"/>
        <v>30.181999999999992</v>
      </c>
      <c r="T125" s="66">
        <f t="shared" si="34"/>
        <v>2215.9979999999982</v>
      </c>
      <c r="U125" s="66">
        <f t="shared" si="30"/>
        <v>2215.9979999999982</v>
      </c>
      <c r="V125" s="81">
        <f t="shared" si="31"/>
        <v>0</v>
      </c>
      <c r="W125" s="66">
        <f t="shared" si="32"/>
        <v>0</v>
      </c>
      <c r="X125" s="66">
        <f t="shared" si="33"/>
        <v>2215.9979999999982</v>
      </c>
    </row>
    <row r="126" spans="1:24" x14ac:dyDescent="0.25">
      <c r="A126">
        <f>+'Tablas Servicio'!B159</f>
        <v>10</v>
      </c>
      <c r="B126">
        <f>+'Tablas Servicio'!C159</f>
        <v>118</v>
      </c>
      <c r="C126" s="56">
        <f>+'Tablas Servicio'!D159</f>
        <v>49.853333333333616</v>
      </c>
      <c r="D126" s="58">
        <f>+'Tablas Servicio'!N159</f>
        <v>94</v>
      </c>
      <c r="E126" s="66">
        <f>+'Tablas Servicio'!AC159</f>
        <v>20.6</v>
      </c>
      <c r="F126" s="66">
        <f>+IF(A126="","",'Tablas Servicio'!O159-'Modelo Financiero'!E126)</f>
        <v>0.60000000000000142</v>
      </c>
      <c r="G126" s="58">
        <f t="shared" si="26"/>
        <v>14.488000000000003</v>
      </c>
      <c r="H126" s="66">
        <f>+'Tablas Servicio'!G159</f>
        <v>38.15</v>
      </c>
      <c r="I126" s="72">
        <f t="shared" si="27"/>
        <v>0.44429882044560931</v>
      </c>
      <c r="J126" s="66">
        <f t="shared" si="28"/>
        <v>16.949999999999996</v>
      </c>
      <c r="K126" s="66">
        <f>+'Tablas Servicio'!H159</f>
        <v>39.67</v>
      </c>
      <c r="L126" s="66">
        <f>+IF(A126="","",ROUND(H126*Parámetros!$D$100,2))</f>
        <v>4.45</v>
      </c>
      <c r="M126" s="58">
        <f>+IF(A126="","",IF(AND(A126=1,B126=1),Parámetros!$D$114*(D126*frec-$G$3-$H$3),IF(AND(A126=2,B126=frec+1),Parámetros!$D$115*(D126*frec-$G$4-$H$4),0)))</f>
        <v>0</v>
      </c>
      <c r="N126" s="58">
        <f>+IF(A126="","",IF(A126&gt;Parámetros!$D$117,0,ROUND('Modelo Financiero'!D126*Parámetros!$D$116,2)))</f>
        <v>10.97</v>
      </c>
      <c r="O126" s="58">
        <f t="shared" si="29"/>
        <v>6.5200000000000005</v>
      </c>
      <c r="P126" s="66">
        <f>+'Tablas Servicio'!I159</f>
        <v>47.81</v>
      </c>
      <c r="Q126" s="66">
        <f>+'Tablas Servicio'!S159</f>
        <v>7676.71</v>
      </c>
      <c r="R126" s="66">
        <f>+'Tablas Servicio'!T159</f>
        <v>7676.71</v>
      </c>
      <c r="S126" s="66">
        <f t="shared" si="25"/>
        <v>30.181999999999992</v>
      </c>
      <c r="T126" s="66">
        <f t="shared" si="34"/>
        <v>2246.179999999998</v>
      </c>
      <c r="U126" s="66">
        <f t="shared" si="30"/>
        <v>2246.179999999998</v>
      </c>
      <c r="V126" s="81">
        <f t="shared" si="31"/>
        <v>0</v>
      </c>
      <c r="W126" s="66">
        <f t="shared" si="32"/>
        <v>0</v>
      </c>
      <c r="X126" s="66">
        <f t="shared" si="33"/>
        <v>2246.179999999998</v>
      </c>
    </row>
    <row r="127" spans="1:24" x14ac:dyDescent="0.25">
      <c r="A127">
        <f>+'Tablas Servicio'!B160</f>
        <v>10</v>
      </c>
      <c r="B127">
        <f>+'Tablas Servicio'!C160</f>
        <v>119</v>
      </c>
      <c r="C127" s="56">
        <f>+'Tablas Servicio'!D160</f>
        <v>49.936666666666952</v>
      </c>
      <c r="D127" s="58">
        <f>+'Tablas Servicio'!N160</f>
        <v>94</v>
      </c>
      <c r="E127" s="66">
        <f>+'Tablas Servicio'!AC160</f>
        <v>20.6</v>
      </c>
      <c r="F127" s="66">
        <f>+IF(A127="","",'Tablas Servicio'!O160-'Modelo Financiero'!E127)</f>
        <v>0.60000000000000142</v>
      </c>
      <c r="G127" s="58">
        <f t="shared" si="26"/>
        <v>14.488000000000003</v>
      </c>
      <c r="H127" s="66">
        <f>+'Tablas Servicio'!G160</f>
        <v>38.15</v>
      </c>
      <c r="I127" s="72">
        <f t="shared" si="27"/>
        <v>0.44429882044560931</v>
      </c>
      <c r="J127" s="66">
        <f t="shared" si="28"/>
        <v>16.949999999999996</v>
      </c>
      <c r="K127" s="66">
        <f>+'Tablas Servicio'!H160</f>
        <v>39.67</v>
      </c>
      <c r="L127" s="66">
        <f>+IF(A127="","",ROUND(H127*Parámetros!$D$100,2))</f>
        <v>4.45</v>
      </c>
      <c r="M127" s="58">
        <f>+IF(A127="","",IF(AND(A127=1,B127=1),Parámetros!$D$114*(D127*frec-$G$3-$H$3),IF(AND(A127=2,B127=frec+1),Parámetros!$D$115*(D127*frec-$G$4-$H$4),0)))</f>
        <v>0</v>
      </c>
      <c r="N127" s="58">
        <f>+IF(A127="","",IF(A127&gt;Parámetros!$D$117,0,ROUND('Modelo Financiero'!D127*Parámetros!$D$116,2)))</f>
        <v>10.97</v>
      </c>
      <c r="O127" s="58">
        <f t="shared" si="29"/>
        <v>6.5200000000000005</v>
      </c>
      <c r="P127" s="66">
        <f>+'Tablas Servicio'!I160</f>
        <v>47.81</v>
      </c>
      <c r="Q127" s="66">
        <f>+'Tablas Servicio'!S160</f>
        <v>7746.43</v>
      </c>
      <c r="R127" s="66">
        <f>+'Tablas Servicio'!T160</f>
        <v>7746.43</v>
      </c>
      <c r="S127" s="66">
        <f t="shared" si="25"/>
        <v>30.181999999999992</v>
      </c>
      <c r="T127" s="66">
        <f t="shared" si="34"/>
        <v>2276.3619999999978</v>
      </c>
      <c r="U127" s="66">
        <f t="shared" si="30"/>
        <v>2276.3619999999978</v>
      </c>
      <c r="V127" s="81">
        <f t="shared" si="31"/>
        <v>0</v>
      </c>
      <c r="W127" s="66">
        <f t="shared" si="32"/>
        <v>0</v>
      </c>
      <c r="X127" s="66">
        <f t="shared" si="33"/>
        <v>2276.3619999999978</v>
      </c>
    </row>
    <row r="128" spans="1:24" x14ac:dyDescent="0.25">
      <c r="A128">
        <f>+'Tablas Servicio'!B161</f>
        <v>10</v>
      </c>
      <c r="B128">
        <f>+'Tablas Servicio'!C161</f>
        <v>120</v>
      </c>
      <c r="C128" s="56">
        <f>+'Tablas Servicio'!D161</f>
        <v>50.020000000000287</v>
      </c>
      <c r="D128" s="58">
        <f>+'Tablas Servicio'!N161</f>
        <v>94</v>
      </c>
      <c r="E128" s="66">
        <f>+'Tablas Servicio'!AC161</f>
        <v>20.6</v>
      </c>
      <c r="F128" s="66">
        <f>+IF(A128="","",'Tablas Servicio'!O161-'Modelo Financiero'!E128)</f>
        <v>0.60000000000000142</v>
      </c>
      <c r="G128" s="58">
        <f t="shared" si="26"/>
        <v>14.488000000000003</v>
      </c>
      <c r="H128" s="66">
        <f>+'Tablas Servicio'!G161</f>
        <v>38.15</v>
      </c>
      <c r="I128" s="72">
        <f t="shared" si="27"/>
        <v>0.44429882044560931</v>
      </c>
      <c r="J128" s="66">
        <f t="shared" si="28"/>
        <v>16.949999999999996</v>
      </c>
      <c r="K128" s="66">
        <f>+'Tablas Servicio'!H161</f>
        <v>39.67</v>
      </c>
      <c r="L128" s="66">
        <f>+IF(A128="","",ROUND(H128*Parámetros!$D$100,2))</f>
        <v>4.45</v>
      </c>
      <c r="M128" s="58">
        <f>+IF(A128="","",IF(AND(A128=1,B128=1),Parámetros!$D$114*(D128*frec-$G$3-$H$3),IF(AND(A128=2,B128=frec+1),Parámetros!$D$115*(D128*frec-$G$4-$H$4),0)))</f>
        <v>0</v>
      </c>
      <c r="N128" s="58">
        <f>+IF(A128="","",IF(A128&gt;Parámetros!$D$117,0,ROUND('Modelo Financiero'!D128*Parámetros!$D$116,2)))</f>
        <v>10.97</v>
      </c>
      <c r="O128" s="58">
        <f t="shared" si="29"/>
        <v>6.5200000000000005</v>
      </c>
      <c r="P128" s="66">
        <f>+'Tablas Servicio'!I161</f>
        <v>47.81</v>
      </c>
      <c r="Q128" s="66">
        <f>+'Tablas Servicio'!S161</f>
        <v>7816.35</v>
      </c>
      <c r="R128" s="66">
        <f>+'Tablas Servicio'!T161</f>
        <v>7816.35</v>
      </c>
      <c r="S128" s="66">
        <f t="shared" si="25"/>
        <v>30.181999999999992</v>
      </c>
      <c r="T128" s="66">
        <f t="shared" si="34"/>
        <v>2306.5439999999976</v>
      </c>
      <c r="U128" s="66">
        <f t="shared" si="30"/>
        <v>2306.5439999999976</v>
      </c>
      <c r="V128" s="81">
        <f t="shared" si="31"/>
        <v>0</v>
      </c>
      <c r="W128" s="66">
        <f t="shared" si="32"/>
        <v>0</v>
      </c>
      <c r="X128" s="66">
        <f t="shared" si="33"/>
        <v>2306.5439999999976</v>
      </c>
    </row>
    <row r="129" spans="1:24" x14ac:dyDescent="0.25">
      <c r="A129">
        <f>+'Tablas Servicio'!B162</f>
        <v>11</v>
      </c>
      <c r="B129">
        <f>+'Tablas Servicio'!C162</f>
        <v>121</v>
      </c>
      <c r="C129" s="56">
        <f>+'Tablas Servicio'!D162</f>
        <v>50.103333333333623</v>
      </c>
      <c r="D129" s="58">
        <f>+'Tablas Servicio'!N162</f>
        <v>94</v>
      </c>
      <c r="E129" s="66">
        <f>+'Tablas Servicio'!AC162</f>
        <v>22.2</v>
      </c>
      <c r="F129" s="66">
        <f>+IF(A129="","",'Tablas Servicio'!O162-'Modelo Financiero'!E129)</f>
        <v>0.89999999999999858</v>
      </c>
      <c r="G129" s="58">
        <f t="shared" si="26"/>
        <v>15.815999999999999</v>
      </c>
      <c r="H129" s="66">
        <f>+'Tablas Servicio'!G162</f>
        <v>35.6</v>
      </c>
      <c r="I129" s="72">
        <f t="shared" si="27"/>
        <v>0.35112359550561811</v>
      </c>
      <c r="J129" s="66">
        <f t="shared" si="28"/>
        <v>12.500000000000004</v>
      </c>
      <c r="K129" s="66">
        <f>+'Tablas Servicio'!H162</f>
        <v>37.01</v>
      </c>
      <c r="L129" s="66">
        <f>+IF(A129="","",ROUND(H129*Parámetros!$D$100,2))</f>
        <v>4.16</v>
      </c>
      <c r="M129" s="58">
        <f>+IF(A129="","",IF(AND(A129=1,B129=1),Parámetros!$D$114*(D129*frec-$G$3-$H$3),IF(AND(A129=2,B129=frec+1),Parámetros!$D$115*(D129*frec-$G$4-$H$4),0)))</f>
        <v>0</v>
      </c>
      <c r="N129" s="58">
        <f>+IF(A129="","",IF(A129&gt;Parámetros!$D$117,0,ROUND('Modelo Financiero'!D129*Parámetros!$D$116,2)))</f>
        <v>0</v>
      </c>
      <c r="O129" s="58">
        <f t="shared" si="29"/>
        <v>0</v>
      </c>
      <c r="P129" s="66">
        <f>+'Tablas Servicio'!I162</f>
        <v>56.99</v>
      </c>
      <c r="Q129" s="66">
        <f>+'Tablas Servicio'!S162</f>
        <v>7895.67</v>
      </c>
      <c r="R129" s="66">
        <f>+'Tablas Servicio'!T162</f>
        <v>7895.67</v>
      </c>
      <c r="S129" s="66">
        <f t="shared" si="25"/>
        <v>19.784000000000002</v>
      </c>
      <c r="T129" s="66">
        <f t="shared" si="34"/>
        <v>2326.3279999999977</v>
      </c>
      <c r="U129" s="66">
        <f t="shared" si="30"/>
        <v>2326.3279999999977</v>
      </c>
      <c r="V129" s="81">
        <f t="shared" si="31"/>
        <v>0</v>
      </c>
      <c r="W129" s="66">
        <f t="shared" si="32"/>
        <v>0</v>
      </c>
      <c r="X129" s="66">
        <f t="shared" si="33"/>
        <v>2326.3279999999977</v>
      </c>
    </row>
    <row r="130" spans="1:24" x14ac:dyDescent="0.25">
      <c r="A130">
        <f>+'Tablas Servicio'!B163</f>
        <v>11</v>
      </c>
      <c r="B130">
        <f>+'Tablas Servicio'!C163</f>
        <v>122</v>
      </c>
      <c r="C130" s="56">
        <f>+'Tablas Servicio'!D163</f>
        <v>50.186666666666959</v>
      </c>
      <c r="D130" s="58">
        <f>+'Tablas Servicio'!N163</f>
        <v>94</v>
      </c>
      <c r="E130" s="66">
        <f>+'Tablas Servicio'!AC163</f>
        <v>22.2</v>
      </c>
      <c r="F130" s="66">
        <f>+IF(A130="","",'Tablas Servicio'!O163-'Modelo Financiero'!E130)</f>
        <v>0.89999999999999858</v>
      </c>
      <c r="G130" s="58">
        <f t="shared" si="26"/>
        <v>15.815999999999999</v>
      </c>
      <c r="H130" s="66">
        <f>+'Tablas Servicio'!G163</f>
        <v>35.6</v>
      </c>
      <c r="I130" s="72">
        <f t="shared" si="27"/>
        <v>0.35112359550561811</v>
      </c>
      <c r="J130" s="66">
        <f t="shared" si="28"/>
        <v>12.500000000000004</v>
      </c>
      <c r="K130" s="66">
        <f>+'Tablas Servicio'!H163</f>
        <v>37.01</v>
      </c>
      <c r="L130" s="66">
        <f>+IF(A130="","",ROUND(H130*Parámetros!$D$100,2))</f>
        <v>4.16</v>
      </c>
      <c r="M130" s="58">
        <f>+IF(A130="","",IF(AND(A130=1,B130=1),Parámetros!$D$114*(D130*frec-$G$3-$H$3),IF(AND(A130=2,B130=frec+1),Parámetros!$D$115*(D130*frec-$G$4-$H$4),0)))</f>
        <v>0</v>
      </c>
      <c r="N130" s="58">
        <f>+IF(A130="","",IF(A130&gt;Parámetros!$D$117,0,ROUND('Modelo Financiero'!D130*Parámetros!$D$116,2)))</f>
        <v>0</v>
      </c>
      <c r="O130" s="58">
        <f t="shared" si="29"/>
        <v>0</v>
      </c>
      <c r="P130" s="66">
        <f>+'Tablas Servicio'!I163</f>
        <v>56.99</v>
      </c>
      <c r="Q130" s="66">
        <f>+'Tablas Servicio'!S163</f>
        <v>7975.22</v>
      </c>
      <c r="R130" s="66">
        <f>+'Tablas Servicio'!T163</f>
        <v>7975.22</v>
      </c>
      <c r="S130" s="66">
        <f t="shared" si="25"/>
        <v>19.784000000000002</v>
      </c>
      <c r="T130" s="66">
        <f t="shared" si="34"/>
        <v>2346.1119999999978</v>
      </c>
      <c r="U130" s="66">
        <f t="shared" si="30"/>
        <v>2346.1119999999978</v>
      </c>
      <c r="V130" s="81">
        <f t="shared" si="31"/>
        <v>0</v>
      </c>
      <c r="W130" s="66">
        <f t="shared" si="32"/>
        <v>0</v>
      </c>
      <c r="X130" s="66">
        <f t="shared" si="33"/>
        <v>2346.1119999999978</v>
      </c>
    </row>
    <row r="131" spans="1:24" x14ac:dyDescent="0.25">
      <c r="A131">
        <f>+'Tablas Servicio'!B164</f>
        <v>11</v>
      </c>
      <c r="B131">
        <f>+'Tablas Servicio'!C164</f>
        <v>123</v>
      </c>
      <c r="C131" s="56">
        <f>+'Tablas Servicio'!D164</f>
        <v>50.270000000000294</v>
      </c>
      <c r="D131" s="58">
        <f>+'Tablas Servicio'!N164</f>
        <v>94</v>
      </c>
      <c r="E131" s="66">
        <f>+'Tablas Servicio'!AC164</f>
        <v>22.2</v>
      </c>
      <c r="F131" s="66">
        <f>+IF(A131="","",'Tablas Servicio'!O164-'Modelo Financiero'!E131)</f>
        <v>0.89999999999999858</v>
      </c>
      <c r="G131" s="58">
        <f t="shared" si="26"/>
        <v>15.815999999999999</v>
      </c>
      <c r="H131" s="66">
        <f>+'Tablas Servicio'!G164</f>
        <v>35.6</v>
      </c>
      <c r="I131" s="72">
        <f t="shared" si="27"/>
        <v>0.35112359550561811</v>
      </c>
      <c r="J131" s="66">
        <f t="shared" si="28"/>
        <v>12.500000000000004</v>
      </c>
      <c r="K131" s="66">
        <f>+'Tablas Servicio'!H164</f>
        <v>37.01</v>
      </c>
      <c r="L131" s="66">
        <f>+IF(A131="","",ROUND(H131*Parámetros!$D$100,2))</f>
        <v>4.16</v>
      </c>
      <c r="M131" s="58">
        <f>+IF(A131="","",IF(AND(A131=1,B131=1),Parámetros!$D$114*(D131*frec-$G$3-$H$3),IF(AND(A131=2,B131=frec+1),Parámetros!$D$115*(D131*frec-$G$4-$H$4),0)))</f>
        <v>0</v>
      </c>
      <c r="N131" s="58">
        <f>+IF(A131="","",IF(A131&gt;Parámetros!$D$117,0,ROUND('Modelo Financiero'!D131*Parámetros!$D$116,2)))</f>
        <v>0</v>
      </c>
      <c r="O131" s="58">
        <f t="shared" si="29"/>
        <v>0</v>
      </c>
      <c r="P131" s="66">
        <f>+'Tablas Servicio'!I164</f>
        <v>56.99</v>
      </c>
      <c r="Q131" s="66">
        <f>+'Tablas Servicio'!S164</f>
        <v>8054.99</v>
      </c>
      <c r="R131" s="66">
        <f>+'Tablas Servicio'!T164</f>
        <v>8054.99</v>
      </c>
      <c r="S131" s="66">
        <f t="shared" si="25"/>
        <v>19.784000000000002</v>
      </c>
      <c r="T131" s="66">
        <f t="shared" si="34"/>
        <v>2365.8959999999979</v>
      </c>
      <c r="U131" s="66">
        <f t="shared" si="30"/>
        <v>2365.8959999999979</v>
      </c>
      <c r="V131" s="81">
        <f t="shared" si="31"/>
        <v>0</v>
      </c>
      <c r="W131" s="66">
        <f t="shared" si="32"/>
        <v>0</v>
      </c>
      <c r="X131" s="66">
        <f t="shared" si="33"/>
        <v>2365.8959999999979</v>
      </c>
    </row>
    <row r="132" spans="1:24" x14ac:dyDescent="0.25">
      <c r="A132">
        <f>+'Tablas Servicio'!B165</f>
        <v>11</v>
      </c>
      <c r="B132">
        <f>+'Tablas Servicio'!C165</f>
        <v>124</v>
      </c>
      <c r="C132" s="56">
        <f>+'Tablas Servicio'!D165</f>
        <v>50.35333333333363</v>
      </c>
      <c r="D132" s="58">
        <f>+'Tablas Servicio'!N165</f>
        <v>94</v>
      </c>
      <c r="E132" s="66">
        <f>+'Tablas Servicio'!AC165</f>
        <v>22.2</v>
      </c>
      <c r="F132" s="66">
        <f>+IF(A132="","",'Tablas Servicio'!O165-'Modelo Financiero'!E132)</f>
        <v>0.89999999999999858</v>
      </c>
      <c r="G132" s="58">
        <f t="shared" si="26"/>
        <v>15.815999999999999</v>
      </c>
      <c r="H132" s="66">
        <f>+'Tablas Servicio'!G165</f>
        <v>35.6</v>
      </c>
      <c r="I132" s="72">
        <f t="shared" si="27"/>
        <v>0.35112359550561811</v>
      </c>
      <c r="J132" s="66">
        <f t="shared" si="28"/>
        <v>12.500000000000004</v>
      </c>
      <c r="K132" s="66">
        <f>+'Tablas Servicio'!H165</f>
        <v>37.01</v>
      </c>
      <c r="L132" s="66">
        <f>+IF(A132="","",ROUND(H132*Parámetros!$D$100,2))</f>
        <v>4.16</v>
      </c>
      <c r="M132" s="58">
        <f>+IF(A132="","",IF(AND(A132=1,B132=1),Parámetros!$D$114*(D132*frec-$G$3-$H$3),IF(AND(A132=2,B132=frec+1),Parámetros!$D$115*(D132*frec-$G$4-$H$4),0)))</f>
        <v>0</v>
      </c>
      <c r="N132" s="58">
        <f>+IF(A132="","",IF(A132&gt;Parámetros!$D$117,0,ROUND('Modelo Financiero'!D132*Parámetros!$D$116,2)))</f>
        <v>0</v>
      </c>
      <c r="O132" s="58">
        <f t="shared" si="29"/>
        <v>0</v>
      </c>
      <c r="P132" s="66">
        <f>+'Tablas Servicio'!I165</f>
        <v>56.99</v>
      </c>
      <c r="Q132" s="66">
        <f>+'Tablas Servicio'!S165</f>
        <v>8134.99</v>
      </c>
      <c r="R132" s="66">
        <f>+'Tablas Servicio'!T165</f>
        <v>8134.99</v>
      </c>
      <c r="S132" s="66">
        <f t="shared" si="25"/>
        <v>19.784000000000002</v>
      </c>
      <c r="T132" s="66">
        <f t="shared" si="34"/>
        <v>2385.679999999998</v>
      </c>
      <c r="U132" s="66">
        <f t="shared" si="30"/>
        <v>2385.679999999998</v>
      </c>
      <c r="V132" s="81">
        <f t="shared" si="31"/>
        <v>0</v>
      </c>
      <c r="W132" s="66">
        <f t="shared" si="32"/>
        <v>0</v>
      </c>
      <c r="X132" s="66">
        <f t="shared" si="33"/>
        <v>2385.679999999998</v>
      </c>
    </row>
    <row r="133" spans="1:24" x14ac:dyDescent="0.25">
      <c r="A133">
        <f>+'Tablas Servicio'!B166</f>
        <v>11</v>
      </c>
      <c r="B133">
        <f>+'Tablas Servicio'!C166</f>
        <v>125</v>
      </c>
      <c r="C133" s="56">
        <f>+'Tablas Servicio'!D166</f>
        <v>50.436666666666966</v>
      </c>
      <c r="D133" s="58">
        <f>+'Tablas Servicio'!N166</f>
        <v>94</v>
      </c>
      <c r="E133" s="66">
        <f>+'Tablas Servicio'!AC166</f>
        <v>22.2</v>
      </c>
      <c r="F133" s="66">
        <f>+IF(A133="","",'Tablas Servicio'!O166-'Modelo Financiero'!E133)</f>
        <v>0.89999999999999858</v>
      </c>
      <c r="G133" s="58">
        <f t="shared" si="26"/>
        <v>15.815999999999999</v>
      </c>
      <c r="H133" s="66">
        <f>+'Tablas Servicio'!G166</f>
        <v>35.6</v>
      </c>
      <c r="I133" s="72">
        <f t="shared" si="27"/>
        <v>0.35112359550561811</v>
      </c>
      <c r="J133" s="66">
        <f t="shared" si="28"/>
        <v>12.500000000000004</v>
      </c>
      <c r="K133" s="66">
        <f>+'Tablas Servicio'!H166</f>
        <v>37.01</v>
      </c>
      <c r="L133" s="66">
        <f>+IF(A133="","",ROUND(H133*Parámetros!$D$100,2))</f>
        <v>4.16</v>
      </c>
      <c r="M133" s="58">
        <f>+IF(A133="","",IF(AND(A133=1,B133=1),Parámetros!$D$114*(D133*frec-$G$3-$H$3),IF(AND(A133=2,B133=frec+1),Parámetros!$D$115*(D133*frec-$G$4-$H$4),0)))</f>
        <v>0</v>
      </c>
      <c r="N133" s="58">
        <f>+IF(A133="","",IF(A133&gt;Parámetros!$D$117,0,ROUND('Modelo Financiero'!D133*Parámetros!$D$116,2)))</f>
        <v>0</v>
      </c>
      <c r="O133" s="58">
        <f t="shared" si="29"/>
        <v>0</v>
      </c>
      <c r="P133" s="66">
        <f>+'Tablas Servicio'!I166</f>
        <v>56.99</v>
      </c>
      <c r="Q133" s="66">
        <f>+'Tablas Servicio'!S166</f>
        <v>8215.2199999999993</v>
      </c>
      <c r="R133" s="66">
        <f>+'Tablas Servicio'!T166</f>
        <v>8215.2199999999993</v>
      </c>
      <c r="S133" s="66">
        <f t="shared" si="25"/>
        <v>19.784000000000002</v>
      </c>
      <c r="T133" s="66">
        <f t="shared" si="34"/>
        <v>2405.4639999999981</v>
      </c>
      <c r="U133" s="66">
        <f t="shared" si="30"/>
        <v>2405.4639999999981</v>
      </c>
      <c r="V133" s="81">
        <f t="shared" si="31"/>
        <v>0</v>
      </c>
      <c r="W133" s="66">
        <f t="shared" si="32"/>
        <v>0</v>
      </c>
      <c r="X133" s="66">
        <f t="shared" si="33"/>
        <v>2405.4639999999981</v>
      </c>
    </row>
    <row r="134" spans="1:24" x14ac:dyDescent="0.25">
      <c r="A134">
        <f>+'Tablas Servicio'!B167</f>
        <v>11</v>
      </c>
      <c r="B134">
        <f>+'Tablas Servicio'!C167</f>
        <v>126</v>
      </c>
      <c r="C134" s="56">
        <f>+'Tablas Servicio'!D167</f>
        <v>50.520000000000302</v>
      </c>
      <c r="D134" s="58">
        <f>+'Tablas Servicio'!N167</f>
        <v>94</v>
      </c>
      <c r="E134" s="66">
        <f>+'Tablas Servicio'!AC167</f>
        <v>22.2</v>
      </c>
      <c r="F134" s="66">
        <f>+IF(A134="","",'Tablas Servicio'!O167-'Modelo Financiero'!E134)</f>
        <v>0.89999999999999858</v>
      </c>
      <c r="G134" s="58">
        <f t="shared" si="26"/>
        <v>15.815999999999999</v>
      </c>
      <c r="H134" s="66">
        <f>+'Tablas Servicio'!G167</f>
        <v>35.6</v>
      </c>
      <c r="I134" s="72">
        <f t="shared" si="27"/>
        <v>0.35112359550561811</v>
      </c>
      <c r="J134" s="66">
        <f t="shared" si="28"/>
        <v>12.500000000000004</v>
      </c>
      <c r="K134" s="66">
        <f>+'Tablas Servicio'!H167</f>
        <v>37.01</v>
      </c>
      <c r="L134" s="66">
        <f>+IF(A134="","",ROUND(H134*Parámetros!$D$100,2))</f>
        <v>4.16</v>
      </c>
      <c r="M134" s="58">
        <f>+IF(A134="","",IF(AND(A134=1,B134=1),Parámetros!$D$114*(D134*frec-$G$3-$H$3),IF(AND(A134=2,B134=frec+1),Parámetros!$D$115*(D134*frec-$G$4-$H$4),0)))</f>
        <v>0</v>
      </c>
      <c r="N134" s="58">
        <f>+IF(A134="","",IF(A134&gt;Parámetros!$D$117,0,ROUND('Modelo Financiero'!D134*Parámetros!$D$116,2)))</f>
        <v>0</v>
      </c>
      <c r="O134" s="58">
        <f t="shared" si="29"/>
        <v>0</v>
      </c>
      <c r="P134" s="66">
        <f>+'Tablas Servicio'!I167</f>
        <v>56.99</v>
      </c>
      <c r="Q134" s="66">
        <f>+'Tablas Servicio'!S167</f>
        <v>8295.67</v>
      </c>
      <c r="R134" s="66">
        <f>+'Tablas Servicio'!T167</f>
        <v>8295.67</v>
      </c>
      <c r="S134" s="66">
        <f t="shared" si="25"/>
        <v>19.784000000000002</v>
      </c>
      <c r="T134" s="66">
        <f t="shared" si="34"/>
        <v>2425.2479999999982</v>
      </c>
      <c r="U134" s="66">
        <f t="shared" si="30"/>
        <v>2425.2479999999982</v>
      </c>
      <c r="V134" s="81">
        <f t="shared" si="31"/>
        <v>0</v>
      </c>
      <c r="W134" s="66">
        <f t="shared" si="32"/>
        <v>0</v>
      </c>
      <c r="X134" s="66">
        <f t="shared" si="33"/>
        <v>2425.2479999999982</v>
      </c>
    </row>
    <row r="135" spans="1:24" x14ac:dyDescent="0.25">
      <c r="A135">
        <f>+'Tablas Servicio'!B168</f>
        <v>11</v>
      </c>
      <c r="B135">
        <f>+'Tablas Servicio'!C168</f>
        <v>127</v>
      </c>
      <c r="C135" s="56">
        <f>+'Tablas Servicio'!D168</f>
        <v>50.603333333333637</v>
      </c>
      <c r="D135" s="58">
        <f>+'Tablas Servicio'!N168</f>
        <v>94</v>
      </c>
      <c r="E135" s="66">
        <f>+'Tablas Servicio'!AC168</f>
        <v>22.2</v>
      </c>
      <c r="F135" s="66">
        <f>+IF(A135="","",'Tablas Servicio'!O168-'Modelo Financiero'!E135)</f>
        <v>0.89999999999999858</v>
      </c>
      <c r="G135" s="58">
        <f t="shared" si="26"/>
        <v>15.815999999999999</v>
      </c>
      <c r="H135" s="66">
        <f>+'Tablas Servicio'!G168</f>
        <v>35.6</v>
      </c>
      <c r="I135" s="72">
        <f t="shared" si="27"/>
        <v>0.35112359550561811</v>
      </c>
      <c r="J135" s="66">
        <f t="shared" si="28"/>
        <v>12.500000000000004</v>
      </c>
      <c r="K135" s="66">
        <f>+'Tablas Servicio'!H168</f>
        <v>37.01</v>
      </c>
      <c r="L135" s="66">
        <f>+IF(A135="","",ROUND(H135*Parámetros!$D$100,2))</f>
        <v>4.16</v>
      </c>
      <c r="M135" s="58">
        <f>+IF(A135="","",IF(AND(A135=1,B135=1),Parámetros!$D$114*(D135*frec-$G$3-$H$3),IF(AND(A135=2,B135=frec+1),Parámetros!$D$115*(D135*frec-$G$4-$H$4),0)))</f>
        <v>0</v>
      </c>
      <c r="N135" s="58">
        <f>+IF(A135="","",IF(A135&gt;Parámetros!$D$117,0,ROUND('Modelo Financiero'!D135*Parámetros!$D$116,2)))</f>
        <v>0</v>
      </c>
      <c r="O135" s="58">
        <f t="shared" si="29"/>
        <v>0</v>
      </c>
      <c r="P135" s="66">
        <f>+'Tablas Servicio'!I168</f>
        <v>56.99</v>
      </c>
      <c r="Q135" s="66">
        <f>+'Tablas Servicio'!S168</f>
        <v>8376.35</v>
      </c>
      <c r="R135" s="66">
        <f>+'Tablas Servicio'!T168</f>
        <v>8376.35</v>
      </c>
      <c r="S135" s="66">
        <f t="shared" si="25"/>
        <v>19.784000000000002</v>
      </c>
      <c r="T135" s="66">
        <f t="shared" si="34"/>
        <v>2445.0319999999983</v>
      </c>
      <c r="U135" s="66">
        <f t="shared" si="30"/>
        <v>2445.0319999999983</v>
      </c>
      <c r="V135" s="81">
        <f t="shared" si="31"/>
        <v>0</v>
      </c>
      <c r="W135" s="66">
        <f t="shared" si="32"/>
        <v>0</v>
      </c>
      <c r="X135" s="66">
        <f t="shared" si="33"/>
        <v>2445.0319999999983</v>
      </c>
    </row>
    <row r="136" spans="1:24" x14ac:dyDescent="0.25">
      <c r="A136">
        <f>+'Tablas Servicio'!B169</f>
        <v>11</v>
      </c>
      <c r="B136">
        <f>+'Tablas Servicio'!C169</f>
        <v>128</v>
      </c>
      <c r="C136" s="56">
        <f>+'Tablas Servicio'!D169</f>
        <v>50.686666666666973</v>
      </c>
      <c r="D136" s="58">
        <f>+'Tablas Servicio'!N169</f>
        <v>94</v>
      </c>
      <c r="E136" s="66">
        <f>+'Tablas Servicio'!AC169</f>
        <v>22.2</v>
      </c>
      <c r="F136" s="66">
        <f>+IF(A136="","",'Tablas Servicio'!O169-'Modelo Financiero'!E136)</f>
        <v>0.89999999999999858</v>
      </c>
      <c r="G136" s="58">
        <f t="shared" si="26"/>
        <v>15.815999999999999</v>
      </c>
      <c r="H136" s="66">
        <f>+'Tablas Servicio'!G169</f>
        <v>35.6</v>
      </c>
      <c r="I136" s="72">
        <f t="shared" si="27"/>
        <v>0.35112359550561811</v>
      </c>
      <c r="J136" s="66">
        <f t="shared" si="28"/>
        <v>12.500000000000004</v>
      </c>
      <c r="K136" s="66">
        <f>+'Tablas Servicio'!H169</f>
        <v>37.01</v>
      </c>
      <c r="L136" s="66">
        <f>+IF(A136="","",ROUND(H136*Parámetros!$D$100,2))</f>
        <v>4.16</v>
      </c>
      <c r="M136" s="58">
        <f>+IF(A136="","",IF(AND(A136=1,B136=1),Parámetros!$D$114*(D136*frec-$G$3-$H$3),IF(AND(A136=2,B136=frec+1),Parámetros!$D$115*(D136*frec-$G$4-$H$4),0)))</f>
        <v>0</v>
      </c>
      <c r="N136" s="58">
        <f>+IF(A136="","",IF(A136&gt;Parámetros!$D$117,0,ROUND('Modelo Financiero'!D136*Parámetros!$D$116,2)))</f>
        <v>0</v>
      </c>
      <c r="O136" s="58">
        <f t="shared" si="29"/>
        <v>0</v>
      </c>
      <c r="P136" s="66">
        <f>+'Tablas Servicio'!I169</f>
        <v>56.99</v>
      </c>
      <c r="Q136" s="66">
        <f>+'Tablas Servicio'!S169</f>
        <v>8457.26</v>
      </c>
      <c r="R136" s="66">
        <f>+'Tablas Servicio'!T169</f>
        <v>8457.26</v>
      </c>
      <c r="S136" s="66">
        <f t="shared" si="25"/>
        <v>19.784000000000002</v>
      </c>
      <c r="T136" s="66">
        <f t="shared" si="34"/>
        <v>2464.8159999999984</v>
      </c>
      <c r="U136" s="66">
        <f t="shared" si="30"/>
        <v>2464.8159999999984</v>
      </c>
      <c r="V136" s="81">
        <f t="shared" si="31"/>
        <v>0</v>
      </c>
      <c r="W136" s="66">
        <f t="shared" si="32"/>
        <v>0</v>
      </c>
      <c r="X136" s="66">
        <f t="shared" si="33"/>
        <v>2464.8159999999984</v>
      </c>
    </row>
    <row r="137" spans="1:24" x14ac:dyDescent="0.25">
      <c r="A137">
        <f>+'Tablas Servicio'!B170</f>
        <v>11</v>
      </c>
      <c r="B137">
        <f>+'Tablas Servicio'!C170</f>
        <v>129</v>
      </c>
      <c r="C137" s="56">
        <f>+'Tablas Servicio'!D170</f>
        <v>50.770000000000309</v>
      </c>
      <c r="D137" s="58">
        <f>+'Tablas Servicio'!N170</f>
        <v>94</v>
      </c>
      <c r="E137" s="66">
        <f>+'Tablas Servicio'!AC170</f>
        <v>22.2</v>
      </c>
      <c r="F137" s="66">
        <f>+IF(A137="","",'Tablas Servicio'!O170-'Modelo Financiero'!E137)</f>
        <v>0.89999999999999858</v>
      </c>
      <c r="G137" s="58">
        <f t="shared" si="26"/>
        <v>15.815999999999999</v>
      </c>
      <c r="H137" s="66">
        <f>+'Tablas Servicio'!G170</f>
        <v>35.6</v>
      </c>
      <c r="I137" s="72">
        <f t="shared" si="27"/>
        <v>0.35112359550561811</v>
      </c>
      <c r="J137" s="66">
        <f t="shared" si="28"/>
        <v>12.500000000000004</v>
      </c>
      <c r="K137" s="66">
        <f>+'Tablas Servicio'!H170</f>
        <v>37.01</v>
      </c>
      <c r="L137" s="66">
        <f>+IF(A137="","",ROUND(H137*Parámetros!$D$100,2))</f>
        <v>4.16</v>
      </c>
      <c r="M137" s="58">
        <f>+IF(A137="","",IF(AND(A137=1,B137=1),Parámetros!$D$114*(D137*frec-$G$3-$H$3),IF(AND(A137=2,B137=frec+1),Parámetros!$D$115*(D137*frec-$G$4-$H$4),0)))</f>
        <v>0</v>
      </c>
      <c r="N137" s="58">
        <f>+IF(A137="","",IF(A137&gt;Parámetros!$D$117,0,ROUND('Modelo Financiero'!D137*Parámetros!$D$116,2)))</f>
        <v>0</v>
      </c>
      <c r="O137" s="58">
        <f t="shared" si="29"/>
        <v>0</v>
      </c>
      <c r="P137" s="66">
        <f>+'Tablas Servicio'!I170</f>
        <v>56.99</v>
      </c>
      <c r="Q137" s="66">
        <f>+'Tablas Servicio'!S170</f>
        <v>8538.4</v>
      </c>
      <c r="R137" s="66">
        <f>+'Tablas Servicio'!T170</f>
        <v>8538.4</v>
      </c>
      <c r="S137" s="66">
        <f t="shared" ref="S137:S200" si="35">+IF(A137="","",D137-P137-G137-(K137-H137)-M137)</f>
        <v>19.784000000000002</v>
      </c>
      <c r="T137" s="66">
        <f t="shared" si="34"/>
        <v>2484.5999999999985</v>
      </c>
      <c r="U137" s="66">
        <f t="shared" si="30"/>
        <v>2484.5999999999985</v>
      </c>
      <c r="V137" s="81">
        <f t="shared" si="31"/>
        <v>0</v>
      </c>
      <c r="W137" s="66">
        <f t="shared" si="32"/>
        <v>0</v>
      </c>
      <c r="X137" s="66">
        <f t="shared" si="33"/>
        <v>2484.5999999999985</v>
      </c>
    </row>
    <row r="138" spans="1:24" x14ac:dyDescent="0.25">
      <c r="A138">
        <f>+'Tablas Servicio'!B171</f>
        <v>11</v>
      </c>
      <c r="B138">
        <f>+'Tablas Servicio'!C171</f>
        <v>130</v>
      </c>
      <c r="C138" s="56">
        <f>+'Tablas Servicio'!D171</f>
        <v>50.853333333333644</v>
      </c>
      <c r="D138" s="58">
        <f>+'Tablas Servicio'!N171</f>
        <v>94</v>
      </c>
      <c r="E138" s="66">
        <f>+'Tablas Servicio'!AC171</f>
        <v>22.2</v>
      </c>
      <c r="F138" s="66">
        <f>+IF(A138="","",'Tablas Servicio'!O171-'Modelo Financiero'!E138)</f>
        <v>0.89999999999999858</v>
      </c>
      <c r="G138" s="58">
        <f t="shared" ref="G138:G201" si="36">+IF(A138="","",IF(A138=1,$C$3,$C$4)*E138+$C$2*F138)</f>
        <v>15.815999999999999</v>
      </c>
      <c r="H138" s="66">
        <f>+'Tablas Servicio'!G171</f>
        <v>35.6</v>
      </c>
      <c r="I138" s="72">
        <f t="shared" ref="I138:I201" si="37">IF(A138="","",1-(E138+F138)/H138)</f>
        <v>0.35112359550561811</v>
      </c>
      <c r="J138" s="66">
        <f>+IF(A138="","",H138-E138-F138)</f>
        <v>12.500000000000004</v>
      </c>
      <c r="K138" s="66">
        <f>+'Tablas Servicio'!H171</f>
        <v>37.01</v>
      </c>
      <c r="L138" s="66">
        <f>+IF(A138="","",ROUND(H138*Parámetros!$D$100,2))</f>
        <v>4.16</v>
      </c>
      <c r="M138" s="58">
        <f>+IF(A138="","",IF(AND(A138=1,B138=1),Parámetros!$D$114*(D138*frec-$G$3-$H$3),IF(AND(A138=2,B138=frec+1),Parámetros!$D$115*(D138*frec-$G$4-$H$4),0)))</f>
        <v>0</v>
      </c>
      <c r="N138" s="58">
        <f>+IF(A138="","",IF(A138&gt;Parámetros!$D$117,0,ROUND('Modelo Financiero'!D138*Parámetros!$D$116,2)))</f>
        <v>0</v>
      </c>
      <c r="O138" s="58">
        <f t="shared" ref="O138:O201" si="38">+IF(A138="","",MAX(N138-L138,0))</f>
        <v>0</v>
      </c>
      <c r="P138" s="66">
        <f>+'Tablas Servicio'!I171</f>
        <v>56.99</v>
      </c>
      <c r="Q138" s="66">
        <f>+'Tablas Servicio'!S171</f>
        <v>8619.77</v>
      </c>
      <c r="R138" s="66">
        <f>+'Tablas Servicio'!T171</f>
        <v>8619.77</v>
      </c>
      <c r="S138" s="66">
        <f t="shared" si="35"/>
        <v>19.784000000000002</v>
      </c>
      <c r="T138" s="66">
        <f t="shared" si="34"/>
        <v>2504.3839999999987</v>
      </c>
      <c r="U138" s="66">
        <f t="shared" ref="U138:U201" si="39">+IF(A138="","",T138+(Q138-R138))</f>
        <v>2504.3839999999987</v>
      </c>
      <c r="V138" s="81">
        <f t="shared" ref="V138:V201" si="40">+IF(A138="","",IF(A138=1,$L$3,IF(A138=2,$L$4,0)))</f>
        <v>0</v>
      </c>
      <c r="W138" s="66">
        <f t="shared" ref="W138:W201" si="41">+IF(A138="","",IF(A138=1,$I$3,IF(A138=2,$I$4,0))*V138)</f>
        <v>0</v>
      </c>
      <c r="X138" s="66">
        <f t="shared" ref="X138:X201" si="42">+IF(A138="","",U138+W138)</f>
        <v>2504.3839999999987</v>
      </c>
    </row>
    <row r="139" spans="1:24" x14ac:dyDescent="0.25">
      <c r="A139">
        <f>+'Tablas Servicio'!B172</f>
        <v>11</v>
      </c>
      <c r="B139">
        <f>+'Tablas Servicio'!C172</f>
        <v>131</v>
      </c>
      <c r="C139" s="56">
        <f>+'Tablas Servicio'!D172</f>
        <v>50.93666666666698</v>
      </c>
      <c r="D139" s="58">
        <f>+'Tablas Servicio'!N172</f>
        <v>94</v>
      </c>
      <c r="E139" s="66">
        <f>+'Tablas Servicio'!AC172</f>
        <v>22.2</v>
      </c>
      <c r="F139" s="66">
        <f>+IF(A139="","",'Tablas Servicio'!O172-'Modelo Financiero'!E139)</f>
        <v>0.89999999999999858</v>
      </c>
      <c r="G139" s="58">
        <f t="shared" si="36"/>
        <v>15.815999999999999</v>
      </c>
      <c r="H139" s="66">
        <f>+'Tablas Servicio'!G172</f>
        <v>35.6</v>
      </c>
      <c r="I139" s="72">
        <f t="shared" si="37"/>
        <v>0.35112359550561811</v>
      </c>
      <c r="J139" s="66">
        <f t="shared" ref="J139:J201" si="43">+IF(A139="","",H139-E139-F139)</f>
        <v>12.500000000000004</v>
      </c>
      <c r="K139" s="66">
        <f>+'Tablas Servicio'!H172</f>
        <v>37.01</v>
      </c>
      <c r="L139" s="66">
        <f>+IF(A139="","",ROUND(H139*Parámetros!$D$100,2))</f>
        <v>4.16</v>
      </c>
      <c r="M139" s="58">
        <f>+IF(A139="","",IF(AND(A139=1,B139=1),Parámetros!$D$114*(D139*frec-$G$3-$H$3),IF(AND(A139=2,B139=frec+1),Parámetros!$D$115*(D139*frec-$G$4-$H$4),0)))</f>
        <v>0</v>
      </c>
      <c r="N139" s="58">
        <f>+IF(A139="","",IF(A139&gt;Parámetros!$D$117,0,ROUND('Modelo Financiero'!D139*Parámetros!$D$116,2)))</f>
        <v>0</v>
      </c>
      <c r="O139" s="58">
        <f t="shared" si="38"/>
        <v>0</v>
      </c>
      <c r="P139" s="66">
        <f>+'Tablas Servicio'!I172</f>
        <v>56.99</v>
      </c>
      <c r="Q139" s="66">
        <f>+'Tablas Servicio'!S172</f>
        <v>8701.3700000000008</v>
      </c>
      <c r="R139" s="66">
        <f>+'Tablas Servicio'!T172</f>
        <v>8701.3700000000008</v>
      </c>
      <c r="S139" s="66">
        <f t="shared" si="35"/>
        <v>19.784000000000002</v>
      </c>
      <c r="T139" s="66">
        <f t="shared" ref="T139:T202" si="44">+IF(A139="","",T138+S139)</f>
        <v>2524.1679999999988</v>
      </c>
      <c r="U139" s="66">
        <f t="shared" si="39"/>
        <v>2524.1679999999988</v>
      </c>
      <c r="V139" s="81">
        <f t="shared" si="40"/>
        <v>0</v>
      </c>
      <c r="W139" s="66">
        <f t="shared" si="41"/>
        <v>0</v>
      </c>
      <c r="X139" s="66">
        <f t="shared" si="42"/>
        <v>2524.1679999999988</v>
      </c>
    </row>
    <row r="140" spans="1:24" x14ac:dyDescent="0.25">
      <c r="A140">
        <f>+'Tablas Servicio'!B173</f>
        <v>11</v>
      </c>
      <c r="B140">
        <f>+'Tablas Servicio'!C173</f>
        <v>132</v>
      </c>
      <c r="C140" s="56">
        <f>+'Tablas Servicio'!D173</f>
        <v>51.020000000000316</v>
      </c>
      <c r="D140" s="58">
        <f>+'Tablas Servicio'!N173</f>
        <v>94</v>
      </c>
      <c r="E140" s="66">
        <f>+'Tablas Servicio'!AC173</f>
        <v>22.2</v>
      </c>
      <c r="F140" s="66">
        <f>+IF(A140="","",'Tablas Servicio'!O173-'Modelo Financiero'!E140)</f>
        <v>0.89999999999999858</v>
      </c>
      <c r="G140" s="58">
        <f t="shared" si="36"/>
        <v>15.815999999999999</v>
      </c>
      <c r="H140" s="66">
        <f>+'Tablas Servicio'!G173</f>
        <v>35.6</v>
      </c>
      <c r="I140" s="72">
        <f t="shared" si="37"/>
        <v>0.35112359550561811</v>
      </c>
      <c r="J140" s="66">
        <f t="shared" si="43"/>
        <v>12.500000000000004</v>
      </c>
      <c r="K140" s="66">
        <f>+'Tablas Servicio'!H173</f>
        <v>37.01</v>
      </c>
      <c r="L140" s="66">
        <f>+IF(A140="","",ROUND(H140*Parámetros!$D$100,2))</f>
        <v>4.16</v>
      </c>
      <c r="M140" s="58">
        <f>+IF(A140="","",IF(AND(A140=1,B140=1),Parámetros!$D$114*(D140*frec-$G$3-$H$3),IF(AND(A140=2,B140=frec+1),Parámetros!$D$115*(D140*frec-$G$4-$H$4),0)))</f>
        <v>0</v>
      </c>
      <c r="N140" s="58">
        <f>+IF(A140="","",IF(A140&gt;Parámetros!$D$117,0,ROUND('Modelo Financiero'!D140*Parámetros!$D$116,2)))</f>
        <v>0</v>
      </c>
      <c r="O140" s="58">
        <f t="shared" si="38"/>
        <v>0</v>
      </c>
      <c r="P140" s="66">
        <f>+'Tablas Servicio'!I173</f>
        <v>56.99</v>
      </c>
      <c r="Q140" s="66">
        <f>+'Tablas Servicio'!S173</f>
        <v>8783.2000000000007</v>
      </c>
      <c r="R140" s="66">
        <f>+'Tablas Servicio'!T173</f>
        <v>8783.2000000000007</v>
      </c>
      <c r="S140" s="66">
        <f t="shared" si="35"/>
        <v>19.784000000000002</v>
      </c>
      <c r="T140" s="66">
        <f t="shared" si="44"/>
        <v>2543.9519999999989</v>
      </c>
      <c r="U140" s="66">
        <f t="shared" si="39"/>
        <v>2543.9519999999989</v>
      </c>
      <c r="V140" s="81">
        <f t="shared" si="40"/>
        <v>0</v>
      </c>
      <c r="W140" s="66">
        <f t="shared" si="41"/>
        <v>0</v>
      </c>
      <c r="X140" s="66">
        <f t="shared" si="42"/>
        <v>2543.9519999999989</v>
      </c>
    </row>
    <row r="141" spans="1:24" x14ac:dyDescent="0.25">
      <c r="A141">
        <f>+'Tablas Servicio'!B174</f>
        <v>12</v>
      </c>
      <c r="B141">
        <f>+'Tablas Servicio'!C174</f>
        <v>133</v>
      </c>
      <c r="C141" s="56">
        <f>+'Tablas Servicio'!D174</f>
        <v>51.103333333333651</v>
      </c>
      <c r="D141" s="58">
        <f>+'Tablas Servicio'!N174</f>
        <v>94</v>
      </c>
      <c r="E141" s="66">
        <f>+'Tablas Servicio'!AC174</f>
        <v>23.8</v>
      </c>
      <c r="F141" s="66">
        <f>+IF(A141="","",'Tablas Servicio'!O174-'Modelo Financiero'!E141)</f>
        <v>0.89999999999999858</v>
      </c>
      <c r="G141" s="58">
        <f t="shared" si="36"/>
        <v>16.904</v>
      </c>
      <c r="H141" s="66">
        <f>+'Tablas Servicio'!G174</f>
        <v>37.199999999999996</v>
      </c>
      <c r="I141" s="72">
        <f t="shared" si="37"/>
        <v>0.33602150537634401</v>
      </c>
      <c r="J141" s="66">
        <f t="shared" si="43"/>
        <v>12.499999999999996</v>
      </c>
      <c r="K141" s="66">
        <f>+'Tablas Servicio'!H174</f>
        <v>38.68</v>
      </c>
      <c r="L141" s="66">
        <f>+IF(A141="","",ROUND(H141*Parámetros!$D$100,2))</f>
        <v>4.34</v>
      </c>
      <c r="M141" s="58">
        <f>+IF(A141="","",IF(AND(A141=1,B141=1),Parámetros!$D$114*(D141*frec-$G$3-$H$3),IF(AND(A141=2,B141=frec+1),Parámetros!$D$115*(D141*frec-$G$4-$H$4),0)))</f>
        <v>0</v>
      </c>
      <c r="N141" s="58">
        <f>+IF(A141="","",IF(A141&gt;Parámetros!$D$117,0,ROUND('Modelo Financiero'!D141*Parámetros!$D$116,2)))</f>
        <v>0</v>
      </c>
      <c r="O141" s="58">
        <f t="shared" si="38"/>
        <v>0</v>
      </c>
      <c r="P141" s="66">
        <f>+'Tablas Servicio'!I174</f>
        <v>55.32</v>
      </c>
      <c r="Q141" s="66">
        <f>+'Tablas Servicio'!S174</f>
        <v>8863.59</v>
      </c>
      <c r="R141" s="66">
        <f>+'Tablas Servicio'!T174</f>
        <v>8863.59</v>
      </c>
      <c r="S141" s="66">
        <f t="shared" si="35"/>
        <v>20.295999999999996</v>
      </c>
      <c r="T141" s="66">
        <f t="shared" si="44"/>
        <v>2564.2479999999987</v>
      </c>
      <c r="U141" s="66">
        <f t="shared" si="39"/>
        <v>2564.2479999999987</v>
      </c>
      <c r="V141" s="81">
        <f t="shared" si="40"/>
        <v>0</v>
      </c>
      <c r="W141" s="66">
        <f t="shared" si="41"/>
        <v>0</v>
      </c>
      <c r="X141" s="66">
        <f t="shared" si="42"/>
        <v>2564.2479999999987</v>
      </c>
    </row>
    <row r="142" spans="1:24" x14ac:dyDescent="0.25">
      <c r="A142">
        <f>+'Tablas Servicio'!B175</f>
        <v>12</v>
      </c>
      <c r="B142">
        <f>+'Tablas Servicio'!C175</f>
        <v>134</v>
      </c>
      <c r="C142" s="56">
        <f>+'Tablas Servicio'!D175</f>
        <v>51.186666666666987</v>
      </c>
      <c r="D142" s="58">
        <f>+'Tablas Servicio'!N175</f>
        <v>94</v>
      </c>
      <c r="E142" s="66">
        <f>+'Tablas Servicio'!AC175</f>
        <v>23.8</v>
      </c>
      <c r="F142" s="66">
        <f>+IF(A142="","",'Tablas Servicio'!O175-'Modelo Financiero'!E142)</f>
        <v>0.89999999999999858</v>
      </c>
      <c r="G142" s="58">
        <f t="shared" si="36"/>
        <v>16.904</v>
      </c>
      <c r="H142" s="66">
        <f>+'Tablas Servicio'!G175</f>
        <v>37.199999999999996</v>
      </c>
      <c r="I142" s="72">
        <f t="shared" si="37"/>
        <v>0.33602150537634401</v>
      </c>
      <c r="J142" s="66">
        <f t="shared" si="43"/>
        <v>12.499999999999996</v>
      </c>
      <c r="K142" s="66">
        <f>+'Tablas Servicio'!H175</f>
        <v>38.68</v>
      </c>
      <c r="L142" s="66">
        <f>+IF(A142="","",ROUND(H142*Parámetros!$D$100,2))</f>
        <v>4.34</v>
      </c>
      <c r="M142" s="58">
        <f>+IF(A142="","",IF(AND(A142=1,B142=1),Parámetros!$D$114*(D142*frec-$G$3-$H$3),IF(AND(A142=2,B142=frec+1),Parámetros!$D$115*(D142*frec-$G$4-$H$4),0)))</f>
        <v>0</v>
      </c>
      <c r="N142" s="58">
        <f>+IF(A142="","",IF(A142&gt;Parámetros!$D$117,0,ROUND('Modelo Financiero'!D142*Parámetros!$D$116,2)))</f>
        <v>0</v>
      </c>
      <c r="O142" s="58">
        <f t="shared" si="38"/>
        <v>0</v>
      </c>
      <c r="P142" s="66">
        <f>+'Tablas Servicio'!I175</f>
        <v>55.32</v>
      </c>
      <c r="Q142" s="66">
        <f>+'Tablas Servicio'!S175</f>
        <v>8944.2099999999991</v>
      </c>
      <c r="R142" s="66">
        <f>+'Tablas Servicio'!T175</f>
        <v>8944.2099999999991</v>
      </c>
      <c r="S142" s="66">
        <f t="shared" si="35"/>
        <v>20.295999999999996</v>
      </c>
      <c r="T142" s="66">
        <f t="shared" si="44"/>
        <v>2584.5439999999985</v>
      </c>
      <c r="U142" s="66">
        <f t="shared" si="39"/>
        <v>2584.5439999999985</v>
      </c>
      <c r="V142" s="81">
        <f t="shared" si="40"/>
        <v>0</v>
      </c>
      <c r="W142" s="66">
        <f t="shared" si="41"/>
        <v>0</v>
      </c>
      <c r="X142" s="66">
        <f t="shared" si="42"/>
        <v>2584.5439999999985</v>
      </c>
    </row>
    <row r="143" spans="1:24" x14ac:dyDescent="0.25">
      <c r="A143">
        <f>+'Tablas Servicio'!B176</f>
        <v>12</v>
      </c>
      <c r="B143">
        <f>+'Tablas Servicio'!C176</f>
        <v>135</v>
      </c>
      <c r="C143" s="56">
        <f>+'Tablas Servicio'!D176</f>
        <v>51.270000000000323</v>
      </c>
      <c r="D143" s="58">
        <f>+'Tablas Servicio'!N176</f>
        <v>94</v>
      </c>
      <c r="E143" s="66">
        <f>+'Tablas Servicio'!AC176</f>
        <v>23.8</v>
      </c>
      <c r="F143" s="66">
        <f>+IF(A143="","",'Tablas Servicio'!O176-'Modelo Financiero'!E143)</f>
        <v>0.89999999999999858</v>
      </c>
      <c r="G143" s="58">
        <f t="shared" si="36"/>
        <v>16.904</v>
      </c>
      <c r="H143" s="66">
        <f>+'Tablas Servicio'!G176</f>
        <v>37.199999999999996</v>
      </c>
      <c r="I143" s="72">
        <f t="shared" si="37"/>
        <v>0.33602150537634401</v>
      </c>
      <c r="J143" s="66">
        <f t="shared" si="43"/>
        <v>12.499999999999996</v>
      </c>
      <c r="K143" s="66">
        <f>+'Tablas Servicio'!H176</f>
        <v>38.68</v>
      </c>
      <c r="L143" s="66">
        <f>+IF(A143="","",ROUND(H143*Parámetros!$D$100,2))</f>
        <v>4.34</v>
      </c>
      <c r="M143" s="58">
        <f>+IF(A143="","",IF(AND(A143=1,B143=1),Parámetros!$D$114*(D143*frec-$G$3-$H$3),IF(AND(A143=2,B143=frec+1),Parámetros!$D$115*(D143*frec-$G$4-$H$4),0)))</f>
        <v>0</v>
      </c>
      <c r="N143" s="58">
        <f>+IF(A143="","",IF(A143&gt;Parámetros!$D$117,0,ROUND('Modelo Financiero'!D143*Parámetros!$D$116,2)))</f>
        <v>0</v>
      </c>
      <c r="O143" s="58">
        <f t="shared" si="38"/>
        <v>0</v>
      </c>
      <c r="P143" s="66">
        <f>+'Tablas Servicio'!I176</f>
        <v>55.32</v>
      </c>
      <c r="Q143" s="66">
        <f>+'Tablas Servicio'!S176</f>
        <v>9025.06</v>
      </c>
      <c r="R143" s="66">
        <f>+'Tablas Servicio'!T176</f>
        <v>9025.06</v>
      </c>
      <c r="S143" s="66">
        <f t="shared" si="35"/>
        <v>20.295999999999996</v>
      </c>
      <c r="T143" s="66">
        <f t="shared" si="44"/>
        <v>2604.8399999999983</v>
      </c>
      <c r="U143" s="66">
        <f t="shared" si="39"/>
        <v>2604.8399999999983</v>
      </c>
      <c r="V143" s="81">
        <f t="shared" si="40"/>
        <v>0</v>
      </c>
      <c r="W143" s="66">
        <f t="shared" si="41"/>
        <v>0</v>
      </c>
      <c r="X143" s="66">
        <f t="shared" si="42"/>
        <v>2604.8399999999983</v>
      </c>
    </row>
    <row r="144" spans="1:24" x14ac:dyDescent="0.25">
      <c r="A144">
        <f>+'Tablas Servicio'!B177</f>
        <v>12</v>
      </c>
      <c r="B144">
        <f>+'Tablas Servicio'!C177</f>
        <v>136</v>
      </c>
      <c r="C144" s="56">
        <f>+'Tablas Servicio'!D177</f>
        <v>51.353333333333659</v>
      </c>
      <c r="D144" s="58">
        <f>+'Tablas Servicio'!N177</f>
        <v>94</v>
      </c>
      <c r="E144" s="66">
        <f>+'Tablas Servicio'!AC177</f>
        <v>23.8</v>
      </c>
      <c r="F144" s="66">
        <f>+IF(A144="","",'Tablas Servicio'!O177-'Modelo Financiero'!E144)</f>
        <v>0.89999999999999858</v>
      </c>
      <c r="G144" s="58">
        <f t="shared" si="36"/>
        <v>16.904</v>
      </c>
      <c r="H144" s="66">
        <f>+'Tablas Servicio'!G177</f>
        <v>37.199999999999996</v>
      </c>
      <c r="I144" s="72">
        <f t="shared" si="37"/>
        <v>0.33602150537634401</v>
      </c>
      <c r="J144" s="66">
        <f t="shared" si="43"/>
        <v>12.499999999999996</v>
      </c>
      <c r="K144" s="66">
        <f>+'Tablas Servicio'!H177</f>
        <v>38.68</v>
      </c>
      <c r="L144" s="66">
        <f>+IF(A144="","",ROUND(H144*Parámetros!$D$100,2))</f>
        <v>4.34</v>
      </c>
      <c r="M144" s="58">
        <f>+IF(A144="","",IF(AND(A144=1,B144=1),Parámetros!$D$114*(D144*frec-$G$3-$H$3),IF(AND(A144=2,B144=frec+1),Parámetros!$D$115*(D144*frec-$G$4-$H$4),0)))</f>
        <v>0</v>
      </c>
      <c r="N144" s="58">
        <f>+IF(A144="","",IF(A144&gt;Parámetros!$D$117,0,ROUND('Modelo Financiero'!D144*Parámetros!$D$116,2)))</f>
        <v>0</v>
      </c>
      <c r="O144" s="58">
        <f t="shared" si="38"/>
        <v>0</v>
      </c>
      <c r="P144" s="66">
        <f>+'Tablas Servicio'!I177</f>
        <v>55.32</v>
      </c>
      <c r="Q144" s="66">
        <f>+'Tablas Servicio'!S177</f>
        <v>9106.14</v>
      </c>
      <c r="R144" s="66">
        <f>+'Tablas Servicio'!T177</f>
        <v>9106.14</v>
      </c>
      <c r="S144" s="66">
        <f t="shared" si="35"/>
        <v>20.295999999999996</v>
      </c>
      <c r="T144" s="66">
        <f t="shared" si="44"/>
        <v>2625.1359999999981</v>
      </c>
      <c r="U144" s="66">
        <f t="shared" si="39"/>
        <v>2625.1359999999981</v>
      </c>
      <c r="V144" s="81">
        <f t="shared" si="40"/>
        <v>0</v>
      </c>
      <c r="W144" s="66">
        <f t="shared" si="41"/>
        <v>0</v>
      </c>
      <c r="X144" s="66">
        <f t="shared" si="42"/>
        <v>2625.1359999999981</v>
      </c>
    </row>
    <row r="145" spans="1:24" x14ac:dyDescent="0.25">
      <c r="A145">
        <f>+'Tablas Servicio'!B178</f>
        <v>12</v>
      </c>
      <c r="B145">
        <f>+'Tablas Servicio'!C178</f>
        <v>137</v>
      </c>
      <c r="C145" s="56">
        <f>+'Tablas Servicio'!D178</f>
        <v>51.436666666666994</v>
      </c>
      <c r="D145" s="58">
        <f>+'Tablas Servicio'!N178</f>
        <v>94</v>
      </c>
      <c r="E145" s="66">
        <f>+'Tablas Servicio'!AC178</f>
        <v>23.8</v>
      </c>
      <c r="F145" s="66">
        <f>+IF(A145="","",'Tablas Servicio'!O178-'Modelo Financiero'!E145)</f>
        <v>0.89999999999999858</v>
      </c>
      <c r="G145" s="58">
        <f t="shared" si="36"/>
        <v>16.904</v>
      </c>
      <c r="H145" s="66">
        <f>+'Tablas Servicio'!G178</f>
        <v>37.199999999999996</v>
      </c>
      <c r="I145" s="72">
        <f t="shared" si="37"/>
        <v>0.33602150537634401</v>
      </c>
      <c r="J145" s="66">
        <f t="shared" si="43"/>
        <v>12.499999999999996</v>
      </c>
      <c r="K145" s="66">
        <f>+'Tablas Servicio'!H178</f>
        <v>38.68</v>
      </c>
      <c r="L145" s="66">
        <f>+IF(A145="","",ROUND(H145*Parámetros!$D$100,2))</f>
        <v>4.34</v>
      </c>
      <c r="M145" s="58">
        <f>+IF(A145="","",IF(AND(A145=1,B145=1),Parámetros!$D$114*(D145*frec-$G$3-$H$3),IF(AND(A145=2,B145=frec+1),Parámetros!$D$115*(D145*frec-$G$4-$H$4),0)))</f>
        <v>0</v>
      </c>
      <c r="N145" s="58">
        <f>+IF(A145="","",IF(A145&gt;Parámetros!$D$117,0,ROUND('Modelo Financiero'!D145*Parámetros!$D$116,2)))</f>
        <v>0</v>
      </c>
      <c r="O145" s="58">
        <f t="shared" si="38"/>
        <v>0</v>
      </c>
      <c r="P145" s="66">
        <f>+'Tablas Servicio'!I178</f>
        <v>55.32</v>
      </c>
      <c r="Q145" s="66">
        <f>+'Tablas Servicio'!S178</f>
        <v>9187.4500000000007</v>
      </c>
      <c r="R145" s="66">
        <f>+'Tablas Servicio'!T178</f>
        <v>9187.4500000000007</v>
      </c>
      <c r="S145" s="66">
        <f t="shared" si="35"/>
        <v>20.295999999999996</v>
      </c>
      <c r="T145" s="66">
        <f t="shared" si="44"/>
        <v>2645.431999999998</v>
      </c>
      <c r="U145" s="66">
        <f t="shared" si="39"/>
        <v>2645.431999999998</v>
      </c>
      <c r="V145" s="81">
        <f t="shared" si="40"/>
        <v>0</v>
      </c>
      <c r="W145" s="66">
        <f t="shared" si="41"/>
        <v>0</v>
      </c>
      <c r="X145" s="66">
        <f t="shared" si="42"/>
        <v>2645.431999999998</v>
      </c>
    </row>
    <row r="146" spans="1:24" x14ac:dyDescent="0.25">
      <c r="A146">
        <f>+'Tablas Servicio'!B179</f>
        <v>12</v>
      </c>
      <c r="B146">
        <f>+'Tablas Servicio'!C179</f>
        <v>138</v>
      </c>
      <c r="C146" s="56">
        <f>+'Tablas Servicio'!D179</f>
        <v>51.52000000000033</v>
      </c>
      <c r="D146" s="58">
        <f>+'Tablas Servicio'!N179</f>
        <v>94</v>
      </c>
      <c r="E146" s="66">
        <f>+'Tablas Servicio'!AC179</f>
        <v>23.8</v>
      </c>
      <c r="F146" s="66">
        <f>+IF(A146="","",'Tablas Servicio'!O179-'Modelo Financiero'!E146)</f>
        <v>0.89999999999999858</v>
      </c>
      <c r="G146" s="58">
        <f t="shared" si="36"/>
        <v>16.904</v>
      </c>
      <c r="H146" s="66">
        <f>+'Tablas Servicio'!G179</f>
        <v>37.199999999999996</v>
      </c>
      <c r="I146" s="72">
        <f t="shared" si="37"/>
        <v>0.33602150537634401</v>
      </c>
      <c r="J146" s="66">
        <f t="shared" si="43"/>
        <v>12.499999999999996</v>
      </c>
      <c r="K146" s="66">
        <f>+'Tablas Servicio'!H179</f>
        <v>38.68</v>
      </c>
      <c r="L146" s="66">
        <f>+IF(A146="","",ROUND(H146*Parámetros!$D$100,2))</f>
        <v>4.34</v>
      </c>
      <c r="M146" s="58">
        <f>+IF(A146="","",IF(AND(A146=1,B146=1),Parámetros!$D$114*(D146*frec-$G$3-$H$3),IF(AND(A146=2,B146=frec+1),Parámetros!$D$115*(D146*frec-$G$4-$H$4),0)))</f>
        <v>0</v>
      </c>
      <c r="N146" s="58">
        <f>+IF(A146="","",IF(A146&gt;Parámetros!$D$117,0,ROUND('Modelo Financiero'!D146*Parámetros!$D$116,2)))</f>
        <v>0</v>
      </c>
      <c r="O146" s="58">
        <f t="shared" si="38"/>
        <v>0</v>
      </c>
      <c r="P146" s="66">
        <f>+'Tablas Servicio'!I179</f>
        <v>55.32</v>
      </c>
      <c r="Q146" s="66">
        <f>+'Tablas Servicio'!S179</f>
        <v>9268.99</v>
      </c>
      <c r="R146" s="66">
        <f>+'Tablas Servicio'!T179</f>
        <v>9268.99</v>
      </c>
      <c r="S146" s="66">
        <f t="shared" si="35"/>
        <v>20.295999999999996</v>
      </c>
      <c r="T146" s="66">
        <f t="shared" si="44"/>
        <v>2665.7279999999978</v>
      </c>
      <c r="U146" s="66">
        <f t="shared" si="39"/>
        <v>2665.7279999999978</v>
      </c>
      <c r="V146" s="81">
        <f t="shared" si="40"/>
        <v>0</v>
      </c>
      <c r="W146" s="66">
        <f t="shared" si="41"/>
        <v>0</v>
      </c>
      <c r="X146" s="66">
        <f t="shared" si="42"/>
        <v>2665.7279999999978</v>
      </c>
    </row>
    <row r="147" spans="1:24" x14ac:dyDescent="0.25">
      <c r="A147">
        <f>+'Tablas Servicio'!B180</f>
        <v>12</v>
      </c>
      <c r="B147">
        <f>+'Tablas Servicio'!C180</f>
        <v>139</v>
      </c>
      <c r="C147" s="56">
        <f>+'Tablas Servicio'!D180</f>
        <v>51.603333333333666</v>
      </c>
      <c r="D147" s="58">
        <f>+'Tablas Servicio'!N180</f>
        <v>94</v>
      </c>
      <c r="E147" s="66">
        <f>+'Tablas Servicio'!AC180</f>
        <v>23.8</v>
      </c>
      <c r="F147" s="66">
        <f>+IF(A147="","",'Tablas Servicio'!O180-'Modelo Financiero'!E147)</f>
        <v>0.89999999999999858</v>
      </c>
      <c r="G147" s="58">
        <f t="shared" si="36"/>
        <v>16.904</v>
      </c>
      <c r="H147" s="66">
        <f>+'Tablas Servicio'!G180</f>
        <v>37.199999999999996</v>
      </c>
      <c r="I147" s="72">
        <f t="shared" si="37"/>
        <v>0.33602150537634401</v>
      </c>
      <c r="J147" s="66">
        <f t="shared" si="43"/>
        <v>12.499999999999996</v>
      </c>
      <c r="K147" s="66">
        <f>+'Tablas Servicio'!H180</f>
        <v>38.68</v>
      </c>
      <c r="L147" s="66">
        <f>+IF(A147="","",ROUND(H147*Parámetros!$D$100,2))</f>
        <v>4.34</v>
      </c>
      <c r="M147" s="58">
        <f>+IF(A147="","",IF(AND(A147=1,B147=1),Parámetros!$D$114*(D147*frec-$G$3-$H$3),IF(AND(A147=2,B147=frec+1),Parámetros!$D$115*(D147*frec-$G$4-$H$4),0)))</f>
        <v>0</v>
      </c>
      <c r="N147" s="58">
        <f>+IF(A147="","",IF(A147&gt;Parámetros!$D$117,0,ROUND('Modelo Financiero'!D147*Parámetros!$D$116,2)))</f>
        <v>0</v>
      </c>
      <c r="O147" s="58">
        <f t="shared" si="38"/>
        <v>0</v>
      </c>
      <c r="P147" s="66">
        <f>+'Tablas Servicio'!I180</f>
        <v>55.32</v>
      </c>
      <c r="Q147" s="66">
        <f>+'Tablas Servicio'!S180</f>
        <v>9350.76</v>
      </c>
      <c r="R147" s="66">
        <f>+'Tablas Servicio'!T180</f>
        <v>9350.76</v>
      </c>
      <c r="S147" s="66">
        <f t="shared" si="35"/>
        <v>20.295999999999996</v>
      </c>
      <c r="T147" s="66">
        <f t="shared" si="44"/>
        <v>2686.0239999999976</v>
      </c>
      <c r="U147" s="66">
        <f t="shared" si="39"/>
        <v>2686.0239999999976</v>
      </c>
      <c r="V147" s="81">
        <f t="shared" si="40"/>
        <v>0</v>
      </c>
      <c r="W147" s="66">
        <f t="shared" si="41"/>
        <v>0</v>
      </c>
      <c r="X147" s="66">
        <f t="shared" si="42"/>
        <v>2686.0239999999976</v>
      </c>
    </row>
    <row r="148" spans="1:24" x14ac:dyDescent="0.25">
      <c r="A148">
        <f>+'Tablas Servicio'!B181</f>
        <v>12</v>
      </c>
      <c r="B148">
        <f>+'Tablas Servicio'!C181</f>
        <v>140</v>
      </c>
      <c r="C148" s="56">
        <f>+'Tablas Servicio'!D181</f>
        <v>51.686666666667001</v>
      </c>
      <c r="D148" s="58">
        <f>+'Tablas Servicio'!N181</f>
        <v>94</v>
      </c>
      <c r="E148" s="66">
        <f>+'Tablas Servicio'!AC181</f>
        <v>23.8</v>
      </c>
      <c r="F148" s="66">
        <f>+IF(A148="","",'Tablas Servicio'!O181-'Modelo Financiero'!E148)</f>
        <v>0.89999999999999858</v>
      </c>
      <c r="G148" s="58">
        <f t="shared" si="36"/>
        <v>16.904</v>
      </c>
      <c r="H148" s="66">
        <f>+'Tablas Servicio'!G181</f>
        <v>37.199999999999996</v>
      </c>
      <c r="I148" s="72">
        <f t="shared" si="37"/>
        <v>0.33602150537634401</v>
      </c>
      <c r="J148" s="66">
        <f t="shared" si="43"/>
        <v>12.499999999999996</v>
      </c>
      <c r="K148" s="66">
        <f>+'Tablas Servicio'!H181</f>
        <v>38.68</v>
      </c>
      <c r="L148" s="66">
        <f>+IF(A148="","",ROUND(H148*Parámetros!$D$100,2))</f>
        <v>4.34</v>
      </c>
      <c r="M148" s="58">
        <f>+IF(A148="","",IF(AND(A148=1,B148=1),Parámetros!$D$114*(D148*frec-$G$3-$H$3),IF(AND(A148=2,B148=frec+1),Parámetros!$D$115*(D148*frec-$G$4-$H$4),0)))</f>
        <v>0</v>
      </c>
      <c r="N148" s="58">
        <f>+IF(A148="","",IF(A148&gt;Parámetros!$D$117,0,ROUND('Modelo Financiero'!D148*Parámetros!$D$116,2)))</f>
        <v>0</v>
      </c>
      <c r="O148" s="58">
        <f t="shared" si="38"/>
        <v>0</v>
      </c>
      <c r="P148" s="66">
        <f>+'Tablas Servicio'!I181</f>
        <v>55.32</v>
      </c>
      <c r="Q148" s="66">
        <f>+'Tablas Servicio'!S181</f>
        <v>9432.76</v>
      </c>
      <c r="R148" s="66">
        <f>+'Tablas Servicio'!T181</f>
        <v>9432.76</v>
      </c>
      <c r="S148" s="66">
        <f t="shared" si="35"/>
        <v>20.295999999999996</v>
      </c>
      <c r="T148" s="66">
        <f t="shared" si="44"/>
        <v>2706.3199999999974</v>
      </c>
      <c r="U148" s="66">
        <f t="shared" si="39"/>
        <v>2706.3199999999974</v>
      </c>
      <c r="V148" s="81">
        <f t="shared" si="40"/>
        <v>0</v>
      </c>
      <c r="W148" s="66">
        <f t="shared" si="41"/>
        <v>0</v>
      </c>
      <c r="X148" s="66">
        <f t="shared" si="42"/>
        <v>2706.3199999999974</v>
      </c>
    </row>
    <row r="149" spans="1:24" x14ac:dyDescent="0.25">
      <c r="A149">
        <f>+'Tablas Servicio'!B182</f>
        <v>12</v>
      </c>
      <c r="B149">
        <f>+'Tablas Servicio'!C182</f>
        <v>141</v>
      </c>
      <c r="C149" s="56">
        <f>+'Tablas Servicio'!D182</f>
        <v>51.770000000000337</v>
      </c>
      <c r="D149" s="58">
        <f>+'Tablas Servicio'!N182</f>
        <v>94</v>
      </c>
      <c r="E149" s="66">
        <f>+'Tablas Servicio'!AC182</f>
        <v>23.8</v>
      </c>
      <c r="F149" s="66">
        <f>+IF(A149="","",'Tablas Servicio'!O182-'Modelo Financiero'!E149)</f>
        <v>0.89999999999999858</v>
      </c>
      <c r="G149" s="58">
        <f t="shared" si="36"/>
        <v>16.904</v>
      </c>
      <c r="H149" s="66">
        <f>+'Tablas Servicio'!G182</f>
        <v>37.199999999999996</v>
      </c>
      <c r="I149" s="72">
        <f t="shared" si="37"/>
        <v>0.33602150537634401</v>
      </c>
      <c r="J149" s="66">
        <f t="shared" si="43"/>
        <v>12.499999999999996</v>
      </c>
      <c r="K149" s="66">
        <f>+'Tablas Servicio'!H182</f>
        <v>38.68</v>
      </c>
      <c r="L149" s="66">
        <f>+IF(A149="","",ROUND(H149*Parámetros!$D$100,2))</f>
        <v>4.34</v>
      </c>
      <c r="M149" s="58">
        <f>+IF(A149="","",IF(AND(A149=1,B149=1),Parámetros!$D$114*(D149*frec-$G$3-$H$3),IF(AND(A149=2,B149=frec+1),Parámetros!$D$115*(D149*frec-$G$4-$H$4),0)))</f>
        <v>0</v>
      </c>
      <c r="N149" s="58">
        <f>+IF(A149="","",IF(A149&gt;Parámetros!$D$117,0,ROUND('Modelo Financiero'!D149*Parámetros!$D$116,2)))</f>
        <v>0</v>
      </c>
      <c r="O149" s="58">
        <f t="shared" si="38"/>
        <v>0</v>
      </c>
      <c r="P149" s="66">
        <f>+'Tablas Servicio'!I182</f>
        <v>55.32</v>
      </c>
      <c r="Q149" s="66">
        <f>+'Tablas Servicio'!S182</f>
        <v>9514.99</v>
      </c>
      <c r="R149" s="66">
        <f>+'Tablas Servicio'!T182</f>
        <v>9514.99</v>
      </c>
      <c r="S149" s="66">
        <f t="shared" si="35"/>
        <v>20.295999999999996</v>
      </c>
      <c r="T149" s="66">
        <f t="shared" si="44"/>
        <v>2726.6159999999973</v>
      </c>
      <c r="U149" s="66">
        <f t="shared" si="39"/>
        <v>2726.6159999999973</v>
      </c>
      <c r="V149" s="81">
        <f t="shared" si="40"/>
        <v>0</v>
      </c>
      <c r="W149" s="66">
        <f t="shared" si="41"/>
        <v>0</v>
      </c>
      <c r="X149" s="66">
        <f t="shared" si="42"/>
        <v>2726.6159999999973</v>
      </c>
    </row>
    <row r="150" spans="1:24" x14ac:dyDescent="0.25">
      <c r="A150">
        <f>+'Tablas Servicio'!B183</f>
        <v>12</v>
      </c>
      <c r="B150">
        <f>+'Tablas Servicio'!C183</f>
        <v>142</v>
      </c>
      <c r="C150" s="56">
        <f>+'Tablas Servicio'!D183</f>
        <v>51.853333333333673</v>
      </c>
      <c r="D150" s="58">
        <f>+'Tablas Servicio'!N183</f>
        <v>94</v>
      </c>
      <c r="E150" s="66">
        <f>+'Tablas Servicio'!AC183</f>
        <v>23.8</v>
      </c>
      <c r="F150" s="66">
        <f>+IF(A150="","",'Tablas Servicio'!O183-'Modelo Financiero'!E150)</f>
        <v>0.89999999999999858</v>
      </c>
      <c r="G150" s="58">
        <f t="shared" si="36"/>
        <v>16.904</v>
      </c>
      <c r="H150" s="66">
        <f>+'Tablas Servicio'!G183</f>
        <v>37.199999999999996</v>
      </c>
      <c r="I150" s="72">
        <f t="shared" si="37"/>
        <v>0.33602150537634401</v>
      </c>
      <c r="J150" s="66">
        <f t="shared" si="43"/>
        <v>12.499999999999996</v>
      </c>
      <c r="K150" s="66">
        <f>+'Tablas Servicio'!H183</f>
        <v>38.68</v>
      </c>
      <c r="L150" s="66">
        <f>+IF(A150="","",ROUND(H150*Parámetros!$D$100,2))</f>
        <v>4.34</v>
      </c>
      <c r="M150" s="58">
        <f>+IF(A150="","",IF(AND(A150=1,B150=1),Parámetros!$D$114*(D150*frec-$G$3-$H$3),IF(AND(A150=2,B150=frec+1),Parámetros!$D$115*(D150*frec-$G$4-$H$4),0)))</f>
        <v>0</v>
      </c>
      <c r="N150" s="58">
        <f>+IF(A150="","",IF(A150&gt;Parámetros!$D$117,0,ROUND('Modelo Financiero'!D150*Parámetros!$D$116,2)))</f>
        <v>0</v>
      </c>
      <c r="O150" s="58">
        <f t="shared" si="38"/>
        <v>0</v>
      </c>
      <c r="P150" s="66">
        <f>+'Tablas Servicio'!I183</f>
        <v>55.32</v>
      </c>
      <c r="Q150" s="66">
        <f>+'Tablas Servicio'!S183</f>
        <v>9597.4599999999991</v>
      </c>
      <c r="R150" s="66">
        <f>+'Tablas Servicio'!T183</f>
        <v>9597.4599999999991</v>
      </c>
      <c r="S150" s="66">
        <f t="shared" si="35"/>
        <v>20.295999999999996</v>
      </c>
      <c r="T150" s="66">
        <f t="shared" si="44"/>
        <v>2746.9119999999971</v>
      </c>
      <c r="U150" s="66">
        <f t="shared" si="39"/>
        <v>2746.9119999999971</v>
      </c>
      <c r="V150" s="81">
        <f t="shared" si="40"/>
        <v>0</v>
      </c>
      <c r="W150" s="66">
        <f t="shared" si="41"/>
        <v>0</v>
      </c>
      <c r="X150" s="66">
        <f t="shared" si="42"/>
        <v>2746.9119999999971</v>
      </c>
    </row>
    <row r="151" spans="1:24" x14ac:dyDescent="0.25">
      <c r="A151">
        <f>+'Tablas Servicio'!B184</f>
        <v>12</v>
      </c>
      <c r="B151">
        <f>+'Tablas Servicio'!C184</f>
        <v>143</v>
      </c>
      <c r="C151" s="56">
        <f>+'Tablas Servicio'!D184</f>
        <v>51.936666666667008</v>
      </c>
      <c r="D151" s="58">
        <f>+'Tablas Servicio'!N184</f>
        <v>94</v>
      </c>
      <c r="E151" s="66">
        <f>+'Tablas Servicio'!AC184</f>
        <v>23.8</v>
      </c>
      <c r="F151" s="66">
        <f>+IF(A151="","",'Tablas Servicio'!O184-'Modelo Financiero'!E151)</f>
        <v>0.89999999999999858</v>
      </c>
      <c r="G151" s="58">
        <f t="shared" si="36"/>
        <v>16.904</v>
      </c>
      <c r="H151" s="66">
        <f>+'Tablas Servicio'!G184</f>
        <v>37.199999999999996</v>
      </c>
      <c r="I151" s="72">
        <f t="shared" si="37"/>
        <v>0.33602150537634401</v>
      </c>
      <c r="J151" s="66">
        <f t="shared" si="43"/>
        <v>12.499999999999996</v>
      </c>
      <c r="K151" s="66">
        <f>+'Tablas Servicio'!H184</f>
        <v>38.68</v>
      </c>
      <c r="L151" s="66">
        <f>+IF(A151="","",ROUND(H151*Parámetros!$D$100,2))</f>
        <v>4.34</v>
      </c>
      <c r="M151" s="58">
        <f>+IF(A151="","",IF(AND(A151=1,B151=1),Parámetros!$D$114*(D151*frec-$G$3-$H$3),IF(AND(A151=2,B151=frec+1),Parámetros!$D$115*(D151*frec-$G$4-$H$4),0)))</f>
        <v>0</v>
      </c>
      <c r="N151" s="58">
        <f>+IF(A151="","",IF(A151&gt;Parámetros!$D$117,0,ROUND('Modelo Financiero'!D151*Parámetros!$D$116,2)))</f>
        <v>0</v>
      </c>
      <c r="O151" s="58">
        <f t="shared" si="38"/>
        <v>0</v>
      </c>
      <c r="P151" s="66">
        <f>+'Tablas Servicio'!I184</f>
        <v>55.32</v>
      </c>
      <c r="Q151" s="66">
        <f>+'Tablas Servicio'!S184</f>
        <v>9680.16</v>
      </c>
      <c r="R151" s="66">
        <f>+'Tablas Servicio'!T184</f>
        <v>9680.16</v>
      </c>
      <c r="S151" s="66">
        <f t="shared" si="35"/>
        <v>20.295999999999996</v>
      </c>
      <c r="T151" s="66">
        <f t="shared" si="44"/>
        <v>2767.2079999999969</v>
      </c>
      <c r="U151" s="66">
        <f t="shared" si="39"/>
        <v>2767.2079999999969</v>
      </c>
      <c r="V151" s="81">
        <f t="shared" si="40"/>
        <v>0</v>
      </c>
      <c r="W151" s="66">
        <f t="shared" si="41"/>
        <v>0</v>
      </c>
      <c r="X151" s="66">
        <f t="shared" si="42"/>
        <v>2767.2079999999969</v>
      </c>
    </row>
    <row r="152" spans="1:24" x14ac:dyDescent="0.25">
      <c r="A152">
        <f>+'Tablas Servicio'!B185</f>
        <v>12</v>
      </c>
      <c r="B152">
        <f>+'Tablas Servicio'!C185</f>
        <v>144</v>
      </c>
      <c r="C152" s="56">
        <f>+'Tablas Servicio'!D185</f>
        <v>52.020000000000344</v>
      </c>
      <c r="D152" s="58">
        <f>+'Tablas Servicio'!N185</f>
        <v>94</v>
      </c>
      <c r="E152" s="66">
        <f>+'Tablas Servicio'!AC185</f>
        <v>23.8</v>
      </c>
      <c r="F152" s="66">
        <f>+IF(A152="","",'Tablas Servicio'!O185-'Modelo Financiero'!E152)</f>
        <v>0.89999999999999858</v>
      </c>
      <c r="G152" s="58">
        <f t="shared" si="36"/>
        <v>16.904</v>
      </c>
      <c r="H152" s="66">
        <f>+'Tablas Servicio'!G185</f>
        <v>37.199999999999996</v>
      </c>
      <c r="I152" s="72">
        <f t="shared" si="37"/>
        <v>0.33602150537634401</v>
      </c>
      <c r="J152" s="66">
        <f t="shared" si="43"/>
        <v>12.499999999999996</v>
      </c>
      <c r="K152" s="66">
        <f>+'Tablas Servicio'!H185</f>
        <v>38.68</v>
      </c>
      <c r="L152" s="66">
        <f>+IF(A152="","",ROUND(H152*Parámetros!$D$100,2))</f>
        <v>4.34</v>
      </c>
      <c r="M152" s="58">
        <f>+IF(A152="","",IF(AND(A152=1,B152=1),Parámetros!$D$114*(D152*frec-$G$3-$H$3),IF(AND(A152=2,B152=frec+1),Parámetros!$D$115*(D152*frec-$G$4-$H$4),0)))</f>
        <v>0</v>
      </c>
      <c r="N152" s="58">
        <f>+IF(A152="","",IF(A152&gt;Parámetros!$D$117,0,ROUND('Modelo Financiero'!D152*Parámetros!$D$116,2)))</f>
        <v>0</v>
      </c>
      <c r="O152" s="58">
        <f t="shared" si="38"/>
        <v>0</v>
      </c>
      <c r="P152" s="66">
        <f>+'Tablas Servicio'!I185</f>
        <v>55.32</v>
      </c>
      <c r="Q152" s="66">
        <f>+'Tablas Servicio'!S185</f>
        <v>9763.09</v>
      </c>
      <c r="R152" s="66">
        <f>+'Tablas Servicio'!T185</f>
        <v>9763.09</v>
      </c>
      <c r="S152" s="66">
        <f t="shared" si="35"/>
        <v>20.295999999999996</v>
      </c>
      <c r="T152" s="66">
        <f t="shared" si="44"/>
        <v>2787.5039999999967</v>
      </c>
      <c r="U152" s="66">
        <f t="shared" si="39"/>
        <v>2787.5039999999967</v>
      </c>
      <c r="V152" s="81">
        <f t="shared" si="40"/>
        <v>0</v>
      </c>
      <c r="W152" s="66">
        <f t="shared" si="41"/>
        <v>0</v>
      </c>
      <c r="X152" s="66">
        <f t="shared" si="42"/>
        <v>2787.5039999999967</v>
      </c>
    </row>
    <row r="153" spans="1:24" x14ac:dyDescent="0.25">
      <c r="A153">
        <f>+'Tablas Servicio'!B186</f>
        <v>13</v>
      </c>
      <c r="B153">
        <f>+'Tablas Servicio'!C186</f>
        <v>145</v>
      </c>
      <c r="C153" s="56">
        <f>+'Tablas Servicio'!D186</f>
        <v>52.10333333333368</v>
      </c>
      <c r="D153" s="58">
        <f>+'Tablas Servicio'!N186</f>
        <v>94</v>
      </c>
      <c r="E153" s="66">
        <f>+'Tablas Servicio'!AC186</f>
        <v>25.7</v>
      </c>
      <c r="F153" s="66">
        <f>+IF(A153="","",'Tablas Servicio'!O186-'Modelo Financiero'!E153)</f>
        <v>0.89999999999999858</v>
      </c>
      <c r="G153" s="58">
        <f t="shared" si="36"/>
        <v>18.195999999999998</v>
      </c>
      <c r="H153" s="66">
        <f>+'Tablas Servicio'!G186</f>
        <v>39.1</v>
      </c>
      <c r="I153" s="72">
        <f t="shared" si="37"/>
        <v>0.31969309462915607</v>
      </c>
      <c r="J153" s="66">
        <f t="shared" si="43"/>
        <v>12.500000000000004</v>
      </c>
      <c r="K153" s="66">
        <f>+'Tablas Servicio'!H186</f>
        <v>40.659999999999997</v>
      </c>
      <c r="L153" s="66">
        <f>+IF(A153="","",ROUND(H153*Parámetros!$D$100,2))</f>
        <v>4.5599999999999996</v>
      </c>
      <c r="M153" s="58">
        <f>+IF(A153="","",IF(AND(A153=1,B153=1),Parámetros!$D$114*(D153*frec-$G$3-$H$3),IF(AND(A153=2,B153=frec+1),Parámetros!$D$115*(D153*frec-$G$4-$H$4),0)))</f>
        <v>0</v>
      </c>
      <c r="N153" s="58">
        <f>+IF(A153="","",IF(A153&gt;Parámetros!$D$117,0,ROUND('Modelo Financiero'!D153*Parámetros!$D$116,2)))</f>
        <v>0</v>
      </c>
      <c r="O153" s="58">
        <f t="shared" si="38"/>
        <v>0</v>
      </c>
      <c r="P153" s="66">
        <f>+'Tablas Servicio'!I186</f>
        <v>53.34</v>
      </c>
      <c r="Q153" s="66">
        <f>+'Tablas Servicio'!S186</f>
        <v>9844.27</v>
      </c>
      <c r="R153" s="66">
        <f>+'Tablas Servicio'!T186</f>
        <v>9844.27</v>
      </c>
      <c r="S153" s="66">
        <f t="shared" si="35"/>
        <v>20.904000000000003</v>
      </c>
      <c r="T153" s="66">
        <f t="shared" si="44"/>
        <v>2808.4079999999967</v>
      </c>
      <c r="U153" s="66">
        <f t="shared" si="39"/>
        <v>2808.4079999999967</v>
      </c>
      <c r="V153" s="81">
        <f t="shared" si="40"/>
        <v>0</v>
      </c>
      <c r="W153" s="66">
        <f t="shared" si="41"/>
        <v>0</v>
      </c>
      <c r="X153" s="66">
        <f t="shared" si="42"/>
        <v>2808.4079999999967</v>
      </c>
    </row>
    <row r="154" spans="1:24" x14ac:dyDescent="0.25">
      <c r="A154">
        <f>+'Tablas Servicio'!B187</f>
        <v>13</v>
      </c>
      <c r="B154">
        <f>+'Tablas Servicio'!C187</f>
        <v>146</v>
      </c>
      <c r="C154" s="56">
        <f>+'Tablas Servicio'!D187</f>
        <v>52.186666666667016</v>
      </c>
      <c r="D154" s="58">
        <f>+'Tablas Servicio'!N187</f>
        <v>94</v>
      </c>
      <c r="E154" s="66">
        <f>+'Tablas Servicio'!AC187</f>
        <v>25.7</v>
      </c>
      <c r="F154" s="66">
        <f>+IF(A154="","",'Tablas Servicio'!O187-'Modelo Financiero'!E154)</f>
        <v>0.89999999999999858</v>
      </c>
      <c r="G154" s="58">
        <f t="shared" si="36"/>
        <v>18.195999999999998</v>
      </c>
      <c r="H154" s="66">
        <f>+'Tablas Servicio'!G187</f>
        <v>39.1</v>
      </c>
      <c r="I154" s="72">
        <f t="shared" si="37"/>
        <v>0.31969309462915607</v>
      </c>
      <c r="J154" s="66">
        <f t="shared" si="43"/>
        <v>12.500000000000004</v>
      </c>
      <c r="K154" s="66">
        <f>+'Tablas Servicio'!H187</f>
        <v>40.659999999999997</v>
      </c>
      <c r="L154" s="66">
        <f>+IF(A154="","",ROUND(H154*Parámetros!$D$100,2))</f>
        <v>4.5599999999999996</v>
      </c>
      <c r="M154" s="58">
        <f>+IF(A154="","",IF(AND(A154=1,B154=1),Parámetros!$D$114*(D154*frec-$G$3-$H$3),IF(AND(A154=2,B154=frec+1),Parámetros!$D$115*(D154*frec-$G$4-$H$4),0)))</f>
        <v>0</v>
      </c>
      <c r="N154" s="58">
        <f>+IF(A154="","",IF(A154&gt;Parámetros!$D$117,0,ROUND('Modelo Financiero'!D154*Parámetros!$D$116,2)))</f>
        <v>0</v>
      </c>
      <c r="O154" s="58">
        <f t="shared" si="38"/>
        <v>0</v>
      </c>
      <c r="P154" s="66">
        <f>+'Tablas Servicio'!I187</f>
        <v>53.34</v>
      </c>
      <c r="Q154" s="66">
        <f>+'Tablas Servicio'!S187</f>
        <v>9925.68</v>
      </c>
      <c r="R154" s="66">
        <f>+'Tablas Servicio'!T187</f>
        <v>9925.68</v>
      </c>
      <c r="S154" s="66">
        <f t="shared" si="35"/>
        <v>20.904000000000003</v>
      </c>
      <c r="T154" s="66">
        <f t="shared" si="44"/>
        <v>2829.3119999999967</v>
      </c>
      <c r="U154" s="66">
        <f t="shared" si="39"/>
        <v>2829.3119999999967</v>
      </c>
      <c r="V154" s="81">
        <f t="shared" si="40"/>
        <v>0</v>
      </c>
      <c r="W154" s="66">
        <f t="shared" si="41"/>
        <v>0</v>
      </c>
      <c r="X154" s="66">
        <f t="shared" si="42"/>
        <v>2829.3119999999967</v>
      </c>
    </row>
    <row r="155" spans="1:24" x14ac:dyDescent="0.25">
      <c r="A155">
        <f>+'Tablas Servicio'!B188</f>
        <v>13</v>
      </c>
      <c r="B155">
        <f>+'Tablas Servicio'!C188</f>
        <v>147</v>
      </c>
      <c r="C155" s="56">
        <f>+'Tablas Servicio'!D188</f>
        <v>52.270000000000351</v>
      </c>
      <c r="D155" s="58">
        <f>+'Tablas Servicio'!N188</f>
        <v>94</v>
      </c>
      <c r="E155" s="66">
        <f>+'Tablas Servicio'!AC188</f>
        <v>25.7</v>
      </c>
      <c r="F155" s="66">
        <f>+IF(A155="","",'Tablas Servicio'!O188-'Modelo Financiero'!E155)</f>
        <v>0.89999999999999858</v>
      </c>
      <c r="G155" s="58">
        <f t="shared" si="36"/>
        <v>18.195999999999998</v>
      </c>
      <c r="H155" s="66">
        <f>+'Tablas Servicio'!G188</f>
        <v>39.1</v>
      </c>
      <c r="I155" s="72">
        <f t="shared" si="37"/>
        <v>0.31969309462915607</v>
      </c>
      <c r="J155" s="66">
        <f t="shared" si="43"/>
        <v>12.500000000000004</v>
      </c>
      <c r="K155" s="66">
        <f>+'Tablas Servicio'!H188</f>
        <v>40.659999999999997</v>
      </c>
      <c r="L155" s="66">
        <f>+IF(A155="","",ROUND(H155*Parámetros!$D$100,2))</f>
        <v>4.5599999999999996</v>
      </c>
      <c r="M155" s="58">
        <f>+IF(A155="","",IF(AND(A155=1,B155=1),Parámetros!$D$114*(D155*frec-$G$3-$H$3),IF(AND(A155=2,B155=frec+1),Parámetros!$D$115*(D155*frec-$G$4-$H$4),0)))</f>
        <v>0</v>
      </c>
      <c r="N155" s="58">
        <f>+IF(A155="","",IF(A155&gt;Parámetros!$D$117,0,ROUND('Modelo Financiero'!D155*Parámetros!$D$116,2)))</f>
        <v>0</v>
      </c>
      <c r="O155" s="58">
        <f t="shared" si="38"/>
        <v>0</v>
      </c>
      <c r="P155" s="66">
        <f>+'Tablas Servicio'!I188</f>
        <v>53.34</v>
      </c>
      <c r="Q155" s="66">
        <f>+'Tablas Servicio'!S188</f>
        <v>10007.33</v>
      </c>
      <c r="R155" s="66">
        <f>+'Tablas Servicio'!T188</f>
        <v>10007.33</v>
      </c>
      <c r="S155" s="66">
        <f t="shared" si="35"/>
        <v>20.904000000000003</v>
      </c>
      <c r="T155" s="66">
        <f t="shared" si="44"/>
        <v>2850.2159999999967</v>
      </c>
      <c r="U155" s="66">
        <f t="shared" si="39"/>
        <v>2850.2159999999967</v>
      </c>
      <c r="V155" s="81">
        <f t="shared" si="40"/>
        <v>0</v>
      </c>
      <c r="W155" s="66">
        <f t="shared" si="41"/>
        <v>0</v>
      </c>
      <c r="X155" s="66">
        <f t="shared" si="42"/>
        <v>2850.2159999999967</v>
      </c>
    </row>
    <row r="156" spans="1:24" x14ac:dyDescent="0.25">
      <c r="A156">
        <f>+'Tablas Servicio'!B189</f>
        <v>13</v>
      </c>
      <c r="B156">
        <f>+'Tablas Servicio'!C189</f>
        <v>148</v>
      </c>
      <c r="C156" s="56">
        <f>+'Tablas Servicio'!D189</f>
        <v>52.353333333333687</v>
      </c>
      <c r="D156" s="58">
        <f>+'Tablas Servicio'!N189</f>
        <v>94</v>
      </c>
      <c r="E156" s="66">
        <f>+'Tablas Servicio'!AC189</f>
        <v>25.7</v>
      </c>
      <c r="F156" s="66">
        <f>+IF(A156="","",'Tablas Servicio'!O189-'Modelo Financiero'!E156)</f>
        <v>0.89999999999999858</v>
      </c>
      <c r="G156" s="58">
        <f t="shared" si="36"/>
        <v>18.195999999999998</v>
      </c>
      <c r="H156" s="66">
        <f>+'Tablas Servicio'!G189</f>
        <v>39.1</v>
      </c>
      <c r="I156" s="72">
        <f t="shared" si="37"/>
        <v>0.31969309462915607</v>
      </c>
      <c r="J156" s="66">
        <f t="shared" si="43"/>
        <v>12.500000000000004</v>
      </c>
      <c r="K156" s="66">
        <f>+'Tablas Servicio'!H189</f>
        <v>40.659999999999997</v>
      </c>
      <c r="L156" s="66">
        <f>+IF(A156="","",ROUND(H156*Parámetros!$D$100,2))</f>
        <v>4.5599999999999996</v>
      </c>
      <c r="M156" s="58">
        <f>+IF(A156="","",IF(AND(A156=1,B156=1),Parámetros!$D$114*(D156*frec-$G$3-$H$3),IF(AND(A156=2,B156=frec+1),Parámetros!$D$115*(D156*frec-$G$4-$H$4),0)))</f>
        <v>0</v>
      </c>
      <c r="N156" s="58">
        <f>+IF(A156="","",IF(A156&gt;Parámetros!$D$117,0,ROUND('Modelo Financiero'!D156*Parámetros!$D$116,2)))</f>
        <v>0</v>
      </c>
      <c r="O156" s="58">
        <f t="shared" si="38"/>
        <v>0</v>
      </c>
      <c r="P156" s="66">
        <f>+'Tablas Servicio'!I189</f>
        <v>53.34</v>
      </c>
      <c r="Q156" s="66">
        <f>+'Tablas Servicio'!S189</f>
        <v>10089.209999999999</v>
      </c>
      <c r="R156" s="66">
        <f>+'Tablas Servicio'!T189</f>
        <v>10089.209999999999</v>
      </c>
      <c r="S156" s="66">
        <f t="shared" si="35"/>
        <v>20.904000000000003</v>
      </c>
      <c r="T156" s="66">
        <f t="shared" si="44"/>
        <v>2871.1199999999967</v>
      </c>
      <c r="U156" s="66">
        <f t="shared" si="39"/>
        <v>2871.1199999999967</v>
      </c>
      <c r="V156" s="81">
        <f t="shared" si="40"/>
        <v>0</v>
      </c>
      <c r="W156" s="66">
        <f t="shared" si="41"/>
        <v>0</v>
      </c>
      <c r="X156" s="66">
        <f t="shared" si="42"/>
        <v>2871.1199999999967</v>
      </c>
    </row>
    <row r="157" spans="1:24" x14ac:dyDescent="0.25">
      <c r="A157">
        <f>+'Tablas Servicio'!B190</f>
        <v>13</v>
      </c>
      <c r="B157">
        <f>+'Tablas Servicio'!C190</f>
        <v>149</v>
      </c>
      <c r="C157" s="56">
        <f>+'Tablas Servicio'!D190</f>
        <v>52.436666666667023</v>
      </c>
      <c r="D157" s="58">
        <f>+'Tablas Servicio'!N190</f>
        <v>94</v>
      </c>
      <c r="E157" s="66">
        <f>+'Tablas Servicio'!AC190</f>
        <v>25.7</v>
      </c>
      <c r="F157" s="66">
        <f>+IF(A157="","",'Tablas Servicio'!O190-'Modelo Financiero'!E157)</f>
        <v>0.89999999999999858</v>
      </c>
      <c r="G157" s="58">
        <f t="shared" si="36"/>
        <v>18.195999999999998</v>
      </c>
      <c r="H157" s="66">
        <f>+'Tablas Servicio'!G190</f>
        <v>39.1</v>
      </c>
      <c r="I157" s="72">
        <f t="shared" si="37"/>
        <v>0.31969309462915607</v>
      </c>
      <c r="J157" s="66">
        <f t="shared" si="43"/>
        <v>12.500000000000004</v>
      </c>
      <c r="K157" s="66">
        <f>+'Tablas Servicio'!H190</f>
        <v>40.659999999999997</v>
      </c>
      <c r="L157" s="66">
        <f>+IF(A157="","",ROUND(H157*Parámetros!$D$100,2))</f>
        <v>4.5599999999999996</v>
      </c>
      <c r="M157" s="58">
        <f>+IF(A157="","",IF(AND(A157=1,B157=1),Parámetros!$D$114*(D157*frec-$G$3-$H$3),IF(AND(A157=2,B157=frec+1),Parámetros!$D$115*(D157*frec-$G$4-$H$4),0)))</f>
        <v>0</v>
      </c>
      <c r="N157" s="58">
        <f>+IF(A157="","",IF(A157&gt;Parámetros!$D$117,0,ROUND('Modelo Financiero'!D157*Parámetros!$D$116,2)))</f>
        <v>0</v>
      </c>
      <c r="O157" s="58">
        <f t="shared" si="38"/>
        <v>0</v>
      </c>
      <c r="P157" s="66">
        <f>+'Tablas Servicio'!I190</f>
        <v>53.34</v>
      </c>
      <c r="Q157" s="66">
        <f>+'Tablas Servicio'!S190</f>
        <v>10171.32</v>
      </c>
      <c r="R157" s="66">
        <f>+'Tablas Servicio'!T190</f>
        <v>10171.32</v>
      </c>
      <c r="S157" s="66">
        <f t="shared" si="35"/>
        <v>20.904000000000003</v>
      </c>
      <c r="T157" s="66">
        <f t="shared" si="44"/>
        <v>2892.0239999999967</v>
      </c>
      <c r="U157" s="66">
        <f t="shared" si="39"/>
        <v>2892.0239999999967</v>
      </c>
      <c r="V157" s="81">
        <f t="shared" si="40"/>
        <v>0</v>
      </c>
      <c r="W157" s="66">
        <f t="shared" si="41"/>
        <v>0</v>
      </c>
      <c r="X157" s="66">
        <f t="shared" si="42"/>
        <v>2892.0239999999967</v>
      </c>
    </row>
    <row r="158" spans="1:24" x14ac:dyDescent="0.25">
      <c r="A158">
        <f>+'Tablas Servicio'!B191</f>
        <v>13</v>
      </c>
      <c r="B158">
        <f>+'Tablas Servicio'!C191</f>
        <v>150</v>
      </c>
      <c r="C158" s="56">
        <f>+'Tablas Servicio'!D191</f>
        <v>52.520000000000358</v>
      </c>
      <c r="D158" s="58">
        <f>+'Tablas Servicio'!N191</f>
        <v>94</v>
      </c>
      <c r="E158" s="66">
        <f>+'Tablas Servicio'!AC191</f>
        <v>25.7</v>
      </c>
      <c r="F158" s="66">
        <f>+IF(A158="","",'Tablas Servicio'!O191-'Modelo Financiero'!E158)</f>
        <v>0.89999999999999858</v>
      </c>
      <c r="G158" s="58">
        <f t="shared" si="36"/>
        <v>18.195999999999998</v>
      </c>
      <c r="H158" s="66">
        <f>+'Tablas Servicio'!G191</f>
        <v>39.1</v>
      </c>
      <c r="I158" s="72">
        <f t="shared" si="37"/>
        <v>0.31969309462915607</v>
      </c>
      <c r="J158" s="66">
        <f t="shared" si="43"/>
        <v>12.500000000000004</v>
      </c>
      <c r="K158" s="66">
        <f>+'Tablas Servicio'!H191</f>
        <v>40.659999999999997</v>
      </c>
      <c r="L158" s="66">
        <f>+IF(A158="","",ROUND(H158*Parámetros!$D$100,2))</f>
        <v>4.5599999999999996</v>
      </c>
      <c r="M158" s="58">
        <f>+IF(A158="","",IF(AND(A158=1,B158=1),Parámetros!$D$114*(D158*frec-$G$3-$H$3),IF(AND(A158=2,B158=frec+1),Parámetros!$D$115*(D158*frec-$G$4-$H$4),0)))</f>
        <v>0</v>
      </c>
      <c r="N158" s="58">
        <f>+IF(A158="","",IF(A158&gt;Parámetros!$D$117,0,ROUND('Modelo Financiero'!D158*Parámetros!$D$116,2)))</f>
        <v>0</v>
      </c>
      <c r="O158" s="58">
        <f t="shared" si="38"/>
        <v>0</v>
      </c>
      <c r="P158" s="66">
        <f>+'Tablas Servicio'!I191</f>
        <v>53.34</v>
      </c>
      <c r="Q158" s="66">
        <f>+'Tablas Servicio'!S191</f>
        <v>10253.66</v>
      </c>
      <c r="R158" s="66">
        <f>+'Tablas Servicio'!T191</f>
        <v>10253.66</v>
      </c>
      <c r="S158" s="66">
        <f t="shared" si="35"/>
        <v>20.904000000000003</v>
      </c>
      <c r="T158" s="66">
        <f t="shared" si="44"/>
        <v>2912.9279999999967</v>
      </c>
      <c r="U158" s="66">
        <f t="shared" si="39"/>
        <v>2912.9279999999967</v>
      </c>
      <c r="V158" s="81">
        <f t="shared" si="40"/>
        <v>0</v>
      </c>
      <c r="W158" s="66">
        <f t="shared" si="41"/>
        <v>0</v>
      </c>
      <c r="X158" s="66">
        <f t="shared" si="42"/>
        <v>2912.9279999999967</v>
      </c>
    </row>
    <row r="159" spans="1:24" x14ac:dyDescent="0.25">
      <c r="A159">
        <f>+'Tablas Servicio'!B192</f>
        <v>13</v>
      </c>
      <c r="B159">
        <f>+'Tablas Servicio'!C192</f>
        <v>151</v>
      </c>
      <c r="C159" s="56">
        <f>+'Tablas Servicio'!D192</f>
        <v>52.603333333333694</v>
      </c>
      <c r="D159" s="58">
        <f>+'Tablas Servicio'!N192</f>
        <v>94</v>
      </c>
      <c r="E159" s="66">
        <f>+'Tablas Servicio'!AC192</f>
        <v>25.7</v>
      </c>
      <c r="F159" s="66">
        <f>+IF(A159="","",'Tablas Servicio'!O192-'Modelo Financiero'!E159)</f>
        <v>0.89999999999999858</v>
      </c>
      <c r="G159" s="58">
        <f t="shared" si="36"/>
        <v>18.195999999999998</v>
      </c>
      <c r="H159" s="66">
        <f>+'Tablas Servicio'!G192</f>
        <v>39.1</v>
      </c>
      <c r="I159" s="72">
        <f t="shared" si="37"/>
        <v>0.31969309462915607</v>
      </c>
      <c r="J159" s="66">
        <f t="shared" si="43"/>
        <v>12.500000000000004</v>
      </c>
      <c r="K159" s="66">
        <f>+'Tablas Servicio'!H192</f>
        <v>40.659999999999997</v>
      </c>
      <c r="L159" s="66">
        <f>+IF(A159="","",ROUND(H159*Parámetros!$D$100,2))</f>
        <v>4.5599999999999996</v>
      </c>
      <c r="M159" s="58">
        <f>+IF(A159="","",IF(AND(A159=1,B159=1),Parámetros!$D$114*(D159*frec-$G$3-$H$3),IF(AND(A159=2,B159=frec+1),Parámetros!$D$115*(D159*frec-$G$4-$H$4),0)))</f>
        <v>0</v>
      </c>
      <c r="N159" s="58">
        <f>+IF(A159="","",IF(A159&gt;Parámetros!$D$117,0,ROUND('Modelo Financiero'!D159*Parámetros!$D$116,2)))</f>
        <v>0</v>
      </c>
      <c r="O159" s="58">
        <f t="shared" si="38"/>
        <v>0</v>
      </c>
      <c r="P159" s="66">
        <f>+'Tablas Servicio'!I192</f>
        <v>53.34</v>
      </c>
      <c r="Q159" s="66">
        <f>+'Tablas Servicio'!S192</f>
        <v>10336.24</v>
      </c>
      <c r="R159" s="66">
        <f>+'Tablas Servicio'!T192</f>
        <v>10336.24</v>
      </c>
      <c r="S159" s="66">
        <f t="shared" si="35"/>
        <v>20.904000000000003</v>
      </c>
      <c r="T159" s="66">
        <f t="shared" si="44"/>
        <v>2933.8319999999967</v>
      </c>
      <c r="U159" s="66">
        <f t="shared" si="39"/>
        <v>2933.8319999999967</v>
      </c>
      <c r="V159" s="81">
        <f t="shared" si="40"/>
        <v>0</v>
      </c>
      <c r="W159" s="66">
        <f t="shared" si="41"/>
        <v>0</v>
      </c>
      <c r="X159" s="66">
        <f t="shared" si="42"/>
        <v>2933.8319999999967</v>
      </c>
    </row>
    <row r="160" spans="1:24" x14ac:dyDescent="0.25">
      <c r="A160">
        <f>+'Tablas Servicio'!B193</f>
        <v>13</v>
      </c>
      <c r="B160">
        <f>+'Tablas Servicio'!C193</f>
        <v>152</v>
      </c>
      <c r="C160" s="56">
        <f>+'Tablas Servicio'!D193</f>
        <v>52.68666666666703</v>
      </c>
      <c r="D160" s="58">
        <f>+'Tablas Servicio'!N193</f>
        <v>94</v>
      </c>
      <c r="E160" s="66">
        <f>+'Tablas Servicio'!AC193</f>
        <v>25.7</v>
      </c>
      <c r="F160" s="66">
        <f>+IF(A160="","",'Tablas Servicio'!O193-'Modelo Financiero'!E160)</f>
        <v>0.89999999999999858</v>
      </c>
      <c r="G160" s="58">
        <f t="shared" si="36"/>
        <v>18.195999999999998</v>
      </c>
      <c r="H160" s="66">
        <f>+'Tablas Servicio'!G193</f>
        <v>39.1</v>
      </c>
      <c r="I160" s="72">
        <f t="shared" si="37"/>
        <v>0.31969309462915607</v>
      </c>
      <c r="J160" s="66">
        <f t="shared" si="43"/>
        <v>12.500000000000004</v>
      </c>
      <c r="K160" s="66">
        <f>+'Tablas Servicio'!H193</f>
        <v>40.659999999999997</v>
      </c>
      <c r="L160" s="66">
        <f>+IF(A160="","",ROUND(H160*Parámetros!$D$100,2))</f>
        <v>4.5599999999999996</v>
      </c>
      <c r="M160" s="58">
        <f>+IF(A160="","",IF(AND(A160=1,B160=1),Parámetros!$D$114*(D160*frec-$G$3-$H$3),IF(AND(A160=2,B160=frec+1),Parámetros!$D$115*(D160*frec-$G$4-$H$4),0)))</f>
        <v>0</v>
      </c>
      <c r="N160" s="58">
        <f>+IF(A160="","",IF(A160&gt;Parámetros!$D$117,0,ROUND('Modelo Financiero'!D160*Parámetros!$D$116,2)))</f>
        <v>0</v>
      </c>
      <c r="O160" s="58">
        <f t="shared" si="38"/>
        <v>0</v>
      </c>
      <c r="P160" s="66">
        <f>+'Tablas Servicio'!I193</f>
        <v>53.34</v>
      </c>
      <c r="Q160" s="66">
        <f>+'Tablas Servicio'!S193</f>
        <v>10419.049999999999</v>
      </c>
      <c r="R160" s="66">
        <f>+'Tablas Servicio'!T193</f>
        <v>10419.049999999999</v>
      </c>
      <c r="S160" s="66">
        <f t="shared" si="35"/>
        <v>20.904000000000003</v>
      </c>
      <c r="T160" s="66">
        <f t="shared" si="44"/>
        <v>2954.7359999999967</v>
      </c>
      <c r="U160" s="66">
        <f t="shared" si="39"/>
        <v>2954.7359999999967</v>
      </c>
      <c r="V160" s="81">
        <f t="shared" si="40"/>
        <v>0</v>
      </c>
      <c r="W160" s="66">
        <f t="shared" si="41"/>
        <v>0</v>
      </c>
      <c r="X160" s="66">
        <f t="shared" si="42"/>
        <v>2954.7359999999967</v>
      </c>
    </row>
    <row r="161" spans="1:24" x14ac:dyDescent="0.25">
      <c r="A161">
        <f>+'Tablas Servicio'!B194</f>
        <v>13</v>
      </c>
      <c r="B161">
        <f>+'Tablas Servicio'!C194</f>
        <v>153</v>
      </c>
      <c r="C161" s="56">
        <f>+'Tablas Servicio'!D194</f>
        <v>52.770000000000366</v>
      </c>
      <c r="D161" s="58">
        <f>+'Tablas Servicio'!N194</f>
        <v>94</v>
      </c>
      <c r="E161" s="66">
        <f>+'Tablas Servicio'!AC194</f>
        <v>25.7</v>
      </c>
      <c r="F161" s="66">
        <f>+IF(A161="","",'Tablas Servicio'!O194-'Modelo Financiero'!E161)</f>
        <v>0.89999999999999858</v>
      </c>
      <c r="G161" s="58">
        <f t="shared" si="36"/>
        <v>18.195999999999998</v>
      </c>
      <c r="H161" s="66">
        <f>+'Tablas Servicio'!G194</f>
        <v>39.1</v>
      </c>
      <c r="I161" s="72">
        <f t="shared" si="37"/>
        <v>0.31969309462915607</v>
      </c>
      <c r="J161" s="66">
        <f t="shared" si="43"/>
        <v>12.500000000000004</v>
      </c>
      <c r="K161" s="66">
        <f>+'Tablas Servicio'!H194</f>
        <v>40.659999999999997</v>
      </c>
      <c r="L161" s="66">
        <f>+IF(A161="","",ROUND(H161*Parámetros!$D$100,2))</f>
        <v>4.5599999999999996</v>
      </c>
      <c r="M161" s="58">
        <f>+IF(A161="","",IF(AND(A161=1,B161=1),Parámetros!$D$114*(D161*frec-$G$3-$H$3),IF(AND(A161=2,B161=frec+1),Parámetros!$D$115*(D161*frec-$G$4-$H$4),0)))</f>
        <v>0</v>
      </c>
      <c r="N161" s="58">
        <f>+IF(A161="","",IF(A161&gt;Parámetros!$D$117,0,ROUND('Modelo Financiero'!D161*Parámetros!$D$116,2)))</f>
        <v>0</v>
      </c>
      <c r="O161" s="58">
        <f t="shared" si="38"/>
        <v>0</v>
      </c>
      <c r="P161" s="66">
        <f>+'Tablas Servicio'!I194</f>
        <v>53.34</v>
      </c>
      <c r="Q161" s="66">
        <f>+'Tablas Servicio'!S194</f>
        <v>10502.09</v>
      </c>
      <c r="R161" s="66">
        <f>+'Tablas Servicio'!T194</f>
        <v>10502.09</v>
      </c>
      <c r="S161" s="66">
        <f t="shared" si="35"/>
        <v>20.904000000000003</v>
      </c>
      <c r="T161" s="66">
        <f t="shared" si="44"/>
        <v>2975.6399999999967</v>
      </c>
      <c r="U161" s="66">
        <f t="shared" si="39"/>
        <v>2975.6399999999967</v>
      </c>
      <c r="V161" s="81">
        <f t="shared" si="40"/>
        <v>0</v>
      </c>
      <c r="W161" s="66">
        <f t="shared" si="41"/>
        <v>0</v>
      </c>
      <c r="X161" s="66">
        <f t="shared" si="42"/>
        <v>2975.6399999999967</v>
      </c>
    </row>
    <row r="162" spans="1:24" x14ac:dyDescent="0.25">
      <c r="A162">
        <f>+'Tablas Servicio'!B195</f>
        <v>13</v>
      </c>
      <c r="B162">
        <f>+'Tablas Servicio'!C195</f>
        <v>154</v>
      </c>
      <c r="C162" s="56">
        <f>+'Tablas Servicio'!D195</f>
        <v>52.853333333333701</v>
      </c>
      <c r="D162" s="58">
        <f>+'Tablas Servicio'!N195</f>
        <v>94</v>
      </c>
      <c r="E162" s="66">
        <f>+'Tablas Servicio'!AC195</f>
        <v>25.7</v>
      </c>
      <c r="F162" s="66">
        <f>+IF(A162="","",'Tablas Servicio'!O195-'Modelo Financiero'!E162)</f>
        <v>0.89999999999999858</v>
      </c>
      <c r="G162" s="58">
        <f t="shared" si="36"/>
        <v>18.195999999999998</v>
      </c>
      <c r="H162" s="66">
        <f>+'Tablas Servicio'!G195</f>
        <v>39.1</v>
      </c>
      <c r="I162" s="72">
        <f t="shared" si="37"/>
        <v>0.31969309462915607</v>
      </c>
      <c r="J162" s="66">
        <f t="shared" si="43"/>
        <v>12.500000000000004</v>
      </c>
      <c r="K162" s="66">
        <f>+'Tablas Servicio'!H195</f>
        <v>40.659999999999997</v>
      </c>
      <c r="L162" s="66">
        <f>+IF(A162="","",ROUND(H162*Parámetros!$D$100,2))</f>
        <v>4.5599999999999996</v>
      </c>
      <c r="M162" s="58">
        <f>+IF(A162="","",IF(AND(A162=1,B162=1),Parámetros!$D$114*(D162*frec-$G$3-$H$3),IF(AND(A162=2,B162=frec+1),Parámetros!$D$115*(D162*frec-$G$4-$H$4),0)))</f>
        <v>0</v>
      </c>
      <c r="N162" s="58">
        <f>+IF(A162="","",IF(A162&gt;Parámetros!$D$117,0,ROUND('Modelo Financiero'!D162*Parámetros!$D$116,2)))</f>
        <v>0</v>
      </c>
      <c r="O162" s="58">
        <f t="shared" si="38"/>
        <v>0</v>
      </c>
      <c r="P162" s="66">
        <f>+'Tablas Servicio'!I195</f>
        <v>53.34</v>
      </c>
      <c r="Q162" s="66">
        <f>+'Tablas Servicio'!S195</f>
        <v>10585.37</v>
      </c>
      <c r="R162" s="66">
        <f>+'Tablas Servicio'!T195</f>
        <v>10585.37</v>
      </c>
      <c r="S162" s="66">
        <f t="shared" si="35"/>
        <v>20.904000000000003</v>
      </c>
      <c r="T162" s="66">
        <f t="shared" si="44"/>
        <v>2996.5439999999967</v>
      </c>
      <c r="U162" s="66">
        <f t="shared" si="39"/>
        <v>2996.5439999999967</v>
      </c>
      <c r="V162" s="81">
        <f t="shared" si="40"/>
        <v>0</v>
      </c>
      <c r="W162" s="66">
        <f t="shared" si="41"/>
        <v>0</v>
      </c>
      <c r="X162" s="66">
        <f t="shared" si="42"/>
        <v>2996.5439999999967</v>
      </c>
    </row>
    <row r="163" spans="1:24" x14ac:dyDescent="0.25">
      <c r="A163">
        <f>+'Tablas Servicio'!B196</f>
        <v>13</v>
      </c>
      <c r="B163">
        <f>+'Tablas Servicio'!C196</f>
        <v>155</v>
      </c>
      <c r="C163" s="56">
        <f>+'Tablas Servicio'!D196</f>
        <v>52.936666666667037</v>
      </c>
      <c r="D163" s="58">
        <f>+'Tablas Servicio'!N196</f>
        <v>94</v>
      </c>
      <c r="E163" s="66">
        <f>+'Tablas Servicio'!AC196</f>
        <v>25.7</v>
      </c>
      <c r="F163" s="66">
        <f>+IF(A163="","",'Tablas Servicio'!O196-'Modelo Financiero'!E163)</f>
        <v>0.89999999999999858</v>
      </c>
      <c r="G163" s="58">
        <f t="shared" si="36"/>
        <v>18.195999999999998</v>
      </c>
      <c r="H163" s="66">
        <f>+'Tablas Servicio'!G196</f>
        <v>39.1</v>
      </c>
      <c r="I163" s="72">
        <f t="shared" si="37"/>
        <v>0.31969309462915607</v>
      </c>
      <c r="J163" s="66">
        <f t="shared" si="43"/>
        <v>12.500000000000004</v>
      </c>
      <c r="K163" s="66">
        <f>+'Tablas Servicio'!H196</f>
        <v>40.659999999999997</v>
      </c>
      <c r="L163" s="66">
        <f>+IF(A163="","",ROUND(H163*Parámetros!$D$100,2))</f>
        <v>4.5599999999999996</v>
      </c>
      <c r="M163" s="58">
        <f>+IF(A163="","",IF(AND(A163=1,B163=1),Parámetros!$D$114*(D163*frec-$G$3-$H$3),IF(AND(A163=2,B163=frec+1),Parámetros!$D$115*(D163*frec-$G$4-$H$4),0)))</f>
        <v>0</v>
      </c>
      <c r="N163" s="58">
        <f>+IF(A163="","",IF(A163&gt;Parámetros!$D$117,0,ROUND('Modelo Financiero'!D163*Parámetros!$D$116,2)))</f>
        <v>0</v>
      </c>
      <c r="O163" s="58">
        <f t="shared" si="38"/>
        <v>0</v>
      </c>
      <c r="P163" s="66">
        <f>+'Tablas Servicio'!I196</f>
        <v>53.34</v>
      </c>
      <c r="Q163" s="66">
        <f>+'Tablas Servicio'!S196</f>
        <v>10668.89</v>
      </c>
      <c r="R163" s="66">
        <f>+'Tablas Servicio'!T196</f>
        <v>10668.89</v>
      </c>
      <c r="S163" s="66">
        <f t="shared" si="35"/>
        <v>20.904000000000003</v>
      </c>
      <c r="T163" s="66">
        <f t="shared" si="44"/>
        <v>3017.4479999999967</v>
      </c>
      <c r="U163" s="66">
        <f t="shared" si="39"/>
        <v>3017.4479999999967</v>
      </c>
      <c r="V163" s="81">
        <f t="shared" si="40"/>
        <v>0</v>
      </c>
      <c r="W163" s="66">
        <f t="shared" si="41"/>
        <v>0</v>
      </c>
      <c r="X163" s="66">
        <f t="shared" si="42"/>
        <v>3017.4479999999967</v>
      </c>
    </row>
    <row r="164" spans="1:24" x14ac:dyDescent="0.25">
      <c r="A164">
        <f>+'Tablas Servicio'!B197</f>
        <v>13</v>
      </c>
      <c r="B164">
        <f>+'Tablas Servicio'!C197</f>
        <v>156</v>
      </c>
      <c r="C164" s="56">
        <f>+'Tablas Servicio'!D197</f>
        <v>53.020000000000373</v>
      </c>
      <c r="D164" s="58">
        <f>+'Tablas Servicio'!N197</f>
        <v>94</v>
      </c>
      <c r="E164" s="66">
        <f>+'Tablas Servicio'!AC197</f>
        <v>25.7</v>
      </c>
      <c r="F164" s="66">
        <f>+IF(A164="","",'Tablas Servicio'!O197-'Modelo Financiero'!E164)</f>
        <v>0.89999999999999858</v>
      </c>
      <c r="G164" s="58">
        <f t="shared" si="36"/>
        <v>18.195999999999998</v>
      </c>
      <c r="H164" s="66">
        <f>+'Tablas Servicio'!G197</f>
        <v>39.1</v>
      </c>
      <c r="I164" s="72">
        <f t="shared" si="37"/>
        <v>0.31969309462915607</v>
      </c>
      <c r="J164" s="66">
        <f t="shared" si="43"/>
        <v>12.500000000000004</v>
      </c>
      <c r="K164" s="66">
        <f>+'Tablas Servicio'!H197</f>
        <v>40.659999999999997</v>
      </c>
      <c r="L164" s="66">
        <f>+IF(A164="","",ROUND(H164*Parámetros!$D$100,2))</f>
        <v>4.5599999999999996</v>
      </c>
      <c r="M164" s="58">
        <f>+IF(A164="","",IF(AND(A164=1,B164=1),Parámetros!$D$114*(D164*frec-$G$3-$H$3),IF(AND(A164=2,B164=frec+1),Parámetros!$D$115*(D164*frec-$G$4-$H$4),0)))</f>
        <v>0</v>
      </c>
      <c r="N164" s="58">
        <f>+IF(A164="","",IF(A164&gt;Parámetros!$D$117,0,ROUND('Modelo Financiero'!D164*Parámetros!$D$116,2)))</f>
        <v>0</v>
      </c>
      <c r="O164" s="58">
        <f t="shared" si="38"/>
        <v>0</v>
      </c>
      <c r="P164" s="66">
        <f>+'Tablas Servicio'!I197</f>
        <v>53.34</v>
      </c>
      <c r="Q164" s="66">
        <f>+'Tablas Servicio'!S197</f>
        <v>10752.64</v>
      </c>
      <c r="R164" s="66">
        <f>+'Tablas Servicio'!T197</f>
        <v>10752.64</v>
      </c>
      <c r="S164" s="66">
        <f t="shared" si="35"/>
        <v>20.904000000000003</v>
      </c>
      <c r="T164" s="66">
        <f t="shared" si="44"/>
        <v>3038.3519999999967</v>
      </c>
      <c r="U164" s="66">
        <f t="shared" si="39"/>
        <v>3038.3519999999967</v>
      </c>
      <c r="V164" s="81">
        <f t="shared" si="40"/>
        <v>0</v>
      </c>
      <c r="W164" s="66">
        <f t="shared" si="41"/>
        <v>0</v>
      </c>
      <c r="X164" s="66">
        <f t="shared" si="42"/>
        <v>3038.3519999999967</v>
      </c>
    </row>
    <row r="165" spans="1:24" x14ac:dyDescent="0.25">
      <c r="A165">
        <f>+'Tablas Servicio'!B198</f>
        <v>14</v>
      </c>
      <c r="B165">
        <f>+'Tablas Servicio'!C198</f>
        <v>157</v>
      </c>
      <c r="C165" s="56">
        <f>+'Tablas Servicio'!D198</f>
        <v>53.103333333333708</v>
      </c>
      <c r="D165" s="58">
        <f>+'Tablas Servicio'!N198</f>
        <v>94</v>
      </c>
      <c r="E165" s="66">
        <f>+'Tablas Servicio'!AC198</f>
        <v>27.8</v>
      </c>
      <c r="F165" s="66">
        <f>+IF(A165="","",'Tablas Servicio'!O198-'Modelo Financiero'!E165)</f>
        <v>0.89999999999999858</v>
      </c>
      <c r="G165" s="58">
        <f t="shared" si="36"/>
        <v>19.624000000000002</v>
      </c>
      <c r="H165" s="66">
        <f>+'Tablas Servicio'!G198</f>
        <v>41.199999999999996</v>
      </c>
      <c r="I165" s="72">
        <f t="shared" si="37"/>
        <v>0.30339805825242716</v>
      </c>
      <c r="J165" s="66">
        <f t="shared" si="43"/>
        <v>12.499999999999996</v>
      </c>
      <c r="K165" s="66">
        <f>+'Tablas Servicio'!H198</f>
        <v>42.839999999999996</v>
      </c>
      <c r="L165" s="66">
        <f>+IF(A165="","",ROUND(H165*Parámetros!$D$100,2))</f>
        <v>4.8099999999999996</v>
      </c>
      <c r="M165" s="58">
        <f>+IF(A165="","",IF(AND(A165=1,B165=1),Parámetros!$D$114*(D165*frec-$G$3-$H$3),IF(AND(A165=2,B165=frec+1),Parámetros!$D$115*(D165*frec-$G$4-$H$4),0)))</f>
        <v>0</v>
      </c>
      <c r="N165" s="58">
        <f>+IF(A165="","",IF(A165&gt;Parámetros!$D$117,0,ROUND('Modelo Financiero'!D165*Parámetros!$D$116,2)))</f>
        <v>0</v>
      </c>
      <c r="O165" s="58">
        <f t="shared" si="38"/>
        <v>0</v>
      </c>
      <c r="P165" s="66">
        <f>+'Tablas Servicio'!I198</f>
        <v>51.160000000000004</v>
      </c>
      <c r="Q165" s="66">
        <f>+'Tablas Servicio'!S198</f>
        <v>10834.44</v>
      </c>
      <c r="R165" s="66">
        <f>+'Tablas Servicio'!T198</f>
        <v>10834.44</v>
      </c>
      <c r="S165" s="66">
        <f t="shared" si="35"/>
        <v>21.575999999999993</v>
      </c>
      <c r="T165" s="66">
        <f t="shared" si="44"/>
        <v>3059.9279999999967</v>
      </c>
      <c r="U165" s="66">
        <f t="shared" si="39"/>
        <v>3059.9279999999967</v>
      </c>
      <c r="V165" s="81">
        <f t="shared" si="40"/>
        <v>0</v>
      </c>
      <c r="W165" s="66">
        <f t="shared" si="41"/>
        <v>0</v>
      </c>
      <c r="X165" s="66">
        <f t="shared" si="42"/>
        <v>3059.9279999999967</v>
      </c>
    </row>
    <row r="166" spans="1:24" x14ac:dyDescent="0.25">
      <c r="A166">
        <f>+'Tablas Servicio'!B199</f>
        <v>14</v>
      </c>
      <c r="B166">
        <f>+'Tablas Servicio'!C199</f>
        <v>158</v>
      </c>
      <c r="C166" s="56">
        <f>+'Tablas Servicio'!D199</f>
        <v>53.186666666667044</v>
      </c>
      <c r="D166" s="58">
        <f>+'Tablas Servicio'!N199</f>
        <v>94</v>
      </c>
      <c r="E166" s="66">
        <f>+'Tablas Servicio'!AC199</f>
        <v>27.8</v>
      </c>
      <c r="F166" s="66">
        <f>+IF(A166="","",'Tablas Servicio'!O199-'Modelo Financiero'!E166)</f>
        <v>0.89999999999999858</v>
      </c>
      <c r="G166" s="58">
        <f t="shared" si="36"/>
        <v>19.624000000000002</v>
      </c>
      <c r="H166" s="66">
        <f>+'Tablas Servicio'!G199</f>
        <v>41.199999999999996</v>
      </c>
      <c r="I166" s="72">
        <f t="shared" si="37"/>
        <v>0.30339805825242716</v>
      </c>
      <c r="J166" s="66">
        <f t="shared" si="43"/>
        <v>12.499999999999996</v>
      </c>
      <c r="K166" s="66">
        <f>+'Tablas Servicio'!H199</f>
        <v>42.839999999999996</v>
      </c>
      <c r="L166" s="66">
        <f>+IF(A166="","",ROUND(H166*Parámetros!$D$100,2))</f>
        <v>4.8099999999999996</v>
      </c>
      <c r="M166" s="58">
        <f>+IF(A166="","",IF(AND(A166=1,B166=1),Parámetros!$D$114*(D166*frec-$G$3-$H$3),IF(AND(A166=2,B166=frec+1),Parámetros!$D$115*(D166*frec-$G$4-$H$4),0)))</f>
        <v>0</v>
      </c>
      <c r="N166" s="58">
        <f>+IF(A166="","",IF(A166&gt;Parámetros!$D$117,0,ROUND('Modelo Financiero'!D166*Parámetros!$D$116,2)))</f>
        <v>0</v>
      </c>
      <c r="O166" s="58">
        <f t="shared" si="38"/>
        <v>0</v>
      </c>
      <c r="P166" s="66">
        <f>+'Tablas Servicio'!I199</f>
        <v>51.160000000000004</v>
      </c>
      <c r="Q166" s="66">
        <f>+'Tablas Servicio'!S199</f>
        <v>10916.48</v>
      </c>
      <c r="R166" s="66">
        <f>+'Tablas Servicio'!T199</f>
        <v>10916.48</v>
      </c>
      <c r="S166" s="66">
        <f t="shared" si="35"/>
        <v>21.575999999999993</v>
      </c>
      <c r="T166" s="66">
        <f t="shared" si="44"/>
        <v>3081.5039999999967</v>
      </c>
      <c r="U166" s="66">
        <f t="shared" si="39"/>
        <v>3081.5039999999967</v>
      </c>
      <c r="V166" s="81">
        <f t="shared" si="40"/>
        <v>0</v>
      </c>
      <c r="W166" s="66">
        <f t="shared" si="41"/>
        <v>0</v>
      </c>
      <c r="X166" s="66">
        <f t="shared" si="42"/>
        <v>3081.5039999999967</v>
      </c>
    </row>
    <row r="167" spans="1:24" x14ac:dyDescent="0.25">
      <c r="A167">
        <f>+'Tablas Servicio'!B200</f>
        <v>14</v>
      </c>
      <c r="B167">
        <f>+'Tablas Servicio'!C200</f>
        <v>159</v>
      </c>
      <c r="C167" s="56">
        <f>+'Tablas Servicio'!D200</f>
        <v>53.27000000000038</v>
      </c>
      <c r="D167" s="58">
        <f>+'Tablas Servicio'!N200</f>
        <v>94</v>
      </c>
      <c r="E167" s="66">
        <f>+'Tablas Servicio'!AC200</f>
        <v>27.8</v>
      </c>
      <c r="F167" s="66">
        <f>+IF(A167="","",'Tablas Servicio'!O200-'Modelo Financiero'!E167)</f>
        <v>0.89999999999999858</v>
      </c>
      <c r="G167" s="58">
        <f t="shared" si="36"/>
        <v>19.624000000000002</v>
      </c>
      <c r="H167" s="66">
        <f>+'Tablas Servicio'!G200</f>
        <v>41.199999999999996</v>
      </c>
      <c r="I167" s="72">
        <f t="shared" si="37"/>
        <v>0.30339805825242716</v>
      </c>
      <c r="J167" s="66">
        <f t="shared" si="43"/>
        <v>12.499999999999996</v>
      </c>
      <c r="K167" s="66">
        <f>+'Tablas Servicio'!H200</f>
        <v>42.839999999999996</v>
      </c>
      <c r="L167" s="66">
        <f>+IF(A167="","",ROUND(H167*Parámetros!$D$100,2))</f>
        <v>4.8099999999999996</v>
      </c>
      <c r="M167" s="58">
        <f>+IF(A167="","",IF(AND(A167=1,B167=1),Parámetros!$D$114*(D167*frec-$G$3-$H$3),IF(AND(A167=2,B167=frec+1),Parámetros!$D$115*(D167*frec-$G$4-$H$4),0)))</f>
        <v>0</v>
      </c>
      <c r="N167" s="58">
        <f>+IF(A167="","",IF(A167&gt;Parámetros!$D$117,0,ROUND('Modelo Financiero'!D167*Parámetros!$D$116,2)))</f>
        <v>0</v>
      </c>
      <c r="O167" s="58">
        <f t="shared" si="38"/>
        <v>0</v>
      </c>
      <c r="P167" s="66">
        <f>+'Tablas Servicio'!I200</f>
        <v>51.160000000000004</v>
      </c>
      <c r="Q167" s="66">
        <f>+'Tablas Servicio'!S200</f>
        <v>10998.75</v>
      </c>
      <c r="R167" s="66">
        <f>+'Tablas Servicio'!T200</f>
        <v>10998.75</v>
      </c>
      <c r="S167" s="66">
        <f t="shared" si="35"/>
        <v>21.575999999999993</v>
      </c>
      <c r="T167" s="66">
        <f t="shared" si="44"/>
        <v>3103.0799999999967</v>
      </c>
      <c r="U167" s="66">
        <f t="shared" si="39"/>
        <v>3103.0799999999967</v>
      </c>
      <c r="V167" s="81">
        <f t="shared" si="40"/>
        <v>0</v>
      </c>
      <c r="W167" s="66">
        <f t="shared" si="41"/>
        <v>0</v>
      </c>
      <c r="X167" s="66">
        <f t="shared" si="42"/>
        <v>3103.0799999999967</v>
      </c>
    </row>
    <row r="168" spans="1:24" x14ac:dyDescent="0.25">
      <c r="A168">
        <f>+'Tablas Servicio'!B201</f>
        <v>14</v>
      </c>
      <c r="B168">
        <f>+'Tablas Servicio'!C201</f>
        <v>160</v>
      </c>
      <c r="C168" s="56">
        <f>+'Tablas Servicio'!D201</f>
        <v>53.353333333333715</v>
      </c>
      <c r="D168" s="58">
        <f>+'Tablas Servicio'!N201</f>
        <v>94</v>
      </c>
      <c r="E168" s="66">
        <f>+'Tablas Servicio'!AC201</f>
        <v>27.8</v>
      </c>
      <c r="F168" s="66">
        <f>+IF(A168="","",'Tablas Servicio'!O201-'Modelo Financiero'!E168)</f>
        <v>0.89999999999999858</v>
      </c>
      <c r="G168" s="58">
        <f t="shared" si="36"/>
        <v>19.624000000000002</v>
      </c>
      <c r="H168" s="66">
        <f>+'Tablas Servicio'!G201</f>
        <v>41.199999999999996</v>
      </c>
      <c r="I168" s="72">
        <f t="shared" si="37"/>
        <v>0.30339805825242716</v>
      </c>
      <c r="J168" s="66">
        <f t="shared" si="43"/>
        <v>12.499999999999996</v>
      </c>
      <c r="K168" s="66">
        <f>+'Tablas Servicio'!H201</f>
        <v>42.839999999999996</v>
      </c>
      <c r="L168" s="66">
        <f>+IF(A168="","",ROUND(H168*Parámetros!$D$100,2))</f>
        <v>4.8099999999999996</v>
      </c>
      <c r="M168" s="58">
        <f>+IF(A168="","",IF(AND(A168=1,B168=1),Parámetros!$D$114*(D168*frec-$G$3-$H$3),IF(AND(A168=2,B168=frec+1),Parámetros!$D$115*(D168*frec-$G$4-$H$4),0)))</f>
        <v>0</v>
      </c>
      <c r="N168" s="58">
        <f>+IF(A168="","",IF(A168&gt;Parámetros!$D$117,0,ROUND('Modelo Financiero'!D168*Parámetros!$D$116,2)))</f>
        <v>0</v>
      </c>
      <c r="O168" s="58">
        <f t="shared" si="38"/>
        <v>0</v>
      </c>
      <c r="P168" s="66">
        <f>+'Tablas Servicio'!I201</f>
        <v>51.160000000000004</v>
      </c>
      <c r="Q168" s="66">
        <f>+'Tablas Servicio'!S201</f>
        <v>11081.25</v>
      </c>
      <c r="R168" s="66">
        <f>+'Tablas Servicio'!T201</f>
        <v>11081.25</v>
      </c>
      <c r="S168" s="66">
        <f t="shared" si="35"/>
        <v>21.575999999999993</v>
      </c>
      <c r="T168" s="66">
        <f t="shared" si="44"/>
        <v>3124.6559999999968</v>
      </c>
      <c r="U168" s="66">
        <f t="shared" si="39"/>
        <v>3124.6559999999968</v>
      </c>
      <c r="V168" s="81">
        <f t="shared" si="40"/>
        <v>0</v>
      </c>
      <c r="W168" s="66">
        <f t="shared" si="41"/>
        <v>0</v>
      </c>
      <c r="X168" s="66">
        <f t="shared" si="42"/>
        <v>3124.6559999999968</v>
      </c>
    </row>
    <row r="169" spans="1:24" x14ac:dyDescent="0.25">
      <c r="A169">
        <f>+'Tablas Servicio'!B202</f>
        <v>14</v>
      </c>
      <c r="B169">
        <f>+'Tablas Servicio'!C202</f>
        <v>161</v>
      </c>
      <c r="C169" s="56">
        <f>+'Tablas Servicio'!D202</f>
        <v>53.436666666667051</v>
      </c>
      <c r="D169" s="58">
        <f>+'Tablas Servicio'!N202</f>
        <v>94</v>
      </c>
      <c r="E169" s="66">
        <f>+'Tablas Servicio'!AC202</f>
        <v>27.8</v>
      </c>
      <c r="F169" s="66">
        <f>+IF(A169="","",'Tablas Servicio'!O202-'Modelo Financiero'!E169)</f>
        <v>0.89999999999999858</v>
      </c>
      <c r="G169" s="58">
        <f t="shared" si="36"/>
        <v>19.624000000000002</v>
      </c>
      <c r="H169" s="66">
        <f>+'Tablas Servicio'!G202</f>
        <v>41.199999999999996</v>
      </c>
      <c r="I169" s="72">
        <f t="shared" si="37"/>
        <v>0.30339805825242716</v>
      </c>
      <c r="J169" s="66">
        <f t="shared" si="43"/>
        <v>12.499999999999996</v>
      </c>
      <c r="K169" s="66">
        <f>+'Tablas Servicio'!H202</f>
        <v>42.839999999999996</v>
      </c>
      <c r="L169" s="66">
        <f>+IF(A169="","",ROUND(H169*Parámetros!$D$100,2))</f>
        <v>4.8099999999999996</v>
      </c>
      <c r="M169" s="58">
        <f>+IF(A169="","",IF(AND(A169=1,B169=1),Parámetros!$D$114*(D169*frec-$G$3-$H$3),IF(AND(A169=2,B169=frec+1),Parámetros!$D$115*(D169*frec-$G$4-$H$4),0)))</f>
        <v>0</v>
      </c>
      <c r="N169" s="58">
        <f>+IF(A169="","",IF(A169&gt;Parámetros!$D$117,0,ROUND('Modelo Financiero'!D169*Parámetros!$D$116,2)))</f>
        <v>0</v>
      </c>
      <c r="O169" s="58">
        <f t="shared" si="38"/>
        <v>0</v>
      </c>
      <c r="P169" s="66">
        <f>+'Tablas Servicio'!I202</f>
        <v>51.160000000000004</v>
      </c>
      <c r="Q169" s="66">
        <f>+'Tablas Servicio'!S202</f>
        <v>11163.99</v>
      </c>
      <c r="R169" s="66">
        <f>+'Tablas Servicio'!T202</f>
        <v>11163.99</v>
      </c>
      <c r="S169" s="66">
        <f t="shared" si="35"/>
        <v>21.575999999999993</v>
      </c>
      <c r="T169" s="66">
        <f t="shared" si="44"/>
        <v>3146.2319999999968</v>
      </c>
      <c r="U169" s="66">
        <f t="shared" si="39"/>
        <v>3146.2319999999968</v>
      </c>
      <c r="V169" s="81">
        <f t="shared" si="40"/>
        <v>0</v>
      </c>
      <c r="W169" s="66">
        <f t="shared" si="41"/>
        <v>0</v>
      </c>
      <c r="X169" s="66">
        <f t="shared" si="42"/>
        <v>3146.2319999999968</v>
      </c>
    </row>
    <row r="170" spans="1:24" x14ac:dyDescent="0.25">
      <c r="A170">
        <f>+'Tablas Servicio'!B203</f>
        <v>14</v>
      </c>
      <c r="B170">
        <f>+'Tablas Servicio'!C203</f>
        <v>162</v>
      </c>
      <c r="C170" s="56">
        <f>+'Tablas Servicio'!D203</f>
        <v>53.520000000000387</v>
      </c>
      <c r="D170" s="58">
        <f>+'Tablas Servicio'!N203</f>
        <v>94</v>
      </c>
      <c r="E170" s="66">
        <f>+'Tablas Servicio'!AC203</f>
        <v>27.8</v>
      </c>
      <c r="F170" s="66">
        <f>+IF(A170="","",'Tablas Servicio'!O203-'Modelo Financiero'!E170)</f>
        <v>0.89999999999999858</v>
      </c>
      <c r="G170" s="58">
        <f t="shared" si="36"/>
        <v>19.624000000000002</v>
      </c>
      <c r="H170" s="66">
        <f>+'Tablas Servicio'!G203</f>
        <v>41.199999999999996</v>
      </c>
      <c r="I170" s="72">
        <f t="shared" si="37"/>
        <v>0.30339805825242716</v>
      </c>
      <c r="J170" s="66">
        <f t="shared" si="43"/>
        <v>12.499999999999996</v>
      </c>
      <c r="K170" s="66">
        <f>+'Tablas Servicio'!H203</f>
        <v>42.839999999999996</v>
      </c>
      <c r="L170" s="66">
        <f>+IF(A170="","",ROUND(H170*Parámetros!$D$100,2))</f>
        <v>4.8099999999999996</v>
      </c>
      <c r="M170" s="58">
        <f>+IF(A170="","",IF(AND(A170=1,B170=1),Parámetros!$D$114*(D170*frec-$G$3-$H$3),IF(AND(A170=2,B170=frec+1),Parámetros!$D$115*(D170*frec-$G$4-$H$4),0)))</f>
        <v>0</v>
      </c>
      <c r="N170" s="58">
        <f>+IF(A170="","",IF(A170&gt;Parámetros!$D$117,0,ROUND('Modelo Financiero'!D170*Parámetros!$D$116,2)))</f>
        <v>0</v>
      </c>
      <c r="O170" s="58">
        <f t="shared" si="38"/>
        <v>0</v>
      </c>
      <c r="P170" s="66">
        <f>+'Tablas Servicio'!I203</f>
        <v>51.160000000000004</v>
      </c>
      <c r="Q170" s="66">
        <f>+'Tablas Servicio'!S203</f>
        <v>11246.96</v>
      </c>
      <c r="R170" s="66">
        <f>+'Tablas Servicio'!T203</f>
        <v>11246.96</v>
      </c>
      <c r="S170" s="66">
        <f t="shared" si="35"/>
        <v>21.575999999999993</v>
      </c>
      <c r="T170" s="66">
        <f t="shared" si="44"/>
        <v>3167.8079999999968</v>
      </c>
      <c r="U170" s="66">
        <f t="shared" si="39"/>
        <v>3167.8079999999968</v>
      </c>
      <c r="V170" s="81">
        <f t="shared" si="40"/>
        <v>0</v>
      </c>
      <c r="W170" s="66">
        <f t="shared" si="41"/>
        <v>0</v>
      </c>
      <c r="X170" s="66">
        <f t="shared" si="42"/>
        <v>3167.8079999999968</v>
      </c>
    </row>
    <row r="171" spans="1:24" x14ac:dyDescent="0.25">
      <c r="A171">
        <f>+'Tablas Servicio'!B204</f>
        <v>14</v>
      </c>
      <c r="B171">
        <f>+'Tablas Servicio'!C204</f>
        <v>163</v>
      </c>
      <c r="C171" s="56">
        <f>+'Tablas Servicio'!D204</f>
        <v>53.603333333333723</v>
      </c>
      <c r="D171" s="58">
        <f>+'Tablas Servicio'!N204</f>
        <v>94</v>
      </c>
      <c r="E171" s="66">
        <f>+'Tablas Servicio'!AC204</f>
        <v>27.8</v>
      </c>
      <c r="F171" s="66">
        <f>+IF(A171="","",'Tablas Servicio'!O204-'Modelo Financiero'!E171)</f>
        <v>0.89999999999999858</v>
      </c>
      <c r="G171" s="58">
        <f t="shared" si="36"/>
        <v>19.624000000000002</v>
      </c>
      <c r="H171" s="66">
        <f>+'Tablas Servicio'!G204</f>
        <v>41.199999999999996</v>
      </c>
      <c r="I171" s="72">
        <f t="shared" si="37"/>
        <v>0.30339805825242716</v>
      </c>
      <c r="J171" s="66">
        <f t="shared" si="43"/>
        <v>12.499999999999996</v>
      </c>
      <c r="K171" s="66">
        <f>+'Tablas Servicio'!H204</f>
        <v>42.839999999999996</v>
      </c>
      <c r="L171" s="66">
        <f>+IF(A171="","",ROUND(H171*Parámetros!$D$100,2))</f>
        <v>4.8099999999999996</v>
      </c>
      <c r="M171" s="58">
        <f>+IF(A171="","",IF(AND(A171=1,B171=1),Parámetros!$D$114*(D171*frec-$G$3-$H$3),IF(AND(A171=2,B171=frec+1),Parámetros!$D$115*(D171*frec-$G$4-$H$4),0)))</f>
        <v>0</v>
      </c>
      <c r="N171" s="58">
        <f>+IF(A171="","",IF(A171&gt;Parámetros!$D$117,0,ROUND('Modelo Financiero'!D171*Parámetros!$D$116,2)))</f>
        <v>0</v>
      </c>
      <c r="O171" s="58">
        <f t="shared" si="38"/>
        <v>0</v>
      </c>
      <c r="P171" s="66">
        <f>+'Tablas Servicio'!I204</f>
        <v>51.160000000000004</v>
      </c>
      <c r="Q171" s="66">
        <f>+'Tablas Servicio'!S204</f>
        <v>11330.17</v>
      </c>
      <c r="R171" s="66">
        <f>+'Tablas Servicio'!T204</f>
        <v>11330.17</v>
      </c>
      <c r="S171" s="66">
        <f t="shared" si="35"/>
        <v>21.575999999999993</v>
      </c>
      <c r="T171" s="66">
        <f t="shared" si="44"/>
        <v>3189.3839999999968</v>
      </c>
      <c r="U171" s="66">
        <f t="shared" si="39"/>
        <v>3189.3839999999968</v>
      </c>
      <c r="V171" s="81">
        <f t="shared" si="40"/>
        <v>0</v>
      </c>
      <c r="W171" s="66">
        <f t="shared" si="41"/>
        <v>0</v>
      </c>
      <c r="X171" s="66">
        <f t="shared" si="42"/>
        <v>3189.3839999999968</v>
      </c>
    </row>
    <row r="172" spans="1:24" x14ac:dyDescent="0.25">
      <c r="A172">
        <f>+'Tablas Servicio'!B205</f>
        <v>14</v>
      </c>
      <c r="B172">
        <f>+'Tablas Servicio'!C205</f>
        <v>164</v>
      </c>
      <c r="C172" s="56">
        <f>+'Tablas Servicio'!D205</f>
        <v>53.686666666667058</v>
      </c>
      <c r="D172" s="58">
        <f>+'Tablas Servicio'!N205</f>
        <v>94</v>
      </c>
      <c r="E172" s="66">
        <f>+'Tablas Servicio'!AC205</f>
        <v>27.8</v>
      </c>
      <c r="F172" s="66">
        <f>+IF(A172="","",'Tablas Servicio'!O205-'Modelo Financiero'!E172)</f>
        <v>0.89999999999999858</v>
      </c>
      <c r="G172" s="58">
        <f t="shared" si="36"/>
        <v>19.624000000000002</v>
      </c>
      <c r="H172" s="66">
        <f>+'Tablas Servicio'!G205</f>
        <v>41.199999999999996</v>
      </c>
      <c r="I172" s="72">
        <f t="shared" si="37"/>
        <v>0.30339805825242716</v>
      </c>
      <c r="J172" s="66">
        <f t="shared" si="43"/>
        <v>12.499999999999996</v>
      </c>
      <c r="K172" s="66">
        <f>+'Tablas Servicio'!H205</f>
        <v>42.839999999999996</v>
      </c>
      <c r="L172" s="66">
        <f>+IF(A172="","",ROUND(H172*Parámetros!$D$100,2))</f>
        <v>4.8099999999999996</v>
      </c>
      <c r="M172" s="58">
        <f>+IF(A172="","",IF(AND(A172=1,B172=1),Parámetros!$D$114*(D172*frec-$G$3-$H$3),IF(AND(A172=2,B172=frec+1),Parámetros!$D$115*(D172*frec-$G$4-$H$4),0)))</f>
        <v>0</v>
      </c>
      <c r="N172" s="58">
        <f>+IF(A172="","",IF(A172&gt;Parámetros!$D$117,0,ROUND('Modelo Financiero'!D172*Parámetros!$D$116,2)))</f>
        <v>0</v>
      </c>
      <c r="O172" s="58">
        <f t="shared" si="38"/>
        <v>0</v>
      </c>
      <c r="P172" s="66">
        <f>+'Tablas Servicio'!I205</f>
        <v>51.160000000000004</v>
      </c>
      <c r="Q172" s="66">
        <f>+'Tablas Servicio'!S205</f>
        <v>11413.61</v>
      </c>
      <c r="R172" s="66">
        <f>+'Tablas Servicio'!T205</f>
        <v>11413.61</v>
      </c>
      <c r="S172" s="66">
        <f t="shared" si="35"/>
        <v>21.575999999999993</v>
      </c>
      <c r="T172" s="66">
        <f t="shared" si="44"/>
        <v>3210.9599999999969</v>
      </c>
      <c r="U172" s="66">
        <f t="shared" si="39"/>
        <v>3210.9599999999969</v>
      </c>
      <c r="V172" s="81">
        <f t="shared" si="40"/>
        <v>0</v>
      </c>
      <c r="W172" s="66">
        <f t="shared" si="41"/>
        <v>0</v>
      </c>
      <c r="X172" s="66">
        <f t="shared" si="42"/>
        <v>3210.9599999999969</v>
      </c>
    </row>
    <row r="173" spans="1:24" x14ac:dyDescent="0.25">
      <c r="A173">
        <f>+'Tablas Servicio'!B206</f>
        <v>14</v>
      </c>
      <c r="B173">
        <f>+'Tablas Servicio'!C206</f>
        <v>165</v>
      </c>
      <c r="C173" s="56">
        <f>+'Tablas Servicio'!D206</f>
        <v>53.770000000000394</v>
      </c>
      <c r="D173" s="58">
        <f>+'Tablas Servicio'!N206</f>
        <v>94</v>
      </c>
      <c r="E173" s="66">
        <f>+'Tablas Servicio'!AC206</f>
        <v>27.8</v>
      </c>
      <c r="F173" s="66">
        <f>+IF(A173="","",'Tablas Servicio'!O206-'Modelo Financiero'!E173)</f>
        <v>0.89999999999999858</v>
      </c>
      <c r="G173" s="58">
        <f t="shared" si="36"/>
        <v>19.624000000000002</v>
      </c>
      <c r="H173" s="66">
        <f>+'Tablas Servicio'!G206</f>
        <v>41.199999999999996</v>
      </c>
      <c r="I173" s="72">
        <f t="shared" si="37"/>
        <v>0.30339805825242716</v>
      </c>
      <c r="J173" s="66">
        <f t="shared" si="43"/>
        <v>12.499999999999996</v>
      </c>
      <c r="K173" s="66">
        <f>+'Tablas Servicio'!H206</f>
        <v>42.839999999999996</v>
      </c>
      <c r="L173" s="66">
        <f>+IF(A173="","",ROUND(H173*Parámetros!$D$100,2))</f>
        <v>4.8099999999999996</v>
      </c>
      <c r="M173" s="58">
        <f>+IF(A173="","",IF(AND(A173=1,B173=1),Parámetros!$D$114*(D173*frec-$G$3-$H$3),IF(AND(A173=2,B173=frec+1),Parámetros!$D$115*(D173*frec-$G$4-$H$4),0)))</f>
        <v>0</v>
      </c>
      <c r="N173" s="58">
        <f>+IF(A173="","",IF(A173&gt;Parámetros!$D$117,0,ROUND('Modelo Financiero'!D173*Parámetros!$D$116,2)))</f>
        <v>0</v>
      </c>
      <c r="O173" s="58">
        <f t="shared" si="38"/>
        <v>0</v>
      </c>
      <c r="P173" s="66">
        <f>+'Tablas Servicio'!I206</f>
        <v>51.160000000000004</v>
      </c>
      <c r="Q173" s="66">
        <f>+'Tablas Servicio'!S206</f>
        <v>11497.29</v>
      </c>
      <c r="R173" s="66">
        <f>+'Tablas Servicio'!T206</f>
        <v>11497.29</v>
      </c>
      <c r="S173" s="66">
        <f t="shared" si="35"/>
        <v>21.575999999999993</v>
      </c>
      <c r="T173" s="66">
        <f t="shared" si="44"/>
        <v>3232.5359999999969</v>
      </c>
      <c r="U173" s="66">
        <f t="shared" si="39"/>
        <v>3232.5359999999969</v>
      </c>
      <c r="V173" s="81">
        <f t="shared" si="40"/>
        <v>0</v>
      </c>
      <c r="W173" s="66">
        <f t="shared" si="41"/>
        <v>0</v>
      </c>
      <c r="X173" s="66">
        <f t="shared" si="42"/>
        <v>3232.5359999999969</v>
      </c>
    </row>
    <row r="174" spans="1:24" x14ac:dyDescent="0.25">
      <c r="A174">
        <f>+'Tablas Servicio'!B207</f>
        <v>14</v>
      </c>
      <c r="B174">
        <f>+'Tablas Servicio'!C207</f>
        <v>166</v>
      </c>
      <c r="C174" s="56">
        <f>+'Tablas Servicio'!D207</f>
        <v>53.85333333333373</v>
      </c>
      <c r="D174" s="58">
        <f>+'Tablas Servicio'!N207</f>
        <v>94</v>
      </c>
      <c r="E174" s="66">
        <f>+'Tablas Servicio'!AC207</f>
        <v>27.8</v>
      </c>
      <c r="F174" s="66">
        <f>+IF(A174="","",'Tablas Servicio'!O207-'Modelo Financiero'!E174)</f>
        <v>0.89999999999999858</v>
      </c>
      <c r="G174" s="58">
        <f t="shared" si="36"/>
        <v>19.624000000000002</v>
      </c>
      <c r="H174" s="66">
        <f>+'Tablas Servicio'!G207</f>
        <v>41.199999999999996</v>
      </c>
      <c r="I174" s="72">
        <f t="shared" si="37"/>
        <v>0.30339805825242716</v>
      </c>
      <c r="J174" s="66">
        <f t="shared" si="43"/>
        <v>12.499999999999996</v>
      </c>
      <c r="K174" s="66">
        <f>+'Tablas Servicio'!H207</f>
        <v>42.839999999999996</v>
      </c>
      <c r="L174" s="66">
        <f>+IF(A174="","",ROUND(H174*Parámetros!$D$100,2))</f>
        <v>4.8099999999999996</v>
      </c>
      <c r="M174" s="58">
        <f>+IF(A174="","",IF(AND(A174=1,B174=1),Parámetros!$D$114*(D174*frec-$G$3-$H$3),IF(AND(A174=2,B174=frec+1),Parámetros!$D$115*(D174*frec-$G$4-$H$4),0)))</f>
        <v>0</v>
      </c>
      <c r="N174" s="58">
        <f>+IF(A174="","",IF(A174&gt;Parámetros!$D$117,0,ROUND('Modelo Financiero'!D174*Parámetros!$D$116,2)))</f>
        <v>0</v>
      </c>
      <c r="O174" s="58">
        <f t="shared" si="38"/>
        <v>0</v>
      </c>
      <c r="P174" s="66">
        <f>+'Tablas Servicio'!I207</f>
        <v>51.160000000000004</v>
      </c>
      <c r="Q174" s="66">
        <f>+'Tablas Servicio'!S207</f>
        <v>11581.21</v>
      </c>
      <c r="R174" s="66">
        <f>+'Tablas Servicio'!T207</f>
        <v>11581.21</v>
      </c>
      <c r="S174" s="66">
        <f t="shared" si="35"/>
        <v>21.575999999999993</v>
      </c>
      <c r="T174" s="66">
        <f t="shared" si="44"/>
        <v>3254.1119999999969</v>
      </c>
      <c r="U174" s="66">
        <f t="shared" si="39"/>
        <v>3254.1119999999969</v>
      </c>
      <c r="V174" s="81">
        <f t="shared" si="40"/>
        <v>0</v>
      </c>
      <c r="W174" s="66">
        <f t="shared" si="41"/>
        <v>0</v>
      </c>
      <c r="X174" s="66">
        <f t="shared" si="42"/>
        <v>3254.1119999999969</v>
      </c>
    </row>
    <row r="175" spans="1:24" x14ac:dyDescent="0.25">
      <c r="A175">
        <f>+'Tablas Servicio'!B208</f>
        <v>14</v>
      </c>
      <c r="B175">
        <f>+'Tablas Servicio'!C208</f>
        <v>167</v>
      </c>
      <c r="C175" s="56">
        <f>+'Tablas Servicio'!D208</f>
        <v>53.936666666667065</v>
      </c>
      <c r="D175" s="58">
        <f>+'Tablas Servicio'!N208</f>
        <v>94</v>
      </c>
      <c r="E175" s="66">
        <f>+'Tablas Servicio'!AC208</f>
        <v>27.8</v>
      </c>
      <c r="F175" s="66">
        <f>+IF(A175="","",'Tablas Servicio'!O208-'Modelo Financiero'!E175)</f>
        <v>0.89999999999999858</v>
      </c>
      <c r="G175" s="58">
        <f t="shared" si="36"/>
        <v>19.624000000000002</v>
      </c>
      <c r="H175" s="66">
        <f>+'Tablas Servicio'!G208</f>
        <v>41.199999999999996</v>
      </c>
      <c r="I175" s="72">
        <f t="shared" si="37"/>
        <v>0.30339805825242716</v>
      </c>
      <c r="J175" s="66">
        <f t="shared" si="43"/>
        <v>12.499999999999996</v>
      </c>
      <c r="K175" s="66">
        <f>+'Tablas Servicio'!H208</f>
        <v>42.839999999999996</v>
      </c>
      <c r="L175" s="66">
        <f>+IF(A175="","",ROUND(H175*Parámetros!$D$100,2))</f>
        <v>4.8099999999999996</v>
      </c>
      <c r="M175" s="58">
        <f>+IF(A175="","",IF(AND(A175=1,B175=1),Parámetros!$D$114*(D175*frec-$G$3-$H$3),IF(AND(A175=2,B175=frec+1),Parámetros!$D$115*(D175*frec-$G$4-$H$4),0)))</f>
        <v>0</v>
      </c>
      <c r="N175" s="58">
        <f>+IF(A175="","",IF(A175&gt;Parámetros!$D$117,0,ROUND('Modelo Financiero'!D175*Parámetros!$D$116,2)))</f>
        <v>0</v>
      </c>
      <c r="O175" s="58">
        <f t="shared" si="38"/>
        <v>0</v>
      </c>
      <c r="P175" s="66">
        <f>+'Tablas Servicio'!I208</f>
        <v>51.160000000000004</v>
      </c>
      <c r="Q175" s="66">
        <f>+'Tablas Servicio'!S208</f>
        <v>11665.36</v>
      </c>
      <c r="R175" s="66">
        <f>+'Tablas Servicio'!T208</f>
        <v>11665.36</v>
      </c>
      <c r="S175" s="66">
        <f t="shared" si="35"/>
        <v>21.575999999999993</v>
      </c>
      <c r="T175" s="66">
        <f t="shared" si="44"/>
        <v>3275.6879999999969</v>
      </c>
      <c r="U175" s="66">
        <f t="shared" si="39"/>
        <v>3275.6879999999969</v>
      </c>
      <c r="V175" s="81">
        <f t="shared" si="40"/>
        <v>0</v>
      </c>
      <c r="W175" s="66">
        <f t="shared" si="41"/>
        <v>0</v>
      </c>
      <c r="X175" s="66">
        <f t="shared" si="42"/>
        <v>3275.6879999999969</v>
      </c>
    </row>
    <row r="176" spans="1:24" x14ac:dyDescent="0.25">
      <c r="A176">
        <f>+'Tablas Servicio'!B209</f>
        <v>14</v>
      </c>
      <c r="B176">
        <f>+'Tablas Servicio'!C209</f>
        <v>168</v>
      </c>
      <c r="C176" s="56">
        <f>+'Tablas Servicio'!D209</f>
        <v>54.020000000000401</v>
      </c>
      <c r="D176" s="58">
        <f>+'Tablas Servicio'!N209</f>
        <v>94</v>
      </c>
      <c r="E176" s="66">
        <f>+'Tablas Servicio'!AC209</f>
        <v>27.8</v>
      </c>
      <c r="F176" s="66">
        <f>+IF(A176="","",'Tablas Servicio'!O209-'Modelo Financiero'!E176)</f>
        <v>0.89999999999999858</v>
      </c>
      <c r="G176" s="58">
        <f t="shared" si="36"/>
        <v>19.624000000000002</v>
      </c>
      <c r="H176" s="66">
        <f>+'Tablas Servicio'!G209</f>
        <v>41.199999999999996</v>
      </c>
      <c r="I176" s="72">
        <f t="shared" si="37"/>
        <v>0.30339805825242716</v>
      </c>
      <c r="J176" s="66">
        <f t="shared" si="43"/>
        <v>12.499999999999996</v>
      </c>
      <c r="K176" s="66">
        <f>+'Tablas Servicio'!H209</f>
        <v>42.839999999999996</v>
      </c>
      <c r="L176" s="66">
        <f>+IF(A176="","",ROUND(H176*Parámetros!$D$100,2))</f>
        <v>4.8099999999999996</v>
      </c>
      <c r="M176" s="58">
        <f>+IF(A176="","",IF(AND(A176=1,B176=1),Parámetros!$D$114*(D176*frec-$G$3-$H$3),IF(AND(A176=2,B176=frec+1),Parámetros!$D$115*(D176*frec-$G$4-$H$4),0)))</f>
        <v>0</v>
      </c>
      <c r="N176" s="58">
        <f>+IF(A176="","",IF(A176&gt;Parámetros!$D$117,0,ROUND('Modelo Financiero'!D176*Parámetros!$D$116,2)))</f>
        <v>0</v>
      </c>
      <c r="O176" s="58">
        <f t="shared" si="38"/>
        <v>0</v>
      </c>
      <c r="P176" s="66">
        <f>+'Tablas Servicio'!I209</f>
        <v>51.160000000000004</v>
      </c>
      <c r="Q176" s="66">
        <f>+'Tablas Servicio'!S209</f>
        <v>11749.75</v>
      </c>
      <c r="R176" s="66">
        <f>+'Tablas Servicio'!T209</f>
        <v>11749.75</v>
      </c>
      <c r="S176" s="66">
        <f t="shared" si="35"/>
        <v>21.575999999999993</v>
      </c>
      <c r="T176" s="66">
        <f t="shared" si="44"/>
        <v>3297.2639999999969</v>
      </c>
      <c r="U176" s="66">
        <f t="shared" si="39"/>
        <v>3297.2639999999969</v>
      </c>
      <c r="V176" s="81">
        <f t="shared" si="40"/>
        <v>0</v>
      </c>
      <c r="W176" s="66">
        <f t="shared" si="41"/>
        <v>0</v>
      </c>
      <c r="X176" s="66">
        <f t="shared" si="42"/>
        <v>3297.2639999999969</v>
      </c>
    </row>
    <row r="177" spans="1:24" x14ac:dyDescent="0.25">
      <c r="A177">
        <f>+'Tablas Servicio'!B210</f>
        <v>15</v>
      </c>
      <c r="B177">
        <f>+'Tablas Servicio'!C210</f>
        <v>169</v>
      </c>
      <c r="C177" s="56">
        <f>+'Tablas Servicio'!D210</f>
        <v>54.103333333333737</v>
      </c>
      <c r="D177" s="58">
        <f>+'Tablas Servicio'!N210</f>
        <v>94</v>
      </c>
      <c r="E177" s="66">
        <f>+'Tablas Servicio'!AC210</f>
        <v>30.1</v>
      </c>
      <c r="F177" s="66">
        <f>+IF(A177="","",'Tablas Servicio'!O210-'Modelo Financiero'!E177)</f>
        <v>0.89999999999999858</v>
      </c>
      <c r="G177" s="58">
        <f t="shared" si="36"/>
        <v>21.188000000000002</v>
      </c>
      <c r="H177" s="66">
        <f>+'Tablas Servicio'!G210</f>
        <v>43.5</v>
      </c>
      <c r="I177" s="72">
        <f t="shared" si="37"/>
        <v>0.28735632183908044</v>
      </c>
      <c r="J177" s="66">
        <f t="shared" si="43"/>
        <v>12.5</v>
      </c>
      <c r="K177" s="66">
        <f>+'Tablas Servicio'!H210</f>
        <v>45.23</v>
      </c>
      <c r="L177" s="66">
        <f>+IF(A177="","",ROUND(H177*Parámetros!$D$100,2))</f>
        <v>5.08</v>
      </c>
      <c r="M177" s="58">
        <f>+IF(A177="","",IF(AND(A177=1,B177=1),Parámetros!$D$114*(D177*frec-$G$3-$H$3),IF(AND(A177=2,B177=frec+1),Parámetros!$D$115*(D177*frec-$G$4-$H$4),0)))</f>
        <v>0</v>
      </c>
      <c r="N177" s="58">
        <f>+IF(A177="","",IF(A177&gt;Parámetros!$D$117,0,ROUND('Modelo Financiero'!D177*Parámetros!$D$116,2)))</f>
        <v>0</v>
      </c>
      <c r="O177" s="58">
        <f t="shared" si="38"/>
        <v>0</v>
      </c>
      <c r="P177" s="66">
        <f>+'Tablas Servicio'!I210</f>
        <v>48.77</v>
      </c>
      <c r="Q177" s="66">
        <f>+'Tablas Servicio'!S210</f>
        <v>11831.99</v>
      </c>
      <c r="R177" s="66">
        <f>+'Tablas Servicio'!T210</f>
        <v>11831.99</v>
      </c>
      <c r="S177" s="66">
        <f t="shared" si="35"/>
        <v>22.311999999999998</v>
      </c>
      <c r="T177" s="66">
        <f t="shared" si="44"/>
        <v>3319.5759999999968</v>
      </c>
      <c r="U177" s="66">
        <f t="shared" si="39"/>
        <v>3319.5759999999968</v>
      </c>
      <c r="V177" s="81">
        <f t="shared" si="40"/>
        <v>0</v>
      </c>
      <c r="W177" s="66">
        <f t="shared" si="41"/>
        <v>0</v>
      </c>
      <c r="X177" s="66">
        <f t="shared" si="42"/>
        <v>3319.5759999999968</v>
      </c>
    </row>
    <row r="178" spans="1:24" x14ac:dyDescent="0.25">
      <c r="A178">
        <f>+'Tablas Servicio'!B211</f>
        <v>15</v>
      </c>
      <c r="B178">
        <f>+'Tablas Servicio'!C211</f>
        <v>170</v>
      </c>
      <c r="C178" s="56">
        <f>+'Tablas Servicio'!D211</f>
        <v>54.186666666667072</v>
      </c>
      <c r="D178" s="58">
        <f>+'Tablas Servicio'!N211</f>
        <v>94</v>
      </c>
      <c r="E178" s="66">
        <f>+'Tablas Servicio'!AC211</f>
        <v>30.1</v>
      </c>
      <c r="F178" s="66">
        <f>+IF(A178="","",'Tablas Servicio'!O211-'Modelo Financiero'!E178)</f>
        <v>0.89999999999999858</v>
      </c>
      <c r="G178" s="58">
        <f t="shared" si="36"/>
        <v>21.188000000000002</v>
      </c>
      <c r="H178" s="66">
        <f>+'Tablas Servicio'!G211</f>
        <v>43.5</v>
      </c>
      <c r="I178" s="72">
        <f t="shared" si="37"/>
        <v>0.28735632183908044</v>
      </c>
      <c r="J178" s="66">
        <f t="shared" si="43"/>
        <v>12.5</v>
      </c>
      <c r="K178" s="66">
        <f>+'Tablas Servicio'!H211</f>
        <v>45.23</v>
      </c>
      <c r="L178" s="66">
        <f>+IF(A178="","",ROUND(H178*Parámetros!$D$100,2))</f>
        <v>5.08</v>
      </c>
      <c r="M178" s="58">
        <f>+IF(A178="","",IF(AND(A178=1,B178=1),Parámetros!$D$114*(D178*frec-$G$3-$H$3),IF(AND(A178=2,B178=frec+1),Parámetros!$D$115*(D178*frec-$G$4-$H$4),0)))</f>
        <v>0</v>
      </c>
      <c r="N178" s="58">
        <f>+IF(A178="","",IF(A178&gt;Parámetros!$D$117,0,ROUND('Modelo Financiero'!D178*Parámetros!$D$116,2)))</f>
        <v>0</v>
      </c>
      <c r="O178" s="58">
        <f t="shared" si="38"/>
        <v>0</v>
      </c>
      <c r="P178" s="66">
        <f>+'Tablas Servicio'!I211</f>
        <v>48.77</v>
      </c>
      <c r="Q178" s="66">
        <f>+'Tablas Servicio'!S211</f>
        <v>11914.46</v>
      </c>
      <c r="R178" s="66">
        <f>+'Tablas Servicio'!T211</f>
        <v>11914.46</v>
      </c>
      <c r="S178" s="66">
        <f t="shared" si="35"/>
        <v>22.311999999999998</v>
      </c>
      <c r="T178" s="66">
        <f t="shared" si="44"/>
        <v>3341.8879999999967</v>
      </c>
      <c r="U178" s="66">
        <f t="shared" si="39"/>
        <v>3341.8879999999967</v>
      </c>
      <c r="V178" s="81">
        <f t="shared" si="40"/>
        <v>0</v>
      </c>
      <c r="W178" s="66">
        <f t="shared" si="41"/>
        <v>0</v>
      </c>
      <c r="X178" s="66">
        <f t="shared" si="42"/>
        <v>3341.8879999999967</v>
      </c>
    </row>
    <row r="179" spans="1:24" x14ac:dyDescent="0.25">
      <c r="A179">
        <f>+'Tablas Servicio'!B212</f>
        <v>15</v>
      </c>
      <c r="B179">
        <f>+'Tablas Servicio'!C212</f>
        <v>171</v>
      </c>
      <c r="C179" s="56">
        <f>+'Tablas Servicio'!D212</f>
        <v>54.270000000000408</v>
      </c>
      <c r="D179" s="58">
        <f>+'Tablas Servicio'!N212</f>
        <v>94</v>
      </c>
      <c r="E179" s="66">
        <f>+'Tablas Servicio'!AC212</f>
        <v>30.1</v>
      </c>
      <c r="F179" s="66">
        <f>+IF(A179="","",'Tablas Servicio'!O212-'Modelo Financiero'!E179)</f>
        <v>0.89999999999999858</v>
      </c>
      <c r="G179" s="58">
        <f t="shared" si="36"/>
        <v>21.188000000000002</v>
      </c>
      <c r="H179" s="66">
        <f>+'Tablas Servicio'!G212</f>
        <v>43.5</v>
      </c>
      <c r="I179" s="72">
        <f t="shared" si="37"/>
        <v>0.28735632183908044</v>
      </c>
      <c r="J179" s="66">
        <f t="shared" si="43"/>
        <v>12.5</v>
      </c>
      <c r="K179" s="66">
        <f>+'Tablas Servicio'!H212</f>
        <v>45.23</v>
      </c>
      <c r="L179" s="66">
        <f>+IF(A179="","",ROUND(H179*Parámetros!$D$100,2))</f>
        <v>5.08</v>
      </c>
      <c r="M179" s="58">
        <f>+IF(A179="","",IF(AND(A179=1,B179=1),Parámetros!$D$114*(D179*frec-$G$3-$H$3),IF(AND(A179=2,B179=frec+1),Parámetros!$D$115*(D179*frec-$G$4-$H$4),0)))</f>
        <v>0</v>
      </c>
      <c r="N179" s="58">
        <f>+IF(A179="","",IF(A179&gt;Parámetros!$D$117,0,ROUND('Modelo Financiero'!D179*Parámetros!$D$116,2)))</f>
        <v>0</v>
      </c>
      <c r="O179" s="58">
        <f t="shared" si="38"/>
        <v>0</v>
      </c>
      <c r="P179" s="66">
        <f>+'Tablas Servicio'!I212</f>
        <v>48.77</v>
      </c>
      <c r="Q179" s="66">
        <f>+'Tablas Servicio'!S212</f>
        <v>11997.16</v>
      </c>
      <c r="R179" s="66">
        <f>+'Tablas Servicio'!T212</f>
        <v>11997.16</v>
      </c>
      <c r="S179" s="66">
        <f t="shared" si="35"/>
        <v>22.311999999999998</v>
      </c>
      <c r="T179" s="66">
        <f t="shared" si="44"/>
        <v>3364.1999999999966</v>
      </c>
      <c r="U179" s="66">
        <f t="shared" si="39"/>
        <v>3364.1999999999966</v>
      </c>
      <c r="V179" s="81">
        <f t="shared" si="40"/>
        <v>0</v>
      </c>
      <c r="W179" s="66">
        <f t="shared" si="41"/>
        <v>0</v>
      </c>
      <c r="X179" s="66">
        <f t="shared" si="42"/>
        <v>3364.1999999999966</v>
      </c>
    </row>
    <row r="180" spans="1:24" x14ac:dyDescent="0.25">
      <c r="A180">
        <f>+'Tablas Servicio'!B213</f>
        <v>15</v>
      </c>
      <c r="B180">
        <f>+'Tablas Servicio'!C213</f>
        <v>172</v>
      </c>
      <c r="C180" s="56">
        <f>+'Tablas Servicio'!D213</f>
        <v>54.353333333333744</v>
      </c>
      <c r="D180" s="58">
        <f>+'Tablas Servicio'!N213</f>
        <v>94</v>
      </c>
      <c r="E180" s="66">
        <f>+'Tablas Servicio'!AC213</f>
        <v>30.1</v>
      </c>
      <c r="F180" s="66">
        <f>+IF(A180="","",'Tablas Servicio'!O213-'Modelo Financiero'!E180)</f>
        <v>0.89999999999999858</v>
      </c>
      <c r="G180" s="58">
        <f t="shared" si="36"/>
        <v>21.188000000000002</v>
      </c>
      <c r="H180" s="66">
        <f>+'Tablas Servicio'!G213</f>
        <v>43.5</v>
      </c>
      <c r="I180" s="72">
        <f t="shared" si="37"/>
        <v>0.28735632183908044</v>
      </c>
      <c r="J180" s="66">
        <f t="shared" si="43"/>
        <v>12.5</v>
      </c>
      <c r="K180" s="66">
        <f>+'Tablas Servicio'!H213</f>
        <v>45.23</v>
      </c>
      <c r="L180" s="66">
        <f>+IF(A180="","",ROUND(H180*Parámetros!$D$100,2))</f>
        <v>5.08</v>
      </c>
      <c r="M180" s="58">
        <f>+IF(A180="","",IF(AND(A180=1,B180=1),Parámetros!$D$114*(D180*frec-$G$3-$H$3),IF(AND(A180=2,B180=frec+1),Parámetros!$D$115*(D180*frec-$G$4-$H$4),0)))</f>
        <v>0</v>
      </c>
      <c r="N180" s="58">
        <f>+IF(A180="","",IF(A180&gt;Parámetros!$D$117,0,ROUND('Modelo Financiero'!D180*Parámetros!$D$116,2)))</f>
        <v>0</v>
      </c>
      <c r="O180" s="58">
        <f t="shared" si="38"/>
        <v>0</v>
      </c>
      <c r="P180" s="66">
        <f>+'Tablas Servicio'!I213</f>
        <v>48.77</v>
      </c>
      <c r="Q180" s="66">
        <f>+'Tablas Servicio'!S213</f>
        <v>12080.1</v>
      </c>
      <c r="R180" s="66">
        <f>+'Tablas Servicio'!T213</f>
        <v>12080.1</v>
      </c>
      <c r="S180" s="66">
        <f t="shared" si="35"/>
        <v>22.311999999999998</v>
      </c>
      <c r="T180" s="66">
        <f t="shared" si="44"/>
        <v>3386.5119999999965</v>
      </c>
      <c r="U180" s="66">
        <f t="shared" si="39"/>
        <v>3386.5119999999965</v>
      </c>
      <c r="V180" s="81">
        <f t="shared" si="40"/>
        <v>0</v>
      </c>
      <c r="W180" s="66">
        <f t="shared" si="41"/>
        <v>0</v>
      </c>
      <c r="X180" s="66">
        <f t="shared" si="42"/>
        <v>3386.5119999999965</v>
      </c>
    </row>
    <row r="181" spans="1:24" x14ac:dyDescent="0.25">
      <c r="A181">
        <f>+'Tablas Servicio'!B214</f>
        <v>15</v>
      </c>
      <c r="B181">
        <f>+'Tablas Servicio'!C214</f>
        <v>173</v>
      </c>
      <c r="C181" s="56">
        <f>+'Tablas Servicio'!D214</f>
        <v>54.43666666666708</v>
      </c>
      <c r="D181" s="58">
        <f>+'Tablas Servicio'!N214</f>
        <v>94</v>
      </c>
      <c r="E181" s="66">
        <f>+'Tablas Servicio'!AC214</f>
        <v>30.1</v>
      </c>
      <c r="F181" s="66">
        <f>+IF(A181="","",'Tablas Servicio'!O214-'Modelo Financiero'!E181)</f>
        <v>0.89999999999999858</v>
      </c>
      <c r="G181" s="58">
        <f t="shared" si="36"/>
        <v>21.188000000000002</v>
      </c>
      <c r="H181" s="66">
        <f>+'Tablas Servicio'!G214</f>
        <v>43.5</v>
      </c>
      <c r="I181" s="72">
        <f t="shared" si="37"/>
        <v>0.28735632183908044</v>
      </c>
      <c r="J181" s="66">
        <f t="shared" si="43"/>
        <v>12.5</v>
      </c>
      <c r="K181" s="66">
        <f>+'Tablas Servicio'!H214</f>
        <v>45.23</v>
      </c>
      <c r="L181" s="66">
        <f>+IF(A181="","",ROUND(H181*Parámetros!$D$100,2))</f>
        <v>5.08</v>
      </c>
      <c r="M181" s="58">
        <f>+IF(A181="","",IF(AND(A181=1,B181=1),Parámetros!$D$114*(D181*frec-$G$3-$H$3),IF(AND(A181=2,B181=frec+1),Parámetros!$D$115*(D181*frec-$G$4-$H$4),0)))</f>
        <v>0</v>
      </c>
      <c r="N181" s="58">
        <f>+IF(A181="","",IF(A181&gt;Parámetros!$D$117,0,ROUND('Modelo Financiero'!D181*Parámetros!$D$116,2)))</f>
        <v>0</v>
      </c>
      <c r="O181" s="58">
        <f t="shared" si="38"/>
        <v>0</v>
      </c>
      <c r="P181" s="66">
        <f>+'Tablas Servicio'!I214</f>
        <v>48.77</v>
      </c>
      <c r="Q181" s="66">
        <f>+'Tablas Servicio'!S214</f>
        <v>12163.27</v>
      </c>
      <c r="R181" s="66">
        <f>+'Tablas Servicio'!T214</f>
        <v>12163.27</v>
      </c>
      <c r="S181" s="66">
        <f t="shared" si="35"/>
        <v>22.311999999999998</v>
      </c>
      <c r="T181" s="66">
        <f t="shared" si="44"/>
        <v>3408.8239999999964</v>
      </c>
      <c r="U181" s="66">
        <f t="shared" si="39"/>
        <v>3408.8239999999964</v>
      </c>
      <c r="V181" s="81">
        <f t="shared" si="40"/>
        <v>0</v>
      </c>
      <c r="W181" s="66">
        <f t="shared" si="41"/>
        <v>0</v>
      </c>
      <c r="X181" s="66">
        <f t="shared" si="42"/>
        <v>3408.8239999999964</v>
      </c>
    </row>
    <row r="182" spans="1:24" x14ac:dyDescent="0.25">
      <c r="A182">
        <f>+'Tablas Servicio'!B215</f>
        <v>15</v>
      </c>
      <c r="B182">
        <f>+'Tablas Servicio'!C215</f>
        <v>174</v>
      </c>
      <c r="C182" s="56">
        <f>+'Tablas Servicio'!D215</f>
        <v>54.520000000000415</v>
      </c>
      <c r="D182" s="58">
        <f>+'Tablas Servicio'!N215</f>
        <v>94</v>
      </c>
      <c r="E182" s="66">
        <f>+'Tablas Servicio'!AC215</f>
        <v>30.1</v>
      </c>
      <c r="F182" s="66">
        <f>+IF(A182="","",'Tablas Servicio'!O215-'Modelo Financiero'!E182)</f>
        <v>0.89999999999999858</v>
      </c>
      <c r="G182" s="58">
        <f t="shared" si="36"/>
        <v>21.188000000000002</v>
      </c>
      <c r="H182" s="66">
        <f>+'Tablas Servicio'!G215</f>
        <v>43.5</v>
      </c>
      <c r="I182" s="72">
        <f t="shared" si="37"/>
        <v>0.28735632183908044</v>
      </c>
      <c r="J182" s="66">
        <f t="shared" si="43"/>
        <v>12.5</v>
      </c>
      <c r="K182" s="66">
        <f>+'Tablas Servicio'!H215</f>
        <v>45.23</v>
      </c>
      <c r="L182" s="66">
        <f>+IF(A182="","",ROUND(H182*Parámetros!$D$100,2))</f>
        <v>5.08</v>
      </c>
      <c r="M182" s="58">
        <f>+IF(A182="","",IF(AND(A182=1,B182=1),Parámetros!$D$114*(D182*frec-$G$3-$H$3),IF(AND(A182=2,B182=frec+1),Parámetros!$D$115*(D182*frec-$G$4-$H$4),0)))</f>
        <v>0</v>
      </c>
      <c r="N182" s="58">
        <f>+IF(A182="","",IF(A182&gt;Parámetros!$D$117,0,ROUND('Modelo Financiero'!D182*Parámetros!$D$116,2)))</f>
        <v>0</v>
      </c>
      <c r="O182" s="58">
        <f t="shared" si="38"/>
        <v>0</v>
      </c>
      <c r="P182" s="66">
        <f>+'Tablas Servicio'!I215</f>
        <v>48.77</v>
      </c>
      <c r="Q182" s="66">
        <f>+'Tablas Servicio'!S215</f>
        <v>12246.68</v>
      </c>
      <c r="R182" s="66">
        <f>+'Tablas Servicio'!T215</f>
        <v>12246.68</v>
      </c>
      <c r="S182" s="66">
        <f t="shared" si="35"/>
        <v>22.311999999999998</v>
      </c>
      <c r="T182" s="66">
        <f t="shared" si="44"/>
        <v>3431.1359999999963</v>
      </c>
      <c r="U182" s="66">
        <f t="shared" si="39"/>
        <v>3431.1359999999963</v>
      </c>
      <c r="V182" s="81">
        <f t="shared" si="40"/>
        <v>0</v>
      </c>
      <c r="W182" s="66">
        <f t="shared" si="41"/>
        <v>0</v>
      </c>
      <c r="X182" s="66">
        <f t="shared" si="42"/>
        <v>3431.1359999999963</v>
      </c>
    </row>
    <row r="183" spans="1:24" x14ac:dyDescent="0.25">
      <c r="A183">
        <f>+'Tablas Servicio'!B216</f>
        <v>15</v>
      </c>
      <c r="B183">
        <f>+'Tablas Servicio'!C216</f>
        <v>175</v>
      </c>
      <c r="C183" s="56">
        <f>+'Tablas Servicio'!D216</f>
        <v>54.603333333333751</v>
      </c>
      <c r="D183" s="58">
        <f>+'Tablas Servicio'!N216</f>
        <v>94</v>
      </c>
      <c r="E183" s="66">
        <f>+'Tablas Servicio'!AC216</f>
        <v>30.1</v>
      </c>
      <c r="F183" s="66">
        <f>+IF(A183="","",'Tablas Servicio'!O216-'Modelo Financiero'!E183)</f>
        <v>0.89999999999999858</v>
      </c>
      <c r="G183" s="58">
        <f t="shared" si="36"/>
        <v>21.188000000000002</v>
      </c>
      <c r="H183" s="66">
        <f>+'Tablas Servicio'!G216</f>
        <v>43.5</v>
      </c>
      <c r="I183" s="72">
        <f t="shared" si="37"/>
        <v>0.28735632183908044</v>
      </c>
      <c r="J183" s="66">
        <f t="shared" si="43"/>
        <v>12.5</v>
      </c>
      <c r="K183" s="66">
        <f>+'Tablas Servicio'!H216</f>
        <v>45.23</v>
      </c>
      <c r="L183" s="66">
        <f>+IF(A183="","",ROUND(H183*Parámetros!$D$100,2))</f>
        <v>5.08</v>
      </c>
      <c r="M183" s="58">
        <f>+IF(A183="","",IF(AND(A183=1,B183=1),Parámetros!$D$114*(D183*frec-$G$3-$H$3),IF(AND(A183=2,B183=frec+1),Parámetros!$D$115*(D183*frec-$G$4-$H$4),0)))</f>
        <v>0</v>
      </c>
      <c r="N183" s="58">
        <f>+IF(A183="","",IF(A183&gt;Parámetros!$D$117,0,ROUND('Modelo Financiero'!D183*Parámetros!$D$116,2)))</f>
        <v>0</v>
      </c>
      <c r="O183" s="58">
        <f t="shared" si="38"/>
        <v>0</v>
      </c>
      <c r="P183" s="66">
        <f>+'Tablas Servicio'!I216</f>
        <v>48.77</v>
      </c>
      <c r="Q183" s="66">
        <f>+'Tablas Servicio'!S216</f>
        <v>12330.33</v>
      </c>
      <c r="R183" s="66">
        <f>+'Tablas Servicio'!T216</f>
        <v>12330.33</v>
      </c>
      <c r="S183" s="66">
        <f t="shared" si="35"/>
        <v>22.311999999999998</v>
      </c>
      <c r="T183" s="66">
        <f t="shared" si="44"/>
        <v>3453.4479999999962</v>
      </c>
      <c r="U183" s="66">
        <f t="shared" si="39"/>
        <v>3453.4479999999962</v>
      </c>
      <c r="V183" s="81">
        <f t="shared" si="40"/>
        <v>0</v>
      </c>
      <c r="W183" s="66">
        <f t="shared" si="41"/>
        <v>0</v>
      </c>
      <c r="X183" s="66">
        <f t="shared" si="42"/>
        <v>3453.4479999999962</v>
      </c>
    </row>
    <row r="184" spans="1:24" x14ac:dyDescent="0.25">
      <c r="A184">
        <f>+'Tablas Servicio'!B217</f>
        <v>15</v>
      </c>
      <c r="B184">
        <f>+'Tablas Servicio'!C217</f>
        <v>176</v>
      </c>
      <c r="C184" s="56">
        <f>+'Tablas Servicio'!D217</f>
        <v>54.686666666667087</v>
      </c>
      <c r="D184" s="58">
        <f>+'Tablas Servicio'!N217</f>
        <v>94</v>
      </c>
      <c r="E184" s="66">
        <f>+'Tablas Servicio'!AC217</f>
        <v>30.1</v>
      </c>
      <c r="F184" s="66">
        <f>+IF(A184="","",'Tablas Servicio'!O217-'Modelo Financiero'!E184)</f>
        <v>0.89999999999999858</v>
      </c>
      <c r="G184" s="58">
        <f t="shared" si="36"/>
        <v>21.188000000000002</v>
      </c>
      <c r="H184" s="66">
        <f>+'Tablas Servicio'!G217</f>
        <v>43.5</v>
      </c>
      <c r="I184" s="72">
        <f t="shared" si="37"/>
        <v>0.28735632183908044</v>
      </c>
      <c r="J184" s="66">
        <f t="shared" si="43"/>
        <v>12.5</v>
      </c>
      <c r="K184" s="66">
        <f>+'Tablas Servicio'!H217</f>
        <v>45.23</v>
      </c>
      <c r="L184" s="66">
        <f>+IF(A184="","",ROUND(H184*Parámetros!$D$100,2))</f>
        <v>5.08</v>
      </c>
      <c r="M184" s="58">
        <f>+IF(A184="","",IF(AND(A184=1,B184=1),Parámetros!$D$114*(D184*frec-$G$3-$H$3),IF(AND(A184=2,B184=frec+1),Parámetros!$D$115*(D184*frec-$G$4-$H$4),0)))</f>
        <v>0</v>
      </c>
      <c r="N184" s="58">
        <f>+IF(A184="","",IF(A184&gt;Parámetros!$D$117,0,ROUND('Modelo Financiero'!D184*Parámetros!$D$116,2)))</f>
        <v>0</v>
      </c>
      <c r="O184" s="58">
        <f t="shared" si="38"/>
        <v>0</v>
      </c>
      <c r="P184" s="66">
        <f>+'Tablas Servicio'!I217</f>
        <v>48.77</v>
      </c>
      <c r="Q184" s="66">
        <f>+'Tablas Servicio'!S217</f>
        <v>12414.21</v>
      </c>
      <c r="R184" s="66">
        <f>+'Tablas Servicio'!T217</f>
        <v>12414.21</v>
      </c>
      <c r="S184" s="66">
        <f t="shared" si="35"/>
        <v>22.311999999999998</v>
      </c>
      <c r="T184" s="66">
        <f t="shared" si="44"/>
        <v>3475.7599999999961</v>
      </c>
      <c r="U184" s="66">
        <f t="shared" si="39"/>
        <v>3475.7599999999961</v>
      </c>
      <c r="V184" s="81">
        <f t="shared" si="40"/>
        <v>0</v>
      </c>
      <c r="W184" s="66">
        <f t="shared" si="41"/>
        <v>0</v>
      </c>
      <c r="X184" s="66">
        <f t="shared" si="42"/>
        <v>3475.7599999999961</v>
      </c>
    </row>
    <row r="185" spans="1:24" x14ac:dyDescent="0.25">
      <c r="A185">
        <f>+'Tablas Servicio'!B218</f>
        <v>15</v>
      </c>
      <c r="B185">
        <f>+'Tablas Servicio'!C218</f>
        <v>177</v>
      </c>
      <c r="C185" s="56">
        <f>+'Tablas Servicio'!D218</f>
        <v>54.770000000000422</v>
      </c>
      <c r="D185" s="58">
        <f>+'Tablas Servicio'!N218</f>
        <v>94</v>
      </c>
      <c r="E185" s="66">
        <f>+'Tablas Servicio'!AC218</f>
        <v>30.1</v>
      </c>
      <c r="F185" s="66">
        <f>+IF(A185="","",'Tablas Servicio'!O218-'Modelo Financiero'!E185)</f>
        <v>0.89999999999999858</v>
      </c>
      <c r="G185" s="58">
        <f t="shared" si="36"/>
        <v>21.188000000000002</v>
      </c>
      <c r="H185" s="66">
        <f>+'Tablas Servicio'!G218</f>
        <v>43.5</v>
      </c>
      <c r="I185" s="72">
        <f t="shared" si="37"/>
        <v>0.28735632183908044</v>
      </c>
      <c r="J185" s="66">
        <f t="shared" si="43"/>
        <v>12.5</v>
      </c>
      <c r="K185" s="66">
        <f>+'Tablas Servicio'!H218</f>
        <v>45.23</v>
      </c>
      <c r="L185" s="66">
        <f>+IF(A185="","",ROUND(H185*Parámetros!$D$100,2))</f>
        <v>5.08</v>
      </c>
      <c r="M185" s="58">
        <f>+IF(A185="","",IF(AND(A185=1,B185=1),Parámetros!$D$114*(D185*frec-$G$3-$H$3),IF(AND(A185=2,B185=frec+1),Parámetros!$D$115*(D185*frec-$G$4-$H$4),0)))</f>
        <v>0</v>
      </c>
      <c r="N185" s="58">
        <f>+IF(A185="","",IF(A185&gt;Parámetros!$D$117,0,ROUND('Modelo Financiero'!D185*Parámetros!$D$116,2)))</f>
        <v>0</v>
      </c>
      <c r="O185" s="58">
        <f t="shared" si="38"/>
        <v>0</v>
      </c>
      <c r="P185" s="66">
        <f>+'Tablas Servicio'!I218</f>
        <v>48.77</v>
      </c>
      <c r="Q185" s="66">
        <f>+'Tablas Servicio'!S218</f>
        <v>12498.33</v>
      </c>
      <c r="R185" s="66">
        <f>+'Tablas Servicio'!T218</f>
        <v>12498.33</v>
      </c>
      <c r="S185" s="66">
        <f t="shared" si="35"/>
        <v>22.311999999999998</v>
      </c>
      <c r="T185" s="66">
        <f t="shared" si="44"/>
        <v>3498.071999999996</v>
      </c>
      <c r="U185" s="66">
        <f t="shared" si="39"/>
        <v>3498.071999999996</v>
      </c>
      <c r="V185" s="81">
        <f t="shared" si="40"/>
        <v>0</v>
      </c>
      <c r="W185" s="66">
        <f t="shared" si="41"/>
        <v>0</v>
      </c>
      <c r="X185" s="66">
        <f t="shared" si="42"/>
        <v>3498.071999999996</v>
      </c>
    </row>
    <row r="186" spans="1:24" x14ac:dyDescent="0.25">
      <c r="A186">
        <f>+'Tablas Servicio'!B219</f>
        <v>15</v>
      </c>
      <c r="B186">
        <f>+'Tablas Servicio'!C219</f>
        <v>178</v>
      </c>
      <c r="C186" s="56">
        <f>+'Tablas Servicio'!D219</f>
        <v>54.853333333333758</v>
      </c>
      <c r="D186" s="58">
        <f>+'Tablas Servicio'!N219</f>
        <v>94</v>
      </c>
      <c r="E186" s="66">
        <f>+'Tablas Servicio'!AC219</f>
        <v>30.1</v>
      </c>
      <c r="F186" s="66">
        <f>+IF(A186="","",'Tablas Servicio'!O219-'Modelo Financiero'!E186)</f>
        <v>0.89999999999999858</v>
      </c>
      <c r="G186" s="58">
        <f t="shared" si="36"/>
        <v>21.188000000000002</v>
      </c>
      <c r="H186" s="66">
        <f>+'Tablas Servicio'!G219</f>
        <v>43.5</v>
      </c>
      <c r="I186" s="72">
        <f t="shared" si="37"/>
        <v>0.28735632183908044</v>
      </c>
      <c r="J186" s="66">
        <f t="shared" si="43"/>
        <v>12.5</v>
      </c>
      <c r="K186" s="66">
        <f>+'Tablas Servicio'!H219</f>
        <v>45.23</v>
      </c>
      <c r="L186" s="66">
        <f>+IF(A186="","",ROUND(H186*Parámetros!$D$100,2))</f>
        <v>5.08</v>
      </c>
      <c r="M186" s="58">
        <f>+IF(A186="","",IF(AND(A186=1,B186=1),Parámetros!$D$114*(D186*frec-$G$3-$H$3),IF(AND(A186=2,B186=frec+1),Parámetros!$D$115*(D186*frec-$G$4-$H$4),0)))</f>
        <v>0</v>
      </c>
      <c r="N186" s="58">
        <f>+IF(A186="","",IF(A186&gt;Parámetros!$D$117,0,ROUND('Modelo Financiero'!D186*Parámetros!$D$116,2)))</f>
        <v>0</v>
      </c>
      <c r="O186" s="58">
        <f t="shared" si="38"/>
        <v>0</v>
      </c>
      <c r="P186" s="66">
        <f>+'Tablas Servicio'!I219</f>
        <v>48.77</v>
      </c>
      <c r="Q186" s="66">
        <f>+'Tablas Servicio'!S219</f>
        <v>12582.69</v>
      </c>
      <c r="R186" s="66">
        <f>+'Tablas Servicio'!T219</f>
        <v>12582.69</v>
      </c>
      <c r="S186" s="66">
        <f t="shared" si="35"/>
        <v>22.311999999999998</v>
      </c>
      <c r="T186" s="66">
        <f t="shared" si="44"/>
        <v>3520.3839999999959</v>
      </c>
      <c r="U186" s="66">
        <f t="shared" si="39"/>
        <v>3520.3839999999959</v>
      </c>
      <c r="V186" s="81">
        <f t="shared" si="40"/>
        <v>0</v>
      </c>
      <c r="W186" s="66">
        <f t="shared" si="41"/>
        <v>0</v>
      </c>
      <c r="X186" s="66">
        <f t="shared" si="42"/>
        <v>3520.3839999999959</v>
      </c>
    </row>
    <row r="187" spans="1:24" x14ac:dyDescent="0.25">
      <c r="A187">
        <f>+'Tablas Servicio'!B220</f>
        <v>15</v>
      </c>
      <c r="B187">
        <f>+'Tablas Servicio'!C220</f>
        <v>179</v>
      </c>
      <c r="C187" s="56">
        <f>+'Tablas Servicio'!D220</f>
        <v>54.936666666667094</v>
      </c>
      <c r="D187" s="58">
        <f>+'Tablas Servicio'!N220</f>
        <v>94</v>
      </c>
      <c r="E187" s="66">
        <f>+'Tablas Servicio'!AC220</f>
        <v>30.1</v>
      </c>
      <c r="F187" s="66">
        <f>+IF(A187="","",'Tablas Servicio'!O220-'Modelo Financiero'!E187)</f>
        <v>0.89999999999999858</v>
      </c>
      <c r="G187" s="58">
        <f t="shared" si="36"/>
        <v>21.188000000000002</v>
      </c>
      <c r="H187" s="66">
        <f>+'Tablas Servicio'!G220</f>
        <v>43.5</v>
      </c>
      <c r="I187" s="72">
        <f t="shared" si="37"/>
        <v>0.28735632183908044</v>
      </c>
      <c r="J187" s="66">
        <f t="shared" si="43"/>
        <v>12.5</v>
      </c>
      <c r="K187" s="66">
        <f>+'Tablas Servicio'!H220</f>
        <v>45.23</v>
      </c>
      <c r="L187" s="66">
        <f>+IF(A187="","",ROUND(H187*Parámetros!$D$100,2))</f>
        <v>5.08</v>
      </c>
      <c r="M187" s="58">
        <f>+IF(A187="","",IF(AND(A187=1,B187=1),Parámetros!$D$114*(D187*frec-$G$3-$H$3),IF(AND(A187=2,B187=frec+1),Parámetros!$D$115*(D187*frec-$G$4-$H$4),0)))</f>
        <v>0</v>
      </c>
      <c r="N187" s="58">
        <f>+IF(A187="","",IF(A187&gt;Parámetros!$D$117,0,ROUND('Modelo Financiero'!D187*Parámetros!$D$116,2)))</f>
        <v>0</v>
      </c>
      <c r="O187" s="58">
        <f t="shared" si="38"/>
        <v>0</v>
      </c>
      <c r="P187" s="66">
        <f>+'Tablas Servicio'!I220</f>
        <v>48.77</v>
      </c>
      <c r="Q187" s="66">
        <f>+'Tablas Servicio'!S220</f>
        <v>12667.29</v>
      </c>
      <c r="R187" s="66">
        <f>+'Tablas Servicio'!T220</f>
        <v>12667.29</v>
      </c>
      <c r="S187" s="66">
        <f t="shared" si="35"/>
        <v>22.311999999999998</v>
      </c>
      <c r="T187" s="66">
        <f t="shared" si="44"/>
        <v>3542.6959999999958</v>
      </c>
      <c r="U187" s="66">
        <f t="shared" si="39"/>
        <v>3542.6959999999958</v>
      </c>
      <c r="V187" s="81">
        <f t="shared" si="40"/>
        <v>0</v>
      </c>
      <c r="W187" s="66">
        <f t="shared" si="41"/>
        <v>0</v>
      </c>
      <c r="X187" s="66">
        <f t="shared" si="42"/>
        <v>3542.6959999999958</v>
      </c>
    </row>
    <row r="188" spans="1:24" x14ac:dyDescent="0.25">
      <c r="A188">
        <f>+'Tablas Servicio'!B221</f>
        <v>15</v>
      </c>
      <c r="B188">
        <f>+'Tablas Servicio'!C221</f>
        <v>180</v>
      </c>
      <c r="C188" s="56">
        <f>+'Tablas Servicio'!D221</f>
        <v>55.020000000000429</v>
      </c>
      <c r="D188" s="58">
        <f>+'Tablas Servicio'!N221</f>
        <v>94</v>
      </c>
      <c r="E188" s="66">
        <f>+'Tablas Servicio'!AC221</f>
        <v>30.1</v>
      </c>
      <c r="F188" s="66">
        <f>+IF(A188="","",'Tablas Servicio'!O221-'Modelo Financiero'!E188)</f>
        <v>0.89999999999999858</v>
      </c>
      <c r="G188" s="58">
        <f t="shared" si="36"/>
        <v>21.188000000000002</v>
      </c>
      <c r="H188" s="66">
        <f>+'Tablas Servicio'!G221</f>
        <v>43.5</v>
      </c>
      <c r="I188" s="72">
        <f t="shared" si="37"/>
        <v>0.28735632183908044</v>
      </c>
      <c r="J188" s="66">
        <f t="shared" si="43"/>
        <v>12.5</v>
      </c>
      <c r="K188" s="66">
        <f>+'Tablas Servicio'!H221</f>
        <v>45.23</v>
      </c>
      <c r="L188" s="66">
        <f>+IF(A188="","",ROUND(H188*Parámetros!$D$100,2))</f>
        <v>5.08</v>
      </c>
      <c r="M188" s="58">
        <f>+IF(A188="","",IF(AND(A188=1,B188=1),Parámetros!$D$114*(D188*frec-$G$3-$H$3),IF(AND(A188=2,B188=frec+1),Parámetros!$D$115*(D188*frec-$G$4-$H$4),0)))</f>
        <v>0</v>
      </c>
      <c r="N188" s="58">
        <f>+IF(A188="","",IF(A188&gt;Parámetros!$D$117,0,ROUND('Modelo Financiero'!D188*Parámetros!$D$116,2)))</f>
        <v>0</v>
      </c>
      <c r="O188" s="58">
        <f t="shared" si="38"/>
        <v>0</v>
      </c>
      <c r="P188" s="66">
        <f>+'Tablas Servicio'!I221</f>
        <v>48.77</v>
      </c>
      <c r="Q188" s="66">
        <f>+'Tablas Servicio'!S221</f>
        <v>12752.13</v>
      </c>
      <c r="R188" s="66">
        <f>+'Tablas Servicio'!T221</f>
        <v>12752.13</v>
      </c>
      <c r="S188" s="66">
        <f t="shared" si="35"/>
        <v>22.311999999999998</v>
      </c>
      <c r="T188" s="66">
        <f t="shared" si="44"/>
        <v>3565.0079999999957</v>
      </c>
      <c r="U188" s="66">
        <f t="shared" si="39"/>
        <v>3565.0079999999957</v>
      </c>
      <c r="V188" s="81">
        <f t="shared" si="40"/>
        <v>0</v>
      </c>
      <c r="W188" s="66">
        <f t="shared" si="41"/>
        <v>0</v>
      </c>
      <c r="X188" s="66">
        <f t="shared" si="42"/>
        <v>3565.0079999999957</v>
      </c>
    </row>
    <row r="189" spans="1:24" x14ac:dyDescent="0.25">
      <c r="A189">
        <f>+'Tablas Servicio'!B222</f>
        <v>16</v>
      </c>
      <c r="B189">
        <f>+'Tablas Servicio'!C222</f>
        <v>181</v>
      </c>
      <c r="C189" s="56">
        <f>+'Tablas Servicio'!D222</f>
        <v>55.103333333333765</v>
      </c>
      <c r="D189" s="58">
        <f>+'Tablas Servicio'!N222</f>
        <v>94</v>
      </c>
      <c r="E189" s="66">
        <f>+'Tablas Servicio'!AC222</f>
        <v>32.4</v>
      </c>
      <c r="F189" s="66">
        <f>+IF(A189="","",'Tablas Servicio'!O222-'Modelo Financiero'!E189)</f>
        <v>1.3500000000000014</v>
      </c>
      <c r="G189" s="58">
        <f t="shared" si="36"/>
        <v>23.112000000000002</v>
      </c>
      <c r="H189" s="66">
        <f>+'Tablas Servicio'!G222</f>
        <v>46.25</v>
      </c>
      <c r="I189" s="72">
        <f t="shared" si="37"/>
        <v>0.27027027027027029</v>
      </c>
      <c r="J189" s="66">
        <f t="shared" si="43"/>
        <v>12.5</v>
      </c>
      <c r="K189" s="66">
        <f>+'Tablas Servicio'!H222</f>
        <v>48.099999999999994</v>
      </c>
      <c r="L189" s="66">
        <f>+IF(A189="","",ROUND(H189*Parámetros!$D$100,2))</f>
        <v>5.4</v>
      </c>
      <c r="M189" s="58">
        <f>+IF(A189="","",IF(AND(A189=1,B189=1),Parámetros!$D$114*(D189*frec-$G$3-$H$3),IF(AND(A189=2,B189=frec+1),Parámetros!$D$115*(D189*frec-$G$4-$H$4),0)))</f>
        <v>0</v>
      </c>
      <c r="N189" s="58">
        <f>+IF(A189="","",IF(A189&gt;Parámetros!$D$117,0,ROUND('Modelo Financiero'!D189*Parámetros!$D$116,2)))</f>
        <v>0</v>
      </c>
      <c r="O189" s="58">
        <f t="shared" si="38"/>
        <v>0</v>
      </c>
      <c r="P189" s="66">
        <f>+'Tablas Servicio'!I222</f>
        <v>45.900000000000006</v>
      </c>
      <c r="Q189" s="66">
        <f>+'Tablas Servicio'!S222</f>
        <v>12834.33</v>
      </c>
      <c r="R189" s="66">
        <f>+'Tablas Servicio'!T222</f>
        <v>12834.33</v>
      </c>
      <c r="S189" s="66">
        <f t="shared" si="35"/>
        <v>23.137999999999998</v>
      </c>
      <c r="T189" s="66">
        <f t="shared" si="44"/>
        <v>3588.1459999999956</v>
      </c>
      <c r="U189" s="66">
        <f t="shared" si="39"/>
        <v>3588.1459999999956</v>
      </c>
      <c r="V189" s="81">
        <f t="shared" si="40"/>
        <v>0</v>
      </c>
      <c r="W189" s="66">
        <f t="shared" si="41"/>
        <v>0</v>
      </c>
      <c r="X189" s="66">
        <f t="shared" si="42"/>
        <v>3588.1459999999956</v>
      </c>
    </row>
    <row r="190" spans="1:24" x14ac:dyDescent="0.25">
      <c r="A190">
        <f>+'Tablas Servicio'!B223</f>
        <v>16</v>
      </c>
      <c r="B190">
        <f>+'Tablas Servicio'!C223</f>
        <v>182</v>
      </c>
      <c r="C190" s="56">
        <f>+'Tablas Servicio'!D223</f>
        <v>55.186666666667101</v>
      </c>
      <c r="D190" s="58">
        <f>+'Tablas Servicio'!N223</f>
        <v>94</v>
      </c>
      <c r="E190" s="66">
        <f>+'Tablas Servicio'!AC223</f>
        <v>32.4</v>
      </c>
      <c r="F190" s="66">
        <f>+IF(A190="","",'Tablas Servicio'!O223-'Modelo Financiero'!E190)</f>
        <v>1.3500000000000014</v>
      </c>
      <c r="G190" s="58">
        <f t="shared" si="36"/>
        <v>23.112000000000002</v>
      </c>
      <c r="H190" s="66">
        <f>+'Tablas Servicio'!G223</f>
        <v>46.25</v>
      </c>
      <c r="I190" s="72">
        <f t="shared" si="37"/>
        <v>0.27027027027027029</v>
      </c>
      <c r="J190" s="66">
        <f t="shared" si="43"/>
        <v>12.5</v>
      </c>
      <c r="K190" s="66">
        <f>+'Tablas Servicio'!H223</f>
        <v>48.099999999999994</v>
      </c>
      <c r="L190" s="66">
        <f>+IF(A190="","",ROUND(H190*Parámetros!$D$100,2))</f>
        <v>5.4</v>
      </c>
      <c r="M190" s="58">
        <f>+IF(A190="","",IF(AND(A190=1,B190=1),Parámetros!$D$114*(D190*frec-$G$3-$H$3),IF(AND(A190=2,B190=frec+1),Parámetros!$D$115*(D190*frec-$G$4-$H$4),0)))</f>
        <v>0</v>
      </c>
      <c r="N190" s="58">
        <f>+IF(A190="","",IF(A190&gt;Parámetros!$D$117,0,ROUND('Modelo Financiero'!D190*Parámetros!$D$116,2)))</f>
        <v>0</v>
      </c>
      <c r="O190" s="58">
        <f t="shared" si="38"/>
        <v>0</v>
      </c>
      <c r="P190" s="66">
        <f>+'Tablas Servicio'!I223</f>
        <v>45.900000000000006</v>
      </c>
      <c r="Q190" s="66">
        <f>+'Tablas Servicio'!S223</f>
        <v>12916.76</v>
      </c>
      <c r="R190" s="66">
        <f>+'Tablas Servicio'!T223</f>
        <v>12916.76</v>
      </c>
      <c r="S190" s="66">
        <f t="shared" si="35"/>
        <v>23.137999999999998</v>
      </c>
      <c r="T190" s="66">
        <f t="shared" si="44"/>
        <v>3611.2839999999956</v>
      </c>
      <c r="U190" s="66">
        <f t="shared" si="39"/>
        <v>3611.2839999999956</v>
      </c>
      <c r="V190" s="81">
        <f t="shared" si="40"/>
        <v>0</v>
      </c>
      <c r="W190" s="66">
        <f t="shared" si="41"/>
        <v>0</v>
      </c>
      <c r="X190" s="66">
        <f t="shared" si="42"/>
        <v>3611.2839999999956</v>
      </c>
    </row>
    <row r="191" spans="1:24" x14ac:dyDescent="0.25">
      <c r="A191">
        <f>+'Tablas Servicio'!B224</f>
        <v>16</v>
      </c>
      <c r="B191">
        <f>+'Tablas Servicio'!C224</f>
        <v>183</v>
      </c>
      <c r="C191" s="56">
        <f>+'Tablas Servicio'!D224</f>
        <v>55.270000000000437</v>
      </c>
      <c r="D191" s="58">
        <f>+'Tablas Servicio'!N224</f>
        <v>94</v>
      </c>
      <c r="E191" s="66">
        <f>+'Tablas Servicio'!AC224</f>
        <v>32.4</v>
      </c>
      <c r="F191" s="66">
        <f>+IF(A191="","",'Tablas Servicio'!O224-'Modelo Financiero'!E191)</f>
        <v>1.3500000000000014</v>
      </c>
      <c r="G191" s="58">
        <f t="shared" si="36"/>
        <v>23.112000000000002</v>
      </c>
      <c r="H191" s="66">
        <f>+'Tablas Servicio'!G224</f>
        <v>46.25</v>
      </c>
      <c r="I191" s="72">
        <f t="shared" si="37"/>
        <v>0.27027027027027029</v>
      </c>
      <c r="J191" s="66">
        <f t="shared" si="43"/>
        <v>12.5</v>
      </c>
      <c r="K191" s="66">
        <f>+'Tablas Servicio'!H224</f>
        <v>48.099999999999994</v>
      </c>
      <c r="L191" s="66">
        <f>+IF(A191="","",ROUND(H191*Parámetros!$D$100,2))</f>
        <v>5.4</v>
      </c>
      <c r="M191" s="58">
        <f>+IF(A191="","",IF(AND(A191=1,B191=1),Parámetros!$D$114*(D191*frec-$G$3-$H$3),IF(AND(A191=2,B191=frec+1),Parámetros!$D$115*(D191*frec-$G$4-$H$4),0)))</f>
        <v>0</v>
      </c>
      <c r="N191" s="58">
        <f>+IF(A191="","",IF(A191&gt;Parámetros!$D$117,0,ROUND('Modelo Financiero'!D191*Parámetros!$D$116,2)))</f>
        <v>0</v>
      </c>
      <c r="O191" s="58">
        <f t="shared" si="38"/>
        <v>0</v>
      </c>
      <c r="P191" s="66">
        <f>+'Tablas Servicio'!I224</f>
        <v>45.900000000000006</v>
      </c>
      <c r="Q191" s="66">
        <f>+'Tablas Servicio'!S224</f>
        <v>12999.43</v>
      </c>
      <c r="R191" s="66">
        <f>+'Tablas Servicio'!T224</f>
        <v>12999.43</v>
      </c>
      <c r="S191" s="66">
        <f t="shared" si="35"/>
        <v>23.137999999999998</v>
      </c>
      <c r="T191" s="66">
        <f t="shared" si="44"/>
        <v>3634.4219999999955</v>
      </c>
      <c r="U191" s="66">
        <f t="shared" si="39"/>
        <v>3634.4219999999955</v>
      </c>
      <c r="V191" s="81">
        <f t="shared" si="40"/>
        <v>0</v>
      </c>
      <c r="W191" s="66">
        <f t="shared" si="41"/>
        <v>0</v>
      </c>
      <c r="X191" s="66">
        <f t="shared" si="42"/>
        <v>3634.4219999999955</v>
      </c>
    </row>
    <row r="192" spans="1:24" x14ac:dyDescent="0.25">
      <c r="A192">
        <f>+'Tablas Servicio'!B225</f>
        <v>16</v>
      </c>
      <c r="B192">
        <f>+'Tablas Servicio'!C225</f>
        <v>184</v>
      </c>
      <c r="C192" s="56">
        <f>+'Tablas Servicio'!D225</f>
        <v>55.353333333333772</v>
      </c>
      <c r="D192" s="58">
        <f>+'Tablas Servicio'!N225</f>
        <v>94</v>
      </c>
      <c r="E192" s="66">
        <f>+'Tablas Servicio'!AC225</f>
        <v>32.4</v>
      </c>
      <c r="F192" s="66">
        <f>+IF(A192="","",'Tablas Servicio'!O225-'Modelo Financiero'!E192)</f>
        <v>1.3500000000000014</v>
      </c>
      <c r="G192" s="58">
        <f t="shared" si="36"/>
        <v>23.112000000000002</v>
      </c>
      <c r="H192" s="66">
        <f>+'Tablas Servicio'!G225</f>
        <v>46.25</v>
      </c>
      <c r="I192" s="72">
        <f t="shared" si="37"/>
        <v>0.27027027027027029</v>
      </c>
      <c r="J192" s="66">
        <f t="shared" si="43"/>
        <v>12.5</v>
      </c>
      <c r="K192" s="66">
        <f>+'Tablas Servicio'!H225</f>
        <v>48.099999999999994</v>
      </c>
      <c r="L192" s="66">
        <f>+IF(A192="","",ROUND(H192*Parámetros!$D$100,2))</f>
        <v>5.4</v>
      </c>
      <c r="M192" s="58">
        <f>+IF(A192="","",IF(AND(A192=1,B192=1),Parámetros!$D$114*(D192*frec-$G$3-$H$3),IF(AND(A192=2,B192=frec+1),Parámetros!$D$115*(D192*frec-$G$4-$H$4),0)))</f>
        <v>0</v>
      </c>
      <c r="N192" s="58">
        <f>+IF(A192="","",IF(A192&gt;Parámetros!$D$117,0,ROUND('Modelo Financiero'!D192*Parámetros!$D$116,2)))</f>
        <v>0</v>
      </c>
      <c r="O192" s="58">
        <f t="shared" si="38"/>
        <v>0</v>
      </c>
      <c r="P192" s="66">
        <f>+'Tablas Servicio'!I225</f>
        <v>45.900000000000006</v>
      </c>
      <c r="Q192" s="66">
        <f>+'Tablas Servicio'!S225</f>
        <v>13082.33</v>
      </c>
      <c r="R192" s="66">
        <f>+'Tablas Servicio'!T225</f>
        <v>13082.33</v>
      </c>
      <c r="S192" s="66">
        <f t="shared" si="35"/>
        <v>23.137999999999998</v>
      </c>
      <c r="T192" s="66">
        <f t="shared" si="44"/>
        <v>3657.5599999999954</v>
      </c>
      <c r="U192" s="66">
        <f t="shared" si="39"/>
        <v>3657.5599999999954</v>
      </c>
      <c r="V192" s="81">
        <f t="shared" si="40"/>
        <v>0</v>
      </c>
      <c r="W192" s="66">
        <f t="shared" si="41"/>
        <v>0</v>
      </c>
      <c r="X192" s="66">
        <f t="shared" si="42"/>
        <v>3657.5599999999954</v>
      </c>
    </row>
    <row r="193" spans="1:24" x14ac:dyDescent="0.25">
      <c r="A193">
        <f>+'Tablas Servicio'!B226</f>
        <v>16</v>
      </c>
      <c r="B193">
        <f>+'Tablas Servicio'!C226</f>
        <v>185</v>
      </c>
      <c r="C193" s="56">
        <f>+'Tablas Servicio'!D226</f>
        <v>55.436666666667108</v>
      </c>
      <c r="D193" s="58">
        <f>+'Tablas Servicio'!N226</f>
        <v>94</v>
      </c>
      <c r="E193" s="66">
        <f>+'Tablas Servicio'!AC226</f>
        <v>32.4</v>
      </c>
      <c r="F193" s="66">
        <f>+IF(A193="","",'Tablas Servicio'!O226-'Modelo Financiero'!E193)</f>
        <v>1.3500000000000014</v>
      </c>
      <c r="G193" s="58">
        <f t="shared" si="36"/>
        <v>23.112000000000002</v>
      </c>
      <c r="H193" s="66">
        <f>+'Tablas Servicio'!G226</f>
        <v>46.25</v>
      </c>
      <c r="I193" s="72">
        <f t="shared" si="37"/>
        <v>0.27027027027027029</v>
      </c>
      <c r="J193" s="66">
        <f t="shared" si="43"/>
        <v>12.5</v>
      </c>
      <c r="K193" s="66">
        <f>+'Tablas Servicio'!H226</f>
        <v>48.099999999999994</v>
      </c>
      <c r="L193" s="66">
        <f>+IF(A193="","",ROUND(H193*Parámetros!$D$100,2))</f>
        <v>5.4</v>
      </c>
      <c r="M193" s="58">
        <f>+IF(A193="","",IF(AND(A193=1,B193=1),Parámetros!$D$114*(D193*frec-$G$3-$H$3),IF(AND(A193=2,B193=frec+1),Parámetros!$D$115*(D193*frec-$G$4-$H$4),0)))</f>
        <v>0</v>
      </c>
      <c r="N193" s="58">
        <f>+IF(A193="","",IF(A193&gt;Parámetros!$D$117,0,ROUND('Modelo Financiero'!D193*Parámetros!$D$116,2)))</f>
        <v>0</v>
      </c>
      <c r="O193" s="58">
        <f t="shared" si="38"/>
        <v>0</v>
      </c>
      <c r="P193" s="66">
        <f>+'Tablas Servicio'!I226</f>
        <v>45.900000000000006</v>
      </c>
      <c r="Q193" s="66">
        <f>+'Tablas Servicio'!S226</f>
        <v>13165.47</v>
      </c>
      <c r="R193" s="66">
        <f>+'Tablas Servicio'!T226</f>
        <v>13165.47</v>
      </c>
      <c r="S193" s="66">
        <f t="shared" si="35"/>
        <v>23.137999999999998</v>
      </c>
      <c r="T193" s="66">
        <f t="shared" si="44"/>
        <v>3680.6979999999953</v>
      </c>
      <c r="U193" s="66">
        <f t="shared" si="39"/>
        <v>3680.6979999999953</v>
      </c>
      <c r="V193" s="81">
        <f t="shared" si="40"/>
        <v>0</v>
      </c>
      <c r="W193" s="66">
        <f t="shared" si="41"/>
        <v>0</v>
      </c>
      <c r="X193" s="66">
        <f t="shared" si="42"/>
        <v>3680.6979999999953</v>
      </c>
    </row>
    <row r="194" spans="1:24" x14ac:dyDescent="0.25">
      <c r="A194">
        <f>+'Tablas Servicio'!B227</f>
        <v>16</v>
      </c>
      <c r="B194">
        <f>+'Tablas Servicio'!C227</f>
        <v>186</v>
      </c>
      <c r="C194" s="56">
        <f>+'Tablas Servicio'!D227</f>
        <v>55.520000000000444</v>
      </c>
      <c r="D194" s="58">
        <f>+'Tablas Servicio'!N227</f>
        <v>94</v>
      </c>
      <c r="E194" s="66">
        <f>+'Tablas Servicio'!AC227</f>
        <v>32.4</v>
      </c>
      <c r="F194" s="66">
        <f>+IF(A194="","",'Tablas Servicio'!O227-'Modelo Financiero'!E194)</f>
        <v>1.3500000000000014</v>
      </c>
      <c r="G194" s="58">
        <f t="shared" si="36"/>
        <v>23.112000000000002</v>
      </c>
      <c r="H194" s="66">
        <f>+'Tablas Servicio'!G227</f>
        <v>46.25</v>
      </c>
      <c r="I194" s="72">
        <f t="shared" si="37"/>
        <v>0.27027027027027029</v>
      </c>
      <c r="J194" s="66">
        <f t="shared" si="43"/>
        <v>12.5</v>
      </c>
      <c r="K194" s="66">
        <f>+'Tablas Servicio'!H227</f>
        <v>48.099999999999994</v>
      </c>
      <c r="L194" s="66">
        <f>+IF(A194="","",ROUND(H194*Parámetros!$D$100,2))</f>
        <v>5.4</v>
      </c>
      <c r="M194" s="58">
        <f>+IF(A194="","",IF(AND(A194=1,B194=1),Parámetros!$D$114*(D194*frec-$G$3-$H$3),IF(AND(A194=2,B194=frec+1),Parámetros!$D$115*(D194*frec-$G$4-$H$4),0)))</f>
        <v>0</v>
      </c>
      <c r="N194" s="58">
        <f>+IF(A194="","",IF(A194&gt;Parámetros!$D$117,0,ROUND('Modelo Financiero'!D194*Parámetros!$D$116,2)))</f>
        <v>0</v>
      </c>
      <c r="O194" s="58">
        <f t="shared" si="38"/>
        <v>0</v>
      </c>
      <c r="P194" s="66">
        <f>+'Tablas Servicio'!I227</f>
        <v>45.900000000000006</v>
      </c>
      <c r="Q194" s="66">
        <f>+'Tablas Servicio'!S227</f>
        <v>13248.84</v>
      </c>
      <c r="R194" s="66">
        <f>+'Tablas Servicio'!T227</f>
        <v>13248.84</v>
      </c>
      <c r="S194" s="66">
        <f t="shared" si="35"/>
        <v>23.137999999999998</v>
      </c>
      <c r="T194" s="66">
        <f t="shared" si="44"/>
        <v>3703.8359999999952</v>
      </c>
      <c r="U194" s="66">
        <f t="shared" si="39"/>
        <v>3703.8359999999952</v>
      </c>
      <c r="V194" s="81">
        <f t="shared" si="40"/>
        <v>0</v>
      </c>
      <c r="W194" s="66">
        <f t="shared" si="41"/>
        <v>0</v>
      </c>
      <c r="X194" s="66">
        <f t="shared" si="42"/>
        <v>3703.8359999999952</v>
      </c>
    </row>
    <row r="195" spans="1:24" x14ac:dyDescent="0.25">
      <c r="A195">
        <f>+'Tablas Servicio'!B228</f>
        <v>16</v>
      </c>
      <c r="B195">
        <f>+'Tablas Servicio'!C228</f>
        <v>187</v>
      </c>
      <c r="C195" s="56">
        <f>+'Tablas Servicio'!D228</f>
        <v>55.603333333333779</v>
      </c>
      <c r="D195" s="58">
        <f>+'Tablas Servicio'!N228</f>
        <v>94</v>
      </c>
      <c r="E195" s="66">
        <f>+'Tablas Servicio'!AC228</f>
        <v>32.4</v>
      </c>
      <c r="F195" s="66">
        <f>+IF(A195="","",'Tablas Servicio'!O228-'Modelo Financiero'!E195)</f>
        <v>1.3500000000000014</v>
      </c>
      <c r="G195" s="58">
        <f t="shared" si="36"/>
        <v>23.112000000000002</v>
      </c>
      <c r="H195" s="66">
        <f>+'Tablas Servicio'!G228</f>
        <v>46.25</v>
      </c>
      <c r="I195" s="72">
        <f t="shared" si="37"/>
        <v>0.27027027027027029</v>
      </c>
      <c r="J195" s="66">
        <f t="shared" si="43"/>
        <v>12.5</v>
      </c>
      <c r="K195" s="66">
        <f>+'Tablas Servicio'!H228</f>
        <v>48.099999999999994</v>
      </c>
      <c r="L195" s="66">
        <f>+IF(A195="","",ROUND(H195*Parámetros!$D$100,2))</f>
        <v>5.4</v>
      </c>
      <c r="M195" s="58">
        <f>+IF(A195="","",IF(AND(A195=1,B195=1),Parámetros!$D$114*(D195*frec-$G$3-$H$3),IF(AND(A195=2,B195=frec+1),Parámetros!$D$115*(D195*frec-$G$4-$H$4),0)))</f>
        <v>0</v>
      </c>
      <c r="N195" s="58">
        <f>+IF(A195="","",IF(A195&gt;Parámetros!$D$117,0,ROUND('Modelo Financiero'!D195*Parámetros!$D$116,2)))</f>
        <v>0</v>
      </c>
      <c r="O195" s="58">
        <f t="shared" si="38"/>
        <v>0</v>
      </c>
      <c r="P195" s="66">
        <f>+'Tablas Servicio'!I228</f>
        <v>45.900000000000006</v>
      </c>
      <c r="Q195" s="66">
        <f>+'Tablas Servicio'!S228</f>
        <v>13332.45</v>
      </c>
      <c r="R195" s="66">
        <f>+'Tablas Servicio'!T228</f>
        <v>13332.45</v>
      </c>
      <c r="S195" s="66">
        <f t="shared" si="35"/>
        <v>23.137999999999998</v>
      </c>
      <c r="T195" s="66">
        <f t="shared" si="44"/>
        <v>3726.9739999999952</v>
      </c>
      <c r="U195" s="66">
        <f t="shared" si="39"/>
        <v>3726.9739999999952</v>
      </c>
      <c r="V195" s="81">
        <f t="shared" si="40"/>
        <v>0</v>
      </c>
      <c r="W195" s="66">
        <f t="shared" si="41"/>
        <v>0</v>
      </c>
      <c r="X195" s="66">
        <f t="shared" si="42"/>
        <v>3726.9739999999952</v>
      </c>
    </row>
    <row r="196" spans="1:24" x14ac:dyDescent="0.25">
      <c r="A196">
        <f>+'Tablas Servicio'!B229</f>
        <v>16</v>
      </c>
      <c r="B196">
        <f>+'Tablas Servicio'!C229</f>
        <v>188</v>
      </c>
      <c r="C196" s="56">
        <f>+'Tablas Servicio'!D229</f>
        <v>55.686666666667115</v>
      </c>
      <c r="D196" s="58">
        <f>+'Tablas Servicio'!N229</f>
        <v>94</v>
      </c>
      <c r="E196" s="66">
        <f>+'Tablas Servicio'!AC229</f>
        <v>32.4</v>
      </c>
      <c r="F196" s="66">
        <f>+IF(A196="","",'Tablas Servicio'!O229-'Modelo Financiero'!E196)</f>
        <v>1.3500000000000014</v>
      </c>
      <c r="G196" s="58">
        <f t="shared" si="36"/>
        <v>23.112000000000002</v>
      </c>
      <c r="H196" s="66">
        <f>+'Tablas Servicio'!G229</f>
        <v>46.25</v>
      </c>
      <c r="I196" s="72">
        <f t="shared" si="37"/>
        <v>0.27027027027027029</v>
      </c>
      <c r="J196" s="66">
        <f t="shared" si="43"/>
        <v>12.5</v>
      </c>
      <c r="K196" s="66">
        <f>+'Tablas Servicio'!H229</f>
        <v>48.099999999999994</v>
      </c>
      <c r="L196" s="66">
        <f>+IF(A196="","",ROUND(H196*Parámetros!$D$100,2))</f>
        <v>5.4</v>
      </c>
      <c r="M196" s="58">
        <f>+IF(A196="","",IF(AND(A196=1,B196=1),Parámetros!$D$114*(D196*frec-$G$3-$H$3),IF(AND(A196=2,B196=frec+1),Parámetros!$D$115*(D196*frec-$G$4-$H$4),0)))</f>
        <v>0</v>
      </c>
      <c r="N196" s="58">
        <f>+IF(A196="","",IF(A196&gt;Parámetros!$D$117,0,ROUND('Modelo Financiero'!D196*Parámetros!$D$116,2)))</f>
        <v>0</v>
      </c>
      <c r="O196" s="58">
        <f t="shared" si="38"/>
        <v>0</v>
      </c>
      <c r="P196" s="66">
        <f>+'Tablas Servicio'!I229</f>
        <v>45.900000000000006</v>
      </c>
      <c r="Q196" s="66">
        <f>+'Tablas Servicio'!S229</f>
        <v>13416.3</v>
      </c>
      <c r="R196" s="66">
        <f>+'Tablas Servicio'!T229</f>
        <v>13416.3</v>
      </c>
      <c r="S196" s="66">
        <f t="shared" si="35"/>
        <v>23.137999999999998</v>
      </c>
      <c r="T196" s="66">
        <f t="shared" si="44"/>
        <v>3750.1119999999951</v>
      </c>
      <c r="U196" s="66">
        <f t="shared" si="39"/>
        <v>3750.1119999999951</v>
      </c>
      <c r="V196" s="81">
        <f t="shared" si="40"/>
        <v>0</v>
      </c>
      <c r="W196" s="66">
        <f t="shared" si="41"/>
        <v>0</v>
      </c>
      <c r="X196" s="66">
        <f t="shared" si="42"/>
        <v>3750.1119999999951</v>
      </c>
    </row>
    <row r="197" spans="1:24" x14ac:dyDescent="0.25">
      <c r="A197">
        <f>+'Tablas Servicio'!B230</f>
        <v>16</v>
      </c>
      <c r="B197">
        <f>+'Tablas Servicio'!C230</f>
        <v>189</v>
      </c>
      <c r="C197" s="56">
        <f>+'Tablas Servicio'!D230</f>
        <v>55.770000000000451</v>
      </c>
      <c r="D197" s="58">
        <f>+'Tablas Servicio'!N230</f>
        <v>94</v>
      </c>
      <c r="E197" s="66">
        <f>+'Tablas Servicio'!AC230</f>
        <v>32.4</v>
      </c>
      <c r="F197" s="66">
        <f>+IF(A197="","",'Tablas Servicio'!O230-'Modelo Financiero'!E197)</f>
        <v>1.3500000000000014</v>
      </c>
      <c r="G197" s="58">
        <f t="shared" si="36"/>
        <v>23.112000000000002</v>
      </c>
      <c r="H197" s="66">
        <f>+'Tablas Servicio'!G230</f>
        <v>46.25</v>
      </c>
      <c r="I197" s="72">
        <f t="shared" si="37"/>
        <v>0.27027027027027029</v>
      </c>
      <c r="J197" s="66">
        <f t="shared" si="43"/>
        <v>12.5</v>
      </c>
      <c r="K197" s="66">
        <f>+'Tablas Servicio'!H230</f>
        <v>48.099999999999994</v>
      </c>
      <c r="L197" s="66">
        <f>+IF(A197="","",ROUND(H197*Parámetros!$D$100,2))</f>
        <v>5.4</v>
      </c>
      <c r="M197" s="58">
        <f>+IF(A197="","",IF(AND(A197=1,B197=1),Parámetros!$D$114*(D197*frec-$G$3-$H$3),IF(AND(A197=2,B197=frec+1),Parámetros!$D$115*(D197*frec-$G$4-$H$4),0)))</f>
        <v>0</v>
      </c>
      <c r="N197" s="58">
        <f>+IF(A197="","",IF(A197&gt;Parámetros!$D$117,0,ROUND('Modelo Financiero'!D197*Parámetros!$D$116,2)))</f>
        <v>0</v>
      </c>
      <c r="O197" s="58">
        <f t="shared" si="38"/>
        <v>0</v>
      </c>
      <c r="P197" s="66">
        <f>+'Tablas Servicio'!I230</f>
        <v>45.900000000000006</v>
      </c>
      <c r="Q197" s="66">
        <f>+'Tablas Servicio'!S230</f>
        <v>13500.38</v>
      </c>
      <c r="R197" s="66">
        <f>+'Tablas Servicio'!T230</f>
        <v>13500.38</v>
      </c>
      <c r="S197" s="66">
        <f t="shared" si="35"/>
        <v>23.137999999999998</v>
      </c>
      <c r="T197" s="66">
        <f t="shared" si="44"/>
        <v>3773.249999999995</v>
      </c>
      <c r="U197" s="66">
        <f t="shared" si="39"/>
        <v>3773.249999999995</v>
      </c>
      <c r="V197" s="81">
        <f t="shared" si="40"/>
        <v>0</v>
      </c>
      <c r="W197" s="66">
        <f t="shared" si="41"/>
        <v>0</v>
      </c>
      <c r="X197" s="66">
        <f t="shared" si="42"/>
        <v>3773.249999999995</v>
      </c>
    </row>
    <row r="198" spans="1:24" x14ac:dyDescent="0.25">
      <c r="A198">
        <f>+'Tablas Servicio'!B231</f>
        <v>16</v>
      </c>
      <c r="B198">
        <f>+'Tablas Servicio'!C231</f>
        <v>190</v>
      </c>
      <c r="C198" s="56">
        <f>+'Tablas Servicio'!D231</f>
        <v>55.853333333333786</v>
      </c>
      <c r="D198" s="58">
        <f>+'Tablas Servicio'!N231</f>
        <v>94</v>
      </c>
      <c r="E198" s="66">
        <f>+'Tablas Servicio'!AC231</f>
        <v>32.4</v>
      </c>
      <c r="F198" s="66">
        <f>+IF(A198="","",'Tablas Servicio'!O231-'Modelo Financiero'!E198)</f>
        <v>1.3500000000000014</v>
      </c>
      <c r="G198" s="58">
        <f t="shared" si="36"/>
        <v>23.112000000000002</v>
      </c>
      <c r="H198" s="66">
        <f>+'Tablas Servicio'!G231</f>
        <v>46.25</v>
      </c>
      <c r="I198" s="72">
        <f t="shared" si="37"/>
        <v>0.27027027027027029</v>
      </c>
      <c r="J198" s="66">
        <f t="shared" si="43"/>
        <v>12.5</v>
      </c>
      <c r="K198" s="66">
        <f>+'Tablas Servicio'!H231</f>
        <v>48.099999999999994</v>
      </c>
      <c r="L198" s="66">
        <f>+IF(A198="","",ROUND(H198*Parámetros!$D$100,2))</f>
        <v>5.4</v>
      </c>
      <c r="M198" s="58">
        <f>+IF(A198="","",IF(AND(A198=1,B198=1),Parámetros!$D$114*(D198*frec-$G$3-$H$3),IF(AND(A198=2,B198=frec+1),Parámetros!$D$115*(D198*frec-$G$4-$H$4),0)))</f>
        <v>0</v>
      </c>
      <c r="N198" s="58">
        <f>+IF(A198="","",IF(A198&gt;Parámetros!$D$117,0,ROUND('Modelo Financiero'!D198*Parámetros!$D$116,2)))</f>
        <v>0</v>
      </c>
      <c r="O198" s="58">
        <f t="shared" si="38"/>
        <v>0</v>
      </c>
      <c r="P198" s="66">
        <f>+'Tablas Servicio'!I231</f>
        <v>45.900000000000006</v>
      </c>
      <c r="Q198" s="66">
        <f>+'Tablas Servicio'!S231</f>
        <v>13584.7</v>
      </c>
      <c r="R198" s="66">
        <f>+'Tablas Servicio'!T231</f>
        <v>13584.7</v>
      </c>
      <c r="S198" s="66">
        <f t="shared" si="35"/>
        <v>23.137999999999998</v>
      </c>
      <c r="T198" s="66">
        <f t="shared" si="44"/>
        <v>3796.3879999999949</v>
      </c>
      <c r="U198" s="66">
        <f t="shared" si="39"/>
        <v>3796.3879999999949</v>
      </c>
      <c r="V198" s="81">
        <f t="shared" si="40"/>
        <v>0</v>
      </c>
      <c r="W198" s="66">
        <f t="shared" si="41"/>
        <v>0</v>
      </c>
      <c r="X198" s="66">
        <f t="shared" si="42"/>
        <v>3796.3879999999949</v>
      </c>
    </row>
    <row r="199" spans="1:24" x14ac:dyDescent="0.25">
      <c r="A199">
        <f>+'Tablas Servicio'!B232</f>
        <v>16</v>
      </c>
      <c r="B199">
        <f>+'Tablas Servicio'!C232</f>
        <v>191</v>
      </c>
      <c r="C199" s="56">
        <f>+'Tablas Servicio'!D232</f>
        <v>55.936666666667122</v>
      </c>
      <c r="D199" s="58">
        <f>+'Tablas Servicio'!N232</f>
        <v>94</v>
      </c>
      <c r="E199" s="66">
        <f>+'Tablas Servicio'!AC232</f>
        <v>32.4</v>
      </c>
      <c r="F199" s="66">
        <f>+IF(A199="","",'Tablas Servicio'!O232-'Modelo Financiero'!E199)</f>
        <v>1.3500000000000014</v>
      </c>
      <c r="G199" s="58">
        <f t="shared" si="36"/>
        <v>23.112000000000002</v>
      </c>
      <c r="H199" s="66">
        <f>+'Tablas Servicio'!G232</f>
        <v>46.25</v>
      </c>
      <c r="I199" s="72">
        <f t="shared" si="37"/>
        <v>0.27027027027027029</v>
      </c>
      <c r="J199" s="66">
        <f t="shared" si="43"/>
        <v>12.5</v>
      </c>
      <c r="K199" s="66">
        <f>+'Tablas Servicio'!H232</f>
        <v>48.099999999999994</v>
      </c>
      <c r="L199" s="66">
        <f>+IF(A199="","",ROUND(H199*Parámetros!$D$100,2))</f>
        <v>5.4</v>
      </c>
      <c r="M199" s="58">
        <f>+IF(A199="","",IF(AND(A199=1,B199=1),Parámetros!$D$114*(D199*frec-$G$3-$H$3),IF(AND(A199=2,B199=frec+1),Parámetros!$D$115*(D199*frec-$G$4-$H$4),0)))</f>
        <v>0</v>
      </c>
      <c r="N199" s="58">
        <f>+IF(A199="","",IF(A199&gt;Parámetros!$D$117,0,ROUND('Modelo Financiero'!D199*Parámetros!$D$116,2)))</f>
        <v>0</v>
      </c>
      <c r="O199" s="58">
        <f t="shared" si="38"/>
        <v>0</v>
      </c>
      <c r="P199" s="66">
        <f>+'Tablas Servicio'!I232</f>
        <v>45.900000000000006</v>
      </c>
      <c r="Q199" s="66">
        <f>+'Tablas Servicio'!S232</f>
        <v>13669.26</v>
      </c>
      <c r="R199" s="66">
        <f>+'Tablas Servicio'!T232</f>
        <v>13669.26</v>
      </c>
      <c r="S199" s="66">
        <f t="shared" si="35"/>
        <v>23.137999999999998</v>
      </c>
      <c r="T199" s="66">
        <f t="shared" si="44"/>
        <v>3819.5259999999948</v>
      </c>
      <c r="U199" s="66">
        <f t="shared" si="39"/>
        <v>3819.5259999999948</v>
      </c>
      <c r="V199" s="81">
        <f t="shared" si="40"/>
        <v>0</v>
      </c>
      <c r="W199" s="66">
        <f t="shared" si="41"/>
        <v>0</v>
      </c>
      <c r="X199" s="66">
        <f t="shared" si="42"/>
        <v>3819.5259999999948</v>
      </c>
    </row>
    <row r="200" spans="1:24" x14ac:dyDescent="0.25">
      <c r="A200">
        <f>+'Tablas Servicio'!B233</f>
        <v>16</v>
      </c>
      <c r="B200">
        <f>+'Tablas Servicio'!C233</f>
        <v>192</v>
      </c>
      <c r="C200" s="56">
        <f>+'Tablas Servicio'!D233</f>
        <v>56.020000000000458</v>
      </c>
      <c r="D200" s="58">
        <f>+'Tablas Servicio'!N233</f>
        <v>94</v>
      </c>
      <c r="E200" s="66">
        <f>+'Tablas Servicio'!AC233</f>
        <v>32.4</v>
      </c>
      <c r="F200" s="66">
        <f>+IF(A200="","",'Tablas Servicio'!O233-'Modelo Financiero'!E200)</f>
        <v>1.3500000000000014</v>
      </c>
      <c r="G200" s="58">
        <f t="shared" si="36"/>
        <v>23.112000000000002</v>
      </c>
      <c r="H200" s="66">
        <f>+'Tablas Servicio'!G233</f>
        <v>46.25</v>
      </c>
      <c r="I200" s="72">
        <f t="shared" si="37"/>
        <v>0.27027027027027029</v>
      </c>
      <c r="J200" s="66">
        <f t="shared" si="43"/>
        <v>12.5</v>
      </c>
      <c r="K200" s="66">
        <f>+'Tablas Servicio'!H233</f>
        <v>48.099999999999994</v>
      </c>
      <c r="L200" s="66">
        <f>+IF(A200="","",ROUND(H200*Parámetros!$D$100,2))</f>
        <v>5.4</v>
      </c>
      <c r="M200" s="58">
        <f>+IF(A200="","",IF(AND(A200=1,B200=1),Parámetros!$D$114*(D200*frec-$G$3-$H$3),IF(AND(A200=2,B200=frec+1),Parámetros!$D$115*(D200*frec-$G$4-$H$4),0)))</f>
        <v>0</v>
      </c>
      <c r="N200" s="58">
        <f>+IF(A200="","",IF(A200&gt;Parámetros!$D$117,0,ROUND('Modelo Financiero'!D200*Parámetros!$D$116,2)))</f>
        <v>0</v>
      </c>
      <c r="O200" s="58">
        <f t="shared" si="38"/>
        <v>0</v>
      </c>
      <c r="P200" s="66">
        <f>+'Tablas Servicio'!I233</f>
        <v>45.900000000000006</v>
      </c>
      <c r="Q200" s="66">
        <f>+'Tablas Servicio'!S233</f>
        <v>13754.06</v>
      </c>
      <c r="R200" s="66">
        <f>+'Tablas Servicio'!T233</f>
        <v>13754.06</v>
      </c>
      <c r="S200" s="66">
        <f t="shared" si="35"/>
        <v>23.137999999999998</v>
      </c>
      <c r="T200" s="66">
        <f t="shared" si="44"/>
        <v>3842.6639999999948</v>
      </c>
      <c r="U200" s="66">
        <f t="shared" si="39"/>
        <v>3842.6639999999948</v>
      </c>
      <c r="V200" s="81">
        <f t="shared" si="40"/>
        <v>0</v>
      </c>
      <c r="W200" s="66">
        <f t="shared" si="41"/>
        <v>0</v>
      </c>
      <c r="X200" s="66">
        <f t="shared" si="42"/>
        <v>3842.6639999999948</v>
      </c>
    </row>
    <row r="201" spans="1:24" x14ac:dyDescent="0.25">
      <c r="A201">
        <f>+'Tablas Servicio'!B234</f>
        <v>17</v>
      </c>
      <c r="B201">
        <f>+'Tablas Servicio'!C234</f>
        <v>193</v>
      </c>
      <c r="C201" s="56">
        <f>+'Tablas Servicio'!D234</f>
        <v>56.103333333333794</v>
      </c>
      <c r="D201" s="58">
        <f>+'Tablas Servicio'!N234</f>
        <v>94</v>
      </c>
      <c r="E201" s="66">
        <f>+'Tablas Servicio'!AC234</f>
        <v>34.9</v>
      </c>
      <c r="F201" s="66">
        <f>+IF(A201="","",'Tablas Servicio'!O234-'Modelo Financiero'!E201)</f>
        <v>1.3500000000000014</v>
      </c>
      <c r="G201" s="58">
        <f t="shared" si="36"/>
        <v>24.812000000000001</v>
      </c>
      <c r="H201" s="66">
        <f>+'Tablas Servicio'!G234</f>
        <v>48.75</v>
      </c>
      <c r="I201" s="72">
        <f t="shared" si="37"/>
        <v>0.25641025641025639</v>
      </c>
      <c r="J201" s="66">
        <f t="shared" si="43"/>
        <v>12.5</v>
      </c>
      <c r="K201" s="66">
        <f>+'Tablas Servicio'!H234</f>
        <v>50.709999999999994</v>
      </c>
      <c r="L201" s="66">
        <f>+IF(A201="","",ROUND(H201*Parámetros!$D$100,2))</f>
        <v>5.69</v>
      </c>
      <c r="M201" s="58">
        <f>+IF(A201="","",IF(AND(A201=1,B201=1),Parámetros!$D$114*(D201*frec-$G$3-$H$3),IF(AND(A201=2,B201=frec+1),Parámetros!$D$115*(D201*frec-$G$4-$H$4),0)))</f>
        <v>0</v>
      </c>
      <c r="N201" s="58">
        <f>+IF(A201="","",IF(A201&gt;Parámetros!$D$117,0,ROUND('Modelo Financiero'!D201*Parámetros!$D$116,2)))</f>
        <v>0</v>
      </c>
      <c r="O201" s="58">
        <f t="shared" si="38"/>
        <v>0</v>
      </c>
      <c r="P201" s="66">
        <f>+'Tablas Servicio'!I234</f>
        <v>43.290000000000006</v>
      </c>
      <c r="Q201" s="66">
        <f>+'Tablas Servicio'!S234</f>
        <v>13836.49</v>
      </c>
      <c r="R201" s="66">
        <f>+'Tablas Servicio'!T234</f>
        <v>13836.49</v>
      </c>
      <c r="S201" s="66">
        <f t="shared" ref="S201:S264" si="45">+IF(A201="","",D201-P201-G201-(K201-H201)-M201)</f>
        <v>23.937999999999999</v>
      </c>
      <c r="T201" s="66">
        <f t="shared" si="44"/>
        <v>3866.6019999999949</v>
      </c>
      <c r="U201" s="66">
        <f t="shared" si="39"/>
        <v>3866.6019999999949</v>
      </c>
      <c r="V201" s="81">
        <f t="shared" si="40"/>
        <v>0</v>
      </c>
      <c r="W201" s="66">
        <f t="shared" si="41"/>
        <v>0</v>
      </c>
      <c r="X201" s="66">
        <f t="shared" si="42"/>
        <v>3866.6019999999949</v>
      </c>
    </row>
    <row r="202" spans="1:24" x14ac:dyDescent="0.25">
      <c r="A202">
        <f>+'Tablas Servicio'!B235</f>
        <v>17</v>
      </c>
      <c r="B202">
        <f>+'Tablas Servicio'!C235</f>
        <v>194</v>
      </c>
      <c r="C202" s="56">
        <f>+'Tablas Servicio'!D235</f>
        <v>56.186666666667129</v>
      </c>
      <c r="D202" s="58">
        <f>+'Tablas Servicio'!N235</f>
        <v>94</v>
      </c>
      <c r="E202" s="66">
        <f>+'Tablas Servicio'!AC235</f>
        <v>34.9</v>
      </c>
      <c r="F202" s="66">
        <f>+IF(A202="","",'Tablas Servicio'!O235-'Modelo Financiero'!E202)</f>
        <v>1.3500000000000014</v>
      </c>
      <c r="G202" s="58">
        <f t="shared" ref="G202:G265" si="46">+IF(A202="","",IF(A202=1,$C$3,$C$4)*E202+$C$2*F202)</f>
        <v>24.812000000000001</v>
      </c>
      <c r="H202" s="66">
        <f>+'Tablas Servicio'!G235</f>
        <v>48.75</v>
      </c>
      <c r="I202" s="72">
        <f t="shared" ref="I202:I265" si="47">IF(A202="","",1-(E202+F202)/H202)</f>
        <v>0.25641025641025639</v>
      </c>
      <c r="J202" s="66">
        <f t="shared" ref="J202:J265" si="48">+IF(A202="","",H202-E202-F202)</f>
        <v>12.5</v>
      </c>
      <c r="K202" s="66">
        <f>+'Tablas Servicio'!H235</f>
        <v>50.709999999999994</v>
      </c>
      <c r="L202" s="66">
        <f>+IF(A202="","",ROUND(H202*Parámetros!$D$100,2))</f>
        <v>5.69</v>
      </c>
      <c r="M202" s="58">
        <f>+IF(A202="","",IF(AND(A202=1,B202=1),Parámetros!$D$114*(D202*frec-$G$3-$H$3),IF(AND(A202=2,B202=frec+1),Parámetros!$D$115*(D202*frec-$G$4-$H$4),0)))</f>
        <v>0</v>
      </c>
      <c r="N202" s="58">
        <f>+IF(A202="","",IF(A202&gt;Parámetros!$D$117,0,ROUND('Modelo Financiero'!D202*Parámetros!$D$116,2)))</f>
        <v>0</v>
      </c>
      <c r="O202" s="58">
        <f t="shared" ref="O202:O265" si="49">+IF(A202="","",MAX(N202-L202,0))</f>
        <v>0</v>
      </c>
      <c r="P202" s="66">
        <f>+'Tablas Servicio'!I235</f>
        <v>43.290000000000006</v>
      </c>
      <c r="Q202" s="66">
        <f>+'Tablas Servicio'!S235</f>
        <v>13919.15</v>
      </c>
      <c r="R202" s="66">
        <f>+'Tablas Servicio'!T235</f>
        <v>13919.15</v>
      </c>
      <c r="S202" s="66">
        <f t="shared" si="45"/>
        <v>23.937999999999999</v>
      </c>
      <c r="T202" s="66">
        <f t="shared" si="44"/>
        <v>3890.539999999995</v>
      </c>
      <c r="U202" s="66">
        <f t="shared" ref="U202:U265" si="50">+IF(A202="","",T202+(Q202-R202))</f>
        <v>3890.539999999995</v>
      </c>
      <c r="V202" s="81">
        <f t="shared" ref="V202:V265" si="51">+IF(A202="","",IF(A202=1,$L$3,IF(A202=2,$L$4,0)))</f>
        <v>0</v>
      </c>
      <c r="W202" s="66">
        <f t="shared" ref="W202:W265" si="52">+IF(A202="","",IF(A202=1,$I$3,IF(A202=2,$I$4,0))*V202)</f>
        <v>0</v>
      </c>
      <c r="X202" s="66">
        <f t="shared" ref="X202:X265" si="53">+IF(A202="","",U202+W202)</f>
        <v>3890.539999999995</v>
      </c>
    </row>
    <row r="203" spans="1:24" x14ac:dyDescent="0.25">
      <c r="A203">
        <f>+'Tablas Servicio'!B236</f>
        <v>17</v>
      </c>
      <c r="B203">
        <f>+'Tablas Servicio'!C236</f>
        <v>195</v>
      </c>
      <c r="C203" s="56">
        <f>+'Tablas Servicio'!D236</f>
        <v>56.270000000000465</v>
      </c>
      <c r="D203" s="58">
        <f>+'Tablas Servicio'!N236</f>
        <v>94</v>
      </c>
      <c r="E203" s="66">
        <f>+'Tablas Servicio'!AC236</f>
        <v>34.9</v>
      </c>
      <c r="F203" s="66">
        <f>+IF(A203="","",'Tablas Servicio'!O236-'Modelo Financiero'!E203)</f>
        <v>1.3500000000000014</v>
      </c>
      <c r="G203" s="58">
        <f t="shared" si="46"/>
        <v>24.812000000000001</v>
      </c>
      <c r="H203" s="66">
        <f>+'Tablas Servicio'!G236</f>
        <v>48.75</v>
      </c>
      <c r="I203" s="72">
        <f t="shared" si="47"/>
        <v>0.25641025641025639</v>
      </c>
      <c r="J203" s="66">
        <f t="shared" si="48"/>
        <v>12.5</v>
      </c>
      <c r="K203" s="66">
        <f>+'Tablas Servicio'!H236</f>
        <v>50.709999999999994</v>
      </c>
      <c r="L203" s="66">
        <f>+IF(A203="","",ROUND(H203*Parámetros!$D$100,2))</f>
        <v>5.69</v>
      </c>
      <c r="M203" s="58">
        <f>+IF(A203="","",IF(AND(A203=1,B203=1),Parámetros!$D$114*(D203*frec-$G$3-$H$3),IF(AND(A203=2,B203=frec+1),Parámetros!$D$115*(D203*frec-$G$4-$H$4),0)))</f>
        <v>0</v>
      </c>
      <c r="N203" s="58">
        <f>+IF(A203="","",IF(A203&gt;Parámetros!$D$117,0,ROUND('Modelo Financiero'!D203*Parámetros!$D$116,2)))</f>
        <v>0</v>
      </c>
      <c r="O203" s="58">
        <f t="shared" si="49"/>
        <v>0</v>
      </c>
      <c r="P203" s="66">
        <f>+'Tablas Servicio'!I236</f>
        <v>43.290000000000006</v>
      </c>
      <c r="Q203" s="66">
        <f>+'Tablas Servicio'!S236</f>
        <v>14002.04</v>
      </c>
      <c r="R203" s="66">
        <f>+'Tablas Servicio'!T236</f>
        <v>14002.04</v>
      </c>
      <c r="S203" s="66">
        <f t="shared" si="45"/>
        <v>23.937999999999999</v>
      </c>
      <c r="T203" s="66">
        <f t="shared" ref="T203:T266" si="54">+IF(A203="","",T202+S203)</f>
        <v>3914.4779999999951</v>
      </c>
      <c r="U203" s="66">
        <f t="shared" si="50"/>
        <v>3914.4779999999951</v>
      </c>
      <c r="V203" s="81">
        <f t="shared" si="51"/>
        <v>0</v>
      </c>
      <c r="W203" s="66">
        <f t="shared" si="52"/>
        <v>0</v>
      </c>
      <c r="X203" s="66">
        <f t="shared" si="53"/>
        <v>3914.4779999999951</v>
      </c>
    </row>
    <row r="204" spans="1:24" x14ac:dyDescent="0.25">
      <c r="A204">
        <f>+'Tablas Servicio'!B237</f>
        <v>17</v>
      </c>
      <c r="B204">
        <f>+'Tablas Servicio'!C237</f>
        <v>196</v>
      </c>
      <c r="C204" s="56">
        <f>+'Tablas Servicio'!D237</f>
        <v>56.353333333333801</v>
      </c>
      <c r="D204" s="58">
        <f>+'Tablas Servicio'!N237</f>
        <v>94</v>
      </c>
      <c r="E204" s="66">
        <f>+'Tablas Servicio'!AC237</f>
        <v>34.9</v>
      </c>
      <c r="F204" s="66">
        <f>+IF(A204="","",'Tablas Servicio'!O237-'Modelo Financiero'!E204)</f>
        <v>1.3500000000000014</v>
      </c>
      <c r="G204" s="58">
        <f t="shared" si="46"/>
        <v>24.812000000000001</v>
      </c>
      <c r="H204" s="66">
        <f>+'Tablas Servicio'!G237</f>
        <v>48.75</v>
      </c>
      <c r="I204" s="72">
        <f t="shared" si="47"/>
        <v>0.25641025641025639</v>
      </c>
      <c r="J204" s="66">
        <f t="shared" si="48"/>
        <v>12.5</v>
      </c>
      <c r="K204" s="66">
        <f>+'Tablas Servicio'!H237</f>
        <v>50.709999999999994</v>
      </c>
      <c r="L204" s="66">
        <f>+IF(A204="","",ROUND(H204*Parámetros!$D$100,2))</f>
        <v>5.69</v>
      </c>
      <c r="M204" s="58">
        <f>+IF(A204="","",IF(AND(A204=1,B204=1),Parámetros!$D$114*(D204*frec-$G$3-$H$3),IF(AND(A204=2,B204=frec+1),Parámetros!$D$115*(D204*frec-$G$4-$H$4),0)))</f>
        <v>0</v>
      </c>
      <c r="N204" s="58">
        <f>+IF(A204="","",IF(A204&gt;Parámetros!$D$117,0,ROUND('Modelo Financiero'!D204*Parámetros!$D$116,2)))</f>
        <v>0</v>
      </c>
      <c r="O204" s="58">
        <f t="shared" si="49"/>
        <v>0</v>
      </c>
      <c r="P204" s="66">
        <f>+'Tablas Servicio'!I237</f>
        <v>43.290000000000006</v>
      </c>
      <c r="Q204" s="66">
        <f>+'Tablas Servicio'!S237</f>
        <v>14085.17</v>
      </c>
      <c r="R204" s="66">
        <f>+'Tablas Servicio'!T237</f>
        <v>14085.17</v>
      </c>
      <c r="S204" s="66">
        <f t="shared" si="45"/>
        <v>23.937999999999999</v>
      </c>
      <c r="T204" s="66">
        <f t="shared" si="54"/>
        <v>3938.4159999999952</v>
      </c>
      <c r="U204" s="66">
        <f t="shared" si="50"/>
        <v>3938.4159999999952</v>
      </c>
      <c r="V204" s="81">
        <f t="shared" si="51"/>
        <v>0</v>
      </c>
      <c r="W204" s="66">
        <f t="shared" si="52"/>
        <v>0</v>
      </c>
      <c r="X204" s="66">
        <f t="shared" si="53"/>
        <v>3938.4159999999952</v>
      </c>
    </row>
    <row r="205" spans="1:24" x14ac:dyDescent="0.25">
      <c r="A205">
        <f>+'Tablas Servicio'!B238</f>
        <v>17</v>
      </c>
      <c r="B205">
        <f>+'Tablas Servicio'!C238</f>
        <v>197</v>
      </c>
      <c r="C205" s="56">
        <f>+'Tablas Servicio'!D238</f>
        <v>56.436666666667136</v>
      </c>
      <c r="D205" s="58">
        <f>+'Tablas Servicio'!N238</f>
        <v>94</v>
      </c>
      <c r="E205" s="66">
        <f>+'Tablas Servicio'!AC238</f>
        <v>34.9</v>
      </c>
      <c r="F205" s="66">
        <f>+IF(A205="","",'Tablas Servicio'!O238-'Modelo Financiero'!E205)</f>
        <v>1.3500000000000014</v>
      </c>
      <c r="G205" s="58">
        <f t="shared" si="46"/>
        <v>24.812000000000001</v>
      </c>
      <c r="H205" s="66">
        <f>+'Tablas Servicio'!G238</f>
        <v>48.75</v>
      </c>
      <c r="I205" s="72">
        <f t="shared" si="47"/>
        <v>0.25641025641025639</v>
      </c>
      <c r="J205" s="66">
        <f t="shared" si="48"/>
        <v>12.5</v>
      </c>
      <c r="K205" s="66">
        <f>+'Tablas Servicio'!H238</f>
        <v>50.709999999999994</v>
      </c>
      <c r="L205" s="66">
        <f>+IF(A205="","",ROUND(H205*Parámetros!$D$100,2))</f>
        <v>5.69</v>
      </c>
      <c r="M205" s="58">
        <f>+IF(A205="","",IF(AND(A205=1,B205=1),Parámetros!$D$114*(D205*frec-$G$3-$H$3),IF(AND(A205=2,B205=frec+1),Parámetros!$D$115*(D205*frec-$G$4-$H$4),0)))</f>
        <v>0</v>
      </c>
      <c r="N205" s="58">
        <f>+IF(A205="","",IF(A205&gt;Parámetros!$D$117,0,ROUND('Modelo Financiero'!D205*Parámetros!$D$116,2)))</f>
        <v>0</v>
      </c>
      <c r="O205" s="58">
        <f t="shared" si="49"/>
        <v>0</v>
      </c>
      <c r="P205" s="66">
        <f>+'Tablas Servicio'!I238</f>
        <v>43.290000000000006</v>
      </c>
      <c r="Q205" s="66">
        <f>+'Tablas Servicio'!S238</f>
        <v>14168.53</v>
      </c>
      <c r="R205" s="66">
        <f>+'Tablas Servicio'!T238</f>
        <v>14168.53</v>
      </c>
      <c r="S205" s="66">
        <f t="shared" si="45"/>
        <v>23.937999999999999</v>
      </c>
      <c r="T205" s="66">
        <f t="shared" si="54"/>
        <v>3962.3539999999953</v>
      </c>
      <c r="U205" s="66">
        <f t="shared" si="50"/>
        <v>3962.3539999999953</v>
      </c>
      <c r="V205" s="81">
        <f t="shared" si="51"/>
        <v>0</v>
      </c>
      <c r="W205" s="66">
        <f t="shared" si="52"/>
        <v>0</v>
      </c>
      <c r="X205" s="66">
        <f t="shared" si="53"/>
        <v>3962.3539999999953</v>
      </c>
    </row>
    <row r="206" spans="1:24" x14ac:dyDescent="0.25">
      <c r="A206">
        <f>+'Tablas Servicio'!B239</f>
        <v>17</v>
      </c>
      <c r="B206">
        <f>+'Tablas Servicio'!C239</f>
        <v>198</v>
      </c>
      <c r="C206" s="56">
        <f>+'Tablas Servicio'!D239</f>
        <v>56.520000000000472</v>
      </c>
      <c r="D206" s="58">
        <f>+'Tablas Servicio'!N239</f>
        <v>94</v>
      </c>
      <c r="E206" s="66">
        <f>+'Tablas Servicio'!AC239</f>
        <v>34.9</v>
      </c>
      <c r="F206" s="66">
        <f>+IF(A206="","",'Tablas Servicio'!O239-'Modelo Financiero'!E206)</f>
        <v>1.3500000000000014</v>
      </c>
      <c r="G206" s="58">
        <f t="shared" si="46"/>
        <v>24.812000000000001</v>
      </c>
      <c r="H206" s="66">
        <f>+'Tablas Servicio'!G239</f>
        <v>48.75</v>
      </c>
      <c r="I206" s="72">
        <f t="shared" si="47"/>
        <v>0.25641025641025639</v>
      </c>
      <c r="J206" s="66">
        <f t="shared" si="48"/>
        <v>12.5</v>
      </c>
      <c r="K206" s="66">
        <f>+'Tablas Servicio'!H239</f>
        <v>50.709999999999994</v>
      </c>
      <c r="L206" s="66">
        <f>+IF(A206="","",ROUND(H206*Parámetros!$D$100,2))</f>
        <v>5.69</v>
      </c>
      <c r="M206" s="58">
        <f>+IF(A206="","",IF(AND(A206=1,B206=1),Parámetros!$D$114*(D206*frec-$G$3-$H$3),IF(AND(A206=2,B206=frec+1),Parámetros!$D$115*(D206*frec-$G$4-$H$4),0)))</f>
        <v>0</v>
      </c>
      <c r="N206" s="58">
        <f>+IF(A206="","",IF(A206&gt;Parámetros!$D$117,0,ROUND('Modelo Financiero'!D206*Parámetros!$D$116,2)))</f>
        <v>0</v>
      </c>
      <c r="O206" s="58">
        <f t="shared" si="49"/>
        <v>0</v>
      </c>
      <c r="P206" s="66">
        <f>+'Tablas Servicio'!I239</f>
        <v>43.290000000000006</v>
      </c>
      <c r="Q206" s="66">
        <f>+'Tablas Servicio'!S239</f>
        <v>14252.13</v>
      </c>
      <c r="R206" s="66">
        <f>+'Tablas Servicio'!T239</f>
        <v>14252.13</v>
      </c>
      <c r="S206" s="66">
        <f t="shared" si="45"/>
        <v>23.937999999999999</v>
      </c>
      <c r="T206" s="66">
        <f t="shared" si="54"/>
        <v>3986.2919999999954</v>
      </c>
      <c r="U206" s="66">
        <f t="shared" si="50"/>
        <v>3986.2919999999954</v>
      </c>
      <c r="V206" s="81">
        <f t="shared" si="51"/>
        <v>0</v>
      </c>
      <c r="W206" s="66">
        <f t="shared" si="52"/>
        <v>0</v>
      </c>
      <c r="X206" s="66">
        <f t="shared" si="53"/>
        <v>3986.2919999999954</v>
      </c>
    </row>
    <row r="207" spans="1:24" x14ac:dyDescent="0.25">
      <c r="A207">
        <f>+'Tablas Servicio'!B240</f>
        <v>17</v>
      </c>
      <c r="B207">
        <f>+'Tablas Servicio'!C240</f>
        <v>199</v>
      </c>
      <c r="C207" s="56">
        <f>+'Tablas Servicio'!D240</f>
        <v>56.603333333333808</v>
      </c>
      <c r="D207" s="58">
        <f>+'Tablas Servicio'!N240</f>
        <v>94</v>
      </c>
      <c r="E207" s="66">
        <f>+'Tablas Servicio'!AC240</f>
        <v>34.9</v>
      </c>
      <c r="F207" s="66">
        <f>+IF(A207="","",'Tablas Servicio'!O240-'Modelo Financiero'!E207)</f>
        <v>1.3500000000000014</v>
      </c>
      <c r="G207" s="58">
        <f t="shared" si="46"/>
        <v>24.812000000000001</v>
      </c>
      <c r="H207" s="66">
        <f>+'Tablas Servicio'!G240</f>
        <v>48.75</v>
      </c>
      <c r="I207" s="72">
        <f t="shared" si="47"/>
        <v>0.25641025641025639</v>
      </c>
      <c r="J207" s="66">
        <f t="shared" si="48"/>
        <v>12.5</v>
      </c>
      <c r="K207" s="66">
        <f>+'Tablas Servicio'!H240</f>
        <v>50.709999999999994</v>
      </c>
      <c r="L207" s="66">
        <f>+IF(A207="","",ROUND(H207*Parámetros!$D$100,2))</f>
        <v>5.69</v>
      </c>
      <c r="M207" s="58">
        <f>+IF(A207="","",IF(AND(A207=1,B207=1),Parámetros!$D$114*(D207*frec-$G$3-$H$3),IF(AND(A207=2,B207=frec+1),Parámetros!$D$115*(D207*frec-$G$4-$H$4),0)))</f>
        <v>0</v>
      </c>
      <c r="N207" s="58">
        <f>+IF(A207="","",IF(A207&gt;Parámetros!$D$117,0,ROUND('Modelo Financiero'!D207*Parámetros!$D$116,2)))</f>
        <v>0</v>
      </c>
      <c r="O207" s="58">
        <f t="shared" si="49"/>
        <v>0</v>
      </c>
      <c r="P207" s="66">
        <f>+'Tablas Servicio'!I240</f>
        <v>43.290000000000006</v>
      </c>
      <c r="Q207" s="66">
        <f>+'Tablas Servicio'!S240</f>
        <v>14335.97</v>
      </c>
      <c r="R207" s="66">
        <f>+'Tablas Servicio'!T240</f>
        <v>14335.97</v>
      </c>
      <c r="S207" s="66">
        <f t="shared" si="45"/>
        <v>23.937999999999999</v>
      </c>
      <c r="T207" s="66">
        <f t="shared" si="54"/>
        <v>4010.2299999999955</v>
      </c>
      <c r="U207" s="66">
        <f t="shared" si="50"/>
        <v>4010.2299999999955</v>
      </c>
      <c r="V207" s="81">
        <f t="shared" si="51"/>
        <v>0</v>
      </c>
      <c r="W207" s="66">
        <f t="shared" si="52"/>
        <v>0</v>
      </c>
      <c r="X207" s="66">
        <f t="shared" si="53"/>
        <v>4010.2299999999955</v>
      </c>
    </row>
    <row r="208" spans="1:24" x14ac:dyDescent="0.25">
      <c r="A208">
        <f>+'Tablas Servicio'!B241</f>
        <v>17</v>
      </c>
      <c r="B208">
        <f>+'Tablas Servicio'!C241</f>
        <v>200</v>
      </c>
      <c r="C208" s="56">
        <f>+'Tablas Servicio'!D241</f>
        <v>56.686666666667143</v>
      </c>
      <c r="D208" s="58">
        <f>+'Tablas Servicio'!N241</f>
        <v>94</v>
      </c>
      <c r="E208" s="66">
        <f>+'Tablas Servicio'!AC241</f>
        <v>34.9</v>
      </c>
      <c r="F208" s="66">
        <f>+IF(A208="","",'Tablas Servicio'!O241-'Modelo Financiero'!E208)</f>
        <v>1.3500000000000014</v>
      </c>
      <c r="G208" s="58">
        <f t="shared" si="46"/>
        <v>24.812000000000001</v>
      </c>
      <c r="H208" s="66">
        <f>+'Tablas Servicio'!G241</f>
        <v>48.75</v>
      </c>
      <c r="I208" s="72">
        <f t="shared" si="47"/>
        <v>0.25641025641025639</v>
      </c>
      <c r="J208" s="66">
        <f t="shared" si="48"/>
        <v>12.5</v>
      </c>
      <c r="K208" s="66">
        <f>+'Tablas Servicio'!H241</f>
        <v>50.709999999999994</v>
      </c>
      <c r="L208" s="66">
        <f>+IF(A208="","",ROUND(H208*Parámetros!$D$100,2))</f>
        <v>5.69</v>
      </c>
      <c r="M208" s="58">
        <f>+IF(A208="","",IF(AND(A208=1,B208=1),Parámetros!$D$114*(D208*frec-$G$3-$H$3),IF(AND(A208=2,B208=frec+1),Parámetros!$D$115*(D208*frec-$G$4-$H$4),0)))</f>
        <v>0</v>
      </c>
      <c r="N208" s="58">
        <f>+IF(A208="","",IF(A208&gt;Parámetros!$D$117,0,ROUND('Modelo Financiero'!D208*Parámetros!$D$116,2)))</f>
        <v>0</v>
      </c>
      <c r="O208" s="58">
        <f t="shared" si="49"/>
        <v>0</v>
      </c>
      <c r="P208" s="66">
        <f>+'Tablas Servicio'!I241</f>
        <v>43.290000000000006</v>
      </c>
      <c r="Q208" s="66">
        <f>+'Tablas Servicio'!S241</f>
        <v>14420.05</v>
      </c>
      <c r="R208" s="66">
        <f>+'Tablas Servicio'!T241</f>
        <v>14420.05</v>
      </c>
      <c r="S208" s="66">
        <f t="shared" si="45"/>
        <v>23.937999999999999</v>
      </c>
      <c r="T208" s="66">
        <f t="shared" si="54"/>
        <v>4034.1679999999956</v>
      </c>
      <c r="U208" s="66">
        <f t="shared" si="50"/>
        <v>4034.1679999999956</v>
      </c>
      <c r="V208" s="81">
        <f t="shared" si="51"/>
        <v>0</v>
      </c>
      <c r="W208" s="66">
        <f t="shared" si="52"/>
        <v>0</v>
      </c>
      <c r="X208" s="66">
        <f t="shared" si="53"/>
        <v>4034.1679999999956</v>
      </c>
    </row>
    <row r="209" spans="1:24" x14ac:dyDescent="0.25">
      <c r="A209">
        <f>+'Tablas Servicio'!B242</f>
        <v>17</v>
      </c>
      <c r="B209">
        <f>+'Tablas Servicio'!C242</f>
        <v>201</v>
      </c>
      <c r="C209" s="56">
        <f>+'Tablas Servicio'!D242</f>
        <v>56.770000000000479</v>
      </c>
      <c r="D209" s="58">
        <f>+'Tablas Servicio'!N242</f>
        <v>94</v>
      </c>
      <c r="E209" s="66">
        <f>+'Tablas Servicio'!AC242</f>
        <v>34.9</v>
      </c>
      <c r="F209" s="66">
        <f>+IF(A209="","",'Tablas Servicio'!O242-'Modelo Financiero'!E209)</f>
        <v>1.3500000000000014</v>
      </c>
      <c r="G209" s="58">
        <f t="shared" si="46"/>
        <v>24.812000000000001</v>
      </c>
      <c r="H209" s="66">
        <f>+'Tablas Servicio'!G242</f>
        <v>48.75</v>
      </c>
      <c r="I209" s="72">
        <f t="shared" si="47"/>
        <v>0.25641025641025639</v>
      </c>
      <c r="J209" s="66">
        <f t="shared" si="48"/>
        <v>12.5</v>
      </c>
      <c r="K209" s="66">
        <f>+'Tablas Servicio'!H242</f>
        <v>50.709999999999994</v>
      </c>
      <c r="L209" s="66">
        <f>+IF(A209="","",ROUND(H209*Parámetros!$D$100,2))</f>
        <v>5.69</v>
      </c>
      <c r="M209" s="58">
        <f>+IF(A209="","",IF(AND(A209=1,B209=1),Parámetros!$D$114*(D209*frec-$G$3-$H$3),IF(AND(A209=2,B209=frec+1),Parámetros!$D$115*(D209*frec-$G$4-$H$4),0)))</f>
        <v>0</v>
      </c>
      <c r="N209" s="58">
        <f>+IF(A209="","",IF(A209&gt;Parámetros!$D$117,0,ROUND('Modelo Financiero'!D209*Parámetros!$D$116,2)))</f>
        <v>0</v>
      </c>
      <c r="O209" s="58">
        <f t="shared" si="49"/>
        <v>0</v>
      </c>
      <c r="P209" s="66">
        <f>+'Tablas Servicio'!I242</f>
        <v>43.290000000000006</v>
      </c>
      <c r="Q209" s="66">
        <f>+'Tablas Servicio'!S242</f>
        <v>14504.36</v>
      </c>
      <c r="R209" s="66">
        <f>+'Tablas Servicio'!T242</f>
        <v>14504.36</v>
      </c>
      <c r="S209" s="66">
        <f t="shared" si="45"/>
        <v>23.937999999999999</v>
      </c>
      <c r="T209" s="66">
        <f t="shared" si="54"/>
        <v>4058.1059999999957</v>
      </c>
      <c r="U209" s="66">
        <f t="shared" si="50"/>
        <v>4058.1059999999957</v>
      </c>
      <c r="V209" s="81">
        <f t="shared" si="51"/>
        <v>0</v>
      </c>
      <c r="W209" s="66">
        <f t="shared" si="52"/>
        <v>0</v>
      </c>
      <c r="X209" s="66">
        <f t="shared" si="53"/>
        <v>4058.1059999999957</v>
      </c>
    </row>
    <row r="210" spans="1:24" x14ac:dyDescent="0.25">
      <c r="A210">
        <f>+'Tablas Servicio'!B243</f>
        <v>17</v>
      </c>
      <c r="B210">
        <f>+'Tablas Servicio'!C243</f>
        <v>202</v>
      </c>
      <c r="C210" s="56">
        <f>+'Tablas Servicio'!D243</f>
        <v>56.853333333333815</v>
      </c>
      <c r="D210" s="58">
        <f>+'Tablas Servicio'!N243</f>
        <v>94</v>
      </c>
      <c r="E210" s="66">
        <f>+'Tablas Servicio'!AC243</f>
        <v>34.9</v>
      </c>
      <c r="F210" s="66">
        <f>+IF(A210="","",'Tablas Servicio'!O243-'Modelo Financiero'!E210)</f>
        <v>1.3500000000000014</v>
      </c>
      <c r="G210" s="58">
        <f t="shared" si="46"/>
        <v>24.812000000000001</v>
      </c>
      <c r="H210" s="66">
        <f>+'Tablas Servicio'!G243</f>
        <v>48.75</v>
      </c>
      <c r="I210" s="72">
        <f t="shared" si="47"/>
        <v>0.25641025641025639</v>
      </c>
      <c r="J210" s="66">
        <f t="shared" si="48"/>
        <v>12.5</v>
      </c>
      <c r="K210" s="66">
        <f>+'Tablas Servicio'!H243</f>
        <v>50.709999999999994</v>
      </c>
      <c r="L210" s="66">
        <f>+IF(A210="","",ROUND(H210*Parámetros!$D$100,2))</f>
        <v>5.69</v>
      </c>
      <c r="M210" s="58">
        <f>+IF(A210="","",IF(AND(A210=1,B210=1),Parámetros!$D$114*(D210*frec-$G$3-$H$3),IF(AND(A210=2,B210=frec+1),Parámetros!$D$115*(D210*frec-$G$4-$H$4),0)))</f>
        <v>0</v>
      </c>
      <c r="N210" s="58">
        <f>+IF(A210="","",IF(A210&gt;Parámetros!$D$117,0,ROUND('Modelo Financiero'!D210*Parámetros!$D$116,2)))</f>
        <v>0</v>
      </c>
      <c r="O210" s="58">
        <f t="shared" si="49"/>
        <v>0</v>
      </c>
      <c r="P210" s="66">
        <f>+'Tablas Servicio'!I243</f>
        <v>43.290000000000006</v>
      </c>
      <c r="Q210" s="66">
        <f>+'Tablas Servicio'!S243</f>
        <v>14588.91</v>
      </c>
      <c r="R210" s="66">
        <f>+'Tablas Servicio'!T243</f>
        <v>14588.91</v>
      </c>
      <c r="S210" s="66">
        <f t="shared" si="45"/>
        <v>23.937999999999999</v>
      </c>
      <c r="T210" s="66">
        <f t="shared" si="54"/>
        <v>4082.0439999999958</v>
      </c>
      <c r="U210" s="66">
        <f t="shared" si="50"/>
        <v>4082.0439999999958</v>
      </c>
      <c r="V210" s="81">
        <f t="shared" si="51"/>
        <v>0</v>
      </c>
      <c r="W210" s="66">
        <f t="shared" si="52"/>
        <v>0</v>
      </c>
      <c r="X210" s="66">
        <f t="shared" si="53"/>
        <v>4082.0439999999958</v>
      </c>
    </row>
    <row r="211" spans="1:24" x14ac:dyDescent="0.25">
      <c r="A211">
        <f>+'Tablas Servicio'!B244</f>
        <v>17</v>
      </c>
      <c r="B211">
        <f>+'Tablas Servicio'!C244</f>
        <v>203</v>
      </c>
      <c r="C211" s="56">
        <f>+'Tablas Servicio'!D244</f>
        <v>56.936666666667151</v>
      </c>
      <c r="D211" s="58">
        <f>+'Tablas Servicio'!N244</f>
        <v>94</v>
      </c>
      <c r="E211" s="66">
        <f>+'Tablas Servicio'!AC244</f>
        <v>34.9</v>
      </c>
      <c r="F211" s="66">
        <f>+IF(A211="","",'Tablas Servicio'!O244-'Modelo Financiero'!E211)</f>
        <v>1.3500000000000014</v>
      </c>
      <c r="G211" s="58">
        <f t="shared" si="46"/>
        <v>24.812000000000001</v>
      </c>
      <c r="H211" s="66">
        <f>+'Tablas Servicio'!G244</f>
        <v>48.75</v>
      </c>
      <c r="I211" s="72">
        <f t="shared" si="47"/>
        <v>0.25641025641025639</v>
      </c>
      <c r="J211" s="66">
        <f t="shared" si="48"/>
        <v>12.5</v>
      </c>
      <c r="K211" s="66">
        <f>+'Tablas Servicio'!H244</f>
        <v>50.709999999999994</v>
      </c>
      <c r="L211" s="66">
        <f>+IF(A211="","",ROUND(H211*Parámetros!$D$100,2))</f>
        <v>5.69</v>
      </c>
      <c r="M211" s="58">
        <f>+IF(A211="","",IF(AND(A211=1,B211=1),Parámetros!$D$114*(D211*frec-$G$3-$H$3),IF(AND(A211=2,B211=frec+1),Parámetros!$D$115*(D211*frec-$G$4-$H$4),0)))</f>
        <v>0</v>
      </c>
      <c r="N211" s="58">
        <f>+IF(A211="","",IF(A211&gt;Parámetros!$D$117,0,ROUND('Modelo Financiero'!D211*Parámetros!$D$116,2)))</f>
        <v>0</v>
      </c>
      <c r="O211" s="58">
        <f t="shared" si="49"/>
        <v>0</v>
      </c>
      <c r="P211" s="66">
        <f>+'Tablas Servicio'!I244</f>
        <v>43.290000000000006</v>
      </c>
      <c r="Q211" s="66">
        <f>+'Tablas Servicio'!S244</f>
        <v>14673.7</v>
      </c>
      <c r="R211" s="66">
        <f>+'Tablas Servicio'!T244</f>
        <v>14673.7</v>
      </c>
      <c r="S211" s="66">
        <f t="shared" si="45"/>
        <v>23.937999999999999</v>
      </c>
      <c r="T211" s="66">
        <f t="shared" si="54"/>
        <v>4105.9819999999954</v>
      </c>
      <c r="U211" s="66">
        <f t="shared" si="50"/>
        <v>4105.9819999999954</v>
      </c>
      <c r="V211" s="81">
        <f t="shared" si="51"/>
        <v>0</v>
      </c>
      <c r="W211" s="66">
        <f t="shared" si="52"/>
        <v>0</v>
      </c>
      <c r="X211" s="66">
        <f t="shared" si="53"/>
        <v>4105.9819999999954</v>
      </c>
    </row>
    <row r="212" spans="1:24" x14ac:dyDescent="0.25">
      <c r="A212">
        <f>+'Tablas Servicio'!B245</f>
        <v>17</v>
      </c>
      <c r="B212">
        <f>+'Tablas Servicio'!C245</f>
        <v>204</v>
      </c>
      <c r="C212" s="56">
        <f>+'Tablas Servicio'!D245</f>
        <v>57.020000000000486</v>
      </c>
      <c r="D212" s="58">
        <f>+'Tablas Servicio'!N245</f>
        <v>94</v>
      </c>
      <c r="E212" s="66">
        <f>+'Tablas Servicio'!AC245</f>
        <v>34.9</v>
      </c>
      <c r="F212" s="66">
        <f>+IF(A212="","",'Tablas Servicio'!O245-'Modelo Financiero'!E212)</f>
        <v>1.3500000000000014</v>
      </c>
      <c r="G212" s="58">
        <f t="shared" si="46"/>
        <v>24.812000000000001</v>
      </c>
      <c r="H212" s="66">
        <f>+'Tablas Servicio'!G245</f>
        <v>48.75</v>
      </c>
      <c r="I212" s="72">
        <f t="shared" si="47"/>
        <v>0.25641025641025639</v>
      </c>
      <c r="J212" s="66">
        <f t="shared" si="48"/>
        <v>12.5</v>
      </c>
      <c r="K212" s="66">
        <f>+'Tablas Servicio'!H245</f>
        <v>50.709999999999994</v>
      </c>
      <c r="L212" s="66">
        <f>+IF(A212="","",ROUND(H212*Parámetros!$D$100,2))</f>
        <v>5.69</v>
      </c>
      <c r="M212" s="58">
        <f>+IF(A212="","",IF(AND(A212=1,B212=1),Parámetros!$D$114*(D212*frec-$G$3-$H$3),IF(AND(A212=2,B212=frec+1),Parámetros!$D$115*(D212*frec-$G$4-$H$4),0)))</f>
        <v>0</v>
      </c>
      <c r="N212" s="58">
        <f>+IF(A212="","",IF(A212&gt;Parámetros!$D$117,0,ROUND('Modelo Financiero'!D212*Parámetros!$D$116,2)))</f>
        <v>0</v>
      </c>
      <c r="O212" s="58">
        <f t="shared" si="49"/>
        <v>0</v>
      </c>
      <c r="P212" s="66">
        <f>+'Tablas Servicio'!I245</f>
        <v>43.290000000000006</v>
      </c>
      <c r="Q212" s="66">
        <f>+'Tablas Servicio'!S245</f>
        <v>14758.73</v>
      </c>
      <c r="R212" s="66">
        <f>+'Tablas Servicio'!T245</f>
        <v>14758.73</v>
      </c>
      <c r="S212" s="66">
        <f t="shared" si="45"/>
        <v>23.937999999999999</v>
      </c>
      <c r="T212" s="66">
        <f t="shared" si="54"/>
        <v>4129.9199999999955</v>
      </c>
      <c r="U212" s="66">
        <f t="shared" si="50"/>
        <v>4129.9199999999955</v>
      </c>
      <c r="V212" s="81">
        <f t="shared" si="51"/>
        <v>0</v>
      </c>
      <c r="W212" s="66">
        <f t="shared" si="52"/>
        <v>0</v>
      </c>
      <c r="X212" s="66">
        <f t="shared" si="53"/>
        <v>4129.9199999999955</v>
      </c>
    </row>
    <row r="213" spans="1:24" x14ac:dyDescent="0.25">
      <c r="A213">
        <f>+'Tablas Servicio'!B246</f>
        <v>18</v>
      </c>
      <c r="B213">
        <f>+'Tablas Servicio'!C246</f>
        <v>205</v>
      </c>
      <c r="C213" s="56">
        <f>+'Tablas Servicio'!D246</f>
        <v>57.103333333333822</v>
      </c>
      <c r="D213" s="58">
        <f>+'Tablas Servicio'!N246</f>
        <v>94</v>
      </c>
      <c r="E213" s="66">
        <f>+'Tablas Servicio'!AC246</f>
        <v>37.299999999999997</v>
      </c>
      <c r="F213" s="66">
        <f>+IF(A213="","",'Tablas Servicio'!O246-'Modelo Financiero'!E213)</f>
        <v>1.3500000000000014</v>
      </c>
      <c r="G213" s="58">
        <f t="shared" si="46"/>
        <v>26.444000000000003</v>
      </c>
      <c r="H213" s="66">
        <f>+'Tablas Servicio'!G246</f>
        <v>51.15</v>
      </c>
      <c r="I213" s="72">
        <f t="shared" si="47"/>
        <v>0.24437927663734116</v>
      </c>
      <c r="J213" s="66">
        <f t="shared" si="48"/>
        <v>12.5</v>
      </c>
      <c r="K213" s="66">
        <f>+'Tablas Servicio'!H246</f>
        <v>53.199999999999996</v>
      </c>
      <c r="L213" s="66">
        <f>+IF(A213="","",ROUND(H213*Parámetros!$D$100,2))</f>
        <v>5.97</v>
      </c>
      <c r="M213" s="58">
        <f>+IF(A213="","",IF(AND(A213=1,B213=1),Parámetros!$D$114*(D213*frec-$G$3-$H$3),IF(AND(A213=2,B213=frec+1),Parámetros!$D$115*(D213*frec-$G$4-$H$4),0)))</f>
        <v>0</v>
      </c>
      <c r="N213" s="58">
        <f>+IF(A213="","",IF(A213&gt;Parámetros!$D$117,0,ROUND('Modelo Financiero'!D213*Parámetros!$D$116,2)))</f>
        <v>0</v>
      </c>
      <c r="O213" s="58">
        <f t="shared" si="49"/>
        <v>0</v>
      </c>
      <c r="P213" s="66">
        <f>+'Tablas Servicio'!I246</f>
        <v>40.800000000000004</v>
      </c>
      <c r="Q213" s="66">
        <f>+'Tablas Servicio'!S246</f>
        <v>14841.51</v>
      </c>
      <c r="R213" s="66">
        <f>+'Tablas Servicio'!T246</f>
        <v>14841.51</v>
      </c>
      <c r="S213" s="66">
        <f t="shared" si="45"/>
        <v>24.705999999999996</v>
      </c>
      <c r="T213" s="66">
        <f t="shared" si="54"/>
        <v>4154.6259999999957</v>
      </c>
      <c r="U213" s="66">
        <f t="shared" si="50"/>
        <v>4154.6259999999957</v>
      </c>
      <c r="V213" s="81">
        <f t="shared" si="51"/>
        <v>0</v>
      </c>
      <c r="W213" s="66">
        <f t="shared" si="52"/>
        <v>0</v>
      </c>
      <c r="X213" s="66">
        <f t="shared" si="53"/>
        <v>4154.6259999999957</v>
      </c>
    </row>
    <row r="214" spans="1:24" x14ac:dyDescent="0.25">
      <c r="A214">
        <f>+'Tablas Servicio'!B247</f>
        <v>18</v>
      </c>
      <c r="B214">
        <f>+'Tablas Servicio'!C247</f>
        <v>206</v>
      </c>
      <c r="C214" s="56">
        <f>+'Tablas Servicio'!D247</f>
        <v>57.186666666667158</v>
      </c>
      <c r="D214" s="58">
        <f>+'Tablas Servicio'!N247</f>
        <v>94</v>
      </c>
      <c r="E214" s="66">
        <f>+'Tablas Servicio'!AC247</f>
        <v>37.299999999999997</v>
      </c>
      <c r="F214" s="66">
        <f>+IF(A214="","",'Tablas Servicio'!O247-'Modelo Financiero'!E214)</f>
        <v>1.3500000000000014</v>
      </c>
      <c r="G214" s="58">
        <f t="shared" si="46"/>
        <v>26.444000000000003</v>
      </c>
      <c r="H214" s="66">
        <f>+'Tablas Servicio'!G247</f>
        <v>51.15</v>
      </c>
      <c r="I214" s="72">
        <f t="shared" si="47"/>
        <v>0.24437927663734116</v>
      </c>
      <c r="J214" s="66">
        <f t="shared" si="48"/>
        <v>12.5</v>
      </c>
      <c r="K214" s="66">
        <f>+'Tablas Servicio'!H247</f>
        <v>53.199999999999996</v>
      </c>
      <c r="L214" s="66">
        <f>+IF(A214="","",ROUND(H214*Parámetros!$D$100,2))</f>
        <v>5.97</v>
      </c>
      <c r="M214" s="58">
        <f>+IF(A214="","",IF(AND(A214=1,B214=1),Parámetros!$D$114*(D214*frec-$G$3-$H$3),IF(AND(A214=2,B214=frec+1),Parámetros!$D$115*(D214*frec-$G$4-$H$4),0)))</f>
        <v>0</v>
      </c>
      <c r="N214" s="58">
        <f>+IF(A214="","",IF(A214&gt;Parámetros!$D$117,0,ROUND('Modelo Financiero'!D214*Parámetros!$D$116,2)))</f>
        <v>0</v>
      </c>
      <c r="O214" s="58">
        <f t="shared" si="49"/>
        <v>0</v>
      </c>
      <c r="P214" s="66">
        <f>+'Tablas Servicio'!I247</f>
        <v>40.800000000000004</v>
      </c>
      <c r="Q214" s="66">
        <f>+'Tablas Servicio'!S247</f>
        <v>14924.52</v>
      </c>
      <c r="R214" s="66">
        <f>+'Tablas Servicio'!T247</f>
        <v>14924.52</v>
      </c>
      <c r="S214" s="66">
        <f t="shared" si="45"/>
        <v>24.705999999999996</v>
      </c>
      <c r="T214" s="66">
        <f t="shared" si="54"/>
        <v>4179.3319999999958</v>
      </c>
      <c r="U214" s="66">
        <f t="shared" si="50"/>
        <v>4179.3319999999958</v>
      </c>
      <c r="V214" s="81">
        <f t="shared" si="51"/>
        <v>0</v>
      </c>
      <c r="W214" s="66">
        <f t="shared" si="52"/>
        <v>0</v>
      </c>
      <c r="X214" s="66">
        <f t="shared" si="53"/>
        <v>4179.3319999999958</v>
      </c>
    </row>
    <row r="215" spans="1:24" x14ac:dyDescent="0.25">
      <c r="A215">
        <f>+'Tablas Servicio'!B248</f>
        <v>18</v>
      </c>
      <c r="B215">
        <f>+'Tablas Servicio'!C248</f>
        <v>207</v>
      </c>
      <c r="C215" s="56">
        <f>+'Tablas Servicio'!D248</f>
        <v>57.270000000000493</v>
      </c>
      <c r="D215" s="58">
        <f>+'Tablas Servicio'!N248</f>
        <v>94</v>
      </c>
      <c r="E215" s="66">
        <f>+'Tablas Servicio'!AC248</f>
        <v>37.299999999999997</v>
      </c>
      <c r="F215" s="66">
        <f>+IF(A215="","",'Tablas Servicio'!O248-'Modelo Financiero'!E215)</f>
        <v>1.3500000000000014</v>
      </c>
      <c r="G215" s="58">
        <f t="shared" si="46"/>
        <v>26.444000000000003</v>
      </c>
      <c r="H215" s="66">
        <f>+'Tablas Servicio'!G248</f>
        <v>51.15</v>
      </c>
      <c r="I215" s="72">
        <f t="shared" si="47"/>
        <v>0.24437927663734116</v>
      </c>
      <c r="J215" s="66">
        <f t="shared" si="48"/>
        <v>12.5</v>
      </c>
      <c r="K215" s="66">
        <f>+'Tablas Servicio'!H248</f>
        <v>53.199999999999996</v>
      </c>
      <c r="L215" s="66">
        <f>+IF(A215="","",ROUND(H215*Parámetros!$D$100,2))</f>
        <v>5.97</v>
      </c>
      <c r="M215" s="58">
        <f>+IF(A215="","",IF(AND(A215=1,B215=1),Parámetros!$D$114*(D215*frec-$G$3-$H$3),IF(AND(A215=2,B215=frec+1),Parámetros!$D$115*(D215*frec-$G$4-$H$4),0)))</f>
        <v>0</v>
      </c>
      <c r="N215" s="58">
        <f>+IF(A215="","",IF(A215&gt;Parámetros!$D$117,0,ROUND('Modelo Financiero'!D215*Parámetros!$D$116,2)))</f>
        <v>0</v>
      </c>
      <c r="O215" s="58">
        <f t="shared" si="49"/>
        <v>0</v>
      </c>
      <c r="P215" s="66">
        <f>+'Tablas Servicio'!I248</f>
        <v>40.800000000000004</v>
      </c>
      <c r="Q215" s="66">
        <f>+'Tablas Servicio'!S248</f>
        <v>15007.77</v>
      </c>
      <c r="R215" s="66">
        <f>+'Tablas Servicio'!T248</f>
        <v>15007.77</v>
      </c>
      <c r="S215" s="66">
        <f t="shared" si="45"/>
        <v>24.705999999999996</v>
      </c>
      <c r="T215" s="66">
        <f t="shared" si="54"/>
        <v>4204.0379999999959</v>
      </c>
      <c r="U215" s="66">
        <f t="shared" si="50"/>
        <v>4204.0379999999959</v>
      </c>
      <c r="V215" s="81">
        <f t="shared" si="51"/>
        <v>0</v>
      </c>
      <c r="W215" s="66">
        <f t="shared" si="52"/>
        <v>0</v>
      </c>
      <c r="X215" s="66">
        <f t="shared" si="53"/>
        <v>4204.0379999999959</v>
      </c>
    </row>
    <row r="216" spans="1:24" x14ac:dyDescent="0.25">
      <c r="A216">
        <f>+'Tablas Servicio'!B249</f>
        <v>18</v>
      </c>
      <c r="B216">
        <f>+'Tablas Servicio'!C249</f>
        <v>208</v>
      </c>
      <c r="C216" s="56">
        <f>+'Tablas Servicio'!D249</f>
        <v>57.353333333333829</v>
      </c>
      <c r="D216" s="58">
        <f>+'Tablas Servicio'!N249</f>
        <v>94</v>
      </c>
      <c r="E216" s="66">
        <f>+'Tablas Servicio'!AC249</f>
        <v>37.299999999999997</v>
      </c>
      <c r="F216" s="66">
        <f>+IF(A216="","",'Tablas Servicio'!O249-'Modelo Financiero'!E216)</f>
        <v>1.3500000000000014</v>
      </c>
      <c r="G216" s="58">
        <f t="shared" si="46"/>
        <v>26.444000000000003</v>
      </c>
      <c r="H216" s="66">
        <f>+'Tablas Servicio'!G249</f>
        <v>51.15</v>
      </c>
      <c r="I216" s="72">
        <f t="shared" si="47"/>
        <v>0.24437927663734116</v>
      </c>
      <c r="J216" s="66">
        <f t="shared" si="48"/>
        <v>12.5</v>
      </c>
      <c r="K216" s="66">
        <f>+'Tablas Servicio'!H249</f>
        <v>53.199999999999996</v>
      </c>
      <c r="L216" s="66">
        <f>+IF(A216="","",ROUND(H216*Parámetros!$D$100,2))</f>
        <v>5.97</v>
      </c>
      <c r="M216" s="58">
        <f>+IF(A216="","",IF(AND(A216=1,B216=1),Parámetros!$D$114*(D216*frec-$G$3-$H$3),IF(AND(A216=2,B216=frec+1),Parámetros!$D$115*(D216*frec-$G$4-$H$4),0)))</f>
        <v>0</v>
      </c>
      <c r="N216" s="58">
        <f>+IF(A216="","",IF(A216&gt;Parámetros!$D$117,0,ROUND('Modelo Financiero'!D216*Parámetros!$D$116,2)))</f>
        <v>0</v>
      </c>
      <c r="O216" s="58">
        <f t="shared" si="49"/>
        <v>0</v>
      </c>
      <c r="P216" s="66">
        <f>+'Tablas Servicio'!I249</f>
        <v>40.800000000000004</v>
      </c>
      <c r="Q216" s="66">
        <f>+'Tablas Servicio'!S249</f>
        <v>15091.25</v>
      </c>
      <c r="R216" s="66">
        <f>+'Tablas Servicio'!T249</f>
        <v>15091.25</v>
      </c>
      <c r="S216" s="66">
        <f t="shared" si="45"/>
        <v>24.705999999999996</v>
      </c>
      <c r="T216" s="66">
        <f t="shared" si="54"/>
        <v>4228.743999999996</v>
      </c>
      <c r="U216" s="66">
        <f t="shared" si="50"/>
        <v>4228.743999999996</v>
      </c>
      <c r="V216" s="81">
        <f t="shared" si="51"/>
        <v>0</v>
      </c>
      <c r="W216" s="66">
        <f t="shared" si="52"/>
        <v>0</v>
      </c>
      <c r="X216" s="66">
        <f t="shared" si="53"/>
        <v>4228.743999999996</v>
      </c>
    </row>
    <row r="217" spans="1:24" x14ac:dyDescent="0.25">
      <c r="A217">
        <f>+'Tablas Servicio'!B250</f>
        <v>18</v>
      </c>
      <c r="B217">
        <f>+'Tablas Servicio'!C250</f>
        <v>209</v>
      </c>
      <c r="C217" s="56">
        <f>+'Tablas Servicio'!D250</f>
        <v>57.436666666667165</v>
      </c>
      <c r="D217" s="58">
        <f>+'Tablas Servicio'!N250</f>
        <v>94</v>
      </c>
      <c r="E217" s="66">
        <f>+'Tablas Servicio'!AC250</f>
        <v>37.299999999999997</v>
      </c>
      <c r="F217" s="66">
        <f>+IF(A217="","",'Tablas Servicio'!O250-'Modelo Financiero'!E217)</f>
        <v>1.3500000000000014</v>
      </c>
      <c r="G217" s="58">
        <f t="shared" si="46"/>
        <v>26.444000000000003</v>
      </c>
      <c r="H217" s="66">
        <f>+'Tablas Servicio'!G250</f>
        <v>51.15</v>
      </c>
      <c r="I217" s="72">
        <f t="shared" si="47"/>
        <v>0.24437927663734116</v>
      </c>
      <c r="J217" s="66">
        <f t="shared" si="48"/>
        <v>12.5</v>
      </c>
      <c r="K217" s="66">
        <f>+'Tablas Servicio'!H250</f>
        <v>53.199999999999996</v>
      </c>
      <c r="L217" s="66">
        <f>+IF(A217="","",ROUND(H217*Parámetros!$D$100,2))</f>
        <v>5.97</v>
      </c>
      <c r="M217" s="58">
        <f>+IF(A217="","",IF(AND(A217=1,B217=1),Parámetros!$D$114*(D217*frec-$G$3-$H$3),IF(AND(A217=2,B217=frec+1),Parámetros!$D$115*(D217*frec-$G$4-$H$4),0)))</f>
        <v>0</v>
      </c>
      <c r="N217" s="58">
        <f>+IF(A217="","",IF(A217&gt;Parámetros!$D$117,0,ROUND('Modelo Financiero'!D217*Parámetros!$D$116,2)))</f>
        <v>0</v>
      </c>
      <c r="O217" s="58">
        <f t="shared" si="49"/>
        <v>0</v>
      </c>
      <c r="P217" s="66">
        <f>+'Tablas Servicio'!I250</f>
        <v>40.800000000000004</v>
      </c>
      <c r="Q217" s="66">
        <f>+'Tablas Servicio'!S250</f>
        <v>15174.97</v>
      </c>
      <c r="R217" s="66">
        <f>+'Tablas Servicio'!T250</f>
        <v>15174.97</v>
      </c>
      <c r="S217" s="66">
        <f t="shared" si="45"/>
        <v>24.705999999999996</v>
      </c>
      <c r="T217" s="66">
        <f t="shared" si="54"/>
        <v>4253.4499999999962</v>
      </c>
      <c r="U217" s="66">
        <f t="shared" si="50"/>
        <v>4253.4499999999962</v>
      </c>
      <c r="V217" s="81">
        <f t="shared" si="51"/>
        <v>0</v>
      </c>
      <c r="W217" s="66">
        <f t="shared" si="52"/>
        <v>0</v>
      </c>
      <c r="X217" s="66">
        <f t="shared" si="53"/>
        <v>4253.4499999999962</v>
      </c>
    </row>
    <row r="218" spans="1:24" x14ac:dyDescent="0.25">
      <c r="A218">
        <f>+'Tablas Servicio'!B251</f>
        <v>18</v>
      </c>
      <c r="B218">
        <f>+'Tablas Servicio'!C251</f>
        <v>210</v>
      </c>
      <c r="C218" s="56">
        <f>+'Tablas Servicio'!D251</f>
        <v>57.520000000000501</v>
      </c>
      <c r="D218" s="58">
        <f>+'Tablas Servicio'!N251</f>
        <v>94</v>
      </c>
      <c r="E218" s="66">
        <f>+'Tablas Servicio'!AC251</f>
        <v>37.299999999999997</v>
      </c>
      <c r="F218" s="66">
        <f>+IF(A218="","",'Tablas Servicio'!O251-'Modelo Financiero'!E218)</f>
        <v>1.3500000000000014</v>
      </c>
      <c r="G218" s="58">
        <f t="shared" si="46"/>
        <v>26.444000000000003</v>
      </c>
      <c r="H218" s="66">
        <f>+'Tablas Servicio'!G251</f>
        <v>51.15</v>
      </c>
      <c r="I218" s="72">
        <f t="shared" si="47"/>
        <v>0.24437927663734116</v>
      </c>
      <c r="J218" s="66">
        <f t="shared" si="48"/>
        <v>12.5</v>
      </c>
      <c r="K218" s="66">
        <f>+'Tablas Servicio'!H251</f>
        <v>53.199999999999996</v>
      </c>
      <c r="L218" s="66">
        <f>+IF(A218="","",ROUND(H218*Parámetros!$D$100,2))</f>
        <v>5.97</v>
      </c>
      <c r="M218" s="58">
        <f>+IF(A218="","",IF(AND(A218=1,B218=1),Parámetros!$D$114*(D218*frec-$G$3-$H$3),IF(AND(A218=2,B218=frec+1),Parámetros!$D$115*(D218*frec-$G$4-$H$4),0)))</f>
        <v>0</v>
      </c>
      <c r="N218" s="58">
        <f>+IF(A218="","",IF(A218&gt;Parámetros!$D$117,0,ROUND('Modelo Financiero'!D218*Parámetros!$D$116,2)))</f>
        <v>0</v>
      </c>
      <c r="O218" s="58">
        <f t="shared" si="49"/>
        <v>0</v>
      </c>
      <c r="P218" s="66">
        <f>+'Tablas Servicio'!I251</f>
        <v>40.800000000000004</v>
      </c>
      <c r="Q218" s="66">
        <f>+'Tablas Servicio'!S251</f>
        <v>15258.93</v>
      </c>
      <c r="R218" s="66">
        <f>+'Tablas Servicio'!T251</f>
        <v>15258.93</v>
      </c>
      <c r="S218" s="66">
        <f t="shared" si="45"/>
        <v>24.705999999999996</v>
      </c>
      <c r="T218" s="66">
        <f t="shared" si="54"/>
        <v>4278.1559999999963</v>
      </c>
      <c r="U218" s="66">
        <f t="shared" si="50"/>
        <v>4278.1559999999963</v>
      </c>
      <c r="V218" s="81">
        <f t="shared" si="51"/>
        <v>0</v>
      </c>
      <c r="W218" s="66">
        <f t="shared" si="52"/>
        <v>0</v>
      </c>
      <c r="X218" s="66">
        <f t="shared" si="53"/>
        <v>4278.1559999999963</v>
      </c>
    </row>
    <row r="219" spans="1:24" x14ac:dyDescent="0.25">
      <c r="A219">
        <f>+'Tablas Servicio'!B252</f>
        <v>18</v>
      </c>
      <c r="B219">
        <f>+'Tablas Servicio'!C252</f>
        <v>211</v>
      </c>
      <c r="C219" s="56">
        <f>+'Tablas Servicio'!D252</f>
        <v>57.603333333333836</v>
      </c>
      <c r="D219" s="58">
        <f>+'Tablas Servicio'!N252</f>
        <v>94</v>
      </c>
      <c r="E219" s="66">
        <f>+'Tablas Servicio'!AC252</f>
        <v>37.299999999999997</v>
      </c>
      <c r="F219" s="66">
        <f>+IF(A219="","",'Tablas Servicio'!O252-'Modelo Financiero'!E219)</f>
        <v>1.3500000000000014</v>
      </c>
      <c r="G219" s="58">
        <f t="shared" si="46"/>
        <v>26.444000000000003</v>
      </c>
      <c r="H219" s="66">
        <f>+'Tablas Servicio'!G252</f>
        <v>51.15</v>
      </c>
      <c r="I219" s="72">
        <f t="shared" si="47"/>
        <v>0.24437927663734116</v>
      </c>
      <c r="J219" s="66">
        <f t="shared" si="48"/>
        <v>12.5</v>
      </c>
      <c r="K219" s="66">
        <f>+'Tablas Servicio'!H252</f>
        <v>53.199999999999996</v>
      </c>
      <c r="L219" s="66">
        <f>+IF(A219="","",ROUND(H219*Parámetros!$D$100,2))</f>
        <v>5.97</v>
      </c>
      <c r="M219" s="58">
        <f>+IF(A219="","",IF(AND(A219=1,B219=1),Parámetros!$D$114*(D219*frec-$G$3-$H$3),IF(AND(A219=2,B219=frec+1),Parámetros!$D$115*(D219*frec-$G$4-$H$4),0)))</f>
        <v>0</v>
      </c>
      <c r="N219" s="58">
        <f>+IF(A219="","",IF(A219&gt;Parámetros!$D$117,0,ROUND('Modelo Financiero'!D219*Parámetros!$D$116,2)))</f>
        <v>0</v>
      </c>
      <c r="O219" s="58">
        <f t="shared" si="49"/>
        <v>0</v>
      </c>
      <c r="P219" s="66">
        <f>+'Tablas Servicio'!I252</f>
        <v>40.800000000000004</v>
      </c>
      <c r="Q219" s="66">
        <f>+'Tablas Servicio'!S252</f>
        <v>15343.13</v>
      </c>
      <c r="R219" s="66">
        <f>+'Tablas Servicio'!T252</f>
        <v>15343.13</v>
      </c>
      <c r="S219" s="66">
        <f t="shared" si="45"/>
        <v>24.705999999999996</v>
      </c>
      <c r="T219" s="66">
        <f t="shared" si="54"/>
        <v>4302.8619999999964</v>
      </c>
      <c r="U219" s="66">
        <f t="shared" si="50"/>
        <v>4302.8619999999964</v>
      </c>
      <c r="V219" s="81">
        <f t="shared" si="51"/>
        <v>0</v>
      </c>
      <c r="W219" s="66">
        <f t="shared" si="52"/>
        <v>0</v>
      </c>
      <c r="X219" s="66">
        <f t="shared" si="53"/>
        <v>4302.8619999999964</v>
      </c>
    </row>
    <row r="220" spans="1:24" x14ac:dyDescent="0.25">
      <c r="A220">
        <f>+'Tablas Servicio'!B253</f>
        <v>18</v>
      </c>
      <c r="B220">
        <f>+'Tablas Servicio'!C253</f>
        <v>212</v>
      </c>
      <c r="C220" s="56">
        <f>+'Tablas Servicio'!D253</f>
        <v>57.686666666667172</v>
      </c>
      <c r="D220" s="58">
        <f>+'Tablas Servicio'!N253</f>
        <v>94</v>
      </c>
      <c r="E220" s="66">
        <f>+'Tablas Servicio'!AC253</f>
        <v>37.299999999999997</v>
      </c>
      <c r="F220" s="66">
        <f>+IF(A220="","",'Tablas Servicio'!O253-'Modelo Financiero'!E220)</f>
        <v>1.3500000000000014</v>
      </c>
      <c r="G220" s="58">
        <f t="shared" si="46"/>
        <v>26.444000000000003</v>
      </c>
      <c r="H220" s="66">
        <f>+'Tablas Servicio'!G253</f>
        <v>51.15</v>
      </c>
      <c r="I220" s="72">
        <f t="shared" si="47"/>
        <v>0.24437927663734116</v>
      </c>
      <c r="J220" s="66">
        <f t="shared" si="48"/>
        <v>12.5</v>
      </c>
      <c r="K220" s="66">
        <f>+'Tablas Servicio'!H253</f>
        <v>53.199999999999996</v>
      </c>
      <c r="L220" s="66">
        <f>+IF(A220="","",ROUND(H220*Parámetros!$D$100,2))</f>
        <v>5.97</v>
      </c>
      <c r="M220" s="58">
        <f>+IF(A220="","",IF(AND(A220=1,B220=1),Parámetros!$D$114*(D220*frec-$G$3-$H$3),IF(AND(A220=2,B220=frec+1),Parámetros!$D$115*(D220*frec-$G$4-$H$4),0)))</f>
        <v>0</v>
      </c>
      <c r="N220" s="58">
        <f>+IF(A220="","",IF(A220&gt;Parámetros!$D$117,0,ROUND('Modelo Financiero'!D220*Parámetros!$D$116,2)))</f>
        <v>0</v>
      </c>
      <c r="O220" s="58">
        <f t="shared" si="49"/>
        <v>0</v>
      </c>
      <c r="P220" s="66">
        <f>+'Tablas Servicio'!I253</f>
        <v>40.800000000000004</v>
      </c>
      <c r="Q220" s="66">
        <f>+'Tablas Servicio'!S253</f>
        <v>15427.57</v>
      </c>
      <c r="R220" s="66">
        <f>+'Tablas Servicio'!T253</f>
        <v>15427.57</v>
      </c>
      <c r="S220" s="66">
        <f t="shared" si="45"/>
        <v>24.705999999999996</v>
      </c>
      <c r="T220" s="66">
        <f t="shared" si="54"/>
        <v>4327.5679999999966</v>
      </c>
      <c r="U220" s="66">
        <f t="shared" si="50"/>
        <v>4327.5679999999966</v>
      </c>
      <c r="V220" s="81">
        <f t="shared" si="51"/>
        <v>0</v>
      </c>
      <c r="W220" s="66">
        <f t="shared" si="52"/>
        <v>0</v>
      </c>
      <c r="X220" s="66">
        <f t="shared" si="53"/>
        <v>4327.5679999999966</v>
      </c>
    </row>
    <row r="221" spans="1:24" x14ac:dyDescent="0.25">
      <c r="A221">
        <f>+'Tablas Servicio'!B254</f>
        <v>18</v>
      </c>
      <c r="B221">
        <f>+'Tablas Servicio'!C254</f>
        <v>213</v>
      </c>
      <c r="C221" s="56">
        <f>+'Tablas Servicio'!D254</f>
        <v>57.770000000000508</v>
      </c>
      <c r="D221" s="58">
        <f>+'Tablas Servicio'!N254</f>
        <v>94</v>
      </c>
      <c r="E221" s="66">
        <f>+'Tablas Servicio'!AC254</f>
        <v>37.299999999999997</v>
      </c>
      <c r="F221" s="66">
        <f>+IF(A221="","",'Tablas Servicio'!O254-'Modelo Financiero'!E221)</f>
        <v>1.3500000000000014</v>
      </c>
      <c r="G221" s="58">
        <f t="shared" si="46"/>
        <v>26.444000000000003</v>
      </c>
      <c r="H221" s="66">
        <f>+'Tablas Servicio'!G254</f>
        <v>51.15</v>
      </c>
      <c r="I221" s="72">
        <f t="shared" si="47"/>
        <v>0.24437927663734116</v>
      </c>
      <c r="J221" s="66">
        <f t="shared" si="48"/>
        <v>12.5</v>
      </c>
      <c r="K221" s="66">
        <f>+'Tablas Servicio'!H254</f>
        <v>53.199999999999996</v>
      </c>
      <c r="L221" s="66">
        <f>+IF(A221="","",ROUND(H221*Parámetros!$D$100,2))</f>
        <v>5.97</v>
      </c>
      <c r="M221" s="58">
        <f>+IF(A221="","",IF(AND(A221=1,B221=1),Parámetros!$D$114*(D221*frec-$G$3-$H$3),IF(AND(A221=2,B221=frec+1),Parámetros!$D$115*(D221*frec-$G$4-$H$4),0)))</f>
        <v>0</v>
      </c>
      <c r="N221" s="58">
        <f>+IF(A221="","",IF(A221&gt;Parámetros!$D$117,0,ROUND('Modelo Financiero'!D221*Parámetros!$D$116,2)))</f>
        <v>0</v>
      </c>
      <c r="O221" s="58">
        <f t="shared" si="49"/>
        <v>0</v>
      </c>
      <c r="P221" s="66">
        <f>+'Tablas Servicio'!I254</f>
        <v>40.800000000000004</v>
      </c>
      <c r="Q221" s="66">
        <f>+'Tablas Servicio'!S254</f>
        <v>15512.25</v>
      </c>
      <c r="R221" s="66">
        <f>+'Tablas Servicio'!T254</f>
        <v>15512.25</v>
      </c>
      <c r="S221" s="66">
        <f t="shared" si="45"/>
        <v>24.705999999999996</v>
      </c>
      <c r="T221" s="66">
        <f t="shared" si="54"/>
        <v>4352.2739999999967</v>
      </c>
      <c r="U221" s="66">
        <f t="shared" si="50"/>
        <v>4352.2739999999967</v>
      </c>
      <c r="V221" s="81">
        <f t="shared" si="51"/>
        <v>0</v>
      </c>
      <c r="W221" s="66">
        <f t="shared" si="52"/>
        <v>0</v>
      </c>
      <c r="X221" s="66">
        <f t="shared" si="53"/>
        <v>4352.2739999999967</v>
      </c>
    </row>
    <row r="222" spans="1:24" x14ac:dyDescent="0.25">
      <c r="A222">
        <f>+'Tablas Servicio'!B255</f>
        <v>18</v>
      </c>
      <c r="B222">
        <f>+'Tablas Servicio'!C255</f>
        <v>214</v>
      </c>
      <c r="C222" s="56">
        <f>+'Tablas Servicio'!D255</f>
        <v>57.853333333333843</v>
      </c>
      <c r="D222" s="58">
        <f>+'Tablas Servicio'!N255</f>
        <v>94</v>
      </c>
      <c r="E222" s="66">
        <f>+'Tablas Servicio'!AC255</f>
        <v>37.299999999999997</v>
      </c>
      <c r="F222" s="66">
        <f>+IF(A222="","",'Tablas Servicio'!O255-'Modelo Financiero'!E222)</f>
        <v>1.3500000000000014</v>
      </c>
      <c r="G222" s="58">
        <f t="shared" si="46"/>
        <v>26.444000000000003</v>
      </c>
      <c r="H222" s="66">
        <f>+'Tablas Servicio'!G255</f>
        <v>51.15</v>
      </c>
      <c r="I222" s="72">
        <f t="shared" si="47"/>
        <v>0.24437927663734116</v>
      </c>
      <c r="J222" s="66">
        <f t="shared" si="48"/>
        <v>12.5</v>
      </c>
      <c r="K222" s="66">
        <f>+'Tablas Servicio'!H255</f>
        <v>53.199999999999996</v>
      </c>
      <c r="L222" s="66">
        <f>+IF(A222="","",ROUND(H222*Parámetros!$D$100,2))</f>
        <v>5.97</v>
      </c>
      <c r="M222" s="58">
        <f>+IF(A222="","",IF(AND(A222=1,B222=1),Parámetros!$D$114*(D222*frec-$G$3-$H$3),IF(AND(A222=2,B222=frec+1),Parámetros!$D$115*(D222*frec-$G$4-$H$4),0)))</f>
        <v>0</v>
      </c>
      <c r="N222" s="58">
        <f>+IF(A222="","",IF(A222&gt;Parámetros!$D$117,0,ROUND('Modelo Financiero'!D222*Parámetros!$D$116,2)))</f>
        <v>0</v>
      </c>
      <c r="O222" s="58">
        <f t="shared" si="49"/>
        <v>0</v>
      </c>
      <c r="P222" s="66">
        <f>+'Tablas Servicio'!I255</f>
        <v>40.800000000000004</v>
      </c>
      <c r="Q222" s="66">
        <f>+'Tablas Servicio'!S255</f>
        <v>15597.17</v>
      </c>
      <c r="R222" s="66">
        <f>+'Tablas Servicio'!T255</f>
        <v>15597.17</v>
      </c>
      <c r="S222" s="66">
        <f t="shared" si="45"/>
        <v>24.705999999999996</v>
      </c>
      <c r="T222" s="66">
        <f t="shared" si="54"/>
        <v>4376.9799999999968</v>
      </c>
      <c r="U222" s="66">
        <f t="shared" si="50"/>
        <v>4376.9799999999968</v>
      </c>
      <c r="V222" s="81">
        <f t="shared" si="51"/>
        <v>0</v>
      </c>
      <c r="W222" s="66">
        <f t="shared" si="52"/>
        <v>0</v>
      </c>
      <c r="X222" s="66">
        <f t="shared" si="53"/>
        <v>4376.9799999999968</v>
      </c>
    </row>
    <row r="223" spans="1:24" x14ac:dyDescent="0.25">
      <c r="A223">
        <f>+'Tablas Servicio'!B256</f>
        <v>18</v>
      </c>
      <c r="B223">
        <f>+'Tablas Servicio'!C256</f>
        <v>215</v>
      </c>
      <c r="C223" s="56">
        <f>+'Tablas Servicio'!D256</f>
        <v>57.936666666667179</v>
      </c>
      <c r="D223" s="58">
        <f>+'Tablas Servicio'!N256</f>
        <v>94</v>
      </c>
      <c r="E223" s="66">
        <f>+'Tablas Servicio'!AC256</f>
        <v>37.299999999999997</v>
      </c>
      <c r="F223" s="66">
        <f>+IF(A223="","",'Tablas Servicio'!O256-'Modelo Financiero'!E223)</f>
        <v>1.3500000000000014</v>
      </c>
      <c r="G223" s="58">
        <f t="shared" si="46"/>
        <v>26.444000000000003</v>
      </c>
      <c r="H223" s="66">
        <f>+'Tablas Servicio'!G256</f>
        <v>51.15</v>
      </c>
      <c r="I223" s="72">
        <f t="shared" si="47"/>
        <v>0.24437927663734116</v>
      </c>
      <c r="J223" s="66">
        <f t="shared" si="48"/>
        <v>12.5</v>
      </c>
      <c r="K223" s="66">
        <f>+'Tablas Servicio'!H256</f>
        <v>53.199999999999996</v>
      </c>
      <c r="L223" s="66">
        <f>+IF(A223="","",ROUND(H223*Parámetros!$D$100,2))</f>
        <v>5.97</v>
      </c>
      <c r="M223" s="58">
        <f>+IF(A223="","",IF(AND(A223=1,B223=1),Parámetros!$D$114*(D223*frec-$G$3-$H$3),IF(AND(A223=2,B223=frec+1),Parámetros!$D$115*(D223*frec-$G$4-$H$4),0)))</f>
        <v>0</v>
      </c>
      <c r="N223" s="58">
        <f>+IF(A223="","",IF(A223&gt;Parámetros!$D$117,0,ROUND('Modelo Financiero'!D223*Parámetros!$D$116,2)))</f>
        <v>0</v>
      </c>
      <c r="O223" s="58">
        <f t="shared" si="49"/>
        <v>0</v>
      </c>
      <c r="P223" s="66">
        <f>+'Tablas Servicio'!I256</f>
        <v>40.800000000000004</v>
      </c>
      <c r="Q223" s="66">
        <f>+'Tablas Servicio'!S256</f>
        <v>15682.33</v>
      </c>
      <c r="R223" s="66">
        <f>+'Tablas Servicio'!T256</f>
        <v>15682.33</v>
      </c>
      <c r="S223" s="66">
        <f t="shared" si="45"/>
        <v>24.705999999999996</v>
      </c>
      <c r="T223" s="66">
        <f t="shared" si="54"/>
        <v>4401.685999999997</v>
      </c>
      <c r="U223" s="66">
        <f t="shared" si="50"/>
        <v>4401.685999999997</v>
      </c>
      <c r="V223" s="81">
        <f t="shared" si="51"/>
        <v>0</v>
      </c>
      <c r="W223" s="66">
        <f t="shared" si="52"/>
        <v>0</v>
      </c>
      <c r="X223" s="66">
        <f t="shared" si="53"/>
        <v>4401.685999999997</v>
      </c>
    </row>
    <row r="224" spans="1:24" x14ac:dyDescent="0.25">
      <c r="A224">
        <f>+'Tablas Servicio'!B257</f>
        <v>18</v>
      </c>
      <c r="B224">
        <f>+'Tablas Servicio'!C257</f>
        <v>216</v>
      </c>
      <c r="C224" s="56">
        <f>+'Tablas Servicio'!D257</f>
        <v>58.020000000000515</v>
      </c>
      <c r="D224" s="58">
        <f>+'Tablas Servicio'!N257</f>
        <v>94</v>
      </c>
      <c r="E224" s="66">
        <f>+'Tablas Servicio'!AC257</f>
        <v>37.299999999999997</v>
      </c>
      <c r="F224" s="66">
        <f>+IF(A224="","",'Tablas Servicio'!O257-'Modelo Financiero'!E224)</f>
        <v>1.3500000000000014</v>
      </c>
      <c r="G224" s="58">
        <f t="shared" si="46"/>
        <v>26.444000000000003</v>
      </c>
      <c r="H224" s="66">
        <f>+'Tablas Servicio'!G257</f>
        <v>51.15</v>
      </c>
      <c r="I224" s="72">
        <f t="shared" si="47"/>
        <v>0.24437927663734116</v>
      </c>
      <c r="J224" s="66">
        <f t="shared" si="48"/>
        <v>12.5</v>
      </c>
      <c r="K224" s="66">
        <f>+'Tablas Servicio'!H257</f>
        <v>53.199999999999996</v>
      </c>
      <c r="L224" s="66">
        <f>+IF(A224="","",ROUND(H224*Parámetros!$D$100,2))</f>
        <v>5.97</v>
      </c>
      <c r="M224" s="58">
        <f>+IF(A224="","",IF(AND(A224=1,B224=1),Parámetros!$D$114*(D224*frec-$G$3-$H$3),IF(AND(A224=2,B224=frec+1),Parámetros!$D$115*(D224*frec-$G$4-$H$4),0)))</f>
        <v>0</v>
      </c>
      <c r="N224" s="58">
        <f>+IF(A224="","",IF(A224&gt;Parámetros!$D$117,0,ROUND('Modelo Financiero'!D224*Parámetros!$D$116,2)))</f>
        <v>0</v>
      </c>
      <c r="O224" s="58">
        <f t="shared" si="49"/>
        <v>0</v>
      </c>
      <c r="P224" s="66">
        <f>+'Tablas Servicio'!I257</f>
        <v>40.800000000000004</v>
      </c>
      <c r="Q224" s="66">
        <f>+'Tablas Servicio'!S257</f>
        <v>15767.73</v>
      </c>
      <c r="R224" s="66">
        <f>+'Tablas Servicio'!T257</f>
        <v>15767.73</v>
      </c>
      <c r="S224" s="66">
        <f t="shared" si="45"/>
        <v>24.705999999999996</v>
      </c>
      <c r="T224" s="66">
        <f t="shared" si="54"/>
        <v>4426.3919999999971</v>
      </c>
      <c r="U224" s="66">
        <f t="shared" si="50"/>
        <v>4426.3919999999971</v>
      </c>
      <c r="V224" s="81">
        <f t="shared" si="51"/>
        <v>0</v>
      </c>
      <c r="W224" s="66">
        <f t="shared" si="52"/>
        <v>0</v>
      </c>
      <c r="X224" s="66">
        <f t="shared" si="53"/>
        <v>4426.3919999999971</v>
      </c>
    </row>
    <row r="225" spans="1:24" x14ac:dyDescent="0.25">
      <c r="A225">
        <f>+'Tablas Servicio'!B258</f>
        <v>19</v>
      </c>
      <c r="B225">
        <f>+'Tablas Servicio'!C258</f>
        <v>217</v>
      </c>
      <c r="C225" s="56">
        <f>+'Tablas Servicio'!D258</f>
        <v>58.10333333333385</v>
      </c>
      <c r="D225" s="58">
        <f>+'Tablas Servicio'!N258</f>
        <v>94</v>
      </c>
      <c r="E225" s="66">
        <f>+'Tablas Servicio'!AC258</f>
        <v>39.6</v>
      </c>
      <c r="F225" s="66">
        <f>+IF(A225="","",'Tablas Servicio'!O258-'Modelo Financiero'!E225)</f>
        <v>1.3500000000000014</v>
      </c>
      <c r="G225" s="58">
        <f t="shared" si="46"/>
        <v>28.008000000000006</v>
      </c>
      <c r="H225" s="66">
        <f>+'Tablas Servicio'!G258</f>
        <v>53.45</v>
      </c>
      <c r="I225" s="72">
        <f t="shared" si="47"/>
        <v>0.23386342376052383</v>
      </c>
      <c r="J225" s="66">
        <f t="shared" si="48"/>
        <v>12.5</v>
      </c>
      <c r="K225" s="66">
        <f>+'Tablas Servicio'!H258</f>
        <v>55.589999999999996</v>
      </c>
      <c r="L225" s="66">
        <f>+IF(A225="","",ROUND(H225*Parámetros!$D$100,2))</f>
        <v>6.24</v>
      </c>
      <c r="M225" s="58">
        <f>+IF(A225="","",IF(AND(A225=1,B225=1),Parámetros!$D$114*(D225*frec-$G$3-$H$3),IF(AND(A225=2,B225=frec+1),Parámetros!$D$115*(D225*frec-$G$4-$H$4),0)))</f>
        <v>0</v>
      </c>
      <c r="N225" s="58">
        <f>+IF(A225="","",IF(A225&gt;Parámetros!$D$117,0,ROUND('Modelo Financiero'!D225*Parámetros!$D$116,2)))</f>
        <v>0</v>
      </c>
      <c r="O225" s="58">
        <f t="shared" si="49"/>
        <v>0</v>
      </c>
      <c r="P225" s="66">
        <f>+'Tablas Servicio'!I258</f>
        <v>38.410000000000004</v>
      </c>
      <c r="Q225" s="66">
        <f>+'Tablas Servicio'!S258</f>
        <v>15850.97</v>
      </c>
      <c r="R225" s="66">
        <f>+'Tablas Servicio'!T258</f>
        <v>15850.97</v>
      </c>
      <c r="S225" s="66">
        <f t="shared" si="45"/>
        <v>25.441999999999997</v>
      </c>
      <c r="T225" s="66">
        <f t="shared" si="54"/>
        <v>4451.8339999999971</v>
      </c>
      <c r="U225" s="66">
        <f t="shared" si="50"/>
        <v>4451.8339999999971</v>
      </c>
      <c r="V225" s="81">
        <f t="shared" si="51"/>
        <v>0</v>
      </c>
      <c r="W225" s="66">
        <f t="shared" si="52"/>
        <v>0</v>
      </c>
      <c r="X225" s="66">
        <f t="shared" si="53"/>
        <v>4451.8339999999971</v>
      </c>
    </row>
    <row r="226" spans="1:24" x14ac:dyDescent="0.25">
      <c r="A226">
        <f>+'Tablas Servicio'!B259</f>
        <v>19</v>
      </c>
      <c r="B226">
        <f>+'Tablas Servicio'!C259</f>
        <v>218</v>
      </c>
      <c r="C226" s="56">
        <f>+'Tablas Servicio'!D259</f>
        <v>58.186666666667186</v>
      </c>
      <c r="D226" s="58">
        <f>+'Tablas Servicio'!N259</f>
        <v>94</v>
      </c>
      <c r="E226" s="66">
        <f>+'Tablas Servicio'!AC259</f>
        <v>39.6</v>
      </c>
      <c r="F226" s="66">
        <f>+IF(A226="","",'Tablas Servicio'!O259-'Modelo Financiero'!E226)</f>
        <v>1.3500000000000014</v>
      </c>
      <c r="G226" s="58">
        <f t="shared" si="46"/>
        <v>28.008000000000006</v>
      </c>
      <c r="H226" s="66">
        <f>+'Tablas Servicio'!G259</f>
        <v>53.45</v>
      </c>
      <c r="I226" s="72">
        <f t="shared" si="47"/>
        <v>0.23386342376052383</v>
      </c>
      <c r="J226" s="66">
        <f t="shared" si="48"/>
        <v>12.5</v>
      </c>
      <c r="K226" s="66">
        <f>+'Tablas Servicio'!H259</f>
        <v>55.589999999999996</v>
      </c>
      <c r="L226" s="66">
        <f>+IF(A226="","",ROUND(H226*Parámetros!$D$100,2))</f>
        <v>6.24</v>
      </c>
      <c r="M226" s="58">
        <f>+IF(A226="","",IF(AND(A226=1,B226=1),Parámetros!$D$114*(D226*frec-$G$3-$H$3),IF(AND(A226=2,B226=frec+1),Parámetros!$D$115*(D226*frec-$G$4-$H$4),0)))</f>
        <v>0</v>
      </c>
      <c r="N226" s="58">
        <f>+IF(A226="","",IF(A226&gt;Parámetros!$D$117,0,ROUND('Modelo Financiero'!D226*Parámetros!$D$116,2)))</f>
        <v>0</v>
      </c>
      <c r="O226" s="58">
        <f t="shared" si="49"/>
        <v>0</v>
      </c>
      <c r="P226" s="66">
        <f>+'Tablas Servicio'!I259</f>
        <v>38.410000000000004</v>
      </c>
      <c r="Q226" s="66">
        <f>+'Tablas Servicio'!S259</f>
        <v>15934.45</v>
      </c>
      <c r="R226" s="66">
        <f>+'Tablas Servicio'!T259</f>
        <v>15934.45</v>
      </c>
      <c r="S226" s="66">
        <f t="shared" si="45"/>
        <v>25.441999999999997</v>
      </c>
      <c r="T226" s="66">
        <f t="shared" si="54"/>
        <v>4477.2759999999971</v>
      </c>
      <c r="U226" s="66">
        <f t="shared" si="50"/>
        <v>4477.2759999999971</v>
      </c>
      <c r="V226" s="81">
        <f t="shared" si="51"/>
        <v>0</v>
      </c>
      <c r="W226" s="66">
        <f t="shared" si="52"/>
        <v>0</v>
      </c>
      <c r="X226" s="66">
        <f t="shared" si="53"/>
        <v>4477.2759999999971</v>
      </c>
    </row>
    <row r="227" spans="1:24" x14ac:dyDescent="0.25">
      <c r="A227">
        <f>+'Tablas Servicio'!B260</f>
        <v>19</v>
      </c>
      <c r="B227">
        <f>+'Tablas Servicio'!C260</f>
        <v>219</v>
      </c>
      <c r="C227" s="56">
        <f>+'Tablas Servicio'!D260</f>
        <v>58.270000000000522</v>
      </c>
      <c r="D227" s="58">
        <f>+'Tablas Servicio'!N260</f>
        <v>94</v>
      </c>
      <c r="E227" s="66">
        <f>+'Tablas Servicio'!AC260</f>
        <v>39.6</v>
      </c>
      <c r="F227" s="66">
        <f>+IF(A227="","",'Tablas Servicio'!O260-'Modelo Financiero'!E227)</f>
        <v>1.3500000000000014</v>
      </c>
      <c r="G227" s="58">
        <f t="shared" si="46"/>
        <v>28.008000000000006</v>
      </c>
      <c r="H227" s="66">
        <f>+'Tablas Servicio'!G260</f>
        <v>53.45</v>
      </c>
      <c r="I227" s="72">
        <f t="shared" si="47"/>
        <v>0.23386342376052383</v>
      </c>
      <c r="J227" s="66">
        <f t="shared" si="48"/>
        <v>12.5</v>
      </c>
      <c r="K227" s="66">
        <f>+'Tablas Servicio'!H260</f>
        <v>55.589999999999996</v>
      </c>
      <c r="L227" s="66">
        <f>+IF(A227="","",ROUND(H227*Parámetros!$D$100,2))</f>
        <v>6.24</v>
      </c>
      <c r="M227" s="58">
        <f>+IF(A227="","",IF(AND(A227=1,B227=1),Parámetros!$D$114*(D227*frec-$G$3-$H$3),IF(AND(A227=2,B227=frec+1),Parámetros!$D$115*(D227*frec-$G$4-$H$4),0)))</f>
        <v>0</v>
      </c>
      <c r="N227" s="58">
        <f>+IF(A227="","",IF(A227&gt;Parámetros!$D$117,0,ROUND('Modelo Financiero'!D227*Parámetros!$D$116,2)))</f>
        <v>0</v>
      </c>
      <c r="O227" s="58">
        <f t="shared" si="49"/>
        <v>0</v>
      </c>
      <c r="P227" s="66">
        <f>+'Tablas Servicio'!I260</f>
        <v>38.410000000000004</v>
      </c>
      <c r="Q227" s="66">
        <f>+'Tablas Servicio'!S260</f>
        <v>16018.17</v>
      </c>
      <c r="R227" s="66">
        <f>+'Tablas Servicio'!T260</f>
        <v>16018.17</v>
      </c>
      <c r="S227" s="66">
        <f t="shared" si="45"/>
        <v>25.441999999999997</v>
      </c>
      <c r="T227" s="66">
        <f t="shared" si="54"/>
        <v>4502.7179999999971</v>
      </c>
      <c r="U227" s="66">
        <f t="shared" si="50"/>
        <v>4502.7179999999971</v>
      </c>
      <c r="V227" s="81">
        <f t="shared" si="51"/>
        <v>0</v>
      </c>
      <c r="W227" s="66">
        <f t="shared" si="52"/>
        <v>0</v>
      </c>
      <c r="X227" s="66">
        <f t="shared" si="53"/>
        <v>4502.7179999999971</v>
      </c>
    </row>
    <row r="228" spans="1:24" x14ac:dyDescent="0.25">
      <c r="A228">
        <f>+'Tablas Servicio'!B261</f>
        <v>19</v>
      </c>
      <c r="B228">
        <f>+'Tablas Servicio'!C261</f>
        <v>220</v>
      </c>
      <c r="C228" s="56">
        <f>+'Tablas Servicio'!D261</f>
        <v>58.353333333333858</v>
      </c>
      <c r="D228" s="58">
        <f>+'Tablas Servicio'!N261</f>
        <v>94</v>
      </c>
      <c r="E228" s="66">
        <f>+'Tablas Servicio'!AC261</f>
        <v>39.6</v>
      </c>
      <c r="F228" s="66">
        <f>+IF(A228="","",'Tablas Servicio'!O261-'Modelo Financiero'!E228)</f>
        <v>1.3500000000000014</v>
      </c>
      <c r="G228" s="58">
        <f t="shared" si="46"/>
        <v>28.008000000000006</v>
      </c>
      <c r="H228" s="66">
        <f>+'Tablas Servicio'!G261</f>
        <v>53.45</v>
      </c>
      <c r="I228" s="72">
        <f t="shared" si="47"/>
        <v>0.23386342376052383</v>
      </c>
      <c r="J228" s="66">
        <f t="shared" si="48"/>
        <v>12.5</v>
      </c>
      <c r="K228" s="66">
        <f>+'Tablas Servicio'!H261</f>
        <v>55.589999999999996</v>
      </c>
      <c r="L228" s="66">
        <f>+IF(A228="","",ROUND(H228*Parámetros!$D$100,2))</f>
        <v>6.24</v>
      </c>
      <c r="M228" s="58">
        <f>+IF(A228="","",IF(AND(A228=1,B228=1),Parámetros!$D$114*(D228*frec-$G$3-$H$3),IF(AND(A228=2,B228=frec+1),Parámetros!$D$115*(D228*frec-$G$4-$H$4),0)))</f>
        <v>0</v>
      </c>
      <c r="N228" s="58">
        <f>+IF(A228="","",IF(A228&gt;Parámetros!$D$117,0,ROUND('Modelo Financiero'!D228*Parámetros!$D$116,2)))</f>
        <v>0</v>
      </c>
      <c r="O228" s="58">
        <f t="shared" si="49"/>
        <v>0</v>
      </c>
      <c r="P228" s="66">
        <f>+'Tablas Servicio'!I261</f>
        <v>38.410000000000004</v>
      </c>
      <c r="Q228" s="66">
        <f>+'Tablas Servicio'!S261</f>
        <v>16102.12</v>
      </c>
      <c r="R228" s="66">
        <f>+'Tablas Servicio'!T261</f>
        <v>16102.12</v>
      </c>
      <c r="S228" s="66">
        <f t="shared" si="45"/>
        <v>25.441999999999997</v>
      </c>
      <c r="T228" s="66">
        <f t="shared" si="54"/>
        <v>4528.1599999999971</v>
      </c>
      <c r="U228" s="66">
        <f t="shared" si="50"/>
        <v>4528.1599999999971</v>
      </c>
      <c r="V228" s="81">
        <f t="shared" si="51"/>
        <v>0</v>
      </c>
      <c r="W228" s="66">
        <f t="shared" si="52"/>
        <v>0</v>
      </c>
      <c r="X228" s="66">
        <f t="shared" si="53"/>
        <v>4528.1599999999971</v>
      </c>
    </row>
    <row r="229" spans="1:24" x14ac:dyDescent="0.25">
      <c r="A229">
        <f>+'Tablas Servicio'!B262</f>
        <v>19</v>
      </c>
      <c r="B229">
        <f>+'Tablas Servicio'!C262</f>
        <v>221</v>
      </c>
      <c r="C229" s="56">
        <f>+'Tablas Servicio'!D262</f>
        <v>58.436666666667193</v>
      </c>
      <c r="D229" s="58">
        <f>+'Tablas Servicio'!N262</f>
        <v>94</v>
      </c>
      <c r="E229" s="66">
        <f>+'Tablas Servicio'!AC262</f>
        <v>39.6</v>
      </c>
      <c r="F229" s="66">
        <f>+IF(A229="","",'Tablas Servicio'!O262-'Modelo Financiero'!E229)</f>
        <v>1.3500000000000014</v>
      </c>
      <c r="G229" s="58">
        <f t="shared" si="46"/>
        <v>28.008000000000006</v>
      </c>
      <c r="H229" s="66">
        <f>+'Tablas Servicio'!G262</f>
        <v>53.45</v>
      </c>
      <c r="I229" s="72">
        <f t="shared" si="47"/>
        <v>0.23386342376052383</v>
      </c>
      <c r="J229" s="66">
        <f t="shared" si="48"/>
        <v>12.5</v>
      </c>
      <c r="K229" s="66">
        <f>+'Tablas Servicio'!H262</f>
        <v>55.589999999999996</v>
      </c>
      <c r="L229" s="66">
        <f>+IF(A229="","",ROUND(H229*Parámetros!$D$100,2))</f>
        <v>6.24</v>
      </c>
      <c r="M229" s="58">
        <f>+IF(A229="","",IF(AND(A229=1,B229=1),Parámetros!$D$114*(D229*frec-$G$3-$H$3),IF(AND(A229=2,B229=frec+1),Parámetros!$D$115*(D229*frec-$G$4-$H$4),0)))</f>
        <v>0</v>
      </c>
      <c r="N229" s="58">
        <f>+IF(A229="","",IF(A229&gt;Parámetros!$D$117,0,ROUND('Modelo Financiero'!D229*Parámetros!$D$116,2)))</f>
        <v>0</v>
      </c>
      <c r="O229" s="58">
        <f t="shared" si="49"/>
        <v>0</v>
      </c>
      <c r="P229" s="66">
        <f>+'Tablas Servicio'!I262</f>
        <v>38.410000000000004</v>
      </c>
      <c r="Q229" s="66">
        <f>+'Tablas Servicio'!S262</f>
        <v>16186.31</v>
      </c>
      <c r="R229" s="66">
        <f>+'Tablas Servicio'!T262</f>
        <v>16186.31</v>
      </c>
      <c r="S229" s="66">
        <f t="shared" si="45"/>
        <v>25.441999999999997</v>
      </c>
      <c r="T229" s="66">
        <f t="shared" si="54"/>
        <v>4553.6019999999971</v>
      </c>
      <c r="U229" s="66">
        <f t="shared" si="50"/>
        <v>4553.6019999999971</v>
      </c>
      <c r="V229" s="81">
        <f t="shared" si="51"/>
        <v>0</v>
      </c>
      <c r="W229" s="66">
        <f t="shared" si="52"/>
        <v>0</v>
      </c>
      <c r="X229" s="66">
        <f t="shared" si="53"/>
        <v>4553.6019999999971</v>
      </c>
    </row>
    <row r="230" spans="1:24" x14ac:dyDescent="0.25">
      <c r="A230">
        <f>+'Tablas Servicio'!B263</f>
        <v>19</v>
      </c>
      <c r="B230">
        <f>+'Tablas Servicio'!C263</f>
        <v>222</v>
      </c>
      <c r="C230" s="56">
        <f>+'Tablas Servicio'!D263</f>
        <v>58.520000000000529</v>
      </c>
      <c r="D230" s="58">
        <f>+'Tablas Servicio'!N263</f>
        <v>94</v>
      </c>
      <c r="E230" s="66">
        <f>+'Tablas Servicio'!AC263</f>
        <v>39.6</v>
      </c>
      <c r="F230" s="66">
        <f>+IF(A230="","",'Tablas Servicio'!O263-'Modelo Financiero'!E230)</f>
        <v>1.3500000000000014</v>
      </c>
      <c r="G230" s="58">
        <f t="shared" si="46"/>
        <v>28.008000000000006</v>
      </c>
      <c r="H230" s="66">
        <f>+'Tablas Servicio'!G263</f>
        <v>53.45</v>
      </c>
      <c r="I230" s="72">
        <f t="shared" si="47"/>
        <v>0.23386342376052383</v>
      </c>
      <c r="J230" s="66">
        <f t="shared" si="48"/>
        <v>12.5</v>
      </c>
      <c r="K230" s="66">
        <f>+'Tablas Servicio'!H263</f>
        <v>55.589999999999996</v>
      </c>
      <c r="L230" s="66">
        <f>+IF(A230="","",ROUND(H230*Parámetros!$D$100,2))</f>
        <v>6.24</v>
      </c>
      <c r="M230" s="58">
        <f>+IF(A230="","",IF(AND(A230=1,B230=1),Parámetros!$D$114*(D230*frec-$G$3-$H$3),IF(AND(A230=2,B230=frec+1),Parámetros!$D$115*(D230*frec-$G$4-$H$4),0)))</f>
        <v>0</v>
      </c>
      <c r="N230" s="58">
        <f>+IF(A230="","",IF(A230&gt;Parámetros!$D$117,0,ROUND('Modelo Financiero'!D230*Parámetros!$D$116,2)))</f>
        <v>0</v>
      </c>
      <c r="O230" s="58">
        <f t="shared" si="49"/>
        <v>0</v>
      </c>
      <c r="P230" s="66">
        <f>+'Tablas Servicio'!I263</f>
        <v>38.410000000000004</v>
      </c>
      <c r="Q230" s="66">
        <f>+'Tablas Servicio'!S263</f>
        <v>16270.74</v>
      </c>
      <c r="R230" s="66">
        <f>+'Tablas Servicio'!T263</f>
        <v>16270.74</v>
      </c>
      <c r="S230" s="66">
        <f t="shared" si="45"/>
        <v>25.441999999999997</v>
      </c>
      <c r="T230" s="66">
        <f t="shared" si="54"/>
        <v>4579.0439999999971</v>
      </c>
      <c r="U230" s="66">
        <f t="shared" si="50"/>
        <v>4579.0439999999971</v>
      </c>
      <c r="V230" s="81">
        <f t="shared" si="51"/>
        <v>0</v>
      </c>
      <c r="W230" s="66">
        <f t="shared" si="52"/>
        <v>0</v>
      </c>
      <c r="X230" s="66">
        <f t="shared" si="53"/>
        <v>4579.0439999999971</v>
      </c>
    </row>
    <row r="231" spans="1:24" x14ac:dyDescent="0.25">
      <c r="A231">
        <f>+'Tablas Servicio'!B264</f>
        <v>19</v>
      </c>
      <c r="B231">
        <f>+'Tablas Servicio'!C264</f>
        <v>223</v>
      </c>
      <c r="C231" s="56">
        <f>+'Tablas Servicio'!D264</f>
        <v>58.603333333333865</v>
      </c>
      <c r="D231" s="58">
        <f>+'Tablas Servicio'!N264</f>
        <v>94</v>
      </c>
      <c r="E231" s="66">
        <f>+'Tablas Servicio'!AC264</f>
        <v>39.6</v>
      </c>
      <c r="F231" s="66">
        <f>+IF(A231="","",'Tablas Servicio'!O264-'Modelo Financiero'!E231)</f>
        <v>1.3500000000000014</v>
      </c>
      <c r="G231" s="58">
        <f t="shared" si="46"/>
        <v>28.008000000000006</v>
      </c>
      <c r="H231" s="66">
        <f>+'Tablas Servicio'!G264</f>
        <v>53.45</v>
      </c>
      <c r="I231" s="72">
        <f t="shared" si="47"/>
        <v>0.23386342376052383</v>
      </c>
      <c r="J231" s="66">
        <f t="shared" si="48"/>
        <v>12.5</v>
      </c>
      <c r="K231" s="66">
        <f>+'Tablas Servicio'!H264</f>
        <v>55.589999999999996</v>
      </c>
      <c r="L231" s="66">
        <f>+IF(A231="","",ROUND(H231*Parámetros!$D$100,2))</f>
        <v>6.24</v>
      </c>
      <c r="M231" s="58">
        <f>+IF(A231="","",IF(AND(A231=1,B231=1),Parámetros!$D$114*(D231*frec-$G$3-$H$3),IF(AND(A231=2,B231=frec+1),Parámetros!$D$115*(D231*frec-$G$4-$H$4),0)))</f>
        <v>0</v>
      </c>
      <c r="N231" s="58">
        <f>+IF(A231="","",IF(A231&gt;Parámetros!$D$117,0,ROUND('Modelo Financiero'!D231*Parámetros!$D$116,2)))</f>
        <v>0</v>
      </c>
      <c r="O231" s="58">
        <f t="shared" si="49"/>
        <v>0</v>
      </c>
      <c r="P231" s="66">
        <f>+'Tablas Servicio'!I264</f>
        <v>38.410000000000004</v>
      </c>
      <c r="Q231" s="66">
        <f>+'Tablas Servicio'!S264</f>
        <v>16355.41</v>
      </c>
      <c r="R231" s="66">
        <f>+'Tablas Servicio'!T264</f>
        <v>16355.41</v>
      </c>
      <c r="S231" s="66">
        <f t="shared" si="45"/>
        <v>25.441999999999997</v>
      </c>
      <c r="T231" s="66">
        <f t="shared" si="54"/>
        <v>4604.4859999999971</v>
      </c>
      <c r="U231" s="66">
        <f t="shared" si="50"/>
        <v>4604.4859999999971</v>
      </c>
      <c r="V231" s="81">
        <f t="shared" si="51"/>
        <v>0</v>
      </c>
      <c r="W231" s="66">
        <f t="shared" si="52"/>
        <v>0</v>
      </c>
      <c r="X231" s="66">
        <f t="shared" si="53"/>
        <v>4604.4859999999971</v>
      </c>
    </row>
    <row r="232" spans="1:24" x14ac:dyDescent="0.25">
      <c r="A232">
        <f>+'Tablas Servicio'!B265</f>
        <v>19</v>
      </c>
      <c r="B232">
        <f>+'Tablas Servicio'!C265</f>
        <v>224</v>
      </c>
      <c r="C232" s="56">
        <f>+'Tablas Servicio'!D265</f>
        <v>58.6866666666672</v>
      </c>
      <c r="D232" s="58">
        <f>+'Tablas Servicio'!N265</f>
        <v>94</v>
      </c>
      <c r="E232" s="66">
        <f>+'Tablas Servicio'!AC265</f>
        <v>39.6</v>
      </c>
      <c r="F232" s="66">
        <f>+IF(A232="","",'Tablas Servicio'!O265-'Modelo Financiero'!E232)</f>
        <v>1.3500000000000014</v>
      </c>
      <c r="G232" s="58">
        <f t="shared" si="46"/>
        <v>28.008000000000006</v>
      </c>
      <c r="H232" s="66">
        <f>+'Tablas Servicio'!G265</f>
        <v>53.45</v>
      </c>
      <c r="I232" s="72">
        <f t="shared" si="47"/>
        <v>0.23386342376052383</v>
      </c>
      <c r="J232" s="66">
        <f t="shared" si="48"/>
        <v>12.5</v>
      </c>
      <c r="K232" s="66">
        <f>+'Tablas Servicio'!H265</f>
        <v>55.589999999999996</v>
      </c>
      <c r="L232" s="66">
        <f>+IF(A232="","",ROUND(H232*Parámetros!$D$100,2))</f>
        <v>6.24</v>
      </c>
      <c r="M232" s="58">
        <f>+IF(A232="","",IF(AND(A232=1,B232=1),Parámetros!$D$114*(D232*frec-$G$3-$H$3),IF(AND(A232=2,B232=frec+1),Parámetros!$D$115*(D232*frec-$G$4-$H$4),0)))</f>
        <v>0</v>
      </c>
      <c r="N232" s="58">
        <f>+IF(A232="","",IF(A232&gt;Parámetros!$D$117,0,ROUND('Modelo Financiero'!D232*Parámetros!$D$116,2)))</f>
        <v>0</v>
      </c>
      <c r="O232" s="58">
        <f t="shared" si="49"/>
        <v>0</v>
      </c>
      <c r="P232" s="66">
        <f>+'Tablas Servicio'!I265</f>
        <v>38.410000000000004</v>
      </c>
      <c r="Q232" s="66">
        <f>+'Tablas Servicio'!S265</f>
        <v>16440.32</v>
      </c>
      <c r="R232" s="66">
        <f>+'Tablas Servicio'!T265</f>
        <v>16440.32</v>
      </c>
      <c r="S232" s="66">
        <f t="shared" si="45"/>
        <v>25.441999999999997</v>
      </c>
      <c r="T232" s="66">
        <f t="shared" si="54"/>
        <v>4629.9279999999972</v>
      </c>
      <c r="U232" s="66">
        <f t="shared" si="50"/>
        <v>4629.9279999999972</v>
      </c>
      <c r="V232" s="81">
        <f t="shared" si="51"/>
        <v>0</v>
      </c>
      <c r="W232" s="66">
        <f t="shared" si="52"/>
        <v>0</v>
      </c>
      <c r="X232" s="66">
        <f t="shared" si="53"/>
        <v>4629.9279999999972</v>
      </c>
    </row>
    <row r="233" spans="1:24" x14ac:dyDescent="0.25">
      <c r="A233">
        <f>+'Tablas Servicio'!B266</f>
        <v>19</v>
      </c>
      <c r="B233">
        <f>+'Tablas Servicio'!C266</f>
        <v>225</v>
      </c>
      <c r="C233" s="56">
        <f>+'Tablas Servicio'!D266</f>
        <v>58.770000000000536</v>
      </c>
      <c r="D233" s="58">
        <f>+'Tablas Servicio'!N266</f>
        <v>94</v>
      </c>
      <c r="E233" s="66">
        <f>+'Tablas Servicio'!AC266</f>
        <v>39.6</v>
      </c>
      <c r="F233" s="66">
        <f>+IF(A233="","",'Tablas Servicio'!O266-'Modelo Financiero'!E233)</f>
        <v>1.3500000000000014</v>
      </c>
      <c r="G233" s="58">
        <f t="shared" si="46"/>
        <v>28.008000000000006</v>
      </c>
      <c r="H233" s="66">
        <f>+'Tablas Servicio'!G266</f>
        <v>53.45</v>
      </c>
      <c r="I233" s="72">
        <f t="shared" si="47"/>
        <v>0.23386342376052383</v>
      </c>
      <c r="J233" s="66">
        <f t="shared" si="48"/>
        <v>12.5</v>
      </c>
      <c r="K233" s="66">
        <f>+'Tablas Servicio'!H266</f>
        <v>55.589999999999996</v>
      </c>
      <c r="L233" s="66">
        <f>+IF(A233="","",ROUND(H233*Parámetros!$D$100,2))</f>
        <v>6.24</v>
      </c>
      <c r="M233" s="58">
        <f>+IF(A233="","",IF(AND(A233=1,B233=1),Parámetros!$D$114*(D233*frec-$G$3-$H$3),IF(AND(A233=2,B233=frec+1),Parámetros!$D$115*(D233*frec-$G$4-$H$4),0)))</f>
        <v>0</v>
      </c>
      <c r="N233" s="58">
        <f>+IF(A233="","",IF(A233&gt;Parámetros!$D$117,0,ROUND('Modelo Financiero'!D233*Parámetros!$D$116,2)))</f>
        <v>0</v>
      </c>
      <c r="O233" s="58">
        <f t="shared" si="49"/>
        <v>0</v>
      </c>
      <c r="P233" s="66">
        <f>+'Tablas Servicio'!I266</f>
        <v>38.410000000000004</v>
      </c>
      <c r="Q233" s="66">
        <f>+'Tablas Servicio'!S266</f>
        <v>16525.47</v>
      </c>
      <c r="R233" s="66">
        <f>+'Tablas Servicio'!T266</f>
        <v>16525.47</v>
      </c>
      <c r="S233" s="66">
        <f t="shared" si="45"/>
        <v>25.441999999999997</v>
      </c>
      <c r="T233" s="66">
        <f t="shared" si="54"/>
        <v>4655.3699999999972</v>
      </c>
      <c r="U233" s="66">
        <f t="shared" si="50"/>
        <v>4655.3699999999972</v>
      </c>
      <c r="V233" s="81">
        <f t="shared" si="51"/>
        <v>0</v>
      </c>
      <c r="W233" s="66">
        <f t="shared" si="52"/>
        <v>0</v>
      </c>
      <c r="X233" s="66">
        <f t="shared" si="53"/>
        <v>4655.3699999999972</v>
      </c>
    </row>
    <row r="234" spans="1:24" x14ac:dyDescent="0.25">
      <c r="A234">
        <f>+'Tablas Servicio'!B267</f>
        <v>19</v>
      </c>
      <c r="B234">
        <f>+'Tablas Servicio'!C267</f>
        <v>226</v>
      </c>
      <c r="C234" s="56">
        <f>+'Tablas Servicio'!D267</f>
        <v>58.853333333333872</v>
      </c>
      <c r="D234" s="58">
        <f>+'Tablas Servicio'!N267</f>
        <v>94</v>
      </c>
      <c r="E234" s="66">
        <f>+'Tablas Servicio'!AC267</f>
        <v>39.6</v>
      </c>
      <c r="F234" s="66">
        <f>+IF(A234="","",'Tablas Servicio'!O267-'Modelo Financiero'!E234)</f>
        <v>1.3500000000000014</v>
      </c>
      <c r="G234" s="58">
        <f t="shared" si="46"/>
        <v>28.008000000000006</v>
      </c>
      <c r="H234" s="66">
        <f>+'Tablas Servicio'!G267</f>
        <v>53.45</v>
      </c>
      <c r="I234" s="72">
        <f t="shared" si="47"/>
        <v>0.23386342376052383</v>
      </c>
      <c r="J234" s="66">
        <f t="shared" si="48"/>
        <v>12.5</v>
      </c>
      <c r="K234" s="66">
        <f>+'Tablas Servicio'!H267</f>
        <v>55.589999999999996</v>
      </c>
      <c r="L234" s="66">
        <f>+IF(A234="","",ROUND(H234*Parámetros!$D$100,2))</f>
        <v>6.24</v>
      </c>
      <c r="M234" s="58">
        <f>+IF(A234="","",IF(AND(A234=1,B234=1),Parámetros!$D$114*(D234*frec-$G$3-$H$3),IF(AND(A234=2,B234=frec+1),Parámetros!$D$115*(D234*frec-$G$4-$H$4),0)))</f>
        <v>0</v>
      </c>
      <c r="N234" s="58">
        <f>+IF(A234="","",IF(A234&gt;Parámetros!$D$117,0,ROUND('Modelo Financiero'!D234*Parámetros!$D$116,2)))</f>
        <v>0</v>
      </c>
      <c r="O234" s="58">
        <f t="shared" si="49"/>
        <v>0</v>
      </c>
      <c r="P234" s="66">
        <f>+'Tablas Servicio'!I267</f>
        <v>38.410000000000004</v>
      </c>
      <c r="Q234" s="66">
        <f>+'Tablas Servicio'!S267</f>
        <v>16610.86</v>
      </c>
      <c r="R234" s="66">
        <f>+'Tablas Servicio'!T267</f>
        <v>16610.86</v>
      </c>
      <c r="S234" s="66">
        <f t="shared" si="45"/>
        <v>25.441999999999997</v>
      </c>
      <c r="T234" s="66">
        <f t="shared" si="54"/>
        <v>4680.8119999999972</v>
      </c>
      <c r="U234" s="66">
        <f t="shared" si="50"/>
        <v>4680.8119999999972</v>
      </c>
      <c r="V234" s="81">
        <f t="shared" si="51"/>
        <v>0</v>
      </c>
      <c r="W234" s="66">
        <f t="shared" si="52"/>
        <v>0</v>
      </c>
      <c r="X234" s="66">
        <f t="shared" si="53"/>
        <v>4680.8119999999972</v>
      </c>
    </row>
    <row r="235" spans="1:24" x14ac:dyDescent="0.25">
      <c r="A235">
        <f>+'Tablas Servicio'!B268</f>
        <v>19</v>
      </c>
      <c r="B235">
        <f>+'Tablas Servicio'!C268</f>
        <v>227</v>
      </c>
      <c r="C235" s="56">
        <f>+'Tablas Servicio'!D268</f>
        <v>58.936666666667207</v>
      </c>
      <c r="D235" s="58">
        <f>+'Tablas Servicio'!N268</f>
        <v>94</v>
      </c>
      <c r="E235" s="66">
        <f>+'Tablas Servicio'!AC268</f>
        <v>39.6</v>
      </c>
      <c r="F235" s="66">
        <f>+IF(A235="","",'Tablas Servicio'!O268-'Modelo Financiero'!E235)</f>
        <v>1.3500000000000014</v>
      </c>
      <c r="G235" s="58">
        <f t="shared" si="46"/>
        <v>28.008000000000006</v>
      </c>
      <c r="H235" s="66">
        <f>+'Tablas Servicio'!G268</f>
        <v>53.45</v>
      </c>
      <c r="I235" s="72">
        <f t="shared" si="47"/>
        <v>0.23386342376052383</v>
      </c>
      <c r="J235" s="66">
        <f t="shared" si="48"/>
        <v>12.5</v>
      </c>
      <c r="K235" s="66">
        <f>+'Tablas Servicio'!H268</f>
        <v>55.589999999999996</v>
      </c>
      <c r="L235" s="66">
        <f>+IF(A235="","",ROUND(H235*Parámetros!$D$100,2))</f>
        <v>6.24</v>
      </c>
      <c r="M235" s="58">
        <f>+IF(A235="","",IF(AND(A235=1,B235=1),Parámetros!$D$114*(D235*frec-$G$3-$H$3),IF(AND(A235=2,B235=frec+1),Parámetros!$D$115*(D235*frec-$G$4-$H$4),0)))</f>
        <v>0</v>
      </c>
      <c r="N235" s="58">
        <f>+IF(A235="","",IF(A235&gt;Parámetros!$D$117,0,ROUND('Modelo Financiero'!D235*Parámetros!$D$116,2)))</f>
        <v>0</v>
      </c>
      <c r="O235" s="58">
        <f t="shared" si="49"/>
        <v>0</v>
      </c>
      <c r="P235" s="66">
        <f>+'Tablas Servicio'!I268</f>
        <v>38.410000000000004</v>
      </c>
      <c r="Q235" s="66">
        <f>+'Tablas Servicio'!S268</f>
        <v>16696.490000000002</v>
      </c>
      <c r="R235" s="66">
        <f>+'Tablas Servicio'!T268</f>
        <v>16696.490000000002</v>
      </c>
      <c r="S235" s="66">
        <f t="shared" si="45"/>
        <v>25.441999999999997</v>
      </c>
      <c r="T235" s="66">
        <f t="shared" si="54"/>
        <v>4706.2539999999972</v>
      </c>
      <c r="U235" s="66">
        <f t="shared" si="50"/>
        <v>4706.2539999999972</v>
      </c>
      <c r="V235" s="81">
        <f t="shared" si="51"/>
        <v>0</v>
      </c>
      <c r="W235" s="66">
        <f t="shared" si="52"/>
        <v>0</v>
      </c>
      <c r="X235" s="66">
        <f t="shared" si="53"/>
        <v>4706.2539999999972</v>
      </c>
    </row>
    <row r="236" spans="1:24" x14ac:dyDescent="0.25">
      <c r="A236">
        <f>+'Tablas Servicio'!B269</f>
        <v>19</v>
      </c>
      <c r="B236">
        <f>+'Tablas Servicio'!C269</f>
        <v>228</v>
      </c>
      <c r="C236" s="56">
        <f>+'Tablas Servicio'!D269</f>
        <v>59.020000000000543</v>
      </c>
      <c r="D236" s="58">
        <f>+'Tablas Servicio'!N269</f>
        <v>94</v>
      </c>
      <c r="E236" s="66">
        <f>+'Tablas Servicio'!AC269</f>
        <v>39.6</v>
      </c>
      <c r="F236" s="66">
        <f>+IF(A236="","",'Tablas Servicio'!O269-'Modelo Financiero'!E236)</f>
        <v>1.3500000000000014</v>
      </c>
      <c r="G236" s="58">
        <f t="shared" si="46"/>
        <v>28.008000000000006</v>
      </c>
      <c r="H236" s="66">
        <f>+'Tablas Servicio'!G269</f>
        <v>53.45</v>
      </c>
      <c r="I236" s="72">
        <f t="shared" si="47"/>
        <v>0.23386342376052383</v>
      </c>
      <c r="J236" s="66">
        <f t="shared" si="48"/>
        <v>12.5</v>
      </c>
      <c r="K236" s="66">
        <f>+'Tablas Servicio'!H269</f>
        <v>55.589999999999996</v>
      </c>
      <c r="L236" s="66">
        <f>+IF(A236="","",ROUND(H236*Parámetros!$D$100,2))</f>
        <v>6.24</v>
      </c>
      <c r="M236" s="58">
        <f>+IF(A236="","",IF(AND(A236=1,B236=1),Parámetros!$D$114*(D236*frec-$G$3-$H$3),IF(AND(A236=2,B236=frec+1),Parámetros!$D$115*(D236*frec-$G$4-$H$4),0)))</f>
        <v>0</v>
      </c>
      <c r="N236" s="58">
        <f>+IF(A236="","",IF(A236&gt;Parámetros!$D$117,0,ROUND('Modelo Financiero'!D236*Parámetros!$D$116,2)))</f>
        <v>0</v>
      </c>
      <c r="O236" s="58">
        <f t="shared" si="49"/>
        <v>0</v>
      </c>
      <c r="P236" s="66">
        <f>+'Tablas Servicio'!I269</f>
        <v>38.410000000000004</v>
      </c>
      <c r="Q236" s="66">
        <f>+'Tablas Servicio'!S269</f>
        <v>16782.37</v>
      </c>
      <c r="R236" s="66">
        <f>+'Tablas Servicio'!T269</f>
        <v>16782.37</v>
      </c>
      <c r="S236" s="66">
        <f t="shared" si="45"/>
        <v>25.441999999999997</v>
      </c>
      <c r="T236" s="66">
        <f t="shared" si="54"/>
        <v>4731.6959999999972</v>
      </c>
      <c r="U236" s="66">
        <f t="shared" si="50"/>
        <v>4731.6959999999972</v>
      </c>
      <c r="V236" s="81">
        <f t="shared" si="51"/>
        <v>0</v>
      </c>
      <c r="W236" s="66">
        <f t="shared" si="52"/>
        <v>0</v>
      </c>
      <c r="X236" s="66">
        <f t="shared" si="53"/>
        <v>4731.6959999999972</v>
      </c>
    </row>
    <row r="237" spans="1:24" x14ac:dyDescent="0.25">
      <c r="A237">
        <f>+'Tablas Servicio'!B270</f>
        <v>20</v>
      </c>
      <c r="B237">
        <f>+'Tablas Servicio'!C270</f>
        <v>229</v>
      </c>
      <c r="C237" s="56">
        <f>+'Tablas Servicio'!D270</f>
        <v>59.103333333333879</v>
      </c>
      <c r="D237" s="58">
        <f>+'Tablas Servicio'!N270</f>
        <v>94</v>
      </c>
      <c r="E237" s="66">
        <f>+'Tablas Servicio'!AC270</f>
        <v>42.1</v>
      </c>
      <c r="F237" s="66">
        <f>+IF(A237="","",'Tablas Servicio'!O270-'Modelo Financiero'!E237)</f>
        <v>1.3500000000000014</v>
      </c>
      <c r="G237" s="58">
        <f t="shared" si="46"/>
        <v>29.708000000000006</v>
      </c>
      <c r="H237" s="66">
        <f>+'Tablas Servicio'!G270</f>
        <v>55.95</v>
      </c>
      <c r="I237" s="72">
        <f t="shared" si="47"/>
        <v>0.22341376228775689</v>
      </c>
      <c r="J237" s="66">
        <f t="shared" si="48"/>
        <v>12.5</v>
      </c>
      <c r="K237" s="66">
        <f>+'Tablas Servicio'!H270</f>
        <v>58.19</v>
      </c>
      <c r="L237" s="66">
        <f>+IF(A237="","",ROUND(H237*Parámetros!$D$100,2))</f>
        <v>6.53</v>
      </c>
      <c r="M237" s="58">
        <f>+IF(A237="","",IF(AND(A237=1,B237=1),Parámetros!$D$114*(D237*frec-$G$3-$H$3),IF(AND(A237=2,B237=frec+1),Parámetros!$D$115*(D237*frec-$G$4-$H$4),0)))</f>
        <v>0</v>
      </c>
      <c r="N237" s="58">
        <f>+IF(A237="","",IF(A237&gt;Parámetros!$D$117,0,ROUND('Modelo Financiero'!D237*Parámetros!$D$116,2)))</f>
        <v>0</v>
      </c>
      <c r="O237" s="58">
        <f t="shared" si="49"/>
        <v>0</v>
      </c>
      <c r="P237" s="66">
        <f>+'Tablas Servicio'!I270</f>
        <v>35.81</v>
      </c>
      <c r="Q237" s="66">
        <f>+'Tablas Servicio'!S270</f>
        <v>16865.88</v>
      </c>
      <c r="R237" s="66">
        <f>+'Tablas Servicio'!T270</f>
        <v>16865.88</v>
      </c>
      <c r="S237" s="66">
        <f t="shared" si="45"/>
        <v>26.241999999999997</v>
      </c>
      <c r="T237" s="66">
        <f t="shared" si="54"/>
        <v>4757.9379999999974</v>
      </c>
      <c r="U237" s="66">
        <f t="shared" si="50"/>
        <v>4757.9379999999974</v>
      </c>
      <c r="V237" s="81">
        <f t="shared" si="51"/>
        <v>0</v>
      </c>
      <c r="W237" s="66">
        <f t="shared" si="52"/>
        <v>0</v>
      </c>
      <c r="X237" s="66">
        <f t="shared" si="53"/>
        <v>4757.9379999999974</v>
      </c>
    </row>
    <row r="238" spans="1:24" x14ac:dyDescent="0.25">
      <c r="A238">
        <f>+'Tablas Servicio'!B271</f>
        <v>20</v>
      </c>
      <c r="B238">
        <f>+'Tablas Servicio'!C271</f>
        <v>230</v>
      </c>
      <c r="C238" s="56">
        <f>+'Tablas Servicio'!D271</f>
        <v>59.186666666667215</v>
      </c>
      <c r="D238" s="58">
        <f>+'Tablas Servicio'!N271</f>
        <v>94</v>
      </c>
      <c r="E238" s="66">
        <f>+'Tablas Servicio'!AC271</f>
        <v>42.1</v>
      </c>
      <c r="F238" s="66">
        <f>+IF(A238="","",'Tablas Servicio'!O271-'Modelo Financiero'!E238)</f>
        <v>1.3500000000000014</v>
      </c>
      <c r="G238" s="58">
        <f t="shared" si="46"/>
        <v>29.708000000000006</v>
      </c>
      <c r="H238" s="66">
        <f>+'Tablas Servicio'!G271</f>
        <v>55.95</v>
      </c>
      <c r="I238" s="72">
        <f t="shared" si="47"/>
        <v>0.22341376228775689</v>
      </c>
      <c r="J238" s="66">
        <f t="shared" si="48"/>
        <v>12.5</v>
      </c>
      <c r="K238" s="66">
        <f>+'Tablas Servicio'!H271</f>
        <v>58.19</v>
      </c>
      <c r="L238" s="66">
        <f>+IF(A238="","",ROUND(H238*Parámetros!$D$100,2))</f>
        <v>6.53</v>
      </c>
      <c r="M238" s="58">
        <f>+IF(A238="","",IF(AND(A238=1,B238=1),Parámetros!$D$114*(D238*frec-$G$3-$H$3),IF(AND(A238=2,B238=frec+1),Parámetros!$D$115*(D238*frec-$G$4-$H$4),0)))</f>
        <v>0</v>
      </c>
      <c r="N238" s="58">
        <f>+IF(A238="","",IF(A238&gt;Parámetros!$D$117,0,ROUND('Modelo Financiero'!D238*Parámetros!$D$116,2)))</f>
        <v>0</v>
      </c>
      <c r="O238" s="58">
        <f t="shared" si="49"/>
        <v>0</v>
      </c>
      <c r="P238" s="66">
        <f>+'Tablas Servicio'!I271</f>
        <v>35.81</v>
      </c>
      <c r="Q238" s="66">
        <f>+'Tablas Servicio'!S271</f>
        <v>16949.63</v>
      </c>
      <c r="R238" s="66">
        <f>+'Tablas Servicio'!T271</f>
        <v>16949.63</v>
      </c>
      <c r="S238" s="66">
        <f t="shared" si="45"/>
        <v>26.241999999999997</v>
      </c>
      <c r="T238" s="66">
        <f t="shared" si="54"/>
        <v>4784.1799999999976</v>
      </c>
      <c r="U238" s="66">
        <f t="shared" si="50"/>
        <v>4784.1799999999976</v>
      </c>
      <c r="V238" s="81">
        <f t="shared" si="51"/>
        <v>0</v>
      </c>
      <c r="W238" s="66">
        <f t="shared" si="52"/>
        <v>0</v>
      </c>
      <c r="X238" s="66">
        <f t="shared" si="53"/>
        <v>4784.1799999999976</v>
      </c>
    </row>
    <row r="239" spans="1:24" x14ac:dyDescent="0.25">
      <c r="A239">
        <f>+'Tablas Servicio'!B272</f>
        <v>20</v>
      </c>
      <c r="B239">
        <f>+'Tablas Servicio'!C272</f>
        <v>231</v>
      </c>
      <c r="C239" s="56">
        <f>+'Tablas Servicio'!D272</f>
        <v>59.27000000000055</v>
      </c>
      <c r="D239" s="58">
        <f>+'Tablas Servicio'!N272</f>
        <v>94</v>
      </c>
      <c r="E239" s="66">
        <f>+'Tablas Servicio'!AC272</f>
        <v>42.1</v>
      </c>
      <c r="F239" s="66">
        <f>+IF(A239="","",'Tablas Servicio'!O272-'Modelo Financiero'!E239)</f>
        <v>1.3500000000000014</v>
      </c>
      <c r="G239" s="58">
        <f t="shared" si="46"/>
        <v>29.708000000000006</v>
      </c>
      <c r="H239" s="66">
        <f>+'Tablas Servicio'!G272</f>
        <v>55.95</v>
      </c>
      <c r="I239" s="72">
        <f t="shared" si="47"/>
        <v>0.22341376228775689</v>
      </c>
      <c r="J239" s="66">
        <f t="shared" si="48"/>
        <v>12.5</v>
      </c>
      <c r="K239" s="66">
        <f>+'Tablas Servicio'!H272</f>
        <v>58.19</v>
      </c>
      <c r="L239" s="66">
        <f>+IF(A239="","",ROUND(H239*Parámetros!$D$100,2))</f>
        <v>6.53</v>
      </c>
      <c r="M239" s="58">
        <f>+IF(A239="","",IF(AND(A239=1,B239=1),Parámetros!$D$114*(D239*frec-$G$3-$H$3),IF(AND(A239=2,B239=frec+1),Parámetros!$D$115*(D239*frec-$G$4-$H$4),0)))</f>
        <v>0</v>
      </c>
      <c r="N239" s="58">
        <f>+IF(A239="","",IF(A239&gt;Parámetros!$D$117,0,ROUND('Modelo Financiero'!D239*Parámetros!$D$116,2)))</f>
        <v>0</v>
      </c>
      <c r="O239" s="58">
        <f t="shared" si="49"/>
        <v>0</v>
      </c>
      <c r="P239" s="66">
        <f>+'Tablas Servicio'!I272</f>
        <v>35.81</v>
      </c>
      <c r="Q239" s="66">
        <f>+'Tablas Servicio'!S272</f>
        <v>17033.62</v>
      </c>
      <c r="R239" s="66">
        <f>+'Tablas Servicio'!T272</f>
        <v>17033.62</v>
      </c>
      <c r="S239" s="66">
        <f t="shared" si="45"/>
        <v>26.241999999999997</v>
      </c>
      <c r="T239" s="66">
        <f t="shared" si="54"/>
        <v>4810.4219999999978</v>
      </c>
      <c r="U239" s="66">
        <f t="shared" si="50"/>
        <v>4810.4219999999978</v>
      </c>
      <c r="V239" s="81">
        <f t="shared" si="51"/>
        <v>0</v>
      </c>
      <c r="W239" s="66">
        <f t="shared" si="52"/>
        <v>0</v>
      </c>
      <c r="X239" s="66">
        <f t="shared" si="53"/>
        <v>4810.4219999999978</v>
      </c>
    </row>
    <row r="240" spans="1:24" x14ac:dyDescent="0.25">
      <c r="A240">
        <f>+'Tablas Servicio'!B273</f>
        <v>20</v>
      </c>
      <c r="B240">
        <f>+'Tablas Servicio'!C273</f>
        <v>232</v>
      </c>
      <c r="C240" s="56">
        <f>+'Tablas Servicio'!D273</f>
        <v>59.353333333333886</v>
      </c>
      <c r="D240" s="58">
        <f>+'Tablas Servicio'!N273</f>
        <v>94</v>
      </c>
      <c r="E240" s="66">
        <f>+'Tablas Servicio'!AC273</f>
        <v>42.1</v>
      </c>
      <c r="F240" s="66">
        <f>+IF(A240="","",'Tablas Servicio'!O273-'Modelo Financiero'!E240)</f>
        <v>1.3500000000000014</v>
      </c>
      <c r="G240" s="58">
        <f t="shared" si="46"/>
        <v>29.708000000000006</v>
      </c>
      <c r="H240" s="66">
        <f>+'Tablas Servicio'!G273</f>
        <v>55.95</v>
      </c>
      <c r="I240" s="72">
        <f t="shared" si="47"/>
        <v>0.22341376228775689</v>
      </c>
      <c r="J240" s="66">
        <f t="shared" si="48"/>
        <v>12.5</v>
      </c>
      <c r="K240" s="66">
        <f>+'Tablas Servicio'!H273</f>
        <v>58.19</v>
      </c>
      <c r="L240" s="66">
        <f>+IF(A240="","",ROUND(H240*Parámetros!$D$100,2))</f>
        <v>6.53</v>
      </c>
      <c r="M240" s="58">
        <f>+IF(A240="","",IF(AND(A240=1,B240=1),Parámetros!$D$114*(D240*frec-$G$3-$H$3),IF(AND(A240=2,B240=frec+1),Parámetros!$D$115*(D240*frec-$G$4-$H$4),0)))</f>
        <v>0</v>
      </c>
      <c r="N240" s="58">
        <f>+IF(A240="","",IF(A240&gt;Parámetros!$D$117,0,ROUND('Modelo Financiero'!D240*Parámetros!$D$116,2)))</f>
        <v>0</v>
      </c>
      <c r="O240" s="58">
        <f t="shared" si="49"/>
        <v>0</v>
      </c>
      <c r="P240" s="66">
        <f>+'Tablas Servicio'!I273</f>
        <v>35.81</v>
      </c>
      <c r="Q240" s="66">
        <f>+'Tablas Servicio'!S273</f>
        <v>17117.849999999999</v>
      </c>
      <c r="R240" s="66">
        <f>+'Tablas Servicio'!T273</f>
        <v>17117.849999999999</v>
      </c>
      <c r="S240" s="66">
        <f t="shared" si="45"/>
        <v>26.241999999999997</v>
      </c>
      <c r="T240" s="66">
        <f t="shared" si="54"/>
        <v>4836.6639999999979</v>
      </c>
      <c r="U240" s="66">
        <f t="shared" si="50"/>
        <v>4836.6639999999979</v>
      </c>
      <c r="V240" s="81">
        <f t="shared" si="51"/>
        <v>0</v>
      </c>
      <c r="W240" s="66">
        <f t="shared" si="52"/>
        <v>0</v>
      </c>
      <c r="X240" s="66">
        <f t="shared" si="53"/>
        <v>4836.6639999999979</v>
      </c>
    </row>
    <row r="241" spans="1:24" x14ac:dyDescent="0.25">
      <c r="A241">
        <f>+'Tablas Servicio'!B274</f>
        <v>20</v>
      </c>
      <c r="B241">
        <f>+'Tablas Servicio'!C274</f>
        <v>233</v>
      </c>
      <c r="C241" s="56">
        <f>+'Tablas Servicio'!D274</f>
        <v>59.436666666667222</v>
      </c>
      <c r="D241" s="58">
        <f>+'Tablas Servicio'!N274</f>
        <v>94</v>
      </c>
      <c r="E241" s="66">
        <f>+'Tablas Servicio'!AC274</f>
        <v>42.1</v>
      </c>
      <c r="F241" s="66">
        <f>+IF(A241="","",'Tablas Servicio'!O274-'Modelo Financiero'!E241)</f>
        <v>1.3500000000000014</v>
      </c>
      <c r="G241" s="58">
        <f t="shared" si="46"/>
        <v>29.708000000000006</v>
      </c>
      <c r="H241" s="66">
        <f>+'Tablas Servicio'!G274</f>
        <v>55.95</v>
      </c>
      <c r="I241" s="72">
        <f t="shared" si="47"/>
        <v>0.22341376228775689</v>
      </c>
      <c r="J241" s="66">
        <f t="shared" si="48"/>
        <v>12.5</v>
      </c>
      <c r="K241" s="66">
        <f>+'Tablas Servicio'!H274</f>
        <v>58.19</v>
      </c>
      <c r="L241" s="66">
        <f>+IF(A241="","",ROUND(H241*Parámetros!$D$100,2))</f>
        <v>6.53</v>
      </c>
      <c r="M241" s="58">
        <f>+IF(A241="","",IF(AND(A241=1,B241=1),Parámetros!$D$114*(D241*frec-$G$3-$H$3),IF(AND(A241=2,B241=frec+1),Parámetros!$D$115*(D241*frec-$G$4-$H$4),0)))</f>
        <v>0</v>
      </c>
      <c r="N241" s="58">
        <f>+IF(A241="","",IF(A241&gt;Parámetros!$D$117,0,ROUND('Modelo Financiero'!D241*Parámetros!$D$116,2)))</f>
        <v>0</v>
      </c>
      <c r="O241" s="58">
        <f t="shared" si="49"/>
        <v>0</v>
      </c>
      <c r="P241" s="66">
        <f>+'Tablas Servicio'!I274</f>
        <v>35.81</v>
      </c>
      <c r="Q241" s="66">
        <f>+'Tablas Servicio'!S274</f>
        <v>17202.32</v>
      </c>
      <c r="R241" s="66">
        <f>+'Tablas Servicio'!T274</f>
        <v>17202.32</v>
      </c>
      <c r="S241" s="66">
        <f t="shared" si="45"/>
        <v>26.241999999999997</v>
      </c>
      <c r="T241" s="66">
        <f t="shared" si="54"/>
        <v>4862.9059999999981</v>
      </c>
      <c r="U241" s="66">
        <f t="shared" si="50"/>
        <v>4862.9059999999981</v>
      </c>
      <c r="V241" s="81">
        <f t="shared" si="51"/>
        <v>0</v>
      </c>
      <c r="W241" s="66">
        <f t="shared" si="52"/>
        <v>0</v>
      </c>
      <c r="X241" s="66">
        <f t="shared" si="53"/>
        <v>4862.9059999999981</v>
      </c>
    </row>
    <row r="242" spans="1:24" x14ac:dyDescent="0.25">
      <c r="A242">
        <f>+'Tablas Servicio'!B275</f>
        <v>20</v>
      </c>
      <c r="B242">
        <f>+'Tablas Servicio'!C275</f>
        <v>234</v>
      </c>
      <c r="C242" s="56">
        <f>+'Tablas Servicio'!D275</f>
        <v>59.520000000000557</v>
      </c>
      <c r="D242" s="58">
        <f>+'Tablas Servicio'!N275</f>
        <v>94</v>
      </c>
      <c r="E242" s="66">
        <f>+'Tablas Servicio'!AC275</f>
        <v>42.1</v>
      </c>
      <c r="F242" s="66">
        <f>+IF(A242="","",'Tablas Servicio'!O275-'Modelo Financiero'!E242)</f>
        <v>1.3500000000000014</v>
      </c>
      <c r="G242" s="58">
        <f t="shared" si="46"/>
        <v>29.708000000000006</v>
      </c>
      <c r="H242" s="66">
        <f>+'Tablas Servicio'!G275</f>
        <v>55.95</v>
      </c>
      <c r="I242" s="72">
        <f t="shared" si="47"/>
        <v>0.22341376228775689</v>
      </c>
      <c r="J242" s="66">
        <f t="shared" si="48"/>
        <v>12.5</v>
      </c>
      <c r="K242" s="66">
        <f>+'Tablas Servicio'!H275</f>
        <v>58.19</v>
      </c>
      <c r="L242" s="66">
        <f>+IF(A242="","",ROUND(H242*Parámetros!$D$100,2))</f>
        <v>6.53</v>
      </c>
      <c r="M242" s="58">
        <f>+IF(A242="","",IF(AND(A242=1,B242=1),Parámetros!$D$114*(D242*frec-$G$3-$H$3),IF(AND(A242=2,B242=frec+1),Parámetros!$D$115*(D242*frec-$G$4-$H$4),0)))</f>
        <v>0</v>
      </c>
      <c r="N242" s="58">
        <f>+IF(A242="","",IF(A242&gt;Parámetros!$D$117,0,ROUND('Modelo Financiero'!D242*Parámetros!$D$116,2)))</f>
        <v>0</v>
      </c>
      <c r="O242" s="58">
        <f t="shared" si="49"/>
        <v>0</v>
      </c>
      <c r="P242" s="66">
        <f>+'Tablas Servicio'!I275</f>
        <v>35.81</v>
      </c>
      <c r="Q242" s="66">
        <f>+'Tablas Servicio'!S275</f>
        <v>17287.03</v>
      </c>
      <c r="R242" s="66">
        <f>+'Tablas Servicio'!T275</f>
        <v>17287.03</v>
      </c>
      <c r="S242" s="66">
        <f t="shared" si="45"/>
        <v>26.241999999999997</v>
      </c>
      <c r="T242" s="66">
        <f t="shared" si="54"/>
        <v>4889.1479999999983</v>
      </c>
      <c r="U242" s="66">
        <f t="shared" si="50"/>
        <v>4889.1479999999983</v>
      </c>
      <c r="V242" s="81">
        <f t="shared" si="51"/>
        <v>0</v>
      </c>
      <c r="W242" s="66">
        <f t="shared" si="52"/>
        <v>0</v>
      </c>
      <c r="X242" s="66">
        <f t="shared" si="53"/>
        <v>4889.1479999999983</v>
      </c>
    </row>
    <row r="243" spans="1:24" x14ac:dyDescent="0.25">
      <c r="A243">
        <f>+'Tablas Servicio'!B276</f>
        <v>20</v>
      </c>
      <c r="B243">
        <f>+'Tablas Servicio'!C276</f>
        <v>235</v>
      </c>
      <c r="C243" s="56">
        <f>+'Tablas Servicio'!D276</f>
        <v>59.603333333333893</v>
      </c>
      <c r="D243" s="58">
        <f>+'Tablas Servicio'!N276</f>
        <v>94</v>
      </c>
      <c r="E243" s="66">
        <f>+'Tablas Servicio'!AC276</f>
        <v>42.1</v>
      </c>
      <c r="F243" s="66">
        <f>+IF(A243="","",'Tablas Servicio'!O276-'Modelo Financiero'!E243)</f>
        <v>1.3500000000000014</v>
      </c>
      <c r="G243" s="58">
        <f t="shared" si="46"/>
        <v>29.708000000000006</v>
      </c>
      <c r="H243" s="66">
        <f>+'Tablas Servicio'!G276</f>
        <v>55.95</v>
      </c>
      <c r="I243" s="72">
        <f t="shared" si="47"/>
        <v>0.22341376228775689</v>
      </c>
      <c r="J243" s="66">
        <f t="shared" si="48"/>
        <v>12.5</v>
      </c>
      <c r="K243" s="66">
        <f>+'Tablas Servicio'!H276</f>
        <v>58.19</v>
      </c>
      <c r="L243" s="66">
        <f>+IF(A243="","",ROUND(H243*Parámetros!$D$100,2))</f>
        <v>6.53</v>
      </c>
      <c r="M243" s="58">
        <f>+IF(A243="","",IF(AND(A243=1,B243=1),Parámetros!$D$114*(D243*frec-$G$3-$H$3),IF(AND(A243=2,B243=frec+1),Parámetros!$D$115*(D243*frec-$G$4-$H$4),0)))</f>
        <v>0</v>
      </c>
      <c r="N243" s="58">
        <f>+IF(A243="","",IF(A243&gt;Parámetros!$D$117,0,ROUND('Modelo Financiero'!D243*Parámetros!$D$116,2)))</f>
        <v>0</v>
      </c>
      <c r="O243" s="58">
        <f t="shared" si="49"/>
        <v>0</v>
      </c>
      <c r="P243" s="66">
        <f>+'Tablas Servicio'!I276</f>
        <v>35.81</v>
      </c>
      <c r="Q243" s="66">
        <f>+'Tablas Servicio'!S276</f>
        <v>17371.98</v>
      </c>
      <c r="R243" s="66">
        <f>+'Tablas Servicio'!T276</f>
        <v>17371.98</v>
      </c>
      <c r="S243" s="66">
        <f t="shared" si="45"/>
        <v>26.241999999999997</v>
      </c>
      <c r="T243" s="66">
        <f t="shared" si="54"/>
        <v>4915.3899999999985</v>
      </c>
      <c r="U243" s="66">
        <f t="shared" si="50"/>
        <v>4915.3899999999985</v>
      </c>
      <c r="V243" s="81">
        <f t="shared" si="51"/>
        <v>0</v>
      </c>
      <c r="W243" s="66">
        <f t="shared" si="52"/>
        <v>0</v>
      </c>
      <c r="X243" s="66">
        <f t="shared" si="53"/>
        <v>4915.3899999999985</v>
      </c>
    </row>
    <row r="244" spans="1:24" x14ac:dyDescent="0.25">
      <c r="A244">
        <f>+'Tablas Servicio'!B277</f>
        <v>20</v>
      </c>
      <c r="B244">
        <f>+'Tablas Servicio'!C277</f>
        <v>236</v>
      </c>
      <c r="C244" s="56">
        <f>+'Tablas Servicio'!D277</f>
        <v>59.686666666667229</v>
      </c>
      <c r="D244" s="58">
        <f>+'Tablas Servicio'!N277</f>
        <v>94</v>
      </c>
      <c r="E244" s="66">
        <f>+'Tablas Servicio'!AC277</f>
        <v>42.1</v>
      </c>
      <c r="F244" s="66">
        <f>+IF(A244="","",'Tablas Servicio'!O277-'Modelo Financiero'!E244)</f>
        <v>1.3500000000000014</v>
      </c>
      <c r="G244" s="58">
        <f t="shared" si="46"/>
        <v>29.708000000000006</v>
      </c>
      <c r="H244" s="66">
        <f>+'Tablas Servicio'!G277</f>
        <v>55.95</v>
      </c>
      <c r="I244" s="72">
        <f t="shared" si="47"/>
        <v>0.22341376228775689</v>
      </c>
      <c r="J244" s="66">
        <f t="shared" si="48"/>
        <v>12.5</v>
      </c>
      <c r="K244" s="66">
        <f>+'Tablas Servicio'!H277</f>
        <v>58.19</v>
      </c>
      <c r="L244" s="66">
        <f>+IF(A244="","",ROUND(H244*Parámetros!$D$100,2))</f>
        <v>6.53</v>
      </c>
      <c r="M244" s="58">
        <f>+IF(A244="","",IF(AND(A244=1,B244=1),Parámetros!$D$114*(D244*frec-$G$3-$H$3),IF(AND(A244=2,B244=frec+1),Parámetros!$D$115*(D244*frec-$G$4-$H$4),0)))</f>
        <v>0</v>
      </c>
      <c r="N244" s="58">
        <f>+IF(A244="","",IF(A244&gt;Parámetros!$D$117,0,ROUND('Modelo Financiero'!D244*Parámetros!$D$116,2)))</f>
        <v>0</v>
      </c>
      <c r="O244" s="58">
        <f t="shared" si="49"/>
        <v>0</v>
      </c>
      <c r="P244" s="66">
        <f>+'Tablas Servicio'!I277</f>
        <v>35.81</v>
      </c>
      <c r="Q244" s="66">
        <f>+'Tablas Servicio'!S277</f>
        <v>17457.169999999998</v>
      </c>
      <c r="R244" s="66">
        <f>+'Tablas Servicio'!T277</f>
        <v>17457.169999999998</v>
      </c>
      <c r="S244" s="66">
        <f t="shared" si="45"/>
        <v>26.241999999999997</v>
      </c>
      <c r="T244" s="66">
        <f t="shared" si="54"/>
        <v>4941.6319999999987</v>
      </c>
      <c r="U244" s="66">
        <f t="shared" si="50"/>
        <v>4941.6319999999987</v>
      </c>
      <c r="V244" s="81">
        <f t="shared" si="51"/>
        <v>0</v>
      </c>
      <c r="W244" s="66">
        <f t="shared" si="52"/>
        <v>0</v>
      </c>
      <c r="X244" s="66">
        <f t="shared" si="53"/>
        <v>4941.6319999999987</v>
      </c>
    </row>
    <row r="245" spans="1:24" x14ac:dyDescent="0.25">
      <c r="A245">
        <f>+'Tablas Servicio'!B278</f>
        <v>20</v>
      </c>
      <c r="B245">
        <f>+'Tablas Servicio'!C278</f>
        <v>237</v>
      </c>
      <c r="C245" s="56">
        <f>+'Tablas Servicio'!D278</f>
        <v>59.770000000000564</v>
      </c>
      <c r="D245" s="58">
        <f>+'Tablas Servicio'!N278</f>
        <v>94</v>
      </c>
      <c r="E245" s="66">
        <f>+'Tablas Servicio'!AC278</f>
        <v>42.1</v>
      </c>
      <c r="F245" s="66">
        <f>+IF(A245="","",'Tablas Servicio'!O278-'Modelo Financiero'!E245)</f>
        <v>1.3500000000000014</v>
      </c>
      <c r="G245" s="58">
        <f t="shared" si="46"/>
        <v>29.708000000000006</v>
      </c>
      <c r="H245" s="66">
        <f>+'Tablas Servicio'!G278</f>
        <v>55.95</v>
      </c>
      <c r="I245" s="72">
        <f t="shared" si="47"/>
        <v>0.22341376228775689</v>
      </c>
      <c r="J245" s="66">
        <f t="shared" si="48"/>
        <v>12.5</v>
      </c>
      <c r="K245" s="66">
        <f>+'Tablas Servicio'!H278</f>
        <v>58.19</v>
      </c>
      <c r="L245" s="66">
        <f>+IF(A245="","",ROUND(H245*Parámetros!$D$100,2))</f>
        <v>6.53</v>
      </c>
      <c r="M245" s="58">
        <f>+IF(A245="","",IF(AND(A245=1,B245=1),Parámetros!$D$114*(D245*frec-$G$3-$H$3),IF(AND(A245=2,B245=frec+1),Parámetros!$D$115*(D245*frec-$G$4-$H$4),0)))</f>
        <v>0</v>
      </c>
      <c r="N245" s="58">
        <f>+IF(A245="","",IF(A245&gt;Parámetros!$D$117,0,ROUND('Modelo Financiero'!D245*Parámetros!$D$116,2)))</f>
        <v>0</v>
      </c>
      <c r="O245" s="58">
        <f t="shared" si="49"/>
        <v>0</v>
      </c>
      <c r="P245" s="66">
        <f>+'Tablas Servicio'!I278</f>
        <v>35.81</v>
      </c>
      <c r="Q245" s="66">
        <f>+'Tablas Servicio'!S278</f>
        <v>17542.599999999999</v>
      </c>
      <c r="R245" s="66">
        <f>+'Tablas Servicio'!T278</f>
        <v>17542.599999999999</v>
      </c>
      <c r="S245" s="66">
        <f t="shared" si="45"/>
        <v>26.241999999999997</v>
      </c>
      <c r="T245" s="66">
        <f t="shared" si="54"/>
        <v>4967.8739999999989</v>
      </c>
      <c r="U245" s="66">
        <f t="shared" si="50"/>
        <v>4967.8739999999989</v>
      </c>
      <c r="V245" s="81">
        <f t="shared" si="51"/>
        <v>0</v>
      </c>
      <c r="W245" s="66">
        <f t="shared" si="52"/>
        <v>0</v>
      </c>
      <c r="X245" s="66">
        <f t="shared" si="53"/>
        <v>4967.8739999999989</v>
      </c>
    </row>
    <row r="246" spans="1:24" x14ac:dyDescent="0.25">
      <c r="A246">
        <f>+'Tablas Servicio'!B279</f>
        <v>20</v>
      </c>
      <c r="B246">
        <f>+'Tablas Servicio'!C279</f>
        <v>238</v>
      </c>
      <c r="C246" s="56">
        <f>+'Tablas Servicio'!D279</f>
        <v>59.8533333333339</v>
      </c>
      <c r="D246" s="58">
        <f>+'Tablas Servicio'!N279</f>
        <v>94</v>
      </c>
      <c r="E246" s="66">
        <f>+'Tablas Servicio'!AC279</f>
        <v>42.1</v>
      </c>
      <c r="F246" s="66">
        <f>+IF(A246="","",'Tablas Servicio'!O279-'Modelo Financiero'!E246)</f>
        <v>1.3500000000000014</v>
      </c>
      <c r="G246" s="58">
        <f t="shared" si="46"/>
        <v>29.708000000000006</v>
      </c>
      <c r="H246" s="66">
        <f>+'Tablas Servicio'!G279</f>
        <v>55.95</v>
      </c>
      <c r="I246" s="72">
        <f t="shared" si="47"/>
        <v>0.22341376228775689</v>
      </c>
      <c r="J246" s="66">
        <f t="shared" si="48"/>
        <v>12.5</v>
      </c>
      <c r="K246" s="66">
        <f>+'Tablas Servicio'!H279</f>
        <v>58.19</v>
      </c>
      <c r="L246" s="66">
        <f>+IF(A246="","",ROUND(H246*Parámetros!$D$100,2))</f>
        <v>6.53</v>
      </c>
      <c r="M246" s="58">
        <f>+IF(A246="","",IF(AND(A246=1,B246=1),Parámetros!$D$114*(D246*frec-$G$3-$H$3),IF(AND(A246=2,B246=frec+1),Parámetros!$D$115*(D246*frec-$G$4-$H$4),0)))</f>
        <v>0</v>
      </c>
      <c r="N246" s="58">
        <f>+IF(A246="","",IF(A246&gt;Parámetros!$D$117,0,ROUND('Modelo Financiero'!D246*Parámetros!$D$116,2)))</f>
        <v>0</v>
      </c>
      <c r="O246" s="58">
        <f t="shared" si="49"/>
        <v>0</v>
      </c>
      <c r="P246" s="66">
        <f>+'Tablas Servicio'!I279</f>
        <v>35.81</v>
      </c>
      <c r="Q246" s="66">
        <f>+'Tablas Servicio'!S279</f>
        <v>17628.27</v>
      </c>
      <c r="R246" s="66">
        <f>+'Tablas Servicio'!T279</f>
        <v>17628.27</v>
      </c>
      <c r="S246" s="66">
        <f t="shared" si="45"/>
        <v>26.241999999999997</v>
      </c>
      <c r="T246" s="66">
        <f t="shared" si="54"/>
        <v>4994.1159999999991</v>
      </c>
      <c r="U246" s="66">
        <f t="shared" si="50"/>
        <v>4994.1159999999991</v>
      </c>
      <c r="V246" s="81">
        <f t="shared" si="51"/>
        <v>0</v>
      </c>
      <c r="W246" s="66">
        <f t="shared" si="52"/>
        <v>0</v>
      </c>
      <c r="X246" s="66">
        <f t="shared" si="53"/>
        <v>4994.1159999999991</v>
      </c>
    </row>
    <row r="247" spans="1:24" x14ac:dyDescent="0.25">
      <c r="A247">
        <f>+'Tablas Servicio'!B280</f>
        <v>20</v>
      </c>
      <c r="B247">
        <f>+'Tablas Servicio'!C280</f>
        <v>239</v>
      </c>
      <c r="C247" s="56">
        <f>+'Tablas Servicio'!D280</f>
        <v>59.936666666667236</v>
      </c>
      <c r="D247" s="58">
        <f>+'Tablas Servicio'!N280</f>
        <v>94</v>
      </c>
      <c r="E247" s="66">
        <f>+'Tablas Servicio'!AC280</f>
        <v>42.1</v>
      </c>
      <c r="F247" s="66">
        <f>+IF(A247="","",'Tablas Servicio'!O280-'Modelo Financiero'!E247)</f>
        <v>1.3500000000000014</v>
      </c>
      <c r="G247" s="58">
        <f t="shared" si="46"/>
        <v>29.708000000000006</v>
      </c>
      <c r="H247" s="66">
        <f>+'Tablas Servicio'!G280</f>
        <v>55.95</v>
      </c>
      <c r="I247" s="72">
        <f t="shared" si="47"/>
        <v>0.22341376228775689</v>
      </c>
      <c r="J247" s="66">
        <f t="shared" si="48"/>
        <v>12.5</v>
      </c>
      <c r="K247" s="66">
        <f>+'Tablas Servicio'!H280</f>
        <v>58.19</v>
      </c>
      <c r="L247" s="66">
        <f>+IF(A247="","",ROUND(H247*Parámetros!$D$100,2))</f>
        <v>6.53</v>
      </c>
      <c r="M247" s="58">
        <f>+IF(A247="","",IF(AND(A247=1,B247=1),Parámetros!$D$114*(D247*frec-$G$3-$H$3),IF(AND(A247=2,B247=frec+1),Parámetros!$D$115*(D247*frec-$G$4-$H$4),0)))</f>
        <v>0</v>
      </c>
      <c r="N247" s="58">
        <f>+IF(A247="","",IF(A247&gt;Parámetros!$D$117,0,ROUND('Modelo Financiero'!D247*Parámetros!$D$116,2)))</f>
        <v>0</v>
      </c>
      <c r="O247" s="58">
        <f t="shared" si="49"/>
        <v>0</v>
      </c>
      <c r="P247" s="66">
        <f>+'Tablas Servicio'!I280</f>
        <v>35.81</v>
      </c>
      <c r="Q247" s="66">
        <f>+'Tablas Servicio'!S280</f>
        <v>17714.18</v>
      </c>
      <c r="R247" s="66">
        <f>+'Tablas Servicio'!T280</f>
        <v>17714.18</v>
      </c>
      <c r="S247" s="66">
        <f t="shared" si="45"/>
        <v>26.241999999999997</v>
      </c>
      <c r="T247" s="66">
        <f t="shared" si="54"/>
        <v>5020.3579999999993</v>
      </c>
      <c r="U247" s="66">
        <f t="shared" si="50"/>
        <v>5020.3579999999993</v>
      </c>
      <c r="V247" s="81">
        <f t="shared" si="51"/>
        <v>0</v>
      </c>
      <c r="W247" s="66">
        <f t="shared" si="52"/>
        <v>0</v>
      </c>
      <c r="X247" s="66">
        <f t="shared" si="53"/>
        <v>5020.3579999999993</v>
      </c>
    </row>
    <row r="248" spans="1:24" x14ac:dyDescent="0.25">
      <c r="A248">
        <f>+'Tablas Servicio'!B281</f>
        <v>20</v>
      </c>
      <c r="B248">
        <f>+'Tablas Servicio'!C281</f>
        <v>240</v>
      </c>
      <c r="C248" s="56">
        <f>+'Tablas Servicio'!D281</f>
        <v>60.020000000000572</v>
      </c>
      <c r="D248" s="58">
        <f>+'Tablas Servicio'!N281</f>
        <v>94</v>
      </c>
      <c r="E248" s="66">
        <f>+'Tablas Servicio'!AC281</f>
        <v>42.1</v>
      </c>
      <c r="F248" s="66">
        <f>+IF(A248="","",'Tablas Servicio'!O281-'Modelo Financiero'!E248)</f>
        <v>1.3500000000000014</v>
      </c>
      <c r="G248" s="58">
        <f t="shared" si="46"/>
        <v>29.708000000000006</v>
      </c>
      <c r="H248" s="66">
        <f>+'Tablas Servicio'!G281</f>
        <v>55.95</v>
      </c>
      <c r="I248" s="72">
        <f t="shared" si="47"/>
        <v>0.22341376228775689</v>
      </c>
      <c r="J248" s="66">
        <f t="shared" si="48"/>
        <v>12.5</v>
      </c>
      <c r="K248" s="66">
        <f>+'Tablas Servicio'!H281</f>
        <v>58.19</v>
      </c>
      <c r="L248" s="66">
        <f>+IF(A248="","",ROUND(H248*Parámetros!$D$100,2))</f>
        <v>6.53</v>
      </c>
      <c r="M248" s="58">
        <f>+IF(A248="","",IF(AND(A248=1,B248=1),Parámetros!$D$114*(D248*frec-$G$3-$H$3),IF(AND(A248=2,B248=frec+1),Parámetros!$D$115*(D248*frec-$G$4-$H$4),0)))</f>
        <v>0</v>
      </c>
      <c r="N248" s="58">
        <f>+IF(A248="","",IF(A248&gt;Parámetros!$D$117,0,ROUND('Modelo Financiero'!D248*Parámetros!$D$116,2)))</f>
        <v>0</v>
      </c>
      <c r="O248" s="58">
        <f t="shared" si="49"/>
        <v>0</v>
      </c>
      <c r="P248" s="66">
        <f>+'Tablas Servicio'!I281</f>
        <v>35.81</v>
      </c>
      <c r="Q248" s="66">
        <f>+'Tablas Servicio'!S281</f>
        <v>17800.34</v>
      </c>
      <c r="R248" s="66">
        <f>+'Tablas Servicio'!T281</f>
        <v>17800.34</v>
      </c>
      <c r="S248" s="66">
        <f t="shared" si="45"/>
        <v>26.241999999999997</v>
      </c>
      <c r="T248" s="66">
        <f t="shared" si="54"/>
        <v>5046.5999999999995</v>
      </c>
      <c r="U248" s="66">
        <f t="shared" si="50"/>
        <v>5046.5999999999995</v>
      </c>
      <c r="V248" s="81">
        <f t="shared" si="51"/>
        <v>0</v>
      </c>
      <c r="W248" s="66">
        <f t="shared" si="52"/>
        <v>0</v>
      </c>
      <c r="X248" s="66">
        <f t="shared" si="53"/>
        <v>5046.5999999999995</v>
      </c>
    </row>
    <row r="249" spans="1:24" x14ac:dyDescent="0.25">
      <c r="A249">
        <f>+'Tablas Servicio'!B282</f>
        <v>21</v>
      </c>
      <c r="B249">
        <f>+'Tablas Servicio'!C282</f>
        <v>241</v>
      </c>
      <c r="C249" s="56">
        <f>+'Tablas Servicio'!D282</f>
        <v>60.103333333333907</v>
      </c>
      <c r="D249" s="58">
        <f>+'Tablas Servicio'!N282</f>
        <v>94</v>
      </c>
      <c r="E249" s="66">
        <f>+'Tablas Servicio'!AC282</f>
        <v>45.1</v>
      </c>
      <c r="F249" s="66">
        <f>+IF(A249="","",'Tablas Servicio'!O282-'Modelo Financiero'!E249)</f>
        <v>1.9500000000000028</v>
      </c>
      <c r="G249" s="58">
        <f t="shared" si="46"/>
        <v>32.228000000000009</v>
      </c>
      <c r="H249" s="66">
        <f>+'Tablas Servicio'!G282</f>
        <v>59.550000000000004</v>
      </c>
      <c r="I249" s="72">
        <f t="shared" si="47"/>
        <v>0.20990764063811918</v>
      </c>
      <c r="J249" s="66">
        <f t="shared" si="48"/>
        <v>12.5</v>
      </c>
      <c r="K249" s="66">
        <f>+'Tablas Servicio'!H282</f>
        <v>61.94</v>
      </c>
      <c r="L249" s="66">
        <f>+IF(A249="","",ROUND(H249*Parámetros!$D$100,2))</f>
        <v>6.95</v>
      </c>
      <c r="M249" s="58">
        <f>+IF(A249="","",IF(AND(A249=1,B249=1),Parámetros!$D$114*(D249*frec-$G$3-$H$3),IF(AND(A249=2,B249=frec+1),Parámetros!$D$115*(D249*frec-$G$4-$H$4),0)))</f>
        <v>0</v>
      </c>
      <c r="N249" s="58">
        <f>+IF(A249="","",IF(A249&gt;Parámetros!$D$117,0,ROUND('Modelo Financiero'!D249*Parámetros!$D$116,2)))</f>
        <v>0</v>
      </c>
      <c r="O249" s="58">
        <f t="shared" si="49"/>
        <v>0</v>
      </c>
      <c r="P249" s="66">
        <f>+'Tablas Servicio'!I282</f>
        <v>32.06</v>
      </c>
      <c r="Q249" s="66">
        <f>+'Tablas Servicio'!S282</f>
        <v>17882.98</v>
      </c>
      <c r="R249" s="66">
        <f>+'Tablas Servicio'!T282</f>
        <v>17882.98</v>
      </c>
      <c r="S249" s="66">
        <f t="shared" si="45"/>
        <v>27.321999999999996</v>
      </c>
      <c r="T249" s="66">
        <f t="shared" si="54"/>
        <v>5073.9219999999996</v>
      </c>
      <c r="U249" s="66">
        <f t="shared" si="50"/>
        <v>5073.9219999999996</v>
      </c>
      <c r="V249" s="81">
        <f t="shared" si="51"/>
        <v>0</v>
      </c>
      <c r="W249" s="66">
        <f t="shared" si="52"/>
        <v>0</v>
      </c>
      <c r="X249" s="66">
        <f t="shared" si="53"/>
        <v>5073.9219999999996</v>
      </c>
    </row>
    <row r="250" spans="1:24" x14ac:dyDescent="0.25">
      <c r="A250">
        <f>+'Tablas Servicio'!B283</f>
        <v>21</v>
      </c>
      <c r="B250">
        <f>+'Tablas Servicio'!C283</f>
        <v>242</v>
      </c>
      <c r="C250" s="56">
        <f>+'Tablas Servicio'!D283</f>
        <v>60.186666666667243</v>
      </c>
      <c r="D250" s="58">
        <f>+'Tablas Servicio'!N283</f>
        <v>94</v>
      </c>
      <c r="E250" s="66">
        <f>+'Tablas Servicio'!AC283</f>
        <v>45.1</v>
      </c>
      <c r="F250" s="66">
        <f>+IF(A250="","",'Tablas Servicio'!O283-'Modelo Financiero'!E250)</f>
        <v>1.9500000000000028</v>
      </c>
      <c r="G250" s="58">
        <f t="shared" si="46"/>
        <v>32.228000000000009</v>
      </c>
      <c r="H250" s="66">
        <f>+'Tablas Servicio'!G283</f>
        <v>59.550000000000004</v>
      </c>
      <c r="I250" s="72">
        <f t="shared" si="47"/>
        <v>0.20990764063811918</v>
      </c>
      <c r="J250" s="66">
        <f t="shared" si="48"/>
        <v>12.5</v>
      </c>
      <c r="K250" s="66">
        <f>+'Tablas Servicio'!H283</f>
        <v>61.94</v>
      </c>
      <c r="L250" s="66">
        <f>+IF(A250="","",ROUND(H250*Parámetros!$D$100,2))</f>
        <v>6.95</v>
      </c>
      <c r="M250" s="58">
        <f>+IF(A250="","",IF(AND(A250=1,B250=1),Parámetros!$D$114*(D250*frec-$G$3-$H$3),IF(AND(A250=2,B250=frec+1),Parámetros!$D$115*(D250*frec-$G$4-$H$4),0)))</f>
        <v>0</v>
      </c>
      <c r="N250" s="58">
        <f>+IF(A250="","",IF(A250&gt;Parámetros!$D$117,0,ROUND('Modelo Financiero'!D250*Parámetros!$D$116,2)))</f>
        <v>0</v>
      </c>
      <c r="O250" s="58">
        <f t="shared" si="49"/>
        <v>0</v>
      </c>
      <c r="P250" s="66">
        <f>+'Tablas Servicio'!I283</f>
        <v>32.06</v>
      </c>
      <c r="Q250" s="66">
        <f>+'Tablas Servicio'!S283</f>
        <v>17965.86</v>
      </c>
      <c r="R250" s="66">
        <f>+'Tablas Servicio'!T283</f>
        <v>17965.86</v>
      </c>
      <c r="S250" s="66">
        <f t="shared" si="45"/>
        <v>27.321999999999996</v>
      </c>
      <c r="T250" s="66">
        <f t="shared" si="54"/>
        <v>5101.2439999999997</v>
      </c>
      <c r="U250" s="66">
        <f t="shared" si="50"/>
        <v>5101.2439999999997</v>
      </c>
      <c r="V250" s="81">
        <f t="shared" si="51"/>
        <v>0</v>
      </c>
      <c r="W250" s="66">
        <f t="shared" si="52"/>
        <v>0</v>
      </c>
      <c r="X250" s="66">
        <f t="shared" si="53"/>
        <v>5101.2439999999997</v>
      </c>
    </row>
    <row r="251" spans="1:24" x14ac:dyDescent="0.25">
      <c r="A251">
        <f>+'Tablas Servicio'!B284</f>
        <v>21</v>
      </c>
      <c r="B251">
        <f>+'Tablas Servicio'!C284</f>
        <v>243</v>
      </c>
      <c r="C251" s="56">
        <f>+'Tablas Servicio'!D284</f>
        <v>60.270000000000579</v>
      </c>
      <c r="D251" s="58">
        <f>+'Tablas Servicio'!N284</f>
        <v>94</v>
      </c>
      <c r="E251" s="66">
        <f>+'Tablas Servicio'!AC284</f>
        <v>45.1</v>
      </c>
      <c r="F251" s="66">
        <f>+IF(A251="","",'Tablas Servicio'!O284-'Modelo Financiero'!E251)</f>
        <v>1.9500000000000028</v>
      </c>
      <c r="G251" s="58">
        <f t="shared" si="46"/>
        <v>32.228000000000009</v>
      </c>
      <c r="H251" s="66">
        <f>+'Tablas Servicio'!G284</f>
        <v>59.550000000000004</v>
      </c>
      <c r="I251" s="72">
        <f t="shared" si="47"/>
        <v>0.20990764063811918</v>
      </c>
      <c r="J251" s="66">
        <f t="shared" si="48"/>
        <v>12.5</v>
      </c>
      <c r="K251" s="66">
        <f>+'Tablas Servicio'!H284</f>
        <v>61.94</v>
      </c>
      <c r="L251" s="66">
        <f>+IF(A251="","",ROUND(H251*Parámetros!$D$100,2))</f>
        <v>6.95</v>
      </c>
      <c r="M251" s="58">
        <f>+IF(A251="","",IF(AND(A251=1,B251=1),Parámetros!$D$114*(D251*frec-$G$3-$H$3),IF(AND(A251=2,B251=frec+1),Parámetros!$D$115*(D251*frec-$G$4-$H$4),0)))</f>
        <v>0</v>
      </c>
      <c r="N251" s="58">
        <f>+IF(A251="","",IF(A251&gt;Parámetros!$D$117,0,ROUND('Modelo Financiero'!D251*Parámetros!$D$116,2)))</f>
        <v>0</v>
      </c>
      <c r="O251" s="58">
        <f t="shared" si="49"/>
        <v>0</v>
      </c>
      <c r="P251" s="66">
        <f>+'Tablas Servicio'!I284</f>
        <v>32.06</v>
      </c>
      <c r="Q251" s="66">
        <f>+'Tablas Servicio'!S284</f>
        <v>18048.97</v>
      </c>
      <c r="R251" s="66">
        <f>+'Tablas Servicio'!T284</f>
        <v>18048.97</v>
      </c>
      <c r="S251" s="66">
        <f t="shared" si="45"/>
        <v>27.321999999999996</v>
      </c>
      <c r="T251" s="66">
        <f t="shared" si="54"/>
        <v>5128.5659999999998</v>
      </c>
      <c r="U251" s="66">
        <f t="shared" si="50"/>
        <v>5128.5659999999998</v>
      </c>
      <c r="V251" s="81">
        <f t="shared" si="51"/>
        <v>0</v>
      </c>
      <c r="W251" s="66">
        <f t="shared" si="52"/>
        <v>0</v>
      </c>
      <c r="X251" s="66">
        <f t="shared" si="53"/>
        <v>5128.5659999999998</v>
      </c>
    </row>
    <row r="252" spans="1:24" x14ac:dyDescent="0.25">
      <c r="A252">
        <f>+'Tablas Servicio'!B285</f>
        <v>21</v>
      </c>
      <c r="B252">
        <f>+'Tablas Servicio'!C285</f>
        <v>244</v>
      </c>
      <c r="C252" s="56">
        <f>+'Tablas Servicio'!D285</f>
        <v>60.353333333333914</v>
      </c>
      <c r="D252" s="58">
        <f>+'Tablas Servicio'!N285</f>
        <v>94</v>
      </c>
      <c r="E252" s="66">
        <f>+'Tablas Servicio'!AC285</f>
        <v>45.1</v>
      </c>
      <c r="F252" s="66">
        <f>+IF(A252="","",'Tablas Servicio'!O285-'Modelo Financiero'!E252)</f>
        <v>1.9500000000000028</v>
      </c>
      <c r="G252" s="58">
        <f t="shared" si="46"/>
        <v>32.228000000000009</v>
      </c>
      <c r="H252" s="66">
        <f>+'Tablas Servicio'!G285</f>
        <v>59.550000000000004</v>
      </c>
      <c r="I252" s="72">
        <f t="shared" si="47"/>
        <v>0.20990764063811918</v>
      </c>
      <c r="J252" s="66">
        <f t="shared" si="48"/>
        <v>12.5</v>
      </c>
      <c r="K252" s="66">
        <f>+'Tablas Servicio'!H285</f>
        <v>61.94</v>
      </c>
      <c r="L252" s="66">
        <f>+IF(A252="","",ROUND(H252*Parámetros!$D$100,2))</f>
        <v>6.95</v>
      </c>
      <c r="M252" s="58">
        <f>+IF(A252="","",IF(AND(A252=1,B252=1),Parámetros!$D$114*(D252*frec-$G$3-$H$3),IF(AND(A252=2,B252=frec+1),Parámetros!$D$115*(D252*frec-$G$4-$H$4),0)))</f>
        <v>0</v>
      </c>
      <c r="N252" s="58">
        <f>+IF(A252="","",IF(A252&gt;Parámetros!$D$117,0,ROUND('Modelo Financiero'!D252*Parámetros!$D$116,2)))</f>
        <v>0</v>
      </c>
      <c r="O252" s="58">
        <f t="shared" si="49"/>
        <v>0</v>
      </c>
      <c r="P252" s="66">
        <f>+'Tablas Servicio'!I285</f>
        <v>32.06</v>
      </c>
      <c r="Q252" s="66">
        <f>+'Tablas Servicio'!S285</f>
        <v>18132.32</v>
      </c>
      <c r="R252" s="66">
        <f>+'Tablas Servicio'!T285</f>
        <v>18132.32</v>
      </c>
      <c r="S252" s="66">
        <f t="shared" si="45"/>
        <v>27.321999999999996</v>
      </c>
      <c r="T252" s="66">
        <f t="shared" si="54"/>
        <v>5155.8879999999999</v>
      </c>
      <c r="U252" s="66">
        <f t="shared" si="50"/>
        <v>5155.8879999999999</v>
      </c>
      <c r="V252" s="81">
        <f t="shared" si="51"/>
        <v>0</v>
      </c>
      <c r="W252" s="66">
        <f t="shared" si="52"/>
        <v>0</v>
      </c>
      <c r="X252" s="66">
        <f t="shared" si="53"/>
        <v>5155.8879999999999</v>
      </c>
    </row>
    <row r="253" spans="1:24" x14ac:dyDescent="0.25">
      <c r="A253">
        <f>+'Tablas Servicio'!B286</f>
        <v>21</v>
      </c>
      <c r="B253">
        <f>+'Tablas Servicio'!C286</f>
        <v>245</v>
      </c>
      <c r="C253" s="56">
        <f>+'Tablas Servicio'!D286</f>
        <v>60.43666666666725</v>
      </c>
      <c r="D253" s="58">
        <f>+'Tablas Servicio'!N286</f>
        <v>94</v>
      </c>
      <c r="E253" s="66">
        <f>+'Tablas Servicio'!AC286</f>
        <v>45.1</v>
      </c>
      <c r="F253" s="66">
        <f>+IF(A253="","",'Tablas Servicio'!O286-'Modelo Financiero'!E253)</f>
        <v>1.9500000000000028</v>
      </c>
      <c r="G253" s="58">
        <f t="shared" si="46"/>
        <v>32.228000000000009</v>
      </c>
      <c r="H253" s="66">
        <f>+'Tablas Servicio'!G286</f>
        <v>59.550000000000004</v>
      </c>
      <c r="I253" s="72">
        <f t="shared" si="47"/>
        <v>0.20990764063811918</v>
      </c>
      <c r="J253" s="66">
        <f t="shared" si="48"/>
        <v>12.5</v>
      </c>
      <c r="K253" s="66">
        <f>+'Tablas Servicio'!H286</f>
        <v>61.94</v>
      </c>
      <c r="L253" s="66">
        <f>+IF(A253="","",ROUND(H253*Parámetros!$D$100,2))</f>
        <v>6.95</v>
      </c>
      <c r="M253" s="58">
        <f>+IF(A253="","",IF(AND(A253=1,B253=1),Parámetros!$D$114*(D253*frec-$G$3-$H$3),IF(AND(A253=2,B253=frec+1),Parámetros!$D$115*(D253*frec-$G$4-$H$4),0)))</f>
        <v>0</v>
      </c>
      <c r="N253" s="58">
        <f>+IF(A253="","",IF(A253&gt;Parámetros!$D$117,0,ROUND('Modelo Financiero'!D253*Parámetros!$D$116,2)))</f>
        <v>0</v>
      </c>
      <c r="O253" s="58">
        <f t="shared" si="49"/>
        <v>0</v>
      </c>
      <c r="P253" s="66">
        <f>+'Tablas Servicio'!I286</f>
        <v>32.06</v>
      </c>
      <c r="Q253" s="66">
        <f>+'Tablas Servicio'!S286</f>
        <v>18215.900000000001</v>
      </c>
      <c r="R253" s="66">
        <f>+'Tablas Servicio'!T286</f>
        <v>18215.900000000001</v>
      </c>
      <c r="S253" s="66">
        <f t="shared" si="45"/>
        <v>27.321999999999996</v>
      </c>
      <c r="T253" s="66">
        <f t="shared" si="54"/>
        <v>5183.21</v>
      </c>
      <c r="U253" s="66">
        <f t="shared" si="50"/>
        <v>5183.21</v>
      </c>
      <c r="V253" s="81">
        <f t="shared" si="51"/>
        <v>0</v>
      </c>
      <c r="W253" s="66">
        <f t="shared" si="52"/>
        <v>0</v>
      </c>
      <c r="X253" s="66">
        <f t="shared" si="53"/>
        <v>5183.21</v>
      </c>
    </row>
    <row r="254" spans="1:24" x14ac:dyDescent="0.25">
      <c r="A254">
        <f>+'Tablas Servicio'!B287</f>
        <v>21</v>
      </c>
      <c r="B254">
        <f>+'Tablas Servicio'!C287</f>
        <v>246</v>
      </c>
      <c r="C254" s="56">
        <f>+'Tablas Servicio'!D287</f>
        <v>60.520000000000586</v>
      </c>
      <c r="D254" s="58">
        <f>+'Tablas Servicio'!N287</f>
        <v>94</v>
      </c>
      <c r="E254" s="66">
        <f>+'Tablas Servicio'!AC287</f>
        <v>45.1</v>
      </c>
      <c r="F254" s="66">
        <f>+IF(A254="","",'Tablas Servicio'!O287-'Modelo Financiero'!E254)</f>
        <v>1.9500000000000028</v>
      </c>
      <c r="G254" s="58">
        <f t="shared" si="46"/>
        <v>32.228000000000009</v>
      </c>
      <c r="H254" s="66">
        <f>+'Tablas Servicio'!G287</f>
        <v>59.550000000000004</v>
      </c>
      <c r="I254" s="72">
        <f t="shared" si="47"/>
        <v>0.20990764063811918</v>
      </c>
      <c r="J254" s="66">
        <f t="shared" si="48"/>
        <v>12.5</v>
      </c>
      <c r="K254" s="66">
        <f>+'Tablas Servicio'!H287</f>
        <v>61.94</v>
      </c>
      <c r="L254" s="66">
        <f>+IF(A254="","",ROUND(H254*Parámetros!$D$100,2))</f>
        <v>6.95</v>
      </c>
      <c r="M254" s="58">
        <f>+IF(A254="","",IF(AND(A254=1,B254=1),Parámetros!$D$114*(D254*frec-$G$3-$H$3),IF(AND(A254=2,B254=frec+1),Parámetros!$D$115*(D254*frec-$G$4-$H$4),0)))</f>
        <v>0</v>
      </c>
      <c r="N254" s="58">
        <f>+IF(A254="","",IF(A254&gt;Parámetros!$D$117,0,ROUND('Modelo Financiero'!D254*Parámetros!$D$116,2)))</f>
        <v>0</v>
      </c>
      <c r="O254" s="58">
        <f t="shared" si="49"/>
        <v>0</v>
      </c>
      <c r="P254" s="66">
        <f>+'Tablas Servicio'!I287</f>
        <v>32.06</v>
      </c>
      <c r="Q254" s="66">
        <f>+'Tablas Servicio'!S287</f>
        <v>18299.72</v>
      </c>
      <c r="R254" s="66">
        <f>+'Tablas Servicio'!T287</f>
        <v>18299.72</v>
      </c>
      <c r="S254" s="66">
        <f t="shared" si="45"/>
        <v>27.321999999999996</v>
      </c>
      <c r="T254" s="66">
        <f t="shared" si="54"/>
        <v>5210.5320000000002</v>
      </c>
      <c r="U254" s="66">
        <f t="shared" si="50"/>
        <v>5210.5320000000002</v>
      </c>
      <c r="V254" s="81">
        <f t="shared" si="51"/>
        <v>0</v>
      </c>
      <c r="W254" s="66">
        <f t="shared" si="52"/>
        <v>0</v>
      </c>
      <c r="X254" s="66">
        <f t="shared" si="53"/>
        <v>5210.5320000000002</v>
      </c>
    </row>
    <row r="255" spans="1:24" x14ac:dyDescent="0.25">
      <c r="A255">
        <f>+'Tablas Servicio'!B288</f>
        <v>21</v>
      </c>
      <c r="B255">
        <f>+'Tablas Servicio'!C288</f>
        <v>247</v>
      </c>
      <c r="C255" s="56">
        <f>+'Tablas Servicio'!D288</f>
        <v>60.603333333333921</v>
      </c>
      <c r="D255" s="58">
        <f>+'Tablas Servicio'!N288</f>
        <v>94</v>
      </c>
      <c r="E255" s="66">
        <f>+'Tablas Servicio'!AC288</f>
        <v>45.1</v>
      </c>
      <c r="F255" s="66">
        <f>+IF(A255="","",'Tablas Servicio'!O288-'Modelo Financiero'!E255)</f>
        <v>1.9500000000000028</v>
      </c>
      <c r="G255" s="58">
        <f t="shared" si="46"/>
        <v>32.228000000000009</v>
      </c>
      <c r="H255" s="66">
        <f>+'Tablas Servicio'!G288</f>
        <v>59.550000000000004</v>
      </c>
      <c r="I255" s="72">
        <f t="shared" si="47"/>
        <v>0.20990764063811918</v>
      </c>
      <c r="J255" s="66">
        <f t="shared" si="48"/>
        <v>12.5</v>
      </c>
      <c r="K255" s="66">
        <f>+'Tablas Servicio'!H288</f>
        <v>61.94</v>
      </c>
      <c r="L255" s="66">
        <f>+IF(A255="","",ROUND(H255*Parámetros!$D$100,2))</f>
        <v>6.95</v>
      </c>
      <c r="M255" s="58">
        <f>+IF(A255="","",IF(AND(A255=1,B255=1),Parámetros!$D$114*(D255*frec-$G$3-$H$3),IF(AND(A255=2,B255=frec+1),Parámetros!$D$115*(D255*frec-$G$4-$H$4),0)))</f>
        <v>0</v>
      </c>
      <c r="N255" s="58">
        <f>+IF(A255="","",IF(A255&gt;Parámetros!$D$117,0,ROUND('Modelo Financiero'!D255*Parámetros!$D$116,2)))</f>
        <v>0</v>
      </c>
      <c r="O255" s="58">
        <f t="shared" si="49"/>
        <v>0</v>
      </c>
      <c r="P255" s="66">
        <f>+'Tablas Servicio'!I288</f>
        <v>32.06</v>
      </c>
      <c r="Q255" s="66">
        <f>+'Tablas Servicio'!S288</f>
        <v>18383.78</v>
      </c>
      <c r="R255" s="66">
        <f>+'Tablas Servicio'!T288</f>
        <v>18383.78</v>
      </c>
      <c r="S255" s="66">
        <f t="shared" si="45"/>
        <v>27.321999999999996</v>
      </c>
      <c r="T255" s="66">
        <f t="shared" si="54"/>
        <v>5237.8540000000003</v>
      </c>
      <c r="U255" s="66">
        <f t="shared" si="50"/>
        <v>5237.8540000000003</v>
      </c>
      <c r="V255" s="81">
        <f t="shared" si="51"/>
        <v>0</v>
      </c>
      <c r="W255" s="66">
        <f t="shared" si="52"/>
        <v>0</v>
      </c>
      <c r="X255" s="66">
        <f t="shared" si="53"/>
        <v>5237.8540000000003</v>
      </c>
    </row>
    <row r="256" spans="1:24" x14ac:dyDescent="0.25">
      <c r="A256">
        <f>+'Tablas Servicio'!B289</f>
        <v>21</v>
      </c>
      <c r="B256">
        <f>+'Tablas Servicio'!C289</f>
        <v>248</v>
      </c>
      <c r="C256" s="56">
        <f>+'Tablas Servicio'!D289</f>
        <v>60.686666666667257</v>
      </c>
      <c r="D256" s="58">
        <f>+'Tablas Servicio'!N289</f>
        <v>94</v>
      </c>
      <c r="E256" s="66">
        <f>+'Tablas Servicio'!AC289</f>
        <v>45.1</v>
      </c>
      <c r="F256" s="66">
        <f>+IF(A256="","",'Tablas Servicio'!O289-'Modelo Financiero'!E256)</f>
        <v>1.9500000000000028</v>
      </c>
      <c r="G256" s="58">
        <f t="shared" si="46"/>
        <v>32.228000000000009</v>
      </c>
      <c r="H256" s="66">
        <f>+'Tablas Servicio'!G289</f>
        <v>59.550000000000004</v>
      </c>
      <c r="I256" s="72">
        <f t="shared" si="47"/>
        <v>0.20990764063811918</v>
      </c>
      <c r="J256" s="66">
        <f t="shared" si="48"/>
        <v>12.5</v>
      </c>
      <c r="K256" s="66">
        <f>+'Tablas Servicio'!H289</f>
        <v>61.94</v>
      </c>
      <c r="L256" s="66">
        <f>+IF(A256="","",ROUND(H256*Parámetros!$D$100,2))</f>
        <v>6.95</v>
      </c>
      <c r="M256" s="58">
        <f>+IF(A256="","",IF(AND(A256=1,B256=1),Parámetros!$D$114*(D256*frec-$G$3-$H$3),IF(AND(A256=2,B256=frec+1),Parámetros!$D$115*(D256*frec-$G$4-$H$4),0)))</f>
        <v>0</v>
      </c>
      <c r="N256" s="58">
        <f>+IF(A256="","",IF(A256&gt;Parámetros!$D$117,0,ROUND('Modelo Financiero'!D256*Parámetros!$D$116,2)))</f>
        <v>0</v>
      </c>
      <c r="O256" s="58">
        <f t="shared" si="49"/>
        <v>0</v>
      </c>
      <c r="P256" s="66">
        <f>+'Tablas Servicio'!I289</f>
        <v>32.06</v>
      </c>
      <c r="Q256" s="66">
        <f>+'Tablas Servicio'!S289</f>
        <v>18468.080000000002</v>
      </c>
      <c r="R256" s="66">
        <f>+'Tablas Servicio'!T289</f>
        <v>18468.080000000002</v>
      </c>
      <c r="S256" s="66">
        <f t="shared" si="45"/>
        <v>27.321999999999996</v>
      </c>
      <c r="T256" s="66">
        <f t="shared" si="54"/>
        <v>5265.1760000000004</v>
      </c>
      <c r="U256" s="66">
        <f t="shared" si="50"/>
        <v>5265.1760000000004</v>
      </c>
      <c r="V256" s="81">
        <f t="shared" si="51"/>
        <v>0</v>
      </c>
      <c r="W256" s="66">
        <f t="shared" si="52"/>
        <v>0</v>
      </c>
      <c r="X256" s="66">
        <f t="shared" si="53"/>
        <v>5265.1760000000004</v>
      </c>
    </row>
    <row r="257" spans="1:24" x14ac:dyDescent="0.25">
      <c r="A257">
        <f>+'Tablas Servicio'!B290</f>
        <v>21</v>
      </c>
      <c r="B257">
        <f>+'Tablas Servicio'!C290</f>
        <v>249</v>
      </c>
      <c r="C257" s="56">
        <f>+'Tablas Servicio'!D290</f>
        <v>60.770000000000593</v>
      </c>
      <c r="D257" s="58">
        <f>+'Tablas Servicio'!N290</f>
        <v>94</v>
      </c>
      <c r="E257" s="66">
        <f>+'Tablas Servicio'!AC290</f>
        <v>45.1</v>
      </c>
      <c r="F257" s="66">
        <f>+IF(A257="","",'Tablas Servicio'!O290-'Modelo Financiero'!E257)</f>
        <v>1.9500000000000028</v>
      </c>
      <c r="G257" s="58">
        <f t="shared" si="46"/>
        <v>32.228000000000009</v>
      </c>
      <c r="H257" s="66">
        <f>+'Tablas Servicio'!G290</f>
        <v>59.550000000000004</v>
      </c>
      <c r="I257" s="72">
        <f t="shared" si="47"/>
        <v>0.20990764063811918</v>
      </c>
      <c r="J257" s="66">
        <f t="shared" si="48"/>
        <v>12.5</v>
      </c>
      <c r="K257" s="66">
        <f>+'Tablas Servicio'!H290</f>
        <v>61.94</v>
      </c>
      <c r="L257" s="66">
        <f>+IF(A257="","",ROUND(H257*Parámetros!$D$100,2))</f>
        <v>6.95</v>
      </c>
      <c r="M257" s="58">
        <f>+IF(A257="","",IF(AND(A257=1,B257=1),Parámetros!$D$114*(D257*frec-$G$3-$H$3),IF(AND(A257=2,B257=frec+1),Parámetros!$D$115*(D257*frec-$G$4-$H$4),0)))</f>
        <v>0</v>
      </c>
      <c r="N257" s="58">
        <f>+IF(A257="","",IF(A257&gt;Parámetros!$D$117,0,ROUND('Modelo Financiero'!D257*Parámetros!$D$116,2)))</f>
        <v>0</v>
      </c>
      <c r="O257" s="58">
        <f t="shared" si="49"/>
        <v>0</v>
      </c>
      <c r="P257" s="66">
        <f>+'Tablas Servicio'!I290</f>
        <v>32.06</v>
      </c>
      <c r="Q257" s="66">
        <f>+'Tablas Servicio'!S290</f>
        <v>18552.61</v>
      </c>
      <c r="R257" s="66">
        <f>+'Tablas Servicio'!T290</f>
        <v>18552.61</v>
      </c>
      <c r="S257" s="66">
        <f t="shared" si="45"/>
        <v>27.321999999999996</v>
      </c>
      <c r="T257" s="66">
        <f t="shared" si="54"/>
        <v>5292.4980000000005</v>
      </c>
      <c r="U257" s="66">
        <f t="shared" si="50"/>
        <v>5292.4980000000005</v>
      </c>
      <c r="V257" s="81">
        <f t="shared" si="51"/>
        <v>0</v>
      </c>
      <c r="W257" s="66">
        <f t="shared" si="52"/>
        <v>0</v>
      </c>
      <c r="X257" s="66">
        <f t="shared" si="53"/>
        <v>5292.4980000000005</v>
      </c>
    </row>
    <row r="258" spans="1:24" x14ac:dyDescent="0.25">
      <c r="A258">
        <f>+'Tablas Servicio'!B291</f>
        <v>21</v>
      </c>
      <c r="B258">
        <f>+'Tablas Servicio'!C291</f>
        <v>250</v>
      </c>
      <c r="C258" s="56">
        <f>+'Tablas Servicio'!D291</f>
        <v>60.853333333333929</v>
      </c>
      <c r="D258" s="58">
        <f>+'Tablas Servicio'!N291</f>
        <v>94</v>
      </c>
      <c r="E258" s="66">
        <f>+'Tablas Servicio'!AC291</f>
        <v>45.1</v>
      </c>
      <c r="F258" s="66">
        <f>+IF(A258="","",'Tablas Servicio'!O291-'Modelo Financiero'!E258)</f>
        <v>1.9500000000000028</v>
      </c>
      <c r="G258" s="58">
        <f t="shared" si="46"/>
        <v>32.228000000000009</v>
      </c>
      <c r="H258" s="66">
        <f>+'Tablas Servicio'!G291</f>
        <v>59.550000000000004</v>
      </c>
      <c r="I258" s="72">
        <f t="shared" si="47"/>
        <v>0.20990764063811918</v>
      </c>
      <c r="J258" s="66">
        <f t="shared" si="48"/>
        <v>12.5</v>
      </c>
      <c r="K258" s="66">
        <f>+'Tablas Servicio'!H291</f>
        <v>61.94</v>
      </c>
      <c r="L258" s="66">
        <f>+IF(A258="","",ROUND(H258*Parámetros!$D$100,2))</f>
        <v>6.95</v>
      </c>
      <c r="M258" s="58">
        <f>+IF(A258="","",IF(AND(A258=1,B258=1),Parámetros!$D$114*(D258*frec-$G$3-$H$3),IF(AND(A258=2,B258=frec+1),Parámetros!$D$115*(D258*frec-$G$4-$H$4),0)))</f>
        <v>0</v>
      </c>
      <c r="N258" s="58">
        <f>+IF(A258="","",IF(A258&gt;Parámetros!$D$117,0,ROUND('Modelo Financiero'!D258*Parámetros!$D$116,2)))</f>
        <v>0</v>
      </c>
      <c r="O258" s="58">
        <f t="shared" si="49"/>
        <v>0</v>
      </c>
      <c r="P258" s="66">
        <f>+'Tablas Servicio'!I291</f>
        <v>32.06</v>
      </c>
      <c r="Q258" s="66">
        <f>+'Tablas Servicio'!S291</f>
        <v>18637.38</v>
      </c>
      <c r="R258" s="66">
        <f>+'Tablas Servicio'!T291</f>
        <v>18637.38</v>
      </c>
      <c r="S258" s="66">
        <f t="shared" si="45"/>
        <v>27.321999999999996</v>
      </c>
      <c r="T258" s="66">
        <f t="shared" si="54"/>
        <v>5319.8200000000006</v>
      </c>
      <c r="U258" s="66">
        <f t="shared" si="50"/>
        <v>5319.8200000000006</v>
      </c>
      <c r="V258" s="81">
        <f t="shared" si="51"/>
        <v>0</v>
      </c>
      <c r="W258" s="66">
        <f t="shared" si="52"/>
        <v>0</v>
      </c>
      <c r="X258" s="66">
        <f t="shared" si="53"/>
        <v>5319.8200000000006</v>
      </c>
    </row>
    <row r="259" spans="1:24" x14ac:dyDescent="0.25">
      <c r="A259">
        <f>+'Tablas Servicio'!B292</f>
        <v>21</v>
      </c>
      <c r="B259">
        <f>+'Tablas Servicio'!C292</f>
        <v>251</v>
      </c>
      <c r="C259" s="56">
        <f>+'Tablas Servicio'!D292</f>
        <v>60.936666666667264</v>
      </c>
      <c r="D259" s="58">
        <f>+'Tablas Servicio'!N292</f>
        <v>94</v>
      </c>
      <c r="E259" s="66">
        <f>+'Tablas Servicio'!AC292</f>
        <v>45.1</v>
      </c>
      <c r="F259" s="66">
        <f>+IF(A259="","",'Tablas Servicio'!O292-'Modelo Financiero'!E259)</f>
        <v>1.9500000000000028</v>
      </c>
      <c r="G259" s="58">
        <f t="shared" si="46"/>
        <v>32.228000000000009</v>
      </c>
      <c r="H259" s="66">
        <f>+'Tablas Servicio'!G292</f>
        <v>59.550000000000004</v>
      </c>
      <c r="I259" s="72">
        <f t="shared" si="47"/>
        <v>0.20990764063811918</v>
      </c>
      <c r="J259" s="66">
        <f t="shared" si="48"/>
        <v>12.5</v>
      </c>
      <c r="K259" s="66">
        <f>+'Tablas Servicio'!H292</f>
        <v>61.94</v>
      </c>
      <c r="L259" s="66">
        <f>+IF(A259="","",ROUND(H259*Parámetros!$D$100,2))</f>
        <v>6.95</v>
      </c>
      <c r="M259" s="58">
        <f>+IF(A259="","",IF(AND(A259=1,B259=1),Parámetros!$D$114*(D259*frec-$G$3-$H$3),IF(AND(A259=2,B259=frec+1),Parámetros!$D$115*(D259*frec-$G$4-$H$4),0)))</f>
        <v>0</v>
      </c>
      <c r="N259" s="58">
        <f>+IF(A259="","",IF(A259&gt;Parámetros!$D$117,0,ROUND('Modelo Financiero'!D259*Parámetros!$D$116,2)))</f>
        <v>0</v>
      </c>
      <c r="O259" s="58">
        <f t="shared" si="49"/>
        <v>0</v>
      </c>
      <c r="P259" s="66">
        <f>+'Tablas Servicio'!I292</f>
        <v>32.06</v>
      </c>
      <c r="Q259" s="66">
        <f>+'Tablas Servicio'!S292</f>
        <v>18722.400000000001</v>
      </c>
      <c r="R259" s="66">
        <f>+'Tablas Servicio'!T292</f>
        <v>18722.400000000001</v>
      </c>
      <c r="S259" s="66">
        <f t="shared" si="45"/>
        <v>27.321999999999996</v>
      </c>
      <c r="T259" s="66">
        <f t="shared" si="54"/>
        <v>5347.1420000000007</v>
      </c>
      <c r="U259" s="66">
        <f t="shared" si="50"/>
        <v>5347.1420000000007</v>
      </c>
      <c r="V259" s="81">
        <f t="shared" si="51"/>
        <v>0</v>
      </c>
      <c r="W259" s="66">
        <f t="shared" si="52"/>
        <v>0</v>
      </c>
      <c r="X259" s="66">
        <f t="shared" si="53"/>
        <v>5347.1420000000007</v>
      </c>
    </row>
    <row r="260" spans="1:24" x14ac:dyDescent="0.25">
      <c r="A260">
        <f>+'Tablas Servicio'!B293</f>
        <v>21</v>
      </c>
      <c r="B260">
        <f>+'Tablas Servicio'!C293</f>
        <v>252</v>
      </c>
      <c r="C260" s="56">
        <f>+'Tablas Servicio'!D293</f>
        <v>61.0200000000006</v>
      </c>
      <c r="D260" s="58">
        <f>+'Tablas Servicio'!N293</f>
        <v>94</v>
      </c>
      <c r="E260" s="66">
        <f>+'Tablas Servicio'!AC293</f>
        <v>45.1</v>
      </c>
      <c r="F260" s="66">
        <f>+IF(A260="","",'Tablas Servicio'!O293-'Modelo Financiero'!E260)</f>
        <v>1.9500000000000028</v>
      </c>
      <c r="G260" s="58">
        <f t="shared" si="46"/>
        <v>32.228000000000009</v>
      </c>
      <c r="H260" s="66">
        <f>+'Tablas Servicio'!G293</f>
        <v>59.550000000000004</v>
      </c>
      <c r="I260" s="72">
        <f t="shared" si="47"/>
        <v>0.20990764063811918</v>
      </c>
      <c r="J260" s="66">
        <f t="shared" si="48"/>
        <v>12.5</v>
      </c>
      <c r="K260" s="66">
        <f>+'Tablas Servicio'!H293</f>
        <v>61.94</v>
      </c>
      <c r="L260" s="66">
        <f>+IF(A260="","",ROUND(H260*Parámetros!$D$100,2))</f>
        <v>6.95</v>
      </c>
      <c r="M260" s="58">
        <f>+IF(A260="","",IF(AND(A260=1,B260=1),Parámetros!$D$114*(D260*frec-$G$3-$H$3),IF(AND(A260=2,B260=frec+1),Parámetros!$D$115*(D260*frec-$G$4-$H$4),0)))</f>
        <v>0</v>
      </c>
      <c r="N260" s="58">
        <f>+IF(A260="","",IF(A260&gt;Parámetros!$D$117,0,ROUND('Modelo Financiero'!D260*Parámetros!$D$116,2)))</f>
        <v>0</v>
      </c>
      <c r="O260" s="58">
        <f t="shared" si="49"/>
        <v>0</v>
      </c>
      <c r="P260" s="66">
        <f>+'Tablas Servicio'!I293</f>
        <v>32.06</v>
      </c>
      <c r="Q260" s="66">
        <f>+'Tablas Servicio'!S293</f>
        <v>18807.66</v>
      </c>
      <c r="R260" s="66">
        <f>+'Tablas Servicio'!T293</f>
        <v>18807.66</v>
      </c>
      <c r="S260" s="66">
        <f t="shared" si="45"/>
        <v>27.321999999999996</v>
      </c>
      <c r="T260" s="66">
        <f t="shared" si="54"/>
        <v>5374.4640000000009</v>
      </c>
      <c r="U260" s="66">
        <f t="shared" si="50"/>
        <v>5374.4640000000009</v>
      </c>
      <c r="V260" s="81">
        <f t="shared" si="51"/>
        <v>0</v>
      </c>
      <c r="W260" s="66">
        <f t="shared" si="52"/>
        <v>0</v>
      </c>
      <c r="X260" s="66">
        <f t="shared" si="53"/>
        <v>5374.4640000000009</v>
      </c>
    </row>
    <row r="261" spans="1:24" x14ac:dyDescent="0.25">
      <c r="A261">
        <f>+'Tablas Servicio'!B294</f>
        <v>22</v>
      </c>
      <c r="B261">
        <f>+'Tablas Servicio'!C294</f>
        <v>253</v>
      </c>
      <c r="C261" s="56">
        <f>+'Tablas Servicio'!D294</f>
        <v>61.103333333333936</v>
      </c>
      <c r="D261" s="58">
        <f>+'Tablas Servicio'!N294</f>
        <v>94</v>
      </c>
      <c r="E261" s="66">
        <f>+'Tablas Servicio'!AC294</f>
        <v>48.5</v>
      </c>
      <c r="F261" s="66">
        <f>+IF(A261="","",'Tablas Servicio'!O294-'Modelo Financiero'!E261)</f>
        <v>1.9500000000000028</v>
      </c>
      <c r="G261" s="58">
        <f t="shared" si="46"/>
        <v>34.540000000000006</v>
      </c>
      <c r="H261" s="66">
        <f>+'Tablas Servicio'!G294</f>
        <v>62.95</v>
      </c>
      <c r="I261" s="72">
        <f t="shared" si="47"/>
        <v>0.19857029388403491</v>
      </c>
      <c r="J261" s="66">
        <f t="shared" si="48"/>
        <v>12.5</v>
      </c>
      <c r="K261" s="66">
        <f>+'Tablas Servicio'!H294</f>
        <v>65.48</v>
      </c>
      <c r="L261" s="66">
        <f>+IF(A261="","",ROUND(H261*Parámetros!$D$100,2))</f>
        <v>7.35</v>
      </c>
      <c r="M261" s="58">
        <f>+IF(A261="","",IF(AND(A261=1,B261=1),Parámetros!$D$114*(D261*frec-$G$3-$H$3),IF(AND(A261=2,B261=frec+1),Parámetros!$D$115*(D261*frec-$G$4-$H$4),0)))</f>
        <v>0</v>
      </c>
      <c r="N261" s="58">
        <f>+IF(A261="","",IF(A261&gt;Parámetros!$D$117,0,ROUND('Modelo Financiero'!D261*Parámetros!$D$116,2)))</f>
        <v>0</v>
      </c>
      <c r="O261" s="58">
        <f t="shared" si="49"/>
        <v>0</v>
      </c>
      <c r="P261" s="66">
        <f>+'Tablas Servicio'!I294</f>
        <v>28.519999999999996</v>
      </c>
      <c r="Q261" s="66">
        <f>+'Tablas Servicio'!S294</f>
        <v>18889.61</v>
      </c>
      <c r="R261" s="66">
        <f>+'Tablas Servicio'!T294</f>
        <v>18889.61</v>
      </c>
      <c r="S261" s="66">
        <f t="shared" si="45"/>
        <v>28.409999999999997</v>
      </c>
      <c r="T261" s="66">
        <f t="shared" si="54"/>
        <v>5402.8740000000007</v>
      </c>
      <c r="U261" s="66">
        <f t="shared" si="50"/>
        <v>5402.8740000000007</v>
      </c>
      <c r="V261" s="81">
        <f t="shared" si="51"/>
        <v>0</v>
      </c>
      <c r="W261" s="66">
        <f t="shared" si="52"/>
        <v>0</v>
      </c>
      <c r="X261" s="66">
        <f t="shared" si="53"/>
        <v>5402.8740000000007</v>
      </c>
    </row>
    <row r="262" spans="1:24" x14ac:dyDescent="0.25">
      <c r="A262">
        <f>+'Tablas Servicio'!B295</f>
        <v>22</v>
      </c>
      <c r="B262">
        <f>+'Tablas Servicio'!C295</f>
        <v>254</v>
      </c>
      <c r="C262" s="56">
        <f>+'Tablas Servicio'!D295</f>
        <v>61.186666666667271</v>
      </c>
      <c r="D262" s="58">
        <f>+'Tablas Servicio'!N295</f>
        <v>94</v>
      </c>
      <c r="E262" s="66">
        <f>+'Tablas Servicio'!AC295</f>
        <v>48.5</v>
      </c>
      <c r="F262" s="66">
        <f>+IF(A262="","",'Tablas Servicio'!O295-'Modelo Financiero'!E262)</f>
        <v>1.9500000000000028</v>
      </c>
      <c r="G262" s="58">
        <f t="shared" si="46"/>
        <v>34.540000000000006</v>
      </c>
      <c r="H262" s="66">
        <f>+'Tablas Servicio'!G295</f>
        <v>62.95</v>
      </c>
      <c r="I262" s="72">
        <f t="shared" si="47"/>
        <v>0.19857029388403491</v>
      </c>
      <c r="J262" s="66">
        <f t="shared" si="48"/>
        <v>12.5</v>
      </c>
      <c r="K262" s="66">
        <f>+'Tablas Servicio'!H295</f>
        <v>65.48</v>
      </c>
      <c r="L262" s="66">
        <f>+IF(A262="","",ROUND(H262*Parámetros!$D$100,2))</f>
        <v>7.35</v>
      </c>
      <c r="M262" s="58">
        <f>+IF(A262="","",IF(AND(A262=1,B262=1),Parámetros!$D$114*(D262*frec-$G$3-$H$3),IF(AND(A262=2,B262=frec+1),Parámetros!$D$115*(D262*frec-$G$4-$H$4),0)))</f>
        <v>0</v>
      </c>
      <c r="N262" s="58">
        <f>+IF(A262="","",IF(A262&gt;Parámetros!$D$117,0,ROUND('Modelo Financiero'!D262*Parámetros!$D$116,2)))</f>
        <v>0</v>
      </c>
      <c r="O262" s="58">
        <f t="shared" si="49"/>
        <v>0</v>
      </c>
      <c r="P262" s="66">
        <f>+'Tablas Servicio'!I295</f>
        <v>28.519999999999996</v>
      </c>
      <c r="Q262" s="66">
        <f>+'Tablas Servicio'!S295</f>
        <v>18971.79</v>
      </c>
      <c r="R262" s="66">
        <f>+'Tablas Servicio'!T295</f>
        <v>18971.79</v>
      </c>
      <c r="S262" s="66">
        <f t="shared" si="45"/>
        <v>28.409999999999997</v>
      </c>
      <c r="T262" s="66">
        <f t="shared" si="54"/>
        <v>5431.2840000000006</v>
      </c>
      <c r="U262" s="66">
        <f t="shared" si="50"/>
        <v>5431.2840000000006</v>
      </c>
      <c r="V262" s="81">
        <f t="shared" si="51"/>
        <v>0</v>
      </c>
      <c r="W262" s="66">
        <f t="shared" si="52"/>
        <v>0</v>
      </c>
      <c r="X262" s="66">
        <f t="shared" si="53"/>
        <v>5431.2840000000006</v>
      </c>
    </row>
    <row r="263" spans="1:24" x14ac:dyDescent="0.25">
      <c r="A263">
        <f>+'Tablas Servicio'!B296</f>
        <v>22</v>
      </c>
      <c r="B263">
        <f>+'Tablas Servicio'!C296</f>
        <v>255</v>
      </c>
      <c r="C263" s="56">
        <f>+'Tablas Servicio'!D296</f>
        <v>61.270000000000607</v>
      </c>
      <c r="D263" s="58">
        <f>+'Tablas Servicio'!N296</f>
        <v>94</v>
      </c>
      <c r="E263" s="66">
        <f>+'Tablas Servicio'!AC296</f>
        <v>48.5</v>
      </c>
      <c r="F263" s="66">
        <f>+IF(A263="","",'Tablas Servicio'!O296-'Modelo Financiero'!E263)</f>
        <v>1.9500000000000028</v>
      </c>
      <c r="G263" s="58">
        <f t="shared" si="46"/>
        <v>34.540000000000006</v>
      </c>
      <c r="H263" s="66">
        <f>+'Tablas Servicio'!G296</f>
        <v>62.95</v>
      </c>
      <c r="I263" s="72">
        <f t="shared" si="47"/>
        <v>0.19857029388403491</v>
      </c>
      <c r="J263" s="66">
        <f t="shared" si="48"/>
        <v>12.5</v>
      </c>
      <c r="K263" s="66">
        <f>+'Tablas Servicio'!H296</f>
        <v>65.48</v>
      </c>
      <c r="L263" s="66">
        <f>+IF(A263="","",ROUND(H263*Parámetros!$D$100,2))</f>
        <v>7.35</v>
      </c>
      <c r="M263" s="58">
        <f>+IF(A263="","",IF(AND(A263=1,B263=1),Parámetros!$D$114*(D263*frec-$G$3-$H$3),IF(AND(A263=2,B263=frec+1),Parámetros!$D$115*(D263*frec-$G$4-$H$4),0)))</f>
        <v>0</v>
      </c>
      <c r="N263" s="58">
        <f>+IF(A263="","",IF(A263&gt;Parámetros!$D$117,0,ROUND('Modelo Financiero'!D263*Parámetros!$D$116,2)))</f>
        <v>0</v>
      </c>
      <c r="O263" s="58">
        <f t="shared" si="49"/>
        <v>0</v>
      </c>
      <c r="P263" s="66">
        <f>+'Tablas Servicio'!I296</f>
        <v>28.519999999999996</v>
      </c>
      <c r="Q263" s="66">
        <f>+'Tablas Servicio'!S296</f>
        <v>19054.2</v>
      </c>
      <c r="R263" s="66">
        <f>+'Tablas Servicio'!T296</f>
        <v>19054.2</v>
      </c>
      <c r="S263" s="66">
        <f t="shared" si="45"/>
        <v>28.409999999999997</v>
      </c>
      <c r="T263" s="66">
        <f t="shared" si="54"/>
        <v>5459.6940000000004</v>
      </c>
      <c r="U263" s="66">
        <f t="shared" si="50"/>
        <v>5459.6940000000004</v>
      </c>
      <c r="V263" s="81">
        <f t="shared" si="51"/>
        <v>0</v>
      </c>
      <c r="W263" s="66">
        <f t="shared" si="52"/>
        <v>0</v>
      </c>
      <c r="X263" s="66">
        <f t="shared" si="53"/>
        <v>5459.6940000000004</v>
      </c>
    </row>
    <row r="264" spans="1:24" x14ac:dyDescent="0.25">
      <c r="A264">
        <f>+'Tablas Servicio'!B297</f>
        <v>22</v>
      </c>
      <c r="B264">
        <f>+'Tablas Servicio'!C297</f>
        <v>256</v>
      </c>
      <c r="C264" s="56">
        <f>+'Tablas Servicio'!D297</f>
        <v>61.353333333333943</v>
      </c>
      <c r="D264" s="58">
        <f>+'Tablas Servicio'!N297</f>
        <v>94</v>
      </c>
      <c r="E264" s="66">
        <f>+'Tablas Servicio'!AC297</f>
        <v>48.5</v>
      </c>
      <c r="F264" s="66">
        <f>+IF(A264="","",'Tablas Servicio'!O297-'Modelo Financiero'!E264)</f>
        <v>1.9500000000000028</v>
      </c>
      <c r="G264" s="58">
        <f t="shared" si="46"/>
        <v>34.540000000000006</v>
      </c>
      <c r="H264" s="66">
        <f>+'Tablas Servicio'!G297</f>
        <v>62.95</v>
      </c>
      <c r="I264" s="72">
        <f t="shared" si="47"/>
        <v>0.19857029388403491</v>
      </c>
      <c r="J264" s="66">
        <f t="shared" si="48"/>
        <v>12.5</v>
      </c>
      <c r="K264" s="66">
        <f>+'Tablas Servicio'!H297</f>
        <v>65.48</v>
      </c>
      <c r="L264" s="66">
        <f>+IF(A264="","",ROUND(H264*Parámetros!$D$100,2))</f>
        <v>7.35</v>
      </c>
      <c r="M264" s="58">
        <f>+IF(A264="","",IF(AND(A264=1,B264=1),Parámetros!$D$114*(D264*frec-$G$3-$H$3),IF(AND(A264=2,B264=frec+1),Parámetros!$D$115*(D264*frec-$G$4-$H$4),0)))</f>
        <v>0</v>
      </c>
      <c r="N264" s="58">
        <f>+IF(A264="","",IF(A264&gt;Parámetros!$D$117,0,ROUND('Modelo Financiero'!D264*Parámetros!$D$116,2)))</f>
        <v>0</v>
      </c>
      <c r="O264" s="58">
        <f t="shared" si="49"/>
        <v>0</v>
      </c>
      <c r="P264" s="66">
        <f>+'Tablas Servicio'!I297</f>
        <v>28.519999999999996</v>
      </c>
      <c r="Q264" s="66">
        <f>+'Tablas Servicio'!S297</f>
        <v>19136.849999999999</v>
      </c>
      <c r="R264" s="66">
        <f>+'Tablas Servicio'!T297</f>
        <v>19136.849999999999</v>
      </c>
      <c r="S264" s="66">
        <f t="shared" si="45"/>
        <v>28.409999999999997</v>
      </c>
      <c r="T264" s="66">
        <f t="shared" si="54"/>
        <v>5488.1040000000003</v>
      </c>
      <c r="U264" s="66">
        <f t="shared" si="50"/>
        <v>5488.1040000000003</v>
      </c>
      <c r="V264" s="81">
        <f t="shared" si="51"/>
        <v>0</v>
      </c>
      <c r="W264" s="66">
        <f t="shared" si="52"/>
        <v>0</v>
      </c>
      <c r="X264" s="66">
        <f t="shared" si="53"/>
        <v>5488.1040000000003</v>
      </c>
    </row>
    <row r="265" spans="1:24" x14ac:dyDescent="0.25">
      <c r="A265">
        <f>+'Tablas Servicio'!B298</f>
        <v>22</v>
      </c>
      <c r="B265">
        <f>+'Tablas Servicio'!C298</f>
        <v>257</v>
      </c>
      <c r="C265" s="56">
        <f>+'Tablas Servicio'!D298</f>
        <v>61.436666666667278</v>
      </c>
      <c r="D265" s="58">
        <f>+'Tablas Servicio'!N298</f>
        <v>94</v>
      </c>
      <c r="E265" s="66">
        <f>+'Tablas Servicio'!AC298</f>
        <v>48.5</v>
      </c>
      <c r="F265" s="66">
        <f>+IF(A265="","",'Tablas Servicio'!O298-'Modelo Financiero'!E265)</f>
        <v>1.9500000000000028</v>
      </c>
      <c r="G265" s="58">
        <f t="shared" si="46"/>
        <v>34.540000000000006</v>
      </c>
      <c r="H265" s="66">
        <f>+'Tablas Servicio'!G298</f>
        <v>62.95</v>
      </c>
      <c r="I265" s="72">
        <f t="shared" si="47"/>
        <v>0.19857029388403491</v>
      </c>
      <c r="J265" s="66">
        <f t="shared" si="48"/>
        <v>12.5</v>
      </c>
      <c r="K265" s="66">
        <f>+'Tablas Servicio'!H298</f>
        <v>65.48</v>
      </c>
      <c r="L265" s="66">
        <f>+IF(A265="","",ROUND(H265*Parámetros!$D$100,2))</f>
        <v>7.35</v>
      </c>
      <c r="M265" s="58">
        <f>+IF(A265="","",IF(AND(A265=1,B265=1),Parámetros!$D$114*(D265*frec-$G$3-$H$3),IF(AND(A265=2,B265=frec+1),Parámetros!$D$115*(D265*frec-$G$4-$H$4),0)))</f>
        <v>0</v>
      </c>
      <c r="N265" s="58">
        <f>+IF(A265="","",IF(A265&gt;Parámetros!$D$117,0,ROUND('Modelo Financiero'!D265*Parámetros!$D$116,2)))</f>
        <v>0</v>
      </c>
      <c r="O265" s="58">
        <f t="shared" si="49"/>
        <v>0</v>
      </c>
      <c r="P265" s="66">
        <f>+'Tablas Servicio'!I298</f>
        <v>28.519999999999996</v>
      </c>
      <c r="Q265" s="66">
        <f>+'Tablas Servicio'!S298</f>
        <v>19219.73</v>
      </c>
      <c r="R265" s="66">
        <f>+'Tablas Servicio'!T298</f>
        <v>19219.73</v>
      </c>
      <c r="S265" s="66">
        <f t="shared" ref="S265:S328" si="55">+IF(A265="","",D265-P265-G265-(K265-H265)-M265)</f>
        <v>28.409999999999997</v>
      </c>
      <c r="T265" s="66">
        <f t="shared" si="54"/>
        <v>5516.5140000000001</v>
      </c>
      <c r="U265" s="66">
        <f t="shared" si="50"/>
        <v>5516.5140000000001</v>
      </c>
      <c r="V265" s="81">
        <f t="shared" si="51"/>
        <v>0</v>
      </c>
      <c r="W265" s="66">
        <f t="shared" si="52"/>
        <v>0</v>
      </c>
      <c r="X265" s="66">
        <f t="shared" si="53"/>
        <v>5516.5140000000001</v>
      </c>
    </row>
    <row r="266" spans="1:24" x14ac:dyDescent="0.25">
      <c r="A266">
        <f>+'Tablas Servicio'!B299</f>
        <v>22</v>
      </c>
      <c r="B266">
        <f>+'Tablas Servicio'!C299</f>
        <v>258</v>
      </c>
      <c r="C266" s="56">
        <f>+'Tablas Servicio'!D299</f>
        <v>61.520000000000614</v>
      </c>
      <c r="D266" s="58">
        <f>+'Tablas Servicio'!N299</f>
        <v>94</v>
      </c>
      <c r="E266" s="66">
        <f>+'Tablas Servicio'!AC299</f>
        <v>48.5</v>
      </c>
      <c r="F266" s="66">
        <f>+IF(A266="","",'Tablas Servicio'!O299-'Modelo Financiero'!E266)</f>
        <v>1.9500000000000028</v>
      </c>
      <c r="G266" s="58">
        <f t="shared" ref="G266:G329" si="56">+IF(A266="","",IF(A266=1,$C$3,$C$4)*E266+$C$2*F266)</f>
        <v>34.540000000000006</v>
      </c>
      <c r="H266" s="66">
        <f>+'Tablas Servicio'!G299</f>
        <v>62.95</v>
      </c>
      <c r="I266" s="72">
        <f t="shared" ref="I266:I329" si="57">IF(A266="","",1-(E266+F266)/H266)</f>
        <v>0.19857029388403491</v>
      </c>
      <c r="J266" s="66">
        <f t="shared" ref="J266:J329" si="58">+IF(A266="","",H266-E266-F266)</f>
        <v>12.5</v>
      </c>
      <c r="K266" s="66">
        <f>+'Tablas Servicio'!H299</f>
        <v>65.48</v>
      </c>
      <c r="L266" s="66">
        <f>+IF(A266="","",ROUND(H266*Parámetros!$D$100,2))</f>
        <v>7.35</v>
      </c>
      <c r="M266" s="58">
        <f>+IF(A266="","",IF(AND(A266=1,B266=1),Parámetros!$D$114*(D266*frec-$G$3-$H$3),IF(AND(A266=2,B266=frec+1),Parámetros!$D$115*(D266*frec-$G$4-$H$4),0)))</f>
        <v>0</v>
      </c>
      <c r="N266" s="58">
        <f>+IF(A266="","",IF(A266&gt;Parámetros!$D$117,0,ROUND('Modelo Financiero'!D266*Parámetros!$D$116,2)))</f>
        <v>0</v>
      </c>
      <c r="O266" s="58">
        <f t="shared" ref="O266:O329" si="59">+IF(A266="","",MAX(N266-L266,0))</f>
        <v>0</v>
      </c>
      <c r="P266" s="66">
        <f>+'Tablas Servicio'!I299</f>
        <v>28.519999999999996</v>
      </c>
      <c r="Q266" s="66">
        <f>+'Tablas Servicio'!S299</f>
        <v>19302.849999999999</v>
      </c>
      <c r="R266" s="66">
        <f>+'Tablas Servicio'!T299</f>
        <v>19302.849999999999</v>
      </c>
      <c r="S266" s="66">
        <f t="shared" si="55"/>
        <v>28.409999999999997</v>
      </c>
      <c r="T266" s="66">
        <f t="shared" si="54"/>
        <v>5544.924</v>
      </c>
      <c r="U266" s="66">
        <f t="shared" ref="U266:U329" si="60">+IF(A266="","",T266+(Q266-R266))</f>
        <v>5544.924</v>
      </c>
      <c r="V266" s="81">
        <f t="shared" ref="V266:V329" si="61">+IF(A266="","",IF(A266=1,$L$3,IF(A266=2,$L$4,0)))</f>
        <v>0</v>
      </c>
      <c r="W266" s="66">
        <f t="shared" ref="W266:W329" si="62">+IF(A266="","",IF(A266=1,$I$3,IF(A266=2,$I$4,0))*V266)</f>
        <v>0</v>
      </c>
      <c r="X266" s="66">
        <f t="shared" ref="X266:X329" si="63">+IF(A266="","",U266+W266)</f>
        <v>5544.924</v>
      </c>
    </row>
    <row r="267" spans="1:24" x14ac:dyDescent="0.25">
      <c r="A267">
        <f>+'Tablas Servicio'!B300</f>
        <v>22</v>
      </c>
      <c r="B267">
        <f>+'Tablas Servicio'!C300</f>
        <v>259</v>
      </c>
      <c r="C267" s="56">
        <f>+'Tablas Servicio'!D300</f>
        <v>61.60333333333395</v>
      </c>
      <c r="D267" s="58">
        <f>+'Tablas Servicio'!N300</f>
        <v>94</v>
      </c>
      <c r="E267" s="66">
        <f>+'Tablas Servicio'!AC300</f>
        <v>48.5</v>
      </c>
      <c r="F267" s="66">
        <f>+IF(A267="","",'Tablas Servicio'!O300-'Modelo Financiero'!E267)</f>
        <v>1.9500000000000028</v>
      </c>
      <c r="G267" s="58">
        <f t="shared" si="56"/>
        <v>34.540000000000006</v>
      </c>
      <c r="H267" s="66">
        <f>+'Tablas Servicio'!G300</f>
        <v>62.95</v>
      </c>
      <c r="I267" s="72">
        <f t="shared" si="57"/>
        <v>0.19857029388403491</v>
      </c>
      <c r="J267" s="66">
        <f t="shared" si="58"/>
        <v>12.5</v>
      </c>
      <c r="K267" s="66">
        <f>+'Tablas Servicio'!H300</f>
        <v>65.48</v>
      </c>
      <c r="L267" s="66">
        <f>+IF(A267="","",ROUND(H267*Parámetros!$D$100,2))</f>
        <v>7.35</v>
      </c>
      <c r="M267" s="58">
        <f>+IF(A267="","",IF(AND(A267=1,B267=1),Parámetros!$D$114*(D267*frec-$G$3-$H$3),IF(AND(A267=2,B267=frec+1),Parámetros!$D$115*(D267*frec-$G$4-$H$4),0)))</f>
        <v>0</v>
      </c>
      <c r="N267" s="58">
        <f>+IF(A267="","",IF(A267&gt;Parámetros!$D$117,0,ROUND('Modelo Financiero'!D267*Parámetros!$D$116,2)))</f>
        <v>0</v>
      </c>
      <c r="O267" s="58">
        <f t="shared" si="59"/>
        <v>0</v>
      </c>
      <c r="P267" s="66">
        <f>+'Tablas Servicio'!I300</f>
        <v>28.519999999999996</v>
      </c>
      <c r="Q267" s="66">
        <f>+'Tablas Servicio'!S300</f>
        <v>19386.2</v>
      </c>
      <c r="R267" s="66">
        <f>+'Tablas Servicio'!T300</f>
        <v>19386.2</v>
      </c>
      <c r="S267" s="66">
        <f t="shared" si="55"/>
        <v>28.409999999999997</v>
      </c>
      <c r="T267" s="66">
        <f t="shared" ref="T267:T330" si="64">+IF(A267="","",T266+S267)</f>
        <v>5573.3339999999998</v>
      </c>
      <c r="U267" s="66">
        <f t="shared" si="60"/>
        <v>5573.3339999999998</v>
      </c>
      <c r="V267" s="81">
        <f t="shared" si="61"/>
        <v>0</v>
      </c>
      <c r="W267" s="66">
        <f t="shared" si="62"/>
        <v>0</v>
      </c>
      <c r="X267" s="66">
        <f t="shared" si="63"/>
        <v>5573.3339999999998</v>
      </c>
    </row>
    <row r="268" spans="1:24" x14ac:dyDescent="0.25">
      <c r="A268">
        <f>+'Tablas Servicio'!B301</f>
        <v>22</v>
      </c>
      <c r="B268">
        <f>+'Tablas Servicio'!C301</f>
        <v>260</v>
      </c>
      <c r="C268" s="56">
        <f>+'Tablas Servicio'!D301</f>
        <v>61.686666666667286</v>
      </c>
      <c r="D268" s="58">
        <f>+'Tablas Servicio'!N301</f>
        <v>94</v>
      </c>
      <c r="E268" s="66">
        <f>+'Tablas Servicio'!AC301</f>
        <v>48.5</v>
      </c>
      <c r="F268" s="66">
        <f>+IF(A268="","",'Tablas Servicio'!O301-'Modelo Financiero'!E268)</f>
        <v>1.9500000000000028</v>
      </c>
      <c r="G268" s="58">
        <f t="shared" si="56"/>
        <v>34.540000000000006</v>
      </c>
      <c r="H268" s="66">
        <f>+'Tablas Servicio'!G301</f>
        <v>62.95</v>
      </c>
      <c r="I268" s="72">
        <f t="shared" si="57"/>
        <v>0.19857029388403491</v>
      </c>
      <c r="J268" s="66">
        <f t="shared" si="58"/>
        <v>12.5</v>
      </c>
      <c r="K268" s="66">
        <f>+'Tablas Servicio'!H301</f>
        <v>65.48</v>
      </c>
      <c r="L268" s="66">
        <f>+IF(A268="","",ROUND(H268*Parámetros!$D$100,2))</f>
        <v>7.35</v>
      </c>
      <c r="M268" s="58">
        <f>+IF(A268="","",IF(AND(A268=1,B268=1),Parámetros!$D$114*(D268*frec-$G$3-$H$3),IF(AND(A268=2,B268=frec+1),Parámetros!$D$115*(D268*frec-$G$4-$H$4),0)))</f>
        <v>0</v>
      </c>
      <c r="N268" s="58">
        <f>+IF(A268="","",IF(A268&gt;Parámetros!$D$117,0,ROUND('Modelo Financiero'!D268*Parámetros!$D$116,2)))</f>
        <v>0</v>
      </c>
      <c r="O268" s="58">
        <f t="shared" si="59"/>
        <v>0</v>
      </c>
      <c r="P268" s="66">
        <f>+'Tablas Servicio'!I301</f>
        <v>28.519999999999996</v>
      </c>
      <c r="Q268" s="66">
        <f>+'Tablas Servicio'!S301</f>
        <v>19469.79</v>
      </c>
      <c r="R268" s="66">
        <f>+'Tablas Servicio'!T301</f>
        <v>19469.79</v>
      </c>
      <c r="S268" s="66">
        <f t="shared" si="55"/>
        <v>28.409999999999997</v>
      </c>
      <c r="T268" s="66">
        <f t="shared" si="64"/>
        <v>5601.7439999999997</v>
      </c>
      <c r="U268" s="66">
        <f t="shared" si="60"/>
        <v>5601.7439999999997</v>
      </c>
      <c r="V268" s="81">
        <f t="shared" si="61"/>
        <v>0</v>
      </c>
      <c r="W268" s="66">
        <f t="shared" si="62"/>
        <v>0</v>
      </c>
      <c r="X268" s="66">
        <f t="shared" si="63"/>
        <v>5601.7439999999997</v>
      </c>
    </row>
    <row r="269" spans="1:24" x14ac:dyDescent="0.25">
      <c r="A269">
        <f>+'Tablas Servicio'!B302</f>
        <v>22</v>
      </c>
      <c r="B269">
        <f>+'Tablas Servicio'!C302</f>
        <v>261</v>
      </c>
      <c r="C269" s="56">
        <f>+'Tablas Servicio'!D302</f>
        <v>61.770000000000621</v>
      </c>
      <c r="D269" s="58">
        <f>+'Tablas Servicio'!N302</f>
        <v>94</v>
      </c>
      <c r="E269" s="66">
        <f>+'Tablas Servicio'!AC302</f>
        <v>48.5</v>
      </c>
      <c r="F269" s="66">
        <f>+IF(A269="","",'Tablas Servicio'!O302-'Modelo Financiero'!E269)</f>
        <v>1.9500000000000028</v>
      </c>
      <c r="G269" s="58">
        <f t="shared" si="56"/>
        <v>34.540000000000006</v>
      </c>
      <c r="H269" s="66">
        <f>+'Tablas Servicio'!G302</f>
        <v>62.95</v>
      </c>
      <c r="I269" s="72">
        <f t="shared" si="57"/>
        <v>0.19857029388403491</v>
      </c>
      <c r="J269" s="66">
        <f t="shared" si="58"/>
        <v>12.5</v>
      </c>
      <c r="K269" s="66">
        <f>+'Tablas Servicio'!H302</f>
        <v>65.48</v>
      </c>
      <c r="L269" s="66">
        <f>+IF(A269="","",ROUND(H269*Parámetros!$D$100,2))</f>
        <v>7.35</v>
      </c>
      <c r="M269" s="58">
        <f>+IF(A269="","",IF(AND(A269=1,B269=1),Parámetros!$D$114*(D269*frec-$G$3-$H$3),IF(AND(A269=2,B269=frec+1),Parámetros!$D$115*(D269*frec-$G$4-$H$4),0)))</f>
        <v>0</v>
      </c>
      <c r="N269" s="58">
        <f>+IF(A269="","",IF(A269&gt;Parámetros!$D$117,0,ROUND('Modelo Financiero'!D269*Parámetros!$D$116,2)))</f>
        <v>0</v>
      </c>
      <c r="O269" s="58">
        <f t="shared" si="59"/>
        <v>0</v>
      </c>
      <c r="P269" s="66">
        <f>+'Tablas Servicio'!I302</f>
        <v>28.519999999999996</v>
      </c>
      <c r="Q269" s="66">
        <f>+'Tablas Servicio'!S302</f>
        <v>19553.62</v>
      </c>
      <c r="R269" s="66">
        <f>+'Tablas Servicio'!T302</f>
        <v>19553.62</v>
      </c>
      <c r="S269" s="66">
        <f t="shared" si="55"/>
        <v>28.409999999999997</v>
      </c>
      <c r="T269" s="66">
        <f t="shared" si="64"/>
        <v>5630.1539999999995</v>
      </c>
      <c r="U269" s="66">
        <f t="shared" si="60"/>
        <v>5630.1539999999995</v>
      </c>
      <c r="V269" s="81">
        <f t="shared" si="61"/>
        <v>0</v>
      </c>
      <c r="W269" s="66">
        <f t="shared" si="62"/>
        <v>0</v>
      </c>
      <c r="X269" s="66">
        <f t="shared" si="63"/>
        <v>5630.1539999999995</v>
      </c>
    </row>
    <row r="270" spans="1:24" x14ac:dyDescent="0.25">
      <c r="A270">
        <f>+'Tablas Servicio'!B303</f>
        <v>22</v>
      </c>
      <c r="B270">
        <f>+'Tablas Servicio'!C303</f>
        <v>262</v>
      </c>
      <c r="C270" s="56">
        <f>+'Tablas Servicio'!D303</f>
        <v>61.853333333333957</v>
      </c>
      <c r="D270" s="58">
        <f>+'Tablas Servicio'!N303</f>
        <v>94</v>
      </c>
      <c r="E270" s="66">
        <f>+'Tablas Servicio'!AC303</f>
        <v>48.5</v>
      </c>
      <c r="F270" s="66">
        <f>+IF(A270="","",'Tablas Servicio'!O303-'Modelo Financiero'!E270)</f>
        <v>1.9500000000000028</v>
      </c>
      <c r="G270" s="58">
        <f t="shared" si="56"/>
        <v>34.540000000000006</v>
      </c>
      <c r="H270" s="66">
        <f>+'Tablas Servicio'!G303</f>
        <v>62.95</v>
      </c>
      <c r="I270" s="72">
        <f t="shared" si="57"/>
        <v>0.19857029388403491</v>
      </c>
      <c r="J270" s="66">
        <f t="shared" si="58"/>
        <v>12.5</v>
      </c>
      <c r="K270" s="66">
        <f>+'Tablas Servicio'!H303</f>
        <v>65.48</v>
      </c>
      <c r="L270" s="66">
        <f>+IF(A270="","",ROUND(H270*Parámetros!$D$100,2))</f>
        <v>7.35</v>
      </c>
      <c r="M270" s="58">
        <f>+IF(A270="","",IF(AND(A270=1,B270=1),Parámetros!$D$114*(D270*frec-$G$3-$H$3),IF(AND(A270=2,B270=frec+1),Parámetros!$D$115*(D270*frec-$G$4-$H$4),0)))</f>
        <v>0</v>
      </c>
      <c r="N270" s="58">
        <f>+IF(A270="","",IF(A270&gt;Parámetros!$D$117,0,ROUND('Modelo Financiero'!D270*Parámetros!$D$116,2)))</f>
        <v>0</v>
      </c>
      <c r="O270" s="58">
        <f t="shared" si="59"/>
        <v>0</v>
      </c>
      <c r="P270" s="66">
        <f>+'Tablas Servicio'!I303</f>
        <v>28.519999999999996</v>
      </c>
      <c r="Q270" s="66">
        <f>+'Tablas Servicio'!S303</f>
        <v>19637.68</v>
      </c>
      <c r="R270" s="66">
        <f>+'Tablas Servicio'!T303</f>
        <v>19637.68</v>
      </c>
      <c r="S270" s="66">
        <f t="shared" si="55"/>
        <v>28.409999999999997</v>
      </c>
      <c r="T270" s="66">
        <f t="shared" si="64"/>
        <v>5658.5639999999994</v>
      </c>
      <c r="U270" s="66">
        <f t="shared" si="60"/>
        <v>5658.5639999999994</v>
      </c>
      <c r="V270" s="81">
        <f t="shared" si="61"/>
        <v>0</v>
      </c>
      <c r="W270" s="66">
        <f t="shared" si="62"/>
        <v>0</v>
      </c>
      <c r="X270" s="66">
        <f t="shared" si="63"/>
        <v>5658.5639999999994</v>
      </c>
    </row>
    <row r="271" spans="1:24" x14ac:dyDescent="0.25">
      <c r="A271">
        <f>+'Tablas Servicio'!B304</f>
        <v>22</v>
      </c>
      <c r="B271">
        <f>+'Tablas Servicio'!C304</f>
        <v>263</v>
      </c>
      <c r="C271" s="56">
        <f>+'Tablas Servicio'!D304</f>
        <v>61.936666666667293</v>
      </c>
      <c r="D271" s="58">
        <f>+'Tablas Servicio'!N304</f>
        <v>94</v>
      </c>
      <c r="E271" s="66">
        <f>+'Tablas Servicio'!AC304</f>
        <v>48.5</v>
      </c>
      <c r="F271" s="66">
        <f>+IF(A271="","",'Tablas Servicio'!O304-'Modelo Financiero'!E271)</f>
        <v>1.9500000000000028</v>
      </c>
      <c r="G271" s="58">
        <f t="shared" si="56"/>
        <v>34.540000000000006</v>
      </c>
      <c r="H271" s="66">
        <f>+'Tablas Servicio'!G304</f>
        <v>62.95</v>
      </c>
      <c r="I271" s="72">
        <f t="shared" si="57"/>
        <v>0.19857029388403491</v>
      </c>
      <c r="J271" s="66">
        <f t="shared" si="58"/>
        <v>12.5</v>
      </c>
      <c r="K271" s="66">
        <f>+'Tablas Servicio'!H304</f>
        <v>65.48</v>
      </c>
      <c r="L271" s="66">
        <f>+IF(A271="","",ROUND(H271*Parámetros!$D$100,2))</f>
        <v>7.35</v>
      </c>
      <c r="M271" s="58">
        <f>+IF(A271="","",IF(AND(A271=1,B271=1),Parámetros!$D$114*(D271*frec-$G$3-$H$3),IF(AND(A271=2,B271=frec+1),Parámetros!$D$115*(D271*frec-$G$4-$H$4),0)))</f>
        <v>0</v>
      </c>
      <c r="N271" s="58">
        <f>+IF(A271="","",IF(A271&gt;Parámetros!$D$117,0,ROUND('Modelo Financiero'!D271*Parámetros!$D$116,2)))</f>
        <v>0</v>
      </c>
      <c r="O271" s="58">
        <f t="shared" si="59"/>
        <v>0</v>
      </c>
      <c r="P271" s="66">
        <f>+'Tablas Servicio'!I304</f>
        <v>28.519999999999996</v>
      </c>
      <c r="Q271" s="66">
        <f>+'Tablas Servicio'!S304</f>
        <v>19721.98</v>
      </c>
      <c r="R271" s="66">
        <f>+'Tablas Servicio'!T304</f>
        <v>19721.98</v>
      </c>
      <c r="S271" s="66">
        <f t="shared" si="55"/>
        <v>28.409999999999997</v>
      </c>
      <c r="T271" s="66">
        <f t="shared" si="64"/>
        <v>5686.9739999999993</v>
      </c>
      <c r="U271" s="66">
        <f t="shared" si="60"/>
        <v>5686.9739999999993</v>
      </c>
      <c r="V271" s="81">
        <f t="shared" si="61"/>
        <v>0</v>
      </c>
      <c r="W271" s="66">
        <f t="shared" si="62"/>
        <v>0</v>
      </c>
      <c r="X271" s="66">
        <f t="shared" si="63"/>
        <v>5686.9739999999993</v>
      </c>
    </row>
    <row r="272" spans="1:24" x14ac:dyDescent="0.25">
      <c r="A272">
        <f>+'Tablas Servicio'!B305</f>
        <v>22</v>
      </c>
      <c r="B272">
        <f>+'Tablas Servicio'!C305</f>
        <v>264</v>
      </c>
      <c r="C272" s="56">
        <f>+'Tablas Servicio'!D305</f>
        <v>62.020000000000628</v>
      </c>
      <c r="D272" s="58">
        <f>+'Tablas Servicio'!N305</f>
        <v>94</v>
      </c>
      <c r="E272" s="66">
        <f>+'Tablas Servicio'!AC305</f>
        <v>48.5</v>
      </c>
      <c r="F272" s="66">
        <f>+IF(A272="","",'Tablas Servicio'!O305-'Modelo Financiero'!E272)</f>
        <v>1.9500000000000028</v>
      </c>
      <c r="G272" s="58">
        <f t="shared" si="56"/>
        <v>34.540000000000006</v>
      </c>
      <c r="H272" s="66">
        <f>+'Tablas Servicio'!G305</f>
        <v>62.95</v>
      </c>
      <c r="I272" s="72">
        <f t="shared" si="57"/>
        <v>0.19857029388403491</v>
      </c>
      <c r="J272" s="66">
        <f t="shared" si="58"/>
        <v>12.5</v>
      </c>
      <c r="K272" s="66">
        <f>+'Tablas Servicio'!H305</f>
        <v>65.48</v>
      </c>
      <c r="L272" s="66">
        <f>+IF(A272="","",ROUND(H272*Parámetros!$D$100,2))</f>
        <v>7.35</v>
      </c>
      <c r="M272" s="58">
        <f>+IF(A272="","",IF(AND(A272=1,B272=1),Parámetros!$D$114*(D272*frec-$G$3-$H$3),IF(AND(A272=2,B272=frec+1),Parámetros!$D$115*(D272*frec-$G$4-$H$4),0)))</f>
        <v>0</v>
      </c>
      <c r="N272" s="58">
        <f>+IF(A272="","",IF(A272&gt;Parámetros!$D$117,0,ROUND('Modelo Financiero'!D272*Parámetros!$D$116,2)))</f>
        <v>0</v>
      </c>
      <c r="O272" s="58">
        <f t="shared" si="59"/>
        <v>0</v>
      </c>
      <c r="P272" s="66">
        <f>+'Tablas Servicio'!I305</f>
        <v>28.519999999999996</v>
      </c>
      <c r="Q272" s="66">
        <f>+'Tablas Servicio'!S305</f>
        <v>19806.52</v>
      </c>
      <c r="R272" s="66">
        <f>+'Tablas Servicio'!T305</f>
        <v>19806.52</v>
      </c>
      <c r="S272" s="66">
        <f t="shared" si="55"/>
        <v>28.409999999999997</v>
      </c>
      <c r="T272" s="66">
        <f t="shared" si="64"/>
        <v>5715.3839999999991</v>
      </c>
      <c r="U272" s="66">
        <f t="shared" si="60"/>
        <v>5715.3839999999991</v>
      </c>
      <c r="V272" s="81">
        <f t="shared" si="61"/>
        <v>0</v>
      </c>
      <c r="W272" s="66">
        <f t="shared" si="62"/>
        <v>0</v>
      </c>
      <c r="X272" s="66">
        <f t="shared" si="63"/>
        <v>5715.3839999999991</v>
      </c>
    </row>
    <row r="273" spans="1:24" x14ac:dyDescent="0.25">
      <c r="A273">
        <f>+'Tablas Servicio'!B306</f>
        <v>23</v>
      </c>
      <c r="B273">
        <f>+'Tablas Servicio'!C306</f>
        <v>265</v>
      </c>
      <c r="C273" s="56">
        <f>+'Tablas Servicio'!D306</f>
        <v>62.103333333333964</v>
      </c>
      <c r="D273" s="58">
        <f>+'Tablas Servicio'!N306</f>
        <v>94</v>
      </c>
      <c r="E273" s="66">
        <f>+'Tablas Servicio'!AC306</f>
        <v>52.9</v>
      </c>
      <c r="F273" s="66">
        <f>+IF(A273="","",'Tablas Servicio'!O306-'Modelo Financiero'!E273)</f>
        <v>1.9500000000000028</v>
      </c>
      <c r="G273" s="58">
        <f t="shared" si="56"/>
        <v>37.532000000000004</v>
      </c>
      <c r="H273" s="66">
        <f>+'Tablas Servicio'!G306</f>
        <v>67.350000000000009</v>
      </c>
      <c r="I273" s="72">
        <f t="shared" si="57"/>
        <v>0.18559762435040839</v>
      </c>
      <c r="J273" s="66">
        <f t="shared" si="58"/>
        <v>12.500000000000007</v>
      </c>
      <c r="K273" s="66">
        <f>+'Tablas Servicio'!H306</f>
        <v>70.05</v>
      </c>
      <c r="L273" s="66">
        <f>+IF(A273="","",ROUND(H273*Parámetros!$D$100,2))</f>
        <v>7.86</v>
      </c>
      <c r="M273" s="58">
        <f>+IF(A273="","",IF(AND(A273=1,B273=1),Parámetros!$D$114*(D273*frec-$G$3-$H$3),IF(AND(A273=2,B273=frec+1),Parámetros!$D$115*(D273*frec-$G$4-$H$4),0)))</f>
        <v>0</v>
      </c>
      <c r="N273" s="58">
        <f>+IF(A273="","",IF(A273&gt;Parámetros!$D$117,0,ROUND('Modelo Financiero'!D273*Parámetros!$D$116,2)))</f>
        <v>0</v>
      </c>
      <c r="O273" s="58">
        <f t="shared" si="59"/>
        <v>0</v>
      </c>
      <c r="P273" s="66">
        <f>+'Tablas Servicio'!I306</f>
        <v>23.950000000000003</v>
      </c>
      <c r="Q273" s="66">
        <f>+'Tablas Servicio'!S306</f>
        <v>19886.72</v>
      </c>
      <c r="R273" s="66">
        <f>+'Tablas Servicio'!T306</f>
        <v>19886.72</v>
      </c>
      <c r="S273" s="66">
        <f t="shared" si="55"/>
        <v>29.818000000000005</v>
      </c>
      <c r="T273" s="66">
        <f t="shared" si="64"/>
        <v>5745.2019999999993</v>
      </c>
      <c r="U273" s="66">
        <f t="shared" si="60"/>
        <v>5745.2019999999993</v>
      </c>
      <c r="V273" s="81">
        <f t="shared" si="61"/>
        <v>0</v>
      </c>
      <c r="W273" s="66">
        <f t="shared" si="62"/>
        <v>0</v>
      </c>
      <c r="X273" s="66">
        <f t="shared" si="63"/>
        <v>5745.2019999999993</v>
      </c>
    </row>
    <row r="274" spans="1:24" x14ac:dyDescent="0.25">
      <c r="A274">
        <f>+'Tablas Servicio'!B307</f>
        <v>23</v>
      </c>
      <c r="B274">
        <f>+'Tablas Servicio'!C307</f>
        <v>266</v>
      </c>
      <c r="C274" s="56">
        <f>+'Tablas Servicio'!D307</f>
        <v>62.1866666666673</v>
      </c>
      <c r="D274" s="58">
        <f>+'Tablas Servicio'!N307</f>
        <v>94</v>
      </c>
      <c r="E274" s="66">
        <f>+'Tablas Servicio'!AC307</f>
        <v>52.9</v>
      </c>
      <c r="F274" s="66">
        <f>+IF(A274="","",'Tablas Servicio'!O307-'Modelo Financiero'!E274)</f>
        <v>1.9500000000000028</v>
      </c>
      <c r="G274" s="58">
        <f t="shared" si="56"/>
        <v>37.532000000000004</v>
      </c>
      <c r="H274" s="66">
        <f>+'Tablas Servicio'!G307</f>
        <v>67.350000000000009</v>
      </c>
      <c r="I274" s="72">
        <f t="shared" si="57"/>
        <v>0.18559762435040839</v>
      </c>
      <c r="J274" s="66">
        <f t="shared" si="58"/>
        <v>12.500000000000007</v>
      </c>
      <c r="K274" s="66">
        <f>+'Tablas Servicio'!H307</f>
        <v>70.05</v>
      </c>
      <c r="L274" s="66">
        <f>+IF(A274="","",ROUND(H274*Parámetros!$D$100,2))</f>
        <v>7.86</v>
      </c>
      <c r="M274" s="58">
        <f>+IF(A274="","",IF(AND(A274=1,B274=1),Parámetros!$D$114*(D274*frec-$G$3-$H$3),IF(AND(A274=2,B274=frec+1),Parámetros!$D$115*(D274*frec-$G$4-$H$4),0)))</f>
        <v>0</v>
      </c>
      <c r="N274" s="58">
        <f>+IF(A274="","",IF(A274&gt;Parámetros!$D$117,0,ROUND('Modelo Financiero'!D274*Parámetros!$D$116,2)))</f>
        <v>0</v>
      </c>
      <c r="O274" s="58">
        <f t="shared" si="59"/>
        <v>0</v>
      </c>
      <c r="P274" s="66">
        <f>+'Tablas Servicio'!I307</f>
        <v>23.950000000000003</v>
      </c>
      <c r="Q274" s="66">
        <f>+'Tablas Servicio'!S307</f>
        <v>19967.150000000001</v>
      </c>
      <c r="R274" s="66">
        <f>+'Tablas Servicio'!T307</f>
        <v>19967.150000000001</v>
      </c>
      <c r="S274" s="66">
        <f t="shared" si="55"/>
        <v>29.818000000000005</v>
      </c>
      <c r="T274" s="66">
        <f t="shared" si="64"/>
        <v>5775.0199999999995</v>
      </c>
      <c r="U274" s="66">
        <f t="shared" si="60"/>
        <v>5775.0199999999995</v>
      </c>
      <c r="V274" s="81">
        <f t="shared" si="61"/>
        <v>0</v>
      </c>
      <c r="W274" s="66">
        <f t="shared" si="62"/>
        <v>0</v>
      </c>
      <c r="X274" s="66">
        <f t="shared" si="63"/>
        <v>5775.0199999999995</v>
      </c>
    </row>
    <row r="275" spans="1:24" x14ac:dyDescent="0.25">
      <c r="A275">
        <f>+'Tablas Servicio'!B308</f>
        <v>23</v>
      </c>
      <c r="B275">
        <f>+'Tablas Servicio'!C308</f>
        <v>267</v>
      </c>
      <c r="C275" s="56">
        <f>+'Tablas Servicio'!D308</f>
        <v>62.270000000000636</v>
      </c>
      <c r="D275" s="58">
        <f>+'Tablas Servicio'!N308</f>
        <v>94</v>
      </c>
      <c r="E275" s="66">
        <f>+'Tablas Servicio'!AC308</f>
        <v>52.9</v>
      </c>
      <c r="F275" s="66">
        <f>+IF(A275="","",'Tablas Servicio'!O308-'Modelo Financiero'!E275)</f>
        <v>1.9500000000000028</v>
      </c>
      <c r="G275" s="58">
        <f t="shared" si="56"/>
        <v>37.532000000000004</v>
      </c>
      <c r="H275" s="66">
        <f>+'Tablas Servicio'!G308</f>
        <v>67.350000000000009</v>
      </c>
      <c r="I275" s="72">
        <f t="shared" si="57"/>
        <v>0.18559762435040839</v>
      </c>
      <c r="J275" s="66">
        <f t="shared" si="58"/>
        <v>12.500000000000007</v>
      </c>
      <c r="K275" s="66">
        <f>+'Tablas Servicio'!H308</f>
        <v>70.05</v>
      </c>
      <c r="L275" s="66">
        <f>+IF(A275="","",ROUND(H275*Parámetros!$D$100,2))</f>
        <v>7.86</v>
      </c>
      <c r="M275" s="58">
        <f>+IF(A275="","",IF(AND(A275=1,B275=1),Parámetros!$D$114*(D275*frec-$G$3-$H$3),IF(AND(A275=2,B275=frec+1),Parámetros!$D$115*(D275*frec-$G$4-$H$4),0)))</f>
        <v>0</v>
      </c>
      <c r="N275" s="58">
        <f>+IF(A275="","",IF(A275&gt;Parámetros!$D$117,0,ROUND('Modelo Financiero'!D275*Parámetros!$D$116,2)))</f>
        <v>0</v>
      </c>
      <c r="O275" s="58">
        <f t="shared" si="59"/>
        <v>0</v>
      </c>
      <c r="P275" s="66">
        <f>+'Tablas Servicio'!I308</f>
        <v>23.950000000000003</v>
      </c>
      <c r="Q275" s="66">
        <f>+'Tablas Servicio'!S308</f>
        <v>20047.8</v>
      </c>
      <c r="R275" s="66">
        <f>+'Tablas Servicio'!T308</f>
        <v>20047.8</v>
      </c>
      <c r="S275" s="66">
        <f t="shared" si="55"/>
        <v>29.818000000000005</v>
      </c>
      <c r="T275" s="66">
        <f t="shared" si="64"/>
        <v>5804.8379999999997</v>
      </c>
      <c r="U275" s="66">
        <f t="shared" si="60"/>
        <v>5804.8379999999997</v>
      </c>
      <c r="V275" s="81">
        <f t="shared" si="61"/>
        <v>0</v>
      </c>
      <c r="W275" s="66">
        <f t="shared" si="62"/>
        <v>0</v>
      </c>
      <c r="X275" s="66">
        <f t="shared" si="63"/>
        <v>5804.8379999999997</v>
      </c>
    </row>
    <row r="276" spans="1:24" x14ac:dyDescent="0.25">
      <c r="A276">
        <f>+'Tablas Servicio'!B309</f>
        <v>23</v>
      </c>
      <c r="B276">
        <f>+'Tablas Servicio'!C309</f>
        <v>268</v>
      </c>
      <c r="C276" s="56">
        <f>+'Tablas Servicio'!D309</f>
        <v>62.353333333333971</v>
      </c>
      <c r="D276" s="58">
        <f>+'Tablas Servicio'!N309</f>
        <v>94</v>
      </c>
      <c r="E276" s="66">
        <f>+'Tablas Servicio'!AC309</f>
        <v>52.9</v>
      </c>
      <c r="F276" s="66">
        <f>+IF(A276="","",'Tablas Servicio'!O309-'Modelo Financiero'!E276)</f>
        <v>1.9500000000000028</v>
      </c>
      <c r="G276" s="58">
        <f t="shared" si="56"/>
        <v>37.532000000000004</v>
      </c>
      <c r="H276" s="66">
        <f>+'Tablas Servicio'!G309</f>
        <v>67.350000000000009</v>
      </c>
      <c r="I276" s="72">
        <f t="shared" si="57"/>
        <v>0.18559762435040839</v>
      </c>
      <c r="J276" s="66">
        <f t="shared" si="58"/>
        <v>12.500000000000007</v>
      </c>
      <c r="K276" s="66">
        <f>+'Tablas Servicio'!H309</f>
        <v>70.05</v>
      </c>
      <c r="L276" s="66">
        <f>+IF(A276="","",ROUND(H276*Parámetros!$D$100,2))</f>
        <v>7.86</v>
      </c>
      <c r="M276" s="58">
        <f>+IF(A276="","",IF(AND(A276=1,B276=1),Parámetros!$D$114*(D276*frec-$G$3-$H$3),IF(AND(A276=2,B276=frec+1),Parámetros!$D$115*(D276*frec-$G$4-$H$4),0)))</f>
        <v>0</v>
      </c>
      <c r="N276" s="58">
        <f>+IF(A276="","",IF(A276&gt;Parámetros!$D$117,0,ROUND('Modelo Financiero'!D276*Parámetros!$D$116,2)))</f>
        <v>0</v>
      </c>
      <c r="O276" s="58">
        <f t="shared" si="59"/>
        <v>0</v>
      </c>
      <c r="P276" s="66">
        <f>+'Tablas Servicio'!I309</f>
        <v>23.950000000000003</v>
      </c>
      <c r="Q276" s="66">
        <f>+'Tablas Servicio'!S309</f>
        <v>20128.68</v>
      </c>
      <c r="R276" s="66">
        <f>+'Tablas Servicio'!T309</f>
        <v>20128.68</v>
      </c>
      <c r="S276" s="66">
        <f t="shared" si="55"/>
        <v>29.818000000000005</v>
      </c>
      <c r="T276" s="66">
        <f t="shared" si="64"/>
        <v>5834.6559999999999</v>
      </c>
      <c r="U276" s="66">
        <f t="shared" si="60"/>
        <v>5834.6559999999999</v>
      </c>
      <c r="V276" s="81">
        <f t="shared" si="61"/>
        <v>0</v>
      </c>
      <c r="W276" s="66">
        <f t="shared" si="62"/>
        <v>0</v>
      </c>
      <c r="X276" s="66">
        <f t="shared" si="63"/>
        <v>5834.6559999999999</v>
      </c>
    </row>
    <row r="277" spans="1:24" x14ac:dyDescent="0.25">
      <c r="A277">
        <f>+'Tablas Servicio'!B310</f>
        <v>23</v>
      </c>
      <c r="B277">
        <f>+'Tablas Servicio'!C310</f>
        <v>269</v>
      </c>
      <c r="C277" s="56">
        <f>+'Tablas Servicio'!D310</f>
        <v>62.436666666667307</v>
      </c>
      <c r="D277" s="58">
        <f>+'Tablas Servicio'!N310</f>
        <v>94</v>
      </c>
      <c r="E277" s="66">
        <f>+'Tablas Servicio'!AC310</f>
        <v>52.9</v>
      </c>
      <c r="F277" s="66">
        <f>+IF(A277="","",'Tablas Servicio'!O310-'Modelo Financiero'!E277)</f>
        <v>1.9500000000000028</v>
      </c>
      <c r="G277" s="58">
        <f t="shared" si="56"/>
        <v>37.532000000000004</v>
      </c>
      <c r="H277" s="66">
        <f>+'Tablas Servicio'!G310</f>
        <v>67.350000000000009</v>
      </c>
      <c r="I277" s="72">
        <f t="shared" si="57"/>
        <v>0.18559762435040839</v>
      </c>
      <c r="J277" s="66">
        <f t="shared" si="58"/>
        <v>12.500000000000007</v>
      </c>
      <c r="K277" s="66">
        <f>+'Tablas Servicio'!H310</f>
        <v>70.05</v>
      </c>
      <c r="L277" s="66">
        <f>+IF(A277="","",ROUND(H277*Parámetros!$D$100,2))</f>
        <v>7.86</v>
      </c>
      <c r="M277" s="58">
        <f>+IF(A277="","",IF(AND(A277=1,B277=1),Parámetros!$D$114*(D277*frec-$G$3-$H$3),IF(AND(A277=2,B277=frec+1),Parámetros!$D$115*(D277*frec-$G$4-$H$4),0)))</f>
        <v>0</v>
      </c>
      <c r="N277" s="58">
        <f>+IF(A277="","",IF(A277&gt;Parámetros!$D$117,0,ROUND('Modelo Financiero'!D277*Parámetros!$D$116,2)))</f>
        <v>0</v>
      </c>
      <c r="O277" s="58">
        <f t="shared" si="59"/>
        <v>0</v>
      </c>
      <c r="P277" s="66">
        <f>+'Tablas Servicio'!I310</f>
        <v>23.950000000000003</v>
      </c>
      <c r="Q277" s="66">
        <f>+'Tablas Servicio'!S310</f>
        <v>20209.79</v>
      </c>
      <c r="R277" s="66">
        <f>+'Tablas Servicio'!T310</f>
        <v>20209.79</v>
      </c>
      <c r="S277" s="66">
        <f t="shared" si="55"/>
        <v>29.818000000000005</v>
      </c>
      <c r="T277" s="66">
        <f t="shared" si="64"/>
        <v>5864.4740000000002</v>
      </c>
      <c r="U277" s="66">
        <f t="shared" si="60"/>
        <v>5864.4740000000002</v>
      </c>
      <c r="V277" s="81">
        <f t="shared" si="61"/>
        <v>0</v>
      </c>
      <c r="W277" s="66">
        <f t="shared" si="62"/>
        <v>0</v>
      </c>
      <c r="X277" s="66">
        <f t="shared" si="63"/>
        <v>5864.4740000000002</v>
      </c>
    </row>
    <row r="278" spans="1:24" x14ac:dyDescent="0.25">
      <c r="A278">
        <f>+'Tablas Servicio'!B311</f>
        <v>23</v>
      </c>
      <c r="B278">
        <f>+'Tablas Servicio'!C311</f>
        <v>270</v>
      </c>
      <c r="C278" s="56">
        <f>+'Tablas Servicio'!D311</f>
        <v>62.520000000000643</v>
      </c>
      <c r="D278" s="58">
        <f>+'Tablas Servicio'!N311</f>
        <v>94</v>
      </c>
      <c r="E278" s="66">
        <f>+'Tablas Servicio'!AC311</f>
        <v>52.9</v>
      </c>
      <c r="F278" s="66">
        <f>+IF(A278="","",'Tablas Servicio'!O311-'Modelo Financiero'!E278)</f>
        <v>1.9500000000000028</v>
      </c>
      <c r="G278" s="58">
        <f t="shared" si="56"/>
        <v>37.532000000000004</v>
      </c>
      <c r="H278" s="66">
        <f>+'Tablas Servicio'!G311</f>
        <v>67.350000000000009</v>
      </c>
      <c r="I278" s="72">
        <f t="shared" si="57"/>
        <v>0.18559762435040839</v>
      </c>
      <c r="J278" s="66">
        <f t="shared" si="58"/>
        <v>12.500000000000007</v>
      </c>
      <c r="K278" s="66">
        <f>+'Tablas Servicio'!H311</f>
        <v>70.05</v>
      </c>
      <c r="L278" s="66">
        <f>+IF(A278="","",ROUND(H278*Parámetros!$D$100,2))</f>
        <v>7.86</v>
      </c>
      <c r="M278" s="58">
        <f>+IF(A278="","",IF(AND(A278=1,B278=1),Parámetros!$D$114*(D278*frec-$G$3-$H$3),IF(AND(A278=2,B278=frec+1),Parámetros!$D$115*(D278*frec-$G$4-$H$4),0)))</f>
        <v>0</v>
      </c>
      <c r="N278" s="58">
        <f>+IF(A278="","",IF(A278&gt;Parámetros!$D$117,0,ROUND('Modelo Financiero'!D278*Parámetros!$D$116,2)))</f>
        <v>0</v>
      </c>
      <c r="O278" s="58">
        <f t="shared" si="59"/>
        <v>0</v>
      </c>
      <c r="P278" s="66">
        <f>+'Tablas Servicio'!I311</f>
        <v>23.950000000000003</v>
      </c>
      <c r="Q278" s="66">
        <f>+'Tablas Servicio'!S311</f>
        <v>20291.13</v>
      </c>
      <c r="R278" s="66">
        <f>+'Tablas Servicio'!T311</f>
        <v>20291.13</v>
      </c>
      <c r="S278" s="66">
        <f t="shared" si="55"/>
        <v>29.818000000000005</v>
      </c>
      <c r="T278" s="66">
        <f t="shared" si="64"/>
        <v>5894.2920000000004</v>
      </c>
      <c r="U278" s="66">
        <f t="shared" si="60"/>
        <v>5894.2920000000004</v>
      </c>
      <c r="V278" s="81">
        <f t="shared" si="61"/>
        <v>0</v>
      </c>
      <c r="W278" s="66">
        <f t="shared" si="62"/>
        <v>0</v>
      </c>
      <c r="X278" s="66">
        <f t="shared" si="63"/>
        <v>5894.2920000000004</v>
      </c>
    </row>
    <row r="279" spans="1:24" x14ac:dyDescent="0.25">
      <c r="A279">
        <f>+'Tablas Servicio'!B312</f>
        <v>23</v>
      </c>
      <c r="B279">
        <f>+'Tablas Servicio'!C312</f>
        <v>271</v>
      </c>
      <c r="C279" s="56">
        <f>+'Tablas Servicio'!D312</f>
        <v>62.603333333333978</v>
      </c>
      <c r="D279" s="58">
        <f>+'Tablas Servicio'!N312</f>
        <v>94</v>
      </c>
      <c r="E279" s="66">
        <f>+'Tablas Servicio'!AC312</f>
        <v>52.9</v>
      </c>
      <c r="F279" s="66">
        <f>+IF(A279="","",'Tablas Servicio'!O312-'Modelo Financiero'!E279)</f>
        <v>1.9500000000000028</v>
      </c>
      <c r="G279" s="58">
        <f t="shared" si="56"/>
        <v>37.532000000000004</v>
      </c>
      <c r="H279" s="66">
        <f>+'Tablas Servicio'!G312</f>
        <v>67.350000000000009</v>
      </c>
      <c r="I279" s="72">
        <f t="shared" si="57"/>
        <v>0.18559762435040839</v>
      </c>
      <c r="J279" s="66">
        <f t="shared" si="58"/>
        <v>12.500000000000007</v>
      </c>
      <c r="K279" s="66">
        <f>+'Tablas Servicio'!H312</f>
        <v>70.05</v>
      </c>
      <c r="L279" s="66">
        <f>+IF(A279="","",ROUND(H279*Parámetros!$D$100,2))</f>
        <v>7.86</v>
      </c>
      <c r="M279" s="58">
        <f>+IF(A279="","",IF(AND(A279=1,B279=1),Parámetros!$D$114*(D279*frec-$G$3-$H$3),IF(AND(A279=2,B279=frec+1),Parámetros!$D$115*(D279*frec-$G$4-$H$4),0)))</f>
        <v>0</v>
      </c>
      <c r="N279" s="58">
        <f>+IF(A279="","",IF(A279&gt;Parámetros!$D$117,0,ROUND('Modelo Financiero'!D279*Parámetros!$D$116,2)))</f>
        <v>0</v>
      </c>
      <c r="O279" s="58">
        <f t="shared" si="59"/>
        <v>0</v>
      </c>
      <c r="P279" s="66">
        <f>+'Tablas Servicio'!I312</f>
        <v>23.950000000000003</v>
      </c>
      <c r="Q279" s="66">
        <f>+'Tablas Servicio'!S312</f>
        <v>20372.7</v>
      </c>
      <c r="R279" s="66">
        <f>+'Tablas Servicio'!T312</f>
        <v>20372.7</v>
      </c>
      <c r="S279" s="66">
        <f t="shared" si="55"/>
        <v>29.818000000000005</v>
      </c>
      <c r="T279" s="66">
        <f t="shared" si="64"/>
        <v>5924.1100000000006</v>
      </c>
      <c r="U279" s="66">
        <f t="shared" si="60"/>
        <v>5924.1100000000006</v>
      </c>
      <c r="V279" s="81">
        <f t="shared" si="61"/>
        <v>0</v>
      </c>
      <c r="W279" s="66">
        <f t="shared" si="62"/>
        <v>0</v>
      </c>
      <c r="X279" s="66">
        <f t="shared" si="63"/>
        <v>5924.1100000000006</v>
      </c>
    </row>
    <row r="280" spans="1:24" x14ac:dyDescent="0.25">
      <c r="A280">
        <f>+'Tablas Servicio'!B313</f>
        <v>23</v>
      </c>
      <c r="B280">
        <f>+'Tablas Servicio'!C313</f>
        <v>272</v>
      </c>
      <c r="C280" s="56">
        <f>+'Tablas Servicio'!D313</f>
        <v>62.686666666667314</v>
      </c>
      <c r="D280" s="58">
        <f>+'Tablas Servicio'!N313</f>
        <v>94</v>
      </c>
      <c r="E280" s="66">
        <f>+'Tablas Servicio'!AC313</f>
        <v>52.9</v>
      </c>
      <c r="F280" s="66">
        <f>+IF(A280="","",'Tablas Servicio'!O313-'Modelo Financiero'!E280)</f>
        <v>1.9500000000000028</v>
      </c>
      <c r="G280" s="58">
        <f t="shared" si="56"/>
        <v>37.532000000000004</v>
      </c>
      <c r="H280" s="66">
        <f>+'Tablas Servicio'!G313</f>
        <v>67.350000000000009</v>
      </c>
      <c r="I280" s="72">
        <f t="shared" si="57"/>
        <v>0.18559762435040839</v>
      </c>
      <c r="J280" s="66">
        <f t="shared" si="58"/>
        <v>12.500000000000007</v>
      </c>
      <c r="K280" s="66">
        <f>+'Tablas Servicio'!H313</f>
        <v>70.05</v>
      </c>
      <c r="L280" s="66">
        <f>+IF(A280="","",ROUND(H280*Parámetros!$D$100,2))</f>
        <v>7.86</v>
      </c>
      <c r="M280" s="58">
        <f>+IF(A280="","",IF(AND(A280=1,B280=1),Parámetros!$D$114*(D280*frec-$G$3-$H$3),IF(AND(A280=2,B280=frec+1),Parámetros!$D$115*(D280*frec-$G$4-$H$4),0)))</f>
        <v>0</v>
      </c>
      <c r="N280" s="58">
        <f>+IF(A280="","",IF(A280&gt;Parámetros!$D$117,0,ROUND('Modelo Financiero'!D280*Parámetros!$D$116,2)))</f>
        <v>0</v>
      </c>
      <c r="O280" s="58">
        <f t="shared" si="59"/>
        <v>0</v>
      </c>
      <c r="P280" s="66">
        <f>+'Tablas Servicio'!I313</f>
        <v>23.950000000000003</v>
      </c>
      <c r="Q280" s="66">
        <f>+'Tablas Servicio'!S313</f>
        <v>20454.5</v>
      </c>
      <c r="R280" s="66">
        <f>+'Tablas Servicio'!T313</f>
        <v>20454.5</v>
      </c>
      <c r="S280" s="66">
        <f t="shared" si="55"/>
        <v>29.818000000000005</v>
      </c>
      <c r="T280" s="66">
        <f t="shared" si="64"/>
        <v>5953.9280000000008</v>
      </c>
      <c r="U280" s="66">
        <f t="shared" si="60"/>
        <v>5953.9280000000008</v>
      </c>
      <c r="V280" s="81">
        <f t="shared" si="61"/>
        <v>0</v>
      </c>
      <c r="W280" s="66">
        <f t="shared" si="62"/>
        <v>0</v>
      </c>
      <c r="X280" s="66">
        <f t="shared" si="63"/>
        <v>5953.9280000000008</v>
      </c>
    </row>
    <row r="281" spans="1:24" x14ac:dyDescent="0.25">
      <c r="A281">
        <f>+'Tablas Servicio'!B314</f>
        <v>23</v>
      </c>
      <c r="B281">
        <f>+'Tablas Servicio'!C314</f>
        <v>273</v>
      </c>
      <c r="C281" s="56">
        <f>+'Tablas Servicio'!D314</f>
        <v>62.77000000000065</v>
      </c>
      <c r="D281" s="58">
        <f>+'Tablas Servicio'!N314</f>
        <v>94</v>
      </c>
      <c r="E281" s="66">
        <f>+'Tablas Servicio'!AC314</f>
        <v>52.9</v>
      </c>
      <c r="F281" s="66">
        <f>+IF(A281="","",'Tablas Servicio'!O314-'Modelo Financiero'!E281)</f>
        <v>1.9500000000000028</v>
      </c>
      <c r="G281" s="58">
        <f t="shared" si="56"/>
        <v>37.532000000000004</v>
      </c>
      <c r="H281" s="66">
        <f>+'Tablas Servicio'!G314</f>
        <v>67.350000000000009</v>
      </c>
      <c r="I281" s="72">
        <f t="shared" si="57"/>
        <v>0.18559762435040839</v>
      </c>
      <c r="J281" s="66">
        <f t="shared" si="58"/>
        <v>12.500000000000007</v>
      </c>
      <c r="K281" s="66">
        <f>+'Tablas Servicio'!H314</f>
        <v>70.05</v>
      </c>
      <c r="L281" s="66">
        <f>+IF(A281="","",ROUND(H281*Parámetros!$D$100,2))</f>
        <v>7.86</v>
      </c>
      <c r="M281" s="58">
        <f>+IF(A281="","",IF(AND(A281=1,B281=1),Parámetros!$D$114*(D281*frec-$G$3-$H$3),IF(AND(A281=2,B281=frec+1),Parámetros!$D$115*(D281*frec-$G$4-$H$4),0)))</f>
        <v>0</v>
      </c>
      <c r="N281" s="58">
        <f>+IF(A281="","",IF(A281&gt;Parámetros!$D$117,0,ROUND('Modelo Financiero'!D281*Parámetros!$D$116,2)))</f>
        <v>0</v>
      </c>
      <c r="O281" s="58">
        <f t="shared" si="59"/>
        <v>0</v>
      </c>
      <c r="P281" s="66">
        <f>+'Tablas Servicio'!I314</f>
        <v>23.950000000000003</v>
      </c>
      <c r="Q281" s="66">
        <f>+'Tablas Servicio'!S314</f>
        <v>20536.54</v>
      </c>
      <c r="R281" s="66">
        <f>+'Tablas Servicio'!T314</f>
        <v>20536.54</v>
      </c>
      <c r="S281" s="66">
        <f t="shared" si="55"/>
        <v>29.818000000000005</v>
      </c>
      <c r="T281" s="66">
        <f t="shared" si="64"/>
        <v>5983.746000000001</v>
      </c>
      <c r="U281" s="66">
        <f t="shared" si="60"/>
        <v>5983.746000000001</v>
      </c>
      <c r="V281" s="81">
        <f t="shared" si="61"/>
        <v>0</v>
      </c>
      <c r="W281" s="66">
        <f t="shared" si="62"/>
        <v>0</v>
      </c>
      <c r="X281" s="66">
        <f t="shared" si="63"/>
        <v>5983.746000000001</v>
      </c>
    </row>
    <row r="282" spans="1:24" x14ac:dyDescent="0.25">
      <c r="A282">
        <f>+'Tablas Servicio'!B315</f>
        <v>23</v>
      </c>
      <c r="B282">
        <f>+'Tablas Servicio'!C315</f>
        <v>274</v>
      </c>
      <c r="C282" s="56">
        <f>+'Tablas Servicio'!D315</f>
        <v>62.853333333333985</v>
      </c>
      <c r="D282" s="58">
        <f>+'Tablas Servicio'!N315</f>
        <v>94</v>
      </c>
      <c r="E282" s="66">
        <f>+'Tablas Servicio'!AC315</f>
        <v>52.9</v>
      </c>
      <c r="F282" s="66">
        <f>+IF(A282="","",'Tablas Servicio'!O315-'Modelo Financiero'!E282)</f>
        <v>1.9500000000000028</v>
      </c>
      <c r="G282" s="58">
        <f t="shared" si="56"/>
        <v>37.532000000000004</v>
      </c>
      <c r="H282" s="66">
        <f>+'Tablas Servicio'!G315</f>
        <v>67.350000000000009</v>
      </c>
      <c r="I282" s="72">
        <f t="shared" si="57"/>
        <v>0.18559762435040839</v>
      </c>
      <c r="J282" s="66">
        <f t="shared" si="58"/>
        <v>12.500000000000007</v>
      </c>
      <c r="K282" s="66">
        <f>+'Tablas Servicio'!H315</f>
        <v>70.05</v>
      </c>
      <c r="L282" s="66">
        <f>+IF(A282="","",ROUND(H282*Parámetros!$D$100,2))</f>
        <v>7.86</v>
      </c>
      <c r="M282" s="58">
        <f>+IF(A282="","",IF(AND(A282=1,B282=1),Parámetros!$D$114*(D282*frec-$G$3-$H$3),IF(AND(A282=2,B282=frec+1),Parámetros!$D$115*(D282*frec-$G$4-$H$4),0)))</f>
        <v>0</v>
      </c>
      <c r="N282" s="58">
        <f>+IF(A282="","",IF(A282&gt;Parámetros!$D$117,0,ROUND('Modelo Financiero'!D282*Parámetros!$D$116,2)))</f>
        <v>0</v>
      </c>
      <c r="O282" s="58">
        <f t="shared" si="59"/>
        <v>0</v>
      </c>
      <c r="P282" s="66">
        <f>+'Tablas Servicio'!I315</f>
        <v>23.950000000000003</v>
      </c>
      <c r="Q282" s="66">
        <f>+'Tablas Servicio'!S315</f>
        <v>20618.810000000001</v>
      </c>
      <c r="R282" s="66">
        <f>+'Tablas Servicio'!T315</f>
        <v>20618.810000000001</v>
      </c>
      <c r="S282" s="66">
        <f t="shared" si="55"/>
        <v>29.818000000000005</v>
      </c>
      <c r="T282" s="66">
        <f t="shared" si="64"/>
        <v>6013.5640000000012</v>
      </c>
      <c r="U282" s="66">
        <f t="shared" si="60"/>
        <v>6013.5640000000012</v>
      </c>
      <c r="V282" s="81">
        <f t="shared" si="61"/>
        <v>0</v>
      </c>
      <c r="W282" s="66">
        <f t="shared" si="62"/>
        <v>0</v>
      </c>
      <c r="X282" s="66">
        <f t="shared" si="63"/>
        <v>6013.5640000000012</v>
      </c>
    </row>
    <row r="283" spans="1:24" x14ac:dyDescent="0.25">
      <c r="A283">
        <f>+'Tablas Servicio'!B316</f>
        <v>23</v>
      </c>
      <c r="B283">
        <f>+'Tablas Servicio'!C316</f>
        <v>275</v>
      </c>
      <c r="C283" s="56">
        <f>+'Tablas Servicio'!D316</f>
        <v>62.936666666667321</v>
      </c>
      <c r="D283" s="58">
        <f>+'Tablas Servicio'!N316</f>
        <v>94</v>
      </c>
      <c r="E283" s="66">
        <f>+'Tablas Servicio'!AC316</f>
        <v>52.9</v>
      </c>
      <c r="F283" s="66">
        <f>+IF(A283="","",'Tablas Servicio'!O316-'Modelo Financiero'!E283)</f>
        <v>1.9500000000000028</v>
      </c>
      <c r="G283" s="58">
        <f t="shared" si="56"/>
        <v>37.532000000000004</v>
      </c>
      <c r="H283" s="66">
        <f>+'Tablas Servicio'!G316</f>
        <v>67.350000000000009</v>
      </c>
      <c r="I283" s="72">
        <f t="shared" si="57"/>
        <v>0.18559762435040839</v>
      </c>
      <c r="J283" s="66">
        <f t="shared" si="58"/>
        <v>12.500000000000007</v>
      </c>
      <c r="K283" s="66">
        <f>+'Tablas Servicio'!H316</f>
        <v>70.05</v>
      </c>
      <c r="L283" s="66">
        <f>+IF(A283="","",ROUND(H283*Parámetros!$D$100,2))</f>
        <v>7.86</v>
      </c>
      <c r="M283" s="58">
        <f>+IF(A283="","",IF(AND(A283=1,B283=1),Parámetros!$D$114*(D283*frec-$G$3-$H$3),IF(AND(A283=2,B283=frec+1),Parámetros!$D$115*(D283*frec-$G$4-$H$4),0)))</f>
        <v>0</v>
      </c>
      <c r="N283" s="58">
        <f>+IF(A283="","",IF(A283&gt;Parámetros!$D$117,0,ROUND('Modelo Financiero'!D283*Parámetros!$D$116,2)))</f>
        <v>0</v>
      </c>
      <c r="O283" s="58">
        <f t="shared" si="59"/>
        <v>0</v>
      </c>
      <c r="P283" s="66">
        <f>+'Tablas Servicio'!I316</f>
        <v>23.950000000000003</v>
      </c>
      <c r="Q283" s="66">
        <f>+'Tablas Servicio'!S316</f>
        <v>20701.310000000001</v>
      </c>
      <c r="R283" s="66">
        <f>+'Tablas Servicio'!T316</f>
        <v>20701.310000000001</v>
      </c>
      <c r="S283" s="66">
        <f t="shared" si="55"/>
        <v>29.818000000000005</v>
      </c>
      <c r="T283" s="66">
        <f t="shared" si="64"/>
        <v>6043.3820000000014</v>
      </c>
      <c r="U283" s="66">
        <f t="shared" si="60"/>
        <v>6043.3820000000014</v>
      </c>
      <c r="V283" s="81">
        <f t="shared" si="61"/>
        <v>0</v>
      </c>
      <c r="W283" s="66">
        <f t="shared" si="62"/>
        <v>0</v>
      </c>
      <c r="X283" s="66">
        <f t="shared" si="63"/>
        <v>6043.3820000000014</v>
      </c>
    </row>
    <row r="284" spans="1:24" x14ac:dyDescent="0.25">
      <c r="A284">
        <f>+'Tablas Servicio'!B317</f>
        <v>23</v>
      </c>
      <c r="B284">
        <f>+'Tablas Servicio'!C317</f>
        <v>276</v>
      </c>
      <c r="C284" s="56">
        <f>+'Tablas Servicio'!D317</f>
        <v>63.020000000000657</v>
      </c>
      <c r="D284" s="58">
        <f>+'Tablas Servicio'!N317</f>
        <v>94</v>
      </c>
      <c r="E284" s="66">
        <f>+'Tablas Servicio'!AC317</f>
        <v>52.9</v>
      </c>
      <c r="F284" s="66">
        <f>+IF(A284="","",'Tablas Servicio'!O317-'Modelo Financiero'!E284)</f>
        <v>1.9500000000000028</v>
      </c>
      <c r="G284" s="58">
        <f t="shared" si="56"/>
        <v>37.532000000000004</v>
      </c>
      <c r="H284" s="66">
        <f>+'Tablas Servicio'!G317</f>
        <v>67.350000000000009</v>
      </c>
      <c r="I284" s="72">
        <f t="shared" si="57"/>
        <v>0.18559762435040839</v>
      </c>
      <c r="J284" s="66">
        <f t="shared" si="58"/>
        <v>12.500000000000007</v>
      </c>
      <c r="K284" s="66">
        <f>+'Tablas Servicio'!H317</f>
        <v>70.05</v>
      </c>
      <c r="L284" s="66">
        <f>+IF(A284="","",ROUND(H284*Parámetros!$D$100,2))</f>
        <v>7.86</v>
      </c>
      <c r="M284" s="58">
        <f>+IF(A284="","",IF(AND(A284=1,B284=1),Parámetros!$D$114*(D284*frec-$G$3-$H$3),IF(AND(A284=2,B284=frec+1),Parámetros!$D$115*(D284*frec-$G$4-$H$4),0)))</f>
        <v>0</v>
      </c>
      <c r="N284" s="58">
        <f>+IF(A284="","",IF(A284&gt;Parámetros!$D$117,0,ROUND('Modelo Financiero'!D284*Parámetros!$D$116,2)))</f>
        <v>0</v>
      </c>
      <c r="O284" s="58">
        <f t="shared" si="59"/>
        <v>0</v>
      </c>
      <c r="P284" s="66">
        <f>+'Tablas Servicio'!I317</f>
        <v>23.950000000000003</v>
      </c>
      <c r="Q284" s="66">
        <f>+'Tablas Servicio'!S317</f>
        <v>20784.05</v>
      </c>
      <c r="R284" s="66">
        <f>+'Tablas Servicio'!T317</f>
        <v>20784.05</v>
      </c>
      <c r="S284" s="66">
        <f t="shared" si="55"/>
        <v>29.818000000000005</v>
      </c>
      <c r="T284" s="66">
        <f t="shared" si="64"/>
        <v>6073.2000000000016</v>
      </c>
      <c r="U284" s="66">
        <f t="shared" si="60"/>
        <v>6073.2000000000016</v>
      </c>
      <c r="V284" s="81">
        <f t="shared" si="61"/>
        <v>0</v>
      </c>
      <c r="W284" s="66">
        <f t="shared" si="62"/>
        <v>0</v>
      </c>
      <c r="X284" s="66">
        <f t="shared" si="63"/>
        <v>6073.2000000000016</v>
      </c>
    </row>
    <row r="285" spans="1:24" x14ac:dyDescent="0.25">
      <c r="A285">
        <f>+'Tablas Servicio'!B318</f>
        <v>24</v>
      </c>
      <c r="B285">
        <f>+'Tablas Servicio'!C318</f>
        <v>277</v>
      </c>
      <c r="C285" s="56">
        <f>+'Tablas Servicio'!D318</f>
        <v>63.103333333333993</v>
      </c>
      <c r="D285" s="58">
        <f>+'Tablas Servicio'!N318</f>
        <v>94</v>
      </c>
      <c r="E285" s="66">
        <f>+'Tablas Servicio'!AC318</f>
        <v>58.3</v>
      </c>
      <c r="F285" s="66">
        <f>+IF(A285="","",'Tablas Servicio'!O318-'Modelo Financiero'!E285)</f>
        <v>1.9500000000000028</v>
      </c>
      <c r="G285" s="58">
        <f t="shared" si="56"/>
        <v>41.204000000000001</v>
      </c>
      <c r="H285" s="66">
        <f>+'Tablas Servicio'!G318</f>
        <v>72.75</v>
      </c>
      <c r="I285" s="72">
        <f t="shared" si="57"/>
        <v>0.17182130584192434</v>
      </c>
      <c r="J285" s="66">
        <f t="shared" si="58"/>
        <v>12.5</v>
      </c>
      <c r="K285" s="66">
        <f>+'Tablas Servicio'!H318</f>
        <v>75.66</v>
      </c>
      <c r="L285" s="66">
        <f>+IF(A285="","",ROUND(H285*Parámetros!$D$100,2))</f>
        <v>8.49</v>
      </c>
      <c r="M285" s="58">
        <f>+IF(A285="","",IF(AND(A285=1,B285=1),Parámetros!$D$114*(D285*frec-$G$3-$H$3),IF(AND(A285=2,B285=frec+1),Parámetros!$D$115*(D285*frec-$G$4-$H$4),0)))</f>
        <v>0</v>
      </c>
      <c r="N285" s="58">
        <f>+IF(A285="","",IF(A285&gt;Parámetros!$D$117,0,ROUND('Modelo Financiero'!D285*Parámetros!$D$116,2)))</f>
        <v>0</v>
      </c>
      <c r="O285" s="58">
        <f t="shared" si="59"/>
        <v>0</v>
      </c>
      <c r="P285" s="66">
        <f>+'Tablas Servicio'!I318</f>
        <v>18.340000000000003</v>
      </c>
      <c r="Q285" s="66">
        <f>+'Tablas Servicio'!S318</f>
        <v>20861.400000000001</v>
      </c>
      <c r="R285" s="66">
        <f>+'Tablas Servicio'!T318</f>
        <v>20861.400000000001</v>
      </c>
      <c r="S285" s="66">
        <f t="shared" si="55"/>
        <v>31.545999999999999</v>
      </c>
      <c r="T285" s="66">
        <f t="shared" si="64"/>
        <v>6104.7460000000019</v>
      </c>
      <c r="U285" s="66">
        <f t="shared" si="60"/>
        <v>6104.7460000000019</v>
      </c>
      <c r="V285" s="81">
        <f t="shared" si="61"/>
        <v>0</v>
      </c>
      <c r="W285" s="66">
        <f t="shared" si="62"/>
        <v>0</v>
      </c>
      <c r="X285" s="66">
        <f t="shared" si="63"/>
        <v>6104.7460000000019</v>
      </c>
    </row>
    <row r="286" spans="1:24" x14ac:dyDescent="0.25">
      <c r="A286">
        <f>+'Tablas Servicio'!B319</f>
        <v>24</v>
      </c>
      <c r="B286">
        <f>+'Tablas Servicio'!C319</f>
        <v>278</v>
      </c>
      <c r="C286" s="56">
        <f>+'Tablas Servicio'!D319</f>
        <v>63.186666666667328</v>
      </c>
      <c r="D286" s="58">
        <f>+'Tablas Servicio'!N319</f>
        <v>94</v>
      </c>
      <c r="E286" s="66">
        <f>+'Tablas Servicio'!AC319</f>
        <v>58.3</v>
      </c>
      <c r="F286" s="66">
        <f>+IF(A286="","",'Tablas Servicio'!O319-'Modelo Financiero'!E286)</f>
        <v>1.9500000000000028</v>
      </c>
      <c r="G286" s="58">
        <f t="shared" si="56"/>
        <v>41.204000000000001</v>
      </c>
      <c r="H286" s="66">
        <f>+'Tablas Servicio'!G319</f>
        <v>72.75</v>
      </c>
      <c r="I286" s="72">
        <f t="shared" si="57"/>
        <v>0.17182130584192434</v>
      </c>
      <c r="J286" s="66">
        <f t="shared" si="58"/>
        <v>12.5</v>
      </c>
      <c r="K286" s="66">
        <f>+'Tablas Servicio'!H319</f>
        <v>75.66</v>
      </c>
      <c r="L286" s="66">
        <f>+IF(A286="","",ROUND(H286*Parámetros!$D$100,2))</f>
        <v>8.49</v>
      </c>
      <c r="M286" s="58">
        <f>+IF(A286="","",IF(AND(A286=1,B286=1),Parámetros!$D$114*(D286*frec-$G$3-$H$3),IF(AND(A286=2,B286=frec+1),Parámetros!$D$115*(D286*frec-$G$4-$H$4),0)))</f>
        <v>0</v>
      </c>
      <c r="N286" s="58">
        <f>+IF(A286="","",IF(A286&gt;Parámetros!$D$117,0,ROUND('Modelo Financiero'!D286*Parámetros!$D$116,2)))</f>
        <v>0</v>
      </c>
      <c r="O286" s="58">
        <f t="shared" si="59"/>
        <v>0</v>
      </c>
      <c r="P286" s="66">
        <f>+'Tablas Servicio'!I319</f>
        <v>18.340000000000003</v>
      </c>
      <c r="Q286" s="66">
        <f>+'Tablas Servicio'!S319</f>
        <v>20938.96</v>
      </c>
      <c r="R286" s="66">
        <f>+'Tablas Servicio'!T319</f>
        <v>20938.96</v>
      </c>
      <c r="S286" s="66">
        <f t="shared" si="55"/>
        <v>31.545999999999999</v>
      </c>
      <c r="T286" s="66">
        <f t="shared" si="64"/>
        <v>6136.2920000000022</v>
      </c>
      <c r="U286" s="66">
        <f t="shared" si="60"/>
        <v>6136.2920000000022</v>
      </c>
      <c r="V286" s="81">
        <f t="shared" si="61"/>
        <v>0</v>
      </c>
      <c r="W286" s="66">
        <f t="shared" si="62"/>
        <v>0</v>
      </c>
      <c r="X286" s="66">
        <f t="shared" si="63"/>
        <v>6136.2920000000022</v>
      </c>
    </row>
    <row r="287" spans="1:24" x14ac:dyDescent="0.25">
      <c r="A287">
        <f>+'Tablas Servicio'!B320</f>
        <v>24</v>
      </c>
      <c r="B287">
        <f>+'Tablas Servicio'!C320</f>
        <v>279</v>
      </c>
      <c r="C287" s="56">
        <f>+'Tablas Servicio'!D320</f>
        <v>63.270000000000664</v>
      </c>
      <c r="D287" s="58">
        <f>+'Tablas Servicio'!N320</f>
        <v>94</v>
      </c>
      <c r="E287" s="66">
        <f>+'Tablas Servicio'!AC320</f>
        <v>58.3</v>
      </c>
      <c r="F287" s="66">
        <f>+IF(A287="","",'Tablas Servicio'!O320-'Modelo Financiero'!E287)</f>
        <v>1.9500000000000028</v>
      </c>
      <c r="G287" s="58">
        <f t="shared" si="56"/>
        <v>41.204000000000001</v>
      </c>
      <c r="H287" s="66">
        <f>+'Tablas Servicio'!G320</f>
        <v>72.75</v>
      </c>
      <c r="I287" s="72">
        <f t="shared" si="57"/>
        <v>0.17182130584192434</v>
      </c>
      <c r="J287" s="66">
        <f t="shared" si="58"/>
        <v>12.5</v>
      </c>
      <c r="K287" s="66">
        <f>+'Tablas Servicio'!H320</f>
        <v>75.66</v>
      </c>
      <c r="L287" s="66">
        <f>+IF(A287="","",ROUND(H287*Parámetros!$D$100,2))</f>
        <v>8.49</v>
      </c>
      <c r="M287" s="58">
        <f>+IF(A287="","",IF(AND(A287=1,B287=1),Parámetros!$D$114*(D287*frec-$G$3-$H$3),IF(AND(A287=2,B287=frec+1),Parámetros!$D$115*(D287*frec-$G$4-$H$4),0)))</f>
        <v>0</v>
      </c>
      <c r="N287" s="58">
        <f>+IF(A287="","",IF(A287&gt;Parámetros!$D$117,0,ROUND('Modelo Financiero'!D287*Parámetros!$D$116,2)))</f>
        <v>0</v>
      </c>
      <c r="O287" s="58">
        <f t="shared" si="59"/>
        <v>0</v>
      </c>
      <c r="P287" s="66">
        <f>+'Tablas Servicio'!I320</f>
        <v>18.340000000000003</v>
      </c>
      <c r="Q287" s="66">
        <f>+'Tablas Servicio'!S320</f>
        <v>21016.74</v>
      </c>
      <c r="R287" s="66">
        <f>+'Tablas Servicio'!T320</f>
        <v>21016.74</v>
      </c>
      <c r="S287" s="66">
        <f t="shared" si="55"/>
        <v>31.545999999999999</v>
      </c>
      <c r="T287" s="66">
        <f t="shared" si="64"/>
        <v>6167.8380000000025</v>
      </c>
      <c r="U287" s="66">
        <f t="shared" si="60"/>
        <v>6167.8380000000025</v>
      </c>
      <c r="V287" s="81">
        <f t="shared" si="61"/>
        <v>0</v>
      </c>
      <c r="W287" s="66">
        <f t="shared" si="62"/>
        <v>0</v>
      </c>
      <c r="X287" s="66">
        <f t="shared" si="63"/>
        <v>6167.8380000000025</v>
      </c>
    </row>
    <row r="288" spans="1:24" x14ac:dyDescent="0.25">
      <c r="A288">
        <f>+'Tablas Servicio'!B321</f>
        <v>24</v>
      </c>
      <c r="B288">
        <f>+'Tablas Servicio'!C321</f>
        <v>280</v>
      </c>
      <c r="C288" s="56">
        <f>+'Tablas Servicio'!D321</f>
        <v>63.353333333334</v>
      </c>
      <c r="D288" s="58">
        <f>+'Tablas Servicio'!N321</f>
        <v>94</v>
      </c>
      <c r="E288" s="66">
        <f>+'Tablas Servicio'!AC321</f>
        <v>58.3</v>
      </c>
      <c r="F288" s="66">
        <f>+IF(A288="","",'Tablas Servicio'!O321-'Modelo Financiero'!E288)</f>
        <v>1.9500000000000028</v>
      </c>
      <c r="G288" s="58">
        <f t="shared" si="56"/>
        <v>41.204000000000001</v>
      </c>
      <c r="H288" s="66">
        <f>+'Tablas Servicio'!G321</f>
        <v>72.75</v>
      </c>
      <c r="I288" s="72">
        <f t="shared" si="57"/>
        <v>0.17182130584192434</v>
      </c>
      <c r="J288" s="66">
        <f t="shared" si="58"/>
        <v>12.5</v>
      </c>
      <c r="K288" s="66">
        <f>+'Tablas Servicio'!H321</f>
        <v>75.66</v>
      </c>
      <c r="L288" s="66">
        <f>+IF(A288="","",ROUND(H288*Parámetros!$D$100,2))</f>
        <v>8.49</v>
      </c>
      <c r="M288" s="58">
        <f>+IF(A288="","",IF(AND(A288=1,B288=1),Parámetros!$D$114*(D288*frec-$G$3-$H$3),IF(AND(A288=2,B288=frec+1),Parámetros!$D$115*(D288*frec-$G$4-$H$4),0)))</f>
        <v>0</v>
      </c>
      <c r="N288" s="58">
        <f>+IF(A288="","",IF(A288&gt;Parámetros!$D$117,0,ROUND('Modelo Financiero'!D288*Parámetros!$D$116,2)))</f>
        <v>0</v>
      </c>
      <c r="O288" s="58">
        <f t="shared" si="59"/>
        <v>0</v>
      </c>
      <c r="P288" s="66">
        <f>+'Tablas Servicio'!I321</f>
        <v>18.340000000000003</v>
      </c>
      <c r="Q288" s="66">
        <f>+'Tablas Servicio'!S321</f>
        <v>21094.75</v>
      </c>
      <c r="R288" s="66">
        <f>+'Tablas Servicio'!T321</f>
        <v>21094.75</v>
      </c>
      <c r="S288" s="66">
        <f t="shared" si="55"/>
        <v>31.545999999999999</v>
      </c>
      <c r="T288" s="66">
        <f t="shared" si="64"/>
        <v>6199.3840000000027</v>
      </c>
      <c r="U288" s="66">
        <f t="shared" si="60"/>
        <v>6199.3840000000027</v>
      </c>
      <c r="V288" s="81">
        <f t="shared" si="61"/>
        <v>0</v>
      </c>
      <c r="W288" s="66">
        <f t="shared" si="62"/>
        <v>0</v>
      </c>
      <c r="X288" s="66">
        <f t="shared" si="63"/>
        <v>6199.3840000000027</v>
      </c>
    </row>
    <row r="289" spans="1:24" x14ac:dyDescent="0.25">
      <c r="A289">
        <f>+'Tablas Servicio'!B322</f>
        <v>24</v>
      </c>
      <c r="B289">
        <f>+'Tablas Servicio'!C322</f>
        <v>281</v>
      </c>
      <c r="C289" s="56">
        <f>+'Tablas Servicio'!D322</f>
        <v>63.436666666667335</v>
      </c>
      <c r="D289" s="58">
        <f>+'Tablas Servicio'!N322</f>
        <v>94</v>
      </c>
      <c r="E289" s="66">
        <f>+'Tablas Servicio'!AC322</f>
        <v>58.3</v>
      </c>
      <c r="F289" s="66">
        <f>+IF(A289="","",'Tablas Servicio'!O322-'Modelo Financiero'!E289)</f>
        <v>1.9500000000000028</v>
      </c>
      <c r="G289" s="58">
        <f t="shared" si="56"/>
        <v>41.204000000000001</v>
      </c>
      <c r="H289" s="66">
        <f>+'Tablas Servicio'!G322</f>
        <v>72.75</v>
      </c>
      <c r="I289" s="72">
        <f t="shared" si="57"/>
        <v>0.17182130584192434</v>
      </c>
      <c r="J289" s="66">
        <f t="shared" si="58"/>
        <v>12.5</v>
      </c>
      <c r="K289" s="66">
        <f>+'Tablas Servicio'!H322</f>
        <v>75.66</v>
      </c>
      <c r="L289" s="66">
        <f>+IF(A289="","",ROUND(H289*Parámetros!$D$100,2))</f>
        <v>8.49</v>
      </c>
      <c r="M289" s="58">
        <f>+IF(A289="","",IF(AND(A289=1,B289=1),Parámetros!$D$114*(D289*frec-$G$3-$H$3),IF(AND(A289=2,B289=frec+1),Parámetros!$D$115*(D289*frec-$G$4-$H$4),0)))</f>
        <v>0</v>
      </c>
      <c r="N289" s="58">
        <f>+IF(A289="","",IF(A289&gt;Parámetros!$D$117,0,ROUND('Modelo Financiero'!D289*Parámetros!$D$116,2)))</f>
        <v>0</v>
      </c>
      <c r="O289" s="58">
        <f t="shared" si="59"/>
        <v>0</v>
      </c>
      <c r="P289" s="66">
        <f>+'Tablas Servicio'!I322</f>
        <v>18.340000000000003</v>
      </c>
      <c r="Q289" s="66">
        <f>+'Tablas Servicio'!S322</f>
        <v>21172.98</v>
      </c>
      <c r="R289" s="66">
        <f>+'Tablas Servicio'!T322</f>
        <v>21172.98</v>
      </c>
      <c r="S289" s="66">
        <f t="shared" si="55"/>
        <v>31.545999999999999</v>
      </c>
      <c r="T289" s="66">
        <f t="shared" si="64"/>
        <v>6230.930000000003</v>
      </c>
      <c r="U289" s="66">
        <f t="shared" si="60"/>
        <v>6230.930000000003</v>
      </c>
      <c r="V289" s="81">
        <f t="shared" si="61"/>
        <v>0</v>
      </c>
      <c r="W289" s="66">
        <f t="shared" si="62"/>
        <v>0</v>
      </c>
      <c r="X289" s="66">
        <f t="shared" si="63"/>
        <v>6230.930000000003</v>
      </c>
    </row>
    <row r="290" spans="1:24" x14ac:dyDescent="0.25">
      <c r="A290">
        <f>+'Tablas Servicio'!B323</f>
        <v>24</v>
      </c>
      <c r="B290">
        <f>+'Tablas Servicio'!C323</f>
        <v>282</v>
      </c>
      <c r="C290" s="56">
        <f>+'Tablas Servicio'!D323</f>
        <v>63.520000000000671</v>
      </c>
      <c r="D290" s="58">
        <f>+'Tablas Servicio'!N323</f>
        <v>94</v>
      </c>
      <c r="E290" s="66">
        <f>+'Tablas Servicio'!AC323</f>
        <v>58.3</v>
      </c>
      <c r="F290" s="66">
        <f>+IF(A290="","",'Tablas Servicio'!O323-'Modelo Financiero'!E290)</f>
        <v>1.9500000000000028</v>
      </c>
      <c r="G290" s="58">
        <f t="shared" si="56"/>
        <v>41.204000000000001</v>
      </c>
      <c r="H290" s="66">
        <f>+'Tablas Servicio'!G323</f>
        <v>72.75</v>
      </c>
      <c r="I290" s="72">
        <f t="shared" si="57"/>
        <v>0.17182130584192434</v>
      </c>
      <c r="J290" s="66">
        <f t="shared" si="58"/>
        <v>12.5</v>
      </c>
      <c r="K290" s="66">
        <f>+'Tablas Servicio'!H323</f>
        <v>75.66</v>
      </c>
      <c r="L290" s="66">
        <f>+IF(A290="","",ROUND(H290*Parámetros!$D$100,2))</f>
        <v>8.49</v>
      </c>
      <c r="M290" s="58">
        <f>+IF(A290="","",IF(AND(A290=1,B290=1),Parámetros!$D$114*(D290*frec-$G$3-$H$3),IF(AND(A290=2,B290=frec+1),Parámetros!$D$115*(D290*frec-$G$4-$H$4),0)))</f>
        <v>0</v>
      </c>
      <c r="N290" s="58">
        <f>+IF(A290="","",IF(A290&gt;Parámetros!$D$117,0,ROUND('Modelo Financiero'!D290*Parámetros!$D$116,2)))</f>
        <v>0</v>
      </c>
      <c r="O290" s="58">
        <f t="shared" si="59"/>
        <v>0</v>
      </c>
      <c r="P290" s="66">
        <f>+'Tablas Servicio'!I323</f>
        <v>18.340000000000003</v>
      </c>
      <c r="Q290" s="66">
        <f>+'Tablas Servicio'!S323</f>
        <v>21251.43</v>
      </c>
      <c r="R290" s="66">
        <f>+'Tablas Servicio'!T323</f>
        <v>21251.43</v>
      </c>
      <c r="S290" s="66">
        <f t="shared" si="55"/>
        <v>31.545999999999999</v>
      </c>
      <c r="T290" s="66">
        <f t="shared" si="64"/>
        <v>6262.4760000000033</v>
      </c>
      <c r="U290" s="66">
        <f t="shared" si="60"/>
        <v>6262.4760000000033</v>
      </c>
      <c r="V290" s="81">
        <f t="shared" si="61"/>
        <v>0</v>
      </c>
      <c r="W290" s="66">
        <f t="shared" si="62"/>
        <v>0</v>
      </c>
      <c r="X290" s="66">
        <f t="shared" si="63"/>
        <v>6262.4760000000033</v>
      </c>
    </row>
    <row r="291" spans="1:24" x14ac:dyDescent="0.25">
      <c r="A291">
        <f>+'Tablas Servicio'!B324</f>
        <v>24</v>
      </c>
      <c r="B291">
        <f>+'Tablas Servicio'!C324</f>
        <v>283</v>
      </c>
      <c r="C291" s="56">
        <f>+'Tablas Servicio'!D324</f>
        <v>63.603333333334007</v>
      </c>
      <c r="D291" s="58">
        <f>+'Tablas Servicio'!N324</f>
        <v>94</v>
      </c>
      <c r="E291" s="66">
        <f>+'Tablas Servicio'!AC324</f>
        <v>58.3</v>
      </c>
      <c r="F291" s="66">
        <f>+IF(A291="","",'Tablas Servicio'!O324-'Modelo Financiero'!E291)</f>
        <v>1.9500000000000028</v>
      </c>
      <c r="G291" s="58">
        <f t="shared" si="56"/>
        <v>41.204000000000001</v>
      </c>
      <c r="H291" s="66">
        <f>+'Tablas Servicio'!G324</f>
        <v>72.75</v>
      </c>
      <c r="I291" s="72">
        <f t="shared" si="57"/>
        <v>0.17182130584192434</v>
      </c>
      <c r="J291" s="66">
        <f t="shared" si="58"/>
        <v>12.5</v>
      </c>
      <c r="K291" s="66">
        <f>+'Tablas Servicio'!H324</f>
        <v>75.66</v>
      </c>
      <c r="L291" s="66">
        <f>+IF(A291="","",ROUND(H291*Parámetros!$D$100,2))</f>
        <v>8.49</v>
      </c>
      <c r="M291" s="58">
        <f>+IF(A291="","",IF(AND(A291=1,B291=1),Parámetros!$D$114*(D291*frec-$G$3-$H$3),IF(AND(A291=2,B291=frec+1),Parámetros!$D$115*(D291*frec-$G$4-$H$4),0)))</f>
        <v>0</v>
      </c>
      <c r="N291" s="58">
        <f>+IF(A291="","",IF(A291&gt;Parámetros!$D$117,0,ROUND('Modelo Financiero'!D291*Parámetros!$D$116,2)))</f>
        <v>0</v>
      </c>
      <c r="O291" s="58">
        <f t="shared" si="59"/>
        <v>0</v>
      </c>
      <c r="P291" s="66">
        <f>+'Tablas Servicio'!I324</f>
        <v>18.340000000000003</v>
      </c>
      <c r="Q291" s="66">
        <f>+'Tablas Servicio'!S324</f>
        <v>21330.1</v>
      </c>
      <c r="R291" s="66">
        <f>+'Tablas Servicio'!T324</f>
        <v>21330.1</v>
      </c>
      <c r="S291" s="66">
        <f t="shared" si="55"/>
        <v>31.545999999999999</v>
      </c>
      <c r="T291" s="66">
        <f t="shared" si="64"/>
        <v>6294.0220000000036</v>
      </c>
      <c r="U291" s="66">
        <f t="shared" si="60"/>
        <v>6294.0220000000036</v>
      </c>
      <c r="V291" s="81">
        <f t="shared" si="61"/>
        <v>0</v>
      </c>
      <c r="W291" s="66">
        <f t="shared" si="62"/>
        <v>0</v>
      </c>
      <c r="X291" s="66">
        <f t="shared" si="63"/>
        <v>6294.0220000000036</v>
      </c>
    </row>
    <row r="292" spans="1:24" x14ac:dyDescent="0.25">
      <c r="A292">
        <f>+'Tablas Servicio'!B325</f>
        <v>24</v>
      </c>
      <c r="B292">
        <f>+'Tablas Servicio'!C325</f>
        <v>284</v>
      </c>
      <c r="C292" s="56">
        <f>+'Tablas Servicio'!D325</f>
        <v>63.686666666667342</v>
      </c>
      <c r="D292" s="58">
        <f>+'Tablas Servicio'!N325</f>
        <v>94</v>
      </c>
      <c r="E292" s="66">
        <f>+'Tablas Servicio'!AC325</f>
        <v>58.3</v>
      </c>
      <c r="F292" s="66">
        <f>+IF(A292="","",'Tablas Servicio'!O325-'Modelo Financiero'!E292)</f>
        <v>1.9500000000000028</v>
      </c>
      <c r="G292" s="58">
        <f t="shared" si="56"/>
        <v>41.204000000000001</v>
      </c>
      <c r="H292" s="66">
        <f>+'Tablas Servicio'!G325</f>
        <v>72.75</v>
      </c>
      <c r="I292" s="72">
        <f t="shared" si="57"/>
        <v>0.17182130584192434</v>
      </c>
      <c r="J292" s="66">
        <f t="shared" si="58"/>
        <v>12.5</v>
      </c>
      <c r="K292" s="66">
        <f>+'Tablas Servicio'!H325</f>
        <v>75.66</v>
      </c>
      <c r="L292" s="66">
        <f>+IF(A292="","",ROUND(H292*Parámetros!$D$100,2))</f>
        <v>8.49</v>
      </c>
      <c r="M292" s="58">
        <f>+IF(A292="","",IF(AND(A292=1,B292=1),Parámetros!$D$114*(D292*frec-$G$3-$H$3),IF(AND(A292=2,B292=frec+1),Parámetros!$D$115*(D292*frec-$G$4-$H$4),0)))</f>
        <v>0</v>
      </c>
      <c r="N292" s="58">
        <f>+IF(A292="","",IF(A292&gt;Parámetros!$D$117,0,ROUND('Modelo Financiero'!D292*Parámetros!$D$116,2)))</f>
        <v>0</v>
      </c>
      <c r="O292" s="58">
        <f t="shared" si="59"/>
        <v>0</v>
      </c>
      <c r="P292" s="66">
        <f>+'Tablas Servicio'!I325</f>
        <v>18.340000000000003</v>
      </c>
      <c r="Q292" s="66">
        <f>+'Tablas Servicio'!S325</f>
        <v>21408.99</v>
      </c>
      <c r="R292" s="66">
        <f>+'Tablas Servicio'!T325</f>
        <v>21408.99</v>
      </c>
      <c r="S292" s="66">
        <f t="shared" si="55"/>
        <v>31.545999999999999</v>
      </c>
      <c r="T292" s="66">
        <f t="shared" si="64"/>
        <v>6325.5680000000038</v>
      </c>
      <c r="U292" s="66">
        <f t="shared" si="60"/>
        <v>6325.5680000000038</v>
      </c>
      <c r="V292" s="81">
        <f t="shared" si="61"/>
        <v>0</v>
      </c>
      <c r="W292" s="66">
        <f t="shared" si="62"/>
        <v>0</v>
      </c>
      <c r="X292" s="66">
        <f t="shared" si="63"/>
        <v>6325.5680000000038</v>
      </c>
    </row>
    <row r="293" spans="1:24" x14ac:dyDescent="0.25">
      <c r="A293">
        <f>+'Tablas Servicio'!B326</f>
        <v>24</v>
      </c>
      <c r="B293">
        <f>+'Tablas Servicio'!C326</f>
        <v>285</v>
      </c>
      <c r="C293" s="56">
        <f>+'Tablas Servicio'!D326</f>
        <v>63.770000000000678</v>
      </c>
      <c r="D293" s="58">
        <f>+'Tablas Servicio'!N326</f>
        <v>94</v>
      </c>
      <c r="E293" s="66">
        <f>+'Tablas Servicio'!AC326</f>
        <v>58.3</v>
      </c>
      <c r="F293" s="66">
        <f>+IF(A293="","",'Tablas Servicio'!O326-'Modelo Financiero'!E293)</f>
        <v>1.9500000000000028</v>
      </c>
      <c r="G293" s="58">
        <f t="shared" si="56"/>
        <v>41.204000000000001</v>
      </c>
      <c r="H293" s="66">
        <f>+'Tablas Servicio'!G326</f>
        <v>72.75</v>
      </c>
      <c r="I293" s="72">
        <f t="shared" si="57"/>
        <v>0.17182130584192434</v>
      </c>
      <c r="J293" s="66">
        <f t="shared" si="58"/>
        <v>12.5</v>
      </c>
      <c r="K293" s="66">
        <f>+'Tablas Servicio'!H326</f>
        <v>75.66</v>
      </c>
      <c r="L293" s="66">
        <f>+IF(A293="","",ROUND(H293*Parámetros!$D$100,2))</f>
        <v>8.49</v>
      </c>
      <c r="M293" s="58">
        <f>+IF(A293="","",IF(AND(A293=1,B293=1),Parámetros!$D$114*(D293*frec-$G$3-$H$3),IF(AND(A293=2,B293=frec+1),Parámetros!$D$115*(D293*frec-$G$4-$H$4),0)))</f>
        <v>0</v>
      </c>
      <c r="N293" s="58">
        <f>+IF(A293="","",IF(A293&gt;Parámetros!$D$117,0,ROUND('Modelo Financiero'!D293*Parámetros!$D$116,2)))</f>
        <v>0</v>
      </c>
      <c r="O293" s="58">
        <f t="shared" si="59"/>
        <v>0</v>
      </c>
      <c r="P293" s="66">
        <f>+'Tablas Servicio'!I326</f>
        <v>18.340000000000003</v>
      </c>
      <c r="Q293" s="66">
        <f>+'Tablas Servicio'!S326</f>
        <v>21488.11</v>
      </c>
      <c r="R293" s="66">
        <f>+'Tablas Servicio'!T326</f>
        <v>21488.11</v>
      </c>
      <c r="S293" s="66">
        <f t="shared" si="55"/>
        <v>31.545999999999999</v>
      </c>
      <c r="T293" s="66">
        <f t="shared" si="64"/>
        <v>6357.1140000000041</v>
      </c>
      <c r="U293" s="66">
        <f t="shared" si="60"/>
        <v>6357.1140000000041</v>
      </c>
      <c r="V293" s="81">
        <f t="shared" si="61"/>
        <v>0</v>
      </c>
      <c r="W293" s="66">
        <f t="shared" si="62"/>
        <v>0</v>
      </c>
      <c r="X293" s="66">
        <f t="shared" si="63"/>
        <v>6357.1140000000041</v>
      </c>
    </row>
    <row r="294" spans="1:24" x14ac:dyDescent="0.25">
      <c r="A294">
        <f>+'Tablas Servicio'!B327</f>
        <v>24</v>
      </c>
      <c r="B294">
        <f>+'Tablas Servicio'!C327</f>
        <v>286</v>
      </c>
      <c r="C294" s="56">
        <f>+'Tablas Servicio'!D327</f>
        <v>63.853333333334014</v>
      </c>
      <c r="D294" s="58">
        <f>+'Tablas Servicio'!N327</f>
        <v>94</v>
      </c>
      <c r="E294" s="66">
        <f>+'Tablas Servicio'!AC327</f>
        <v>58.3</v>
      </c>
      <c r="F294" s="66">
        <f>+IF(A294="","",'Tablas Servicio'!O327-'Modelo Financiero'!E294)</f>
        <v>1.9500000000000028</v>
      </c>
      <c r="G294" s="58">
        <f t="shared" si="56"/>
        <v>41.204000000000001</v>
      </c>
      <c r="H294" s="66">
        <f>+'Tablas Servicio'!G327</f>
        <v>72.75</v>
      </c>
      <c r="I294" s="72">
        <f t="shared" si="57"/>
        <v>0.17182130584192434</v>
      </c>
      <c r="J294" s="66">
        <f t="shared" si="58"/>
        <v>12.5</v>
      </c>
      <c r="K294" s="66">
        <f>+'Tablas Servicio'!H327</f>
        <v>75.66</v>
      </c>
      <c r="L294" s="66">
        <f>+IF(A294="","",ROUND(H294*Parámetros!$D$100,2))</f>
        <v>8.49</v>
      </c>
      <c r="M294" s="58">
        <f>+IF(A294="","",IF(AND(A294=1,B294=1),Parámetros!$D$114*(D294*frec-$G$3-$H$3),IF(AND(A294=2,B294=frec+1),Parámetros!$D$115*(D294*frec-$G$4-$H$4),0)))</f>
        <v>0</v>
      </c>
      <c r="N294" s="58">
        <f>+IF(A294="","",IF(A294&gt;Parámetros!$D$117,0,ROUND('Modelo Financiero'!D294*Parámetros!$D$116,2)))</f>
        <v>0</v>
      </c>
      <c r="O294" s="58">
        <f t="shared" si="59"/>
        <v>0</v>
      </c>
      <c r="P294" s="66">
        <f>+'Tablas Servicio'!I327</f>
        <v>18.340000000000003</v>
      </c>
      <c r="Q294" s="66">
        <f>+'Tablas Servicio'!S327</f>
        <v>21567.45</v>
      </c>
      <c r="R294" s="66">
        <f>+'Tablas Servicio'!T327</f>
        <v>21567.45</v>
      </c>
      <c r="S294" s="66">
        <f t="shared" si="55"/>
        <v>31.545999999999999</v>
      </c>
      <c r="T294" s="66">
        <f t="shared" si="64"/>
        <v>6388.6600000000044</v>
      </c>
      <c r="U294" s="66">
        <f t="shared" si="60"/>
        <v>6388.6600000000044</v>
      </c>
      <c r="V294" s="81">
        <f t="shared" si="61"/>
        <v>0</v>
      </c>
      <c r="W294" s="66">
        <f t="shared" si="62"/>
        <v>0</v>
      </c>
      <c r="X294" s="66">
        <f t="shared" si="63"/>
        <v>6388.6600000000044</v>
      </c>
    </row>
    <row r="295" spans="1:24" x14ac:dyDescent="0.25">
      <c r="A295">
        <f>+'Tablas Servicio'!B328</f>
        <v>24</v>
      </c>
      <c r="B295">
        <f>+'Tablas Servicio'!C328</f>
        <v>287</v>
      </c>
      <c r="C295" s="56">
        <f>+'Tablas Servicio'!D328</f>
        <v>63.93666666666735</v>
      </c>
      <c r="D295" s="58">
        <f>+'Tablas Servicio'!N328</f>
        <v>94</v>
      </c>
      <c r="E295" s="66">
        <f>+'Tablas Servicio'!AC328</f>
        <v>58.3</v>
      </c>
      <c r="F295" s="66">
        <f>+IF(A295="","",'Tablas Servicio'!O328-'Modelo Financiero'!E295)</f>
        <v>1.9500000000000028</v>
      </c>
      <c r="G295" s="58">
        <f t="shared" si="56"/>
        <v>41.204000000000001</v>
      </c>
      <c r="H295" s="66">
        <f>+'Tablas Servicio'!G328</f>
        <v>72.75</v>
      </c>
      <c r="I295" s="72">
        <f t="shared" si="57"/>
        <v>0.17182130584192434</v>
      </c>
      <c r="J295" s="66">
        <f t="shared" si="58"/>
        <v>12.5</v>
      </c>
      <c r="K295" s="66">
        <f>+'Tablas Servicio'!H328</f>
        <v>75.66</v>
      </c>
      <c r="L295" s="66">
        <f>+IF(A295="","",ROUND(H295*Parámetros!$D$100,2))</f>
        <v>8.49</v>
      </c>
      <c r="M295" s="58">
        <f>+IF(A295="","",IF(AND(A295=1,B295=1),Parámetros!$D$114*(D295*frec-$G$3-$H$3),IF(AND(A295=2,B295=frec+1),Parámetros!$D$115*(D295*frec-$G$4-$H$4),0)))</f>
        <v>0</v>
      </c>
      <c r="N295" s="58">
        <f>+IF(A295="","",IF(A295&gt;Parámetros!$D$117,0,ROUND('Modelo Financiero'!D295*Parámetros!$D$116,2)))</f>
        <v>0</v>
      </c>
      <c r="O295" s="58">
        <f t="shared" si="59"/>
        <v>0</v>
      </c>
      <c r="P295" s="66">
        <f>+'Tablas Servicio'!I328</f>
        <v>18.340000000000003</v>
      </c>
      <c r="Q295" s="66">
        <f>+'Tablas Servicio'!S328</f>
        <v>21647.02</v>
      </c>
      <c r="R295" s="66">
        <f>+'Tablas Servicio'!T328</f>
        <v>21647.02</v>
      </c>
      <c r="S295" s="66">
        <f t="shared" si="55"/>
        <v>31.545999999999999</v>
      </c>
      <c r="T295" s="66">
        <f t="shared" si="64"/>
        <v>6420.2060000000047</v>
      </c>
      <c r="U295" s="66">
        <f t="shared" si="60"/>
        <v>6420.2060000000047</v>
      </c>
      <c r="V295" s="81">
        <f t="shared" si="61"/>
        <v>0</v>
      </c>
      <c r="W295" s="66">
        <f t="shared" si="62"/>
        <v>0</v>
      </c>
      <c r="X295" s="66">
        <f t="shared" si="63"/>
        <v>6420.2060000000047</v>
      </c>
    </row>
    <row r="296" spans="1:24" x14ac:dyDescent="0.25">
      <c r="A296">
        <f>+'Tablas Servicio'!B329</f>
        <v>24</v>
      </c>
      <c r="B296">
        <f>+'Tablas Servicio'!C329</f>
        <v>288</v>
      </c>
      <c r="C296" s="56">
        <f>+'Tablas Servicio'!D329</f>
        <v>64.020000000000678</v>
      </c>
      <c r="D296" s="58">
        <f>+'Tablas Servicio'!N329</f>
        <v>94</v>
      </c>
      <c r="E296" s="66">
        <f>+'Tablas Servicio'!AC329</f>
        <v>58.3</v>
      </c>
      <c r="F296" s="66">
        <f>+IF(A296="","",'Tablas Servicio'!O329-'Modelo Financiero'!E296)</f>
        <v>1.9500000000000028</v>
      </c>
      <c r="G296" s="58">
        <f t="shared" si="56"/>
        <v>41.204000000000001</v>
      </c>
      <c r="H296" s="66">
        <f>+'Tablas Servicio'!G329</f>
        <v>72.75</v>
      </c>
      <c r="I296" s="72">
        <f t="shared" si="57"/>
        <v>0.17182130584192434</v>
      </c>
      <c r="J296" s="66">
        <f t="shared" si="58"/>
        <v>12.5</v>
      </c>
      <c r="K296" s="66">
        <f>+'Tablas Servicio'!H329</f>
        <v>75.66</v>
      </c>
      <c r="L296" s="66">
        <f>+IF(A296="","",ROUND(H296*Parámetros!$D$100,2))</f>
        <v>8.49</v>
      </c>
      <c r="M296" s="58">
        <f>+IF(A296="","",IF(AND(A296=1,B296=1),Parámetros!$D$114*(D296*frec-$G$3-$H$3),IF(AND(A296=2,B296=frec+1),Parámetros!$D$115*(D296*frec-$G$4-$H$4),0)))</f>
        <v>0</v>
      </c>
      <c r="N296" s="58">
        <f>+IF(A296="","",IF(A296&gt;Parámetros!$D$117,0,ROUND('Modelo Financiero'!D296*Parámetros!$D$116,2)))</f>
        <v>0</v>
      </c>
      <c r="O296" s="58">
        <f t="shared" si="59"/>
        <v>0</v>
      </c>
      <c r="P296" s="66">
        <f>+'Tablas Servicio'!I329</f>
        <v>18.340000000000003</v>
      </c>
      <c r="Q296" s="66">
        <f>+'Tablas Servicio'!S329</f>
        <v>21726.81</v>
      </c>
      <c r="R296" s="66">
        <f>+'Tablas Servicio'!T329</f>
        <v>21726.81</v>
      </c>
      <c r="S296" s="66">
        <f t="shared" si="55"/>
        <v>31.545999999999999</v>
      </c>
      <c r="T296" s="66">
        <f t="shared" si="64"/>
        <v>6451.752000000005</v>
      </c>
      <c r="U296" s="66">
        <f t="shared" si="60"/>
        <v>6451.752000000005</v>
      </c>
      <c r="V296" s="81">
        <f t="shared" si="61"/>
        <v>0</v>
      </c>
      <c r="W296" s="66">
        <f t="shared" si="62"/>
        <v>0</v>
      </c>
      <c r="X296" s="66">
        <f t="shared" si="63"/>
        <v>6451.752000000005</v>
      </c>
    </row>
    <row r="297" spans="1:24" x14ac:dyDescent="0.25">
      <c r="A297">
        <f>+'Tablas Servicio'!B330</f>
        <v>25</v>
      </c>
      <c r="B297">
        <f>+'Tablas Servicio'!C330</f>
        <v>289</v>
      </c>
      <c r="C297" s="56">
        <f>+'Tablas Servicio'!D330</f>
        <v>64.103333333334007</v>
      </c>
      <c r="D297" s="58">
        <f>+'Tablas Servicio'!N330</f>
        <v>94</v>
      </c>
      <c r="E297" s="66">
        <f>+'Tablas Servicio'!AC330</f>
        <v>64.8</v>
      </c>
      <c r="F297" s="66">
        <f>+IF(A297="","",'Tablas Servicio'!O330-'Modelo Financiero'!E297)</f>
        <v>1.9500000000000028</v>
      </c>
      <c r="G297" s="58">
        <f t="shared" si="56"/>
        <v>45.624000000000002</v>
      </c>
      <c r="H297" s="66">
        <f>+'Tablas Servicio'!G330</f>
        <v>79.25</v>
      </c>
      <c r="I297" s="72">
        <f t="shared" si="57"/>
        <v>0.1577287066246057</v>
      </c>
      <c r="J297" s="66">
        <f t="shared" si="58"/>
        <v>12.5</v>
      </c>
      <c r="K297" s="66">
        <f>+'Tablas Servicio'!H330</f>
        <v>82.43</v>
      </c>
      <c r="L297" s="66">
        <f>+IF(A297="","",ROUND(H297*Parámetros!$D$100,2))</f>
        <v>9.25</v>
      </c>
      <c r="M297" s="58">
        <f>+IF(A297="","",IF(AND(A297=1,B297=1),Parámetros!$D$114*(D297*frec-$G$3-$H$3),IF(AND(A297=2,B297=frec+1),Parámetros!$D$115*(D297*frec-$G$4-$H$4),0)))</f>
        <v>0</v>
      </c>
      <c r="N297" s="58">
        <f>+IF(A297="","",IF(A297&gt;Parámetros!$D$117,0,ROUND('Modelo Financiero'!D297*Parámetros!$D$116,2)))</f>
        <v>0</v>
      </c>
      <c r="O297" s="58">
        <f t="shared" si="59"/>
        <v>0</v>
      </c>
      <c r="P297" s="66">
        <f>+'Tablas Servicio'!I330</f>
        <v>11.569999999999993</v>
      </c>
      <c r="Q297" s="66">
        <f>+'Tablas Servicio'!S330</f>
        <v>21800.04</v>
      </c>
      <c r="R297" s="66">
        <f>+'Tablas Servicio'!T330</f>
        <v>21800.04</v>
      </c>
      <c r="S297" s="66">
        <f t="shared" si="55"/>
        <v>33.625999999999998</v>
      </c>
      <c r="T297" s="66">
        <f t="shared" si="64"/>
        <v>6485.3780000000052</v>
      </c>
      <c r="U297" s="66">
        <f t="shared" si="60"/>
        <v>6485.3780000000052</v>
      </c>
      <c r="V297" s="81">
        <f t="shared" si="61"/>
        <v>0</v>
      </c>
      <c r="W297" s="66">
        <f t="shared" si="62"/>
        <v>0</v>
      </c>
      <c r="X297" s="66">
        <f t="shared" si="63"/>
        <v>6485.3780000000052</v>
      </c>
    </row>
    <row r="298" spans="1:24" x14ac:dyDescent="0.25">
      <c r="A298">
        <f>+'Tablas Servicio'!B331</f>
        <v>25</v>
      </c>
      <c r="B298">
        <f>+'Tablas Servicio'!C331</f>
        <v>290</v>
      </c>
      <c r="C298" s="56">
        <f>+'Tablas Servicio'!D331</f>
        <v>64.186666666667335</v>
      </c>
      <c r="D298" s="58">
        <f>+'Tablas Servicio'!N331</f>
        <v>94</v>
      </c>
      <c r="E298" s="66">
        <f>+'Tablas Servicio'!AC331</f>
        <v>64.8</v>
      </c>
      <c r="F298" s="66">
        <f>+IF(A298="","",'Tablas Servicio'!O331-'Modelo Financiero'!E298)</f>
        <v>1.9500000000000028</v>
      </c>
      <c r="G298" s="58">
        <f t="shared" si="56"/>
        <v>45.624000000000002</v>
      </c>
      <c r="H298" s="66">
        <f>+'Tablas Servicio'!G331</f>
        <v>79.25</v>
      </c>
      <c r="I298" s="72">
        <f t="shared" si="57"/>
        <v>0.1577287066246057</v>
      </c>
      <c r="J298" s="66">
        <f t="shared" si="58"/>
        <v>12.5</v>
      </c>
      <c r="K298" s="66">
        <f>+'Tablas Servicio'!H331</f>
        <v>82.43</v>
      </c>
      <c r="L298" s="66">
        <f>+IF(A298="","",ROUND(H298*Parámetros!$D$100,2))</f>
        <v>9.25</v>
      </c>
      <c r="M298" s="58">
        <f>+IF(A298="","",IF(AND(A298=1,B298=1),Parámetros!$D$114*(D298*frec-$G$3-$H$3),IF(AND(A298=2,B298=frec+1),Parámetros!$D$115*(D298*frec-$G$4-$H$4),0)))</f>
        <v>0</v>
      </c>
      <c r="N298" s="58">
        <f>+IF(A298="","",IF(A298&gt;Parámetros!$D$117,0,ROUND('Modelo Financiero'!D298*Parámetros!$D$116,2)))</f>
        <v>0</v>
      </c>
      <c r="O298" s="58">
        <f t="shared" si="59"/>
        <v>0</v>
      </c>
      <c r="P298" s="66">
        <f>+'Tablas Servicio'!I331</f>
        <v>11.569999999999993</v>
      </c>
      <c r="Q298" s="66">
        <f>+'Tablas Servicio'!S331</f>
        <v>21873.48</v>
      </c>
      <c r="R298" s="66">
        <f>+'Tablas Servicio'!T331</f>
        <v>21873.48</v>
      </c>
      <c r="S298" s="66">
        <f t="shared" si="55"/>
        <v>33.625999999999998</v>
      </c>
      <c r="T298" s="66">
        <f t="shared" si="64"/>
        <v>6519.0040000000054</v>
      </c>
      <c r="U298" s="66">
        <f t="shared" si="60"/>
        <v>6519.0040000000054</v>
      </c>
      <c r="V298" s="81">
        <f t="shared" si="61"/>
        <v>0</v>
      </c>
      <c r="W298" s="66">
        <f t="shared" si="62"/>
        <v>0</v>
      </c>
      <c r="X298" s="66">
        <f t="shared" si="63"/>
        <v>6519.0040000000054</v>
      </c>
    </row>
    <row r="299" spans="1:24" x14ac:dyDescent="0.25">
      <c r="A299">
        <f>+'Tablas Servicio'!B332</f>
        <v>25</v>
      </c>
      <c r="B299">
        <f>+'Tablas Servicio'!C332</f>
        <v>291</v>
      </c>
      <c r="C299" s="56">
        <f>+'Tablas Servicio'!D332</f>
        <v>64.270000000000664</v>
      </c>
      <c r="D299" s="58">
        <f>+'Tablas Servicio'!N332</f>
        <v>94</v>
      </c>
      <c r="E299" s="66">
        <f>+'Tablas Servicio'!AC332</f>
        <v>64.8</v>
      </c>
      <c r="F299" s="66">
        <f>+IF(A299="","",'Tablas Servicio'!O332-'Modelo Financiero'!E299)</f>
        <v>1.9500000000000028</v>
      </c>
      <c r="G299" s="58">
        <f t="shared" si="56"/>
        <v>45.624000000000002</v>
      </c>
      <c r="H299" s="66">
        <f>+'Tablas Servicio'!G332</f>
        <v>79.25</v>
      </c>
      <c r="I299" s="72">
        <f t="shared" si="57"/>
        <v>0.1577287066246057</v>
      </c>
      <c r="J299" s="66">
        <f t="shared" si="58"/>
        <v>12.5</v>
      </c>
      <c r="K299" s="66">
        <f>+'Tablas Servicio'!H332</f>
        <v>82.43</v>
      </c>
      <c r="L299" s="66">
        <f>+IF(A299="","",ROUND(H299*Parámetros!$D$100,2))</f>
        <v>9.25</v>
      </c>
      <c r="M299" s="58">
        <f>+IF(A299="","",IF(AND(A299=1,B299=1),Parámetros!$D$114*(D299*frec-$G$3-$H$3),IF(AND(A299=2,B299=frec+1),Parámetros!$D$115*(D299*frec-$G$4-$H$4),0)))</f>
        <v>0</v>
      </c>
      <c r="N299" s="58">
        <f>+IF(A299="","",IF(A299&gt;Parámetros!$D$117,0,ROUND('Modelo Financiero'!D299*Parámetros!$D$116,2)))</f>
        <v>0</v>
      </c>
      <c r="O299" s="58">
        <f t="shared" si="59"/>
        <v>0</v>
      </c>
      <c r="P299" s="66">
        <f>+'Tablas Servicio'!I332</f>
        <v>11.569999999999993</v>
      </c>
      <c r="Q299" s="66">
        <f>+'Tablas Servicio'!S332</f>
        <v>21947.13</v>
      </c>
      <c r="R299" s="66">
        <f>+'Tablas Servicio'!T332</f>
        <v>21947.13</v>
      </c>
      <c r="S299" s="66">
        <f t="shared" si="55"/>
        <v>33.625999999999998</v>
      </c>
      <c r="T299" s="66">
        <f t="shared" si="64"/>
        <v>6552.6300000000056</v>
      </c>
      <c r="U299" s="66">
        <f t="shared" si="60"/>
        <v>6552.6300000000056</v>
      </c>
      <c r="V299" s="81">
        <f t="shared" si="61"/>
        <v>0</v>
      </c>
      <c r="W299" s="66">
        <f t="shared" si="62"/>
        <v>0</v>
      </c>
      <c r="X299" s="66">
        <f t="shared" si="63"/>
        <v>6552.6300000000056</v>
      </c>
    </row>
    <row r="300" spans="1:24" x14ac:dyDescent="0.25">
      <c r="A300">
        <f>+'Tablas Servicio'!B333</f>
        <v>25</v>
      </c>
      <c r="B300">
        <f>+'Tablas Servicio'!C333</f>
        <v>292</v>
      </c>
      <c r="C300" s="56">
        <f>+'Tablas Servicio'!D333</f>
        <v>64.353333333333993</v>
      </c>
      <c r="D300" s="58">
        <f>+'Tablas Servicio'!N333</f>
        <v>94</v>
      </c>
      <c r="E300" s="66">
        <f>+'Tablas Servicio'!AC333</f>
        <v>64.8</v>
      </c>
      <c r="F300" s="66">
        <f>+IF(A300="","",'Tablas Servicio'!O333-'Modelo Financiero'!E300)</f>
        <v>1.9500000000000028</v>
      </c>
      <c r="G300" s="58">
        <f t="shared" si="56"/>
        <v>45.624000000000002</v>
      </c>
      <c r="H300" s="66">
        <f>+'Tablas Servicio'!G333</f>
        <v>79.25</v>
      </c>
      <c r="I300" s="72">
        <f t="shared" si="57"/>
        <v>0.1577287066246057</v>
      </c>
      <c r="J300" s="66">
        <f t="shared" si="58"/>
        <v>12.5</v>
      </c>
      <c r="K300" s="66">
        <f>+'Tablas Servicio'!H333</f>
        <v>82.43</v>
      </c>
      <c r="L300" s="66">
        <f>+IF(A300="","",ROUND(H300*Parámetros!$D$100,2))</f>
        <v>9.25</v>
      </c>
      <c r="M300" s="58">
        <f>+IF(A300="","",IF(AND(A300=1,B300=1),Parámetros!$D$114*(D300*frec-$G$3-$H$3),IF(AND(A300=2,B300=frec+1),Parámetros!$D$115*(D300*frec-$G$4-$H$4),0)))</f>
        <v>0</v>
      </c>
      <c r="N300" s="58">
        <f>+IF(A300="","",IF(A300&gt;Parámetros!$D$117,0,ROUND('Modelo Financiero'!D300*Parámetros!$D$116,2)))</f>
        <v>0</v>
      </c>
      <c r="O300" s="58">
        <f t="shared" si="59"/>
        <v>0</v>
      </c>
      <c r="P300" s="66">
        <f>+'Tablas Servicio'!I333</f>
        <v>11.569999999999993</v>
      </c>
      <c r="Q300" s="66">
        <f>+'Tablas Servicio'!S333</f>
        <v>22020.98</v>
      </c>
      <c r="R300" s="66">
        <f>+'Tablas Servicio'!T333</f>
        <v>22020.98</v>
      </c>
      <c r="S300" s="66">
        <f t="shared" si="55"/>
        <v>33.625999999999998</v>
      </c>
      <c r="T300" s="66">
        <f t="shared" si="64"/>
        <v>6586.2560000000058</v>
      </c>
      <c r="U300" s="66">
        <f t="shared" si="60"/>
        <v>6586.2560000000058</v>
      </c>
      <c r="V300" s="81">
        <f t="shared" si="61"/>
        <v>0</v>
      </c>
      <c r="W300" s="66">
        <f t="shared" si="62"/>
        <v>0</v>
      </c>
      <c r="X300" s="66">
        <f t="shared" si="63"/>
        <v>6586.2560000000058</v>
      </c>
    </row>
    <row r="301" spans="1:24" x14ac:dyDescent="0.25">
      <c r="A301">
        <f>+'Tablas Servicio'!B334</f>
        <v>25</v>
      </c>
      <c r="B301">
        <f>+'Tablas Servicio'!C334</f>
        <v>293</v>
      </c>
      <c r="C301" s="56">
        <f>+'Tablas Servicio'!D334</f>
        <v>64.436666666667321</v>
      </c>
      <c r="D301" s="58">
        <f>+'Tablas Servicio'!N334</f>
        <v>94</v>
      </c>
      <c r="E301" s="66">
        <f>+'Tablas Servicio'!AC334</f>
        <v>64.8</v>
      </c>
      <c r="F301" s="66">
        <f>+IF(A301="","",'Tablas Servicio'!O334-'Modelo Financiero'!E301)</f>
        <v>1.9500000000000028</v>
      </c>
      <c r="G301" s="58">
        <f t="shared" si="56"/>
        <v>45.624000000000002</v>
      </c>
      <c r="H301" s="66">
        <f>+'Tablas Servicio'!G334</f>
        <v>79.25</v>
      </c>
      <c r="I301" s="72">
        <f t="shared" si="57"/>
        <v>0.1577287066246057</v>
      </c>
      <c r="J301" s="66">
        <f t="shared" si="58"/>
        <v>12.5</v>
      </c>
      <c r="K301" s="66">
        <f>+'Tablas Servicio'!H334</f>
        <v>82.43</v>
      </c>
      <c r="L301" s="66">
        <f>+IF(A301="","",ROUND(H301*Parámetros!$D$100,2))</f>
        <v>9.25</v>
      </c>
      <c r="M301" s="58">
        <f>+IF(A301="","",IF(AND(A301=1,B301=1),Parámetros!$D$114*(D301*frec-$G$3-$H$3),IF(AND(A301=2,B301=frec+1),Parámetros!$D$115*(D301*frec-$G$4-$H$4),0)))</f>
        <v>0</v>
      </c>
      <c r="N301" s="58">
        <f>+IF(A301="","",IF(A301&gt;Parámetros!$D$117,0,ROUND('Modelo Financiero'!D301*Parámetros!$D$116,2)))</f>
        <v>0</v>
      </c>
      <c r="O301" s="58">
        <f t="shared" si="59"/>
        <v>0</v>
      </c>
      <c r="P301" s="66">
        <f>+'Tablas Servicio'!I334</f>
        <v>11.569999999999993</v>
      </c>
      <c r="Q301" s="66">
        <f>+'Tablas Servicio'!S334</f>
        <v>22095.040000000001</v>
      </c>
      <c r="R301" s="66">
        <f>+'Tablas Servicio'!T334</f>
        <v>22095.040000000001</v>
      </c>
      <c r="S301" s="66">
        <f t="shared" si="55"/>
        <v>33.625999999999998</v>
      </c>
      <c r="T301" s="66">
        <f t="shared" si="64"/>
        <v>6619.882000000006</v>
      </c>
      <c r="U301" s="66">
        <f t="shared" si="60"/>
        <v>6619.882000000006</v>
      </c>
      <c r="V301" s="81">
        <f t="shared" si="61"/>
        <v>0</v>
      </c>
      <c r="W301" s="66">
        <f t="shared" si="62"/>
        <v>0</v>
      </c>
      <c r="X301" s="66">
        <f t="shared" si="63"/>
        <v>6619.882000000006</v>
      </c>
    </row>
    <row r="302" spans="1:24" x14ac:dyDescent="0.25">
      <c r="A302">
        <f>+'Tablas Servicio'!B335</f>
        <v>25</v>
      </c>
      <c r="B302">
        <f>+'Tablas Servicio'!C335</f>
        <v>294</v>
      </c>
      <c r="C302" s="56">
        <f>+'Tablas Servicio'!D335</f>
        <v>64.52000000000065</v>
      </c>
      <c r="D302" s="58">
        <f>+'Tablas Servicio'!N335</f>
        <v>94</v>
      </c>
      <c r="E302" s="66">
        <f>+'Tablas Servicio'!AC335</f>
        <v>64.8</v>
      </c>
      <c r="F302" s="66">
        <f>+IF(A302="","",'Tablas Servicio'!O335-'Modelo Financiero'!E302)</f>
        <v>1.9500000000000028</v>
      </c>
      <c r="G302" s="58">
        <f t="shared" si="56"/>
        <v>45.624000000000002</v>
      </c>
      <c r="H302" s="66">
        <f>+'Tablas Servicio'!G335</f>
        <v>79.25</v>
      </c>
      <c r="I302" s="72">
        <f t="shared" si="57"/>
        <v>0.1577287066246057</v>
      </c>
      <c r="J302" s="66">
        <f t="shared" si="58"/>
        <v>12.5</v>
      </c>
      <c r="K302" s="66">
        <f>+'Tablas Servicio'!H335</f>
        <v>82.43</v>
      </c>
      <c r="L302" s="66">
        <f>+IF(A302="","",ROUND(H302*Parámetros!$D$100,2))</f>
        <v>9.25</v>
      </c>
      <c r="M302" s="58">
        <f>+IF(A302="","",IF(AND(A302=1,B302=1),Parámetros!$D$114*(D302*frec-$G$3-$H$3),IF(AND(A302=2,B302=frec+1),Parámetros!$D$115*(D302*frec-$G$4-$H$4),0)))</f>
        <v>0</v>
      </c>
      <c r="N302" s="58">
        <f>+IF(A302="","",IF(A302&gt;Parámetros!$D$117,0,ROUND('Modelo Financiero'!D302*Parámetros!$D$116,2)))</f>
        <v>0</v>
      </c>
      <c r="O302" s="58">
        <f t="shared" si="59"/>
        <v>0</v>
      </c>
      <c r="P302" s="66">
        <f>+'Tablas Servicio'!I335</f>
        <v>11.569999999999993</v>
      </c>
      <c r="Q302" s="66">
        <f>+'Tablas Servicio'!S335</f>
        <v>22169.31</v>
      </c>
      <c r="R302" s="66">
        <f>+'Tablas Servicio'!T335</f>
        <v>22169.31</v>
      </c>
      <c r="S302" s="66">
        <f t="shared" si="55"/>
        <v>33.625999999999998</v>
      </c>
      <c r="T302" s="66">
        <f t="shared" si="64"/>
        <v>6653.5080000000062</v>
      </c>
      <c r="U302" s="66">
        <f t="shared" si="60"/>
        <v>6653.5080000000062</v>
      </c>
      <c r="V302" s="81">
        <f t="shared" si="61"/>
        <v>0</v>
      </c>
      <c r="W302" s="66">
        <f t="shared" si="62"/>
        <v>0</v>
      </c>
      <c r="X302" s="66">
        <f t="shared" si="63"/>
        <v>6653.5080000000062</v>
      </c>
    </row>
    <row r="303" spans="1:24" x14ac:dyDescent="0.25">
      <c r="A303">
        <f>+'Tablas Servicio'!B336</f>
        <v>25</v>
      </c>
      <c r="B303">
        <f>+'Tablas Servicio'!C336</f>
        <v>295</v>
      </c>
      <c r="C303" s="56">
        <f>+'Tablas Servicio'!D336</f>
        <v>64.603333333333978</v>
      </c>
      <c r="D303" s="58">
        <f>+'Tablas Servicio'!N336</f>
        <v>94</v>
      </c>
      <c r="E303" s="66">
        <f>+'Tablas Servicio'!AC336</f>
        <v>64.8</v>
      </c>
      <c r="F303" s="66">
        <f>+IF(A303="","",'Tablas Servicio'!O336-'Modelo Financiero'!E303)</f>
        <v>1.9500000000000028</v>
      </c>
      <c r="G303" s="58">
        <f t="shared" si="56"/>
        <v>45.624000000000002</v>
      </c>
      <c r="H303" s="66">
        <f>+'Tablas Servicio'!G336</f>
        <v>79.25</v>
      </c>
      <c r="I303" s="72">
        <f t="shared" si="57"/>
        <v>0.1577287066246057</v>
      </c>
      <c r="J303" s="66">
        <f t="shared" si="58"/>
        <v>12.5</v>
      </c>
      <c r="K303" s="66">
        <f>+'Tablas Servicio'!H336</f>
        <v>82.43</v>
      </c>
      <c r="L303" s="66">
        <f>+IF(A303="","",ROUND(H303*Parámetros!$D$100,2))</f>
        <v>9.25</v>
      </c>
      <c r="M303" s="58">
        <f>+IF(A303="","",IF(AND(A303=1,B303=1),Parámetros!$D$114*(D303*frec-$G$3-$H$3),IF(AND(A303=2,B303=frec+1),Parámetros!$D$115*(D303*frec-$G$4-$H$4),0)))</f>
        <v>0</v>
      </c>
      <c r="N303" s="58">
        <f>+IF(A303="","",IF(A303&gt;Parámetros!$D$117,0,ROUND('Modelo Financiero'!D303*Parámetros!$D$116,2)))</f>
        <v>0</v>
      </c>
      <c r="O303" s="58">
        <f t="shared" si="59"/>
        <v>0</v>
      </c>
      <c r="P303" s="66">
        <f>+'Tablas Servicio'!I336</f>
        <v>11.569999999999993</v>
      </c>
      <c r="Q303" s="66">
        <f>+'Tablas Servicio'!S336</f>
        <v>22243.8</v>
      </c>
      <c r="R303" s="66">
        <f>+'Tablas Servicio'!T336</f>
        <v>22243.8</v>
      </c>
      <c r="S303" s="66">
        <f t="shared" si="55"/>
        <v>33.625999999999998</v>
      </c>
      <c r="T303" s="66">
        <f t="shared" si="64"/>
        <v>6687.1340000000064</v>
      </c>
      <c r="U303" s="66">
        <f t="shared" si="60"/>
        <v>6687.1340000000064</v>
      </c>
      <c r="V303" s="81">
        <f t="shared" si="61"/>
        <v>0</v>
      </c>
      <c r="W303" s="66">
        <f t="shared" si="62"/>
        <v>0</v>
      </c>
      <c r="X303" s="66">
        <f t="shared" si="63"/>
        <v>6687.1340000000064</v>
      </c>
    </row>
    <row r="304" spans="1:24" x14ac:dyDescent="0.25">
      <c r="A304">
        <f>+'Tablas Servicio'!B337</f>
        <v>25</v>
      </c>
      <c r="B304">
        <f>+'Tablas Servicio'!C337</f>
        <v>296</v>
      </c>
      <c r="C304" s="56">
        <f>+'Tablas Servicio'!D337</f>
        <v>64.686666666667307</v>
      </c>
      <c r="D304" s="58">
        <f>+'Tablas Servicio'!N337</f>
        <v>94</v>
      </c>
      <c r="E304" s="66">
        <f>+'Tablas Servicio'!AC337</f>
        <v>64.8</v>
      </c>
      <c r="F304" s="66">
        <f>+IF(A304="","",'Tablas Servicio'!O337-'Modelo Financiero'!E304)</f>
        <v>1.9500000000000028</v>
      </c>
      <c r="G304" s="58">
        <f t="shared" si="56"/>
        <v>45.624000000000002</v>
      </c>
      <c r="H304" s="66">
        <f>+'Tablas Servicio'!G337</f>
        <v>79.25</v>
      </c>
      <c r="I304" s="72">
        <f t="shared" si="57"/>
        <v>0.1577287066246057</v>
      </c>
      <c r="J304" s="66">
        <f t="shared" si="58"/>
        <v>12.5</v>
      </c>
      <c r="K304" s="66">
        <f>+'Tablas Servicio'!H337</f>
        <v>82.43</v>
      </c>
      <c r="L304" s="66">
        <f>+IF(A304="","",ROUND(H304*Parámetros!$D$100,2))</f>
        <v>9.25</v>
      </c>
      <c r="M304" s="58">
        <f>+IF(A304="","",IF(AND(A304=1,B304=1),Parámetros!$D$114*(D304*frec-$G$3-$H$3),IF(AND(A304=2,B304=frec+1),Parámetros!$D$115*(D304*frec-$G$4-$H$4),0)))</f>
        <v>0</v>
      </c>
      <c r="N304" s="58">
        <f>+IF(A304="","",IF(A304&gt;Parámetros!$D$117,0,ROUND('Modelo Financiero'!D304*Parámetros!$D$116,2)))</f>
        <v>0</v>
      </c>
      <c r="O304" s="58">
        <f t="shared" si="59"/>
        <v>0</v>
      </c>
      <c r="P304" s="66">
        <f>+'Tablas Servicio'!I337</f>
        <v>11.569999999999993</v>
      </c>
      <c r="Q304" s="66">
        <f>+'Tablas Servicio'!S337</f>
        <v>22318.5</v>
      </c>
      <c r="R304" s="66">
        <f>+'Tablas Servicio'!T337</f>
        <v>22318.5</v>
      </c>
      <c r="S304" s="66">
        <f t="shared" si="55"/>
        <v>33.625999999999998</v>
      </c>
      <c r="T304" s="66">
        <f t="shared" si="64"/>
        <v>6720.7600000000066</v>
      </c>
      <c r="U304" s="66">
        <f t="shared" si="60"/>
        <v>6720.7600000000066</v>
      </c>
      <c r="V304" s="81">
        <f t="shared" si="61"/>
        <v>0</v>
      </c>
      <c r="W304" s="66">
        <f t="shared" si="62"/>
        <v>0</v>
      </c>
      <c r="X304" s="66">
        <f t="shared" si="63"/>
        <v>6720.7600000000066</v>
      </c>
    </row>
    <row r="305" spans="1:24" x14ac:dyDescent="0.25">
      <c r="A305">
        <f>+'Tablas Servicio'!B338</f>
        <v>25</v>
      </c>
      <c r="B305">
        <f>+'Tablas Servicio'!C338</f>
        <v>297</v>
      </c>
      <c r="C305" s="56">
        <f>+'Tablas Servicio'!D338</f>
        <v>64.770000000000636</v>
      </c>
      <c r="D305" s="58">
        <f>+'Tablas Servicio'!N338</f>
        <v>94</v>
      </c>
      <c r="E305" s="66">
        <f>+'Tablas Servicio'!AC338</f>
        <v>64.8</v>
      </c>
      <c r="F305" s="66">
        <f>+IF(A305="","",'Tablas Servicio'!O338-'Modelo Financiero'!E305)</f>
        <v>1.9500000000000028</v>
      </c>
      <c r="G305" s="58">
        <f t="shared" si="56"/>
        <v>45.624000000000002</v>
      </c>
      <c r="H305" s="66">
        <f>+'Tablas Servicio'!G338</f>
        <v>79.25</v>
      </c>
      <c r="I305" s="72">
        <f t="shared" si="57"/>
        <v>0.1577287066246057</v>
      </c>
      <c r="J305" s="66">
        <f t="shared" si="58"/>
        <v>12.5</v>
      </c>
      <c r="K305" s="66">
        <f>+'Tablas Servicio'!H338</f>
        <v>82.43</v>
      </c>
      <c r="L305" s="66">
        <f>+IF(A305="","",ROUND(H305*Parámetros!$D$100,2))</f>
        <v>9.25</v>
      </c>
      <c r="M305" s="58">
        <f>+IF(A305="","",IF(AND(A305=1,B305=1),Parámetros!$D$114*(D305*frec-$G$3-$H$3),IF(AND(A305=2,B305=frec+1),Parámetros!$D$115*(D305*frec-$G$4-$H$4),0)))</f>
        <v>0</v>
      </c>
      <c r="N305" s="58">
        <f>+IF(A305="","",IF(A305&gt;Parámetros!$D$117,0,ROUND('Modelo Financiero'!D305*Parámetros!$D$116,2)))</f>
        <v>0</v>
      </c>
      <c r="O305" s="58">
        <f t="shared" si="59"/>
        <v>0</v>
      </c>
      <c r="P305" s="66">
        <f>+'Tablas Servicio'!I338</f>
        <v>11.569999999999993</v>
      </c>
      <c r="Q305" s="66">
        <f>+'Tablas Servicio'!S338</f>
        <v>22393.41</v>
      </c>
      <c r="R305" s="66">
        <f>+'Tablas Servicio'!T338</f>
        <v>22393.41</v>
      </c>
      <c r="S305" s="66">
        <f t="shared" si="55"/>
        <v>33.625999999999998</v>
      </c>
      <c r="T305" s="66">
        <f t="shared" si="64"/>
        <v>6754.3860000000068</v>
      </c>
      <c r="U305" s="66">
        <f t="shared" si="60"/>
        <v>6754.3860000000068</v>
      </c>
      <c r="V305" s="81">
        <f t="shared" si="61"/>
        <v>0</v>
      </c>
      <c r="W305" s="66">
        <f t="shared" si="62"/>
        <v>0</v>
      </c>
      <c r="X305" s="66">
        <f t="shared" si="63"/>
        <v>6754.3860000000068</v>
      </c>
    </row>
    <row r="306" spans="1:24" x14ac:dyDescent="0.25">
      <c r="A306">
        <f>+'Tablas Servicio'!B339</f>
        <v>25</v>
      </c>
      <c r="B306">
        <f>+'Tablas Servicio'!C339</f>
        <v>298</v>
      </c>
      <c r="C306" s="56">
        <f>+'Tablas Servicio'!D339</f>
        <v>64.853333333333964</v>
      </c>
      <c r="D306" s="58">
        <f>+'Tablas Servicio'!N339</f>
        <v>94</v>
      </c>
      <c r="E306" s="66">
        <f>+'Tablas Servicio'!AC339</f>
        <v>64.8</v>
      </c>
      <c r="F306" s="66">
        <f>+IF(A306="","",'Tablas Servicio'!O339-'Modelo Financiero'!E306)</f>
        <v>1.9500000000000028</v>
      </c>
      <c r="G306" s="58">
        <f t="shared" si="56"/>
        <v>45.624000000000002</v>
      </c>
      <c r="H306" s="66">
        <f>+'Tablas Servicio'!G339</f>
        <v>79.25</v>
      </c>
      <c r="I306" s="72">
        <f t="shared" si="57"/>
        <v>0.1577287066246057</v>
      </c>
      <c r="J306" s="66">
        <f t="shared" si="58"/>
        <v>12.5</v>
      </c>
      <c r="K306" s="66">
        <f>+'Tablas Servicio'!H339</f>
        <v>82.43</v>
      </c>
      <c r="L306" s="66">
        <f>+IF(A306="","",ROUND(H306*Parámetros!$D$100,2))</f>
        <v>9.25</v>
      </c>
      <c r="M306" s="58">
        <f>+IF(A306="","",IF(AND(A306=1,B306=1),Parámetros!$D$114*(D306*frec-$G$3-$H$3),IF(AND(A306=2,B306=frec+1),Parámetros!$D$115*(D306*frec-$G$4-$H$4),0)))</f>
        <v>0</v>
      </c>
      <c r="N306" s="58">
        <f>+IF(A306="","",IF(A306&gt;Parámetros!$D$117,0,ROUND('Modelo Financiero'!D306*Parámetros!$D$116,2)))</f>
        <v>0</v>
      </c>
      <c r="O306" s="58">
        <f t="shared" si="59"/>
        <v>0</v>
      </c>
      <c r="P306" s="66">
        <f>+'Tablas Servicio'!I339</f>
        <v>11.569999999999993</v>
      </c>
      <c r="Q306" s="66">
        <f>+'Tablas Servicio'!S339</f>
        <v>22468.53</v>
      </c>
      <c r="R306" s="66">
        <f>+'Tablas Servicio'!T339</f>
        <v>22468.53</v>
      </c>
      <c r="S306" s="66">
        <f t="shared" si="55"/>
        <v>33.625999999999998</v>
      </c>
      <c r="T306" s="66">
        <f t="shared" si="64"/>
        <v>6788.012000000007</v>
      </c>
      <c r="U306" s="66">
        <f t="shared" si="60"/>
        <v>6788.012000000007</v>
      </c>
      <c r="V306" s="81">
        <f t="shared" si="61"/>
        <v>0</v>
      </c>
      <c r="W306" s="66">
        <f t="shared" si="62"/>
        <v>0</v>
      </c>
      <c r="X306" s="66">
        <f t="shared" si="63"/>
        <v>6788.012000000007</v>
      </c>
    </row>
    <row r="307" spans="1:24" x14ac:dyDescent="0.25">
      <c r="A307">
        <f>+'Tablas Servicio'!B340</f>
        <v>25</v>
      </c>
      <c r="B307">
        <f>+'Tablas Servicio'!C340</f>
        <v>299</v>
      </c>
      <c r="C307" s="56">
        <f>+'Tablas Servicio'!D340</f>
        <v>64.936666666667293</v>
      </c>
      <c r="D307" s="58">
        <f>+'Tablas Servicio'!N340</f>
        <v>94</v>
      </c>
      <c r="E307" s="66">
        <f>+'Tablas Servicio'!AC340</f>
        <v>64.8</v>
      </c>
      <c r="F307" s="66">
        <f>+IF(A307="","",'Tablas Servicio'!O340-'Modelo Financiero'!E307)</f>
        <v>1.9500000000000028</v>
      </c>
      <c r="G307" s="58">
        <f t="shared" si="56"/>
        <v>45.624000000000002</v>
      </c>
      <c r="H307" s="66">
        <f>+'Tablas Servicio'!G340</f>
        <v>79.25</v>
      </c>
      <c r="I307" s="72">
        <f t="shared" si="57"/>
        <v>0.1577287066246057</v>
      </c>
      <c r="J307" s="66">
        <f t="shared" si="58"/>
        <v>12.5</v>
      </c>
      <c r="K307" s="66">
        <f>+'Tablas Servicio'!H340</f>
        <v>82.43</v>
      </c>
      <c r="L307" s="66">
        <f>+IF(A307="","",ROUND(H307*Parámetros!$D$100,2))</f>
        <v>9.25</v>
      </c>
      <c r="M307" s="58">
        <f>+IF(A307="","",IF(AND(A307=1,B307=1),Parámetros!$D$114*(D307*frec-$G$3-$H$3),IF(AND(A307=2,B307=frec+1),Parámetros!$D$115*(D307*frec-$G$4-$H$4),0)))</f>
        <v>0</v>
      </c>
      <c r="N307" s="58">
        <f>+IF(A307="","",IF(A307&gt;Parámetros!$D$117,0,ROUND('Modelo Financiero'!D307*Parámetros!$D$116,2)))</f>
        <v>0</v>
      </c>
      <c r="O307" s="58">
        <f t="shared" si="59"/>
        <v>0</v>
      </c>
      <c r="P307" s="66">
        <f>+'Tablas Servicio'!I340</f>
        <v>11.569999999999993</v>
      </c>
      <c r="Q307" s="66">
        <f>+'Tablas Servicio'!S340</f>
        <v>22543.86</v>
      </c>
      <c r="R307" s="66">
        <f>+'Tablas Servicio'!T340</f>
        <v>22543.86</v>
      </c>
      <c r="S307" s="66">
        <f t="shared" si="55"/>
        <v>33.625999999999998</v>
      </c>
      <c r="T307" s="66">
        <f t="shared" si="64"/>
        <v>6821.6380000000072</v>
      </c>
      <c r="U307" s="66">
        <f t="shared" si="60"/>
        <v>6821.6380000000072</v>
      </c>
      <c r="V307" s="81">
        <f t="shared" si="61"/>
        <v>0</v>
      </c>
      <c r="W307" s="66">
        <f t="shared" si="62"/>
        <v>0</v>
      </c>
      <c r="X307" s="66">
        <f t="shared" si="63"/>
        <v>6821.6380000000072</v>
      </c>
    </row>
    <row r="308" spans="1:24" x14ac:dyDescent="0.25">
      <c r="A308">
        <f>+'Tablas Servicio'!B341</f>
        <v>25</v>
      </c>
      <c r="B308">
        <f>+'Tablas Servicio'!C341</f>
        <v>300</v>
      </c>
      <c r="C308" s="56">
        <f>+'Tablas Servicio'!D341</f>
        <v>65.020000000000621</v>
      </c>
      <c r="D308" s="58">
        <f>+'Tablas Servicio'!N341</f>
        <v>94</v>
      </c>
      <c r="E308" s="66">
        <f>+'Tablas Servicio'!AC341</f>
        <v>64.8</v>
      </c>
      <c r="F308" s="66">
        <f>+IF(A308="","",'Tablas Servicio'!O341-'Modelo Financiero'!E308)</f>
        <v>1.9500000000000028</v>
      </c>
      <c r="G308" s="58">
        <f t="shared" si="56"/>
        <v>45.624000000000002</v>
      </c>
      <c r="H308" s="66">
        <f>+'Tablas Servicio'!G341</f>
        <v>79.25</v>
      </c>
      <c r="I308" s="72">
        <f t="shared" si="57"/>
        <v>0.1577287066246057</v>
      </c>
      <c r="J308" s="66">
        <f t="shared" si="58"/>
        <v>12.5</v>
      </c>
      <c r="K308" s="66">
        <f>+'Tablas Servicio'!H341</f>
        <v>82.43</v>
      </c>
      <c r="L308" s="66">
        <f>+IF(A308="","",ROUND(H308*Parámetros!$D$100,2))</f>
        <v>9.25</v>
      </c>
      <c r="M308" s="58">
        <f>+IF(A308="","",IF(AND(A308=1,B308=1),Parámetros!$D$114*(D308*frec-$G$3-$H$3),IF(AND(A308=2,B308=frec+1),Parámetros!$D$115*(D308*frec-$G$4-$H$4),0)))</f>
        <v>0</v>
      </c>
      <c r="N308" s="58">
        <f>+IF(A308="","",IF(A308&gt;Parámetros!$D$117,0,ROUND('Modelo Financiero'!D308*Parámetros!$D$116,2)))</f>
        <v>0</v>
      </c>
      <c r="O308" s="58">
        <f t="shared" si="59"/>
        <v>0</v>
      </c>
      <c r="P308" s="66">
        <f>+'Tablas Servicio'!I341</f>
        <v>11.569999999999993</v>
      </c>
      <c r="Q308" s="66">
        <f>+'Tablas Servicio'!S341</f>
        <v>22619.41</v>
      </c>
      <c r="R308" s="66">
        <f>+'Tablas Servicio'!T341</f>
        <v>22619.41</v>
      </c>
      <c r="S308" s="66">
        <f t="shared" si="55"/>
        <v>33.625999999999998</v>
      </c>
      <c r="T308" s="66">
        <f t="shared" si="64"/>
        <v>6855.2640000000074</v>
      </c>
      <c r="U308" s="66">
        <f t="shared" si="60"/>
        <v>6855.2640000000074</v>
      </c>
      <c r="V308" s="81">
        <f t="shared" si="61"/>
        <v>0</v>
      </c>
      <c r="W308" s="66">
        <f t="shared" si="62"/>
        <v>0</v>
      </c>
      <c r="X308" s="66">
        <f t="shared" si="63"/>
        <v>6855.2640000000074</v>
      </c>
    </row>
    <row r="309" spans="1:24" x14ac:dyDescent="0.25">
      <c r="A309">
        <f>+'Tablas Servicio'!B342</f>
        <v>26</v>
      </c>
      <c r="B309">
        <f>+'Tablas Servicio'!C342</f>
        <v>301</v>
      </c>
      <c r="C309" s="56">
        <f>+'Tablas Servicio'!D342</f>
        <v>65.10333333333395</v>
      </c>
      <c r="D309" s="58">
        <f>+'Tablas Servicio'!N342</f>
        <v>94</v>
      </c>
      <c r="E309" s="66">
        <f>+'Tablas Servicio'!AC342</f>
        <v>71.8</v>
      </c>
      <c r="F309" s="66">
        <f>+IF(A309="","",'Tablas Servicio'!O342-'Modelo Financiero'!E309)</f>
        <v>2.75</v>
      </c>
      <c r="G309" s="58">
        <f t="shared" si="56"/>
        <v>51.024000000000001</v>
      </c>
      <c r="H309" s="66">
        <f>+'Tablas Servicio'!G342</f>
        <v>87.05</v>
      </c>
      <c r="I309" s="72">
        <f t="shared" si="57"/>
        <v>0.14359563469270531</v>
      </c>
      <c r="J309" s="66">
        <f t="shared" si="58"/>
        <v>12.5</v>
      </c>
      <c r="K309" s="66">
        <f>+'Tablas Servicio'!H342</f>
        <v>90.53</v>
      </c>
      <c r="L309" s="66">
        <f>+IF(A309="","",ROUND(H309*Parámetros!$D$100,2))</f>
        <v>10.16</v>
      </c>
      <c r="M309" s="58">
        <f>+IF(A309="","",IF(AND(A309=1,B309=1),Parámetros!$D$114*(D309*frec-$G$3-$H$3),IF(AND(A309=2,B309=frec+1),Parámetros!$D$115*(D309*frec-$G$4-$H$4),0)))</f>
        <v>0</v>
      </c>
      <c r="N309" s="58">
        <f>+IF(A309="","",IF(A309&gt;Parámetros!$D$117,0,ROUND('Modelo Financiero'!D309*Parámetros!$D$116,2)))</f>
        <v>0</v>
      </c>
      <c r="O309" s="58">
        <f t="shared" si="59"/>
        <v>0</v>
      </c>
      <c r="P309" s="66">
        <f>+'Tablas Servicio'!I342</f>
        <v>3.4699999999999989</v>
      </c>
      <c r="Q309" s="66">
        <f>+'Tablas Servicio'!S342</f>
        <v>22687.05</v>
      </c>
      <c r="R309" s="66">
        <f>+'Tablas Servicio'!T342</f>
        <v>22687.05</v>
      </c>
      <c r="S309" s="66">
        <f t="shared" si="55"/>
        <v>36.025999999999996</v>
      </c>
      <c r="T309" s="66">
        <f t="shared" si="64"/>
        <v>6891.2900000000072</v>
      </c>
      <c r="U309" s="66">
        <f t="shared" si="60"/>
        <v>6891.2900000000072</v>
      </c>
      <c r="V309" s="81">
        <f t="shared" si="61"/>
        <v>0</v>
      </c>
      <c r="W309" s="66">
        <f t="shared" si="62"/>
        <v>0</v>
      </c>
      <c r="X309" s="66">
        <f t="shared" si="63"/>
        <v>6891.2900000000072</v>
      </c>
    </row>
    <row r="310" spans="1:24" x14ac:dyDescent="0.25">
      <c r="A310">
        <f>+'Tablas Servicio'!B343</f>
        <v>26</v>
      </c>
      <c r="B310">
        <f>+'Tablas Servicio'!C343</f>
        <v>302</v>
      </c>
      <c r="C310" s="56">
        <f>+'Tablas Servicio'!D343</f>
        <v>65.186666666667278</v>
      </c>
      <c r="D310" s="58">
        <f>+'Tablas Servicio'!N343</f>
        <v>94</v>
      </c>
      <c r="E310" s="66">
        <f>+'Tablas Servicio'!AC343</f>
        <v>71.8</v>
      </c>
      <c r="F310" s="66">
        <f>+IF(A310="","",'Tablas Servicio'!O343-'Modelo Financiero'!E310)</f>
        <v>2.75</v>
      </c>
      <c r="G310" s="58">
        <f t="shared" si="56"/>
        <v>51.024000000000001</v>
      </c>
      <c r="H310" s="66">
        <f>+'Tablas Servicio'!G343</f>
        <v>87.05</v>
      </c>
      <c r="I310" s="72">
        <f t="shared" si="57"/>
        <v>0.14359563469270531</v>
      </c>
      <c r="J310" s="66">
        <f t="shared" si="58"/>
        <v>12.5</v>
      </c>
      <c r="K310" s="66">
        <f>+'Tablas Servicio'!H343</f>
        <v>90.53</v>
      </c>
      <c r="L310" s="66">
        <f>+IF(A310="","",ROUND(H310*Parámetros!$D$100,2))</f>
        <v>10.16</v>
      </c>
      <c r="M310" s="58">
        <f>+IF(A310="","",IF(AND(A310=1,B310=1),Parámetros!$D$114*(D310*frec-$G$3-$H$3),IF(AND(A310=2,B310=frec+1),Parámetros!$D$115*(D310*frec-$G$4-$H$4),0)))</f>
        <v>0</v>
      </c>
      <c r="N310" s="58">
        <f>+IF(A310="","",IF(A310&gt;Parámetros!$D$117,0,ROUND('Modelo Financiero'!D310*Parámetros!$D$116,2)))</f>
        <v>0</v>
      </c>
      <c r="O310" s="58">
        <f t="shared" si="59"/>
        <v>0</v>
      </c>
      <c r="P310" s="66">
        <f>+'Tablas Servicio'!I343</f>
        <v>3.4699999999999989</v>
      </c>
      <c r="Q310" s="66">
        <f>+'Tablas Servicio'!S343</f>
        <v>22754.880000000001</v>
      </c>
      <c r="R310" s="66">
        <f>+'Tablas Servicio'!T343</f>
        <v>22754.880000000001</v>
      </c>
      <c r="S310" s="66">
        <f t="shared" si="55"/>
        <v>36.025999999999996</v>
      </c>
      <c r="T310" s="66">
        <f t="shared" si="64"/>
        <v>6927.3160000000071</v>
      </c>
      <c r="U310" s="66">
        <f t="shared" si="60"/>
        <v>6927.3160000000071</v>
      </c>
      <c r="V310" s="81">
        <f t="shared" si="61"/>
        <v>0</v>
      </c>
      <c r="W310" s="66">
        <f t="shared" si="62"/>
        <v>0</v>
      </c>
      <c r="X310" s="66">
        <f t="shared" si="63"/>
        <v>6927.3160000000071</v>
      </c>
    </row>
    <row r="311" spans="1:24" x14ac:dyDescent="0.25">
      <c r="A311">
        <f>+'Tablas Servicio'!B344</f>
        <v>26</v>
      </c>
      <c r="B311">
        <f>+'Tablas Servicio'!C344</f>
        <v>303</v>
      </c>
      <c r="C311" s="56">
        <f>+'Tablas Servicio'!D344</f>
        <v>65.270000000000607</v>
      </c>
      <c r="D311" s="58">
        <f>+'Tablas Servicio'!N344</f>
        <v>94</v>
      </c>
      <c r="E311" s="66">
        <f>+'Tablas Servicio'!AC344</f>
        <v>71.8</v>
      </c>
      <c r="F311" s="66">
        <f>+IF(A311="","",'Tablas Servicio'!O344-'Modelo Financiero'!E311)</f>
        <v>2.75</v>
      </c>
      <c r="G311" s="58">
        <f t="shared" si="56"/>
        <v>51.024000000000001</v>
      </c>
      <c r="H311" s="66">
        <f>+'Tablas Servicio'!G344</f>
        <v>87.05</v>
      </c>
      <c r="I311" s="72">
        <f t="shared" si="57"/>
        <v>0.14359563469270531</v>
      </c>
      <c r="J311" s="66">
        <f t="shared" si="58"/>
        <v>12.5</v>
      </c>
      <c r="K311" s="66">
        <f>+'Tablas Servicio'!H344</f>
        <v>90.53</v>
      </c>
      <c r="L311" s="66">
        <f>+IF(A311="","",ROUND(H311*Parámetros!$D$100,2))</f>
        <v>10.16</v>
      </c>
      <c r="M311" s="58">
        <f>+IF(A311="","",IF(AND(A311=1,B311=1),Parámetros!$D$114*(D311*frec-$G$3-$H$3),IF(AND(A311=2,B311=frec+1),Parámetros!$D$115*(D311*frec-$G$4-$H$4),0)))</f>
        <v>0</v>
      </c>
      <c r="N311" s="58">
        <f>+IF(A311="","",IF(A311&gt;Parámetros!$D$117,0,ROUND('Modelo Financiero'!D311*Parámetros!$D$116,2)))</f>
        <v>0</v>
      </c>
      <c r="O311" s="58">
        <f t="shared" si="59"/>
        <v>0</v>
      </c>
      <c r="P311" s="66">
        <f>+'Tablas Servicio'!I344</f>
        <v>3.4699999999999989</v>
      </c>
      <c r="Q311" s="66">
        <f>+'Tablas Servicio'!S344</f>
        <v>22822.9</v>
      </c>
      <c r="R311" s="66">
        <f>+'Tablas Servicio'!T344</f>
        <v>22822.9</v>
      </c>
      <c r="S311" s="66">
        <f t="shared" si="55"/>
        <v>36.025999999999996</v>
      </c>
      <c r="T311" s="66">
        <f t="shared" si="64"/>
        <v>6963.3420000000069</v>
      </c>
      <c r="U311" s="66">
        <f t="shared" si="60"/>
        <v>6963.3420000000069</v>
      </c>
      <c r="V311" s="81">
        <f t="shared" si="61"/>
        <v>0</v>
      </c>
      <c r="W311" s="66">
        <f t="shared" si="62"/>
        <v>0</v>
      </c>
      <c r="X311" s="66">
        <f t="shared" si="63"/>
        <v>6963.3420000000069</v>
      </c>
    </row>
    <row r="312" spans="1:24" x14ac:dyDescent="0.25">
      <c r="A312">
        <f>+'Tablas Servicio'!B345</f>
        <v>26</v>
      </c>
      <c r="B312">
        <f>+'Tablas Servicio'!C345</f>
        <v>304</v>
      </c>
      <c r="C312" s="56">
        <f>+'Tablas Servicio'!D345</f>
        <v>65.353333333333936</v>
      </c>
      <c r="D312" s="58">
        <f>+'Tablas Servicio'!N345</f>
        <v>94</v>
      </c>
      <c r="E312" s="66">
        <f>+'Tablas Servicio'!AC345</f>
        <v>71.8</v>
      </c>
      <c r="F312" s="66">
        <f>+IF(A312="","",'Tablas Servicio'!O345-'Modelo Financiero'!E312)</f>
        <v>2.75</v>
      </c>
      <c r="G312" s="58">
        <f t="shared" si="56"/>
        <v>51.024000000000001</v>
      </c>
      <c r="H312" s="66">
        <f>+'Tablas Servicio'!G345</f>
        <v>87.05</v>
      </c>
      <c r="I312" s="72">
        <f t="shared" si="57"/>
        <v>0.14359563469270531</v>
      </c>
      <c r="J312" s="66">
        <f t="shared" si="58"/>
        <v>12.5</v>
      </c>
      <c r="K312" s="66">
        <f>+'Tablas Servicio'!H345</f>
        <v>90.53</v>
      </c>
      <c r="L312" s="66">
        <f>+IF(A312="","",ROUND(H312*Parámetros!$D$100,2))</f>
        <v>10.16</v>
      </c>
      <c r="M312" s="58">
        <f>+IF(A312="","",IF(AND(A312=1,B312=1),Parámetros!$D$114*(D312*frec-$G$3-$H$3),IF(AND(A312=2,B312=frec+1),Parámetros!$D$115*(D312*frec-$G$4-$H$4),0)))</f>
        <v>0</v>
      </c>
      <c r="N312" s="58">
        <f>+IF(A312="","",IF(A312&gt;Parámetros!$D$117,0,ROUND('Modelo Financiero'!D312*Parámetros!$D$116,2)))</f>
        <v>0</v>
      </c>
      <c r="O312" s="58">
        <f t="shared" si="59"/>
        <v>0</v>
      </c>
      <c r="P312" s="66">
        <f>+'Tablas Servicio'!I345</f>
        <v>3.4699999999999989</v>
      </c>
      <c r="Q312" s="66">
        <f>+'Tablas Servicio'!S345</f>
        <v>22891.119999999999</v>
      </c>
      <c r="R312" s="66">
        <f>+'Tablas Servicio'!T345</f>
        <v>22891.119999999999</v>
      </c>
      <c r="S312" s="66">
        <f t="shared" si="55"/>
        <v>36.025999999999996</v>
      </c>
      <c r="T312" s="66">
        <f t="shared" si="64"/>
        <v>6999.3680000000068</v>
      </c>
      <c r="U312" s="66">
        <f t="shared" si="60"/>
        <v>6999.3680000000068</v>
      </c>
      <c r="V312" s="81">
        <f t="shared" si="61"/>
        <v>0</v>
      </c>
      <c r="W312" s="66">
        <f t="shared" si="62"/>
        <v>0</v>
      </c>
      <c r="X312" s="66">
        <f t="shared" si="63"/>
        <v>6999.3680000000068</v>
      </c>
    </row>
    <row r="313" spans="1:24" x14ac:dyDescent="0.25">
      <c r="A313">
        <f>+'Tablas Servicio'!B346</f>
        <v>26</v>
      </c>
      <c r="B313">
        <f>+'Tablas Servicio'!C346</f>
        <v>305</v>
      </c>
      <c r="C313" s="56">
        <f>+'Tablas Servicio'!D346</f>
        <v>65.436666666667264</v>
      </c>
      <c r="D313" s="58">
        <f>+'Tablas Servicio'!N346</f>
        <v>94</v>
      </c>
      <c r="E313" s="66">
        <f>+'Tablas Servicio'!AC346</f>
        <v>71.8</v>
      </c>
      <c r="F313" s="66">
        <f>+IF(A313="","",'Tablas Servicio'!O346-'Modelo Financiero'!E313)</f>
        <v>2.75</v>
      </c>
      <c r="G313" s="58">
        <f t="shared" si="56"/>
        <v>51.024000000000001</v>
      </c>
      <c r="H313" s="66">
        <f>+'Tablas Servicio'!G346</f>
        <v>87.05</v>
      </c>
      <c r="I313" s="72">
        <f t="shared" si="57"/>
        <v>0.14359563469270531</v>
      </c>
      <c r="J313" s="66">
        <f t="shared" si="58"/>
        <v>12.5</v>
      </c>
      <c r="K313" s="66">
        <f>+'Tablas Servicio'!H346</f>
        <v>90.53</v>
      </c>
      <c r="L313" s="66">
        <f>+IF(A313="","",ROUND(H313*Parámetros!$D$100,2))</f>
        <v>10.16</v>
      </c>
      <c r="M313" s="58">
        <f>+IF(A313="","",IF(AND(A313=1,B313=1),Parámetros!$D$114*(D313*frec-$G$3-$H$3),IF(AND(A313=2,B313=frec+1),Parámetros!$D$115*(D313*frec-$G$4-$H$4),0)))</f>
        <v>0</v>
      </c>
      <c r="N313" s="58">
        <f>+IF(A313="","",IF(A313&gt;Parámetros!$D$117,0,ROUND('Modelo Financiero'!D313*Parámetros!$D$116,2)))</f>
        <v>0</v>
      </c>
      <c r="O313" s="58">
        <f t="shared" si="59"/>
        <v>0</v>
      </c>
      <c r="P313" s="66">
        <f>+'Tablas Servicio'!I346</f>
        <v>3.4699999999999989</v>
      </c>
      <c r="Q313" s="66">
        <f>+'Tablas Servicio'!S346</f>
        <v>22959.53</v>
      </c>
      <c r="R313" s="66">
        <f>+'Tablas Servicio'!T346</f>
        <v>22959.53</v>
      </c>
      <c r="S313" s="66">
        <f t="shared" si="55"/>
        <v>36.025999999999996</v>
      </c>
      <c r="T313" s="66">
        <f t="shared" si="64"/>
        <v>7035.3940000000066</v>
      </c>
      <c r="U313" s="66">
        <f t="shared" si="60"/>
        <v>7035.3940000000066</v>
      </c>
      <c r="V313" s="81">
        <f t="shared" si="61"/>
        <v>0</v>
      </c>
      <c r="W313" s="66">
        <f t="shared" si="62"/>
        <v>0</v>
      </c>
      <c r="X313" s="66">
        <f t="shared" si="63"/>
        <v>7035.3940000000066</v>
      </c>
    </row>
    <row r="314" spans="1:24" x14ac:dyDescent="0.25">
      <c r="A314">
        <f>+'Tablas Servicio'!B347</f>
        <v>26</v>
      </c>
      <c r="B314">
        <f>+'Tablas Servicio'!C347</f>
        <v>306</v>
      </c>
      <c r="C314" s="56">
        <f>+'Tablas Servicio'!D347</f>
        <v>65.520000000000593</v>
      </c>
      <c r="D314" s="58">
        <f>+'Tablas Servicio'!N347</f>
        <v>94</v>
      </c>
      <c r="E314" s="66">
        <f>+'Tablas Servicio'!AC347</f>
        <v>71.8</v>
      </c>
      <c r="F314" s="66">
        <f>+IF(A314="","",'Tablas Servicio'!O347-'Modelo Financiero'!E314)</f>
        <v>2.75</v>
      </c>
      <c r="G314" s="58">
        <f t="shared" si="56"/>
        <v>51.024000000000001</v>
      </c>
      <c r="H314" s="66">
        <f>+'Tablas Servicio'!G347</f>
        <v>87.05</v>
      </c>
      <c r="I314" s="72">
        <f t="shared" si="57"/>
        <v>0.14359563469270531</v>
      </c>
      <c r="J314" s="66">
        <f t="shared" si="58"/>
        <v>12.5</v>
      </c>
      <c r="K314" s="66">
        <f>+'Tablas Servicio'!H347</f>
        <v>90.53</v>
      </c>
      <c r="L314" s="66">
        <f>+IF(A314="","",ROUND(H314*Parámetros!$D$100,2))</f>
        <v>10.16</v>
      </c>
      <c r="M314" s="58">
        <f>+IF(A314="","",IF(AND(A314=1,B314=1),Parámetros!$D$114*(D314*frec-$G$3-$H$3),IF(AND(A314=2,B314=frec+1),Parámetros!$D$115*(D314*frec-$G$4-$H$4),0)))</f>
        <v>0</v>
      </c>
      <c r="N314" s="58">
        <f>+IF(A314="","",IF(A314&gt;Parámetros!$D$117,0,ROUND('Modelo Financiero'!D314*Parámetros!$D$116,2)))</f>
        <v>0</v>
      </c>
      <c r="O314" s="58">
        <f t="shared" si="59"/>
        <v>0</v>
      </c>
      <c r="P314" s="66">
        <f>+'Tablas Servicio'!I347</f>
        <v>3.4699999999999989</v>
      </c>
      <c r="Q314" s="66">
        <f>+'Tablas Servicio'!S347</f>
        <v>23028.13</v>
      </c>
      <c r="R314" s="66">
        <f>+'Tablas Servicio'!T347</f>
        <v>23028.13</v>
      </c>
      <c r="S314" s="66">
        <f t="shared" si="55"/>
        <v>36.025999999999996</v>
      </c>
      <c r="T314" s="66">
        <f t="shared" si="64"/>
        <v>7071.4200000000064</v>
      </c>
      <c r="U314" s="66">
        <f t="shared" si="60"/>
        <v>7071.4200000000064</v>
      </c>
      <c r="V314" s="81">
        <f t="shared" si="61"/>
        <v>0</v>
      </c>
      <c r="W314" s="66">
        <f t="shared" si="62"/>
        <v>0</v>
      </c>
      <c r="X314" s="66">
        <f t="shared" si="63"/>
        <v>7071.4200000000064</v>
      </c>
    </row>
    <row r="315" spans="1:24" x14ac:dyDescent="0.25">
      <c r="A315">
        <f>+'Tablas Servicio'!B348</f>
        <v>26</v>
      </c>
      <c r="B315">
        <f>+'Tablas Servicio'!C348</f>
        <v>307</v>
      </c>
      <c r="C315" s="56">
        <f>+'Tablas Servicio'!D348</f>
        <v>65.603333333333921</v>
      </c>
      <c r="D315" s="58">
        <f>+'Tablas Servicio'!N348</f>
        <v>94</v>
      </c>
      <c r="E315" s="66">
        <f>+'Tablas Servicio'!AC348</f>
        <v>71.8</v>
      </c>
      <c r="F315" s="66">
        <f>+IF(A315="","",'Tablas Servicio'!O348-'Modelo Financiero'!E315)</f>
        <v>2.75</v>
      </c>
      <c r="G315" s="58">
        <f t="shared" si="56"/>
        <v>51.024000000000001</v>
      </c>
      <c r="H315" s="66">
        <f>+'Tablas Servicio'!G348</f>
        <v>87.05</v>
      </c>
      <c r="I315" s="72">
        <f t="shared" si="57"/>
        <v>0.14359563469270531</v>
      </c>
      <c r="J315" s="66">
        <f t="shared" si="58"/>
        <v>12.5</v>
      </c>
      <c r="K315" s="66">
        <f>+'Tablas Servicio'!H348</f>
        <v>90.53</v>
      </c>
      <c r="L315" s="66">
        <f>+IF(A315="","",ROUND(H315*Parámetros!$D$100,2))</f>
        <v>10.16</v>
      </c>
      <c r="M315" s="58">
        <f>+IF(A315="","",IF(AND(A315=1,B315=1),Parámetros!$D$114*(D315*frec-$G$3-$H$3),IF(AND(A315=2,B315=frec+1),Parámetros!$D$115*(D315*frec-$G$4-$H$4),0)))</f>
        <v>0</v>
      </c>
      <c r="N315" s="58">
        <f>+IF(A315="","",IF(A315&gt;Parámetros!$D$117,0,ROUND('Modelo Financiero'!D315*Parámetros!$D$116,2)))</f>
        <v>0</v>
      </c>
      <c r="O315" s="58">
        <f t="shared" si="59"/>
        <v>0</v>
      </c>
      <c r="P315" s="66">
        <f>+'Tablas Servicio'!I348</f>
        <v>3.4699999999999989</v>
      </c>
      <c r="Q315" s="66">
        <f>+'Tablas Servicio'!S348</f>
        <v>23096.93</v>
      </c>
      <c r="R315" s="66">
        <f>+'Tablas Servicio'!T348</f>
        <v>23096.93</v>
      </c>
      <c r="S315" s="66">
        <f t="shared" si="55"/>
        <v>36.025999999999996</v>
      </c>
      <c r="T315" s="66">
        <f t="shared" si="64"/>
        <v>7107.4460000000063</v>
      </c>
      <c r="U315" s="66">
        <f t="shared" si="60"/>
        <v>7107.4460000000063</v>
      </c>
      <c r="V315" s="81">
        <f t="shared" si="61"/>
        <v>0</v>
      </c>
      <c r="W315" s="66">
        <f t="shared" si="62"/>
        <v>0</v>
      </c>
      <c r="X315" s="66">
        <f t="shared" si="63"/>
        <v>7107.4460000000063</v>
      </c>
    </row>
    <row r="316" spans="1:24" x14ac:dyDescent="0.25">
      <c r="A316">
        <f>+'Tablas Servicio'!B349</f>
        <v>26</v>
      </c>
      <c r="B316">
        <f>+'Tablas Servicio'!C349</f>
        <v>308</v>
      </c>
      <c r="C316" s="56">
        <f>+'Tablas Servicio'!D349</f>
        <v>65.68666666666725</v>
      </c>
      <c r="D316" s="58">
        <f>+'Tablas Servicio'!N349</f>
        <v>94</v>
      </c>
      <c r="E316" s="66">
        <f>+'Tablas Servicio'!AC349</f>
        <v>71.8</v>
      </c>
      <c r="F316" s="66">
        <f>+IF(A316="","",'Tablas Servicio'!O349-'Modelo Financiero'!E316)</f>
        <v>2.75</v>
      </c>
      <c r="G316" s="58">
        <f t="shared" si="56"/>
        <v>51.024000000000001</v>
      </c>
      <c r="H316" s="66">
        <f>+'Tablas Servicio'!G349</f>
        <v>87.05</v>
      </c>
      <c r="I316" s="72">
        <f t="shared" si="57"/>
        <v>0.14359563469270531</v>
      </c>
      <c r="J316" s="66">
        <f t="shared" si="58"/>
        <v>12.5</v>
      </c>
      <c r="K316" s="66">
        <f>+'Tablas Servicio'!H349</f>
        <v>90.53</v>
      </c>
      <c r="L316" s="66">
        <f>+IF(A316="","",ROUND(H316*Parámetros!$D$100,2))</f>
        <v>10.16</v>
      </c>
      <c r="M316" s="58">
        <f>+IF(A316="","",IF(AND(A316=1,B316=1),Parámetros!$D$114*(D316*frec-$G$3-$H$3),IF(AND(A316=2,B316=frec+1),Parámetros!$D$115*(D316*frec-$G$4-$H$4),0)))</f>
        <v>0</v>
      </c>
      <c r="N316" s="58">
        <f>+IF(A316="","",IF(A316&gt;Parámetros!$D$117,0,ROUND('Modelo Financiero'!D316*Parámetros!$D$116,2)))</f>
        <v>0</v>
      </c>
      <c r="O316" s="58">
        <f t="shared" si="59"/>
        <v>0</v>
      </c>
      <c r="P316" s="66">
        <f>+'Tablas Servicio'!I349</f>
        <v>3.4699999999999989</v>
      </c>
      <c r="Q316" s="66">
        <f>+'Tablas Servicio'!S349</f>
        <v>23165.919999999998</v>
      </c>
      <c r="R316" s="66">
        <f>+'Tablas Servicio'!T349</f>
        <v>23165.919999999998</v>
      </c>
      <c r="S316" s="66">
        <f t="shared" si="55"/>
        <v>36.025999999999996</v>
      </c>
      <c r="T316" s="66">
        <f t="shared" si="64"/>
        <v>7143.4720000000061</v>
      </c>
      <c r="U316" s="66">
        <f t="shared" si="60"/>
        <v>7143.4720000000061</v>
      </c>
      <c r="V316" s="81">
        <f t="shared" si="61"/>
        <v>0</v>
      </c>
      <c r="W316" s="66">
        <f t="shared" si="62"/>
        <v>0</v>
      </c>
      <c r="X316" s="66">
        <f t="shared" si="63"/>
        <v>7143.4720000000061</v>
      </c>
    </row>
    <row r="317" spans="1:24" x14ac:dyDescent="0.25">
      <c r="A317">
        <f>+'Tablas Servicio'!B350</f>
        <v>26</v>
      </c>
      <c r="B317">
        <f>+'Tablas Servicio'!C350</f>
        <v>309</v>
      </c>
      <c r="C317" s="56">
        <f>+'Tablas Servicio'!D350</f>
        <v>65.770000000000579</v>
      </c>
      <c r="D317" s="58">
        <f>+'Tablas Servicio'!N350</f>
        <v>94</v>
      </c>
      <c r="E317" s="66">
        <f>+'Tablas Servicio'!AC350</f>
        <v>71.8</v>
      </c>
      <c r="F317" s="66">
        <f>+IF(A317="","",'Tablas Servicio'!O350-'Modelo Financiero'!E317)</f>
        <v>2.75</v>
      </c>
      <c r="G317" s="58">
        <f t="shared" si="56"/>
        <v>51.024000000000001</v>
      </c>
      <c r="H317" s="66">
        <f>+'Tablas Servicio'!G350</f>
        <v>87.05</v>
      </c>
      <c r="I317" s="72">
        <f t="shared" si="57"/>
        <v>0.14359563469270531</v>
      </c>
      <c r="J317" s="66">
        <f t="shared" si="58"/>
        <v>12.5</v>
      </c>
      <c r="K317" s="66">
        <f>+'Tablas Servicio'!H350</f>
        <v>90.53</v>
      </c>
      <c r="L317" s="66">
        <f>+IF(A317="","",ROUND(H317*Parámetros!$D$100,2))</f>
        <v>10.16</v>
      </c>
      <c r="M317" s="58">
        <f>+IF(A317="","",IF(AND(A317=1,B317=1),Parámetros!$D$114*(D317*frec-$G$3-$H$3),IF(AND(A317=2,B317=frec+1),Parámetros!$D$115*(D317*frec-$G$4-$H$4),0)))</f>
        <v>0</v>
      </c>
      <c r="N317" s="58">
        <f>+IF(A317="","",IF(A317&gt;Parámetros!$D$117,0,ROUND('Modelo Financiero'!D317*Parámetros!$D$116,2)))</f>
        <v>0</v>
      </c>
      <c r="O317" s="58">
        <f t="shared" si="59"/>
        <v>0</v>
      </c>
      <c r="P317" s="66">
        <f>+'Tablas Servicio'!I350</f>
        <v>3.4699999999999989</v>
      </c>
      <c r="Q317" s="66">
        <f>+'Tablas Servicio'!S350</f>
        <v>23235.11</v>
      </c>
      <c r="R317" s="66">
        <f>+'Tablas Servicio'!T350</f>
        <v>23235.11</v>
      </c>
      <c r="S317" s="66">
        <f t="shared" si="55"/>
        <v>36.025999999999996</v>
      </c>
      <c r="T317" s="66">
        <f t="shared" si="64"/>
        <v>7179.498000000006</v>
      </c>
      <c r="U317" s="66">
        <f t="shared" si="60"/>
        <v>7179.498000000006</v>
      </c>
      <c r="V317" s="81">
        <f t="shared" si="61"/>
        <v>0</v>
      </c>
      <c r="W317" s="66">
        <f t="shared" si="62"/>
        <v>0</v>
      </c>
      <c r="X317" s="66">
        <f t="shared" si="63"/>
        <v>7179.498000000006</v>
      </c>
    </row>
    <row r="318" spans="1:24" x14ac:dyDescent="0.25">
      <c r="A318">
        <f>+'Tablas Servicio'!B351</f>
        <v>26</v>
      </c>
      <c r="B318">
        <f>+'Tablas Servicio'!C351</f>
        <v>310</v>
      </c>
      <c r="C318" s="56">
        <f>+'Tablas Servicio'!D351</f>
        <v>65.853333333333907</v>
      </c>
      <c r="D318" s="58">
        <f>+'Tablas Servicio'!N351</f>
        <v>94</v>
      </c>
      <c r="E318" s="66">
        <f>+'Tablas Servicio'!AC351</f>
        <v>71.8</v>
      </c>
      <c r="F318" s="66">
        <f>+IF(A318="","",'Tablas Servicio'!O351-'Modelo Financiero'!E318)</f>
        <v>2.75</v>
      </c>
      <c r="G318" s="58">
        <f t="shared" si="56"/>
        <v>51.024000000000001</v>
      </c>
      <c r="H318" s="66">
        <f>+'Tablas Servicio'!G351</f>
        <v>87.05</v>
      </c>
      <c r="I318" s="72">
        <f t="shared" si="57"/>
        <v>0.14359563469270531</v>
      </c>
      <c r="J318" s="66">
        <f t="shared" si="58"/>
        <v>12.5</v>
      </c>
      <c r="K318" s="66">
        <f>+'Tablas Servicio'!H351</f>
        <v>90.53</v>
      </c>
      <c r="L318" s="66">
        <f>+IF(A318="","",ROUND(H318*Parámetros!$D$100,2))</f>
        <v>10.16</v>
      </c>
      <c r="M318" s="58">
        <f>+IF(A318="","",IF(AND(A318=1,B318=1),Parámetros!$D$114*(D318*frec-$G$3-$H$3),IF(AND(A318=2,B318=frec+1),Parámetros!$D$115*(D318*frec-$G$4-$H$4),0)))</f>
        <v>0</v>
      </c>
      <c r="N318" s="58">
        <f>+IF(A318="","",IF(A318&gt;Parámetros!$D$117,0,ROUND('Modelo Financiero'!D318*Parámetros!$D$116,2)))</f>
        <v>0</v>
      </c>
      <c r="O318" s="58">
        <f t="shared" si="59"/>
        <v>0</v>
      </c>
      <c r="P318" s="66">
        <f>+'Tablas Servicio'!I351</f>
        <v>3.4699999999999989</v>
      </c>
      <c r="Q318" s="66">
        <f>+'Tablas Servicio'!S351</f>
        <v>23304.5</v>
      </c>
      <c r="R318" s="66">
        <f>+'Tablas Servicio'!T351</f>
        <v>23304.5</v>
      </c>
      <c r="S318" s="66">
        <f t="shared" si="55"/>
        <v>36.025999999999996</v>
      </c>
      <c r="T318" s="66">
        <f t="shared" si="64"/>
        <v>7215.5240000000058</v>
      </c>
      <c r="U318" s="66">
        <f t="shared" si="60"/>
        <v>7215.5240000000058</v>
      </c>
      <c r="V318" s="81">
        <f t="shared" si="61"/>
        <v>0</v>
      </c>
      <c r="W318" s="66">
        <f t="shared" si="62"/>
        <v>0</v>
      </c>
      <c r="X318" s="66">
        <f t="shared" si="63"/>
        <v>7215.5240000000058</v>
      </c>
    </row>
    <row r="319" spans="1:24" x14ac:dyDescent="0.25">
      <c r="A319">
        <f>+'Tablas Servicio'!B352</f>
        <v>26</v>
      </c>
      <c r="B319">
        <f>+'Tablas Servicio'!C352</f>
        <v>311</v>
      </c>
      <c r="C319" s="56">
        <f>+'Tablas Servicio'!D352</f>
        <v>65.936666666667236</v>
      </c>
      <c r="D319" s="58">
        <f>+'Tablas Servicio'!N352</f>
        <v>94</v>
      </c>
      <c r="E319" s="66">
        <f>+'Tablas Servicio'!AC352</f>
        <v>71.8</v>
      </c>
      <c r="F319" s="66">
        <f>+IF(A319="","",'Tablas Servicio'!O352-'Modelo Financiero'!E319)</f>
        <v>2.75</v>
      </c>
      <c r="G319" s="58">
        <f t="shared" si="56"/>
        <v>51.024000000000001</v>
      </c>
      <c r="H319" s="66">
        <f>+'Tablas Servicio'!G352</f>
        <v>87.05</v>
      </c>
      <c r="I319" s="72">
        <f t="shared" si="57"/>
        <v>0.14359563469270531</v>
      </c>
      <c r="J319" s="66">
        <f t="shared" si="58"/>
        <v>12.5</v>
      </c>
      <c r="K319" s="66">
        <f>+'Tablas Servicio'!H352</f>
        <v>90.53</v>
      </c>
      <c r="L319" s="66">
        <f>+IF(A319="","",ROUND(H319*Parámetros!$D$100,2))</f>
        <v>10.16</v>
      </c>
      <c r="M319" s="58">
        <f>+IF(A319="","",IF(AND(A319=1,B319=1),Parámetros!$D$114*(D319*frec-$G$3-$H$3),IF(AND(A319=2,B319=frec+1),Parámetros!$D$115*(D319*frec-$G$4-$H$4),0)))</f>
        <v>0</v>
      </c>
      <c r="N319" s="58">
        <f>+IF(A319="","",IF(A319&gt;Parámetros!$D$117,0,ROUND('Modelo Financiero'!D319*Parámetros!$D$116,2)))</f>
        <v>0</v>
      </c>
      <c r="O319" s="58">
        <f t="shared" si="59"/>
        <v>0</v>
      </c>
      <c r="P319" s="66">
        <f>+'Tablas Servicio'!I352</f>
        <v>3.4699999999999989</v>
      </c>
      <c r="Q319" s="66">
        <f>+'Tablas Servicio'!S352</f>
        <v>23374.080000000002</v>
      </c>
      <c r="R319" s="66">
        <f>+'Tablas Servicio'!T352</f>
        <v>23374.080000000002</v>
      </c>
      <c r="S319" s="66">
        <f t="shared" si="55"/>
        <v>36.025999999999996</v>
      </c>
      <c r="T319" s="66">
        <f t="shared" si="64"/>
        <v>7251.5500000000056</v>
      </c>
      <c r="U319" s="66">
        <f t="shared" si="60"/>
        <v>7251.5500000000056</v>
      </c>
      <c r="V319" s="81">
        <f t="shared" si="61"/>
        <v>0</v>
      </c>
      <c r="W319" s="66">
        <f t="shared" si="62"/>
        <v>0</v>
      </c>
      <c r="X319" s="66">
        <f t="shared" si="63"/>
        <v>7251.5500000000056</v>
      </c>
    </row>
    <row r="320" spans="1:24" x14ac:dyDescent="0.25">
      <c r="A320">
        <f>+'Tablas Servicio'!B353</f>
        <v>26</v>
      </c>
      <c r="B320">
        <f>+'Tablas Servicio'!C353</f>
        <v>312</v>
      </c>
      <c r="C320" s="56">
        <f>+'Tablas Servicio'!D353</f>
        <v>66.020000000000564</v>
      </c>
      <c r="D320" s="58">
        <f>+'Tablas Servicio'!N353</f>
        <v>94</v>
      </c>
      <c r="E320" s="66">
        <f>+'Tablas Servicio'!AC353</f>
        <v>71.8</v>
      </c>
      <c r="F320" s="66">
        <f>+IF(A320="","",'Tablas Servicio'!O353-'Modelo Financiero'!E320)</f>
        <v>2.75</v>
      </c>
      <c r="G320" s="58">
        <f t="shared" si="56"/>
        <v>51.024000000000001</v>
      </c>
      <c r="H320" s="66">
        <f>+'Tablas Servicio'!G353</f>
        <v>87.05</v>
      </c>
      <c r="I320" s="72">
        <f t="shared" si="57"/>
        <v>0.14359563469270531</v>
      </c>
      <c r="J320" s="66">
        <f t="shared" si="58"/>
        <v>12.5</v>
      </c>
      <c r="K320" s="66">
        <f>+'Tablas Servicio'!H353</f>
        <v>90.53</v>
      </c>
      <c r="L320" s="66">
        <f>+IF(A320="","",ROUND(H320*Parámetros!$D$100,2))</f>
        <v>10.16</v>
      </c>
      <c r="M320" s="58">
        <f>+IF(A320="","",IF(AND(A320=1,B320=1),Parámetros!$D$114*(D320*frec-$G$3-$H$3),IF(AND(A320=2,B320=frec+1),Parámetros!$D$115*(D320*frec-$G$4-$H$4),0)))</f>
        <v>0</v>
      </c>
      <c r="N320" s="58">
        <f>+IF(A320="","",IF(A320&gt;Parámetros!$D$117,0,ROUND('Modelo Financiero'!D320*Parámetros!$D$116,2)))</f>
        <v>0</v>
      </c>
      <c r="O320" s="58">
        <f t="shared" si="59"/>
        <v>0</v>
      </c>
      <c r="P320" s="66">
        <f>+'Tablas Servicio'!I353</f>
        <v>3.4699999999999989</v>
      </c>
      <c r="Q320" s="66">
        <f>+'Tablas Servicio'!S353</f>
        <v>23443.86</v>
      </c>
      <c r="R320" s="66">
        <f>+'Tablas Servicio'!T353</f>
        <v>23443.86</v>
      </c>
      <c r="S320" s="66">
        <f t="shared" si="55"/>
        <v>36.025999999999996</v>
      </c>
      <c r="T320" s="66">
        <f t="shared" si="64"/>
        <v>7287.5760000000055</v>
      </c>
      <c r="U320" s="66">
        <f t="shared" si="60"/>
        <v>7287.5760000000055</v>
      </c>
      <c r="V320" s="81">
        <f t="shared" si="61"/>
        <v>0</v>
      </c>
      <c r="W320" s="66">
        <f t="shared" si="62"/>
        <v>0</v>
      </c>
      <c r="X320" s="66">
        <f t="shared" si="63"/>
        <v>7287.5760000000055</v>
      </c>
    </row>
    <row r="321" spans="1:24" x14ac:dyDescent="0.25">
      <c r="A321">
        <f>+'Tablas Servicio'!B354</f>
        <v>27</v>
      </c>
      <c r="B321">
        <f>+'Tablas Servicio'!C354</f>
        <v>313</v>
      </c>
      <c r="C321" s="56">
        <f>+'Tablas Servicio'!D354</f>
        <v>66.103333333333893</v>
      </c>
      <c r="D321" s="58">
        <f>+'Tablas Servicio'!N354</f>
        <v>94</v>
      </c>
      <c r="E321" s="66">
        <f>+'Tablas Servicio'!AC354</f>
        <v>79.400000000000006</v>
      </c>
      <c r="F321" s="66">
        <f>+IF(A321="","",'Tablas Servicio'!O354-'Modelo Financiero'!E321)</f>
        <v>2.75</v>
      </c>
      <c r="G321" s="58">
        <f t="shared" si="56"/>
        <v>56.192000000000007</v>
      </c>
      <c r="H321" s="66">
        <f>+'Tablas Servicio'!G354</f>
        <v>94.65</v>
      </c>
      <c r="I321" s="72">
        <f t="shared" si="57"/>
        <v>0.13206550449022714</v>
      </c>
      <c r="J321" s="66">
        <f t="shared" si="58"/>
        <v>12.5</v>
      </c>
      <c r="K321" s="66">
        <f>+'Tablas Servicio'!H354</f>
        <v>98.44</v>
      </c>
      <c r="L321" s="66">
        <f>+IF(A321="","",ROUND(H321*Parámetros!$D$100,2))</f>
        <v>11.05</v>
      </c>
      <c r="M321" s="58">
        <f>+IF(A321="","",IF(AND(A321=1,B321=1),Parámetros!$D$114*(D321*frec-$G$3-$H$3),IF(AND(A321=2,B321=frec+1),Parámetros!$D$115*(D321*frec-$G$4-$H$4),0)))</f>
        <v>0</v>
      </c>
      <c r="N321" s="58">
        <f>+IF(A321="","",IF(A321&gt;Parámetros!$D$117,0,ROUND('Modelo Financiero'!D321*Parámetros!$D$116,2)))</f>
        <v>0</v>
      </c>
      <c r="O321" s="58">
        <f t="shared" si="59"/>
        <v>0</v>
      </c>
      <c r="P321" s="66">
        <f>+'Tablas Servicio'!I354</f>
        <v>-4.4399999999999977</v>
      </c>
      <c r="Q321" s="66">
        <f>+'Tablas Servicio'!S354</f>
        <v>23505.9</v>
      </c>
      <c r="R321" s="66">
        <f>+'Tablas Servicio'!T354</f>
        <v>23505.9</v>
      </c>
      <c r="S321" s="66">
        <f t="shared" si="55"/>
        <v>38.457999999999998</v>
      </c>
      <c r="T321" s="66">
        <f t="shared" si="64"/>
        <v>7326.0340000000051</v>
      </c>
      <c r="U321" s="66">
        <f t="shared" si="60"/>
        <v>7326.0340000000051</v>
      </c>
      <c r="V321" s="81">
        <f t="shared" si="61"/>
        <v>0</v>
      </c>
      <c r="W321" s="66">
        <f t="shared" si="62"/>
        <v>0</v>
      </c>
      <c r="X321" s="66">
        <f t="shared" si="63"/>
        <v>7326.0340000000051</v>
      </c>
    </row>
    <row r="322" spans="1:24" x14ac:dyDescent="0.25">
      <c r="A322">
        <f>+'Tablas Servicio'!B355</f>
        <v>27</v>
      </c>
      <c r="B322">
        <f>+'Tablas Servicio'!C355</f>
        <v>314</v>
      </c>
      <c r="C322" s="56">
        <f>+'Tablas Servicio'!D355</f>
        <v>66.186666666667222</v>
      </c>
      <c r="D322" s="58">
        <f>+'Tablas Servicio'!N355</f>
        <v>94</v>
      </c>
      <c r="E322" s="66">
        <f>+'Tablas Servicio'!AC355</f>
        <v>79.400000000000006</v>
      </c>
      <c r="F322" s="66">
        <f>+IF(A322="","",'Tablas Servicio'!O355-'Modelo Financiero'!E322)</f>
        <v>2.75</v>
      </c>
      <c r="G322" s="58">
        <f t="shared" si="56"/>
        <v>56.192000000000007</v>
      </c>
      <c r="H322" s="66">
        <f>+'Tablas Servicio'!G355</f>
        <v>94.65</v>
      </c>
      <c r="I322" s="72">
        <f t="shared" si="57"/>
        <v>0.13206550449022714</v>
      </c>
      <c r="J322" s="66">
        <f t="shared" si="58"/>
        <v>12.5</v>
      </c>
      <c r="K322" s="66">
        <f>+'Tablas Servicio'!H355</f>
        <v>98.44</v>
      </c>
      <c r="L322" s="66">
        <f>+IF(A322="","",ROUND(H322*Parámetros!$D$100,2))</f>
        <v>11.05</v>
      </c>
      <c r="M322" s="58">
        <f>+IF(A322="","",IF(AND(A322=1,B322=1),Parámetros!$D$114*(D322*frec-$G$3-$H$3),IF(AND(A322=2,B322=frec+1),Parámetros!$D$115*(D322*frec-$G$4-$H$4),0)))</f>
        <v>0</v>
      </c>
      <c r="N322" s="58">
        <f>+IF(A322="","",IF(A322&gt;Parámetros!$D$117,0,ROUND('Modelo Financiero'!D322*Parámetros!$D$116,2)))</f>
        <v>0</v>
      </c>
      <c r="O322" s="58">
        <f t="shared" si="59"/>
        <v>0</v>
      </c>
      <c r="P322" s="66">
        <f>+'Tablas Servicio'!I355</f>
        <v>-4.4399999999999977</v>
      </c>
      <c r="Q322" s="66">
        <f>+'Tablas Servicio'!S355</f>
        <v>23568.12</v>
      </c>
      <c r="R322" s="66">
        <f>+'Tablas Servicio'!T355</f>
        <v>23568.12</v>
      </c>
      <c r="S322" s="66">
        <f t="shared" si="55"/>
        <v>38.457999999999998</v>
      </c>
      <c r="T322" s="66">
        <f t="shared" si="64"/>
        <v>7364.4920000000047</v>
      </c>
      <c r="U322" s="66">
        <f t="shared" si="60"/>
        <v>7364.4920000000047</v>
      </c>
      <c r="V322" s="81">
        <f t="shared" si="61"/>
        <v>0</v>
      </c>
      <c r="W322" s="66">
        <f t="shared" si="62"/>
        <v>0</v>
      </c>
      <c r="X322" s="66">
        <f t="shared" si="63"/>
        <v>7364.4920000000047</v>
      </c>
    </row>
    <row r="323" spans="1:24" x14ac:dyDescent="0.25">
      <c r="A323">
        <f>+'Tablas Servicio'!B356</f>
        <v>27</v>
      </c>
      <c r="B323">
        <f>+'Tablas Servicio'!C356</f>
        <v>315</v>
      </c>
      <c r="C323" s="56">
        <f>+'Tablas Servicio'!D356</f>
        <v>66.27000000000055</v>
      </c>
      <c r="D323" s="58">
        <f>+'Tablas Servicio'!N356</f>
        <v>94</v>
      </c>
      <c r="E323" s="66">
        <f>+'Tablas Servicio'!AC356</f>
        <v>79.400000000000006</v>
      </c>
      <c r="F323" s="66">
        <f>+IF(A323="","",'Tablas Servicio'!O356-'Modelo Financiero'!E323)</f>
        <v>2.75</v>
      </c>
      <c r="G323" s="58">
        <f t="shared" si="56"/>
        <v>56.192000000000007</v>
      </c>
      <c r="H323" s="66">
        <f>+'Tablas Servicio'!G356</f>
        <v>94.65</v>
      </c>
      <c r="I323" s="72">
        <f t="shared" si="57"/>
        <v>0.13206550449022714</v>
      </c>
      <c r="J323" s="66">
        <f t="shared" si="58"/>
        <v>12.5</v>
      </c>
      <c r="K323" s="66">
        <f>+'Tablas Servicio'!H356</f>
        <v>98.44</v>
      </c>
      <c r="L323" s="66">
        <f>+IF(A323="","",ROUND(H323*Parámetros!$D$100,2))</f>
        <v>11.05</v>
      </c>
      <c r="M323" s="58">
        <f>+IF(A323="","",IF(AND(A323=1,B323=1),Parámetros!$D$114*(D323*frec-$G$3-$H$3),IF(AND(A323=2,B323=frec+1),Parámetros!$D$115*(D323*frec-$G$4-$H$4),0)))</f>
        <v>0</v>
      </c>
      <c r="N323" s="58">
        <f>+IF(A323="","",IF(A323&gt;Parámetros!$D$117,0,ROUND('Modelo Financiero'!D323*Parámetros!$D$116,2)))</f>
        <v>0</v>
      </c>
      <c r="O323" s="58">
        <f t="shared" si="59"/>
        <v>0</v>
      </c>
      <c r="P323" s="66">
        <f>+'Tablas Servicio'!I356</f>
        <v>-4.4399999999999977</v>
      </c>
      <c r="Q323" s="66">
        <f>+'Tablas Servicio'!S356</f>
        <v>23630.52</v>
      </c>
      <c r="R323" s="66">
        <f>+'Tablas Servicio'!T356</f>
        <v>23630.52</v>
      </c>
      <c r="S323" s="66">
        <f t="shared" si="55"/>
        <v>38.457999999999998</v>
      </c>
      <c r="T323" s="66">
        <f t="shared" si="64"/>
        <v>7402.9500000000044</v>
      </c>
      <c r="U323" s="66">
        <f t="shared" si="60"/>
        <v>7402.9500000000044</v>
      </c>
      <c r="V323" s="81">
        <f t="shared" si="61"/>
        <v>0</v>
      </c>
      <c r="W323" s="66">
        <f t="shared" si="62"/>
        <v>0</v>
      </c>
      <c r="X323" s="66">
        <f t="shared" si="63"/>
        <v>7402.9500000000044</v>
      </c>
    </row>
    <row r="324" spans="1:24" x14ac:dyDescent="0.25">
      <c r="A324">
        <f>+'Tablas Servicio'!B357</f>
        <v>27</v>
      </c>
      <c r="B324">
        <f>+'Tablas Servicio'!C357</f>
        <v>316</v>
      </c>
      <c r="C324" s="56">
        <f>+'Tablas Servicio'!D357</f>
        <v>66.353333333333879</v>
      </c>
      <c r="D324" s="58">
        <f>+'Tablas Servicio'!N357</f>
        <v>94</v>
      </c>
      <c r="E324" s="66">
        <f>+'Tablas Servicio'!AC357</f>
        <v>79.400000000000006</v>
      </c>
      <c r="F324" s="66">
        <f>+IF(A324="","",'Tablas Servicio'!O357-'Modelo Financiero'!E324)</f>
        <v>2.75</v>
      </c>
      <c r="G324" s="58">
        <f t="shared" si="56"/>
        <v>56.192000000000007</v>
      </c>
      <c r="H324" s="66">
        <f>+'Tablas Servicio'!G357</f>
        <v>94.65</v>
      </c>
      <c r="I324" s="72">
        <f t="shared" si="57"/>
        <v>0.13206550449022714</v>
      </c>
      <c r="J324" s="66">
        <f t="shared" si="58"/>
        <v>12.5</v>
      </c>
      <c r="K324" s="66">
        <f>+'Tablas Servicio'!H357</f>
        <v>98.44</v>
      </c>
      <c r="L324" s="66">
        <f>+IF(A324="","",ROUND(H324*Parámetros!$D$100,2))</f>
        <v>11.05</v>
      </c>
      <c r="M324" s="58">
        <f>+IF(A324="","",IF(AND(A324=1,B324=1),Parámetros!$D$114*(D324*frec-$G$3-$H$3),IF(AND(A324=2,B324=frec+1),Parámetros!$D$115*(D324*frec-$G$4-$H$4),0)))</f>
        <v>0</v>
      </c>
      <c r="N324" s="58">
        <f>+IF(A324="","",IF(A324&gt;Parámetros!$D$117,0,ROUND('Modelo Financiero'!D324*Parámetros!$D$116,2)))</f>
        <v>0</v>
      </c>
      <c r="O324" s="58">
        <f t="shared" si="59"/>
        <v>0</v>
      </c>
      <c r="P324" s="66">
        <f>+'Tablas Servicio'!I357</f>
        <v>-4.4399999999999977</v>
      </c>
      <c r="Q324" s="66">
        <f>+'Tablas Servicio'!S357</f>
        <v>23693.09</v>
      </c>
      <c r="R324" s="66">
        <f>+'Tablas Servicio'!T357</f>
        <v>23693.09</v>
      </c>
      <c r="S324" s="66">
        <f t="shared" si="55"/>
        <v>38.457999999999998</v>
      </c>
      <c r="T324" s="66">
        <f t="shared" si="64"/>
        <v>7441.408000000004</v>
      </c>
      <c r="U324" s="66">
        <f t="shared" si="60"/>
        <v>7441.408000000004</v>
      </c>
      <c r="V324" s="81">
        <f t="shared" si="61"/>
        <v>0</v>
      </c>
      <c r="W324" s="66">
        <f t="shared" si="62"/>
        <v>0</v>
      </c>
      <c r="X324" s="66">
        <f t="shared" si="63"/>
        <v>7441.408000000004</v>
      </c>
    </row>
    <row r="325" spans="1:24" x14ac:dyDescent="0.25">
      <c r="A325">
        <f>+'Tablas Servicio'!B358</f>
        <v>27</v>
      </c>
      <c r="B325">
        <f>+'Tablas Servicio'!C358</f>
        <v>317</v>
      </c>
      <c r="C325" s="56">
        <f>+'Tablas Servicio'!D358</f>
        <v>66.436666666667207</v>
      </c>
      <c r="D325" s="58">
        <f>+'Tablas Servicio'!N358</f>
        <v>94</v>
      </c>
      <c r="E325" s="66">
        <f>+'Tablas Servicio'!AC358</f>
        <v>79.400000000000006</v>
      </c>
      <c r="F325" s="66">
        <f>+IF(A325="","",'Tablas Servicio'!O358-'Modelo Financiero'!E325)</f>
        <v>2.75</v>
      </c>
      <c r="G325" s="58">
        <f t="shared" si="56"/>
        <v>56.192000000000007</v>
      </c>
      <c r="H325" s="66">
        <f>+'Tablas Servicio'!G358</f>
        <v>94.65</v>
      </c>
      <c r="I325" s="72">
        <f t="shared" si="57"/>
        <v>0.13206550449022714</v>
      </c>
      <c r="J325" s="66">
        <f t="shared" si="58"/>
        <v>12.5</v>
      </c>
      <c r="K325" s="66">
        <f>+'Tablas Servicio'!H358</f>
        <v>98.44</v>
      </c>
      <c r="L325" s="66">
        <f>+IF(A325="","",ROUND(H325*Parámetros!$D$100,2))</f>
        <v>11.05</v>
      </c>
      <c r="M325" s="58">
        <f>+IF(A325="","",IF(AND(A325=1,B325=1),Parámetros!$D$114*(D325*frec-$G$3-$H$3),IF(AND(A325=2,B325=frec+1),Parámetros!$D$115*(D325*frec-$G$4-$H$4),0)))</f>
        <v>0</v>
      </c>
      <c r="N325" s="58">
        <f>+IF(A325="","",IF(A325&gt;Parámetros!$D$117,0,ROUND('Modelo Financiero'!D325*Parámetros!$D$116,2)))</f>
        <v>0</v>
      </c>
      <c r="O325" s="58">
        <f t="shared" si="59"/>
        <v>0</v>
      </c>
      <c r="P325" s="66">
        <f>+'Tablas Servicio'!I358</f>
        <v>-4.4399999999999977</v>
      </c>
      <c r="Q325" s="66">
        <f>+'Tablas Servicio'!S358</f>
        <v>23755.84</v>
      </c>
      <c r="R325" s="66">
        <f>+'Tablas Servicio'!T358</f>
        <v>23755.84</v>
      </c>
      <c r="S325" s="66">
        <f t="shared" si="55"/>
        <v>38.457999999999998</v>
      </c>
      <c r="T325" s="66">
        <f t="shared" si="64"/>
        <v>7479.8660000000036</v>
      </c>
      <c r="U325" s="66">
        <f t="shared" si="60"/>
        <v>7479.8660000000036</v>
      </c>
      <c r="V325" s="81">
        <f t="shared" si="61"/>
        <v>0</v>
      </c>
      <c r="W325" s="66">
        <f t="shared" si="62"/>
        <v>0</v>
      </c>
      <c r="X325" s="66">
        <f t="shared" si="63"/>
        <v>7479.8660000000036</v>
      </c>
    </row>
    <row r="326" spans="1:24" x14ac:dyDescent="0.25">
      <c r="A326">
        <f>+'Tablas Servicio'!B359</f>
        <v>27</v>
      </c>
      <c r="B326">
        <f>+'Tablas Servicio'!C359</f>
        <v>318</v>
      </c>
      <c r="C326" s="56">
        <f>+'Tablas Servicio'!D359</f>
        <v>66.520000000000536</v>
      </c>
      <c r="D326" s="58">
        <f>+'Tablas Servicio'!N359</f>
        <v>94</v>
      </c>
      <c r="E326" s="66">
        <f>+'Tablas Servicio'!AC359</f>
        <v>79.400000000000006</v>
      </c>
      <c r="F326" s="66">
        <f>+IF(A326="","",'Tablas Servicio'!O359-'Modelo Financiero'!E326)</f>
        <v>2.75</v>
      </c>
      <c r="G326" s="58">
        <f t="shared" si="56"/>
        <v>56.192000000000007</v>
      </c>
      <c r="H326" s="66">
        <f>+'Tablas Servicio'!G359</f>
        <v>94.65</v>
      </c>
      <c r="I326" s="72">
        <f t="shared" si="57"/>
        <v>0.13206550449022714</v>
      </c>
      <c r="J326" s="66">
        <f t="shared" si="58"/>
        <v>12.5</v>
      </c>
      <c r="K326" s="66">
        <f>+'Tablas Servicio'!H359</f>
        <v>98.44</v>
      </c>
      <c r="L326" s="66">
        <f>+IF(A326="","",ROUND(H326*Parámetros!$D$100,2))</f>
        <v>11.05</v>
      </c>
      <c r="M326" s="58">
        <f>+IF(A326="","",IF(AND(A326=1,B326=1),Parámetros!$D$114*(D326*frec-$G$3-$H$3),IF(AND(A326=2,B326=frec+1),Parámetros!$D$115*(D326*frec-$G$4-$H$4),0)))</f>
        <v>0</v>
      </c>
      <c r="N326" s="58">
        <f>+IF(A326="","",IF(A326&gt;Parámetros!$D$117,0,ROUND('Modelo Financiero'!D326*Parámetros!$D$116,2)))</f>
        <v>0</v>
      </c>
      <c r="O326" s="58">
        <f t="shared" si="59"/>
        <v>0</v>
      </c>
      <c r="P326" s="66">
        <f>+'Tablas Servicio'!I359</f>
        <v>-4.4399999999999977</v>
      </c>
      <c r="Q326" s="66">
        <f>+'Tablas Servicio'!S359</f>
        <v>23818.77</v>
      </c>
      <c r="R326" s="66">
        <f>+'Tablas Servicio'!T359</f>
        <v>23818.77</v>
      </c>
      <c r="S326" s="66">
        <f t="shared" si="55"/>
        <v>38.457999999999998</v>
      </c>
      <c r="T326" s="66">
        <f t="shared" si="64"/>
        <v>7518.3240000000033</v>
      </c>
      <c r="U326" s="66">
        <f t="shared" si="60"/>
        <v>7518.3240000000033</v>
      </c>
      <c r="V326" s="81">
        <f t="shared" si="61"/>
        <v>0</v>
      </c>
      <c r="W326" s="66">
        <f t="shared" si="62"/>
        <v>0</v>
      </c>
      <c r="X326" s="66">
        <f t="shared" si="63"/>
        <v>7518.3240000000033</v>
      </c>
    </row>
    <row r="327" spans="1:24" x14ac:dyDescent="0.25">
      <c r="A327">
        <f>+'Tablas Servicio'!B360</f>
        <v>27</v>
      </c>
      <c r="B327">
        <f>+'Tablas Servicio'!C360</f>
        <v>319</v>
      </c>
      <c r="C327" s="56">
        <f>+'Tablas Servicio'!D360</f>
        <v>66.603333333333865</v>
      </c>
      <c r="D327" s="58">
        <f>+'Tablas Servicio'!N360</f>
        <v>94</v>
      </c>
      <c r="E327" s="66">
        <f>+'Tablas Servicio'!AC360</f>
        <v>79.400000000000006</v>
      </c>
      <c r="F327" s="66">
        <f>+IF(A327="","",'Tablas Servicio'!O360-'Modelo Financiero'!E327)</f>
        <v>2.75</v>
      </c>
      <c r="G327" s="58">
        <f t="shared" si="56"/>
        <v>56.192000000000007</v>
      </c>
      <c r="H327" s="66">
        <f>+'Tablas Servicio'!G360</f>
        <v>94.65</v>
      </c>
      <c r="I327" s="72">
        <f t="shared" si="57"/>
        <v>0.13206550449022714</v>
      </c>
      <c r="J327" s="66">
        <f t="shared" si="58"/>
        <v>12.5</v>
      </c>
      <c r="K327" s="66">
        <f>+'Tablas Servicio'!H360</f>
        <v>98.44</v>
      </c>
      <c r="L327" s="66">
        <f>+IF(A327="","",ROUND(H327*Parámetros!$D$100,2))</f>
        <v>11.05</v>
      </c>
      <c r="M327" s="58">
        <f>+IF(A327="","",IF(AND(A327=1,B327=1),Parámetros!$D$114*(D327*frec-$G$3-$H$3),IF(AND(A327=2,B327=frec+1),Parámetros!$D$115*(D327*frec-$G$4-$H$4),0)))</f>
        <v>0</v>
      </c>
      <c r="N327" s="58">
        <f>+IF(A327="","",IF(A327&gt;Parámetros!$D$117,0,ROUND('Modelo Financiero'!D327*Parámetros!$D$116,2)))</f>
        <v>0</v>
      </c>
      <c r="O327" s="58">
        <f t="shared" si="59"/>
        <v>0</v>
      </c>
      <c r="P327" s="66">
        <f>+'Tablas Servicio'!I360</f>
        <v>-4.4399999999999977</v>
      </c>
      <c r="Q327" s="66">
        <f>+'Tablas Servicio'!S360</f>
        <v>23881.88</v>
      </c>
      <c r="R327" s="66">
        <f>+'Tablas Servicio'!T360</f>
        <v>23881.88</v>
      </c>
      <c r="S327" s="66">
        <f t="shared" si="55"/>
        <v>38.457999999999998</v>
      </c>
      <c r="T327" s="66">
        <f t="shared" si="64"/>
        <v>7556.7820000000029</v>
      </c>
      <c r="U327" s="66">
        <f t="shared" si="60"/>
        <v>7556.7820000000029</v>
      </c>
      <c r="V327" s="81">
        <f t="shared" si="61"/>
        <v>0</v>
      </c>
      <c r="W327" s="66">
        <f t="shared" si="62"/>
        <v>0</v>
      </c>
      <c r="X327" s="66">
        <f t="shared" si="63"/>
        <v>7556.7820000000029</v>
      </c>
    </row>
    <row r="328" spans="1:24" x14ac:dyDescent="0.25">
      <c r="A328">
        <f>+'Tablas Servicio'!B361</f>
        <v>27</v>
      </c>
      <c r="B328">
        <f>+'Tablas Servicio'!C361</f>
        <v>320</v>
      </c>
      <c r="C328" s="56">
        <f>+'Tablas Servicio'!D361</f>
        <v>66.686666666667193</v>
      </c>
      <c r="D328" s="58">
        <f>+'Tablas Servicio'!N361</f>
        <v>94</v>
      </c>
      <c r="E328" s="66">
        <f>+'Tablas Servicio'!AC361</f>
        <v>79.400000000000006</v>
      </c>
      <c r="F328" s="66">
        <f>+IF(A328="","",'Tablas Servicio'!O361-'Modelo Financiero'!E328)</f>
        <v>2.75</v>
      </c>
      <c r="G328" s="58">
        <f t="shared" si="56"/>
        <v>56.192000000000007</v>
      </c>
      <c r="H328" s="66">
        <f>+'Tablas Servicio'!G361</f>
        <v>94.65</v>
      </c>
      <c r="I328" s="72">
        <f t="shared" si="57"/>
        <v>0.13206550449022714</v>
      </c>
      <c r="J328" s="66">
        <f t="shared" si="58"/>
        <v>12.5</v>
      </c>
      <c r="K328" s="66">
        <f>+'Tablas Servicio'!H361</f>
        <v>98.44</v>
      </c>
      <c r="L328" s="66">
        <f>+IF(A328="","",ROUND(H328*Parámetros!$D$100,2))</f>
        <v>11.05</v>
      </c>
      <c r="M328" s="58">
        <f>+IF(A328="","",IF(AND(A328=1,B328=1),Parámetros!$D$114*(D328*frec-$G$3-$H$3),IF(AND(A328=2,B328=frec+1),Parámetros!$D$115*(D328*frec-$G$4-$H$4),0)))</f>
        <v>0</v>
      </c>
      <c r="N328" s="58">
        <f>+IF(A328="","",IF(A328&gt;Parámetros!$D$117,0,ROUND('Modelo Financiero'!D328*Parámetros!$D$116,2)))</f>
        <v>0</v>
      </c>
      <c r="O328" s="58">
        <f t="shared" si="59"/>
        <v>0</v>
      </c>
      <c r="P328" s="66">
        <f>+'Tablas Servicio'!I361</f>
        <v>-4.4399999999999977</v>
      </c>
      <c r="Q328" s="66">
        <f>+'Tablas Servicio'!S361</f>
        <v>23945.17</v>
      </c>
      <c r="R328" s="66">
        <f>+'Tablas Servicio'!T361</f>
        <v>23945.17</v>
      </c>
      <c r="S328" s="66">
        <f t="shared" si="55"/>
        <v>38.457999999999998</v>
      </c>
      <c r="T328" s="66">
        <f t="shared" si="64"/>
        <v>7595.2400000000025</v>
      </c>
      <c r="U328" s="66">
        <f t="shared" si="60"/>
        <v>7595.2400000000025</v>
      </c>
      <c r="V328" s="81">
        <f t="shared" si="61"/>
        <v>0</v>
      </c>
      <c r="W328" s="66">
        <f t="shared" si="62"/>
        <v>0</v>
      </c>
      <c r="X328" s="66">
        <f t="shared" si="63"/>
        <v>7595.2400000000025</v>
      </c>
    </row>
    <row r="329" spans="1:24" x14ac:dyDescent="0.25">
      <c r="A329">
        <f>+'Tablas Servicio'!B362</f>
        <v>27</v>
      </c>
      <c r="B329">
        <f>+'Tablas Servicio'!C362</f>
        <v>321</v>
      </c>
      <c r="C329" s="56">
        <f>+'Tablas Servicio'!D362</f>
        <v>66.770000000000522</v>
      </c>
      <c r="D329" s="58">
        <f>+'Tablas Servicio'!N362</f>
        <v>94</v>
      </c>
      <c r="E329" s="66">
        <f>+'Tablas Servicio'!AC362</f>
        <v>79.400000000000006</v>
      </c>
      <c r="F329" s="66">
        <f>+IF(A329="","",'Tablas Servicio'!O362-'Modelo Financiero'!E329)</f>
        <v>2.75</v>
      </c>
      <c r="G329" s="58">
        <f t="shared" si="56"/>
        <v>56.192000000000007</v>
      </c>
      <c r="H329" s="66">
        <f>+'Tablas Servicio'!G362</f>
        <v>94.65</v>
      </c>
      <c r="I329" s="72">
        <f t="shared" si="57"/>
        <v>0.13206550449022714</v>
      </c>
      <c r="J329" s="66">
        <f t="shared" si="58"/>
        <v>12.5</v>
      </c>
      <c r="K329" s="66">
        <f>+'Tablas Servicio'!H362</f>
        <v>98.44</v>
      </c>
      <c r="L329" s="66">
        <f>+IF(A329="","",ROUND(H329*Parámetros!$D$100,2))</f>
        <v>11.05</v>
      </c>
      <c r="M329" s="58">
        <f>+IF(A329="","",IF(AND(A329=1,B329=1),Parámetros!$D$114*(D329*frec-$G$3-$H$3),IF(AND(A329=2,B329=frec+1),Parámetros!$D$115*(D329*frec-$G$4-$H$4),0)))</f>
        <v>0</v>
      </c>
      <c r="N329" s="58">
        <f>+IF(A329="","",IF(A329&gt;Parámetros!$D$117,0,ROUND('Modelo Financiero'!D329*Parámetros!$D$116,2)))</f>
        <v>0</v>
      </c>
      <c r="O329" s="58">
        <f t="shared" si="59"/>
        <v>0</v>
      </c>
      <c r="P329" s="66">
        <f>+'Tablas Servicio'!I362</f>
        <v>-4.4399999999999977</v>
      </c>
      <c r="Q329" s="66">
        <f>+'Tablas Servicio'!S362</f>
        <v>24008.639999999999</v>
      </c>
      <c r="R329" s="66">
        <f>+'Tablas Servicio'!T362</f>
        <v>24008.639999999999</v>
      </c>
      <c r="S329" s="66">
        <f t="shared" ref="S329:S392" si="65">+IF(A329="","",D329-P329-G329-(K329-H329)-M329)</f>
        <v>38.457999999999998</v>
      </c>
      <c r="T329" s="66">
        <f t="shared" si="64"/>
        <v>7633.6980000000021</v>
      </c>
      <c r="U329" s="66">
        <f t="shared" si="60"/>
        <v>7633.6980000000021</v>
      </c>
      <c r="V329" s="81">
        <f t="shared" si="61"/>
        <v>0</v>
      </c>
      <c r="W329" s="66">
        <f t="shared" si="62"/>
        <v>0</v>
      </c>
      <c r="X329" s="66">
        <f t="shared" si="63"/>
        <v>7633.6980000000021</v>
      </c>
    </row>
    <row r="330" spans="1:24" x14ac:dyDescent="0.25">
      <c r="A330">
        <f>+'Tablas Servicio'!B363</f>
        <v>27</v>
      </c>
      <c r="B330">
        <f>+'Tablas Servicio'!C363</f>
        <v>322</v>
      </c>
      <c r="C330" s="56">
        <f>+'Tablas Servicio'!D363</f>
        <v>66.85333333333385</v>
      </c>
      <c r="D330" s="58">
        <f>+'Tablas Servicio'!N363</f>
        <v>94</v>
      </c>
      <c r="E330" s="66">
        <f>+'Tablas Servicio'!AC363</f>
        <v>79.400000000000006</v>
      </c>
      <c r="F330" s="66">
        <f>+IF(A330="","",'Tablas Servicio'!O363-'Modelo Financiero'!E330)</f>
        <v>2.75</v>
      </c>
      <c r="G330" s="58">
        <f t="shared" ref="G330:G393" si="66">+IF(A330="","",IF(A330=1,$C$3,$C$4)*E330+$C$2*F330)</f>
        <v>56.192000000000007</v>
      </c>
      <c r="H330" s="66">
        <f>+'Tablas Servicio'!G363</f>
        <v>94.65</v>
      </c>
      <c r="I330" s="72">
        <f t="shared" ref="I330:I393" si="67">IF(A330="","",1-(E330+F330)/H330)</f>
        <v>0.13206550449022714</v>
      </c>
      <c r="J330" s="66">
        <f t="shared" ref="J330:J393" si="68">+IF(A330="","",H330-E330-F330)</f>
        <v>12.5</v>
      </c>
      <c r="K330" s="66">
        <f>+'Tablas Servicio'!H363</f>
        <v>98.44</v>
      </c>
      <c r="L330" s="66">
        <f>+IF(A330="","",ROUND(H330*Parámetros!$D$100,2))</f>
        <v>11.05</v>
      </c>
      <c r="M330" s="58">
        <f>+IF(A330="","",IF(AND(A330=1,B330=1),Parámetros!$D$114*(D330*frec-$G$3-$H$3),IF(AND(A330=2,B330=frec+1),Parámetros!$D$115*(D330*frec-$G$4-$H$4),0)))</f>
        <v>0</v>
      </c>
      <c r="N330" s="58">
        <f>+IF(A330="","",IF(A330&gt;Parámetros!$D$117,0,ROUND('Modelo Financiero'!D330*Parámetros!$D$116,2)))</f>
        <v>0</v>
      </c>
      <c r="O330" s="58">
        <f t="shared" ref="O330:O393" si="69">+IF(A330="","",MAX(N330-L330,0))</f>
        <v>0</v>
      </c>
      <c r="P330" s="66">
        <f>+'Tablas Servicio'!I363</f>
        <v>-4.4399999999999977</v>
      </c>
      <c r="Q330" s="66">
        <f>+'Tablas Servicio'!S363</f>
        <v>24072.29</v>
      </c>
      <c r="R330" s="66">
        <f>+'Tablas Servicio'!T363</f>
        <v>24072.29</v>
      </c>
      <c r="S330" s="66">
        <f t="shared" si="65"/>
        <v>38.457999999999998</v>
      </c>
      <c r="T330" s="66">
        <f t="shared" si="64"/>
        <v>7672.1560000000018</v>
      </c>
      <c r="U330" s="66">
        <f t="shared" ref="U330:U393" si="70">+IF(A330="","",T330+(Q330-R330))</f>
        <v>7672.1560000000018</v>
      </c>
      <c r="V330" s="81">
        <f t="shared" ref="V330:V393" si="71">+IF(A330="","",IF(A330=1,$L$3,IF(A330=2,$L$4,0)))</f>
        <v>0</v>
      </c>
      <c r="W330" s="66">
        <f t="shared" ref="W330:W393" si="72">+IF(A330="","",IF(A330=1,$I$3,IF(A330=2,$I$4,0))*V330)</f>
        <v>0</v>
      </c>
      <c r="X330" s="66">
        <f t="shared" ref="X330:X393" si="73">+IF(A330="","",U330+W330)</f>
        <v>7672.1560000000018</v>
      </c>
    </row>
    <row r="331" spans="1:24" x14ac:dyDescent="0.25">
      <c r="A331">
        <f>+'Tablas Servicio'!B364</f>
        <v>27</v>
      </c>
      <c r="B331">
        <f>+'Tablas Servicio'!C364</f>
        <v>323</v>
      </c>
      <c r="C331" s="56">
        <f>+'Tablas Servicio'!D364</f>
        <v>66.936666666667179</v>
      </c>
      <c r="D331" s="58">
        <f>+'Tablas Servicio'!N364</f>
        <v>94</v>
      </c>
      <c r="E331" s="66">
        <f>+'Tablas Servicio'!AC364</f>
        <v>79.400000000000006</v>
      </c>
      <c r="F331" s="66">
        <f>+IF(A331="","",'Tablas Servicio'!O364-'Modelo Financiero'!E331)</f>
        <v>2.75</v>
      </c>
      <c r="G331" s="58">
        <f t="shared" si="66"/>
        <v>56.192000000000007</v>
      </c>
      <c r="H331" s="66">
        <f>+'Tablas Servicio'!G364</f>
        <v>94.65</v>
      </c>
      <c r="I331" s="72">
        <f t="shared" si="67"/>
        <v>0.13206550449022714</v>
      </c>
      <c r="J331" s="66">
        <f t="shared" si="68"/>
        <v>12.5</v>
      </c>
      <c r="K331" s="66">
        <f>+'Tablas Servicio'!H364</f>
        <v>98.44</v>
      </c>
      <c r="L331" s="66">
        <f>+IF(A331="","",ROUND(H331*Parámetros!$D$100,2))</f>
        <v>11.05</v>
      </c>
      <c r="M331" s="58">
        <f>+IF(A331="","",IF(AND(A331=1,B331=1),Parámetros!$D$114*(D331*frec-$G$3-$H$3),IF(AND(A331=2,B331=frec+1),Parámetros!$D$115*(D331*frec-$G$4-$H$4),0)))</f>
        <v>0</v>
      </c>
      <c r="N331" s="58">
        <f>+IF(A331="","",IF(A331&gt;Parámetros!$D$117,0,ROUND('Modelo Financiero'!D331*Parámetros!$D$116,2)))</f>
        <v>0</v>
      </c>
      <c r="O331" s="58">
        <f t="shared" si="69"/>
        <v>0</v>
      </c>
      <c r="P331" s="66">
        <f>+'Tablas Servicio'!I364</f>
        <v>-4.4399999999999977</v>
      </c>
      <c r="Q331" s="66">
        <f>+'Tablas Servicio'!S364</f>
        <v>24136.12</v>
      </c>
      <c r="R331" s="66">
        <f>+'Tablas Servicio'!T364</f>
        <v>24136.12</v>
      </c>
      <c r="S331" s="66">
        <f t="shared" si="65"/>
        <v>38.457999999999998</v>
      </c>
      <c r="T331" s="66">
        <f t="shared" ref="T331:T394" si="74">+IF(A331="","",T330+S331)</f>
        <v>7710.6140000000014</v>
      </c>
      <c r="U331" s="66">
        <f t="shared" si="70"/>
        <v>7710.6140000000014</v>
      </c>
      <c r="V331" s="81">
        <f t="shared" si="71"/>
        <v>0</v>
      </c>
      <c r="W331" s="66">
        <f t="shared" si="72"/>
        <v>0</v>
      </c>
      <c r="X331" s="66">
        <f t="shared" si="73"/>
        <v>7710.6140000000014</v>
      </c>
    </row>
    <row r="332" spans="1:24" x14ac:dyDescent="0.25">
      <c r="A332">
        <f>+'Tablas Servicio'!B365</f>
        <v>27</v>
      </c>
      <c r="B332">
        <f>+'Tablas Servicio'!C365</f>
        <v>324</v>
      </c>
      <c r="C332" s="56">
        <f>+'Tablas Servicio'!D365</f>
        <v>67.020000000000508</v>
      </c>
      <c r="D332" s="58">
        <f>+'Tablas Servicio'!N365</f>
        <v>94</v>
      </c>
      <c r="E332" s="66">
        <f>+'Tablas Servicio'!AC365</f>
        <v>79.400000000000006</v>
      </c>
      <c r="F332" s="66">
        <f>+IF(A332="","",'Tablas Servicio'!O365-'Modelo Financiero'!E332)</f>
        <v>2.75</v>
      </c>
      <c r="G332" s="58">
        <f t="shared" si="66"/>
        <v>56.192000000000007</v>
      </c>
      <c r="H332" s="66">
        <f>+'Tablas Servicio'!G365</f>
        <v>94.65</v>
      </c>
      <c r="I332" s="72">
        <f t="shared" si="67"/>
        <v>0.13206550449022714</v>
      </c>
      <c r="J332" s="66">
        <f t="shared" si="68"/>
        <v>12.5</v>
      </c>
      <c r="K332" s="66">
        <f>+'Tablas Servicio'!H365</f>
        <v>98.44</v>
      </c>
      <c r="L332" s="66">
        <f>+IF(A332="","",ROUND(H332*Parámetros!$D$100,2))</f>
        <v>11.05</v>
      </c>
      <c r="M332" s="58">
        <f>+IF(A332="","",IF(AND(A332=1,B332=1),Parámetros!$D$114*(D332*frec-$G$3-$H$3),IF(AND(A332=2,B332=frec+1),Parámetros!$D$115*(D332*frec-$G$4-$H$4),0)))</f>
        <v>0</v>
      </c>
      <c r="N332" s="58">
        <f>+IF(A332="","",IF(A332&gt;Parámetros!$D$117,0,ROUND('Modelo Financiero'!D332*Parámetros!$D$116,2)))</f>
        <v>0</v>
      </c>
      <c r="O332" s="58">
        <f t="shared" si="69"/>
        <v>0</v>
      </c>
      <c r="P332" s="66">
        <f>+'Tablas Servicio'!I365</f>
        <v>-4.4399999999999977</v>
      </c>
      <c r="Q332" s="66">
        <f>+'Tablas Servicio'!S365</f>
        <v>24200.13</v>
      </c>
      <c r="R332" s="66">
        <f>+'Tablas Servicio'!T365</f>
        <v>24200.13</v>
      </c>
      <c r="S332" s="66">
        <f t="shared" si="65"/>
        <v>38.457999999999998</v>
      </c>
      <c r="T332" s="66">
        <f t="shared" si="74"/>
        <v>7749.072000000001</v>
      </c>
      <c r="U332" s="66">
        <f t="shared" si="70"/>
        <v>7749.072000000001</v>
      </c>
      <c r="V332" s="81">
        <f t="shared" si="71"/>
        <v>0</v>
      </c>
      <c r="W332" s="66">
        <f t="shared" si="72"/>
        <v>0</v>
      </c>
      <c r="X332" s="66">
        <f t="shared" si="73"/>
        <v>7749.072000000001</v>
      </c>
    </row>
    <row r="333" spans="1:24" x14ac:dyDescent="0.25">
      <c r="A333">
        <f>+'Tablas Servicio'!B366</f>
        <v>28</v>
      </c>
      <c r="B333">
        <f>+'Tablas Servicio'!C366</f>
        <v>325</v>
      </c>
      <c r="C333" s="56">
        <f>+'Tablas Servicio'!D366</f>
        <v>67.103333333333836</v>
      </c>
      <c r="D333" s="58">
        <f>+'Tablas Servicio'!N366</f>
        <v>94</v>
      </c>
      <c r="E333" s="66">
        <f>+'Tablas Servicio'!AC366</f>
        <v>87</v>
      </c>
      <c r="F333" s="66">
        <f>+IF(A333="","",'Tablas Servicio'!O366-'Modelo Financiero'!E333)</f>
        <v>2.75</v>
      </c>
      <c r="G333" s="58">
        <f t="shared" si="66"/>
        <v>61.360000000000007</v>
      </c>
      <c r="H333" s="66">
        <f>+'Tablas Servicio'!G366</f>
        <v>102.25</v>
      </c>
      <c r="I333" s="72">
        <f t="shared" si="67"/>
        <v>0.12224938875305624</v>
      </c>
      <c r="J333" s="66">
        <f t="shared" si="68"/>
        <v>12.5</v>
      </c>
      <c r="K333" s="66">
        <f>+'Tablas Servicio'!H366</f>
        <v>106.34</v>
      </c>
      <c r="L333" s="66">
        <f>+IF(A333="","",ROUND(H333*Parámetros!$D$100,2))</f>
        <v>11.93</v>
      </c>
      <c r="M333" s="58">
        <f>+IF(A333="","",IF(AND(A333=1,B333=1),Parámetros!$D$114*(D333*frec-$G$3-$H$3),IF(AND(A333=2,B333=frec+1),Parámetros!$D$115*(D333*frec-$G$4-$H$4),0)))</f>
        <v>0</v>
      </c>
      <c r="N333" s="58">
        <f>+IF(A333="","",IF(A333&gt;Parámetros!$D$117,0,ROUND('Modelo Financiero'!D333*Parámetros!$D$116,2)))</f>
        <v>0</v>
      </c>
      <c r="O333" s="58">
        <f t="shared" si="69"/>
        <v>0</v>
      </c>
      <c r="P333" s="66">
        <f>+'Tablas Servicio'!I366</f>
        <v>-12.340000000000003</v>
      </c>
      <c r="Q333" s="66">
        <f>+'Tablas Servicio'!S366</f>
        <v>24256.400000000001</v>
      </c>
      <c r="R333" s="66">
        <f>+'Tablas Servicio'!T366</f>
        <v>24256.400000000001</v>
      </c>
      <c r="S333" s="66">
        <f t="shared" si="65"/>
        <v>40.889999999999993</v>
      </c>
      <c r="T333" s="66">
        <f t="shared" si="74"/>
        <v>7789.9620000000014</v>
      </c>
      <c r="U333" s="66">
        <f t="shared" si="70"/>
        <v>7789.9620000000014</v>
      </c>
      <c r="V333" s="81">
        <f t="shared" si="71"/>
        <v>0</v>
      </c>
      <c r="W333" s="66">
        <f t="shared" si="72"/>
        <v>0</v>
      </c>
      <c r="X333" s="66">
        <f t="shared" si="73"/>
        <v>7789.9620000000014</v>
      </c>
    </row>
    <row r="334" spans="1:24" x14ac:dyDescent="0.25">
      <c r="A334">
        <f>+'Tablas Servicio'!B367</f>
        <v>28</v>
      </c>
      <c r="B334">
        <f>+'Tablas Servicio'!C367</f>
        <v>326</v>
      </c>
      <c r="C334" s="56">
        <f>+'Tablas Servicio'!D367</f>
        <v>67.186666666667165</v>
      </c>
      <c r="D334" s="58">
        <f>+'Tablas Servicio'!N367</f>
        <v>94</v>
      </c>
      <c r="E334" s="66">
        <f>+'Tablas Servicio'!AC367</f>
        <v>87</v>
      </c>
      <c r="F334" s="66">
        <f>+IF(A334="","",'Tablas Servicio'!O367-'Modelo Financiero'!E334)</f>
        <v>2.75</v>
      </c>
      <c r="G334" s="58">
        <f t="shared" si="66"/>
        <v>61.360000000000007</v>
      </c>
      <c r="H334" s="66">
        <f>+'Tablas Servicio'!G367</f>
        <v>102.25</v>
      </c>
      <c r="I334" s="72">
        <f t="shared" si="67"/>
        <v>0.12224938875305624</v>
      </c>
      <c r="J334" s="66">
        <f t="shared" si="68"/>
        <v>12.5</v>
      </c>
      <c r="K334" s="66">
        <f>+'Tablas Servicio'!H367</f>
        <v>106.34</v>
      </c>
      <c r="L334" s="66">
        <f>+IF(A334="","",ROUND(H334*Parámetros!$D$100,2))</f>
        <v>11.93</v>
      </c>
      <c r="M334" s="58">
        <f>+IF(A334="","",IF(AND(A334=1,B334=1),Parámetros!$D$114*(D334*frec-$G$3-$H$3),IF(AND(A334=2,B334=frec+1),Parámetros!$D$115*(D334*frec-$G$4-$H$4),0)))</f>
        <v>0</v>
      </c>
      <c r="N334" s="58">
        <f>+IF(A334="","",IF(A334&gt;Parámetros!$D$117,0,ROUND('Modelo Financiero'!D334*Parámetros!$D$116,2)))</f>
        <v>0</v>
      </c>
      <c r="O334" s="58">
        <f t="shared" si="69"/>
        <v>0</v>
      </c>
      <c r="P334" s="66">
        <f>+'Tablas Servicio'!I367</f>
        <v>-12.340000000000003</v>
      </c>
      <c r="Q334" s="66">
        <f>+'Tablas Servicio'!S367</f>
        <v>24312.83</v>
      </c>
      <c r="R334" s="66">
        <f>+'Tablas Servicio'!T367</f>
        <v>24312.83</v>
      </c>
      <c r="S334" s="66">
        <f t="shared" si="65"/>
        <v>40.889999999999993</v>
      </c>
      <c r="T334" s="66">
        <f t="shared" si="74"/>
        <v>7830.8520000000017</v>
      </c>
      <c r="U334" s="66">
        <f t="shared" si="70"/>
        <v>7830.8520000000017</v>
      </c>
      <c r="V334" s="81">
        <f t="shared" si="71"/>
        <v>0</v>
      </c>
      <c r="W334" s="66">
        <f t="shared" si="72"/>
        <v>0</v>
      </c>
      <c r="X334" s="66">
        <f t="shared" si="73"/>
        <v>7830.8520000000017</v>
      </c>
    </row>
    <row r="335" spans="1:24" x14ac:dyDescent="0.25">
      <c r="A335">
        <f>+'Tablas Servicio'!B368</f>
        <v>28</v>
      </c>
      <c r="B335">
        <f>+'Tablas Servicio'!C368</f>
        <v>327</v>
      </c>
      <c r="C335" s="56">
        <f>+'Tablas Servicio'!D368</f>
        <v>67.270000000000493</v>
      </c>
      <c r="D335" s="58">
        <f>+'Tablas Servicio'!N368</f>
        <v>94</v>
      </c>
      <c r="E335" s="66">
        <f>+'Tablas Servicio'!AC368</f>
        <v>87</v>
      </c>
      <c r="F335" s="66">
        <f>+IF(A335="","",'Tablas Servicio'!O368-'Modelo Financiero'!E335)</f>
        <v>2.75</v>
      </c>
      <c r="G335" s="58">
        <f t="shared" si="66"/>
        <v>61.360000000000007</v>
      </c>
      <c r="H335" s="66">
        <f>+'Tablas Servicio'!G368</f>
        <v>102.25</v>
      </c>
      <c r="I335" s="72">
        <f t="shared" si="67"/>
        <v>0.12224938875305624</v>
      </c>
      <c r="J335" s="66">
        <f t="shared" si="68"/>
        <v>12.5</v>
      </c>
      <c r="K335" s="66">
        <f>+'Tablas Servicio'!H368</f>
        <v>106.34</v>
      </c>
      <c r="L335" s="66">
        <f>+IF(A335="","",ROUND(H335*Parámetros!$D$100,2))</f>
        <v>11.93</v>
      </c>
      <c r="M335" s="58">
        <f>+IF(A335="","",IF(AND(A335=1,B335=1),Parámetros!$D$114*(D335*frec-$G$3-$H$3),IF(AND(A335=2,B335=frec+1),Parámetros!$D$115*(D335*frec-$G$4-$H$4),0)))</f>
        <v>0</v>
      </c>
      <c r="N335" s="58">
        <f>+IF(A335="","",IF(A335&gt;Parámetros!$D$117,0,ROUND('Modelo Financiero'!D335*Parámetros!$D$116,2)))</f>
        <v>0</v>
      </c>
      <c r="O335" s="58">
        <f t="shared" si="69"/>
        <v>0</v>
      </c>
      <c r="P335" s="66">
        <f>+'Tablas Servicio'!I368</f>
        <v>-12.340000000000003</v>
      </c>
      <c r="Q335" s="66">
        <f>+'Tablas Servicio'!S368</f>
        <v>24369.42</v>
      </c>
      <c r="R335" s="66">
        <f>+'Tablas Servicio'!T368</f>
        <v>24369.42</v>
      </c>
      <c r="S335" s="66">
        <f t="shared" si="65"/>
        <v>40.889999999999993</v>
      </c>
      <c r="T335" s="66">
        <f t="shared" si="74"/>
        <v>7871.742000000002</v>
      </c>
      <c r="U335" s="66">
        <f t="shared" si="70"/>
        <v>7871.742000000002</v>
      </c>
      <c r="V335" s="81">
        <f t="shared" si="71"/>
        <v>0</v>
      </c>
      <c r="W335" s="66">
        <f t="shared" si="72"/>
        <v>0</v>
      </c>
      <c r="X335" s="66">
        <f t="shared" si="73"/>
        <v>7871.742000000002</v>
      </c>
    </row>
    <row r="336" spans="1:24" x14ac:dyDescent="0.25">
      <c r="A336">
        <f>+'Tablas Servicio'!B369</f>
        <v>28</v>
      </c>
      <c r="B336">
        <f>+'Tablas Servicio'!C369</f>
        <v>328</v>
      </c>
      <c r="C336" s="56">
        <f>+'Tablas Servicio'!D369</f>
        <v>67.353333333333822</v>
      </c>
      <c r="D336" s="58">
        <f>+'Tablas Servicio'!N369</f>
        <v>94</v>
      </c>
      <c r="E336" s="66">
        <f>+'Tablas Servicio'!AC369</f>
        <v>87</v>
      </c>
      <c r="F336" s="66">
        <f>+IF(A336="","",'Tablas Servicio'!O369-'Modelo Financiero'!E336)</f>
        <v>2.75</v>
      </c>
      <c r="G336" s="58">
        <f t="shared" si="66"/>
        <v>61.360000000000007</v>
      </c>
      <c r="H336" s="66">
        <f>+'Tablas Servicio'!G369</f>
        <v>102.25</v>
      </c>
      <c r="I336" s="72">
        <f t="shared" si="67"/>
        <v>0.12224938875305624</v>
      </c>
      <c r="J336" s="66">
        <f t="shared" si="68"/>
        <v>12.5</v>
      </c>
      <c r="K336" s="66">
        <f>+'Tablas Servicio'!H369</f>
        <v>106.34</v>
      </c>
      <c r="L336" s="66">
        <f>+IF(A336="","",ROUND(H336*Parámetros!$D$100,2))</f>
        <v>11.93</v>
      </c>
      <c r="M336" s="58">
        <f>+IF(A336="","",IF(AND(A336=1,B336=1),Parámetros!$D$114*(D336*frec-$G$3-$H$3),IF(AND(A336=2,B336=frec+1),Parámetros!$D$115*(D336*frec-$G$4-$H$4),0)))</f>
        <v>0</v>
      </c>
      <c r="N336" s="58">
        <f>+IF(A336="","",IF(A336&gt;Parámetros!$D$117,0,ROUND('Modelo Financiero'!D336*Parámetros!$D$116,2)))</f>
        <v>0</v>
      </c>
      <c r="O336" s="58">
        <f t="shared" si="69"/>
        <v>0</v>
      </c>
      <c r="P336" s="66">
        <f>+'Tablas Servicio'!I369</f>
        <v>-12.340000000000003</v>
      </c>
      <c r="Q336" s="66">
        <f>+'Tablas Servicio'!S369</f>
        <v>24426.17</v>
      </c>
      <c r="R336" s="66">
        <f>+'Tablas Servicio'!T369</f>
        <v>24426.17</v>
      </c>
      <c r="S336" s="66">
        <f t="shared" si="65"/>
        <v>40.889999999999993</v>
      </c>
      <c r="T336" s="66">
        <f t="shared" si="74"/>
        <v>7912.6320000000023</v>
      </c>
      <c r="U336" s="66">
        <f t="shared" si="70"/>
        <v>7912.6320000000023</v>
      </c>
      <c r="V336" s="81">
        <f t="shared" si="71"/>
        <v>0</v>
      </c>
      <c r="W336" s="66">
        <f t="shared" si="72"/>
        <v>0</v>
      </c>
      <c r="X336" s="66">
        <f t="shared" si="73"/>
        <v>7912.6320000000023</v>
      </c>
    </row>
    <row r="337" spans="1:24" x14ac:dyDescent="0.25">
      <c r="A337">
        <f>+'Tablas Servicio'!B370</f>
        <v>28</v>
      </c>
      <c r="B337">
        <f>+'Tablas Servicio'!C370</f>
        <v>329</v>
      </c>
      <c r="C337" s="56">
        <f>+'Tablas Servicio'!D370</f>
        <v>67.436666666667151</v>
      </c>
      <c r="D337" s="58">
        <f>+'Tablas Servicio'!N370</f>
        <v>94</v>
      </c>
      <c r="E337" s="66">
        <f>+'Tablas Servicio'!AC370</f>
        <v>87</v>
      </c>
      <c r="F337" s="66">
        <f>+IF(A337="","",'Tablas Servicio'!O370-'Modelo Financiero'!E337)</f>
        <v>2.75</v>
      </c>
      <c r="G337" s="58">
        <f t="shared" si="66"/>
        <v>61.360000000000007</v>
      </c>
      <c r="H337" s="66">
        <f>+'Tablas Servicio'!G370</f>
        <v>102.25</v>
      </c>
      <c r="I337" s="72">
        <f t="shared" si="67"/>
        <v>0.12224938875305624</v>
      </c>
      <c r="J337" s="66">
        <f t="shared" si="68"/>
        <v>12.5</v>
      </c>
      <c r="K337" s="66">
        <f>+'Tablas Servicio'!H370</f>
        <v>106.34</v>
      </c>
      <c r="L337" s="66">
        <f>+IF(A337="","",ROUND(H337*Parámetros!$D$100,2))</f>
        <v>11.93</v>
      </c>
      <c r="M337" s="58">
        <f>+IF(A337="","",IF(AND(A337=1,B337=1),Parámetros!$D$114*(D337*frec-$G$3-$H$3),IF(AND(A337=2,B337=frec+1),Parámetros!$D$115*(D337*frec-$G$4-$H$4),0)))</f>
        <v>0</v>
      </c>
      <c r="N337" s="58">
        <f>+IF(A337="","",IF(A337&gt;Parámetros!$D$117,0,ROUND('Modelo Financiero'!D337*Parámetros!$D$116,2)))</f>
        <v>0</v>
      </c>
      <c r="O337" s="58">
        <f t="shared" si="69"/>
        <v>0</v>
      </c>
      <c r="P337" s="66">
        <f>+'Tablas Servicio'!I370</f>
        <v>-12.340000000000003</v>
      </c>
      <c r="Q337" s="66">
        <f>+'Tablas Servicio'!S370</f>
        <v>24483.08</v>
      </c>
      <c r="R337" s="66">
        <f>+'Tablas Servicio'!T370</f>
        <v>24483.08</v>
      </c>
      <c r="S337" s="66">
        <f t="shared" si="65"/>
        <v>40.889999999999993</v>
      </c>
      <c r="T337" s="66">
        <f t="shared" si="74"/>
        <v>7953.5220000000027</v>
      </c>
      <c r="U337" s="66">
        <f t="shared" si="70"/>
        <v>7953.5220000000027</v>
      </c>
      <c r="V337" s="81">
        <f t="shared" si="71"/>
        <v>0</v>
      </c>
      <c r="W337" s="66">
        <f t="shared" si="72"/>
        <v>0</v>
      </c>
      <c r="X337" s="66">
        <f t="shared" si="73"/>
        <v>7953.5220000000027</v>
      </c>
    </row>
    <row r="338" spans="1:24" x14ac:dyDescent="0.25">
      <c r="A338">
        <f>+'Tablas Servicio'!B371</f>
        <v>28</v>
      </c>
      <c r="B338">
        <f>+'Tablas Servicio'!C371</f>
        <v>330</v>
      </c>
      <c r="C338" s="56">
        <f>+'Tablas Servicio'!D371</f>
        <v>67.520000000000479</v>
      </c>
      <c r="D338" s="58">
        <f>+'Tablas Servicio'!N371</f>
        <v>94</v>
      </c>
      <c r="E338" s="66">
        <f>+'Tablas Servicio'!AC371</f>
        <v>87</v>
      </c>
      <c r="F338" s="66">
        <f>+IF(A338="","",'Tablas Servicio'!O371-'Modelo Financiero'!E338)</f>
        <v>2.75</v>
      </c>
      <c r="G338" s="58">
        <f t="shared" si="66"/>
        <v>61.360000000000007</v>
      </c>
      <c r="H338" s="66">
        <f>+'Tablas Servicio'!G371</f>
        <v>102.25</v>
      </c>
      <c r="I338" s="72">
        <f t="shared" si="67"/>
        <v>0.12224938875305624</v>
      </c>
      <c r="J338" s="66">
        <f t="shared" si="68"/>
        <v>12.5</v>
      </c>
      <c r="K338" s="66">
        <f>+'Tablas Servicio'!H371</f>
        <v>106.34</v>
      </c>
      <c r="L338" s="66">
        <f>+IF(A338="","",ROUND(H338*Parámetros!$D$100,2))</f>
        <v>11.93</v>
      </c>
      <c r="M338" s="58">
        <f>+IF(A338="","",IF(AND(A338=1,B338=1),Parámetros!$D$114*(D338*frec-$G$3-$H$3),IF(AND(A338=2,B338=frec+1),Parámetros!$D$115*(D338*frec-$G$4-$H$4),0)))</f>
        <v>0</v>
      </c>
      <c r="N338" s="58">
        <f>+IF(A338="","",IF(A338&gt;Parámetros!$D$117,0,ROUND('Modelo Financiero'!D338*Parámetros!$D$116,2)))</f>
        <v>0</v>
      </c>
      <c r="O338" s="58">
        <f t="shared" si="69"/>
        <v>0</v>
      </c>
      <c r="P338" s="66">
        <f>+'Tablas Servicio'!I371</f>
        <v>-12.340000000000003</v>
      </c>
      <c r="Q338" s="66">
        <f>+'Tablas Servicio'!S371</f>
        <v>24540.15</v>
      </c>
      <c r="R338" s="66">
        <f>+'Tablas Servicio'!T371</f>
        <v>24540.15</v>
      </c>
      <c r="S338" s="66">
        <f t="shared" si="65"/>
        <v>40.889999999999993</v>
      </c>
      <c r="T338" s="66">
        <f t="shared" si="74"/>
        <v>7994.412000000003</v>
      </c>
      <c r="U338" s="66">
        <f t="shared" si="70"/>
        <v>7994.412000000003</v>
      </c>
      <c r="V338" s="81">
        <f t="shared" si="71"/>
        <v>0</v>
      </c>
      <c r="W338" s="66">
        <f t="shared" si="72"/>
        <v>0</v>
      </c>
      <c r="X338" s="66">
        <f t="shared" si="73"/>
        <v>7994.412000000003</v>
      </c>
    </row>
    <row r="339" spans="1:24" x14ac:dyDescent="0.25">
      <c r="A339">
        <f>+'Tablas Servicio'!B372</f>
        <v>28</v>
      </c>
      <c r="B339">
        <f>+'Tablas Servicio'!C372</f>
        <v>331</v>
      </c>
      <c r="C339" s="56">
        <f>+'Tablas Servicio'!D372</f>
        <v>67.603333333333808</v>
      </c>
      <c r="D339" s="58">
        <f>+'Tablas Servicio'!N372</f>
        <v>94</v>
      </c>
      <c r="E339" s="66">
        <f>+'Tablas Servicio'!AC372</f>
        <v>87</v>
      </c>
      <c r="F339" s="66">
        <f>+IF(A339="","",'Tablas Servicio'!O372-'Modelo Financiero'!E339)</f>
        <v>2.75</v>
      </c>
      <c r="G339" s="58">
        <f t="shared" si="66"/>
        <v>61.360000000000007</v>
      </c>
      <c r="H339" s="66">
        <f>+'Tablas Servicio'!G372</f>
        <v>102.25</v>
      </c>
      <c r="I339" s="72">
        <f t="shared" si="67"/>
        <v>0.12224938875305624</v>
      </c>
      <c r="J339" s="66">
        <f t="shared" si="68"/>
        <v>12.5</v>
      </c>
      <c r="K339" s="66">
        <f>+'Tablas Servicio'!H372</f>
        <v>106.34</v>
      </c>
      <c r="L339" s="66">
        <f>+IF(A339="","",ROUND(H339*Parámetros!$D$100,2))</f>
        <v>11.93</v>
      </c>
      <c r="M339" s="58">
        <f>+IF(A339="","",IF(AND(A339=1,B339=1),Parámetros!$D$114*(D339*frec-$G$3-$H$3),IF(AND(A339=2,B339=frec+1),Parámetros!$D$115*(D339*frec-$G$4-$H$4),0)))</f>
        <v>0</v>
      </c>
      <c r="N339" s="58">
        <f>+IF(A339="","",IF(A339&gt;Parámetros!$D$117,0,ROUND('Modelo Financiero'!D339*Parámetros!$D$116,2)))</f>
        <v>0</v>
      </c>
      <c r="O339" s="58">
        <f t="shared" si="69"/>
        <v>0</v>
      </c>
      <c r="P339" s="66">
        <f>+'Tablas Servicio'!I372</f>
        <v>-12.340000000000003</v>
      </c>
      <c r="Q339" s="66">
        <f>+'Tablas Servicio'!S372</f>
        <v>24597.38</v>
      </c>
      <c r="R339" s="66">
        <f>+'Tablas Servicio'!T372</f>
        <v>24597.38</v>
      </c>
      <c r="S339" s="66">
        <f t="shared" si="65"/>
        <v>40.889999999999993</v>
      </c>
      <c r="T339" s="66">
        <f t="shared" si="74"/>
        <v>8035.3020000000033</v>
      </c>
      <c r="U339" s="66">
        <f t="shared" si="70"/>
        <v>8035.3020000000033</v>
      </c>
      <c r="V339" s="81">
        <f t="shared" si="71"/>
        <v>0</v>
      </c>
      <c r="W339" s="66">
        <f t="shared" si="72"/>
        <v>0</v>
      </c>
      <c r="X339" s="66">
        <f t="shared" si="73"/>
        <v>8035.3020000000033</v>
      </c>
    </row>
    <row r="340" spans="1:24" x14ac:dyDescent="0.25">
      <c r="A340">
        <f>+'Tablas Servicio'!B373</f>
        <v>28</v>
      </c>
      <c r="B340">
        <f>+'Tablas Servicio'!C373</f>
        <v>332</v>
      </c>
      <c r="C340" s="56">
        <f>+'Tablas Servicio'!D373</f>
        <v>67.686666666667136</v>
      </c>
      <c r="D340" s="58">
        <f>+'Tablas Servicio'!N373</f>
        <v>94</v>
      </c>
      <c r="E340" s="66">
        <f>+'Tablas Servicio'!AC373</f>
        <v>87</v>
      </c>
      <c r="F340" s="66">
        <f>+IF(A340="","",'Tablas Servicio'!O373-'Modelo Financiero'!E340)</f>
        <v>2.75</v>
      </c>
      <c r="G340" s="58">
        <f t="shared" si="66"/>
        <v>61.360000000000007</v>
      </c>
      <c r="H340" s="66">
        <f>+'Tablas Servicio'!G373</f>
        <v>102.25</v>
      </c>
      <c r="I340" s="72">
        <f t="shared" si="67"/>
        <v>0.12224938875305624</v>
      </c>
      <c r="J340" s="66">
        <f t="shared" si="68"/>
        <v>12.5</v>
      </c>
      <c r="K340" s="66">
        <f>+'Tablas Servicio'!H373</f>
        <v>106.34</v>
      </c>
      <c r="L340" s="66">
        <f>+IF(A340="","",ROUND(H340*Parámetros!$D$100,2))</f>
        <v>11.93</v>
      </c>
      <c r="M340" s="58">
        <f>+IF(A340="","",IF(AND(A340=1,B340=1),Parámetros!$D$114*(D340*frec-$G$3-$H$3),IF(AND(A340=2,B340=frec+1),Parámetros!$D$115*(D340*frec-$G$4-$H$4),0)))</f>
        <v>0</v>
      </c>
      <c r="N340" s="58">
        <f>+IF(A340="","",IF(A340&gt;Parámetros!$D$117,0,ROUND('Modelo Financiero'!D340*Parámetros!$D$116,2)))</f>
        <v>0</v>
      </c>
      <c r="O340" s="58">
        <f t="shared" si="69"/>
        <v>0</v>
      </c>
      <c r="P340" s="66">
        <f>+'Tablas Servicio'!I373</f>
        <v>-12.340000000000003</v>
      </c>
      <c r="Q340" s="66">
        <f>+'Tablas Servicio'!S373</f>
        <v>24654.77</v>
      </c>
      <c r="R340" s="66">
        <f>+'Tablas Servicio'!T373</f>
        <v>24654.77</v>
      </c>
      <c r="S340" s="66">
        <f t="shared" si="65"/>
        <v>40.889999999999993</v>
      </c>
      <c r="T340" s="66">
        <f t="shared" si="74"/>
        <v>8076.1920000000036</v>
      </c>
      <c r="U340" s="66">
        <f t="shared" si="70"/>
        <v>8076.1920000000036</v>
      </c>
      <c r="V340" s="81">
        <f t="shared" si="71"/>
        <v>0</v>
      </c>
      <c r="W340" s="66">
        <f t="shared" si="72"/>
        <v>0</v>
      </c>
      <c r="X340" s="66">
        <f t="shared" si="73"/>
        <v>8076.1920000000036</v>
      </c>
    </row>
    <row r="341" spans="1:24" x14ac:dyDescent="0.25">
      <c r="A341">
        <f>+'Tablas Servicio'!B374</f>
        <v>28</v>
      </c>
      <c r="B341">
        <f>+'Tablas Servicio'!C374</f>
        <v>333</v>
      </c>
      <c r="C341" s="56">
        <f>+'Tablas Servicio'!D374</f>
        <v>67.770000000000465</v>
      </c>
      <c r="D341" s="58">
        <f>+'Tablas Servicio'!N374</f>
        <v>94</v>
      </c>
      <c r="E341" s="66">
        <f>+'Tablas Servicio'!AC374</f>
        <v>87</v>
      </c>
      <c r="F341" s="66">
        <f>+IF(A341="","",'Tablas Servicio'!O374-'Modelo Financiero'!E341)</f>
        <v>2.75</v>
      </c>
      <c r="G341" s="58">
        <f t="shared" si="66"/>
        <v>61.360000000000007</v>
      </c>
      <c r="H341" s="66">
        <f>+'Tablas Servicio'!G374</f>
        <v>102.25</v>
      </c>
      <c r="I341" s="72">
        <f t="shared" si="67"/>
        <v>0.12224938875305624</v>
      </c>
      <c r="J341" s="66">
        <f t="shared" si="68"/>
        <v>12.5</v>
      </c>
      <c r="K341" s="66">
        <f>+'Tablas Servicio'!H374</f>
        <v>106.34</v>
      </c>
      <c r="L341" s="66">
        <f>+IF(A341="","",ROUND(H341*Parámetros!$D$100,2))</f>
        <v>11.93</v>
      </c>
      <c r="M341" s="58">
        <f>+IF(A341="","",IF(AND(A341=1,B341=1),Parámetros!$D$114*(D341*frec-$G$3-$H$3),IF(AND(A341=2,B341=frec+1),Parámetros!$D$115*(D341*frec-$G$4-$H$4),0)))</f>
        <v>0</v>
      </c>
      <c r="N341" s="58">
        <f>+IF(A341="","",IF(A341&gt;Parámetros!$D$117,0,ROUND('Modelo Financiero'!D341*Parámetros!$D$116,2)))</f>
        <v>0</v>
      </c>
      <c r="O341" s="58">
        <f t="shared" si="69"/>
        <v>0</v>
      </c>
      <c r="P341" s="66">
        <f>+'Tablas Servicio'!I374</f>
        <v>-12.340000000000003</v>
      </c>
      <c r="Q341" s="66">
        <f>+'Tablas Servicio'!S374</f>
        <v>24712.33</v>
      </c>
      <c r="R341" s="66">
        <f>+'Tablas Servicio'!T374</f>
        <v>24712.33</v>
      </c>
      <c r="S341" s="66">
        <f t="shared" si="65"/>
        <v>40.889999999999993</v>
      </c>
      <c r="T341" s="66">
        <f t="shared" si="74"/>
        <v>8117.082000000004</v>
      </c>
      <c r="U341" s="66">
        <f t="shared" si="70"/>
        <v>8117.082000000004</v>
      </c>
      <c r="V341" s="81">
        <f t="shared" si="71"/>
        <v>0</v>
      </c>
      <c r="W341" s="66">
        <f t="shared" si="72"/>
        <v>0</v>
      </c>
      <c r="X341" s="66">
        <f t="shared" si="73"/>
        <v>8117.082000000004</v>
      </c>
    </row>
    <row r="342" spans="1:24" x14ac:dyDescent="0.25">
      <c r="A342">
        <f>+'Tablas Servicio'!B375</f>
        <v>28</v>
      </c>
      <c r="B342">
        <f>+'Tablas Servicio'!C375</f>
        <v>334</v>
      </c>
      <c r="C342" s="56">
        <f>+'Tablas Servicio'!D375</f>
        <v>67.853333333333794</v>
      </c>
      <c r="D342" s="58">
        <f>+'Tablas Servicio'!N375</f>
        <v>94</v>
      </c>
      <c r="E342" s="66">
        <f>+'Tablas Servicio'!AC375</f>
        <v>87</v>
      </c>
      <c r="F342" s="66">
        <f>+IF(A342="","",'Tablas Servicio'!O375-'Modelo Financiero'!E342)</f>
        <v>2.75</v>
      </c>
      <c r="G342" s="58">
        <f t="shared" si="66"/>
        <v>61.360000000000007</v>
      </c>
      <c r="H342" s="66">
        <f>+'Tablas Servicio'!G375</f>
        <v>102.25</v>
      </c>
      <c r="I342" s="72">
        <f t="shared" si="67"/>
        <v>0.12224938875305624</v>
      </c>
      <c r="J342" s="66">
        <f t="shared" si="68"/>
        <v>12.5</v>
      </c>
      <c r="K342" s="66">
        <f>+'Tablas Servicio'!H375</f>
        <v>106.34</v>
      </c>
      <c r="L342" s="66">
        <f>+IF(A342="","",ROUND(H342*Parámetros!$D$100,2))</f>
        <v>11.93</v>
      </c>
      <c r="M342" s="58">
        <f>+IF(A342="","",IF(AND(A342=1,B342=1),Parámetros!$D$114*(D342*frec-$G$3-$H$3),IF(AND(A342=2,B342=frec+1),Parámetros!$D$115*(D342*frec-$G$4-$H$4),0)))</f>
        <v>0</v>
      </c>
      <c r="N342" s="58">
        <f>+IF(A342="","",IF(A342&gt;Parámetros!$D$117,0,ROUND('Modelo Financiero'!D342*Parámetros!$D$116,2)))</f>
        <v>0</v>
      </c>
      <c r="O342" s="58">
        <f t="shared" si="69"/>
        <v>0</v>
      </c>
      <c r="P342" s="66">
        <f>+'Tablas Servicio'!I375</f>
        <v>-12.340000000000003</v>
      </c>
      <c r="Q342" s="66">
        <f>+'Tablas Servicio'!S375</f>
        <v>24770.05</v>
      </c>
      <c r="R342" s="66">
        <f>+'Tablas Servicio'!T375</f>
        <v>24770.05</v>
      </c>
      <c r="S342" s="66">
        <f t="shared" si="65"/>
        <v>40.889999999999993</v>
      </c>
      <c r="T342" s="66">
        <f t="shared" si="74"/>
        <v>8157.9720000000043</v>
      </c>
      <c r="U342" s="66">
        <f t="shared" si="70"/>
        <v>8157.9720000000043</v>
      </c>
      <c r="V342" s="81">
        <f t="shared" si="71"/>
        <v>0</v>
      </c>
      <c r="W342" s="66">
        <f t="shared" si="72"/>
        <v>0</v>
      </c>
      <c r="X342" s="66">
        <f t="shared" si="73"/>
        <v>8157.9720000000043</v>
      </c>
    </row>
    <row r="343" spans="1:24" x14ac:dyDescent="0.25">
      <c r="A343">
        <f>+'Tablas Servicio'!B376</f>
        <v>28</v>
      </c>
      <c r="B343">
        <f>+'Tablas Servicio'!C376</f>
        <v>335</v>
      </c>
      <c r="C343" s="56">
        <f>+'Tablas Servicio'!D376</f>
        <v>67.936666666667122</v>
      </c>
      <c r="D343" s="58">
        <f>+'Tablas Servicio'!N376</f>
        <v>94</v>
      </c>
      <c r="E343" s="66">
        <f>+'Tablas Servicio'!AC376</f>
        <v>87</v>
      </c>
      <c r="F343" s="66">
        <f>+IF(A343="","",'Tablas Servicio'!O376-'Modelo Financiero'!E343)</f>
        <v>2.75</v>
      </c>
      <c r="G343" s="58">
        <f t="shared" si="66"/>
        <v>61.360000000000007</v>
      </c>
      <c r="H343" s="66">
        <f>+'Tablas Servicio'!G376</f>
        <v>102.25</v>
      </c>
      <c r="I343" s="72">
        <f t="shared" si="67"/>
        <v>0.12224938875305624</v>
      </c>
      <c r="J343" s="66">
        <f t="shared" si="68"/>
        <v>12.5</v>
      </c>
      <c r="K343" s="66">
        <f>+'Tablas Servicio'!H376</f>
        <v>106.34</v>
      </c>
      <c r="L343" s="66">
        <f>+IF(A343="","",ROUND(H343*Parámetros!$D$100,2))</f>
        <v>11.93</v>
      </c>
      <c r="M343" s="58">
        <f>+IF(A343="","",IF(AND(A343=1,B343=1),Parámetros!$D$114*(D343*frec-$G$3-$H$3),IF(AND(A343=2,B343=frec+1),Parámetros!$D$115*(D343*frec-$G$4-$H$4),0)))</f>
        <v>0</v>
      </c>
      <c r="N343" s="58">
        <f>+IF(A343="","",IF(A343&gt;Parámetros!$D$117,0,ROUND('Modelo Financiero'!D343*Parámetros!$D$116,2)))</f>
        <v>0</v>
      </c>
      <c r="O343" s="58">
        <f t="shared" si="69"/>
        <v>0</v>
      </c>
      <c r="P343" s="66">
        <f>+'Tablas Servicio'!I376</f>
        <v>-12.340000000000003</v>
      </c>
      <c r="Q343" s="66">
        <f>+'Tablas Servicio'!S376</f>
        <v>24827.93</v>
      </c>
      <c r="R343" s="66">
        <f>+'Tablas Servicio'!T376</f>
        <v>24827.93</v>
      </c>
      <c r="S343" s="66">
        <f t="shared" si="65"/>
        <v>40.889999999999993</v>
      </c>
      <c r="T343" s="66">
        <f t="shared" si="74"/>
        <v>8198.8620000000046</v>
      </c>
      <c r="U343" s="66">
        <f t="shared" si="70"/>
        <v>8198.8620000000046</v>
      </c>
      <c r="V343" s="81">
        <f t="shared" si="71"/>
        <v>0</v>
      </c>
      <c r="W343" s="66">
        <f t="shared" si="72"/>
        <v>0</v>
      </c>
      <c r="X343" s="66">
        <f t="shared" si="73"/>
        <v>8198.8620000000046</v>
      </c>
    </row>
    <row r="344" spans="1:24" x14ac:dyDescent="0.25">
      <c r="A344">
        <f>+'Tablas Servicio'!B377</f>
        <v>28</v>
      </c>
      <c r="B344">
        <f>+'Tablas Servicio'!C377</f>
        <v>336</v>
      </c>
      <c r="C344" s="56">
        <f>+'Tablas Servicio'!D377</f>
        <v>68.020000000000451</v>
      </c>
      <c r="D344" s="58">
        <f>+'Tablas Servicio'!N377</f>
        <v>94</v>
      </c>
      <c r="E344" s="66">
        <f>+'Tablas Servicio'!AC377</f>
        <v>87</v>
      </c>
      <c r="F344" s="66">
        <f>+IF(A344="","",'Tablas Servicio'!O377-'Modelo Financiero'!E344)</f>
        <v>2.75</v>
      </c>
      <c r="G344" s="58">
        <f t="shared" si="66"/>
        <v>61.360000000000007</v>
      </c>
      <c r="H344" s="66">
        <f>+'Tablas Servicio'!G377</f>
        <v>102.25</v>
      </c>
      <c r="I344" s="72">
        <f t="shared" si="67"/>
        <v>0.12224938875305624</v>
      </c>
      <c r="J344" s="66">
        <f t="shared" si="68"/>
        <v>12.5</v>
      </c>
      <c r="K344" s="66">
        <f>+'Tablas Servicio'!H377</f>
        <v>106.34</v>
      </c>
      <c r="L344" s="66">
        <f>+IF(A344="","",ROUND(H344*Parámetros!$D$100,2))</f>
        <v>11.93</v>
      </c>
      <c r="M344" s="58">
        <f>+IF(A344="","",IF(AND(A344=1,B344=1),Parámetros!$D$114*(D344*frec-$G$3-$H$3),IF(AND(A344=2,B344=frec+1),Parámetros!$D$115*(D344*frec-$G$4-$H$4),0)))</f>
        <v>0</v>
      </c>
      <c r="N344" s="58">
        <f>+IF(A344="","",IF(A344&gt;Parámetros!$D$117,0,ROUND('Modelo Financiero'!D344*Parámetros!$D$116,2)))</f>
        <v>0</v>
      </c>
      <c r="O344" s="58">
        <f t="shared" si="69"/>
        <v>0</v>
      </c>
      <c r="P344" s="66">
        <f>+'Tablas Servicio'!I377</f>
        <v>-12.340000000000003</v>
      </c>
      <c r="Q344" s="66">
        <f>+'Tablas Servicio'!S377</f>
        <v>24885.98</v>
      </c>
      <c r="R344" s="66">
        <f>+'Tablas Servicio'!T377</f>
        <v>24885.98</v>
      </c>
      <c r="S344" s="66">
        <f t="shared" si="65"/>
        <v>40.889999999999993</v>
      </c>
      <c r="T344" s="66">
        <f t="shared" si="74"/>
        <v>8239.752000000004</v>
      </c>
      <c r="U344" s="66">
        <f t="shared" si="70"/>
        <v>8239.752000000004</v>
      </c>
      <c r="V344" s="81">
        <f t="shared" si="71"/>
        <v>0</v>
      </c>
      <c r="W344" s="66">
        <f t="shared" si="72"/>
        <v>0</v>
      </c>
      <c r="X344" s="66">
        <f t="shared" si="73"/>
        <v>8239.752000000004</v>
      </c>
    </row>
    <row r="345" spans="1:24" x14ac:dyDescent="0.25">
      <c r="A345">
        <f>+'Tablas Servicio'!B378</f>
        <v>29</v>
      </c>
      <c r="B345">
        <f>+'Tablas Servicio'!C378</f>
        <v>337</v>
      </c>
      <c r="C345" s="56">
        <f>+'Tablas Servicio'!D378</f>
        <v>68.103333333333779</v>
      </c>
      <c r="D345" s="58">
        <f>+'Tablas Servicio'!N378</f>
        <v>94</v>
      </c>
      <c r="E345" s="66">
        <f>+'Tablas Servicio'!AC378</f>
        <v>94.7</v>
      </c>
      <c r="F345" s="66">
        <f>+IF(A345="","",'Tablas Servicio'!O378-'Modelo Financiero'!E345)</f>
        <v>2.75</v>
      </c>
      <c r="G345" s="58">
        <f t="shared" si="66"/>
        <v>66.596000000000004</v>
      </c>
      <c r="H345" s="66">
        <f>+'Tablas Servicio'!G378</f>
        <v>109.95</v>
      </c>
      <c r="I345" s="72">
        <f t="shared" si="67"/>
        <v>0.11368804001819011</v>
      </c>
      <c r="J345" s="66">
        <f t="shared" si="68"/>
        <v>12.5</v>
      </c>
      <c r="K345" s="66">
        <f>+'Tablas Servicio'!H378</f>
        <v>114.35</v>
      </c>
      <c r="L345" s="66">
        <f>+IF(A345="","",ROUND(H345*Parámetros!$D$100,2))</f>
        <v>12.83</v>
      </c>
      <c r="M345" s="58">
        <f>+IF(A345="","",IF(AND(A345=1,B345=1),Parámetros!$D$114*(D345*frec-$G$3-$H$3),IF(AND(A345=2,B345=frec+1),Parámetros!$D$115*(D345*frec-$G$4-$H$4),0)))</f>
        <v>0</v>
      </c>
      <c r="N345" s="58">
        <f>+IF(A345="","",IF(A345&gt;Parámetros!$D$117,0,ROUND('Modelo Financiero'!D345*Parámetros!$D$116,2)))</f>
        <v>0</v>
      </c>
      <c r="O345" s="58">
        <f t="shared" si="69"/>
        <v>0</v>
      </c>
      <c r="P345" s="66">
        <f>+'Tablas Servicio'!I378</f>
        <v>-20.349999999999994</v>
      </c>
      <c r="Q345" s="66">
        <f>+'Tablas Servicio'!S378</f>
        <v>24936.16</v>
      </c>
      <c r="R345" s="66">
        <f>+'Tablas Servicio'!T378</f>
        <v>24936.16</v>
      </c>
      <c r="S345" s="66">
        <f t="shared" si="65"/>
        <v>43.353999999999999</v>
      </c>
      <c r="T345" s="66">
        <f t="shared" si="74"/>
        <v>8283.1060000000034</v>
      </c>
      <c r="U345" s="66">
        <f t="shared" si="70"/>
        <v>8283.1060000000034</v>
      </c>
      <c r="V345" s="81">
        <f t="shared" si="71"/>
        <v>0</v>
      </c>
      <c r="W345" s="66">
        <f t="shared" si="72"/>
        <v>0</v>
      </c>
      <c r="X345" s="66">
        <f t="shared" si="73"/>
        <v>8283.1060000000034</v>
      </c>
    </row>
    <row r="346" spans="1:24" x14ac:dyDescent="0.25">
      <c r="A346">
        <f>+'Tablas Servicio'!B379</f>
        <v>29</v>
      </c>
      <c r="B346">
        <f>+'Tablas Servicio'!C379</f>
        <v>338</v>
      </c>
      <c r="C346" s="56">
        <f>+'Tablas Servicio'!D379</f>
        <v>68.186666666667108</v>
      </c>
      <c r="D346" s="58">
        <f>+'Tablas Servicio'!N379</f>
        <v>94</v>
      </c>
      <c r="E346" s="66">
        <f>+'Tablas Servicio'!AC379</f>
        <v>94.7</v>
      </c>
      <c r="F346" s="66">
        <f>+IF(A346="","",'Tablas Servicio'!O379-'Modelo Financiero'!E346)</f>
        <v>2.75</v>
      </c>
      <c r="G346" s="58">
        <f t="shared" si="66"/>
        <v>66.596000000000004</v>
      </c>
      <c r="H346" s="66">
        <f>+'Tablas Servicio'!G379</f>
        <v>109.95</v>
      </c>
      <c r="I346" s="72">
        <f t="shared" si="67"/>
        <v>0.11368804001819011</v>
      </c>
      <c r="J346" s="66">
        <f t="shared" si="68"/>
        <v>12.5</v>
      </c>
      <c r="K346" s="66">
        <f>+'Tablas Servicio'!H379</f>
        <v>114.35</v>
      </c>
      <c r="L346" s="66">
        <f>+IF(A346="","",ROUND(H346*Parámetros!$D$100,2))</f>
        <v>12.83</v>
      </c>
      <c r="M346" s="58">
        <f>+IF(A346="","",IF(AND(A346=1,B346=1),Parámetros!$D$114*(D346*frec-$G$3-$H$3),IF(AND(A346=2,B346=frec+1),Parámetros!$D$115*(D346*frec-$G$4-$H$4),0)))</f>
        <v>0</v>
      </c>
      <c r="N346" s="58">
        <f>+IF(A346="","",IF(A346&gt;Parámetros!$D$117,0,ROUND('Modelo Financiero'!D346*Parámetros!$D$116,2)))</f>
        <v>0</v>
      </c>
      <c r="O346" s="58">
        <f t="shared" si="69"/>
        <v>0</v>
      </c>
      <c r="P346" s="66">
        <f>+'Tablas Servicio'!I379</f>
        <v>-20.349999999999994</v>
      </c>
      <c r="Q346" s="66">
        <f>+'Tablas Servicio'!S379</f>
        <v>24986.48</v>
      </c>
      <c r="R346" s="66">
        <f>+'Tablas Servicio'!T379</f>
        <v>24986.48</v>
      </c>
      <c r="S346" s="66">
        <f t="shared" si="65"/>
        <v>43.353999999999999</v>
      </c>
      <c r="T346" s="66">
        <f t="shared" si="74"/>
        <v>8326.4600000000028</v>
      </c>
      <c r="U346" s="66">
        <f t="shared" si="70"/>
        <v>8326.4600000000028</v>
      </c>
      <c r="V346" s="81">
        <f t="shared" si="71"/>
        <v>0</v>
      </c>
      <c r="W346" s="66">
        <f t="shared" si="72"/>
        <v>0</v>
      </c>
      <c r="X346" s="66">
        <f t="shared" si="73"/>
        <v>8326.4600000000028</v>
      </c>
    </row>
    <row r="347" spans="1:24" x14ac:dyDescent="0.25">
      <c r="A347">
        <f>+'Tablas Servicio'!B380</f>
        <v>29</v>
      </c>
      <c r="B347">
        <f>+'Tablas Servicio'!C380</f>
        <v>339</v>
      </c>
      <c r="C347" s="56">
        <f>+'Tablas Servicio'!D380</f>
        <v>68.270000000000437</v>
      </c>
      <c r="D347" s="58">
        <f>+'Tablas Servicio'!N380</f>
        <v>94</v>
      </c>
      <c r="E347" s="66">
        <f>+'Tablas Servicio'!AC380</f>
        <v>94.7</v>
      </c>
      <c r="F347" s="66">
        <f>+IF(A347="","",'Tablas Servicio'!O380-'Modelo Financiero'!E347)</f>
        <v>2.75</v>
      </c>
      <c r="G347" s="58">
        <f t="shared" si="66"/>
        <v>66.596000000000004</v>
      </c>
      <c r="H347" s="66">
        <f>+'Tablas Servicio'!G380</f>
        <v>109.95</v>
      </c>
      <c r="I347" s="72">
        <f t="shared" si="67"/>
        <v>0.11368804001819011</v>
      </c>
      <c r="J347" s="66">
        <f t="shared" si="68"/>
        <v>12.5</v>
      </c>
      <c r="K347" s="66">
        <f>+'Tablas Servicio'!H380</f>
        <v>114.35</v>
      </c>
      <c r="L347" s="66">
        <f>+IF(A347="","",ROUND(H347*Parámetros!$D$100,2))</f>
        <v>12.83</v>
      </c>
      <c r="M347" s="58">
        <f>+IF(A347="","",IF(AND(A347=1,B347=1),Parámetros!$D$114*(D347*frec-$G$3-$H$3),IF(AND(A347=2,B347=frec+1),Parámetros!$D$115*(D347*frec-$G$4-$H$4),0)))</f>
        <v>0</v>
      </c>
      <c r="N347" s="58">
        <f>+IF(A347="","",IF(A347&gt;Parámetros!$D$117,0,ROUND('Modelo Financiero'!D347*Parámetros!$D$116,2)))</f>
        <v>0</v>
      </c>
      <c r="O347" s="58">
        <f t="shared" si="69"/>
        <v>0</v>
      </c>
      <c r="P347" s="66">
        <f>+'Tablas Servicio'!I380</f>
        <v>-20.349999999999994</v>
      </c>
      <c r="Q347" s="66">
        <f>+'Tablas Servicio'!S380</f>
        <v>25036.95</v>
      </c>
      <c r="R347" s="66">
        <f>+'Tablas Servicio'!T380</f>
        <v>25036.95</v>
      </c>
      <c r="S347" s="66">
        <f t="shared" si="65"/>
        <v>43.353999999999999</v>
      </c>
      <c r="T347" s="66">
        <f t="shared" si="74"/>
        <v>8369.8140000000021</v>
      </c>
      <c r="U347" s="66">
        <f t="shared" si="70"/>
        <v>8369.8140000000021</v>
      </c>
      <c r="V347" s="81">
        <f t="shared" si="71"/>
        <v>0</v>
      </c>
      <c r="W347" s="66">
        <f t="shared" si="72"/>
        <v>0</v>
      </c>
      <c r="X347" s="66">
        <f t="shared" si="73"/>
        <v>8369.8140000000021</v>
      </c>
    </row>
    <row r="348" spans="1:24" x14ac:dyDescent="0.25">
      <c r="A348">
        <f>+'Tablas Servicio'!B381</f>
        <v>29</v>
      </c>
      <c r="B348">
        <f>+'Tablas Servicio'!C381</f>
        <v>340</v>
      </c>
      <c r="C348" s="56">
        <f>+'Tablas Servicio'!D381</f>
        <v>68.353333333333765</v>
      </c>
      <c r="D348" s="58">
        <f>+'Tablas Servicio'!N381</f>
        <v>94</v>
      </c>
      <c r="E348" s="66">
        <f>+'Tablas Servicio'!AC381</f>
        <v>94.7</v>
      </c>
      <c r="F348" s="66">
        <f>+IF(A348="","",'Tablas Servicio'!O381-'Modelo Financiero'!E348)</f>
        <v>2.75</v>
      </c>
      <c r="G348" s="58">
        <f t="shared" si="66"/>
        <v>66.596000000000004</v>
      </c>
      <c r="H348" s="66">
        <f>+'Tablas Servicio'!G381</f>
        <v>109.95</v>
      </c>
      <c r="I348" s="72">
        <f t="shared" si="67"/>
        <v>0.11368804001819011</v>
      </c>
      <c r="J348" s="66">
        <f t="shared" si="68"/>
        <v>12.5</v>
      </c>
      <c r="K348" s="66">
        <f>+'Tablas Servicio'!H381</f>
        <v>114.35</v>
      </c>
      <c r="L348" s="66">
        <f>+IF(A348="","",ROUND(H348*Parámetros!$D$100,2))</f>
        <v>12.83</v>
      </c>
      <c r="M348" s="58">
        <f>+IF(A348="","",IF(AND(A348=1,B348=1),Parámetros!$D$114*(D348*frec-$G$3-$H$3),IF(AND(A348=2,B348=frec+1),Parámetros!$D$115*(D348*frec-$G$4-$H$4),0)))</f>
        <v>0</v>
      </c>
      <c r="N348" s="58">
        <f>+IF(A348="","",IF(A348&gt;Parámetros!$D$117,0,ROUND('Modelo Financiero'!D348*Parámetros!$D$116,2)))</f>
        <v>0</v>
      </c>
      <c r="O348" s="58">
        <f t="shared" si="69"/>
        <v>0</v>
      </c>
      <c r="P348" s="66">
        <f>+'Tablas Servicio'!I381</f>
        <v>-20.349999999999994</v>
      </c>
      <c r="Q348" s="66">
        <f>+'Tablas Servicio'!S381</f>
        <v>25087.56</v>
      </c>
      <c r="R348" s="66">
        <f>+'Tablas Servicio'!T381</f>
        <v>25087.56</v>
      </c>
      <c r="S348" s="66">
        <f t="shared" si="65"/>
        <v>43.353999999999999</v>
      </c>
      <c r="T348" s="66">
        <f t="shared" si="74"/>
        <v>8413.1680000000015</v>
      </c>
      <c r="U348" s="66">
        <f t="shared" si="70"/>
        <v>8413.1680000000015</v>
      </c>
      <c r="V348" s="81">
        <f t="shared" si="71"/>
        <v>0</v>
      </c>
      <c r="W348" s="66">
        <f t="shared" si="72"/>
        <v>0</v>
      </c>
      <c r="X348" s="66">
        <f t="shared" si="73"/>
        <v>8413.1680000000015</v>
      </c>
    </row>
    <row r="349" spans="1:24" x14ac:dyDescent="0.25">
      <c r="A349">
        <f>+'Tablas Servicio'!B382</f>
        <v>29</v>
      </c>
      <c r="B349">
        <f>+'Tablas Servicio'!C382</f>
        <v>341</v>
      </c>
      <c r="C349" s="56">
        <f>+'Tablas Servicio'!D382</f>
        <v>68.436666666667094</v>
      </c>
      <c r="D349" s="58">
        <f>+'Tablas Servicio'!N382</f>
        <v>94</v>
      </c>
      <c r="E349" s="66">
        <f>+'Tablas Servicio'!AC382</f>
        <v>94.7</v>
      </c>
      <c r="F349" s="66">
        <f>+IF(A349="","",'Tablas Servicio'!O382-'Modelo Financiero'!E349)</f>
        <v>2.75</v>
      </c>
      <c r="G349" s="58">
        <f t="shared" si="66"/>
        <v>66.596000000000004</v>
      </c>
      <c r="H349" s="66">
        <f>+'Tablas Servicio'!G382</f>
        <v>109.95</v>
      </c>
      <c r="I349" s="72">
        <f t="shared" si="67"/>
        <v>0.11368804001819011</v>
      </c>
      <c r="J349" s="66">
        <f t="shared" si="68"/>
        <v>12.5</v>
      </c>
      <c r="K349" s="66">
        <f>+'Tablas Servicio'!H382</f>
        <v>114.35</v>
      </c>
      <c r="L349" s="66">
        <f>+IF(A349="","",ROUND(H349*Parámetros!$D$100,2))</f>
        <v>12.83</v>
      </c>
      <c r="M349" s="58">
        <f>+IF(A349="","",IF(AND(A349=1,B349=1),Parámetros!$D$114*(D349*frec-$G$3-$H$3),IF(AND(A349=2,B349=frec+1),Parámetros!$D$115*(D349*frec-$G$4-$H$4),0)))</f>
        <v>0</v>
      </c>
      <c r="N349" s="58">
        <f>+IF(A349="","",IF(A349&gt;Parámetros!$D$117,0,ROUND('Modelo Financiero'!D349*Parámetros!$D$116,2)))</f>
        <v>0</v>
      </c>
      <c r="O349" s="58">
        <f t="shared" si="69"/>
        <v>0</v>
      </c>
      <c r="P349" s="66">
        <f>+'Tablas Servicio'!I382</f>
        <v>-20.349999999999994</v>
      </c>
      <c r="Q349" s="66">
        <f>+'Tablas Servicio'!S382</f>
        <v>25138.31</v>
      </c>
      <c r="R349" s="66">
        <f>+'Tablas Servicio'!T382</f>
        <v>25138.31</v>
      </c>
      <c r="S349" s="66">
        <f t="shared" si="65"/>
        <v>43.353999999999999</v>
      </c>
      <c r="T349" s="66">
        <f t="shared" si="74"/>
        <v>8456.5220000000008</v>
      </c>
      <c r="U349" s="66">
        <f t="shared" si="70"/>
        <v>8456.5220000000008</v>
      </c>
      <c r="V349" s="81">
        <f t="shared" si="71"/>
        <v>0</v>
      </c>
      <c r="W349" s="66">
        <f t="shared" si="72"/>
        <v>0</v>
      </c>
      <c r="X349" s="66">
        <f t="shared" si="73"/>
        <v>8456.5220000000008</v>
      </c>
    </row>
    <row r="350" spans="1:24" x14ac:dyDescent="0.25">
      <c r="A350">
        <f>+'Tablas Servicio'!B383</f>
        <v>29</v>
      </c>
      <c r="B350">
        <f>+'Tablas Servicio'!C383</f>
        <v>342</v>
      </c>
      <c r="C350" s="56">
        <f>+'Tablas Servicio'!D383</f>
        <v>68.520000000000422</v>
      </c>
      <c r="D350" s="58">
        <f>+'Tablas Servicio'!N383</f>
        <v>94</v>
      </c>
      <c r="E350" s="66">
        <f>+'Tablas Servicio'!AC383</f>
        <v>94.7</v>
      </c>
      <c r="F350" s="66">
        <f>+IF(A350="","",'Tablas Servicio'!O383-'Modelo Financiero'!E350)</f>
        <v>2.75</v>
      </c>
      <c r="G350" s="58">
        <f t="shared" si="66"/>
        <v>66.596000000000004</v>
      </c>
      <c r="H350" s="66">
        <f>+'Tablas Servicio'!G383</f>
        <v>109.95</v>
      </c>
      <c r="I350" s="72">
        <f t="shared" si="67"/>
        <v>0.11368804001819011</v>
      </c>
      <c r="J350" s="66">
        <f t="shared" si="68"/>
        <v>12.5</v>
      </c>
      <c r="K350" s="66">
        <f>+'Tablas Servicio'!H383</f>
        <v>114.35</v>
      </c>
      <c r="L350" s="66">
        <f>+IF(A350="","",ROUND(H350*Parámetros!$D$100,2))</f>
        <v>12.83</v>
      </c>
      <c r="M350" s="58">
        <f>+IF(A350="","",IF(AND(A350=1,B350=1),Parámetros!$D$114*(D350*frec-$G$3-$H$3),IF(AND(A350=2,B350=frec+1),Parámetros!$D$115*(D350*frec-$G$4-$H$4),0)))</f>
        <v>0</v>
      </c>
      <c r="N350" s="58">
        <f>+IF(A350="","",IF(A350&gt;Parámetros!$D$117,0,ROUND('Modelo Financiero'!D350*Parámetros!$D$116,2)))</f>
        <v>0</v>
      </c>
      <c r="O350" s="58">
        <f t="shared" si="69"/>
        <v>0</v>
      </c>
      <c r="P350" s="66">
        <f>+'Tablas Servicio'!I383</f>
        <v>-20.349999999999994</v>
      </c>
      <c r="Q350" s="66">
        <f>+'Tablas Servicio'!S383</f>
        <v>25189.21</v>
      </c>
      <c r="R350" s="66">
        <f>+'Tablas Servicio'!T383</f>
        <v>25189.21</v>
      </c>
      <c r="S350" s="66">
        <f t="shared" si="65"/>
        <v>43.353999999999999</v>
      </c>
      <c r="T350" s="66">
        <f t="shared" si="74"/>
        <v>8499.8760000000002</v>
      </c>
      <c r="U350" s="66">
        <f t="shared" si="70"/>
        <v>8499.8760000000002</v>
      </c>
      <c r="V350" s="81">
        <f t="shared" si="71"/>
        <v>0</v>
      </c>
      <c r="W350" s="66">
        <f t="shared" si="72"/>
        <v>0</v>
      </c>
      <c r="X350" s="66">
        <f t="shared" si="73"/>
        <v>8499.8760000000002</v>
      </c>
    </row>
    <row r="351" spans="1:24" x14ac:dyDescent="0.25">
      <c r="A351">
        <f>+'Tablas Servicio'!B384</f>
        <v>29</v>
      </c>
      <c r="B351">
        <f>+'Tablas Servicio'!C384</f>
        <v>343</v>
      </c>
      <c r="C351" s="56">
        <f>+'Tablas Servicio'!D384</f>
        <v>68.603333333333751</v>
      </c>
      <c r="D351" s="58">
        <f>+'Tablas Servicio'!N384</f>
        <v>94</v>
      </c>
      <c r="E351" s="66">
        <f>+'Tablas Servicio'!AC384</f>
        <v>94.7</v>
      </c>
      <c r="F351" s="66">
        <f>+IF(A351="","",'Tablas Servicio'!O384-'Modelo Financiero'!E351)</f>
        <v>2.75</v>
      </c>
      <c r="G351" s="58">
        <f t="shared" si="66"/>
        <v>66.596000000000004</v>
      </c>
      <c r="H351" s="66">
        <f>+'Tablas Servicio'!G384</f>
        <v>109.95</v>
      </c>
      <c r="I351" s="72">
        <f t="shared" si="67"/>
        <v>0.11368804001819011</v>
      </c>
      <c r="J351" s="66">
        <f t="shared" si="68"/>
        <v>12.5</v>
      </c>
      <c r="K351" s="66">
        <f>+'Tablas Servicio'!H384</f>
        <v>114.35</v>
      </c>
      <c r="L351" s="66">
        <f>+IF(A351="","",ROUND(H351*Parámetros!$D$100,2))</f>
        <v>12.83</v>
      </c>
      <c r="M351" s="58">
        <f>+IF(A351="","",IF(AND(A351=1,B351=1),Parámetros!$D$114*(D351*frec-$G$3-$H$3),IF(AND(A351=2,B351=frec+1),Parámetros!$D$115*(D351*frec-$G$4-$H$4),0)))</f>
        <v>0</v>
      </c>
      <c r="N351" s="58">
        <f>+IF(A351="","",IF(A351&gt;Parámetros!$D$117,0,ROUND('Modelo Financiero'!D351*Parámetros!$D$116,2)))</f>
        <v>0</v>
      </c>
      <c r="O351" s="58">
        <f t="shared" si="69"/>
        <v>0</v>
      </c>
      <c r="P351" s="66">
        <f>+'Tablas Servicio'!I384</f>
        <v>-20.349999999999994</v>
      </c>
      <c r="Q351" s="66">
        <f>+'Tablas Servicio'!S384</f>
        <v>25240.25</v>
      </c>
      <c r="R351" s="66">
        <f>+'Tablas Servicio'!T384</f>
        <v>25240.25</v>
      </c>
      <c r="S351" s="66">
        <f t="shared" si="65"/>
        <v>43.353999999999999</v>
      </c>
      <c r="T351" s="66">
        <f t="shared" si="74"/>
        <v>8543.23</v>
      </c>
      <c r="U351" s="66">
        <f t="shared" si="70"/>
        <v>8543.23</v>
      </c>
      <c r="V351" s="81">
        <f t="shared" si="71"/>
        <v>0</v>
      </c>
      <c r="W351" s="66">
        <f t="shared" si="72"/>
        <v>0</v>
      </c>
      <c r="X351" s="66">
        <f t="shared" si="73"/>
        <v>8543.23</v>
      </c>
    </row>
    <row r="352" spans="1:24" x14ac:dyDescent="0.25">
      <c r="A352">
        <f>+'Tablas Servicio'!B385</f>
        <v>29</v>
      </c>
      <c r="B352">
        <f>+'Tablas Servicio'!C385</f>
        <v>344</v>
      </c>
      <c r="C352" s="56">
        <f>+'Tablas Servicio'!D385</f>
        <v>68.68666666666708</v>
      </c>
      <c r="D352" s="58">
        <f>+'Tablas Servicio'!N385</f>
        <v>94</v>
      </c>
      <c r="E352" s="66">
        <f>+'Tablas Servicio'!AC385</f>
        <v>94.7</v>
      </c>
      <c r="F352" s="66">
        <f>+IF(A352="","",'Tablas Servicio'!O385-'Modelo Financiero'!E352)</f>
        <v>2.75</v>
      </c>
      <c r="G352" s="58">
        <f t="shared" si="66"/>
        <v>66.596000000000004</v>
      </c>
      <c r="H352" s="66">
        <f>+'Tablas Servicio'!G385</f>
        <v>109.95</v>
      </c>
      <c r="I352" s="72">
        <f t="shared" si="67"/>
        <v>0.11368804001819011</v>
      </c>
      <c r="J352" s="66">
        <f t="shared" si="68"/>
        <v>12.5</v>
      </c>
      <c r="K352" s="66">
        <f>+'Tablas Servicio'!H385</f>
        <v>114.35</v>
      </c>
      <c r="L352" s="66">
        <f>+IF(A352="","",ROUND(H352*Parámetros!$D$100,2))</f>
        <v>12.83</v>
      </c>
      <c r="M352" s="58">
        <f>+IF(A352="","",IF(AND(A352=1,B352=1),Parámetros!$D$114*(D352*frec-$G$3-$H$3),IF(AND(A352=2,B352=frec+1),Parámetros!$D$115*(D352*frec-$G$4-$H$4),0)))</f>
        <v>0</v>
      </c>
      <c r="N352" s="58">
        <f>+IF(A352="","",IF(A352&gt;Parámetros!$D$117,0,ROUND('Modelo Financiero'!D352*Parámetros!$D$116,2)))</f>
        <v>0</v>
      </c>
      <c r="O352" s="58">
        <f t="shared" si="69"/>
        <v>0</v>
      </c>
      <c r="P352" s="66">
        <f>+'Tablas Servicio'!I385</f>
        <v>-20.349999999999994</v>
      </c>
      <c r="Q352" s="66">
        <f>+'Tablas Servicio'!S385</f>
        <v>25291.439999999999</v>
      </c>
      <c r="R352" s="66">
        <f>+'Tablas Servicio'!T385</f>
        <v>25291.439999999999</v>
      </c>
      <c r="S352" s="66">
        <f t="shared" si="65"/>
        <v>43.353999999999999</v>
      </c>
      <c r="T352" s="66">
        <f t="shared" si="74"/>
        <v>8586.5839999999989</v>
      </c>
      <c r="U352" s="66">
        <f t="shared" si="70"/>
        <v>8586.5839999999989</v>
      </c>
      <c r="V352" s="81">
        <f t="shared" si="71"/>
        <v>0</v>
      </c>
      <c r="W352" s="66">
        <f t="shared" si="72"/>
        <v>0</v>
      </c>
      <c r="X352" s="66">
        <f t="shared" si="73"/>
        <v>8586.5839999999989</v>
      </c>
    </row>
    <row r="353" spans="1:24" x14ac:dyDescent="0.25">
      <c r="A353">
        <f>+'Tablas Servicio'!B386</f>
        <v>29</v>
      </c>
      <c r="B353">
        <f>+'Tablas Servicio'!C386</f>
        <v>345</v>
      </c>
      <c r="C353" s="56">
        <f>+'Tablas Servicio'!D386</f>
        <v>68.770000000000408</v>
      </c>
      <c r="D353" s="58">
        <f>+'Tablas Servicio'!N386</f>
        <v>94</v>
      </c>
      <c r="E353" s="66">
        <f>+'Tablas Servicio'!AC386</f>
        <v>94.7</v>
      </c>
      <c r="F353" s="66">
        <f>+IF(A353="","",'Tablas Servicio'!O386-'Modelo Financiero'!E353)</f>
        <v>2.75</v>
      </c>
      <c r="G353" s="58">
        <f t="shared" si="66"/>
        <v>66.596000000000004</v>
      </c>
      <c r="H353" s="66">
        <f>+'Tablas Servicio'!G386</f>
        <v>109.95</v>
      </c>
      <c r="I353" s="72">
        <f t="shared" si="67"/>
        <v>0.11368804001819011</v>
      </c>
      <c r="J353" s="66">
        <f t="shared" si="68"/>
        <v>12.5</v>
      </c>
      <c r="K353" s="66">
        <f>+'Tablas Servicio'!H386</f>
        <v>114.35</v>
      </c>
      <c r="L353" s="66">
        <f>+IF(A353="","",ROUND(H353*Parámetros!$D$100,2))</f>
        <v>12.83</v>
      </c>
      <c r="M353" s="58">
        <f>+IF(A353="","",IF(AND(A353=1,B353=1),Parámetros!$D$114*(D353*frec-$G$3-$H$3),IF(AND(A353=2,B353=frec+1),Parámetros!$D$115*(D353*frec-$G$4-$H$4),0)))</f>
        <v>0</v>
      </c>
      <c r="N353" s="58">
        <f>+IF(A353="","",IF(A353&gt;Parámetros!$D$117,0,ROUND('Modelo Financiero'!D353*Parámetros!$D$116,2)))</f>
        <v>0</v>
      </c>
      <c r="O353" s="58">
        <f t="shared" si="69"/>
        <v>0</v>
      </c>
      <c r="P353" s="66">
        <f>+'Tablas Servicio'!I386</f>
        <v>-20.349999999999994</v>
      </c>
      <c r="Q353" s="66">
        <f>+'Tablas Servicio'!S386</f>
        <v>25342.77</v>
      </c>
      <c r="R353" s="66">
        <f>+'Tablas Servicio'!T386</f>
        <v>25342.77</v>
      </c>
      <c r="S353" s="66">
        <f t="shared" si="65"/>
        <v>43.353999999999999</v>
      </c>
      <c r="T353" s="66">
        <f t="shared" si="74"/>
        <v>8629.9379999999983</v>
      </c>
      <c r="U353" s="66">
        <f t="shared" si="70"/>
        <v>8629.9379999999983</v>
      </c>
      <c r="V353" s="81">
        <f t="shared" si="71"/>
        <v>0</v>
      </c>
      <c r="W353" s="66">
        <f t="shared" si="72"/>
        <v>0</v>
      </c>
      <c r="X353" s="66">
        <f t="shared" si="73"/>
        <v>8629.9379999999983</v>
      </c>
    </row>
    <row r="354" spans="1:24" x14ac:dyDescent="0.25">
      <c r="A354">
        <f>+'Tablas Servicio'!B387</f>
        <v>29</v>
      </c>
      <c r="B354">
        <f>+'Tablas Servicio'!C387</f>
        <v>346</v>
      </c>
      <c r="C354" s="56">
        <f>+'Tablas Servicio'!D387</f>
        <v>68.853333333333737</v>
      </c>
      <c r="D354" s="58">
        <f>+'Tablas Servicio'!N387</f>
        <v>94</v>
      </c>
      <c r="E354" s="66">
        <f>+'Tablas Servicio'!AC387</f>
        <v>94.7</v>
      </c>
      <c r="F354" s="66">
        <f>+IF(A354="","",'Tablas Servicio'!O387-'Modelo Financiero'!E354)</f>
        <v>2.75</v>
      </c>
      <c r="G354" s="58">
        <f t="shared" si="66"/>
        <v>66.596000000000004</v>
      </c>
      <c r="H354" s="66">
        <f>+'Tablas Servicio'!G387</f>
        <v>109.95</v>
      </c>
      <c r="I354" s="72">
        <f t="shared" si="67"/>
        <v>0.11368804001819011</v>
      </c>
      <c r="J354" s="66">
        <f t="shared" si="68"/>
        <v>12.5</v>
      </c>
      <c r="K354" s="66">
        <f>+'Tablas Servicio'!H387</f>
        <v>114.35</v>
      </c>
      <c r="L354" s="66">
        <f>+IF(A354="","",ROUND(H354*Parámetros!$D$100,2))</f>
        <v>12.83</v>
      </c>
      <c r="M354" s="58">
        <f>+IF(A354="","",IF(AND(A354=1,B354=1),Parámetros!$D$114*(D354*frec-$G$3-$H$3),IF(AND(A354=2,B354=frec+1),Parámetros!$D$115*(D354*frec-$G$4-$H$4),0)))</f>
        <v>0</v>
      </c>
      <c r="N354" s="58">
        <f>+IF(A354="","",IF(A354&gt;Parámetros!$D$117,0,ROUND('Modelo Financiero'!D354*Parámetros!$D$116,2)))</f>
        <v>0</v>
      </c>
      <c r="O354" s="58">
        <f t="shared" si="69"/>
        <v>0</v>
      </c>
      <c r="P354" s="66">
        <f>+'Tablas Servicio'!I387</f>
        <v>-20.349999999999994</v>
      </c>
      <c r="Q354" s="66">
        <f>+'Tablas Servicio'!S387</f>
        <v>25394.25</v>
      </c>
      <c r="R354" s="66">
        <f>+'Tablas Servicio'!T387</f>
        <v>25394.25</v>
      </c>
      <c r="S354" s="66">
        <f t="shared" si="65"/>
        <v>43.353999999999999</v>
      </c>
      <c r="T354" s="66">
        <f t="shared" si="74"/>
        <v>8673.2919999999976</v>
      </c>
      <c r="U354" s="66">
        <f t="shared" si="70"/>
        <v>8673.2919999999976</v>
      </c>
      <c r="V354" s="81">
        <f t="shared" si="71"/>
        <v>0</v>
      </c>
      <c r="W354" s="66">
        <f t="shared" si="72"/>
        <v>0</v>
      </c>
      <c r="X354" s="66">
        <f t="shared" si="73"/>
        <v>8673.2919999999976</v>
      </c>
    </row>
    <row r="355" spans="1:24" x14ac:dyDescent="0.25">
      <c r="A355">
        <f>+'Tablas Servicio'!B388</f>
        <v>29</v>
      </c>
      <c r="B355">
        <f>+'Tablas Servicio'!C388</f>
        <v>347</v>
      </c>
      <c r="C355" s="56">
        <f>+'Tablas Servicio'!D388</f>
        <v>68.936666666667065</v>
      </c>
      <c r="D355" s="58">
        <f>+'Tablas Servicio'!N388</f>
        <v>94</v>
      </c>
      <c r="E355" s="66">
        <f>+'Tablas Servicio'!AC388</f>
        <v>94.7</v>
      </c>
      <c r="F355" s="66">
        <f>+IF(A355="","",'Tablas Servicio'!O388-'Modelo Financiero'!E355)</f>
        <v>2.75</v>
      </c>
      <c r="G355" s="58">
        <f t="shared" si="66"/>
        <v>66.596000000000004</v>
      </c>
      <c r="H355" s="66">
        <f>+'Tablas Servicio'!G388</f>
        <v>109.95</v>
      </c>
      <c r="I355" s="72">
        <f t="shared" si="67"/>
        <v>0.11368804001819011</v>
      </c>
      <c r="J355" s="66">
        <f t="shared" si="68"/>
        <v>12.5</v>
      </c>
      <c r="K355" s="66">
        <f>+'Tablas Servicio'!H388</f>
        <v>114.35</v>
      </c>
      <c r="L355" s="66">
        <f>+IF(A355="","",ROUND(H355*Parámetros!$D$100,2))</f>
        <v>12.83</v>
      </c>
      <c r="M355" s="58">
        <f>+IF(A355="","",IF(AND(A355=1,B355=1),Parámetros!$D$114*(D355*frec-$G$3-$H$3),IF(AND(A355=2,B355=frec+1),Parámetros!$D$115*(D355*frec-$G$4-$H$4),0)))</f>
        <v>0</v>
      </c>
      <c r="N355" s="58">
        <f>+IF(A355="","",IF(A355&gt;Parámetros!$D$117,0,ROUND('Modelo Financiero'!D355*Parámetros!$D$116,2)))</f>
        <v>0</v>
      </c>
      <c r="O355" s="58">
        <f t="shared" si="69"/>
        <v>0</v>
      </c>
      <c r="P355" s="66">
        <f>+'Tablas Servicio'!I388</f>
        <v>-20.349999999999994</v>
      </c>
      <c r="Q355" s="66">
        <f>+'Tablas Servicio'!S388</f>
        <v>25445.87</v>
      </c>
      <c r="R355" s="66">
        <f>+'Tablas Servicio'!T388</f>
        <v>25445.87</v>
      </c>
      <c r="S355" s="66">
        <f t="shared" si="65"/>
        <v>43.353999999999999</v>
      </c>
      <c r="T355" s="66">
        <f t="shared" si="74"/>
        <v>8716.645999999997</v>
      </c>
      <c r="U355" s="66">
        <f t="shared" si="70"/>
        <v>8716.645999999997</v>
      </c>
      <c r="V355" s="81">
        <f t="shared" si="71"/>
        <v>0</v>
      </c>
      <c r="W355" s="66">
        <f t="shared" si="72"/>
        <v>0</v>
      </c>
      <c r="X355" s="66">
        <f t="shared" si="73"/>
        <v>8716.645999999997</v>
      </c>
    </row>
    <row r="356" spans="1:24" x14ac:dyDescent="0.25">
      <c r="A356">
        <f>+'Tablas Servicio'!B389</f>
        <v>29</v>
      </c>
      <c r="B356">
        <f>+'Tablas Servicio'!C389</f>
        <v>348</v>
      </c>
      <c r="C356" s="56">
        <f>+'Tablas Servicio'!D389</f>
        <v>69.020000000000394</v>
      </c>
      <c r="D356" s="58">
        <f>+'Tablas Servicio'!N389</f>
        <v>94</v>
      </c>
      <c r="E356" s="66">
        <f>+'Tablas Servicio'!AC389</f>
        <v>94.7</v>
      </c>
      <c r="F356" s="66">
        <f>+IF(A356="","",'Tablas Servicio'!O389-'Modelo Financiero'!E356)</f>
        <v>2.75</v>
      </c>
      <c r="G356" s="58">
        <f t="shared" si="66"/>
        <v>66.596000000000004</v>
      </c>
      <c r="H356" s="66">
        <f>+'Tablas Servicio'!G389</f>
        <v>109.95</v>
      </c>
      <c r="I356" s="72">
        <f t="shared" si="67"/>
        <v>0.11368804001819011</v>
      </c>
      <c r="J356" s="66">
        <f t="shared" si="68"/>
        <v>12.5</v>
      </c>
      <c r="K356" s="66">
        <f>+'Tablas Servicio'!H389</f>
        <v>114.35</v>
      </c>
      <c r="L356" s="66">
        <f>+IF(A356="","",ROUND(H356*Parámetros!$D$100,2))</f>
        <v>12.83</v>
      </c>
      <c r="M356" s="58">
        <f>+IF(A356="","",IF(AND(A356=1,B356=1),Parámetros!$D$114*(D356*frec-$G$3-$H$3),IF(AND(A356=2,B356=frec+1),Parámetros!$D$115*(D356*frec-$G$4-$H$4),0)))</f>
        <v>0</v>
      </c>
      <c r="N356" s="58">
        <f>+IF(A356="","",IF(A356&gt;Parámetros!$D$117,0,ROUND('Modelo Financiero'!D356*Parámetros!$D$116,2)))</f>
        <v>0</v>
      </c>
      <c r="O356" s="58">
        <f t="shared" si="69"/>
        <v>0</v>
      </c>
      <c r="P356" s="66">
        <f>+'Tablas Servicio'!I389</f>
        <v>-20.349999999999994</v>
      </c>
      <c r="Q356" s="66">
        <f>+'Tablas Servicio'!S389</f>
        <v>25497.64</v>
      </c>
      <c r="R356" s="66">
        <f>+'Tablas Servicio'!T389</f>
        <v>25497.64</v>
      </c>
      <c r="S356" s="66">
        <f t="shared" si="65"/>
        <v>43.353999999999999</v>
      </c>
      <c r="T356" s="66">
        <f t="shared" si="74"/>
        <v>8759.9999999999964</v>
      </c>
      <c r="U356" s="66">
        <f t="shared" si="70"/>
        <v>8759.9999999999964</v>
      </c>
      <c r="V356" s="81">
        <f t="shared" si="71"/>
        <v>0</v>
      </c>
      <c r="W356" s="66">
        <f t="shared" si="72"/>
        <v>0</v>
      </c>
      <c r="X356" s="66">
        <f t="shared" si="73"/>
        <v>8759.9999999999964</v>
      </c>
    </row>
    <row r="357" spans="1:24" x14ac:dyDescent="0.25">
      <c r="A357">
        <f>+'Tablas Servicio'!B390</f>
        <v>30</v>
      </c>
      <c r="B357">
        <f>+'Tablas Servicio'!C390</f>
        <v>349</v>
      </c>
      <c r="C357" s="56">
        <f>+'Tablas Servicio'!D390</f>
        <v>69.103333333333723</v>
      </c>
      <c r="D357" s="58">
        <f>+'Tablas Servicio'!N390</f>
        <v>94</v>
      </c>
      <c r="E357" s="66">
        <f>+'Tablas Servicio'!AC390</f>
        <v>103</v>
      </c>
      <c r="F357" s="66">
        <f>+IF(A357="","",'Tablas Servicio'!O390-'Modelo Financiero'!E357)</f>
        <v>2.75</v>
      </c>
      <c r="G357" s="58">
        <f t="shared" si="66"/>
        <v>72.240000000000009</v>
      </c>
      <c r="H357" s="66">
        <f>+'Tablas Servicio'!G390</f>
        <v>118.25</v>
      </c>
      <c r="I357" s="72">
        <f t="shared" si="67"/>
        <v>0.10570824524312894</v>
      </c>
      <c r="J357" s="66">
        <f t="shared" si="68"/>
        <v>12.5</v>
      </c>
      <c r="K357" s="66">
        <f>+'Tablas Servicio'!H390</f>
        <v>122.98</v>
      </c>
      <c r="L357" s="66">
        <f>+IF(A357="","",ROUND(H357*Parámetros!$D$100,2))</f>
        <v>13.8</v>
      </c>
      <c r="M357" s="58">
        <f>+IF(A357="","",IF(AND(A357=1,B357=1),Parámetros!$D$114*(D357*frec-$G$3-$H$3),IF(AND(A357=2,B357=frec+1),Parámetros!$D$115*(D357*frec-$G$4-$H$4),0)))</f>
        <v>0</v>
      </c>
      <c r="N357" s="58">
        <f>+IF(A357="","",IF(A357&gt;Parámetros!$D$117,0,ROUND('Modelo Financiero'!D357*Parámetros!$D$116,2)))</f>
        <v>0</v>
      </c>
      <c r="O357" s="58">
        <f t="shared" si="69"/>
        <v>0</v>
      </c>
      <c r="P357" s="66">
        <f>+'Tablas Servicio'!I390</f>
        <v>-28.980000000000004</v>
      </c>
      <c r="Q357" s="66">
        <f>+'Tablas Servicio'!S390</f>
        <v>25540.9</v>
      </c>
      <c r="R357" s="66">
        <f>+'Tablas Servicio'!T390</f>
        <v>25540.9</v>
      </c>
      <c r="S357" s="66">
        <f t="shared" si="65"/>
        <v>46.009999999999991</v>
      </c>
      <c r="T357" s="66">
        <f t="shared" si="74"/>
        <v>8806.0099999999966</v>
      </c>
      <c r="U357" s="66">
        <f t="shared" si="70"/>
        <v>8806.0099999999966</v>
      </c>
      <c r="V357" s="81">
        <f t="shared" si="71"/>
        <v>0</v>
      </c>
      <c r="W357" s="66">
        <f t="shared" si="72"/>
        <v>0</v>
      </c>
      <c r="X357" s="66">
        <f t="shared" si="73"/>
        <v>8806.0099999999966</v>
      </c>
    </row>
    <row r="358" spans="1:24" x14ac:dyDescent="0.25">
      <c r="A358">
        <f>+'Tablas Servicio'!B391</f>
        <v>30</v>
      </c>
      <c r="B358">
        <f>+'Tablas Servicio'!C391</f>
        <v>350</v>
      </c>
      <c r="C358" s="56">
        <f>+'Tablas Servicio'!D391</f>
        <v>69.186666666667051</v>
      </c>
      <c r="D358" s="58">
        <f>+'Tablas Servicio'!N391</f>
        <v>94</v>
      </c>
      <c r="E358" s="66">
        <f>+'Tablas Servicio'!AC391</f>
        <v>103</v>
      </c>
      <c r="F358" s="66">
        <f>+IF(A358="","",'Tablas Servicio'!O391-'Modelo Financiero'!E358)</f>
        <v>2.75</v>
      </c>
      <c r="G358" s="58">
        <f t="shared" si="66"/>
        <v>72.240000000000009</v>
      </c>
      <c r="H358" s="66">
        <f>+'Tablas Servicio'!G391</f>
        <v>118.25</v>
      </c>
      <c r="I358" s="72">
        <f t="shared" si="67"/>
        <v>0.10570824524312894</v>
      </c>
      <c r="J358" s="66">
        <f t="shared" si="68"/>
        <v>12.5</v>
      </c>
      <c r="K358" s="66">
        <f>+'Tablas Servicio'!H391</f>
        <v>122.98</v>
      </c>
      <c r="L358" s="66">
        <f>+IF(A358="","",ROUND(H358*Parámetros!$D$100,2))</f>
        <v>13.8</v>
      </c>
      <c r="M358" s="58">
        <f>+IF(A358="","",IF(AND(A358=1,B358=1),Parámetros!$D$114*(D358*frec-$G$3-$H$3),IF(AND(A358=2,B358=frec+1),Parámetros!$D$115*(D358*frec-$G$4-$H$4),0)))</f>
        <v>0</v>
      </c>
      <c r="N358" s="58">
        <f>+IF(A358="","",IF(A358&gt;Parámetros!$D$117,0,ROUND('Modelo Financiero'!D358*Parámetros!$D$116,2)))</f>
        <v>0</v>
      </c>
      <c r="O358" s="58">
        <f t="shared" si="69"/>
        <v>0</v>
      </c>
      <c r="P358" s="66">
        <f>+'Tablas Servicio'!I391</f>
        <v>-28.980000000000004</v>
      </c>
      <c r="Q358" s="66">
        <f>+'Tablas Servicio'!S391</f>
        <v>25584.28</v>
      </c>
      <c r="R358" s="66">
        <f>+'Tablas Servicio'!T391</f>
        <v>25584.28</v>
      </c>
      <c r="S358" s="66">
        <f t="shared" si="65"/>
        <v>46.009999999999991</v>
      </c>
      <c r="T358" s="66">
        <f t="shared" si="74"/>
        <v>8852.0199999999968</v>
      </c>
      <c r="U358" s="66">
        <f t="shared" si="70"/>
        <v>8852.0199999999968</v>
      </c>
      <c r="V358" s="81">
        <f t="shared" si="71"/>
        <v>0</v>
      </c>
      <c r="W358" s="66">
        <f t="shared" si="72"/>
        <v>0</v>
      </c>
      <c r="X358" s="66">
        <f t="shared" si="73"/>
        <v>8852.0199999999968</v>
      </c>
    </row>
    <row r="359" spans="1:24" x14ac:dyDescent="0.25">
      <c r="A359">
        <f>+'Tablas Servicio'!B392</f>
        <v>30</v>
      </c>
      <c r="B359">
        <f>+'Tablas Servicio'!C392</f>
        <v>351</v>
      </c>
      <c r="C359" s="56">
        <f>+'Tablas Servicio'!D392</f>
        <v>69.27000000000038</v>
      </c>
      <c r="D359" s="58">
        <f>+'Tablas Servicio'!N392</f>
        <v>94</v>
      </c>
      <c r="E359" s="66">
        <f>+'Tablas Servicio'!AC392</f>
        <v>103</v>
      </c>
      <c r="F359" s="66">
        <f>+IF(A359="","",'Tablas Servicio'!O392-'Modelo Financiero'!E359)</f>
        <v>2.75</v>
      </c>
      <c r="G359" s="58">
        <f t="shared" si="66"/>
        <v>72.240000000000009</v>
      </c>
      <c r="H359" s="66">
        <f>+'Tablas Servicio'!G392</f>
        <v>118.25</v>
      </c>
      <c r="I359" s="72">
        <f t="shared" si="67"/>
        <v>0.10570824524312894</v>
      </c>
      <c r="J359" s="66">
        <f t="shared" si="68"/>
        <v>12.5</v>
      </c>
      <c r="K359" s="66">
        <f>+'Tablas Servicio'!H392</f>
        <v>122.98</v>
      </c>
      <c r="L359" s="66">
        <f>+IF(A359="","",ROUND(H359*Parámetros!$D$100,2))</f>
        <v>13.8</v>
      </c>
      <c r="M359" s="58">
        <f>+IF(A359="","",IF(AND(A359=1,B359=1),Parámetros!$D$114*(D359*frec-$G$3-$H$3),IF(AND(A359=2,B359=frec+1),Parámetros!$D$115*(D359*frec-$G$4-$H$4),0)))</f>
        <v>0</v>
      </c>
      <c r="N359" s="58">
        <f>+IF(A359="","",IF(A359&gt;Parámetros!$D$117,0,ROUND('Modelo Financiero'!D359*Parámetros!$D$116,2)))</f>
        <v>0</v>
      </c>
      <c r="O359" s="58">
        <f t="shared" si="69"/>
        <v>0</v>
      </c>
      <c r="P359" s="66">
        <f>+'Tablas Servicio'!I392</f>
        <v>-28.980000000000004</v>
      </c>
      <c r="Q359" s="66">
        <f>+'Tablas Servicio'!S392</f>
        <v>25627.79</v>
      </c>
      <c r="R359" s="66">
        <f>+'Tablas Servicio'!T392</f>
        <v>25627.79</v>
      </c>
      <c r="S359" s="66">
        <f t="shared" si="65"/>
        <v>46.009999999999991</v>
      </c>
      <c r="T359" s="66">
        <f t="shared" si="74"/>
        <v>8898.029999999997</v>
      </c>
      <c r="U359" s="66">
        <f t="shared" si="70"/>
        <v>8898.029999999997</v>
      </c>
      <c r="V359" s="81">
        <f t="shared" si="71"/>
        <v>0</v>
      </c>
      <c r="W359" s="66">
        <f t="shared" si="72"/>
        <v>0</v>
      </c>
      <c r="X359" s="66">
        <f t="shared" si="73"/>
        <v>8898.029999999997</v>
      </c>
    </row>
    <row r="360" spans="1:24" x14ac:dyDescent="0.25">
      <c r="A360">
        <f>+'Tablas Servicio'!B393</f>
        <v>30</v>
      </c>
      <c r="B360">
        <f>+'Tablas Servicio'!C393</f>
        <v>352</v>
      </c>
      <c r="C360" s="56">
        <f>+'Tablas Servicio'!D393</f>
        <v>69.353333333333708</v>
      </c>
      <c r="D360" s="58">
        <f>+'Tablas Servicio'!N393</f>
        <v>94</v>
      </c>
      <c r="E360" s="66">
        <f>+'Tablas Servicio'!AC393</f>
        <v>103</v>
      </c>
      <c r="F360" s="66">
        <f>+IF(A360="","",'Tablas Servicio'!O393-'Modelo Financiero'!E360)</f>
        <v>2.75</v>
      </c>
      <c r="G360" s="58">
        <f t="shared" si="66"/>
        <v>72.240000000000009</v>
      </c>
      <c r="H360" s="66">
        <f>+'Tablas Servicio'!G393</f>
        <v>118.25</v>
      </c>
      <c r="I360" s="72">
        <f t="shared" si="67"/>
        <v>0.10570824524312894</v>
      </c>
      <c r="J360" s="66">
        <f t="shared" si="68"/>
        <v>12.5</v>
      </c>
      <c r="K360" s="66">
        <f>+'Tablas Servicio'!H393</f>
        <v>122.98</v>
      </c>
      <c r="L360" s="66">
        <f>+IF(A360="","",ROUND(H360*Parámetros!$D$100,2))</f>
        <v>13.8</v>
      </c>
      <c r="M360" s="58">
        <f>+IF(A360="","",IF(AND(A360=1,B360=1),Parámetros!$D$114*(D360*frec-$G$3-$H$3),IF(AND(A360=2,B360=frec+1),Parámetros!$D$115*(D360*frec-$G$4-$H$4),0)))</f>
        <v>0</v>
      </c>
      <c r="N360" s="58">
        <f>+IF(A360="","",IF(A360&gt;Parámetros!$D$117,0,ROUND('Modelo Financiero'!D360*Parámetros!$D$116,2)))</f>
        <v>0</v>
      </c>
      <c r="O360" s="58">
        <f t="shared" si="69"/>
        <v>0</v>
      </c>
      <c r="P360" s="66">
        <f>+'Tablas Servicio'!I393</f>
        <v>-28.980000000000004</v>
      </c>
      <c r="Q360" s="66">
        <f>+'Tablas Servicio'!S393</f>
        <v>25671.42</v>
      </c>
      <c r="R360" s="66">
        <f>+'Tablas Servicio'!T393</f>
        <v>25671.42</v>
      </c>
      <c r="S360" s="66">
        <f t="shared" si="65"/>
        <v>46.009999999999991</v>
      </c>
      <c r="T360" s="66">
        <f t="shared" si="74"/>
        <v>8944.0399999999972</v>
      </c>
      <c r="U360" s="66">
        <f t="shared" si="70"/>
        <v>8944.0399999999972</v>
      </c>
      <c r="V360" s="81">
        <f t="shared" si="71"/>
        <v>0</v>
      </c>
      <c r="W360" s="66">
        <f t="shared" si="72"/>
        <v>0</v>
      </c>
      <c r="X360" s="66">
        <f t="shared" si="73"/>
        <v>8944.0399999999972</v>
      </c>
    </row>
    <row r="361" spans="1:24" x14ac:dyDescent="0.25">
      <c r="A361">
        <f>+'Tablas Servicio'!B394</f>
        <v>30</v>
      </c>
      <c r="B361">
        <f>+'Tablas Servicio'!C394</f>
        <v>353</v>
      </c>
      <c r="C361" s="56">
        <f>+'Tablas Servicio'!D394</f>
        <v>69.436666666667037</v>
      </c>
      <c r="D361" s="58">
        <f>+'Tablas Servicio'!N394</f>
        <v>94</v>
      </c>
      <c r="E361" s="66">
        <f>+'Tablas Servicio'!AC394</f>
        <v>103</v>
      </c>
      <c r="F361" s="66">
        <f>+IF(A361="","",'Tablas Servicio'!O394-'Modelo Financiero'!E361)</f>
        <v>2.75</v>
      </c>
      <c r="G361" s="58">
        <f t="shared" si="66"/>
        <v>72.240000000000009</v>
      </c>
      <c r="H361" s="66">
        <f>+'Tablas Servicio'!G394</f>
        <v>118.25</v>
      </c>
      <c r="I361" s="72">
        <f t="shared" si="67"/>
        <v>0.10570824524312894</v>
      </c>
      <c r="J361" s="66">
        <f t="shared" si="68"/>
        <v>12.5</v>
      </c>
      <c r="K361" s="66">
        <f>+'Tablas Servicio'!H394</f>
        <v>122.98</v>
      </c>
      <c r="L361" s="66">
        <f>+IF(A361="","",ROUND(H361*Parámetros!$D$100,2))</f>
        <v>13.8</v>
      </c>
      <c r="M361" s="58">
        <f>+IF(A361="","",IF(AND(A361=1,B361=1),Parámetros!$D$114*(D361*frec-$G$3-$H$3),IF(AND(A361=2,B361=frec+1),Parámetros!$D$115*(D361*frec-$G$4-$H$4),0)))</f>
        <v>0</v>
      </c>
      <c r="N361" s="58">
        <f>+IF(A361="","",IF(A361&gt;Parámetros!$D$117,0,ROUND('Modelo Financiero'!D361*Parámetros!$D$116,2)))</f>
        <v>0</v>
      </c>
      <c r="O361" s="58">
        <f t="shared" si="69"/>
        <v>0</v>
      </c>
      <c r="P361" s="66">
        <f>+'Tablas Servicio'!I394</f>
        <v>-28.980000000000004</v>
      </c>
      <c r="Q361" s="66">
        <f>+'Tablas Servicio'!S394</f>
        <v>25715.17</v>
      </c>
      <c r="R361" s="66">
        <f>+'Tablas Servicio'!T394</f>
        <v>25715.17</v>
      </c>
      <c r="S361" s="66">
        <f t="shared" si="65"/>
        <v>46.009999999999991</v>
      </c>
      <c r="T361" s="66">
        <f t="shared" si="74"/>
        <v>8990.0499999999975</v>
      </c>
      <c r="U361" s="66">
        <f t="shared" si="70"/>
        <v>8990.0499999999975</v>
      </c>
      <c r="V361" s="81">
        <f t="shared" si="71"/>
        <v>0</v>
      </c>
      <c r="W361" s="66">
        <f t="shared" si="72"/>
        <v>0</v>
      </c>
      <c r="X361" s="66">
        <f t="shared" si="73"/>
        <v>8990.0499999999975</v>
      </c>
    </row>
    <row r="362" spans="1:24" x14ac:dyDescent="0.25">
      <c r="A362">
        <f>+'Tablas Servicio'!B395</f>
        <v>30</v>
      </c>
      <c r="B362">
        <f>+'Tablas Servicio'!C395</f>
        <v>354</v>
      </c>
      <c r="C362" s="56">
        <f>+'Tablas Servicio'!D395</f>
        <v>69.520000000000366</v>
      </c>
      <c r="D362" s="58">
        <f>+'Tablas Servicio'!N395</f>
        <v>94</v>
      </c>
      <c r="E362" s="66">
        <f>+'Tablas Servicio'!AC395</f>
        <v>103</v>
      </c>
      <c r="F362" s="66">
        <f>+IF(A362="","",'Tablas Servicio'!O395-'Modelo Financiero'!E362)</f>
        <v>2.75</v>
      </c>
      <c r="G362" s="58">
        <f t="shared" si="66"/>
        <v>72.240000000000009</v>
      </c>
      <c r="H362" s="66">
        <f>+'Tablas Servicio'!G395</f>
        <v>118.25</v>
      </c>
      <c r="I362" s="72">
        <f t="shared" si="67"/>
        <v>0.10570824524312894</v>
      </c>
      <c r="J362" s="66">
        <f t="shared" si="68"/>
        <v>12.5</v>
      </c>
      <c r="K362" s="66">
        <f>+'Tablas Servicio'!H395</f>
        <v>122.98</v>
      </c>
      <c r="L362" s="66">
        <f>+IF(A362="","",ROUND(H362*Parámetros!$D$100,2))</f>
        <v>13.8</v>
      </c>
      <c r="M362" s="58">
        <f>+IF(A362="","",IF(AND(A362=1,B362=1),Parámetros!$D$114*(D362*frec-$G$3-$H$3),IF(AND(A362=2,B362=frec+1),Parámetros!$D$115*(D362*frec-$G$4-$H$4),0)))</f>
        <v>0</v>
      </c>
      <c r="N362" s="58">
        <f>+IF(A362="","",IF(A362&gt;Parámetros!$D$117,0,ROUND('Modelo Financiero'!D362*Parámetros!$D$116,2)))</f>
        <v>0</v>
      </c>
      <c r="O362" s="58">
        <f t="shared" si="69"/>
        <v>0</v>
      </c>
      <c r="P362" s="66">
        <f>+'Tablas Servicio'!I395</f>
        <v>-28.980000000000004</v>
      </c>
      <c r="Q362" s="66">
        <f>+'Tablas Servicio'!S395</f>
        <v>25759.05</v>
      </c>
      <c r="R362" s="66">
        <f>+'Tablas Servicio'!T395</f>
        <v>25759.05</v>
      </c>
      <c r="S362" s="66">
        <f t="shared" si="65"/>
        <v>46.009999999999991</v>
      </c>
      <c r="T362" s="66">
        <f t="shared" si="74"/>
        <v>9036.0599999999977</v>
      </c>
      <c r="U362" s="66">
        <f t="shared" si="70"/>
        <v>9036.0599999999977</v>
      </c>
      <c r="V362" s="81">
        <f t="shared" si="71"/>
        <v>0</v>
      </c>
      <c r="W362" s="66">
        <f t="shared" si="72"/>
        <v>0</v>
      </c>
      <c r="X362" s="66">
        <f t="shared" si="73"/>
        <v>9036.0599999999977</v>
      </c>
    </row>
    <row r="363" spans="1:24" x14ac:dyDescent="0.25">
      <c r="A363">
        <f>+'Tablas Servicio'!B396</f>
        <v>30</v>
      </c>
      <c r="B363">
        <f>+'Tablas Servicio'!C396</f>
        <v>355</v>
      </c>
      <c r="C363" s="56">
        <f>+'Tablas Servicio'!D396</f>
        <v>69.603333333333694</v>
      </c>
      <c r="D363" s="58">
        <f>+'Tablas Servicio'!N396</f>
        <v>94</v>
      </c>
      <c r="E363" s="66">
        <f>+'Tablas Servicio'!AC396</f>
        <v>103</v>
      </c>
      <c r="F363" s="66">
        <f>+IF(A363="","",'Tablas Servicio'!O396-'Modelo Financiero'!E363)</f>
        <v>2.75</v>
      </c>
      <c r="G363" s="58">
        <f t="shared" si="66"/>
        <v>72.240000000000009</v>
      </c>
      <c r="H363" s="66">
        <f>+'Tablas Servicio'!G396</f>
        <v>118.25</v>
      </c>
      <c r="I363" s="72">
        <f t="shared" si="67"/>
        <v>0.10570824524312894</v>
      </c>
      <c r="J363" s="66">
        <f t="shared" si="68"/>
        <v>12.5</v>
      </c>
      <c r="K363" s="66">
        <f>+'Tablas Servicio'!H396</f>
        <v>122.98</v>
      </c>
      <c r="L363" s="66">
        <f>+IF(A363="","",ROUND(H363*Parámetros!$D$100,2))</f>
        <v>13.8</v>
      </c>
      <c r="M363" s="58">
        <f>+IF(A363="","",IF(AND(A363=1,B363=1),Parámetros!$D$114*(D363*frec-$G$3-$H$3),IF(AND(A363=2,B363=frec+1),Parámetros!$D$115*(D363*frec-$G$4-$H$4),0)))</f>
        <v>0</v>
      </c>
      <c r="N363" s="58">
        <f>+IF(A363="","",IF(A363&gt;Parámetros!$D$117,0,ROUND('Modelo Financiero'!D363*Parámetros!$D$116,2)))</f>
        <v>0</v>
      </c>
      <c r="O363" s="58">
        <f t="shared" si="69"/>
        <v>0</v>
      </c>
      <c r="P363" s="66">
        <f>+'Tablas Servicio'!I396</f>
        <v>-28.980000000000004</v>
      </c>
      <c r="Q363" s="66">
        <f>+'Tablas Servicio'!S396</f>
        <v>25803.05</v>
      </c>
      <c r="R363" s="66">
        <f>+'Tablas Servicio'!T396</f>
        <v>25803.05</v>
      </c>
      <c r="S363" s="66">
        <f t="shared" si="65"/>
        <v>46.009999999999991</v>
      </c>
      <c r="T363" s="66">
        <f t="shared" si="74"/>
        <v>9082.0699999999979</v>
      </c>
      <c r="U363" s="66">
        <f t="shared" si="70"/>
        <v>9082.0699999999979</v>
      </c>
      <c r="V363" s="81">
        <f t="shared" si="71"/>
        <v>0</v>
      </c>
      <c r="W363" s="66">
        <f t="shared" si="72"/>
        <v>0</v>
      </c>
      <c r="X363" s="66">
        <f t="shared" si="73"/>
        <v>9082.0699999999979</v>
      </c>
    </row>
    <row r="364" spans="1:24" x14ac:dyDescent="0.25">
      <c r="A364">
        <f>+'Tablas Servicio'!B397</f>
        <v>30</v>
      </c>
      <c r="B364">
        <f>+'Tablas Servicio'!C397</f>
        <v>356</v>
      </c>
      <c r="C364" s="56">
        <f>+'Tablas Servicio'!D397</f>
        <v>69.686666666667023</v>
      </c>
      <c r="D364" s="58">
        <f>+'Tablas Servicio'!N397</f>
        <v>94</v>
      </c>
      <c r="E364" s="66">
        <f>+'Tablas Servicio'!AC397</f>
        <v>103</v>
      </c>
      <c r="F364" s="66">
        <f>+IF(A364="","",'Tablas Servicio'!O397-'Modelo Financiero'!E364)</f>
        <v>2.75</v>
      </c>
      <c r="G364" s="58">
        <f t="shared" si="66"/>
        <v>72.240000000000009</v>
      </c>
      <c r="H364" s="66">
        <f>+'Tablas Servicio'!G397</f>
        <v>118.25</v>
      </c>
      <c r="I364" s="72">
        <f t="shared" si="67"/>
        <v>0.10570824524312894</v>
      </c>
      <c r="J364" s="66">
        <f t="shared" si="68"/>
        <v>12.5</v>
      </c>
      <c r="K364" s="66">
        <f>+'Tablas Servicio'!H397</f>
        <v>122.98</v>
      </c>
      <c r="L364" s="66">
        <f>+IF(A364="","",ROUND(H364*Parámetros!$D$100,2))</f>
        <v>13.8</v>
      </c>
      <c r="M364" s="58">
        <f>+IF(A364="","",IF(AND(A364=1,B364=1),Parámetros!$D$114*(D364*frec-$G$3-$H$3),IF(AND(A364=2,B364=frec+1),Parámetros!$D$115*(D364*frec-$G$4-$H$4),0)))</f>
        <v>0</v>
      </c>
      <c r="N364" s="58">
        <f>+IF(A364="","",IF(A364&gt;Parámetros!$D$117,0,ROUND('Modelo Financiero'!D364*Parámetros!$D$116,2)))</f>
        <v>0</v>
      </c>
      <c r="O364" s="58">
        <f t="shared" si="69"/>
        <v>0</v>
      </c>
      <c r="P364" s="66">
        <f>+'Tablas Servicio'!I397</f>
        <v>-28.980000000000004</v>
      </c>
      <c r="Q364" s="66">
        <f>+'Tablas Servicio'!S397</f>
        <v>25847.18</v>
      </c>
      <c r="R364" s="66">
        <f>+'Tablas Servicio'!T397</f>
        <v>25847.18</v>
      </c>
      <c r="S364" s="66">
        <f t="shared" si="65"/>
        <v>46.009999999999991</v>
      </c>
      <c r="T364" s="66">
        <f t="shared" si="74"/>
        <v>9128.0799999999981</v>
      </c>
      <c r="U364" s="66">
        <f t="shared" si="70"/>
        <v>9128.0799999999981</v>
      </c>
      <c r="V364" s="81">
        <f t="shared" si="71"/>
        <v>0</v>
      </c>
      <c r="W364" s="66">
        <f t="shared" si="72"/>
        <v>0</v>
      </c>
      <c r="X364" s="66">
        <f t="shared" si="73"/>
        <v>9128.0799999999981</v>
      </c>
    </row>
    <row r="365" spans="1:24" x14ac:dyDescent="0.25">
      <c r="A365">
        <f>+'Tablas Servicio'!B398</f>
        <v>30</v>
      </c>
      <c r="B365">
        <f>+'Tablas Servicio'!C398</f>
        <v>357</v>
      </c>
      <c r="C365" s="56">
        <f>+'Tablas Servicio'!D398</f>
        <v>69.770000000000351</v>
      </c>
      <c r="D365" s="58">
        <f>+'Tablas Servicio'!N398</f>
        <v>94</v>
      </c>
      <c r="E365" s="66">
        <f>+'Tablas Servicio'!AC398</f>
        <v>103</v>
      </c>
      <c r="F365" s="66">
        <f>+IF(A365="","",'Tablas Servicio'!O398-'Modelo Financiero'!E365)</f>
        <v>2.75</v>
      </c>
      <c r="G365" s="58">
        <f t="shared" si="66"/>
        <v>72.240000000000009</v>
      </c>
      <c r="H365" s="66">
        <f>+'Tablas Servicio'!G398</f>
        <v>118.25</v>
      </c>
      <c r="I365" s="72">
        <f t="shared" si="67"/>
        <v>0.10570824524312894</v>
      </c>
      <c r="J365" s="66">
        <f t="shared" si="68"/>
        <v>12.5</v>
      </c>
      <c r="K365" s="66">
        <f>+'Tablas Servicio'!H398</f>
        <v>122.98</v>
      </c>
      <c r="L365" s="66">
        <f>+IF(A365="","",ROUND(H365*Parámetros!$D$100,2))</f>
        <v>13.8</v>
      </c>
      <c r="M365" s="58">
        <f>+IF(A365="","",IF(AND(A365=1,B365=1),Parámetros!$D$114*(D365*frec-$G$3-$H$3),IF(AND(A365=2,B365=frec+1),Parámetros!$D$115*(D365*frec-$G$4-$H$4),0)))</f>
        <v>0</v>
      </c>
      <c r="N365" s="58">
        <f>+IF(A365="","",IF(A365&gt;Parámetros!$D$117,0,ROUND('Modelo Financiero'!D365*Parámetros!$D$116,2)))</f>
        <v>0</v>
      </c>
      <c r="O365" s="58">
        <f t="shared" si="69"/>
        <v>0</v>
      </c>
      <c r="P365" s="66">
        <f>+'Tablas Servicio'!I398</f>
        <v>-28.980000000000004</v>
      </c>
      <c r="Q365" s="66">
        <f>+'Tablas Servicio'!S398</f>
        <v>25891.43</v>
      </c>
      <c r="R365" s="66">
        <f>+'Tablas Servicio'!T398</f>
        <v>25891.43</v>
      </c>
      <c r="S365" s="66">
        <f t="shared" si="65"/>
        <v>46.009999999999991</v>
      </c>
      <c r="T365" s="66">
        <f t="shared" si="74"/>
        <v>9174.0899999999983</v>
      </c>
      <c r="U365" s="66">
        <f t="shared" si="70"/>
        <v>9174.0899999999983</v>
      </c>
      <c r="V365" s="81">
        <f t="shared" si="71"/>
        <v>0</v>
      </c>
      <c r="W365" s="66">
        <f t="shared" si="72"/>
        <v>0</v>
      </c>
      <c r="X365" s="66">
        <f t="shared" si="73"/>
        <v>9174.0899999999983</v>
      </c>
    </row>
    <row r="366" spans="1:24" x14ac:dyDescent="0.25">
      <c r="A366">
        <f>+'Tablas Servicio'!B399</f>
        <v>30</v>
      </c>
      <c r="B366">
        <f>+'Tablas Servicio'!C399</f>
        <v>358</v>
      </c>
      <c r="C366" s="56">
        <f>+'Tablas Servicio'!D399</f>
        <v>69.85333333333368</v>
      </c>
      <c r="D366" s="58">
        <f>+'Tablas Servicio'!N399</f>
        <v>94</v>
      </c>
      <c r="E366" s="66">
        <f>+'Tablas Servicio'!AC399</f>
        <v>103</v>
      </c>
      <c r="F366" s="66">
        <f>+IF(A366="","",'Tablas Servicio'!O399-'Modelo Financiero'!E366)</f>
        <v>2.75</v>
      </c>
      <c r="G366" s="58">
        <f t="shared" si="66"/>
        <v>72.240000000000009</v>
      </c>
      <c r="H366" s="66">
        <f>+'Tablas Servicio'!G399</f>
        <v>118.25</v>
      </c>
      <c r="I366" s="72">
        <f t="shared" si="67"/>
        <v>0.10570824524312894</v>
      </c>
      <c r="J366" s="66">
        <f t="shared" si="68"/>
        <v>12.5</v>
      </c>
      <c r="K366" s="66">
        <f>+'Tablas Servicio'!H399</f>
        <v>122.98</v>
      </c>
      <c r="L366" s="66">
        <f>+IF(A366="","",ROUND(H366*Parámetros!$D$100,2))</f>
        <v>13.8</v>
      </c>
      <c r="M366" s="58">
        <f>+IF(A366="","",IF(AND(A366=1,B366=1),Parámetros!$D$114*(D366*frec-$G$3-$H$3),IF(AND(A366=2,B366=frec+1),Parámetros!$D$115*(D366*frec-$G$4-$H$4),0)))</f>
        <v>0</v>
      </c>
      <c r="N366" s="58">
        <f>+IF(A366="","",IF(A366&gt;Parámetros!$D$117,0,ROUND('Modelo Financiero'!D366*Parámetros!$D$116,2)))</f>
        <v>0</v>
      </c>
      <c r="O366" s="58">
        <f t="shared" si="69"/>
        <v>0</v>
      </c>
      <c r="P366" s="66">
        <f>+'Tablas Servicio'!I399</f>
        <v>-28.980000000000004</v>
      </c>
      <c r="Q366" s="66">
        <f>+'Tablas Servicio'!S399</f>
        <v>25935.81</v>
      </c>
      <c r="R366" s="66">
        <f>+'Tablas Servicio'!T399</f>
        <v>25935.81</v>
      </c>
      <c r="S366" s="66">
        <f t="shared" si="65"/>
        <v>46.009999999999991</v>
      </c>
      <c r="T366" s="66">
        <f t="shared" si="74"/>
        <v>9220.0999999999985</v>
      </c>
      <c r="U366" s="66">
        <f t="shared" si="70"/>
        <v>9220.0999999999985</v>
      </c>
      <c r="V366" s="81">
        <f t="shared" si="71"/>
        <v>0</v>
      </c>
      <c r="W366" s="66">
        <f t="shared" si="72"/>
        <v>0</v>
      </c>
      <c r="X366" s="66">
        <f t="shared" si="73"/>
        <v>9220.0999999999985</v>
      </c>
    </row>
    <row r="367" spans="1:24" x14ac:dyDescent="0.25">
      <c r="A367">
        <f>+'Tablas Servicio'!B400</f>
        <v>30</v>
      </c>
      <c r="B367">
        <f>+'Tablas Servicio'!C400</f>
        <v>359</v>
      </c>
      <c r="C367" s="56">
        <f>+'Tablas Servicio'!D400</f>
        <v>69.936666666667008</v>
      </c>
      <c r="D367" s="58">
        <f>+'Tablas Servicio'!N400</f>
        <v>94</v>
      </c>
      <c r="E367" s="66">
        <f>+'Tablas Servicio'!AC400</f>
        <v>103</v>
      </c>
      <c r="F367" s="66">
        <f>+IF(A367="","",'Tablas Servicio'!O400-'Modelo Financiero'!E367)</f>
        <v>2.75</v>
      </c>
      <c r="G367" s="58">
        <f t="shared" si="66"/>
        <v>72.240000000000009</v>
      </c>
      <c r="H367" s="66">
        <f>+'Tablas Servicio'!G400</f>
        <v>118.25</v>
      </c>
      <c r="I367" s="72">
        <f t="shared" si="67"/>
        <v>0.10570824524312894</v>
      </c>
      <c r="J367" s="66">
        <f t="shared" si="68"/>
        <v>12.5</v>
      </c>
      <c r="K367" s="66">
        <f>+'Tablas Servicio'!H400</f>
        <v>122.98</v>
      </c>
      <c r="L367" s="66">
        <f>+IF(A367="","",ROUND(H367*Parámetros!$D$100,2))</f>
        <v>13.8</v>
      </c>
      <c r="M367" s="58">
        <f>+IF(A367="","",IF(AND(A367=1,B367=1),Parámetros!$D$114*(D367*frec-$G$3-$H$3),IF(AND(A367=2,B367=frec+1),Parámetros!$D$115*(D367*frec-$G$4-$H$4),0)))</f>
        <v>0</v>
      </c>
      <c r="N367" s="58">
        <f>+IF(A367="","",IF(A367&gt;Parámetros!$D$117,0,ROUND('Modelo Financiero'!D367*Parámetros!$D$116,2)))</f>
        <v>0</v>
      </c>
      <c r="O367" s="58">
        <f t="shared" si="69"/>
        <v>0</v>
      </c>
      <c r="P367" s="66">
        <f>+'Tablas Servicio'!I400</f>
        <v>-28.980000000000004</v>
      </c>
      <c r="Q367" s="66">
        <f>+'Tablas Servicio'!S400</f>
        <v>25980.31</v>
      </c>
      <c r="R367" s="66">
        <f>+'Tablas Servicio'!T400</f>
        <v>25980.31</v>
      </c>
      <c r="S367" s="66">
        <f t="shared" si="65"/>
        <v>46.009999999999991</v>
      </c>
      <c r="T367" s="66">
        <f t="shared" si="74"/>
        <v>9266.1099999999988</v>
      </c>
      <c r="U367" s="66">
        <f t="shared" si="70"/>
        <v>9266.1099999999988</v>
      </c>
      <c r="V367" s="81">
        <f t="shared" si="71"/>
        <v>0</v>
      </c>
      <c r="W367" s="66">
        <f t="shared" si="72"/>
        <v>0</v>
      </c>
      <c r="X367" s="66">
        <f t="shared" si="73"/>
        <v>9266.1099999999988</v>
      </c>
    </row>
    <row r="368" spans="1:24" x14ac:dyDescent="0.25">
      <c r="A368">
        <f>+'Tablas Servicio'!B401</f>
        <v>30</v>
      </c>
      <c r="B368">
        <f>+'Tablas Servicio'!C401</f>
        <v>360</v>
      </c>
      <c r="C368" s="56">
        <f>+'Tablas Servicio'!D401</f>
        <v>70.020000000000337</v>
      </c>
      <c r="D368" s="58">
        <f>+'Tablas Servicio'!N401</f>
        <v>94</v>
      </c>
      <c r="E368" s="66">
        <f>+'Tablas Servicio'!AC401</f>
        <v>103</v>
      </c>
      <c r="F368" s="66">
        <f>+IF(A368="","",'Tablas Servicio'!O401-'Modelo Financiero'!E368)</f>
        <v>2.75</v>
      </c>
      <c r="G368" s="58">
        <f t="shared" si="66"/>
        <v>72.240000000000009</v>
      </c>
      <c r="H368" s="66">
        <f>+'Tablas Servicio'!G401</f>
        <v>118.25</v>
      </c>
      <c r="I368" s="72">
        <f t="shared" si="67"/>
        <v>0.10570824524312894</v>
      </c>
      <c r="J368" s="66">
        <f t="shared" si="68"/>
        <v>12.5</v>
      </c>
      <c r="K368" s="66">
        <f>+'Tablas Servicio'!H401</f>
        <v>122.98</v>
      </c>
      <c r="L368" s="66">
        <f>+IF(A368="","",ROUND(H368*Parámetros!$D$100,2))</f>
        <v>13.8</v>
      </c>
      <c r="M368" s="58">
        <f>+IF(A368="","",IF(AND(A368=1,B368=1),Parámetros!$D$114*(D368*frec-$G$3-$H$3),IF(AND(A368=2,B368=frec+1),Parámetros!$D$115*(D368*frec-$G$4-$H$4),0)))</f>
        <v>0</v>
      </c>
      <c r="N368" s="58">
        <f>+IF(A368="","",IF(A368&gt;Parámetros!$D$117,0,ROUND('Modelo Financiero'!D368*Parámetros!$D$116,2)))</f>
        <v>0</v>
      </c>
      <c r="O368" s="58">
        <f t="shared" si="69"/>
        <v>0</v>
      </c>
      <c r="P368" s="66">
        <f>+'Tablas Servicio'!I401</f>
        <v>-28.980000000000004</v>
      </c>
      <c r="Q368" s="66">
        <f>+'Tablas Servicio'!S401</f>
        <v>26024.94</v>
      </c>
      <c r="R368" s="66">
        <f>+'Tablas Servicio'!T401</f>
        <v>26024.94</v>
      </c>
      <c r="S368" s="66">
        <f t="shared" si="65"/>
        <v>46.009999999999991</v>
      </c>
      <c r="T368" s="66">
        <f t="shared" si="74"/>
        <v>9312.119999999999</v>
      </c>
      <c r="U368" s="66">
        <f t="shared" si="70"/>
        <v>9312.119999999999</v>
      </c>
      <c r="V368" s="81">
        <f t="shared" si="71"/>
        <v>0</v>
      </c>
      <c r="W368" s="66">
        <f t="shared" si="72"/>
        <v>0</v>
      </c>
      <c r="X368" s="66">
        <f t="shared" si="73"/>
        <v>9312.119999999999</v>
      </c>
    </row>
    <row r="369" spans="1:24" x14ac:dyDescent="0.25">
      <c r="A369">
        <f>+'Tablas Servicio'!B402</f>
        <v>31</v>
      </c>
      <c r="B369">
        <f>+'Tablas Servicio'!C402</f>
        <v>361</v>
      </c>
      <c r="C369" s="56">
        <f>+'Tablas Servicio'!D402</f>
        <v>70.103333333333666</v>
      </c>
      <c r="D369" s="58">
        <f>+'Tablas Servicio'!N402</f>
        <v>94</v>
      </c>
      <c r="E369" s="66">
        <f>+'Tablas Servicio'!AC402</f>
        <v>112.5</v>
      </c>
      <c r="F369" s="66">
        <f>+IF(A369="","",'Tablas Servicio'!O402-'Modelo Financiero'!E369)</f>
        <v>3.25</v>
      </c>
      <c r="G369" s="58">
        <f t="shared" si="66"/>
        <v>79.099999999999994</v>
      </c>
      <c r="H369" s="66">
        <f>+'Tablas Servicio'!G402</f>
        <v>128.25</v>
      </c>
      <c r="I369" s="72">
        <f t="shared" si="67"/>
        <v>9.7465886939571145E-2</v>
      </c>
      <c r="J369" s="66">
        <f t="shared" si="68"/>
        <v>12.5</v>
      </c>
      <c r="K369" s="66">
        <f>+'Tablas Servicio'!H402</f>
        <v>133.38999999999999</v>
      </c>
      <c r="L369" s="66">
        <f>+IF(A369="","",ROUND(H369*Parámetros!$D$100,2))</f>
        <v>14.97</v>
      </c>
      <c r="M369" s="58">
        <f>+IF(A369="","",IF(AND(A369=1,B369=1),Parámetros!$D$114*(D369*frec-$G$3-$H$3),IF(AND(A369=2,B369=frec+1),Parámetros!$D$115*(D369*frec-$G$4-$H$4),0)))</f>
        <v>0</v>
      </c>
      <c r="N369" s="58">
        <f>+IF(A369="","",IF(A369&gt;Parámetros!$D$117,0,ROUND('Modelo Financiero'!D369*Parámetros!$D$116,2)))</f>
        <v>0</v>
      </c>
      <c r="O369" s="58">
        <f t="shared" si="69"/>
        <v>0</v>
      </c>
      <c r="P369" s="66">
        <f>+'Tablas Servicio'!I402</f>
        <v>-39.389999999999986</v>
      </c>
      <c r="Q369" s="66">
        <f>+'Tablas Servicio'!S402</f>
        <v>26059.26</v>
      </c>
      <c r="R369" s="66">
        <f>+'Tablas Servicio'!T402</f>
        <v>26059.26</v>
      </c>
      <c r="S369" s="66">
        <f t="shared" si="65"/>
        <v>49.150000000000006</v>
      </c>
      <c r="T369" s="66">
        <f t="shared" si="74"/>
        <v>9361.2699999999986</v>
      </c>
      <c r="U369" s="66">
        <f t="shared" si="70"/>
        <v>9361.2699999999986</v>
      </c>
      <c r="V369" s="81">
        <f t="shared" si="71"/>
        <v>0</v>
      </c>
      <c r="W369" s="66">
        <f t="shared" si="72"/>
        <v>0</v>
      </c>
      <c r="X369" s="66">
        <f t="shared" si="73"/>
        <v>9361.2699999999986</v>
      </c>
    </row>
    <row r="370" spans="1:24" x14ac:dyDescent="0.25">
      <c r="A370">
        <f>+'Tablas Servicio'!B403</f>
        <v>31</v>
      </c>
      <c r="B370">
        <f>+'Tablas Servicio'!C403</f>
        <v>362</v>
      </c>
      <c r="C370" s="56">
        <f>+'Tablas Servicio'!D403</f>
        <v>70.186666666666994</v>
      </c>
      <c r="D370" s="58">
        <f>+'Tablas Servicio'!N403</f>
        <v>94</v>
      </c>
      <c r="E370" s="66">
        <f>+'Tablas Servicio'!AC403</f>
        <v>112.5</v>
      </c>
      <c r="F370" s="66">
        <f>+IF(A370="","",'Tablas Servicio'!O403-'Modelo Financiero'!E370)</f>
        <v>3.25</v>
      </c>
      <c r="G370" s="58">
        <f t="shared" si="66"/>
        <v>79.099999999999994</v>
      </c>
      <c r="H370" s="66">
        <f>+'Tablas Servicio'!G403</f>
        <v>128.25</v>
      </c>
      <c r="I370" s="72">
        <f t="shared" si="67"/>
        <v>9.7465886939571145E-2</v>
      </c>
      <c r="J370" s="66">
        <f t="shared" si="68"/>
        <v>12.5</v>
      </c>
      <c r="K370" s="66">
        <f>+'Tablas Servicio'!H403</f>
        <v>133.38999999999999</v>
      </c>
      <c r="L370" s="66">
        <f>+IF(A370="","",ROUND(H370*Parámetros!$D$100,2))</f>
        <v>14.97</v>
      </c>
      <c r="M370" s="58">
        <f>+IF(A370="","",IF(AND(A370=1,B370=1),Parámetros!$D$114*(D370*frec-$G$3-$H$3),IF(AND(A370=2,B370=frec+1),Parámetros!$D$115*(D370*frec-$G$4-$H$4),0)))</f>
        <v>0</v>
      </c>
      <c r="N370" s="58">
        <f>+IF(A370="","",IF(A370&gt;Parámetros!$D$117,0,ROUND('Modelo Financiero'!D370*Parámetros!$D$116,2)))</f>
        <v>0</v>
      </c>
      <c r="O370" s="58">
        <f t="shared" si="69"/>
        <v>0</v>
      </c>
      <c r="P370" s="66">
        <f>+'Tablas Servicio'!I403</f>
        <v>-39.389999999999986</v>
      </c>
      <c r="Q370" s="66">
        <f>+'Tablas Servicio'!S403</f>
        <v>26093.67</v>
      </c>
      <c r="R370" s="66">
        <f>+'Tablas Servicio'!T403</f>
        <v>26093.67</v>
      </c>
      <c r="S370" s="66">
        <f t="shared" si="65"/>
        <v>49.150000000000006</v>
      </c>
      <c r="T370" s="66">
        <f t="shared" si="74"/>
        <v>9410.4199999999983</v>
      </c>
      <c r="U370" s="66">
        <f t="shared" si="70"/>
        <v>9410.4199999999983</v>
      </c>
      <c r="V370" s="81">
        <f t="shared" si="71"/>
        <v>0</v>
      </c>
      <c r="W370" s="66">
        <f t="shared" si="72"/>
        <v>0</v>
      </c>
      <c r="X370" s="66">
        <f t="shared" si="73"/>
        <v>9410.4199999999983</v>
      </c>
    </row>
    <row r="371" spans="1:24" x14ac:dyDescent="0.25">
      <c r="A371">
        <f>+'Tablas Servicio'!B404</f>
        <v>31</v>
      </c>
      <c r="B371">
        <f>+'Tablas Servicio'!C404</f>
        <v>363</v>
      </c>
      <c r="C371" s="56">
        <f>+'Tablas Servicio'!D404</f>
        <v>70.270000000000323</v>
      </c>
      <c r="D371" s="58">
        <f>+'Tablas Servicio'!N404</f>
        <v>94</v>
      </c>
      <c r="E371" s="66">
        <f>+'Tablas Servicio'!AC404</f>
        <v>112.5</v>
      </c>
      <c r="F371" s="66">
        <f>+IF(A371="","",'Tablas Servicio'!O404-'Modelo Financiero'!E371)</f>
        <v>3.25</v>
      </c>
      <c r="G371" s="58">
        <f t="shared" si="66"/>
        <v>79.099999999999994</v>
      </c>
      <c r="H371" s="66">
        <f>+'Tablas Servicio'!G404</f>
        <v>128.25</v>
      </c>
      <c r="I371" s="72">
        <f t="shared" si="67"/>
        <v>9.7465886939571145E-2</v>
      </c>
      <c r="J371" s="66">
        <f t="shared" si="68"/>
        <v>12.5</v>
      </c>
      <c r="K371" s="66">
        <f>+'Tablas Servicio'!H404</f>
        <v>133.38999999999999</v>
      </c>
      <c r="L371" s="66">
        <f>+IF(A371="","",ROUND(H371*Parámetros!$D$100,2))</f>
        <v>14.97</v>
      </c>
      <c r="M371" s="58">
        <f>+IF(A371="","",IF(AND(A371=1,B371=1),Parámetros!$D$114*(D371*frec-$G$3-$H$3),IF(AND(A371=2,B371=frec+1),Parámetros!$D$115*(D371*frec-$G$4-$H$4),0)))</f>
        <v>0</v>
      </c>
      <c r="N371" s="58">
        <f>+IF(A371="","",IF(A371&gt;Parámetros!$D$117,0,ROUND('Modelo Financiero'!D371*Parámetros!$D$116,2)))</f>
        <v>0</v>
      </c>
      <c r="O371" s="58">
        <f t="shared" si="69"/>
        <v>0</v>
      </c>
      <c r="P371" s="66">
        <f>+'Tablas Servicio'!I404</f>
        <v>-39.389999999999986</v>
      </c>
      <c r="Q371" s="66">
        <f>+'Tablas Servicio'!S404</f>
        <v>26128.18</v>
      </c>
      <c r="R371" s="66">
        <f>+'Tablas Servicio'!T404</f>
        <v>26128.18</v>
      </c>
      <c r="S371" s="66">
        <f t="shared" si="65"/>
        <v>49.150000000000006</v>
      </c>
      <c r="T371" s="66">
        <f t="shared" si="74"/>
        <v>9459.5699999999979</v>
      </c>
      <c r="U371" s="66">
        <f t="shared" si="70"/>
        <v>9459.5699999999979</v>
      </c>
      <c r="V371" s="81">
        <f t="shared" si="71"/>
        <v>0</v>
      </c>
      <c r="W371" s="66">
        <f t="shared" si="72"/>
        <v>0</v>
      </c>
      <c r="X371" s="66">
        <f t="shared" si="73"/>
        <v>9459.5699999999979</v>
      </c>
    </row>
    <row r="372" spans="1:24" x14ac:dyDescent="0.25">
      <c r="A372">
        <f>+'Tablas Servicio'!B405</f>
        <v>31</v>
      </c>
      <c r="B372">
        <f>+'Tablas Servicio'!C405</f>
        <v>364</v>
      </c>
      <c r="C372" s="56">
        <f>+'Tablas Servicio'!D405</f>
        <v>70.353333333333651</v>
      </c>
      <c r="D372" s="58">
        <f>+'Tablas Servicio'!N405</f>
        <v>94</v>
      </c>
      <c r="E372" s="66">
        <f>+'Tablas Servicio'!AC405</f>
        <v>112.5</v>
      </c>
      <c r="F372" s="66">
        <f>+IF(A372="","",'Tablas Servicio'!O405-'Modelo Financiero'!E372)</f>
        <v>3.25</v>
      </c>
      <c r="G372" s="58">
        <f t="shared" si="66"/>
        <v>79.099999999999994</v>
      </c>
      <c r="H372" s="66">
        <f>+'Tablas Servicio'!G405</f>
        <v>128.25</v>
      </c>
      <c r="I372" s="72">
        <f t="shared" si="67"/>
        <v>9.7465886939571145E-2</v>
      </c>
      <c r="J372" s="66">
        <f t="shared" si="68"/>
        <v>12.5</v>
      </c>
      <c r="K372" s="66">
        <f>+'Tablas Servicio'!H405</f>
        <v>133.38999999999999</v>
      </c>
      <c r="L372" s="66">
        <f>+IF(A372="","",ROUND(H372*Parámetros!$D$100,2))</f>
        <v>14.97</v>
      </c>
      <c r="M372" s="58">
        <f>+IF(A372="","",IF(AND(A372=1,B372=1),Parámetros!$D$114*(D372*frec-$G$3-$H$3),IF(AND(A372=2,B372=frec+1),Parámetros!$D$115*(D372*frec-$G$4-$H$4),0)))</f>
        <v>0</v>
      </c>
      <c r="N372" s="58">
        <f>+IF(A372="","",IF(A372&gt;Parámetros!$D$117,0,ROUND('Modelo Financiero'!D372*Parámetros!$D$116,2)))</f>
        <v>0</v>
      </c>
      <c r="O372" s="58">
        <f t="shared" si="69"/>
        <v>0</v>
      </c>
      <c r="P372" s="66">
        <f>+'Tablas Servicio'!I405</f>
        <v>-39.389999999999986</v>
      </c>
      <c r="Q372" s="66">
        <f>+'Tablas Servicio'!S405</f>
        <v>26162.79</v>
      </c>
      <c r="R372" s="66">
        <f>+'Tablas Servicio'!T405</f>
        <v>26162.79</v>
      </c>
      <c r="S372" s="66">
        <f t="shared" si="65"/>
        <v>49.150000000000006</v>
      </c>
      <c r="T372" s="66">
        <f t="shared" si="74"/>
        <v>9508.7199999999975</v>
      </c>
      <c r="U372" s="66">
        <f t="shared" si="70"/>
        <v>9508.7199999999975</v>
      </c>
      <c r="V372" s="81">
        <f t="shared" si="71"/>
        <v>0</v>
      </c>
      <c r="W372" s="66">
        <f t="shared" si="72"/>
        <v>0</v>
      </c>
      <c r="X372" s="66">
        <f t="shared" si="73"/>
        <v>9508.7199999999975</v>
      </c>
    </row>
    <row r="373" spans="1:24" x14ac:dyDescent="0.25">
      <c r="A373">
        <f>+'Tablas Servicio'!B406</f>
        <v>31</v>
      </c>
      <c r="B373">
        <f>+'Tablas Servicio'!C406</f>
        <v>365</v>
      </c>
      <c r="C373" s="56">
        <f>+'Tablas Servicio'!D406</f>
        <v>70.43666666666698</v>
      </c>
      <c r="D373" s="58">
        <f>+'Tablas Servicio'!N406</f>
        <v>94</v>
      </c>
      <c r="E373" s="66">
        <f>+'Tablas Servicio'!AC406</f>
        <v>112.5</v>
      </c>
      <c r="F373" s="66">
        <f>+IF(A373="","",'Tablas Servicio'!O406-'Modelo Financiero'!E373)</f>
        <v>3.25</v>
      </c>
      <c r="G373" s="58">
        <f t="shared" si="66"/>
        <v>79.099999999999994</v>
      </c>
      <c r="H373" s="66">
        <f>+'Tablas Servicio'!G406</f>
        <v>128.25</v>
      </c>
      <c r="I373" s="72">
        <f t="shared" si="67"/>
        <v>9.7465886939571145E-2</v>
      </c>
      <c r="J373" s="66">
        <f t="shared" si="68"/>
        <v>12.5</v>
      </c>
      <c r="K373" s="66">
        <f>+'Tablas Servicio'!H406</f>
        <v>133.38999999999999</v>
      </c>
      <c r="L373" s="66">
        <f>+IF(A373="","",ROUND(H373*Parámetros!$D$100,2))</f>
        <v>14.97</v>
      </c>
      <c r="M373" s="58">
        <f>+IF(A373="","",IF(AND(A373=1,B373=1),Parámetros!$D$114*(D373*frec-$G$3-$H$3),IF(AND(A373=2,B373=frec+1),Parámetros!$D$115*(D373*frec-$G$4-$H$4),0)))</f>
        <v>0</v>
      </c>
      <c r="N373" s="58">
        <f>+IF(A373="","",IF(A373&gt;Parámetros!$D$117,0,ROUND('Modelo Financiero'!D373*Parámetros!$D$116,2)))</f>
        <v>0</v>
      </c>
      <c r="O373" s="58">
        <f t="shared" si="69"/>
        <v>0</v>
      </c>
      <c r="P373" s="66">
        <f>+'Tablas Servicio'!I406</f>
        <v>-39.389999999999986</v>
      </c>
      <c r="Q373" s="66">
        <f>+'Tablas Servicio'!S406</f>
        <v>26197.5</v>
      </c>
      <c r="R373" s="66">
        <f>+'Tablas Servicio'!T406</f>
        <v>26197.5</v>
      </c>
      <c r="S373" s="66">
        <f t="shared" si="65"/>
        <v>49.150000000000006</v>
      </c>
      <c r="T373" s="66">
        <f t="shared" si="74"/>
        <v>9557.8699999999972</v>
      </c>
      <c r="U373" s="66">
        <f t="shared" si="70"/>
        <v>9557.8699999999972</v>
      </c>
      <c r="V373" s="81">
        <f t="shared" si="71"/>
        <v>0</v>
      </c>
      <c r="W373" s="66">
        <f t="shared" si="72"/>
        <v>0</v>
      </c>
      <c r="X373" s="66">
        <f t="shared" si="73"/>
        <v>9557.8699999999972</v>
      </c>
    </row>
    <row r="374" spans="1:24" x14ac:dyDescent="0.25">
      <c r="A374">
        <f>+'Tablas Servicio'!B407</f>
        <v>31</v>
      </c>
      <c r="B374">
        <f>+'Tablas Servicio'!C407</f>
        <v>366</v>
      </c>
      <c r="C374" s="56">
        <f>+'Tablas Servicio'!D407</f>
        <v>70.520000000000309</v>
      </c>
      <c r="D374" s="58">
        <f>+'Tablas Servicio'!N407</f>
        <v>94</v>
      </c>
      <c r="E374" s="66">
        <f>+'Tablas Servicio'!AC407</f>
        <v>112.5</v>
      </c>
      <c r="F374" s="66">
        <f>+IF(A374="","",'Tablas Servicio'!O407-'Modelo Financiero'!E374)</f>
        <v>3.25</v>
      </c>
      <c r="G374" s="58">
        <f t="shared" si="66"/>
        <v>79.099999999999994</v>
      </c>
      <c r="H374" s="66">
        <f>+'Tablas Servicio'!G407</f>
        <v>128.25</v>
      </c>
      <c r="I374" s="72">
        <f t="shared" si="67"/>
        <v>9.7465886939571145E-2</v>
      </c>
      <c r="J374" s="66">
        <f t="shared" si="68"/>
        <v>12.5</v>
      </c>
      <c r="K374" s="66">
        <f>+'Tablas Servicio'!H407</f>
        <v>133.38999999999999</v>
      </c>
      <c r="L374" s="66">
        <f>+IF(A374="","",ROUND(H374*Parámetros!$D$100,2))</f>
        <v>14.97</v>
      </c>
      <c r="M374" s="58">
        <f>+IF(A374="","",IF(AND(A374=1,B374=1),Parámetros!$D$114*(D374*frec-$G$3-$H$3),IF(AND(A374=2,B374=frec+1),Parámetros!$D$115*(D374*frec-$G$4-$H$4),0)))</f>
        <v>0</v>
      </c>
      <c r="N374" s="58">
        <f>+IF(A374="","",IF(A374&gt;Parámetros!$D$117,0,ROUND('Modelo Financiero'!D374*Parámetros!$D$116,2)))</f>
        <v>0</v>
      </c>
      <c r="O374" s="58">
        <f t="shared" si="69"/>
        <v>0</v>
      </c>
      <c r="P374" s="66">
        <f>+'Tablas Servicio'!I407</f>
        <v>-39.389999999999986</v>
      </c>
      <c r="Q374" s="66">
        <f>+'Tablas Servicio'!S407</f>
        <v>26232.31</v>
      </c>
      <c r="R374" s="66">
        <f>+'Tablas Servicio'!T407</f>
        <v>26232.31</v>
      </c>
      <c r="S374" s="66">
        <f t="shared" si="65"/>
        <v>49.150000000000006</v>
      </c>
      <c r="T374" s="66">
        <f t="shared" si="74"/>
        <v>9607.0199999999968</v>
      </c>
      <c r="U374" s="66">
        <f t="shared" si="70"/>
        <v>9607.0199999999968</v>
      </c>
      <c r="V374" s="81">
        <f t="shared" si="71"/>
        <v>0</v>
      </c>
      <c r="W374" s="66">
        <f t="shared" si="72"/>
        <v>0</v>
      </c>
      <c r="X374" s="66">
        <f t="shared" si="73"/>
        <v>9607.0199999999968</v>
      </c>
    </row>
    <row r="375" spans="1:24" x14ac:dyDescent="0.25">
      <c r="A375">
        <f>+'Tablas Servicio'!B408</f>
        <v>31</v>
      </c>
      <c r="B375">
        <f>+'Tablas Servicio'!C408</f>
        <v>367</v>
      </c>
      <c r="C375" s="56">
        <f>+'Tablas Servicio'!D408</f>
        <v>70.603333333333637</v>
      </c>
      <c r="D375" s="58">
        <f>+'Tablas Servicio'!N408</f>
        <v>94</v>
      </c>
      <c r="E375" s="66">
        <f>+'Tablas Servicio'!AC408</f>
        <v>112.5</v>
      </c>
      <c r="F375" s="66">
        <f>+IF(A375="","",'Tablas Servicio'!O408-'Modelo Financiero'!E375)</f>
        <v>3.25</v>
      </c>
      <c r="G375" s="58">
        <f t="shared" si="66"/>
        <v>79.099999999999994</v>
      </c>
      <c r="H375" s="66">
        <f>+'Tablas Servicio'!G408</f>
        <v>128.25</v>
      </c>
      <c r="I375" s="72">
        <f t="shared" si="67"/>
        <v>9.7465886939571145E-2</v>
      </c>
      <c r="J375" s="66">
        <f>+IF(A375="","",H375-E375-F375)</f>
        <v>12.5</v>
      </c>
      <c r="K375" s="66">
        <f>+'Tablas Servicio'!H408</f>
        <v>133.38999999999999</v>
      </c>
      <c r="L375" s="66">
        <f>+IF(A375="","",ROUND(H375*Parámetros!$D$100,2))</f>
        <v>14.97</v>
      </c>
      <c r="M375" s="58">
        <f>+IF(A375="","",IF(AND(A375=1,B375=1),Parámetros!$D$114*(D375*frec-$G$3-$H$3),IF(AND(A375=2,B375=frec+1),Parámetros!$D$115*(D375*frec-$G$4-$H$4),0)))</f>
        <v>0</v>
      </c>
      <c r="N375" s="58">
        <f>+IF(A375="","",IF(A375&gt;Parámetros!$D$117,0,ROUND('Modelo Financiero'!D375*Parámetros!$D$116,2)))</f>
        <v>0</v>
      </c>
      <c r="O375" s="58">
        <f t="shared" si="69"/>
        <v>0</v>
      </c>
      <c r="P375" s="66">
        <f>+'Tablas Servicio'!I408</f>
        <v>-39.389999999999986</v>
      </c>
      <c r="Q375" s="66">
        <f>+'Tablas Servicio'!S408</f>
        <v>26267.22</v>
      </c>
      <c r="R375" s="66">
        <f>+'Tablas Servicio'!T408</f>
        <v>26267.22</v>
      </c>
      <c r="S375" s="66">
        <f t="shared" si="65"/>
        <v>49.150000000000006</v>
      </c>
      <c r="T375" s="66">
        <f t="shared" si="74"/>
        <v>9656.1699999999964</v>
      </c>
      <c r="U375" s="66">
        <f t="shared" si="70"/>
        <v>9656.1699999999964</v>
      </c>
      <c r="V375" s="81">
        <f t="shared" si="71"/>
        <v>0</v>
      </c>
      <c r="W375" s="66">
        <f t="shared" si="72"/>
        <v>0</v>
      </c>
      <c r="X375" s="66">
        <f t="shared" si="73"/>
        <v>9656.1699999999964</v>
      </c>
    </row>
    <row r="376" spans="1:24" x14ac:dyDescent="0.25">
      <c r="A376">
        <f>+'Tablas Servicio'!B409</f>
        <v>31</v>
      </c>
      <c r="B376">
        <f>+'Tablas Servicio'!C409</f>
        <v>368</v>
      </c>
      <c r="C376" s="56">
        <f>+'Tablas Servicio'!D409</f>
        <v>70.686666666666966</v>
      </c>
      <c r="D376" s="58">
        <f>+'Tablas Servicio'!N409</f>
        <v>94</v>
      </c>
      <c r="E376" s="66">
        <f>+'Tablas Servicio'!AC409</f>
        <v>112.5</v>
      </c>
      <c r="F376" s="66">
        <f>+IF(A376="","",'Tablas Servicio'!O409-'Modelo Financiero'!E376)</f>
        <v>3.25</v>
      </c>
      <c r="G376" s="58">
        <f t="shared" si="66"/>
        <v>79.099999999999994</v>
      </c>
      <c r="H376" s="66">
        <f>+'Tablas Servicio'!G409</f>
        <v>128.25</v>
      </c>
      <c r="I376" s="72">
        <f t="shared" si="67"/>
        <v>9.7465886939571145E-2</v>
      </c>
      <c r="J376" s="66">
        <f t="shared" si="68"/>
        <v>12.5</v>
      </c>
      <c r="K376" s="66">
        <f>+'Tablas Servicio'!H409</f>
        <v>133.38999999999999</v>
      </c>
      <c r="L376" s="66">
        <f>+IF(A376="","",ROUND(H376*Parámetros!$D$100,2))</f>
        <v>14.97</v>
      </c>
      <c r="M376" s="58">
        <f>+IF(A376="","",IF(AND(A376=1,B376=1),Parámetros!$D$114*(D376*frec-$G$3-$H$3),IF(AND(A376=2,B376=frec+1),Parámetros!$D$115*(D376*frec-$G$4-$H$4),0)))</f>
        <v>0</v>
      </c>
      <c r="N376" s="58">
        <f>+IF(A376="","",IF(A376&gt;Parámetros!$D$117,0,ROUND('Modelo Financiero'!D376*Parámetros!$D$116,2)))</f>
        <v>0</v>
      </c>
      <c r="O376" s="58">
        <f t="shared" si="69"/>
        <v>0</v>
      </c>
      <c r="P376" s="66">
        <f>+'Tablas Servicio'!I409</f>
        <v>-39.389999999999986</v>
      </c>
      <c r="Q376" s="66">
        <f>+'Tablas Servicio'!S409</f>
        <v>26302.22</v>
      </c>
      <c r="R376" s="66">
        <f>+'Tablas Servicio'!T409</f>
        <v>26302.22</v>
      </c>
      <c r="S376" s="66">
        <f t="shared" si="65"/>
        <v>49.150000000000006</v>
      </c>
      <c r="T376" s="66">
        <f t="shared" si="74"/>
        <v>9705.3199999999961</v>
      </c>
      <c r="U376" s="66">
        <f t="shared" si="70"/>
        <v>9705.3199999999961</v>
      </c>
      <c r="V376" s="81">
        <f t="shared" si="71"/>
        <v>0</v>
      </c>
      <c r="W376" s="66">
        <f t="shared" si="72"/>
        <v>0</v>
      </c>
      <c r="X376" s="66">
        <f t="shared" si="73"/>
        <v>9705.3199999999961</v>
      </c>
    </row>
    <row r="377" spans="1:24" x14ac:dyDescent="0.25">
      <c r="A377">
        <f>+'Tablas Servicio'!B410</f>
        <v>31</v>
      </c>
      <c r="B377">
        <f>+'Tablas Servicio'!C410</f>
        <v>369</v>
      </c>
      <c r="C377" s="56">
        <f>+'Tablas Servicio'!D410</f>
        <v>70.770000000000294</v>
      </c>
      <c r="D377" s="58">
        <f>+'Tablas Servicio'!N410</f>
        <v>94</v>
      </c>
      <c r="E377" s="66">
        <f>+'Tablas Servicio'!AC410</f>
        <v>112.5</v>
      </c>
      <c r="F377" s="66">
        <f>+IF(A377="","",'Tablas Servicio'!O410-'Modelo Financiero'!E377)</f>
        <v>3.25</v>
      </c>
      <c r="G377" s="58">
        <f t="shared" si="66"/>
        <v>79.099999999999994</v>
      </c>
      <c r="H377" s="66">
        <f>+'Tablas Servicio'!G410</f>
        <v>128.25</v>
      </c>
      <c r="I377" s="72">
        <f t="shared" si="67"/>
        <v>9.7465886939571145E-2</v>
      </c>
      <c r="J377" s="66">
        <f t="shared" si="68"/>
        <v>12.5</v>
      </c>
      <c r="K377" s="66">
        <f>+'Tablas Servicio'!H410</f>
        <v>133.38999999999999</v>
      </c>
      <c r="L377" s="66">
        <f>+IF(A377="","",ROUND(H377*Parámetros!$D$100,2))</f>
        <v>14.97</v>
      </c>
      <c r="M377" s="58">
        <f>+IF(A377="","",IF(AND(A377=1,B377=1),Parámetros!$D$114*(D377*frec-$G$3-$H$3),IF(AND(A377=2,B377=frec+1),Parámetros!$D$115*(D377*frec-$G$4-$H$4),0)))</f>
        <v>0</v>
      </c>
      <c r="N377" s="58">
        <f>+IF(A377="","",IF(A377&gt;Parámetros!$D$117,0,ROUND('Modelo Financiero'!D377*Parámetros!$D$116,2)))</f>
        <v>0</v>
      </c>
      <c r="O377" s="58">
        <f t="shared" si="69"/>
        <v>0</v>
      </c>
      <c r="P377" s="66">
        <f>+'Tablas Servicio'!I410</f>
        <v>-39.389999999999986</v>
      </c>
      <c r="Q377" s="66">
        <f>+'Tablas Servicio'!S410</f>
        <v>26337.32</v>
      </c>
      <c r="R377" s="66">
        <f>+'Tablas Servicio'!T410</f>
        <v>26337.32</v>
      </c>
      <c r="S377" s="66">
        <f t="shared" si="65"/>
        <v>49.150000000000006</v>
      </c>
      <c r="T377" s="66">
        <f t="shared" si="74"/>
        <v>9754.4699999999957</v>
      </c>
      <c r="U377" s="66">
        <f t="shared" si="70"/>
        <v>9754.4699999999957</v>
      </c>
      <c r="V377" s="81">
        <f t="shared" si="71"/>
        <v>0</v>
      </c>
      <c r="W377" s="66">
        <f t="shared" si="72"/>
        <v>0</v>
      </c>
      <c r="X377" s="66">
        <f t="shared" si="73"/>
        <v>9754.4699999999957</v>
      </c>
    </row>
    <row r="378" spans="1:24" x14ac:dyDescent="0.25">
      <c r="A378">
        <f>+'Tablas Servicio'!B411</f>
        <v>31</v>
      </c>
      <c r="B378">
        <f>+'Tablas Servicio'!C411</f>
        <v>370</v>
      </c>
      <c r="C378" s="56">
        <f>+'Tablas Servicio'!D411</f>
        <v>70.853333333333623</v>
      </c>
      <c r="D378" s="58">
        <f>+'Tablas Servicio'!N411</f>
        <v>94</v>
      </c>
      <c r="E378" s="66">
        <f>+'Tablas Servicio'!AC411</f>
        <v>112.5</v>
      </c>
      <c r="F378" s="66">
        <f>+IF(A378="","",'Tablas Servicio'!O411-'Modelo Financiero'!E378)</f>
        <v>3.25</v>
      </c>
      <c r="G378" s="58">
        <f t="shared" si="66"/>
        <v>79.099999999999994</v>
      </c>
      <c r="H378" s="66">
        <f>+'Tablas Servicio'!G411</f>
        <v>128.25</v>
      </c>
      <c r="I378" s="72">
        <f t="shared" si="67"/>
        <v>9.7465886939571145E-2</v>
      </c>
      <c r="J378" s="66">
        <f t="shared" si="68"/>
        <v>12.5</v>
      </c>
      <c r="K378" s="66">
        <f>+'Tablas Servicio'!H411</f>
        <v>133.38999999999999</v>
      </c>
      <c r="L378" s="66">
        <f>+IF(A378="","",ROUND(H378*Parámetros!$D$100,2))</f>
        <v>14.97</v>
      </c>
      <c r="M378" s="58">
        <f>+IF(A378="","",IF(AND(A378=1,B378=1),Parámetros!$D$114*(D378*frec-$G$3-$H$3),IF(AND(A378=2,B378=frec+1),Parámetros!$D$115*(D378*frec-$G$4-$H$4),0)))</f>
        <v>0</v>
      </c>
      <c r="N378" s="58">
        <f>+IF(A378="","",IF(A378&gt;Parámetros!$D$117,0,ROUND('Modelo Financiero'!D378*Parámetros!$D$116,2)))</f>
        <v>0</v>
      </c>
      <c r="O378" s="58">
        <f t="shared" si="69"/>
        <v>0</v>
      </c>
      <c r="P378" s="66">
        <f>+'Tablas Servicio'!I411</f>
        <v>-39.389999999999986</v>
      </c>
      <c r="Q378" s="66">
        <f>+'Tablas Servicio'!S411</f>
        <v>26372.52</v>
      </c>
      <c r="R378" s="66">
        <f>+'Tablas Servicio'!T411</f>
        <v>26372.52</v>
      </c>
      <c r="S378" s="66">
        <f t="shared" si="65"/>
        <v>49.150000000000006</v>
      </c>
      <c r="T378" s="66">
        <f t="shared" si="74"/>
        <v>9803.6199999999953</v>
      </c>
      <c r="U378" s="66">
        <f t="shared" si="70"/>
        <v>9803.6199999999953</v>
      </c>
      <c r="V378" s="81">
        <f t="shared" si="71"/>
        <v>0</v>
      </c>
      <c r="W378" s="66">
        <f t="shared" si="72"/>
        <v>0</v>
      </c>
      <c r="X378" s="66">
        <f t="shared" si="73"/>
        <v>9803.6199999999953</v>
      </c>
    </row>
    <row r="379" spans="1:24" x14ac:dyDescent="0.25">
      <c r="A379">
        <f>+'Tablas Servicio'!B412</f>
        <v>31</v>
      </c>
      <c r="B379">
        <f>+'Tablas Servicio'!C412</f>
        <v>371</v>
      </c>
      <c r="C379" s="56">
        <f>+'Tablas Servicio'!D412</f>
        <v>70.936666666666952</v>
      </c>
      <c r="D379" s="58">
        <f>+'Tablas Servicio'!N412</f>
        <v>94</v>
      </c>
      <c r="E379" s="66">
        <f>+'Tablas Servicio'!AC412</f>
        <v>112.5</v>
      </c>
      <c r="F379" s="66">
        <f>+IF(A379="","",'Tablas Servicio'!O412-'Modelo Financiero'!E379)</f>
        <v>3.25</v>
      </c>
      <c r="G379" s="58">
        <f t="shared" si="66"/>
        <v>79.099999999999994</v>
      </c>
      <c r="H379" s="66">
        <f>+'Tablas Servicio'!G412</f>
        <v>128.25</v>
      </c>
      <c r="I379" s="72">
        <f t="shared" si="67"/>
        <v>9.7465886939571145E-2</v>
      </c>
      <c r="J379" s="66">
        <f t="shared" si="68"/>
        <v>12.5</v>
      </c>
      <c r="K379" s="66">
        <f>+'Tablas Servicio'!H412</f>
        <v>133.38999999999999</v>
      </c>
      <c r="L379" s="66">
        <f>+IF(A379="","",ROUND(H379*Parámetros!$D$100,2))</f>
        <v>14.97</v>
      </c>
      <c r="M379" s="58">
        <f>+IF(A379="","",IF(AND(A379=1,B379=1),Parámetros!$D$114*(D379*frec-$G$3-$H$3),IF(AND(A379=2,B379=frec+1),Parámetros!$D$115*(D379*frec-$G$4-$H$4),0)))</f>
        <v>0</v>
      </c>
      <c r="N379" s="58">
        <f>+IF(A379="","",IF(A379&gt;Parámetros!$D$117,0,ROUND('Modelo Financiero'!D379*Parámetros!$D$116,2)))</f>
        <v>0</v>
      </c>
      <c r="O379" s="58">
        <f t="shared" si="69"/>
        <v>0</v>
      </c>
      <c r="P379" s="66">
        <f>+'Tablas Servicio'!I412</f>
        <v>-39.389999999999986</v>
      </c>
      <c r="Q379" s="66">
        <f>+'Tablas Servicio'!S412</f>
        <v>26407.82</v>
      </c>
      <c r="R379" s="66">
        <f>+'Tablas Servicio'!T412</f>
        <v>26407.82</v>
      </c>
      <c r="S379" s="66">
        <f t="shared" si="65"/>
        <v>49.150000000000006</v>
      </c>
      <c r="T379" s="66">
        <f t="shared" si="74"/>
        <v>9852.769999999995</v>
      </c>
      <c r="U379" s="66">
        <f t="shared" si="70"/>
        <v>9852.769999999995</v>
      </c>
      <c r="V379" s="81">
        <f t="shared" si="71"/>
        <v>0</v>
      </c>
      <c r="W379" s="66">
        <f t="shared" si="72"/>
        <v>0</v>
      </c>
      <c r="X379" s="66">
        <f t="shared" si="73"/>
        <v>9852.769999999995</v>
      </c>
    </row>
    <row r="380" spans="1:24" x14ac:dyDescent="0.25">
      <c r="A380">
        <f>+'Tablas Servicio'!B413</f>
        <v>31</v>
      </c>
      <c r="B380">
        <f>+'Tablas Servicio'!C413</f>
        <v>372</v>
      </c>
      <c r="C380" s="56">
        <f>+'Tablas Servicio'!D413</f>
        <v>71.02000000000028</v>
      </c>
      <c r="D380" s="58">
        <f>+'Tablas Servicio'!N413</f>
        <v>94</v>
      </c>
      <c r="E380" s="66">
        <f>+'Tablas Servicio'!AC413</f>
        <v>112.5</v>
      </c>
      <c r="F380" s="66">
        <f>+IF(A380="","",'Tablas Servicio'!O413-'Modelo Financiero'!E380)</f>
        <v>3.25</v>
      </c>
      <c r="G380" s="58">
        <f t="shared" si="66"/>
        <v>79.099999999999994</v>
      </c>
      <c r="H380" s="66">
        <f>+'Tablas Servicio'!G413</f>
        <v>128.25</v>
      </c>
      <c r="I380" s="72">
        <f t="shared" si="67"/>
        <v>9.7465886939571145E-2</v>
      </c>
      <c r="J380" s="66">
        <f t="shared" si="68"/>
        <v>12.5</v>
      </c>
      <c r="K380" s="66">
        <f>+'Tablas Servicio'!H413</f>
        <v>133.38999999999999</v>
      </c>
      <c r="L380" s="66">
        <f>+IF(A380="","",ROUND(H380*Parámetros!$D$100,2))</f>
        <v>14.97</v>
      </c>
      <c r="M380" s="58">
        <f>+IF(A380="","",IF(AND(A380=1,B380=1),Parámetros!$D$114*(D380*frec-$G$3-$H$3),IF(AND(A380=2,B380=frec+1),Parámetros!$D$115*(D380*frec-$G$4-$H$4),0)))</f>
        <v>0</v>
      </c>
      <c r="N380" s="58">
        <f>+IF(A380="","",IF(A380&gt;Parámetros!$D$117,0,ROUND('Modelo Financiero'!D380*Parámetros!$D$116,2)))</f>
        <v>0</v>
      </c>
      <c r="O380" s="58">
        <f t="shared" si="69"/>
        <v>0</v>
      </c>
      <c r="P380" s="66">
        <f>+'Tablas Servicio'!I413</f>
        <v>-39.389999999999986</v>
      </c>
      <c r="Q380" s="66">
        <f>+'Tablas Servicio'!S413</f>
        <v>26443.22</v>
      </c>
      <c r="R380" s="66">
        <f>+'Tablas Servicio'!T413</f>
        <v>26443.22</v>
      </c>
      <c r="S380" s="66">
        <f t="shared" si="65"/>
        <v>49.150000000000006</v>
      </c>
      <c r="T380" s="66">
        <f t="shared" si="74"/>
        <v>9901.9199999999946</v>
      </c>
      <c r="U380" s="66">
        <f t="shared" si="70"/>
        <v>9901.9199999999946</v>
      </c>
      <c r="V380" s="81">
        <f t="shared" si="71"/>
        <v>0</v>
      </c>
      <c r="W380" s="66">
        <f t="shared" si="72"/>
        <v>0</v>
      </c>
      <c r="X380" s="66">
        <f t="shared" si="73"/>
        <v>9901.9199999999946</v>
      </c>
    </row>
    <row r="381" spans="1:24" x14ac:dyDescent="0.25">
      <c r="A381">
        <f>+'Tablas Servicio'!B414</f>
        <v>32</v>
      </c>
      <c r="B381">
        <f>+'Tablas Servicio'!C414</f>
        <v>373</v>
      </c>
      <c r="C381" s="56">
        <f>+'Tablas Servicio'!D414</f>
        <v>71.103333333333609</v>
      </c>
      <c r="D381" s="58">
        <f>+'Tablas Servicio'!N414</f>
        <v>94</v>
      </c>
      <c r="E381" s="66">
        <f>+'Tablas Servicio'!AC414</f>
        <v>123.9</v>
      </c>
      <c r="F381" s="66">
        <f>+IF(A381="","",'Tablas Servicio'!O414-'Modelo Financiero'!E381)</f>
        <v>3.25</v>
      </c>
      <c r="G381" s="58">
        <f t="shared" si="66"/>
        <v>86.852000000000004</v>
      </c>
      <c r="H381" s="66">
        <f>+'Tablas Servicio'!G414</f>
        <v>139.65</v>
      </c>
      <c r="I381" s="72">
        <f t="shared" si="67"/>
        <v>8.9509488005728555E-2</v>
      </c>
      <c r="J381" s="66">
        <f t="shared" si="68"/>
        <v>12.5</v>
      </c>
      <c r="K381" s="66">
        <f>+'Tablas Servicio'!H414</f>
        <v>145.22999999999999</v>
      </c>
      <c r="L381" s="66">
        <f>+IF(A381="","",ROUND(H381*Parámetros!$D$100,2))</f>
        <v>16.3</v>
      </c>
      <c r="M381" s="58">
        <f>+IF(A381="","",IF(AND(A381=1,B381=1),Parámetros!$D$114*(D381*frec-$G$3-$H$3),IF(AND(A381=2,B381=frec+1),Parámetros!$D$115*(D381*frec-$G$4-$H$4),0)))</f>
        <v>0</v>
      </c>
      <c r="N381" s="58">
        <f>+IF(A381="","",IF(A381&gt;Parámetros!$D$117,0,ROUND('Modelo Financiero'!D381*Parámetros!$D$116,2)))</f>
        <v>0</v>
      </c>
      <c r="O381" s="58">
        <f t="shared" si="69"/>
        <v>0</v>
      </c>
      <c r="P381" s="66">
        <f>+'Tablas Servicio'!I414</f>
        <v>-51.22999999999999</v>
      </c>
      <c r="Q381" s="66">
        <f>+'Tablas Servicio'!S414</f>
        <v>26466.85</v>
      </c>
      <c r="R381" s="66">
        <f>+'Tablas Servicio'!T414</f>
        <v>26466.85</v>
      </c>
      <c r="S381" s="66">
        <f t="shared" si="65"/>
        <v>52.798000000000002</v>
      </c>
      <c r="T381" s="66">
        <f t="shared" si="74"/>
        <v>9954.7179999999953</v>
      </c>
      <c r="U381" s="66">
        <f t="shared" si="70"/>
        <v>9954.7179999999953</v>
      </c>
      <c r="V381" s="81">
        <f t="shared" si="71"/>
        <v>0</v>
      </c>
      <c r="W381" s="66">
        <f t="shared" si="72"/>
        <v>0</v>
      </c>
      <c r="X381" s="66">
        <f t="shared" si="73"/>
        <v>9954.7179999999953</v>
      </c>
    </row>
    <row r="382" spans="1:24" x14ac:dyDescent="0.25">
      <c r="A382">
        <f>+'Tablas Servicio'!B415</f>
        <v>32</v>
      </c>
      <c r="B382">
        <f>+'Tablas Servicio'!C415</f>
        <v>374</v>
      </c>
      <c r="C382" s="56">
        <f>+'Tablas Servicio'!D415</f>
        <v>71.186666666666937</v>
      </c>
      <c r="D382" s="58">
        <f>+'Tablas Servicio'!N415</f>
        <v>94</v>
      </c>
      <c r="E382" s="66">
        <f>+'Tablas Servicio'!AC415</f>
        <v>123.9</v>
      </c>
      <c r="F382" s="66">
        <f>+IF(A382="","",'Tablas Servicio'!O415-'Modelo Financiero'!E382)</f>
        <v>3.25</v>
      </c>
      <c r="G382" s="58">
        <f t="shared" si="66"/>
        <v>86.852000000000004</v>
      </c>
      <c r="H382" s="66">
        <f>+'Tablas Servicio'!G415</f>
        <v>139.65</v>
      </c>
      <c r="I382" s="72">
        <f t="shared" si="67"/>
        <v>8.9509488005728555E-2</v>
      </c>
      <c r="J382" s="66">
        <f t="shared" si="68"/>
        <v>12.5</v>
      </c>
      <c r="K382" s="66">
        <f>+'Tablas Servicio'!H415</f>
        <v>145.22999999999999</v>
      </c>
      <c r="L382" s="66">
        <f>+IF(A382="","",ROUND(H382*Parámetros!$D$100,2))</f>
        <v>16.3</v>
      </c>
      <c r="M382" s="58">
        <f>+IF(A382="","",IF(AND(A382=1,B382=1),Parámetros!$D$114*(D382*frec-$G$3-$H$3),IF(AND(A382=2,B382=frec+1),Parámetros!$D$115*(D382*frec-$G$4-$H$4),0)))</f>
        <v>0</v>
      </c>
      <c r="N382" s="58">
        <f>+IF(A382="","",IF(A382&gt;Parámetros!$D$117,0,ROUND('Modelo Financiero'!D382*Parámetros!$D$116,2)))</f>
        <v>0</v>
      </c>
      <c r="O382" s="58">
        <f t="shared" si="69"/>
        <v>0</v>
      </c>
      <c r="P382" s="66">
        <f>+'Tablas Servicio'!I415</f>
        <v>-51.22999999999999</v>
      </c>
      <c r="Q382" s="66">
        <f>+'Tablas Servicio'!S415</f>
        <v>26490.55</v>
      </c>
      <c r="R382" s="66">
        <f>+'Tablas Servicio'!T415</f>
        <v>26490.55</v>
      </c>
      <c r="S382" s="66">
        <f t="shared" si="65"/>
        <v>52.798000000000002</v>
      </c>
      <c r="T382" s="66">
        <f t="shared" si="74"/>
        <v>10007.515999999996</v>
      </c>
      <c r="U382" s="66">
        <f t="shared" si="70"/>
        <v>10007.515999999996</v>
      </c>
      <c r="V382" s="81">
        <f t="shared" si="71"/>
        <v>0</v>
      </c>
      <c r="W382" s="66">
        <f t="shared" si="72"/>
        <v>0</v>
      </c>
      <c r="X382" s="66">
        <f t="shared" si="73"/>
        <v>10007.515999999996</v>
      </c>
    </row>
    <row r="383" spans="1:24" x14ac:dyDescent="0.25">
      <c r="A383">
        <f>+'Tablas Servicio'!B416</f>
        <v>32</v>
      </c>
      <c r="B383">
        <f>+'Tablas Servicio'!C416</f>
        <v>375</v>
      </c>
      <c r="C383" s="56">
        <f>+'Tablas Servicio'!D416</f>
        <v>71.270000000000266</v>
      </c>
      <c r="D383" s="58">
        <f>+'Tablas Servicio'!N416</f>
        <v>94</v>
      </c>
      <c r="E383" s="66">
        <f>+'Tablas Servicio'!AC416</f>
        <v>123.9</v>
      </c>
      <c r="F383" s="66">
        <f>+IF(A383="","",'Tablas Servicio'!O416-'Modelo Financiero'!E383)</f>
        <v>3.25</v>
      </c>
      <c r="G383" s="58">
        <f t="shared" si="66"/>
        <v>86.852000000000004</v>
      </c>
      <c r="H383" s="66">
        <f>+'Tablas Servicio'!G416</f>
        <v>139.65</v>
      </c>
      <c r="I383" s="72">
        <f t="shared" si="67"/>
        <v>8.9509488005728555E-2</v>
      </c>
      <c r="J383" s="66">
        <f t="shared" si="68"/>
        <v>12.5</v>
      </c>
      <c r="K383" s="66">
        <f>+'Tablas Servicio'!H416</f>
        <v>145.22999999999999</v>
      </c>
      <c r="L383" s="66">
        <f>+IF(A383="","",ROUND(H383*Parámetros!$D$100,2))</f>
        <v>16.3</v>
      </c>
      <c r="M383" s="58">
        <f>+IF(A383="","",IF(AND(A383=1,B383=1),Parámetros!$D$114*(D383*frec-$G$3-$H$3),IF(AND(A383=2,B383=frec+1),Parámetros!$D$115*(D383*frec-$G$4-$H$4),0)))</f>
        <v>0</v>
      </c>
      <c r="N383" s="58">
        <f>+IF(A383="","",IF(A383&gt;Parámetros!$D$117,0,ROUND('Modelo Financiero'!D383*Parámetros!$D$116,2)))</f>
        <v>0</v>
      </c>
      <c r="O383" s="58">
        <f t="shared" si="69"/>
        <v>0</v>
      </c>
      <c r="P383" s="66">
        <f>+'Tablas Servicio'!I416</f>
        <v>-51.22999999999999</v>
      </c>
      <c r="Q383" s="66">
        <f>+'Tablas Servicio'!S416</f>
        <v>26514.31</v>
      </c>
      <c r="R383" s="66">
        <f>+'Tablas Servicio'!T416</f>
        <v>26514.31</v>
      </c>
      <c r="S383" s="66">
        <f t="shared" si="65"/>
        <v>52.798000000000002</v>
      </c>
      <c r="T383" s="66">
        <f t="shared" si="74"/>
        <v>10060.313999999997</v>
      </c>
      <c r="U383" s="66">
        <f t="shared" si="70"/>
        <v>10060.313999999997</v>
      </c>
      <c r="V383" s="81">
        <f t="shared" si="71"/>
        <v>0</v>
      </c>
      <c r="W383" s="66">
        <f t="shared" si="72"/>
        <v>0</v>
      </c>
      <c r="X383" s="66">
        <f t="shared" si="73"/>
        <v>10060.313999999997</v>
      </c>
    </row>
    <row r="384" spans="1:24" x14ac:dyDescent="0.25">
      <c r="A384">
        <f>+'Tablas Servicio'!B417</f>
        <v>32</v>
      </c>
      <c r="B384">
        <f>+'Tablas Servicio'!C417</f>
        <v>376</v>
      </c>
      <c r="C384" s="56">
        <f>+'Tablas Servicio'!D417</f>
        <v>71.353333333333595</v>
      </c>
      <c r="D384" s="58">
        <f>+'Tablas Servicio'!N417</f>
        <v>94</v>
      </c>
      <c r="E384" s="66">
        <f>+'Tablas Servicio'!AC417</f>
        <v>123.9</v>
      </c>
      <c r="F384" s="66">
        <f>+IF(A384="","",'Tablas Servicio'!O417-'Modelo Financiero'!E384)</f>
        <v>3.25</v>
      </c>
      <c r="G384" s="58">
        <f t="shared" si="66"/>
        <v>86.852000000000004</v>
      </c>
      <c r="H384" s="66">
        <f>+'Tablas Servicio'!G417</f>
        <v>139.65</v>
      </c>
      <c r="I384" s="72">
        <f t="shared" si="67"/>
        <v>8.9509488005728555E-2</v>
      </c>
      <c r="J384" s="66">
        <f t="shared" si="68"/>
        <v>12.5</v>
      </c>
      <c r="K384" s="66">
        <f>+'Tablas Servicio'!H417</f>
        <v>145.22999999999999</v>
      </c>
      <c r="L384" s="66">
        <f>+IF(A384="","",ROUND(H384*Parámetros!$D$100,2))</f>
        <v>16.3</v>
      </c>
      <c r="M384" s="58">
        <f>+IF(A384="","",IF(AND(A384=1,B384=1),Parámetros!$D$114*(D384*frec-$G$3-$H$3),IF(AND(A384=2,B384=frec+1),Parámetros!$D$115*(D384*frec-$G$4-$H$4),0)))</f>
        <v>0</v>
      </c>
      <c r="N384" s="58">
        <f>+IF(A384="","",IF(A384&gt;Parámetros!$D$117,0,ROUND('Modelo Financiero'!D384*Parámetros!$D$116,2)))</f>
        <v>0</v>
      </c>
      <c r="O384" s="58">
        <f t="shared" si="69"/>
        <v>0</v>
      </c>
      <c r="P384" s="66">
        <f>+'Tablas Servicio'!I417</f>
        <v>-51.22999999999999</v>
      </c>
      <c r="Q384" s="66">
        <f>+'Tablas Servicio'!S417</f>
        <v>26538.14</v>
      </c>
      <c r="R384" s="66">
        <f>+'Tablas Servicio'!T417</f>
        <v>26538.14</v>
      </c>
      <c r="S384" s="66">
        <f t="shared" si="65"/>
        <v>52.798000000000002</v>
      </c>
      <c r="T384" s="66">
        <f t="shared" si="74"/>
        <v>10113.111999999997</v>
      </c>
      <c r="U384" s="66">
        <f t="shared" si="70"/>
        <v>10113.111999999997</v>
      </c>
      <c r="V384" s="81">
        <f t="shared" si="71"/>
        <v>0</v>
      </c>
      <c r="W384" s="66">
        <f t="shared" si="72"/>
        <v>0</v>
      </c>
      <c r="X384" s="66">
        <f t="shared" si="73"/>
        <v>10113.111999999997</v>
      </c>
    </row>
    <row r="385" spans="1:24" x14ac:dyDescent="0.25">
      <c r="A385">
        <f>+'Tablas Servicio'!B418</f>
        <v>32</v>
      </c>
      <c r="B385">
        <f>+'Tablas Servicio'!C418</f>
        <v>377</v>
      </c>
      <c r="C385" s="56">
        <f>+'Tablas Servicio'!D418</f>
        <v>71.436666666666923</v>
      </c>
      <c r="D385" s="58">
        <f>+'Tablas Servicio'!N418</f>
        <v>94</v>
      </c>
      <c r="E385" s="66">
        <f>+'Tablas Servicio'!AC418</f>
        <v>123.9</v>
      </c>
      <c r="F385" s="66">
        <f>+IF(A385="","",'Tablas Servicio'!O418-'Modelo Financiero'!E385)</f>
        <v>3.25</v>
      </c>
      <c r="G385" s="58">
        <f t="shared" si="66"/>
        <v>86.852000000000004</v>
      </c>
      <c r="H385" s="66">
        <f>+'Tablas Servicio'!G418</f>
        <v>139.65</v>
      </c>
      <c r="I385" s="72">
        <f t="shared" si="67"/>
        <v>8.9509488005728555E-2</v>
      </c>
      <c r="J385" s="66">
        <f t="shared" si="68"/>
        <v>12.5</v>
      </c>
      <c r="K385" s="66">
        <f>+'Tablas Servicio'!H418</f>
        <v>145.22999999999999</v>
      </c>
      <c r="L385" s="66">
        <f>+IF(A385="","",ROUND(H385*Parámetros!$D$100,2))</f>
        <v>16.3</v>
      </c>
      <c r="M385" s="58">
        <f>+IF(A385="","",IF(AND(A385=1,B385=1),Parámetros!$D$114*(D385*frec-$G$3-$H$3),IF(AND(A385=2,B385=frec+1),Parámetros!$D$115*(D385*frec-$G$4-$H$4),0)))</f>
        <v>0</v>
      </c>
      <c r="N385" s="58">
        <f>+IF(A385="","",IF(A385&gt;Parámetros!$D$117,0,ROUND('Modelo Financiero'!D385*Parámetros!$D$116,2)))</f>
        <v>0</v>
      </c>
      <c r="O385" s="58">
        <f t="shared" si="69"/>
        <v>0</v>
      </c>
      <c r="P385" s="66">
        <f>+'Tablas Servicio'!I418</f>
        <v>-51.22999999999999</v>
      </c>
      <c r="Q385" s="66">
        <f>+'Tablas Servicio'!S418</f>
        <v>26562.04</v>
      </c>
      <c r="R385" s="66">
        <f>+'Tablas Servicio'!T418</f>
        <v>26562.04</v>
      </c>
      <c r="S385" s="66">
        <f t="shared" si="65"/>
        <v>52.798000000000002</v>
      </c>
      <c r="T385" s="66">
        <f t="shared" si="74"/>
        <v>10165.909999999998</v>
      </c>
      <c r="U385" s="66">
        <f t="shared" si="70"/>
        <v>10165.909999999998</v>
      </c>
      <c r="V385" s="81">
        <f t="shared" si="71"/>
        <v>0</v>
      </c>
      <c r="W385" s="66">
        <f t="shared" si="72"/>
        <v>0</v>
      </c>
      <c r="X385" s="66">
        <f t="shared" si="73"/>
        <v>10165.909999999998</v>
      </c>
    </row>
    <row r="386" spans="1:24" x14ac:dyDescent="0.25">
      <c r="A386">
        <f>+'Tablas Servicio'!B419</f>
        <v>32</v>
      </c>
      <c r="B386">
        <f>+'Tablas Servicio'!C419</f>
        <v>378</v>
      </c>
      <c r="C386" s="56">
        <f>+'Tablas Servicio'!D419</f>
        <v>71.520000000000252</v>
      </c>
      <c r="D386" s="58">
        <f>+'Tablas Servicio'!N419</f>
        <v>94</v>
      </c>
      <c r="E386" s="66">
        <f>+'Tablas Servicio'!AC419</f>
        <v>123.9</v>
      </c>
      <c r="F386" s="66">
        <f>+IF(A386="","",'Tablas Servicio'!O419-'Modelo Financiero'!E386)</f>
        <v>3.25</v>
      </c>
      <c r="G386" s="58">
        <f t="shared" si="66"/>
        <v>86.852000000000004</v>
      </c>
      <c r="H386" s="66">
        <f>+'Tablas Servicio'!G419</f>
        <v>139.65</v>
      </c>
      <c r="I386" s="72">
        <f t="shared" si="67"/>
        <v>8.9509488005728555E-2</v>
      </c>
      <c r="J386" s="66">
        <f t="shared" si="68"/>
        <v>12.5</v>
      </c>
      <c r="K386" s="66">
        <f>+'Tablas Servicio'!H419</f>
        <v>145.22999999999999</v>
      </c>
      <c r="L386" s="66">
        <f>+IF(A386="","",ROUND(H386*Parámetros!$D$100,2))</f>
        <v>16.3</v>
      </c>
      <c r="M386" s="58">
        <f>+IF(A386="","",IF(AND(A386=1,B386=1),Parámetros!$D$114*(D386*frec-$G$3-$H$3),IF(AND(A386=2,B386=frec+1),Parámetros!$D$115*(D386*frec-$G$4-$H$4),0)))</f>
        <v>0</v>
      </c>
      <c r="N386" s="58">
        <f>+IF(A386="","",IF(A386&gt;Parámetros!$D$117,0,ROUND('Modelo Financiero'!D386*Parámetros!$D$116,2)))</f>
        <v>0</v>
      </c>
      <c r="O386" s="58">
        <f t="shared" si="69"/>
        <v>0</v>
      </c>
      <c r="P386" s="66">
        <f>+'Tablas Servicio'!I419</f>
        <v>-51.22999999999999</v>
      </c>
      <c r="Q386" s="66">
        <f>+'Tablas Servicio'!S419</f>
        <v>26586.01</v>
      </c>
      <c r="R386" s="66">
        <f>+'Tablas Servicio'!T419</f>
        <v>26586.01</v>
      </c>
      <c r="S386" s="66">
        <f t="shared" si="65"/>
        <v>52.798000000000002</v>
      </c>
      <c r="T386" s="66">
        <f t="shared" si="74"/>
        <v>10218.707999999999</v>
      </c>
      <c r="U386" s="66">
        <f t="shared" si="70"/>
        <v>10218.707999999999</v>
      </c>
      <c r="V386" s="81">
        <f t="shared" si="71"/>
        <v>0</v>
      </c>
      <c r="W386" s="66">
        <f t="shared" si="72"/>
        <v>0</v>
      </c>
      <c r="X386" s="66">
        <f t="shared" si="73"/>
        <v>10218.707999999999</v>
      </c>
    </row>
    <row r="387" spans="1:24" x14ac:dyDescent="0.25">
      <c r="A387">
        <f>+'Tablas Servicio'!B420</f>
        <v>32</v>
      </c>
      <c r="B387">
        <f>+'Tablas Servicio'!C420</f>
        <v>379</v>
      </c>
      <c r="C387" s="56">
        <f>+'Tablas Servicio'!D420</f>
        <v>71.60333333333358</v>
      </c>
      <c r="D387" s="58">
        <f>+'Tablas Servicio'!N420</f>
        <v>94</v>
      </c>
      <c r="E387" s="66">
        <f>+'Tablas Servicio'!AC420</f>
        <v>123.9</v>
      </c>
      <c r="F387" s="66">
        <f>+IF(A387="","",'Tablas Servicio'!O420-'Modelo Financiero'!E387)</f>
        <v>3.25</v>
      </c>
      <c r="G387" s="58">
        <f t="shared" si="66"/>
        <v>86.852000000000004</v>
      </c>
      <c r="H387" s="66">
        <f>+'Tablas Servicio'!G420</f>
        <v>139.65</v>
      </c>
      <c r="I387" s="72">
        <f t="shared" si="67"/>
        <v>8.9509488005728555E-2</v>
      </c>
      <c r="J387" s="66">
        <f t="shared" si="68"/>
        <v>12.5</v>
      </c>
      <c r="K387" s="66">
        <f>+'Tablas Servicio'!H420</f>
        <v>145.22999999999999</v>
      </c>
      <c r="L387" s="66">
        <f>+IF(A387="","",ROUND(H387*Parámetros!$D$100,2))</f>
        <v>16.3</v>
      </c>
      <c r="M387" s="58">
        <f>+IF(A387="","",IF(AND(A387=1,B387=1),Parámetros!$D$114*(D387*frec-$G$3-$H$3),IF(AND(A387=2,B387=frec+1),Parámetros!$D$115*(D387*frec-$G$4-$H$4),0)))</f>
        <v>0</v>
      </c>
      <c r="N387" s="58">
        <f>+IF(A387="","",IF(A387&gt;Parámetros!$D$117,0,ROUND('Modelo Financiero'!D387*Parámetros!$D$116,2)))</f>
        <v>0</v>
      </c>
      <c r="O387" s="58">
        <f t="shared" si="69"/>
        <v>0</v>
      </c>
      <c r="P387" s="66">
        <f>+'Tablas Servicio'!I420</f>
        <v>-51.22999999999999</v>
      </c>
      <c r="Q387" s="66">
        <f>+'Tablas Servicio'!S420</f>
        <v>26610.04</v>
      </c>
      <c r="R387" s="66">
        <f>+'Tablas Servicio'!T420</f>
        <v>26610.04</v>
      </c>
      <c r="S387" s="66">
        <f t="shared" si="65"/>
        <v>52.798000000000002</v>
      </c>
      <c r="T387" s="66">
        <f t="shared" si="74"/>
        <v>10271.505999999999</v>
      </c>
      <c r="U387" s="66">
        <f t="shared" si="70"/>
        <v>10271.505999999999</v>
      </c>
      <c r="V387" s="81">
        <f t="shared" si="71"/>
        <v>0</v>
      </c>
      <c r="W387" s="66">
        <f t="shared" si="72"/>
        <v>0</v>
      </c>
      <c r="X387" s="66">
        <f t="shared" si="73"/>
        <v>10271.505999999999</v>
      </c>
    </row>
    <row r="388" spans="1:24" x14ac:dyDescent="0.25">
      <c r="A388">
        <f>+'Tablas Servicio'!B421</f>
        <v>32</v>
      </c>
      <c r="B388">
        <f>+'Tablas Servicio'!C421</f>
        <v>380</v>
      </c>
      <c r="C388" s="56">
        <f>+'Tablas Servicio'!D421</f>
        <v>71.686666666666909</v>
      </c>
      <c r="D388" s="58">
        <f>+'Tablas Servicio'!N421</f>
        <v>94</v>
      </c>
      <c r="E388" s="66">
        <f>+'Tablas Servicio'!AC421</f>
        <v>123.9</v>
      </c>
      <c r="F388" s="66">
        <f>+IF(A388="","",'Tablas Servicio'!O421-'Modelo Financiero'!E388)</f>
        <v>3.25</v>
      </c>
      <c r="G388" s="58">
        <f t="shared" si="66"/>
        <v>86.852000000000004</v>
      </c>
      <c r="H388" s="66">
        <f>+'Tablas Servicio'!G421</f>
        <v>139.65</v>
      </c>
      <c r="I388" s="72">
        <f t="shared" si="67"/>
        <v>8.9509488005728555E-2</v>
      </c>
      <c r="J388" s="66">
        <f t="shared" si="68"/>
        <v>12.5</v>
      </c>
      <c r="K388" s="66">
        <f>+'Tablas Servicio'!H421</f>
        <v>145.22999999999999</v>
      </c>
      <c r="L388" s="66">
        <f>+IF(A388="","",ROUND(H388*Parámetros!$D$100,2))</f>
        <v>16.3</v>
      </c>
      <c r="M388" s="58">
        <f>+IF(A388="","",IF(AND(A388=1,B388=1),Parámetros!$D$114*(D388*frec-$G$3-$H$3),IF(AND(A388=2,B388=frec+1),Parámetros!$D$115*(D388*frec-$G$4-$H$4),0)))</f>
        <v>0</v>
      </c>
      <c r="N388" s="58">
        <f>+IF(A388="","",IF(A388&gt;Parámetros!$D$117,0,ROUND('Modelo Financiero'!D388*Parámetros!$D$116,2)))</f>
        <v>0</v>
      </c>
      <c r="O388" s="58">
        <f t="shared" si="69"/>
        <v>0</v>
      </c>
      <c r="P388" s="66">
        <f>+'Tablas Servicio'!I421</f>
        <v>-51.22999999999999</v>
      </c>
      <c r="Q388" s="66">
        <f>+'Tablas Servicio'!S421</f>
        <v>26634.14</v>
      </c>
      <c r="R388" s="66">
        <f>+'Tablas Servicio'!T421</f>
        <v>26634.14</v>
      </c>
      <c r="S388" s="66">
        <f t="shared" si="65"/>
        <v>52.798000000000002</v>
      </c>
      <c r="T388" s="66">
        <f t="shared" si="74"/>
        <v>10324.304</v>
      </c>
      <c r="U388" s="66">
        <f t="shared" si="70"/>
        <v>10324.304</v>
      </c>
      <c r="V388" s="81">
        <f t="shared" si="71"/>
        <v>0</v>
      </c>
      <c r="W388" s="66">
        <f t="shared" si="72"/>
        <v>0</v>
      </c>
      <c r="X388" s="66">
        <f t="shared" si="73"/>
        <v>10324.304</v>
      </c>
    </row>
    <row r="389" spans="1:24" x14ac:dyDescent="0.25">
      <c r="A389">
        <f>+'Tablas Servicio'!B422</f>
        <v>32</v>
      </c>
      <c r="B389">
        <f>+'Tablas Servicio'!C422</f>
        <v>381</v>
      </c>
      <c r="C389" s="56">
        <f>+'Tablas Servicio'!D422</f>
        <v>71.770000000000238</v>
      </c>
      <c r="D389" s="58">
        <f>+'Tablas Servicio'!N422</f>
        <v>94</v>
      </c>
      <c r="E389" s="66">
        <f>+'Tablas Servicio'!AC422</f>
        <v>123.9</v>
      </c>
      <c r="F389" s="66">
        <f>+IF(A389="","",'Tablas Servicio'!O422-'Modelo Financiero'!E389)</f>
        <v>3.25</v>
      </c>
      <c r="G389" s="58">
        <f t="shared" si="66"/>
        <v>86.852000000000004</v>
      </c>
      <c r="H389" s="66">
        <f>+'Tablas Servicio'!G422</f>
        <v>139.65</v>
      </c>
      <c r="I389" s="72">
        <f t="shared" si="67"/>
        <v>8.9509488005728555E-2</v>
      </c>
      <c r="J389" s="66">
        <f t="shared" si="68"/>
        <v>12.5</v>
      </c>
      <c r="K389" s="66">
        <f>+'Tablas Servicio'!H422</f>
        <v>145.22999999999999</v>
      </c>
      <c r="L389" s="66">
        <f>+IF(A389="","",ROUND(H389*Parámetros!$D$100,2))</f>
        <v>16.3</v>
      </c>
      <c r="M389" s="58">
        <f>+IF(A389="","",IF(AND(A389=1,B389=1),Parámetros!$D$114*(D389*frec-$G$3-$H$3),IF(AND(A389=2,B389=frec+1),Parámetros!$D$115*(D389*frec-$G$4-$H$4),0)))</f>
        <v>0</v>
      </c>
      <c r="N389" s="58">
        <f>+IF(A389="","",IF(A389&gt;Parámetros!$D$117,0,ROUND('Modelo Financiero'!D389*Parámetros!$D$116,2)))</f>
        <v>0</v>
      </c>
      <c r="O389" s="58">
        <f t="shared" si="69"/>
        <v>0</v>
      </c>
      <c r="P389" s="66">
        <f>+'Tablas Servicio'!I422</f>
        <v>-51.22999999999999</v>
      </c>
      <c r="Q389" s="66">
        <f>+'Tablas Servicio'!S422</f>
        <v>26658.31</v>
      </c>
      <c r="R389" s="66">
        <f>+'Tablas Servicio'!T422</f>
        <v>26658.31</v>
      </c>
      <c r="S389" s="66">
        <f t="shared" si="65"/>
        <v>52.798000000000002</v>
      </c>
      <c r="T389" s="66">
        <f t="shared" si="74"/>
        <v>10377.102000000001</v>
      </c>
      <c r="U389" s="66">
        <f t="shared" si="70"/>
        <v>10377.102000000001</v>
      </c>
      <c r="V389" s="81">
        <f t="shared" si="71"/>
        <v>0</v>
      </c>
      <c r="W389" s="66">
        <f t="shared" si="72"/>
        <v>0</v>
      </c>
      <c r="X389" s="66">
        <f t="shared" si="73"/>
        <v>10377.102000000001</v>
      </c>
    </row>
    <row r="390" spans="1:24" x14ac:dyDescent="0.25">
      <c r="A390">
        <f>+'Tablas Servicio'!B423</f>
        <v>32</v>
      </c>
      <c r="B390">
        <f>+'Tablas Servicio'!C423</f>
        <v>382</v>
      </c>
      <c r="C390" s="56">
        <f>+'Tablas Servicio'!D423</f>
        <v>71.853333333333566</v>
      </c>
      <c r="D390" s="58">
        <f>+'Tablas Servicio'!N423</f>
        <v>94</v>
      </c>
      <c r="E390" s="66">
        <f>+'Tablas Servicio'!AC423</f>
        <v>123.9</v>
      </c>
      <c r="F390" s="66">
        <f>+IF(A390="","",'Tablas Servicio'!O423-'Modelo Financiero'!E390)</f>
        <v>3.25</v>
      </c>
      <c r="G390" s="58">
        <f t="shared" si="66"/>
        <v>86.852000000000004</v>
      </c>
      <c r="H390" s="66">
        <f>+'Tablas Servicio'!G423</f>
        <v>139.65</v>
      </c>
      <c r="I390" s="72">
        <f t="shared" si="67"/>
        <v>8.9509488005728555E-2</v>
      </c>
      <c r="J390" s="66">
        <f t="shared" si="68"/>
        <v>12.5</v>
      </c>
      <c r="K390" s="66">
        <f>+'Tablas Servicio'!H423</f>
        <v>145.22999999999999</v>
      </c>
      <c r="L390" s="66">
        <f>+IF(A390="","",ROUND(H390*Parámetros!$D$100,2))</f>
        <v>16.3</v>
      </c>
      <c r="M390" s="58">
        <f>+IF(A390="","",IF(AND(A390=1,B390=1),Parámetros!$D$114*(D390*frec-$G$3-$H$3),IF(AND(A390=2,B390=frec+1),Parámetros!$D$115*(D390*frec-$G$4-$H$4),0)))</f>
        <v>0</v>
      </c>
      <c r="N390" s="58">
        <f>+IF(A390="","",IF(A390&gt;Parámetros!$D$117,0,ROUND('Modelo Financiero'!D390*Parámetros!$D$116,2)))</f>
        <v>0</v>
      </c>
      <c r="O390" s="58">
        <f t="shared" si="69"/>
        <v>0</v>
      </c>
      <c r="P390" s="66">
        <f>+'Tablas Servicio'!I423</f>
        <v>-51.22999999999999</v>
      </c>
      <c r="Q390" s="66">
        <f>+'Tablas Servicio'!S423</f>
        <v>26682.55</v>
      </c>
      <c r="R390" s="66">
        <f>+'Tablas Servicio'!T423</f>
        <v>26682.55</v>
      </c>
      <c r="S390" s="66">
        <f t="shared" si="65"/>
        <v>52.798000000000002</v>
      </c>
      <c r="T390" s="66">
        <f t="shared" si="74"/>
        <v>10429.900000000001</v>
      </c>
      <c r="U390" s="66">
        <f t="shared" si="70"/>
        <v>10429.900000000001</v>
      </c>
      <c r="V390" s="81">
        <f t="shared" si="71"/>
        <v>0</v>
      </c>
      <c r="W390" s="66">
        <f t="shared" si="72"/>
        <v>0</v>
      </c>
      <c r="X390" s="66">
        <f t="shared" si="73"/>
        <v>10429.900000000001</v>
      </c>
    </row>
    <row r="391" spans="1:24" x14ac:dyDescent="0.25">
      <c r="A391">
        <f>+'Tablas Servicio'!B424</f>
        <v>32</v>
      </c>
      <c r="B391">
        <f>+'Tablas Servicio'!C424</f>
        <v>383</v>
      </c>
      <c r="C391" s="56">
        <f>+'Tablas Servicio'!D424</f>
        <v>71.936666666666895</v>
      </c>
      <c r="D391" s="58">
        <f>+'Tablas Servicio'!N424</f>
        <v>94</v>
      </c>
      <c r="E391" s="66">
        <f>+'Tablas Servicio'!AC424</f>
        <v>123.9</v>
      </c>
      <c r="F391" s="66">
        <f>+IF(A391="","",'Tablas Servicio'!O424-'Modelo Financiero'!E391)</f>
        <v>3.25</v>
      </c>
      <c r="G391" s="58">
        <f t="shared" si="66"/>
        <v>86.852000000000004</v>
      </c>
      <c r="H391" s="66">
        <f>+'Tablas Servicio'!G424</f>
        <v>139.65</v>
      </c>
      <c r="I391" s="72">
        <f t="shared" si="67"/>
        <v>8.9509488005728555E-2</v>
      </c>
      <c r="J391" s="66">
        <f t="shared" si="68"/>
        <v>12.5</v>
      </c>
      <c r="K391" s="66">
        <f>+'Tablas Servicio'!H424</f>
        <v>145.22999999999999</v>
      </c>
      <c r="L391" s="66">
        <f>+IF(A391="","",ROUND(H391*Parámetros!$D$100,2))</f>
        <v>16.3</v>
      </c>
      <c r="M391" s="58">
        <f>+IF(A391="","",IF(AND(A391=1,B391=1),Parámetros!$D$114*(D391*frec-$G$3-$H$3),IF(AND(A391=2,B391=frec+1),Parámetros!$D$115*(D391*frec-$G$4-$H$4),0)))</f>
        <v>0</v>
      </c>
      <c r="N391" s="58">
        <f>+IF(A391="","",IF(A391&gt;Parámetros!$D$117,0,ROUND('Modelo Financiero'!D391*Parámetros!$D$116,2)))</f>
        <v>0</v>
      </c>
      <c r="O391" s="58">
        <f t="shared" si="69"/>
        <v>0</v>
      </c>
      <c r="P391" s="66">
        <f>+'Tablas Servicio'!I424</f>
        <v>-51.22999999999999</v>
      </c>
      <c r="Q391" s="66">
        <f>+'Tablas Servicio'!S424</f>
        <v>26706.86</v>
      </c>
      <c r="R391" s="66">
        <f>+'Tablas Servicio'!T424</f>
        <v>26706.86</v>
      </c>
      <c r="S391" s="66">
        <f t="shared" si="65"/>
        <v>52.798000000000002</v>
      </c>
      <c r="T391" s="66">
        <f t="shared" si="74"/>
        <v>10482.698000000002</v>
      </c>
      <c r="U391" s="66">
        <f t="shared" si="70"/>
        <v>10482.698000000002</v>
      </c>
      <c r="V391" s="81">
        <f t="shared" si="71"/>
        <v>0</v>
      </c>
      <c r="W391" s="66">
        <f t="shared" si="72"/>
        <v>0</v>
      </c>
      <c r="X391" s="66">
        <f t="shared" si="73"/>
        <v>10482.698000000002</v>
      </c>
    </row>
    <row r="392" spans="1:24" x14ac:dyDescent="0.25">
      <c r="A392">
        <f>+'Tablas Servicio'!B425</f>
        <v>32</v>
      </c>
      <c r="B392">
        <f>+'Tablas Servicio'!C425</f>
        <v>384</v>
      </c>
      <c r="C392" s="56">
        <f>+'Tablas Servicio'!D425</f>
        <v>72.020000000000223</v>
      </c>
      <c r="D392" s="58">
        <f>+'Tablas Servicio'!N425</f>
        <v>94</v>
      </c>
      <c r="E392" s="66">
        <f>+'Tablas Servicio'!AC425</f>
        <v>123.9</v>
      </c>
      <c r="F392" s="66">
        <f>+IF(A392="","",'Tablas Servicio'!O425-'Modelo Financiero'!E392)</f>
        <v>3.25</v>
      </c>
      <c r="G392" s="58">
        <f t="shared" si="66"/>
        <v>86.852000000000004</v>
      </c>
      <c r="H392" s="66">
        <f>+'Tablas Servicio'!G425</f>
        <v>139.65</v>
      </c>
      <c r="I392" s="72">
        <f t="shared" si="67"/>
        <v>8.9509488005728555E-2</v>
      </c>
      <c r="J392" s="66">
        <f t="shared" si="68"/>
        <v>12.5</v>
      </c>
      <c r="K392" s="66">
        <f>+'Tablas Servicio'!H425</f>
        <v>145.22999999999999</v>
      </c>
      <c r="L392" s="66">
        <f>+IF(A392="","",ROUND(H392*Parámetros!$D$100,2))</f>
        <v>16.3</v>
      </c>
      <c r="M392" s="58">
        <f>+IF(A392="","",IF(AND(A392=1,B392=1),Parámetros!$D$114*(D392*frec-$G$3-$H$3),IF(AND(A392=2,B392=frec+1),Parámetros!$D$115*(D392*frec-$G$4-$H$4),0)))</f>
        <v>0</v>
      </c>
      <c r="N392" s="58">
        <f>+IF(A392="","",IF(A392&gt;Parámetros!$D$117,0,ROUND('Modelo Financiero'!D392*Parámetros!$D$116,2)))</f>
        <v>0</v>
      </c>
      <c r="O392" s="58">
        <f t="shared" si="69"/>
        <v>0</v>
      </c>
      <c r="P392" s="66">
        <f>+'Tablas Servicio'!I425</f>
        <v>-51.22999999999999</v>
      </c>
      <c r="Q392" s="66">
        <f>+'Tablas Servicio'!S425</f>
        <v>26731.24</v>
      </c>
      <c r="R392" s="66">
        <f>+'Tablas Servicio'!T425</f>
        <v>26731.24</v>
      </c>
      <c r="S392" s="66">
        <f t="shared" si="65"/>
        <v>52.798000000000002</v>
      </c>
      <c r="T392" s="66">
        <f t="shared" si="74"/>
        <v>10535.496000000003</v>
      </c>
      <c r="U392" s="66">
        <f t="shared" si="70"/>
        <v>10535.496000000003</v>
      </c>
      <c r="V392" s="81">
        <f t="shared" si="71"/>
        <v>0</v>
      </c>
      <c r="W392" s="66">
        <f t="shared" si="72"/>
        <v>0</v>
      </c>
      <c r="X392" s="66">
        <f t="shared" si="73"/>
        <v>10535.496000000003</v>
      </c>
    </row>
    <row r="393" spans="1:24" x14ac:dyDescent="0.25">
      <c r="A393">
        <f>+'Tablas Servicio'!B426</f>
        <v>33</v>
      </c>
      <c r="B393">
        <f>+'Tablas Servicio'!C426</f>
        <v>385</v>
      </c>
      <c r="C393" s="56">
        <f>+'Tablas Servicio'!D426</f>
        <v>72.103333333333552</v>
      </c>
      <c r="D393" s="58">
        <f>+'Tablas Servicio'!N426</f>
        <v>94</v>
      </c>
      <c r="E393" s="66">
        <f>+'Tablas Servicio'!AC426</f>
        <v>138.1</v>
      </c>
      <c r="F393" s="66">
        <f>+IF(A393="","",'Tablas Servicio'!O426-'Modelo Financiero'!E393)</f>
        <v>3.25</v>
      </c>
      <c r="G393" s="58">
        <f t="shared" si="66"/>
        <v>96.507999999999996</v>
      </c>
      <c r="H393" s="66">
        <f>+'Tablas Servicio'!G426</f>
        <v>153.85</v>
      </c>
      <c r="I393" s="72">
        <f t="shared" si="67"/>
        <v>8.1247968800780002E-2</v>
      </c>
      <c r="J393" s="66">
        <f t="shared" si="68"/>
        <v>12.5</v>
      </c>
      <c r="K393" s="66">
        <f>+'Tablas Servicio'!H426</f>
        <v>160</v>
      </c>
      <c r="L393" s="66">
        <f>+IF(A393="","",ROUND(H393*Parámetros!$D$100,2))</f>
        <v>17.96</v>
      </c>
      <c r="M393" s="58">
        <f>+IF(A393="","",IF(AND(A393=1,B393=1),Parámetros!$D$114*(D393*frec-$G$3-$H$3),IF(AND(A393=2,B393=frec+1),Parámetros!$D$115*(D393*frec-$G$4-$H$4),0)))</f>
        <v>0</v>
      </c>
      <c r="N393" s="58">
        <f>+IF(A393="","",IF(A393&gt;Parámetros!$D$117,0,ROUND('Modelo Financiero'!D393*Parámetros!$D$116,2)))</f>
        <v>0</v>
      </c>
      <c r="O393" s="58">
        <f t="shared" si="69"/>
        <v>0</v>
      </c>
      <c r="P393" s="66">
        <f>+'Tablas Servicio'!I426</f>
        <v>-66</v>
      </c>
      <c r="Q393" s="66">
        <f>+'Tablas Servicio'!S426</f>
        <v>26740.87</v>
      </c>
      <c r="R393" s="66">
        <f>+'Tablas Servicio'!T426</f>
        <v>26740.87</v>
      </c>
      <c r="S393" s="66">
        <f t="shared" ref="S393:S456" si="75">+IF(A393="","",D393-P393-G393-(K393-H393)-M393)</f>
        <v>57.341999999999999</v>
      </c>
      <c r="T393" s="66">
        <f t="shared" si="74"/>
        <v>10592.838000000003</v>
      </c>
      <c r="U393" s="66">
        <f t="shared" si="70"/>
        <v>10592.838000000003</v>
      </c>
      <c r="V393" s="81">
        <f t="shared" si="71"/>
        <v>0</v>
      </c>
      <c r="W393" s="66">
        <f t="shared" si="72"/>
        <v>0</v>
      </c>
      <c r="X393" s="66">
        <f t="shared" si="73"/>
        <v>10592.838000000003</v>
      </c>
    </row>
    <row r="394" spans="1:24" x14ac:dyDescent="0.25">
      <c r="A394">
        <f>+'Tablas Servicio'!B427</f>
        <v>33</v>
      </c>
      <c r="B394">
        <f>+'Tablas Servicio'!C427</f>
        <v>386</v>
      </c>
      <c r="C394" s="56">
        <f>+'Tablas Servicio'!D427</f>
        <v>72.186666666666881</v>
      </c>
      <c r="D394" s="58">
        <f>+'Tablas Servicio'!N427</f>
        <v>94</v>
      </c>
      <c r="E394" s="66">
        <f>+'Tablas Servicio'!AC427</f>
        <v>138.1</v>
      </c>
      <c r="F394" s="66">
        <f>+IF(A394="","",'Tablas Servicio'!O427-'Modelo Financiero'!E394)</f>
        <v>3.25</v>
      </c>
      <c r="G394" s="58">
        <f t="shared" ref="G394:G457" si="76">+IF(A394="","",IF(A394=1,$C$3,$C$4)*E394+$C$2*F394)</f>
        <v>96.507999999999996</v>
      </c>
      <c r="H394" s="66">
        <f>+'Tablas Servicio'!G427</f>
        <v>153.85</v>
      </c>
      <c r="I394" s="72">
        <f t="shared" ref="I394:I457" si="77">IF(A394="","",1-(E394+F394)/H394)</f>
        <v>8.1247968800780002E-2</v>
      </c>
      <c r="J394" s="66">
        <f t="shared" ref="J394:J457" si="78">+IF(A394="","",H394-E394-F394)</f>
        <v>12.5</v>
      </c>
      <c r="K394" s="66">
        <f>+'Tablas Servicio'!H427</f>
        <v>160</v>
      </c>
      <c r="L394" s="66">
        <f>+IF(A394="","",ROUND(H394*Parámetros!$D$100,2))</f>
        <v>17.96</v>
      </c>
      <c r="M394" s="58">
        <f>+IF(A394="","",IF(AND(A394=1,B394=1),Parámetros!$D$114*(D394*frec-$G$3-$H$3),IF(AND(A394=2,B394=frec+1),Parámetros!$D$115*(D394*frec-$G$4-$H$4),0)))</f>
        <v>0</v>
      </c>
      <c r="N394" s="58">
        <f>+IF(A394="","",IF(A394&gt;Parámetros!$D$117,0,ROUND('Modelo Financiero'!D394*Parámetros!$D$116,2)))</f>
        <v>0</v>
      </c>
      <c r="O394" s="58">
        <f t="shared" ref="O394:O457" si="79">+IF(A394="","",MAX(N394-L394,0))</f>
        <v>0</v>
      </c>
      <c r="P394" s="66">
        <f>+'Tablas Servicio'!I427</f>
        <v>-66</v>
      </c>
      <c r="Q394" s="66">
        <f>+'Tablas Servicio'!S427</f>
        <v>26750.53</v>
      </c>
      <c r="R394" s="66">
        <f>+'Tablas Servicio'!T427</f>
        <v>26750.53</v>
      </c>
      <c r="S394" s="66">
        <f t="shared" si="75"/>
        <v>57.341999999999999</v>
      </c>
      <c r="T394" s="66">
        <f t="shared" si="74"/>
        <v>10650.180000000004</v>
      </c>
      <c r="U394" s="66">
        <f t="shared" ref="U394:U457" si="80">+IF(A394="","",T394+(Q394-R394))</f>
        <v>10650.180000000004</v>
      </c>
      <c r="V394" s="81">
        <f t="shared" ref="V394:V457" si="81">+IF(A394="","",IF(A394=1,$L$3,IF(A394=2,$L$4,0)))</f>
        <v>0</v>
      </c>
      <c r="W394" s="66">
        <f t="shared" ref="W394:W457" si="82">+IF(A394="","",IF(A394=1,$I$3,IF(A394=2,$I$4,0))*V394)</f>
        <v>0</v>
      </c>
      <c r="X394" s="66">
        <f t="shared" ref="X394:X457" si="83">+IF(A394="","",U394+W394)</f>
        <v>10650.180000000004</v>
      </c>
    </row>
    <row r="395" spans="1:24" x14ac:dyDescent="0.25">
      <c r="A395">
        <f>+'Tablas Servicio'!B428</f>
        <v>33</v>
      </c>
      <c r="B395">
        <f>+'Tablas Servicio'!C428</f>
        <v>387</v>
      </c>
      <c r="C395" s="56">
        <f>+'Tablas Servicio'!D428</f>
        <v>72.270000000000209</v>
      </c>
      <c r="D395" s="58">
        <f>+'Tablas Servicio'!N428</f>
        <v>94</v>
      </c>
      <c r="E395" s="66">
        <f>+'Tablas Servicio'!AC428</f>
        <v>138.1</v>
      </c>
      <c r="F395" s="66">
        <f>+IF(A395="","",'Tablas Servicio'!O428-'Modelo Financiero'!E395)</f>
        <v>3.25</v>
      </c>
      <c r="G395" s="58">
        <f t="shared" si="76"/>
        <v>96.507999999999996</v>
      </c>
      <c r="H395" s="66">
        <f>+'Tablas Servicio'!G428</f>
        <v>153.85</v>
      </c>
      <c r="I395" s="72">
        <f t="shared" si="77"/>
        <v>8.1247968800780002E-2</v>
      </c>
      <c r="J395" s="66">
        <f t="shared" si="78"/>
        <v>12.5</v>
      </c>
      <c r="K395" s="66">
        <f>+'Tablas Servicio'!H428</f>
        <v>160</v>
      </c>
      <c r="L395" s="66">
        <f>+IF(A395="","",ROUND(H395*Parámetros!$D$100,2))</f>
        <v>17.96</v>
      </c>
      <c r="M395" s="58">
        <f>+IF(A395="","",IF(AND(A395=1,B395=1),Parámetros!$D$114*(D395*frec-$G$3-$H$3),IF(AND(A395=2,B395=frec+1),Parámetros!$D$115*(D395*frec-$G$4-$H$4),0)))</f>
        <v>0</v>
      </c>
      <c r="N395" s="58">
        <f>+IF(A395="","",IF(A395&gt;Parámetros!$D$117,0,ROUND('Modelo Financiero'!D395*Parámetros!$D$116,2)))</f>
        <v>0</v>
      </c>
      <c r="O395" s="58">
        <f t="shared" si="79"/>
        <v>0</v>
      </c>
      <c r="P395" s="66">
        <f>+'Tablas Servicio'!I428</f>
        <v>-66</v>
      </c>
      <c r="Q395" s="66">
        <f>+'Tablas Servicio'!S428</f>
        <v>26760.22</v>
      </c>
      <c r="R395" s="66">
        <f>+'Tablas Servicio'!T428</f>
        <v>26760.22</v>
      </c>
      <c r="S395" s="66">
        <f t="shared" si="75"/>
        <v>57.341999999999999</v>
      </c>
      <c r="T395" s="66">
        <f t="shared" ref="T395:T458" si="84">+IF(A395="","",T394+S395)</f>
        <v>10707.522000000004</v>
      </c>
      <c r="U395" s="66">
        <f t="shared" si="80"/>
        <v>10707.522000000004</v>
      </c>
      <c r="V395" s="81">
        <f t="shared" si="81"/>
        <v>0</v>
      </c>
      <c r="W395" s="66">
        <f t="shared" si="82"/>
        <v>0</v>
      </c>
      <c r="X395" s="66">
        <f t="shared" si="83"/>
        <v>10707.522000000004</v>
      </c>
    </row>
    <row r="396" spans="1:24" x14ac:dyDescent="0.25">
      <c r="A396">
        <f>+'Tablas Servicio'!B429</f>
        <v>33</v>
      </c>
      <c r="B396">
        <f>+'Tablas Servicio'!C429</f>
        <v>388</v>
      </c>
      <c r="C396" s="56">
        <f>+'Tablas Servicio'!D429</f>
        <v>72.353333333333538</v>
      </c>
      <c r="D396" s="58">
        <f>+'Tablas Servicio'!N429</f>
        <v>94</v>
      </c>
      <c r="E396" s="66">
        <f>+'Tablas Servicio'!AC429</f>
        <v>138.1</v>
      </c>
      <c r="F396" s="66">
        <f>+IF(A396="","",'Tablas Servicio'!O429-'Modelo Financiero'!E396)</f>
        <v>3.25</v>
      </c>
      <c r="G396" s="58">
        <f t="shared" si="76"/>
        <v>96.507999999999996</v>
      </c>
      <c r="H396" s="66">
        <f>+'Tablas Servicio'!G429</f>
        <v>153.85</v>
      </c>
      <c r="I396" s="72">
        <f t="shared" si="77"/>
        <v>8.1247968800780002E-2</v>
      </c>
      <c r="J396" s="66">
        <f t="shared" si="78"/>
        <v>12.5</v>
      </c>
      <c r="K396" s="66">
        <f>+'Tablas Servicio'!H429</f>
        <v>160</v>
      </c>
      <c r="L396" s="66">
        <f>+IF(A396="","",ROUND(H396*Parámetros!$D$100,2))</f>
        <v>17.96</v>
      </c>
      <c r="M396" s="58">
        <f>+IF(A396="","",IF(AND(A396=1,B396=1),Parámetros!$D$114*(D396*frec-$G$3-$H$3),IF(AND(A396=2,B396=frec+1),Parámetros!$D$115*(D396*frec-$G$4-$H$4),0)))</f>
        <v>0</v>
      </c>
      <c r="N396" s="58">
        <f>+IF(A396="","",IF(A396&gt;Parámetros!$D$117,0,ROUND('Modelo Financiero'!D396*Parámetros!$D$116,2)))</f>
        <v>0</v>
      </c>
      <c r="O396" s="58">
        <f t="shared" si="79"/>
        <v>0</v>
      </c>
      <c r="P396" s="66">
        <f>+'Tablas Servicio'!I429</f>
        <v>-66</v>
      </c>
      <c r="Q396" s="66">
        <f>+'Tablas Servicio'!S429</f>
        <v>26769.94</v>
      </c>
      <c r="R396" s="66">
        <f>+'Tablas Servicio'!T429</f>
        <v>26769.94</v>
      </c>
      <c r="S396" s="66">
        <f t="shared" si="75"/>
        <v>57.341999999999999</v>
      </c>
      <c r="T396" s="66">
        <f t="shared" si="84"/>
        <v>10764.864000000005</v>
      </c>
      <c r="U396" s="66">
        <f t="shared" si="80"/>
        <v>10764.864000000005</v>
      </c>
      <c r="V396" s="81">
        <f t="shared" si="81"/>
        <v>0</v>
      </c>
      <c r="W396" s="66">
        <f t="shared" si="82"/>
        <v>0</v>
      </c>
      <c r="X396" s="66">
        <f t="shared" si="83"/>
        <v>10764.864000000005</v>
      </c>
    </row>
    <row r="397" spans="1:24" x14ac:dyDescent="0.25">
      <c r="A397">
        <f>+'Tablas Servicio'!B430</f>
        <v>33</v>
      </c>
      <c r="B397">
        <f>+'Tablas Servicio'!C430</f>
        <v>389</v>
      </c>
      <c r="C397" s="56">
        <f>+'Tablas Servicio'!D430</f>
        <v>72.436666666666866</v>
      </c>
      <c r="D397" s="58">
        <f>+'Tablas Servicio'!N430</f>
        <v>94</v>
      </c>
      <c r="E397" s="66">
        <f>+'Tablas Servicio'!AC430</f>
        <v>138.1</v>
      </c>
      <c r="F397" s="66">
        <f>+IF(A397="","",'Tablas Servicio'!O430-'Modelo Financiero'!E397)</f>
        <v>3.25</v>
      </c>
      <c r="G397" s="58">
        <f t="shared" si="76"/>
        <v>96.507999999999996</v>
      </c>
      <c r="H397" s="66">
        <f>+'Tablas Servicio'!G430</f>
        <v>153.85</v>
      </c>
      <c r="I397" s="72">
        <f t="shared" si="77"/>
        <v>8.1247968800780002E-2</v>
      </c>
      <c r="J397" s="66">
        <f t="shared" si="78"/>
        <v>12.5</v>
      </c>
      <c r="K397" s="66">
        <f>+'Tablas Servicio'!H430</f>
        <v>160</v>
      </c>
      <c r="L397" s="66">
        <f>+IF(A397="","",ROUND(H397*Parámetros!$D$100,2))</f>
        <v>17.96</v>
      </c>
      <c r="M397" s="58">
        <f>+IF(A397="","",IF(AND(A397=1,B397=1),Parámetros!$D$114*(D397*frec-$G$3-$H$3),IF(AND(A397=2,B397=frec+1),Parámetros!$D$115*(D397*frec-$G$4-$H$4),0)))</f>
        <v>0</v>
      </c>
      <c r="N397" s="58">
        <f>+IF(A397="","",IF(A397&gt;Parámetros!$D$117,0,ROUND('Modelo Financiero'!D397*Parámetros!$D$116,2)))</f>
        <v>0</v>
      </c>
      <c r="O397" s="58">
        <f t="shared" si="79"/>
        <v>0</v>
      </c>
      <c r="P397" s="66">
        <f>+'Tablas Servicio'!I430</f>
        <v>-66</v>
      </c>
      <c r="Q397" s="66">
        <f>+'Tablas Servicio'!S430</f>
        <v>26779.68</v>
      </c>
      <c r="R397" s="66">
        <f>+'Tablas Servicio'!T430</f>
        <v>26779.68</v>
      </c>
      <c r="S397" s="66">
        <f t="shared" si="75"/>
        <v>57.341999999999999</v>
      </c>
      <c r="T397" s="66">
        <f t="shared" si="84"/>
        <v>10822.206000000006</v>
      </c>
      <c r="U397" s="66">
        <f t="shared" si="80"/>
        <v>10822.206000000006</v>
      </c>
      <c r="V397" s="81">
        <f t="shared" si="81"/>
        <v>0</v>
      </c>
      <c r="W397" s="66">
        <f t="shared" si="82"/>
        <v>0</v>
      </c>
      <c r="X397" s="66">
        <f t="shared" si="83"/>
        <v>10822.206000000006</v>
      </c>
    </row>
    <row r="398" spans="1:24" x14ac:dyDescent="0.25">
      <c r="A398">
        <f>+'Tablas Servicio'!B431</f>
        <v>33</v>
      </c>
      <c r="B398">
        <f>+'Tablas Servicio'!C431</f>
        <v>390</v>
      </c>
      <c r="C398" s="56">
        <f>+'Tablas Servicio'!D431</f>
        <v>72.520000000000195</v>
      </c>
      <c r="D398" s="58">
        <f>+'Tablas Servicio'!N431</f>
        <v>94</v>
      </c>
      <c r="E398" s="66">
        <f>+'Tablas Servicio'!AC431</f>
        <v>138.1</v>
      </c>
      <c r="F398" s="66">
        <f>+IF(A398="","",'Tablas Servicio'!O431-'Modelo Financiero'!E398)</f>
        <v>3.25</v>
      </c>
      <c r="G398" s="58">
        <f t="shared" si="76"/>
        <v>96.507999999999996</v>
      </c>
      <c r="H398" s="66">
        <f>+'Tablas Servicio'!G431</f>
        <v>153.85</v>
      </c>
      <c r="I398" s="72">
        <f t="shared" si="77"/>
        <v>8.1247968800780002E-2</v>
      </c>
      <c r="J398" s="66">
        <f t="shared" si="78"/>
        <v>12.5</v>
      </c>
      <c r="K398" s="66">
        <f>+'Tablas Servicio'!H431</f>
        <v>160</v>
      </c>
      <c r="L398" s="66">
        <f>+IF(A398="","",ROUND(H398*Parámetros!$D$100,2))</f>
        <v>17.96</v>
      </c>
      <c r="M398" s="58">
        <f>+IF(A398="","",IF(AND(A398=1,B398=1),Parámetros!$D$114*(D398*frec-$G$3-$H$3),IF(AND(A398=2,B398=frec+1),Parámetros!$D$115*(D398*frec-$G$4-$H$4),0)))</f>
        <v>0</v>
      </c>
      <c r="N398" s="58">
        <f>+IF(A398="","",IF(A398&gt;Parámetros!$D$117,0,ROUND('Modelo Financiero'!D398*Parámetros!$D$116,2)))</f>
        <v>0</v>
      </c>
      <c r="O398" s="58">
        <f t="shared" si="79"/>
        <v>0</v>
      </c>
      <c r="P398" s="66">
        <f>+'Tablas Servicio'!I431</f>
        <v>-66</v>
      </c>
      <c r="Q398" s="66">
        <f>+'Tablas Servicio'!S431</f>
        <v>26789.45</v>
      </c>
      <c r="R398" s="66">
        <f>+'Tablas Servicio'!T431</f>
        <v>26789.45</v>
      </c>
      <c r="S398" s="66">
        <f t="shared" si="75"/>
        <v>57.341999999999999</v>
      </c>
      <c r="T398" s="66">
        <f t="shared" si="84"/>
        <v>10879.548000000006</v>
      </c>
      <c r="U398" s="66">
        <f t="shared" si="80"/>
        <v>10879.548000000006</v>
      </c>
      <c r="V398" s="81">
        <f t="shared" si="81"/>
        <v>0</v>
      </c>
      <c r="W398" s="66">
        <f t="shared" si="82"/>
        <v>0</v>
      </c>
      <c r="X398" s="66">
        <f t="shared" si="83"/>
        <v>10879.548000000006</v>
      </c>
    </row>
    <row r="399" spans="1:24" x14ac:dyDescent="0.25">
      <c r="A399">
        <f>+'Tablas Servicio'!B432</f>
        <v>33</v>
      </c>
      <c r="B399">
        <f>+'Tablas Servicio'!C432</f>
        <v>391</v>
      </c>
      <c r="C399" s="56">
        <f>+'Tablas Servicio'!D432</f>
        <v>72.603333333333524</v>
      </c>
      <c r="D399" s="58">
        <f>+'Tablas Servicio'!N432</f>
        <v>94</v>
      </c>
      <c r="E399" s="66">
        <f>+'Tablas Servicio'!AC432</f>
        <v>138.1</v>
      </c>
      <c r="F399" s="66">
        <f>+IF(A399="","",'Tablas Servicio'!O432-'Modelo Financiero'!E399)</f>
        <v>3.25</v>
      </c>
      <c r="G399" s="58">
        <f t="shared" si="76"/>
        <v>96.507999999999996</v>
      </c>
      <c r="H399" s="66">
        <f>+'Tablas Servicio'!G432</f>
        <v>153.85</v>
      </c>
      <c r="I399" s="72">
        <f t="shared" si="77"/>
        <v>8.1247968800780002E-2</v>
      </c>
      <c r="J399" s="66">
        <f t="shared" si="78"/>
        <v>12.5</v>
      </c>
      <c r="K399" s="66">
        <f>+'Tablas Servicio'!H432</f>
        <v>160</v>
      </c>
      <c r="L399" s="66">
        <f>+IF(A399="","",ROUND(H399*Parámetros!$D$100,2))</f>
        <v>17.96</v>
      </c>
      <c r="M399" s="58">
        <f>+IF(A399="","",IF(AND(A399=1,B399=1),Parámetros!$D$114*(D399*frec-$G$3-$H$3),IF(AND(A399=2,B399=frec+1),Parámetros!$D$115*(D399*frec-$G$4-$H$4),0)))</f>
        <v>0</v>
      </c>
      <c r="N399" s="58">
        <f>+IF(A399="","",IF(A399&gt;Parámetros!$D$117,0,ROUND('Modelo Financiero'!D399*Parámetros!$D$116,2)))</f>
        <v>0</v>
      </c>
      <c r="O399" s="58">
        <f t="shared" si="79"/>
        <v>0</v>
      </c>
      <c r="P399" s="66">
        <f>+'Tablas Servicio'!I432</f>
        <v>-66</v>
      </c>
      <c r="Q399" s="66">
        <f>+'Tablas Servicio'!S432</f>
        <v>26799.25</v>
      </c>
      <c r="R399" s="66">
        <f>+'Tablas Servicio'!T432</f>
        <v>26799.25</v>
      </c>
      <c r="S399" s="66">
        <f t="shared" si="75"/>
        <v>57.341999999999999</v>
      </c>
      <c r="T399" s="66">
        <f t="shared" si="84"/>
        <v>10936.890000000007</v>
      </c>
      <c r="U399" s="66">
        <f t="shared" si="80"/>
        <v>10936.890000000007</v>
      </c>
      <c r="V399" s="81">
        <f t="shared" si="81"/>
        <v>0</v>
      </c>
      <c r="W399" s="66">
        <f t="shared" si="82"/>
        <v>0</v>
      </c>
      <c r="X399" s="66">
        <f t="shared" si="83"/>
        <v>10936.890000000007</v>
      </c>
    </row>
    <row r="400" spans="1:24" x14ac:dyDescent="0.25">
      <c r="A400">
        <f>+'Tablas Servicio'!B433</f>
        <v>33</v>
      </c>
      <c r="B400">
        <f>+'Tablas Servicio'!C433</f>
        <v>392</v>
      </c>
      <c r="C400" s="56">
        <f>+'Tablas Servicio'!D433</f>
        <v>72.686666666666852</v>
      </c>
      <c r="D400" s="58">
        <f>+'Tablas Servicio'!N433</f>
        <v>94</v>
      </c>
      <c r="E400" s="66">
        <f>+'Tablas Servicio'!AC433</f>
        <v>138.1</v>
      </c>
      <c r="F400" s="66">
        <f>+IF(A400="","",'Tablas Servicio'!O433-'Modelo Financiero'!E400)</f>
        <v>3.25</v>
      </c>
      <c r="G400" s="58">
        <f t="shared" si="76"/>
        <v>96.507999999999996</v>
      </c>
      <c r="H400" s="66">
        <f>+'Tablas Servicio'!G433</f>
        <v>153.85</v>
      </c>
      <c r="I400" s="72">
        <f t="shared" si="77"/>
        <v>8.1247968800780002E-2</v>
      </c>
      <c r="J400" s="66">
        <f t="shared" si="78"/>
        <v>12.5</v>
      </c>
      <c r="K400" s="66">
        <f>+'Tablas Servicio'!H433</f>
        <v>160</v>
      </c>
      <c r="L400" s="66">
        <f>+IF(A400="","",ROUND(H400*Parámetros!$D$100,2))</f>
        <v>17.96</v>
      </c>
      <c r="M400" s="58">
        <f>+IF(A400="","",IF(AND(A400=1,B400=1),Parámetros!$D$114*(D400*frec-$G$3-$H$3),IF(AND(A400=2,B400=frec+1),Parámetros!$D$115*(D400*frec-$G$4-$H$4),0)))</f>
        <v>0</v>
      </c>
      <c r="N400" s="58">
        <f>+IF(A400="","",IF(A400&gt;Parámetros!$D$117,0,ROUND('Modelo Financiero'!D400*Parámetros!$D$116,2)))</f>
        <v>0</v>
      </c>
      <c r="O400" s="58">
        <f t="shared" si="79"/>
        <v>0</v>
      </c>
      <c r="P400" s="66">
        <f>+'Tablas Servicio'!I433</f>
        <v>-66</v>
      </c>
      <c r="Q400" s="66">
        <f>+'Tablas Servicio'!S433</f>
        <v>26809.08</v>
      </c>
      <c r="R400" s="66">
        <f>+'Tablas Servicio'!T433</f>
        <v>26809.08</v>
      </c>
      <c r="S400" s="66">
        <f t="shared" si="75"/>
        <v>57.341999999999999</v>
      </c>
      <c r="T400" s="66">
        <f t="shared" si="84"/>
        <v>10994.232000000007</v>
      </c>
      <c r="U400" s="66">
        <f t="shared" si="80"/>
        <v>10994.232000000007</v>
      </c>
      <c r="V400" s="81">
        <f t="shared" si="81"/>
        <v>0</v>
      </c>
      <c r="W400" s="66">
        <f t="shared" si="82"/>
        <v>0</v>
      </c>
      <c r="X400" s="66">
        <f t="shared" si="83"/>
        <v>10994.232000000007</v>
      </c>
    </row>
    <row r="401" spans="1:24" x14ac:dyDescent="0.25">
      <c r="A401">
        <f>+'Tablas Servicio'!B434</f>
        <v>33</v>
      </c>
      <c r="B401">
        <f>+'Tablas Servicio'!C434</f>
        <v>393</v>
      </c>
      <c r="C401" s="56">
        <f>+'Tablas Servicio'!D434</f>
        <v>72.770000000000181</v>
      </c>
      <c r="D401" s="58">
        <f>+'Tablas Servicio'!N434</f>
        <v>94</v>
      </c>
      <c r="E401" s="66">
        <f>+'Tablas Servicio'!AC434</f>
        <v>138.1</v>
      </c>
      <c r="F401" s="66">
        <f>+IF(A401="","",'Tablas Servicio'!O434-'Modelo Financiero'!E401)</f>
        <v>3.25</v>
      </c>
      <c r="G401" s="58">
        <f t="shared" si="76"/>
        <v>96.507999999999996</v>
      </c>
      <c r="H401" s="66">
        <f>+'Tablas Servicio'!G434</f>
        <v>153.85</v>
      </c>
      <c r="I401" s="72">
        <f t="shared" si="77"/>
        <v>8.1247968800780002E-2</v>
      </c>
      <c r="J401" s="66">
        <f t="shared" si="78"/>
        <v>12.5</v>
      </c>
      <c r="K401" s="66">
        <f>+'Tablas Servicio'!H434</f>
        <v>160</v>
      </c>
      <c r="L401" s="66">
        <f>+IF(A401="","",ROUND(H401*Parámetros!$D$100,2))</f>
        <v>17.96</v>
      </c>
      <c r="M401" s="58">
        <f>+IF(A401="","",IF(AND(A401=1,B401=1),Parámetros!$D$114*(D401*frec-$G$3-$H$3),IF(AND(A401=2,B401=frec+1),Parámetros!$D$115*(D401*frec-$G$4-$H$4),0)))</f>
        <v>0</v>
      </c>
      <c r="N401" s="58">
        <f>+IF(A401="","",IF(A401&gt;Parámetros!$D$117,0,ROUND('Modelo Financiero'!D401*Parámetros!$D$116,2)))</f>
        <v>0</v>
      </c>
      <c r="O401" s="58">
        <f t="shared" si="79"/>
        <v>0</v>
      </c>
      <c r="P401" s="66">
        <f>+'Tablas Servicio'!I434</f>
        <v>-66</v>
      </c>
      <c r="Q401" s="66">
        <f>+'Tablas Servicio'!S434</f>
        <v>26818.94</v>
      </c>
      <c r="R401" s="66">
        <f>+'Tablas Servicio'!T434</f>
        <v>26818.94</v>
      </c>
      <c r="S401" s="66">
        <f t="shared" si="75"/>
        <v>57.341999999999999</v>
      </c>
      <c r="T401" s="66">
        <f t="shared" si="84"/>
        <v>11051.574000000008</v>
      </c>
      <c r="U401" s="66">
        <f t="shared" si="80"/>
        <v>11051.574000000008</v>
      </c>
      <c r="V401" s="81">
        <f t="shared" si="81"/>
        <v>0</v>
      </c>
      <c r="W401" s="66">
        <f t="shared" si="82"/>
        <v>0</v>
      </c>
      <c r="X401" s="66">
        <f t="shared" si="83"/>
        <v>11051.574000000008</v>
      </c>
    </row>
    <row r="402" spans="1:24" x14ac:dyDescent="0.25">
      <c r="A402">
        <f>+'Tablas Servicio'!B435</f>
        <v>33</v>
      </c>
      <c r="B402">
        <f>+'Tablas Servicio'!C435</f>
        <v>394</v>
      </c>
      <c r="C402" s="56">
        <f>+'Tablas Servicio'!D435</f>
        <v>72.853333333333509</v>
      </c>
      <c r="D402" s="58">
        <f>+'Tablas Servicio'!N435</f>
        <v>94</v>
      </c>
      <c r="E402" s="66">
        <f>+'Tablas Servicio'!AC435</f>
        <v>138.1</v>
      </c>
      <c r="F402" s="66">
        <f>+IF(A402="","",'Tablas Servicio'!O435-'Modelo Financiero'!E402)</f>
        <v>3.25</v>
      </c>
      <c r="G402" s="58">
        <f t="shared" si="76"/>
        <v>96.507999999999996</v>
      </c>
      <c r="H402" s="66">
        <f>+'Tablas Servicio'!G435</f>
        <v>153.85</v>
      </c>
      <c r="I402" s="72">
        <f t="shared" si="77"/>
        <v>8.1247968800780002E-2</v>
      </c>
      <c r="J402" s="66">
        <f t="shared" si="78"/>
        <v>12.5</v>
      </c>
      <c r="K402" s="66">
        <f>+'Tablas Servicio'!H435</f>
        <v>160</v>
      </c>
      <c r="L402" s="66">
        <f>+IF(A402="","",ROUND(H402*Parámetros!$D$100,2))</f>
        <v>17.96</v>
      </c>
      <c r="M402" s="58">
        <f>+IF(A402="","",IF(AND(A402=1,B402=1),Parámetros!$D$114*(D402*frec-$G$3-$H$3),IF(AND(A402=2,B402=frec+1),Parámetros!$D$115*(D402*frec-$G$4-$H$4),0)))</f>
        <v>0</v>
      </c>
      <c r="N402" s="58">
        <f>+IF(A402="","",IF(A402&gt;Parámetros!$D$117,0,ROUND('Modelo Financiero'!D402*Parámetros!$D$116,2)))</f>
        <v>0</v>
      </c>
      <c r="O402" s="58">
        <f t="shared" si="79"/>
        <v>0</v>
      </c>
      <c r="P402" s="66">
        <f>+'Tablas Servicio'!I435</f>
        <v>-66</v>
      </c>
      <c r="Q402" s="66">
        <f>+'Tablas Servicio'!S435</f>
        <v>26828.82</v>
      </c>
      <c r="R402" s="66">
        <f>+'Tablas Servicio'!T435</f>
        <v>26828.82</v>
      </c>
      <c r="S402" s="66">
        <f t="shared" si="75"/>
        <v>57.341999999999999</v>
      </c>
      <c r="T402" s="66">
        <f t="shared" si="84"/>
        <v>11108.916000000008</v>
      </c>
      <c r="U402" s="66">
        <f t="shared" si="80"/>
        <v>11108.916000000008</v>
      </c>
      <c r="V402" s="81">
        <f t="shared" si="81"/>
        <v>0</v>
      </c>
      <c r="W402" s="66">
        <f t="shared" si="82"/>
        <v>0</v>
      </c>
      <c r="X402" s="66">
        <f t="shared" si="83"/>
        <v>11108.916000000008</v>
      </c>
    </row>
    <row r="403" spans="1:24" x14ac:dyDescent="0.25">
      <c r="A403">
        <f>+'Tablas Servicio'!B436</f>
        <v>33</v>
      </c>
      <c r="B403">
        <f>+'Tablas Servicio'!C436</f>
        <v>395</v>
      </c>
      <c r="C403" s="56">
        <f>+'Tablas Servicio'!D436</f>
        <v>72.936666666666838</v>
      </c>
      <c r="D403" s="58">
        <f>+'Tablas Servicio'!N436</f>
        <v>94</v>
      </c>
      <c r="E403" s="66">
        <f>+'Tablas Servicio'!AC436</f>
        <v>138.1</v>
      </c>
      <c r="F403" s="66">
        <f>+IF(A403="","",'Tablas Servicio'!O436-'Modelo Financiero'!E403)</f>
        <v>3.25</v>
      </c>
      <c r="G403" s="58">
        <f t="shared" si="76"/>
        <v>96.507999999999996</v>
      </c>
      <c r="H403" s="66">
        <f>+'Tablas Servicio'!G436</f>
        <v>153.85</v>
      </c>
      <c r="I403" s="72">
        <f t="shared" si="77"/>
        <v>8.1247968800780002E-2</v>
      </c>
      <c r="J403" s="66">
        <f t="shared" si="78"/>
        <v>12.5</v>
      </c>
      <c r="K403" s="66">
        <f>+'Tablas Servicio'!H436</f>
        <v>160</v>
      </c>
      <c r="L403" s="66">
        <f>+IF(A403="","",ROUND(H403*Parámetros!$D$100,2))</f>
        <v>17.96</v>
      </c>
      <c r="M403" s="58">
        <f>+IF(A403="","",IF(AND(A403=1,B403=1),Parámetros!$D$114*(D403*frec-$G$3-$H$3),IF(AND(A403=2,B403=frec+1),Parámetros!$D$115*(D403*frec-$G$4-$H$4),0)))</f>
        <v>0</v>
      </c>
      <c r="N403" s="58">
        <f>+IF(A403="","",IF(A403&gt;Parámetros!$D$117,0,ROUND('Modelo Financiero'!D403*Parámetros!$D$116,2)))</f>
        <v>0</v>
      </c>
      <c r="O403" s="58">
        <f t="shared" si="79"/>
        <v>0</v>
      </c>
      <c r="P403" s="66">
        <f>+'Tablas Servicio'!I436</f>
        <v>-66</v>
      </c>
      <c r="Q403" s="66">
        <f>+'Tablas Servicio'!S436</f>
        <v>26838.73</v>
      </c>
      <c r="R403" s="66">
        <f>+'Tablas Servicio'!T436</f>
        <v>26838.73</v>
      </c>
      <c r="S403" s="66">
        <f t="shared" si="75"/>
        <v>57.341999999999999</v>
      </c>
      <c r="T403" s="66">
        <f t="shared" si="84"/>
        <v>11166.258000000009</v>
      </c>
      <c r="U403" s="66">
        <f t="shared" si="80"/>
        <v>11166.258000000009</v>
      </c>
      <c r="V403" s="81">
        <f t="shared" si="81"/>
        <v>0</v>
      </c>
      <c r="W403" s="66">
        <f t="shared" si="82"/>
        <v>0</v>
      </c>
      <c r="X403" s="66">
        <f t="shared" si="83"/>
        <v>11166.258000000009</v>
      </c>
    </row>
    <row r="404" spans="1:24" x14ac:dyDescent="0.25">
      <c r="A404">
        <f>+'Tablas Servicio'!B437</f>
        <v>33</v>
      </c>
      <c r="B404">
        <f>+'Tablas Servicio'!C437</f>
        <v>396</v>
      </c>
      <c r="C404" s="56">
        <f>+'Tablas Servicio'!D437</f>
        <v>73.020000000000167</v>
      </c>
      <c r="D404" s="58">
        <f>+'Tablas Servicio'!N437</f>
        <v>94</v>
      </c>
      <c r="E404" s="66">
        <f>+'Tablas Servicio'!AC437</f>
        <v>138.1</v>
      </c>
      <c r="F404" s="66">
        <f>+IF(A404="","",'Tablas Servicio'!O437-'Modelo Financiero'!E404)</f>
        <v>3.25</v>
      </c>
      <c r="G404" s="58">
        <f t="shared" si="76"/>
        <v>96.507999999999996</v>
      </c>
      <c r="H404" s="66">
        <f>+'Tablas Servicio'!G437</f>
        <v>153.85</v>
      </c>
      <c r="I404" s="72">
        <f t="shared" si="77"/>
        <v>8.1247968800780002E-2</v>
      </c>
      <c r="J404" s="66">
        <f t="shared" si="78"/>
        <v>12.5</v>
      </c>
      <c r="K404" s="66">
        <f>+'Tablas Servicio'!H437</f>
        <v>160</v>
      </c>
      <c r="L404" s="66">
        <f>+IF(A404="","",ROUND(H404*Parámetros!$D$100,2))</f>
        <v>17.96</v>
      </c>
      <c r="M404" s="58">
        <f>+IF(A404="","",IF(AND(A404=1,B404=1),Parámetros!$D$114*(D404*frec-$G$3-$H$3),IF(AND(A404=2,B404=frec+1),Parámetros!$D$115*(D404*frec-$G$4-$H$4),0)))</f>
        <v>0</v>
      </c>
      <c r="N404" s="58">
        <f>+IF(A404="","",IF(A404&gt;Parámetros!$D$117,0,ROUND('Modelo Financiero'!D404*Parámetros!$D$116,2)))</f>
        <v>0</v>
      </c>
      <c r="O404" s="58">
        <f t="shared" si="79"/>
        <v>0</v>
      </c>
      <c r="P404" s="66">
        <f>+'Tablas Servicio'!I437</f>
        <v>-66</v>
      </c>
      <c r="Q404" s="66">
        <f>+'Tablas Servicio'!S437</f>
        <v>26848.67</v>
      </c>
      <c r="R404" s="66">
        <f>+'Tablas Servicio'!T437</f>
        <v>26848.67</v>
      </c>
      <c r="S404" s="66">
        <f t="shared" si="75"/>
        <v>57.341999999999999</v>
      </c>
      <c r="T404" s="66">
        <f t="shared" si="84"/>
        <v>11223.600000000009</v>
      </c>
      <c r="U404" s="66">
        <f t="shared" si="80"/>
        <v>11223.600000000009</v>
      </c>
      <c r="V404" s="81">
        <f t="shared" si="81"/>
        <v>0</v>
      </c>
      <c r="W404" s="66">
        <f t="shared" si="82"/>
        <v>0</v>
      </c>
      <c r="X404" s="66">
        <f t="shared" si="83"/>
        <v>11223.600000000009</v>
      </c>
    </row>
    <row r="405" spans="1:24" x14ac:dyDescent="0.25">
      <c r="A405">
        <f>+'Tablas Servicio'!B438</f>
        <v>34</v>
      </c>
      <c r="B405">
        <f>+'Tablas Servicio'!C438</f>
        <v>397</v>
      </c>
      <c r="C405" s="56">
        <f>+'Tablas Servicio'!D438</f>
        <v>73.103333333333495</v>
      </c>
      <c r="D405" s="58">
        <f>+'Tablas Servicio'!N438</f>
        <v>94</v>
      </c>
      <c r="E405" s="66">
        <f>+'Tablas Servicio'!AC438</f>
        <v>155.4</v>
      </c>
      <c r="F405" s="66">
        <f>+IF(A405="","",'Tablas Servicio'!O438-'Modelo Financiero'!E405)</f>
        <v>3.25</v>
      </c>
      <c r="G405" s="58">
        <f t="shared" si="76"/>
        <v>108.27200000000001</v>
      </c>
      <c r="H405" s="66">
        <f>+'Tablas Servicio'!G438</f>
        <v>171.15</v>
      </c>
      <c r="I405" s="72">
        <f t="shared" si="77"/>
        <v>7.3035349108968695E-2</v>
      </c>
      <c r="J405" s="66">
        <f t="shared" si="78"/>
        <v>12.5</v>
      </c>
      <c r="K405" s="66">
        <f>+'Tablas Servicio'!H438</f>
        <v>178</v>
      </c>
      <c r="L405" s="66">
        <f>+IF(A405="","",ROUND(H405*Parámetros!$D$100,2))</f>
        <v>19.98</v>
      </c>
      <c r="M405" s="58">
        <f>+IF(A405="","",IF(AND(A405=1,B405=1),Parámetros!$D$114*(D405*frec-$G$3-$H$3),IF(AND(A405=2,B405=frec+1),Parámetros!$D$115*(D405*frec-$G$4-$H$4),0)))</f>
        <v>0</v>
      </c>
      <c r="N405" s="58">
        <f>+IF(A405="","",IF(A405&gt;Parámetros!$D$117,0,ROUND('Modelo Financiero'!D405*Parámetros!$D$116,2)))</f>
        <v>0</v>
      </c>
      <c r="O405" s="58">
        <f t="shared" si="79"/>
        <v>0</v>
      </c>
      <c r="P405" s="66">
        <f>+'Tablas Servicio'!I438</f>
        <v>-84</v>
      </c>
      <c r="Q405" s="66">
        <f>+'Tablas Servicio'!S438</f>
        <v>26840.59</v>
      </c>
      <c r="R405" s="66">
        <f>+'Tablas Servicio'!T438</f>
        <v>26840.59</v>
      </c>
      <c r="S405" s="66">
        <f t="shared" si="75"/>
        <v>62.878</v>
      </c>
      <c r="T405" s="66">
        <f t="shared" si="84"/>
        <v>11286.47800000001</v>
      </c>
      <c r="U405" s="66">
        <f t="shared" si="80"/>
        <v>11286.47800000001</v>
      </c>
      <c r="V405" s="81">
        <f t="shared" si="81"/>
        <v>0</v>
      </c>
      <c r="W405" s="66">
        <f t="shared" si="82"/>
        <v>0</v>
      </c>
      <c r="X405" s="66">
        <f t="shared" si="83"/>
        <v>11286.47800000001</v>
      </c>
    </row>
    <row r="406" spans="1:24" x14ac:dyDescent="0.25">
      <c r="A406">
        <f>+'Tablas Servicio'!B439</f>
        <v>34</v>
      </c>
      <c r="B406">
        <f>+'Tablas Servicio'!C439</f>
        <v>398</v>
      </c>
      <c r="C406" s="56">
        <f>+'Tablas Servicio'!D439</f>
        <v>73.186666666666824</v>
      </c>
      <c r="D406" s="58">
        <f>+'Tablas Servicio'!N439</f>
        <v>94</v>
      </c>
      <c r="E406" s="66">
        <f>+'Tablas Servicio'!AC439</f>
        <v>155.4</v>
      </c>
      <c r="F406" s="66">
        <f>+IF(A406="","",'Tablas Servicio'!O439-'Modelo Financiero'!E406)</f>
        <v>3.25</v>
      </c>
      <c r="G406" s="58">
        <f t="shared" si="76"/>
        <v>108.27200000000001</v>
      </c>
      <c r="H406" s="66">
        <f>+'Tablas Servicio'!G439</f>
        <v>171.15</v>
      </c>
      <c r="I406" s="72">
        <f t="shared" si="77"/>
        <v>7.3035349108968695E-2</v>
      </c>
      <c r="J406" s="66">
        <f t="shared" si="78"/>
        <v>12.5</v>
      </c>
      <c r="K406" s="66">
        <f>+'Tablas Servicio'!H439</f>
        <v>178</v>
      </c>
      <c r="L406" s="66">
        <f>+IF(A406="","",ROUND(H406*Parámetros!$D$100,2))</f>
        <v>19.98</v>
      </c>
      <c r="M406" s="58">
        <f>+IF(A406="","",IF(AND(A406=1,B406=1),Parámetros!$D$114*(D406*frec-$G$3-$H$3),IF(AND(A406=2,B406=frec+1),Parámetros!$D$115*(D406*frec-$G$4-$H$4),0)))</f>
        <v>0</v>
      </c>
      <c r="N406" s="58">
        <f>+IF(A406="","",IF(A406&gt;Parámetros!$D$117,0,ROUND('Modelo Financiero'!D406*Parámetros!$D$116,2)))</f>
        <v>0</v>
      </c>
      <c r="O406" s="58">
        <f t="shared" si="79"/>
        <v>0</v>
      </c>
      <c r="P406" s="66">
        <f>+'Tablas Servicio'!I439</f>
        <v>-84</v>
      </c>
      <c r="Q406" s="66">
        <f>+'Tablas Servicio'!S439</f>
        <v>26832.48</v>
      </c>
      <c r="R406" s="66">
        <f>+'Tablas Servicio'!T439</f>
        <v>26832.48</v>
      </c>
      <c r="S406" s="66">
        <f t="shared" si="75"/>
        <v>62.878</v>
      </c>
      <c r="T406" s="66">
        <f t="shared" si="84"/>
        <v>11349.356000000011</v>
      </c>
      <c r="U406" s="66">
        <f t="shared" si="80"/>
        <v>11349.356000000011</v>
      </c>
      <c r="V406" s="81">
        <f t="shared" si="81"/>
        <v>0</v>
      </c>
      <c r="W406" s="66">
        <f t="shared" si="82"/>
        <v>0</v>
      </c>
      <c r="X406" s="66">
        <f t="shared" si="83"/>
        <v>11349.356000000011</v>
      </c>
    </row>
    <row r="407" spans="1:24" x14ac:dyDescent="0.25">
      <c r="A407">
        <f>+'Tablas Servicio'!B440</f>
        <v>34</v>
      </c>
      <c r="B407">
        <f>+'Tablas Servicio'!C440</f>
        <v>399</v>
      </c>
      <c r="C407" s="56">
        <f>+'Tablas Servicio'!D440</f>
        <v>73.270000000000152</v>
      </c>
      <c r="D407" s="58">
        <f>+'Tablas Servicio'!N440</f>
        <v>94</v>
      </c>
      <c r="E407" s="66">
        <f>+'Tablas Servicio'!AC440</f>
        <v>155.4</v>
      </c>
      <c r="F407" s="66">
        <f>+IF(A407="","",'Tablas Servicio'!O440-'Modelo Financiero'!E407)</f>
        <v>3.25</v>
      </c>
      <c r="G407" s="58">
        <f t="shared" si="76"/>
        <v>108.27200000000001</v>
      </c>
      <c r="H407" s="66">
        <f>+'Tablas Servicio'!G440</f>
        <v>171.15</v>
      </c>
      <c r="I407" s="72">
        <f t="shared" si="77"/>
        <v>7.3035349108968695E-2</v>
      </c>
      <c r="J407" s="66">
        <f t="shared" si="78"/>
        <v>12.5</v>
      </c>
      <c r="K407" s="66">
        <f>+'Tablas Servicio'!H440</f>
        <v>178</v>
      </c>
      <c r="L407" s="66">
        <f>+IF(A407="","",ROUND(H407*Parámetros!$D$100,2))</f>
        <v>19.98</v>
      </c>
      <c r="M407" s="58">
        <f>+IF(A407="","",IF(AND(A407=1,B407=1),Parámetros!$D$114*(D407*frec-$G$3-$H$3),IF(AND(A407=2,B407=frec+1),Parámetros!$D$115*(D407*frec-$G$4-$H$4),0)))</f>
        <v>0</v>
      </c>
      <c r="N407" s="58">
        <f>+IF(A407="","",IF(A407&gt;Parámetros!$D$117,0,ROUND('Modelo Financiero'!D407*Parámetros!$D$116,2)))</f>
        <v>0</v>
      </c>
      <c r="O407" s="58">
        <f t="shared" si="79"/>
        <v>0</v>
      </c>
      <c r="P407" s="66">
        <f>+'Tablas Servicio'!I440</f>
        <v>-84</v>
      </c>
      <c r="Q407" s="66">
        <f>+'Tablas Servicio'!S440</f>
        <v>26824.35</v>
      </c>
      <c r="R407" s="66">
        <f>+'Tablas Servicio'!T440</f>
        <v>26824.35</v>
      </c>
      <c r="S407" s="66">
        <f t="shared" si="75"/>
        <v>62.878</v>
      </c>
      <c r="T407" s="66">
        <f t="shared" si="84"/>
        <v>11412.234000000011</v>
      </c>
      <c r="U407" s="66">
        <f t="shared" si="80"/>
        <v>11412.234000000011</v>
      </c>
      <c r="V407" s="81">
        <f t="shared" si="81"/>
        <v>0</v>
      </c>
      <c r="W407" s="66">
        <f t="shared" si="82"/>
        <v>0</v>
      </c>
      <c r="X407" s="66">
        <f t="shared" si="83"/>
        <v>11412.234000000011</v>
      </c>
    </row>
    <row r="408" spans="1:24" x14ac:dyDescent="0.25">
      <c r="A408">
        <f>+'Tablas Servicio'!B441</f>
        <v>34</v>
      </c>
      <c r="B408">
        <f>+'Tablas Servicio'!C441</f>
        <v>400</v>
      </c>
      <c r="C408" s="56">
        <f>+'Tablas Servicio'!D441</f>
        <v>73.353333333333481</v>
      </c>
      <c r="D408" s="58">
        <f>+'Tablas Servicio'!N441</f>
        <v>94</v>
      </c>
      <c r="E408" s="66">
        <f>+'Tablas Servicio'!AC441</f>
        <v>155.4</v>
      </c>
      <c r="F408" s="66">
        <f>+IF(A408="","",'Tablas Servicio'!O441-'Modelo Financiero'!E408)</f>
        <v>3.25</v>
      </c>
      <c r="G408" s="58">
        <f t="shared" si="76"/>
        <v>108.27200000000001</v>
      </c>
      <c r="H408" s="66">
        <f>+'Tablas Servicio'!G441</f>
        <v>171.15</v>
      </c>
      <c r="I408" s="72">
        <f t="shared" si="77"/>
        <v>7.3035349108968695E-2</v>
      </c>
      <c r="J408" s="66">
        <f t="shared" si="78"/>
        <v>12.5</v>
      </c>
      <c r="K408" s="66">
        <f>+'Tablas Servicio'!H441</f>
        <v>178</v>
      </c>
      <c r="L408" s="66">
        <f>+IF(A408="","",ROUND(H408*Parámetros!$D$100,2))</f>
        <v>19.98</v>
      </c>
      <c r="M408" s="58">
        <f>+IF(A408="","",IF(AND(A408=1,B408=1),Parámetros!$D$114*(D408*frec-$G$3-$H$3),IF(AND(A408=2,B408=frec+1),Parámetros!$D$115*(D408*frec-$G$4-$H$4),0)))</f>
        <v>0</v>
      </c>
      <c r="N408" s="58">
        <f>+IF(A408="","",IF(A408&gt;Parámetros!$D$117,0,ROUND('Modelo Financiero'!D408*Parámetros!$D$116,2)))</f>
        <v>0</v>
      </c>
      <c r="O408" s="58">
        <f t="shared" si="79"/>
        <v>0</v>
      </c>
      <c r="P408" s="66">
        <f>+'Tablas Servicio'!I441</f>
        <v>-84</v>
      </c>
      <c r="Q408" s="66">
        <f>+'Tablas Servicio'!S441</f>
        <v>26816.2</v>
      </c>
      <c r="R408" s="66">
        <f>+'Tablas Servicio'!T441</f>
        <v>26816.2</v>
      </c>
      <c r="S408" s="66">
        <f t="shared" si="75"/>
        <v>62.878</v>
      </c>
      <c r="T408" s="66">
        <f t="shared" si="84"/>
        <v>11475.112000000012</v>
      </c>
      <c r="U408" s="66">
        <f t="shared" si="80"/>
        <v>11475.112000000012</v>
      </c>
      <c r="V408" s="81">
        <f t="shared" si="81"/>
        <v>0</v>
      </c>
      <c r="W408" s="66">
        <f t="shared" si="82"/>
        <v>0</v>
      </c>
      <c r="X408" s="66">
        <f t="shared" si="83"/>
        <v>11475.112000000012</v>
      </c>
    </row>
    <row r="409" spans="1:24" x14ac:dyDescent="0.25">
      <c r="A409">
        <f>+'Tablas Servicio'!B442</f>
        <v>34</v>
      </c>
      <c r="B409">
        <f>+'Tablas Servicio'!C442</f>
        <v>401</v>
      </c>
      <c r="C409" s="56">
        <f>+'Tablas Servicio'!D442</f>
        <v>73.43666666666681</v>
      </c>
      <c r="D409" s="58">
        <f>+'Tablas Servicio'!N442</f>
        <v>94</v>
      </c>
      <c r="E409" s="66">
        <f>+'Tablas Servicio'!AC442</f>
        <v>155.4</v>
      </c>
      <c r="F409" s="66">
        <f>+IF(A409="","",'Tablas Servicio'!O442-'Modelo Financiero'!E409)</f>
        <v>3.25</v>
      </c>
      <c r="G409" s="58">
        <f t="shared" si="76"/>
        <v>108.27200000000001</v>
      </c>
      <c r="H409" s="66">
        <f>+'Tablas Servicio'!G442</f>
        <v>171.15</v>
      </c>
      <c r="I409" s="72">
        <f t="shared" si="77"/>
        <v>7.3035349108968695E-2</v>
      </c>
      <c r="J409" s="66">
        <f t="shared" si="78"/>
        <v>12.5</v>
      </c>
      <c r="K409" s="66">
        <f>+'Tablas Servicio'!H442</f>
        <v>178</v>
      </c>
      <c r="L409" s="66">
        <f>+IF(A409="","",ROUND(H409*Parámetros!$D$100,2))</f>
        <v>19.98</v>
      </c>
      <c r="M409" s="58">
        <f>+IF(A409="","",IF(AND(A409=1,B409=1),Parámetros!$D$114*(D409*frec-$G$3-$H$3),IF(AND(A409=2,B409=frec+1),Parámetros!$D$115*(D409*frec-$G$4-$H$4),0)))</f>
        <v>0</v>
      </c>
      <c r="N409" s="58">
        <f>+IF(A409="","",IF(A409&gt;Parámetros!$D$117,0,ROUND('Modelo Financiero'!D409*Parámetros!$D$116,2)))</f>
        <v>0</v>
      </c>
      <c r="O409" s="58">
        <f t="shared" si="79"/>
        <v>0</v>
      </c>
      <c r="P409" s="66">
        <f>+'Tablas Servicio'!I442</f>
        <v>-84</v>
      </c>
      <c r="Q409" s="66">
        <f>+'Tablas Servicio'!S442</f>
        <v>26808.02</v>
      </c>
      <c r="R409" s="66">
        <f>+'Tablas Servicio'!T442</f>
        <v>26808.02</v>
      </c>
      <c r="S409" s="66">
        <f t="shared" si="75"/>
        <v>62.878</v>
      </c>
      <c r="T409" s="66">
        <f t="shared" si="84"/>
        <v>11537.990000000013</v>
      </c>
      <c r="U409" s="66">
        <f t="shared" si="80"/>
        <v>11537.990000000013</v>
      </c>
      <c r="V409" s="81">
        <f t="shared" si="81"/>
        <v>0</v>
      </c>
      <c r="W409" s="66">
        <f t="shared" si="82"/>
        <v>0</v>
      </c>
      <c r="X409" s="66">
        <f t="shared" si="83"/>
        <v>11537.990000000013</v>
      </c>
    </row>
    <row r="410" spans="1:24" x14ac:dyDescent="0.25">
      <c r="A410">
        <f>+'Tablas Servicio'!B443</f>
        <v>34</v>
      </c>
      <c r="B410">
        <f>+'Tablas Servicio'!C443</f>
        <v>402</v>
      </c>
      <c r="C410" s="56">
        <f>+'Tablas Servicio'!D443</f>
        <v>73.520000000000138</v>
      </c>
      <c r="D410" s="58">
        <f>+'Tablas Servicio'!N443</f>
        <v>94</v>
      </c>
      <c r="E410" s="66">
        <f>+'Tablas Servicio'!AC443</f>
        <v>155.4</v>
      </c>
      <c r="F410" s="66">
        <f>+IF(A410="","",'Tablas Servicio'!O443-'Modelo Financiero'!E410)</f>
        <v>3.25</v>
      </c>
      <c r="G410" s="58">
        <f t="shared" si="76"/>
        <v>108.27200000000001</v>
      </c>
      <c r="H410" s="66">
        <f>+'Tablas Servicio'!G443</f>
        <v>171.15</v>
      </c>
      <c r="I410" s="72">
        <f t="shared" si="77"/>
        <v>7.3035349108968695E-2</v>
      </c>
      <c r="J410" s="66">
        <f t="shared" si="78"/>
        <v>12.5</v>
      </c>
      <c r="K410" s="66">
        <f>+'Tablas Servicio'!H443</f>
        <v>178</v>
      </c>
      <c r="L410" s="66">
        <f>+IF(A410="","",ROUND(H410*Parámetros!$D$100,2))</f>
        <v>19.98</v>
      </c>
      <c r="M410" s="58">
        <f>+IF(A410="","",IF(AND(A410=1,B410=1),Parámetros!$D$114*(D410*frec-$G$3-$H$3),IF(AND(A410=2,B410=frec+1),Parámetros!$D$115*(D410*frec-$G$4-$H$4),0)))</f>
        <v>0</v>
      </c>
      <c r="N410" s="58">
        <f>+IF(A410="","",IF(A410&gt;Parámetros!$D$117,0,ROUND('Modelo Financiero'!D410*Parámetros!$D$116,2)))</f>
        <v>0</v>
      </c>
      <c r="O410" s="58">
        <f t="shared" si="79"/>
        <v>0</v>
      </c>
      <c r="P410" s="66">
        <f>+'Tablas Servicio'!I443</f>
        <v>-84</v>
      </c>
      <c r="Q410" s="66">
        <f>+'Tablas Servicio'!S443</f>
        <v>26799.82</v>
      </c>
      <c r="R410" s="66">
        <f>+'Tablas Servicio'!T443</f>
        <v>26799.82</v>
      </c>
      <c r="S410" s="66">
        <f t="shared" si="75"/>
        <v>62.878</v>
      </c>
      <c r="T410" s="66">
        <f t="shared" si="84"/>
        <v>11600.868000000013</v>
      </c>
      <c r="U410" s="66">
        <f t="shared" si="80"/>
        <v>11600.868000000013</v>
      </c>
      <c r="V410" s="81">
        <f t="shared" si="81"/>
        <v>0</v>
      </c>
      <c r="W410" s="66">
        <f t="shared" si="82"/>
        <v>0</v>
      </c>
      <c r="X410" s="66">
        <f t="shared" si="83"/>
        <v>11600.868000000013</v>
      </c>
    </row>
    <row r="411" spans="1:24" x14ac:dyDescent="0.25">
      <c r="A411">
        <f>+'Tablas Servicio'!B444</f>
        <v>34</v>
      </c>
      <c r="B411">
        <f>+'Tablas Servicio'!C444</f>
        <v>403</v>
      </c>
      <c r="C411" s="56">
        <f>+'Tablas Servicio'!D444</f>
        <v>73.603333333333467</v>
      </c>
      <c r="D411" s="58">
        <f>+'Tablas Servicio'!N444</f>
        <v>94</v>
      </c>
      <c r="E411" s="66">
        <f>+'Tablas Servicio'!AC444</f>
        <v>155.4</v>
      </c>
      <c r="F411" s="66">
        <f>+IF(A411="","",'Tablas Servicio'!O444-'Modelo Financiero'!E411)</f>
        <v>3.25</v>
      </c>
      <c r="G411" s="58">
        <f t="shared" si="76"/>
        <v>108.27200000000001</v>
      </c>
      <c r="H411" s="66">
        <f>+'Tablas Servicio'!G444</f>
        <v>171.15</v>
      </c>
      <c r="I411" s="72">
        <f t="shared" si="77"/>
        <v>7.3035349108968695E-2</v>
      </c>
      <c r="J411" s="66">
        <f t="shared" si="78"/>
        <v>12.5</v>
      </c>
      <c r="K411" s="66">
        <f>+'Tablas Servicio'!H444</f>
        <v>178</v>
      </c>
      <c r="L411" s="66">
        <f>+IF(A411="","",ROUND(H411*Parámetros!$D$100,2))</f>
        <v>19.98</v>
      </c>
      <c r="M411" s="58">
        <f>+IF(A411="","",IF(AND(A411=1,B411=1),Parámetros!$D$114*(D411*frec-$G$3-$H$3),IF(AND(A411=2,B411=frec+1),Parámetros!$D$115*(D411*frec-$G$4-$H$4),0)))</f>
        <v>0</v>
      </c>
      <c r="N411" s="58">
        <f>+IF(A411="","",IF(A411&gt;Parámetros!$D$117,0,ROUND('Modelo Financiero'!D411*Parámetros!$D$116,2)))</f>
        <v>0</v>
      </c>
      <c r="O411" s="58">
        <f t="shared" si="79"/>
        <v>0</v>
      </c>
      <c r="P411" s="66">
        <f>+'Tablas Servicio'!I444</f>
        <v>-84</v>
      </c>
      <c r="Q411" s="66">
        <f>+'Tablas Servicio'!S444</f>
        <v>26791.599999999999</v>
      </c>
      <c r="R411" s="66">
        <f>+'Tablas Servicio'!T444</f>
        <v>26791.599999999999</v>
      </c>
      <c r="S411" s="66">
        <f t="shared" si="75"/>
        <v>62.878</v>
      </c>
      <c r="T411" s="66">
        <f t="shared" si="84"/>
        <v>11663.746000000014</v>
      </c>
      <c r="U411" s="66">
        <f t="shared" si="80"/>
        <v>11663.746000000014</v>
      </c>
      <c r="V411" s="81">
        <f t="shared" si="81"/>
        <v>0</v>
      </c>
      <c r="W411" s="66">
        <f t="shared" si="82"/>
        <v>0</v>
      </c>
      <c r="X411" s="66">
        <f t="shared" si="83"/>
        <v>11663.746000000014</v>
      </c>
    </row>
    <row r="412" spans="1:24" x14ac:dyDescent="0.25">
      <c r="A412">
        <f>+'Tablas Servicio'!B445</f>
        <v>34</v>
      </c>
      <c r="B412">
        <f>+'Tablas Servicio'!C445</f>
        <v>404</v>
      </c>
      <c r="C412" s="56">
        <f>+'Tablas Servicio'!D445</f>
        <v>73.686666666666795</v>
      </c>
      <c r="D412" s="58">
        <f>+'Tablas Servicio'!N445</f>
        <v>94</v>
      </c>
      <c r="E412" s="66">
        <f>+'Tablas Servicio'!AC445</f>
        <v>155.4</v>
      </c>
      <c r="F412" s="66">
        <f>+IF(A412="","",'Tablas Servicio'!O445-'Modelo Financiero'!E412)</f>
        <v>3.25</v>
      </c>
      <c r="G412" s="58">
        <f t="shared" si="76"/>
        <v>108.27200000000001</v>
      </c>
      <c r="H412" s="66">
        <f>+'Tablas Servicio'!G445</f>
        <v>171.15</v>
      </c>
      <c r="I412" s="72">
        <f t="shared" si="77"/>
        <v>7.3035349108968695E-2</v>
      </c>
      <c r="J412" s="66">
        <f t="shared" si="78"/>
        <v>12.5</v>
      </c>
      <c r="K412" s="66">
        <f>+'Tablas Servicio'!H445</f>
        <v>178</v>
      </c>
      <c r="L412" s="66">
        <f>+IF(A412="","",ROUND(H412*Parámetros!$D$100,2))</f>
        <v>19.98</v>
      </c>
      <c r="M412" s="58">
        <f>+IF(A412="","",IF(AND(A412=1,B412=1),Parámetros!$D$114*(D412*frec-$G$3-$H$3),IF(AND(A412=2,B412=frec+1),Parámetros!$D$115*(D412*frec-$G$4-$H$4),0)))</f>
        <v>0</v>
      </c>
      <c r="N412" s="58">
        <f>+IF(A412="","",IF(A412&gt;Parámetros!$D$117,0,ROUND('Modelo Financiero'!D412*Parámetros!$D$116,2)))</f>
        <v>0</v>
      </c>
      <c r="O412" s="58">
        <f t="shared" si="79"/>
        <v>0</v>
      </c>
      <c r="P412" s="66">
        <f>+'Tablas Servicio'!I445</f>
        <v>-84</v>
      </c>
      <c r="Q412" s="66">
        <f>+'Tablas Servicio'!S445</f>
        <v>26783.35</v>
      </c>
      <c r="R412" s="66">
        <f>+'Tablas Servicio'!T445</f>
        <v>26783.35</v>
      </c>
      <c r="S412" s="66">
        <f t="shared" si="75"/>
        <v>62.878</v>
      </c>
      <c r="T412" s="66">
        <f t="shared" si="84"/>
        <v>11726.624000000014</v>
      </c>
      <c r="U412" s="66">
        <f t="shared" si="80"/>
        <v>11726.624000000014</v>
      </c>
      <c r="V412" s="81">
        <f t="shared" si="81"/>
        <v>0</v>
      </c>
      <c r="W412" s="66">
        <f t="shared" si="82"/>
        <v>0</v>
      </c>
      <c r="X412" s="66">
        <f t="shared" si="83"/>
        <v>11726.624000000014</v>
      </c>
    </row>
    <row r="413" spans="1:24" x14ac:dyDescent="0.25">
      <c r="A413">
        <f>+'Tablas Servicio'!B446</f>
        <v>34</v>
      </c>
      <c r="B413">
        <f>+'Tablas Servicio'!C446</f>
        <v>405</v>
      </c>
      <c r="C413" s="56">
        <f>+'Tablas Servicio'!D446</f>
        <v>73.770000000000124</v>
      </c>
      <c r="D413" s="58">
        <f>+'Tablas Servicio'!N446</f>
        <v>94</v>
      </c>
      <c r="E413" s="66">
        <f>+'Tablas Servicio'!AC446</f>
        <v>155.4</v>
      </c>
      <c r="F413" s="66">
        <f>+IF(A413="","",'Tablas Servicio'!O446-'Modelo Financiero'!E413)</f>
        <v>3.25</v>
      </c>
      <c r="G413" s="58">
        <f t="shared" si="76"/>
        <v>108.27200000000001</v>
      </c>
      <c r="H413" s="66">
        <f>+'Tablas Servicio'!G446</f>
        <v>171.15</v>
      </c>
      <c r="I413" s="72">
        <f t="shared" si="77"/>
        <v>7.3035349108968695E-2</v>
      </c>
      <c r="J413" s="66">
        <f t="shared" si="78"/>
        <v>12.5</v>
      </c>
      <c r="K413" s="66">
        <f>+'Tablas Servicio'!H446</f>
        <v>178</v>
      </c>
      <c r="L413" s="66">
        <f>+IF(A413="","",ROUND(H413*Parámetros!$D$100,2))</f>
        <v>19.98</v>
      </c>
      <c r="M413" s="58">
        <f>+IF(A413="","",IF(AND(A413=1,B413=1),Parámetros!$D$114*(D413*frec-$G$3-$H$3),IF(AND(A413=2,B413=frec+1),Parámetros!$D$115*(D413*frec-$G$4-$H$4),0)))</f>
        <v>0</v>
      </c>
      <c r="N413" s="58">
        <f>+IF(A413="","",IF(A413&gt;Parámetros!$D$117,0,ROUND('Modelo Financiero'!D413*Parámetros!$D$116,2)))</f>
        <v>0</v>
      </c>
      <c r="O413" s="58">
        <f t="shared" si="79"/>
        <v>0</v>
      </c>
      <c r="P413" s="66">
        <f>+'Tablas Servicio'!I446</f>
        <v>-84</v>
      </c>
      <c r="Q413" s="66">
        <f>+'Tablas Servicio'!S446</f>
        <v>26775.08</v>
      </c>
      <c r="R413" s="66">
        <f>+'Tablas Servicio'!T446</f>
        <v>26775.08</v>
      </c>
      <c r="S413" s="66">
        <f t="shared" si="75"/>
        <v>62.878</v>
      </c>
      <c r="T413" s="66">
        <f t="shared" si="84"/>
        <v>11789.502000000015</v>
      </c>
      <c r="U413" s="66">
        <f t="shared" si="80"/>
        <v>11789.502000000015</v>
      </c>
      <c r="V413" s="81">
        <f t="shared" si="81"/>
        <v>0</v>
      </c>
      <c r="W413" s="66">
        <f t="shared" si="82"/>
        <v>0</v>
      </c>
      <c r="X413" s="66">
        <f t="shared" si="83"/>
        <v>11789.502000000015</v>
      </c>
    </row>
    <row r="414" spans="1:24" x14ac:dyDescent="0.25">
      <c r="A414">
        <f>+'Tablas Servicio'!B447</f>
        <v>34</v>
      </c>
      <c r="B414">
        <f>+'Tablas Servicio'!C447</f>
        <v>406</v>
      </c>
      <c r="C414" s="56">
        <f>+'Tablas Servicio'!D447</f>
        <v>73.853333333333453</v>
      </c>
      <c r="D414" s="58">
        <f>+'Tablas Servicio'!N447</f>
        <v>94</v>
      </c>
      <c r="E414" s="66">
        <f>+'Tablas Servicio'!AC447</f>
        <v>155.4</v>
      </c>
      <c r="F414" s="66">
        <f>+IF(A414="","",'Tablas Servicio'!O447-'Modelo Financiero'!E414)</f>
        <v>3.25</v>
      </c>
      <c r="G414" s="58">
        <f t="shared" si="76"/>
        <v>108.27200000000001</v>
      </c>
      <c r="H414" s="66">
        <f>+'Tablas Servicio'!G447</f>
        <v>171.15</v>
      </c>
      <c r="I414" s="72">
        <f t="shared" si="77"/>
        <v>7.3035349108968695E-2</v>
      </c>
      <c r="J414" s="66">
        <f t="shared" si="78"/>
        <v>12.5</v>
      </c>
      <c r="K414" s="66">
        <f>+'Tablas Servicio'!H447</f>
        <v>178</v>
      </c>
      <c r="L414" s="66">
        <f>+IF(A414="","",ROUND(H414*Parámetros!$D$100,2))</f>
        <v>19.98</v>
      </c>
      <c r="M414" s="58">
        <f>+IF(A414="","",IF(AND(A414=1,B414=1),Parámetros!$D$114*(D414*frec-$G$3-$H$3),IF(AND(A414=2,B414=frec+1),Parámetros!$D$115*(D414*frec-$G$4-$H$4),0)))</f>
        <v>0</v>
      </c>
      <c r="N414" s="58">
        <f>+IF(A414="","",IF(A414&gt;Parámetros!$D$117,0,ROUND('Modelo Financiero'!D414*Parámetros!$D$116,2)))</f>
        <v>0</v>
      </c>
      <c r="O414" s="58">
        <f t="shared" si="79"/>
        <v>0</v>
      </c>
      <c r="P414" s="66">
        <f>+'Tablas Servicio'!I447</f>
        <v>-84</v>
      </c>
      <c r="Q414" s="66">
        <f>+'Tablas Servicio'!S447</f>
        <v>26766.79</v>
      </c>
      <c r="R414" s="66">
        <f>+'Tablas Servicio'!T447</f>
        <v>26766.79</v>
      </c>
      <c r="S414" s="66">
        <f t="shared" si="75"/>
        <v>62.878</v>
      </c>
      <c r="T414" s="66">
        <f t="shared" si="84"/>
        <v>11852.380000000016</v>
      </c>
      <c r="U414" s="66">
        <f t="shared" si="80"/>
        <v>11852.380000000016</v>
      </c>
      <c r="V414" s="81">
        <f t="shared" si="81"/>
        <v>0</v>
      </c>
      <c r="W414" s="66">
        <f t="shared" si="82"/>
        <v>0</v>
      </c>
      <c r="X414" s="66">
        <f t="shared" si="83"/>
        <v>11852.380000000016</v>
      </c>
    </row>
    <row r="415" spans="1:24" x14ac:dyDescent="0.25">
      <c r="A415">
        <f>+'Tablas Servicio'!B448</f>
        <v>34</v>
      </c>
      <c r="B415">
        <f>+'Tablas Servicio'!C448</f>
        <v>407</v>
      </c>
      <c r="C415" s="56">
        <f>+'Tablas Servicio'!D448</f>
        <v>73.936666666666781</v>
      </c>
      <c r="D415" s="58">
        <f>+'Tablas Servicio'!N448</f>
        <v>94</v>
      </c>
      <c r="E415" s="66">
        <f>+'Tablas Servicio'!AC448</f>
        <v>155.4</v>
      </c>
      <c r="F415" s="66">
        <f>+IF(A415="","",'Tablas Servicio'!O448-'Modelo Financiero'!E415)</f>
        <v>3.25</v>
      </c>
      <c r="G415" s="58">
        <f t="shared" si="76"/>
        <v>108.27200000000001</v>
      </c>
      <c r="H415" s="66">
        <f>+'Tablas Servicio'!G448</f>
        <v>171.15</v>
      </c>
      <c r="I415" s="72">
        <f t="shared" si="77"/>
        <v>7.3035349108968695E-2</v>
      </c>
      <c r="J415" s="66">
        <f t="shared" si="78"/>
        <v>12.5</v>
      </c>
      <c r="K415" s="66">
        <f>+'Tablas Servicio'!H448</f>
        <v>178</v>
      </c>
      <c r="L415" s="66">
        <f>+IF(A415="","",ROUND(H415*Parámetros!$D$100,2))</f>
        <v>19.98</v>
      </c>
      <c r="M415" s="58">
        <f>+IF(A415="","",IF(AND(A415=1,B415=1),Parámetros!$D$114*(D415*frec-$G$3-$H$3),IF(AND(A415=2,B415=frec+1),Parámetros!$D$115*(D415*frec-$G$4-$H$4),0)))</f>
        <v>0</v>
      </c>
      <c r="N415" s="58">
        <f>+IF(A415="","",IF(A415&gt;Parámetros!$D$117,0,ROUND('Modelo Financiero'!D415*Parámetros!$D$116,2)))</f>
        <v>0</v>
      </c>
      <c r="O415" s="58">
        <f t="shared" si="79"/>
        <v>0</v>
      </c>
      <c r="P415" s="66">
        <f>+'Tablas Servicio'!I448</f>
        <v>-84</v>
      </c>
      <c r="Q415" s="66">
        <f>+'Tablas Servicio'!S448</f>
        <v>26758.47</v>
      </c>
      <c r="R415" s="66">
        <f>+'Tablas Servicio'!T448</f>
        <v>26758.47</v>
      </c>
      <c r="S415" s="66">
        <f t="shared" si="75"/>
        <v>62.878</v>
      </c>
      <c r="T415" s="66">
        <f t="shared" si="84"/>
        <v>11915.258000000016</v>
      </c>
      <c r="U415" s="66">
        <f t="shared" si="80"/>
        <v>11915.258000000016</v>
      </c>
      <c r="V415" s="81">
        <f t="shared" si="81"/>
        <v>0</v>
      </c>
      <c r="W415" s="66">
        <f t="shared" si="82"/>
        <v>0</v>
      </c>
      <c r="X415" s="66">
        <f t="shared" si="83"/>
        <v>11915.258000000016</v>
      </c>
    </row>
    <row r="416" spans="1:24" x14ac:dyDescent="0.25">
      <c r="A416">
        <f>+'Tablas Servicio'!B449</f>
        <v>34</v>
      </c>
      <c r="B416">
        <f>+'Tablas Servicio'!C449</f>
        <v>408</v>
      </c>
      <c r="C416" s="56">
        <f>+'Tablas Servicio'!D449</f>
        <v>74.02000000000011</v>
      </c>
      <c r="D416" s="58">
        <f>+'Tablas Servicio'!N449</f>
        <v>94</v>
      </c>
      <c r="E416" s="66">
        <f>+'Tablas Servicio'!AC449</f>
        <v>155.4</v>
      </c>
      <c r="F416" s="66">
        <f>+IF(A416="","",'Tablas Servicio'!O449-'Modelo Financiero'!E416)</f>
        <v>3.25</v>
      </c>
      <c r="G416" s="58">
        <f t="shared" si="76"/>
        <v>108.27200000000001</v>
      </c>
      <c r="H416" s="66">
        <f>+'Tablas Servicio'!G449</f>
        <v>171.15</v>
      </c>
      <c r="I416" s="72">
        <f t="shared" si="77"/>
        <v>7.3035349108968695E-2</v>
      </c>
      <c r="J416" s="66">
        <f t="shared" si="78"/>
        <v>12.5</v>
      </c>
      <c r="K416" s="66">
        <f>+'Tablas Servicio'!H449</f>
        <v>178</v>
      </c>
      <c r="L416" s="66">
        <f>+IF(A416="","",ROUND(H416*Parámetros!$D$100,2))</f>
        <v>19.98</v>
      </c>
      <c r="M416" s="58">
        <f>+IF(A416="","",IF(AND(A416=1,B416=1),Parámetros!$D$114*(D416*frec-$G$3-$H$3),IF(AND(A416=2,B416=frec+1),Parámetros!$D$115*(D416*frec-$G$4-$H$4),0)))</f>
        <v>0</v>
      </c>
      <c r="N416" s="58">
        <f>+IF(A416="","",IF(A416&gt;Parámetros!$D$117,0,ROUND('Modelo Financiero'!D416*Parámetros!$D$116,2)))</f>
        <v>0</v>
      </c>
      <c r="O416" s="58">
        <f t="shared" si="79"/>
        <v>0</v>
      </c>
      <c r="P416" s="66">
        <f>+'Tablas Servicio'!I449</f>
        <v>-84</v>
      </c>
      <c r="Q416" s="66">
        <f>+'Tablas Servicio'!S449</f>
        <v>26750.13</v>
      </c>
      <c r="R416" s="66">
        <f>+'Tablas Servicio'!T449</f>
        <v>26750.13</v>
      </c>
      <c r="S416" s="66">
        <f t="shared" si="75"/>
        <v>62.878</v>
      </c>
      <c r="T416" s="66">
        <f t="shared" si="84"/>
        <v>11978.136000000017</v>
      </c>
      <c r="U416" s="66">
        <f t="shared" si="80"/>
        <v>11978.136000000017</v>
      </c>
      <c r="V416" s="81">
        <f t="shared" si="81"/>
        <v>0</v>
      </c>
      <c r="W416" s="66">
        <f t="shared" si="82"/>
        <v>0</v>
      </c>
      <c r="X416" s="66">
        <f t="shared" si="83"/>
        <v>11978.136000000017</v>
      </c>
    </row>
    <row r="417" spans="1:24" x14ac:dyDescent="0.25">
      <c r="A417">
        <f>+'Tablas Servicio'!B450</f>
        <v>35</v>
      </c>
      <c r="B417">
        <f>+'Tablas Servicio'!C450</f>
        <v>409</v>
      </c>
      <c r="C417" s="56">
        <f>+'Tablas Servicio'!D450</f>
        <v>74.103333333333438</v>
      </c>
      <c r="D417" s="58">
        <f>+'Tablas Servicio'!N450</f>
        <v>94</v>
      </c>
      <c r="E417" s="66">
        <f>+'Tablas Servicio'!AC450</f>
        <v>175.7</v>
      </c>
      <c r="F417" s="66">
        <f>+IF(A417="","",'Tablas Servicio'!O450-'Modelo Financiero'!E417)</f>
        <v>3.25</v>
      </c>
      <c r="G417" s="58">
        <f t="shared" si="76"/>
        <v>122.07599999999999</v>
      </c>
      <c r="H417" s="66">
        <f>+'Tablas Servicio'!G450</f>
        <v>191.45</v>
      </c>
      <c r="I417" s="72">
        <f t="shared" si="77"/>
        <v>6.5291198746408985E-2</v>
      </c>
      <c r="J417" s="66">
        <f t="shared" si="78"/>
        <v>12.5</v>
      </c>
      <c r="K417" s="66">
        <f>+'Tablas Servicio'!H450</f>
        <v>199.10999999999999</v>
      </c>
      <c r="L417" s="66">
        <f>+IF(A417="","",ROUND(H417*Parámetros!$D$100,2))</f>
        <v>22.35</v>
      </c>
      <c r="M417" s="58">
        <f>+IF(A417="","",IF(AND(A417=1,B417=1),Parámetros!$D$114*(D417*frec-$G$3-$H$3),IF(AND(A417=2,B417=frec+1),Parámetros!$D$115*(D417*frec-$G$4-$H$4),0)))</f>
        <v>0</v>
      </c>
      <c r="N417" s="58">
        <f>+IF(A417="","",IF(A417&gt;Parámetros!$D$117,0,ROUND('Modelo Financiero'!D417*Parámetros!$D$116,2)))</f>
        <v>0</v>
      </c>
      <c r="O417" s="58">
        <f t="shared" si="79"/>
        <v>0</v>
      </c>
      <c r="P417" s="66">
        <f>+'Tablas Servicio'!I450</f>
        <v>-105.10999999999999</v>
      </c>
      <c r="Q417" s="66">
        <f>+'Tablas Servicio'!S450</f>
        <v>26720.6</v>
      </c>
      <c r="R417" s="66">
        <f>+'Tablas Servicio'!T450</f>
        <v>26720.6</v>
      </c>
      <c r="S417" s="66">
        <f t="shared" si="75"/>
        <v>69.373999999999995</v>
      </c>
      <c r="T417" s="66">
        <f t="shared" si="84"/>
        <v>12047.510000000017</v>
      </c>
      <c r="U417" s="66">
        <f t="shared" si="80"/>
        <v>12047.510000000017</v>
      </c>
      <c r="V417" s="81">
        <f t="shared" si="81"/>
        <v>0</v>
      </c>
      <c r="W417" s="66">
        <f t="shared" si="82"/>
        <v>0</v>
      </c>
      <c r="X417" s="66">
        <f t="shared" si="83"/>
        <v>12047.510000000017</v>
      </c>
    </row>
    <row r="418" spans="1:24" x14ac:dyDescent="0.25">
      <c r="A418">
        <f>+'Tablas Servicio'!B451</f>
        <v>35</v>
      </c>
      <c r="B418">
        <f>+'Tablas Servicio'!C451</f>
        <v>410</v>
      </c>
      <c r="C418" s="56">
        <f>+'Tablas Servicio'!D451</f>
        <v>74.186666666666767</v>
      </c>
      <c r="D418" s="58">
        <f>+'Tablas Servicio'!N451</f>
        <v>94</v>
      </c>
      <c r="E418" s="66">
        <f>+'Tablas Servicio'!AC451</f>
        <v>175.7</v>
      </c>
      <c r="F418" s="66">
        <f>+IF(A418="","",'Tablas Servicio'!O451-'Modelo Financiero'!E418)</f>
        <v>3.25</v>
      </c>
      <c r="G418" s="58">
        <f t="shared" si="76"/>
        <v>122.07599999999999</v>
      </c>
      <c r="H418" s="66">
        <f>+'Tablas Servicio'!G451</f>
        <v>191.45</v>
      </c>
      <c r="I418" s="72">
        <f t="shared" si="77"/>
        <v>6.5291198746408985E-2</v>
      </c>
      <c r="J418" s="66">
        <f t="shared" si="78"/>
        <v>12.5</v>
      </c>
      <c r="K418" s="66">
        <f>+'Tablas Servicio'!H451</f>
        <v>199.10999999999999</v>
      </c>
      <c r="L418" s="66">
        <f>+IF(A418="","",ROUND(H418*Parámetros!$D$100,2))</f>
        <v>22.35</v>
      </c>
      <c r="M418" s="58">
        <f>+IF(A418="","",IF(AND(A418=1,B418=1),Parámetros!$D$114*(D418*frec-$G$3-$H$3),IF(AND(A418=2,B418=frec+1),Parámetros!$D$115*(D418*frec-$G$4-$H$4),0)))</f>
        <v>0</v>
      </c>
      <c r="N418" s="58">
        <f>+IF(A418="","",IF(A418&gt;Parámetros!$D$117,0,ROUND('Modelo Financiero'!D418*Parámetros!$D$116,2)))</f>
        <v>0</v>
      </c>
      <c r="O418" s="58">
        <f t="shared" si="79"/>
        <v>0</v>
      </c>
      <c r="P418" s="66">
        <f>+'Tablas Servicio'!I451</f>
        <v>-105.10999999999999</v>
      </c>
      <c r="Q418" s="66">
        <f>+'Tablas Servicio'!S451</f>
        <v>26690.98</v>
      </c>
      <c r="R418" s="66">
        <f>+'Tablas Servicio'!T451</f>
        <v>26690.98</v>
      </c>
      <c r="S418" s="66">
        <f t="shared" si="75"/>
        <v>69.373999999999995</v>
      </c>
      <c r="T418" s="66">
        <f t="shared" si="84"/>
        <v>12116.884000000016</v>
      </c>
      <c r="U418" s="66">
        <f t="shared" si="80"/>
        <v>12116.884000000016</v>
      </c>
      <c r="V418" s="81">
        <f t="shared" si="81"/>
        <v>0</v>
      </c>
      <c r="W418" s="66">
        <f t="shared" si="82"/>
        <v>0</v>
      </c>
      <c r="X418" s="66">
        <f t="shared" si="83"/>
        <v>12116.884000000016</v>
      </c>
    </row>
    <row r="419" spans="1:24" x14ac:dyDescent="0.25">
      <c r="A419">
        <f>+'Tablas Servicio'!B452</f>
        <v>35</v>
      </c>
      <c r="B419">
        <f>+'Tablas Servicio'!C452</f>
        <v>411</v>
      </c>
      <c r="C419" s="56">
        <f>+'Tablas Servicio'!D452</f>
        <v>74.270000000000095</v>
      </c>
      <c r="D419" s="58">
        <f>+'Tablas Servicio'!N452</f>
        <v>94</v>
      </c>
      <c r="E419" s="66">
        <f>+'Tablas Servicio'!AC452</f>
        <v>175.7</v>
      </c>
      <c r="F419" s="66">
        <f>+IF(A419="","",'Tablas Servicio'!O452-'Modelo Financiero'!E419)</f>
        <v>3.25</v>
      </c>
      <c r="G419" s="58">
        <f t="shared" si="76"/>
        <v>122.07599999999999</v>
      </c>
      <c r="H419" s="66">
        <f>+'Tablas Servicio'!G452</f>
        <v>191.45</v>
      </c>
      <c r="I419" s="72">
        <f t="shared" si="77"/>
        <v>6.5291198746408985E-2</v>
      </c>
      <c r="J419" s="66">
        <f t="shared" si="78"/>
        <v>12.5</v>
      </c>
      <c r="K419" s="66">
        <f>+'Tablas Servicio'!H452</f>
        <v>199.10999999999999</v>
      </c>
      <c r="L419" s="66">
        <f>+IF(A419="","",ROUND(H419*Parámetros!$D$100,2))</f>
        <v>22.35</v>
      </c>
      <c r="M419" s="58">
        <f>+IF(A419="","",IF(AND(A419=1,B419=1),Parámetros!$D$114*(D419*frec-$G$3-$H$3),IF(AND(A419=2,B419=frec+1),Parámetros!$D$115*(D419*frec-$G$4-$H$4),0)))</f>
        <v>0</v>
      </c>
      <c r="N419" s="58">
        <f>+IF(A419="","",IF(A419&gt;Parámetros!$D$117,0,ROUND('Modelo Financiero'!D419*Parámetros!$D$116,2)))</f>
        <v>0</v>
      </c>
      <c r="O419" s="58">
        <f t="shared" si="79"/>
        <v>0</v>
      </c>
      <c r="P419" s="66">
        <f>+'Tablas Servicio'!I452</f>
        <v>-105.10999999999999</v>
      </c>
      <c r="Q419" s="66">
        <f>+'Tablas Servicio'!S452</f>
        <v>26661.279999999999</v>
      </c>
      <c r="R419" s="66">
        <f>+'Tablas Servicio'!T452</f>
        <v>26661.279999999999</v>
      </c>
      <c r="S419" s="66">
        <f t="shared" si="75"/>
        <v>69.373999999999995</v>
      </c>
      <c r="T419" s="66">
        <f t="shared" si="84"/>
        <v>12186.258000000016</v>
      </c>
      <c r="U419" s="66">
        <f t="shared" si="80"/>
        <v>12186.258000000016</v>
      </c>
      <c r="V419" s="81">
        <f t="shared" si="81"/>
        <v>0</v>
      </c>
      <c r="W419" s="66">
        <f t="shared" si="82"/>
        <v>0</v>
      </c>
      <c r="X419" s="66">
        <f t="shared" si="83"/>
        <v>12186.258000000016</v>
      </c>
    </row>
    <row r="420" spans="1:24" x14ac:dyDescent="0.25">
      <c r="A420">
        <f>+'Tablas Servicio'!B453</f>
        <v>35</v>
      </c>
      <c r="B420">
        <f>+'Tablas Servicio'!C453</f>
        <v>412</v>
      </c>
      <c r="C420" s="56">
        <f>+'Tablas Servicio'!D453</f>
        <v>74.353333333333424</v>
      </c>
      <c r="D420" s="58">
        <f>+'Tablas Servicio'!N453</f>
        <v>94</v>
      </c>
      <c r="E420" s="66">
        <f>+'Tablas Servicio'!AC453</f>
        <v>175.7</v>
      </c>
      <c r="F420" s="66">
        <f>+IF(A420="","",'Tablas Servicio'!O453-'Modelo Financiero'!E420)</f>
        <v>3.25</v>
      </c>
      <c r="G420" s="58">
        <f t="shared" si="76"/>
        <v>122.07599999999999</v>
      </c>
      <c r="H420" s="66">
        <f>+'Tablas Servicio'!G453</f>
        <v>191.45</v>
      </c>
      <c r="I420" s="72">
        <f t="shared" si="77"/>
        <v>6.5291198746408985E-2</v>
      </c>
      <c r="J420" s="66">
        <f t="shared" si="78"/>
        <v>12.5</v>
      </c>
      <c r="K420" s="66">
        <f>+'Tablas Servicio'!H453</f>
        <v>199.10999999999999</v>
      </c>
      <c r="L420" s="66">
        <f>+IF(A420="","",ROUND(H420*Parámetros!$D$100,2))</f>
        <v>22.35</v>
      </c>
      <c r="M420" s="58">
        <f>+IF(A420="","",IF(AND(A420=1,B420=1),Parámetros!$D$114*(D420*frec-$G$3-$H$3),IF(AND(A420=2,B420=frec+1),Parámetros!$D$115*(D420*frec-$G$4-$H$4),0)))</f>
        <v>0</v>
      </c>
      <c r="N420" s="58">
        <f>+IF(A420="","",IF(A420&gt;Parámetros!$D$117,0,ROUND('Modelo Financiero'!D420*Parámetros!$D$116,2)))</f>
        <v>0</v>
      </c>
      <c r="O420" s="58">
        <f t="shared" si="79"/>
        <v>0</v>
      </c>
      <c r="P420" s="66">
        <f>+'Tablas Servicio'!I453</f>
        <v>-105.10999999999999</v>
      </c>
      <c r="Q420" s="66">
        <f>+'Tablas Servicio'!S453</f>
        <v>26631.5</v>
      </c>
      <c r="R420" s="66">
        <f>+'Tablas Servicio'!T453</f>
        <v>26631.5</v>
      </c>
      <c r="S420" s="66">
        <f t="shared" si="75"/>
        <v>69.373999999999995</v>
      </c>
      <c r="T420" s="66">
        <f t="shared" si="84"/>
        <v>12255.632000000016</v>
      </c>
      <c r="U420" s="66">
        <f t="shared" si="80"/>
        <v>12255.632000000016</v>
      </c>
      <c r="V420" s="81">
        <f t="shared" si="81"/>
        <v>0</v>
      </c>
      <c r="W420" s="66">
        <f t="shared" si="82"/>
        <v>0</v>
      </c>
      <c r="X420" s="66">
        <f t="shared" si="83"/>
        <v>12255.632000000016</v>
      </c>
    </row>
    <row r="421" spans="1:24" x14ac:dyDescent="0.25">
      <c r="A421">
        <f>+'Tablas Servicio'!B454</f>
        <v>35</v>
      </c>
      <c r="B421">
        <f>+'Tablas Servicio'!C454</f>
        <v>413</v>
      </c>
      <c r="C421" s="56">
        <f>+'Tablas Servicio'!D454</f>
        <v>74.436666666666753</v>
      </c>
      <c r="D421" s="58">
        <f>+'Tablas Servicio'!N454</f>
        <v>94</v>
      </c>
      <c r="E421" s="66">
        <f>+'Tablas Servicio'!AC454</f>
        <v>175.7</v>
      </c>
      <c r="F421" s="66">
        <f>+IF(A421="","",'Tablas Servicio'!O454-'Modelo Financiero'!E421)</f>
        <v>3.25</v>
      </c>
      <c r="G421" s="58">
        <f t="shared" si="76"/>
        <v>122.07599999999999</v>
      </c>
      <c r="H421" s="66">
        <f>+'Tablas Servicio'!G454</f>
        <v>191.45</v>
      </c>
      <c r="I421" s="72">
        <f t="shared" si="77"/>
        <v>6.5291198746408985E-2</v>
      </c>
      <c r="J421" s="66">
        <f t="shared" si="78"/>
        <v>12.5</v>
      </c>
      <c r="K421" s="66">
        <f>+'Tablas Servicio'!H454</f>
        <v>199.10999999999999</v>
      </c>
      <c r="L421" s="66">
        <f>+IF(A421="","",ROUND(H421*Parámetros!$D$100,2))</f>
        <v>22.35</v>
      </c>
      <c r="M421" s="58">
        <f>+IF(A421="","",IF(AND(A421=1,B421=1),Parámetros!$D$114*(D421*frec-$G$3-$H$3),IF(AND(A421=2,B421=frec+1),Parámetros!$D$115*(D421*frec-$G$4-$H$4),0)))</f>
        <v>0</v>
      </c>
      <c r="N421" s="58">
        <f>+IF(A421="","",IF(A421&gt;Parámetros!$D$117,0,ROUND('Modelo Financiero'!D421*Parámetros!$D$116,2)))</f>
        <v>0</v>
      </c>
      <c r="O421" s="58">
        <f t="shared" si="79"/>
        <v>0</v>
      </c>
      <c r="P421" s="66">
        <f>+'Tablas Servicio'!I454</f>
        <v>-105.10999999999999</v>
      </c>
      <c r="Q421" s="66">
        <f>+'Tablas Servicio'!S454</f>
        <v>26601.63</v>
      </c>
      <c r="R421" s="66">
        <f>+'Tablas Servicio'!T454</f>
        <v>26601.63</v>
      </c>
      <c r="S421" s="66">
        <f t="shared" si="75"/>
        <v>69.373999999999995</v>
      </c>
      <c r="T421" s="66">
        <f t="shared" si="84"/>
        <v>12325.006000000016</v>
      </c>
      <c r="U421" s="66">
        <f t="shared" si="80"/>
        <v>12325.006000000016</v>
      </c>
      <c r="V421" s="81">
        <f t="shared" si="81"/>
        <v>0</v>
      </c>
      <c r="W421" s="66">
        <f t="shared" si="82"/>
        <v>0</v>
      </c>
      <c r="X421" s="66">
        <f t="shared" si="83"/>
        <v>12325.006000000016</v>
      </c>
    </row>
    <row r="422" spans="1:24" x14ac:dyDescent="0.25">
      <c r="A422">
        <f>+'Tablas Servicio'!B455</f>
        <v>35</v>
      </c>
      <c r="B422">
        <f>+'Tablas Servicio'!C455</f>
        <v>414</v>
      </c>
      <c r="C422" s="56">
        <f>+'Tablas Servicio'!D455</f>
        <v>74.520000000000081</v>
      </c>
      <c r="D422" s="58">
        <f>+'Tablas Servicio'!N455</f>
        <v>94</v>
      </c>
      <c r="E422" s="66">
        <f>+'Tablas Servicio'!AC455</f>
        <v>175.7</v>
      </c>
      <c r="F422" s="66">
        <f>+IF(A422="","",'Tablas Servicio'!O455-'Modelo Financiero'!E422)</f>
        <v>3.25</v>
      </c>
      <c r="G422" s="58">
        <f t="shared" si="76"/>
        <v>122.07599999999999</v>
      </c>
      <c r="H422" s="66">
        <f>+'Tablas Servicio'!G455</f>
        <v>191.45</v>
      </c>
      <c r="I422" s="72">
        <f t="shared" si="77"/>
        <v>6.5291198746408985E-2</v>
      </c>
      <c r="J422" s="66">
        <f t="shared" si="78"/>
        <v>12.5</v>
      </c>
      <c r="K422" s="66">
        <f>+'Tablas Servicio'!H455</f>
        <v>199.10999999999999</v>
      </c>
      <c r="L422" s="66">
        <f>+IF(A422="","",ROUND(H422*Parámetros!$D$100,2))</f>
        <v>22.35</v>
      </c>
      <c r="M422" s="58">
        <f>+IF(A422="","",IF(AND(A422=1,B422=1),Parámetros!$D$114*(D422*frec-$G$3-$H$3),IF(AND(A422=2,B422=frec+1),Parámetros!$D$115*(D422*frec-$G$4-$H$4),0)))</f>
        <v>0</v>
      </c>
      <c r="N422" s="58">
        <f>+IF(A422="","",IF(A422&gt;Parámetros!$D$117,0,ROUND('Modelo Financiero'!D422*Parámetros!$D$116,2)))</f>
        <v>0</v>
      </c>
      <c r="O422" s="58">
        <f t="shared" si="79"/>
        <v>0</v>
      </c>
      <c r="P422" s="66">
        <f>+'Tablas Servicio'!I455</f>
        <v>-105.10999999999999</v>
      </c>
      <c r="Q422" s="66">
        <f>+'Tablas Servicio'!S455</f>
        <v>26571.68</v>
      </c>
      <c r="R422" s="66">
        <f>+'Tablas Servicio'!T455</f>
        <v>26571.68</v>
      </c>
      <c r="S422" s="66">
        <f t="shared" si="75"/>
        <v>69.373999999999995</v>
      </c>
      <c r="T422" s="66">
        <f t="shared" si="84"/>
        <v>12394.380000000016</v>
      </c>
      <c r="U422" s="66">
        <f t="shared" si="80"/>
        <v>12394.380000000016</v>
      </c>
      <c r="V422" s="81">
        <f t="shared" si="81"/>
        <v>0</v>
      </c>
      <c r="W422" s="66">
        <f t="shared" si="82"/>
        <v>0</v>
      </c>
      <c r="X422" s="66">
        <f t="shared" si="83"/>
        <v>12394.380000000016</v>
      </c>
    </row>
    <row r="423" spans="1:24" x14ac:dyDescent="0.25">
      <c r="A423">
        <f>+'Tablas Servicio'!B456</f>
        <v>35</v>
      </c>
      <c r="B423">
        <f>+'Tablas Servicio'!C456</f>
        <v>415</v>
      </c>
      <c r="C423" s="56">
        <f>+'Tablas Servicio'!D456</f>
        <v>74.60333333333341</v>
      </c>
      <c r="D423" s="58">
        <f>+'Tablas Servicio'!N456</f>
        <v>94</v>
      </c>
      <c r="E423" s="66">
        <f>+'Tablas Servicio'!AC456</f>
        <v>175.7</v>
      </c>
      <c r="F423" s="66">
        <f>+IF(A423="","",'Tablas Servicio'!O456-'Modelo Financiero'!E423)</f>
        <v>3.25</v>
      </c>
      <c r="G423" s="58">
        <f t="shared" si="76"/>
        <v>122.07599999999999</v>
      </c>
      <c r="H423" s="66">
        <f>+'Tablas Servicio'!G456</f>
        <v>191.45</v>
      </c>
      <c r="I423" s="72">
        <f t="shared" si="77"/>
        <v>6.5291198746408985E-2</v>
      </c>
      <c r="J423" s="66">
        <f t="shared" si="78"/>
        <v>12.5</v>
      </c>
      <c r="K423" s="66">
        <f>+'Tablas Servicio'!H456</f>
        <v>199.10999999999999</v>
      </c>
      <c r="L423" s="66">
        <f>+IF(A423="","",ROUND(H423*Parámetros!$D$100,2))</f>
        <v>22.35</v>
      </c>
      <c r="M423" s="58">
        <f>+IF(A423="","",IF(AND(A423=1,B423=1),Parámetros!$D$114*(D423*frec-$G$3-$H$3),IF(AND(A423=2,B423=frec+1),Parámetros!$D$115*(D423*frec-$G$4-$H$4),0)))</f>
        <v>0</v>
      </c>
      <c r="N423" s="58">
        <f>+IF(A423="","",IF(A423&gt;Parámetros!$D$117,0,ROUND('Modelo Financiero'!D423*Parámetros!$D$116,2)))</f>
        <v>0</v>
      </c>
      <c r="O423" s="58">
        <f t="shared" si="79"/>
        <v>0</v>
      </c>
      <c r="P423" s="66">
        <f>+'Tablas Servicio'!I456</f>
        <v>-105.10999999999999</v>
      </c>
      <c r="Q423" s="66">
        <f>+'Tablas Servicio'!S456</f>
        <v>26541.64</v>
      </c>
      <c r="R423" s="66">
        <f>+'Tablas Servicio'!T456</f>
        <v>26541.64</v>
      </c>
      <c r="S423" s="66">
        <f t="shared" si="75"/>
        <v>69.373999999999995</v>
      </c>
      <c r="T423" s="66">
        <f t="shared" si="84"/>
        <v>12463.754000000015</v>
      </c>
      <c r="U423" s="66">
        <f t="shared" si="80"/>
        <v>12463.754000000015</v>
      </c>
      <c r="V423" s="81">
        <f t="shared" si="81"/>
        <v>0</v>
      </c>
      <c r="W423" s="66">
        <f t="shared" si="82"/>
        <v>0</v>
      </c>
      <c r="X423" s="66">
        <f t="shared" si="83"/>
        <v>12463.754000000015</v>
      </c>
    </row>
    <row r="424" spans="1:24" x14ac:dyDescent="0.25">
      <c r="A424">
        <f>+'Tablas Servicio'!B457</f>
        <v>35</v>
      </c>
      <c r="B424">
        <f>+'Tablas Servicio'!C457</f>
        <v>416</v>
      </c>
      <c r="C424" s="56">
        <f>+'Tablas Servicio'!D457</f>
        <v>74.686666666666738</v>
      </c>
      <c r="D424" s="58">
        <f>+'Tablas Servicio'!N457</f>
        <v>94</v>
      </c>
      <c r="E424" s="66">
        <f>+'Tablas Servicio'!AC457</f>
        <v>175.7</v>
      </c>
      <c r="F424" s="66">
        <f>+IF(A424="","",'Tablas Servicio'!O457-'Modelo Financiero'!E424)</f>
        <v>3.25</v>
      </c>
      <c r="G424" s="58">
        <f t="shared" si="76"/>
        <v>122.07599999999999</v>
      </c>
      <c r="H424" s="66">
        <f>+'Tablas Servicio'!G457</f>
        <v>191.45</v>
      </c>
      <c r="I424" s="72">
        <f t="shared" si="77"/>
        <v>6.5291198746408985E-2</v>
      </c>
      <c r="J424" s="66">
        <f t="shared" si="78"/>
        <v>12.5</v>
      </c>
      <c r="K424" s="66">
        <f>+'Tablas Servicio'!H457</f>
        <v>199.10999999999999</v>
      </c>
      <c r="L424" s="66">
        <f>+IF(A424="","",ROUND(H424*Parámetros!$D$100,2))</f>
        <v>22.35</v>
      </c>
      <c r="M424" s="58">
        <f>+IF(A424="","",IF(AND(A424=1,B424=1),Parámetros!$D$114*(D424*frec-$G$3-$H$3),IF(AND(A424=2,B424=frec+1),Parámetros!$D$115*(D424*frec-$G$4-$H$4),0)))</f>
        <v>0</v>
      </c>
      <c r="N424" s="58">
        <f>+IF(A424="","",IF(A424&gt;Parámetros!$D$117,0,ROUND('Modelo Financiero'!D424*Parámetros!$D$116,2)))</f>
        <v>0</v>
      </c>
      <c r="O424" s="58">
        <f t="shared" si="79"/>
        <v>0</v>
      </c>
      <c r="P424" s="66">
        <f>+'Tablas Servicio'!I457</f>
        <v>-105.10999999999999</v>
      </c>
      <c r="Q424" s="66">
        <f>+'Tablas Servicio'!S457</f>
        <v>26511.52</v>
      </c>
      <c r="R424" s="66">
        <f>+'Tablas Servicio'!T457</f>
        <v>26511.52</v>
      </c>
      <c r="S424" s="66">
        <f t="shared" si="75"/>
        <v>69.373999999999995</v>
      </c>
      <c r="T424" s="66">
        <f t="shared" si="84"/>
        <v>12533.128000000015</v>
      </c>
      <c r="U424" s="66">
        <f t="shared" si="80"/>
        <v>12533.128000000015</v>
      </c>
      <c r="V424" s="81">
        <f t="shared" si="81"/>
        <v>0</v>
      </c>
      <c r="W424" s="66">
        <f t="shared" si="82"/>
        <v>0</v>
      </c>
      <c r="X424" s="66">
        <f t="shared" si="83"/>
        <v>12533.128000000015</v>
      </c>
    </row>
    <row r="425" spans="1:24" x14ac:dyDescent="0.25">
      <c r="A425">
        <f>+'Tablas Servicio'!B458</f>
        <v>35</v>
      </c>
      <c r="B425">
        <f>+'Tablas Servicio'!C458</f>
        <v>417</v>
      </c>
      <c r="C425" s="56">
        <f>+'Tablas Servicio'!D458</f>
        <v>74.770000000000067</v>
      </c>
      <c r="D425" s="58">
        <f>+'Tablas Servicio'!N458</f>
        <v>94</v>
      </c>
      <c r="E425" s="66">
        <f>+'Tablas Servicio'!AC458</f>
        <v>175.7</v>
      </c>
      <c r="F425" s="66">
        <f>+IF(A425="","",'Tablas Servicio'!O458-'Modelo Financiero'!E425)</f>
        <v>3.25</v>
      </c>
      <c r="G425" s="58">
        <f t="shared" si="76"/>
        <v>122.07599999999999</v>
      </c>
      <c r="H425" s="66">
        <f>+'Tablas Servicio'!G458</f>
        <v>191.45</v>
      </c>
      <c r="I425" s="72">
        <f t="shared" si="77"/>
        <v>6.5291198746408985E-2</v>
      </c>
      <c r="J425" s="66">
        <f t="shared" si="78"/>
        <v>12.5</v>
      </c>
      <c r="K425" s="66">
        <f>+'Tablas Servicio'!H458</f>
        <v>199.10999999999999</v>
      </c>
      <c r="L425" s="66">
        <f>+IF(A425="","",ROUND(H425*Parámetros!$D$100,2))</f>
        <v>22.35</v>
      </c>
      <c r="M425" s="58">
        <f>+IF(A425="","",IF(AND(A425=1,B425=1),Parámetros!$D$114*(D425*frec-$G$3-$H$3),IF(AND(A425=2,B425=frec+1),Parámetros!$D$115*(D425*frec-$G$4-$H$4),0)))</f>
        <v>0</v>
      </c>
      <c r="N425" s="58">
        <f>+IF(A425="","",IF(A425&gt;Parámetros!$D$117,0,ROUND('Modelo Financiero'!D425*Parámetros!$D$116,2)))</f>
        <v>0</v>
      </c>
      <c r="O425" s="58">
        <f t="shared" si="79"/>
        <v>0</v>
      </c>
      <c r="P425" s="66">
        <f>+'Tablas Servicio'!I458</f>
        <v>-105.10999999999999</v>
      </c>
      <c r="Q425" s="66">
        <f>+'Tablas Servicio'!S458</f>
        <v>26481.31</v>
      </c>
      <c r="R425" s="66">
        <f>+'Tablas Servicio'!T458</f>
        <v>26481.31</v>
      </c>
      <c r="S425" s="66">
        <f t="shared" si="75"/>
        <v>69.373999999999995</v>
      </c>
      <c r="T425" s="66">
        <f t="shared" si="84"/>
        <v>12602.502000000015</v>
      </c>
      <c r="U425" s="66">
        <f t="shared" si="80"/>
        <v>12602.502000000015</v>
      </c>
      <c r="V425" s="81">
        <f t="shared" si="81"/>
        <v>0</v>
      </c>
      <c r="W425" s="66">
        <f t="shared" si="82"/>
        <v>0</v>
      </c>
      <c r="X425" s="66">
        <f t="shared" si="83"/>
        <v>12602.502000000015</v>
      </c>
    </row>
    <row r="426" spans="1:24" x14ac:dyDescent="0.25">
      <c r="A426">
        <f>+'Tablas Servicio'!B459</f>
        <v>35</v>
      </c>
      <c r="B426">
        <f>+'Tablas Servicio'!C459</f>
        <v>418</v>
      </c>
      <c r="C426" s="56">
        <f>+'Tablas Servicio'!D459</f>
        <v>74.853333333333396</v>
      </c>
      <c r="D426" s="58">
        <f>+'Tablas Servicio'!N459</f>
        <v>94</v>
      </c>
      <c r="E426" s="66">
        <f>+'Tablas Servicio'!AC459</f>
        <v>175.7</v>
      </c>
      <c r="F426" s="66">
        <f>+IF(A426="","",'Tablas Servicio'!O459-'Modelo Financiero'!E426)</f>
        <v>3.25</v>
      </c>
      <c r="G426" s="58">
        <f t="shared" si="76"/>
        <v>122.07599999999999</v>
      </c>
      <c r="H426" s="66">
        <f>+'Tablas Servicio'!G459</f>
        <v>191.45</v>
      </c>
      <c r="I426" s="72">
        <f t="shared" si="77"/>
        <v>6.5291198746408985E-2</v>
      </c>
      <c r="J426" s="66">
        <f t="shared" si="78"/>
        <v>12.5</v>
      </c>
      <c r="K426" s="66">
        <f>+'Tablas Servicio'!H459</f>
        <v>199.10999999999999</v>
      </c>
      <c r="L426" s="66">
        <f>+IF(A426="","",ROUND(H426*Parámetros!$D$100,2))</f>
        <v>22.35</v>
      </c>
      <c r="M426" s="58">
        <f>+IF(A426="","",IF(AND(A426=1,B426=1),Parámetros!$D$114*(D426*frec-$G$3-$H$3),IF(AND(A426=2,B426=frec+1),Parámetros!$D$115*(D426*frec-$G$4-$H$4),0)))</f>
        <v>0</v>
      </c>
      <c r="N426" s="58">
        <f>+IF(A426="","",IF(A426&gt;Parámetros!$D$117,0,ROUND('Modelo Financiero'!D426*Parámetros!$D$116,2)))</f>
        <v>0</v>
      </c>
      <c r="O426" s="58">
        <f t="shared" si="79"/>
        <v>0</v>
      </c>
      <c r="P426" s="66">
        <f>+'Tablas Servicio'!I459</f>
        <v>-105.10999999999999</v>
      </c>
      <c r="Q426" s="66">
        <f>+'Tablas Servicio'!S459</f>
        <v>26451.01</v>
      </c>
      <c r="R426" s="66">
        <f>+'Tablas Servicio'!T459</f>
        <v>26451.01</v>
      </c>
      <c r="S426" s="66">
        <f t="shared" si="75"/>
        <v>69.373999999999995</v>
      </c>
      <c r="T426" s="66">
        <f t="shared" si="84"/>
        <v>12671.876000000015</v>
      </c>
      <c r="U426" s="66">
        <f t="shared" si="80"/>
        <v>12671.876000000015</v>
      </c>
      <c r="V426" s="81">
        <f t="shared" si="81"/>
        <v>0</v>
      </c>
      <c r="W426" s="66">
        <f t="shared" si="82"/>
        <v>0</v>
      </c>
      <c r="X426" s="66">
        <f t="shared" si="83"/>
        <v>12671.876000000015</v>
      </c>
    </row>
    <row r="427" spans="1:24" x14ac:dyDescent="0.25">
      <c r="A427">
        <f>+'Tablas Servicio'!B460</f>
        <v>35</v>
      </c>
      <c r="B427">
        <f>+'Tablas Servicio'!C460</f>
        <v>419</v>
      </c>
      <c r="C427" s="56">
        <f>+'Tablas Servicio'!D460</f>
        <v>74.936666666666724</v>
      </c>
      <c r="D427" s="58">
        <f>+'Tablas Servicio'!N460</f>
        <v>94</v>
      </c>
      <c r="E427" s="66">
        <f>+'Tablas Servicio'!AC460</f>
        <v>175.7</v>
      </c>
      <c r="F427" s="66">
        <f>+IF(A427="","",'Tablas Servicio'!O460-'Modelo Financiero'!E427)</f>
        <v>3.25</v>
      </c>
      <c r="G427" s="58">
        <f t="shared" si="76"/>
        <v>122.07599999999999</v>
      </c>
      <c r="H427" s="66">
        <f>+'Tablas Servicio'!G460</f>
        <v>191.45</v>
      </c>
      <c r="I427" s="72">
        <f t="shared" si="77"/>
        <v>6.5291198746408985E-2</v>
      </c>
      <c r="J427" s="66">
        <f t="shared" si="78"/>
        <v>12.5</v>
      </c>
      <c r="K427" s="66">
        <f>+'Tablas Servicio'!H460</f>
        <v>199.10999999999999</v>
      </c>
      <c r="L427" s="66">
        <f>+IF(A427="","",ROUND(H427*Parámetros!$D$100,2))</f>
        <v>22.35</v>
      </c>
      <c r="M427" s="58">
        <f>+IF(A427="","",IF(AND(A427=1,B427=1),Parámetros!$D$114*(D427*frec-$G$3-$H$3),IF(AND(A427=2,B427=frec+1),Parámetros!$D$115*(D427*frec-$G$4-$H$4),0)))</f>
        <v>0</v>
      </c>
      <c r="N427" s="58">
        <f>+IF(A427="","",IF(A427&gt;Parámetros!$D$117,0,ROUND('Modelo Financiero'!D427*Parámetros!$D$116,2)))</f>
        <v>0</v>
      </c>
      <c r="O427" s="58">
        <f t="shared" si="79"/>
        <v>0</v>
      </c>
      <c r="P427" s="66">
        <f>+'Tablas Servicio'!I460</f>
        <v>-105.10999999999999</v>
      </c>
      <c r="Q427" s="66">
        <f>+'Tablas Servicio'!S460</f>
        <v>26420.63</v>
      </c>
      <c r="R427" s="66">
        <f>+'Tablas Servicio'!T460</f>
        <v>26420.63</v>
      </c>
      <c r="S427" s="66">
        <f t="shared" si="75"/>
        <v>69.373999999999995</v>
      </c>
      <c r="T427" s="66">
        <f t="shared" si="84"/>
        <v>12741.250000000015</v>
      </c>
      <c r="U427" s="66">
        <f t="shared" si="80"/>
        <v>12741.250000000015</v>
      </c>
      <c r="V427" s="81">
        <f t="shared" si="81"/>
        <v>0</v>
      </c>
      <c r="W427" s="66">
        <f t="shared" si="82"/>
        <v>0</v>
      </c>
      <c r="X427" s="66">
        <f t="shared" si="83"/>
        <v>12741.250000000015</v>
      </c>
    </row>
    <row r="428" spans="1:24" x14ac:dyDescent="0.25">
      <c r="A428">
        <f>+'Tablas Servicio'!B461</f>
        <v>35</v>
      </c>
      <c r="B428">
        <f>+'Tablas Servicio'!C461</f>
        <v>420</v>
      </c>
      <c r="C428" s="56">
        <f>+'Tablas Servicio'!D461</f>
        <v>75.020000000000053</v>
      </c>
      <c r="D428" s="58">
        <f>+'Tablas Servicio'!N461</f>
        <v>94</v>
      </c>
      <c r="E428" s="66">
        <f>+'Tablas Servicio'!AC461</f>
        <v>175.7</v>
      </c>
      <c r="F428" s="66">
        <f>+IF(A428="","",'Tablas Servicio'!O461-'Modelo Financiero'!E428)</f>
        <v>3.25</v>
      </c>
      <c r="G428" s="58">
        <f t="shared" si="76"/>
        <v>122.07599999999999</v>
      </c>
      <c r="H428" s="66">
        <f>+'Tablas Servicio'!G461</f>
        <v>191.45</v>
      </c>
      <c r="I428" s="72">
        <f t="shared" si="77"/>
        <v>6.5291198746408985E-2</v>
      </c>
      <c r="J428" s="66">
        <f t="shared" si="78"/>
        <v>12.5</v>
      </c>
      <c r="K428" s="66">
        <f>+'Tablas Servicio'!H461</f>
        <v>199.10999999999999</v>
      </c>
      <c r="L428" s="66">
        <f>+IF(A428="","",ROUND(H428*Parámetros!$D$100,2))</f>
        <v>22.35</v>
      </c>
      <c r="M428" s="58">
        <f>+IF(A428="","",IF(AND(A428=1,B428=1),Parámetros!$D$114*(D428*frec-$G$3-$H$3),IF(AND(A428=2,B428=frec+1),Parámetros!$D$115*(D428*frec-$G$4-$H$4),0)))</f>
        <v>0</v>
      </c>
      <c r="N428" s="58">
        <f>+IF(A428="","",IF(A428&gt;Parámetros!$D$117,0,ROUND('Modelo Financiero'!D428*Parámetros!$D$116,2)))</f>
        <v>0</v>
      </c>
      <c r="O428" s="58">
        <f t="shared" si="79"/>
        <v>0</v>
      </c>
      <c r="P428" s="66">
        <f>+'Tablas Servicio'!I461</f>
        <v>-105.10999999999999</v>
      </c>
      <c r="Q428" s="66">
        <f>+'Tablas Servicio'!S461</f>
        <v>26390.16</v>
      </c>
      <c r="R428" s="66">
        <f>+'Tablas Servicio'!T461</f>
        <v>26390.16</v>
      </c>
      <c r="S428" s="66">
        <f t="shared" si="75"/>
        <v>69.373999999999995</v>
      </c>
      <c r="T428" s="66">
        <f t="shared" si="84"/>
        <v>12810.624000000014</v>
      </c>
      <c r="U428" s="66">
        <f t="shared" si="80"/>
        <v>12810.624000000014</v>
      </c>
      <c r="V428" s="81">
        <f t="shared" si="81"/>
        <v>0</v>
      </c>
      <c r="W428" s="66">
        <f t="shared" si="82"/>
        <v>0</v>
      </c>
      <c r="X428" s="66">
        <f t="shared" si="83"/>
        <v>12810.624000000014</v>
      </c>
    </row>
    <row r="429" spans="1:24" x14ac:dyDescent="0.25">
      <c r="A429" t="str">
        <f>+'Tablas Servicio'!B462</f>
        <v/>
      </c>
      <c r="B429" t="str">
        <f>+'Tablas Servicio'!C462</f>
        <v/>
      </c>
      <c r="C429" s="56" t="str">
        <f>+'Tablas Servicio'!D462</f>
        <v/>
      </c>
      <c r="D429" s="58" t="str">
        <f>+'Tablas Servicio'!N462</f>
        <v/>
      </c>
      <c r="E429" s="66" t="str">
        <f>+'Tablas Servicio'!AC462</f>
        <v/>
      </c>
      <c r="F429" s="66" t="str">
        <f>+IF(A429="","",'Tablas Servicio'!O462-'Modelo Financiero'!E429)</f>
        <v/>
      </c>
      <c r="G429" s="58" t="str">
        <f t="shared" si="76"/>
        <v/>
      </c>
      <c r="H429" s="66" t="str">
        <f>+'Tablas Servicio'!G462</f>
        <v/>
      </c>
      <c r="I429" s="72" t="str">
        <f t="shared" si="77"/>
        <v/>
      </c>
      <c r="J429" s="66" t="str">
        <f t="shared" si="78"/>
        <v/>
      </c>
      <c r="K429" s="66" t="str">
        <f>+'Tablas Servicio'!H462</f>
        <v/>
      </c>
      <c r="L429" s="66" t="str">
        <f>+IF(A429="","",ROUND(H429*Parámetros!$D$100,2))</f>
        <v/>
      </c>
      <c r="M429" s="58" t="str">
        <f>+IF(A429="","",IF(AND(A429=1,B429=1),Parámetros!$D$114*(D429*frec-$G$3-$H$3),IF(AND(A429=2,B429=frec+1),Parámetros!$D$115*(D429*frec-$G$4-$H$4),0)))</f>
        <v/>
      </c>
      <c r="N429" s="58" t="str">
        <f>+IF(A429="","",IF(A429&gt;Parámetros!$D$117,0,ROUND('Modelo Financiero'!D429*Parámetros!$D$116,2)))</f>
        <v/>
      </c>
      <c r="O429" s="58" t="str">
        <f t="shared" si="79"/>
        <v/>
      </c>
      <c r="P429" s="66" t="str">
        <f>+'Tablas Servicio'!I462</f>
        <v/>
      </c>
      <c r="Q429" s="66" t="str">
        <f>+'Tablas Servicio'!S462</f>
        <v/>
      </c>
      <c r="R429" s="66" t="str">
        <f>+'Tablas Servicio'!T462</f>
        <v/>
      </c>
      <c r="S429" s="66" t="str">
        <f t="shared" si="75"/>
        <v/>
      </c>
      <c r="T429" s="66" t="str">
        <f t="shared" si="84"/>
        <v/>
      </c>
      <c r="U429" s="66" t="str">
        <f t="shared" si="80"/>
        <v/>
      </c>
      <c r="V429" s="81" t="str">
        <f t="shared" si="81"/>
        <v/>
      </c>
      <c r="W429" s="66" t="str">
        <f t="shared" si="82"/>
        <v/>
      </c>
      <c r="X429" s="66" t="str">
        <f t="shared" si="83"/>
        <v/>
      </c>
    </row>
    <row r="430" spans="1:24" x14ac:dyDescent="0.25">
      <c r="A430" t="str">
        <f>+'Tablas Servicio'!B463</f>
        <v/>
      </c>
      <c r="B430" t="str">
        <f>+'Tablas Servicio'!C463</f>
        <v/>
      </c>
      <c r="C430" s="56" t="str">
        <f>+'Tablas Servicio'!D463</f>
        <v/>
      </c>
      <c r="D430" s="58" t="str">
        <f>+'Tablas Servicio'!N463</f>
        <v/>
      </c>
      <c r="E430" s="66" t="str">
        <f>+'Tablas Servicio'!AC463</f>
        <v/>
      </c>
      <c r="F430" s="66" t="str">
        <f>+IF(A430="","",'Tablas Servicio'!O463-'Modelo Financiero'!E430)</f>
        <v/>
      </c>
      <c r="G430" s="58" t="str">
        <f t="shared" si="76"/>
        <v/>
      </c>
      <c r="H430" s="66" t="str">
        <f>+'Tablas Servicio'!G463</f>
        <v/>
      </c>
      <c r="I430" s="72" t="str">
        <f t="shared" si="77"/>
        <v/>
      </c>
      <c r="J430" s="66" t="str">
        <f t="shared" si="78"/>
        <v/>
      </c>
      <c r="K430" s="66" t="str">
        <f>+'Tablas Servicio'!H463</f>
        <v/>
      </c>
      <c r="L430" s="66" t="str">
        <f>+IF(A430="","",ROUND(H430*Parámetros!$D$100,2))</f>
        <v/>
      </c>
      <c r="M430" s="58" t="str">
        <f>+IF(A430="","",IF(AND(A430=1,B430=1),Parámetros!$D$114*(D430*frec-$G$3-$H$3),IF(AND(A430=2,B430=frec+1),Parámetros!$D$115*(D430*frec-$G$4-$H$4),0)))</f>
        <v/>
      </c>
      <c r="N430" s="58" t="str">
        <f>+IF(A430="","",IF(A430&gt;Parámetros!$D$117,0,ROUND('Modelo Financiero'!D430*Parámetros!$D$116,2)))</f>
        <v/>
      </c>
      <c r="O430" s="58" t="str">
        <f t="shared" si="79"/>
        <v/>
      </c>
      <c r="P430" s="66" t="str">
        <f>+'Tablas Servicio'!I463</f>
        <v/>
      </c>
      <c r="Q430" s="66" t="str">
        <f>+'Tablas Servicio'!S463</f>
        <v/>
      </c>
      <c r="R430" s="66" t="str">
        <f>+'Tablas Servicio'!T463</f>
        <v/>
      </c>
      <c r="S430" s="66" t="str">
        <f t="shared" si="75"/>
        <v/>
      </c>
      <c r="T430" s="66" t="str">
        <f t="shared" si="84"/>
        <v/>
      </c>
      <c r="U430" s="66" t="str">
        <f t="shared" si="80"/>
        <v/>
      </c>
      <c r="V430" s="81" t="str">
        <f t="shared" si="81"/>
        <v/>
      </c>
      <c r="W430" s="66" t="str">
        <f t="shared" si="82"/>
        <v/>
      </c>
      <c r="X430" s="66" t="str">
        <f t="shared" si="83"/>
        <v/>
      </c>
    </row>
    <row r="431" spans="1:24" x14ac:dyDescent="0.25">
      <c r="A431" t="str">
        <f>+'Tablas Servicio'!B464</f>
        <v/>
      </c>
      <c r="B431" t="str">
        <f>+'Tablas Servicio'!C464</f>
        <v/>
      </c>
      <c r="C431" s="56" t="str">
        <f>+'Tablas Servicio'!D464</f>
        <v/>
      </c>
      <c r="D431" s="58" t="str">
        <f>+'Tablas Servicio'!N464</f>
        <v/>
      </c>
      <c r="E431" s="66" t="str">
        <f>+'Tablas Servicio'!AC464</f>
        <v/>
      </c>
      <c r="F431" s="66" t="str">
        <f>+IF(A431="","",'Tablas Servicio'!O464-'Modelo Financiero'!E431)</f>
        <v/>
      </c>
      <c r="G431" s="58" t="str">
        <f t="shared" si="76"/>
        <v/>
      </c>
      <c r="H431" s="66" t="str">
        <f>+'Tablas Servicio'!G464</f>
        <v/>
      </c>
      <c r="I431" s="72" t="str">
        <f t="shared" si="77"/>
        <v/>
      </c>
      <c r="J431" s="66" t="str">
        <f t="shared" si="78"/>
        <v/>
      </c>
      <c r="K431" s="66" t="str">
        <f>+'Tablas Servicio'!H464</f>
        <v/>
      </c>
      <c r="L431" s="66" t="str">
        <f>+IF(A431="","",ROUND(H431*Parámetros!$D$100,2))</f>
        <v/>
      </c>
      <c r="M431" s="58" t="str">
        <f>+IF(A431="","",IF(AND(A431=1,B431=1),Parámetros!$D$114*(D431*frec-$G$3-$H$3),IF(AND(A431=2,B431=frec+1),Parámetros!$D$115*(D431*frec-$G$4-$H$4),0)))</f>
        <v/>
      </c>
      <c r="N431" s="58" t="str">
        <f>+IF(A431="","",IF(A431&gt;Parámetros!$D$117,0,ROUND('Modelo Financiero'!D431*Parámetros!$D$116,2)))</f>
        <v/>
      </c>
      <c r="O431" s="58" t="str">
        <f t="shared" si="79"/>
        <v/>
      </c>
      <c r="P431" s="66" t="str">
        <f>+'Tablas Servicio'!I464</f>
        <v/>
      </c>
      <c r="Q431" s="66" t="str">
        <f>+'Tablas Servicio'!S464</f>
        <v/>
      </c>
      <c r="R431" s="66" t="str">
        <f>+'Tablas Servicio'!T464</f>
        <v/>
      </c>
      <c r="S431" s="66" t="str">
        <f t="shared" si="75"/>
        <v/>
      </c>
      <c r="T431" s="66" t="str">
        <f t="shared" si="84"/>
        <v/>
      </c>
      <c r="U431" s="66" t="str">
        <f t="shared" si="80"/>
        <v/>
      </c>
      <c r="V431" s="81" t="str">
        <f t="shared" si="81"/>
        <v/>
      </c>
      <c r="W431" s="66" t="str">
        <f t="shared" si="82"/>
        <v/>
      </c>
      <c r="X431" s="66" t="str">
        <f t="shared" si="83"/>
        <v/>
      </c>
    </row>
    <row r="432" spans="1:24" x14ac:dyDescent="0.25">
      <c r="A432" t="str">
        <f>+'Tablas Servicio'!B465</f>
        <v/>
      </c>
      <c r="B432" t="str">
        <f>+'Tablas Servicio'!C465</f>
        <v/>
      </c>
      <c r="C432" s="56" t="str">
        <f>+'Tablas Servicio'!D465</f>
        <v/>
      </c>
      <c r="D432" s="58" t="str">
        <f>+'Tablas Servicio'!N465</f>
        <v/>
      </c>
      <c r="E432" s="66" t="str">
        <f>+'Tablas Servicio'!AC465</f>
        <v/>
      </c>
      <c r="F432" s="66" t="str">
        <f>+IF(A432="","",'Tablas Servicio'!O465-'Modelo Financiero'!E432)</f>
        <v/>
      </c>
      <c r="G432" s="58" t="str">
        <f t="shared" si="76"/>
        <v/>
      </c>
      <c r="H432" s="66" t="str">
        <f>+'Tablas Servicio'!G465</f>
        <v/>
      </c>
      <c r="I432" s="72" t="str">
        <f t="shared" si="77"/>
        <v/>
      </c>
      <c r="J432" s="66" t="str">
        <f t="shared" si="78"/>
        <v/>
      </c>
      <c r="K432" s="66" t="str">
        <f>+'Tablas Servicio'!H465</f>
        <v/>
      </c>
      <c r="L432" s="66" t="str">
        <f>+IF(A432="","",ROUND(H432*Parámetros!$D$100,2))</f>
        <v/>
      </c>
      <c r="M432" s="58" t="str">
        <f>+IF(A432="","",IF(AND(A432=1,B432=1),Parámetros!$D$114*(D432*frec-$G$3-$H$3),IF(AND(A432=2,B432=frec+1),Parámetros!$D$115*(D432*frec-$G$4-$H$4),0)))</f>
        <v/>
      </c>
      <c r="N432" s="58" t="str">
        <f>+IF(A432="","",IF(A432&gt;Parámetros!$D$117,0,ROUND('Modelo Financiero'!D432*Parámetros!$D$116,2)))</f>
        <v/>
      </c>
      <c r="O432" s="58" t="str">
        <f t="shared" si="79"/>
        <v/>
      </c>
      <c r="P432" s="66" t="str">
        <f>+'Tablas Servicio'!I465</f>
        <v/>
      </c>
      <c r="Q432" s="66" t="str">
        <f>+'Tablas Servicio'!S465</f>
        <v/>
      </c>
      <c r="R432" s="66" t="str">
        <f>+'Tablas Servicio'!T465</f>
        <v/>
      </c>
      <c r="S432" s="66" t="str">
        <f t="shared" si="75"/>
        <v/>
      </c>
      <c r="T432" s="66" t="str">
        <f t="shared" si="84"/>
        <v/>
      </c>
      <c r="U432" s="66" t="str">
        <f t="shared" si="80"/>
        <v/>
      </c>
      <c r="V432" s="81" t="str">
        <f t="shared" si="81"/>
        <v/>
      </c>
      <c r="W432" s="66" t="str">
        <f t="shared" si="82"/>
        <v/>
      </c>
      <c r="X432" s="66" t="str">
        <f t="shared" si="83"/>
        <v/>
      </c>
    </row>
    <row r="433" spans="1:24" x14ac:dyDescent="0.25">
      <c r="A433" t="str">
        <f>+'Tablas Servicio'!B466</f>
        <v/>
      </c>
      <c r="B433" t="str">
        <f>+'Tablas Servicio'!C466</f>
        <v/>
      </c>
      <c r="C433" s="56" t="str">
        <f>+'Tablas Servicio'!D466</f>
        <v/>
      </c>
      <c r="D433" s="58" t="str">
        <f>+'Tablas Servicio'!N466</f>
        <v/>
      </c>
      <c r="E433" s="66" t="str">
        <f>+'Tablas Servicio'!AC466</f>
        <v/>
      </c>
      <c r="F433" s="66" t="str">
        <f>+IF(A433="","",'Tablas Servicio'!O466-'Modelo Financiero'!E433)</f>
        <v/>
      </c>
      <c r="G433" s="58" t="str">
        <f t="shared" si="76"/>
        <v/>
      </c>
      <c r="H433" s="66" t="str">
        <f>+'Tablas Servicio'!G466</f>
        <v/>
      </c>
      <c r="I433" s="72" t="str">
        <f t="shared" si="77"/>
        <v/>
      </c>
      <c r="J433" s="66" t="str">
        <f t="shared" si="78"/>
        <v/>
      </c>
      <c r="K433" s="66" t="str">
        <f>+'Tablas Servicio'!H466</f>
        <v/>
      </c>
      <c r="L433" s="66" t="str">
        <f>+IF(A433="","",ROUND(H433*Parámetros!$D$100,2))</f>
        <v/>
      </c>
      <c r="M433" s="58" t="str">
        <f>+IF(A433="","",IF(AND(A433=1,B433=1),Parámetros!$D$114*(D433*frec-$G$3-$H$3),IF(AND(A433=2,B433=frec+1),Parámetros!$D$115*(D433*frec-$G$4-$H$4),0)))</f>
        <v/>
      </c>
      <c r="N433" s="58" t="str">
        <f>+IF(A433="","",IF(A433&gt;Parámetros!$D$117,0,ROUND('Modelo Financiero'!D433*Parámetros!$D$116,2)))</f>
        <v/>
      </c>
      <c r="O433" s="58" t="str">
        <f t="shared" si="79"/>
        <v/>
      </c>
      <c r="P433" s="66" t="str">
        <f>+'Tablas Servicio'!I466</f>
        <v/>
      </c>
      <c r="Q433" s="66" t="str">
        <f>+'Tablas Servicio'!S466</f>
        <v/>
      </c>
      <c r="R433" s="66" t="str">
        <f>+'Tablas Servicio'!T466</f>
        <v/>
      </c>
      <c r="S433" s="66" t="str">
        <f t="shared" si="75"/>
        <v/>
      </c>
      <c r="T433" s="66" t="str">
        <f t="shared" si="84"/>
        <v/>
      </c>
      <c r="U433" s="66" t="str">
        <f t="shared" si="80"/>
        <v/>
      </c>
      <c r="V433" s="81" t="str">
        <f t="shared" si="81"/>
        <v/>
      </c>
      <c r="W433" s="66" t="str">
        <f t="shared" si="82"/>
        <v/>
      </c>
      <c r="X433" s="66" t="str">
        <f t="shared" si="83"/>
        <v/>
      </c>
    </row>
    <row r="434" spans="1:24" x14ac:dyDescent="0.25">
      <c r="A434" t="str">
        <f>+'Tablas Servicio'!B467</f>
        <v/>
      </c>
      <c r="B434" t="str">
        <f>+'Tablas Servicio'!C467</f>
        <v/>
      </c>
      <c r="C434" s="56" t="str">
        <f>+'Tablas Servicio'!D467</f>
        <v/>
      </c>
      <c r="D434" s="58" t="str">
        <f>+'Tablas Servicio'!N467</f>
        <v/>
      </c>
      <c r="E434" s="66" t="str">
        <f>+'Tablas Servicio'!AC467</f>
        <v/>
      </c>
      <c r="F434" s="66" t="str">
        <f>+IF(A434="","",'Tablas Servicio'!O467-'Modelo Financiero'!E434)</f>
        <v/>
      </c>
      <c r="G434" s="58" t="str">
        <f t="shared" si="76"/>
        <v/>
      </c>
      <c r="H434" s="66" t="str">
        <f>+'Tablas Servicio'!G467</f>
        <v/>
      </c>
      <c r="I434" s="72" t="str">
        <f t="shared" si="77"/>
        <v/>
      </c>
      <c r="J434" s="66" t="str">
        <f t="shared" si="78"/>
        <v/>
      </c>
      <c r="K434" s="66" t="str">
        <f>+'Tablas Servicio'!H467</f>
        <v/>
      </c>
      <c r="L434" s="66" t="str">
        <f>+IF(A434="","",ROUND(H434*Parámetros!$D$100,2))</f>
        <v/>
      </c>
      <c r="M434" s="58" t="str">
        <f>+IF(A434="","",IF(AND(A434=1,B434=1),Parámetros!$D$114*(D434*frec-$G$3-$H$3),IF(AND(A434=2,B434=frec+1),Parámetros!$D$115*(D434*frec-$G$4-$H$4),0)))</f>
        <v/>
      </c>
      <c r="N434" s="58" t="str">
        <f>+IF(A434="","",IF(A434&gt;Parámetros!$D$117,0,ROUND('Modelo Financiero'!D434*Parámetros!$D$116,2)))</f>
        <v/>
      </c>
      <c r="O434" s="58" t="str">
        <f t="shared" si="79"/>
        <v/>
      </c>
      <c r="P434" s="66" t="str">
        <f>+'Tablas Servicio'!I467</f>
        <v/>
      </c>
      <c r="Q434" s="66" t="str">
        <f>+'Tablas Servicio'!S467</f>
        <v/>
      </c>
      <c r="R434" s="66" t="str">
        <f>+'Tablas Servicio'!T467</f>
        <v/>
      </c>
      <c r="S434" s="66" t="str">
        <f t="shared" si="75"/>
        <v/>
      </c>
      <c r="T434" s="66" t="str">
        <f t="shared" si="84"/>
        <v/>
      </c>
      <c r="U434" s="66" t="str">
        <f t="shared" si="80"/>
        <v/>
      </c>
      <c r="V434" s="81" t="str">
        <f t="shared" si="81"/>
        <v/>
      </c>
      <c r="W434" s="66" t="str">
        <f t="shared" si="82"/>
        <v/>
      </c>
      <c r="X434" s="66" t="str">
        <f t="shared" si="83"/>
        <v/>
      </c>
    </row>
    <row r="435" spans="1:24" x14ac:dyDescent="0.25">
      <c r="A435" t="str">
        <f>+'Tablas Servicio'!B468</f>
        <v/>
      </c>
      <c r="B435" t="str">
        <f>+'Tablas Servicio'!C468</f>
        <v/>
      </c>
      <c r="C435" s="56" t="str">
        <f>+'Tablas Servicio'!D468</f>
        <v/>
      </c>
      <c r="D435" s="58" t="str">
        <f>+'Tablas Servicio'!N468</f>
        <v/>
      </c>
      <c r="E435" s="66" t="str">
        <f>+'Tablas Servicio'!AC468</f>
        <v/>
      </c>
      <c r="F435" s="66" t="str">
        <f>+IF(A435="","",'Tablas Servicio'!O468-'Modelo Financiero'!E435)</f>
        <v/>
      </c>
      <c r="G435" s="58" t="str">
        <f t="shared" si="76"/>
        <v/>
      </c>
      <c r="H435" s="66" t="str">
        <f>+'Tablas Servicio'!G468</f>
        <v/>
      </c>
      <c r="I435" s="72" t="str">
        <f t="shared" si="77"/>
        <v/>
      </c>
      <c r="J435" s="66" t="str">
        <f t="shared" si="78"/>
        <v/>
      </c>
      <c r="K435" s="66" t="str">
        <f>+'Tablas Servicio'!H468</f>
        <v/>
      </c>
      <c r="L435" s="66" t="str">
        <f>+IF(A435="","",ROUND(H435*Parámetros!$D$100,2))</f>
        <v/>
      </c>
      <c r="M435" s="58" t="str">
        <f>+IF(A435="","",IF(AND(A435=1,B435=1),Parámetros!$D$114*(D435*frec-$G$3-$H$3),IF(AND(A435=2,B435=frec+1),Parámetros!$D$115*(D435*frec-$G$4-$H$4),0)))</f>
        <v/>
      </c>
      <c r="N435" s="58" t="str">
        <f>+IF(A435="","",IF(A435&gt;Parámetros!$D$117,0,ROUND('Modelo Financiero'!D435*Parámetros!$D$116,2)))</f>
        <v/>
      </c>
      <c r="O435" s="58" t="str">
        <f t="shared" si="79"/>
        <v/>
      </c>
      <c r="P435" s="66" t="str">
        <f>+'Tablas Servicio'!I468</f>
        <v/>
      </c>
      <c r="Q435" s="66" t="str">
        <f>+'Tablas Servicio'!S468</f>
        <v/>
      </c>
      <c r="R435" s="66" t="str">
        <f>+'Tablas Servicio'!T468</f>
        <v/>
      </c>
      <c r="S435" s="66" t="str">
        <f t="shared" si="75"/>
        <v/>
      </c>
      <c r="T435" s="66" t="str">
        <f t="shared" si="84"/>
        <v/>
      </c>
      <c r="U435" s="66" t="str">
        <f t="shared" si="80"/>
        <v/>
      </c>
      <c r="V435" s="81" t="str">
        <f t="shared" si="81"/>
        <v/>
      </c>
      <c r="W435" s="66" t="str">
        <f t="shared" si="82"/>
        <v/>
      </c>
      <c r="X435" s="66" t="str">
        <f t="shared" si="83"/>
        <v/>
      </c>
    </row>
    <row r="436" spans="1:24" x14ac:dyDescent="0.25">
      <c r="A436" t="str">
        <f>+'Tablas Servicio'!B469</f>
        <v/>
      </c>
      <c r="B436" t="str">
        <f>+'Tablas Servicio'!C469</f>
        <v/>
      </c>
      <c r="C436" s="56" t="str">
        <f>+'Tablas Servicio'!D469</f>
        <v/>
      </c>
      <c r="D436" s="58" t="str">
        <f>+'Tablas Servicio'!N469</f>
        <v/>
      </c>
      <c r="E436" s="66" t="str">
        <f>+'Tablas Servicio'!AC469</f>
        <v/>
      </c>
      <c r="F436" s="66" t="str">
        <f>+IF(A436="","",'Tablas Servicio'!O469-'Modelo Financiero'!E436)</f>
        <v/>
      </c>
      <c r="G436" s="58" t="str">
        <f t="shared" si="76"/>
        <v/>
      </c>
      <c r="H436" s="66" t="str">
        <f>+'Tablas Servicio'!G469</f>
        <v/>
      </c>
      <c r="I436" s="72" t="str">
        <f t="shared" si="77"/>
        <v/>
      </c>
      <c r="J436" s="66" t="str">
        <f t="shared" si="78"/>
        <v/>
      </c>
      <c r="K436" s="66" t="str">
        <f>+'Tablas Servicio'!H469</f>
        <v/>
      </c>
      <c r="L436" s="66" t="str">
        <f>+IF(A436="","",ROUND(H436*Parámetros!$D$100,2))</f>
        <v/>
      </c>
      <c r="M436" s="58" t="str">
        <f>+IF(A436="","",IF(AND(A436=1,B436=1),Parámetros!$D$114*(D436*frec-$G$3-$H$3),IF(AND(A436=2,B436=frec+1),Parámetros!$D$115*(D436*frec-$G$4-$H$4),0)))</f>
        <v/>
      </c>
      <c r="N436" s="58" t="str">
        <f>+IF(A436="","",IF(A436&gt;Parámetros!$D$117,0,ROUND('Modelo Financiero'!D436*Parámetros!$D$116,2)))</f>
        <v/>
      </c>
      <c r="O436" s="58" t="str">
        <f t="shared" si="79"/>
        <v/>
      </c>
      <c r="P436" s="66" t="str">
        <f>+'Tablas Servicio'!I469</f>
        <v/>
      </c>
      <c r="Q436" s="66" t="str">
        <f>+'Tablas Servicio'!S469</f>
        <v/>
      </c>
      <c r="R436" s="66" t="str">
        <f>+'Tablas Servicio'!T469</f>
        <v/>
      </c>
      <c r="S436" s="66" t="str">
        <f t="shared" si="75"/>
        <v/>
      </c>
      <c r="T436" s="66" t="str">
        <f t="shared" si="84"/>
        <v/>
      </c>
      <c r="U436" s="66" t="str">
        <f t="shared" si="80"/>
        <v/>
      </c>
      <c r="V436" s="81" t="str">
        <f t="shared" si="81"/>
        <v/>
      </c>
      <c r="W436" s="66" t="str">
        <f t="shared" si="82"/>
        <v/>
      </c>
      <c r="X436" s="66" t="str">
        <f t="shared" si="83"/>
        <v/>
      </c>
    </row>
    <row r="437" spans="1:24" x14ac:dyDescent="0.25">
      <c r="A437" t="str">
        <f>+'Tablas Servicio'!B470</f>
        <v/>
      </c>
      <c r="B437" t="str">
        <f>+'Tablas Servicio'!C470</f>
        <v/>
      </c>
      <c r="C437" s="56" t="str">
        <f>+'Tablas Servicio'!D470</f>
        <v/>
      </c>
      <c r="D437" s="58" t="str">
        <f>+'Tablas Servicio'!N470</f>
        <v/>
      </c>
      <c r="E437" s="66" t="str">
        <f>+'Tablas Servicio'!AC470</f>
        <v/>
      </c>
      <c r="F437" s="66" t="str">
        <f>+IF(A437="","",'Tablas Servicio'!O470-'Modelo Financiero'!E437)</f>
        <v/>
      </c>
      <c r="G437" s="58" t="str">
        <f t="shared" si="76"/>
        <v/>
      </c>
      <c r="H437" s="66" t="str">
        <f>+'Tablas Servicio'!G470</f>
        <v/>
      </c>
      <c r="I437" s="72" t="str">
        <f t="shared" si="77"/>
        <v/>
      </c>
      <c r="J437" s="66" t="str">
        <f t="shared" si="78"/>
        <v/>
      </c>
      <c r="K437" s="66" t="str">
        <f>+'Tablas Servicio'!H470</f>
        <v/>
      </c>
      <c r="L437" s="66" t="str">
        <f>+IF(A437="","",ROUND(H437*Parámetros!$D$100,2))</f>
        <v/>
      </c>
      <c r="M437" s="58" t="str">
        <f>+IF(A437="","",IF(AND(A437=1,B437=1),Parámetros!$D$114*(D437*frec-$G$3-$H$3),IF(AND(A437=2,B437=frec+1),Parámetros!$D$115*(D437*frec-$G$4-$H$4),0)))</f>
        <v/>
      </c>
      <c r="N437" s="58" t="str">
        <f>+IF(A437="","",IF(A437&gt;Parámetros!$D$117,0,ROUND('Modelo Financiero'!D437*Parámetros!$D$116,2)))</f>
        <v/>
      </c>
      <c r="O437" s="58" t="str">
        <f t="shared" si="79"/>
        <v/>
      </c>
      <c r="P437" s="66" t="str">
        <f>+'Tablas Servicio'!I470</f>
        <v/>
      </c>
      <c r="Q437" s="66" t="str">
        <f>+'Tablas Servicio'!S470</f>
        <v/>
      </c>
      <c r="R437" s="66" t="str">
        <f>+'Tablas Servicio'!T470</f>
        <v/>
      </c>
      <c r="S437" s="66" t="str">
        <f t="shared" si="75"/>
        <v/>
      </c>
      <c r="T437" s="66" t="str">
        <f t="shared" si="84"/>
        <v/>
      </c>
      <c r="U437" s="66" t="str">
        <f t="shared" si="80"/>
        <v/>
      </c>
      <c r="V437" s="81" t="str">
        <f t="shared" si="81"/>
        <v/>
      </c>
      <c r="W437" s="66" t="str">
        <f t="shared" si="82"/>
        <v/>
      </c>
      <c r="X437" s="66" t="str">
        <f t="shared" si="83"/>
        <v/>
      </c>
    </row>
    <row r="438" spans="1:24" x14ac:dyDescent="0.25">
      <c r="A438" t="str">
        <f>+'Tablas Servicio'!B471</f>
        <v/>
      </c>
      <c r="B438" t="str">
        <f>+'Tablas Servicio'!C471</f>
        <v/>
      </c>
      <c r="C438" s="56" t="str">
        <f>+'Tablas Servicio'!D471</f>
        <v/>
      </c>
      <c r="D438" s="58" t="str">
        <f>+'Tablas Servicio'!N471</f>
        <v/>
      </c>
      <c r="E438" s="66" t="str">
        <f>+'Tablas Servicio'!AC471</f>
        <v/>
      </c>
      <c r="F438" s="66" t="str">
        <f>+IF(A438="","",'Tablas Servicio'!O471-'Modelo Financiero'!E438)</f>
        <v/>
      </c>
      <c r="G438" s="58" t="str">
        <f t="shared" si="76"/>
        <v/>
      </c>
      <c r="H438" s="66" t="str">
        <f>+'Tablas Servicio'!G471</f>
        <v/>
      </c>
      <c r="I438" s="72" t="str">
        <f t="shared" si="77"/>
        <v/>
      </c>
      <c r="J438" s="66" t="str">
        <f t="shared" si="78"/>
        <v/>
      </c>
      <c r="K438" s="66" t="str">
        <f>+'Tablas Servicio'!H471</f>
        <v/>
      </c>
      <c r="L438" s="66" t="str">
        <f>+IF(A438="","",ROUND(H438*Parámetros!$D$100,2))</f>
        <v/>
      </c>
      <c r="M438" s="58" t="str">
        <f>+IF(A438="","",IF(AND(A438=1,B438=1),Parámetros!$D$114*(D438*frec-$G$3-$H$3),IF(AND(A438=2,B438=frec+1),Parámetros!$D$115*(D438*frec-$G$4-$H$4),0)))</f>
        <v/>
      </c>
      <c r="N438" s="58" t="str">
        <f>+IF(A438="","",IF(A438&gt;Parámetros!$D$117,0,ROUND('Modelo Financiero'!D438*Parámetros!$D$116,2)))</f>
        <v/>
      </c>
      <c r="O438" s="58" t="str">
        <f t="shared" si="79"/>
        <v/>
      </c>
      <c r="P438" s="66" t="str">
        <f>+'Tablas Servicio'!I471</f>
        <v/>
      </c>
      <c r="Q438" s="66" t="str">
        <f>+'Tablas Servicio'!S471</f>
        <v/>
      </c>
      <c r="R438" s="66" t="str">
        <f>+'Tablas Servicio'!T471</f>
        <v/>
      </c>
      <c r="S438" s="66" t="str">
        <f t="shared" si="75"/>
        <v/>
      </c>
      <c r="T438" s="66" t="str">
        <f t="shared" si="84"/>
        <v/>
      </c>
      <c r="U438" s="66" t="str">
        <f t="shared" si="80"/>
        <v/>
      </c>
      <c r="V438" s="81" t="str">
        <f t="shared" si="81"/>
        <v/>
      </c>
      <c r="W438" s="66" t="str">
        <f t="shared" si="82"/>
        <v/>
      </c>
      <c r="X438" s="66" t="str">
        <f t="shared" si="83"/>
        <v/>
      </c>
    </row>
    <row r="439" spans="1:24" x14ac:dyDescent="0.25">
      <c r="A439" t="str">
        <f>+'Tablas Servicio'!B472</f>
        <v/>
      </c>
      <c r="B439" t="str">
        <f>+'Tablas Servicio'!C472</f>
        <v/>
      </c>
      <c r="C439" s="56" t="str">
        <f>+'Tablas Servicio'!D472</f>
        <v/>
      </c>
      <c r="D439" s="58" t="str">
        <f>+'Tablas Servicio'!N472</f>
        <v/>
      </c>
      <c r="E439" s="66" t="str">
        <f>+'Tablas Servicio'!AC472</f>
        <v/>
      </c>
      <c r="F439" s="66" t="str">
        <f>+IF(A439="","",'Tablas Servicio'!O472-'Modelo Financiero'!E439)</f>
        <v/>
      </c>
      <c r="G439" s="58" t="str">
        <f t="shared" si="76"/>
        <v/>
      </c>
      <c r="H439" s="66" t="str">
        <f>+'Tablas Servicio'!G472</f>
        <v/>
      </c>
      <c r="I439" s="72" t="str">
        <f t="shared" si="77"/>
        <v/>
      </c>
      <c r="J439" s="66" t="str">
        <f t="shared" si="78"/>
        <v/>
      </c>
      <c r="K439" s="66" t="str">
        <f>+'Tablas Servicio'!H472</f>
        <v/>
      </c>
      <c r="L439" s="66" t="str">
        <f>+IF(A439="","",ROUND(H439*Parámetros!$D$100,2))</f>
        <v/>
      </c>
      <c r="M439" s="58" t="str">
        <f>+IF(A439="","",IF(AND(A439=1,B439=1),Parámetros!$D$114*(D439*frec-$G$3-$H$3),IF(AND(A439=2,B439=frec+1),Parámetros!$D$115*(D439*frec-$G$4-$H$4),0)))</f>
        <v/>
      </c>
      <c r="N439" s="58" t="str">
        <f>+IF(A439="","",IF(A439&gt;Parámetros!$D$117,0,ROUND('Modelo Financiero'!D439*Parámetros!$D$116,2)))</f>
        <v/>
      </c>
      <c r="O439" s="58" t="str">
        <f t="shared" si="79"/>
        <v/>
      </c>
      <c r="P439" s="66" t="str">
        <f>+'Tablas Servicio'!I472</f>
        <v/>
      </c>
      <c r="Q439" s="66" t="str">
        <f>+'Tablas Servicio'!S472</f>
        <v/>
      </c>
      <c r="R439" s="66" t="str">
        <f>+'Tablas Servicio'!T472</f>
        <v/>
      </c>
      <c r="S439" s="66" t="str">
        <f t="shared" si="75"/>
        <v/>
      </c>
      <c r="T439" s="66" t="str">
        <f t="shared" si="84"/>
        <v/>
      </c>
      <c r="U439" s="66" t="str">
        <f t="shared" si="80"/>
        <v/>
      </c>
      <c r="V439" s="81" t="str">
        <f t="shared" si="81"/>
        <v/>
      </c>
      <c r="W439" s="66" t="str">
        <f t="shared" si="82"/>
        <v/>
      </c>
      <c r="X439" s="66" t="str">
        <f t="shared" si="83"/>
        <v/>
      </c>
    </row>
    <row r="440" spans="1:24" x14ac:dyDescent="0.25">
      <c r="A440" t="str">
        <f>+'Tablas Servicio'!B473</f>
        <v/>
      </c>
      <c r="B440" t="str">
        <f>+'Tablas Servicio'!C473</f>
        <v/>
      </c>
      <c r="C440" s="56" t="str">
        <f>+'Tablas Servicio'!D473</f>
        <v/>
      </c>
      <c r="D440" s="58" t="str">
        <f>+'Tablas Servicio'!N473</f>
        <v/>
      </c>
      <c r="E440" s="66" t="str">
        <f>+'Tablas Servicio'!AC473</f>
        <v/>
      </c>
      <c r="F440" s="66" t="str">
        <f>+IF(A440="","",'Tablas Servicio'!O473-'Modelo Financiero'!E440)</f>
        <v/>
      </c>
      <c r="G440" s="58" t="str">
        <f t="shared" si="76"/>
        <v/>
      </c>
      <c r="H440" s="66" t="str">
        <f>+'Tablas Servicio'!G473</f>
        <v/>
      </c>
      <c r="I440" s="72" t="str">
        <f t="shared" si="77"/>
        <v/>
      </c>
      <c r="J440" s="66" t="str">
        <f t="shared" si="78"/>
        <v/>
      </c>
      <c r="K440" s="66" t="str">
        <f>+'Tablas Servicio'!H473</f>
        <v/>
      </c>
      <c r="L440" s="66" t="str">
        <f>+IF(A440="","",ROUND(H440*Parámetros!$D$100,2))</f>
        <v/>
      </c>
      <c r="M440" s="58" t="str">
        <f>+IF(A440="","",IF(AND(A440=1,B440=1),Parámetros!$D$114*(D440*frec-$G$3-$H$3),IF(AND(A440=2,B440=frec+1),Parámetros!$D$115*(D440*frec-$G$4-$H$4),0)))</f>
        <v/>
      </c>
      <c r="N440" s="58" t="str">
        <f>+IF(A440="","",IF(A440&gt;Parámetros!$D$117,0,ROUND('Modelo Financiero'!D440*Parámetros!$D$116,2)))</f>
        <v/>
      </c>
      <c r="O440" s="58" t="str">
        <f t="shared" si="79"/>
        <v/>
      </c>
      <c r="P440" s="66" t="str">
        <f>+'Tablas Servicio'!I473</f>
        <v/>
      </c>
      <c r="Q440" s="66" t="str">
        <f>+'Tablas Servicio'!S473</f>
        <v/>
      </c>
      <c r="R440" s="66" t="str">
        <f>+'Tablas Servicio'!T473</f>
        <v/>
      </c>
      <c r="S440" s="66" t="str">
        <f t="shared" si="75"/>
        <v/>
      </c>
      <c r="T440" s="66" t="str">
        <f t="shared" si="84"/>
        <v/>
      </c>
      <c r="U440" s="66" t="str">
        <f t="shared" si="80"/>
        <v/>
      </c>
      <c r="V440" s="81" t="str">
        <f t="shared" si="81"/>
        <v/>
      </c>
      <c r="W440" s="66" t="str">
        <f t="shared" si="82"/>
        <v/>
      </c>
      <c r="X440" s="66" t="str">
        <f t="shared" si="83"/>
        <v/>
      </c>
    </row>
    <row r="441" spans="1:24" x14ac:dyDescent="0.25">
      <c r="A441" t="str">
        <f>+'Tablas Servicio'!B474</f>
        <v/>
      </c>
      <c r="B441" t="str">
        <f>+'Tablas Servicio'!C474</f>
        <v/>
      </c>
      <c r="C441" s="56" t="str">
        <f>+'Tablas Servicio'!D474</f>
        <v/>
      </c>
      <c r="D441" s="58" t="str">
        <f>+'Tablas Servicio'!N474</f>
        <v/>
      </c>
      <c r="E441" s="66" t="str">
        <f>+'Tablas Servicio'!AC474</f>
        <v/>
      </c>
      <c r="F441" s="66" t="str">
        <f>+IF(A441="","",'Tablas Servicio'!O474-'Modelo Financiero'!E441)</f>
        <v/>
      </c>
      <c r="G441" s="58" t="str">
        <f t="shared" si="76"/>
        <v/>
      </c>
      <c r="H441" s="66" t="str">
        <f>+'Tablas Servicio'!G474</f>
        <v/>
      </c>
      <c r="I441" s="72" t="str">
        <f t="shared" si="77"/>
        <v/>
      </c>
      <c r="J441" s="66" t="str">
        <f t="shared" si="78"/>
        <v/>
      </c>
      <c r="K441" s="66" t="str">
        <f>+'Tablas Servicio'!H474</f>
        <v/>
      </c>
      <c r="L441" s="66" t="str">
        <f>+IF(A441="","",ROUND(H441*Parámetros!$D$100,2))</f>
        <v/>
      </c>
      <c r="M441" s="58" t="str">
        <f>+IF(A441="","",IF(AND(A441=1,B441=1),Parámetros!$D$114*(D441*frec-$G$3-$H$3),IF(AND(A441=2,B441=frec+1),Parámetros!$D$115*(D441*frec-$G$4-$H$4),0)))</f>
        <v/>
      </c>
      <c r="N441" s="58" t="str">
        <f>+IF(A441="","",IF(A441&gt;Parámetros!$D$117,0,ROUND('Modelo Financiero'!D441*Parámetros!$D$116,2)))</f>
        <v/>
      </c>
      <c r="O441" s="58" t="str">
        <f t="shared" si="79"/>
        <v/>
      </c>
      <c r="P441" s="66" t="str">
        <f>+'Tablas Servicio'!I474</f>
        <v/>
      </c>
      <c r="Q441" s="66" t="str">
        <f>+'Tablas Servicio'!S474</f>
        <v/>
      </c>
      <c r="R441" s="66" t="str">
        <f>+'Tablas Servicio'!T474</f>
        <v/>
      </c>
      <c r="S441" s="66" t="str">
        <f t="shared" si="75"/>
        <v/>
      </c>
      <c r="T441" s="66" t="str">
        <f t="shared" si="84"/>
        <v/>
      </c>
      <c r="U441" s="66" t="str">
        <f t="shared" si="80"/>
        <v/>
      </c>
      <c r="V441" s="81" t="str">
        <f t="shared" si="81"/>
        <v/>
      </c>
      <c r="W441" s="66" t="str">
        <f t="shared" si="82"/>
        <v/>
      </c>
      <c r="X441" s="66" t="str">
        <f t="shared" si="83"/>
        <v/>
      </c>
    </row>
    <row r="442" spans="1:24" x14ac:dyDescent="0.25">
      <c r="A442" t="str">
        <f>+'Tablas Servicio'!B475</f>
        <v/>
      </c>
      <c r="B442" t="str">
        <f>+'Tablas Servicio'!C475</f>
        <v/>
      </c>
      <c r="C442" s="56" t="str">
        <f>+'Tablas Servicio'!D475</f>
        <v/>
      </c>
      <c r="D442" s="58" t="str">
        <f>+'Tablas Servicio'!N475</f>
        <v/>
      </c>
      <c r="E442" s="66" t="str">
        <f>+'Tablas Servicio'!AC475</f>
        <v/>
      </c>
      <c r="F442" s="66" t="str">
        <f>+IF(A442="","",'Tablas Servicio'!O475-'Modelo Financiero'!E442)</f>
        <v/>
      </c>
      <c r="G442" s="58" t="str">
        <f t="shared" si="76"/>
        <v/>
      </c>
      <c r="H442" s="66" t="str">
        <f>+'Tablas Servicio'!G475</f>
        <v/>
      </c>
      <c r="I442" s="72" t="str">
        <f t="shared" si="77"/>
        <v/>
      </c>
      <c r="J442" s="66" t="str">
        <f t="shared" si="78"/>
        <v/>
      </c>
      <c r="K442" s="66" t="str">
        <f>+'Tablas Servicio'!H475</f>
        <v/>
      </c>
      <c r="L442" s="66" t="str">
        <f>+IF(A442="","",ROUND(H442*Parámetros!$D$100,2))</f>
        <v/>
      </c>
      <c r="M442" s="58" t="str">
        <f>+IF(A442="","",IF(AND(A442=1,B442=1),Parámetros!$D$114*(D442*frec-$G$3-$H$3),IF(AND(A442=2,B442=frec+1),Parámetros!$D$115*(D442*frec-$G$4-$H$4),0)))</f>
        <v/>
      </c>
      <c r="N442" s="58" t="str">
        <f>+IF(A442="","",IF(A442&gt;Parámetros!$D$117,0,ROUND('Modelo Financiero'!D442*Parámetros!$D$116,2)))</f>
        <v/>
      </c>
      <c r="O442" s="58" t="str">
        <f t="shared" si="79"/>
        <v/>
      </c>
      <c r="P442" s="66" t="str">
        <f>+'Tablas Servicio'!I475</f>
        <v/>
      </c>
      <c r="Q442" s="66" t="str">
        <f>+'Tablas Servicio'!S475</f>
        <v/>
      </c>
      <c r="R442" s="66" t="str">
        <f>+'Tablas Servicio'!T475</f>
        <v/>
      </c>
      <c r="S442" s="66" t="str">
        <f t="shared" si="75"/>
        <v/>
      </c>
      <c r="T442" s="66" t="str">
        <f t="shared" si="84"/>
        <v/>
      </c>
      <c r="U442" s="66" t="str">
        <f t="shared" si="80"/>
        <v/>
      </c>
      <c r="V442" s="81" t="str">
        <f t="shared" si="81"/>
        <v/>
      </c>
      <c r="W442" s="66" t="str">
        <f t="shared" si="82"/>
        <v/>
      </c>
      <c r="X442" s="66" t="str">
        <f t="shared" si="83"/>
        <v/>
      </c>
    </row>
    <row r="443" spans="1:24" x14ac:dyDescent="0.25">
      <c r="A443" t="str">
        <f>+'Tablas Servicio'!B476</f>
        <v/>
      </c>
      <c r="B443" t="str">
        <f>+'Tablas Servicio'!C476</f>
        <v/>
      </c>
      <c r="C443" s="56" t="str">
        <f>+'Tablas Servicio'!D476</f>
        <v/>
      </c>
      <c r="D443" s="58" t="str">
        <f>+'Tablas Servicio'!N476</f>
        <v/>
      </c>
      <c r="E443" s="66" t="str">
        <f>+'Tablas Servicio'!AC476</f>
        <v/>
      </c>
      <c r="F443" s="66" t="str">
        <f>+IF(A443="","",'Tablas Servicio'!O476-'Modelo Financiero'!E443)</f>
        <v/>
      </c>
      <c r="G443" s="58" t="str">
        <f t="shared" si="76"/>
        <v/>
      </c>
      <c r="H443" s="66" t="str">
        <f>+'Tablas Servicio'!G476</f>
        <v/>
      </c>
      <c r="I443" s="72" t="str">
        <f t="shared" si="77"/>
        <v/>
      </c>
      <c r="J443" s="66" t="str">
        <f t="shared" si="78"/>
        <v/>
      </c>
      <c r="K443" s="66" t="str">
        <f>+'Tablas Servicio'!H476</f>
        <v/>
      </c>
      <c r="L443" s="66" t="str">
        <f>+IF(A443="","",ROUND(H443*Parámetros!$D$100,2))</f>
        <v/>
      </c>
      <c r="M443" s="58" t="str">
        <f>+IF(A443="","",IF(AND(A443=1,B443=1),Parámetros!$D$114*(D443*frec-$G$3-$H$3),IF(AND(A443=2,B443=frec+1),Parámetros!$D$115*(D443*frec-$G$4-$H$4),0)))</f>
        <v/>
      </c>
      <c r="N443" s="58" t="str">
        <f>+IF(A443="","",IF(A443&gt;Parámetros!$D$117,0,ROUND('Modelo Financiero'!D443*Parámetros!$D$116,2)))</f>
        <v/>
      </c>
      <c r="O443" s="58" t="str">
        <f t="shared" si="79"/>
        <v/>
      </c>
      <c r="P443" s="66" t="str">
        <f>+'Tablas Servicio'!I476</f>
        <v/>
      </c>
      <c r="Q443" s="66" t="str">
        <f>+'Tablas Servicio'!S476</f>
        <v/>
      </c>
      <c r="R443" s="66" t="str">
        <f>+'Tablas Servicio'!T476</f>
        <v/>
      </c>
      <c r="S443" s="66" t="str">
        <f t="shared" si="75"/>
        <v/>
      </c>
      <c r="T443" s="66" t="str">
        <f t="shared" si="84"/>
        <v/>
      </c>
      <c r="U443" s="66" t="str">
        <f t="shared" si="80"/>
        <v/>
      </c>
      <c r="V443" s="81" t="str">
        <f t="shared" si="81"/>
        <v/>
      </c>
      <c r="W443" s="66" t="str">
        <f t="shared" si="82"/>
        <v/>
      </c>
      <c r="X443" s="66" t="str">
        <f t="shared" si="83"/>
        <v/>
      </c>
    </row>
    <row r="444" spans="1:24" x14ac:dyDescent="0.25">
      <c r="A444" t="str">
        <f>+'Tablas Servicio'!B477</f>
        <v/>
      </c>
      <c r="B444" t="str">
        <f>+'Tablas Servicio'!C477</f>
        <v/>
      </c>
      <c r="C444" s="56" t="str">
        <f>+'Tablas Servicio'!D477</f>
        <v/>
      </c>
      <c r="D444" s="58" t="str">
        <f>+'Tablas Servicio'!N477</f>
        <v/>
      </c>
      <c r="E444" s="66" t="str">
        <f>+'Tablas Servicio'!AC477</f>
        <v/>
      </c>
      <c r="F444" s="66" t="str">
        <f>+IF(A444="","",'Tablas Servicio'!O477-'Modelo Financiero'!E444)</f>
        <v/>
      </c>
      <c r="G444" s="58" t="str">
        <f t="shared" si="76"/>
        <v/>
      </c>
      <c r="H444" s="66" t="str">
        <f>+'Tablas Servicio'!G477</f>
        <v/>
      </c>
      <c r="I444" s="72" t="str">
        <f t="shared" si="77"/>
        <v/>
      </c>
      <c r="J444" s="66" t="str">
        <f t="shared" si="78"/>
        <v/>
      </c>
      <c r="K444" s="66" t="str">
        <f>+'Tablas Servicio'!H477</f>
        <v/>
      </c>
      <c r="L444" s="66" t="str">
        <f>+IF(A444="","",ROUND(H444*Parámetros!$D$100,2))</f>
        <v/>
      </c>
      <c r="M444" s="58" t="str">
        <f>+IF(A444="","",IF(AND(A444=1,B444=1),Parámetros!$D$114*(D444*frec-$G$3-$H$3),IF(AND(A444=2,B444=frec+1),Parámetros!$D$115*(D444*frec-$G$4-$H$4),0)))</f>
        <v/>
      </c>
      <c r="N444" s="58" t="str">
        <f>+IF(A444="","",IF(A444&gt;Parámetros!$D$117,0,ROUND('Modelo Financiero'!D444*Parámetros!$D$116,2)))</f>
        <v/>
      </c>
      <c r="O444" s="58" t="str">
        <f t="shared" si="79"/>
        <v/>
      </c>
      <c r="P444" s="66" t="str">
        <f>+'Tablas Servicio'!I477</f>
        <v/>
      </c>
      <c r="Q444" s="66" t="str">
        <f>+'Tablas Servicio'!S477</f>
        <v/>
      </c>
      <c r="R444" s="66" t="str">
        <f>+'Tablas Servicio'!T477</f>
        <v/>
      </c>
      <c r="S444" s="66" t="str">
        <f t="shared" si="75"/>
        <v/>
      </c>
      <c r="T444" s="66" t="str">
        <f t="shared" si="84"/>
        <v/>
      </c>
      <c r="U444" s="66" t="str">
        <f t="shared" si="80"/>
        <v/>
      </c>
      <c r="V444" s="81" t="str">
        <f t="shared" si="81"/>
        <v/>
      </c>
      <c r="W444" s="66" t="str">
        <f t="shared" si="82"/>
        <v/>
      </c>
      <c r="X444" s="66" t="str">
        <f t="shared" si="83"/>
        <v/>
      </c>
    </row>
    <row r="445" spans="1:24" x14ac:dyDescent="0.25">
      <c r="A445" t="str">
        <f>+'Tablas Servicio'!B478</f>
        <v/>
      </c>
      <c r="B445" t="str">
        <f>+'Tablas Servicio'!C478</f>
        <v/>
      </c>
      <c r="C445" s="56" t="str">
        <f>+'Tablas Servicio'!D478</f>
        <v/>
      </c>
      <c r="D445" s="58" t="str">
        <f>+'Tablas Servicio'!N478</f>
        <v/>
      </c>
      <c r="E445" s="66" t="str">
        <f>+'Tablas Servicio'!AC478</f>
        <v/>
      </c>
      <c r="F445" s="66" t="str">
        <f>+IF(A445="","",'Tablas Servicio'!O478-'Modelo Financiero'!E445)</f>
        <v/>
      </c>
      <c r="G445" s="58" t="str">
        <f t="shared" si="76"/>
        <v/>
      </c>
      <c r="H445" s="66" t="str">
        <f>+'Tablas Servicio'!G478</f>
        <v/>
      </c>
      <c r="I445" s="72" t="str">
        <f t="shared" si="77"/>
        <v/>
      </c>
      <c r="J445" s="66" t="str">
        <f t="shared" si="78"/>
        <v/>
      </c>
      <c r="K445" s="66" t="str">
        <f>+'Tablas Servicio'!H478</f>
        <v/>
      </c>
      <c r="L445" s="66" t="str">
        <f>+IF(A445="","",ROUND(H445*Parámetros!$D$100,2))</f>
        <v/>
      </c>
      <c r="M445" s="58" t="str">
        <f>+IF(A445="","",IF(AND(A445=1,B445=1),Parámetros!$D$114*(D445*frec-$G$3-$H$3),IF(AND(A445=2,B445=frec+1),Parámetros!$D$115*(D445*frec-$G$4-$H$4),0)))</f>
        <v/>
      </c>
      <c r="N445" s="58" t="str">
        <f>+IF(A445="","",IF(A445&gt;Parámetros!$D$117,0,ROUND('Modelo Financiero'!D445*Parámetros!$D$116,2)))</f>
        <v/>
      </c>
      <c r="O445" s="58" t="str">
        <f t="shared" si="79"/>
        <v/>
      </c>
      <c r="P445" s="66" t="str">
        <f>+'Tablas Servicio'!I478</f>
        <v/>
      </c>
      <c r="Q445" s="66" t="str">
        <f>+'Tablas Servicio'!S478</f>
        <v/>
      </c>
      <c r="R445" s="66" t="str">
        <f>+'Tablas Servicio'!T478</f>
        <v/>
      </c>
      <c r="S445" s="66" t="str">
        <f t="shared" si="75"/>
        <v/>
      </c>
      <c r="T445" s="66" t="str">
        <f t="shared" si="84"/>
        <v/>
      </c>
      <c r="U445" s="66" t="str">
        <f t="shared" si="80"/>
        <v/>
      </c>
      <c r="V445" s="81" t="str">
        <f t="shared" si="81"/>
        <v/>
      </c>
      <c r="W445" s="66" t="str">
        <f t="shared" si="82"/>
        <v/>
      </c>
      <c r="X445" s="66" t="str">
        <f t="shared" si="83"/>
        <v/>
      </c>
    </row>
    <row r="446" spans="1:24" x14ac:dyDescent="0.25">
      <c r="A446" t="str">
        <f>+'Tablas Servicio'!B479</f>
        <v/>
      </c>
      <c r="B446" t="str">
        <f>+'Tablas Servicio'!C479</f>
        <v/>
      </c>
      <c r="C446" s="56" t="str">
        <f>+'Tablas Servicio'!D479</f>
        <v/>
      </c>
      <c r="D446" s="58" t="str">
        <f>+'Tablas Servicio'!N479</f>
        <v/>
      </c>
      <c r="E446" s="66" t="str">
        <f>+'Tablas Servicio'!AC479</f>
        <v/>
      </c>
      <c r="F446" s="66" t="str">
        <f>+IF(A446="","",'Tablas Servicio'!O479-'Modelo Financiero'!E446)</f>
        <v/>
      </c>
      <c r="G446" s="58" t="str">
        <f t="shared" si="76"/>
        <v/>
      </c>
      <c r="H446" s="66" t="str">
        <f>+'Tablas Servicio'!G479</f>
        <v/>
      </c>
      <c r="I446" s="72" t="str">
        <f t="shared" si="77"/>
        <v/>
      </c>
      <c r="J446" s="66" t="str">
        <f t="shared" si="78"/>
        <v/>
      </c>
      <c r="K446" s="66" t="str">
        <f>+'Tablas Servicio'!H479</f>
        <v/>
      </c>
      <c r="L446" s="66" t="str">
        <f>+IF(A446="","",ROUND(H446*Parámetros!$D$100,2))</f>
        <v/>
      </c>
      <c r="M446" s="58" t="str">
        <f>+IF(A446="","",IF(AND(A446=1,B446=1),Parámetros!$D$114*(D446*frec-$G$3-$H$3),IF(AND(A446=2,B446=frec+1),Parámetros!$D$115*(D446*frec-$G$4-$H$4),0)))</f>
        <v/>
      </c>
      <c r="N446" s="58" t="str">
        <f>+IF(A446="","",IF(A446&gt;Parámetros!$D$117,0,ROUND('Modelo Financiero'!D446*Parámetros!$D$116,2)))</f>
        <v/>
      </c>
      <c r="O446" s="58" t="str">
        <f t="shared" si="79"/>
        <v/>
      </c>
      <c r="P446" s="66" t="str">
        <f>+'Tablas Servicio'!I479</f>
        <v/>
      </c>
      <c r="Q446" s="66" t="str">
        <f>+'Tablas Servicio'!S479</f>
        <v/>
      </c>
      <c r="R446" s="66" t="str">
        <f>+'Tablas Servicio'!T479</f>
        <v/>
      </c>
      <c r="S446" s="66" t="str">
        <f t="shared" si="75"/>
        <v/>
      </c>
      <c r="T446" s="66" t="str">
        <f t="shared" si="84"/>
        <v/>
      </c>
      <c r="U446" s="66" t="str">
        <f t="shared" si="80"/>
        <v/>
      </c>
      <c r="V446" s="81" t="str">
        <f t="shared" si="81"/>
        <v/>
      </c>
      <c r="W446" s="66" t="str">
        <f t="shared" si="82"/>
        <v/>
      </c>
      <c r="X446" s="66" t="str">
        <f t="shared" si="83"/>
        <v/>
      </c>
    </row>
    <row r="447" spans="1:24" x14ac:dyDescent="0.25">
      <c r="A447" t="str">
        <f>+'Tablas Servicio'!B480</f>
        <v/>
      </c>
      <c r="B447" t="str">
        <f>+'Tablas Servicio'!C480</f>
        <v/>
      </c>
      <c r="C447" s="56" t="str">
        <f>+'Tablas Servicio'!D480</f>
        <v/>
      </c>
      <c r="D447" s="58" t="str">
        <f>+'Tablas Servicio'!N480</f>
        <v/>
      </c>
      <c r="E447" s="66" t="str">
        <f>+'Tablas Servicio'!AC480</f>
        <v/>
      </c>
      <c r="F447" s="66" t="str">
        <f>+IF(A447="","",'Tablas Servicio'!O480-'Modelo Financiero'!E447)</f>
        <v/>
      </c>
      <c r="G447" s="58" t="str">
        <f t="shared" si="76"/>
        <v/>
      </c>
      <c r="H447" s="66" t="str">
        <f>+'Tablas Servicio'!G480</f>
        <v/>
      </c>
      <c r="I447" s="72" t="str">
        <f t="shared" si="77"/>
        <v/>
      </c>
      <c r="J447" s="66" t="str">
        <f t="shared" si="78"/>
        <v/>
      </c>
      <c r="K447" s="66" t="str">
        <f>+'Tablas Servicio'!H480</f>
        <v/>
      </c>
      <c r="L447" s="66" t="str">
        <f>+IF(A447="","",ROUND(H447*Parámetros!$D$100,2))</f>
        <v/>
      </c>
      <c r="M447" s="58" t="str">
        <f>+IF(A447="","",IF(AND(A447=1,B447=1),Parámetros!$D$114*(D447*frec-$G$3-$H$3),IF(AND(A447=2,B447=frec+1),Parámetros!$D$115*(D447*frec-$G$4-$H$4),0)))</f>
        <v/>
      </c>
      <c r="N447" s="58" t="str">
        <f>+IF(A447="","",IF(A447&gt;Parámetros!$D$117,0,ROUND('Modelo Financiero'!D447*Parámetros!$D$116,2)))</f>
        <v/>
      </c>
      <c r="O447" s="58" t="str">
        <f t="shared" si="79"/>
        <v/>
      </c>
      <c r="P447" s="66" t="str">
        <f>+'Tablas Servicio'!I480</f>
        <v/>
      </c>
      <c r="Q447" s="66" t="str">
        <f>+'Tablas Servicio'!S480</f>
        <v/>
      </c>
      <c r="R447" s="66" t="str">
        <f>+'Tablas Servicio'!T480</f>
        <v/>
      </c>
      <c r="S447" s="66" t="str">
        <f t="shared" si="75"/>
        <v/>
      </c>
      <c r="T447" s="66" t="str">
        <f t="shared" si="84"/>
        <v/>
      </c>
      <c r="U447" s="66" t="str">
        <f t="shared" si="80"/>
        <v/>
      </c>
      <c r="V447" s="81" t="str">
        <f t="shared" si="81"/>
        <v/>
      </c>
      <c r="W447" s="66" t="str">
        <f t="shared" si="82"/>
        <v/>
      </c>
      <c r="X447" s="66" t="str">
        <f t="shared" si="83"/>
        <v/>
      </c>
    </row>
    <row r="448" spans="1:24" x14ac:dyDescent="0.25">
      <c r="A448" t="str">
        <f>+'Tablas Servicio'!B481</f>
        <v/>
      </c>
      <c r="B448" t="str">
        <f>+'Tablas Servicio'!C481</f>
        <v/>
      </c>
      <c r="C448" s="56" t="str">
        <f>+'Tablas Servicio'!D481</f>
        <v/>
      </c>
      <c r="D448" s="58" t="str">
        <f>+'Tablas Servicio'!N481</f>
        <v/>
      </c>
      <c r="E448" s="66" t="str">
        <f>+'Tablas Servicio'!AC481</f>
        <v/>
      </c>
      <c r="F448" s="66" t="str">
        <f>+IF(A448="","",'Tablas Servicio'!O481-'Modelo Financiero'!E448)</f>
        <v/>
      </c>
      <c r="G448" s="58" t="str">
        <f t="shared" si="76"/>
        <v/>
      </c>
      <c r="H448" s="66" t="str">
        <f>+'Tablas Servicio'!G481</f>
        <v/>
      </c>
      <c r="I448" s="72" t="str">
        <f t="shared" si="77"/>
        <v/>
      </c>
      <c r="J448" s="66" t="str">
        <f t="shared" si="78"/>
        <v/>
      </c>
      <c r="K448" s="66" t="str">
        <f>+'Tablas Servicio'!H481</f>
        <v/>
      </c>
      <c r="L448" s="66" t="str">
        <f>+IF(A448="","",ROUND(H448*Parámetros!$D$100,2))</f>
        <v/>
      </c>
      <c r="M448" s="58" t="str">
        <f>+IF(A448="","",IF(AND(A448=1,B448=1),Parámetros!$D$114*(D448*frec-$G$3-$H$3),IF(AND(A448=2,B448=frec+1),Parámetros!$D$115*(D448*frec-$G$4-$H$4),0)))</f>
        <v/>
      </c>
      <c r="N448" s="58" t="str">
        <f>+IF(A448="","",IF(A448&gt;Parámetros!$D$117,0,ROUND('Modelo Financiero'!D448*Parámetros!$D$116,2)))</f>
        <v/>
      </c>
      <c r="O448" s="58" t="str">
        <f t="shared" si="79"/>
        <v/>
      </c>
      <c r="P448" s="66" t="str">
        <f>+'Tablas Servicio'!I481</f>
        <v/>
      </c>
      <c r="Q448" s="66" t="str">
        <f>+'Tablas Servicio'!S481</f>
        <v/>
      </c>
      <c r="R448" s="66" t="str">
        <f>+'Tablas Servicio'!T481</f>
        <v/>
      </c>
      <c r="S448" s="66" t="str">
        <f t="shared" si="75"/>
        <v/>
      </c>
      <c r="T448" s="66" t="str">
        <f t="shared" si="84"/>
        <v/>
      </c>
      <c r="U448" s="66" t="str">
        <f t="shared" si="80"/>
        <v/>
      </c>
      <c r="V448" s="81" t="str">
        <f t="shared" si="81"/>
        <v/>
      </c>
      <c r="W448" s="66" t="str">
        <f t="shared" si="82"/>
        <v/>
      </c>
      <c r="X448" s="66" t="str">
        <f t="shared" si="83"/>
        <v/>
      </c>
    </row>
    <row r="449" spans="1:24" x14ac:dyDescent="0.25">
      <c r="A449" t="str">
        <f>+'Tablas Servicio'!B482</f>
        <v/>
      </c>
      <c r="B449" t="str">
        <f>+'Tablas Servicio'!C482</f>
        <v/>
      </c>
      <c r="C449" s="56" t="str">
        <f>+'Tablas Servicio'!D482</f>
        <v/>
      </c>
      <c r="D449" s="58" t="str">
        <f>+'Tablas Servicio'!N482</f>
        <v/>
      </c>
      <c r="E449" s="66" t="str">
        <f>+'Tablas Servicio'!AC482</f>
        <v/>
      </c>
      <c r="F449" s="66" t="str">
        <f>+IF(A449="","",'Tablas Servicio'!O482-'Modelo Financiero'!E449)</f>
        <v/>
      </c>
      <c r="G449" s="58" t="str">
        <f t="shared" si="76"/>
        <v/>
      </c>
      <c r="H449" s="66" t="str">
        <f>+'Tablas Servicio'!G482</f>
        <v/>
      </c>
      <c r="I449" s="72" t="str">
        <f t="shared" si="77"/>
        <v/>
      </c>
      <c r="J449" s="66" t="str">
        <f t="shared" si="78"/>
        <v/>
      </c>
      <c r="K449" s="66" t="str">
        <f>+'Tablas Servicio'!H482</f>
        <v/>
      </c>
      <c r="L449" s="66" t="str">
        <f>+IF(A449="","",ROUND(H449*Parámetros!$D$100,2))</f>
        <v/>
      </c>
      <c r="M449" s="58" t="str">
        <f>+IF(A449="","",IF(AND(A449=1,B449=1),Parámetros!$D$114*(D449*frec-$G$3-$H$3),IF(AND(A449=2,B449=frec+1),Parámetros!$D$115*(D449*frec-$G$4-$H$4),0)))</f>
        <v/>
      </c>
      <c r="N449" s="58" t="str">
        <f>+IF(A449="","",IF(A449&gt;Parámetros!$D$117,0,ROUND('Modelo Financiero'!D449*Parámetros!$D$116,2)))</f>
        <v/>
      </c>
      <c r="O449" s="58" t="str">
        <f t="shared" si="79"/>
        <v/>
      </c>
      <c r="P449" s="66" t="str">
        <f>+'Tablas Servicio'!I482</f>
        <v/>
      </c>
      <c r="Q449" s="66" t="str">
        <f>+'Tablas Servicio'!S482</f>
        <v/>
      </c>
      <c r="R449" s="66" t="str">
        <f>+'Tablas Servicio'!T482</f>
        <v/>
      </c>
      <c r="S449" s="66" t="str">
        <f t="shared" si="75"/>
        <v/>
      </c>
      <c r="T449" s="66" t="str">
        <f t="shared" si="84"/>
        <v/>
      </c>
      <c r="U449" s="66" t="str">
        <f t="shared" si="80"/>
        <v/>
      </c>
      <c r="V449" s="81" t="str">
        <f t="shared" si="81"/>
        <v/>
      </c>
      <c r="W449" s="66" t="str">
        <f t="shared" si="82"/>
        <v/>
      </c>
      <c r="X449" s="66" t="str">
        <f t="shared" si="83"/>
        <v/>
      </c>
    </row>
    <row r="450" spans="1:24" x14ac:dyDescent="0.25">
      <c r="A450" t="str">
        <f>+'Tablas Servicio'!B483</f>
        <v/>
      </c>
      <c r="B450" t="str">
        <f>+'Tablas Servicio'!C483</f>
        <v/>
      </c>
      <c r="C450" s="56" t="str">
        <f>+'Tablas Servicio'!D483</f>
        <v/>
      </c>
      <c r="D450" s="58" t="str">
        <f>+'Tablas Servicio'!N483</f>
        <v/>
      </c>
      <c r="E450" s="66" t="str">
        <f>+'Tablas Servicio'!AC483</f>
        <v/>
      </c>
      <c r="F450" s="66" t="str">
        <f>+IF(A450="","",'Tablas Servicio'!O483-'Modelo Financiero'!E450)</f>
        <v/>
      </c>
      <c r="G450" s="58" t="str">
        <f t="shared" si="76"/>
        <v/>
      </c>
      <c r="H450" s="66" t="str">
        <f>+'Tablas Servicio'!G483</f>
        <v/>
      </c>
      <c r="I450" s="72" t="str">
        <f t="shared" si="77"/>
        <v/>
      </c>
      <c r="J450" s="66" t="str">
        <f t="shared" si="78"/>
        <v/>
      </c>
      <c r="K450" s="66" t="str">
        <f>+'Tablas Servicio'!H483</f>
        <v/>
      </c>
      <c r="L450" s="66" t="str">
        <f>+IF(A450="","",ROUND(H450*Parámetros!$D$100,2))</f>
        <v/>
      </c>
      <c r="M450" s="58" t="str">
        <f>+IF(A450="","",IF(AND(A450=1,B450=1),Parámetros!$D$114*(D450*frec-$G$3-$H$3),IF(AND(A450=2,B450=frec+1),Parámetros!$D$115*(D450*frec-$G$4-$H$4),0)))</f>
        <v/>
      </c>
      <c r="N450" s="58" t="str">
        <f>+IF(A450="","",IF(A450&gt;Parámetros!$D$117,0,ROUND('Modelo Financiero'!D450*Parámetros!$D$116,2)))</f>
        <v/>
      </c>
      <c r="O450" s="58" t="str">
        <f t="shared" si="79"/>
        <v/>
      </c>
      <c r="P450" s="66" t="str">
        <f>+'Tablas Servicio'!I483</f>
        <v/>
      </c>
      <c r="Q450" s="66" t="str">
        <f>+'Tablas Servicio'!S483</f>
        <v/>
      </c>
      <c r="R450" s="66" t="str">
        <f>+'Tablas Servicio'!T483</f>
        <v/>
      </c>
      <c r="S450" s="66" t="str">
        <f t="shared" si="75"/>
        <v/>
      </c>
      <c r="T450" s="66" t="str">
        <f t="shared" si="84"/>
        <v/>
      </c>
      <c r="U450" s="66" t="str">
        <f t="shared" si="80"/>
        <v/>
      </c>
      <c r="V450" s="81" t="str">
        <f t="shared" si="81"/>
        <v/>
      </c>
      <c r="W450" s="66" t="str">
        <f t="shared" si="82"/>
        <v/>
      </c>
      <c r="X450" s="66" t="str">
        <f t="shared" si="83"/>
        <v/>
      </c>
    </row>
    <row r="451" spans="1:24" x14ac:dyDescent="0.25">
      <c r="A451" t="str">
        <f>+'Tablas Servicio'!B484</f>
        <v/>
      </c>
      <c r="B451" t="str">
        <f>+'Tablas Servicio'!C484</f>
        <v/>
      </c>
      <c r="C451" s="56" t="str">
        <f>+'Tablas Servicio'!D484</f>
        <v/>
      </c>
      <c r="D451" s="58" t="str">
        <f>+'Tablas Servicio'!N484</f>
        <v/>
      </c>
      <c r="E451" s="66" t="str">
        <f>+'Tablas Servicio'!AC484</f>
        <v/>
      </c>
      <c r="F451" s="66" t="str">
        <f>+IF(A451="","",'Tablas Servicio'!O484-'Modelo Financiero'!E451)</f>
        <v/>
      </c>
      <c r="G451" s="58" t="str">
        <f t="shared" si="76"/>
        <v/>
      </c>
      <c r="H451" s="66" t="str">
        <f>+'Tablas Servicio'!G484</f>
        <v/>
      </c>
      <c r="I451" s="72" t="str">
        <f t="shared" si="77"/>
        <v/>
      </c>
      <c r="J451" s="66" t="str">
        <f t="shared" si="78"/>
        <v/>
      </c>
      <c r="K451" s="66" t="str">
        <f>+'Tablas Servicio'!H484</f>
        <v/>
      </c>
      <c r="L451" s="66" t="str">
        <f>+IF(A451="","",ROUND(H451*Parámetros!$D$100,2))</f>
        <v/>
      </c>
      <c r="M451" s="58" t="str">
        <f>+IF(A451="","",IF(AND(A451=1,B451=1),Parámetros!$D$114*(D451*frec-$G$3-$H$3),IF(AND(A451=2,B451=frec+1),Parámetros!$D$115*(D451*frec-$G$4-$H$4),0)))</f>
        <v/>
      </c>
      <c r="N451" s="58" t="str">
        <f>+IF(A451="","",IF(A451&gt;Parámetros!$D$117,0,ROUND('Modelo Financiero'!D451*Parámetros!$D$116,2)))</f>
        <v/>
      </c>
      <c r="O451" s="58" t="str">
        <f t="shared" si="79"/>
        <v/>
      </c>
      <c r="P451" s="66" t="str">
        <f>+'Tablas Servicio'!I484</f>
        <v/>
      </c>
      <c r="Q451" s="66" t="str">
        <f>+'Tablas Servicio'!S484</f>
        <v/>
      </c>
      <c r="R451" s="66" t="str">
        <f>+'Tablas Servicio'!T484</f>
        <v/>
      </c>
      <c r="S451" s="66" t="str">
        <f t="shared" si="75"/>
        <v/>
      </c>
      <c r="T451" s="66" t="str">
        <f t="shared" si="84"/>
        <v/>
      </c>
      <c r="U451" s="66" t="str">
        <f t="shared" si="80"/>
        <v/>
      </c>
      <c r="V451" s="81" t="str">
        <f t="shared" si="81"/>
        <v/>
      </c>
      <c r="W451" s="66" t="str">
        <f t="shared" si="82"/>
        <v/>
      </c>
      <c r="X451" s="66" t="str">
        <f t="shared" si="83"/>
        <v/>
      </c>
    </row>
    <row r="452" spans="1:24" x14ac:dyDescent="0.25">
      <c r="A452" t="str">
        <f>+'Tablas Servicio'!B485</f>
        <v/>
      </c>
      <c r="B452" t="str">
        <f>+'Tablas Servicio'!C485</f>
        <v/>
      </c>
      <c r="C452" s="56" t="str">
        <f>+'Tablas Servicio'!D485</f>
        <v/>
      </c>
      <c r="D452" s="58" t="str">
        <f>+'Tablas Servicio'!N485</f>
        <v/>
      </c>
      <c r="E452" s="66" t="str">
        <f>+'Tablas Servicio'!AC485</f>
        <v/>
      </c>
      <c r="F452" s="66" t="str">
        <f>+IF(A452="","",'Tablas Servicio'!O485-'Modelo Financiero'!E452)</f>
        <v/>
      </c>
      <c r="G452" s="58" t="str">
        <f t="shared" si="76"/>
        <v/>
      </c>
      <c r="H452" s="66" t="str">
        <f>+'Tablas Servicio'!G485</f>
        <v/>
      </c>
      <c r="I452" s="72" t="str">
        <f t="shared" si="77"/>
        <v/>
      </c>
      <c r="J452" s="66" t="str">
        <f t="shared" si="78"/>
        <v/>
      </c>
      <c r="K452" s="66" t="str">
        <f>+'Tablas Servicio'!H485</f>
        <v/>
      </c>
      <c r="L452" s="66" t="str">
        <f>+IF(A452="","",ROUND(H452*Parámetros!$D$100,2))</f>
        <v/>
      </c>
      <c r="M452" s="58" t="str">
        <f>+IF(A452="","",IF(AND(A452=1,B452=1),Parámetros!$D$114*(D452*frec-$G$3-$H$3),IF(AND(A452=2,B452=frec+1),Parámetros!$D$115*(D452*frec-$G$4-$H$4),0)))</f>
        <v/>
      </c>
      <c r="N452" s="58" t="str">
        <f>+IF(A452="","",IF(A452&gt;Parámetros!$D$117,0,ROUND('Modelo Financiero'!D452*Parámetros!$D$116,2)))</f>
        <v/>
      </c>
      <c r="O452" s="58" t="str">
        <f t="shared" si="79"/>
        <v/>
      </c>
      <c r="P452" s="66" t="str">
        <f>+'Tablas Servicio'!I485</f>
        <v/>
      </c>
      <c r="Q452" s="66" t="str">
        <f>+'Tablas Servicio'!S485</f>
        <v/>
      </c>
      <c r="R452" s="66" t="str">
        <f>+'Tablas Servicio'!T485</f>
        <v/>
      </c>
      <c r="S452" s="66" t="str">
        <f t="shared" si="75"/>
        <v/>
      </c>
      <c r="T452" s="66" t="str">
        <f t="shared" si="84"/>
        <v/>
      </c>
      <c r="U452" s="66" t="str">
        <f t="shared" si="80"/>
        <v/>
      </c>
      <c r="V452" s="81" t="str">
        <f t="shared" si="81"/>
        <v/>
      </c>
      <c r="W452" s="66" t="str">
        <f t="shared" si="82"/>
        <v/>
      </c>
      <c r="X452" s="66" t="str">
        <f t="shared" si="83"/>
        <v/>
      </c>
    </row>
    <row r="453" spans="1:24" x14ac:dyDescent="0.25">
      <c r="A453" t="str">
        <f>+'Tablas Servicio'!B486</f>
        <v/>
      </c>
      <c r="B453" t="str">
        <f>+'Tablas Servicio'!C486</f>
        <v/>
      </c>
      <c r="C453" s="56" t="str">
        <f>+'Tablas Servicio'!D486</f>
        <v/>
      </c>
      <c r="D453" s="58" t="str">
        <f>+'Tablas Servicio'!N486</f>
        <v/>
      </c>
      <c r="E453" s="66" t="str">
        <f>+'Tablas Servicio'!AC486</f>
        <v/>
      </c>
      <c r="F453" s="66" t="str">
        <f>+IF(A453="","",'Tablas Servicio'!O486-'Modelo Financiero'!E453)</f>
        <v/>
      </c>
      <c r="G453" s="58" t="str">
        <f t="shared" si="76"/>
        <v/>
      </c>
      <c r="H453" s="66" t="str">
        <f>+'Tablas Servicio'!G486</f>
        <v/>
      </c>
      <c r="I453" s="72" t="str">
        <f t="shared" si="77"/>
        <v/>
      </c>
      <c r="J453" s="66" t="str">
        <f t="shared" si="78"/>
        <v/>
      </c>
      <c r="K453" s="66" t="str">
        <f>+'Tablas Servicio'!H486</f>
        <v/>
      </c>
      <c r="L453" s="66" t="str">
        <f>+IF(A453="","",ROUND(H453*Parámetros!$D$100,2))</f>
        <v/>
      </c>
      <c r="M453" s="58" t="str">
        <f>+IF(A453="","",IF(AND(A453=1,B453=1),Parámetros!$D$114*(D453*frec-$G$3-$H$3),IF(AND(A453=2,B453=frec+1),Parámetros!$D$115*(D453*frec-$G$4-$H$4),0)))</f>
        <v/>
      </c>
      <c r="N453" s="58" t="str">
        <f>+IF(A453="","",IF(A453&gt;Parámetros!$D$117,0,ROUND('Modelo Financiero'!D453*Parámetros!$D$116,2)))</f>
        <v/>
      </c>
      <c r="O453" s="58" t="str">
        <f t="shared" si="79"/>
        <v/>
      </c>
      <c r="P453" s="66" t="str">
        <f>+'Tablas Servicio'!I486</f>
        <v/>
      </c>
      <c r="Q453" s="66" t="str">
        <f>+'Tablas Servicio'!S486</f>
        <v/>
      </c>
      <c r="R453" s="66" t="str">
        <f>+'Tablas Servicio'!T486</f>
        <v/>
      </c>
      <c r="S453" s="66" t="str">
        <f t="shared" si="75"/>
        <v/>
      </c>
      <c r="T453" s="66" t="str">
        <f t="shared" si="84"/>
        <v/>
      </c>
      <c r="U453" s="66" t="str">
        <f t="shared" si="80"/>
        <v/>
      </c>
      <c r="V453" s="81" t="str">
        <f t="shared" si="81"/>
        <v/>
      </c>
      <c r="W453" s="66" t="str">
        <f t="shared" si="82"/>
        <v/>
      </c>
      <c r="X453" s="66" t="str">
        <f t="shared" si="83"/>
        <v/>
      </c>
    </row>
    <row r="454" spans="1:24" x14ac:dyDescent="0.25">
      <c r="A454" t="str">
        <f>+'Tablas Servicio'!B487</f>
        <v/>
      </c>
      <c r="B454" t="str">
        <f>+'Tablas Servicio'!C487</f>
        <v/>
      </c>
      <c r="C454" s="56" t="str">
        <f>+'Tablas Servicio'!D487</f>
        <v/>
      </c>
      <c r="D454" s="58" t="str">
        <f>+'Tablas Servicio'!N487</f>
        <v/>
      </c>
      <c r="E454" s="66" t="str">
        <f>+'Tablas Servicio'!AC487</f>
        <v/>
      </c>
      <c r="F454" s="66" t="str">
        <f>+IF(A454="","",'Tablas Servicio'!O487-'Modelo Financiero'!E454)</f>
        <v/>
      </c>
      <c r="G454" s="58" t="str">
        <f t="shared" si="76"/>
        <v/>
      </c>
      <c r="H454" s="66" t="str">
        <f>+'Tablas Servicio'!G487</f>
        <v/>
      </c>
      <c r="I454" s="72" t="str">
        <f t="shared" si="77"/>
        <v/>
      </c>
      <c r="J454" s="66" t="str">
        <f t="shared" si="78"/>
        <v/>
      </c>
      <c r="K454" s="66" t="str">
        <f>+'Tablas Servicio'!H487</f>
        <v/>
      </c>
      <c r="L454" s="66" t="str">
        <f>+IF(A454="","",ROUND(H454*Parámetros!$D$100,2))</f>
        <v/>
      </c>
      <c r="M454" s="58" t="str">
        <f>+IF(A454="","",IF(AND(A454=1,B454=1),Parámetros!$D$114*(D454*frec-$G$3-$H$3),IF(AND(A454=2,B454=frec+1),Parámetros!$D$115*(D454*frec-$G$4-$H$4),0)))</f>
        <v/>
      </c>
      <c r="N454" s="58" t="str">
        <f>+IF(A454="","",IF(A454&gt;Parámetros!$D$117,0,ROUND('Modelo Financiero'!D454*Parámetros!$D$116,2)))</f>
        <v/>
      </c>
      <c r="O454" s="58" t="str">
        <f t="shared" si="79"/>
        <v/>
      </c>
      <c r="P454" s="66" t="str">
        <f>+'Tablas Servicio'!I487</f>
        <v/>
      </c>
      <c r="Q454" s="66" t="str">
        <f>+'Tablas Servicio'!S487</f>
        <v/>
      </c>
      <c r="R454" s="66" t="str">
        <f>+'Tablas Servicio'!T487</f>
        <v/>
      </c>
      <c r="S454" s="66" t="str">
        <f t="shared" si="75"/>
        <v/>
      </c>
      <c r="T454" s="66" t="str">
        <f t="shared" si="84"/>
        <v/>
      </c>
      <c r="U454" s="66" t="str">
        <f t="shared" si="80"/>
        <v/>
      </c>
      <c r="V454" s="81" t="str">
        <f t="shared" si="81"/>
        <v/>
      </c>
      <c r="W454" s="66" t="str">
        <f t="shared" si="82"/>
        <v/>
      </c>
      <c r="X454" s="66" t="str">
        <f t="shared" si="83"/>
        <v/>
      </c>
    </row>
    <row r="455" spans="1:24" x14ac:dyDescent="0.25">
      <c r="A455" t="str">
        <f>+'Tablas Servicio'!B488</f>
        <v/>
      </c>
      <c r="B455" t="str">
        <f>+'Tablas Servicio'!C488</f>
        <v/>
      </c>
      <c r="C455" s="56" t="str">
        <f>+'Tablas Servicio'!D488</f>
        <v/>
      </c>
      <c r="D455" s="58" t="str">
        <f>+'Tablas Servicio'!N488</f>
        <v/>
      </c>
      <c r="E455" s="66" t="str">
        <f>+'Tablas Servicio'!AC488</f>
        <v/>
      </c>
      <c r="F455" s="66" t="str">
        <f>+IF(A455="","",'Tablas Servicio'!O488-'Modelo Financiero'!E455)</f>
        <v/>
      </c>
      <c r="G455" s="58" t="str">
        <f t="shared" si="76"/>
        <v/>
      </c>
      <c r="H455" s="66" t="str">
        <f>+'Tablas Servicio'!G488</f>
        <v/>
      </c>
      <c r="I455" s="72" t="str">
        <f t="shared" si="77"/>
        <v/>
      </c>
      <c r="J455" s="66" t="str">
        <f t="shared" si="78"/>
        <v/>
      </c>
      <c r="K455" s="66" t="str">
        <f>+'Tablas Servicio'!H488</f>
        <v/>
      </c>
      <c r="L455" s="66" t="str">
        <f>+IF(A455="","",ROUND(H455*Parámetros!$D$100,2))</f>
        <v/>
      </c>
      <c r="M455" s="58" t="str">
        <f>+IF(A455="","",IF(AND(A455=1,B455=1),Parámetros!$D$114*(D455*frec-$G$3-$H$3),IF(AND(A455=2,B455=frec+1),Parámetros!$D$115*(D455*frec-$G$4-$H$4),0)))</f>
        <v/>
      </c>
      <c r="N455" s="58" t="str">
        <f>+IF(A455="","",IF(A455&gt;Parámetros!$D$117,0,ROUND('Modelo Financiero'!D455*Parámetros!$D$116,2)))</f>
        <v/>
      </c>
      <c r="O455" s="58" t="str">
        <f t="shared" si="79"/>
        <v/>
      </c>
      <c r="P455" s="66" t="str">
        <f>+'Tablas Servicio'!I488</f>
        <v/>
      </c>
      <c r="Q455" s="66" t="str">
        <f>+'Tablas Servicio'!S488</f>
        <v/>
      </c>
      <c r="R455" s="66" t="str">
        <f>+'Tablas Servicio'!T488</f>
        <v/>
      </c>
      <c r="S455" s="66" t="str">
        <f t="shared" si="75"/>
        <v/>
      </c>
      <c r="T455" s="66" t="str">
        <f t="shared" si="84"/>
        <v/>
      </c>
      <c r="U455" s="66" t="str">
        <f t="shared" si="80"/>
        <v/>
      </c>
      <c r="V455" s="81" t="str">
        <f t="shared" si="81"/>
        <v/>
      </c>
      <c r="W455" s="66" t="str">
        <f t="shared" si="82"/>
        <v/>
      </c>
      <c r="X455" s="66" t="str">
        <f t="shared" si="83"/>
        <v/>
      </c>
    </row>
    <row r="456" spans="1:24" x14ac:dyDescent="0.25">
      <c r="A456" t="str">
        <f>+'Tablas Servicio'!B489</f>
        <v/>
      </c>
      <c r="B456" t="str">
        <f>+'Tablas Servicio'!C489</f>
        <v/>
      </c>
      <c r="C456" s="56" t="str">
        <f>+'Tablas Servicio'!D489</f>
        <v/>
      </c>
      <c r="D456" s="58" t="str">
        <f>+'Tablas Servicio'!N489</f>
        <v/>
      </c>
      <c r="E456" s="66" t="str">
        <f>+'Tablas Servicio'!AC489</f>
        <v/>
      </c>
      <c r="F456" s="66" t="str">
        <f>+IF(A456="","",'Tablas Servicio'!O489-'Modelo Financiero'!E456)</f>
        <v/>
      </c>
      <c r="G456" s="58" t="str">
        <f t="shared" si="76"/>
        <v/>
      </c>
      <c r="H456" s="66" t="str">
        <f>+'Tablas Servicio'!G489</f>
        <v/>
      </c>
      <c r="I456" s="72" t="str">
        <f t="shared" si="77"/>
        <v/>
      </c>
      <c r="J456" s="66" t="str">
        <f t="shared" si="78"/>
        <v/>
      </c>
      <c r="K456" s="66" t="str">
        <f>+'Tablas Servicio'!H489</f>
        <v/>
      </c>
      <c r="L456" s="66" t="str">
        <f>+IF(A456="","",ROUND(H456*Parámetros!$D$100,2))</f>
        <v/>
      </c>
      <c r="M456" s="58" t="str">
        <f>+IF(A456="","",IF(AND(A456=1,B456=1),Parámetros!$D$114*(D456*frec-$G$3-$H$3),IF(AND(A456=2,B456=frec+1),Parámetros!$D$115*(D456*frec-$G$4-$H$4),0)))</f>
        <v/>
      </c>
      <c r="N456" s="58" t="str">
        <f>+IF(A456="","",IF(A456&gt;Parámetros!$D$117,0,ROUND('Modelo Financiero'!D456*Parámetros!$D$116,2)))</f>
        <v/>
      </c>
      <c r="O456" s="58" t="str">
        <f t="shared" si="79"/>
        <v/>
      </c>
      <c r="P456" s="66" t="str">
        <f>+'Tablas Servicio'!I489</f>
        <v/>
      </c>
      <c r="Q456" s="66" t="str">
        <f>+'Tablas Servicio'!S489</f>
        <v/>
      </c>
      <c r="R456" s="66" t="str">
        <f>+'Tablas Servicio'!T489</f>
        <v/>
      </c>
      <c r="S456" s="66" t="str">
        <f t="shared" si="75"/>
        <v/>
      </c>
      <c r="T456" s="66" t="str">
        <f t="shared" si="84"/>
        <v/>
      </c>
      <c r="U456" s="66" t="str">
        <f t="shared" si="80"/>
        <v/>
      </c>
      <c r="V456" s="81" t="str">
        <f t="shared" si="81"/>
        <v/>
      </c>
      <c r="W456" s="66" t="str">
        <f t="shared" si="82"/>
        <v/>
      </c>
      <c r="X456" s="66" t="str">
        <f t="shared" si="83"/>
        <v/>
      </c>
    </row>
    <row r="457" spans="1:24" x14ac:dyDescent="0.25">
      <c r="A457" t="str">
        <f>+'Tablas Servicio'!B490</f>
        <v/>
      </c>
      <c r="B457" t="str">
        <f>+'Tablas Servicio'!C490</f>
        <v/>
      </c>
      <c r="C457" s="56" t="str">
        <f>+'Tablas Servicio'!D490</f>
        <v/>
      </c>
      <c r="D457" s="58" t="str">
        <f>+'Tablas Servicio'!N490</f>
        <v/>
      </c>
      <c r="E457" s="66" t="str">
        <f>+'Tablas Servicio'!AC490</f>
        <v/>
      </c>
      <c r="F457" s="66" t="str">
        <f>+IF(A457="","",'Tablas Servicio'!O490-'Modelo Financiero'!E457)</f>
        <v/>
      </c>
      <c r="G457" s="58" t="str">
        <f t="shared" si="76"/>
        <v/>
      </c>
      <c r="H457" s="66" t="str">
        <f>+'Tablas Servicio'!G490</f>
        <v/>
      </c>
      <c r="I457" s="72" t="str">
        <f t="shared" si="77"/>
        <v/>
      </c>
      <c r="J457" s="66" t="str">
        <f t="shared" si="78"/>
        <v/>
      </c>
      <c r="K457" s="66" t="str">
        <f>+'Tablas Servicio'!H490</f>
        <v/>
      </c>
      <c r="L457" s="66" t="str">
        <f>+IF(A457="","",ROUND(H457*Parámetros!$D$100,2))</f>
        <v/>
      </c>
      <c r="M457" s="58" t="str">
        <f>+IF(A457="","",IF(AND(A457=1,B457=1),Parámetros!$D$114*(D457*frec-$G$3-$H$3),IF(AND(A457=2,B457=frec+1),Parámetros!$D$115*(D457*frec-$G$4-$H$4),0)))</f>
        <v/>
      </c>
      <c r="N457" s="58" t="str">
        <f>+IF(A457="","",IF(A457&gt;Parámetros!$D$117,0,ROUND('Modelo Financiero'!D457*Parámetros!$D$116,2)))</f>
        <v/>
      </c>
      <c r="O457" s="58" t="str">
        <f t="shared" si="79"/>
        <v/>
      </c>
      <c r="P457" s="66" t="str">
        <f>+'Tablas Servicio'!I490</f>
        <v/>
      </c>
      <c r="Q457" s="66" t="str">
        <f>+'Tablas Servicio'!S490</f>
        <v/>
      </c>
      <c r="R457" s="66" t="str">
        <f>+'Tablas Servicio'!T490</f>
        <v/>
      </c>
      <c r="S457" s="66" t="str">
        <f t="shared" ref="S457:S520" si="85">+IF(A457="","",D457-P457-G457-(K457-H457)-M457)</f>
        <v/>
      </c>
      <c r="T457" s="66" t="str">
        <f t="shared" si="84"/>
        <v/>
      </c>
      <c r="U457" s="66" t="str">
        <f t="shared" si="80"/>
        <v/>
      </c>
      <c r="V457" s="81" t="str">
        <f t="shared" si="81"/>
        <v/>
      </c>
      <c r="W457" s="66" t="str">
        <f t="shared" si="82"/>
        <v/>
      </c>
      <c r="X457" s="66" t="str">
        <f t="shared" si="83"/>
        <v/>
      </c>
    </row>
    <row r="458" spans="1:24" x14ac:dyDescent="0.25">
      <c r="A458" t="str">
        <f>+'Tablas Servicio'!B491</f>
        <v/>
      </c>
      <c r="B458" t="str">
        <f>+'Tablas Servicio'!C491</f>
        <v/>
      </c>
      <c r="C458" s="56" t="str">
        <f>+'Tablas Servicio'!D491</f>
        <v/>
      </c>
      <c r="D458" s="58" t="str">
        <f>+'Tablas Servicio'!N491</f>
        <v/>
      </c>
      <c r="E458" s="66" t="str">
        <f>+'Tablas Servicio'!AC491</f>
        <v/>
      </c>
      <c r="F458" s="66" t="str">
        <f>+IF(A458="","",'Tablas Servicio'!O491-'Modelo Financiero'!E458)</f>
        <v/>
      </c>
      <c r="G458" s="58" t="str">
        <f t="shared" ref="G458:G521" si="86">+IF(A458="","",IF(A458=1,$C$3,$C$4)*E458+$C$2*F458)</f>
        <v/>
      </c>
      <c r="H458" s="66" t="str">
        <f>+'Tablas Servicio'!G491</f>
        <v/>
      </c>
      <c r="I458" s="72" t="str">
        <f t="shared" ref="I458:I521" si="87">IF(A458="","",1-(E458+F458)/H458)</f>
        <v/>
      </c>
      <c r="J458" s="66" t="str">
        <f t="shared" ref="J458:J521" si="88">+IF(A458="","",H458-E458-F458)</f>
        <v/>
      </c>
      <c r="K458" s="66" t="str">
        <f>+'Tablas Servicio'!H491</f>
        <v/>
      </c>
      <c r="L458" s="66" t="str">
        <f>+IF(A458="","",ROUND(H458*Parámetros!$D$100,2))</f>
        <v/>
      </c>
      <c r="M458" s="58" t="str">
        <f>+IF(A458="","",IF(AND(A458=1,B458=1),Parámetros!$D$114*(D458*frec-$G$3-$H$3),IF(AND(A458=2,B458=frec+1),Parámetros!$D$115*(D458*frec-$G$4-$H$4),0)))</f>
        <v/>
      </c>
      <c r="N458" s="58" t="str">
        <f>+IF(A458="","",IF(A458&gt;Parámetros!$D$117,0,ROUND('Modelo Financiero'!D458*Parámetros!$D$116,2)))</f>
        <v/>
      </c>
      <c r="O458" s="58" t="str">
        <f t="shared" ref="O458:O521" si="89">+IF(A458="","",MAX(N458-L458,0))</f>
        <v/>
      </c>
      <c r="P458" s="66" t="str">
        <f>+'Tablas Servicio'!I491</f>
        <v/>
      </c>
      <c r="Q458" s="66" t="str">
        <f>+'Tablas Servicio'!S491</f>
        <v/>
      </c>
      <c r="R458" s="66" t="str">
        <f>+'Tablas Servicio'!T491</f>
        <v/>
      </c>
      <c r="S458" s="66" t="str">
        <f t="shared" si="85"/>
        <v/>
      </c>
      <c r="T458" s="66" t="str">
        <f t="shared" si="84"/>
        <v/>
      </c>
      <c r="U458" s="66" t="str">
        <f t="shared" ref="U458:U521" si="90">+IF(A458="","",T458+(Q458-R458))</f>
        <v/>
      </c>
      <c r="V458" s="81" t="str">
        <f t="shared" ref="V458:V521" si="91">+IF(A458="","",IF(A458=1,$L$3,IF(A458=2,$L$4,0)))</f>
        <v/>
      </c>
      <c r="W458" s="66" t="str">
        <f t="shared" ref="W458:W521" si="92">+IF(A458="","",IF(A458=1,$I$3,IF(A458=2,$I$4,0))*V458)</f>
        <v/>
      </c>
      <c r="X458" s="66" t="str">
        <f t="shared" ref="X458:X521" si="93">+IF(A458="","",U458+W458)</f>
        <v/>
      </c>
    </row>
    <row r="459" spans="1:24" x14ac:dyDescent="0.25">
      <c r="A459" t="str">
        <f>+'Tablas Servicio'!B492</f>
        <v/>
      </c>
      <c r="B459" t="str">
        <f>+'Tablas Servicio'!C492</f>
        <v/>
      </c>
      <c r="C459" s="56" t="str">
        <f>+'Tablas Servicio'!D492</f>
        <v/>
      </c>
      <c r="D459" s="58" t="str">
        <f>+'Tablas Servicio'!N492</f>
        <v/>
      </c>
      <c r="E459" s="66" t="str">
        <f>+'Tablas Servicio'!AC492</f>
        <v/>
      </c>
      <c r="F459" s="66" t="str">
        <f>+IF(A459="","",'Tablas Servicio'!O492-'Modelo Financiero'!E459)</f>
        <v/>
      </c>
      <c r="G459" s="58" t="str">
        <f t="shared" si="86"/>
        <v/>
      </c>
      <c r="H459" s="66" t="str">
        <f>+'Tablas Servicio'!G492</f>
        <v/>
      </c>
      <c r="I459" s="72" t="str">
        <f t="shared" si="87"/>
        <v/>
      </c>
      <c r="J459" s="66" t="str">
        <f t="shared" si="88"/>
        <v/>
      </c>
      <c r="K459" s="66" t="str">
        <f>+'Tablas Servicio'!H492</f>
        <v/>
      </c>
      <c r="L459" s="66" t="str">
        <f>+IF(A459="","",ROUND(H459*Parámetros!$D$100,2))</f>
        <v/>
      </c>
      <c r="M459" s="58" t="str">
        <f>+IF(A459="","",IF(AND(A459=1,B459=1),Parámetros!$D$114*(D459*frec-$G$3-$H$3),IF(AND(A459=2,B459=frec+1),Parámetros!$D$115*(D459*frec-$G$4-$H$4),0)))</f>
        <v/>
      </c>
      <c r="N459" s="58" t="str">
        <f>+IF(A459="","",IF(A459&gt;Parámetros!$D$117,0,ROUND('Modelo Financiero'!D459*Parámetros!$D$116,2)))</f>
        <v/>
      </c>
      <c r="O459" s="58" t="str">
        <f t="shared" si="89"/>
        <v/>
      </c>
      <c r="P459" s="66" t="str">
        <f>+'Tablas Servicio'!I492</f>
        <v/>
      </c>
      <c r="Q459" s="66" t="str">
        <f>+'Tablas Servicio'!S492</f>
        <v/>
      </c>
      <c r="R459" s="66" t="str">
        <f>+'Tablas Servicio'!T492</f>
        <v/>
      </c>
      <c r="S459" s="66" t="str">
        <f t="shared" si="85"/>
        <v/>
      </c>
      <c r="T459" s="66" t="str">
        <f t="shared" ref="T459:T522" si="94">+IF(A459="","",T458+S459)</f>
        <v/>
      </c>
      <c r="U459" s="66" t="str">
        <f t="shared" si="90"/>
        <v/>
      </c>
      <c r="V459" s="81" t="str">
        <f t="shared" si="91"/>
        <v/>
      </c>
      <c r="W459" s="66" t="str">
        <f t="shared" si="92"/>
        <v/>
      </c>
      <c r="X459" s="66" t="str">
        <f t="shared" si="93"/>
        <v/>
      </c>
    </row>
    <row r="460" spans="1:24" x14ac:dyDescent="0.25">
      <c r="A460" t="str">
        <f>+'Tablas Servicio'!B493</f>
        <v/>
      </c>
      <c r="B460" t="str">
        <f>+'Tablas Servicio'!C493</f>
        <v/>
      </c>
      <c r="C460" s="56" t="str">
        <f>+'Tablas Servicio'!D493</f>
        <v/>
      </c>
      <c r="D460" s="58" t="str">
        <f>+'Tablas Servicio'!N493</f>
        <v/>
      </c>
      <c r="E460" s="66" t="str">
        <f>+'Tablas Servicio'!AC493</f>
        <v/>
      </c>
      <c r="F460" s="66" t="str">
        <f>+IF(A460="","",'Tablas Servicio'!O493-'Modelo Financiero'!E460)</f>
        <v/>
      </c>
      <c r="G460" s="58" t="str">
        <f t="shared" si="86"/>
        <v/>
      </c>
      <c r="H460" s="66" t="str">
        <f>+'Tablas Servicio'!G493</f>
        <v/>
      </c>
      <c r="I460" s="72" t="str">
        <f t="shared" si="87"/>
        <v/>
      </c>
      <c r="J460" s="66" t="str">
        <f t="shared" si="88"/>
        <v/>
      </c>
      <c r="K460" s="66" t="str">
        <f>+'Tablas Servicio'!H493</f>
        <v/>
      </c>
      <c r="L460" s="66" t="str">
        <f>+IF(A460="","",ROUND(H460*Parámetros!$D$100,2))</f>
        <v/>
      </c>
      <c r="M460" s="58" t="str">
        <f>+IF(A460="","",IF(AND(A460=1,B460=1),Parámetros!$D$114*(D460*frec-$G$3-$H$3),IF(AND(A460=2,B460=frec+1),Parámetros!$D$115*(D460*frec-$G$4-$H$4),0)))</f>
        <v/>
      </c>
      <c r="N460" s="58" t="str">
        <f>+IF(A460="","",IF(A460&gt;Parámetros!$D$117,0,ROUND('Modelo Financiero'!D460*Parámetros!$D$116,2)))</f>
        <v/>
      </c>
      <c r="O460" s="58" t="str">
        <f t="shared" si="89"/>
        <v/>
      </c>
      <c r="P460" s="66" t="str">
        <f>+'Tablas Servicio'!I493</f>
        <v/>
      </c>
      <c r="Q460" s="66" t="str">
        <f>+'Tablas Servicio'!S493</f>
        <v/>
      </c>
      <c r="R460" s="66" t="str">
        <f>+'Tablas Servicio'!T493</f>
        <v/>
      </c>
      <c r="S460" s="66" t="str">
        <f t="shared" si="85"/>
        <v/>
      </c>
      <c r="T460" s="66" t="str">
        <f t="shared" si="94"/>
        <v/>
      </c>
      <c r="U460" s="66" t="str">
        <f t="shared" si="90"/>
        <v/>
      </c>
      <c r="V460" s="81" t="str">
        <f t="shared" si="91"/>
        <v/>
      </c>
      <c r="W460" s="66" t="str">
        <f t="shared" si="92"/>
        <v/>
      </c>
      <c r="X460" s="66" t="str">
        <f t="shared" si="93"/>
        <v/>
      </c>
    </row>
    <row r="461" spans="1:24" x14ac:dyDescent="0.25">
      <c r="A461" t="str">
        <f>+'Tablas Servicio'!B494</f>
        <v/>
      </c>
      <c r="B461" t="str">
        <f>+'Tablas Servicio'!C494</f>
        <v/>
      </c>
      <c r="C461" s="56" t="str">
        <f>+'Tablas Servicio'!D494</f>
        <v/>
      </c>
      <c r="D461" s="58" t="str">
        <f>+'Tablas Servicio'!N494</f>
        <v/>
      </c>
      <c r="E461" s="66" t="str">
        <f>+'Tablas Servicio'!AC494</f>
        <v/>
      </c>
      <c r="F461" s="66" t="str">
        <f>+IF(A461="","",'Tablas Servicio'!O494-'Modelo Financiero'!E461)</f>
        <v/>
      </c>
      <c r="G461" s="58" t="str">
        <f t="shared" si="86"/>
        <v/>
      </c>
      <c r="H461" s="66" t="str">
        <f>+'Tablas Servicio'!G494</f>
        <v/>
      </c>
      <c r="I461" s="72" t="str">
        <f t="shared" si="87"/>
        <v/>
      </c>
      <c r="J461" s="66" t="str">
        <f t="shared" si="88"/>
        <v/>
      </c>
      <c r="K461" s="66" t="str">
        <f>+'Tablas Servicio'!H494</f>
        <v/>
      </c>
      <c r="L461" s="66" t="str">
        <f>+IF(A461="","",ROUND(H461*Parámetros!$D$100,2))</f>
        <v/>
      </c>
      <c r="M461" s="58" t="str">
        <f>+IF(A461="","",IF(AND(A461=1,B461=1),Parámetros!$D$114*(D461*frec-$G$3-$H$3),IF(AND(A461=2,B461=frec+1),Parámetros!$D$115*(D461*frec-$G$4-$H$4),0)))</f>
        <v/>
      </c>
      <c r="N461" s="58" t="str">
        <f>+IF(A461="","",IF(A461&gt;Parámetros!$D$117,0,ROUND('Modelo Financiero'!D461*Parámetros!$D$116,2)))</f>
        <v/>
      </c>
      <c r="O461" s="58" t="str">
        <f t="shared" si="89"/>
        <v/>
      </c>
      <c r="P461" s="66" t="str">
        <f>+'Tablas Servicio'!I494</f>
        <v/>
      </c>
      <c r="Q461" s="66" t="str">
        <f>+'Tablas Servicio'!S494</f>
        <v/>
      </c>
      <c r="R461" s="66" t="str">
        <f>+'Tablas Servicio'!T494</f>
        <v/>
      </c>
      <c r="S461" s="66" t="str">
        <f t="shared" si="85"/>
        <v/>
      </c>
      <c r="T461" s="66" t="str">
        <f t="shared" si="94"/>
        <v/>
      </c>
      <c r="U461" s="66" t="str">
        <f t="shared" si="90"/>
        <v/>
      </c>
      <c r="V461" s="81" t="str">
        <f t="shared" si="91"/>
        <v/>
      </c>
      <c r="W461" s="66" t="str">
        <f t="shared" si="92"/>
        <v/>
      </c>
      <c r="X461" s="66" t="str">
        <f t="shared" si="93"/>
        <v/>
      </c>
    </row>
    <row r="462" spans="1:24" x14ac:dyDescent="0.25">
      <c r="A462" t="str">
        <f>+'Tablas Servicio'!B495</f>
        <v/>
      </c>
      <c r="B462" t="str">
        <f>+'Tablas Servicio'!C495</f>
        <v/>
      </c>
      <c r="C462" s="56" t="str">
        <f>+'Tablas Servicio'!D495</f>
        <v/>
      </c>
      <c r="D462" s="58" t="str">
        <f>+'Tablas Servicio'!N495</f>
        <v/>
      </c>
      <c r="E462" s="66" t="str">
        <f>+'Tablas Servicio'!AC495</f>
        <v/>
      </c>
      <c r="F462" s="66" t="str">
        <f>+IF(A462="","",'Tablas Servicio'!O495-'Modelo Financiero'!E462)</f>
        <v/>
      </c>
      <c r="G462" s="58" t="str">
        <f t="shared" si="86"/>
        <v/>
      </c>
      <c r="H462" s="66" t="str">
        <f>+'Tablas Servicio'!G495</f>
        <v/>
      </c>
      <c r="I462" s="72" t="str">
        <f t="shared" si="87"/>
        <v/>
      </c>
      <c r="J462" s="66" t="str">
        <f t="shared" si="88"/>
        <v/>
      </c>
      <c r="K462" s="66" t="str">
        <f>+'Tablas Servicio'!H495</f>
        <v/>
      </c>
      <c r="L462" s="66" t="str">
        <f>+IF(A462="","",ROUND(H462*Parámetros!$D$100,2))</f>
        <v/>
      </c>
      <c r="M462" s="58" t="str">
        <f>+IF(A462="","",IF(AND(A462=1,B462=1),Parámetros!$D$114*(D462*frec-$G$3-$H$3),IF(AND(A462=2,B462=frec+1),Parámetros!$D$115*(D462*frec-$G$4-$H$4),0)))</f>
        <v/>
      </c>
      <c r="N462" s="58" t="str">
        <f>+IF(A462="","",IF(A462&gt;Parámetros!$D$117,0,ROUND('Modelo Financiero'!D462*Parámetros!$D$116,2)))</f>
        <v/>
      </c>
      <c r="O462" s="58" t="str">
        <f t="shared" si="89"/>
        <v/>
      </c>
      <c r="P462" s="66" t="str">
        <f>+'Tablas Servicio'!I495</f>
        <v/>
      </c>
      <c r="Q462" s="66" t="str">
        <f>+'Tablas Servicio'!S495</f>
        <v/>
      </c>
      <c r="R462" s="66" t="str">
        <f>+'Tablas Servicio'!T495</f>
        <v/>
      </c>
      <c r="S462" s="66" t="str">
        <f t="shared" si="85"/>
        <v/>
      </c>
      <c r="T462" s="66" t="str">
        <f t="shared" si="94"/>
        <v/>
      </c>
      <c r="U462" s="66" t="str">
        <f t="shared" si="90"/>
        <v/>
      </c>
      <c r="V462" s="81" t="str">
        <f t="shared" si="91"/>
        <v/>
      </c>
      <c r="W462" s="66" t="str">
        <f t="shared" si="92"/>
        <v/>
      </c>
      <c r="X462" s="66" t="str">
        <f t="shared" si="93"/>
        <v/>
      </c>
    </row>
    <row r="463" spans="1:24" x14ac:dyDescent="0.25">
      <c r="A463" t="str">
        <f>+'Tablas Servicio'!B496</f>
        <v/>
      </c>
      <c r="B463" t="str">
        <f>+'Tablas Servicio'!C496</f>
        <v/>
      </c>
      <c r="C463" s="56" t="str">
        <f>+'Tablas Servicio'!D496</f>
        <v/>
      </c>
      <c r="D463" s="58" t="str">
        <f>+'Tablas Servicio'!N496</f>
        <v/>
      </c>
      <c r="E463" s="66" t="str">
        <f>+'Tablas Servicio'!AC496</f>
        <v/>
      </c>
      <c r="F463" s="66" t="str">
        <f>+IF(A463="","",'Tablas Servicio'!O496-'Modelo Financiero'!E463)</f>
        <v/>
      </c>
      <c r="G463" s="58" t="str">
        <f t="shared" si="86"/>
        <v/>
      </c>
      <c r="H463" s="66" t="str">
        <f>+'Tablas Servicio'!G496</f>
        <v/>
      </c>
      <c r="I463" s="72" t="str">
        <f t="shared" si="87"/>
        <v/>
      </c>
      <c r="J463" s="66" t="str">
        <f t="shared" si="88"/>
        <v/>
      </c>
      <c r="K463" s="66" t="str">
        <f>+'Tablas Servicio'!H496</f>
        <v/>
      </c>
      <c r="L463" s="66" t="str">
        <f>+IF(A463="","",ROUND(H463*Parámetros!$D$100,2))</f>
        <v/>
      </c>
      <c r="M463" s="58" t="str">
        <f>+IF(A463="","",IF(AND(A463=1,B463=1),Parámetros!$D$114*(D463*frec-$G$3-$H$3),IF(AND(A463=2,B463=frec+1),Parámetros!$D$115*(D463*frec-$G$4-$H$4),0)))</f>
        <v/>
      </c>
      <c r="N463" s="58" t="str">
        <f>+IF(A463="","",IF(A463&gt;Parámetros!$D$117,0,ROUND('Modelo Financiero'!D463*Parámetros!$D$116,2)))</f>
        <v/>
      </c>
      <c r="O463" s="58" t="str">
        <f t="shared" si="89"/>
        <v/>
      </c>
      <c r="P463" s="66" t="str">
        <f>+'Tablas Servicio'!I496</f>
        <v/>
      </c>
      <c r="Q463" s="66" t="str">
        <f>+'Tablas Servicio'!S496</f>
        <v/>
      </c>
      <c r="R463" s="66" t="str">
        <f>+'Tablas Servicio'!T496</f>
        <v/>
      </c>
      <c r="S463" s="66" t="str">
        <f t="shared" si="85"/>
        <v/>
      </c>
      <c r="T463" s="66" t="str">
        <f t="shared" si="94"/>
        <v/>
      </c>
      <c r="U463" s="66" t="str">
        <f t="shared" si="90"/>
        <v/>
      </c>
      <c r="V463" s="81" t="str">
        <f t="shared" si="91"/>
        <v/>
      </c>
      <c r="W463" s="66" t="str">
        <f t="shared" si="92"/>
        <v/>
      </c>
      <c r="X463" s="66" t="str">
        <f t="shared" si="93"/>
        <v/>
      </c>
    </row>
    <row r="464" spans="1:24" x14ac:dyDescent="0.25">
      <c r="A464" t="str">
        <f>+'Tablas Servicio'!B497</f>
        <v/>
      </c>
      <c r="B464" t="str">
        <f>+'Tablas Servicio'!C497</f>
        <v/>
      </c>
      <c r="C464" s="56" t="str">
        <f>+'Tablas Servicio'!D497</f>
        <v/>
      </c>
      <c r="D464" s="58" t="str">
        <f>+'Tablas Servicio'!N497</f>
        <v/>
      </c>
      <c r="E464" s="66" t="str">
        <f>+'Tablas Servicio'!AC497</f>
        <v/>
      </c>
      <c r="F464" s="66" t="str">
        <f>+IF(A464="","",'Tablas Servicio'!O497-'Modelo Financiero'!E464)</f>
        <v/>
      </c>
      <c r="G464" s="58" t="str">
        <f t="shared" si="86"/>
        <v/>
      </c>
      <c r="H464" s="66" t="str">
        <f>+'Tablas Servicio'!G497</f>
        <v/>
      </c>
      <c r="I464" s="72" t="str">
        <f t="shared" si="87"/>
        <v/>
      </c>
      <c r="J464" s="66" t="str">
        <f t="shared" si="88"/>
        <v/>
      </c>
      <c r="K464" s="66" t="str">
        <f>+'Tablas Servicio'!H497</f>
        <v/>
      </c>
      <c r="L464" s="66" t="str">
        <f>+IF(A464="","",ROUND(H464*Parámetros!$D$100,2))</f>
        <v/>
      </c>
      <c r="M464" s="58" t="str">
        <f>+IF(A464="","",IF(AND(A464=1,B464=1),Parámetros!$D$114*(D464*frec-$G$3-$H$3),IF(AND(A464=2,B464=frec+1),Parámetros!$D$115*(D464*frec-$G$4-$H$4),0)))</f>
        <v/>
      </c>
      <c r="N464" s="58" t="str">
        <f>+IF(A464="","",IF(A464&gt;Parámetros!$D$117,0,ROUND('Modelo Financiero'!D464*Parámetros!$D$116,2)))</f>
        <v/>
      </c>
      <c r="O464" s="58" t="str">
        <f t="shared" si="89"/>
        <v/>
      </c>
      <c r="P464" s="66" t="str">
        <f>+'Tablas Servicio'!I497</f>
        <v/>
      </c>
      <c r="Q464" s="66" t="str">
        <f>+'Tablas Servicio'!S497</f>
        <v/>
      </c>
      <c r="R464" s="66" t="str">
        <f>+'Tablas Servicio'!T497</f>
        <v/>
      </c>
      <c r="S464" s="66" t="str">
        <f t="shared" si="85"/>
        <v/>
      </c>
      <c r="T464" s="66" t="str">
        <f t="shared" si="94"/>
        <v/>
      </c>
      <c r="U464" s="66" t="str">
        <f t="shared" si="90"/>
        <v/>
      </c>
      <c r="V464" s="81" t="str">
        <f t="shared" si="91"/>
        <v/>
      </c>
      <c r="W464" s="66" t="str">
        <f t="shared" si="92"/>
        <v/>
      </c>
      <c r="X464" s="66" t="str">
        <f t="shared" si="93"/>
        <v/>
      </c>
    </row>
    <row r="465" spans="1:24" x14ac:dyDescent="0.25">
      <c r="A465" t="str">
        <f>+'Tablas Servicio'!B498</f>
        <v/>
      </c>
      <c r="B465" t="str">
        <f>+'Tablas Servicio'!C498</f>
        <v/>
      </c>
      <c r="C465" s="56" t="str">
        <f>+'Tablas Servicio'!D498</f>
        <v/>
      </c>
      <c r="D465" s="58" t="str">
        <f>+'Tablas Servicio'!N498</f>
        <v/>
      </c>
      <c r="E465" s="66" t="str">
        <f>+'Tablas Servicio'!AC498</f>
        <v/>
      </c>
      <c r="F465" s="66" t="str">
        <f>+IF(A465="","",'Tablas Servicio'!O498-'Modelo Financiero'!E465)</f>
        <v/>
      </c>
      <c r="G465" s="58" t="str">
        <f t="shared" si="86"/>
        <v/>
      </c>
      <c r="H465" s="66" t="str">
        <f>+'Tablas Servicio'!G498</f>
        <v/>
      </c>
      <c r="I465" s="72" t="str">
        <f t="shared" si="87"/>
        <v/>
      </c>
      <c r="J465" s="66" t="str">
        <f t="shared" si="88"/>
        <v/>
      </c>
      <c r="K465" s="66" t="str">
        <f>+'Tablas Servicio'!H498</f>
        <v/>
      </c>
      <c r="L465" s="66" t="str">
        <f>+IF(A465="","",ROUND(H465*Parámetros!$D$100,2))</f>
        <v/>
      </c>
      <c r="M465" s="58" t="str">
        <f>+IF(A465="","",IF(AND(A465=1,B465=1),Parámetros!$D$114*(D465*frec-$G$3-$H$3),IF(AND(A465=2,B465=frec+1),Parámetros!$D$115*(D465*frec-$G$4-$H$4),0)))</f>
        <v/>
      </c>
      <c r="N465" s="58" t="str">
        <f>+IF(A465="","",IF(A465&gt;Parámetros!$D$117,0,ROUND('Modelo Financiero'!D465*Parámetros!$D$116,2)))</f>
        <v/>
      </c>
      <c r="O465" s="58" t="str">
        <f t="shared" si="89"/>
        <v/>
      </c>
      <c r="P465" s="66" t="str">
        <f>+'Tablas Servicio'!I498</f>
        <v/>
      </c>
      <c r="Q465" s="66" t="str">
        <f>+'Tablas Servicio'!S498</f>
        <v/>
      </c>
      <c r="R465" s="66" t="str">
        <f>+'Tablas Servicio'!T498</f>
        <v/>
      </c>
      <c r="S465" s="66" t="str">
        <f t="shared" si="85"/>
        <v/>
      </c>
      <c r="T465" s="66" t="str">
        <f t="shared" si="94"/>
        <v/>
      </c>
      <c r="U465" s="66" t="str">
        <f t="shared" si="90"/>
        <v/>
      </c>
      <c r="V465" s="81" t="str">
        <f t="shared" si="91"/>
        <v/>
      </c>
      <c r="W465" s="66" t="str">
        <f t="shared" si="92"/>
        <v/>
      </c>
      <c r="X465" s="66" t="str">
        <f t="shared" si="93"/>
        <v/>
      </c>
    </row>
    <row r="466" spans="1:24" x14ac:dyDescent="0.25">
      <c r="A466" t="str">
        <f>+'Tablas Servicio'!B499</f>
        <v/>
      </c>
      <c r="B466" t="str">
        <f>+'Tablas Servicio'!C499</f>
        <v/>
      </c>
      <c r="C466" s="56" t="str">
        <f>+'Tablas Servicio'!D499</f>
        <v/>
      </c>
      <c r="D466" s="58" t="str">
        <f>+'Tablas Servicio'!N499</f>
        <v/>
      </c>
      <c r="E466" s="66" t="str">
        <f>+'Tablas Servicio'!AC499</f>
        <v/>
      </c>
      <c r="F466" s="66" t="str">
        <f>+IF(A466="","",'Tablas Servicio'!O499-'Modelo Financiero'!E466)</f>
        <v/>
      </c>
      <c r="G466" s="58" t="str">
        <f t="shared" si="86"/>
        <v/>
      </c>
      <c r="H466" s="66" t="str">
        <f>+'Tablas Servicio'!G499</f>
        <v/>
      </c>
      <c r="I466" s="72" t="str">
        <f t="shared" si="87"/>
        <v/>
      </c>
      <c r="J466" s="66" t="str">
        <f t="shared" si="88"/>
        <v/>
      </c>
      <c r="K466" s="66" t="str">
        <f>+'Tablas Servicio'!H499</f>
        <v/>
      </c>
      <c r="L466" s="66" t="str">
        <f>+IF(A466="","",ROUND(H466*Parámetros!$D$100,2))</f>
        <v/>
      </c>
      <c r="M466" s="58" t="str">
        <f>+IF(A466="","",IF(AND(A466=1,B466=1),Parámetros!$D$114*(D466*frec-$G$3-$H$3),IF(AND(A466=2,B466=frec+1),Parámetros!$D$115*(D466*frec-$G$4-$H$4),0)))</f>
        <v/>
      </c>
      <c r="N466" s="58" t="str">
        <f>+IF(A466="","",IF(A466&gt;Parámetros!$D$117,0,ROUND('Modelo Financiero'!D466*Parámetros!$D$116,2)))</f>
        <v/>
      </c>
      <c r="O466" s="58" t="str">
        <f t="shared" si="89"/>
        <v/>
      </c>
      <c r="P466" s="66" t="str">
        <f>+'Tablas Servicio'!I499</f>
        <v/>
      </c>
      <c r="Q466" s="66" t="str">
        <f>+'Tablas Servicio'!S499</f>
        <v/>
      </c>
      <c r="R466" s="66" t="str">
        <f>+'Tablas Servicio'!T499</f>
        <v/>
      </c>
      <c r="S466" s="66" t="str">
        <f t="shared" si="85"/>
        <v/>
      </c>
      <c r="T466" s="66" t="str">
        <f t="shared" si="94"/>
        <v/>
      </c>
      <c r="U466" s="66" t="str">
        <f t="shared" si="90"/>
        <v/>
      </c>
      <c r="V466" s="81" t="str">
        <f t="shared" si="91"/>
        <v/>
      </c>
      <c r="W466" s="66" t="str">
        <f t="shared" si="92"/>
        <v/>
      </c>
      <c r="X466" s="66" t="str">
        <f t="shared" si="93"/>
        <v/>
      </c>
    </row>
    <row r="467" spans="1:24" x14ac:dyDescent="0.25">
      <c r="A467" t="str">
        <f>+'Tablas Servicio'!B500</f>
        <v/>
      </c>
      <c r="B467" t="str">
        <f>+'Tablas Servicio'!C500</f>
        <v/>
      </c>
      <c r="C467" s="56" t="str">
        <f>+'Tablas Servicio'!D500</f>
        <v/>
      </c>
      <c r="D467" s="58" t="str">
        <f>+'Tablas Servicio'!N500</f>
        <v/>
      </c>
      <c r="E467" s="66" t="str">
        <f>+'Tablas Servicio'!AC500</f>
        <v/>
      </c>
      <c r="F467" s="66" t="str">
        <f>+IF(A467="","",'Tablas Servicio'!O500-'Modelo Financiero'!E467)</f>
        <v/>
      </c>
      <c r="G467" s="58" t="str">
        <f t="shared" si="86"/>
        <v/>
      </c>
      <c r="H467" s="66" t="str">
        <f>+'Tablas Servicio'!G500</f>
        <v/>
      </c>
      <c r="I467" s="72" t="str">
        <f t="shared" si="87"/>
        <v/>
      </c>
      <c r="J467" s="66" t="str">
        <f t="shared" si="88"/>
        <v/>
      </c>
      <c r="K467" s="66" t="str">
        <f>+'Tablas Servicio'!H500</f>
        <v/>
      </c>
      <c r="L467" s="66" t="str">
        <f>+IF(A467="","",ROUND(H467*Parámetros!$D$100,2))</f>
        <v/>
      </c>
      <c r="M467" s="58" t="str">
        <f>+IF(A467="","",IF(AND(A467=1,B467=1),Parámetros!$D$114*(D467*frec-$G$3-$H$3),IF(AND(A467=2,B467=frec+1),Parámetros!$D$115*(D467*frec-$G$4-$H$4),0)))</f>
        <v/>
      </c>
      <c r="N467" s="58" t="str">
        <f>+IF(A467="","",IF(A467&gt;Parámetros!$D$117,0,ROUND('Modelo Financiero'!D467*Parámetros!$D$116,2)))</f>
        <v/>
      </c>
      <c r="O467" s="58" t="str">
        <f t="shared" si="89"/>
        <v/>
      </c>
      <c r="P467" s="66" t="str">
        <f>+'Tablas Servicio'!I500</f>
        <v/>
      </c>
      <c r="Q467" s="66" t="str">
        <f>+'Tablas Servicio'!S500</f>
        <v/>
      </c>
      <c r="R467" s="66" t="str">
        <f>+'Tablas Servicio'!T500</f>
        <v/>
      </c>
      <c r="S467" s="66" t="str">
        <f t="shared" si="85"/>
        <v/>
      </c>
      <c r="T467" s="66" t="str">
        <f t="shared" si="94"/>
        <v/>
      </c>
      <c r="U467" s="66" t="str">
        <f t="shared" si="90"/>
        <v/>
      </c>
      <c r="V467" s="81" t="str">
        <f t="shared" si="91"/>
        <v/>
      </c>
      <c r="W467" s="66" t="str">
        <f t="shared" si="92"/>
        <v/>
      </c>
      <c r="X467" s="66" t="str">
        <f t="shared" si="93"/>
        <v/>
      </c>
    </row>
    <row r="468" spans="1:24" x14ac:dyDescent="0.25">
      <c r="A468" t="str">
        <f>+'Tablas Servicio'!B501</f>
        <v/>
      </c>
      <c r="B468" t="str">
        <f>+'Tablas Servicio'!C501</f>
        <v/>
      </c>
      <c r="C468" s="56" t="str">
        <f>+'Tablas Servicio'!D501</f>
        <v/>
      </c>
      <c r="D468" s="58" t="str">
        <f>+'Tablas Servicio'!N501</f>
        <v/>
      </c>
      <c r="E468" s="66" t="str">
        <f>+'Tablas Servicio'!AC501</f>
        <v/>
      </c>
      <c r="F468" s="66" t="str">
        <f>+IF(A468="","",'Tablas Servicio'!O501-'Modelo Financiero'!E468)</f>
        <v/>
      </c>
      <c r="G468" s="58" t="str">
        <f t="shared" si="86"/>
        <v/>
      </c>
      <c r="H468" s="66" t="str">
        <f>+'Tablas Servicio'!G501</f>
        <v/>
      </c>
      <c r="I468" s="72" t="str">
        <f t="shared" si="87"/>
        <v/>
      </c>
      <c r="J468" s="66" t="str">
        <f t="shared" si="88"/>
        <v/>
      </c>
      <c r="K468" s="66" t="str">
        <f>+'Tablas Servicio'!H501</f>
        <v/>
      </c>
      <c r="L468" s="66" t="str">
        <f>+IF(A468="","",ROUND(H468*Parámetros!$D$100,2))</f>
        <v/>
      </c>
      <c r="M468" s="58" t="str">
        <f>+IF(A468="","",IF(AND(A468=1,B468=1),Parámetros!$D$114*(D468*frec-$G$3-$H$3),IF(AND(A468=2,B468=frec+1),Parámetros!$D$115*(D468*frec-$G$4-$H$4),0)))</f>
        <v/>
      </c>
      <c r="N468" s="58" t="str">
        <f>+IF(A468="","",IF(A468&gt;Parámetros!$D$117,0,ROUND('Modelo Financiero'!D468*Parámetros!$D$116,2)))</f>
        <v/>
      </c>
      <c r="O468" s="58" t="str">
        <f t="shared" si="89"/>
        <v/>
      </c>
      <c r="P468" s="66" t="str">
        <f>+'Tablas Servicio'!I501</f>
        <v/>
      </c>
      <c r="Q468" s="66" t="str">
        <f>+'Tablas Servicio'!S501</f>
        <v/>
      </c>
      <c r="R468" s="66" t="str">
        <f>+'Tablas Servicio'!T501</f>
        <v/>
      </c>
      <c r="S468" s="66" t="str">
        <f t="shared" si="85"/>
        <v/>
      </c>
      <c r="T468" s="66" t="str">
        <f t="shared" si="94"/>
        <v/>
      </c>
      <c r="U468" s="66" t="str">
        <f t="shared" si="90"/>
        <v/>
      </c>
      <c r="V468" s="81" t="str">
        <f t="shared" si="91"/>
        <v/>
      </c>
      <c r="W468" s="66" t="str">
        <f t="shared" si="92"/>
        <v/>
      </c>
      <c r="X468" s="66" t="str">
        <f t="shared" si="93"/>
        <v/>
      </c>
    </row>
    <row r="469" spans="1:24" x14ac:dyDescent="0.25">
      <c r="A469" t="str">
        <f>+'Tablas Servicio'!B502</f>
        <v/>
      </c>
      <c r="B469" t="str">
        <f>+'Tablas Servicio'!C502</f>
        <v/>
      </c>
      <c r="C469" s="56" t="str">
        <f>+'Tablas Servicio'!D502</f>
        <v/>
      </c>
      <c r="D469" s="58" t="str">
        <f>+'Tablas Servicio'!N502</f>
        <v/>
      </c>
      <c r="E469" s="66" t="str">
        <f>+'Tablas Servicio'!AC502</f>
        <v/>
      </c>
      <c r="F469" s="66" t="str">
        <f>+IF(A469="","",'Tablas Servicio'!O502-'Modelo Financiero'!E469)</f>
        <v/>
      </c>
      <c r="G469" s="58" t="str">
        <f t="shared" si="86"/>
        <v/>
      </c>
      <c r="H469" s="66" t="str">
        <f>+'Tablas Servicio'!G502</f>
        <v/>
      </c>
      <c r="I469" s="72" t="str">
        <f t="shared" si="87"/>
        <v/>
      </c>
      <c r="J469" s="66" t="str">
        <f t="shared" si="88"/>
        <v/>
      </c>
      <c r="K469" s="66" t="str">
        <f>+'Tablas Servicio'!H502</f>
        <v/>
      </c>
      <c r="L469" s="66" t="str">
        <f>+IF(A469="","",ROUND(H469*Parámetros!$D$100,2))</f>
        <v/>
      </c>
      <c r="M469" s="58" t="str">
        <f>+IF(A469="","",IF(AND(A469=1,B469=1),Parámetros!$D$114*(D469*frec-$G$3-$H$3),IF(AND(A469=2,B469=frec+1),Parámetros!$D$115*(D469*frec-$G$4-$H$4),0)))</f>
        <v/>
      </c>
      <c r="N469" s="58" t="str">
        <f>+IF(A469="","",IF(A469&gt;Parámetros!$D$117,0,ROUND('Modelo Financiero'!D469*Parámetros!$D$116,2)))</f>
        <v/>
      </c>
      <c r="O469" s="58" t="str">
        <f t="shared" si="89"/>
        <v/>
      </c>
      <c r="P469" s="66" t="str">
        <f>+'Tablas Servicio'!I502</f>
        <v/>
      </c>
      <c r="Q469" s="66" t="str">
        <f>+'Tablas Servicio'!S502</f>
        <v/>
      </c>
      <c r="R469" s="66" t="str">
        <f>+'Tablas Servicio'!T502</f>
        <v/>
      </c>
      <c r="S469" s="66" t="str">
        <f t="shared" si="85"/>
        <v/>
      </c>
      <c r="T469" s="66" t="str">
        <f t="shared" si="94"/>
        <v/>
      </c>
      <c r="U469" s="66" t="str">
        <f t="shared" si="90"/>
        <v/>
      </c>
      <c r="V469" s="81" t="str">
        <f t="shared" si="91"/>
        <v/>
      </c>
      <c r="W469" s="66" t="str">
        <f t="shared" si="92"/>
        <v/>
      </c>
      <c r="X469" s="66" t="str">
        <f t="shared" si="93"/>
        <v/>
      </c>
    </row>
    <row r="470" spans="1:24" x14ac:dyDescent="0.25">
      <c r="A470" t="str">
        <f>+'Tablas Servicio'!B503</f>
        <v/>
      </c>
      <c r="B470" t="str">
        <f>+'Tablas Servicio'!C503</f>
        <v/>
      </c>
      <c r="C470" s="56" t="str">
        <f>+'Tablas Servicio'!D503</f>
        <v/>
      </c>
      <c r="D470" s="58" t="str">
        <f>+'Tablas Servicio'!N503</f>
        <v/>
      </c>
      <c r="E470" s="66" t="str">
        <f>+'Tablas Servicio'!AC503</f>
        <v/>
      </c>
      <c r="F470" s="66" t="str">
        <f>+IF(A470="","",'Tablas Servicio'!O503-'Modelo Financiero'!E470)</f>
        <v/>
      </c>
      <c r="G470" s="58" t="str">
        <f t="shared" si="86"/>
        <v/>
      </c>
      <c r="H470" s="66" t="str">
        <f>+'Tablas Servicio'!G503</f>
        <v/>
      </c>
      <c r="I470" s="72" t="str">
        <f t="shared" si="87"/>
        <v/>
      </c>
      <c r="J470" s="66" t="str">
        <f t="shared" si="88"/>
        <v/>
      </c>
      <c r="K470" s="66" t="str">
        <f>+'Tablas Servicio'!H503</f>
        <v/>
      </c>
      <c r="L470" s="66" t="str">
        <f>+IF(A470="","",ROUND(H470*Parámetros!$D$100,2))</f>
        <v/>
      </c>
      <c r="M470" s="58" t="str">
        <f>+IF(A470="","",IF(AND(A470=1,B470=1),Parámetros!$D$114*(D470*frec-$G$3-$H$3),IF(AND(A470=2,B470=frec+1),Parámetros!$D$115*(D470*frec-$G$4-$H$4),0)))</f>
        <v/>
      </c>
      <c r="N470" s="58" t="str">
        <f>+IF(A470="","",IF(A470&gt;Parámetros!$D$117,0,ROUND('Modelo Financiero'!D470*Parámetros!$D$116,2)))</f>
        <v/>
      </c>
      <c r="O470" s="58" t="str">
        <f t="shared" si="89"/>
        <v/>
      </c>
      <c r="P470" s="66" t="str">
        <f>+'Tablas Servicio'!I503</f>
        <v/>
      </c>
      <c r="Q470" s="66" t="str">
        <f>+'Tablas Servicio'!S503</f>
        <v/>
      </c>
      <c r="R470" s="66" t="str">
        <f>+'Tablas Servicio'!T503</f>
        <v/>
      </c>
      <c r="S470" s="66" t="str">
        <f t="shared" si="85"/>
        <v/>
      </c>
      <c r="T470" s="66" t="str">
        <f t="shared" si="94"/>
        <v/>
      </c>
      <c r="U470" s="66" t="str">
        <f t="shared" si="90"/>
        <v/>
      </c>
      <c r="V470" s="81" t="str">
        <f t="shared" si="91"/>
        <v/>
      </c>
      <c r="W470" s="66" t="str">
        <f t="shared" si="92"/>
        <v/>
      </c>
      <c r="X470" s="66" t="str">
        <f t="shared" si="93"/>
        <v/>
      </c>
    </row>
    <row r="471" spans="1:24" x14ac:dyDescent="0.25">
      <c r="A471" t="str">
        <f>+'Tablas Servicio'!B504</f>
        <v/>
      </c>
      <c r="B471" t="str">
        <f>+'Tablas Servicio'!C504</f>
        <v/>
      </c>
      <c r="C471" s="56" t="str">
        <f>+'Tablas Servicio'!D504</f>
        <v/>
      </c>
      <c r="D471" s="58" t="str">
        <f>+'Tablas Servicio'!N504</f>
        <v/>
      </c>
      <c r="E471" s="66" t="str">
        <f>+'Tablas Servicio'!AC504</f>
        <v/>
      </c>
      <c r="F471" s="66" t="str">
        <f>+IF(A471="","",'Tablas Servicio'!O504-'Modelo Financiero'!E471)</f>
        <v/>
      </c>
      <c r="G471" s="58" t="str">
        <f t="shared" si="86"/>
        <v/>
      </c>
      <c r="H471" s="66" t="str">
        <f>+'Tablas Servicio'!G504</f>
        <v/>
      </c>
      <c r="I471" s="72" t="str">
        <f t="shared" si="87"/>
        <v/>
      </c>
      <c r="J471" s="66" t="str">
        <f t="shared" si="88"/>
        <v/>
      </c>
      <c r="K471" s="66" t="str">
        <f>+'Tablas Servicio'!H504</f>
        <v/>
      </c>
      <c r="L471" s="66" t="str">
        <f>+IF(A471="","",ROUND(H471*Parámetros!$D$100,2))</f>
        <v/>
      </c>
      <c r="M471" s="58" t="str">
        <f>+IF(A471="","",IF(AND(A471=1,B471=1),Parámetros!$D$114*(D471*frec-$G$3-$H$3),IF(AND(A471=2,B471=frec+1),Parámetros!$D$115*(D471*frec-$G$4-$H$4),0)))</f>
        <v/>
      </c>
      <c r="N471" s="58" t="str">
        <f>+IF(A471="","",IF(A471&gt;Parámetros!$D$117,0,ROUND('Modelo Financiero'!D471*Parámetros!$D$116,2)))</f>
        <v/>
      </c>
      <c r="O471" s="58" t="str">
        <f t="shared" si="89"/>
        <v/>
      </c>
      <c r="P471" s="66" t="str">
        <f>+'Tablas Servicio'!I504</f>
        <v/>
      </c>
      <c r="Q471" s="66" t="str">
        <f>+'Tablas Servicio'!S504</f>
        <v/>
      </c>
      <c r="R471" s="66" t="str">
        <f>+'Tablas Servicio'!T504</f>
        <v/>
      </c>
      <c r="S471" s="66" t="str">
        <f t="shared" si="85"/>
        <v/>
      </c>
      <c r="T471" s="66" t="str">
        <f t="shared" si="94"/>
        <v/>
      </c>
      <c r="U471" s="66" t="str">
        <f t="shared" si="90"/>
        <v/>
      </c>
      <c r="V471" s="81" t="str">
        <f t="shared" si="91"/>
        <v/>
      </c>
      <c r="W471" s="66" t="str">
        <f t="shared" si="92"/>
        <v/>
      </c>
      <c r="X471" s="66" t="str">
        <f t="shared" si="93"/>
        <v/>
      </c>
    </row>
    <row r="472" spans="1:24" x14ac:dyDescent="0.25">
      <c r="A472" t="str">
        <f>+'Tablas Servicio'!B505</f>
        <v/>
      </c>
      <c r="B472" t="str">
        <f>+'Tablas Servicio'!C505</f>
        <v/>
      </c>
      <c r="C472" s="56" t="str">
        <f>+'Tablas Servicio'!D505</f>
        <v/>
      </c>
      <c r="D472" s="58" t="str">
        <f>+'Tablas Servicio'!N505</f>
        <v/>
      </c>
      <c r="E472" s="66" t="str">
        <f>+'Tablas Servicio'!AC505</f>
        <v/>
      </c>
      <c r="F472" s="66" t="str">
        <f>+IF(A472="","",'Tablas Servicio'!O505-'Modelo Financiero'!E472)</f>
        <v/>
      </c>
      <c r="G472" s="58" t="str">
        <f t="shared" si="86"/>
        <v/>
      </c>
      <c r="H472" s="66" t="str">
        <f>+'Tablas Servicio'!G505</f>
        <v/>
      </c>
      <c r="I472" s="72" t="str">
        <f t="shared" si="87"/>
        <v/>
      </c>
      <c r="J472" s="66" t="str">
        <f t="shared" si="88"/>
        <v/>
      </c>
      <c r="K472" s="66" t="str">
        <f>+'Tablas Servicio'!H505</f>
        <v/>
      </c>
      <c r="L472" s="66" t="str">
        <f>+IF(A472="","",ROUND(H472*Parámetros!$D$100,2))</f>
        <v/>
      </c>
      <c r="M472" s="58" t="str">
        <f>+IF(A472="","",IF(AND(A472=1,B472=1),Parámetros!$D$114*(D472*frec-$G$3-$H$3),IF(AND(A472=2,B472=frec+1),Parámetros!$D$115*(D472*frec-$G$4-$H$4),0)))</f>
        <v/>
      </c>
      <c r="N472" s="58" t="str">
        <f>+IF(A472="","",IF(A472&gt;Parámetros!$D$117,0,ROUND('Modelo Financiero'!D472*Parámetros!$D$116,2)))</f>
        <v/>
      </c>
      <c r="O472" s="58" t="str">
        <f t="shared" si="89"/>
        <v/>
      </c>
      <c r="P472" s="66" t="str">
        <f>+'Tablas Servicio'!I505</f>
        <v/>
      </c>
      <c r="Q472" s="66" t="str">
        <f>+'Tablas Servicio'!S505</f>
        <v/>
      </c>
      <c r="R472" s="66" t="str">
        <f>+'Tablas Servicio'!T505</f>
        <v/>
      </c>
      <c r="S472" s="66" t="str">
        <f t="shared" si="85"/>
        <v/>
      </c>
      <c r="T472" s="66" t="str">
        <f t="shared" si="94"/>
        <v/>
      </c>
      <c r="U472" s="66" t="str">
        <f t="shared" si="90"/>
        <v/>
      </c>
      <c r="V472" s="81" t="str">
        <f t="shared" si="91"/>
        <v/>
      </c>
      <c r="W472" s="66" t="str">
        <f t="shared" si="92"/>
        <v/>
      </c>
      <c r="X472" s="66" t="str">
        <f t="shared" si="93"/>
        <v/>
      </c>
    </row>
    <row r="473" spans="1:24" x14ac:dyDescent="0.25">
      <c r="A473" t="str">
        <f>+'Tablas Servicio'!B506</f>
        <v/>
      </c>
      <c r="B473" t="str">
        <f>+'Tablas Servicio'!C506</f>
        <v/>
      </c>
      <c r="C473" s="56" t="str">
        <f>+'Tablas Servicio'!D506</f>
        <v/>
      </c>
      <c r="D473" s="58" t="str">
        <f>+'Tablas Servicio'!N506</f>
        <v/>
      </c>
      <c r="E473" s="66" t="str">
        <f>+'Tablas Servicio'!AC506</f>
        <v/>
      </c>
      <c r="F473" s="66" t="str">
        <f>+IF(A473="","",'Tablas Servicio'!O506-'Modelo Financiero'!E473)</f>
        <v/>
      </c>
      <c r="G473" s="58" t="str">
        <f t="shared" si="86"/>
        <v/>
      </c>
      <c r="H473" s="66" t="str">
        <f>+'Tablas Servicio'!G506</f>
        <v/>
      </c>
      <c r="I473" s="72" t="str">
        <f t="shared" si="87"/>
        <v/>
      </c>
      <c r="J473" s="66" t="str">
        <f t="shared" si="88"/>
        <v/>
      </c>
      <c r="K473" s="66" t="str">
        <f>+'Tablas Servicio'!H506</f>
        <v/>
      </c>
      <c r="L473" s="66" t="str">
        <f>+IF(A473="","",ROUND(H473*Parámetros!$D$100,2))</f>
        <v/>
      </c>
      <c r="M473" s="58" t="str">
        <f>+IF(A473="","",IF(AND(A473=1,B473=1),Parámetros!$D$114*(D473*frec-$G$3-$H$3),IF(AND(A473=2,B473=frec+1),Parámetros!$D$115*(D473*frec-$G$4-$H$4),0)))</f>
        <v/>
      </c>
      <c r="N473" s="58" t="str">
        <f>+IF(A473="","",IF(A473&gt;Parámetros!$D$117,0,ROUND('Modelo Financiero'!D473*Parámetros!$D$116,2)))</f>
        <v/>
      </c>
      <c r="O473" s="58" t="str">
        <f t="shared" si="89"/>
        <v/>
      </c>
      <c r="P473" s="66" t="str">
        <f>+'Tablas Servicio'!I506</f>
        <v/>
      </c>
      <c r="Q473" s="66" t="str">
        <f>+'Tablas Servicio'!S506</f>
        <v/>
      </c>
      <c r="R473" s="66" t="str">
        <f>+'Tablas Servicio'!T506</f>
        <v/>
      </c>
      <c r="S473" s="66" t="str">
        <f t="shared" si="85"/>
        <v/>
      </c>
      <c r="T473" s="66" t="str">
        <f t="shared" si="94"/>
        <v/>
      </c>
      <c r="U473" s="66" t="str">
        <f t="shared" si="90"/>
        <v/>
      </c>
      <c r="V473" s="81" t="str">
        <f t="shared" si="91"/>
        <v/>
      </c>
      <c r="W473" s="66" t="str">
        <f t="shared" si="92"/>
        <v/>
      </c>
      <c r="X473" s="66" t="str">
        <f t="shared" si="93"/>
        <v/>
      </c>
    </row>
    <row r="474" spans="1:24" x14ac:dyDescent="0.25">
      <c r="A474" t="str">
        <f>+'Tablas Servicio'!B507</f>
        <v/>
      </c>
      <c r="B474" t="str">
        <f>+'Tablas Servicio'!C507</f>
        <v/>
      </c>
      <c r="C474" s="56" t="str">
        <f>+'Tablas Servicio'!D507</f>
        <v/>
      </c>
      <c r="D474" s="58" t="str">
        <f>+'Tablas Servicio'!N507</f>
        <v/>
      </c>
      <c r="E474" s="66" t="str">
        <f>+'Tablas Servicio'!AC507</f>
        <v/>
      </c>
      <c r="F474" s="66" t="str">
        <f>+IF(A474="","",'Tablas Servicio'!O507-'Modelo Financiero'!E474)</f>
        <v/>
      </c>
      <c r="G474" s="58" t="str">
        <f t="shared" si="86"/>
        <v/>
      </c>
      <c r="H474" s="66" t="str">
        <f>+'Tablas Servicio'!G507</f>
        <v/>
      </c>
      <c r="I474" s="72" t="str">
        <f t="shared" si="87"/>
        <v/>
      </c>
      <c r="J474" s="66" t="str">
        <f t="shared" si="88"/>
        <v/>
      </c>
      <c r="K474" s="66" t="str">
        <f>+'Tablas Servicio'!H507</f>
        <v/>
      </c>
      <c r="L474" s="66" t="str">
        <f>+IF(A474="","",ROUND(H474*Parámetros!$D$100,2))</f>
        <v/>
      </c>
      <c r="M474" s="58" t="str">
        <f>+IF(A474="","",IF(AND(A474=1,B474=1),Parámetros!$D$114*(D474*frec-$G$3-$H$3),IF(AND(A474=2,B474=frec+1),Parámetros!$D$115*(D474*frec-$G$4-$H$4),0)))</f>
        <v/>
      </c>
      <c r="N474" s="58" t="str">
        <f>+IF(A474="","",IF(A474&gt;Parámetros!$D$117,0,ROUND('Modelo Financiero'!D474*Parámetros!$D$116,2)))</f>
        <v/>
      </c>
      <c r="O474" s="58" t="str">
        <f t="shared" si="89"/>
        <v/>
      </c>
      <c r="P474" s="66" t="str">
        <f>+'Tablas Servicio'!I507</f>
        <v/>
      </c>
      <c r="Q474" s="66" t="str">
        <f>+'Tablas Servicio'!S507</f>
        <v/>
      </c>
      <c r="R474" s="66" t="str">
        <f>+'Tablas Servicio'!T507</f>
        <v/>
      </c>
      <c r="S474" s="66" t="str">
        <f t="shared" si="85"/>
        <v/>
      </c>
      <c r="T474" s="66" t="str">
        <f t="shared" si="94"/>
        <v/>
      </c>
      <c r="U474" s="66" t="str">
        <f t="shared" si="90"/>
        <v/>
      </c>
      <c r="V474" s="81" t="str">
        <f t="shared" si="91"/>
        <v/>
      </c>
      <c r="W474" s="66" t="str">
        <f t="shared" si="92"/>
        <v/>
      </c>
      <c r="X474" s="66" t="str">
        <f t="shared" si="93"/>
        <v/>
      </c>
    </row>
    <row r="475" spans="1:24" x14ac:dyDescent="0.25">
      <c r="A475" t="str">
        <f>+'Tablas Servicio'!B508</f>
        <v/>
      </c>
      <c r="B475" t="str">
        <f>+'Tablas Servicio'!C508</f>
        <v/>
      </c>
      <c r="C475" s="56" t="str">
        <f>+'Tablas Servicio'!D508</f>
        <v/>
      </c>
      <c r="D475" s="58" t="str">
        <f>+'Tablas Servicio'!N508</f>
        <v/>
      </c>
      <c r="E475" s="66" t="str">
        <f>+'Tablas Servicio'!AC508</f>
        <v/>
      </c>
      <c r="F475" s="66" t="str">
        <f>+IF(A475="","",'Tablas Servicio'!O508-'Modelo Financiero'!E475)</f>
        <v/>
      </c>
      <c r="G475" s="58" t="str">
        <f t="shared" si="86"/>
        <v/>
      </c>
      <c r="H475" s="66" t="str">
        <f>+'Tablas Servicio'!G508</f>
        <v/>
      </c>
      <c r="I475" s="72" t="str">
        <f t="shared" si="87"/>
        <v/>
      </c>
      <c r="J475" s="66" t="str">
        <f t="shared" si="88"/>
        <v/>
      </c>
      <c r="K475" s="66" t="str">
        <f>+'Tablas Servicio'!H508</f>
        <v/>
      </c>
      <c r="L475" s="66" t="str">
        <f>+IF(A475="","",ROUND(H475*Parámetros!$D$100,2))</f>
        <v/>
      </c>
      <c r="M475" s="58" t="str">
        <f>+IF(A475="","",IF(AND(A475=1,B475=1),Parámetros!$D$114*(D475*frec-$G$3-$H$3),IF(AND(A475=2,B475=frec+1),Parámetros!$D$115*(D475*frec-$G$4-$H$4),0)))</f>
        <v/>
      </c>
      <c r="N475" s="58" t="str">
        <f>+IF(A475="","",IF(A475&gt;Parámetros!$D$117,0,ROUND('Modelo Financiero'!D475*Parámetros!$D$116,2)))</f>
        <v/>
      </c>
      <c r="O475" s="58" t="str">
        <f t="shared" si="89"/>
        <v/>
      </c>
      <c r="P475" s="66" t="str">
        <f>+'Tablas Servicio'!I508</f>
        <v/>
      </c>
      <c r="Q475" s="66" t="str">
        <f>+'Tablas Servicio'!S508</f>
        <v/>
      </c>
      <c r="R475" s="66" t="str">
        <f>+'Tablas Servicio'!T508</f>
        <v/>
      </c>
      <c r="S475" s="66" t="str">
        <f t="shared" si="85"/>
        <v/>
      </c>
      <c r="T475" s="66" t="str">
        <f t="shared" si="94"/>
        <v/>
      </c>
      <c r="U475" s="66" t="str">
        <f t="shared" si="90"/>
        <v/>
      </c>
      <c r="V475" s="81" t="str">
        <f t="shared" si="91"/>
        <v/>
      </c>
      <c r="W475" s="66" t="str">
        <f t="shared" si="92"/>
        <v/>
      </c>
      <c r="X475" s="66" t="str">
        <f t="shared" si="93"/>
        <v/>
      </c>
    </row>
    <row r="476" spans="1:24" x14ac:dyDescent="0.25">
      <c r="A476" t="str">
        <f>+'Tablas Servicio'!B509</f>
        <v/>
      </c>
      <c r="B476" t="str">
        <f>+'Tablas Servicio'!C509</f>
        <v/>
      </c>
      <c r="C476" s="56" t="str">
        <f>+'Tablas Servicio'!D509</f>
        <v/>
      </c>
      <c r="D476" s="58" t="str">
        <f>+'Tablas Servicio'!N509</f>
        <v/>
      </c>
      <c r="E476" s="66" t="str">
        <f>+'Tablas Servicio'!AC509</f>
        <v/>
      </c>
      <c r="F476" s="66" t="str">
        <f>+IF(A476="","",'Tablas Servicio'!O509-'Modelo Financiero'!E476)</f>
        <v/>
      </c>
      <c r="G476" s="58" t="str">
        <f t="shared" si="86"/>
        <v/>
      </c>
      <c r="H476" s="66" t="str">
        <f>+'Tablas Servicio'!G509</f>
        <v/>
      </c>
      <c r="I476" s="72" t="str">
        <f t="shared" si="87"/>
        <v/>
      </c>
      <c r="J476" s="66" t="str">
        <f t="shared" si="88"/>
        <v/>
      </c>
      <c r="K476" s="66" t="str">
        <f>+'Tablas Servicio'!H509</f>
        <v/>
      </c>
      <c r="L476" s="66" t="str">
        <f>+IF(A476="","",ROUND(H476*Parámetros!$D$100,2))</f>
        <v/>
      </c>
      <c r="M476" s="58" t="str">
        <f>+IF(A476="","",IF(AND(A476=1,B476=1),Parámetros!$D$114*(D476*frec-$G$3-$H$3),IF(AND(A476=2,B476=frec+1),Parámetros!$D$115*(D476*frec-$G$4-$H$4),0)))</f>
        <v/>
      </c>
      <c r="N476" s="58" t="str">
        <f>+IF(A476="","",IF(A476&gt;Parámetros!$D$117,0,ROUND('Modelo Financiero'!D476*Parámetros!$D$116,2)))</f>
        <v/>
      </c>
      <c r="O476" s="58" t="str">
        <f t="shared" si="89"/>
        <v/>
      </c>
      <c r="P476" s="66" t="str">
        <f>+'Tablas Servicio'!I509</f>
        <v/>
      </c>
      <c r="Q476" s="66" t="str">
        <f>+'Tablas Servicio'!S509</f>
        <v/>
      </c>
      <c r="R476" s="66" t="str">
        <f>+'Tablas Servicio'!T509</f>
        <v/>
      </c>
      <c r="S476" s="66" t="str">
        <f t="shared" si="85"/>
        <v/>
      </c>
      <c r="T476" s="66" t="str">
        <f t="shared" si="94"/>
        <v/>
      </c>
      <c r="U476" s="66" t="str">
        <f t="shared" si="90"/>
        <v/>
      </c>
      <c r="V476" s="81" t="str">
        <f t="shared" si="91"/>
        <v/>
      </c>
      <c r="W476" s="66" t="str">
        <f t="shared" si="92"/>
        <v/>
      </c>
      <c r="X476" s="66" t="str">
        <f t="shared" si="93"/>
        <v/>
      </c>
    </row>
    <row r="477" spans="1:24" x14ac:dyDescent="0.25">
      <c r="A477" t="str">
        <f>+'Tablas Servicio'!B510</f>
        <v/>
      </c>
      <c r="B477" t="str">
        <f>+'Tablas Servicio'!C510</f>
        <v/>
      </c>
      <c r="C477" s="56" t="str">
        <f>+'Tablas Servicio'!D510</f>
        <v/>
      </c>
      <c r="D477" s="58" t="str">
        <f>+'Tablas Servicio'!N510</f>
        <v/>
      </c>
      <c r="E477" s="66" t="str">
        <f>+'Tablas Servicio'!AC510</f>
        <v/>
      </c>
      <c r="F477" s="66" t="str">
        <f>+IF(A477="","",'Tablas Servicio'!O510-'Modelo Financiero'!E477)</f>
        <v/>
      </c>
      <c r="G477" s="58" t="str">
        <f t="shared" si="86"/>
        <v/>
      </c>
      <c r="H477" s="66" t="str">
        <f>+'Tablas Servicio'!G510</f>
        <v/>
      </c>
      <c r="I477" s="72" t="str">
        <f t="shared" si="87"/>
        <v/>
      </c>
      <c r="J477" s="66" t="str">
        <f t="shared" si="88"/>
        <v/>
      </c>
      <c r="K477" s="66" t="str">
        <f>+'Tablas Servicio'!H510</f>
        <v/>
      </c>
      <c r="L477" s="66" t="str">
        <f>+IF(A477="","",ROUND(H477*Parámetros!$D$100,2))</f>
        <v/>
      </c>
      <c r="M477" s="58" t="str">
        <f>+IF(A477="","",IF(AND(A477=1,B477=1),Parámetros!$D$114*(D477*frec-$G$3-$H$3),IF(AND(A477=2,B477=frec+1),Parámetros!$D$115*(D477*frec-$G$4-$H$4),0)))</f>
        <v/>
      </c>
      <c r="N477" s="58" t="str">
        <f>+IF(A477="","",IF(A477&gt;Parámetros!$D$117,0,ROUND('Modelo Financiero'!D477*Parámetros!$D$116,2)))</f>
        <v/>
      </c>
      <c r="O477" s="58" t="str">
        <f t="shared" si="89"/>
        <v/>
      </c>
      <c r="P477" s="66" t="str">
        <f>+'Tablas Servicio'!I510</f>
        <v/>
      </c>
      <c r="Q477" s="66" t="str">
        <f>+'Tablas Servicio'!S510</f>
        <v/>
      </c>
      <c r="R477" s="66" t="str">
        <f>+'Tablas Servicio'!T510</f>
        <v/>
      </c>
      <c r="S477" s="66" t="str">
        <f t="shared" si="85"/>
        <v/>
      </c>
      <c r="T477" s="66" t="str">
        <f t="shared" si="94"/>
        <v/>
      </c>
      <c r="U477" s="66" t="str">
        <f t="shared" si="90"/>
        <v/>
      </c>
      <c r="V477" s="81" t="str">
        <f t="shared" si="91"/>
        <v/>
      </c>
      <c r="W477" s="66" t="str">
        <f t="shared" si="92"/>
        <v/>
      </c>
      <c r="X477" s="66" t="str">
        <f t="shared" si="93"/>
        <v/>
      </c>
    </row>
    <row r="478" spans="1:24" x14ac:dyDescent="0.25">
      <c r="A478" t="str">
        <f>+'Tablas Servicio'!B511</f>
        <v/>
      </c>
      <c r="B478" t="str">
        <f>+'Tablas Servicio'!C511</f>
        <v/>
      </c>
      <c r="C478" s="56" t="str">
        <f>+'Tablas Servicio'!D511</f>
        <v/>
      </c>
      <c r="D478" s="58" t="str">
        <f>+'Tablas Servicio'!N511</f>
        <v/>
      </c>
      <c r="E478" s="66" t="str">
        <f>+'Tablas Servicio'!AC511</f>
        <v/>
      </c>
      <c r="F478" s="66" t="str">
        <f>+IF(A478="","",'Tablas Servicio'!O511-'Modelo Financiero'!E478)</f>
        <v/>
      </c>
      <c r="G478" s="58" t="str">
        <f t="shared" si="86"/>
        <v/>
      </c>
      <c r="H478" s="66" t="str">
        <f>+'Tablas Servicio'!G511</f>
        <v/>
      </c>
      <c r="I478" s="72" t="str">
        <f t="shared" si="87"/>
        <v/>
      </c>
      <c r="J478" s="66" t="str">
        <f t="shared" si="88"/>
        <v/>
      </c>
      <c r="K478" s="66" t="str">
        <f>+'Tablas Servicio'!H511</f>
        <v/>
      </c>
      <c r="L478" s="66" t="str">
        <f>+IF(A478="","",ROUND(H478*Parámetros!$D$100,2))</f>
        <v/>
      </c>
      <c r="M478" s="58" t="str">
        <f>+IF(A478="","",IF(AND(A478=1,B478=1),Parámetros!$D$114*(D478*frec-$G$3-$H$3),IF(AND(A478=2,B478=frec+1),Parámetros!$D$115*(D478*frec-$G$4-$H$4),0)))</f>
        <v/>
      </c>
      <c r="N478" s="58" t="str">
        <f>+IF(A478="","",IF(A478&gt;Parámetros!$D$117,0,ROUND('Modelo Financiero'!D478*Parámetros!$D$116,2)))</f>
        <v/>
      </c>
      <c r="O478" s="58" t="str">
        <f t="shared" si="89"/>
        <v/>
      </c>
      <c r="P478" s="66" t="str">
        <f>+'Tablas Servicio'!I511</f>
        <v/>
      </c>
      <c r="Q478" s="66" t="str">
        <f>+'Tablas Servicio'!S511</f>
        <v/>
      </c>
      <c r="R478" s="66" t="str">
        <f>+'Tablas Servicio'!T511</f>
        <v/>
      </c>
      <c r="S478" s="66" t="str">
        <f t="shared" si="85"/>
        <v/>
      </c>
      <c r="T478" s="66" t="str">
        <f t="shared" si="94"/>
        <v/>
      </c>
      <c r="U478" s="66" t="str">
        <f t="shared" si="90"/>
        <v/>
      </c>
      <c r="V478" s="81" t="str">
        <f t="shared" si="91"/>
        <v/>
      </c>
      <c r="W478" s="66" t="str">
        <f t="shared" si="92"/>
        <v/>
      </c>
      <c r="X478" s="66" t="str">
        <f t="shared" si="93"/>
        <v/>
      </c>
    </row>
    <row r="479" spans="1:24" x14ac:dyDescent="0.25">
      <c r="A479" t="str">
        <f>+'Tablas Servicio'!B512</f>
        <v/>
      </c>
      <c r="B479" t="str">
        <f>+'Tablas Servicio'!C512</f>
        <v/>
      </c>
      <c r="C479" s="56" t="str">
        <f>+'Tablas Servicio'!D512</f>
        <v/>
      </c>
      <c r="D479" s="58" t="str">
        <f>+'Tablas Servicio'!N512</f>
        <v/>
      </c>
      <c r="E479" s="66" t="str">
        <f>+'Tablas Servicio'!AC512</f>
        <v/>
      </c>
      <c r="F479" s="66" t="str">
        <f>+IF(A479="","",'Tablas Servicio'!O512-'Modelo Financiero'!E479)</f>
        <v/>
      </c>
      <c r="G479" s="58" t="str">
        <f t="shared" si="86"/>
        <v/>
      </c>
      <c r="H479" s="66" t="str">
        <f>+'Tablas Servicio'!G512</f>
        <v/>
      </c>
      <c r="I479" s="72" t="str">
        <f t="shared" si="87"/>
        <v/>
      </c>
      <c r="J479" s="66" t="str">
        <f t="shared" si="88"/>
        <v/>
      </c>
      <c r="K479" s="66" t="str">
        <f>+'Tablas Servicio'!H512</f>
        <v/>
      </c>
      <c r="L479" s="66" t="str">
        <f>+IF(A479="","",ROUND(H479*Parámetros!$D$100,2))</f>
        <v/>
      </c>
      <c r="M479" s="58" t="str">
        <f>+IF(A479="","",IF(AND(A479=1,B479=1),Parámetros!$D$114*(D479*frec-$G$3-$H$3),IF(AND(A479=2,B479=frec+1),Parámetros!$D$115*(D479*frec-$G$4-$H$4),0)))</f>
        <v/>
      </c>
      <c r="N479" s="58" t="str">
        <f>+IF(A479="","",IF(A479&gt;Parámetros!$D$117,0,ROUND('Modelo Financiero'!D479*Parámetros!$D$116,2)))</f>
        <v/>
      </c>
      <c r="O479" s="58" t="str">
        <f t="shared" si="89"/>
        <v/>
      </c>
      <c r="P479" s="66" t="str">
        <f>+'Tablas Servicio'!I512</f>
        <v/>
      </c>
      <c r="Q479" s="66" t="str">
        <f>+'Tablas Servicio'!S512</f>
        <v/>
      </c>
      <c r="R479" s="66" t="str">
        <f>+'Tablas Servicio'!T512</f>
        <v/>
      </c>
      <c r="S479" s="66" t="str">
        <f t="shared" si="85"/>
        <v/>
      </c>
      <c r="T479" s="66" t="str">
        <f t="shared" si="94"/>
        <v/>
      </c>
      <c r="U479" s="66" t="str">
        <f t="shared" si="90"/>
        <v/>
      </c>
      <c r="V479" s="81" t="str">
        <f t="shared" si="91"/>
        <v/>
      </c>
      <c r="W479" s="66" t="str">
        <f t="shared" si="92"/>
        <v/>
      </c>
      <c r="X479" s="66" t="str">
        <f t="shared" si="93"/>
        <v/>
      </c>
    </row>
    <row r="480" spans="1:24" x14ac:dyDescent="0.25">
      <c r="A480" t="str">
        <f>+'Tablas Servicio'!B513</f>
        <v/>
      </c>
      <c r="B480" t="str">
        <f>+'Tablas Servicio'!C513</f>
        <v/>
      </c>
      <c r="C480" s="56" t="str">
        <f>+'Tablas Servicio'!D513</f>
        <v/>
      </c>
      <c r="D480" s="58" t="str">
        <f>+'Tablas Servicio'!N513</f>
        <v/>
      </c>
      <c r="E480" s="66" t="str">
        <f>+'Tablas Servicio'!AC513</f>
        <v/>
      </c>
      <c r="F480" s="66" t="str">
        <f>+IF(A480="","",'Tablas Servicio'!O513-'Modelo Financiero'!E480)</f>
        <v/>
      </c>
      <c r="G480" s="58" t="str">
        <f t="shared" si="86"/>
        <v/>
      </c>
      <c r="H480" s="66" t="str">
        <f>+'Tablas Servicio'!G513</f>
        <v/>
      </c>
      <c r="I480" s="72" t="str">
        <f t="shared" si="87"/>
        <v/>
      </c>
      <c r="J480" s="66" t="str">
        <f t="shared" si="88"/>
        <v/>
      </c>
      <c r="K480" s="66" t="str">
        <f>+'Tablas Servicio'!H513</f>
        <v/>
      </c>
      <c r="L480" s="66" t="str">
        <f>+IF(A480="","",ROUND(H480*Parámetros!$D$100,2))</f>
        <v/>
      </c>
      <c r="M480" s="58" t="str">
        <f>+IF(A480="","",IF(AND(A480=1,B480=1),Parámetros!$D$114*(D480*frec-$G$3-$H$3),IF(AND(A480=2,B480=frec+1),Parámetros!$D$115*(D480*frec-$G$4-$H$4),0)))</f>
        <v/>
      </c>
      <c r="N480" s="58" t="str">
        <f>+IF(A480="","",IF(A480&gt;Parámetros!$D$117,0,ROUND('Modelo Financiero'!D480*Parámetros!$D$116,2)))</f>
        <v/>
      </c>
      <c r="O480" s="58" t="str">
        <f t="shared" si="89"/>
        <v/>
      </c>
      <c r="P480" s="66" t="str">
        <f>+'Tablas Servicio'!I513</f>
        <v/>
      </c>
      <c r="Q480" s="66" t="str">
        <f>+'Tablas Servicio'!S513</f>
        <v/>
      </c>
      <c r="R480" s="66" t="str">
        <f>+'Tablas Servicio'!T513</f>
        <v/>
      </c>
      <c r="S480" s="66" t="str">
        <f t="shared" si="85"/>
        <v/>
      </c>
      <c r="T480" s="66" t="str">
        <f t="shared" si="94"/>
        <v/>
      </c>
      <c r="U480" s="66" t="str">
        <f t="shared" si="90"/>
        <v/>
      </c>
      <c r="V480" s="81" t="str">
        <f t="shared" si="91"/>
        <v/>
      </c>
      <c r="W480" s="66" t="str">
        <f t="shared" si="92"/>
        <v/>
      </c>
      <c r="X480" s="66" t="str">
        <f t="shared" si="93"/>
        <v/>
      </c>
    </row>
    <row r="481" spans="1:24" x14ac:dyDescent="0.25">
      <c r="A481" t="str">
        <f>+'Tablas Servicio'!B514</f>
        <v/>
      </c>
      <c r="B481" t="str">
        <f>+'Tablas Servicio'!C514</f>
        <v/>
      </c>
      <c r="C481" s="56" t="str">
        <f>+'Tablas Servicio'!D514</f>
        <v/>
      </c>
      <c r="D481" s="58" t="str">
        <f>+'Tablas Servicio'!N514</f>
        <v/>
      </c>
      <c r="E481" s="66" t="str">
        <f>+'Tablas Servicio'!AC514</f>
        <v/>
      </c>
      <c r="F481" s="66" t="str">
        <f>+IF(A481="","",'Tablas Servicio'!O514-'Modelo Financiero'!E481)</f>
        <v/>
      </c>
      <c r="G481" s="58" t="str">
        <f t="shared" si="86"/>
        <v/>
      </c>
      <c r="H481" s="66" t="str">
        <f>+'Tablas Servicio'!G514</f>
        <v/>
      </c>
      <c r="I481" s="72" t="str">
        <f t="shared" si="87"/>
        <v/>
      </c>
      <c r="J481" s="66" t="str">
        <f t="shared" si="88"/>
        <v/>
      </c>
      <c r="K481" s="66" t="str">
        <f>+'Tablas Servicio'!H514</f>
        <v/>
      </c>
      <c r="L481" s="66" t="str">
        <f>+IF(A481="","",ROUND(H481*Parámetros!$D$100,2))</f>
        <v/>
      </c>
      <c r="M481" s="58" t="str">
        <f>+IF(A481="","",IF(AND(A481=1,B481=1),Parámetros!$D$114*(D481*frec-$G$3-$H$3),IF(AND(A481=2,B481=frec+1),Parámetros!$D$115*(D481*frec-$G$4-$H$4),0)))</f>
        <v/>
      </c>
      <c r="N481" s="58" t="str">
        <f>+IF(A481="","",IF(A481&gt;Parámetros!$D$117,0,ROUND('Modelo Financiero'!D481*Parámetros!$D$116,2)))</f>
        <v/>
      </c>
      <c r="O481" s="58" t="str">
        <f t="shared" si="89"/>
        <v/>
      </c>
      <c r="P481" s="66" t="str">
        <f>+'Tablas Servicio'!I514</f>
        <v/>
      </c>
      <c r="Q481" s="66" t="str">
        <f>+'Tablas Servicio'!S514</f>
        <v/>
      </c>
      <c r="R481" s="66" t="str">
        <f>+'Tablas Servicio'!T514</f>
        <v/>
      </c>
      <c r="S481" s="66" t="str">
        <f t="shared" si="85"/>
        <v/>
      </c>
      <c r="T481" s="66" t="str">
        <f t="shared" si="94"/>
        <v/>
      </c>
      <c r="U481" s="66" t="str">
        <f t="shared" si="90"/>
        <v/>
      </c>
      <c r="V481" s="81" t="str">
        <f t="shared" si="91"/>
        <v/>
      </c>
      <c r="W481" s="66" t="str">
        <f t="shared" si="92"/>
        <v/>
      </c>
      <c r="X481" s="66" t="str">
        <f t="shared" si="93"/>
        <v/>
      </c>
    </row>
    <row r="482" spans="1:24" x14ac:dyDescent="0.25">
      <c r="A482" t="str">
        <f>+'Tablas Servicio'!B515</f>
        <v/>
      </c>
      <c r="B482" t="str">
        <f>+'Tablas Servicio'!C515</f>
        <v/>
      </c>
      <c r="C482" s="56" t="str">
        <f>+'Tablas Servicio'!D515</f>
        <v/>
      </c>
      <c r="D482" s="58" t="str">
        <f>+'Tablas Servicio'!N515</f>
        <v/>
      </c>
      <c r="E482" s="66" t="str">
        <f>+'Tablas Servicio'!AC515</f>
        <v/>
      </c>
      <c r="F482" s="66" t="str">
        <f>+IF(A482="","",'Tablas Servicio'!O515-'Modelo Financiero'!E482)</f>
        <v/>
      </c>
      <c r="G482" s="58" t="str">
        <f t="shared" si="86"/>
        <v/>
      </c>
      <c r="H482" s="66" t="str">
        <f>+'Tablas Servicio'!G515</f>
        <v/>
      </c>
      <c r="I482" s="72" t="str">
        <f t="shared" si="87"/>
        <v/>
      </c>
      <c r="J482" s="66" t="str">
        <f t="shared" si="88"/>
        <v/>
      </c>
      <c r="K482" s="66" t="str">
        <f>+'Tablas Servicio'!H515</f>
        <v/>
      </c>
      <c r="L482" s="66" t="str">
        <f>+IF(A482="","",ROUND(H482*Parámetros!$D$100,2))</f>
        <v/>
      </c>
      <c r="M482" s="58" t="str">
        <f>+IF(A482="","",IF(AND(A482=1,B482=1),Parámetros!$D$114*(D482*frec-$G$3-$H$3),IF(AND(A482=2,B482=frec+1),Parámetros!$D$115*(D482*frec-$G$4-$H$4),0)))</f>
        <v/>
      </c>
      <c r="N482" s="58" t="str">
        <f>+IF(A482="","",IF(A482&gt;Parámetros!$D$117,0,ROUND('Modelo Financiero'!D482*Parámetros!$D$116,2)))</f>
        <v/>
      </c>
      <c r="O482" s="58" t="str">
        <f t="shared" si="89"/>
        <v/>
      </c>
      <c r="P482" s="66" t="str">
        <f>+'Tablas Servicio'!I515</f>
        <v/>
      </c>
      <c r="Q482" s="66" t="str">
        <f>+'Tablas Servicio'!S515</f>
        <v/>
      </c>
      <c r="R482" s="66" t="str">
        <f>+'Tablas Servicio'!T515</f>
        <v/>
      </c>
      <c r="S482" s="66" t="str">
        <f t="shared" si="85"/>
        <v/>
      </c>
      <c r="T482" s="66" t="str">
        <f t="shared" si="94"/>
        <v/>
      </c>
      <c r="U482" s="66" t="str">
        <f t="shared" si="90"/>
        <v/>
      </c>
      <c r="V482" s="81" t="str">
        <f t="shared" si="91"/>
        <v/>
      </c>
      <c r="W482" s="66" t="str">
        <f t="shared" si="92"/>
        <v/>
      </c>
      <c r="X482" s="66" t="str">
        <f t="shared" si="93"/>
        <v/>
      </c>
    </row>
    <row r="483" spans="1:24" x14ac:dyDescent="0.25">
      <c r="A483" t="str">
        <f>+'Tablas Servicio'!B516</f>
        <v/>
      </c>
      <c r="B483" t="str">
        <f>+'Tablas Servicio'!C516</f>
        <v/>
      </c>
      <c r="C483" s="56" t="str">
        <f>+'Tablas Servicio'!D516</f>
        <v/>
      </c>
      <c r="D483" s="58" t="str">
        <f>+'Tablas Servicio'!N516</f>
        <v/>
      </c>
      <c r="E483" s="66" t="str">
        <f>+'Tablas Servicio'!AC516</f>
        <v/>
      </c>
      <c r="F483" s="66" t="str">
        <f>+IF(A483="","",'Tablas Servicio'!O516-'Modelo Financiero'!E483)</f>
        <v/>
      </c>
      <c r="G483" s="58" t="str">
        <f t="shared" si="86"/>
        <v/>
      </c>
      <c r="H483" s="66" t="str">
        <f>+'Tablas Servicio'!G516</f>
        <v/>
      </c>
      <c r="I483" s="72" t="str">
        <f t="shared" si="87"/>
        <v/>
      </c>
      <c r="J483" s="66" t="str">
        <f t="shared" si="88"/>
        <v/>
      </c>
      <c r="K483" s="66" t="str">
        <f>+'Tablas Servicio'!H516</f>
        <v/>
      </c>
      <c r="L483" s="66" t="str">
        <f>+IF(A483="","",ROUND(H483*Parámetros!$D$100,2))</f>
        <v/>
      </c>
      <c r="M483" s="58" t="str">
        <f>+IF(A483="","",IF(AND(A483=1,B483=1),Parámetros!$D$114*(D483*frec-$G$3-$H$3),IF(AND(A483=2,B483=frec+1),Parámetros!$D$115*(D483*frec-$G$4-$H$4),0)))</f>
        <v/>
      </c>
      <c r="N483" s="58" t="str">
        <f>+IF(A483="","",IF(A483&gt;Parámetros!$D$117,0,ROUND('Modelo Financiero'!D483*Parámetros!$D$116,2)))</f>
        <v/>
      </c>
      <c r="O483" s="58" t="str">
        <f t="shared" si="89"/>
        <v/>
      </c>
      <c r="P483" s="66" t="str">
        <f>+'Tablas Servicio'!I516</f>
        <v/>
      </c>
      <c r="Q483" s="66" t="str">
        <f>+'Tablas Servicio'!S516</f>
        <v/>
      </c>
      <c r="R483" s="66" t="str">
        <f>+'Tablas Servicio'!T516</f>
        <v/>
      </c>
      <c r="S483" s="66" t="str">
        <f t="shared" si="85"/>
        <v/>
      </c>
      <c r="T483" s="66" t="str">
        <f t="shared" si="94"/>
        <v/>
      </c>
      <c r="U483" s="66" t="str">
        <f t="shared" si="90"/>
        <v/>
      </c>
      <c r="V483" s="81" t="str">
        <f t="shared" si="91"/>
        <v/>
      </c>
      <c r="W483" s="66" t="str">
        <f t="shared" si="92"/>
        <v/>
      </c>
      <c r="X483" s="66" t="str">
        <f t="shared" si="93"/>
        <v/>
      </c>
    </row>
    <row r="484" spans="1:24" x14ac:dyDescent="0.25">
      <c r="A484" t="str">
        <f>+'Tablas Servicio'!B517</f>
        <v/>
      </c>
      <c r="B484" t="str">
        <f>+'Tablas Servicio'!C517</f>
        <v/>
      </c>
      <c r="C484" s="56" t="str">
        <f>+'Tablas Servicio'!D517</f>
        <v/>
      </c>
      <c r="D484" s="58" t="str">
        <f>+'Tablas Servicio'!N517</f>
        <v/>
      </c>
      <c r="E484" s="66" t="str">
        <f>+'Tablas Servicio'!AC517</f>
        <v/>
      </c>
      <c r="F484" s="66" t="str">
        <f>+IF(A484="","",'Tablas Servicio'!O517-'Modelo Financiero'!E484)</f>
        <v/>
      </c>
      <c r="G484" s="58" t="str">
        <f t="shared" si="86"/>
        <v/>
      </c>
      <c r="H484" s="66" t="str">
        <f>+'Tablas Servicio'!G517</f>
        <v/>
      </c>
      <c r="I484" s="72" t="str">
        <f t="shared" si="87"/>
        <v/>
      </c>
      <c r="J484" s="66" t="str">
        <f t="shared" si="88"/>
        <v/>
      </c>
      <c r="K484" s="66" t="str">
        <f>+'Tablas Servicio'!H517</f>
        <v/>
      </c>
      <c r="L484" s="66" t="str">
        <f>+IF(A484="","",ROUND(H484*Parámetros!$D$100,2))</f>
        <v/>
      </c>
      <c r="M484" s="58" t="str">
        <f>+IF(A484="","",IF(AND(A484=1,B484=1),Parámetros!$D$114*(D484*frec-$G$3-$H$3),IF(AND(A484=2,B484=frec+1),Parámetros!$D$115*(D484*frec-$G$4-$H$4),0)))</f>
        <v/>
      </c>
      <c r="N484" s="58" t="str">
        <f>+IF(A484="","",IF(A484&gt;Parámetros!$D$117,0,ROUND('Modelo Financiero'!D484*Parámetros!$D$116,2)))</f>
        <v/>
      </c>
      <c r="O484" s="58" t="str">
        <f t="shared" si="89"/>
        <v/>
      </c>
      <c r="P484" s="66" t="str">
        <f>+'Tablas Servicio'!I517</f>
        <v/>
      </c>
      <c r="Q484" s="66" t="str">
        <f>+'Tablas Servicio'!S517</f>
        <v/>
      </c>
      <c r="R484" s="66" t="str">
        <f>+'Tablas Servicio'!T517</f>
        <v/>
      </c>
      <c r="S484" s="66" t="str">
        <f t="shared" si="85"/>
        <v/>
      </c>
      <c r="T484" s="66" t="str">
        <f t="shared" si="94"/>
        <v/>
      </c>
      <c r="U484" s="66" t="str">
        <f t="shared" si="90"/>
        <v/>
      </c>
      <c r="V484" s="81" t="str">
        <f t="shared" si="91"/>
        <v/>
      </c>
      <c r="W484" s="66" t="str">
        <f t="shared" si="92"/>
        <v/>
      </c>
      <c r="X484" s="66" t="str">
        <f t="shared" si="93"/>
        <v/>
      </c>
    </row>
    <row r="485" spans="1:24" x14ac:dyDescent="0.25">
      <c r="A485" t="str">
        <f>+'Tablas Servicio'!B518</f>
        <v/>
      </c>
      <c r="B485" t="str">
        <f>+'Tablas Servicio'!C518</f>
        <v/>
      </c>
      <c r="C485" s="56" t="str">
        <f>+'Tablas Servicio'!D518</f>
        <v/>
      </c>
      <c r="D485" s="58" t="str">
        <f>+'Tablas Servicio'!N518</f>
        <v/>
      </c>
      <c r="E485" s="66" t="str">
        <f>+'Tablas Servicio'!AC518</f>
        <v/>
      </c>
      <c r="F485" s="66" t="str">
        <f>+IF(A485="","",'Tablas Servicio'!O518-'Modelo Financiero'!E485)</f>
        <v/>
      </c>
      <c r="G485" s="58" t="str">
        <f t="shared" si="86"/>
        <v/>
      </c>
      <c r="H485" s="66" t="str">
        <f>+'Tablas Servicio'!G518</f>
        <v/>
      </c>
      <c r="I485" s="72" t="str">
        <f t="shared" si="87"/>
        <v/>
      </c>
      <c r="J485" s="66" t="str">
        <f t="shared" si="88"/>
        <v/>
      </c>
      <c r="K485" s="66" t="str">
        <f>+'Tablas Servicio'!H518</f>
        <v/>
      </c>
      <c r="L485" s="66" t="str">
        <f>+IF(A485="","",ROUND(H485*Parámetros!$D$100,2))</f>
        <v/>
      </c>
      <c r="M485" s="58" t="str">
        <f>+IF(A485="","",IF(AND(A485=1,B485=1),Parámetros!$D$114*(D485*frec-$G$3-$H$3),IF(AND(A485=2,B485=frec+1),Parámetros!$D$115*(D485*frec-$G$4-$H$4),0)))</f>
        <v/>
      </c>
      <c r="N485" s="58" t="str">
        <f>+IF(A485="","",IF(A485&gt;Parámetros!$D$117,0,ROUND('Modelo Financiero'!D485*Parámetros!$D$116,2)))</f>
        <v/>
      </c>
      <c r="O485" s="58" t="str">
        <f t="shared" si="89"/>
        <v/>
      </c>
      <c r="P485" s="66" t="str">
        <f>+'Tablas Servicio'!I518</f>
        <v/>
      </c>
      <c r="Q485" s="66" t="str">
        <f>+'Tablas Servicio'!S518</f>
        <v/>
      </c>
      <c r="R485" s="66" t="str">
        <f>+'Tablas Servicio'!T518</f>
        <v/>
      </c>
      <c r="S485" s="66" t="str">
        <f t="shared" si="85"/>
        <v/>
      </c>
      <c r="T485" s="66" t="str">
        <f t="shared" si="94"/>
        <v/>
      </c>
      <c r="U485" s="66" t="str">
        <f t="shared" si="90"/>
        <v/>
      </c>
      <c r="V485" s="81" t="str">
        <f t="shared" si="91"/>
        <v/>
      </c>
      <c r="W485" s="66" t="str">
        <f t="shared" si="92"/>
        <v/>
      </c>
      <c r="X485" s="66" t="str">
        <f t="shared" si="93"/>
        <v/>
      </c>
    </row>
    <row r="486" spans="1:24" x14ac:dyDescent="0.25">
      <c r="A486" t="str">
        <f>+'Tablas Servicio'!B519</f>
        <v/>
      </c>
      <c r="B486" t="str">
        <f>+'Tablas Servicio'!C519</f>
        <v/>
      </c>
      <c r="C486" s="56" t="str">
        <f>+'Tablas Servicio'!D519</f>
        <v/>
      </c>
      <c r="D486" s="58" t="str">
        <f>+'Tablas Servicio'!N519</f>
        <v/>
      </c>
      <c r="E486" s="66" t="str">
        <f>+'Tablas Servicio'!AC519</f>
        <v/>
      </c>
      <c r="F486" s="66" t="str">
        <f>+IF(A486="","",'Tablas Servicio'!O519-'Modelo Financiero'!E486)</f>
        <v/>
      </c>
      <c r="G486" s="58" t="str">
        <f t="shared" si="86"/>
        <v/>
      </c>
      <c r="H486" s="66" t="str">
        <f>+'Tablas Servicio'!G519</f>
        <v/>
      </c>
      <c r="I486" s="72" t="str">
        <f t="shared" si="87"/>
        <v/>
      </c>
      <c r="J486" s="66" t="str">
        <f t="shared" si="88"/>
        <v/>
      </c>
      <c r="K486" s="66" t="str">
        <f>+'Tablas Servicio'!H519</f>
        <v/>
      </c>
      <c r="L486" s="66" t="str">
        <f>+IF(A486="","",ROUND(H486*Parámetros!$D$100,2))</f>
        <v/>
      </c>
      <c r="M486" s="58" t="str">
        <f>+IF(A486="","",IF(AND(A486=1,B486=1),Parámetros!$D$114*(D486*frec-$G$3-$H$3),IF(AND(A486=2,B486=frec+1),Parámetros!$D$115*(D486*frec-$G$4-$H$4),0)))</f>
        <v/>
      </c>
      <c r="N486" s="58" t="str">
        <f>+IF(A486="","",IF(A486&gt;Parámetros!$D$117,0,ROUND('Modelo Financiero'!D486*Parámetros!$D$116,2)))</f>
        <v/>
      </c>
      <c r="O486" s="58" t="str">
        <f t="shared" si="89"/>
        <v/>
      </c>
      <c r="P486" s="66" t="str">
        <f>+'Tablas Servicio'!I519</f>
        <v/>
      </c>
      <c r="Q486" s="66" t="str">
        <f>+'Tablas Servicio'!S519</f>
        <v/>
      </c>
      <c r="R486" s="66" t="str">
        <f>+'Tablas Servicio'!T519</f>
        <v/>
      </c>
      <c r="S486" s="66" t="str">
        <f t="shared" si="85"/>
        <v/>
      </c>
      <c r="T486" s="66" t="str">
        <f t="shared" si="94"/>
        <v/>
      </c>
      <c r="U486" s="66" t="str">
        <f t="shared" si="90"/>
        <v/>
      </c>
      <c r="V486" s="81" t="str">
        <f t="shared" si="91"/>
        <v/>
      </c>
      <c r="W486" s="66" t="str">
        <f t="shared" si="92"/>
        <v/>
      </c>
      <c r="X486" s="66" t="str">
        <f t="shared" si="93"/>
        <v/>
      </c>
    </row>
    <row r="487" spans="1:24" x14ac:dyDescent="0.25">
      <c r="A487" t="str">
        <f>+'Tablas Servicio'!B520</f>
        <v/>
      </c>
      <c r="B487" t="str">
        <f>+'Tablas Servicio'!C520</f>
        <v/>
      </c>
      <c r="C487" s="56" t="str">
        <f>+'Tablas Servicio'!D520</f>
        <v/>
      </c>
      <c r="D487" s="58" t="str">
        <f>+'Tablas Servicio'!N520</f>
        <v/>
      </c>
      <c r="E487" s="66" t="str">
        <f>+'Tablas Servicio'!AC520</f>
        <v/>
      </c>
      <c r="F487" s="66" t="str">
        <f>+IF(A487="","",'Tablas Servicio'!O520-'Modelo Financiero'!E487)</f>
        <v/>
      </c>
      <c r="G487" s="58" t="str">
        <f t="shared" si="86"/>
        <v/>
      </c>
      <c r="H487" s="66" t="str">
        <f>+'Tablas Servicio'!G520</f>
        <v/>
      </c>
      <c r="I487" s="72" t="str">
        <f t="shared" si="87"/>
        <v/>
      </c>
      <c r="J487" s="66" t="str">
        <f t="shared" si="88"/>
        <v/>
      </c>
      <c r="K487" s="66" t="str">
        <f>+'Tablas Servicio'!H520</f>
        <v/>
      </c>
      <c r="L487" s="66" t="str">
        <f>+IF(A487="","",ROUND(H487*Parámetros!$D$100,2))</f>
        <v/>
      </c>
      <c r="M487" s="58" t="str">
        <f>+IF(A487="","",IF(AND(A487=1,B487=1),Parámetros!$D$114*(D487*frec-$G$3-$H$3),IF(AND(A487=2,B487=frec+1),Parámetros!$D$115*(D487*frec-$G$4-$H$4),0)))</f>
        <v/>
      </c>
      <c r="N487" s="58" t="str">
        <f>+IF(A487="","",IF(A487&gt;Parámetros!$D$117,0,ROUND('Modelo Financiero'!D487*Parámetros!$D$116,2)))</f>
        <v/>
      </c>
      <c r="O487" s="58" t="str">
        <f t="shared" si="89"/>
        <v/>
      </c>
      <c r="P487" s="66" t="str">
        <f>+'Tablas Servicio'!I520</f>
        <v/>
      </c>
      <c r="Q487" s="66" t="str">
        <f>+'Tablas Servicio'!S520</f>
        <v/>
      </c>
      <c r="R487" s="66" t="str">
        <f>+'Tablas Servicio'!T520</f>
        <v/>
      </c>
      <c r="S487" s="66" t="str">
        <f t="shared" si="85"/>
        <v/>
      </c>
      <c r="T487" s="66" t="str">
        <f t="shared" si="94"/>
        <v/>
      </c>
      <c r="U487" s="66" t="str">
        <f t="shared" si="90"/>
        <v/>
      </c>
      <c r="V487" s="81" t="str">
        <f t="shared" si="91"/>
        <v/>
      </c>
      <c r="W487" s="66" t="str">
        <f t="shared" si="92"/>
        <v/>
      </c>
      <c r="X487" s="66" t="str">
        <f t="shared" si="93"/>
        <v/>
      </c>
    </row>
    <row r="488" spans="1:24" x14ac:dyDescent="0.25">
      <c r="A488" t="str">
        <f>+'Tablas Servicio'!B521</f>
        <v/>
      </c>
      <c r="B488" t="str">
        <f>+'Tablas Servicio'!C521</f>
        <v/>
      </c>
      <c r="C488" s="56" t="str">
        <f>+'Tablas Servicio'!D521</f>
        <v/>
      </c>
      <c r="D488" s="58" t="str">
        <f>+'Tablas Servicio'!N521</f>
        <v/>
      </c>
      <c r="E488" s="66" t="str">
        <f>+'Tablas Servicio'!AC521</f>
        <v/>
      </c>
      <c r="F488" s="66" t="str">
        <f>+IF(A488="","",'Tablas Servicio'!O521-'Modelo Financiero'!E488)</f>
        <v/>
      </c>
      <c r="G488" s="58" t="str">
        <f t="shared" si="86"/>
        <v/>
      </c>
      <c r="H488" s="66" t="str">
        <f>+'Tablas Servicio'!G521</f>
        <v/>
      </c>
      <c r="I488" s="72" t="str">
        <f t="shared" si="87"/>
        <v/>
      </c>
      <c r="J488" s="66" t="str">
        <f t="shared" si="88"/>
        <v/>
      </c>
      <c r="K488" s="66" t="str">
        <f>+'Tablas Servicio'!H521</f>
        <v/>
      </c>
      <c r="L488" s="66" t="str">
        <f>+IF(A488="","",ROUND(H488*Parámetros!$D$100,2))</f>
        <v/>
      </c>
      <c r="M488" s="58" t="str">
        <f>+IF(A488="","",IF(AND(A488=1,B488=1),Parámetros!$D$114*(D488*frec-$G$3-$H$3),IF(AND(A488=2,B488=frec+1),Parámetros!$D$115*(D488*frec-$G$4-$H$4),0)))</f>
        <v/>
      </c>
      <c r="N488" s="58" t="str">
        <f>+IF(A488="","",IF(A488&gt;Parámetros!$D$117,0,ROUND('Modelo Financiero'!D488*Parámetros!$D$116,2)))</f>
        <v/>
      </c>
      <c r="O488" s="58" t="str">
        <f t="shared" si="89"/>
        <v/>
      </c>
      <c r="P488" s="66" t="str">
        <f>+'Tablas Servicio'!I521</f>
        <v/>
      </c>
      <c r="Q488" s="66" t="str">
        <f>+'Tablas Servicio'!S521</f>
        <v/>
      </c>
      <c r="R488" s="66" t="str">
        <f>+'Tablas Servicio'!T521</f>
        <v/>
      </c>
      <c r="S488" s="66" t="str">
        <f t="shared" si="85"/>
        <v/>
      </c>
      <c r="T488" s="66" t="str">
        <f t="shared" si="94"/>
        <v/>
      </c>
      <c r="U488" s="66" t="str">
        <f t="shared" si="90"/>
        <v/>
      </c>
      <c r="V488" s="81" t="str">
        <f t="shared" si="91"/>
        <v/>
      </c>
      <c r="W488" s="66" t="str">
        <f t="shared" si="92"/>
        <v/>
      </c>
      <c r="X488" s="66" t="str">
        <f t="shared" si="93"/>
        <v/>
      </c>
    </row>
    <row r="489" spans="1:24" x14ac:dyDescent="0.25">
      <c r="A489" t="str">
        <f>+'Tablas Servicio'!B522</f>
        <v/>
      </c>
      <c r="B489" t="str">
        <f>+'Tablas Servicio'!C522</f>
        <v/>
      </c>
      <c r="C489" s="56" t="str">
        <f>+'Tablas Servicio'!D522</f>
        <v/>
      </c>
      <c r="D489" s="58" t="str">
        <f>+'Tablas Servicio'!N522</f>
        <v/>
      </c>
      <c r="E489" s="66" t="str">
        <f>+'Tablas Servicio'!AC522</f>
        <v/>
      </c>
      <c r="F489" s="66" t="str">
        <f>+IF(A489="","",'Tablas Servicio'!O522-'Modelo Financiero'!E489)</f>
        <v/>
      </c>
      <c r="G489" s="58" t="str">
        <f t="shared" si="86"/>
        <v/>
      </c>
      <c r="H489" s="66" t="str">
        <f>+'Tablas Servicio'!G522</f>
        <v/>
      </c>
      <c r="I489" s="72" t="str">
        <f t="shared" si="87"/>
        <v/>
      </c>
      <c r="J489" s="66" t="str">
        <f t="shared" si="88"/>
        <v/>
      </c>
      <c r="K489" s="66" t="str">
        <f>+'Tablas Servicio'!H522</f>
        <v/>
      </c>
      <c r="L489" s="66" t="str">
        <f>+IF(A489="","",ROUND(H489*Parámetros!$D$100,2))</f>
        <v/>
      </c>
      <c r="M489" s="58" t="str">
        <f>+IF(A489="","",IF(AND(A489=1,B489=1),Parámetros!$D$114*(D489*frec-$G$3-$H$3),IF(AND(A489=2,B489=frec+1),Parámetros!$D$115*(D489*frec-$G$4-$H$4),0)))</f>
        <v/>
      </c>
      <c r="N489" s="58" t="str">
        <f>+IF(A489="","",IF(A489&gt;Parámetros!$D$117,0,ROUND('Modelo Financiero'!D489*Parámetros!$D$116,2)))</f>
        <v/>
      </c>
      <c r="O489" s="58" t="str">
        <f t="shared" si="89"/>
        <v/>
      </c>
      <c r="P489" s="66" t="str">
        <f>+'Tablas Servicio'!I522</f>
        <v/>
      </c>
      <c r="Q489" s="66" t="str">
        <f>+'Tablas Servicio'!S522</f>
        <v/>
      </c>
      <c r="R489" s="66" t="str">
        <f>+'Tablas Servicio'!T522</f>
        <v/>
      </c>
      <c r="S489" s="66" t="str">
        <f t="shared" si="85"/>
        <v/>
      </c>
      <c r="T489" s="66" t="str">
        <f t="shared" si="94"/>
        <v/>
      </c>
      <c r="U489" s="66" t="str">
        <f t="shared" si="90"/>
        <v/>
      </c>
      <c r="V489" s="81" t="str">
        <f t="shared" si="91"/>
        <v/>
      </c>
      <c r="W489" s="66" t="str">
        <f t="shared" si="92"/>
        <v/>
      </c>
      <c r="X489" s="66" t="str">
        <f t="shared" si="93"/>
        <v/>
      </c>
    </row>
    <row r="490" spans="1:24" x14ac:dyDescent="0.25">
      <c r="A490" t="str">
        <f>+'Tablas Servicio'!B523</f>
        <v/>
      </c>
      <c r="B490" t="str">
        <f>+'Tablas Servicio'!C523</f>
        <v/>
      </c>
      <c r="C490" s="56" t="str">
        <f>+'Tablas Servicio'!D523</f>
        <v/>
      </c>
      <c r="D490" s="58" t="str">
        <f>+'Tablas Servicio'!N523</f>
        <v/>
      </c>
      <c r="E490" s="66" t="str">
        <f>+'Tablas Servicio'!AC523</f>
        <v/>
      </c>
      <c r="F490" s="66" t="str">
        <f>+IF(A490="","",'Tablas Servicio'!O523-'Modelo Financiero'!E490)</f>
        <v/>
      </c>
      <c r="G490" s="58" t="str">
        <f t="shared" si="86"/>
        <v/>
      </c>
      <c r="H490" s="66" t="str">
        <f>+'Tablas Servicio'!G523</f>
        <v/>
      </c>
      <c r="I490" s="72" t="str">
        <f t="shared" si="87"/>
        <v/>
      </c>
      <c r="J490" s="66" t="str">
        <f t="shared" si="88"/>
        <v/>
      </c>
      <c r="K490" s="66" t="str">
        <f>+'Tablas Servicio'!H523</f>
        <v/>
      </c>
      <c r="L490" s="66" t="str">
        <f>+IF(A490="","",ROUND(H490*Parámetros!$D$100,2))</f>
        <v/>
      </c>
      <c r="M490" s="58" t="str">
        <f>+IF(A490="","",IF(AND(A490=1,B490=1),Parámetros!$D$114*(D490*frec-$G$3-$H$3),IF(AND(A490=2,B490=frec+1),Parámetros!$D$115*(D490*frec-$G$4-$H$4),0)))</f>
        <v/>
      </c>
      <c r="N490" s="58" t="str">
        <f>+IF(A490="","",IF(A490&gt;Parámetros!$D$117,0,ROUND('Modelo Financiero'!D490*Parámetros!$D$116,2)))</f>
        <v/>
      </c>
      <c r="O490" s="58" t="str">
        <f t="shared" si="89"/>
        <v/>
      </c>
      <c r="P490" s="66" t="str">
        <f>+'Tablas Servicio'!I523</f>
        <v/>
      </c>
      <c r="Q490" s="66" t="str">
        <f>+'Tablas Servicio'!S523</f>
        <v/>
      </c>
      <c r="R490" s="66" t="str">
        <f>+'Tablas Servicio'!T523</f>
        <v/>
      </c>
      <c r="S490" s="66" t="str">
        <f t="shared" si="85"/>
        <v/>
      </c>
      <c r="T490" s="66" t="str">
        <f t="shared" si="94"/>
        <v/>
      </c>
      <c r="U490" s="66" t="str">
        <f t="shared" si="90"/>
        <v/>
      </c>
      <c r="V490" s="81" t="str">
        <f t="shared" si="91"/>
        <v/>
      </c>
      <c r="W490" s="66" t="str">
        <f t="shared" si="92"/>
        <v/>
      </c>
      <c r="X490" s="66" t="str">
        <f t="shared" si="93"/>
        <v/>
      </c>
    </row>
    <row r="491" spans="1:24" x14ac:dyDescent="0.25">
      <c r="A491" t="str">
        <f>+'Tablas Servicio'!B524</f>
        <v/>
      </c>
      <c r="B491" t="str">
        <f>+'Tablas Servicio'!C524</f>
        <v/>
      </c>
      <c r="C491" s="56" t="str">
        <f>+'Tablas Servicio'!D524</f>
        <v/>
      </c>
      <c r="D491" s="58" t="str">
        <f>+'Tablas Servicio'!N524</f>
        <v/>
      </c>
      <c r="E491" s="66" t="str">
        <f>+'Tablas Servicio'!AC524</f>
        <v/>
      </c>
      <c r="F491" s="66" t="str">
        <f>+IF(A491="","",'Tablas Servicio'!O524-'Modelo Financiero'!E491)</f>
        <v/>
      </c>
      <c r="G491" s="58" t="str">
        <f t="shared" si="86"/>
        <v/>
      </c>
      <c r="H491" s="66" t="str">
        <f>+'Tablas Servicio'!G524</f>
        <v/>
      </c>
      <c r="I491" s="72" t="str">
        <f t="shared" si="87"/>
        <v/>
      </c>
      <c r="J491" s="66" t="str">
        <f t="shared" si="88"/>
        <v/>
      </c>
      <c r="K491" s="66" t="str">
        <f>+'Tablas Servicio'!H524</f>
        <v/>
      </c>
      <c r="L491" s="66" t="str">
        <f>+IF(A491="","",ROUND(H491*Parámetros!$D$100,2))</f>
        <v/>
      </c>
      <c r="M491" s="58" t="str">
        <f>+IF(A491="","",IF(AND(A491=1,B491=1),Parámetros!$D$114*(D491*frec-$G$3-$H$3),IF(AND(A491=2,B491=frec+1),Parámetros!$D$115*(D491*frec-$G$4-$H$4),0)))</f>
        <v/>
      </c>
      <c r="N491" s="58" t="str">
        <f>+IF(A491="","",IF(A491&gt;Parámetros!$D$117,0,ROUND('Modelo Financiero'!D491*Parámetros!$D$116,2)))</f>
        <v/>
      </c>
      <c r="O491" s="58" t="str">
        <f t="shared" si="89"/>
        <v/>
      </c>
      <c r="P491" s="66" t="str">
        <f>+'Tablas Servicio'!I524</f>
        <v/>
      </c>
      <c r="Q491" s="66" t="str">
        <f>+'Tablas Servicio'!S524</f>
        <v/>
      </c>
      <c r="R491" s="66" t="str">
        <f>+'Tablas Servicio'!T524</f>
        <v/>
      </c>
      <c r="S491" s="66" t="str">
        <f t="shared" si="85"/>
        <v/>
      </c>
      <c r="T491" s="66" t="str">
        <f t="shared" si="94"/>
        <v/>
      </c>
      <c r="U491" s="66" t="str">
        <f t="shared" si="90"/>
        <v/>
      </c>
      <c r="V491" s="81" t="str">
        <f t="shared" si="91"/>
        <v/>
      </c>
      <c r="W491" s="66" t="str">
        <f t="shared" si="92"/>
        <v/>
      </c>
      <c r="X491" s="66" t="str">
        <f t="shared" si="93"/>
        <v/>
      </c>
    </row>
    <row r="492" spans="1:24" x14ac:dyDescent="0.25">
      <c r="A492" t="str">
        <f>+'Tablas Servicio'!B525</f>
        <v/>
      </c>
      <c r="B492" t="str">
        <f>+'Tablas Servicio'!C525</f>
        <v/>
      </c>
      <c r="C492" s="56" t="str">
        <f>+'Tablas Servicio'!D525</f>
        <v/>
      </c>
      <c r="D492" s="58" t="str">
        <f>+'Tablas Servicio'!N525</f>
        <v/>
      </c>
      <c r="E492" s="66" t="str">
        <f>+'Tablas Servicio'!AC525</f>
        <v/>
      </c>
      <c r="F492" s="66" t="str">
        <f>+IF(A492="","",'Tablas Servicio'!O525-'Modelo Financiero'!E492)</f>
        <v/>
      </c>
      <c r="G492" s="58" t="str">
        <f t="shared" si="86"/>
        <v/>
      </c>
      <c r="H492" s="66" t="str">
        <f>+'Tablas Servicio'!G525</f>
        <v/>
      </c>
      <c r="I492" s="72" t="str">
        <f t="shared" si="87"/>
        <v/>
      </c>
      <c r="J492" s="66" t="str">
        <f t="shared" si="88"/>
        <v/>
      </c>
      <c r="K492" s="66" t="str">
        <f>+'Tablas Servicio'!H525</f>
        <v/>
      </c>
      <c r="L492" s="66" t="str">
        <f>+IF(A492="","",ROUND(H492*Parámetros!$D$100,2))</f>
        <v/>
      </c>
      <c r="M492" s="58" t="str">
        <f>+IF(A492="","",IF(AND(A492=1,B492=1),Parámetros!$D$114*(D492*frec-$G$3-$H$3),IF(AND(A492=2,B492=frec+1),Parámetros!$D$115*(D492*frec-$G$4-$H$4),0)))</f>
        <v/>
      </c>
      <c r="N492" s="58" t="str">
        <f>+IF(A492="","",IF(A492&gt;Parámetros!$D$117,0,ROUND('Modelo Financiero'!D492*Parámetros!$D$116,2)))</f>
        <v/>
      </c>
      <c r="O492" s="58" t="str">
        <f t="shared" si="89"/>
        <v/>
      </c>
      <c r="P492" s="66" t="str">
        <f>+'Tablas Servicio'!I525</f>
        <v/>
      </c>
      <c r="Q492" s="66" t="str">
        <f>+'Tablas Servicio'!S525</f>
        <v/>
      </c>
      <c r="R492" s="66" t="str">
        <f>+'Tablas Servicio'!T525</f>
        <v/>
      </c>
      <c r="S492" s="66" t="str">
        <f t="shared" si="85"/>
        <v/>
      </c>
      <c r="T492" s="66" t="str">
        <f t="shared" si="94"/>
        <v/>
      </c>
      <c r="U492" s="66" t="str">
        <f t="shared" si="90"/>
        <v/>
      </c>
      <c r="V492" s="81" t="str">
        <f t="shared" si="91"/>
        <v/>
      </c>
      <c r="W492" s="66" t="str">
        <f t="shared" si="92"/>
        <v/>
      </c>
      <c r="X492" s="66" t="str">
        <f t="shared" si="93"/>
        <v/>
      </c>
    </row>
    <row r="493" spans="1:24" x14ac:dyDescent="0.25">
      <c r="A493" t="str">
        <f>+'Tablas Servicio'!B526</f>
        <v/>
      </c>
      <c r="B493" t="str">
        <f>+'Tablas Servicio'!C526</f>
        <v/>
      </c>
      <c r="C493" s="56" t="str">
        <f>+'Tablas Servicio'!D526</f>
        <v/>
      </c>
      <c r="D493" s="58" t="str">
        <f>+'Tablas Servicio'!N526</f>
        <v/>
      </c>
      <c r="E493" s="66" t="str">
        <f>+'Tablas Servicio'!AC526</f>
        <v/>
      </c>
      <c r="F493" s="66" t="str">
        <f>+IF(A493="","",'Tablas Servicio'!O526-'Modelo Financiero'!E493)</f>
        <v/>
      </c>
      <c r="G493" s="58" t="str">
        <f t="shared" si="86"/>
        <v/>
      </c>
      <c r="H493" s="66" t="str">
        <f>+'Tablas Servicio'!G526</f>
        <v/>
      </c>
      <c r="I493" s="72" t="str">
        <f t="shared" si="87"/>
        <v/>
      </c>
      <c r="J493" s="66" t="str">
        <f t="shared" si="88"/>
        <v/>
      </c>
      <c r="K493" s="66" t="str">
        <f>+'Tablas Servicio'!H526</f>
        <v/>
      </c>
      <c r="L493" s="66" t="str">
        <f>+IF(A493="","",ROUND(H493*Parámetros!$D$100,2))</f>
        <v/>
      </c>
      <c r="M493" s="58" t="str">
        <f>+IF(A493="","",IF(AND(A493=1,B493=1),Parámetros!$D$114*(D493*frec-$G$3-$H$3),IF(AND(A493=2,B493=frec+1),Parámetros!$D$115*(D493*frec-$G$4-$H$4),0)))</f>
        <v/>
      </c>
      <c r="N493" s="58" t="str">
        <f>+IF(A493="","",IF(A493&gt;Parámetros!$D$117,0,ROUND('Modelo Financiero'!D493*Parámetros!$D$116,2)))</f>
        <v/>
      </c>
      <c r="O493" s="58" t="str">
        <f t="shared" si="89"/>
        <v/>
      </c>
      <c r="P493" s="66" t="str">
        <f>+'Tablas Servicio'!I526</f>
        <v/>
      </c>
      <c r="Q493" s="66" t="str">
        <f>+'Tablas Servicio'!S526</f>
        <v/>
      </c>
      <c r="R493" s="66" t="str">
        <f>+'Tablas Servicio'!T526</f>
        <v/>
      </c>
      <c r="S493" s="66" t="str">
        <f t="shared" si="85"/>
        <v/>
      </c>
      <c r="T493" s="66" t="str">
        <f t="shared" si="94"/>
        <v/>
      </c>
      <c r="U493" s="66" t="str">
        <f t="shared" si="90"/>
        <v/>
      </c>
      <c r="V493" s="81" t="str">
        <f t="shared" si="91"/>
        <v/>
      </c>
      <c r="W493" s="66" t="str">
        <f t="shared" si="92"/>
        <v/>
      </c>
      <c r="X493" s="66" t="str">
        <f t="shared" si="93"/>
        <v/>
      </c>
    </row>
    <row r="494" spans="1:24" x14ac:dyDescent="0.25">
      <c r="A494" t="str">
        <f>+'Tablas Servicio'!B527</f>
        <v/>
      </c>
      <c r="B494" t="str">
        <f>+'Tablas Servicio'!C527</f>
        <v/>
      </c>
      <c r="C494" s="56" t="str">
        <f>+'Tablas Servicio'!D527</f>
        <v/>
      </c>
      <c r="D494" s="58" t="str">
        <f>+'Tablas Servicio'!N527</f>
        <v/>
      </c>
      <c r="E494" s="66" t="str">
        <f>+'Tablas Servicio'!AC527</f>
        <v/>
      </c>
      <c r="F494" s="66" t="str">
        <f>+IF(A494="","",'Tablas Servicio'!O527-'Modelo Financiero'!E494)</f>
        <v/>
      </c>
      <c r="G494" s="58" t="str">
        <f t="shared" si="86"/>
        <v/>
      </c>
      <c r="H494" s="66" t="str">
        <f>+'Tablas Servicio'!G527</f>
        <v/>
      </c>
      <c r="I494" s="72" t="str">
        <f t="shared" si="87"/>
        <v/>
      </c>
      <c r="J494" s="66" t="str">
        <f t="shared" si="88"/>
        <v/>
      </c>
      <c r="K494" s="66" t="str">
        <f>+'Tablas Servicio'!H527</f>
        <v/>
      </c>
      <c r="L494" s="66" t="str">
        <f>+IF(A494="","",ROUND(H494*Parámetros!$D$100,2))</f>
        <v/>
      </c>
      <c r="M494" s="58" t="str">
        <f>+IF(A494="","",IF(AND(A494=1,B494=1),Parámetros!$D$114*(D494*frec-$G$3-$H$3),IF(AND(A494=2,B494=frec+1),Parámetros!$D$115*(D494*frec-$G$4-$H$4),0)))</f>
        <v/>
      </c>
      <c r="N494" s="58" t="str">
        <f>+IF(A494="","",IF(A494&gt;Parámetros!$D$117,0,ROUND('Modelo Financiero'!D494*Parámetros!$D$116,2)))</f>
        <v/>
      </c>
      <c r="O494" s="58" t="str">
        <f t="shared" si="89"/>
        <v/>
      </c>
      <c r="P494" s="66" t="str">
        <f>+'Tablas Servicio'!I527</f>
        <v/>
      </c>
      <c r="Q494" s="66" t="str">
        <f>+'Tablas Servicio'!S527</f>
        <v/>
      </c>
      <c r="R494" s="66" t="str">
        <f>+'Tablas Servicio'!T527</f>
        <v/>
      </c>
      <c r="S494" s="66" t="str">
        <f t="shared" si="85"/>
        <v/>
      </c>
      <c r="T494" s="66" t="str">
        <f t="shared" si="94"/>
        <v/>
      </c>
      <c r="U494" s="66" t="str">
        <f t="shared" si="90"/>
        <v/>
      </c>
      <c r="V494" s="81" t="str">
        <f t="shared" si="91"/>
        <v/>
      </c>
      <c r="W494" s="66" t="str">
        <f t="shared" si="92"/>
        <v/>
      </c>
      <c r="X494" s="66" t="str">
        <f t="shared" si="93"/>
        <v/>
      </c>
    </row>
    <row r="495" spans="1:24" x14ac:dyDescent="0.25">
      <c r="A495" t="str">
        <f>+'Tablas Servicio'!B528</f>
        <v/>
      </c>
      <c r="B495" t="str">
        <f>+'Tablas Servicio'!C528</f>
        <v/>
      </c>
      <c r="C495" s="56" t="str">
        <f>+'Tablas Servicio'!D528</f>
        <v/>
      </c>
      <c r="D495" s="58" t="str">
        <f>+'Tablas Servicio'!N528</f>
        <v/>
      </c>
      <c r="E495" s="66" t="str">
        <f>+'Tablas Servicio'!AC528</f>
        <v/>
      </c>
      <c r="F495" s="66" t="str">
        <f>+IF(A495="","",'Tablas Servicio'!O528-'Modelo Financiero'!E495)</f>
        <v/>
      </c>
      <c r="G495" s="58" t="str">
        <f t="shared" si="86"/>
        <v/>
      </c>
      <c r="H495" s="66" t="str">
        <f>+'Tablas Servicio'!G528</f>
        <v/>
      </c>
      <c r="I495" s="72" t="str">
        <f t="shared" si="87"/>
        <v/>
      </c>
      <c r="J495" s="66" t="str">
        <f t="shared" si="88"/>
        <v/>
      </c>
      <c r="K495" s="66" t="str">
        <f>+'Tablas Servicio'!H528</f>
        <v/>
      </c>
      <c r="L495" s="66" t="str">
        <f>+IF(A495="","",ROUND(H495*Parámetros!$D$100,2))</f>
        <v/>
      </c>
      <c r="M495" s="58" t="str">
        <f>+IF(A495="","",IF(AND(A495=1,B495=1),Parámetros!$D$114*(D495*frec-$G$3-$H$3),IF(AND(A495=2,B495=frec+1),Parámetros!$D$115*(D495*frec-$G$4-$H$4),0)))</f>
        <v/>
      </c>
      <c r="N495" s="58" t="str">
        <f>+IF(A495="","",IF(A495&gt;Parámetros!$D$117,0,ROUND('Modelo Financiero'!D495*Parámetros!$D$116,2)))</f>
        <v/>
      </c>
      <c r="O495" s="58" t="str">
        <f t="shared" si="89"/>
        <v/>
      </c>
      <c r="P495" s="66" t="str">
        <f>+'Tablas Servicio'!I528</f>
        <v/>
      </c>
      <c r="Q495" s="66" t="str">
        <f>+'Tablas Servicio'!S528</f>
        <v/>
      </c>
      <c r="R495" s="66" t="str">
        <f>+'Tablas Servicio'!T528</f>
        <v/>
      </c>
      <c r="S495" s="66" t="str">
        <f t="shared" si="85"/>
        <v/>
      </c>
      <c r="T495" s="66" t="str">
        <f t="shared" si="94"/>
        <v/>
      </c>
      <c r="U495" s="66" t="str">
        <f t="shared" si="90"/>
        <v/>
      </c>
      <c r="V495" s="81" t="str">
        <f t="shared" si="91"/>
        <v/>
      </c>
      <c r="W495" s="66" t="str">
        <f t="shared" si="92"/>
        <v/>
      </c>
      <c r="X495" s="66" t="str">
        <f t="shared" si="93"/>
        <v/>
      </c>
    </row>
    <row r="496" spans="1:24" x14ac:dyDescent="0.25">
      <c r="A496" t="str">
        <f>+'Tablas Servicio'!B529</f>
        <v/>
      </c>
      <c r="B496" t="str">
        <f>+'Tablas Servicio'!C529</f>
        <v/>
      </c>
      <c r="C496" s="56" t="str">
        <f>+'Tablas Servicio'!D529</f>
        <v/>
      </c>
      <c r="D496" s="58" t="str">
        <f>+'Tablas Servicio'!N529</f>
        <v/>
      </c>
      <c r="E496" s="66" t="str">
        <f>+'Tablas Servicio'!AC529</f>
        <v/>
      </c>
      <c r="F496" s="66" t="str">
        <f>+IF(A496="","",'Tablas Servicio'!O529-'Modelo Financiero'!E496)</f>
        <v/>
      </c>
      <c r="G496" s="58" t="str">
        <f t="shared" si="86"/>
        <v/>
      </c>
      <c r="H496" s="66" t="str">
        <f>+'Tablas Servicio'!G529</f>
        <v/>
      </c>
      <c r="I496" s="72" t="str">
        <f t="shared" si="87"/>
        <v/>
      </c>
      <c r="J496" s="66" t="str">
        <f t="shared" si="88"/>
        <v/>
      </c>
      <c r="K496" s="66" t="str">
        <f>+'Tablas Servicio'!H529</f>
        <v/>
      </c>
      <c r="L496" s="66" t="str">
        <f>+IF(A496="","",ROUND(H496*Parámetros!$D$100,2))</f>
        <v/>
      </c>
      <c r="M496" s="58" t="str">
        <f>+IF(A496="","",IF(AND(A496=1,B496=1),Parámetros!$D$114*(D496*frec-$G$3-$H$3),IF(AND(A496=2,B496=frec+1),Parámetros!$D$115*(D496*frec-$G$4-$H$4),0)))</f>
        <v/>
      </c>
      <c r="N496" s="58" t="str">
        <f>+IF(A496="","",IF(A496&gt;Parámetros!$D$117,0,ROUND('Modelo Financiero'!D496*Parámetros!$D$116,2)))</f>
        <v/>
      </c>
      <c r="O496" s="58" t="str">
        <f t="shared" si="89"/>
        <v/>
      </c>
      <c r="P496" s="66" t="str">
        <f>+'Tablas Servicio'!I529</f>
        <v/>
      </c>
      <c r="Q496" s="66" t="str">
        <f>+'Tablas Servicio'!S529</f>
        <v/>
      </c>
      <c r="R496" s="66" t="str">
        <f>+'Tablas Servicio'!T529</f>
        <v/>
      </c>
      <c r="S496" s="66" t="str">
        <f t="shared" si="85"/>
        <v/>
      </c>
      <c r="T496" s="66" t="str">
        <f t="shared" si="94"/>
        <v/>
      </c>
      <c r="U496" s="66" t="str">
        <f t="shared" si="90"/>
        <v/>
      </c>
      <c r="V496" s="81" t="str">
        <f t="shared" si="91"/>
        <v/>
      </c>
      <c r="W496" s="66" t="str">
        <f t="shared" si="92"/>
        <v/>
      </c>
      <c r="X496" s="66" t="str">
        <f t="shared" si="93"/>
        <v/>
      </c>
    </row>
    <row r="497" spans="1:24" x14ac:dyDescent="0.25">
      <c r="A497" t="str">
        <f>+'Tablas Servicio'!B530</f>
        <v/>
      </c>
      <c r="B497" t="str">
        <f>+'Tablas Servicio'!C530</f>
        <v/>
      </c>
      <c r="C497" s="56" t="str">
        <f>+'Tablas Servicio'!D530</f>
        <v/>
      </c>
      <c r="D497" s="58" t="str">
        <f>+'Tablas Servicio'!N530</f>
        <v/>
      </c>
      <c r="E497" s="66" t="str">
        <f>+'Tablas Servicio'!AC530</f>
        <v/>
      </c>
      <c r="F497" s="66" t="str">
        <f>+IF(A497="","",'Tablas Servicio'!O530-'Modelo Financiero'!E497)</f>
        <v/>
      </c>
      <c r="G497" s="58" t="str">
        <f t="shared" si="86"/>
        <v/>
      </c>
      <c r="H497" s="66" t="str">
        <f>+'Tablas Servicio'!G530</f>
        <v/>
      </c>
      <c r="I497" s="72" t="str">
        <f t="shared" si="87"/>
        <v/>
      </c>
      <c r="J497" s="66" t="str">
        <f t="shared" si="88"/>
        <v/>
      </c>
      <c r="K497" s="66" t="str">
        <f>+'Tablas Servicio'!H530</f>
        <v/>
      </c>
      <c r="L497" s="66" t="str">
        <f>+IF(A497="","",ROUND(H497*Parámetros!$D$100,2))</f>
        <v/>
      </c>
      <c r="M497" s="58" t="str">
        <f>+IF(A497="","",IF(AND(A497=1,B497=1),Parámetros!$D$114*(D497*frec-$G$3-$H$3),IF(AND(A497=2,B497=frec+1),Parámetros!$D$115*(D497*frec-$G$4-$H$4),0)))</f>
        <v/>
      </c>
      <c r="N497" s="58" t="str">
        <f>+IF(A497="","",IF(A497&gt;Parámetros!$D$117,0,ROUND('Modelo Financiero'!D497*Parámetros!$D$116,2)))</f>
        <v/>
      </c>
      <c r="O497" s="58" t="str">
        <f t="shared" si="89"/>
        <v/>
      </c>
      <c r="P497" s="66" t="str">
        <f>+'Tablas Servicio'!I530</f>
        <v/>
      </c>
      <c r="Q497" s="66" t="str">
        <f>+'Tablas Servicio'!S530</f>
        <v/>
      </c>
      <c r="R497" s="66" t="str">
        <f>+'Tablas Servicio'!T530</f>
        <v/>
      </c>
      <c r="S497" s="66" t="str">
        <f t="shared" si="85"/>
        <v/>
      </c>
      <c r="T497" s="66" t="str">
        <f t="shared" si="94"/>
        <v/>
      </c>
      <c r="U497" s="66" t="str">
        <f t="shared" si="90"/>
        <v/>
      </c>
      <c r="V497" s="81" t="str">
        <f t="shared" si="91"/>
        <v/>
      </c>
      <c r="W497" s="66" t="str">
        <f t="shared" si="92"/>
        <v/>
      </c>
      <c r="X497" s="66" t="str">
        <f t="shared" si="93"/>
        <v/>
      </c>
    </row>
    <row r="498" spans="1:24" x14ac:dyDescent="0.25">
      <c r="A498" t="str">
        <f>+'Tablas Servicio'!B531</f>
        <v/>
      </c>
      <c r="B498" t="str">
        <f>+'Tablas Servicio'!C531</f>
        <v/>
      </c>
      <c r="C498" s="56" t="str">
        <f>+'Tablas Servicio'!D531</f>
        <v/>
      </c>
      <c r="D498" s="58" t="str">
        <f>+'Tablas Servicio'!N531</f>
        <v/>
      </c>
      <c r="E498" s="66" t="str">
        <f>+'Tablas Servicio'!AC531</f>
        <v/>
      </c>
      <c r="F498" s="66" t="str">
        <f>+IF(A498="","",'Tablas Servicio'!O531-'Modelo Financiero'!E498)</f>
        <v/>
      </c>
      <c r="G498" s="58" t="str">
        <f t="shared" si="86"/>
        <v/>
      </c>
      <c r="H498" s="66" t="str">
        <f>+'Tablas Servicio'!G531</f>
        <v/>
      </c>
      <c r="I498" s="72" t="str">
        <f t="shared" si="87"/>
        <v/>
      </c>
      <c r="J498" s="66" t="str">
        <f t="shared" si="88"/>
        <v/>
      </c>
      <c r="K498" s="66" t="str">
        <f>+'Tablas Servicio'!H531</f>
        <v/>
      </c>
      <c r="L498" s="66" t="str">
        <f>+IF(A498="","",ROUND(H498*Parámetros!$D$100,2))</f>
        <v/>
      </c>
      <c r="M498" s="58" t="str">
        <f>+IF(A498="","",IF(AND(A498=1,B498=1),Parámetros!$D$114*(D498*frec-$G$3-$H$3),IF(AND(A498=2,B498=frec+1),Parámetros!$D$115*(D498*frec-$G$4-$H$4),0)))</f>
        <v/>
      </c>
      <c r="N498" s="58" t="str">
        <f>+IF(A498="","",IF(A498&gt;Parámetros!$D$117,0,ROUND('Modelo Financiero'!D498*Parámetros!$D$116,2)))</f>
        <v/>
      </c>
      <c r="O498" s="58" t="str">
        <f t="shared" si="89"/>
        <v/>
      </c>
      <c r="P498" s="66" t="str">
        <f>+'Tablas Servicio'!I531</f>
        <v/>
      </c>
      <c r="Q498" s="66" t="str">
        <f>+'Tablas Servicio'!S531</f>
        <v/>
      </c>
      <c r="R498" s="66" t="str">
        <f>+'Tablas Servicio'!T531</f>
        <v/>
      </c>
      <c r="S498" s="66" t="str">
        <f t="shared" si="85"/>
        <v/>
      </c>
      <c r="T498" s="66" t="str">
        <f t="shared" si="94"/>
        <v/>
      </c>
      <c r="U498" s="66" t="str">
        <f t="shared" si="90"/>
        <v/>
      </c>
      <c r="V498" s="81" t="str">
        <f t="shared" si="91"/>
        <v/>
      </c>
      <c r="W498" s="66" t="str">
        <f t="shared" si="92"/>
        <v/>
      </c>
      <c r="X498" s="66" t="str">
        <f t="shared" si="93"/>
        <v/>
      </c>
    </row>
    <row r="499" spans="1:24" x14ac:dyDescent="0.25">
      <c r="A499" t="str">
        <f>+'Tablas Servicio'!B532</f>
        <v/>
      </c>
      <c r="B499" t="str">
        <f>+'Tablas Servicio'!C532</f>
        <v/>
      </c>
      <c r="C499" s="56" t="str">
        <f>+'Tablas Servicio'!D532</f>
        <v/>
      </c>
      <c r="D499" s="58" t="str">
        <f>+'Tablas Servicio'!N532</f>
        <v/>
      </c>
      <c r="E499" s="66" t="str">
        <f>+'Tablas Servicio'!AC532</f>
        <v/>
      </c>
      <c r="F499" s="66" t="str">
        <f>+IF(A499="","",'Tablas Servicio'!O532-'Modelo Financiero'!E499)</f>
        <v/>
      </c>
      <c r="G499" s="58" t="str">
        <f t="shared" si="86"/>
        <v/>
      </c>
      <c r="H499" s="66" t="str">
        <f>+'Tablas Servicio'!G532</f>
        <v/>
      </c>
      <c r="I499" s="72" t="str">
        <f t="shared" si="87"/>
        <v/>
      </c>
      <c r="J499" s="66" t="str">
        <f t="shared" si="88"/>
        <v/>
      </c>
      <c r="K499" s="66" t="str">
        <f>+'Tablas Servicio'!H532</f>
        <v/>
      </c>
      <c r="L499" s="66" t="str">
        <f>+IF(A499="","",ROUND(H499*Parámetros!$D$100,2))</f>
        <v/>
      </c>
      <c r="M499" s="58" t="str">
        <f>+IF(A499="","",IF(AND(A499=1,B499=1),Parámetros!$D$114*(D499*frec-$G$3-$H$3),IF(AND(A499=2,B499=frec+1),Parámetros!$D$115*(D499*frec-$G$4-$H$4),0)))</f>
        <v/>
      </c>
      <c r="N499" s="58" t="str">
        <f>+IF(A499="","",IF(A499&gt;Parámetros!$D$117,0,ROUND('Modelo Financiero'!D499*Parámetros!$D$116,2)))</f>
        <v/>
      </c>
      <c r="O499" s="58" t="str">
        <f t="shared" si="89"/>
        <v/>
      </c>
      <c r="P499" s="66" t="str">
        <f>+'Tablas Servicio'!I532</f>
        <v/>
      </c>
      <c r="Q499" s="66" t="str">
        <f>+'Tablas Servicio'!S532</f>
        <v/>
      </c>
      <c r="R499" s="66" t="str">
        <f>+'Tablas Servicio'!T532</f>
        <v/>
      </c>
      <c r="S499" s="66" t="str">
        <f t="shared" si="85"/>
        <v/>
      </c>
      <c r="T499" s="66" t="str">
        <f t="shared" si="94"/>
        <v/>
      </c>
      <c r="U499" s="66" t="str">
        <f t="shared" si="90"/>
        <v/>
      </c>
      <c r="V499" s="81" t="str">
        <f t="shared" si="91"/>
        <v/>
      </c>
      <c r="W499" s="66" t="str">
        <f t="shared" si="92"/>
        <v/>
      </c>
      <c r="X499" s="66" t="str">
        <f t="shared" si="93"/>
        <v/>
      </c>
    </row>
    <row r="500" spans="1:24" x14ac:dyDescent="0.25">
      <c r="A500" t="str">
        <f>+'Tablas Servicio'!B533</f>
        <v/>
      </c>
      <c r="B500" t="str">
        <f>+'Tablas Servicio'!C533</f>
        <v/>
      </c>
      <c r="C500" s="56" t="str">
        <f>+'Tablas Servicio'!D533</f>
        <v/>
      </c>
      <c r="D500" s="58" t="str">
        <f>+'Tablas Servicio'!N533</f>
        <v/>
      </c>
      <c r="E500" s="66" t="str">
        <f>+'Tablas Servicio'!AC533</f>
        <v/>
      </c>
      <c r="F500" s="66" t="str">
        <f>+IF(A500="","",'Tablas Servicio'!O533-'Modelo Financiero'!E500)</f>
        <v/>
      </c>
      <c r="G500" s="58" t="str">
        <f t="shared" si="86"/>
        <v/>
      </c>
      <c r="H500" s="66" t="str">
        <f>+'Tablas Servicio'!G533</f>
        <v/>
      </c>
      <c r="I500" s="72" t="str">
        <f t="shared" si="87"/>
        <v/>
      </c>
      <c r="J500" s="66" t="str">
        <f t="shared" si="88"/>
        <v/>
      </c>
      <c r="K500" s="66" t="str">
        <f>+'Tablas Servicio'!H533</f>
        <v/>
      </c>
      <c r="L500" s="66" t="str">
        <f>+IF(A500="","",ROUND(H500*Parámetros!$D$100,2))</f>
        <v/>
      </c>
      <c r="M500" s="58" t="str">
        <f>+IF(A500="","",IF(AND(A500=1,B500=1),Parámetros!$D$114*(D500*frec-$G$3-$H$3),IF(AND(A500=2,B500=frec+1),Parámetros!$D$115*(D500*frec-$G$4-$H$4),0)))</f>
        <v/>
      </c>
      <c r="N500" s="58" t="str">
        <f>+IF(A500="","",IF(A500&gt;Parámetros!$D$117,0,ROUND('Modelo Financiero'!D500*Parámetros!$D$116,2)))</f>
        <v/>
      </c>
      <c r="O500" s="58" t="str">
        <f t="shared" si="89"/>
        <v/>
      </c>
      <c r="P500" s="66" t="str">
        <f>+'Tablas Servicio'!I533</f>
        <v/>
      </c>
      <c r="Q500" s="66" t="str">
        <f>+'Tablas Servicio'!S533</f>
        <v/>
      </c>
      <c r="R500" s="66" t="str">
        <f>+'Tablas Servicio'!T533</f>
        <v/>
      </c>
      <c r="S500" s="66" t="str">
        <f t="shared" si="85"/>
        <v/>
      </c>
      <c r="T500" s="66" t="str">
        <f t="shared" si="94"/>
        <v/>
      </c>
      <c r="U500" s="66" t="str">
        <f t="shared" si="90"/>
        <v/>
      </c>
      <c r="V500" s="81" t="str">
        <f t="shared" si="91"/>
        <v/>
      </c>
      <c r="W500" s="66" t="str">
        <f t="shared" si="92"/>
        <v/>
      </c>
      <c r="X500" s="66" t="str">
        <f t="shared" si="93"/>
        <v/>
      </c>
    </row>
    <row r="501" spans="1:24" x14ac:dyDescent="0.25">
      <c r="A501" t="str">
        <f>+'Tablas Servicio'!B534</f>
        <v/>
      </c>
      <c r="B501" t="str">
        <f>+'Tablas Servicio'!C534</f>
        <v/>
      </c>
      <c r="C501" s="56" t="str">
        <f>+'Tablas Servicio'!D534</f>
        <v/>
      </c>
      <c r="D501" s="58" t="str">
        <f>+'Tablas Servicio'!N534</f>
        <v/>
      </c>
      <c r="E501" s="66" t="str">
        <f>+'Tablas Servicio'!AC534</f>
        <v/>
      </c>
      <c r="F501" s="66" t="str">
        <f>+IF(A501="","",'Tablas Servicio'!O534-'Modelo Financiero'!E501)</f>
        <v/>
      </c>
      <c r="G501" s="58" t="str">
        <f t="shared" si="86"/>
        <v/>
      </c>
      <c r="H501" s="66" t="str">
        <f>+'Tablas Servicio'!G534</f>
        <v/>
      </c>
      <c r="I501" s="72" t="str">
        <f t="shared" si="87"/>
        <v/>
      </c>
      <c r="J501" s="66" t="str">
        <f t="shared" si="88"/>
        <v/>
      </c>
      <c r="K501" s="66" t="str">
        <f>+'Tablas Servicio'!H534</f>
        <v/>
      </c>
      <c r="L501" s="66" t="str">
        <f>+IF(A501="","",ROUND(H501*Parámetros!$D$100,2))</f>
        <v/>
      </c>
      <c r="M501" s="58" t="str">
        <f>+IF(A501="","",IF(AND(A501=1,B501=1),Parámetros!$D$114*(D501*frec-$G$3-$H$3),IF(AND(A501=2,B501=frec+1),Parámetros!$D$115*(D501*frec-$G$4-$H$4),0)))</f>
        <v/>
      </c>
      <c r="N501" s="58" t="str">
        <f>+IF(A501="","",IF(A501&gt;Parámetros!$D$117,0,ROUND('Modelo Financiero'!D501*Parámetros!$D$116,2)))</f>
        <v/>
      </c>
      <c r="O501" s="58" t="str">
        <f t="shared" si="89"/>
        <v/>
      </c>
      <c r="P501" s="66" t="str">
        <f>+'Tablas Servicio'!I534</f>
        <v/>
      </c>
      <c r="Q501" s="66" t="str">
        <f>+'Tablas Servicio'!S534</f>
        <v/>
      </c>
      <c r="R501" s="66" t="str">
        <f>+'Tablas Servicio'!T534</f>
        <v/>
      </c>
      <c r="S501" s="66" t="str">
        <f t="shared" si="85"/>
        <v/>
      </c>
      <c r="T501" s="66" t="str">
        <f t="shared" si="94"/>
        <v/>
      </c>
      <c r="U501" s="66" t="str">
        <f t="shared" si="90"/>
        <v/>
      </c>
      <c r="V501" s="81" t="str">
        <f t="shared" si="91"/>
        <v/>
      </c>
      <c r="W501" s="66" t="str">
        <f t="shared" si="92"/>
        <v/>
      </c>
      <c r="X501" s="66" t="str">
        <f t="shared" si="93"/>
        <v/>
      </c>
    </row>
    <row r="502" spans="1:24" x14ac:dyDescent="0.25">
      <c r="A502" t="str">
        <f>+'Tablas Servicio'!B535</f>
        <v/>
      </c>
      <c r="B502" t="str">
        <f>+'Tablas Servicio'!C535</f>
        <v/>
      </c>
      <c r="C502" s="56" t="str">
        <f>+'Tablas Servicio'!D535</f>
        <v/>
      </c>
      <c r="D502" s="58" t="str">
        <f>+'Tablas Servicio'!N535</f>
        <v/>
      </c>
      <c r="E502" s="66" t="str">
        <f>+'Tablas Servicio'!AC535</f>
        <v/>
      </c>
      <c r="F502" s="66" t="str">
        <f>+IF(A502="","",'Tablas Servicio'!O535-'Modelo Financiero'!E502)</f>
        <v/>
      </c>
      <c r="G502" s="58" t="str">
        <f t="shared" si="86"/>
        <v/>
      </c>
      <c r="H502" s="66" t="str">
        <f>+'Tablas Servicio'!G535</f>
        <v/>
      </c>
      <c r="I502" s="72" t="str">
        <f t="shared" si="87"/>
        <v/>
      </c>
      <c r="J502" s="66" t="str">
        <f t="shared" si="88"/>
        <v/>
      </c>
      <c r="K502" s="66" t="str">
        <f>+'Tablas Servicio'!H535</f>
        <v/>
      </c>
      <c r="L502" s="66" t="str">
        <f>+IF(A502="","",ROUND(H502*Parámetros!$D$100,2))</f>
        <v/>
      </c>
      <c r="M502" s="58" t="str">
        <f>+IF(A502="","",IF(AND(A502=1,B502=1),Parámetros!$D$114*(D502*frec-$G$3-$H$3),IF(AND(A502=2,B502=frec+1),Parámetros!$D$115*(D502*frec-$G$4-$H$4),0)))</f>
        <v/>
      </c>
      <c r="N502" s="58" t="str">
        <f>+IF(A502="","",IF(A502&gt;Parámetros!$D$117,0,ROUND('Modelo Financiero'!D502*Parámetros!$D$116,2)))</f>
        <v/>
      </c>
      <c r="O502" s="58" t="str">
        <f t="shared" si="89"/>
        <v/>
      </c>
      <c r="P502" s="66" t="str">
        <f>+'Tablas Servicio'!I535</f>
        <v/>
      </c>
      <c r="Q502" s="66" t="str">
        <f>+'Tablas Servicio'!S535</f>
        <v/>
      </c>
      <c r="R502" s="66" t="str">
        <f>+'Tablas Servicio'!T535</f>
        <v/>
      </c>
      <c r="S502" s="66" t="str">
        <f t="shared" si="85"/>
        <v/>
      </c>
      <c r="T502" s="66" t="str">
        <f t="shared" si="94"/>
        <v/>
      </c>
      <c r="U502" s="66" t="str">
        <f t="shared" si="90"/>
        <v/>
      </c>
      <c r="V502" s="81" t="str">
        <f t="shared" si="91"/>
        <v/>
      </c>
      <c r="W502" s="66" t="str">
        <f t="shared" si="92"/>
        <v/>
      </c>
      <c r="X502" s="66" t="str">
        <f t="shared" si="93"/>
        <v/>
      </c>
    </row>
    <row r="503" spans="1:24" x14ac:dyDescent="0.25">
      <c r="A503" t="str">
        <f>+'Tablas Servicio'!B536</f>
        <v/>
      </c>
      <c r="B503" t="str">
        <f>+'Tablas Servicio'!C536</f>
        <v/>
      </c>
      <c r="C503" s="56" t="str">
        <f>+'Tablas Servicio'!D536</f>
        <v/>
      </c>
      <c r="D503" s="58" t="str">
        <f>+'Tablas Servicio'!N536</f>
        <v/>
      </c>
      <c r="E503" s="66" t="str">
        <f>+'Tablas Servicio'!AC536</f>
        <v/>
      </c>
      <c r="F503" s="66" t="str">
        <f>+IF(A503="","",'Tablas Servicio'!O536-'Modelo Financiero'!E503)</f>
        <v/>
      </c>
      <c r="G503" s="58" t="str">
        <f t="shared" si="86"/>
        <v/>
      </c>
      <c r="H503" s="66" t="str">
        <f>+'Tablas Servicio'!G536</f>
        <v/>
      </c>
      <c r="I503" s="72" t="str">
        <f t="shared" si="87"/>
        <v/>
      </c>
      <c r="J503" s="66" t="str">
        <f t="shared" si="88"/>
        <v/>
      </c>
      <c r="K503" s="66" t="str">
        <f>+'Tablas Servicio'!H536</f>
        <v/>
      </c>
      <c r="L503" s="66" t="str">
        <f>+IF(A503="","",ROUND(H503*Parámetros!$D$100,2))</f>
        <v/>
      </c>
      <c r="M503" s="58" t="str">
        <f>+IF(A503="","",IF(AND(A503=1,B503=1),Parámetros!$D$114*(D503*frec-$G$3-$H$3),IF(AND(A503=2,B503=frec+1),Parámetros!$D$115*(D503*frec-$G$4-$H$4),0)))</f>
        <v/>
      </c>
      <c r="N503" s="58" t="str">
        <f>+IF(A503="","",IF(A503&gt;Parámetros!$D$117,0,ROUND('Modelo Financiero'!D503*Parámetros!$D$116,2)))</f>
        <v/>
      </c>
      <c r="O503" s="58" t="str">
        <f t="shared" si="89"/>
        <v/>
      </c>
      <c r="P503" s="66" t="str">
        <f>+'Tablas Servicio'!I536</f>
        <v/>
      </c>
      <c r="Q503" s="66" t="str">
        <f>+'Tablas Servicio'!S536</f>
        <v/>
      </c>
      <c r="R503" s="66" t="str">
        <f>+'Tablas Servicio'!T536</f>
        <v/>
      </c>
      <c r="S503" s="66" t="str">
        <f t="shared" si="85"/>
        <v/>
      </c>
      <c r="T503" s="66" t="str">
        <f t="shared" si="94"/>
        <v/>
      </c>
      <c r="U503" s="66" t="str">
        <f t="shared" si="90"/>
        <v/>
      </c>
      <c r="V503" s="81" t="str">
        <f t="shared" si="91"/>
        <v/>
      </c>
      <c r="W503" s="66" t="str">
        <f t="shared" si="92"/>
        <v/>
      </c>
      <c r="X503" s="66" t="str">
        <f t="shared" si="93"/>
        <v/>
      </c>
    </row>
    <row r="504" spans="1:24" x14ac:dyDescent="0.25">
      <c r="A504" t="str">
        <f>+'Tablas Servicio'!B537</f>
        <v/>
      </c>
      <c r="B504" t="str">
        <f>+'Tablas Servicio'!C537</f>
        <v/>
      </c>
      <c r="C504" s="56" t="str">
        <f>+'Tablas Servicio'!D537</f>
        <v/>
      </c>
      <c r="D504" s="58" t="str">
        <f>+'Tablas Servicio'!N537</f>
        <v/>
      </c>
      <c r="E504" s="66" t="str">
        <f>+'Tablas Servicio'!AC537</f>
        <v/>
      </c>
      <c r="F504" s="66" t="str">
        <f>+IF(A504="","",'Tablas Servicio'!O537-'Modelo Financiero'!E504)</f>
        <v/>
      </c>
      <c r="G504" s="58" t="str">
        <f t="shared" si="86"/>
        <v/>
      </c>
      <c r="H504" s="66" t="str">
        <f>+'Tablas Servicio'!G537</f>
        <v/>
      </c>
      <c r="I504" s="72" t="str">
        <f t="shared" si="87"/>
        <v/>
      </c>
      <c r="J504" s="66" t="str">
        <f t="shared" si="88"/>
        <v/>
      </c>
      <c r="K504" s="66" t="str">
        <f>+'Tablas Servicio'!H537</f>
        <v/>
      </c>
      <c r="L504" s="66" t="str">
        <f>+IF(A504="","",ROUND(H504*Parámetros!$D$100,2))</f>
        <v/>
      </c>
      <c r="M504" s="58" t="str">
        <f>+IF(A504="","",IF(AND(A504=1,B504=1),Parámetros!$D$114*(D504*frec-$G$3-$H$3),IF(AND(A504=2,B504=frec+1),Parámetros!$D$115*(D504*frec-$G$4-$H$4),0)))</f>
        <v/>
      </c>
      <c r="N504" s="58" t="str">
        <f>+IF(A504="","",IF(A504&gt;Parámetros!$D$117,0,ROUND('Modelo Financiero'!D504*Parámetros!$D$116,2)))</f>
        <v/>
      </c>
      <c r="O504" s="58" t="str">
        <f t="shared" si="89"/>
        <v/>
      </c>
      <c r="P504" s="66" t="str">
        <f>+'Tablas Servicio'!I537</f>
        <v/>
      </c>
      <c r="Q504" s="66" t="str">
        <f>+'Tablas Servicio'!S537</f>
        <v/>
      </c>
      <c r="R504" s="66" t="str">
        <f>+'Tablas Servicio'!T537</f>
        <v/>
      </c>
      <c r="S504" s="66" t="str">
        <f t="shared" si="85"/>
        <v/>
      </c>
      <c r="T504" s="66" t="str">
        <f t="shared" si="94"/>
        <v/>
      </c>
      <c r="U504" s="66" t="str">
        <f t="shared" si="90"/>
        <v/>
      </c>
      <c r="V504" s="81" t="str">
        <f t="shared" si="91"/>
        <v/>
      </c>
      <c r="W504" s="66" t="str">
        <f t="shared" si="92"/>
        <v/>
      </c>
      <c r="X504" s="66" t="str">
        <f t="shared" si="93"/>
        <v/>
      </c>
    </row>
    <row r="505" spans="1:24" x14ac:dyDescent="0.25">
      <c r="A505" t="str">
        <f>+'Tablas Servicio'!B538</f>
        <v/>
      </c>
      <c r="B505" t="str">
        <f>+'Tablas Servicio'!C538</f>
        <v/>
      </c>
      <c r="C505" s="56" t="str">
        <f>+'Tablas Servicio'!D538</f>
        <v/>
      </c>
      <c r="D505" s="58" t="str">
        <f>+'Tablas Servicio'!N538</f>
        <v/>
      </c>
      <c r="E505" s="66" t="str">
        <f>+'Tablas Servicio'!AC538</f>
        <v/>
      </c>
      <c r="F505" s="66" t="str">
        <f>+IF(A505="","",'Tablas Servicio'!O538-'Modelo Financiero'!E505)</f>
        <v/>
      </c>
      <c r="G505" s="58" t="str">
        <f t="shared" si="86"/>
        <v/>
      </c>
      <c r="H505" s="66" t="str">
        <f>+'Tablas Servicio'!G538</f>
        <v/>
      </c>
      <c r="I505" s="72" t="str">
        <f t="shared" si="87"/>
        <v/>
      </c>
      <c r="J505" s="66" t="str">
        <f t="shared" si="88"/>
        <v/>
      </c>
      <c r="K505" s="66" t="str">
        <f>+'Tablas Servicio'!H538</f>
        <v/>
      </c>
      <c r="L505" s="66" t="str">
        <f>+IF(A505="","",ROUND(H505*Parámetros!$D$100,2))</f>
        <v/>
      </c>
      <c r="M505" s="58" t="str">
        <f>+IF(A505="","",IF(AND(A505=1,B505=1),Parámetros!$D$114*(D505*frec-$G$3-$H$3),IF(AND(A505=2,B505=frec+1),Parámetros!$D$115*(D505*frec-$G$4-$H$4),0)))</f>
        <v/>
      </c>
      <c r="N505" s="58" t="str">
        <f>+IF(A505="","",IF(A505&gt;Parámetros!$D$117,0,ROUND('Modelo Financiero'!D505*Parámetros!$D$116,2)))</f>
        <v/>
      </c>
      <c r="O505" s="58" t="str">
        <f t="shared" si="89"/>
        <v/>
      </c>
      <c r="P505" s="66" t="str">
        <f>+'Tablas Servicio'!I538</f>
        <v/>
      </c>
      <c r="Q505" s="66" t="str">
        <f>+'Tablas Servicio'!S538</f>
        <v/>
      </c>
      <c r="R505" s="66" t="str">
        <f>+'Tablas Servicio'!T538</f>
        <v/>
      </c>
      <c r="S505" s="66" t="str">
        <f t="shared" si="85"/>
        <v/>
      </c>
      <c r="T505" s="66" t="str">
        <f t="shared" si="94"/>
        <v/>
      </c>
      <c r="U505" s="66" t="str">
        <f t="shared" si="90"/>
        <v/>
      </c>
      <c r="V505" s="81" t="str">
        <f t="shared" si="91"/>
        <v/>
      </c>
      <c r="W505" s="66" t="str">
        <f t="shared" si="92"/>
        <v/>
      </c>
      <c r="X505" s="66" t="str">
        <f t="shared" si="93"/>
        <v/>
      </c>
    </row>
    <row r="506" spans="1:24" x14ac:dyDescent="0.25">
      <c r="A506" t="str">
        <f>+'Tablas Servicio'!B539</f>
        <v/>
      </c>
      <c r="B506" t="str">
        <f>+'Tablas Servicio'!C539</f>
        <v/>
      </c>
      <c r="C506" s="56" t="str">
        <f>+'Tablas Servicio'!D539</f>
        <v/>
      </c>
      <c r="D506" s="58" t="str">
        <f>+'Tablas Servicio'!N539</f>
        <v/>
      </c>
      <c r="E506" s="66" t="str">
        <f>+'Tablas Servicio'!AC539</f>
        <v/>
      </c>
      <c r="F506" s="66" t="str">
        <f>+IF(A506="","",'Tablas Servicio'!O539-'Modelo Financiero'!E506)</f>
        <v/>
      </c>
      <c r="G506" s="58" t="str">
        <f t="shared" si="86"/>
        <v/>
      </c>
      <c r="H506" s="66" t="str">
        <f>+'Tablas Servicio'!G539</f>
        <v/>
      </c>
      <c r="I506" s="72" t="str">
        <f t="shared" si="87"/>
        <v/>
      </c>
      <c r="J506" s="66" t="str">
        <f t="shared" si="88"/>
        <v/>
      </c>
      <c r="K506" s="66" t="str">
        <f>+'Tablas Servicio'!H539</f>
        <v/>
      </c>
      <c r="L506" s="66" t="str">
        <f>+IF(A506="","",ROUND(H506*Parámetros!$D$100,2))</f>
        <v/>
      </c>
      <c r="M506" s="58" t="str">
        <f>+IF(A506="","",IF(AND(A506=1,B506=1),Parámetros!$D$114*(D506*frec-$G$3-$H$3),IF(AND(A506=2,B506=frec+1),Parámetros!$D$115*(D506*frec-$G$4-$H$4),0)))</f>
        <v/>
      </c>
      <c r="N506" s="58" t="str">
        <f>+IF(A506="","",IF(A506&gt;Parámetros!$D$117,0,ROUND('Modelo Financiero'!D506*Parámetros!$D$116,2)))</f>
        <v/>
      </c>
      <c r="O506" s="58" t="str">
        <f t="shared" si="89"/>
        <v/>
      </c>
      <c r="P506" s="66" t="str">
        <f>+'Tablas Servicio'!I539</f>
        <v/>
      </c>
      <c r="Q506" s="66" t="str">
        <f>+'Tablas Servicio'!S539</f>
        <v/>
      </c>
      <c r="R506" s="66" t="str">
        <f>+'Tablas Servicio'!T539</f>
        <v/>
      </c>
      <c r="S506" s="66" t="str">
        <f t="shared" si="85"/>
        <v/>
      </c>
      <c r="T506" s="66" t="str">
        <f t="shared" si="94"/>
        <v/>
      </c>
      <c r="U506" s="66" t="str">
        <f t="shared" si="90"/>
        <v/>
      </c>
      <c r="V506" s="81" t="str">
        <f t="shared" si="91"/>
        <v/>
      </c>
      <c r="W506" s="66" t="str">
        <f t="shared" si="92"/>
        <v/>
      </c>
      <c r="X506" s="66" t="str">
        <f t="shared" si="93"/>
        <v/>
      </c>
    </row>
    <row r="507" spans="1:24" x14ac:dyDescent="0.25">
      <c r="A507" t="str">
        <f>+'Tablas Servicio'!B540</f>
        <v/>
      </c>
      <c r="B507" t="str">
        <f>+'Tablas Servicio'!C540</f>
        <v/>
      </c>
      <c r="C507" s="56" t="str">
        <f>+'Tablas Servicio'!D540</f>
        <v/>
      </c>
      <c r="D507" s="58" t="str">
        <f>+'Tablas Servicio'!N540</f>
        <v/>
      </c>
      <c r="E507" s="66" t="str">
        <f>+'Tablas Servicio'!AC540</f>
        <v/>
      </c>
      <c r="F507" s="66" t="str">
        <f>+IF(A507="","",'Tablas Servicio'!O540-'Modelo Financiero'!E507)</f>
        <v/>
      </c>
      <c r="G507" s="58" t="str">
        <f t="shared" si="86"/>
        <v/>
      </c>
      <c r="H507" s="66" t="str">
        <f>+'Tablas Servicio'!G540</f>
        <v/>
      </c>
      <c r="I507" s="72" t="str">
        <f t="shared" si="87"/>
        <v/>
      </c>
      <c r="J507" s="66" t="str">
        <f t="shared" si="88"/>
        <v/>
      </c>
      <c r="K507" s="66" t="str">
        <f>+'Tablas Servicio'!H540</f>
        <v/>
      </c>
      <c r="L507" s="66" t="str">
        <f>+IF(A507="","",ROUND(H507*Parámetros!$D$100,2))</f>
        <v/>
      </c>
      <c r="M507" s="58" t="str">
        <f>+IF(A507="","",IF(AND(A507=1,B507=1),Parámetros!$D$114*(D507*frec-$G$3-$H$3),IF(AND(A507=2,B507=frec+1),Parámetros!$D$115*(D507*frec-$G$4-$H$4),0)))</f>
        <v/>
      </c>
      <c r="N507" s="58" t="str">
        <f>+IF(A507="","",IF(A507&gt;Parámetros!$D$117,0,ROUND('Modelo Financiero'!D507*Parámetros!$D$116,2)))</f>
        <v/>
      </c>
      <c r="O507" s="58" t="str">
        <f t="shared" si="89"/>
        <v/>
      </c>
      <c r="P507" s="66" t="str">
        <f>+'Tablas Servicio'!I540</f>
        <v/>
      </c>
      <c r="Q507" s="66" t="str">
        <f>+'Tablas Servicio'!S540</f>
        <v/>
      </c>
      <c r="R507" s="66" t="str">
        <f>+'Tablas Servicio'!T540</f>
        <v/>
      </c>
      <c r="S507" s="66" t="str">
        <f t="shared" si="85"/>
        <v/>
      </c>
      <c r="T507" s="66" t="str">
        <f t="shared" si="94"/>
        <v/>
      </c>
      <c r="U507" s="66" t="str">
        <f t="shared" si="90"/>
        <v/>
      </c>
      <c r="V507" s="81" t="str">
        <f t="shared" si="91"/>
        <v/>
      </c>
      <c r="W507" s="66" t="str">
        <f t="shared" si="92"/>
        <v/>
      </c>
      <c r="X507" s="66" t="str">
        <f t="shared" si="93"/>
        <v/>
      </c>
    </row>
    <row r="508" spans="1:24" x14ac:dyDescent="0.25">
      <c r="A508" t="str">
        <f>+'Tablas Servicio'!B541</f>
        <v/>
      </c>
      <c r="B508" t="str">
        <f>+'Tablas Servicio'!C541</f>
        <v/>
      </c>
      <c r="C508" s="56" t="str">
        <f>+'Tablas Servicio'!D541</f>
        <v/>
      </c>
      <c r="D508" s="58" t="str">
        <f>+'Tablas Servicio'!N541</f>
        <v/>
      </c>
      <c r="E508" s="66" t="str">
        <f>+'Tablas Servicio'!AC541</f>
        <v/>
      </c>
      <c r="F508" s="66" t="str">
        <f>+IF(A508="","",'Tablas Servicio'!O541-'Modelo Financiero'!E508)</f>
        <v/>
      </c>
      <c r="G508" s="58" t="str">
        <f t="shared" si="86"/>
        <v/>
      </c>
      <c r="H508" s="66" t="str">
        <f>+'Tablas Servicio'!G541</f>
        <v/>
      </c>
      <c r="I508" s="72" t="str">
        <f t="shared" si="87"/>
        <v/>
      </c>
      <c r="J508" s="66" t="str">
        <f t="shared" si="88"/>
        <v/>
      </c>
      <c r="K508" s="66" t="str">
        <f>+'Tablas Servicio'!H541</f>
        <v/>
      </c>
      <c r="L508" s="66" t="str">
        <f>+IF(A508="","",ROUND(H508*Parámetros!$D$100,2))</f>
        <v/>
      </c>
      <c r="M508" s="58" t="str">
        <f>+IF(A508="","",IF(AND(A508=1,B508=1),Parámetros!$D$114*(D508*frec-$G$3-$H$3),IF(AND(A508=2,B508=frec+1),Parámetros!$D$115*(D508*frec-$G$4-$H$4),0)))</f>
        <v/>
      </c>
      <c r="N508" s="58" t="str">
        <f>+IF(A508="","",IF(A508&gt;Parámetros!$D$117,0,ROUND('Modelo Financiero'!D508*Parámetros!$D$116,2)))</f>
        <v/>
      </c>
      <c r="O508" s="58" t="str">
        <f t="shared" si="89"/>
        <v/>
      </c>
      <c r="P508" s="66" t="str">
        <f>+'Tablas Servicio'!I541</f>
        <v/>
      </c>
      <c r="Q508" s="66" t="str">
        <f>+'Tablas Servicio'!S541</f>
        <v/>
      </c>
      <c r="R508" s="66" t="str">
        <f>+'Tablas Servicio'!T541</f>
        <v/>
      </c>
      <c r="S508" s="66" t="str">
        <f t="shared" si="85"/>
        <v/>
      </c>
      <c r="T508" s="66" t="str">
        <f t="shared" si="94"/>
        <v/>
      </c>
      <c r="U508" s="66" t="str">
        <f t="shared" si="90"/>
        <v/>
      </c>
      <c r="V508" s="81" t="str">
        <f t="shared" si="91"/>
        <v/>
      </c>
      <c r="W508" s="66" t="str">
        <f t="shared" si="92"/>
        <v/>
      </c>
      <c r="X508" s="66" t="str">
        <f t="shared" si="93"/>
        <v/>
      </c>
    </row>
    <row r="509" spans="1:24" x14ac:dyDescent="0.25">
      <c r="A509" t="str">
        <f>+'Tablas Servicio'!B542</f>
        <v/>
      </c>
      <c r="B509" t="str">
        <f>+'Tablas Servicio'!C542</f>
        <v/>
      </c>
      <c r="C509" s="56" t="str">
        <f>+'Tablas Servicio'!D542</f>
        <v/>
      </c>
      <c r="D509" s="58" t="str">
        <f>+'Tablas Servicio'!N542</f>
        <v/>
      </c>
      <c r="E509" s="66" t="str">
        <f>+'Tablas Servicio'!AC542</f>
        <v/>
      </c>
      <c r="F509" s="66" t="str">
        <f>+IF(A509="","",'Tablas Servicio'!O542-'Modelo Financiero'!E509)</f>
        <v/>
      </c>
      <c r="G509" s="58" t="str">
        <f t="shared" si="86"/>
        <v/>
      </c>
      <c r="H509" s="66" t="str">
        <f>+'Tablas Servicio'!G542</f>
        <v/>
      </c>
      <c r="I509" s="72" t="str">
        <f t="shared" si="87"/>
        <v/>
      </c>
      <c r="J509" s="66" t="str">
        <f t="shared" si="88"/>
        <v/>
      </c>
      <c r="K509" s="66" t="str">
        <f>+'Tablas Servicio'!H542</f>
        <v/>
      </c>
      <c r="L509" s="66" t="str">
        <f>+IF(A509="","",ROUND(H509*Parámetros!$D$100,2))</f>
        <v/>
      </c>
      <c r="M509" s="58" t="str">
        <f>+IF(A509="","",IF(AND(A509=1,B509=1),Parámetros!$D$114*(D509*frec-$G$3-$H$3),IF(AND(A509=2,B509=frec+1),Parámetros!$D$115*(D509*frec-$G$4-$H$4),0)))</f>
        <v/>
      </c>
      <c r="N509" s="58" t="str">
        <f>+IF(A509="","",IF(A509&gt;Parámetros!$D$117,0,ROUND('Modelo Financiero'!D509*Parámetros!$D$116,2)))</f>
        <v/>
      </c>
      <c r="O509" s="58" t="str">
        <f t="shared" si="89"/>
        <v/>
      </c>
      <c r="P509" s="66" t="str">
        <f>+'Tablas Servicio'!I542</f>
        <v/>
      </c>
      <c r="Q509" s="66" t="str">
        <f>+'Tablas Servicio'!S542</f>
        <v/>
      </c>
      <c r="R509" s="66" t="str">
        <f>+'Tablas Servicio'!T542</f>
        <v/>
      </c>
      <c r="S509" s="66" t="str">
        <f t="shared" si="85"/>
        <v/>
      </c>
      <c r="T509" s="66" t="str">
        <f t="shared" si="94"/>
        <v/>
      </c>
      <c r="U509" s="66" t="str">
        <f t="shared" si="90"/>
        <v/>
      </c>
      <c r="V509" s="81" t="str">
        <f t="shared" si="91"/>
        <v/>
      </c>
      <c r="W509" s="66" t="str">
        <f t="shared" si="92"/>
        <v/>
      </c>
      <c r="X509" s="66" t="str">
        <f t="shared" si="93"/>
        <v/>
      </c>
    </row>
    <row r="510" spans="1:24" x14ac:dyDescent="0.25">
      <c r="A510" t="str">
        <f>+'Tablas Servicio'!B543</f>
        <v/>
      </c>
      <c r="B510" t="str">
        <f>+'Tablas Servicio'!C543</f>
        <v/>
      </c>
      <c r="C510" s="56" t="str">
        <f>+'Tablas Servicio'!D543</f>
        <v/>
      </c>
      <c r="D510" s="58" t="str">
        <f>+'Tablas Servicio'!N543</f>
        <v/>
      </c>
      <c r="E510" s="66" t="str">
        <f>+'Tablas Servicio'!AC543</f>
        <v/>
      </c>
      <c r="F510" s="66" t="str">
        <f>+IF(A510="","",'Tablas Servicio'!O543-'Modelo Financiero'!E510)</f>
        <v/>
      </c>
      <c r="G510" s="58" t="str">
        <f t="shared" si="86"/>
        <v/>
      </c>
      <c r="H510" s="66" t="str">
        <f>+'Tablas Servicio'!G543</f>
        <v/>
      </c>
      <c r="I510" s="72" t="str">
        <f t="shared" si="87"/>
        <v/>
      </c>
      <c r="J510" s="66" t="str">
        <f t="shared" si="88"/>
        <v/>
      </c>
      <c r="K510" s="66" t="str">
        <f>+'Tablas Servicio'!H543</f>
        <v/>
      </c>
      <c r="L510" s="66" t="str">
        <f>+IF(A510="","",ROUND(H510*Parámetros!$D$100,2))</f>
        <v/>
      </c>
      <c r="M510" s="58" t="str">
        <f>+IF(A510="","",IF(AND(A510=1,B510=1),Parámetros!$D$114*(D510*frec-$G$3-$H$3),IF(AND(A510=2,B510=frec+1),Parámetros!$D$115*(D510*frec-$G$4-$H$4),0)))</f>
        <v/>
      </c>
      <c r="N510" s="58" t="str">
        <f>+IF(A510="","",IF(A510&gt;Parámetros!$D$117,0,ROUND('Modelo Financiero'!D510*Parámetros!$D$116,2)))</f>
        <v/>
      </c>
      <c r="O510" s="58" t="str">
        <f t="shared" si="89"/>
        <v/>
      </c>
      <c r="P510" s="66" t="str">
        <f>+'Tablas Servicio'!I543</f>
        <v/>
      </c>
      <c r="Q510" s="66" t="str">
        <f>+'Tablas Servicio'!S543</f>
        <v/>
      </c>
      <c r="R510" s="66" t="str">
        <f>+'Tablas Servicio'!T543</f>
        <v/>
      </c>
      <c r="S510" s="66" t="str">
        <f t="shared" si="85"/>
        <v/>
      </c>
      <c r="T510" s="66" t="str">
        <f t="shared" si="94"/>
        <v/>
      </c>
      <c r="U510" s="66" t="str">
        <f t="shared" si="90"/>
        <v/>
      </c>
      <c r="V510" s="81" t="str">
        <f t="shared" si="91"/>
        <v/>
      </c>
      <c r="W510" s="66" t="str">
        <f t="shared" si="92"/>
        <v/>
      </c>
      <c r="X510" s="66" t="str">
        <f t="shared" si="93"/>
        <v/>
      </c>
    </row>
    <row r="511" spans="1:24" x14ac:dyDescent="0.25">
      <c r="A511" t="str">
        <f>+'Tablas Servicio'!B544</f>
        <v/>
      </c>
      <c r="B511" t="str">
        <f>+'Tablas Servicio'!C544</f>
        <v/>
      </c>
      <c r="C511" s="56" t="str">
        <f>+'Tablas Servicio'!D544</f>
        <v/>
      </c>
      <c r="D511" s="58" t="str">
        <f>+'Tablas Servicio'!N544</f>
        <v/>
      </c>
      <c r="E511" s="66" t="str">
        <f>+'Tablas Servicio'!AC544</f>
        <v/>
      </c>
      <c r="F511" s="66" t="str">
        <f>+IF(A511="","",'Tablas Servicio'!O544-'Modelo Financiero'!E511)</f>
        <v/>
      </c>
      <c r="G511" s="58" t="str">
        <f t="shared" si="86"/>
        <v/>
      </c>
      <c r="H511" s="66" t="str">
        <f>+'Tablas Servicio'!G544</f>
        <v/>
      </c>
      <c r="I511" s="72" t="str">
        <f t="shared" si="87"/>
        <v/>
      </c>
      <c r="J511" s="66" t="str">
        <f t="shared" si="88"/>
        <v/>
      </c>
      <c r="K511" s="66" t="str">
        <f>+'Tablas Servicio'!H544</f>
        <v/>
      </c>
      <c r="L511" s="66" t="str">
        <f>+IF(A511="","",ROUND(H511*Parámetros!$D$100,2))</f>
        <v/>
      </c>
      <c r="M511" s="58" t="str">
        <f>+IF(A511="","",IF(AND(A511=1,B511=1),Parámetros!$D$114*(D511*frec-$G$3-$H$3),IF(AND(A511=2,B511=frec+1),Parámetros!$D$115*(D511*frec-$G$4-$H$4),0)))</f>
        <v/>
      </c>
      <c r="N511" s="58" t="str">
        <f>+IF(A511="","",IF(A511&gt;Parámetros!$D$117,0,ROUND('Modelo Financiero'!D511*Parámetros!$D$116,2)))</f>
        <v/>
      </c>
      <c r="O511" s="58" t="str">
        <f t="shared" si="89"/>
        <v/>
      </c>
      <c r="P511" s="66" t="str">
        <f>+'Tablas Servicio'!I544</f>
        <v/>
      </c>
      <c r="Q511" s="66" t="str">
        <f>+'Tablas Servicio'!S544</f>
        <v/>
      </c>
      <c r="R511" s="66" t="str">
        <f>+'Tablas Servicio'!T544</f>
        <v/>
      </c>
      <c r="S511" s="66" t="str">
        <f t="shared" si="85"/>
        <v/>
      </c>
      <c r="T511" s="66" t="str">
        <f t="shared" si="94"/>
        <v/>
      </c>
      <c r="U511" s="66" t="str">
        <f t="shared" si="90"/>
        <v/>
      </c>
      <c r="V511" s="81" t="str">
        <f t="shared" si="91"/>
        <v/>
      </c>
      <c r="W511" s="66" t="str">
        <f t="shared" si="92"/>
        <v/>
      </c>
      <c r="X511" s="66" t="str">
        <f t="shared" si="93"/>
        <v/>
      </c>
    </row>
    <row r="512" spans="1:24" x14ac:dyDescent="0.25">
      <c r="A512" t="str">
        <f>+'Tablas Servicio'!B545</f>
        <v/>
      </c>
      <c r="B512" t="str">
        <f>+'Tablas Servicio'!C545</f>
        <v/>
      </c>
      <c r="C512" s="56" t="str">
        <f>+'Tablas Servicio'!D545</f>
        <v/>
      </c>
      <c r="D512" s="58" t="str">
        <f>+'Tablas Servicio'!N545</f>
        <v/>
      </c>
      <c r="E512" s="66" t="str">
        <f>+'Tablas Servicio'!AC545</f>
        <v/>
      </c>
      <c r="F512" s="66" t="str">
        <f>+IF(A512="","",'Tablas Servicio'!O545-'Modelo Financiero'!E512)</f>
        <v/>
      </c>
      <c r="G512" s="58" t="str">
        <f t="shared" si="86"/>
        <v/>
      </c>
      <c r="H512" s="66" t="str">
        <f>+'Tablas Servicio'!G545</f>
        <v/>
      </c>
      <c r="I512" s="72" t="str">
        <f t="shared" si="87"/>
        <v/>
      </c>
      <c r="J512" s="66" t="str">
        <f t="shared" si="88"/>
        <v/>
      </c>
      <c r="K512" s="66" t="str">
        <f>+'Tablas Servicio'!H545</f>
        <v/>
      </c>
      <c r="L512" s="66" t="str">
        <f>+IF(A512="","",ROUND(H512*Parámetros!$D$100,2))</f>
        <v/>
      </c>
      <c r="M512" s="58" t="str">
        <f>+IF(A512="","",IF(AND(A512=1,B512=1),Parámetros!$D$114*(D512*frec-$G$3-$H$3),IF(AND(A512=2,B512=frec+1),Parámetros!$D$115*(D512*frec-$G$4-$H$4),0)))</f>
        <v/>
      </c>
      <c r="N512" s="58" t="str">
        <f>+IF(A512="","",IF(A512&gt;Parámetros!$D$117,0,ROUND('Modelo Financiero'!D512*Parámetros!$D$116,2)))</f>
        <v/>
      </c>
      <c r="O512" s="58" t="str">
        <f t="shared" si="89"/>
        <v/>
      </c>
      <c r="P512" s="66" t="str">
        <f>+'Tablas Servicio'!I545</f>
        <v/>
      </c>
      <c r="Q512" s="66" t="str">
        <f>+'Tablas Servicio'!S545</f>
        <v/>
      </c>
      <c r="R512" s="66" t="str">
        <f>+'Tablas Servicio'!T545</f>
        <v/>
      </c>
      <c r="S512" s="66" t="str">
        <f t="shared" si="85"/>
        <v/>
      </c>
      <c r="T512" s="66" t="str">
        <f t="shared" si="94"/>
        <v/>
      </c>
      <c r="U512" s="66" t="str">
        <f t="shared" si="90"/>
        <v/>
      </c>
      <c r="V512" s="81" t="str">
        <f t="shared" si="91"/>
        <v/>
      </c>
      <c r="W512" s="66" t="str">
        <f t="shared" si="92"/>
        <v/>
      </c>
      <c r="X512" s="66" t="str">
        <f t="shared" si="93"/>
        <v/>
      </c>
    </row>
    <row r="513" spans="1:24" x14ac:dyDescent="0.25">
      <c r="A513" t="str">
        <f>+'Tablas Servicio'!B546</f>
        <v/>
      </c>
      <c r="B513" t="str">
        <f>+'Tablas Servicio'!C546</f>
        <v/>
      </c>
      <c r="C513" s="56" t="str">
        <f>+'Tablas Servicio'!D546</f>
        <v/>
      </c>
      <c r="D513" s="58" t="str">
        <f>+'Tablas Servicio'!N546</f>
        <v/>
      </c>
      <c r="E513" s="66" t="str">
        <f>+'Tablas Servicio'!AC546</f>
        <v/>
      </c>
      <c r="F513" s="66" t="str">
        <f>+IF(A513="","",'Tablas Servicio'!O546-'Modelo Financiero'!E513)</f>
        <v/>
      </c>
      <c r="G513" s="58" t="str">
        <f t="shared" si="86"/>
        <v/>
      </c>
      <c r="H513" s="66" t="str">
        <f>+'Tablas Servicio'!G546</f>
        <v/>
      </c>
      <c r="I513" s="72" t="str">
        <f t="shared" si="87"/>
        <v/>
      </c>
      <c r="J513" s="66" t="str">
        <f t="shared" si="88"/>
        <v/>
      </c>
      <c r="K513" s="66" t="str">
        <f>+'Tablas Servicio'!H546</f>
        <v/>
      </c>
      <c r="L513" s="66" t="str">
        <f>+IF(A513="","",ROUND(H513*Parámetros!$D$100,2))</f>
        <v/>
      </c>
      <c r="M513" s="58" t="str">
        <f>+IF(A513="","",IF(AND(A513=1,B513=1),Parámetros!$D$114*(D513*frec-$G$3-$H$3),IF(AND(A513=2,B513=frec+1),Parámetros!$D$115*(D513*frec-$G$4-$H$4),0)))</f>
        <v/>
      </c>
      <c r="N513" s="58" t="str">
        <f>+IF(A513="","",IF(A513&gt;Parámetros!$D$117,0,ROUND('Modelo Financiero'!D513*Parámetros!$D$116,2)))</f>
        <v/>
      </c>
      <c r="O513" s="58" t="str">
        <f t="shared" si="89"/>
        <v/>
      </c>
      <c r="P513" s="66" t="str">
        <f>+'Tablas Servicio'!I546</f>
        <v/>
      </c>
      <c r="Q513" s="66" t="str">
        <f>+'Tablas Servicio'!S546</f>
        <v/>
      </c>
      <c r="R513" s="66" t="str">
        <f>+'Tablas Servicio'!T546</f>
        <v/>
      </c>
      <c r="S513" s="66" t="str">
        <f t="shared" si="85"/>
        <v/>
      </c>
      <c r="T513" s="66" t="str">
        <f t="shared" si="94"/>
        <v/>
      </c>
      <c r="U513" s="66" t="str">
        <f t="shared" si="90"/>
        <v/>
      </c>
      <c r="V513" s="81" t="str">
        <f t="shared" si="91"/>
        <v/>
      </c>
      <c r="W513" s="66" t="str">
        <f t="shared" si="92"/>
        <v/>
      </c>
      <c r="X513" s="66" t="str">
        <f t="shared" si="93"/>
        <v/>
      </c>
    </row>
    <row r="514" spans="1:24" x14ac:dyDescent="0.25">
      <c r="A514" t="str">
        <f>+'Tablas Servicio'!B547</f>
        <v/>
      </c>
      <c r="B514" t="str">
        <f>+'Tablas Servicio'!C547</f>
        <v/>
      </c>
      <c r="C514" s="56" t="str">
        <f>+'Tablas Servicio'!D547</f>
        <v/>
      </c>
      <c r="D514" s="58" t="str">
        <f>+'Tablas Servicio'!N547</f>
        <v/>
      </c>
      <c r="E514" s="66" t="str">
        <f>+'Tablas Servicio'!AC547</f>
        <v/>
      </c>
      <c r="F514" s="66" t="str">
        <f>+IF(A514="","",'Tablas Servicio'!O547-'Modelo Financiero'!E514)</f>
        <v/>
      </c>
      <c r="G514" s="58" t="str">
        <f t="shared" si="86"/>
        <v/>
      </c>
      <c r="H514" s="66" t="str">
        <f>+'Tablas Servicio'!G547</f>
        <v/>
      </c>
      <c r="I514" s="72" t="str">
        <f t="shared" si="87"/>
        <v/>
      </c>
      <c r="J514" s="66" t="str">
        <f t="shared" si="88"/>
        <v/>
      </c>
      <c r="K514" s="66" t="str">
        <f>+'Tablas Servicio'!H547</f>
        <v/>
      </c>
      <c r="L514" s="66" t="str">
        <f>+IF(A514="","",ROUND(H514*Parámetros!$D$100,2))</f>
        <v/>
      </c>
      <c r="M514" s="58" t="str">
        <f>+IF(A514="","",IF(AND(A514=1,B514=1),Parámetros!$D$114*(D514*frec-$G$3-$H$3),IF(AND(A514=2,B514=frec+1),Parámetros!$D$115*(D514*frec-$G$4-$H$4),0)))</f>
        <v/>
      </c>
      <c r="N514" s="58" t="str">
        <f>+IF(A514="","",IF(A514&gt;Parámetros!$D$117,0,ROUND('Modelo Financiero'!D514*Parámetros!$D$116,2)))</f>
        <v/>
      </c>
      <c r="O514" s="58" t="str">
        <f t="shared" si="89"/>
        <v/>
      </c>
      <c r="P514" s="66" t="str">
        <f>+'Tablas Servicio'!I547</f>
        <v/>
      </c>
      <c r="Q514" s="66" t="str">
        <f>+'Tablas Servicio'!S547</f>
        <v/>
      </c>
      <c r="R514" s="66" t="str">
        <f>+'Tablas Servicio'!T547</f>
        <v/>
      </c>
      <c r="S514" s="66" t="str">
        <f t="shared" si="85"/>
        <v/>
      </c>
      <c r="T514" s="66" t="str">
        <f t="shared" si="94"/>
        <v/>
      </c>
      <c r="U514" s="66" t="str">
        <f t="shared" si="90"/>
        <v/>
      </c>
      <c r="V514" s="81" t="str">
        <f t="shared" si="91"/>
        <v/>
      </c>
      <c r="W514" s="66" t="str">
        <f t="shared" si="92"/>
        <v/>
      </c>
      <c r="X514" s="66" t="str">
        <f t="shared" si="93"/>
        <v/>
      </c>
    </row>
    <row r="515" spans="1:24" x14ac:dyDescent="0.25">
      <c r="A515" t="str">
        <f>+'Tablas Servicio'!B548</f>
        <v/>
      </c>
      <c r="B515" t="str">
        <f>+'Tablas Servicio'!C548</f>
        <v/>
      </c>
      <c r="C515" s="56" t="str">
        <f>+'Tablas Servicio'!D548</f>
        <v/>
      </c>
      <c r="D515" s="58" t="str">
        <f>+'Tablas Servicio'!N548</f>
        <v/>
      </c>
      <c r="E515" s="66" t="str">
        <f>+'Tablas Servicio'!AC548</f>
        <v/>
      </c>
      <c r="F515" s="66" t="str">
        <f>+IF(A515="","",'Tablas Servicio'!O548-'Modelo Financiero'!E515)</f>
        <v/>
      </c>
      <c r="G515" s="58" t="str">
        <f t="shared" si="86"/>
        <v/>
      </c>
      <c r="H515" s="66" t="str">
        <f>+'Tablas Servicio'!G548</f>
        <v/>
      </c>
      <c r="I515" s="72" t="str">
        <f t="shared" si="87"/>
        <v/>
      </c>
      <c r="J515" s="66" t="str">
        <f t="shared" si="88"/>
        <v/>
      </c>
      <c r="K515" s="66" t="str">
        <f>+'Tablas Servicio'!H548</f>
        <v/>
      </c>
      <c r="L515" s="66" t="str">
        <f>+IF(A515="","",ROUND(H515*Parámetros!$D$100,2))</f>
        <v/>
      </c>
      <c r="M515" s="58" t="str">
        <f>+IF(A515="","",IF(AND(A515=1,B515=1),Parámetros!$D$114*(D515*frec-$G$3-$H$3),IF(AND(A515=2,B515=frec+1),Parámetros!$D$115*(D515*frec-$G$4-$H$4),0)))</f>
        <v/>
      </c>
      <c r="N515" s="58" t="str">
        <f>+IF(A515="","",IF(A515&gt;Parámetros!$D$117,0,ROUND('Modelo Financiero'!D515*Parámetros!$D$116,2)))</f>
        <v/>
      </c>
      <c r="O515" s="58" t="str">
        <f t="shared" si="89"/>
        <v/>
      </c>
      <c r="P515" s="66" t="str">
        <f>+'Tablas Servicio'!I548</f>
        <v/>
      </c>
      <c r="Q515" s="66" t="str">
        <f>+'Tablas Servicio'!S548</f>
        <v/>
      </c>
      <c r="R515" s="66" t="str">
        <f>+'Tablas Servicio'!T548</f>
        <v/>
      </c>
      <c r="S515" s="66" t="str">
        <f t="shared" si="85"/>
        <v/>
      </c>
      <c r="T515" s="66" t="str">
        <f t="shared" si="94"/>
        <v/>
      </c>
      <c r="U515" s="66" t="str">
        <f t="shared" si="90"/>
        <v/>
      </c>
      <c r="V515" s="81" t="str">
        <f t="shared" si="91"/>
        <v/>
      </c>
      <c r="W515" s="66" t="str">
        <f t="shared" si="92"/>
        <v/>
      </c>
      <c r="X515" s="66" t="str">
        <f t="shared" si="93"/>
        <v/>
      </c>
    </row>
    <row r="516" spans="1:24" x14ac:dyDescent="0.25">
      <c r="A516" t="str">
        <f>+'Tablas Servicio'!B549</f>
        <v/>
      </c>
      <c r="B516" t="str">
        <f>+'Tablas Servicio'!C549</f>
        <v/>
      </c>
      <c r="C516" s="56" t="str">
        <f>+'Tablas Servicio'!D549</f>
        <v/>
      </c>
      <c r="D516" s="58" t="str">
        <f>+'Tablas Servicio'!N549</f>
        <v/>
      </c>
      <c r="E516" s="66" t="str">
        <f>+'Tablas Servicio'!AC549</f>
        <v/>
      </c>
      <c r="F516" s="66" t="str">
        <f>+IF(A516="","",'Tablas Servicio'!O549-'Modelo Financiero'!E516)</f>
        <v/>
      </c>
      <c r="G516" s="58" t="str">
        <f t="shared" si="86"/>
        <v/>
      </c>
      <c r="H516" s="66" t="str">
        <f>+'Tablas Servicio'!G549</f>
        <v/>
      </c>
      <c r="I516" s="72" t="str">
        <f t="shared" si="87"/>
        <v/>
      </c>
      <c r="J516" s="66" t="str">
        <f t="shared" si="88"/>
        <v/>
      </c>
      <c r="K516" s="66" t="str">
        <f>+'Tablas Servicio'!H549</f>
        <v/>
      </c>
      <c r="L516" s="66" t="str">
        <f>+IF(A516="","",ROUND(H516*Parámetros!$D$100,2))</f>
        <v/>
      </c>
      <c r="M516" s="58" t="str">
        <f>+IF(A516="","",IF(AND(A516=1,B516=1),Parámetros!$D$114*(D516*frec-$G$3-$H$3),IF(AND(A516=2,B516=frec+1),Parámetros!$D$115*(D516*frec-$G$4-$H$4),0)))</f>
        <v/>
      </c>
      <c r="N516" s="58" t="str">
        <f>+IF(A516="","",IF(A516&gt;Parámetros!$D$117,0,ROUND('Modelo Financiero'!D516*Parámetros!$D$116,2)))</f>
        <v/>
      </c>
      <c r="O516" s="58" t="str">
        <f t="shared" si="89"/>
        <v/>
      </c>
      <c r="P516" s="66" t="str">
        <f>+'Tablas Servicio'!I549</f>
        <v/>
      </c>
      <c r="Q516" s="66" t="str">
        <f>+'Tablas Servicio'!S549</f>
        <v/>
      </c>
      <c r="R516" s="66" t="str">
        <f>+'Tablas Servicio'!T549</f>
        <v/>
      </c>
      <c r="S516" s="66" t="str">
        <f t="shared" si="85"/>
        <v/>
      </c>
      <c r="T516" s="66" t="str">
        <f t="shared" si="94"/>
        <v/>
      </c>
      <c r="U516" s="66" t="str">
        <f t="shared" si="90"/>
        <v/>
      </c>
      <c r="V516" s="81" t="str">
        <f t="shared" si="91"/>
        <v/>
      </c>
      <c r="W516" s="66" t="str">
        <f t="shared" si="92"/>
        <v/>
      </c>
      <c r="X516" s="66" t="str">
        <f t="shared" si="93"/>
        <v/>
      </c>
    </row>
    <row r="517" spans="1:24" x14ac:dyDescent="0.25">
      <c r="A517" t="str">
        <f>+'Tablas Servicio'!B550</f>
        <v/>
      </c>
      <c r="B517" t="str">
        <f>+'Tablas Servicio'!C550</f>
        <v/>
      </c>
      <c r="C517" s="56" t="str">
        <f>+'Tablas Servicio'!D550</f>
        <v/>
      </c>
      <c r="D517" s="58" t="str">
        <f>+'Tablas Servicio'!N550</f>
        <v/>
      </c>
      <c r="E517" s="66" t="str">
        <f>+'Tablas Servicio'!AC550</f>
        <v/>
      </c>
      <c r="F517" s="66" t="str">
        <f>+IF(A517="","",'Tablas Servicio'!O550-'Modelo Financiero'!E517)</f>
        <v/>
      </c>
      <c r="G517" s="58" t="str">
        <f t="shared" si="86"/>
        <v/>
      </c>
      <c r="H517" s="66" t="str">
        <f>+'Tablas Servicio'!G550</f>
        <v/>
      </c>
      <c r="I517" s="72" t="str">
        <f t="shared" si="87"/>
        <v/>
      </c>
      <c r="J517" s="66" t="str">
        <f t="shared" si="88"/>
        <v/>
      </c>
      <c r="K517" s="66" t="str">
        <f>+'Tablas Servicio'!H550</f>
        <v/>
      </c>
      <c r="L517" s="66" t="str">
        <f>+IF(A517="","",ROUND(H517*Parámetros!$D$100,2))</f>
        <v/>
      </c>
      <c r="M517" s="58" t="str">
        <f>+IF(A517="","",IF(AND(A517=1,B517=1),Parámetros!$D$114*(D517*frec-$G$3-$H$3),IF(AND(A517=2,B517=frec+1),Parámetros!$D$115*(D517*frec-$G$4-$H$4),0)))</f>
        <v/>
      </c>
      <c r="N517" s="58" t="str">
        <f>+IF(A517="","",IF(A517&gt;Parámetros!$D$117,0,ROUND('Modelo Financiero'!D517*Parámetros!$D$116,2)))</f>
        <v/>
      </c>
      <c r="O517" s="58" t="str">
        <f t="shared" si="89"/>
        <v/>
      </c>
      <c r="P517" s="66" t="str">
        <f>+'Tablas Servicio'!I550</f>
        <v/>
      </c>
      <c r="Q517" s="66" t="str">
        <f>+'Tablas Servicio'!S550</f>
        <v/>
      </c>
      <c r="R517" s="66" t="str">
        <f>+'Tablas Servicio'!T550</f>
        <v/>
      </c>
      <c r="S517" s="66" t="str">
        <f t="shared" si="85"/>
        <v/>
      </c>
      <c r="T517" s="66" t="str">
        <f t="shared" si="94"/>
        <v/>
      </c>
      <c r="U517" s="66" t="str">
        <f t="shared" si="90"/>
        <v/>
      </c>
      <c r="V517" s="81" t="str">
        <f t="shared" si="91"/>
        <v/>
      </c>
      <c r="W517" s="66" t="str">
        <f t="shared" si="92"/>
        <v/>
      </c>
      <c r="X517" s="66" t="str">
        <f t="shared" si="93"/>
        <v/>
      </c>
    </row>
    <row r="518" spans="1:24" x14ac:dyDescent="0.25">
      <c r="A518" t="str">
        <f>+'Tablas Servicio'!B551</f>
        <v/>
      </c>
      <c r="B518" t="str">
        <f>+'Tablas Servicio'!C551</f>
        <v/>
      </c>
      <c r="C518" s="56" t="str">
        <f>+'Tablas Servicio'!D551</f>
        <v/>
      </c>
      <c r="D518" s="58" t="str">
        <f>+'Tablas Servicio'!N551</f>
        <v/>
      </c>
      <c r="E518" s="66" t="str">
        <f>+'Tablas Servicio'!AC551</f>
        <v/>
      </c>
      <c r="F518" s="66" t="str">
        <f>+IF(A518="","",'Tablas Servicio'!O551-'Modelo Financiero'!E518)</f>
        <v/>
      </c>
      <c r="G518" s="58" t="str">
        <f t="shared" si="86"/>
        <v/>
      </c>
      <c r="H518" s="66" t="str">
        <f>+'Tablas Servicio'!G551</f>
        <v/>
      </c>
      <c r="I518" s="72" t="str">
        <f t="shared" si="87"/>
        <v/>
      </c>
      <c r="J518" s="66" t="str">
        <f t="shared" si="88"/>
        <v/>
      </c>
      <c r="K518" s="66" t="str">
        <f>+'Tablas Servicio'!H551</f>
        <v/>
      </c>
      <c r="L518" s="66" t="str">
        <f>+IF(A518="","",ROUND(H518*Parámetros!$D$100,2))</f>
        <v/>
      </c>
      <c r="M518" s="58" t="str">
        <f>+IF(A518="","",IF(AND(A518=1,B518=1),Parámetros!$D$114*(D518*frec-$G$3-$H$3),IF(AND(A518=2,B518=frec+1),Parámetros!$D$115*(D518*frec-$G$4-$H$4),0)))</f>
        <v/>
      </c>
      <c r="N518" s="58" t="str">
        <f>+IF(A518="","",IF(A518&gt;Parámetros!$D$117,0,ROUND('Modelo Financiero'!D518*Parámetros!$D$116,2)))</f>
        <v/>
      </c>
      <c r="O518" s="58" t="str">
        <f t="shared" si="89"/>
        <v/>
      </c>
      <c r="P518" s="66" t="str">
        <f>+'Tablas Servicio'!I551</f>
        <v/>
      </c>
      <c r="Q518" s="66" t="str">
        <f>+'Tablas Servicio'!S551</f>
        <v/>
      </c>
      <c r="R518" s="66" t="str">
        <f>+'Tablas Servicio'!T551</f>
        <v/>
      </c>
      <c r="S518" s="66" t="str">
        <f t="shared" si="85"/>
        <v/>
      </c>
      <c r="T518" s="66" t="str">
        <f t="shared" si="94"/>
        <v/>
      </c>
      <c r="U518" s="66" t="str">
        <f t="shared" si="90"/>
        <v/>
      </c>
      <c r="V518" s="81" t="str">
        <f t="shared" si="91"/>
        <v/>
      </c>
      <c r="W518" s="66" t="str">
        <f t="shared" si="92"/>
        <v/>
      </c>
      <c r="X518" s="66" t="str">
        <f t="shared" si="93"/>
        <v/>
      </c>
    </row>
    <row r="519" spans="1:24" x14ac:dyDescent="0.25">
      <c r="A519" t="str">
        <f>+'Tablas Servicio'!B552</f>
        <v/>
      </c>
      <c r="B519" t="str">
        <f>+'Tablas Servicio'!C552</f>
        <v/>
      </c>
      <c r="C519" s="56" t="str">
        <f>+'Tablas Servicio'!D552</f>
        <v/>
      </c>
      <c r="D519" s="58" t="str">
        <f>+'Tablas Servicio'!N552</f>
        <v/>
      </c>
      <c r="E519" s="66" t="str">
        <f>+'Tablas Servicio'!AC552</f>
        <v/>
      </c>
      <c r="F519" s="66" t="str">
        <f>+IF(A519="","",'Tablas Servicio'!O552-'Modelo Financiero'!E519)</f>
        <v/>
      </c>
      <c r="G519" s="58" t="str">
        <f t="shared" si="86"/>
        <v/>
      </c>
      <c r="H519" s="66" t="str">
        <f>+'Tablas Servicio'!G552</f>
        <v/>
      </c>
      <c r="I519" s="72" t="str">
        <f t="shared" si="87"/>
        <v/>
      </c>
      <c r="J519" s="66" t="str">
        <f t="shared" si="88"/>
        <v/>
      </c>
      <c r="K519" s="66" t="str">
        <f>+'Tablas Servicio'!H552</f>
        <v/>
      </c>
      <c r="L519" s="66" t="str">
        <f>+IF(A519="","",ROUND(H519*Parámetros!$D$100,2))</f>
        <v/>
      </c>
      <c r="M519" s="58" t="str">
        <f>+IF(A519="","",IF(AND(A519=1,B519=1),Parámetros!$D$114*(D519*frec-$G$3-$H$3),IF(AND(A519=2,B519=frec+1),Parámetros!$D$115*(D519*frec-$G$4-$H$4),0)))</f>
        <v/>
      </c>
      <c r="N519" s="58" t="str">
        <f>+IF(A519="","",IF(A519&gt;Parámetros!$D$117,0,ROUND('Modelo Financiero'!D519*Parámetros!$D$116,2)))</f>
        <v/>
      </c>
      <c r="O519" s="58" t="str">
        <f t="shared" si="89"/>
        <v/>
      </c>
      <c r="P519" s="66" t="str">
        <f>+'Tablas Servicio'!I552</f>
        <v/>
      </c>
      <c r="Q519" s="66" t="str">
        <f>+'Tablas Servicio'!S552</f>
        <v/>
      </c>
      <c r="R519" s="66" t="str">
        <f>+'Tablas Servicio'!T552</f>
        <v/>
      </c>
      <c r="S519" s="66" t="str">
        <f t="shared" si="85"/>
        <v/>
      </c>
      <c r="T519" s="66" t="str">
        <f t="shared" si="94"/>
        <v/>
      </c>
      <c r="U519" s="66" t="str">
        <f t="shared" si="90"/>
        <v/>
      </c>
      <c r="V519" s="81" t="str">
        <f t="shared" si="91"/>
        <v/>
      </c>
      <c r="W519" s="66" t="str">
        <f t="shared" si="92"/>
        <v/>
      </c>
      <c r="X519" s="66" t="str">
        <f t="shared" si="93"/>
        <v/>
      </c>
    </row>
    <row r="520" spans="1:24" x14ac:dyDescent="0.25">
      <c r="A520" t="str">
        <f>+'Tablas Servicio'!B553</f>
        <v/>
      </c>
      <c r="B520" t="str">
        <f>+'Tablas Servicio'!C553</f>
        <v/>
      </c>
      <c r="C520" s="56" t="str">
        <f>+'Tablas Servicio'!D553</f>
        <v/>
      </c>
      <c r="D520" s="58" t="str">
        <f>+'Tablas Servicio'!N553</f>
        <v/>
      </c>
      <c r="E520" s="66" t="str">
        <f>+'Tablas Servicio'!AC553</f>
        <v/>
      </c>
      <c r="F520" s="66" t="str">
        <f>+IF(A520="","",'Tablas Servicio'!O553-'Modelo Financiero'!E520)</f>
        <v/>
      </c>
      <c r="G520" s="58" t="str">
        <f t="shared" si="86"/>
        <v/>
      </c>
      <c r="H520" s="66" t="str">
        <f>+'Tablas Servicio'!G553</f>
        <v/>
      </c>
      <c r="I520" s="72" t="str">
        <f t="shared" si="87"/>
        <v/>
      </c>
      <c r="J520" s="66" t="str">
        <f t="shared" si="88"/>
        <v/>
      </c>
      <c r="K520" s="66" t="str">
        <f>+'Tablas Servicio'!H553</f>
        <v/>
      </c>
      <c r="L520" s="66" t="str">
        <f>+IF(A520="","",ROUND(H520*Parámetros!$D$100,2))</f>
        <v/>
      </c>
      <c r="M520" s="58" t="str">
        <f>+IF(A520="","",IF(AND(A520=1,B520=1),Parámetros!$D$114*(D520*frec-$G$3-$H$3),IF(AND(A520=2,B520=frec+1),Parámetros!$D$115*(D520*frec-$G$4-$H$4),0)))</f>
        <v/>
      </c>
      <c r="N520" s="58" t="str">
        <f>+IF(A520="","",IF(A520&gt;Parámetros!$D$117,0,ROUND('Modelo Financiero'!D520*Parámetros!$D$116,2)))</f>
        <v/>
      </c>
      <c r="O520" s="58" t="str">
        <f t="shared" si="89"/>
        <v/>
      </c>
      <c r="P520" s="66" t="str">
        <f>+'Tablas Servicio'!I553</f>
        <v/>
      </c>
      <c r="Q520" s="66" t="str">
        <f>+'Tablas Servicio'!S553</f>
        <v/>
      </c>
      <c r="R520" s="66" t="str">
        <f>+'Tablas Servicio'!T553</f>
        <v/>
      </c>
      <c r="S520" s="66" t="str">
        <f t="shared" si="85"/>
        <v/>
      </c>
      <c r="T520" s="66" t="str">
        <f t="shared" si="94"/>
        <v/>
      </c>
      <c r="U520" s="66" t="str">
        <f t="shared" si="90"/>
        <v/>
      </c>
      <c r="V520" s="81" t="str">
        <f t="shared" si="91"/>
        <v/>
      </c>
      <c r="W520" s="66" t="str">
        <f t="shared" si="92"/>
        <v/>
      </c>
      <c r="X520" s="66" t="str">
        <f t="shared" si="93"/>
        <v/>
      </c>
    </row>
    <row r="521" spans="1:24" x14ac:dyDescent="0.25">
      <c r="A521" t="str">
        <f>+'Tablas Servicio'!B554</f>
        <v/>
      </c>
      <c r="B521" t="str">
        <f>+'Tablas Servicio'!C554</f>
        <v/>
      </c>
      <c r="C521" s="56" t="str">
        <f>+'Tablas Servicio'!D554</f>
        <v/>
      </c>
      <c r="D521" s="58" t="str">
        <f>+'Tablas Servicio'!N554</f>
        <v/>
      </c>
      <c r="E521" s="66" t="str">
        <f>+'Tablas Servicio'!AC554</f>
        <v/>
      </c>
      <c r="F521" s="66" t="str">
        <f>+IF(A521="","",'Tablas Servicio'!O554-'Modelo Financiero'!E521)</f>
        <v/>
      </c>
      <c r="G521" s="58" t="str">
        <f t="shared" si="86"/>
        <v/>
      </c>
      <c r="H521" s="66" t="str">
        <f>+'Tablas Servicio'!G554</f>
        <v/>
      </c>
      <c r="I521" s="72" t="str">
        <f t="shared" si="87"/>
        <v/>
      </c>
      <c r="J521" s="66" t="str">
        <f t="shared" si="88"/>
        <v/>
      </c>
      <c r="K521" s="66" t="str">
        <f>+'Tablas Servicio'!H554</f>
        <v/>
      </c>
      <c r="L521" s="66" t="str">
        <f>+IF(A521="","",ROUND(H521*Parámetros!$D$100,2))</f>
        <v/>
      </c>
      <c r="M521" s="58" t="str">
        <f>+IF(A521="","",IF(AND(A521=1,B521=1),Parámetros!$D$114*(D521*frec-$G$3-$H$3),IF(AND(A521=2,B521=frec+1),Parámetros!$D$115*(D521*frec-$G$4-$H$4),0)))</f>
        <v/>
      </c>
      <c r="N521" s="58" t="str">
        <f>+IF(A521="","",IF(A521&gt;Parámetros!$D$117,0,ROUND('Modelo Financiero'!D521*Parámetros!$D$116,2)))</f>
        <v/>
      </c>
      <c r="O521" s="58" t="str">
        <f t="shared" si="89"/>
        <v/>
      </c>
      <c r="P521" s="66" t="str">
        <f>+'Tablas Servicio'!I554</f>
        <v/>
      </c>
      <c r="Q521" s="66" t="str">
        <f>+'Tablas Servicio'!S554</f>
        <v/>
      </c>
      <c r="R521" s="66" t="str">
        <f>+'Tablas Servicio'!T554</f>
        <v/>
      </c>
      <c r="S521" s="66" t="str">
        <f t="shared" ref="S521:S548" si="95">+IF(A521="","",D521-P521-G521-(K521-H521)-M521)</f>
        <v/>
      </c>
      <c r="T521" s="66" t="str">
        <f t="shared" si="94"/>
        <v/>
      </c>
      <c r="U521" s="66" t="str">
        <f t="shared" si="90"/>
        <v/>
      </c>
      <c r="V521" s="81" t="str">
        <f t="shared" si="91"/>
        <v/>
      </c>
      <c r="W521" s="66" t="str">
        <f t="shared" si="92"/>
        <v/>
      </c>
      <c r="X521" s="66" t="str">
        <f t="shared" si="93"/>
        <v/>
      </c>
    </row>
    <row r="522" spans="1:24" x14ac:dyDescent="0.25">
      <c r="A522" t="str">
        <f>+'Tablas Servicio'!B555</f>
        <v/>
      </c>
      <c r="B522" t="str">
        <f>+'Tablas Servicio'!C555</f>
        <v/>
      </c>
      <c r="C522" s="56" t="str">
        <f>+'Tablas Servicio'!D555</f>
        <v/>
      </c>
      <c r="D522" s="58" t="str">
        <f>+'Tablas Servicio'!N555</f>
        <v/>
      </c>
      <c r="E522" s="66" t="str">
        <f>+'Tablas Servicio'!AC555</f>
        <v/>
      </c>
      <c r="F522" s="66" t="str">
        <f>+IF(A522="","",'Tablas Servicio'!O555-'Modelo Financiero'!E522)</f>
        <v/>
      </c>
      <c r="G522" s="58" t="str">
        <f t="shared" ref="G522:G548" si="96">+IF(A522="","",IF(A522=1,$C$3,$C$4)*E522+$C$2*F522)</f>
        <v/>
      </c>
      <c r="H522" s="66" t="str">
        <f>+'Tablas Servicio'!G555</f>
        <v/>
      </c>
      <c r="I522" s="72" t="str">
        <f t="shared" ref="I522:I548" si="97">IF(A522="","",1-(E522+F522)/H522)</f>
        <v/>
      </c>
      <c r="J522" s="66" t="str">
        <f t="shared" ref="J522:J548" si="98">+IF(A522="","",H522-E522-F522)</f>
        <v/>
      </c>
      <c r="K522" s="66" t="str">
        <f>+'Tablas Servicio'!H555</f>
        <v/>
      </c>
      <c r="L522" s="66" t="str">
        <f>+IF(A522="","",ROUND(H522*Parámetros!$D$100,2))</f>
        <v/>
      </c>
      <c r="M522" s="58" t="str">
        <f>+IF(A522="","",IF(AND(A522=1,B522=1),Parámetros!$D$114*(D522*frec-$G$3-$H$3),IF(AND(A522=2,B522=frec+1),Parámetros!$D$115*(D522*frec-$G$4-$H$4),0)))</f>
        <v/>
      </c>
      <c r="N522" s="58" t="str">
        <f>+IF(A522="","",IF(A522&gt;Parámetros!$D$117,0,ROUND('Modelo Financiero'!D522*Parámetros!$D$116,2)))</f>
        <v/>
      </c>
      <c r="O522" s="58" t="str">
        <f t="shared" ref="O522:O548" si="99">+IF(A522="","",MAX(N522-L522,0))</f>
        <v/>
      </c>
      <c r="P522" s="66" t="str">
        <f>+'Tablas Servicio'!I555</f>
        <v/>
      </c>
      <c r="Q522" s="66" t="str">
        <f>+'Tablas Servicio'!S555</f>
        <v/>
      </c>
      <c r="R522" s="66" t="str">
        <f>+'Tablas Servicio'!T555</f>
        <v/>
      </c>
      <c r="S522" s="66" t="str">
        <f t="shared" si="95"/>
        <v/>
      </c>
      <c r="T522" s="66" t="str">
        <f t="shared" si="94"/>
        <v/>
      </c>
      <c r="U522" s="66" t="str">
        <f t="shared" ref="U522:U548" si="100">+IF(A522="","",T522+(Q522-R522))</f>
        <v/>
      </c>
      <c r="V522" s="81" t="str">
        <f t="shared" ref="V522:V548" si="101">+IF(A522="","",IF(A522=1,$L$3,IF(A522=2,$L$4,0)))</f>
        <v/>
      </c>
      <c r="W522" s="66" t="str">
        <f t="shared" ref="W522:W548" si="102">+IF(A522="","",IF(A522=1,$I$3,IF(A522=2,$I$4,0))*V522)</f>
        <v/>
      </c>
      <c r="X522" s="66" t="str">
        <f t="shared" ref="X522:X548" si="103">+IF(A522="","",U522+W522)</f>
        <v/>
      </c>
    </row>
    <row r="523" spans="1:24" x14ac:dyDescent="0.25">
      <c r="A523" t="str">
        <f>+'Tablas Servicio'!B556</f>
        <v/>
      </c>
      <c r="B523" t="str">
        <f>+'Tablas Servicio'!C556</f>
        <v/>
      </c>
      <c r="C523" s="56" t="str">
        <f>+'Tablas Servicio'!D556</f>
        <v/>
      </c>
      <c r="D523" s="58" t="str">
        <f>+'Tablas Servicio'!N556</f>
        <v/>
      </c>
      <c r="E523" s="66" t="str">
        <f>+'Tablas Servicio'!AC556</f>
        <v/>
      </c>
      <c r="F523" s="66" t="str">
        <f>+IF(A523="","",'Tablas Servicio'!O556-'Modelo Financiero'!E523)</f>
        <v/>
      </c>
      <c r="G523" s="58" t="str">
        <f t="shared" si="96"/>
        <v/>
      </c>
      <c r="H523" s="66" t="str">
        <f>+'Tablas Servicio'!G556</f>
        <v/>
      </c>
      <c r="I523" s="72" t="str">
        <f t="shared" si="97"/>
        <v/>
      </c>
      <c r="J523" s="66" t="str">
        <f t="shared" si="98"/>
        <v/>
      </c>
      <c r="K523" s="66" t="str">
        <f>+'Tablas Servicio'!H556</f>
        <v/>
      </c>
      <c r="L523" s="66" t="str">
        <f>+IF(A523="","",ROUND(H523*Parámetros!$D$100,2))</f>
        <v/>
      </c>
      <c r="M523" s="58" t="str">
        <f>+IF(A523="","",IF(AND(A523=1,B523=1),Parámetros!$D$114*(D523*frec-$G$3-$H$3),IF(AND(A523=2,B523=frec+1),Parámetros!$D$115*(D523*frec-$G$4-$H$4),0)))</f>
        <v/>
      </c>
      <c r="N523" s="58" t="str">
        <f>+IF(A523="","",IF(A523&gt;Parámetros!$D$117,0,ROUND('Modelo Financiero'!D523*Parámetros!$D$116,2)))</f>
        <v/>
      </c>
      <c r="O523" s="58" t="str">
        <f t="shared" si="99"/>
        <v/>
      </c>
      <c r="P523" s="66" t="str">
        <f>+'Tablas Servicio'!I556</f>
        <v/>
      </c>
      <c r="Q523" s="66" t="str">
        <f>+'Tablas Servicio'!S556</f>
        <v/>
      </c>
      <c r="R523" s="66" t="str">
        <f>+'Tablas Servicio'!T556</f>
        <v/>
      </c>
      <c r="S523" s="66" t="str">
        <f t="shared" si="95"/>
        <v/>
      </c>
      <c r="T523" s="66" t="str">
        <f t="shared" ref="T523:T548" si="104">+IF(A523="","",T522+S523)</f>
        <v/>
      </c>
      <c r="U523" s="66" t="str">
        <f t="shared" si="100"/>
        <v/>
      </c>
      <c r="V523" s="81" t="str">
        <f t="shared" si="101"/>
        <v/>
      </c>
      <c r="W523" s="66" t="str">
        <f t="shared" si="102"/>
        <v/>
      </c>
      <c r="X523" s="66" t="str">
        <f t="shared" si="103"/>
        <v/>
      </c>
    </row>
    <row r="524" spans="1:24" x14ac:dyDescent="0.25">
      <c r="A524" t="str">
        <f>+'Tablas Servicio'!B557</f>
        <v/>
      </c>
      <c r="B524" t="str">
        <f>+'Tablas Servicio'!C557</f>
        <v/>
      </c>
      <c r="C524" s="56" t="str">
        <f>+'Tablas Servicio'!D557</f>
        <v/>
      </c>
      <c r="D524" s="58" t="str">
        <f>+'Tablas Servicio'!N557</f>
        <v/>
      </c>
      <c r="E524" s="66" t="str">
        <f>+'Tablas Servicio'!AC557</f>
        <v/>
      </c>
      <c r="F524" s="66" t="str">
        <f>+IF(A524="","",'Tablas Servicio'!O557-'Modelo Financiero'!E524)</f>
        <v/>
      </c>
      <c r="G524" s="58" t="str">
        <f t="shared" si="96"/>
        <v/>
      </c>
      <c r="H524" s="66" t="str">
        <f>+'Tablas Servicio'!G557</f>
        <v/>
      </c>
      <c r="I524" s="72" t="str">
        <f t="shared" si="97"/>
        <v/>
      </c>
      <c r="J524" s="66" t="str">
        <f t="shared" si="98"/>
        <v/>
      </c>
      <c r="K524" s="66" t="str">
        <f>+'Tablas Servicio'!H557</f>
        <v/>
      </c>
      <c r="L524" s="66" t="str">
        <f>+IF(A524="","",ROUND(H524*Parámetros!$D$100,2))</f>
        <v/>
      </c>
      <c r="M524" s="58" t="str">
        <f>+IF(A524="","",IF(AND(A524=1,B524=1),Parámetros!$D$114*(D524*frec-$G$3-$H$3),IF(AND(A524=2,B524=frec+1),Parámetros!$D$115*(D524*frec-$G$4-$H$4),0)))</f>
        <v/>
      </c>
      <c r="N524" s="58" t="str">
        <f>+IF(A524="","",IF(A524&gt;Parámetros!$D$117,0,ROUND('Modelo Financiero'!D524*Parámetros!$D$116,2)))</f>
        <v/>
      </c>
      <c r="O524" s="58" t="str">
        <f t="shared" si="99"/>
        <v/>
      </c>
      <c r="P524" s="66" t="str">
        <f>+'Tablas Servicio'!I557</f>
        <v/>
      </c>
      <c r="Q524" s="66" t="str">
        <f>+'Tablas Servicio'!S557</f>
        <v/>
      </c>
      <c r="R524" s="66" t="str">
        <f>+'Tablas Servicio'!T557</f>
        <v/>
      </c>
      <c r="S524" s="66" t="str">
        <f t="shared" si="95"/>
        <v/>
      </c>
      <c r="T524" s="66" t="str">
        <f t="shared" si="104"/>
        <v/>
      </c>
      <c r="U524" s="66" t="str">
        <f t="shared" si="100"/>
        <v/>
      </c>
      <c r="V524" s="81" t="str">
        <f t="shared" si="101"/>
        <v/>
      </c>
      <c r="W524" s="66" t="str">
        <f t="shared" si="102"/>
        <v/>
      </c>
      <c r="X524" s="66" t="str">
        <f t="shared" si="103"/>
        <v/>
      </c>
    </row>
    <row r="525" spans="1:24" x14ac:dyDescent="0.25">
      <c r="A525" t="str">
        <f>+'Tablas Servicio'!B558</f>
        <v/>
      </c>
      <c r="B525" t="str">
        <f>+'Tablas Servicio'!C558</f>
        <v/>
      </c>
      <c r="C525" s="56" t="str">
        <f>+'Tablas Servicio'!D558</f>
        <v/>
      </c>
      <c r="D525" s="58" t="str">
        <f>+'Tablas Servicio'!N558</f>
        <v/>
      </c>
      <c r="E525" s="66" t="str">
        <f>+'Tablas Servicio'!AC558</f>
        <v/>
      </c>
      <c r="F525" s="66" t="str">
        <f>+IF(A525="","",'Tablas Servicio'!O558-'Modelo Financiero'!E525)</f>
        <v/>
      </c>
      <c r="G525" s="58" t="str">
        <f t="shared" si="96"/>
        <v/>
      </c>
      <c r="H525" s="66" t="str">
        <f>+'Tablas Servicio'!G558</f>
        <v/>
      </c>
      <c r="I525" s="72" t="str">
        <f t="shared" si="97"/>
        <v/>
      </c>
      <c r="J525" s="66" t="str">
        <f t="shared" si="98"/>
        <v/>
      </c>
      <c r="K525" s="66" t="str">
        <f>+'Tablas Servicio'!H558</f>
        <v/>
      </c>
      <c r="L525" s="66" t="str">
        <f>+IF(A525="","",ROUND(H525*Parámetros!$D$100,2))</f>
        <v/>
      </c>
      <c r="M525" s="58" t="str">
        <f>+IF(A525="","",IF(AND(A525=1,B525=1),Parámetros!$D$114*(D525*frec-$G$3-$H$3),IF(AND(A525=2,B525=frec+1),Parámetros!$D$115*(D525*frec-$G$4-$H$4),0)))</f>
        <v/>
      </c>
      <c r="N525" s="58" t="str">
        <f>+IF(A525="","",IF(A525&gt;Parámetros!$D$117,0,ROUND('Modelo Financiero'!D525*Parámetros!$D$116,2)))</f>
        <v/>
      </c>
      <c r="O525" s="58" t="str">
        <f t="shared" si="99"/>
        <v/>
      </c>
      <c r="P525" s="66" t="str">
        <f>+'Tablas Servicio'!I558</f>
        <v/>
      </c>
      <c r="Q525" s="66" t="str">
        <f>+'Tablas Servicio'!S558</f>
        <v/>
      </c>
      <c r="R525" s="66" t="str">
        <f>+'Tablas Servicio'!T558</f>
        <v/>
      </c>
      <c r="S525" s="66" t="str">
        <f t="shared" si="95"/>
        <v/>
      </c>
      <c r="T525" s="66" t="str">
        <f t="shared" si="104"/>
        <v/>
      </c>
      <c r="U525" s="66" t="str">
        <f t="shared" si="100"/>
        <v/>
      </c>
      <c r="V525" s="81" t="str">
        <f t="shared" si="101"/>
        <v/>
      </c>
      <c r="W525" s="66" t="str">
        <f t="shared" si="102"/>
        <v/>
      </c>
      <c r="X525" s="66" t="str">
        <f t="shared" si="103"/>
        <v/>
      </c>
    </row>
    <row r="526" spans="1:24" x14ac:dyDescent="0.25">
      <c r="A526" t="str">
        <f>+'Tablas Servicio'!B559</f>
        <v/>
      </c>
      <c r="B526" t="str">
        <f>+'Tablas Servicio'!C559</f>
        <v/>
      </c>
      <c r="C526" s="56" t="str">
        <f>+'Tablas Servicio'!D559</f>
        <v/>
      </c>
      <c r="D526" s="58" t="str">
        <f>+'Tablas Servicio'!N559</f>
        <v/>
      </c>
      <c r="E526" s="66" t="str">
        <f>+'Tablas Servicio'!AC559</f>
        <v/>
      </c>
      <c r="F526" s="66" t="str">
        <f>+IF(A526="","",'Tablas Servicio'!O559-'Modelo Financiero'!E526)</f>
        <v/>
      </c>
      <c r="G526" s="58" t="str">
        <f t="shared" si="96"/>
        <v/>
      </c>
      <c r="H526" s="66" t="str">
        <f>+'Tablas Servicio'!G559</f>
        <v/>
      </c>
      <c r="I526" s="72" t="str">
        <f t="shared" si="97"/>
        <v/>
      </c>
      <c r="J526" s="66" t="str">
        <f t="shared" si="98"/>
        <v/>
      </c>
      <c r="K526" s="66" t="str">
        <f>+'Tablas Servicio'!H559</f>
        <v/>
      </c>
      <c r="L526" s="66" t="str">
        <f>+IF(A526="","",ROUND(H526*Parámetros!$D$100,2))</f>
        <v/>
      </c>
      <c r="M526" s="58" t="str">
        <f>+IF(A526="","",IF(AND(A526=1,B526=1),Parámetros!$D$114*(D526*frec-$G$3-$H$3),IF(AND(A526=2,B526=frec+1),Parámetros!$D$115*(D526*frec-$G$4-$H$4),0)))</f>
        <v/>
      </c>
      <c r="N526" s="58" t="str">
        <f>+IF(A526="","",IF(A526&gt;Parámetros!$D$117,0,ROUND('Modelo Financiero'!D526*Parámetros!$D$116,2)))</f>
        <v/>
      </c>
      <c r="O526" s="58" t="str">
        <f t="shared" si="99"/>
        <v/>
      </c>
      <c r="P526" s="66" t="str">
        <f>+'Tablas Servicio'!I559</f>
        <v/>
      </c>
      <c r="Q526" s="66" t="str">
        <f>+'Tablas Servicio'!S559</f>
        <v/>
      </c>
      <c r="R526" s="66" t="str">
        <f>+'Tablas Servicio'!T559</f>
        <v/>
      </c>
      <c r="S526" s="66" t="str">
        <f t="shared" si="95"/>
        <v/>
      </c>
      <c r="T526" s="66" t="str">
        <f t="shared" si="104"/>
        <v/>
      </c>
      <c r="U526" s="66" t="str">
        <f t="shared" si="100"/>
        <v/>
      </c>
      <c r="V526" s="81" t="str">
        <f t="shared" si="101"/>
        <v/>
      </c>
      <c r="W526" s="66" t="str">
        <f t="shared" si="102"/>
        <v/>
      </c>
      <c r="X526" s="66" t="str">
        <f t="shared" si="103"/>
        <v/>
      </c>
    </row>
    <row r="527" spans="1:24" x14ac:dyDescent="0.25">
      <c r="A527" t="str">
        <f>+'Tablas Servicio'!B560</f>
        <v/>
      </c>
      <c r="B527" t="str">
        <f>+'Tablas Servicio'!C560</f>
        <v/>
      </c>
      <c r="C527" s="56" t="str">
        <f>+'Tablas Servicio'!D560</f>
        <v/>
      </c>
      <c r="D527" s="58" t="str">
        <f>+'Tablas Servicio'!N560</f>
        <v/>
      </c>
      <c r="E527" s="66" t="str">
        <f>+'Tablas Servicio'!AC560</f>
        <v/>
      </c>
      <c r="F527" s="66" t="str">
        <f>+IF(A527="","",'Tablas Servicio'!O560-'Modelo Financiero'!E527)</f>
        <v/>
      </c>
      <c r="G527" s="58" t="str">
        <f t="shared" si="96"/>
        <v/>
      </c>
      <c r="H527" s="66" t="str">
        <f>+'Tablas Servicio'!G560</f>
        <v/>
      </c>
      <c r="I527" s="72" t="str">
        <f t="shared" si="97"/>
        <v/>
      </c>
      <c r="J527" s="66" t="str">
        <f t="shared" si="98"/>
        <v/>
      </c>
      <c r="K527" s="66" t="str">
        <f>+'Tablas Servicio'!H560</f>
        <v/>
      </c>
      <c r="L527" s="66" t="str">
        <f>+IF(A527="","",ROUND(H527*Parámetros!$D$100,2))</f>
        <v/>
      </c>
      <c r="M527" s="58" t="str">
        <f>+IF(A527="","",IF(AND(A527=1,B527=1),Parámetros!$D$114*(D527*frec-$G$3-$H$3),IF(AND(A527=2,B527=frec+1),Parámetros!$D$115*(D527*frec-$G$4-$H$4),0)))</f>
        <v/>
      </c>
      <c r="N527" s="58" t="str">
        <f>+IF(A527="","",IF(A527&gt;Parámetros!$D$117,0,ROUND('Modelo Financiero'!D527*Parámetros!$D$116,2)))</f>
        <v/>
      </c>
      <c r="O527" s="58" t="str">
        <f t="shared" si="99"/>
        <v/>
      </c>
      <c r="P527" s="66" t="str">
        <f>+'Tablas Servicio'!I560</f>
        <v/>
      </c>
      <c r="Q527" s="66" t="str">
        <f>+'Tablas Servicio'!S560</f>
        <v/>
      </c>
      <c r="R527" s="66" t="str">
        <f>+'Tablas Servicio'!T560</f>
        <v/>
      </c>
      <c r="S527" s="66" t="str">
        <f t="shared" si="95"/>
        <v/>
      </c>
      <c r="T527" s="66" t="str">
        <f t="shared" si="104"/>
        <v/>
      </c>
      <c r="U527" s="66" t="str">
        <f t="shared" si="100"/>
        <v/>
      </c>
      <c r="V527" s="81" t="str">
        <f t="shared" si="101"/>
        <v/>
      </c>
      <c r="W527" s="66" t="str">
        <f t="shared" si="102"/>
        <v/>
      </c>
      <c r="X527" s="66" t="str">
        <f t="shared" si="103"/>
        <v/>
      </c>
    </row>
    <row r="528" spans="1:24" x14ac:dyDescent="0.25">
      <c r="A528" t="str">
        <f>+'Tablas Servicio'!B561</f>
        <v/>
      </c>
      <c r="B528" t="str">
        <f>+'Tablas Servicio'!C561</f>
        <v/>
      </c>
      <c r="C528" s="56" t="str">
        <f>+'Tablas Servicio'!D561</f>
        <v/>
      </c>
      <c r="D528" s="58" t="str">
        <f>+'Tablas Servicio'!N561</f>
        <v/>
      </c>
      <c r="E528" s="66" t="str">
        <f>+'Tablas Servicio'!AC561</f>
        <v/>
      </c>
      <c r="F528" s="66" t="str">
        <f>+IF(A528="","",'Tablas Servicio'!O561-'Modelo Financiero'!E528)</f>
        <v/>
      </c>
      <c r="G528" s="58" t="str">
        <f t="shared" si="96"/>
        <v/>
      </c>
      <c r="H528" s="66" t="str">
        <f>+'Tablas Servicio'!G561</f>
        <v/>
      </c>
      <c r="I528" s="72" t="str">
        <f t="shared" si="97"/>
        <v/>
      </c>
      <c r="J528" s="66" t="str">
        <f t="shared" si="98"/>
        <v/>
      </c>
      <c r="K528" s="66" t="str">
        <f>+'Tablas Servicio'!H561</f>
        <v/>
      </c>
      <c r="L528" s="66" t="str">
        <f>+IF(A528="","",ROUND(H528*Parámetros!$D$100,2))</f>
        <v/>
      </c>
      <c r="M528" s="58" t="str">
        <f>+IF(A528="","",IF(AND(A528=1,B528=1),Parámetros!$D$114*(D528*frec-$G$3-$H$3),IF(AND(A528=2,B528=frec+1),Parámetros!$D$115*(D528*frec-$G$4-$H$4),0)))</f>
        <v/>
      </c>
      <c r="N528" s="58" t="str">
        <f>+IF(A528="","",IF(A528&gt;Parámetros!$D$117,0,ROUND('Modelo Financiero'!D528*Parámetros!$D$116,2)))</f>
        <v/>
      </c>
      <c r="O528" s="58" t="str">
        <f t="shared" si="99"/>
        <v/>
      </c>
      <c r="P528" s="66" t="str">
        <f>+'Tablas Servicio'!I561</f>
        <v/>
      </c>
      <c r="Q528" s="66" t="str">
        <f>+'Tablas Servicio'!S561</f>
        <v/>
      </c>
      <c r="R528" s="66" t="str">
        <f>+'Tablas Servicio'!T561</f>
        <v/>
      </c>
      <c r="S528" s="66" t="str">
        <f t="shared" si="95"/>
        <v/>
      </c>
      <c r="T528" s="66" t="str">
        <f t="shared" si="104"/>
        <v/>
      </c>
      <c r="U528" s="66" t="str">
        <f t="shared" si="100"/>
        <v/>
      </c>
      <c r="V528" s="81" t="str">
        <f t="shared" si="101"/>
        <v/>
      </c>
      <c r="W528" s="66" t="str">
        <f t="shared" si="102"/>
        <v/>
      </c>
      <c r="X528" s="66" t="str">
        <f t="shared" si="103"/>
        <v/>
      </c>
    </row>
    <row r="529" spans="1:24" x14ac:dyDescent="0.25">
      <c r="A529" t="str">
        <f>+'Tablas Servicio'!B562</f>
        <v/>
      </c>
      <c r="B529" t="str">
        <f>+'Tablas Servicio'!C562</f>
        <v/>
      </c>
      <c r="C529" s="56" t="str">
        <f>+'Tablas Servicio'!D562</f>
        <v/>
      </c>
      <c r="D529" s="58" t="str">
        <f>+'Tablas Servicio'!N562</f>
        <v/>
      </c>
      <c r="E529" s="66" t="str">
        <f>+'Tablas Servicio'!AC562</f>
        <v/>
      </c>
      <c r="F529" s="66" t="str">
        <f>+IF(A529="","",'Tablas Servicio'!O562-'Modelo Financiero'!E529)</f>
        <v/>
      </c>
      <c r="G529" s="58" t="str">
        <f t="shared" si="96"/>
        <v/>
      </c>
      <c r="H529" s="66" t="str">
        <f>+'Tablas Servicio'!G562</f>
        <v/>
      </c>
      <c r="I529" s="72" t="str">
        <f t="shared" si="97"/>
        <v/>
      </c>
      <c r="J529" s="66" t="str">
        <f t="shared" si="98"/>
        <v/>
      </c>
      <c r="K529" s="66" t="str">
        <f>+'Tablas Servicio'!H562</f>
        <v/>
      </c>
      <c r="L529" s="66" t="str">
        <f>+IF(A529="","",ROUND(H529*Parámetros!$D$100,2))</f>
        <v/>
      </c>
      <c r="M529" s="58" t="str">
        <f>+IF(A529="","",IF(AND(A529=1,B529=1),Parámetros!$D$114*(D529*frec-$G$3-$H$3),IF(AND(A529=2,B529=frec+1),Parámetros!$D$115*(D529*frec-$G$4-$H$4),0)))</f>
        <v/>
      </c>
      <c r="N529" s="58" t="str">
        <f>+IF(A529="","",IF(A529&gt;Parámetros!$D$117,0,ROUND('Modelo Financiero'!D529*Parámetros!$D$116,2)))</f>
        <v/>
      </c>
      <c r="O529" s="58" t="str">
        <f t="shared" si="99"/>
        <v/>
      </c>
      <c r="P529" s="66" t="str">
        <f>+'Tablas Servicio'!I562</f>
        <v/>
      </c>
      <c r="Q529" s="66" t="str">
        <f>+'Tablas Servicio'!S562</f>
        <v/>
      </c>
      <c r="R529" s="66" t="str">
        <f>+'Tablas Servicio'!T562</f>
        <v/>
      </c>
      <c r="S529" s="66" t="str">
        <f t="shared" si="95"/>
        <v/>
      </c>
      <c r="T529" s="66" t="str">
        <f t="shared" si="104"/>
        <v/>
      </c>
      <c r="U529" s="66" t="str">
        <f t="shared" si="100"/>
        <v/>
      </c>
      <c r="V529" s="81" t="str">
        <f t="shared" si="101"/>
        <v/>
      </c>
      <c r="W529" s="66" t="str">
        <f t="shared" si="102"/>
        <v/>
      </c>
      <c r="X529" s="66" t="str">
        <f t="shared" si="103"/>
        <v/>
      </c>
    </row>
    <row r="530" spans="1:24" x14ac:dyDescent="0.25">
      <c r="A530" t="str">
        <f>+'Tablas Servicio'!B563</f>
        <v/>
      </c>
      <c r="B530" t="str">
        <f>+'Tablas Servicio'!C563</f>
        <v/>
      </c>
      <c r="C530" s="56" t="str">
        <f>+'Tablas Servicio'!D563</f>
        <v/>
      </c>
      <c r="D530" s="58" t="str">
        <f>+'Tablas Servicio'!N563</f>
        <v/>
      </c>
      <c r="E530" s="66" t="str">
        <f>+'Tablas Servicio'!AC563</f>
        <v/>
      </c>
      <c r="F530" s="66" t="str">
        <f>+IF(A530="","",'Tablas Servicio'!O563-'Modelo Financiero'!E530)</f>
        <v/>
      </c>
      <c r="G530" s="58" t="str">
        <f t="shared" si="96"/>
        <v/>
      </c>
      <c r="H530" s="66" t="str">
        <f>+'Tablas Servicio'!G563</f>
        <v/>
      </c>
      <c r="I530" s="72" t="str">
        <f t="shared" si="97"/>
        <v/>
      </c>
      <c r="J530" s="66" t="str">
        <f t="shared" si="98"/>
        <v/>
      </c>
      <c r="K530" s="66" t="str">
        <f>+'Tablas Servicio'!H563</f>
        <v/>
      </c>
      <c r="L530" s="66" t="str">
        <f>+IF(A530="","",ROUND(H530*Parámetros!$D$100,2))</f>
        <v/>
      </c>
      <c r="M530" s="58" t="str">
        <f>+IF(A530="","",IF(AND(A530=1,B530=1),Parámetros!$D$114*(D530*frec-$G$3-$H$3),IF(AND(A530=2,B530=frec+1),Parámetros!$D$115*(D530*frec-$G$4-$H$4),0)))</f>
        <v/>
      </c>
      <c r="N530" s="58" t="str">
        <f>+IF(A530="","",IF(A530&gt;Parámetros!$D$117,0,ROUND('Modelo Financiero'!D530*Parámetros!$D$116,2)))</f>
        <v/>
      </c>
      <c r="O530" s="58" t="str">
        <f t="shared" si="99"/>
        <v/>
      </c>
      <c r="P530" s="66" t="str">
        <f>+'Tablas Servicio'!I563</f>
        <v/>
      </c>
      <c r="Q530" s="66" t="str">
        <f>+'Tablas Servicio'!S563</f>
        <v/>
      </c>
      <c r="R530" s="66" t="str">
        <f>+'Tablas Servicio'!T563</f>
        <v/>
      </c>
      <c r="S530" s="66" t="str">
        <f t="shared" si="95"/>
        <v/>
      </c>
      <c r="T530" s="66" t="str">
        <f t="shared" si="104"/>
        <v/>
      </c>
      <c r="U530" s="66" t="str">
        <f t="shared" si="100"/>
        <v/>
      </c>
      <c r="V530" s="81" t="str">
        <f t="shared" si="101"/>
        <v/>
      </c>
      <c r="W530" s="66" t="str">
        <f t="shared" si="102"/>
        <v/>
      </c>
      <c r="X530" s="66" t="str">
        <f t="shared" si="103"/>
        <v/>
      </c>
    </row>
    <row r="531" spans="1:24" x14ac:dyDescent="0.25">
      <c r="A531" t="str">
        <f>+'Tablas Servicio'!B564</f>
        <v/>
      </c>
      <c r="B531" t="str">
        <f>+'Tablas Servicio'!C564</f>
        <v/>
      </c>
      <c r="C531" s="56" t="str">
        <f>+'Tablas Servicio'!D564</f>
        <v/>
      </c>
      <c r="D531" s="58" t="str">
        <f>+'Tablas Servicio'!N564</f>
        <v/>
      </c>
      <c r="E531" s="66" t="str">
        <f>+'Tablas Servicio'!AC564</f>
        <v/>
      </c>
      <c r="F531" s="66" t="str">
        <f>+IF(A531="","",'Tablas Servicio'!O564-'Modelo Financiero'!E531)</f>
        <v/>
      </c>
      <c r="G531" s="58" t="str">
        <f t="shared" si="96"/>
        <v/>
      </c>
      <c r="H531" s="66" t="str">
        <f>+'Tablas Servicio'!G564</f>
        <v/>
      </c>
      <c r="I531" s="72" t="str">
        <f t="shared" si="97"/>
        <v/>
      </c>
      <c r="J531" s="66" t="str">
        <f t="shared" si="98"/>
        <v/>
      </c>
      <c r="K531" s="66" t="str">
        <f>+'Tablas Servicio'!H564</f>
        <v/>
      </c>
      <c r="L531" s="66" t="str">
        <f>+IF(A531="","",ROUND(H531*Parámetros!$D$100,2))</f>
        <v/>
      </c>
      <c r="M531" s="58" t="str">
        <f>+IF(A531="","",IF(AND(A531=1,B531=1),Parámetros!$D$114*(D531*frec-$G$3-$H$3),IF(AND(A531=2,B531=frec+1),Parámetros!$D$115*(D531*frec-$G$4-$H$4),0)))</f>
        <v/>
      </c>
      <c r="N531" s="58" t="str">
        <f>+IF(A531="","",IF(A531&gt;Parámetros!$D$117,0,ROUND('Modelo Financiero'!D531*Parámetros!$D$116,2)))</f>
        <v/>
      </c>
      <c r="O531" s="58" t="str">
        <f t="shared" si="99"/>
        <v/>
      </c>
      <c r="P531" s="66" t="str">
        <f>+'Tablas Servicio'!I564</f>
        <v/>
      </c>
      <c r="Q531" s="66" t="str">
        <f>+'Tablas Servicio'!S564</f>
        <v/>
      </c>
      <c r="R531" s="66" t="str">
        <f>+'Tablas Servicio'!T564</f>
        <v/>
      </c>
      <c r="S531" s="66" t="str">
        <f t="shared" si="95"/>
        <v/>
      </c>
      <c r="T531" s="66" t="str">
        <f t="shared" si="104"/>
        <v/>
      </c>
      <c r="U531" s="66" t="str">
        <f t="shared" si="100"/>
        <v/>
      </c>
      <c r="V531" s="81" t="str">
        <f t="shared" si="101"/>
        <v/>
      </c>
      <c r="W531" s="66" t="str">
        <f t="shared" si="102"/>
        <v/>
      </c>
      <c r="X531" s="66" t="str">
        <f t="shared" si="103"/>
        <v/>
      </c>
    </row>
    <row r="532" spans="1:24" x14ac:dyDescent="0.25">
      <c r="A532" t="str">
        <f>+'Tablas Servicio'!B565</f>
        <v/>
      </c>
      <c r="B532" t="str">
        <f>+'Tablas Servicio'!C565</f>
        <v/>
      </c>
      <c r="C532" s="56" t="str">
        <f>+'Tablas Servicio'!D565</f>
        <v/>
      </c>
      <c r="D532" s="58" t="str">
        <f>+'Tablas Servicio'!N565</f>
        <v/>
      </c>
      <c r="E532" s="66" t="str">
        <f>+'Tablas Servicio'!AC565</f>
        <v/>
      </c>
      <c r="F532" s="66" t="str">
        <f>+IF(A532="","",'Tablas Servicio'!O565-'Modelo Financiero'!E532)</f>
        <v/>
      </c>
      <c r="G532" s="58" t="str">
        <f t="shared" si="96"/>
        <v/>
      </c>
      <c r="H532" s="66" t="str">
        <f>+'Tablas Servicio'!G565</f>
        <v/>
      </c>
      <c r="I532" s="72" t="str">
        <f t="shared" si="97"/>
        <v/>
      </c>
      <c r="J532" s="66" t="str">
        <f t="shared" si="98"/>
        <v/>
      </c>
      <c r="K532" s="66" t="str">
        <f>+'Tablas Servicio'!H565</f>
        <v/>
      </c>
      <c r="L532" s="66" t="str">
        <f>+IF(A532="","",ROUND(H532*Parámetros!$D$100,2))</f>
        <v/>
      </c>
      <c r="M532" s="58" t="str">
        <f>+IF(A532="","",IF(AND(A532=1,B532=1),Parámetros!$D$114*(D532*frec-$G$3-$H$3),IF(AND(A532=2,B532=frec+1),Parámetros!$D$115*(D532*frec-$G$4-$H$4),0)))</f>
        <v/>
      </c>
      <c r="N532" s="58" t="str">
        <f>+IF(A532="","",IF(A532&gt;Parámetros!$D$117,0,ROUND('Modelo Financiero'!D532*Parámetros!$D$116,2)))</f>
        <v/>
      </c>
      <c r="O532" s="58" t="str">
        <f t="shared" si="99"/>
        <v/>
      </c>
      <c r="P532" s="66" t="str">
        <f>+'Tablas Servicio'!I565</f>
        <v/>
      </c>
      <c r="Q532" s="66" t="str">
        <f>+'Tablas Servicio'!S565</f>
        <v/>
      </c>
      <c r="R532" s="66" t="str">
        <f>+'Tablas Servicio'!T565</f>
        <v/>
      </c>
      <c r="S532" s="66" t="str">
        <f t="shared" si="95"/>
        <v/>
      </c>
      <c r="T532" s="66" t="str">
        <f t="shared" si="104"/>
        <v/>
      </c>
      <c r="U532" s="66" t="str">
        <f t="shared" si="100"/>
        <v/>
      </c>
      <c r="V532" s="81" t="str">
        <f t="shared" si="101"/>
        <v/>
      </c>
      <c r="W532" s="66" t="str">
        <f t="shared" si="102"/>
        <v/>
      </c>
      <c r="X532" s="66" t="str">
        <f t="shared" si="103"/>
        <v/>
      </c>
    </row>
    <row r="533" spans="1:24" x14ac:dyDescent="0.25">
      <c r="A533" t="str">
        <f>+'Tablas Servicio'!B566</f>
        <v/>
      </c>
      <c r="B533" t="str">
        <f>+'Tablas Servicio'!C566</f>
        <v/>
      </c>
      <c r="C533" s="56" t="str">
        <f>+'Tablas Servicio'!D566</f>
        <v/>
      </c>
      <c r="D533" s="58" t="str">
        <f>+'Tablas Servicio'!N566</f>
        <v/>
      </c>
      <c r="E533" s="66" t="str">
        <f>+'Tablas Servicio'!AC566</f>
        <v/>
      </c>
      <c r="F533" s="66" t="str">
        <f>+IF(A533="","",'Tablas Servicio'!O566-'Modelo Financiero'!E533)</f>
        <v/>
      </c>
      <c r="G533" s="58" t="str">
        <f t="shared" si="96"/>
        <v/>
      </c>
      <c r="H533" s="66" t="str">
        <f>+'Tablas Servicio'!G566</f>
        <v/>
      </c>
      <c r="I533" s="72" t="str">
        <f t="shared" si="97"/>
        <v/>
      </c>
      <c r="J533" s="66" t="str">
        <f t="shared" si="98"/>
        <v/>
      </c>
      <c r="K533" s="66" t="str">
        <f>+'Tablas Servicio'!H566</f>
        <v/>
      </c>
      <c r="L533" s="66" t="str">
        <f>+IF(A533="","",ROUND(H533*Parámetros!$D$100,2))</f>
        <v/>
      </c>
      <c r="M533" s="58" t="str">
        <f>+IF(A533="","",IF(AND(A533=1,B533=1),Parámetros!$D$114*(D533*frec-$G$3-$H$3),IF(AND(A533=2,B533=frec+1),Parámetros!$D$115*(D533*frec-$G$4-$H$4),0)))</f>
        <v/>
      </c>
      <c r="N533" s="58" t="str">
        <f>+IF(A533="","",IF(A533&gt;Parámetros!$D$117,0,ROUND('Modelo Financiero'!D533*Parámetros!$D$116,2)))</f>
        <v/>
      </c>
      <c r="O533" s="58" t="str">
        <f t="shared" si="99"/>
        <v/>
      </c>
      <c r="P533" s="66" t="str">
        <f>+'Tablas Servicio'!I566</f>
        <v/>
      </c>
      <c r="Q533" s="66" t="str">
        <f>+'Tablas Servicio'!S566</f>
        <v/>
      </c>
      <c r="R533" s="66" t="str">
        <f>+'Tablas Servicio'!T566</f>
        <v/>
      </c>
      <c r="S533" s="66" t="str">
        <f t="shared" si="95"/>
        <v/>
      </c>
      <c r="T533" s="66" t="str">
        <f t="shared" si="104"/>
        <v/>
      </c>
      <c r="U533" s="66" t="str">
        <f t="shared" si="100"/>
        <v/>
      </c>
      <c r="V533" s="81" t="str">
        <f t="shared" si="101"/>
        <v/>
      </c>
      <c r="W533" s="66" t="str">
        <f t="shared" si="102"/>
        <v/>
      </c>
      <c r="X533" s="66" t="str">
        <f t="shared" si="103"/>
        <v/>
      </c>
    </row>
    <row r="534" spans="1:24" x14ac:dyDescent="0.25">
      <c r="A534" t="str">
        <f>+'Tablas Servicio'!B567</f>
        <v/>
      </c>
      <c r="B534" t="str">
        <f>+'Tablas Servicio'!C567</f>
        <v/>
      </c>
      <c r="C534" s="56" t="str">
        <f>+'Tablas Servicio'!D567</f>
        <v/>
      </c>
      <c r="D534" s="58" t="str">
        <f>+'Tablas Servicio'!N567</f>
        <v/>
      </c>
      <c r="E534" s="66" t="str">
        <f>+'Tablas Servicio'!AC567</f>
        <v/>
      </c>
      <c r="F534" s="66" t="str">
        <f>+IF(A534="","",'Tablas Servicio'!O567-'Modelo Financiero'!E534)</f>
        <v/>
      </c>
      <c r="G534" s="58" t="str">
        <f t="shared" si="96"/>
        <v/>
      </c>
      <c r="H534" s="66" t="str">
        <f>+'Tablas Servicio'!G567</f>
        <v/>
      </c>
      <c r="I534" s="72" t="str">
        <f t="shared" si="97"/>
        <v/>
      </c>
      <c r="J534" s="66" t="str">
        <f t="shared" si="98"/>
        <v/>
      </c>
      <c r="K534" s="66" t="str">
        <f>+'Tablas Servicio'!H567</f>
        <v/>
      </c>
      <c r="L534" s="66" t="str">
        <f>+IF(A534="","",ROUND(H534*Parámetros!$D$100,2))</f>
        <v/>
      </c>
      <c r="M534" s="58" t="str">
        <f>+IF(A534="","",IF(AND(A534=1,B534=1),Parámetros!$D$114*(D534*frec-$G$3-$H$3),IF(AND(A534=2,B534=frec+1),Parámetros!$D$115*(D534*frec-$G$4-$H$4),0)))</f>
        <v/>
      </c>
      <c r="N534" s="58" t="str">
        <f>+IF(A534="","",IF(A534&gt;Parámetros!$D$117,0,ROUND('Modelo Financiero'!D534*Parámetros!$D$116,2)))</f>
        <v/>
      </c>
      <c r="O534" s="58" t="str">
        <f t="shared" si="99"/>
        <v/>
      </c>
      <c r="P534" s="66" t="str">
        <f>+'Tablas Servicio'!I567</f>
        <v/>
      </c>
      <c r="Q534" s="66" t="str">
        <f>+'Tablas Servicio'!S567</f>
        <v/>
      </c>
      <c r="R534" s="66" t="str">
        <f>+'Tablas Servicio'!T567</f>
        <v/>
      </c>
      <c r="S534" s="66" t="str">
        <f t="shared" si="95"/>
        <v/>
      </c>
      <c r="T534" s="66" t="str">
        <f t="shared" si="104"/>
        <v/>
      </c>
      <c r="U534" s="66" t="str">
        <f t="shared" si="100"/>
        <v/>
      </c>
      <c r="V534" s="81" t="str">
        <f t="shared" si="101"/>
        <v/>
      </c>
      <c r="W534" s="66" t="str">
        <f t="shared" si="102"/>
        <v/>
      </c>
      <c r="X534" s="66" t="str">
        <f t="shared" si="103"/>
        <v/>
      </c>
    </row>
    <row r="535" spans="1:24" x14ac:dyDescent="0.25">
      <c r="A535" t="str">
        <f>+'Tablas Servicio'!B568</f>
        <v/>
      </c>
      <c r="B535" t="str">
        <f>+'Tablas Servicio'!C568</f>
        <v/>
      </c>
      <c r="C535" s="56" t="str">
        <f>+'Tablas Servicio'!D568</f>
        <v/>
      </c>
      <c r="D535" s="58" t="str">
        <f>+'Tablas Servicio'!N568</f>
        <v/>
      </c>
      <c r="E535" s="66" t="str">
        <f>+'Tablas Servicio'!AC568</f>
        <v/>
      </c>
      <c r="F535" s="66" t="str">
        <f>+IF(A535="","",'Tablas Servicio'!O568-'Modelo Financiero'!E535)</f>
        <v/>
      </c>
      <c r="G535" s="58" t="str">
        <f t="shared" si="96"/>
        <v/>
      </c>
      <c r="H535" s="66" t="str">
        <f>+'Tablas Servicio'!G568</f>
        <v/>
      </c>
      <c r="I535" s="72" t="str">
        <f t="shared" si="97"/>
        <v/>
      </c>
      <c r="J535" s="66" t="str">
        <f t="shared" si="98"/>
        <v/>
      </c>
      <c r="K535" s="66" t="str">
        <f>+'Tablas Servicio'!H568</f>
        <v/>
      </c>
      <c r="L535" s="66" t="str">
        <f>+IF(A535="","",ROUND(H535*Parámetros!$D$100,2))</f>
        <v/>
      </c>
      <c r="M535" s="58" t="str">
        <f>+IF(A535="","",IF(AND(A535=1,B535=1),Parámetros!$D$114*(D535*frec-$G$3-$H$3),IF(AND(A535=2,B535=frec+1),Parámetros!$D$115*(D535*frec-$G$4-$H$4),0)))</f>
        <v/>
      </c>
      <c r="N535" s="58" t="str">
        <f>+IF(A535="","",IF(A535&gt;Parámetros!$D$117,0,ROUND('Modelo Financiero'!D535*Parámetros!$D$116,2)))</f>
        <v/>
      </c>
      <c r="O535" s="58" t="str">
        <f t="shared" si="99"/>
        <v/>
      </c>
      <c r="P535" s="66" t="str">
        <f>+'Tablas Servicio'!I568</f>
        <v/>
      </c>
      <c r="Q535" s="66" t="str">
        <f>+'Tablas Servicio'!S568</f>
        <v/>
      </c>
      <c r="R535" s="66" t="str">
        <f>+'Tablas Servicio'!T568</f>
        <v/>
      </c>
      <c r="S535" s="66" t="str">
        <f t="shared" si="95"/>
        <v/>
      </c>
      <c r="T535" s="66" t="str">
        <f t="shared" si="104"/>
        <v/>
      </c>
      <c r="U535" s="66" t="str">
        <f t="shared" si="100"/>
        <v/>
      </c>
      <c r="V535" s="81" t="str">
        <f t="shared" si="101"/>
        <v/>
      </c>
      <c r="W535" s="66" t="str">
        <f t="shared" si="102"/>
        <v/>
      </c>
      <c r="X535" s="66" t="str">
        <f t="shared" si="103"/>
        <v/>
      </c>
    </row>
    <row r="536" spans="1:24" x14ac:dyDescent="0.25">
      <c r="A536" t="str">
        <f>+'Tablas Servicio'!B569</f>
        <v/>
      </c>
      <c r="B536" t="str">
        <f>+'Tablas Servicio'!C569</f>
        <v/>
      </c>
      <c r="C536" s="56" t="str">
        <f>+'Tablas Servicio'!D569</f>
        <v/>
      </c>
      <c r="D536" s="58" t="str">
        <f>+'Tablas Servicio'!N569</f>
        <v/>
      </c>
      <c r="E536" s="66" t="str">
        <f>+'Tablas Servicio'!AC569</f>
        <v/>
      </c>
      <c r="F536" s="66" t="str">
        <f>+IF(A536="","",'Tablas Servicio'!O569-'Modelo Financiero'!E536)</f>
        <v/>
      </c>
      <c r="G536" s="58" t="str">
        <f t="shared" si="96"/>
        <v/>
      </c>
      <c r="H536" s="66" t="str">
        <f>+'Tablas Servicio'!G569</f>
        <v/>
      </c>
      <c r="I536" s="72" t="str">
        <f t="shared" si="97"/>
        <v/>
      </c>
      <c r="J536" s="66" t="str">
        <f t="shared" si="98"/>
        <v/>
      </c>
      <c r="K536" s="66" t="str">
        <f>+'Tablas Servicio'!H569</f>
        <v/>
      </c>
      <c r="L536" s="66" t="str">
        <f>+IF(A536="","",ROUND(H536*Parámetros!$D$100,2))</f>
        <v/>
      </c>
      <c r="M536" s="58" t="str">
        <f>+IF(A536="","",IF(AND(A536=1,B536=1),Parámetros!$D$114*(D536*frec-$G$3-$H$3),IF(AND(A536=2,B536=frec+1),Parámetros!$D$115*(D536*frec-$G$4-$H$4),0)))</f>
        <v/>
      </c>
      <c r="N536" s="58" t="str">
        <f>+IF(A536="","",IF(A536&gt;Parámetros!$D$117,0,ROUND('Modelo Financiero'!D536*Parámetros!$D$116,2)))</f>
        <v/>
      </c>
      <c r="O536" s="58" t="str">
        <f t="shared" si="99"/>
        <v/>
      </c>
      <c r="P536" s="66" t="str">
        <f>+'Tablas Servicio'!I569</f>
        <v/>
      </c>
      <c r="Q536" s="66" t="str">
        <f>+'Tablas Servicio'!S569</f>
        <v/>
      </c>
      <c r="R536" s="66" t="str">
        <f>+'Tablas Servicio'!T569</f>
        <v/>
      </c>
      <c r="S536" s="66" t="str">
        <f t="shared" si="95"/>
        <v/>
      </c>
      <c r="T536" s="66" t="str">
        <f t="shared" si="104"/>
        <v/>
      </c>
      <c r="U536" s="66" t="str">
        <f t="shared" si="100"/>
        <v/>
      </c>
      <c r="V536" s="81" t="str">
        <f t="shared" si="101"/>
        <v/>
      </c>
      <c r="W536" s="66" t="str">
        <f t="shared" si="102"/>
        <v/>
      </c>
      <c r="X536" s="66" t="str">
        <f t="shared" si="103"/>
        <v/>
      </c>
    </row>
    <row r="537" spans="1:24" x14ac:dyDescent="0.25">
      <c r="A537" t="str">
        <f>+'Tablas Servicio'!B570</f>
        <v/>
      </c>
      <c r="B537" t="str">
        <f>+'Tablas Servicio'!C570</f>
        <v/>
      </c>
      <c r="C537" s="56" t="str">
        <f>+'Tablas Servicio'!D570</f>
        <v/>
      </c>
      <c r="D537" s="58" t="str">
        <f>+'Tablas Servicio'!N570</f>
        <v/>
      </c>
      <c r="E537" s="66" t="str">
        <f>+'Tablas Servicio'!AC570</f>
        <v/>
      </c>
      <c r="F537" s="66" t="str">
        <f>+IF(A537="","",'Tablas Servicio'!O570-'Modelo Financiero'!E537)</f>
        <v/>
      </c>
      <c r="G537" s="58" t="str">
        <f t="shared" si="96"/>
        <v/>
      </c>
      <c r="H537" s="66" t="str">
        <f>+'Tablas Servicio'!G570</f>
        <v/>
      </c>
      <c r="I537" s="72" t="str">
        <f t="shared" si="97"/>
        <v/>
      </c>
      <c r="J537" s="66" t="str">
        <f t="shared" si="98"/>
        <v/>
      </c>
      <c r="K537" s="66" t="str">
        <f>+'Tablas Servicio'!H570</f>
        <v/>
      </c>
      <c r="L537" s="66" t="str">
        <f>+IF(A537="","",ROUND(H537*Parámetros!$D$100,2))</f>
        <v/>
      </c>
      <c r="M537" s="58" t="str">
        <f>+IF(A537="","",IF(AND(A537=1,B537=1),Parámetros!$D$114*(D537*frec-$G$3-$H$3),IF(AND(A537=2,B537=frec+1),Parámetros!$D$115*(D537*frec-$G$4-$H$4),0)))</f>
        <v/>
      </c>
      <c r="N537" s="58" t="str">
        <f>+IF(A537="","",IF(A537&gt;Parámetros!$D$117,0,ROUND('Modelo Financiero'!D537*Parámetros!$D$116,2)))</f>
        <v/>
      </c>
      <c r="O537" s="58" t="str">
        <f t="shared" si="99"/>
        <v/>
      </c>
      <c r="P537" s="66" t="str">
        <f>+'Tablas Servicio'!I570</f>
        <v/>
      </c>
      <c r="Q537" s="66" t="str">
        <f>+'Tablas Servicio'!S570</f>
        <v/>
      </c>
      <c r="R537" s="66" t="str">
        <f>+'Tablas Servicio'!T570</f>
        <v/>
      </c>
      <c r="S537" s="66" t="str">
        <f t="shared" si="95"/>
        <v/>
      </c>
      <c r="T537" s="66" t="str">
        <f t="shared" si="104"/>
        <v/>
      </c>
      <c r="U537" s="66" t="str">
        <f t="shared" si="100"/>
        <v/>
      </c>
      <c r="V537" s="81" t="str">
        <f t="shared" si="101"/>
        <v/>
      </c>
      <c r="W537" s="66" t="str">
        <f t="shared" si="102"/>
        <v/>
      </c>
      <c r="X537" s="66" t="str">
        <f t="shared" si="103"/>
        <v/>
      </c>
    </row>
    <row r="538" spans="1:24" x14ac:dyDescent="0.25">
      <c r="A538" t="str">
        <f>+'Tablas Servicio'!B571</f>
        <v/>
      </c>
      <c r="B538" t="str">
        <f>+'Tablas Servicio'!C571</f>
        <v/>
      </c>
      <c r="C538" s="56" t="str">
        <f>+'Tablas Servicio'!D571</f>
        <v/>
      </c>
      <c r="D538" s="58" t="str">
        <f>+'Tablas Servicio'!N571</f>
        <v/>
      </c>
      <c r="E538" s="66" t="str">
        <f>+'Tablas Servicio'!AC571</f>
        <v/>
      </c>
      <c r="F538" s="66" t="str">
        <f>+IF(A538="","",'Tablas Servicio'!O571-'Modelo Financiero'!E538)</f>
        <v/>
      </c>
      <c r="G538" s="58" t="str">
        <f t="shared" si="96"/>
        <v/>
      </c>
      <c r="H538" s="66" t="str">
        <f>+'Tablas Servicio'!G571</f>
        <v/>
      </c>
      <c r="I538" s="72" t="str">
        <f t="shared" si="97"/>
        <v/>
      </c>
      <c r="J538" s="66" t="str">
        <f t="shared" si="98"/>
        <v/>
      </c>
      <c r="K538" s="66" t="str">
        <f>+'Tablas Servicio'!H571</f>
        <v/>
      </c>
      <c r="L538" s="66" t="str">
        <f>+IF(A538="","",ROUND(H538*Parámetros!$D$100,2))</f>
        <v/>
      </c>
      <c r="M538" s="58" t="str">
        <f>+IF(A538="","",IF(AND(A538=1,B538=1),Parámetros!$D$114*(D538*frec-$G$3-$H$3),IF(AND(A538=2,B538=frec+1),Parámetros!$D$115*(D538*frec-$G$4-$H$4),0)))</f>
        <v/>
      </c>
      <c r="N538" s="58" t="str">
        <f>+IF(A538="","",IF(A538&gt;Parámetros!$D$117,0,ROUND('Modelo Financiero'!D538*Parámetros!$D$116,2)))</f>
        <v/>
      </c>
      <c r="O538" s="58" t="str">
        <f t="shared" si="99"/>
        <v/>
      </c>
      <c r="P538" s="66" t="str">
        <f>+'Tablas Servicio'!I571</f>
        <v/>
      </c>
      <c r="Q538" s="66" t="str">
        <f>+'Tablas Servicio'!S571</f>
        <v/>
      </c>
      <c r="R538" s="66" t="str">
        <f>+'Tablas Servicio'!T571</f>
        <v/>
      </c>
      <c r="S538" s="66" t="str">
        <f t="shared" si="95"/>
        <v/>
      </c>
      <c r="T538" s="66" t="str">
        <f t="shared" si="104"/>
        <v/>
      </c>
      <c r="U538" s="66" t="str">
        <f t="shared" si="100"/>
        <v/>
      </c>
      <c r="V538" s="81" t="str">
        <f t="shared" si="101"/>
        <v/>
      </c>
      <c r="W538" s="66" t="str">
        <f t="shared" si="102"/>
        <v/>
      </c>
      <c r="X538" s="66" t="str">
        <f t="shared" si="103"/>
        <v/>
      </c>
    </row>
    <row r="539" spans="1:24" x14ac:dyDescent="0.25">
      <c r="A539" t="str">
        <f>+'Tablas Servicio'!B572</f>
        <v/>
      </c>
      <c r="B539" t="str">
        <f>+'Tablas Servicio'!C572</f>
        <v/>
      </c>
      <c r="C539" s="56" t="str">
        <f>+'Tablas Servicio'!D572</f>
        <v/>
      </c>
      <c r="D539" s="58" t="str">
        <f>+'Tablas Servicio'!N572</f>
        <v/>
      </c>
      <c r="E539" s="66" t="str">
        <f>+'Tablas Servicio'!AC572</f>
        <v/>
      </c>
      <c r="F539" s="66" t="str">
        <f>+IF(A539="","",'Tablas Servicio'!O572-'Modelo Financiero'!E539)</f>
        <v/>
      </c>
      <c r="G539" s="58" t="str">
        <f t="shared" si="96"/>
        <v/>
      </c>
      <c r="H539" s="66" t="str">
        <f>+'Tablas Servicio'!G572</f>
        <v/>
      </c>
      <c r="I539" s="72" t="str">
        <f t="shared" si="97"/>
        <v/>
      </c>
      <c r="J539" s="66" t="str">
        <f t="shared" si="98"/>
        <v/>
      </c>
      <c r="K539" s="66" t="str">
        <f>+'Tablas Servicio'!H572</f>
        <v/>
      </c>
      <c r="L539" s="66" t="str">
        <f>+IF(A539="","",ROUND(H539*Parámetros!$D$100,2))</f>
        <v/>
      </c>
      <c r="M539" s="58" t="str">
        <f>+IF(A539="","",IF(AND(A539=1,B539=1),Parámetros!$D$114*(D539*frec-$G$3-$H$3),IF(AND(A539=2,B539=frec+1),Parámetros!$D$115*(D539*frec-$G$4-$H$4),0)))</f>
        <v/>
      </c>
      <c r="N539" s="58" t="str">
        <f>+IF(A539="","",IF(A539&gt;Parámetros!$D$117,0,ROUND('Modelo Financiero'!D539*Parámetros!$D$116,2)))</f>
        <v/>
      </c>
      <c r="O539" s="58" t="str">
        <f t="shared" si="99"/>
        <v/>
      </c>
      <c r="P539" s="66" t="str">
        <f>+'Tablas Servicio'!I572</f>
        <v/>
      </c>
      <c r="Q539" s="66" t="str">
        <f>+'Tablas Servicio'!S572</f>
        <v/>
      </c>
      <c r="R539" s="66" t="str">
        <f>+'Tablas Servicio'!T572</f>
        <v/>
      </c>
      <c r="S539" s="66" t="str">
        <f t="shared" si="95"/>
        <v/>
      </c>
      <c r="T539" s="66" t="str">
        <f t="shared" si="104"/>
        <v/>
      </c>
      <c r="U539" s="66" t="str">
        <f t="shared" si="100"/>
        <v/>
      </c>
      <c r="V539" s="81" t="str">
        <f t="shared" si="101"/>
        <v/>
      </c>
      <c r="W539" s="66" t="str">
        <f t="shared" si="102"/>
        <v/>
      </c>
      <c r="X539" s="66" t="str">
        <f t="shared" si="103"/>
        <v/>
      </c>
    </row>
    <row r="540" spans="1:24" x14ac:dyDescent="0.25">
      <c r="A540" t="str">
        <f>+'Tablas Servicio'!B573</f>
        <v/>
      </c>
      <c r="B540" t="str">
        <f>+'Tablas Servicio'!C573</f>
        <v/>
      </c>
      <c r="C540" s="56" t="str">
        <f>+'Tablas Servicio'!D573</f>
        <v/>
      </c>
      <c r="D540" s="58" t="str">
        <f>+'Tablas Servicio'!N573</f>
        <v/>
      </c>
      <c r="E540" s="66" t="str">
        <f>+'Tablas Servicio'!AC573</f>
        <v/>
      </c>
      <c r="F540" s="66" t="str">
        <f>+IF(A540="","",'Tablas Servicio'!O573-'Modelo Financiero'!E540)</f>
        <v/>
      </c>
      <c r="G540" s="58" t="str">
        <f t="shared" si="96"/>
        <v/>
      </c>
      <c r="H540" s="66" t="str">
        <f>+'Tablas Servicio'!G573</f>
        <v/>
      </c>
      <c r="I540" s="72" t="str">
        <f t="shared" si="97"/>
        <v/>
      </c>
      <c r="J540" s="66" t="str">
        <f t="shared" si="98"/>
        <v/>
      </c>
      <c r="K540" s="66" t="str">
        <f>+'Tablas Servicio'!H573</f>
        <v/>
      </c>
      <c r="L540" s="66" t="str">
        <f>+IF(A540="","",ROUND(H540*Parámetros!$D$100,2))</f>
        <v/>
      </c>
      <c r="M540" s="58" t="str">
        <f>+IF(A540="","",IF(AND(A540=1,B540=1),Parámetros!$D$114*(D540*frec-$G$3-$H$3),IF(AND(A540=2,B540=frec+1),Parámetros!$D$115*(D540*frec-$G$4-$H$4),0)))</f>
        <v/>
      </c>
      <c r="N540" s="58" t="str">
        <f>+IF(A540="","",IF(A540&gt;Parámetros!$D$117,0,ROUND('Modelo Financiero'!D540*Parámetros!$D$116,2)))</f>
        <v/>
      </c>
      <c r="O540" s="58" t="str">
        <f t="shared" si="99"/>
        <v/>
      </c>
      <c r="P540" s="66" t="str">
        <f>+'Tablas Servicio'!I573</f>
        <v/>
      </c>
      <c r="Q540" s="66" t="str">
        <f>+'Tablas Servicio'!S573</f>
        <v/>
      </c>
      <c r="R540" s="66" t="str">
        <f>+'Tablas Servicio'!T573</f>
        <v/>
      </c>
      <c r="S540" s="66" t="str">
        <f t="shared" si="95"/>
        <v/>
      </c>
      <c r="T540" s="66" t="str">
        <f t="shared" si="104"/>
        <v/>
      </c>
      <c r="U540" s="66" t="str">
        <f t="shared" si="100"/>
        <v/>
      </c>
      <c r="V540" s="81" t="str">
        <f t="shared" si="101"/>
        <v/>
      </c>
      <c r="W540" s="66" t="str">
        <f t="shared" si="102"/>
        <v/>
      </c>
      <c r="X540" s="66" t="str">
        <f t="shared" si="103"/>
        <v/>
      </c>
    </row>
    <row r="541" spans="1:24" x14ac:dyDescent="0.25">
      <c r="A541" t="str">
        <f>+'Tablas Servicio'!B574</f>
        <v/>
      </c>
      <c r="B541" t="str">
        <f>+'Tablas Servicio'!C574</f>
        <v/>
      </c>
      <c r="C541" s="56" t="str">
        <f>+'Tablas Servicio'!D574</f>
        <v/>
      </c>
      <c r="D541" s="58" t="str">
        <f>+'Tablas Servicio'!N574</f>
        <v/>
      </c>
      <c r="E541" s="66" t="str">
        <f>+'Tablas Servicio'!AC574</f>
        <v/>
      </c>
      <c r="F541" s="66" t="str">
        <f>+IF(A541="","",'Tablas Servicio'!O574-'Modelo Financiero'!E541)</f>
        <v/>
      </c>
      <c r="G541" s="58" t="str">
        <f t="shared" si="96"/>
        <v/>
      </c>
      <c r="H541" s="66" t="str">
        <f>+'Tablas Servicio'!G574</f>
        <v/>
      </c>
      <c r="I541" s="72" t="str">
        <f t="shared" si="97"/>
        <v/>
      </c>
      <c r="J541" s="66" t="str">
        <f t="shared" si="98"/>
        <v/>
      </c>
      <c r="K541" s="66" t="str">
        <f>+'Tablas Servicio'!H574</f>
        <v/>
      </c>
      <c r="L541" s="66" t="str">
        <f>+IF(A541="","",ROUND(H541*Parámetros!$D$100,2))</f>
        <v/>
      </c>
      <c r="M541" s="58" t="str">
        <f>+IF(A541="","",IF(AND(A541=1,B541=1),Parámetros!$D$114*(D541*frec-$G$3-$H$3),IF(AND(A541=2,B541=frec+1),Parámetros!$D$115*(D541*frec-$G$4-$H$4),0)))</f>
        <v/>
      </c>
      <c r="N541" s="58" t="str">
        <f>+IF(A541="","",IF(A541&gt;Parámetros!$D$117,0,ROUND('Modelo Financiero'!D541*Parámetros!$D$116,2)))</f>
        <v/>
      </c>
      <c r="O541" s="58" t="str">
        <f t="shared" si="99"/>
        <v/>
      </c>
      <c r="P541" s="66" t="str">
        <f>+'Tablas Servicio'!I574</f>
        <v/>
      </c>
      <c r="Q541" s="66" t="str">
        <f>+'Tablas Servicio'!S574</f>
        <v/>
      </c>
      <c r="R541" s="66" t="str">
        <f>+'Tablas Servicio'!T574</f>
        <v/>
      </c>
      <c r="S541" s="66" t="str">
        <f t="shared" si="95"/>
        <v/>
      </c>
      <c r="T541" s="66" t="str">
        <f t="shared" si="104"/>
        <v/>
      </c>
      <c r="U541" s="66" t="str">
        <f t="shared" si="100"/>
        <v/>
      </c>
      <c r="V541" s="81" t="str">
        <f t="shared" si="101"/>
        <v/>
      </c>
      <c r="W541" s="66" t="str">
        <f t="shared" si="102"/>
        <v/>
      </c>
      <c r="X541" s="66" t="str">
        <f t="shared" si="103"/>
        <v/>
      </c>
    </row>
    <row r="542" spans="1:24" x14ac:dyDescent="0.25">
      <c r="A542" t="str">
        <f>+'Tablas Servicio'!B575</f>
        <v/>
      </c>
      <c r="B542" t="str">
        <f>+'Tablas Servicio'!C575</f>
        <v/>
      </c>
      <c r="C542" s="56" t="str">
        <f>+'Tablas Servicio'!D575</f>
        <v/>
      </c>
      <c r="D542" s="58" t="str">
        <f>+'Tablas Servicio'!N575</f>
        <v/>
      </c>
      <c r="E542" s="66" t="str">
        <f>+'Tablas Servicio'!AC575</f>
        <v/>
      </c>
      <c r="F542" s="66" t="str">
        <f>+IF(A542="","",'Tablas Servicio'!O575-'Modelo Financiero'!E542)</f>
        <v/>
      </c>
      <c r="G542" s="58" t="str">
        <f t="shared" si="96"/>
        <v/>
      </c>
      <c r="H542" s="66" t="str">
        <f>+'Tablas Servicio'!G575</f>
        <v/>
      </c>
      <c r="I542" s="72" t="str">
        <f t="shared" si="97"/>
        <v/>
      </c>
      <c r="J542" s="66" t="str">
        <f t="shared" si="98"/>
        <v/>
      </c>
      <c r="K542" s="66" t="str">
        <f>+'Tablas Servicio'!H575</f>
        <v/>
      </c>
      <c r="L542" s="66" t="str">
        <f>+IF(A542="","",ROUND(H542*Parámetros!$D$100,2))</f>
        <v/>
      </c>
      <c r="M542" s="58" t="str">
        <f>+IF(A542="","",IF(AND(A542=1,B542=1),Parámetros!$D$114*(D542*frec-$G$3-$H$3),IF(AND(A542=2,B542=frec+1),Parámetros!$D$115*(D542*frec-$G$4-$H$4),0)))</f>
        <v/>
      </c>
      <c r="N542" s="58" t="str">
        <f>+IF(A542="","",IF(A542&gt;Parámetros!$D$117,0,ROUND('Modelo Financiero'!D542*Parámetros!$D$116,2)))</f>
        <v/>
      </c>
      <c r="O542" s="58" t="str">
        <f t="shared" si="99"/>
        <v/>
      </c>
      <c r="P542" s="66" t="str">
        <f>+'Tablas Servicio'!I575</f>
        <v/>
      </c>
      <c r="Q542" s="66" t="str">
        <f>+'Tablas Servicio'!S575</f>
        <v/>
      </c>
      <c r="R542" s="66" t="str">
        <f>+'Tablas Servicio'!T575</f>
        <v/>
      </c>
      <c r="S542" s="66" t="str">
        <f t="shared" si="95"/>
        <v/>
      </c>
      <c r="T542" s="66" t="str">
        <f t="shared" si="104"/>
        <v/>
      </c>
      <c r="U542" s="66" t="str">
        <f t="shared" si="100"/>
        <v/>
      </c>
      <c r="V542" s="81" t="str">
        <f t="shared" si="101"/>
        <v/>
      </c>
      <c r="W542" s="66" t="str">
        <f t="shared" si="102"/>
        <v/>
      </c>
      <c r="X542" s="66" t="str">
        <f t="shared" si="103"/>
        <v/>
      </c>
    </row>
    <row r="543" spans="1:24" x14ac:dyDescent="0.25">
      <c r="A543" t="str">
        <f>+'Tablas Servicio'!B576</f>
        <v/>
      </c>
      <c r="B543" t="str">
        <f>+'Tablas Servicio'!C576</f>
        <v/>
      </c>
      <c r="C543" s="56" t="str">
        <f>+'Tablas Servicio'!D576</f>
        <v/>
      </c>
      <c r="D543" s="58" t="str">
        <f>+'Tablas Servicio'!N576</f>
        <v/>
      </c>
      <c r="E543" s="66" t="str">
        <f>+'Tablas Servicio'!AC576</f>
        <v/>
      </c>
      <c r="F543" s="66" t="str">
        <f>+IF(A543="","",'Tablas Servicio'!O576-'Modelo Financiero'!E543)</f>
        <v/>
      </c>
      <c r="G543" s="58" t="str">
        <f t="shared" si="96"/>
        <v/>
      </c>
      <c r="H543" s="66" t="str">
        <f>+'Tablas Servicio'!G576</f>
        <v/>
      </c>
      <c r="I543" s="72" t="str">
        <f t="shared" si="97"/>
        <v/>
      </c>
      <c r="J543" s="66" t="str">
        <f t="shared" si="98"/>
        <v/>
      </c>
      <c r="K543" s="66" t="str">
        <f>+'Tablas Servicio'!H576</f>
        <v/>
      </c>
      <c r="L543" s="66" t="str">
        <f>+IF(A543="","",ROUND(H543*Parámetros!$D$100,2))</f>
        <v/>
      </c>
      <c r="M543" s="58" t="str">
        <f>+IF(A543="","",IF(AND(A543=1,B543=1),Parámetros!$D$114*(D543*frec-$G$3-$H$3),IF(AND(A543=2,B543=frec+1),Parámetros!$D$115*(D543*frec-$G$4-$H$4),0)))</f>
        <v/>
      </c>
      <c r="N543" s="58" t="str">
        <f>+IF(A543="","",IF(A543&gt;Parámetros!$D$117,0,ROUND('Modelo Financiero'!D543*Parámetros!$D$116,2)))</f>
        <v/>
      </c>
      <c r="O543" s="58" t="str">
        <f t="shared" si="99"/>
        <v/>
      </c>
      <c r="P543" s="66" t="str">
        <f>+'Tablas Servicio'!I576</f>
        <v/>
      </c>
      <c r="Q543" s="66" t="str">
        <f>+'Tablas Servicio'!S576</f>
        <v/>
      </c>
      <c r="R543" s="66" t="str">
        <f>+'Tablas Servicio'!T576</f>
        <v/>
      </c>
      <c r="S543" s="66" t="str">
        <f t="shared" si="95"/>
        <v/>
      </c>
      <c r="T543" s="66" t="str">
        <f t="shared" si="104"/>
        <v/>
      </c>
      <c r="U543" s="66" t="str">
        <f t="shared" si="100"/>
        <v/>
      </c>
      <c r="V543" s="81" t="str">
        <f t="shared" si="101"/>
        <v/>
      </c>
      <c r="W543" s="66" t="str">
        <f t="shared" si="102"/>
        <v/>
      </c>
      <c r="X543" s="66" t="str">
        <f t="shared" si="103"/>
        <v/>
      </c>
    </row>
    <row r="544" spans="1:24" x14ac:dyDescent="0.25">
      <c r="A544" t="str">
        <f>+'Tablas Servicio'!B577</f>
        <v/>
      </c>
      <c r="B544" t="str">
        <f>+'Tablas Servicio'!C577</f>
        <v/>
      </c>
      <c r="C544" s="56" t="str">
        <f>+'Tablas Servicio'!D577</f>
        <v/>
      </c>
      <c r="D544" s="58" t="str">
        <f>+'Tablas Servicio'!N577</f>
        <v/>
      </c>
      <c r="E544" s="66" t="str">
        <f>+'Tablas Servicio'!AC577</f>
        <v/>
      </c>
      <c r="F544" s="66" t="str">
        <f>+IF(A544="","",'Tablas Servicio'!O577-'Modelo Financiero'!E544)</f>
        <v/>
      </c>
      <c r="G544" s="58" t="str">
        <f t="shared" si="96"/>
        <v/>
      </c>
      <c r="H544" s="66" t="str">
        <f>+'Tablas Servicio'!G577</f>
        <v/>
      </c>
      <c r="I544" s="72" t="str">
        <f t="shared" si="97"/>
        <v/>
      </c>
      <c r="J544" s="66" t="str">
        <f t="shared" si="98"/>
        <v/>
      </c>
      <c r="K544" s="66" t="str">
        <f>+'Tablas Servicio'!H577</f>
        <v/>
      </c>
      <c r="L544" s="66" t="str">
        <f>+IF(A544="","",ROUND(H544*Parámetros!$D$100,2))</f>
        <v/>
      </c>
      <c r="M544" s="58" t="str">
        <f>+IF(A544="","",IF(AND(A544=1,B544=1),Parámetros!$D$114*(D544*frec-$G$3-$H$3),IF(AND(A544=2,B544=frec+1),Parámetros!$D$115*(D544*frec-$G$4-$H$4),0)))</f>
        <v/>
      </c>
      <c r="N544" s="58" t="str">
        <f>+IF(A544="","",IF(A544&gt;Parámetros!$D$117,0,ROUND('Modelo Financiero'!D544*Parámetros!$D$116,2)))</f>
        <v/>
      </c>
      <c r="O544" s="58" t="str">
        <f t="shared" si="99"/>
        <v/>
      </c>
      <c r="P544" s="66" t="str">
        <f>+'Tablas Servicio'!I577</f>
        <v/>
      </c>
      <c r="Q544" s="66" t="str">
        <f>+'Tablas Servicio'!S577</f>
        <v/>
      </c>
      <c r="R544" s="66" t="str">
        <f>+'Tablas Servicio'!T577</f>
        <v/>
      </c>
      <c r="S544" s="66" t="str">
        <f t="shared" si="95"/>
        <v/>
      </c>
      <c r="T544" s="66" t="str">
        <f t="shared" si="104"/>
        <v/>
      </c>
      <c r="U544" s="66" t="str">
        <f t="shared" si="100"/>
        <v/>
      </c>
      <c r="V544" s="81" t="str">
        <f t="shared" si="101"/>
        <v/>
      </c>
      <c r="W544" s="66" t="str">
        <f t="shared" si="102"/>
        <v/>
      </c>
      <c r="X544" s="66" t="str">
        <f t="shared" si="103"/>
        <v/>
      </c>
    </row>
    <row r="545" spans="1:24" x14ac:dyDescent="0.25">
      <c r="A545" t="str">
        <f>+'Tablas Servicio'!B578</f>
        <v/>
      </c>
      <c r="B545" t="str">
        <f>+'Tablas Servicio'!C578</f>
        <v/>
      </c>
      <c r="C545" s="56" t="str">
        <f>+'Tablas Servicio'!D578</f>
        <v/>
      </c>
      <c r="D545" s="58" t="str">
        <f>+'Tablas Servicio'!N578</f>
        <v/>
      </c>
      <c r="E545" s="66" t="str">
        <f>+'Tablas Servicio'!AC578</f>
        <v/>
      </c>
      <c r="F545" s="66" t="str">
        <f>+IF(A545="","",'Tablas Servicio'!O578-'Modelo Financiero'!E545)</f>
        <v/>
      </c>
      <c r="G545" s="58" t="str">
        <f t="shared" si="96"/>
        <v/>
      </c>
      <c r="H545" s="66" t="str">
        <f>+'Tablas Servicio'!G578</f>
        <v/>
      </c>
      <c r="I545" s="72" t="str">
        <f t="shared" si="97"/>
        <v/>
      </c>
      <c r="J545" s="66" t="str">
        <f t="shared" si="98"/>
        <v/>
      </c>
      <c r="K545" s="66" t="str">
        <f>+'Tablas Servicio'!H578</f>
        <v/>
      </c>
      <c r="L545" s="66" t="str">
        <f>+IF(A545="","",ROUND(H545*Parámetros!$D$100,2))</f>
        <v/>
      </c>
      <c r="M545" s="58" t="str">
        <f>+IF(A545="","",IF(AND(A545=1,B545=1),Parámetros!$D$114*(D545*frec-$G$3-$H$3),IF(AND(A545=2,B545=frec+1),Parámetros!$D$115*(D545*frec-$G$4-$H$4),0)))</f>
        <v/>
      </c>
      <c r="N545" s="58" t="str">
        <f>+IF(A545="","",IF(A545&gt;Parámetros!$D$117,0,ROUND('Modelo Financiero'!D545*Parámetros!$D$116,2)))</f>
        <v/>
      </c>
      <c r="O545" s="58" t="str">
        <f t="shared" si="99"/>
        <v/>
      </c>
      <c r="P545" s="66" t="str">
        <f>+'Tablas Servicio'!I578</f>
        <v/>
      </c>
      <c r="Q545" s="66" t="str">
        <f>+'Tablas Servicio'!S578</f>
        <v/>
      </c>
      <c r="R545" s="66" t="str">
        <f>+'Tablas Servicio'!T578</f>
        <v/>
      </c>
      <c r="S545" s="66" t="str">
        <f t="shared" si="95"/>
        <v/>
      </c>
      <c r="T545" s="66" t="str">
        <f t="shared" si="104"/>
        <v/>
      </c>
      <c r="U545" s="66" t="str">
        <f t="shared" si="100"/>
        <v/>
      </c>
      <c r="V545" s="81" t="str">
        <f t="shared" si="101"/>
        <v/>
      </c>
      <c r="W545" s="66" t="str">
        <f t="shared" si="102"/>
        <v/>
      </c>
      <c r="X545" s="66" t="str">
        <f t="shared" si="103"/>
        <v/>
      </c>
    </row>
    <row r="546" spans="1:24" x14ac:dyDescent="0.25">
      <c r="A546" t="str">
        <f>+'Tablas Servicio'!B579</f>
        <v/>
      </c>
      <c r="B546" t="str">
        <f>+'Tablas Servicio'!C579</f>
        <v/>
      </c>
      <c r="C546" s="56" t="str">
        <f>+'Tablas Servicio'!D579</f>
        <v/>
      </c>
      <c r="D546" s="58" t="str">
        <f>+'Tablas Servicio'!N579</f>
        <v/>
      </c>
      <c r="E546" s="66" t="str">
        <f>+'Tablas Servicio'!AC579</f>
        <v/>
      </c>
      <c r="F546" s="66" t="str">
        <f>+IF(A546="","",'Tablas Servicio'!O579-'Modelo Financiero'!E546)</f>
        <v/>
      </c>
      <c r="G546" s="58" t="str">
        <f t="shared" si="96"/>
        <v/>
      </c>
      <c r="H546" s="66" t="str">
        <f>+'Tablas Servicio'!G579</f>
        <v/>
      </c>
      <c r="I546" s="72" t="str">
        <f t="shared" si="97"/>
        <v/>
      </c>
      <c r="J546" s="66" t="str">
        <f t="shared" si="98"/>
        <v/>
      </c>
      <c r="K546" s="66" t="str">
        <f>+'Tablas Servicio'!H579</f>
        <v/>
      </c>
      <c r="L546" s="66" t="str">
        <f>+IF(A546="","",ROUND(H546*Parámetros!$D$100,2))</f>
        <v/>
      </c>
      <c r="M546" s="58" t="str">
        <f>+IF(A546="","",IF(AND(A546=1,B546=1),Parámetros!$D$114*(D546*frec-$G$3-$H$3),IF(AND(A546=2,B546=frec+1),Parámetros!$D$115*(D546*frec-$G$4-$H$4),0)))</f>
        <v/>
      </c>
      <c r="N546" s="58" t="str">
        <f>+IF(A546="","",IF(A546&gt;Parámetros!$D$117,0,ROUND('Modelo Financiero'!D546*Parámetros!$D$116,2)))</f>
        <v/>
      </c>
      <c r="O546" s="58" t="str">
        <f t="shared" si="99"/>
        <v/>
      </c>
      <c r="P546" s="66" t="str">
        <f>+'Tablas Servicio'!I579</f>
        <v/>
      </c>
      <c r="Q546" s="66" t="str">
        <f>+'Tablas Servicio'!S579</f>
        <v/>
      </c>
      <c r="R546" s="66" t="str">
        <f>+'Tablas Servicio'!T579</f>
        <v/>
      </c>
      <c r="S546" s="66" t="str">
        <f t="shared" si="95"/>
        <v/>
      </c>
      <c r="T546" s="66" t="str">
        <f t="shared" si="104"/>
        <v/>
      </c>
      <c r="U546" s="66" t="str">
        <f t="shared" si="100"/>
        <v/>
      </c>
      <c r="V546" s="81" t="str">
        <f t="shared" si="101"/>
        <v/>
      </c>
      <c r="W546" s="66" t="str">
        <f t="shared" si="102"/>
        <v/>
      </c>
      <c r="X546" s="66" t="str">
        <f t="shared" si="103"/>
        <v/>
      </c>
    </row>
    <row r="547" spans="1:24" x14ac:dyDescent="0.25">
      <c r="A547" t="str">
        <f>+'Tablas Servicio'!B580</f>
        <v/>
      </c>
      <c r="B547" t="str">
        <f>+'Tablas Servicio'!C580</f>
        <v/>
      </c>
      <c r="C547" s="56" t="str">
        <f>+'Tablas Servicio'!D580</f>
        <v/>
      </c>
      <c r="D547" s="58" t="str">
        <f>+'Tablas Servicio'!N580</f>
        <v/>
      </c>
      <c r="E547" s="66" t="str">
        <f>+'Tablas Servicio'!AC580</f>
        <v/>
      </c>
      <c r="F547" s="66" t="str">
        <f>+IF(A547="","",'Tablas Servicio'!O580-'Modelo Financiero'!E547)</f>
        <v/>
      </c>
      <c r="G547" s="58" t="str">
        <f t="shared" si="96"/>
        <v/>
      </c>
      <c r="H547" s="66" t="str">
        <f>+'Tablas Servicio'!G580</f>
        <v/>
      </c>
      <c r="I547" s="72" t="str">
        <f t="shared" si="97"/>
        <v/>
      </c>
      <c r="J547" s="66" t="str">
        <f t="shared" si="98"/>
        <v/>
      </c>
      <c r="K547" s="66" t="str">
        <f>+'Tablas Servicio'!H580</f>
        <v/>
      </c>
      <c r="L547" s="66" t="str">
        <f>+IF(A547="","",ROUND(H547*Parámetros!$D$100,2))</f>
        <v/>
      </c>
      <c r="M547" s="58" t="str">
        <f>+IF(A547="","",IF(AND(A547=1,B547=1),Parámetros!$D$114*(D547*frec-$G$3-$H$3),IF(AND(A547=2,B547=frec+1),Parámetros!$D$115*(D547*frec-$G$4-$H$4),0)))</f>
        <v/>
      </c>
      <c r="N547" s="58" t="str">
        <f>+IF(A547="","",IF(A547&gt;Parámetros!$D$117,0,ROUND('Modelo Financiero'!D547*Parámetros!$D$116,2)))</f>
        <v/>
      </c>
      <c r="O547" s="58" t="str">
        <f t="shared" si="99"/>
        <v/>
      </c>
      <c r="P547" s="66" t="str">
        <f>+'Tablas Servicio'!I580</f>
        <v/>
      </c>
      <c r="Q547" s="66" t="str">
        <f>+'Tablas Servicio'!S580</f>
        <v/>
      </c>
      <c r="R547" s="66" t="str">
        <f>+'Tablas Servicio'!T580</f>
        <v/>
      </c>
      <c r="S547" s="66" t="str">
        <f t="shared" si="95"/>
        <v/>
      </c>
      <c r="T547" s="66" t="str">
        <f t="shared" si="104"/>
        <v/>
      </c>
      <c r="U547" s="66" t="str">
        <f t="shared" si="100"/>
        <v/>
      </c>
      <c r="V547" s="81" t="str">
        <f t="shared" si="101"/>
        <v/>
      </c>
      <c r="W547" s="66" t="str">
        <f t="shared" si="102"/>
        <v/>
      </c>
      <c r="X547" s="66" t="str">
        <f t="shared" si="103"/>
        <v/>
      </c>
    </row>
    <row r="548" spans="1:24" x14ac:dyDescent="0.25">
      <c r="A548" t="str">
        <f>+'Tablas Servicio'!B581</f>
        <v/>
      </c>
      <c r="B548" t="str">
        <f>+'Tablas Servicio'!C581</f>
        <v/>
      </c>
      <c r="C548" s="56" t="str">
        <f>+'Tablas Servicio'!D581</f>
        <v/>
      </c>
      <c r="D548" s="58" t="str">
        <f>+'Tablas Servicio'!N581</f>
        <v/>
      </c>
      <c r="E548" s="66" t="str">
        <f>+'Tablas Servicio'!AC581</f>
        <v/>
      </c>
      <c r="F548" s="66" t="str">
        <f>+IF(A548="","",'Tablas Servicio'!O581-'Modelo Financiero'!E548)</f>
        <v/>
      </c>
      <c r="G548" s="58" t="str">
        <f t="shared" si="96"/>
        <v/>
      </c>
      <c r="H548" s="66" t="str">
        <f>+'Tablas Servicio'!G581</f>
        <v/>
      </c>
      <c r="I548" s="72" t="str">
        <f t="shared" si="97"/>
        <v/>
      </c>
      <c r="J548" s="66" t="str">
        <f t="shared" si="98"/>
        <v/>
      </c>
      <c r="K548" s="66" t="str">
        <f>+'Tablas Servicio'!H581</f>
        <v/>
      </c>
      <c r="L548" s="66" t="str">
        <f>+IF(A548="","",ROUND(H548*Parámetros!$D$100,2))</f>
        <v/>
      </c>
      <c r="M548" s="58" t="str">
        <f>+IF(A548="","",IF(AND(A548=1,B548=1),Parámetros!$D$114*(D548*frec-$G$3-$H$3),IF(AND(A548=2,B548=frec+1),Parámetros!$D$115*(D548*frec-$G$4-$H$4),0)))</f>
        <v/>
      </c>
      <c r="N548" s="58" t="str">
        <f>+IF(A548="","",IF(A548&gt;Parámetros!$D$117,0,ROUND('Modelo Financiero'!D548*Parámetros!$D$116,2)))</f>
        <v/>
      </c>
      <c r="O548" s="58" t="str">
        <f t="shared" si="99"/>
        <v/>
      </c>
      <c r="P548" s="66" t="str">
        <f>+'Tablas Servicio'!I581</f>
        <v/>
      </c>
      <c r="Q548" s="66" t="str">
        <f>+'Tablas Servicio'!S581</f>
        <v/>
      </c>
      <c r="R548" s="66" t="str">
        <f>+'Tablas Servicio'!T581</f>
        <v/>
      </c>
      <c r="S548" s="66" t="str">
        <f t="shared" si="95"/>
        <v/>
      </c>
      <c r="T548" s="66" t="str">
        <f t="shared" si="104"/>
        <v/>
      </c>
      <c r="U548" s="66" t="str">
        <f t="shared" si="100"/>
        <v/>
      </c>
      <c r="V548" s="81" t="str">
        <f t="shared" si="101"/>
        <v/>
      </c>
      <c r="W548" s="66" t="str">
        <f t="shared" si="102"/>
        <v/>
      </c>
      <c r="X548" s="66" t="str">
        <f t="shared" si="103"/>
        <v/>
      </c>
    </row>
  </sheetData>
  <mergeCells count="12">
    <mergeCell ref="L6:O6"/>
    <mergeCell ref="H6:K6"/>
    <mergeCell ref="A1:C1"/>
    <mergeCell ref="A2:B2"/>
    <mergeCell ref="A3:B3"/>
    <mergeCell ref="A4:B4"/>
    <mergeCell ref="E6:G6"/>
    <mergeCell ref="Y2:Z2"/>
    <mergeCell ref="AB7:AM7"/>
    <mergeCell ref="Y6:AM6"/>
    <mergeCell ref="S6:X6"/>
    <mergeCell ref="P6:R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G88"/>
  <sheetViews>
    <sheetView topLeftCell="U1" workbookViewId="0">
      <selection activeCell="V3" sqref="V3"/>
    </sheetView>
  </sheetViews>
  <sheetFormatPr baseColWidth="10" defaultRowHeight="13.8" x14ac:dyDescent="0.25"/>
  <cols>
    <col min="2" max="23" width="11" customWidth="1"/>
  </cols>
  <sheetData>
    <row r="1" spans="1:33" ht="55.2" x14ac:dyDescent="0.25">
      <c r="A1" s="54" t="s">
        <v>3</v>
      </c>
      <c r="B1" s="54" t="s">
        <v>104</v>
      </c>
      <c r="C1" s="54" t="s">
        <v>105</v>
      </c>
      <c r="D1" s="54" t="s">
        <v>106</v>
      </c>
      <c r="E1" s="54" t="s">
        <v>107</v>
      </c>
      <c r="F1" s="54" t="s">
        <v>108</v>
      </c>
      <c r="G1" s="54" t="s">
        <v>109</v>
      </c>
      <c r="H1" s="54" t="s">
        <v>110</v>
      </c>
      <c r="I1" s="54" t="s">
        <v>111</v>
      </c>
      <c r="J1" s="54" t="s">
        <v>112</v>
      </c>
      <c r="K1" s="54" t="s">
        <v>113</v>
      </c>
      <c r="L1" s="54" t="s">
        <v>114</v>
      </c>
      <c r="M1" s="54" t="s">
        <v>115</v>
      </c>
      <c r="N1" s="54" t="s">
        <v>113</v>
      </c>
      <c r="O1" s="54" t="s">
        <v>114</v>
      </c>
      <c r="P1" s="54" t="s">
        <v>115</v>
      </c>
      <c r="Q1" s="54" t="s">
        <v>116</v>
      </c>
      <c r="R1" s="54" t="s">
        <v>117</v>
      </c>
      <c r="S1" s="54" t="s">
        <v>118</v>
      </c>
      <c r="T1" s="54" t="s">
        <v>119</v>
      </c>
      <c r="U1" s="54" t="s">
        <v>282</v>
      </c>
      <c r="V1" s="54" t="s">
        <v>283</v>
      </c>
      <c r="W1" s="54" t="s">
        <v>284</v>
      </c>
      <c r="X1" s="54" t="s">
        <v>384</v>
      </c>
      <c r="AB1" s="54" t="s">
        <v>384</v>
      </c>
      <c r="AC1" s="54" t="s">
        <v>384</v>
      </c>
    </row>
    <row r="2" spans="1:33" x14ac:dyDescent="0.25">
      <c r="A2" s="54">
        <v>1</v>
      </c>
      <c r="B2" s="54">
        <v>2</v>
      </c>
      <c r="C2" s="54">
        <v>3</v>
      </c>
      <c r="D2" s="54">
        <v>4</v>
      </c>
      <c r="E2" s="54">
        <v>5</v>
      </c>
      <c r="F2" s="54">
        <v>6</v>
      </c>
      <c r="G2" s="54">
        <v>7</v>
      </c>
      <c r="H2" s="54">
        <v>8</v>
      </c>
      <c r="I2" s="54">
        <v>9</v>
      </c>
      <c r="J2" s="54">
        <v>10</v>
      </c>
      <c r="K2" s="54">
        <v>11</v>
      </c>
      <c r="L2" s="54">
        <v>12</v>
      </c>
      <c r="M2" s="54">
        <v>13</v>
      </c>
      <c r="N2" s="54">
        <v>14</v>
      </c>
      <c r="O2" s="54">
        <v>15</v>
      </c>
      <c r="P2" s="54">
        <v>16</v>
      </c>
      <c r="Q2" s="54">
        <v>17</v>
      </c>
      <c r="R2" s="54">
        <v>18</v>
      </c>
      <c r="S2" s="54">
        <v>19</v>
      </c>
      <c r="T2" s="54">
        <v>20</v>
      </c>
      <c r="U2" s="54">
        <v>21</v>
      </c>
      <c r="V2" s="54">
        <v>22</v>
      </c>
      <c r="W2" s="54">
        <v>23</v>
      </c>
      <c r="X2" s="54">
        <v>24</v>
      </c>
      <c r="AB2" t="s">
        <v>405</v>
      </c>
      <c r="AC2" t="s">
        <v>406</v>
      </c>
    </row>
    <row r="3" spans="1:33" x14ac:dyDescent="0.25">
      <c r="A3" s="54" t="s">
        <v>120</v>
      </c>
      <c r="B3" s="54" t="s">
        <v>121</v>
      </c>
      <c r="C3" s="54" t="s">
        <v>264</v>
      </c>
      <c r="D3" s="54" t="s">
        <v>122</v>
      </c>
      <c r="E3" s="54" t="s">
        <v>123</v>
      </c>
      <c r="F3" s="54" t="s">
        <v>124</v>
      </c>
      <c r="G3" s="54" t="s">
        <v>125</v>
      </c>
      <c r="H3" s="54" t="s">
        <v>126</v>
      </c>
      <c r="I3" s="54" t="s">
        <v>127</v>
      </c>
      <c r="J3" s="54" t="s">
        <v>128</v>
      </c>
      <c r="K3" s="54" t="s">
        <v>129</v>
      </c>
      <c r="L3" s="54" t="s">
        <v>130</v>
      </c>
      <c r="M3" s="54" t="s">
        <v>131</v>
      </c>
      <c r="N3" s="54" t="s">
        <v>132</v>
      </c>
      <c r="O3" s="54" t="s">
        <v>133</v>
      </c>
      <c r="P3" s="54" t="s">
        <v>134</v>
      </c>
      <c r="Q3" s="69" t="s">
        <v>138</v>
      </c>
      <c r="R3" s="69" t="s">
        <v>140</v>
      </c>
      <c r="S3" s="54" t="s">
        <v>267</v>
      </c>
      <c r="T3" s="69" t="s">
        <v>139</v>
      </c>
      <c r="U3" s="54" t="s">
        <v>285</v>
      </c>
      <c r="V3" s="54" t="s">
        <v>286</v>
      </c>
      <c r="W3" s="54" t="s">
        <v>287</v>
      </c>
      <c r="X3" s="98" t="s">
        <v>385</v>
      </c>
      <c r="AB3" t="s">
        <v>385</v>
      </c>
      <c r="AC3" t="s">
        <v>385</v>
      </c>
      <c r="AF3" t="s">
        <v>120</v>
      </c>
      <c r="AG3">
        <v>1</v>
      </c>
    </row>
    <row r="4" spans="1:33" x14ac:dyDescent="0.25">
      <c r="A4">
        <v>15</v>
      </c>
      <c r="B4">
        <v>1.09208E-4</v>
      </c>
      <c r="C4">
        <v>1.0374000000000001E-4</v>
      </c>
      <c r="D4">
        <v>1.06452E-4</v>
      </c>
      <c r="Q4">
        <v>5.9409999999999997E-4</v>
      </c>
      <c r="R4">
        <v>7.1699999999999997E-4</v>
      </c>
      <c r="S4">
        <v>1</v>
      </c>
      <c r="T4">
        <v>5.4229652000000003E-2</v>
      </c>
      <c r="U4">
        <f>+B4*(Parámetros!$D$85-'COBERTURAS ADICIONALES'!$A4-0.5)</f>
        <v>5.405796E-3</v>
      </c>
      <c r="V4">
        <f>+C4*(Parámetros!$D$85-'COBERTURAS ADICIONALES'!$A4-0.5)</f>
        <v>5.1351299999999999E-3</v>
      </c>
      <c r="W4">
        <f>+D4*(Parámetros!$D$85-'COBERTURAS ADICIONALES'!$A4-0.5)</f>
        <v>5.2693740000000003E-3</v>
      </c>
      <c r="X4">
        <f>+IF(Parámetros!$D$26="Antiguas",'COBERTURAS ADICIONALES'!AB4,'COBERTURAS ADICIONALES'!AC4)</f>
        <v>0</v>
      </c>
      <c r="AB4">
        <v>2.43E-4</v>
      </c>
      <c r="AF4" t="s">
        <v>121</v>
      </c>
      <c r="AG4">
        <v>2</v>
      </c>
    </row>
    <row r="5" spans="1:33" x14ac:dyDescent="0.25">
      <c r="A5">
        <v>16</v>
      </c>
      <c r="B5">
        <v>1.10883E-4</v>
      </c>
      <c r="C5">
        <v>1.08421E-4</v>
      </c>
      <c r="D5">
        <v>1.09642E-4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6.6394900000000005E-4</v>
      </c>
      <c r="L5">
        <v>1.254308E-3</v>
      </c>
      <c r="M5">
        <v>9.5676699999999997E-4</v>
      </c>
      <c r="N5">
        <v>5.1830099999999998E-4</v>
      </c>
      <c r="O5">
        <v>8.4233500000000005E-4</v>
      </c>
      <c r="P5">
        <v>6.7902200000000005E-4</v>
      </c>
      <c r="Q5">
        <v>5.9409999999999997E-4</v>
      </c>
      <c r="R5">
        <v>7.1699999999999997E-4</v>
      </c>
      <c r="S5">
        <v>2</v>
      </c>
      <c r="T5">
        <v>9.9473578000000007E-2</v>
      </c>
      <c r="U5">
        <f>+B5*(Parámetros!$D$85-'COBERTURAS ADICIONALES'!$A5-0.5)</f>
        <v>5.3778254999999999E-3</v>
      </c>
      <c r="V5">
        <f>+C5*(Parámetros!$D$85-'COBERTURAS ADICIONALES'!$A5-0.5)</f>
        <v>5.2584184999999997E-3</v>
      </c>
      <c r="W5">
        <f>+D5*(Parámetros!$D$85-'COBERTURAS ADICIONALES'!$A5-0.5)</f>
        <v>5.3176370000000001E-3</v>
      </c>
      <c r="X5">
        <f>+IF(Parámetros!$D$26="Antiguas",'COBERTURAS ADICIONALES'!AB5,'COBERTURAS ADICIONALES'!AC5)</f>
        <v>1.095E-5</v>
      </c>
      <c r="AB5">
        <v>2.43E-4</v>
      </c>
      <c r="AC5">
        <v>1.095E-5</v>
      </c>
      <c r="AF5" t="s">
        <v>264</v>
      </c>
      <c r="AG5">
        <v>3</v>
      </c>
    </row>
    <row r="6" spans="1:33" x14ac:dyDescent="0.25">
      <c r="A6">
        <v>17</v>
      </c>
      <c r="B6">
        <v>1.12717E-4</v>
      </c>
      <c r="C6">
        <v>1.1349999999999999E-4</v>
      </c>
      <c r="D6">
        <v>1.13112E-4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6.97487E-4</v>
      </c>
      <c r="L6">
        <v>1.3750839999999999E-3</v>
      </c>
      <c r="M6">
        <v>1.0335749999999999E-3</v>
      </c>
      <c r="N6">
        <v>5.4186499999999999E-4</v>
      </c>
      <c r="O6">
        <v>9.0715100000000003E-4</v>
      </c>
      <c r="P6">
        <v>7.2304699999999999E-4</v>
      </c>
      <c r="Q6">
        <v>5.9409999999999997E-4</v>
      </c>
      <c r="R6">
        <v>7.1699999999999997E-4</v>
      </c>
      <c r="S6">
        <v>3</v>
      </c>
      <c r="T6">
        <v>0.13722069200000001</v>
      </c>
      <c r="U6">
        <f>+B6*(Parámetros!$D$85-'COBERTURAS ADICIONALES'!$A6-0.5)</f>
        <v>5.3540575000000003E-3</v>
      </c>
      <c r="V6">
        <f>+C6*(Parámetros!$D$85-'COBERTURAS ADICIONALES'!$A6-0.5)</f>
        <v>5.3912499999999993E-3</v>
      </c>
      <c r="W6">
        <f>+D6*(Parámetros!$D$85-'COBERTURAS ADICIONALES'!$A6-0.5)</f>
        <v>5.3728199999999995E-3</v>
      </c>
      <c r="X6">
        <f>+IF(Parámetros!$D$26="Antiguas",'COBERTURAS ADICIONALES'!AB6,'COBERTURAS ADICIONALES'!AC6)</f>
        <v>1.095E-5</v>
      </c>
      <c r="AB6">
        <v>2.43E-4</v>
      </c>
      <c r="AC6">
        <v>1.095E-5</v>
      </c>
      <c r="AF6" t="s">
        <v>122</v>
      </c>
      <c r="AG6">
        <v>4</v>
      </c>
    </row>
    <row r="7" spans="1:33" x14ac:dyDescent="0.25">
      <c r="A7">
        <v>18</v>
      </c>
      <c r="B7">
        <v>1.14726E-4</v>
      </c>
      <c r="C7">
        <v>1.19011E-4</v>
      </c>
      <c r="D7">
        <v>1.1688600000000001E-4</v>
      </c>
      <c r="E7">
        <v>2.90217E-4</v>
      </c>
      <c r="F7">
        <v>5.7521099999999995E-4</v>
      </c>
      <c r="G7">
        <v>4.31574E-4</v>
      </c>
      <c r="H7">
        <v>2.2213699999999999E-4</v>
      </c>
      <c r="I7">
        <v>3.7417499999999997E-4</v>
      </c>
      <c r="J7">
        <v>2.9754800000000002E-4</v>
      </c>
      <c r="K7">
        <v>7.3102599999999996E-4</v>
      </c>
      <c r="L7">
        <v>1.448895E-3</v>
      </c>
      <c r="M7">
        <v>1.0870890000000001E-3</v>
      </c>
      <c r="N7">
        <v>5.5953800000000005E-4</v>
      </c>
      <c r="O7">
        <v>9.4250599999999996E-4</v>
      </c>
      <c r="P7">
        <v>7.4949000000000001E-4</v>
      </c>
      <c r="Q7">
        <v>5.9409999999999997E-4</v>
      </c>
      <c r="R7">
        <v>7.1699999999999997E-4</v>
      </c>
      <c r="S7">
        <v>4</v>
      </c>
      <c r="T7">
        <v>0.16871319700000001</v>
      </c>
      <c r="U7">
        <f>+B7*(Parámetros!$D$85-'COBERTURAS ADICIONALES'!$A7-0.5)</f>
        <v>5.3347589999999997E-3</v>
      </c>
      <c r="V7">
        <f>+C7*(Parámetros!$D$85-'COBERTURAS ADICIONALES'!$A7-0.5)</f>
        <v>5.5340114999999999E-3</v>
      </c>
      <c r="W7">
        <f>+D7*(Parámetros!$D$85-'COBERTURAS ADICIONALES'!$A7-0.5)</f>
        <v>5.4351989999999999E-3</v>
      </c>
      <c r="X7">
        <f>+IF(Parámetros!$D$26="Antiguas",'COBERTURAS ADICIONALES'!AB7,'COBERTURAS ADICIONALES'!AC7)</f>
        <v>1.095E-5</v>
      </c>
      <c r="AB7">
        <v>2.43E-4</v>
      </c>
      <c r="AC7">
        <v>1.095E-5</v>
      </c>
      <c r="AF7" t="s">
        <v>123</v>
      </c>
      <c r="AG7">
        <v>5</v>
      </c>
    </row>
    <row r="8" spans="1:33" x14ac:dyDescent="0.25">
      <c r="A8">
        <v>19</v>
      </c>
      <c r="B8">
        <v>1.16926E-4</v>
      </c>
      <c r="C8">
        <v>1.24991E-4</v>
      </c>
      <c r="D8">
        <v>1.2099099999999999E-4</v>
      </c>
      <c r="E8">
        <v>3.0087000000000001E-4</v>
      </c>
      <c r="F8">
        <v>6.0185100000000004E-4</v>
      </c>
      <c r="G8">
        <v>4.5015700000000002E-4</v>
      </c>
      <c r="H8">
        <v>2.2915300000000001E-4</v>
      </c>
      <c r="I8">
        <v>3.8821100000000001E-4</v>
      </c>
      <c r="J8">
        <v>3.0804600000000003E-4</v>
      </c>
      <c r="K8">
        <v>7.5785800000000003E-4</v>
      </c>
      <c r="L8">
        <v>1.5159990000000001E-3</v>
      </c>
      <c r="M8">
        <v>1.1338959999999999E-3</v>
      </c>
      <c r="N8">
        <v>5.77211E-4</v>
      </c>
      <c r="O8">
        <v>9.7786199999999992E-4</v>
      </c>
      <c r="P8">
        <v>7.7593400000000004E-4</v>
      </c>
      <c r="Q8">
        <v>5.9409999999999997E-4</v>
      </c>
      <c r="R8">
        <v>7.1699999999999997E-4</v>
      </c>
      <c r="S8">
        <v>5</v>
      </c>
      <c r="T8">
        <v>0.194987468</v>
      </c>
      <c r="U8">
        <f>+B8*(Parámetros!$D$85-'COBERTURAS ADICIONALES'!$A8-0.5)</f>
        <v>5.3201330000000003E-3</v>
      </c>
      <c r="V8">
        <f>+C8*(Parámetros!$D$85-'COBERTURAS ADICIONALES'!$A8-0.5)</f>
        <v>5.6870904999999994E-3</v>
      </c>
      <c r="W8">
        <f>+D8*(Parámetros!$D$85-'COBERTURAS ADICIONALES'!$A8-0.5)</f>
        <v>5.5050904999999995E-3</v>
      </c>
      <c r="X8">
        <f>+IF(Parámetros!$D$26="Antiguas",'COBERTURAS ADICIONALES'!AB8,'COBERTURAS ADICIONALES'!AC8)</f>
        <v>1.095E-5</v>
      </c>
      <c r="AB8">
        <v>2.43E-4</v>
      </c>
      <c r="AC8">
        <v>1.095E-5</v>
      </c>
      <c r="AF8" t="s">
        <v>124</v>
      </c>
      <c r="AG8">
        <v>6</v>
      </c>
    </row>
    <row r="9" spans="1:33" x14ac:dyDescent="0.25">
      <c r="A9">
        <v>20</v>
      </c>
      <c r="B9">
        <v>1.1933400000000001E-4</v>
      </c>
      <c r="C9">
        <v>1.31481E-4</v>
      </c>
      <c r="D9">
        <v>1.25456E-4</v>
      </c>
      <c r="E9">
        <v>3.392E-4</v>
      </c>
      <c r="F9">
        <v>6.75604E-4</v>
      </c>
      <c r="G9">
        <v>5.0605699999999997E-4</v>
      </c>
      <c r="H9">
        <v>2.5936999999999998E-4</v>
      </c>
      <c r="I9">
        <v>4.3148600000000002E-4</v>
      </c>
      <c r="J9">
        <v>3.4474000000000001E-4</v>
      </c>
      <c r="K9">
        <v>7.7798199999999998E-4</v>
      </c>
      <c r="L9">
        <v>1.5495509999999999E-3</v>
      </c>
      <c r="M9">
        <v>1.1606800000000001E-3</v>
      </c>
      <c r="N9">
        <v>5.9488499999999997E-4</v>
      </c>
      <c r="O9">
        <v>9.8964699999999997E-4</v>
      </c>
      <c r="P9">
        <v>7.9068699999999999E-4</v>
      </c>
      <c r="Q9">
        <v>5.9409999999999997E-4</v>
      </c>
      <c r="R9">
        <v>9.2000000000000003E-4</v>
      </c>
      <c r="S9">
        <v>6</v>
      </c>
      <c r="T9">
        <v>0.21690815399999999</v>
      </c>
      <c r="U9">
        <f>+B9*(Parámetros!$D$85-'COBERTURAS ADICIONALES'!$A9-0.5)</f>
        <v>5.3103630000000002E-3</v>
      </c>
      <c r="V9">
        <f>+C9*(Parámetros!$D$85-'COBERTURAS ADICIONALES'!$A9-0.5)</f>
        <v>5.8509045000000003E-3</v>
      </c>
      <c r="W9">
        <f>+D9*(Parámetros!$D$85-'COBERTURAS ADICIONALES'!$A9-0.5)</f>
        <v>5.5827919999999996E-3</v>
      </c>
      <c r="X9">
        <f>+IF(Parámetros!$D$26="Antiguas",'COBERTURAS ADICIONALES'!AB9,'COBERTURAS ADICIONALES'!AC9)</f>
        <v>1.6399999999999999E-5</v>
      </c>
      <c r="AB9">
        <v>3.6499999999999998E-4</v>
      </c>
      <c r="AC9">
        <v>1.6399999999999999E-5</v>
      </c>
      <c r="AF9" t="s">
        <v>125</v>
      </c>
      <c r="AG9">
        <v>7</v>
      </c>
    </row>
    <row r="10" spans="1:33" x14ac:dyDescent="0.25">
      <c r="A10">
        <v>21</v>
      </c>
      <c r="B10">
        <v>1.21972E-4</v>
      </c>
      <c r="C10">
        <v>1.38522E-4</v>
      </c>
      <c r="D10">
        <v>1.3031300000000001E-4</v>
      </c>
      <c r="E10">
        <v>3.4505000000000001E-4</v>
      </c>
      <c r="F10">
        <v>6.8145599999999999E-4</v>
      </c>
      <c r="G10">
        <v>5.1190700000000003E-4</v>
      </c>
      <c r="H10">
        <v>2.6193800000000003E-4</v>
      </c>
      <c r="I10">
        <v>4.2891700000000001E-4</v>
      </c>
      <c r="J10">
        <v>3.4476E-4</v>
      </c>
      <c r="K10">
        <v>7.9139800000000001E-4</v>
      </c>
      <c r="L10">
        <v>1.5629719999999999E-3</v>
      </c>
      <c r="M10">
        <v>1.1740990000000001E-3</v>
      </c>
      <c r="N10">
        <v>6.0077600000000002E-4</v>
      </c>
      <c r="O10">
        <v>9.83755E-4</v>
      </c>
      <c r="P10">
        <v>7.9073299999999995E-4</v>
      </c>
      <c r="Q10">
        <v>5.9409999999999997E-4</v>
      </c>
      <c r="R10">
        <v>9.2000000000000003E-4</v>
      </c>
      <c r="S10">
        <v>7</v>
      </c>
      <c r="T10">
        <v>0.23519663299999999</v>
      </c>
      <c r="U10">
        <f>+B10*(Parámetros!$D$85-'COBERTURAS ADICIONALES'!$A10-0.5)</f>
        <v>5.3057820000000002E-3</v>
      </c>
      <c r="V10">
        <f>+C10*(Parámetros!$D$85-'COBERTURAS ADICIONALES'!$A10-0.5)</f>
        <v>6.0257069999999999E-3</v>
      </c>
      <c r="W10">
        <f>+D10*(Parámetros!$D$85-'COBERTURAS ADICIONALES'!$A10-0.5)</f>
        <v>5.6686155000000007E-3</v>
      </c>
      <c r="X10">
        <f>+IF(Parámetros!$D$26="Antiguas",'COBERTURAS ADICIONALES'!AB10,'COBERTURAS ADICIONALES'!AC10)</f>
        <v>1.6399999999999999E-5</v>
      </c>
      <c r="AB10">
        <v>3.6499999999999998E-4</v>
      </c>
      <c r="AC10">
        <v>1.6399999999999999E-5</v>
      </c>
      <c r="AF10" t="s">
        <v>126</v>
      </c>
      <c r="AG10">
        <v>8</v>
      </c>
    </row>
    <row r="11" spans="1:33" x14ac:dyDescent="0.25">
      <c r="A11">
        <v>22</v>
      </c>
      <c r="B11">
        <v>1.2485999999999999E-4</v>
      </c>
      <c r="C11">
        <v>1.4616299999999999E-4</v>
      </c>
      <c r="D11">
        <v>1.35597E-4</v>
      </c>
      <c r="E11">
        <v>3.5382399999999998E-4</v>
      </c>
      <c r="F11">
        <v>6.7267900000000003E-4</v>
      </c>
      <c r="G11">
        <v>5.1197600000000003E-4</v>
      </c>
      <c r="H11">
        <v>2.6707499999999997E-4</v>
      </c>
      <c r="I11">
        <v>4.2120900000000003E-4</v>
      </c>
      <c r="J11">
        <v>3.4352599999999998E-4</v>
      </c>
      <c r="K11">
        <v>8.1152199999999996E-4</v>
      </c>
      <c r="L11">
        <v>1.5428410000000001E-3</v>
      </c>
      <c r="M11">
        <v>1.174256E-3</v>
      </c>
      <c r="N11">
        <v>6.1255800000000003E-4</v>
      </c>
      <c r="O11">
        <v>9.6607599999999996E-4</v>
      </c>
      <c r="P11">
        <v>7.8790299999999995E-4</v>
      </c>
      <c r="Q11">
        <v>5.9409999999999997E-4</v>
      </c>
      <c r="R11">
        <v>9.2000000000000003E-4</v>
      </c>
      <c r="S11">
        <v>8</v>
      </c>
      <c r="T11">
        <v>0.25045475499999997</v>
      </c>
      <c r="U11">
        <f>+B11*(Parámetros!$D$85-'COBERTURAS ADICIONALES'!$A11-0.5)</f>
        <v>5.3065500000000002E-3</v>
      </c>
      <c r="V11">
        <f>+C11*(Parámetros!$D$85-'COBERTURAS ADICIONALES'!$A11-0.5)</f>
        <v>6.2119274999999996E-3</v>
      </c>
      <c r="W11">
        <f>+D11*(Parámetros!$D$85-'COBERTURAS ADICIONALES'!$A11-0.5)</f>
        <v>5.7628725000000002E-3</v>
      </c>
      <c r="X11">
        <f>+IF(Parámetros!$D$26="Antiguas",'COBERTURAS ADICIONALES'!AB11,'COBERTURAS ADICIONALES'!AC11)</f>
        <v>1.6399999999999999E-5</v>
      </c>
      <c r="AB11">
        <v>3.6499999999999998E-4</v>
      </c>
      <c r="AC11">
        <v>1.6399999999999999E-5</v>
      </c>
      <c r="AF11" t="s">
        <v>127</v>
      </c>
      <c r="AG11">
        <v>9</v>
      </c>
    </row>
    <row r="12" spans="1:33" x14ac:dyDescent="0.25">
      <c r="A12">
        <v>23</v>
      </c>
      <c r="B12">
        <v>1.2802199999999999E-4</v>
      </c>
      <c r="C12">
        <v>1.54454E-4</v>
      </c>
      <c r="D12">
        <v>1.4134400000000001E-4</v>
      </c>
      <c r="E12">
        <v>3.5967300000000002E-4</v>
      </c>
      <c r="F12">
        <v>6.6097499999999995E-4</v>
      </c>
      <c r="G12">
        <v>5.0911900000000004E-4</v>
      </c>
      <c r="H12">
        <v>2.6964399999999998E-4</v>
      </c>
      <c r="I12">
        <v>4.13502E-4</v>
      </c>
      <c r="J12">
        <v>3.40997E-4</v>
      </c>
      <c r="K12">
        <v>8.2493900000000001E-4</v>
      </c>
      <c r="L12">
        <v>1.5159990000000001E-3</v>
      </c>
      <c r="M12">
        <v>1.1677040000000001E-3</v>
      </c>
      <c r="N12">
        <v>6.1844899999999997E-4</v>
      </c>
      <c r="O12">
        <v>9.4839800000000004E-4</v>
      </c>
      <c r="P12">
        <v>7.8210400000000005E-4</v>
      </c>
      <c r="Q12">
        <v>5.9409999999999997E-4</v>
      </c>
      <c r="R12">
        <v>9.2000000000000003E-4</v>
      </c>
      <c r="S12">
        <v>9</v>
      </c>
      <c r="T12">
        <v>0.263184641</v>
      </c>
      <c r="U12">
        <f>+B12*(Parámetros!$D$85-'COBERTURAS ADICIONALES'!$A12-0.5)</f>
        <v>5.3129129999999998E-3</v>
      </c>
      <c r="V12">
        <f>+C12*(Parámetros!$D$85-'COBERTURAS ADICIONALES'!$A12-0.5)</f>
        <v>6.4098409999999995E-3</v>
      </c>
      <c r="W12">
        <f>+D12*(Parámetros!$D$85-'COBERTURAS ADICIONALES'!$A12-0.5)</f>
        <v>5.8657760000000005E-3</v>
      </c>
      <c r="X12">
        <f>+IF(Parámetros!$D$26="Antiguas",'COBERTURAS ADICIONALES'!AB12,'COBERTURAS ADICIONALES'!AC12)</f>
        <v>1.6399999999999999E-5</v>
      </c>
      <c r="AB12">
        <v>3.6499999999999998E-4</v>
      </c>
      <c r="AC12">
        <v>1.6399999999999999E-5</v>
      </c>
      <c r="AF12" t="s">
        <v>128</v>
      </c>
      <c r="AG12">
        <v>10</v>
      </c>
    </row>
    <row r="13" spans="1:33" x14ac:dyDescent="0.25">
      <c r="A13">
        <v>24</v>
      </c>
      <c r="B13">
        <v>1.3148500000000001E-4</v>
      </c>
      <c r="C13">
        <v>1.63451E-4</v>
      </c>
      <c r="D13">
        <v>1.47596E-4</v>
      </c>
      <c r="E13">
        <v>3.7137200000000002E-4</v>
      </c>
      <c r="F13">
        <v>6.4634700000000002E-4</v>
      </c>
      <c r="G13">
        <v>5.0776E-4</v>
      </c>
      <c r="H13">
        <v>2.7734999999999999E-4</v>
      </c>
      <c r="I13">
        <v>4.03225E-4</v>
      </c>
      <c r="J13">
        <v>3.3978399999999998E-4</v>
      </c>
      <c r="K13">
        <v>8.5177199999999999E-4</v>
      </c>
      <c r="L13">
        <v>1.482447E-3</v>
      </c>
      <c r="M13">
        <v>1.164586E-3</v>
      </c>
      <c r="N13">
        <v>6.3612300000000005E-4</v>
      </c>
      <c r="O13">
        <v>9.2482800000000004E-4</v>
      </c>
      <c r="P13">
        <v>7.7932100000000003E-4</v>
      </c>
      <c r="Q13">
        <v>5.9409999999999997E-4</v>
      </c>
      <c r="R13">
        <v>9.2000000000000003E-4</v>
      </c>
      <c r="S13">
        <v>10</v>
      </c>
      <c r="T13">
        <v>0.27380521499999999</v>
      </c>
      <c r="U13">
        <f>+B13*(Parámetros!$D$85-'COBERTURAS ADICIONALES'!$A13-0.5)</f>
        <v>5.3251425000000003E-3</v>
      </c>
      <c r="V13">
        <f>+C13*(Parámetros!$D$85-'COBERTURAS ADICIONALES'!$A13-0.5)</f>
        <v>6.6197655000000003E-3</v>
      </c>
      <c r="W13">
        <f>+D13*(Parámetros!$D$85-'COBERTURAS ADICIONALES'!$A13-0.5)</f>
        <v>5.9776380000000004E-3</v>
      </c>
      <c r="X13">
        <f>+IF(Parámetros!$D$26="Antiguas",'COBERTURAS ADICIONALES'!AB13,'COBERTURAS ADICIONALES'!AC13)</f>
        <v>1.6399999999999999E-5</v>
      </c>
      <c r="AB13">
        <v>3.6499999999999998E-4</v>
      </c>
      <c r="AC13">
        <v>1.6399999999999999E-5</v>
      </c>
      <c r="AF13" t="s">
        <v>129</v>
      </c>
      <c r="AG13">
        <v>11</v>
      </c>
    </row>
    <row r="14" spans="1:33" x14ac:dyDescent="0.25">
      <c r="A14">
        <v>25</v>
      </c>
      <c r="B14">
        <v>1.35277E-4</v>
      </c>
      <c r="C14">
        <v>1.73213E-4</v>
      </c>
      <c r="D14">
        <v>1.5439699999999999E-4</v>
      </c>
      <c r="E14">
        <v>3.1925399999999999E-4</v>
      </c>
      <c r="F14">
        <v>5.2968999999999998E-4</v>
      </c>
      <c r="G14">
        <v>4.23631E-4</v>
      </c>
      <c r="H14">
        <v>2.3690300000000001E-4</v>
      </c>
      <c r="I14">
        <v>3.3039000000000001E-4</v>
      </c>
      <c r="J14">
        <v>2.8327300000000001E-4</v>
      </c>
      <c r="K14">
        <v>8.6518800000000002E-4</v>
      </c>
      <c r="L14">
        <v>1.4354750000000001E-3</v>
      </c>
      <c r="M14">
        <v>1.1480500000000001E-3</v>
      </c>
      <c r="N14">
        <v>6.4201500000000001E-4</v>
      </c>
      <c r="O14">
        <v>8.9536599999999998E-4</v>
      </c>
      <c r="P14">
        <v>7.6767700000000003E-4</v>
      </c>
      <c r="Q14">
        <v>5.9409999999999997E-4</v>
      </c>
      <c r="R14">
        <v>9.9200000000000004E-4</v>
      </c>
      <c r="S14">
        <v>11</v>
      </c>
      <c r="T14">
        <v>0.28266598500000001</v>
      </c>
      <c r="U14">
        <f>+B14*(Parámetros!$D$85-'COBERTURAS ADICIONALES'!$A14-0.5)</f>
        <v>5.3434414999999997E-3</v>
      </c>
      <c r="V14">
        <f>+C14*(Parámetros!$D$85-'COBERTURAS ADICIONALES'!$A14-0.5)</f>
        <v>6.8419134999999996E-3</v>
      </c>
      <c r="W14">
        <f>+D14*(Parámetros!$D$85-'COBERTURAS ADICIONALES'!$A14-0.5)</f>
        <v>6.0986814999999996E-3</v>
      </c>
      <c r="X14">
        <f>+IF(Parámetros!$D$26="Antiguas",'COBERTURAS ADICIONALES'!AB14,'COBERTURAS ADICIONALES'!AC14)</f>
        <v>2.5900000000000003E-5</v>
      </c>
      <c r="AB14">
        <v>5.7600000000000001E-4</v>
      </c>
      <c r="AC14">
        <v>2.5900000000000003E-5</v>
      </c>
      <c r="AF14" t="s">
        <v>130</v>
      </c>
      <c r="AG14">
        <v>12</v>
      </c>
    </row>
    <row r="15" spans="1:33" x14ac:dyDescent="0.25">
      <c r="A15">
        <v>26</v>
      </c>
      <c r="B15">
        <v>1.39429E-4</v>
      </c>
      <c r="C15">
        <v>1.8380600000000001E-4</v>
      </c>
      <c r="D15">
        <v>1.6179500000000001E-4</v>
      </c>
      <c r="E15">
        <v>3.3163099999999998E-4</v>
      </c>
      <c r="F15">
        <v>5.1483400000000004E-4</v>
      </c>
      <c r="G15">
        <v>4.2250000000000002E-4</v>
      </c>
      <c r="H15">
        <v>2.4342499999999999E-4</v>
      </c>
      <c r="I15">
        <v>3.2169300000000001E-4</v>
      </c>
      <c r="J15">
        <v>2.8224599999999999E-4</v>
      </c>
      <c r="K15">
        <v>8.9873000000000004E-4</v>
      </c>
      <c r="L15">
        <v>1.3952140000000001E-3</v>
      </c>
      <c r="M15">
        <v>1.144986E-3</v>
      </c>
      <c r="N15">
        <v>6.5968899999999998E-4</v>
      </c>
      <c r="O15">
        <v>8.7179599999999999E-4</v>
      </c>
      <c r="P15">
        <v>7.6489400000000001E-4</v>
      </c>
      <c r="Q15">
        <v>5.9409999999999997E-4</v>
      </c>
      <c r="R15">
        <v>9.9200000000000004E-4</v>
      </c>
      <c r="S15">
        <v>12</v>
      </c>
      <c r="T15">
        <v>0.29005854599999997</v>
      </c>
      <c r="U15">
        <f>+B15*(Parámetros!$D$85-'COBERTURAS ADICIONALES'!$A15-0.5)</f>
        <v>5.3680164999999995E-3</v>
      </c>
      <c r="V15">
        <f>+C15*(Parámetros!$D$85-'COBERTURAS ADICIONALES'!$A15-0.5)</f>
        <v>7.0765310000000005E-3</v>
      </c>
      <c r="W15">
        <f>+D15*(Parámetros!$D$85-'COBERTURAS ADICIONALES'!$A15-0.5)</f>
        <v>6.2291075E-3</v>
      </c>
      <c r="X15">
        <f>+IF(Parámetros!$D$26="Antiguas",'COBERTURAS ADICIONALES'!AB15,'COBERTURAS ADICIONALES'!AC15)</f>
        <v>2.5900000000000003E-5</v>
      </c>
      <c r="AB15">
        <v>5.7600000000000001E-4</v>
      </c>
      <c r="AC15">
        <v>2.5900000000000003E-5</v>
      </c>
      <c r="AF15" t="s">
        <v>131</v>
      </c>
      <c r="AG15">
        <v>13</v>
      </c>
    </row>
    <row r="16" spans="1:33" x14ac:dyDescent="0.25">
      <c r="A16">
        <v>27</v>
      </c>
      <c r="B16">
        <v>1.4397499999999999E-4</v>
      </c>
      <c r="C16">
        <v>1.9530099999999999E-4</v>
      </c>
      <c r="D16">
        <v>1.69844E-4</v>
      </c>
      <c r="E16">
        <v>3.4153299999999998E-4</v>
      </c>
      <c r="F16">
        <v>5.0988200000000002E-4</v>
      </c>
      <c r="G16">
        <v>4.2503400000000002E-4</v>
      </c>
      <c r="H16">
        <v>2.4777300000000001E-4</v>
      </c>
      <c r="I16">
        <v>3.17344E-4</v>
      </c>
      <c r="J16">
        <v>2.8227999999999999E-4</v>
      </c>
      <c r="K16">
        <v>9.2556400000000003E-4</v>
      </c>
      <c r="L16">
        <v>1.381794E-3</v>
      </c>
      <c r="M16">
        <v>1.1518539999999999E-3</v>
      </c>
      <c r="N16">
        <v>6.71472E-4</v>
      </c>
      <c r="O16">
        <v>8.6001199999999995E-4</v>
      </c>
      <c r="P16">
        <v>7.6498799999999997E-4</v>
      </c>
      <c r="Q16">
        <v>5.9409999999999997E-4</v>
      </c>
      <c r="R16">
        <v>9.9200000000000004E-4</v>
      </c>
      <c r="S16">
        <v>13</v>
      </c>
      <c r="T16">
        <v>0.29622617699999998</v>
      </c>
      <c r="U16">
        <f>+B16*(Parámetros!$D$85-'COBERTURAS ADICIONALES'!$A16-0.5)</f>
        <v>5.3990624999999993E-3</v>
      </c>
      <c r="V16">
        <f>+C16*(Parámetros!$D$85-'COBERTURAS ADICIONALES'!$A16-0.5)</f>
        <v>7.3237874999999997E-3</v>
      </c>
      <c r="W16">
        <f>+D16*(Parámetros!$D$85-'COBERTURAS ADICIONALES'!$A16-0.5)</f>
        <v>6.3691499999999996E-3</v>
      </c>
      <c r="X16">
        <f>+IF(Parámetros!$D$26="Antiguas",'COBERTURAS ADICIONALES'!AB16,'COBERTURAS ADICIONALES'!AC16)</f>
        <v>2.5900000000000003E-5</v>
      </c>
      <c r="AB16">
        <v>5.7600000000000001E-4</v>
      </c>
      <c r="AC16">
        <v>2.5900000000000003E-5</v>
      </c>
      <c r="AF16" t="s">
        <v>132</v>
      </c>
      <c r="AG16">
        <v>14</v>
      </c>
    </row>
    <row r="17" spans="1:33" x14ac:dyDescent="0.25">
      <c r="A17">
        <v>28</v>
      </c>
      <c r="B17">
        <v>1.48954E-4</v>
      </c>
      <c r="C17">
        <v>2.0777400000000001E-4</v>
      </c>
      <c r="D17">
        <v>1.7859899999999999E-4</v>
      </c>
      <c r="E17">
        <v>3.5143499999999999E-4</v>
      </c>
      <c r="F17">
        <v>5.0493000000000001E-4</v>
      </c>
      <c r="G17">
        <v>4.2756800000000002E-4</v>
      </c>
      <c r="H17">
        <v>2.5429499999999998E-4</v>
      </c>
      <c r="I17">
        <v>3.1299600000000001E-4</v>
      </c>
      <c r="J17">
        <v>2.8341100000000001E-4</v>
      </c>
      <c r="K17">
        <v>9.5239800000000002E-4</v>
      </c>
      <c r="L17">
        <v>1.3683739999999999E-3</v>
      </c>
      <c r="M17">
        <v>1.1587220000000001E-3</v>
      </c>
      <c r="N17">
        <v>6.8914599999999996E-4</v>
      </c>
      <c r="O17">
        <v>8.4822700000000001E-4</v>
      </c>
      <c r="P17">
        <v>7.6805099999999996E-4</v>
      </c>
      <c r="Q17">
        <v>5.9409999999999997E-4</v>
      </c>
      <c r="R17">
        <v>9.9200000000000004E-4</v>
      </c>
      <c r="S17">
        <v>14</v>
      </c>
      <c r="T17">
        <v>0.301371846</v>
      </c>
      <c r="U17">
        <f>+B17*(Parámetros!$D$85-'COBERTURAS ADICIONALES'!$A17-0.5)</f>
        <v>5.4368209999999997E-3</v>
      </c>
      <c r="V17">
        <f>+C17*(Parámetros!$D$85-'COBERTURAS ADICIONALES'!$A17-0.5)</f>
        <v>7.5837510000000006E-3</v>
      </c>
      <c r="W17">
        <f>+D17*(Parámetros!$D$85-'COBERTURAS ADICIONALES'!$A17-0.5)</f>
        <v>6.5188634999999995E-3</v>
      </c>
      <c r="X17">
        <f>+IF(Parámetros!$D$26="Antiguas",'COBERTURAS ADICIONALES'!AB17,'COBERTURAS ADICIONALES'!AC17)</f>
        <v>2.5900000000000003E-5</v>
      </c>
      <c r="AB17">
        <v>5.7600000000000001E-4</v>
      </c>
      <c r="AC17">
        <v>2.5900000000000003E-5</v>
      </c>
      <c r="AF17" t="s">
        <v>133</v>
      </c>
      <c r="AG17">
        <v>15</v>
      </c>
    </row>
    <row r="18" spans="1:33" x14ac:dyDescent="0.25">
      <c r="A18">
        <v>29</v>
      </c>
      <c r="B18">
        <v>1.5440500000000001E-4</v>
      </c>
      <c r="C18">
        <v>2.21308E-4</v>
      </c>
      <c r="D18">
        <v>1.8812399999999999E-4</v>
      </c>
      <c r="E18">
        <v>3.6628799999999999E-4</v>
      </c>
      <c r="F18">
        <v>5.0988200000000002E-4</v>
      </c>
      <c r="G18">
        <v>4.3751100000000002E-4</v>
      </c>
      <c r="H18">
        <v>2.6081699999999999E-4</v>
      </c>
      <c r="I18">
        <v>3.1299600000000001E-4</v>
      </c>
      <c r="J18">
        <v>2.86698E-4</v>
      </c>
      <c r="K18">
        <v>9.9265000000000009E-4</v>
      </c>
      <c r="L18">
        <v>1.381794E-3</v>
      </c>
      <c r="M18">
        <v>1.185665E-3</v>
      </c>
      <c r="N18">
        <v>7.0682099999999995E-4</v>
      </c>
      <c r="O18">
        <v>8.4822700000000001E-4</v>
      </c>
      <c r="P18">
        <v>7.7695900000000003E-4</v>
      </c>
      <c r="Q18">
        <v>5.9409999999999997E-4</v>
      </c>
      <c r="R18">
        <v>9.9200000000000004E-4</v>
      </c>
      <c r="S18">
        <v>15</v>
      </c>
      <c r="T18">
        <v>0.30566489000000002</v>
      </c>
      <c r="U18">
        <f>+B18*(Parámetros!$D$85-'COBERTURAS ADICIONALES'!$A18-0.5)</f>
        <v>5.4813775000000006E-3</v>
      </c>
      <c r="V18">
        <f>+C18*(Parámetros!$D$85-'COBERTURAS ADICIONALES'!$A18-0.5)</f>
        <v>7.8564340000000007E-3</v>
      </c>
      <c r="W18">
        <f>+D18*(Parámetros!$D$85-'COBERTURAS ADICIONALES'!$A18-0.5)</f>
        <v>6.6784019999999999E-3</v>
      </c>
      <c r="X18">
        <f>+IF(Parámetros!$D$26="Antiguas",'COBERTURAS ADICIONALES'!AB18,'COBERTURAS ADICIONALES'!AC18)</f>
        <v>2.5900000000000003E-5</v>
      </c>
      <c r="AB18">
        <v>5.7600000000000001E-4</v>
      </c>
      <c r="AC18">
        <v>2.5900000000000003E-5</v>
      </c>
      <c r="AF18" t="s">
        <v>134</v>
      </c>
      <c r="AG18">
        <v>16</v>
      </c>
    </row>
    <row r="19" spans="1:33" x14ac:dyDescent="0.25">
      <c r="A19">
        <v>30</v>
      </c>
      <c r="B19">
        <v>1.6037399999999999E-4</v>
      </c>
      <c r="C19">
        <v>2.35994E-4</v>
      </c>
      <c r="D19">
        <v>1.9848700000000001E-4</v>
      </c>
      <c r="E19">
        <v>3.83617E-4</v>
      </c>
      <c r="F19">
        <v>5.1978599999999995E-4</v>
      </c>
      <c r="G19">
        <v>4.5115699999999999E-4</v>
      </c>
      <c r="H19">
        <v>2.6951299999999998E-4</v>
      </c>
      <c r="I19">
        <v>3.1299600000000001E-4</v>
      </c>
      <c r="J19">
        <v>2.91081E-4</v>
      </c>
      <c r="K19">
        <v>1.0396120000000001E-3</v>
      </c>
      <c r="L19">
        <v>1.408634E-3</v>
      </c>
      <c r="M19">
        <v>1.2226470000000001E-3</v>
      </c>
      <c r="N19">
        <v>7.30388E-4</v>
      </c>
      <c r="O19">
        <v>8.4822700000000001E-4</v>
      </c>
      <c r="P19">
        <v>7.8883600000000001E-4</v>
      </c>
      <c r="Q19">
        <v>5.9409999999999997E-4</v>
      </c>
      <c r="R19">
        <v>1.005E-3</v>
      </c>
      <c r="S19">
        <v>16</v>
      </c>
      <c r="T19">
        <v>0.30924658599999999</v>
      </c>
      <c r="U19">
        <f>+B19*(Parámetros!$D$85-'COBERTURAS ADICIONALES'!$A19-0.5)</f>
        <v>5.5329029999999996E-3</v>
      </c>
      <c r="V19">
        <f>+C19*(Parámetros!$D$85-'COBERTURAS ADICIONALES'!$A19-0.5)</f>
        <v>8.1417929999999996E-3</v>
      </c>
      <c r="W19">
        <f>+D19*(Parámetros!$D$85-'COBERTURAS ADICIONALES'!$A19-0.5)</f>
        <v>6.8478015000000003E-3</v>
      </c>
      <c r="X19">
        <f>+IF(Parámetros!$D$26="Antiguas",'COBERTURAS ADICIONALES'!AB19,'COBERTURAS ADICIONALES'!AC19)</f>
        <v>3.8699999999999992E-5</v>
      </c>
      <c r="AB19">
        <v>8.5999999999999998E-4</v>
      </c>
      <c r="AC19">
        <v>3.8699999999999992E-5</v>
      </c>
      <c r="AF19" t="s">
        <v>138</v>
      </c>
      <c r="AG19">
        <v>17</v>
      </c>
    </row>
    <row r="20" spans="1:33" x14ac:dyDescent="0.25">
      <c r="A20">
        <v>31</v>
      </c>
      <c r="B20">
        <v>1.66911E-4</v>
      </c>
      <c r="C20">
        <v>2.5192900000000002E-4</v>
      </c>
      <c r="D20">
        <v>2.0976E-4</v>
      </c>
      <c r="E20">
        <v>3.9847E-4</v>
      </c>
      <c r="F20">
        <v>5.3711799999999995E-4</v>
      </c>
      <c r="G20">
        <v>4.6724000000000001E-4</v>
      </c>
      <c r="H20">
        <v>2.76035E-4</v>
      </c>
      <c r="I20">
        <v>3.1951899999999999E-4</v>
      </c>
      <c r="J20">
        <v>2.9760300000000002E-4</v>
      </c>
      <c r="K20">
        <v>1.0798660000000001E-3</v>
      </c>
      <c r="L20">
        <v>1.455605E-3</v>
      </c>
      <c r="M20">
        <v>1.2662319999999999E-3</v>
      </c>
      <c r="N20">
        <v>7.4806299999999998E-4</v>
      </c>
      <c r="O20">
        <v>8.6590400000000002E-4</v>
      </c>
      <c r="P20">
        <v>8.0651200000000001E-4</v>
      </c>
      <c r="Q20">
        <v>5.9409999999999997E-4</v>
      </c>
      <c r="R20">
        <v>1.005E-3</v>
      </c>
      <c r="S20">
        <v>17</v>
      </c>
      <c r="T20">
        <v>0.31223480399999998</v>
      </c>
      <c r="U20">
        <f>+B20*(Parámetros!$D$85-'COBERTURAS ADICIONALES'!$A20-0.5)</f>
        <v>5.5915184999999999E-3</v>
      </c>
      <c r="V20">
        <f>+C20*(Parámetros!$D$85-'COBERTURAS ADICIONALES'!$A20-0.5)</f>
        <v>8.4396215000000011E-3</v>
      </c>
      <c r="W20">
        <f>+D20*(Parámetros!$D$85-'COBERTURAS ADICIONALES'!$A20-0.5)</f>
        <v>7.0269599999999996E-3</v>
      </c>
      <c r="X20">
        <f>+IF(Parámetros!$D$26="Antiguas",'COBERTURAS ADICIONALES'!AB20,'COBERTURAS ADICIONALES'!AC20)</f>
        <v>3.8699999999999992E-5</v>
      </c>
      <c r="AB20">
        <v>8.5999999999999998E-4</v>
      </c>
      <c r="AC20">
        <v>3.8699999999999992E-5</v>
      </c>
      <c r="AF20" t="s">
        <v>140</v>
      </c>
      <c r="AG20">
        <v>18</v>
      </c>
    </row>
    <row r="21" spans="1:33" x14ac:dyDescent="0.25">
      <c r="A21">
        <v>32</v>
      </c>
      <c r="B21">
        <v>1.74053E-4</v>
      </c>
      <c r="C21">
        <v>2.6921999999999997E-4</v>
      </c>
      <c r="D21">
        <v>2.22017E-4</v>
      </c>
      <c r="E21">
        <v>4.1580000000000002E-4</v>
      </c>
      <c r="F21">
        <v>5.5445099999999997E-4</v>
      </c>
      <c r="G21">
        <v>4.8457099999999999E-4</v>
      </c>
      <c r="H21">
        <v>2.84732E-4</v>
      </c>
      <c r="I21">
        <v>3.26041E-4</v>
      </c>
      <c r="J21">
        <v>3.05221E-4</v>
      </c>
      <c r="K21">
        <v>1.126829E-3</v>
      </c>
      <c r="L21">
        <v>1.5025780000000001E-3</v>
      </c>
      <c r="M21">
        <v>1.3132E-3</v>
      </c>
      <c r="N21">
        <v>7.7163100000000005E-4</v>
      </c>
      <c r="O21">
        <v>8.8358100000000004E-4</v>
      </c>
      <c r="P21">
        <v>8.2715800000000004E-4</v>
      </c>
      <c r="Q21">
        <v>5.9409999999999997E-4</v>
      </c>
      <c r="R21">
        <v>1.005E-3</v>
      </c>
      <c r="S21">
        <v>18</v>
      </c>
      <c r="T21">
        <v>0.31472788099999999</v>
      </c>
      <c r="U21">
        <f>+B21*(Parámetros!$D$85-'COBERTURAS ADICIONALES'!$A21-0.5)</f>
        <v>5.6567225E-3</v>
      </c>
      <c r="V21">
        <f>+C21*(Parámetros!$D$85-'COBERTURAS ADICIONALES'!$A21-0.5)</f>
        <v>8.7496499999999994E-3</v>
      </c>
      <c r="W21">
        <f>+D21*(Parámetros!$D$85-'COBERTURAS ADICIONALES'!$A21-0.5)</f>
        <v>7.2155524999999998E-3</v>
      </c>
      <c r="X21">
        <f>+IF(Parámetros!$D$26="Antiguas",'COBERTURAS ADICIONALES'!AB21,'COBERTURAS ADICIONALES'!AC21)</f>
        <v>3.8699999999999992E-5</v>
      </c>
      <c r="AB21">
        <v>8.5999999999999998E-4</v>
      </c>
      <c r="AC21">
        <v>3.8699999999999992E-5</v>
      </c>
      <c r="AF21" t="s">
        <v>267</v>
      </c>
      <c r="AG21">
        <v>19</v>
      </c>
    </row>
    <row r="22" spans="1:33" x14ac:dyDescent="0.25">
      <c r="A22">
        <v>33</v>
      </c>
      <c r="B22">
        <v>1.8183899999999999E-4</v>
      </c>
      <c r="C22">
        <v>2.8798300000000001E-4</v>
      </c>
      <c r="D22">
        <v>2.3533500000000001E-4</v>
      </c>
      <c r="E22">
        <v>4.3313E-4</v>
      </c>
      <c r="F22">
        <v>5.8168900000000003E-4</v>
      </c>
      <c r="G22">
        <v>5.0681499999999998E-4</v>
      </c>
      <c r="H22">
        <v>2.9342799999999998E-4</v>
      </c>
      <c r="I22">
        <v>3.3691299999999999E-4</v>
      </c>
      <c r="J22">
        <v>3.1499700000000002E-4</v>
      </c>
      <c r="K22">
        <v>1.1737939999999999E-3</v>
      </c>
      <c r="L22">
        <v>1.5763940000000001E-3</v>
      </c>
      <c r="M22">
        <v>1.373483E-3</v>
      </c>
      <c r="N22">
        <v>7.95198E-4</v>
      </c>
      <c r="O22">
        <v>9.1304299999999999E-4</v>
      </c>
      <c r="P22">
        <v>8.5364900000000005E-4</v>
      </c>
      <c r="Q22">
        <v>5.9409999999999997E-4</v>
      </c>
      <c r="R22">
        <v>1.005E-3</v>
      </c>
      <c r="S22">
        <v>19</v>
      </c>
      <c r="T22">
        <v>0.31680786100000002</v>
      </c>
      <c r="U22">
        <f>+B22*(Parámetros!$D$85-'COBERTURAS ADICIONALES'!$A22-0.5)</f>
        <v>5.7279284999999999E-3</v>
      </c>
      <c r="V22">
        <f>+C22*(Parámetros!$D$85-'COBERTURAS ADICIONALES'!$A22-0.5)</f>
        <v>9.071464500000001E-3</v>
      </c>
      <c r="W22">
        <f>+D22*(Parámetros!$D$85-'COBERTURAS ADICIONALES'!$A22-0.5)</f>
        <v>7.4130525000000004E-3</v>
      </c>
      <c r="X22">
        <f>+IF(Parámetros!$D$26="Antiguas",'COBERTURAS ADICIONALES'!AB22,'COBERTURAS ADICIONALES'!AC22)</f>
        <v>3.8699999999999992E-5</v>
      </c>
      <c r="AB22">
        <v>8.5999999999999998E-4</v>
      </c>
      <c r="AC22">
        <v>3.8699999999999992E-5</v>
      </c>
      <c r="AF22" t="s">
        <v>139</v>
      </c>
      <c r="AG22">
        <v>20</v>
      </c>
    </row>
    <row r="23" spans="1:33" x14ac:dyDescent="0.25">
      <c r="A23">
        <v>34</v>
      </c>
      <c r="B23">
        <v>1.9048700000000001E-4</v>
      </c>
      <c r="C23">
        <v>3.0834100000000001E-4</v>
      </c>
      <c r="D23">
        <v>2.4988499999999998E-4</v>
      </c>
      <c r="E23">
        <v>4.60364E-4</v>
      </c>
      <c r="F23">
        <v>6.1388100000000004E-4</v>
      </c>
      <c r="G23">
        <v>5.3650799999999999E-4</v>
      </c>
      <c r="H23">
        <v>3.08647E-4</v>
      </c>
      <c r="I23">
        <v>3.49959E-4</v>
      </c>
      <c r="J23">
        <v>3.2913799999999998E-4</v>
      </c>
      <c r="K23">
        <v>1.2475979999999999E-3</v>
      </c>
      <c r="L23">
        <v>1.663634E-3</v>
      </c>
      <c r="M23">
        <v>1.4539519999999999E-3</v>
      </c>
      <c r="N23">
        <v>8.3644299999999997E-4</v>
      </c>
      <c r="O23">
        <v>9.4839800000000004E-4</v>
      </c>
      <c r="P23">
        <v>8.9197300000000001E-4</v>
      </c>
      <c r="Q23">
        <v>5.9409999999999997E-4</v>
      </c>
      <c r="R23">
        <v>1.005E-3</v>
      </c>
      <c r="S23">
        <v>20</v>
      </c>
      <c r="T23">
        <v>0.318543193</v>
      </c>
      <c r="U23">
        <f>+B23*(Parámetros!$D$85-'COBERTURAS ADICIONALES'!$A23-0.5)</f>
        <v>5.8098535E-3</v>
      </c>
      <c r="V23">
        <f>+C23*(Parámetros!$D$85-'COBERTURAS ADICIONALES'!$A23-0.5)</f>
        <v>9.4044005E-3</v>
      </c>
      <c r="W23">
        <f>+D23*(Parámetros!$D$85-'COBERTURAS ADICIONALES'!$A23-0.5)</f>
        <v>7.6214924999999994E-3</v>
      </c>
      <c r="X23">
        <f>+IF(Parámetros!$D$26="Antiguas",'COBERTURAS ADICIONALES'!AB23,'COBERTURAS ADICIONALES'!AC23)</f>
        <v>3.8699999999999992E-5</v>
      </c>
      <c r="AB23">
        <v>8.5999999999999998E-4</v>
      </c>
      <c r="AC23">
        <v>3.8699999999999992E-5</v>
      </c>
      <c r="AF23" t="s">
        <v>285</v>
      </c>
      <c r="AG23">
        <v>21</v>
      </c>
    </row>
    <row r="24" spans="1:33" x14ac:dyDescent="0.25">
      <c r="A24">
        <v>35</v>
      </c>
      <c r="B24">
        <v>1.99884E-4</v>
      </c>
      <c r="C24">
        <v>3.3043200000000002E-4</v>
      </c>
      <c r="D24">
        <v>2.6568000000000002E-4</v>
      </c>
      <c r="E24">
        <v>3.0059500000000002E-4</v>
      </c>
      <c r="F24">
        <v>4.0755300000000001E-4</v>
      </c>
      <c r="G24">
        <v>3.53646E-4</v>
      </c>
      <c r="H24">
        <v>2.0002400000000001E-4</v>
      </c>
      <c r="I24">
        <v>2.2997E-4</v>
      </c>
      <c r="J24">
        <v>2.1487700000000001E-4</v>
      </c>
      <c r="K24">
        <v>1.301275E-3</v>
      </c>
      <c r="L24">
        <v>1.764301E-3</v>
      </c>
      <c r="M24">
        <v>1.5309360000000001E-3</v>
      </c>
      <c r="N24">
        <v>8.6590400000000002E-4</v>
      </c>
      <c r="O24">
        <v>9.9554000000000005E-4</v>
      </c>
      <c r="P24">
        <v>9.3020400000000001E-4</v>
      </c>
      <c r="Q24">
        <v>5.9409999999999997E-4</v>
      </c>
      <c r="R24">
        <v>1.562E-3</v>
      </c>
      <c r="S24">
        <v>21</v>
      </c>
      <c r="T24">
        <v>0.31999098500000001</v>
      </c>
      <c r="U24">
        <f>+B24*(Parámetros!$D$85-'COBERTURAS ADICIONALES'!$A24-0.5)</f>
        <v>5.8965779999999995E-3</v>
      </c>
      <c r="V24">
        <f>+C24*(Parámetros!$D$85-'COBERTURAS ADICIONALES'!$A24-0.5)</f>
        <v>9.7477440000000009E-3</v>
      </c>
      <c r="W24">
        <f>+D24*(Parámetros!$D$85-'COBERTURAS ADICIONALES'!$A24-0.5)</f>
        <v>7.8375600000000004E-3</v>
      </c>
      <c r="X24">
        <f>+IF(Parámetros!$D$26="Antiguas",'COBERTURAS ADICIONALES'!AB24,'COBERTURAS ADICIONALES'!AC24)</f>
        <v>5.7149999999999993E-5</v>
      </c>
      <c r="AB24">
        <v>1.2700000000000001E-3</v>
      </c>
      <c r="AC24">
        <v>5.7149999999999993E-5</v>
      </c>
      <c r="AF24" t="s">
        <v>286</v>
      </c>
      <c r="AG24">
        <v>22</v>
      </c>
    </row>
    <row r="25" spans="1:33" x14ac:dyDescent="0.25">
      <c r="A25">
        <v>36</v>
      </c>
      <c r="B25">
        <v>2.1017400000000001E-4</v>
      </c>
      <c r="C25">
        <v>3.5440200000000003E-4</v>
      </c>
      <c r="D25">
        <v>2.8286499999999998E-4</v>
      </c>
      <c r="E25">
        <v>3.23844E-4</v>
      </c>
      <c r="F25">
        <v>4.3545999999999998E-4</v>
      </c>
      <c r="G25">
        <v>3.7920599999999999E-4</v>
      </c>
      <c r="H25">
        <v>2.1227400000000001E-4</v>
      </c>
      <c r="I25">
        <v>2.4085999999999999E-4</v>
      </c>
      <c r="J25">
        <v>2.26453E-4</v>
      </c>
      <c r="K25">
        <v>1.4019239999999999E-3</v>
      </c>
      <c r="L25">
        <v>1.885107E-3</v>
      </c>
      <c r="M25">
        <v>1.6415830000000001E-3</v>
      </c>
      <c r="N25">
        <v>9.1893599999999997E-4</v>
      </c>
      <c r="O25">
        <v>1.0426840000000001E-3</v>
      </c>
      <c r="P25">
        <v>9.8031500000000005E-4</v>
      </c>
      <c r="Q25">
        <v>5.9409999999999997E-4</v>
      </c>
      <c r="R25">
        <v>1.562E-3</v>
      </c>
      <c r="S25">
        <v>22</v>
      </c>
      <c r="T25">
        <v>0.32119888099999999</v>
      </c>
      <c r="U25">
        <f>+B25*(Parámetros!$D$85-'COBERTURAS ADICIONALES'!$A25-0.5)</f>
        <v>5.9899590000000004E-3</v>
      </c>
      <c r="V25">
        <f>+C25*(Parámetros!$D$85-'COBERTURAS ADICIONALES'!$A25-0.5)</f>
        <v>1.0100457E-2</v>
      </c>
      <c r="W25">
        <f>+D25*(Parámetros!$D$85-'COBERTURAS ADICIONALES'!$A25-0.5)</f>
        <v>8.0616524999999987E-3</v>
      </c>
      <c r="X25">
        <f>+IF(Parámetros!$D$26="Antiguas",'COBERTURAS ADICIONALES'!AB25,'COBERTURAS ADICIONALES'!AC25)</f>
        <v>5.7149999999999993E-5</v>
      </c>
      <c r="AB25">
        <v>1.2700000000000001E-3</v>
      </c>
      <c r="AC25">
        <v>5.7149999999999993E-5</v>
      </c>
      <c r="AF25" t="s">
        <v>287</v>
      </c>
      <c r="AG25">
        <v>23</v>
      </c>
    </row>
    <row r="26" spans="1:33" x14ac:dyDescent="0.25">
      <c r="A26">
        <v>37</v>
      </c>
      <c r="B26">
        <v>2.2143999999999999E-4</v>
      </c>
      <c r="C26">
        <v>3.8041000000000003E-4</v>
      </c>
      <c r="D26">
        <v>3.0156099999999999E-4</v>
      </c>
      <c r="E26">
        <v>3.5329600000000001E-4</v>
      </c>
      <c r="F26">
        <v>4.7112E-4</v>
      </c>
      <c r="G26">
        <v>4.1173700000000002E-4</v>
      </c>
      <c r="H26">
        <v>2.27247E-4</v>
      </c>
      <c r="I26">
        <v>2.5583399999999998E-4</v>
      </c>
      <c r="J26">
        <v>2.41427E-4</v>
      </c>
      <c r="K26">
        <v>1.5294200000000001E-3</v>
      </c>
      <c r="L26">
        <v>2.039482E-3</v>
      </c>
      <c r="M26">
        <v>1.7824099999999999E-3</v>
      </c>
      <c r="N26">
        <v>9.83755E-4</v>
      </c>
      <c r="O26">
        <v>1.1075080000000001E-3</v>
      </c>
      <c r="P26">
        <v>1.0451359999999999E-3</v>
      </c>
      <c r="Q26">
        <v>5.9409999999999997E-4</v>
      </c>
      <c r="R26">
        <v>1.562E-3</v>
      </c>
      <c r="S26">
        <v>23</v>
      </c>
      <c r="T26">
        <v>0.32220663100000002</v>
      </c>
      <c r="U26">
        <f>+B26*(Parámetros!$D$85-'COBERTURAS ADICIONALES'!$A26-0.5)</f>
        <v>6.0895999999999997E-3</v>
      </c>
      <c r="V26">
        <f>+C26*(Parámetros!$D$85-'COBERTURAS ADICIONALES'!$A26-0.5)</f>
        <v>1.0461275000000001E-2</v>
      </c>
      <c r="W26">
        <f>+D26*(Parámetros!$D$85-'COBERTURAS ADICIONALES'!$A26-0.5)</f>
        <v>8.2929275E-3</v>
      </c>
      <c r="X26">
        <f>+IF(Parámetros!$D$26="Antiguas",'COBERTURAS ADICIONALES'!AB26,'COBERTURAS ADICIONALES'!AC26)</f>
        <v>5.7149999999999993E-5</v>
      </c>
      <c r="AB26">
        <v>1.2700000000000001E-3</v>
      </c>
      <c r="AC26">
        <v>5.7149999999999993E-5</v>
      </c>
      <c r="AF26" t="s">
        <v>385</v>
      </c>
      <c r="AG26">
        <v>24</v>
      </c>
    </row>
    <row r="27" spans="1:33" x14ac:dyDescent="0.25">
      <c r="A27">
        <v>38</v>
      </c>
      <c r="B27">
        <v>2.3377700000000001E-4</v>
      </c>
      <c r="C27">
        <v>4.0863199999999997E-4</v>
      </c>
      <c r="D27">
        <v>3.2190400000000003E-4</v>
      </c>
      <c r="E27">
        <v>3.8584999999999997E-4</v>
      </c>
      <c r="F27">
        <v>5.1143499999999997E-4</v>
      </c>
      <c r="G27">
        <v>4.4813999999999997E-4</v>
      </c>
      <c r="H27">
        <v>2.43582E-4</v>
      </c>
      <c r="I27">
        <v>2.7217099999999998E-4</v>
      </c>
      <c r="J27">
        <v>2.5776199999999998E-4</v>
      </c>
      <c r="K27">
        <v>1.6703449999999999E-3</v>
      </c>
      <c r="L27">
        <v>2.2140060000000001E-3</v>
      </c>
      <c r="M27">
        <v>1.940001E-3</v>
      </c>
      <c r="N27">
        <v>1.0544700000000001E-3</v>
      </c>
      <c r="O27">
        <v>1.178229E-3</v>
      </c>
      <c r="P27">
        <v>1.1158540000000001E-3</v>
      </c>
      <c r="Q27">
        <v>5.9409999999999997E-4</v>
      </c>
      <c r="R27">
        <v>1.562E-3</v>
      </c>
      <c r="S27">
        <v>24</v>
      </c>
      <c r="T27">
        <v>0.32304739999999998</v>
      </c>
      <c r="U27">
        <f>+B27*(Parámetros!$D$85-'COBERTURAS ADICIONALES'!$A27-0.5)</f>
        <v>6.1950905000000001E-3</v>
      </c>
      <c r="V27">
        <f>+C27*(Parámetros!$D$85-'COBERTURAS ADICIONALES'!$A27-0.5)</f>
        <v>1.0828747999999999E-2</v>
      </c>
      <c r="W27">
        <f>+D27*(Parámetros!$D$85-'COBERTURAS ADICIONALES'!$A27-0.5)</f>
        <v>8.5304560000000005E-3</v>
      </c>
      <c r="X27">
        <f>+IF(Parámetros!$D$26="Antiguas",'COBERTURAS ADICIONALES'!AB27,'COBERTURAS ADICIONALES'!AC27)</f>
        <v>5.7149999999999993E-5</v>
      </c>
      <c r="AB27">
        <v>1.2700000000000001E-3</v>
      </c>
      <c r="AC27">
        <v>5.7149999999999993E-5</v>
      </c>
    </row>
    <row r="28" spans="1:33" x14ac:dyDescent="0.25">
      <c r="A28">
        <v>39</v>
      </c>
      <c r="B28">
        <v>2.4728599999999999E-4</v>
      </c>
      <c r="C28">
        <v>4.3925399999999998E-4</v>
      </c>
      <c r="D28">
        <v>3.4403800000000002E-4</v>
      </c>
      <c r="E28">
        <v>4.2305700000000001E-4</v>
      </c>
      <c r="F28">
        <v>5.5795699999999998E-4</v>
      </c>
      <c r="G28">
        <v>4.8996700000000001E-4</v>
      </c>
      <c r="H28">
        <v>2.6264099999999998E-4</v>
      </c>
      <c r="I28">
        <v>2.9123099999999998E-4</v>
      </c>
      <c r="J28">
        <v>2.7682199999999997E-4</v>
      </c>
      <c r="K28">
        <v>1.8314150000000001E-3</v>
      </c>
      <c r="L28">
        <v>2.4153989999999999E-3</v>
      </c>
      <c r="M28">
        <v>2.121071E-3</v>
      </c>
      <c r="N28">
        <v>1.1369749999999999E-3</v>
      </c>
      <c r="O28">
        <v>1.260742E-3</v>
      </c>
      <c r="P28">
        <v>1.198363E-3</v>
      </c>
      <c r="Q28">
        <v>5.9409999999999997E-4</v>
      </c>
      <c r="R28">
        <v>1.562E-3</v>
      </c>
      <c r="S28">
        <v>25</v>
      </c>
      <c r="T28">
        <v>0.323748855</v>
      </c>
      <c r="U28">
        <f>+B28*(Parámetros!$D$85-'COBERTURAS ADICIONALES'!$A28-0.5)</f>
        <v>6.3057929999999996E-3</v>
      </c>
      <c r="V28">
        <f>+C28*(Parámetros!$D$85-'COBERTURAS ADICIONALES'!$A28-0.5)</f>
        <v>1.1200976999999999E-2</v>
      </c>
      <c r="W28">
        <f>+D28*(Parámetros!$D$85-'COBERTURAS ADICIONALES'!$A28-0.5)</f>
        <v>8.7729690000000003E-3</v>
      </c>
      <c r="X28">
        <f>+IF(Parámetros!$D$26="Antiguas",'COBERTURAS ADICIONALES'!AB28,'COBERTURAS ADICIONALES'!AC28)</f>
        <v>5.7149999999999993E-5</v>
      </c>
      <c r="AB28">
        <v>1.2700000000000001E-3</v>
      </c>
      <c r="AC28">
        <v>5.7149999999999993E-5</v>
      </c>
    </row>
    <row r="29" spans="1:33" x14ac:dyDescent="0.25">
      <c r="A29">
        <v>40</v>
      </c>
      <c r="B29">
        <v>2.6207800000000001E-4</v>
      </c>
      <c r="C29">
        <v>4.7247899999999999E-4</v>
      </c>
      <c r="D29">
        <v>3.6811999999999999E-4</v>
      </c>
      <c r="E29">
        <v>4.6491799999999998E-4</v>
      </c>
      <c r="F29">
        <v>6.1068699999999995E-4</v>
      </c>
      <c r="G29">
        <v>5.3722000000000004E-4</v>
      </c>
      <c r="H29">
        <v>2.8306199999999999E-4</v>
      </c>
      <c r="I29">
        <v>3.1165400000000002E-4</v>
      </c>
      <c r="J29">
        <v>2.97244E-4</v>
      </c>
      <c r="K29">
        <v>2.0126329999999998E-3</v>
      </c>
      <c r="L29">
        <v>2.643669E-3</v>
      </c>
      <c r="M29">
        <v>2.3256269999999998E-3</v>
      </c>
      <c r="N29">
        <v>1.225379E-3</v>
      </c>
      <c r="O29">
        <v>1.3491530000000001E-3</v>
      </c>
      <c r="P29">
        <v>1.2867709999999999E-3</v>
      </c>
      <c r="Q29">
        <v>5.9409999999999997E-4</v>
      </c>
      <c r="R29">
        <v>1.472E-3</v>
      </c>
      <c r="S29">
        <v>26</v>
      </c>
      <c r="T29">
        <v>0.324334081</v>
      </c>
      <c r="U29">
        <f>+B29*(Parámetros!$D$85-'COBERTURAS ADICIONALES'!$A29-0.5)</f>
        <v>6.4209110000000005E-3</v>
      </c>
      <c r="V29">
        <f>+C29*(Parámetros!$D$85-'COBERTURAS ADICIONALES'!$A29-0.5)</f>
        <v>1.15757355E-2</v>
      </c>
      <c r="W29">
        <f>+D29*(Parámetros!$D$85-'COBERTURAS ADICIONALES'!$A29-0.5)</f>
        <v>9.0189399999999996E-3</v>
      </c>
      <c r="X29">
        <f>+IF(Parámetros!$D$26="Antiguas",'COBERTURAS ADICIONALES'!AB29,'COBERTURAS ADICIONALES'!AC29)</f>
        <v>8.585E-5</v>
      </c>
      <c r="AB29">
        <v>1.908E-3</v>
      </c>
      <c r="AC29">
        <v>8.585E-5</v>
      </c>
    </row>
    <row r="30" spans="1:33" x14ac:dyDescent="0.25">
      <c r="A30">
        <v>41</v>
      </c>
      <c r="B30">
        <v>2.7827499999999997E-4</v>
      </c>
      <c r="C30">
        <v>5.08531E-4</v>
      </c>
      <c r="D30">
        <v>3.9432399999999999E-4</v>
      </c>
      <c r="E30">
        <v>5.1608700000000003E-4</v>
      </c>
      <c r="F30">
        <v>6.7273099999999998E-4</v>
      </c>
      <c r="G30">
        <v>5.9378199999999995E-4</v>
      </c>
      <c r="H30">
        <v>3.0757000000000001E-4</v>
      </c>
      <c r="I30">
        <v>3.3616400000000002E-4</v>
      </c>
      <c r="J30">
        <v>3.2175200000000002E-4</v>
      </c>
      <c r="K30">
        <v>2.2341449999999999E-3</v>
      </c>
      <c r="L30">
        <v>2.912254E-3</v>
      </c>
      <c r="M30">
        <v>2.5704870000000002E-3</v>
      </c>
      <c r="N30">
        <v>1.33147E-3</v>
      </c>
      <c r="O30">
        <v>1.455254E-3</v>
      </c>
      <c r="P30">
        <v>1.3928670000000001E-3</v>
      </c>
      <c r="Q30">
        <v>5.9409999999999997E-4</v>
      </c>
      <c r="R30">
        <v>1.472E-3</v>
      </c>
      <c r="S30">
        <v>27</v>
      </c>
      <c r="T30">
        <v>0.32482233599999999</v>
      </c>
      <c r="U30">
        <f>+B30*(Parámetros!$D$85-'COBERTURAS ADICIONALES'!$A30-0.5)</f>
        <v>6.5394624999999991E-3</v>
      </c>
      <c r="V30">
        <f>+C30*(Parámetros!$D$85-'COBERTURAS ADICIONALES'!$A30-0.5)</f>
        <v>1.19504785E-2</v>
      </c>
      <c r="W30">
        <f>+D30*(Parámetros!$D$85-'COBERTURAS ADICIONALES'!$A30-0.5)</f>
        <v>9.2666139999999994E-3</v>
      </c>
      <c r="X30">
        <f>+IF(Parámetros!$D$26="Antiguas",'COBERTURAS ADICIONALES'!AB30,'COBERTURAS ADICIONALES'!AC30)</f>
        <v>8.585E-5</v>
      </c>
      <c r="AB30">
        <v>1.908E-3</v>
      </c>
      <c r="AC30">
        <v>8.585E-5</v>
      </c>
    </row>
    <row r="31" spans="1:33" x14ac:dyDescent="0.25">
      <c r="A31">
        <v>42</v>
      </c>
      <c r="B31">
        <v>2.9600999999999998E-4</v>
      </c>
      <c r="C31">
        <v>5.4764799999999997E-4</v>
      </c>
      <c r="D31">
        <v>4.22836E-4</v>
      </c>
      <c r="E31">
        <v>5.6415999999999997E-4</v>
      </c>
      <c r="F31">
        <v>7.3633300000000004E-4</v>
      </c>
      <c r="G31">
        <v>6.4955799999999995E-4</v>
      </c>
      <c r="H31">
        <v>3.3207899999999999E-4</v>
      </c>
      <c r="I31">
        <v>3.6067500000000003E-4</v>
      </c>
      <c r="J31">
        <v>3.4626200000000001E-4</v>
      </c>
      <c r="K31">
        <v>2.4422530000000001E-3</v>
      </c>
      <c r="L31">
        <v>3.187591E-3</v>
      </c>
      <c r="M31">
        <v>2.8119410000000001E-3</v>
      </c>
      <c r="N31">
        <v>1.43757E-3</v>
      </c>
      <c r="O31">
        <v>1.5613630000000001E-3</v>
      </c>
      <c r="P31">
        <v>1.498971E-3</v>
      </c>
      <c r="Q31">
        <v>5.9409999999999997E-4</v>
      </c>
      <c r="R31">
        <v>1.472E-3</v>
      </c>
      <c r="S31">
        <v>28</v>
      </c>
      <c r="T31">
        <v>0.32522968800000002</v>
      </c>
      <c r="U31">
        <f>+B31*(Parámetros!$D$85-'COBERTURAS ADICIONALES'!$A31-0.5)</f>
        <v>6.6602249999999997E-3</v>
      </c>
      <c r="V31">
        <f>+C31*(Parámetros!$D$85-'COBERTURAS ADICIONALES'!$A31-0.5)</f>
        <v>1.2322079999999999E-2</v>
      </c>
      <c r="W31">
        <f>+D31*(Parámetros!$D$85-'COBERTURAS ADICIONALES'!$A31-0.5)</f>
        <v>9.5138099999999993E-3</v>
      </c>
      <c r="X31">
        <f>+IF(Parámetros!$D$26="Antiguas",'COBERTURAS ADICIONALES'!AB31,'COBERTURAS ADICIONALES'!AC31)</f>
        <v>8.585E-5</v>
      </c>
      <c r="AB31">
        <v>1.908E-3</v>
      </c>
      <c r="AC31">
        <v>8.585E-5</v>
      </c>
    </row>
    <row r="32" spans="1:33" x14ac:dyDescent="0.25">
      <c r="A32">
        <v>43</v>
      </c>
      <c r="B32">
        <v>3.1543000000000001E-4</v>
      </c>
      <c r="C32">
        <v>5.9009100000000005E-4</v>
      </c>
      <c r="D32">
        <v>4.5385899999999998E-4</v>
      </c>
      <c r="E32">
        <v>6.13789E-4</v>
      </c>
      <c r="F32">
        <v>8.0925500000000004E-4</v>
      </c>
      <c r="G32">
        <v>7.1073999999999996E-4</v>
      </c>
      <c r="H32">
        <v>3.5658899999999998E-4</v>
      </c>
      <c r="I32">
        <v>3.8927299999999998E-4</v>
      </c>
      <c r="J32">
        <v>3.7280100000000002E-4</v>
      </c>
      <c r="K32">
        <v>2.6570970000000002E-3</v>
      </c>
      <c r="L32">
        <v>3.503267E-3</v>
      </c>
      <c r="M32">
        <v>3.076797E-3</v>
      </c>
      <c r="N32">
        <v>1.543677E-3</v>
      </c>
      <c r="O32">
        <v>1.6851660000000001E-3</v>
      </c>
      <c r="P32">
        <v>1.6138560000000001E-3</v>
      </c>
      <c r="Q32">
        <v>5.9409999999999997E-4</v>
      </c>
      <c r="R32">
        <v>1.472E-3</v>
      </c>
      <c r="S32">
        <v>29</v>
      </c>
      <c r="T32">
        <v>0.32556954300000002</v>
      </c>
      <c r="U32">
        <f>+B32*(Parámetros!$D$85-'COBERTURAS ADICIONALES'!$A32-0.5)</f>
        <v>6.7817450000000005E-3</v>
      </c>
      <c r="V32">
        <f>+C32*(Parámetros!$D$85-'COBERTURAS ADICIONALES'!$A32-0.5)</f>
        <v>1.2686956500000001E-2</v>
      </c>
      <c r="W32">
        <f>+D32*(Parámetros!$D$85-'COBERTURAS ADICIONALES'!$A32-0.5)</f>
        <v>9.7579685000000003E-3</v>
      </c>
      <c r="X32">
        <f>+IF(Parámetros!$D$26="Antiguas",'COBERTURAS ADICIONALES'!AB32,'COBERTURAS ADICIONALES'!AC32)</f>
        <v>8.585E-5</v>
      </c>
      <c r="AB32">
        <v>1.908E-3</v>
      </c>
      <c r="AC32">
        <v>8.585E-5</v>
      </c>
    </row>
    <row r="33" spans="1:29" x14ac:dyDescent="0.25">
      <c r="A33">
        <v>44</v>
      </c>
      <c r="B33">
        <v>3.36693E-4</v>
      </c>
      <c r="C33">
        <v>6.3614300000000004E-4</v>
      </c>
      <c r="D33">
        <v>4.8761600000000002E-4</v>
      </c>
      <c r="E33">
        <v>6.6342400000000002E-4</v>
      </c>
      <c r="F33">
        <v>8.8529099999999996E-4</v>
      </c>
      <c r="G33">
        <v>7.7346999999999995E-4</v>
      </c>
      <c r="H33">
        <v>3.8110200000000002E-4</v>
      </c>
      <c r="I33">
        <v>4.1787500000000001E-4</v>
      </c>
      <c r="J33">
        <v>3.99341E-4</v>
      </c>
      <c r="K33">
        <v>2.8719639999999999E-3</v>
      </c>
      <c r="L33">
        <v>3.8324280000000001E-3</v>
      </c>
      <c r="M33">
        <v>3.348354E-3</v>
      </c>
      <c r="N33">
        <v>1.6497930000000001E-3</v>
      </c>
      <c r="O33">
        <v>1.8089810000000001E-3</v>
      </c>
      <c r="P33">
        <v>1.72875E-3</v>
      </c>
      <c r="Q33">
        <v>5.9409999999999997E-4</v>
      </c>
      <c r="R33">
        <v>1.472E-3</v>
      </c>
      <c r="U33">
        <f>+B33*(Parámetros!$D$85-'COBERTURAS ADICIONALES'!$A33-0.5)</f>
        <v>6.9022064999999999E-3</v>
      </c>
      <c r="V33">
        <f>+C33*(Parámetros!$D$85-'COBERTURAS ADICIONALES'!$A33-0.5)</f>
        <v>1.30409315E-2</v>
      </c>
      <c r="W33">
        <f>+D33*(Parámetros!$D$85-'COBERTURAS ADICIONALES'!$A33-0.5)</f>
        <v>9.996128E-3</v>
      </c>
      <c r="X33">
        <f>+IF(Parámetros!$D$26="Antiguas",'COBERTURAS ADICIONALES'!AB33,'COBERTURAS ADICIONALES'!AC33)</f>
        <v>8.585E-5</v>
      </c>
      <c r="AB33">
        <v>1.908E-3</v>
      </c>
      <c r="AC33">
        <v>8.585E-5</v>
      </c>
    </row>
    <row r="34" spans="1:29" x14ac:dyDescent="0.25">
      <c r="A34">
        <v>45</v>
      </c>
      <c r="B34">
        <v>3.5997600000000002E-4</v>
      </c>
      <c r="C34">
        <v>6.8610899999999996E-4</v>
      </c>
      <c r="D34">
        <v>5.2434699999999999E-4</v>
      </c>
      <c r="E34">
        <v>3.7741499999999998E-4</v>
      </c>
      <c r="F34">
        <v>5.1345899999999996E-4</v>
      </c>
      <c r="G34">
        <v>4.4489300000000002E-4</v>
      </c>
      <c r="H34">
        <v>2.1494099999999999E-4</v>
      </c>
      <c r="I34">
        <v>2.3868000000000001E-4</v>
      </c>
      <c r="J34">
        <v>2.2671599999999999E-4</v>
      </c>
      <c r="K34">
        <v>3.093569E-3</v>
      </c>
      <c r="L34">
        <v>4.2086780000000004E-3</v>
      </c>
      <c r="M34">
        <v>3.6466630000000001E-3</v>
      </c>
      <c r="N34">
        <v>1.761812E-3</v>
      </c>
      <c r="O34">
        <v>1.9563919999999999E-3</v>
      </c>
      <c r="P34">
        <v>1.858324E-3</v>
      </c>
      <c r="Q34">
        <v>5.9409999999999997E-4</v>
      </c>
      <c r="R34">
        <v>4.0800000000000003E-3</v>
      </c>
      <c r="U34">
        <f>+B34*(Parámetros!$D$85-'COBERTURAS ADICIONALES'!$A34-0.5)</f>
        <v>7.0195320000000002E-3</v>
      </c>
      <c r="V34">
        <f>+C34*(Parámetros!$D$85-'COBERTURAS ADICIONALES'!$A34-0.5)</f>
        <v>1.3379125499999998E-2</v>
      </c>
      <c r="W34">
        <f>+D34*(Parámetros!$D$85-'COBERTURAS ADICIONALES'!$A34-0.5)</f>
        <v>1.0224766499999999E-2</v>
      </c>
      <c r="X34">
        <f>+IF(Parámetros!$D$26="Antiguas",'COBERTURAS ADICIONALES'!AB34,'COBERTURAS ADICIONALES'!AC34)</f>
        <v>1.2979999999999998E-4</v>
      </c>
      <c r="AB34">
        <v>2.8839999999999998E-3</v>
      </c>
      <c r="AC34">
        <v>1.2979999999999998E-4</v>
      </c>
    </row>
    <row r="35" spans="1:29" x14ac:dyDescent="0.25">
      <c r="A35">
        <v>46</v>
      </c>
      <c r="B35">
        <v>3.8547000000000001E-4</v>
      </c>
      <c r="C35">
        <v>7.4032299999999998E-4</v>
      </c>
      <c r="D35">
        <v>5.6431600000000004E-4</v>
      </c>
      <c r="E35">
        <v>4.0527400000000001E-4</v>
      </c>
      <c r="F35">
        <v>5.5937000000000001E-4</v>
      </c>
      <c r="G35">
        <v>4.8170500000000002E-4</v>
      </c>
      <c r="H35">
        <v>2.29328E-4</v>
      </c>
      <c r="I35">
        <v>2.5810500000000001E-4</v>
      </c>
      <c r="J35">
        <v>2.43601E-4</v>
      </c>
      <c r="K35">
        <v>3.3219149999999999E-3</v>
      </c>
      <c r="L35">
        <v>4.5849970000000004E-3</v>
      </c>
      <c r="M35">
        <v>3.948404E-3</v>
      </c>
      <c r="N35">
        <v>1.8797359999999999E-3</v>
      </c>
      <c r="O35">
        <v>2.115614E-3</v>
      </c>
      <c r="P35">
        <v>1.9967320000000002E-3</v>
      </c>
      <c r="Q35">
        <v>5.9409999999999997E-4</v>
      </c>
      <c r="R35">
        <v>4.0800000000000003E-3</v>
      </c>
      <c r="U35">
        <f>+B35*(Parámetros!$D$85-'COBERTURAS ADICIONALES'!$A35-0.5)</f>
        <v>7.1311949999999999E-3</v>
      </c>
      <c r="V35">
        <f>+C35*(Parámetros!$D$85-'COBERTURAS ADICIONALES'!$A35-0.5)</f>
        <v>1.3695975499999999E-2</v>
      </c>
      <c r="W35">
        <f>+D35*(Parámetros!$D$85-'COBERTURAS ADICIONALES'!$A35-0.5)</f>
        <v>1.0439846000000001E-2</v>
      </c>
      <c r="X35">
        <f>+IF(Parámetros!$D$26="Antiguas",'COBERTURAS ADICIONALES'!AB35,'COBERTURAS ADICIONALES'!AC35)</f>
        <v>1.2979999999999998E-4</v>
      </c>
      <c r="AB35">
        <v>2.8839999999999998E-3</v>
      </c>
      <c r="AC35">
        <v>1.2979999999999998E-4</v>
      </c>
    </row>
    <row r="36" spans="1:29" x14ac:dyDescent="0.25">
      <c r="A36">
        <v>47</v>
      </c>
      <c r="B36">
        <v>4.1338399999999998E-4</v>
      </c>
      <c r="C36">
        <v>7.9914500000000002E-4</v>
      </c>
      <c r="D36">
        <v>6.0780700000000003E-4</v>
      </c>
      <c r="E36">
        <v>4.3477400000000002E-4</v>
      </c>
      <c r="F36">
        <v>6.0939000000000002E-4</v>
      </c>
      <c r="G36">
        <v>5.2138300000000005E-4</v>
      </c>
      <c r="H36">
        <v>2.4515499999999999E-4</v>
      </c>
      <c r="I36">
        <v>2.7897099999999998E-4</v>
      </c>
      <c r="J36">
        <v>2.6192799999999998E-4</v>
      </c>
      <c r="K36">
        <v>3.5637210000000002E-3</v>
      </c>
      <c r="L36">
        <v>4.9949959999999998E-3</v>
      </c>
      <c r="M36">
        <v>4.2736340000000001E-3</v>
      </c>
      <c r="N36">
        <v>2.0094639999999999E-3</v>
      </c>
      <c r="O36">
        <v>2.2866499999999999E-3</v>
      </c>
      <c r="P36">
        <v>2.146949E-3</v>
      </c>
      <c r="Q36">
        <v>5.9409999999999997E-4</v>
      </c>
      <c r="R36">
        <v>4.0800000000000003E-3</v>
      </c>
      <c r="U36">
        <f>+B36*(Parámetros!$D$85-'COBERTURAS ADICIONALES'!$A36-0.5)</f>
        <v>7.2342199999999995E-3</v>
      </c>
      <c r="V36">
        <f>+C36*(Parámetros!$D$85-'COBERTURAS ADICIONALES'!$A36-0.5)</f>
        <v>1.39850375E-2</v>
      </c>
      <c r="W36">
        <f>+D36*(Parámetros!$D$85-'COBERTURAS ADICIONALES'!$A36-0.5)</f>
        <v>1.06366225E-2</v>
      </c>
      <c r="X36">
        <f>+IF(Parámetros!$D$26="Antiguas",'COBERTURAS ADICIONALES'!AB36,'COBERTURAS ADICIONALES'!AC36)</f>
        <v>1.2979999999999998E-4</v>
      </c>
      <c r="AB36">
        <v>2.8839999999999998E-3</v>
      </c>
      <c r="AC36">
        <v>1.2979999999999998E-4</v>
      </c>
    </row>
    <row r="37" spans="1:29" x14ac:dyDescent="0.25">
      <c r="A37">
        <v>48</v>
      </c>
      <c r="B37">
        <v>4.4394900000000001E-4</v>
      </c>
      <c r="C37">
        <v>8.6296500000000004E-4</v>
      </c>
      <c r="D37">
        <v>6.5513300000000002E-4</v>
      </c>
      <c r="E37">
        <v>4.6509699999999998E-4</v>
      </c>
      <c r="F37">
        <v>6.6188E-4</v>
      </c>
      <c r="G37">
        <v>5.6270199999999999E-4</v>
      </c>
      <c r="H37">
        <v>2.62422E-4</v>
      </c>
      <c r="I37">
        <v>3.0128000000000002E-4</v>
      </c>
      <c r="J37">
        <v>2.8169499999999999E-4</v>
      </c>
      <c r="K37">
        <v>3.812274E-3</v>
      </c>
      <c r="L37">
        <v>5.425249E-3</v>
      </c>
      <c r="M37">
        <v>4.6123090000000002E-3</v>
      </c>
      <c r="N37">
        <v>2.1509989999999998E-3</v>
      </c>
      <c r="O37">
        <v>2.469504E-3</v>
      </c>
      <c r="P37">
        <v>2.3089780000000002E-3</v>
      </c>
      <c r="Q37">
        <v>5.9409999999999997E-4</v>
      </c>
      <c r="R37">
        <v>4.0800000000000003E-3</v>
      </c>
      <c r="U37">
        <f>+B37*(Parámetros!$D$85-'COBERTURAS ADICIONALES'!$A37-0.5)</f>
        <v>7.3251585000000006E-3</v>
      </c>
      <c r="V37">
        <f>+C37*(Parámetros!$D$85-'COBERTURAS ADICIONALES'!$A37-0.5)</f>
        <v>1.4238922500000001E-2</v>
      </c>
      <c r="W37">
        <f>+D37*(Parámetros!$D$85-'COBERTURAS ADICIONALES'!$A37-0.5)</f>
        <v>1.08096945E-2</v>
      </c>
      <c r="X37">
        <f>+IF(Parámetros!$D$26="Antiguas",'COBERTURAS ADICIONALES'!AB37,'COBERTURAS ADICIONALES'!AC37)</f>
        <v>1.2979999999999998E-4</v>
      </c>
      <c r="AB37">
        <v>2.8839999999999998E-3</v>
      </c>
      <c r="AC37">
        <v>1.2979999999999998E-4</v>
      </c>
    </row>
    <row r="38" spans="1:29" x14ac:dyDescent="0.25">
      <c r="A38">
        <v>49</v>
      </c>
      <c r="B38">
        <v>4.7741500000000002E-4</v>
      </c>
      <c r="C38">
        <v>9.32207E-4</v>
      </c>
      <c r="D38">
        <v>7.0663099999999999E-4</v>
      </c>
      <c r="E38">
        <v>4.9788399999999998E-4</v>
      </c>
      <c r="F38">
        <v>7.2094599999999998E-4</v>
      </c>
      <c r="G38">
        <v>6.0852200000000001E-4</v>
      </c>
      <c r="H38">
        <v>2.8040999999999998E-4</v>
      </c>
      <c r="I38">
        <v>3.2646999999999998E-4</v>
      </c>
      <c r="J38">
        <v>3.0325600000000001E-4</v>
      </c>
      <c r="K38">
        <v>4.081014E-3</v>
      </c>
      <c r="L38">
        <v>5.9093920000000003E-3</v>
      </c>
      <c r="M38">
        <v>4.9878889999999997E-3</v>
      </c>
      <c r="N38">
        <v>2.2984469999999999E-3</v>
      </c>
      <c r="O38">
        <v>2.675981E-3</v>
      </c>
      <c r="P38">
        <v>2.485704E-3</v>
      </c>
      <c r="Q38">
        <v>5.9409999999999997E-4</v>
      </c>
      <c r="R38">
        <v>4.0800000000000003E-3</v>
      </c>
      <c r="U38">
        <f>+B38*(Parámetros!$D$85-'COBERTURAS ADICIONALES'!$A38-0.5)</f>
        <v>7.3999325000000003E-3</v>
      </c>
      <c r="V38">
        <f>+C38*(Parámetros!$D$85-'COBERTURAS ADICIONALES'!$A38-0.5)</f>
        <v>1.44492085E-2</v>
      </c>
      <c r="W38">
        <f>+D38*(Parámetros!$D$85-'COBERTURAS ADICIONALES'!$A38-0.5)</f>
        <v>1.09527805E-2</v>
      </c>
      <c r="X38">
        <f>+IF(Parámetros!$D$26="Antiguas",'COBERTURAS ADICIONALES'!AB38,'COBERTURAS ADICIONALES'!AC38)</f>
        <v>1.2979999999999998E-4</v>
      </c>
      <c r="AB38">
        <v>2.8839999999999998E-3</v>
      </c>
      <c r="AC38">
        <v>1.2979999999999998E-4</v>
      </c>
    </row>
    <row r="39" spans="1:29" x14ac:dyDescent="0.25">
      <c r="A39">
        <v>50</v>
      </c>
      <c r="B39">
        <v>5.1405899999999998E-4</v>
      </c>
      <c r="C39">
        <v>1.0073320000000001E-3</v>
      </c>
      <c r="D39">
        <v>7.6266799999999998E-4</v>
      </c>
      <c r="E39">
        <v>5.3559300000000001E-4</v>
      </c>
      <c r="F39">
        <v>7.8330800000000003E-4</v>
      </c>
      <c r="G39">
        <v>6.5846000000000003E-4</v>
      </c>
      <c r="H39">
        <v>3.0128000000000002E-4</v>
      </c>
      <c r="I39">
        <v>3.5310300000000001E-4</v>
      </c>
      <c r="J39">
        <v>3.26984E-4</v>
      </c>
      <c r="K39">
        <v>4.3901089999999997E-3</v>
      </c>
      <c r="L39">
        <v>6.4205570000000003E-3</v>
      </c>
      <c r="M39">
        <v>5.3972109999999998E-3</v>
      </c>
      <c r="N39">
        <v>2.469504E-3</v>
      </c>
      <c r="O39">
        <v>2.8942880000000001E-3</v>
      </c>
      <c r="P39">
        <v>2.680197E-3</v>
      </c>
      <c r="Q39">
        <v>5.9409999999999997E-4</v>
      </c>
      <c r="R39">
        <v>5.1500000000000001E-3</v>
      </c>
      <c r="U39">
        <f>+B39*(Parámetros!$D$85-'COBERTURAS ADICIONALES'!$A39-0.5)</f>
        <v>7.4538554999999994E-3</v>
      </c>
      <c r="V39">
        <f>+C39*(Parámetros!$D$85-'COBERTURAS ADICIONALES'!$A39-0.5)</f>
        <v>1.4606314000000002E-2</v>
      </c>
      <c r="W39">
        <f>+D39*(Parámetros!$D$85-'COBERTURAS ADICIONALES'!$A39-0.5)</f>
        <v>1.1058686E-2</v>
      </c>
      <c r="X39">
        <f>+IF(Parámetros!$D$26="Antiguas",'COBERTURAS ADICIONALES'!AB39,'COBERTURAS ADICIONALES'!AC39)</f>
        <v>2.0359999999999999E-4</v>
      </c>
      <c r="AB39">
        <v>4.5240000000000002E-3</v>
      </c>
      <c r="AC39">
        <v>2.0359999999999999E-4</v>
      </c>
    </row>
    <row r="40" spans="1:29" x14ac:dyDescent="0.25">
      <c r="A40">
        <v>51</v>
      </c>
      <c r="B40">
        <v>5.5418000000000004E-4</v>
      </c>
      <c r="C40">
        <v>1.088838E-3</v>
      </c>
      <c r="D40">
        <v>8.2364799999999996E-4</v>
      </c>
      <c r="E40">
        <v>5.7330900000000004E-4</v>
      </c>
      <c r="F40">
        <v>8.5553699999999996E-4</v>
      </c>
      <c r="G40">
        <v>7.1329399999999995E-4</v>
      </c>
      <c r="H40">
        <v>3.2359100000000003E-4</v>
      </c>
      <c r="I40">
        <v>3.84781E-4</v>
      </c>
      <c r="J40">
        <v>3.5394099999999998E-4</v>
      </c>
      <c r="K40">
        <v>4.6992509999999998E-3</v>
      </c>
      <c r="L40">
        <v>7.0125949999999999E-3</v>
      </c>
      <c r="M40">
        <v>5.84667E-3</v>
      </c>
      <c r="N40">
        <v>2.652382E-3</v>
      </c>
      <c r="O40">
        <v>3.15394E-3</v>
      </c>
      <c r="P40">
        <v>2.9011549999999999E-3</v>
      </c>
      <c r="Q40">
        <v>5.9409999999999997E-4</v>
      </c>
      <c r="R40">
        <v>5.1500000000000001E-3</v>
      </c>
      <c r="U40">
        <f>+B40*(Parámetros!$D$85-'COBERTURAS ADICIONALES'!$A40-0.5)</f>
        <v>7.4814300000000007E-3</v>
      </c>
      <c r="V40">
        <f>+C40*(Parámetros!$D$85-'COBERTURAS ADICIONALES'!$A40-0.5)</f>
        <v>1.4699312999999999E-2</v>
      </c>
      <c r="W40">
        <f>+D40*(Parámetros!$D$85-'COBERTURAS ADICIONALES'!$A40-0.5)</f>
        <v>1.1119248E-2</v>
      </c>
      <c r="X40">
        <f>+IF(Parámetros!$D$26="Antiguas",'COBERTURAS ADICIONALES'!AB40,'COBERTURAS ADICIONALES'!AC40)</f>
        <v>2.0359999999999999E-4</v>
      </c>
      <c r="AB40">
        <v>4.5240000000000002E-3</v>
      </c>
      <c r="AC40">
        <v>2.0359999999999999E-4</v>
      </c>
    </row>
    <row r="41" spans="1:29" x14ac:dyDescent="0.25">
      <c r="A41">
        <v>52</v>
      </c>
      <c r="B41">
        <v>5.9811E-4</v>
      </c>
      <c r="C41">
        <v>1.1772659999999999E-3</v>
      </c>
      <c r="D41">
        <v>8.9000400000000001E-4</v>
      </c>
      <c r="E41">
        <v>6.1594999999999998E-4</v>
      </c>
      <c r="F41">
        <v>9.3599799999999995E-4</v>
      </c>
      <c r="G41">
        <v>7.7469400000000003E-4</v>
      </c>
      <c r="H41">
        <v>3.4878399999999999E-4</v>
      </c>
      <c r="I41">
        <v>4.2150500000000002E-4</v>
      </c>
      <c r="J41">
        <v>3.8485400000000001E-4</v>
      </c>
      <c r="K41">
        <v>5.0487730000000003E-3</v>
      </c>
      <c r="L41">
        <v>7.6721139999999998E-3</v>
      </c>
      <c r="M41">
        <v>6.34995E-3</v>
      </c>
      <c r="N41">
        <v>2.8588849999999998E-3</v>
      </c>
      <c r="O41">
        <v>3.45496E-3</v>
      </c>
      <c r="P41">
        <v>3.1545380000000001E-3</v>
      </c>
      <c r="Q41">
        <v>5.9409999999999997E-4</v>
      </c>
      <c r="R41">
        <v>5.1500000000000001E-3</v>
      </c>
      <c r="U41">
        <f>+B41*(Parámetros!$D$85-'COBERTURAS ADICIONALES'!$A41-0.5)</f>
        <v>7.4763750000000004E-3</v>
      </c>
      <c r="V41">
        <f>+C41*(Parámetros!$D$85-'COBERTURAS ADICIONALES'!$A41-0.5)</f>
        <v>1.4715825E-2</v>
      </c>
      <c r="W41">
        <f>+D41*(Parámetros!$D$85-'COBERTURAS ADICIONALES'!$A41-0.5)</f>
        <v>1.1125050000000001E-2</v>
      </c>
      <c r="X41">
        <f>+IF(Parámetros!$D$26="Antiguas",'COBERTURAS ADICIONALES'!AB41,'COBERTURAS ADICIONALES'!AC41)</f>
        <v>2.0359999999999999E-4</v>
      </c>
      <c r="AB41">
        <v>4.5240000000000002E-3</v>
      </c>
      <c r="AC41">
        <v>2.0359999999999999E-4</v>
      </c>
    </row>
    <row r="42" spans="1:29" x14ac:dyDescent="0.25">
      <c r="A42">
        <v>53</v>
      </c>
      <c r="B42">
        <v>6.4620900000000002E-4</v>
      </c>
      <c r="C42">
        <v>1.273202E-3</v>
      </c>
      <c r="D42">
        <v>9.6221299999999996E-4</v>
      </c>
      <c r="E42">
        <v>6.6598199999999997E-4</v>
      </c>
      <c r="F42">
        <v>1.027986E-3</v>
      </c>
      <c r="G42">
        <v>8.4553600000000003E-4</v>
      </c>
      <c r="H42">
        <v>3.78301E-4</v>
      </c>
      <c r="I42">
        <v>4.6255899999999997E-4</v>
      </c>
      <c r="J42">
        <v>4.2009300000000002E-4</v>
      </c>
      <c r="K42">
        <v>5.4588659999999997E-3</v>
      </c>
      <c r="L42">
        <v>8.4261130000000007E-3</v>
      </c>
      <c r="M42">
        <v>6.9306209999999997E-3</v>
      </c>
      <c r="N42">
        <v>3.1008260000000001E-3</v>
      </c>
      <c r="O42">
        <v>3.791469E-3</v>
      </c>
      <c r="P42">
        <v>3.4433850000000002E-3</v>
      </c>
      <c r="Q42">
        <v>5.9409999999999997E-4</v>
      </c>
      <c r="R42">
        <v>5.1500000000000001E-3</v>
      </c>
      <c r="U42">
        <f>+B42*(Parámetros!$D$85-'COBERTURAS ADICIONALES'!$A42-0.5)</f>
        <v>7.4314035000000002E-3</v>
      </c>
      <c r="V42">
        <f>+C42*(Parámetros!$D$85-'COBERTURAS ADICIONALES'!$A42-0.5)</f>
        <v>1.4641823E-2</v>
      </c>
      <c r="W42">
        <f>+D42*(Parámetros!$D$85-'COBERTURAS ADICIONALES'!$A42-0.5)</f>
        <v>1.10654495E-2</v>
      </c>
      <c r="X42">
        <f>+IF(Parámetros!$D$26="Antiguas",'COBERTURAS ADICIONALES'!AB42,'COBERTURAS ADICIONALES'!AC42)</f>
        <v>2.0359999999999999E-4</v>
      </c>
      <c r="AB42">
        <v>4.5240000000000002E-3</v>
      </c>
      <c r="AC42">
        <v>2.0359999999999999E-4</v>
      </c>
    </row>
    <row r="43" spans="1:29" x14ac:dyDescent="0.25">
      <c r="A43">
        <v>54</v>
      </c>
      <c r="B43">
        <v>6.9887200000000001E-4</v>
      </c>
      <c r="C43">
        <v>1.3772809999999999E-3</v>
      </c>
      <c r="D43">
        <v>1.04079E-3</v>
      </c>
      <c r="E43">
        <v>7.1684400000000001E-4</v>
      </c>
      <c r="F43">
        <v>1.131513E-3</v>
      </c>
      <c r="G43">
        <v>9.2252000000000002E-4</v>
      </c>
      <c r="H43">
        <v>4.0854299999999998E-4</v>
      </c>
      <c r="I43">
        <v>5.10108E-4</v>
      </c>
      <c r="J43">
        <v>4.5891900000000002E-4</v>
      </c>
      <c r="K43">
        <v>5.8757669999999996E-3</v>
      </c>
      <c r="L43">
        <v>9.2746990000000008E-3</v>
      </c>
      <c r="M43">
        <v>7.5616370000000004E-3</v>
      </c>
      <c r="N43">
        <v>3.3487109999999999E-3</v>
      </c>
      <c r="O43">
        <v>4.1812100000000003E-3</v>
      </c>
      <c r="P43">
        <v>3.7616300000000002E-3</v>
      </c>
      <c r="Q43">
        <v>5.9409999999999997E-4</v>
      </c>
      <c r="R43">
        <v>5.1500000000000001E-3</v>
      </c>
      <c r="U43">
        <f>+B43*(Parámetros!$D$85-'COBERTURAS ADICIONALES'!$A43-0.5)</f>
        <v>7.3381560000000002E-3</v>
      </c>
      <c r="V43">
        <f>+C43*(Parámetros!$D$85-'COBERTURAS ADICIONALES'!$A43-0.5)</f>
        <v>1.4461450499999999E-2</v>
      </c>
      <c r="W43">
        <f>+D43*(Parámetros!$D$85-'COBERTURAS ADICIONALES'!$A43-0.5)</f>
        <v>1.0928294999999999E-2</v>
      </c>
      <c r="X43">
        <f>+IF(Parámetros!$D$26="Antiguas",'COBERTURAS ADICIONALES'!AB43,'COBERTURAS ADICIONALES'!AC43)</f>
        <v>2.0359999999999999E-4</v>
      </c>
      <c r="AB43">
        <v>4.5240000000000002E-3</v>
      </c>
      <c r="AC43">
        <v>2.0359999999999999E-4</v>
      </c>
    </row>
    <row r="44" spans="1:29" x14ac:dyDescent="0.25">
      <c r="A44">
        <v>55</v>
      </c>
      <c r="B44">
        <v>7.5653199999999997E-4</v>
      </c>
      <c r="C44">
        <v>1.4901929999999999E-3</v>
      </c>
      <c r="D44">
        <v>1.1262970000000001E-3</v>
      </c>
      <c r="E44">
        <v>3.4721099999999999E-4</v>
      </c>
      <c r="F44">
        <v>5.5976599999999995E-4</v>
      </c>
      <c r="G44">
        <v>4.52638E-4</v>
      </c>
      <c r="H44">
        <v>1.98789E-4</v>
      </c>
      <c r="I44">
        <v>2.5368299999999999E-4</v>
      </c>
      <c r="J44">
        <v>2.26016E-4</v>
      </c>
      <c r="K44">
        <v>6.3129329999999997E-3</v>
      </c>
      <c r="L44">
        <v>1.0177556000000001E-2</v>
      </c>
      <c r="M44">
        <v>8.2297859999999994E-3</v>
      </c>
      <c r="N44">
        <v>3.6143490000000002E-3</v>
      </c>
      <c r="O44">
        <v>4.6124110000000003E-3</v>
      </c>
      <c r="P44">
        <v>4.1093880000000003E-3</v>
      </c>
      <c r="Q44">
        <v>5.9409999999999997E-4</v>
      </c>
      <c r="R44">
        <v>9.4029999999999999E-3</v>
      </c>
      <c r="U44">
        <f>+B44*(Parámetros!$D$85-'COBERTURAS ADICIONALES'!$A44-0.5)</f>
        <v>7.187054E-3</v>
      </c>
      <c r="V44">
        <f>+C44*(Parámetros!$D$85-'COBERTURAS ADICIONALES'!$A44-0.5)</f>
        <v>1.4156833499999999E-2</v>
      </c>
      <c r="W44">
        <f>+D44*(Parámetros!$D$85-'COBERTURAS ADICIONALES'!$A44-0.5)</f>
        <v>1.0699821500000001E-2</v>
      </c>
      <c r="X44">
        <f>+IF(Parámetros!$D$26="Antiguas",'COBERTURAS ADICIONALES'!AB44,'COBERTURAS ADICIONALES'!AC44)</f>
        <v>3.0174999999999999E-4</v>
      </c>
      <c r="AB44">
        <v>6.7060000000000002E-3</v>
      </c>
      <c r="AC44">
        <v>3.0174999999999999E-4</v>
      </c>
    </row>
    <row r="45" spans="1:29" x14ac:dyDescent="0.25">
      <c r="A45">
        <v>56</v>
      </c>
      <c r="B45">
        <v>8.1966199999999997E-4</v>
      </c>
      <c r="C45">
        <v>1.612685E-3</v>
      </c>
      <c r="D45">
        <v>1.2193460000000001E-3</v>
      </c>
      <c r="E45">
        <v>3.7126100000000001E-4</v>
      </c>
      <c r="F45">
        <v>6.1352399999999995E-4</v>
      </c>
      <c r="G45">
        <v>4.9142299999999995E-4</v>
      </c>
      <c r="H45">
        <v>2.1372700000000001E-4</v>
      </c>
      <c r="I45">
        <v>2.8000600000000002E-4</v>
      </c>
      <c r="J45">
        <v>2.4660099999999999E-4</v>
      </c>
      <c r="K45">
        <v>6.7501929999999998E-3</v>
      </c>
      <c r="L45">
        <v>1.1154984E-2</v>
      </c>
      <c r="M45">
        <v>8.9349689999999992E-3</v>
      </c>
      <c r="N45">
        <v>3.8859419999999999E-3</v>
      </c>
      <c r="O45">
        <v>5.0910199999999999E-3</v>
      </c>
      <c r="P45">
        <v>4.4836609999999999E-3</v>
      </c>
      <c r="Q45">
        <v>5.9409999999999997E-4</v>
      </c>
      <c r="R45">
        <v>9.4029999999999999E-3</v>
      </c>
      <c r="U45">
        <f>+B45*(Parámetros!$D$85-'COBERTURAS ADICIONALES'!$A45-0.5)</f>
        <v>6.967127E-3</v>
      </c>
      <c r="V45">
        <f>+C45*(Parámetros!$D$85-'COBERTURAS ADICIONALES'!$A45-0.5)</f>
        <v>1.3707822499999999E-2</v>
      </c>
      <c r="W45">
        <f>+D45*(Parámetros!$D$85-'COBERTURAS ADICIONALES'!$A45-0.5)</f>
        <v>1.0364441E-2</v>
      </c>
      <c r="X45">
        <f>+IF(Parámetros!$D$26="Antiguas",'COBERTURAS ADICIONALES'!AB45,'COBERTURAS ADICIONALES'!AC45)</f>
        <v>3.0174999999999999E-4</v>
      </c>
      <c r="AB45">
        <v>6.7060000000000002E-3</v>
      </c>
      <c r="AC45">
        <v>3.0174999999999999E-4</v>
      </c>
    </row>
    <row r="46" spans="1:29" x14ac:dyDescent="0.25">
      <c r="A46">
        <v>57</v>
      </c>
      <c r="B46">
        <v>8.8878000000000004E-4</v>
      </c>
      <c r="C46">
        <v>1.7455680000000001E-3</v>
      </c>
      <c r="D46">
        <v>1.320601E-3</v>
      </c>
      <c r="E46">
        <v>3.9420500000000001E-4</v>
      </c>
      <c r="F46">
        <v>6.6916399999999998E-4</v>
      </c>
      <c r="G46">
        <v>5.3058499999999998E-4</v>
      </c>
      <c r="H46">
        <v>2.28667E-4</v>
      </c>
      <c r="I46">
        <v>3.0796399999999998E-4</v>
      </c>
      <c r="J46">
        <v>2.6799899999999999E-4</v>
      </c>
      <c r="K46">
        <v>7.1673609999999997E-3</v>
      </c>
      <c r="L46">
        <v>1.2166616E-2</v>
      </c>
      <c r="M46">
        <v>9.6469910000000006E-3</v>
      </c>
      <c r="N46">
        <v>4.1575859999999996E-3</v>
      </c>
      <c r="O46">
        <v>5.599349E-3</v>
      </c>
      <c r="P46">
        <v>4.8727010000000001E-3</v>
      </c>
      <c r="Q46">
        <v>5.9409999999999997E-4</v>
      </c>
      <c r="R46">
        <v>9.4029999999999999E-3</v>
      </c>
      <c r="U46">
        <f>+B46*(Parámetros!$D$85-'COBERTURAS ADICIONALES'!$A46-0.5)</f>
        <v>6.6658500000000001E-3</v>
      </c>
      <c r="V46">
        <f>+C46*(Parámetros!$D$85-'COBERTURAS ADICIONALES'!$A46-0.5)</f>
        <v>1.3091760000000001E-2</v>
      </c>
      <c r="W46">
        <f>+D46*(Parámetros!$D$85-'COBERTURAS ADICIONALES'!$A46-0.5)</f>
        <v>9.9045074999999996E-3</v>
      </c>
      <c r="X46">
        <f>+IF(Parámetros!$D$26="Antiguas",'COBERTURAS ADICIONALES'!AB46,'COBERTURAS ADICIONALES'!AC46)</f>
        <v>3.0174999999999999E-4</v>
      </c>
      <c r="AB46">
        <v>6.7060000000000002E-3</v>
      </c>
      <c r="AC46">
        <v>3.0174999999999999E-4</v>
      </c>
    </row>
    <row r="47" spans="1:29" x14ac:dyDescent="0.25">
      <c r="A47">
        <v>58</v>
      </c>
      <c r="B47">
        <v>9.6445299999999999E-4</v>
      </c>
      <c r="C47">
        <v>1.8897180000000001E-3</v>
      </c>
      <c r="D47">
        <v>1.430787E-3</v>
      </c>
      <c r="E47">
        <v>4.1567299999999998E-4</v>
      </c>
      <c r="F47">
        <v>7.2854400000000002E-4</v>
      </c>
      <c r="G47">
        <v>5.7085700000000003E-4</v>
      </c>
      <c r="H47">
        <v>2.4296100000000001E-4</v>
      </c>
      <c r="I47">
        <v>3.3820900000000001E-4</v>
      </c>
      <c r="J47">
        <v>2.9020400000000002E-4</v>
      </c>
      <c r="K47">
        <v>7.5576920000000004E-3</v>
      </c>
      <c r="L47">
        <v>1.3246252E-2</v>
      </c>
      <c r="M47">
        <v>1.0379218000000001E-2</v>
      </c>
      <c r="N47">
        <v>4.4174690000000003E-3</v>
      </c>
      <c r="O47">
        <v>6.1492580000000003E-3</v>
      </c>
      <c r="P47">
        <v>5.2764359999999998E-3</v>
      </c>
      <c r="Q47">
        <v>5.9409999999999997E-4</v>
      </c>
      <c r="R47">
        <v>9.4029999999999999E-3</v>
      </c>
      <c r="U47">
        <f>+B47*(Parámetros!$D$85-'COBERTURAS ADICIONALES'!$A47-0.5)</f>
        <v>6.2689445E-3</v>
      </c>
      <c r="V47">
        <f>+C47*(Parámetros!$D$85-'COBERTURAS ADICIONALES'!$A47-0.5)</f>
        <v>1.2283167000000001E-2</v>
      </c>
      <c r="W47">
        <f>+D47*(Parámetros!$D$85-'COBERTURAS ADICIONALES'!$A47-0.5)</f>
        <v>9.3001154999999992E-3</v>
      </c>
      <c r="X47">
        <f>+IF(Parámetros!$D$26="Antiguas",'COBERTURAS ADICIONALES'!AB47,'COBERTURAS ADICIONALES'!AC47)</f>
        <v>3.0174999999999999E-4</v>
      </c>
      <c r="AB47">
        <v>6.7060000000000002E-3</v>
      </c>
      <c r="AC47">
        <v>3.0174999999999999E-4</v>
      </c>
    </row>
    <row r="48" spans="1:29" x14ac:dyDescent="0.25">
      <c r="A48">
        <v>59</v>
      </c>
      <c r="B48">
        <v>1.047302E-3</v>
      </c>
      <c r="C48">
        <v>2.0460869999999998E-3</v>
      </c>
      <c r="D48">
        <v>1.55069E-3</v>
      </c>
      <c r="E48">
        <v>4.3788600000000002E-4</v>
      </c>
      <c r="F48">
        <v>7.9018399999999998E-4</v>
      </c>
      <c r="G48">
        <v>6.1262600000000001E-4</v>
      </c>
      <c r="H48">
        <v>2.58232E-4</v>
      </c>
      <c r="I48">
        <v>3.7237099999999998E-4</v>
      </c>
      <c r="J48">
        <v>3.1484500000000001E-4</v>
      </c>
      <c r="K48">
        <v>7.9615620000000002E-3</v>
      </c>
      <c r="L48">
        <v>1.4366986999999999E-2</v>
      </c>
      <c r="M48">
        <v>1.1138653E-2</v>
      </c>
      <c r="N48">
        <v>4.6951220000000004E-3</v>
      </c>
      <c r="O48">
        <v>6.7703779999999996E-3</v>
      </c>
      <c r="P48">
        <v>5.7244490000000004E-3</v>
      </c>
      <c r="Q48">
        <v>5.9409999999999997E-4</v>
      </c>
      <c r="R48">
        <v>9.4029999999999999E-3</v>
      </c>
      <c r="U48">
        <f>+B48*(Parámetros!$D$85-'COBERTURAS ADICIONALES'!$A48-0.5)</f>
        <v>5.7601609999999998E-3</v>
      </c>
      <c r="V48">
        <f>+C48*(Parámetros!$D$85-'COBERTURAS ADICIONALES'!$A48-0.5)</f>
        <v>1.1253478499999999E-2</v>
      </c>
      <c r="W48">
        <f>+D48*(Parámetros!$D$85-'COBERTURAS ADICIONALES'!$A48-0.5)</f>
        <v>8.5287950000000005E-3</v>
      </c>
      <c r="X48">
        <f>+IF(Parámetros!$D$26="Antiguas",'COBERTURAS ADICIONALES'!AB48,'COBERTURAS ADICIONALES'!AC48)</f>
        <v>3.0174999999999999E-4</v>
      </c>
      <c r="AB48">
        <v>6.7060000000000002E-3</v>
      </c>
      <c r="AC48">
        <v>3.0174999999999999E-4</v>
      </c>
    </row>
    <row r="49" spans="1:29" x14ac:dyDescent="0.25">
      <c r="A49">
        <v>60</v>
      </c>
      <c r="B49">
        <v>1.138006E-3</v>
      </c>
      <c r="C49">
        <v>2.215706E-3</v>
      </c>
      <c r="D49">
        <v>1.6811669999999999E-3</v>
      </c>
      <c r="E49">
        <v>4.6232499999999998E-4</v>
      </c>
      <c r="F49">
        <v>8.5854900000000001E-4</v>
      </c>
      <c r="G49">
        <v>6.5885200000000003E-4</v>
      </c>
      <c r="H49">
        <v>2.7610599999999998E-4</v>
      </c>
      <c r="I49">
        <v>4.1045399999999998E-4</v>
      </c>
      <c r="J49">
        <v>3.4274300000000001E-4</v>
      </c>
      <c r="K49">
        <v>8.4059129999999992E-3</v>
      </c>
      <c r="L49">
        <v>1.5609981E-2</v>
      </c>
      <c r="M49">
        <v>1.1979131000000001E-2</v>
      </c>
      <c r="N49">
        <v>5.0201050000000004E-3</v>
      </c>
      <c r="O49">
        <v>7.4628020000000002E-3</v>
      </c>
      <c r="P49">
        <v>6.231683E-3</v>
      </c>
      <c r="Q49">
        <v>5.9409999999999997E-4</v>
      </c>
      <c r="R49">
        <v>1.1283E-2</v>
      </c>
      <c r="U49">
        <f>+B49*(Parámetros!$D$85-'COBERTURAS ADICIONALES'!$A49-0.5)</f>
        <v>5.1210270000000002E-3</v>
      </c>
      <c r="V49">
        <f>+C49*(Parámetros!$D$85-'COBERTURAS ADICIONALES'!$A49-0.5)</f>
        <v>9.9706770000000007E-3</v>
      </c>
      <c r="W49">
        <f>+D49*(Parámetros!$D$85-'COBERTURAS ADICIONALES'!$A49-0.5)</f>
        <v>7.5652515E-3</v>
      </c>
      <c r="X49">
        <f>+IF(Parámetros!$D$26="Antiguas",'COBERTURAS ADICIONALES'!AB49,'COBERTURAS ADICIONALES'!AC49)</f>
        <v>4.3165E-4</v>
      </c>
      <c r="AB49">
        <v>9.5919999999999998E-3</v>
      </c>
      <c r="AC49">
        <v>4.3165E-4</v>
      </c>
    </row>
    <row r="50" spans="1:29" x14ac:dyDescent="0.25">
      <c r="A50">
        <v>61</v>
      </c>
      <c r="B50">
        <v>1.237307E-3</v>
      </c>
      <c r="C50">
        <v>2.3996930000000001E-3</v>
      </c>
      <c r="D50">
        <v>1.8231499999999999E-3</v>
      </c>
      <c r="E50">
        <v>4.9380799999999999E-4</v>
      </c>
      <c r="F50">
        <v>9.3550999999999997E-4</v>
      </c>
      <c r="G50">
        <v>7.1289200000000002E-4</v>
      </c>
      <c r="H50">
        <v>2.9723500000000002E-4</v>
      </c>
      <c r="I50">
        <v>4.5279100000000002E-4</v>
      </c>
      <c r="J50">
        <v>3.7439100000000001E-4</v>
      </c>
      <c r="K50">
        <v>8.9783269999999995E-3</v>
      </c>
      <c r="L50">
        <v>1.7009270999999999E-2</v>
      </c>
      <c r="M50">
        <v>1.2961675000000001E-2</v>
      </c>
      <c r="N50">
        <v>5.4042710000000004E-3</v>
      </c>
      <c r="O50">
        <v>8.2325590000000004E-3</v>
      </c>
      <c r="P50">
        <v>6.8071019999999998E-3</v>
      </c>
      <c r="Q50">
        <v>5.9409999999999997E-4</v>
      </c>
      <c r="R50">
        <v>1.1283E-2</v>
      </c>
      <c r="U50">
        <f>+B50*(Parámetros!$D$85-'COBERTURAS ADICIONALES'!$A50-0.5)</f>
        <v>4.3305745E-3</v>
      </c>
      <c r="V50">
        <f>+C50*(Parámetros!$D$85-'COBERTURAS ADICIONALES'!$A50-0.5)</f>
        <v>8.3989254999999995E-3</v>
      </c>
      <c r="W50">
        <f>+D50*(Parámetros!$D$85-'COBERTURAS ADICIONALES'!$A50-0.5)</f>
        <v>6.3810250000000002E-3</v>
      </c>
      <c r="X50">
        <f>+IF(Parámetros!$D$26="Antiguas",'COBERTURAS ADICIONALES'!AB50,'COBERTURAS ADICIONALES'!AC50)</f>
        <v>4.3165E-4</v>
      </c>
      <c r="AB50">
        <v>9.5919999999999998E-3</v>
      </c>
      <c r="AC50">
        <v>4.3165E-4</v>
      </c>
    </row>
    <row r="51" spans="1:29" x14ac:dyDescent="0.25">
      <c r="A51">
        <v>62</v>
      </c>
      <c r="B51">
        <v>1.346018E-3</v>
      </c>
      <c r="C51">
        <v>2.5992580000000001E-3</v>
      </c>
      <c r="D51">
        <v>1.977651E-3</v>
      </c>
      <c r="E51">
        <v>5.3196999999999999E-4</v>
      </c>
      <c r="F51">
        <v>1.022202E-3</v>
      </c>
      <c r="G51">
        <v>7.7512499999999999E-4</v>
      </c>
      <c r="H51">
        <v>3.2389799999999998E-4</v>
      </c>
      <c r="I51">
        <v>5.0101699999999998E-4</v>
      </c>
      <c r="J51">
        <v>4.1174899999999999E-4</v>
      </c>
      <c r="K51">
        <v>9.6721759999999993E-3</v>
      </c>
      <c r="L51">
        <v>1.8585489E-2</v>
      </c>
      <c r="M51">
        <v>1.4093179000000001E-2</v>
      </c>
      <c r="N51">
        <v>5.8890590000000003E-3</v>
      </c>
      <c r="O51">
        <v>9.1094049999999992E-3</v>
      </c>
      <c r="P51">
        <v>7.4863509999999996E-3</v>
      </c>
      <c r="Q51">
        <v>5.9409999999999997E-4</v>
      </c>
      <c r="R51">
        <v>1.1283E-2</v>
      </c>
      <c r="U51">
        <f>+B51*(Parámetros!$D$85-'COBERTURAS ADICIONALES'!$A51-0.5)</f>
        <v>3.3650450000000001E-3</v>
      </c>
      <c r="V51">
        <f>+C51*(Parámetros!$D$85-'COBERTURAS ADICIONALES'!$A51-0.5)</f>
        <v>6.4981450000000003E-3</v>
      </c>
      <c r="W51">
        <f>+D51*(Parámetros!$D$85-'COBERTURAS ADICIONALES'!$A51-0.5)</f>
        <v>4.9441275000000002E-3</v>
      </c>
      <c r="X51">
        <f>+IF(Parámetros!$D$26="Antiguas",'COBERTURAS ADICIONALES'!AB51,'COBERTURAS ADICIONALES'!AC51)</f>
        <v>4.3165E-4</v>
      </c>
      <c r="AB51">
        <v>9.5919999999999998E-3</v>
      </c>
      <c r="AC51">
        <v>4.3165E-4</v>
      </c>
    </row>
    <row r="52" spans="1:29" x14ac:dyDescent="0.25">
      <c r="A52">
        <v>63</v>
      </c>
      <c r="B52">
        <v>1.46503E-3</v>
      </c>
      <c r="C52">
        <v>2.8157109999999998E-3</v>
      </c>
      <c r="D52">
        <v>2.1457730000000001E-3</v>
      </c>
      <c r="E52">
        <v>5.8348999999999999E-4</v>
      </c>
      <c r="F52">
        <v>1.120511E-3</v>
      </c>
      <c r="G52">
        <v>8.4985200000000001E-4</v>
      </c>
      <c r="H52">
        <v>3.5740300000000001E-4</v>
      </c>
      <c r="I52">
        <v>5.5612299999999995E-4</v>
      </c>
      <c r="J52">
        <v>4.5596800000000001E-4</v>
      </c>
      <c r="K52">
        <v>1.0608914000000001E-2</v>
      </c>
      <c r="L52">
        <v>2.0372922000000002E-2</v>
      </c>
      <c r="M52">
        <v>1.5451862E-2</v>
      </c>
      <c r="N52">
        <v>6.4982340000000003E-3</v>
      </c>
      <c r="O52">
        <v>1.0111330999999999E-2</v>
      </c>
      <c r="P52">
        <v>8.2903309999999997E-3</v>
      </c>
      <c r="Q52">
        <v>5.9409999999999997E-4</v>
      </c>
      <c r="R52">
        <v>1.1283E-2</v>
      </c>
      <c r="U52">
        <f>+B52*(Parámetros!$D$85-'COBERTURAS ADICIONALES'!$A52-0.5)</f>
        <v>2.197545E-3</v>
      </c>
      <c r="V52">
        <f>+C52*(Parámetros!$D$85-'COBERTURAS ADICIONALES'!$A52-0.5)</f>
        <v>4.2235664999999995E-3</v>
      </c>
      <c r="W52">
        <f>+D52*(Parámetros!$D$85-'COBERTURAS ADICIONALES'!$A52-0.5)</f>
        <v>3.2186595000000002E-3</v>
      </c>
      <c r="X52">
        <f>+IF(Parámetros!$D$26="Antiguas",'COBERTURAS ADICIONALES'!AB52,'COBERTURAS ADICIONALES'!AC52)</f>
        <v>4.3165E-4</v>
      </c>
      <c r="AB52">
        <v>9.5919999999999998E-3</v>
      </c>
      <c r="AC52">
        <v>4.3165E-4</v>
      </c>
    </row>
    <row r="53" spans="1:29" x14ac:dyDescent="0.25">
      <c r="A53">
        <v>64</v>
      </c>
      <c r="B53">
        <v>1.5953129999999999E-3</v>
      </c>
      <c r="C53">
        <v>3.0504740000000001E-3</v>
      </c>
      <c r="D53">
        <v>2.328714E-3</v>
      </c>
      <c r="E53">
        <v>6.4097000000000004E-4</v>
      </c>
      <c r="F53">
        <v>1.2289759999999999E-3</v>
      </c>
      <c r="G53">
        <v>9.3262100000000001E-4</v>
      </c>
      <c r="H53">
        <v>3.97107E-4</v>
      </c>
      <c r="I53">
        <v>6.1844999999999999E-4</v>
      </c>
      <c r="J53">
        <v>5.0689300000000001E-4</v>
      </c>
      <c r="K53">
        <v>1.1653992E-2</v>
      </c>
      <c r="L53">
        <v>2.234502E-2</v>
      </c>
      <c r="M53">
        <v>1.6956742E-2</v>
      </c>
      <c r="N53">
        <v>7.2201189999999997E-3</v>
      </c>
      <c r="O53">
        <v>1.1244539E-2</v>
      </c>
      <c r="P53">
        <v>9.2162319999999995E-3</v>
      </c>
      <c r="Q53">
        <v>5.9409999999999997E-4</v>
      </c>
      <c r="R53">
        <v>1.1283E-2</v>
      </c>
      <c r="U53">
        <f>+B53*(Parámetros!$D$85-'COBERTURAS ADICIONALES'!$A53-0.5)</f>
        <v>7.9765649999999995E-4</v>
      </c>
      <c r="V53">
        <f>+C53*(Parámetros!$D$85-'COBERTURAS ADICIONALES'!$A53-0.5)</f>
        <v>1.525237E-3</v>
      </c>
      <c r="W53">
        <f>+D53*(Parámetros!$D$85-'COBERTURAS ADICIONALES'!$A53-0.5)</f>
        <v>1.164357E-3</v>
      </c>
      <c r="X53">
        <f>+IF(Parámetros!$D$26="Antiguas",'COBERTURAS ADICIONALES'!AB53,'COBERTURAS ADICIONALES'!AC53)</f>
        <v>4.3165E-4</v>
      </c>
      <c r="AB53">
        <v>9.5919999999999998E-3</v>
      </c>
      <c r="AC53">
        <v>4.3165E-4</v>
      </c>
    </row>
    <row r="54" spans="1:29" x14ac:dyDescent="0.25">
      <c r="A54">
        <v>65</v>
      </c>
      <c r="B54">
        <v>1.7379310000000001E-3</v>
      </c>
      <c r="C54">
        <v>3.3050829999999999E-3</v>
      </c>
      <c r="D54">
        <v>2.5277759999999998E-3</v>
      </c>
      <c r="E54">
        <v>2.9503999999999999E-4</v>
      </c>
      <c r="F54">
        <v>5.6308499999999995E-4</v>
      </c>
      <c r="G54">
        <v>4.2799E-4</v>
      </c>
      <c r="H54">
        <v>1.8403700000000001E-4</v>
      </c>
      <c r="I54">
        <v>2.87442E-4</v>
      </c>
      <c r="J54">
        <v>2.3532499999999999E-4</v>
      </c>
      <c r="K54">
        <v>1.2827824E-2</v>
      </c>
      <c r="L54">
        <v>2.4481971000000002E-2</v>
      </c>
      <c r="M54">
        <v>1.8608281000000001E-2</v>
      </c>
      <c r="N54">
        <v>8.0015880000000005E-3</v>
      </c>
      <c r="O54">
        <v>1.2497462000000001E-2</v>
      </c>
      <c r="P54">
        <v>1.0231542E-2</v>
      </c>
      <c r="Q54">
        <v>5.9409999999999997E-4</v>
      </c>
      <c r="R54">
        <v>2.1616E-2</v>
      </c>
      <c r="X54">
        <f>+IF(Parámetros!$D$26="Antiguas",'COBERTURAS ADICIONALES'!AB54,'COBERTURAS ADICIONALES'!AC54)</f>
        <v>6.1025000000000001E-4</v>
      </c>
      <c r="AB54">
        <v>1.3561E-2</v>
      </c>
      <c r="AC54">
        <v>6.1025000000000001E-4</v>
      </c>
    </row>
    <row r="55" spans="1:29" x14ac:dyDescent="0.25">
      <c r="A55">
        <v>66</v>
      </c>
      <c r="B55">
        <v>1.89405E-3</v>
      </c>
      <c r="C55">
        <v>3.581206E-3</v>
      </c>
      <c r="D55">
        <v>2.7443770000000001E-3</v>
      </c>
      <c r="E55">
        <v>3.2174299999999999E-4</v>
      </c>
      <c r="F55">
        <v>6.1432000000000001E-4</v>
      </c>
      <c r="G55">
        <v>4.66861E-4</v>
      </c>
      <c r="H55">
        <v>2.0338299999999999E-4</v>
      </c>
      <c r="I55">
        <v>3.18473E-4</v>
      </c>
      <c r="J55">
        <v>2.6046700000000001E-4</v>
      </c>
      <c r="K55">
        <v>1.3988838E-2</v>
      </c>
      <c r="L55">
        <v>2.670956E-2</v>
      </c>
      <c r="M55">
        <v>2.0298316E-2</v>
      </c>
      <c r="N55">
        <v>8.8427390000000005E-3</v>
      </c>
      <c r="O55">
        <v>1.3846634999999999E-2</v>
      </c>
      <c r="P55">
        <v>1.1324671E-2</v>
      </c>
      <c r="Q55">
        <v>5.9409999999999997E-4</v>
      </c>
      <c r="R55">
        <v>2.1616E-2</v>
      </c>
      <c r="X55">
        <f>+IF(Parámetros!$D$26="Antiguas",'COBERTURAS ADICIONALES'!AB55,'COBERTURAS ADICIONALES'!AC55)</f>
        <v>6.1025000000000001E-4</v>
      </c>
      <c r="AB55">
        <v>1.3561E-2</v>
      </c>
      <c r="AC55">
        <v>6.1025000000000001E-4</v>
      </c>
    </row>
    <row r="56" spans="1:29" x14ac:dyDescent="0.25">
      <c r="A56">
        <v>67</v>
      </c>
      <c r="B56">
        <v>2.0649409999999998E-3</v>
      </c>
      <c r="C56">
        <v>3.880643E-3</v>
      </c>
      <c r="D56">
        <v>2.9800550000000001E-3</v>
      </c>
      <c r="E56">
        <v>3.4955000000000001E-4</v>
      </c>
      <c r="F56">
        <v>6.6811599999999996E-4</v>
      </c>
      <c r="G56">
        <v>5.0755799999999997E-4</v>
      </c>
      <c r="H56">
        <v>2.23014E-4</v>
      </c>
      <c r="I56">
        <v>3.5213399999999999E-4</v>
      </c>
      <c r="J56">
        <v>2.8705799999999997E-4</v>
      </c>
      <c r="K56">
        <v>1.5197815999999999E-2</v>
      </c>
      <c r="L56">
        <v>2.9048507000000001E-2</v>
      </c>
      <c r="M56">
        <v>2.2067758999999999E-2</v>
      </c>
      <c r="N56">
        <v>9.6962460000000004E-3</v>
      </c>
      <c r="O56">
        <v>1.531019E-2</v>
      </c>
      <c r="P56">
        <v>1.2480761999999999E-2</v>
      </c>
      <c r="Q56">
        <v>5.9409999999999997E-4</v>
      </c>
      <c r="R56">
        <v>2.1616E-2</v>
      </c>
      <c r="X56">
        <f>+IF(Parámetros!$D$26="Antiguas",'COBERTURAS ADICIONALES'!AB56,'COBERTURAS ADICIONALES'!AC56)</f>
        <v>6.1025000000000001E-4</v>
      </c>
      <c r="AB56">
        <v>1.3561E-2</v>
      </c>
      <c r="AC56">
        <v>6.1025000000000001E-4</v>
      </c>
    </row>
    <row r="57" spans="1:29" x14ac:dyDescent="0.25">
      <c r="A57">
        <v>68</v>
      </c>
      <c r="B57">
        <v>2.251996E-3</v>
      </c>
      <c r="C57">
        <v>4.2053460000000004E-3</v>
      </c>
      <c r="D57">
        <v>3.236484E-3</v>
      </c>
      <c r="E57">
        <v>3.7472999999999998E-4</v>
      </c>
      <c r="F57">
        <v>7.2354199999999998E-4</v>
      </c>
      <c r="G57">
        <v>5.4774100000000003E-4</v>
      </c>
      <c r="H57">
        <v>2.4279299999999999E-4</v>
      </c>
      <c r="I57">
        <v>3.8829799999999997E-4</v>
      </c>
      <c r="J57">
        <v>3.1496300000000003E-4</v>
      </c>
      <c r="K57">
        <v>1.6292603999999999E-2</v>
      </c>
      <c r="L57">
        <v>3.1458340000000001E-2</v>
      </c>
      <c r="M57">
        <v>2.3814808999999999E-2</v>
      </c>
      <c r="N57">
        <v>1.05562E-2</v>
      </c>
      <c r="O57">
        <v>1.6882525999999998E-2</v>
      </c>
      <c r="P57">
        <v>1.3694058E-2</v>
      </c>
      <c r="Q57">
        <v>5.9409999999999997E-4</v>
      </c>
      <c r="R57">
        <v>2.1616E-2</v>
      </c>
      <c r="X57">
        <f>+IF(Parámetros!$D$26="Antiguas",'COBERTURAS ADICIONALES'!AB57,'COBERTURAS ADICIONALES'!AC57)</f>
        <v>6.1025000000000001E-4</v>
      </c>
      <c r="AB57">
        <v>1.3561E-2</v>
      </c>
      <c r="AC57">
        <v>6.1025000000000001E-4</v>
      </c>
    </row>
    <row r="58" spans="1:29" x14ac:dyDescent="0.25">
      <c r="A58">
        <v>69</v>
      </c>
      <c r="B58">
        <v>2.4567360000000002E-3</v>
      </c>
      <c r="C58">
        <v>4.5574270000000002E-3</v>
      </c>
      <c r="D58">
        <v>3.5154840000000001E-3</v>
      </c>
      <c r="E58">
        <v>4.0303499999999999E-4</v>
      </c>
      <c r="F58">
        <v>7.8264399999999998E-4</v>
      </c>
      <c r="G58">
        <v>5.9132100000000001E-4</v>
      </c>
      <c r="H58">
        <v>2.6394899999999998E-4</v>
      </c>
      <c r="I58">
        <v>4.2779599999999998E-4</v>
      </c>
      <c r="J58">
        <v>3.4521699999999998E-4</v>
      </c>
      <c r="K58">
        <v>1.7523265E-2</v>
      </c>
      <c r="L58">
        <v>3.4027987000000003E-2</v>
      </c>
      <c r="M58">
        <v>2.5709606999999999E-2</v>
      </c>
      <c r="N58">
        <v>1.1476039E-2</v>
      </c>
      <c r="O58">
        <v>1.8599806E-2</v>
      </c>
      <c r="P58">
        <v>1.5009427000000001E-2</v>
      </c>
      <c r="Q58">
        <v>5.9409999999999997E-4</v>
      </c>
      <c r="R58">
        <v>2.1616E-2</v>
      </c>
      <c r="X58">
        <f>+IF(Parámetros!$D$26="Antiguas",'COBERTURAS ADICIONALES'!AB58,'COBERTURAS ADICIONALES'!AC58)</f>
        <v>6.1025000000000001E-4</v>
      </c>
      <c r="AB58">
        <v>1.3561E-2</v>
      </c>
      <c r="AC58">
        <v>6.1025000000000001E-4</v>
      </c>
    </row>
    <row r="59" spans="1:29" x14ac:dyDescent="0.25">
      <c r="A59">
        <v>70</v>
      </c>
      <c r="B59">
        <v>2.6808219999999998E-3</v>
      </c>
      <c r="C59">
        <v>4.9391699999999997E-3</v>
      </c>
      <c r="D59">
        <v>3.8190300000000002E-3</v>
      </c>
      <c r="E59">
        <v>4.3307000000000003E-4</v>
      </c>
      <c r="F59">
        <v>8.4794899999999997E-4</v>
      </c>
      <c r="G59">
        <v>6.3885000000000005E-4</v>
      </c>
      <c r="H59">
        <v>2.8839799999999999E-4</v>
      </c>
      <c r="I59">
        <v>4.72425E-4</v>
      </c>
      <c r="J59">
        <v>3.7967600000000002E-4</v>
      </c>
      <c r="K59">
        <v>1.8829135E-2</v>
      </c>
      <c r="L59">
        <v>3.6867364E-2</v>
      </c>
      <c r="M59">
        <v>2.7776097E-2</v>
      </c>
      <c r="N59">
        <v>1.2539048000000001E-2</v>
      </c>
      <c r="O59">
        <v>2.0540231999999999E-2</v>
      </c>
      <c r="P59">
        <v>1.6507635E-2</v>
      </c>
      <c r="Q59">
        <v>5.9409999999999997E-4</v>
      </c>
      <c r="R59">
        <v>2.3587E-2</v>
      </c>
      <c r="X59">
        <f>+IF(Parámetros!$D$26="Antiguas",'COBERTURAS ADICIONALES'!AB59,'COBERTURAS ADICIONALES'!AC59)</f>
        <v>7.2059999999999984E-4</v>
      </c>
      <c r="AB59">
        <v>1.6012999999999999E-2</v>
      </c>
      <c r="AC59">
        <v>7.2059999999999984E-4</v>
      </c>
    </row>
    <row r="60" spans="1:29" x14ac:dyDescent="0.25">
      <c r="A60">
        <v>71</v>
      </c>
      <c r="E60">
        <v>4.72005E-4</v>
      </c>
      <c r="F60">
        <v>9.2042999999999997E-4</v>
      </c>
      <c r="G60">
        <v>6.9442400000000002E-4</v>
      </c>
      <c r="H60">
        <v>3.1765199999999997E-4</v>
      </c>
      <c r="I60">
        <v>5.2303500000000004E-4</v>
      </c>
      <c r="J60">
        <v>4.1952200000000003E-4</v>
      </c>
      <c r="K60">
        <v>2.0521946999999999E-2</v>
      </c>
      <c r="L60">
        <v>4.0018696999999999E-2</v>
      </c>
      <c r="M60">
        <v>3.0192335000000001E-2</v>
      </c>
      <c r="N60">
        <v>1.3810957E-2</v>
      </c>
      <c r="O60">
        <v>2.2740637000000001E-2</v>
      </c>
      <c r="P60">
        <v>1.8240078E-2</v>
      </c>
      <c r="Q60">
        <v>5.9409999999999997E-4</v>
      </c>
      <c r="R60">
        <v>2.3587E-2</v>
      </c>
      <c r="X60">
        <f>+IF(Parámetros!$D$26="Antiguas",'COBERTURAS ADICIONALES'!AB60,'COBERTURAS ADICIONALES'!AC60)</f>
        <v>7.2059999999999984E-4</v>
      </c>
      <c r="AB60">
        <v>1.6012999999999999E-2</v>
      </c>
      <c r="AC60">
        <v>7.2059999999999984E-4</v>
      </c>
    </row>
    <row r="61" spans="1:29" x14ac:dyDescent="0.25">
      <c r="A61">
        <v>72</v>
      </c>
      <c r="E61">
        <v>5.2032999999999995E-4</v>
      </c>
      <c r="F61">
        <v>1.002958E-3</v>
      </c>
      <c r="G61">
        <v>7.5971299999999997E-4</v>
      </c>
      <c r="H61">
        <v>3.5391399999999999E-4</v>
      </c>
      <c r="I61">
        <v>5.8158199999999998E-4</v>
      </c>
      <c r="J61">
        <v>4.66837E-4</v>
      </c>
      <c r="K61">
        <v>2.2623033000000001E-2</v>
      </c>
      <c r="L61">
        <v>4.3606872999999997E-2</v>
      </c>
      <c r="M61">
        <v>3.3031018000000002E-2</v>
      </c>
      <c r="N61">
        <v>1.5387573999999999E-2</v>
      </c>
      <c r="O61">
        <v>2.5286177E-2</v>
      </c>
      <c r="P61">
        <v>2.0297281E-2</v>
      </c>
      <c r="Q61">
        <v>5.9409999999999997E-4</v>
      </c>
      <c r="R61">
        <v>2.3587E-2</v>
      </c>
      <c r="X61">
        <f>+IF(Parámetros!$D$26="Antiguas",'COBERTURAS ADICIONALES'!AB61,'COBERTURAS ADICIONALES'!AC61)</f>
        <v>7.2059999999999984E-4</v>
      </c>
      <c r="AB61">
        <v>1.6012999999999999E-2</v>
      </c>
      <c r="AC61">
        <v>7.2059999999999984E-4</v>
      </c>
    </row>
    <row r="62" spans="1:29" x14ac:dyDescent="0.25">
      <c r="A62">
        <v>73</v>
      </c>
      <c r="E62">
        <v>5.7932399999999998E-4</v>
      </c>
      <c r="F62">
        <v>1.096063E-3</v>
      </c>
      <c r="G62">
        <v>8.3562700000000003E-4</v>
      </c>
      <c r="H62">
        <v>3.9816800000000001E-4</v>
      </c>
      <c r="I62">
        <v>6.4893999999999998E-4</v>
      </c>
      <c r="J62">
        <v>5.2255100000000001E-4</v>
      </c>
      <c r="K62">
        <v>2.5188009000000001E-2</v>
      </c>
      <c r="L62">
        <v>4.7654927999999999E-2</v>
      </c>
      <c r="M62">
        <v>3.6331600999999998E-2</v>
      </c>
      <c r="N62">
        <v>1.7311648999999998E-2</v>
      </c>
      <c r="O62">
        <v>2.8214792999999998E-2</v>
      </c>
      <c r="P62">
        <v>2.2719607999999999E-2</v>
      </c>
      <c r="Q62">
        <v>5.9409999999999997E-4</v>
      </c>
      <c r="R62">
        <v>2.3587E-2</v>
      </c>
      <c r="X62">
        <f>+IF(Parámetros!$D$26="Antiguas",'COBERTURAS ADICIONALES'!AB62,'COBERTURAS ADICIONALES'!AC62)</f>
        <v>7.2059999999999984E-4</v>
      </c>
      <c r="AB62">
        <v>1.6012999999999999E-2</v>
      </c>
      <c r="AC62">
        <v>7.2059999999999984E-4</v>
      </c>
    </row>
    <row r="63" spans="1:29" x14ac:dyDescent="0.25">
      <c r="A63">
        <v>74</v>
      </c>
      <c r="E63">
        <v>6.4824800000000003E-4</v>
      </c>
      <c r="F63">
        <v>1.1977540000000001E-3</v>
      </c>
      <c r="G63">
        <v>9.2080299999999999E-4</v>
      </c>
      <c r="H63">
        <v>4.5030899999999997E-4</v>
      </c>
      <c r="I63">
        <v>7.2474900000000001E-4</v>
      </c>
      <c r="J63">
        <v>5.86431E-4</v>
      </c>
      <c r="K63">
        <v>2.8184678000000001E-2</v>
      </c>
      <c r="L63">
        <v>5.2076272E-2</v>
      </c>
      <c r="M63">
        <v>4.0034909E-2</v>
      </c>
      <c r="N63">
        <v>1.9578640000000001E-2</v>
      </c>
      <c r="O63">
        <v>3.1510847000000002E-2</v>
      </c>
      <c r="P63">
        <v>2.5497013999999998E-2</v>
      </c>
      <c r="Q63">
        <v>5.9409999999999997E-4</v>
      </c>
      <c r="R63">
        <v>2.3587E-2</v>
      </c>
      <c r="X63">
        <f>+IF(Parámetros!$D$26="Antiguas",'COBERTURAS ADICIONALES'!AB63,'COBERTURAS ADICIONALES'!AC63)</f>
        <v>7.2059999999999984E-4</v>
      </c>
      <c r="AB63">
        <v>1.6012999999999999E-2</v>
      </c>
      <c r="AC63">
        <v>7.2059999999999984E-4</v>
      </c>
    </row>
    <row r="64" spans="1:29" x14ac:dyDescent="0.25">
      <c r="A64">
        <v>75</v>
      </c>
      <c r="E64">
        <v>7.2495199999999995E-4</v>
      </c>
      <c r="F64">
        <v>1.3104709999999999E-3</v>
      </c>
      <c r="G64">
        <v>1.01537E-3</v>
      </c>
      <c r="H64">
        <v>5.0941199999999999E-4</v>
      </c>
      <c r="I64">
        <v>8.0629300000000003E-4</v>
      </c>
      <c r="J64">
        <v>6.5666499999999996E-4</v>
      </c>
      <c r="K64">
        <v>3.1519644999999999E-2</v>
      </c>
      <c r="L64">
        <v>5.6977018999999997E-2</v>
      </c>
      <c r="M64">
        <v>4.4146502999999997E-2</v>
      </c>
      <c r="N64">
        <v>2.2148339999999999E-2</v>
      </c>
      <c r="O64">
        <v>3.5056220999999999E-2</v>
      </c>
      <c r="P64">
        <v>2.8550649000000001E-2</v>
      </c>
      <c r="Q64">
        <v>5.9409999999999997E-4</v>
      </c>
      <c r="R64">
        <v>3.5256999999999997E-2</v>
      </c>
      <c r="X64">
        <f>+IF(Parámetros!$D$26="Antiguas",'COBERTURAS ADICIONALES'!AB64,'COBERTURAS ADICIONALES'!AC64)</f>
        <v>8.2105000000000004E-4</v>
      </c>
      <c r="AB64">
        <v>1.8245999999999998E-2</v>
      </c>
      <c r="AC64">
        <v>8.2105000000000004E-4</v>
      </c>
    </row>
    <row r="65" spans="1:29" x14ac:dyDescent="0.25">
      <c r="A65">
        <v>76</v>
      </c>
      <c r="E65">
        <v>8.0774999999999998E-4</v>
      </c>
      <c r="F65">
        <v>1.426978E-3</v>
      </c>
      <c r="G65">
        <v>1.114887E-3</v>
      </c>
      <c r="H65">
        <v>5.7441299999999996E-4</v>
      </c>
      <c r="I65">
        <v>8.9333700000000002E-4</v>
      </c>
      <c r="J65">
        <v>7.3259900000000001E-4</v>
      </c>
      <c r="K65">
        <v>3.5119569000000003E-2</v>
      </c>
      <c r="L65">
        <v>6.2042541999999999E-2</v>
      </c>
      <c r="M65">
        <v>4.8473363999999998E-2</v>
      </c>
      <c r="N65">
        <v>2.4974474E-2</v>
      </c>
      <c r="O65">
        <v>3.8840740999999998E-2</v>
      </c>
      <c r="P65">
        <v>3.1852142E-2</v>
      </c>
      <c r="Q65">
        <v>5.9409999999999997E-4</v>
      </c>
      <c r="R65">
        <v>3.5256999999999997E-2</v>
      </c>
      <c r="X65">
        <f>+IF(Parámetros!$D$26="Antiguas",'COBERTURAS ADICIONALES'!AB65,'COBERTURAS ADICIONALES'!AC65)</f>
        <v>8.2105000000000004E-4</v>
      </c>
      <c r="AB65">
        <v>1.8245999999999998E-2</v>
      </c>
      <c r="AC65">
        <v>8.2105000000000004E-4</v>
      </c>
    </row>
    <row r="66" spans="1:29" x14ac:dyDescent="0.25">
      <c r="A66">
        <v>77</v>
      </c>
      <c r="E66">
        <v>8.94789E-4</v>
      </c>
      <c r="F66">
        <v>1.5452319999999999E-3</v>
      </c>
      <c r="G66">
        <v>1.217409E-3</v>
      </c>
      <c r="H66">
        <v>6.4438099999999997E-4</v>
      </c>
      <c r="I66">
        <v>9.8508899999999997E-4</v>
      </c>
      <c r="J66">
        <v>8.1337200000000003E-4</v>
      </c>
      <c r="K66">
        <v>3.8903871E-2</v>
      </c>
      <c r="L66">
        <v>6.7183988E-2</v>
      </c>
      <c r="M66">
        <v>5.2930809000000002E-2</v>
      </c>
      <c r="N66">
        <v>2.8016557000000001E-2</v>
      </c>
      <c r="O66">
        <v>4.2829966999999997E-2</v>
      </c>
      <c r="P66">
        <v>3.5364008000000002E-2</v>
      </c>
      <c r="Q66">
        <v>5.9409999999999997E-4</v>
      </c>
      <c r="R66">
        <v>3.5256999999999997E-2</v>
      </c>
      <c r="X66">
        <f>+IF(Parámetros!$D$26="Antiguas",'COBERTURAS ADICIONALES'!AB66,'COBERTURAS ADICIONALES'!AC66)</f>
        <v>8.2105000000000004E-4</v>
      </c>
      <c r="AB66">
        <v>1.8245999999999998E-2</v>
      </c>
      <c r="AC66">
        <v>8.2105000000000004E-4</v>
      </c>
    </row>
    <row r="67" spans="1:29" x14ac:dyDescent="0.25">
      <c r="A67">
        <v>78</v>
      </c>
      <c r="E67">
        <v>9.8562099999999989E-4</v>
      </c>
      <c r="F67">
        <v>1.6633259999999999E-3</v>
      </c>
      <c r="G67">
        <v>1.3217630000000001E-3</v>
      </c>
      <c r="H67">
        <v>7.1934799999999997E-4</v>
      </c>
      <c r="I67">
        <v>1.080611E-3</v>
      </c>
      <c r="J67">
        <v>8.9853399999999999E-4</v>
      </c>
      <c r="K67">
        <v>4.2853082000000001E-2</v>
      </c>
      <c r="L67">
        <v>7.2318522999999996E-2</v>
      </c>
      <c r="M67">
        <v>5.7467940000000002E-2</v>
      </c>
      <c r="N67">
        <v>3.1276014999999997E-2</v>
      </c>
      <c r="O67">
        <v>4.6983073E-2</v>
      </c>
      <c r="P67">
        <v>3.9066716000000001E-2</v>
      </c>
      <c r="Q67">
        <v>5.9409999999999997E-4</v>
      </c>
      <c r="R67">
        <v>3.5256999999999997E-2</v>
      </c>
      <c r="X67">
        <f>+IF(Parámetros!$D$26="Antiguas",'COBERTURAS ADICIONALES'!AB67,'COBERTURAS ADICIONALES'!AC67)</f>
        <v>8.2105000000000004E-4</v>
      </c>
      <c r="AB67">
        <v>1.8245999999999998E-2</v>
      </c>
      <c r="AC67">
        <v>8.2105000000000004E-4</v>
      </c>
    </row>
    <row r="68" spans="1:29" x14ac:dyDescent="0.25">
      <c r="A68">
        <v>79</v>
      </c>
      <c r="E68">
        <v>1.083112E-3</v>
      </c>
      <c r="F68">
        <v>1.784791E-3</v>
      </c>
      <c r="G68">
        <v>1.431145E-3</v>
      </c>
      <c r="H68">
        <v>8.0143300000000005E-4</v>
      </c>
      <c r="I68">
        <v>1.1823249999999999E-3</v>
      </c>
      <c r="J68">
        <v>9.9035599999999996E-4</v>
      </c>
      <c r="K68">
        <v>4.7091811999999997E-2</v>
      </c>
      <c r="L68">
        <v>7.7599614999999997E-2</v>
      </c>
      <c r="M68">
        <v>6.2223682000000002E-2</v>
      </c>
      <c r="N68">
        <v>3.4844933000000002E-2</v>
      </c>
      <c r="O68">
        <v>5.1405438999999997E-2</v>
      </c>
      <c r="P68">
        <v>4.3058944000000002E-2</v>
      </c>
      <c r="Q68">
        <v>5.9409999999999997E-4</v>
      </c>
      <c r="R68">
        <v>3.5256999999999997E-2</v>
      </c>
      <c r="X68">
        <f>+IF(Parámetros!$D$26="Antiguas",'COBERTURAS ADICIONALES'!AB68,'COBERTURAS ADICIONALES'!AC68)</f>
        <v>8.2105000000000004E-4</v>
      </c>
      <c r="AB68">
        <v>1.8245999999999998E-2</v>
      </c>
      <c r="AC68">
        <v>8.2105000000000004E-4</v>
      </c>
    </row>
    <row r="69" spans="1:29" x14ac:dyDescent="0.25">
      <c r="A69">
        <v>80</v>
      </c>
      <c r="E69">
        <v>1.191421E-3</v>
      </c>
      <c r="F69">
        <v>1.914968E-3</v>
      </c>
      <c r="G69">
        <v>1.5502999999999999E-3</v>
      </c>
      <c r="H69">
        <v>8.9417200000000004E-4</v>
      </c>
      <c r="I69">
        <v>1.2942419999999999E-3</v>
      </c>
      <c r="J69">
        <v>1.092607E-3</v>
      </c>
      <c r="K69">
        <v>5.1800932000000001E-2</v>
      </c>
      <c r="L69">
        <v>8.3259469000000003E-2</v>
      </c>
      <c r="M69">
        <v>6.7404365999999993E-2</v>
      </c>
      <c r="N69">
        <v>3.8877065000000002E-2</v>
      </c>
      <c r="O69">
        <v>5.6271398E-2</v>
      </c>
      <c r="P69">
        <v>4.7504654E-2</v>
      </c>
      <c r="Q69">
        <v>5.9409999999999997E-4</v>
      </c>
      <c r="R69">
        <v>3.6923999999999998E-2</v>
      </c>
      <c r="X69">
        <f>+IF(Parámetros!$D$26="Antiguas",'COBERTURAS ADICIONALES'!AB69,'COBERTURAS ADICIONALES'!AC69)</f>
        <v>8.5994999999999995E-4</v>
      </c>
      <c r="AB69">
        <v>1.9109999999999999E-2</v>
      </c>
      <c r="AC69">
        <v>8.5994999999999995E-4</v>
      </c>
    </row>
    <row r="70" spans="1:29" x14ac:dyDescent="0.25">
      <c r="A70">
        <v>81</v>
      </c>
      <c r="E70">
        <v>1.3141229999999999E-3</v>
      </c>
      <c r="F70">
        <v>2.057166E-3</v>
      </c>
      <c r="G70">
        <v>1.6826720000000001E-3</v>
      </c>
      <c r="H70">
        <v>1.000733E-3</v>
      </c>
      <c r="I70">
        <v>1.419305E-3</v>
      </c>
      <c r="J70">
        <v>1.208345E-3</v>
      </c>
      <c r="K70">
        <v>5.7135762E-2</v>
      </c>
      <c r="L70">
        <v>8.9442013000000001E-2</v>
      </c>
      <c r="M70">
        <v>7.3159662E-2</v>
      </c>
      <c r="N70">
        <v>4.3510140000000003E-2</v>
      </c>
      <c r="O70">
        <v>6.1708908E-2</v>
      </c>
      <c r="P70">
        <v>5.2536728999999997E-2</v>
      </c>
      <c r="Q70">
        <v>5.9409999999999997E-4</v>
      </c>
      <c r="R70">
        <v>3.6923999999999998E-2</v>
      </c>
      <c r="X70">
        <f>+IF(Parámetros!$D$26="Antiguas",'COBERTURAS ADICIONALES'!AB70,'COBERTURAS ADICIONALES'!AC70)</f>
        <v>8.5994999999999995E-4</v>
      </c>
      <c r="AB70">
        <v>1.9109999999999999E-2</v>
      </c>
      <c r="AC70">
        <v>8.5994999999999995E-4</v>
      </c>
    </row>
    <row r="71" spans="1:29" x14ac:dyDescent="0.25">
      <c r="A71">
        <v>82</v>
      </c>
      <c r="E71">
        <v>1.4546800000000001E-3</v>
      </c>
      <c r="F71">
        <v>2.215561E-3</v>
      </c>
      <c r="G71">
        <v>1.8320770000000001E-3</v>
      </c>
      <c r="H71">
        <v>1.124342E-3</v>
      </c>
      <c r="I71">
        <v>1.56123E-3</v>
      </c>
      <c r="J71">
        <v>1.341039E-3</v>
      </c>
      <c r="K71">
        <v>6.3246972999999998E-2</v>
      </c>
      <c r="L71">
        <v>9.6328742999999994E-2</v>
      </c>
      <c r="M71">
        <v>7.9655531000000002E-2</v>
      </c>
      <c r="N71">
        <v>4.8884456E-2</v>
      </c>
      <c r="O71">
        <v>6.7879585000000006E-2</v>
      </c>
      <c r="P71">
        <v>5.8306040000000003E-2</v>
      </c>
      <c r="Q71">
        <v>5.9409999999999997E-4</v>
      </c>
      <c r="R71">
        <v>3.6923999999999998E-2</v>
      </c>
      <c r="X71">
        <f>+IF(Parámetros!$D$26="Antiguas",'COBERTURAS ADICIONALES'!AB71,'COBERTURAS ADICIONALES'!AC71)</f>
        <v>8.5994999999999995E-4</v>
      </c>
      <c r="AB71">
        <v>1.9109999999999999E-2</v>
      </c>
      <c r="AC71">
        <v>8.5994999999999995E-4</v>
      </c>
    </row>
    <row r="72" spans="1:29" x14ac:dyDescent="0.25">
      <c r="A72">
        <v>83</v>
      </c>
      <c r="E72">
        <v>1.6147069999999999E-3</v>
      </c>
      <c r="F72">
        <v>2.391476E-3</v>
      </c>
      <c r="G72">
        <v>1.9999850000000001E-3</v>
      </c>
      <c r="H72">
        <v>1.267317E-3</v>
      </c>
      <c r="I72">
        <v>1.7219710000000001E-3</v>
      </c>
      <c r="J72">
        <v>1.4928249999999999E-3</v>
      </c>
      <c r="K72">
        <v>7.0204660000000002E-2</v>
      </c>
      <c r="L72">
        <v>0.10397722500000001</v>
      </c>
      <c r="M72">
        <v>8.6955852E-2</v>
      </c>
      <c r="N72">
        <v>5.5100747999999998E-2</v>
      </c>
      <c r="O72">
        <v>7.4868302999999997E-2</v>
      </c>
      <c r="P72">
        <v>6.4905455000000001E-2</v>
      </c>
      <c r="Q72">
        <v>5.9409999999999997E-4</v>
      </c>
      <c r="R72">
        <v>3.6923999999999998E-2</v>
      </c>
      <c r="X72">
        <f>+IF(Parámetros!$D$26="Antiguas",'COBERTURAS ADICIONALES'!AB72,'COBERTURAS ADICIONALES'!AC72)</f>
        <v>8.5994999999999995E-4</v>
      </c>
      <c r="AB72">
        <v>1.9109999999999999E-2</v>
      </c>
      <c r="AC72">
        <v>8.5994999999999995E-4</v>
      </c>
    </row>
    <row r="73" spans="1:29" x14ac:dyDescent="0.25">
      <c r="A73">
        <v>84</v>
      </c>
      <c r="E73">
        <v>1.8034100000000001E-3</v>
      </c>
      <c r="F73">
        <v>2.5784319999999999E-3</v>
      </c>
      <c r="G73">
        <v>2.1878209999999999E-3</v>
      </c>
      <c r="H73">
        <v>1.4265269999999999E-3</v>
      </c>
      <c r="I73">
        <v>1.8986630000000001E-3</v>
      </c>
      <c r="J73">
        <v>1.660707E-3</v>
      </c>
      <c r="K73">
        <v>7.8409114000000002E-2</v>
      </c>
      <c r="L73">
        <v>0.112105723</v>
      </c>
      <c r="M73">
        <v>9.5122631999999999E-2</v>
      </c>
      <c r="N73">
        <v>6.2022925999999999E-2</v>
      </c>
      <c r="O73">
        <v>8.2550562999999993E-2</v>
      </c>
      <c r="P73">
        <v>7.2204634000000004E-2</v>
      </c>
      <c r="Q73">
        <v>5.9409999999999997E-4</v>
      </c>
      <c r="R73">
        <v>3.6923999999999998E-2</v>
      </c>
      <c r="X73">
        <f>+IF(Parámetros!$D$26="Antiguas",'COBERTURAS ADICIONALES'!AB73,'COBERTURAS ADICIONALES'!AC73)</f>
        <v>8.5994999999999995E-4</v>
      </c>
      <c r="AB73">
        <v>1.9109999999999999E-2</v>
      </c>
      <c r="AC73">
        <v>8.5994999999999995E-4</v>
      </c>
    </row>
    <row r="74" spans="1:29" x14ac:dyDescent="0.25">
      <c r="A74">
        <v>85</v>
      </c>
      <c r="E74">
        <v>1.99278E-3</v>
      </c>
      <c r="F74">
        <v>2.7703379999999998E-3</v>
      </c>
      <c r="G74">
        <v>2.3784489999999999E-3</v>
      </c>
      <c r="H74">
        <v>1.6019420000000001E-3</v>
      </c>
      <c r="I74">
        <v>2.087537E-3</v>
      </c>
      <c r="J74">
        <v>1.842797E-3</v>
      </c>
      <c r="K74">
        <v>8.6642601999999999E-2</v>
      </c>
      <c r="L74">
        <v>0.12044948799999999</v>
      </c>
      <c r="M74">
        <v>0.103410817</v>
      </c>
      <c r="N74">
        <v>6.9649646999999995E-2</v>
      </c>
      <c r="O74">
        <v>9.0762485000000004E-2</v>
      </c>
      <c r="P74">
        <v>8.0121614999999993E-2</v>
      </c>
      <c r="Q74">
        <v>5.9409999999999997E-4</v>
      </c>
      <c r="R74">
        <v>4.9249000000000001E-2</v>
      </c>
      <c r="X74">
        <f>+IF(Parámetros!$D$26="Antiguas",'COBERTURAS ADICIONALES'!AB74,'COBERTURAS ADICIONALES'!AC74)</f>
        <v>7.7394999999999992E-4</v>
      </c>
      <c r="AB74">
        <v>1.7198999999999999E-2</v>
      </c>
      <c r="AC74">
        <v>7.7394999999999992E-4</v>
      </c>
    </row>
    <row r="75" spans="1:29" x14ac:dyDescent="0.25">
      <c r="A75">
        <v>86</v>
      </c>
      <c r="E75">
        <v>2.208916E-3</v>
      </c>
      <c r="F75">
        <v>2.9609979999999998E-3</v>
      </c>
      <c r="G75">
        <v>2.581949E-3</v>
      </c>
      <c r="H75">
        <v>1.7905460000000001E-3</v>
      </c>
      <c r="I75">
        <v>2.2850399999999999E-3</v>
      </c>
      <c r="J75">
        <v>2.0358149999999998E-3</v>
      </c>
      <c r="K75">
        <v>9.6039814000000001E-2</v>
      </c>
      <c r="L75">
        <v>0.128739045</v>
      </c>
      <c r="M75">
        <v>0.112258632</v>
      </c>
      <c r="N75">
        <v>7.7849846E-2</v>
      </c>
      <c r="O75">
        <v>9.9349563000000002E-2</v>
      </c>
      <c r="P75">
        <v>8.8513704999999998E-2</v>
      </c>
      <c r="Q75">
        <v>5.9409999999999997E-4</v>
      </c>
      <c r="R75">
        <v>4.9249000000000001E-2</v>
      </c>
      <c r="X75">
        <f>+IF(Parámetros!$D$26="Antiguas",'COBERTURAS ADICIONALES'!AB75,'COBERTURAS ADICIONALES'!AC75)</f>
        <v>7.7394999999999992E-4</v>
      </c>
      <c r="AB75">
        <v>1.7198999999999999E-2</v>
      </c>
      <c r="AC75">
        <v>7.7394999999999992E-4</v>
      </c>
    </row>
    <row r="76" spans="1:29" x14ac:dyDescent="0.25">
      <c r="A76">
        <v>87</v>
      </c>
      <c r="E76">
        <v>2.4181789999999999E-3</v>
      </c>
      <c r="F76">
        <v>3.1475790000000002E-3</v>
      </c>
      <c r="G76">
        <v>2.779962E-3</v>
      </c>
      <c r="H76">
        <v>1.9937449999999999E-3</v>
      </c>
      <c r="I76">
        <v>2.489588E-3</v>
      </c>
      <c r="J76">
        <v>2.2396830000000001E-3</v>
      </c>
      <c r="K76">
        <v>0.10513823899999999</v>
      </c>
      <c r="L76">
        <v>0.13685127399999999</v>
      </c>
      <c r="M76">
        <v>0.120867905</v>
      </c>
      <c r="N76">
        <v>8.6684583999999995E-2</v>
      </c>
      <c r="O76">
        <v>0.10824294600000001</v>
      </c>
      <c r="P76">
        <v>9.7377531000000003E-2</v>
      </c>
      <c r="Q76">
        <v>5.9409999999999997E-4</v>
      </c>
      <c r="R76">
        <v>4.9249000000000001E-2</v>
      </c>
      <c r="X76">
        <f>+IF(Parámetros!$D$26="Antiguas",'COBERTURAS ADICIONALES'!AB76,'COBERTURAS ADICIONALES'!AC76)</f>
        <v>7.7394999999999992E-4</v>
      </c>
      <c r="AB76">
        <v>1.7198999999999999E-2</v>
      </c>
      <c r="AC76">
        <v>7.7394999999999992E-4</v>
      </c>
    </row>
    <row r="77" spans="1:29" x14ac:dyDescent="0.25">
      <c r="A77">
        <v>88</v>
      </c>
      <c r="E77">
        <v>2.6560049999999999E-3</v>
      </c>
      <c r="F77">
        <v>3.3521860000000001E-3</v>
      </c>
      <c r="G77">
        <v>3.001311E-3</v>
      </c>
      <c r="H77">
        <v>2.209515E-3</v>
      </c>
      <c r="I77">
        <v>2.6971949999999999E-3</v>
      </c>
      <c r="J77">
        <v>2.4514039999999999E-3</v>
      </c>
      <c r="K77">
        <v>0.115478471</v>
      </c>
      <c r="L77">
        <v>0.14574721900000001</v>
      </c>
      <c r="M77">
        <v>0.13049177000000001</v>
      </c>
      <c r="N77">
        <v>9.6065864000000001E-2</v>
      </c>
      <c r="O77">
        <v>0.11726935400000001</v>
      </c>
      <c r="P77">
        <v>0.10658279499999999</v>
      </c>
      <c r="Q77">
        <v>5.9409999999999997E-4</v>
      </c>
      <c r="R77">
        <v>4.9249000000000001E-2</v>
      </c>
      <c r="X77">
        <f>+IF(Parámetros!$D$26="Antiguas",'COBERTURAS ADICIONALES'!AB77,'COBERTURAS ADICIONALES'!AC77)</f>
        <v>7.7394999999999992E-4</v>
      </c>
      <c r="AB77">
        <v>1.7198999999999999E-2</v>
      </c>
      <c r="AC77">
        <v>7.7394999999999992E-4</v>
      </c>
    </row>
    <row r="78" spans="1:29" x14ac:dyDescent="0.25">
      <c r="A78">
        <v>89</v>
      </c>
      <c r="E78">
        <v>2.883343E-3</v>
      </c>
      <c r="F78">
        <v>3.5551649999999999E-3</v>
      </c>
      <c r="G78">
        <v>3.216567E-3</v>
      </c>
      <c r="H78">
        <v>2.4415029999999998E-3</v>
      </c>
      <c r="I78">
        <v>2.910761E-3</v>
      </c>
      <c r="J78">
        <v>2.6742549999999999E-3</v>
      </c>
      <c r="K78">
        <v>0.12536273000000001</v>
      </c>
      <c r="L78">
        <v>0.154572397</v>
      </c>
      <c r="M78">
        <v>0.13985072500000001</v>
      </c>
      <c r="N78">
        <v>0.10615232300000001</v>
      </c>
      <c r="O78">
        <v>0.12655481900000001</v>
      </c>
      <c r="P78">
        <v>0.11627196099999999</v>
      </c>
      <c r="Q78">
        <v>5.9409999999999997E-4</v>
      </c>
      <c r="R78">
        <v>4.9249000000000001E-2</v>
      </c>
      <c r="X78">
        <f>+IF(Parámetros!$D$26="Antiguas",'COBERTURAS ADICIONALES'!AB78,'COBERTURAS ADICIONALES'!AC78)</f>
        <v>7.7394999999999992E-4</v>
      </c>
      <c r="AB78">
        <v>1.7198999999999999E-2</v>
      </c>
      <c r="AC78">
        <v>7.7394999999999992E-4</v>
      </c>
    </row>
    <row r="79" spans="1:29" x14ac:dyDescent="0.25">
      <c r="A79">
        <v>90</v>
      </c>
      <c r="E79">
        <v>3.1467499999999998E-3</v>
      </c>
      <c r="F79">
        <v>3.7595269999999999E-3</v>
      </c>
      <c r="G79">
        <v>3.4506879999999999E-3</v>
      </c>
      <c r="H79">
        <v>2.6898080000000001E-3</v>
      </c>
      <c r="I79">
        <v>3.1334240000000001E-3</v>
      </c>
      <c r="J79">
        <v>2.9098409999999998E-3</v>
      </c>
      <c r="K79">
        <v>0.13681523300000001</v>
      </c>
      <c r="L79">
        <v>0.16345771200000001</v>
      </c>
      <c r="M79">
        <v>0.15002990299999999</v>
      </c>
      <c r="N79">
        <v>0.11694816800000001</v>
      </c>
      <c r="O79">
        <v>0.13623581000000001</v>
      </c>
      <c r="P79">
        <v>0.12651483899999999</v>
      </c>
      <c r="Q79">
        <v>5.9409999999999997E-4</v>
      </c>
      <c r="R79">
        <v>4.9249000000000001E-2</v>
      </c>
      <c r="X79">
        <f>+IF(Parámetros!$D$26="Antiguas",'COBERTURAS ADICIONALES'!AB79,'COBERTURAS ADICIONALES'!AC79)</f>
        <v>7.7394999999999992E-4</v>
      </c>
      <c r="AB79">
        <v>1.7198999999999999E-2</v>
      </c>
      <c r="AC79">
        <v>7.7394999999999992E-4</v>
      </c>
    </row>
    <row r="80" spans="1:29" x14ac:dyDescent="0.25">
      <c r="A80">
        <v>91</v>
      </c>
      <c r="E80">
        <v>3.4294130000000001E-3</v>
      </c>
      <c r="F80">
        <v>3.9693630000000001E-3</v>
      </c>
      <c r="G80">
        <v>3.6972279999999999E-3</v>
      </c>
      <c r="H80">
        <v>2.9597769999999998E-3</v>
      </c>
      <c r="I80">
        <v>3.3691860000000001E-3</v>
      </c>
      <c r="J80">
        <v>3.1628440000000002E-3</v>
      </c>
      <c r="K80">
        <v>0.149104923</v>
      </c>
      <c r="L80">
        <v>0.172580978</v>
      </c>
      <c r="M80">
        <v>0.16074904700000001</v>
      </c>
      <c r="N80">
        <v>0.12868596900000001</v>
      </c>
      <c r="O80">
        <v>0.14648635400000001</v>
      </c>
      <c r="P80">
        <v>0.13751495999999999</v>
      </c>
      <c r="Q80">
        <v>5.9409999999999997E-4</v>
      </c>
      <c r="R80">
        <v>4.9249000000000001E-2</v>
      </c>
      <c r="X80">
        <f>+IF(Parámetros!$D$26="Antiguas",'COBERTURAS ADICIONALES'!AB80,'COBERTURAS ADICIONALES'!AC80)</f>
        <v>7.7394999999999992E-4</v>
      </c>
      <c r="AB80">
        <v>1.7198999999999999E-2</v>
      </c>
      <c r="AC80">
        <v>7.7394999999999992E-4</v>
      </c>
    </row>
    <row r="81" spans="1:29" x14ac:dyDescent="0.25">
      <c r="A81">
        <v>92</v>
      </c>
      <c r="E81">
        <v>3.740171E-3</v>
      </c>
      <c r="F81">
        <v>4.1936179999999997E-3</v>
      </c>
      <c r="G81">
        <v>3.9650809999999996E-3</v>
      </c>
      <c r="H81">
        <v>3.2598729999999999E-3</v>
      </c>
      <c r="I81">
        <v>3.6261729999999999E-3</v>
      </c>
      <c r="J81">
        <v>3.4415579999999999E-3</v>
      </c>
      <c r="K81">
        <v>0.162616118</v>
      </c>
      <c r="L81">
        <v>0.18233123900000001</v>
      </c>
      <c r="M81">
        <v>0.17239481800000001</v>
      </c>
      <c r="N81">
        <v>0.141733626</v>
      </c>
      <c r="O81">
        <v>0.15765968699999999</v>
      </c>
      <c r="P81">
        <v>0.14963295200000001</v>
      </c>
      <c r="Q81">
        <v>5.9409999999999997E-4</v>
      </c>
      <c r="R81">
        <v>4.9249000000000001E-2</v>
      </c>
      <c r="X81">
        <f>+IF(Parámetros!$D$26="Antiguas",'COBERTURAS ADICIONALES'!AB81,'COBERTURAS ADICIONALES'!AC81)</f>
        <v>7.7394999999999992E-4</v>
      </c>
      <c r="AB81">
        <v>1.7198999999999999E-2</v>
      </c>
      <c r="AC81">
        <v>7.7394999999999992E-4</v>
      </c>
    </row>
    <row r="82" spans="1:29" x14ac:dyDescent="0.25">
      <c r="A82">
        <v>93</v>
      </c>
      <c r="E82">
        <v>4.0953350000000003E-3</v>
      </c>
      <c r="F82">
        <v>4.4836490000000001E-3</v>
      </c>
      <c r="G82">
        <v>4.2879390000000002E-3</v>
      </c>
      <c r="H82">
        <v>3.6055689999999999E-3</v>
      </c>
      <c r="I82">
        <v>3.9159399999999997E-3</v>
      </c>
      <c r="J82">
        <v>3.7595129999999999E-3</v>
      </c>
      <c r="K82">
        <v>0.178058048</v>
      </c>
      <c r="L82">
        <v>0.194941261</v>
      </c>
      <c r="M82">
        <v>0.18643212200000001</v>
      </c>
      <c r="N82">
        <v>0.156763878</v>
      </c>
      <c r="O82">
        <v>0.17025826899999999</v>
      </c>
      <c r="P82">
        <v>0.163457096</v>
      </c>
      <c r="Q82">
        <v>5.9409999999999997E-4</v>
      </c>
      <c r="R82">
        <v>4.9249000000000001E-2</v>
      </c>
      <c r="X82">
        <f>+IF(Parámetros!$D$26="Antiguas",'COBERTURAS ADICIONALES'!AB82,'COBERTURAS ADICIONALES'!AC82)</f>
        <v>7.7394999999999992E-4</v>
      </c>
      <c r="AB82">
        <v>1.7198999999999999E-2</v>
      </c>
      <c r="AC82">
        <v>7.7394999999999992E-4</v>
      </c>
    </row>
    <row r="83" spans="1:29" x14ac:dyDescent="0.25">
      <c r="A83">
        <v>94</v>
      </c>
      <c r="E83">
        <v>4.5353249999999998E-3</v>
      </c>
      <c r="F83">
        <v>4.8604049999999999E-3</v>
      </c>
      <c r="G83">
        <v>4.6965649999999998E-3</v>
      </c>
      <c r="H83">
        <v>4.0346940000000001E-3</v>
      </c>
      <c r="I83">
        <v>4.2890990000000002E-3</v>
      </c>
      <c r="J83">
        <v>4.1608779999999998E-3</v>
      </c>
      <c r="K83">
        <v>0.197188049</v>
      </c>
      <c r="L83">
        <v>0.21132197599999999</v>
      </c>
      <c r="M83">
        <v>0.20419847699999999</v>
      </c>
      <c r="N83">
        <v>0.17542146</v>
      </c>
      <c r="O83">
        <v>0.18648255</v>
      </c>
      <c r="P83">
        <v>0.180907761</v>
      </c>
      <c r="Q83">
        <v>5.9409999999999997E-4</v>
      </c>
      <c r="R83">
        <v>4.9249000000000001E-2</v>
      </c>
      <c r="X83">
        <f>+IF(Parámetros!$D$26="Antiguas",'COBERTURAS ADICIONALES'!AB83,'COBERTURAS ADICIONALES'!AC83)</f>
        <v>7.7394999999999992E-4</v>
      </c>
      <c r="AB83">
        <v>1.7198999999999999E-2</v>
      </c>
      <c r="AC83">
        <v>7.7394999999999992E-4</v>
      </c>
    </row>
    <row r="84" spans="1:29" x14ac:dyDescent="0.25">
      <c r="A84">
        <v>95</v>
      </c>
      <c r="E84">
        <v>5.1941449999999998E-3</v>
      </c>
      <c r="F84">
        <v>5.4158899999999996E-3</v>
      </c>
      <c r="G84">
        <v>5.3041310000000001E-3</v>
      </c>
      <c r="H84">
        <v>4.6302640000000003E-3</v>
      </c>
      <c r="I84">
        <v>4.8313200000000001E-3</v>
      </c>
      <c r="J84">
        <v>4.7299880000000001E-3</v>
      </c>
      <c r="K84">
        <v>0.225832385</v>
      </c>
      <c r="L84">
        <v>0.23547349300000001</v>
      </c>
      <c r="M84">
        <v>0.23061437500000001</v>
      </c>
      <c r="N84">
        <v>0.20131581100000001</v>
      </c>
      <c r="O84">
        <v>0.210057401</v>
      </c>
      <c r="P84">
        <v>0.205651639</v>
      </c>
      <c r="Q84">
        <v>5.9409999999999997E-4</v>
      </c>
      <c r="R84">
        <v>4.9249000000000001E-2</v>
      </c>
      <c r="X84">
        <f>+IF(Parámetros!$D$26="Antiguas",'COBERTURAS ADICIONALES'!AB84,'COBERTURAS ADICIONALES'!AC84)</f>
        <v>7.7394999999999992E-4</v>
      </c>
      <c r="AB84">
        <v>1.7198999999999999E-2</v>
      </c>
      <c r="AC84">
        <v>7.7394999999999992E-4</v>
      </c>
    </row>
    <row r="85" spans="1:29" x14ac:dyDescent="0.25">
      <c r="A85">
        <v>96</v>
      </c>
      <c r="E85">
        <v>6.2308520000000003E-3</v>
      </c>
      <c r="F85">
        <v>6.3899129999999997E-3</v>
      </c>
      <c r="G85">
        <v>6.3097459999999998E-3</v>
      </c>
      <c r="H85">
        <v>5.5729350000000002E-3</v>
      </c>
      <c r="I85">
        <v>5.7181869999999996E-3</v>
      </c>
      <c r="J85">
        <v>5.64498E-3</v>
      </c>
      <c r="K85">
        <v>0.27090659700000003</v>
      </c>
      <c r="L85">
        <v>0.27782231000000002</v>
      </c>
      <c r="M85">
        <v>0.27433679100000002</v>
      </c>
      <c r="N85">
        <v>0.24230152499999999</v>
      </c>
      <c r="O85">
        <v>0.24861683100000001</v>
      </c>
      <c r="P85">
        <v>0.245433917</v>
      </c>
      <c r="Q85">
        <v>5.9409999999999997E-4</v>
      </c>
      <c r="R85">
        <v>4.9249000000000001E-2</v>
      </c>
      <c r="X85">
        <f>+IF(Parámetros!$D$26="Antiguas",'COBERTURAS ADICIONALES'!AB85,'COBERTURAS ADICIONALES'!AC85)</f>
        <v>7.7394999999999992E-4</v>
      </c>
      <c r="AB85">
        <v>1.7198999999999999E-2</v>
      </c>
      <c r="AC85">
        <v>7.7394999999999992E-4</v>
      </c>
    </row>
    <row r="86" spans="1:29" x14ac:dyDescent="0.25">
      <c r="A86">
        <v>97</v>
      </c>
      <c r="E86">
        <v>8.0686720000000007E-3</v>
      </c>
      <c r="F86">
        <v>8.1685709999999995E-3</v>
      </c>
      <c r="G86">
        <v>8.1182219999999996E-3</v>
      </c>
      <c r="H86">
        <v>7.2619099999999999E-3</v>
      </c>
      <c r="I86">
        <v>7.3544190000000001E-3</v>
      </c>
      <c r="J86">
        <v>7.3077949999999997E-3</v>
      </c>
      <c r="K86">
        <v>0.35081183700000002</v>
      </c>
      <c r="L86">
        <v>0.35515525799999997</v>
      </c>
      <c r="M86">
        <v>0.35296617400000002</v>
      </c>
      <c r="N86">
        <v>0.31573523799999997</v>
      </c>
      <c r="O86">
        <v>0.31975736199999999</v>
      </c>
      <c r="P86">
        <v>0.31773021200000001</v>
      </c>
      <c r="Q86">
        <v>5.9409999999999997E-4</v>
      </c>
      <c r="R86">
        <v>4.9249000000000001E-2</v>
      </c>
      <c r="X86">
        <f>+IF(Parámetros!$D$26="Antiguas",'COBERTURAS ADICIONALES'!AB86,'COBERTURAS ADICIONALES'!AC86)</f>
        <v>7.7394999999999992E-4</v>
      </c>
      <c r="AB86">
        <v>1.7198999999999999E-2</v>
      </c>
      <c r="AC86">
        <v>7.7394999999999992E-4</v>
      </c>
    </row>
    <row r="87" spans="1:29" x14ac:dyDescent="0.25">
      <c r="A87">
        <v>98</v>
      </c>
      <c r="E87">
        <v>1.1751466E-2</v>
      </c>
      <c r="F87">
        <v>1.1798196E-2</v>
      </c>
      <c r="G87">
        <v>1.1774644000000001E-2</v>
      </c>
      <c r="H87">
        <v>1.0727545999999999E-2</v>
      </c>
      <c r="I87">
        <v>1.0772331E-2</v>
      </c>
      <c r="J87">
        <v>1.0749758999999999E-2</v>
      </c>
      <c r="K87">
        <v>0.51093330100000001</v>
      </c>
      <c r="L87">
        <v>0.51296506100000006</v>
      </c>
      <c r="M87">
        <v>0.51194105400000001</v>
      </c>
      <c r="N87">
        <v>0.46641502699999998</v>
      </c>
      <c r="O87">
        <v>0.46836222599999999</v>
      </c>
      <c r="P87">
        <v>0.46738083800000002</v>
      </c>
      <c r="Q87">
        <v>5.9409999999999997E-4</v>
      </c>
      <c r="R87">
        <v>4.9249000000000001E-2</v>
      </c>
      <c r="X87">
        <f>+IF(Parámetros!$D$26="Antiguas",'COBERTURAS ADICIONALES'!AB87,'COBERTURAS ADICIONALES'!AC87)</f>
        <v>7.7394999999999992E-4</v>
      </c>
      <c r="AB87">
        <v>1.7198999999999999E-2</v>
      </c>
      <c r="AC87">
        <v>7.7394999999999992E-4</v>
      </c>
    </row>
    <row r="88" spans="1:29" x14ac:dyDescent="0.25">
      <c r="A88">
        <v>99</v>
      </c>
      <c r="E88">
        <v>2.3E-2</v>
      </c>
      <c r="F88">
        <v>2.3E-2</v>
      </c>
      <c r="G88">
        <v>2.3E-2</v>
      </c>
      <c r="H88">
        <v>2.3E-2</v>
      </c>
      <c r="I88">
        <v>2.3E-2</v>
      </c>
      <c r="J88">
        <v>2.3E-2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5.9409999999999997E-4</v>
      </c>
      <c r="R88">
        <v>4.9249000000000001E-2</v>
      </c>
      <c r="X88">
        <f>+IF(Parámetros!$D$26="Antiguas",'COBERTURAS ADICIONALES'!AB88,'COBERTURAS ADICIONALES'!AC88)</f>
        <v>7.7394999999999992E-4</v>
      </c>
      <c r="AB88">
        <v>1.7198999999999999E-2</v>
      </c>
      <c r="AC88">
        <v>7.7394999999999992E-4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Z88"/>
  <sheetViews>
    <sheetView topLeftCell="K12" zoomScale="115" zoomScaleNormal="115" workbookViewId="0">
      <selection activeCell="Y16" sqref="Y16:Y19"/>
    </sheetView>
  </sheetViews>
  <sheetFormatPr baseColWidth="10" defaultColWidth="11" defaultRowHeight="10.199999999999999" x14ac:dyDescent="0.25"/>
  <cols>
    <col min="1" max="1" width="11" style="1"/>
    <col min="2" max="2" width="4.59765625" style="1" customWidth="1"/>
    <col min="3" max="3" width="11" style="1" customWidth="1"/>
    <col min="4" max="5" width="4.59765625" style="1" customWidth="1"/>
    <col min="6" max="6" width="11" style="1" customWidth="1"/>
    <col min="7" max="8" width="4.59765625" style="1" customWidth="1"/>
    <col min="9" max="9" width="11" style="1" customWidth="1"/>
    <col min="10" max="11" width="4.59765625" style="1" customWidth="1"/>
    <col min="12" max="12" width="11" style="1" customWidth="1"/>
    <col min="13" max="13" width="4.59765625" style="1" customWidth="1"/>
    <col min="14" max="14" width="4.59765625" style="2" customWidth="1"/>
    <col min="15" max="15" width="11" style="1"/>
    <col min="16" max="16" width="4.59765625" style="1" customWidth="1"/>
    <col min="17" max="17" width="4.59765625" style="2" customWidth="1"/>
    <col min="18" max="19" width="11" style="1"/>
    <col min="20" max="20" width="4.59765625" style="1" customWidth="1"/>
    <col min="21" max="21" width="17.19921875" style="1" customWidth="1"/>
    <col min="22" max="22" width="11" style="1"/>
    <col min="23" max="23" width="4.59765625" style="1" customWidth="1"/>
    <col min="24" max="16384" width="11" style="1"/>
  </cols>
  <sheetData>
    <row r="1" spans="1:26" x14ac:dyDescent="0.25">
      <c r="Y1" s="1" t="s">
        <v>5</v>
      </c>
      <c r="Z1" s="1" t="s">
        <v>45</v>
      </c>
    </row>
    <row r="2" spans="1:26" x14ac:dyDescent="0.25">
      <c r="B2" s="298" t="s">
        <v>30</v>
      </c>
      <c r="C2" s="299"/>
      <c r="E2" s="298" t="s">
        <v>31</v>
      </c>
      <c r="F2" s="299"/>
      <c r="H2" s="298" t="s">
        <v>32</v>
      </c>
      <c r="I2" s="299"/>
      <c r="K2" s="298" t="s">
        <v>33</v>
      </c>
      <c r="L2" s="299"/>
      <c r="N2" s="305" t="s">
        <v>34</v>
      </c>
      <c r="O2" s="305"/>
      <c r="Q2" s="303" t="s">
        <v>46</v>
      </c>
      <c r="R2" s="303"/>
      <c r="S2" s="51"/>
      <c r="Y2" s="1" t="s">
        <v>44</v>
      </c>
      <c r="Z2" s="1" t="s">
        <v>17</v>
      </c>
    </row>
    <row r="3" spans="1:26" x14ac:dyDescent="0.25">
      <c r="B3" s="297" t="s">
        <v>3</v>
      </c>
      <c r="C3" s="295" t="s">
        <v>35</v>
      </c>
      <c r="E3" s="300" t="s">
        <v>3</v>
      </c>
      <c r="F3" s="295" t="s">
        <v>35</v>
      </c>
      <c r="H3" s="297" t="s">
        <v>3</v>
      </c>
      <c r="I3" s="295" t="s">
        <v>35</v>
      </c>
      <c r="K3" s="297" t="s">
        <v>3</v>
      </c>
      <c r="L3" s="295" t="s">
        <v>35</v>
      </c>
      <c r="N3" s="297" t="s">
        <v>3</v>
      </c>
      <c r="O3" s="304" t="s">
        <v>36</v>
      </c>
      <c r="Q3" s="297" t="s">
        <v>3</v>
      </c>
      <c r="R3" s="295" t="s">
        <v>35</v>
      </c>
      <c r="S3" s="52"/>
    </row>
    <row r="4" spans="1:26" x14ac:dyDescent="0.25">
      <c r="B4" s="297"/>
      <c r="C4" s="296"/>
      <c r="E4" s="301"/>
      <c r="F4" s="296"/>
      <c r="H4" s="297"/>
      <c r="I4" s="296"/>
      <c r="K4" s="297"/>
      <c r="L4" s="296"/>
      <c r="N4" s="297"/>
      <c r="O4" s="304"/>
      <c r="Q4" s="297"/>
      <c r="R4" s="296"/>
      <c r="S4" s="52"/>
      <c r="U4" s="4" t="s">
        <v>37</v>
      </c>
      <c r="V4" s="5">
        <f>+VLOOKUP(edad1,'TABLAS MORT'!$N$5:$O$88,2,FALSE)</f>
        <v>1.9595024456006114</v>
      </c>
    </row>
    <row r="5" spans="1:26" x14ac:dyDescent="0.25">
      <c r="A5" s="8" t="s">
        <v>16</v>
      </c>
      <c r="B5" s="9">
        <v>16</v>
      </c>
      <c r="C5" s="10">
        <v>6.6394880547293589E-4</v>
      </c>
      <c r="E5" s="9">
        <v>16</v>
      </c>
      <c r="F5" s="10">
        <v>1.2543075202231524E-3</v>
      </c>
      <c r="H5" s="9">
        <v>16</v>
      </c>
      <c r="I5" s="10">
        <v>5.1830141611164393E-4</v>
      </c>
      <c r="K5" s="9">
        <v>16</v>
      </c>
      <c r="L5" s="10">
        <v>8.4233511123832372E-4</v>
      </c>
      <c r="N5" s="9">
        <f>+K5</f>
        <v>16</v>
      </c>
      <c r="O5" s="5">
        <f t="shared" ref="O5:O68" si="0">+F5/L5</f>
        <v>1.4890837429051065</v>
      </c>
      <c r="Q5" s="9">
        <v>16</v>
      </c>
      <c r="R5" s="21">
        <f>+IF(AND($V$7=2,$V$8=1),C5,IF(AND($V$7=2,$V$8=2),I5,IF(AND($V$7=1,$V$8=1),F5,L5)))</f>
        <v>5.1830141611164393E-4</v>
      </c>
      <c r="S5" s="53"/>
    </row>
    <row r="6" spans="1:26" x14ac:dyDescent="0.25">
      <c r="A6" s="11">
        <f>+v</f>
        <v>0.94786729857819907</v>
      </c>
      <c r="B6" s="9">
        <v>17</v>
      </c>
      <c r="C6" s="10">
        <v>6.9748732236374344E-4</v>
      </c>
      <c r="E6" s="9">
        <v>17</v>
      </c>
      <c r="F6" s="10">
        <v>1.3750838330257587E-3</v>
      </c>
      <c r="H6" s="9">
        <v>17</v>
      </c>
      <c r="I6" s="10">
        <v>5.4186502983577522E-4</v>
      </c>
      <c r="K6" s="9">
        <v>17</v>
      </c>
      <c r="L6" s="10">
        <v>9.0715065449586962E-4</v>
      </c>
      <c r="N6" s="9">
        <f t="shared" ref="N6:N69" si="1">+K6</f>
        <v>17</v>
      </c>
      <c r="O6" s="5">
        <f t="shared" si="0"/>
        <v>1.5158274165496064</v>
      </c>
      <c r="Q6" s="9">
        <v>17</v>
      </c>
      <c r="R6" s="21">
        <f t="shared" ref="R6:R69" si="2">+IF(AND($V$7=2,$V$8=1),C6,IF(AND($V$7=2,$V$8=2),I6,IF(AND($V$7=1,$V$8=1),F6,L6)))</f>
        <v>5.4186502983577522E-4</v>
      </c>
      <c r="S6" s="53"/>
      <c r="U6" s="302" t="s">
        <v>0</v>
      </c>
      <c r="V6" s="302"/>
    </row>
    <row r="7" spans="1:26" x14ac:dyDescent="0.25">
      <c r="B7" s="9">
        <v>18</v>
      </c>
      <c r="C7" s="10">
        <v>7.3102639230437916E-4</v>
      </c>
      <c r="E7" s="9">
        <v>18</v>
      </c>
      <c r="F7" s="10">
        <v>1.4488951128343031E-3</v>
      </c>
      <c r="H7" s="9">
        <v>18</v>
      </c>
      <c r="I7" s="10">
        <v>5.5953799466479381E-4</v>
      </c>
      <c r="K7" s="9">
        <v>18</v>
      </c>
      <c r="L7" s="10">
        <v>9.4250582455968068E-4</v>
      </c>
      <c r="N7" s="9">
        <f t="shared" si="1"/>
        <v>18</v>
      </c>
      <c r="O7" s="5">
        <f t="shared" si="0"/>
        <v>1.5372797441450263</v>
      </c>
      <c r="Q7" s="9">
        <v>18</v>
      </c>
      <c r="R7" s="21">
        <f t="shared" si="2"/>
        <v>5.5953799466479381E-4</v>
      </c>
      <c r="S7" s="53"/>
      <c r="U7" s="4" t="s">
        <v>1</v>
      </c>
      <c r="V7" s="9">
        <f>+IF(sexo1=U11,V11,V12)</f>
        <v>2</v>
      </c>
    </row>
    <row r="8" spans="1:26" x14ac:dyDescent="0.25">
      <c r="A8" s="1" t="s">
        <v>38</v>
      </c>
      <c r="B8" s="9">
        <v>19</v>
      </c>
      <c r="C8" s="10">
        <v>7.5785804647721111E-4</v>
      </c>
      <c r="E8" s="9">
        <v>19</v>
      </c>
      <c r="F8" s="10">
        <v>1.5159986025617966E-3</v>
      </c>
      <c r="H8" s="9">
        <v>19</v>
      </c>
      <c r="I8" s="10">
        <v>5.7721117767772778E-4</v>
      </c>
      <c r="K8" s="9">
        <v>19</v>
      </c>
      <c r="L8" s="10">
        <v>9.7786186816117837E-4</v>
      </c>
      <c r="N8" s="9">
        <f t="shared" si="1"/>
        <v>19</v>
      </c>
      <c r="O8" s="5">
        <f t="shared" si="0"/>
        <v>1.5503197863851244</v>
      </c>
      <c r="Q8" s="9">
        <v>19</v>
      </c>
      <c r="R8" s="21">
        <f t="shared" si="2"/>
        <v>5.7721117767772778E-4</v>
      </c>
      <c r="S8" s="53"/>
      <c r="U8" s="4" t="s">
        <v>2</v>
      </c>
      <c r="V8" s="9">
        <f>+IF(fumador1='TABLAS MORT'!$U$13,1,2)</f>
        <v>2</v>
      </c>
    </row>
    <row r="9" spans="1:26" x14ac:dyDescent="0.25">
      <c r="A9" s="2">
        <f>+i</f>
        <v>5.5E-2</v>
      </c>
      <c r="B9" s="9">
        <v>20</v>
      </c>
      <c r="C9" s="10">
        <v>7.7798201941470246E-4</v>
      </c>
      <c r="E9" s="9">
        <v>20</v>
      </c>
      <c r="F9" s="10">
        <v>1.5495511783305549E-3</v>
      </c>
      <c r="H9" s="9">
        <v>20</v>
      </c>
      <c r="I9" s="10">
        <v>5.94884578883903E-4</v>
      </c>
      <c r="K9" s="9">
        <v>20</v>
      </c>
      <c r="L9" s="10">
        <v>9.8964741016061009E-4</v>
      </c>
      <c r="N9" s="9">
        <f t="shared" si="1"/>
        <v>20</v>
      </c>
      <c r="O9" s="5">
        <f t="shared" si="0"/>
        <v>1.5657608582829292</v>
      </c>
      <c r="Q9" s="9">
        <v>20</v>
      </c>
      <c r="R9" s="21">
        <f t="shared" si="2"/>
        <v>5.94884578883903E-4</v>
      </c>
      <c r="S9" s="53"/>
      <c r="U9" s="4" t="s">
        <v>3</v>
      </c>
      <c r="V9" s="12">
        <f>+edad1</f>
        <v>40</v>
      </c>
    </row>
    <row r="10" spans="1:26" x14ac:dyDescent="0.25">
      <c r="B10" s="9">
        <v>21</v>
      </c>
      <c r="C10" s="10">
        <v>7.9139811200001908E-4</v>
      </c>
      <c r="E10" s="9">
        <v>21</v>
      </c>
      <c r="F10" s="10">
        <v>1.5629723637520243E-3</v>
      </c>
      <c r="H10" s="9">
        <v>21</v>
      </c>
      <c r="I10" s="10">
        <v>6.0077576110839637E-4</v>
      </c>
      <c r="K10" s="9">
        <v>21</v>
      </c>
      <c r="L10" s="10">
        <v>9.8375462702715577E-4</v>
      </c>
      <c r="N10" s="9">
        <f t="shared" si="1"/>
        <v>21</v>
      </c>
      <c r="O10" s="5">
        <f t="shared" si="0"/>
        <v>1.5887827318029781</v>
      </c>
      <c r="Q10" s="9">
        <v>21</v>
      </c>
      <c r="R10" s="21">
        <f t="shared" si="2"/>
        <v>6.0077576110839637E-4</v>
      </c>
      <c r="S10" s="53"/>
    </row>
    <row r="11" spans="1:26" x14ac:dyDescent="0.25">
      <c r="B11" s="9">
        <v>22</v>
      </c>
      <c r="C11" s="10">
        <v>8.1152241682480586E-4</v>
      </c>
      <c r="E11" s="9">
        <v>22</v>
      </c>
      <c r="F11" s="10">
        <v>1.5428406188590094E-3</v>
      </c>
      <c r="H11" s="9">
        <v>22</v>
      </c>
      <c r="I11" s="10">
        <v>6.1255819829264535E-4</v>
      </c>
      <c r="K11" s="9">
        <v>22</v>
      </c>
      <c r="L11" s="10">
        <v>9.6607642322965592E-4</v>
      </c>
      <c r="N11" s="9">
        <f t="shared" si="1"/>
        <v>22</v>
      </c>
      <c r="O11" s="5">
        <f t="shared" si="0"/>
        <v>1.5970171528471768</v>
      </c>
      <c r="Q11" s="9">
        <v>22</v>
      </c>
      <c r="R11" s="21">
        <f t="shared" si="2"/>
        <v>6.1255819829264535E-4</v>
      </c>
      <c r="S11" s="53"/>
      <c r="U11" s="17" t="s">
        <v>47</v>
      </c>
      <c r="V11" s="17">
        <v>1</v>
      </c>
    </row>
    <row r="12" spans="1:26" x14ac:dyDescent="0.25">
      <c r="B12" s="9">
        <v>23</v>
      </c>
      <c r="C12" s="10">
        <v>8.2493873067557288E-4</v>
      </c>
      <c r="E12" s="9">
        <v>23</v>
      </c>
      <c r="F12" s="10">
        <v>1.5159986025617966E-3</v>
      </c>
      <c r="H12" s="9">
        <v>23</v>
      </c>
      <c r="I12" s="10">
        <v>6.1844945325328915E-4</v>
      </c>
      <c r="K12" s="9">
        <v>23</v>
      </c>
      <c r="L12" s="10">
        <v>9.4839843782879019E-4</v>
      </c>
      <c r="N12" s="9">
        <f t="shared" si="1"/>
        <v>23</v>
      </c>
      <c r="O12" s="5">
        <f t="shared" si="0"/>
        <v>1.5984828128064383</v>
      </c>
      <c r="Q12" s="9">
        <v>23</v>
      </c>
      <c r="R12" s="21">
        <f t="shared" si="2"/>
        <v>6.1844945325328915E-4</v>
      </c>
      <c r="S12" s="53"/>
      <c r="U12" s="18" t="s">
        <v>48</v>
      </c>
      <c r="V12" s="17">
        <v>2</v>
      </c>
    </row>
    <row r="13" spans="1:26" x14ac:dyDescent="0.25">
      <c r="B13" s="9">
        <v>24</v>
      </c>
      <c r="C13" s="10">
        <v>8.5177162391081307E-4</v>
      </c>
      <c r="E13" s="9">
        <v>24</v>
      </c>
      <c r="F13" s="10">
        <v>1.4824465807420362E-3</v>
      </c>
      <c r="H13" s="9">
        <v>24</v>
      </c>
      <c r="I13" s="10">
        <v>6.3612336361296151E-4</v>
      </c>
      <c r="K13" s="9">
        <v>24</v>
      </c>
      <c r="L13" s="10">
        <v>9.2482813034011624E-4</v>
      </c>
      <c r="N13" s="9">
        <f t="shared" si="1"/>
        <v>24</v>
      </c>
      <c r="O13" s="5">
        <f t="shared" si="0"/>
        <v>1.6029427869985413</v>
      </c>
      <c r="Q13" s="9">
        <v>24</v>
      </c>
      <c r="R13" s="21">
        <f t="shared" si="2"/>
        <v>6.3612336361296151E-4</v>
      </c>
      <c r="S13" s="53"/>
      <c r="U13" s="18" t="s">
        <v>49</v>
      </c>
      <c r="V13" s="17">
        <v>1</v>
      </c>
    </row>
    <row r="14" spans="1:26" x14ac:dyDescent="0.25">
      <c r="B14" s="9">
        <v>25</v>
      </c>
      <c r="C14" s="10">
        <v>8.6518820329983814E-4</v>
      </c>
      <c r="E14" s="9">
        <v>25</v>
      </c>
      <c r="F14" s="10">
        <v>1.4354746807582197E-3</v>
      </c>
      <c r="H14" s="9">
        <v>25</v>
      </c>
      <c r="I14" s="10">
        <v>6.4201471555991318E-4</v>
      </c>
      <c r="K14" s="9">
        <v>25</v>
      </c>
      <c r="L14" s="10">
        <v>8.9536579191462629E-4</v>
      </c>
      <c r="N14" s="9">
        <f t="shared" si="1"/>
        <v>25</v>
      </c>
      <c r="O14" s="5">
        <f t="shared" si="0"/>
        <v>1.6032270762641478</v>
      </c>
      <c r="Q14" s="9">
        <v>25</v>
      </c>
      <c r="R14" s="21">
        <f t="shared" si="2"/>
        <v>6.4201471555991318E-4</v>
      </c>
      <c r="S14" s="53"/>
      <c r="U14" s="18" t="s">
        <v>50</v>
      </c>
      <c r="V14" s="17">
        <v>2</v>
      </c>
    </row>
    <row r="15" spans="1:26" x14ac:dyDescent="0.25">
      <c r="B15" s="9">
        <v>26</v>
      </c>
      <c r="C15" s="10">
        <v>8.9873003904117343E-4</v>
      </c>
      <c r="E15" s="9">
        <v>26</v>
      </c>
      <c r="F15" s="10">
        <v>1.3952139162267674E-3</v>
      </c>
      <c r="H15" s="9">
        <v>26</v>
      </c>
      <c r="I15" s="10">
        <v>6.5968891688705789E-4</v>
      </c>
      <c r="K15" s="9">
        <v>26</v>
      </c>
      <c r="L15" s="10">
        <v>8.7179635789591536E-4</v>
      </c>
      <c r="N15" s="9">
        <f t="shared" si="1"/>
        <v>26</v>
      </c>
      <c r="O15" s="5">
        <f t="shared" si="0"/>
        <v>1.6003897052221263</v>
      </c>
      <c r="Q15" s="9">
        <v>26</v>
      </c>
      <c r="R15" s="21">
        <f t="shared" si="2"/>
        <v>6.5968891688705789E-4</v>
      </c>
      <c r="S15" s="53"/>
      <c r="U15" s="13"/>
      <c r="V15" s="14"/>
    </row>
    <row r="16" spans="1:26" x14ac:dyDescent="0.25">
      <c r="B16" s="9">
        <v>27</v>
      </c>
      <c r="C16" s="10">
        <v>9.2556390598730331E-4</v>
      </c>
      <c r="E16" s="9">
        <v>27</v>
      </c>
      <c r="F16" s="10">
        <v>1.3817938386072592E-3</v>
      </c>
      <c r="H16" s="9">
        <v>27</v>
      </c>
      <c r="I16" s="10">
        <v>6.7147183901372642E-4</v>
      </c>
      <c r="K16" s="9">
        <v>27</v>
      </c>
      <c r="L16" s="10">
        <v>8.6001178645278564E-4</v>
      </c>
      <c r="N16" s="9">
        <f t="shared" si="1"/>
        <v>27</v>
      </c>
      <c r="O16" s="5">
        <f t="shared" si="0"/>
        <v>1.6067150013218094</v>
      </c>
      <c r="Q16" s="9">
        <v>27</v>
      </c>
      <c r="R16" s="21">
        <f t="shared" si="2"/>
        <v>6.7147183901372642E-4</v>
      </c>
      <c r="S16" s="53"/>
      <c r="U16" s="18" t="s">
        <v>14</v>
      </c>
      <c r="V16" s="20" t="s">
        <v>52</v>
      </c>
      <c r="X16" s="18" t="s">
        <v>14</v>
      </c>
      <c r="Y16" s="17">
        <v>2</v>
      </c>
    </row>
    <row r="17" spans="2:25" x14ac:dyDescent="0.25">
      <c r="B17" s="9">
        <v>28</v>
      </c>
      <c r="C17" s="10">
        <v>9.5239812704539517E-4</v>
      </c>
      <c r="E17" s="9">
        <v>28</v>
      </c>
      <c r="F17" s="10">
        <v>1.368373849595983E-3</v>
      </c>
      <c r="H17" s="9">
        <v>28</v>
      </c>
      <c r="I17" s="10">
        <v>6.8914640407324868E-4</v>
      </c>
      <c r="K17" s="9">
        <v>28</v>
      </c>
      <c r="L17" s="10">
        <v>8.482273120502537E-4</v>
      </c>
      <c r="N17" s="9">
        <f t="shared" si="1"/>
        <v>28</v>
      </c>
      <c r="O17" s="5">
        <f t="shared" si="0"/>
        <v>1.6132159742516201</v>
      </c>
      <c r="Q17" s="9">
        <v>28</v>
      </c>
      <c r="R17" s="21">
        <f t="shared" si="2"/>
        <v>6.8914640407324868E-4</v>
      </c>
      <c r="S17" s="53"/>
      <c r="U17" s="18" t="s">
        <v>15</v>
      </c>
      <c r="V17" s="20" t="s">
        <v>51</v>
      </c>
      <c r="X17" s="18" t="s">
        <v>15</v>
      </c>
      <c r="Y17" s="17">
        <v>3</v>
      </c>
    </row>
    <row r="18" spans="2:25" x14ac:dyDescent="0.25">
      <c r="B18" s="9">
        <v>29</v>
      </c>
      <c r="C18" s="10">
        <v>9.9265012263394237E-4</v>
      </c>
      <c r="E18" s="9">
        <v>29</v>
      </c>
      <c r="F18" s="10">
        <v>1.3817938386072592E-3</v>
      </c>
      <c r="H18" s="9">
        <v>29</v>
      </c>
      <c r="I18" s="10">
        <v>7.0682118738463195E-4</v>
      </c>
      <c r="K18" s="9">
        <v>29</v>
      </c>
      <c r="L18" s="10">
        <v>8.482273120502537E-4</v>
      </c>
      <c r="N18" s="9">
        <f t="shared" si="1"/>
        <v>29</v>
      </c>
      <c r="O18" s="5">
        <f t="shared" si="0"/>
        <v>1.6290371920084956</v>
      </c>
      <c r="Q18" s="9">
        <v>29</v>
      </c>
      <c r="R18" s="21">
        <f t="shared" si="2"/>
        <v>7.0682118738463195E-4</v>
      </c>
      <c r="S18" s="53"/>
      <c r="U18" s="18" t="s">
        <v>9</v>
      </c>
      <c r="V18" s="20" t="s">
        <v>53</v>
      </c>
      <c r="X18" s="18" t="s">
        <v>9</v>
      </c>
      <c r="Y18" s="17">
        <v>4</v>
      </c>
    </row>
    <row r="19" spans="2:25" x14ac:dyDescent="0.25">
      <c r="B19" s="9">
        <v>30</v>
      </c>
      <c r="C19" s="10">
        <v>1.0396117912986336E-3</v>
      </c>
      <c r="E19" s="9">
        <v>30</v>
      </c>
      <c r="F19" s="10">
        <v>1.4086340824568389E-3</v>
      </c>
      <c r="H19" s="9">
        <v>30</v>
      </c>
      <c r="I19" s="10">
        <v>7.3038790465185244E-4</v>
      </c>
      <c r="K19" s="9">
        <v>30</v>
      </c>
      <c r="L19" s="10">
        <v>8.482273120502537E-4</v>
      </c>
      <c r="N19" s="9">
        <f t="shared" si="1"/>
        <v>30</v>
      </c>
      <c r="O19" s="5">
        <f t="shared" si="0"/>
        <v>1.6606799409135078</v>
      </c>
      <c r="Q19" s="9">
        <v>30</v>
      </c>
      <c r="R19" s="21">
        <f t="shared" si="2"/>
        <v>7.3038790465185244E-4</v>
      </c>
      <c r="S19" s="53"/>
      <c r="U19" s="18" t="s">
        <v>13</v>
      </c>
      <c r="V19" s="20" t="s">
        <v>54</v>
      </c>
      <c r="X19" s="18" t="s">
        <v>13</v>
      </c>
      <c r="Y19" s="17">
        <v>5</v>
      </c>
    </row>
    <row r="20" spans="2:25" x14ac:dyDescent="0.25">
      <c r="B20" s="9">
        <v>31</v>
      </c>
      <c r="C20" s="10">
        <v>1.0798655134937052E-3</v>
      </c>
      <c r="E20" s="9">
        <v>31</v>
      </c>
      <c r="F20" s="10">
        <v>1.4556053621045395E-3</v>
      </c>
      <c r="H20" s="9">
        <v>31</v>
      </c>
      <c r="I20" s="10">
        <v>7.4806319725340131E-4</v>
      </c>
      <c r="K20" s="9">
        <v>31</v>
      </c>
      <c r="L20" s="10">
        <v>8.6590406004405374E-4</v>
      </c>
      <c r="N20" s="9">
        <f t="shared" si="1"/>
        <v>31</v>
      </c>
      <c r="O20" s="5">
        <f t="shared" si="0"/>
        <v>1.6810238330912597</v>
      </c>
      <c r="Q20" s="9">
        <v>31</v>
      </c>
      <c r="R20" s="21">
        <f t="shared" si="2"/>
        <v>7.4806319725340131E-4</v>
      </c>
      <c r="S20" s="53"/>
      <c r="U20" s="13"/>
      <c r="V20" s="19"/>
    </row>
    <row r="21" spans="2:25" x14ac:dyDescent="0.25">
      <c r="B21" s="9">
        <v>32</v>
      </c>
      <c r="C21" s="10">
        <v>1.1268291967070354E-3</v>
      </c>
      <c r="E21" s="9">
        <v>32</v>
      </c>
      <c r="F21" s="10">
        <v>1.5025777273620644E-3</v>
      </c>
      <c r="H21" s="9">
        <v>32</v>
      </c>
      <c r="I21" s="10">
        <v>7.7163059360774167E-4</v>
      </c>
      <c r="K21" s="9">
        <v>32</v>
      </c>
      <c r="L21" s="10">
        <v>8.8358102638219638E-4</v>
      </c>
      <c r="N21" s="9">
        <f t="shared" si="1"/>
        <v>32</v>
      </c>
      <c r="O21" s="5">
        <f t="shared" si="0"/>
        <v>1.7005545416862751</v>
      </c>
      <c r="Q21" s="9">
        <v>32</v>
      </c>
      <c r="R21" s="21">
        <f t="shared" si="2"/>
        <v>7.7163059360774167E-4</v>
      </c>
      <c r="S21" s="53"/>
      <c r="U21" s="13"/>
      <c r="V21" s="1">
        <v>1</v>
      </c>
    </row>
    <row r="22" spans="2:25" x14ac:dyDescent="0.25">
      <c r="B22" s="9">
        <v>33</v>
      </c>
      <c r="C22" s="10">
        <v>1.1737939648216456E-3</v>
      </c>
      <c r="E22" s="9">
        <v>33</v>
      </c>
      <c r="F22" s="10">
        <v>1.576393637813478E-3</v>
      </c>
      <c r="H22" s="9">
        <v>33</v>
      </c>
      <c r="I22" s="10">
        <v>7.9519837804209459E-4</v>
      </c>
      <c r="K22" s="9">
        <v>33</v>
      </c>
      <c r="L22" s="10">
        <v>9.1304312218065675E-4</v>
      </c>
      <c r="N22" s="9">
        <f t="shared" si="1"/>
        <v>33</v>
      </c>
      <c r="O22" s="5">
        <f t="shared" si="0"/>
        <v>1.7265270385570783</v>
      </c>
      <c r="Q22" s="9">
        <v>33</v>
      </c>
      <c r="R22" s="21">
        <f t="shared" si="2"/>
        <v>7.9519837804209459E-4</v>
      </c>
      <c r="S22" s="53"/>
      <c r="U22" s="13"/>
      <c r="V22" s="1">
        <v>2</v>
      </c>
    </row>
    <row r="23" spans="2:25" x14ac:dyDescent="0.25">
      <c r="B23" s="9">
        <v>34</v>
      </c>
      <c r="C23" s="10">
        <v>1.2475979354745759E-3</v>
      </c>
      <c r="E23" s="9">
        <v>34</v>
      </c>
      <c r="F23" s="10">
        <v>1.6636340799792704E-3</v>
      </c>
      <c r="H23" s="9">
        <v>34</v>
      </c>
      <c r="I23" s="10">
        <v>8.3644293468543296E-4</v>
      </c>
      <c r="K23" s="9">
        <v>34</v>
      </c>
      <c r="L23" s="10">
        <v>9.4839843782879019E-4</v>
      </c>
      <c r="N23" s="9">
        <f t="shared" si="1"/>
        <v>34</v>
      </c>
      <c r="O23" s="5">
        <f t="shared" si="0"/>
        <v>1.7541510125089412</v>
      </c>
      <c r="Q23" s="9">
        <v>34</v>
      </c>
      <c r="R23" s="21">
        <f t="shared" si="2"/>
        <v>8.3644293468543296E-4</v>
      </c>
      <c r="S23" s="53"/>
      <c r="U23" s="13"/>
      <c r="V23" s="1">
        <v>3</v>
      </c>
    </row>
    <row r="24" spans="2:25" x14ac:dyDescent="0.25">
      <c r="B24" s="9">
        <v>35</v>
      </c>
      <c r="C24" s="10">
        <v>1.3012752335801459E-3</v>
      </c>
      <c r="E24" s="9">
        <v>35</v>
      </c>
      <c r="F24" s="10">
        <v>1.7643007832089941E-3</v>
      </c>
      <c r="H24" s="9">
        <v>35</v>
      </c>
      <c r="I24" s="10">
        <v>8.6590406004405374E-4</v>
      </c>
      <c r="K24" s="9">
        <v>35</v>
      </c>
      <c r="L24" s="10">
        <v>9.9554021756165234E-4</v>
      </c>
      <c r="N24" s="9">
        <f t="shared" si="1"/>
        <v>35</v>
      </c>
      <c r="O24" s="5">
        <f t="shared" si="0"/>
        <v>1.7722044294003958</v>
      </c>
      <c r="Q24" s="9">
        <v>35</v>
      </c>
      <c r="R24" s="21">
        <f t="shared" si="2"/>
        <v>8.6590406004405374E-4</v>
      </c>
      <c r="S24" s="53"/>
      <c r="U24" s="13"/>
      <c r="V24" s="1">
        <v>4</v>
      </c>
    </row>
    <row r="25" spans="2:25" x14ac:dyDescent="0.25">
      <c r="B25" s="9">
        <v>36</v>
      </c>
      <c r="C25" s="10">
        <v>1.40192398826533E-3</v>
      </c>
      <c r="E25" s="9">
        <v>36</v>
      </c>
      <c r="F25" s="10">
        <v>1.8851074113318544E-3</v>
      </c>
      <c r="H25" s="9">
        <v>36</v>
      </c>
      <c r="I25" s="10">
        <v>9.1893561412859093E-4</v>
      </c>
      <c r="K25" s="9">
        <v>36</v>
      </c>
      <c r="L25" s="10">
        <v>1.0426835504482312E-3</v>
      </c>
      <c r="N25" s="9">
        <f t="shared" si="1"/>
        <v>36</v>
      </c>
      <c r="O25" s="5">
        <f t="shared" si="0"/>
        <v>1.8079381903756706</v>
      </c>
      <c r="Q25" s="9">
        <v>36</v>
      </c>
      <c r="R25" s="21">
        <f t="shared" si="2"/>
        <v>9.1893561412859093E-4</v>
      </c>
      <c r="S25" s="53"/>
      <c r="U25" s="13"/>
      <c r="V25" s="1">
        <v>5</v>
      </c>
    </row>
    <row r="26" spans="2:25" x14ac:dyDescent="0.25">
      <c r="B26" s="9">
        <v>37</v>
      </c>
      <c r="C26" s="10">
        <v>1.5294195663932975E-3</v>
      </c>
      <c r="E26" s="9">
        <v>37</v>
      </c>
      <c r="F26" s="10">
        <v>2.0394818915264734E-3</v>
      </c>
      <c r="H26" s="9">
        <v>37</v>
      </c>
      <c r="I26" s="10">
        <v>9.8375462702715577E-4</v>
      </c>
      <c r="K26" s="9">
        <v>37</v>
      </c>
      <c r="L26" s="10">
        <v>1.1075081694985611E-3</v>
      </c>
      <c r="N26" s="9">
        <f t="shared" si="1"/>
        <v>37</v>
      </c>
      <c r="O26" s="5">
        <f t="shared" si="0"/>
        <v>1.8415050540438682</v>
      </c>
      <c r="Q26" s="9">
        <v>37</v>
      </c>
      <c r="R26" s="21">
        <f t="shared" si="2"/>
        <v>9.8375462702715577E-4</v>
      </c>
      <c r="S26" s="53"/>
      <c r="U26" s="13"/>
      <c r="V26" s="14"/>
    </row>
    <row r="27" spans="2:25" x14ac:dyDescent="0.25">
      <c r="B27" s="9">
        <v>38</v>
      </c>
      <c r="C27" s="10">
        <v>1.670345038365717E-3</v>
      </c>
      <c r="E27" s="9">
        <v>38</v>
      </c>
      <c r="F27" s="10">
        <v>2.2140063029763013E-3</v>
      </c>
      <c r="H27" s="9">
        <v>38</v>
      </c>
      <c r="I27" s="10">
        <v>1.0544696263706799E-3</v>
      </c>
      <c r="K27" s="9">
        <v>38</v>
      </c>
      <c r="L27" s="10">
        <v>1.1782292856381549E-3</v>
      </c>
      <c r="N27" s="9">
        <f t="shared" si="1"/>
        <v>38</v>
      </c>
      <c r="O27" s="5">
        <f t="shared" si="0"/>
        <v>1.8790963099997526</v>
      </c>
      <c r="Q27" s="9">
        <v>38</v>
      </c>
      <c r="R27" s="21">
        <f t="shared" si="2"/>
        <v>1.0544696263706799E-3</v>
      </c>
      <c r="S27" s="53"/>
      <c r="U27" s="13"/>
      <c r="V27" s="14" t="s">
        <v>420</v>
      </c>
      <c r="X27" s="116">
        <v>10000</v>
      </c>
    </row>
    <row r="28" spans="2:25" x14ac:dyDescent="0.25">
      <c r="B28" s="9">
        <v>39</v>
      </c>
      <c r="C28" s="10">
        <v>1.8314146897447925E-3</v>
      </c>
      <c r="E28" s="9">
        <v>39</v>
      </c>
      <c r="F28" s="10">
        <v>2.4153992627207188E-3</v>
      </c>
      <c r="H28" s="9">
        <v>39</v>
      </c>
      <c r="I28" s="10">
        <v>1.1369748763848664E-3</v>
      </c>
      <c r="K28" s="9">
        <v>39</v>
      </c>
      <c r="L28" s="10">
        <v>1.2607416732263177E-3</v>
      </c>
      <c r="N28" s="9">
        <f t="shared" si="1"/>
        <v>39</v>
      </c>
      <c r="O28" s="5">
        <f t="shared" si="0"/>
        <v>1.9158558125072198</v>
      </c>
      <c r="Q28" s="9">
        <v>39</v>
      </c>
      <c r="R28" s="21">
        <f t="shared" si="2"/>
        <v>1.1369748763848664E-3</v>
      </c>
      <c r="S28" s="53"/>
      <c r="U28" s="13"/>
      <c r="V28" s="14" t="s">
        <v>424</v>
      </c>
      <c r="X28" s="116">
        <v>100000</v>
      </c>
    </row>
    <row r="29" spans="2:25" x14ac:dyDescent="0.25">
      <c r="B29" s="9">
        <v>40</v>
      </c>
      <c r="C29" s="10">
        <v>2.0126333130632279E-3</v>
      </c>
      <c r="E29" s="9">
        <v>40</v>
      </c>
      <c r="F29" s="10">
        <v>2.6436687684981974E-3</v>
      </c>
      <c r="H29" s="9">
        <v>40</v>
      </c>
      <c r="I29" s="10">
        <v>1.2253786386544618E-3</v>
      </c>
      <c r="K29" s="9">
        <v>40</v>
      </c>
      <c r="L29" s="10">
        <v>1.3491530844647048E-3</v>
      </c>
      <c r="N29" s="9">
        <f t="shared" si="1"/>
        <v>40</v>
      </c>
      <c r="O29" s="5">
        <f t="shared" si="0"/>
        <v>1.9595024456006114</v>
      </c>
      <c r="Q29" s="9">
        <v>40</v>
      </c>
      <c r="R29" s="21">
        <f t="shared" si="2"/>
        <v>1.2253786386544618E-3</v>
      </c>
      <c r="S29" s="53"/>
      <c r="U29" s="13"/>
      <c r="V29" s="14"/>
      <c r="X29" s="116">
        <v>50000</v>
      </c>
    </row>
    <row r="30" spans="2:25" x14ac:dyDescent="0.25">
      <c r="B30" s="9">
        <v>41</v>
      </c>
      <c r="C30" s="10">
        <v>2.2341447001765768E-3</v>
      </c>
      <c r="E30" s="9">
        <v>41</v>
      </c>
      <c r="F30" s="10">
        <v>2.9122539964470118E-3</v>
      </c>
      <c r="H30" s="9">
        <v>41</v>
      </c>
      <c r="I30" s="10">
        <v>1.3314703650588733E-3</v>
      </c>
      <c r="K30" s="9">
        <v>41</v>
      </c>
      <c r="L30" s="10">
        <v>1.4552539917737084E-3</v>
      </c>
      <c r="N30" s="9">
        <f t="shared" si="1"/>
        <v>41</v>
      </c>
      <c r="O30" s="5">
        <f t="shared" si="0"/>
        <v>2.0011997994229631</v>
      </c>
      <c r="Q30" s="9">
        <v>41</v>
      </c>
      <c r="R30" s="21">
        <f t="shared" si="2"/>
        <v>1.3314703650588733E-3</v>
      </c>
      <c r="S30" s="53"/>
      <c r="U30" s="13"/>
      <c r="V30" s="14"/>
      <c r="X30" s="116">
        <v>150000</v>
      </c>
    </row>
    <row r="31" spans="2:25" x14ac:dyDescent="0.25">
      <c r="B31" s="9">
        <v>42</v>
      </c>
      <c r="C31" s="10">
        <v>2.4422531666143943E-3</v>
      </c>
      <c r="E31" s="9">
        <v>42</v>
      </c>
      <c r="F31" s="10">
        <v>3.1875907507712409E-3</v>
      </c>
      <c r="H31" s="9">
        <v>42</v>
      </c>
      <c r="I31" s="10">
        <v>1.437569960643148E-3</v>
      </c>
      <c r="K31" s="9">
        <v>42</v>
      </c>
      <c r="L31" s="10">
        <v>1.5613627706003719E-3</v>
      </c>
      <c r="N31" s="9">
        <f t="shared" si="1"/>
        <v>42</v>
      </c>
      <c r="O31" s="5">
        <f t="shared" si="0"/>
        <v>2.0415439709412024</v>
      </c>
      <c r="Q31" s="9">
        <v>42</v>
      </c>
      <c r="R31" s="21">
        <f t="shared" si="2"/>
        <v>1.437569960643148E-3</v>
      </c>
      <c r="S31" s="53"/>
      <c r="U31" s="13"/>
      <c r="V31" s="14"/>
    </row>
    <row r="32" spans="2:25" x14ac:dyDescent="0.25">
      <c r="B32" s="9">
        <v>43</v>
      </c>
      <c r="C32" s="10">
        <v>2.6570971858468351E-3</v>
      </c>
      <c r="E32" s="9">
        <v>43</v>
      </c>
      <c r="F32" s="10">
        <v>3.503266665017879E-3</v>
      </c>
      <c r="H32" s="9">
        <v>43</v>
      </c>
      <c r="I32" s="10">
        <v>1.5436774274110165E-3</v>
      </c>
      <c r="K32" s="9">
        <v>43</v>
      </c>
      <c r="L32" s="10">
        <v>1.6851662972965364E-3</v>
      </c>
      <c r="N32" s="9">
        <f t="shared" si="1"/>
        <v>43</v>
      </c>
      <c r="O32" s="5">
        <f t="shared" si="0"/>
        <v>2.0788848380353135</v>
      </c>
      <c r="Q32" s="9">
        <v>43</v>
      </c>
      <c r="R32" s="21">
        <f t="shared" si="2"/>
        <v>1.5436774274110165E-3</v>
      </c>
      <c r="S32" s="53"/>
      <c r="U32" s="13"/>
      <c r="V32" s="14" t="s">
        <v>263</v>
      </c>
    </row>
    <row r="33" spans="2:22" x14ac:dyDescent="0.25">
      <c r="B33" s="9">
        <v>44</v>
      </c>
      <c r="C33" s="10">
        <v>2.8719639463276048E-3</v>
      </c>
      <c r="E33" s="9">
        <v>44</v>
      </c>
      <c r="F33" s="10">
        <v>3.8324279191394028E-3</v>
      </c>
      <c r="H33" s="9">
        <v>44</v>
      </c>
      <c r="I33" s="10">
        <v>1.6497927673672086E-3</v>
      </c>
      <c r="K33" s="9">
        <v>44</v>
      </c>
      <c r="L33" s="10">
        <v>1.8089805439166495E-3</v>
      </c>
      <c r="N33" s="9">
        <f t="shared" si="1"/>
        <v>44</v>
      </c>
      <c r="O33" s="5">
        <f t="shared" si="0"/>
        <v>2.1185567373995955</v>
      </c>
      <c r="Q33" s="9">
        <v>44</v>
      </c>
      <c r="R33" s="21">
        <f t="shared" si="2"/>
        <v>1.6497927673672086E-3</v>
      </c>
      <c r="S33" s="53"/>
      <c r="U33" s="13"/>
      <c r="V33" s="14" t="s">
        <v>419</v>
      </c>
    </row>
    <row r="34" spans="2:22" x14ac:dyDescent="0.25">
      <c r="B34" s="9">
        <v>45</v>
      </c>
      <c r="C34" s="10">
        <v>3.0935691217048866E-3</v>
      </c>
      <c r="E34" s="9">
        <v>45</v>
      </c>
      <c r="F34" s="10">
        <v>4.2086776566867545E-3</v>
      </c>
      <c r="H34" s="9">
        <v>45</v>
      </c>
      <c r="I34" s="10">
        <v>1.7618119476408012E-3</v>
      </c>
      <c r="K34" s="9">
        <v>45</v>
      </c>
      <c r="L34" s="10">
        <v>1.956392438203447E-3</v>
      </c>
      <c r="N34" s="9">
        <f t="shared" si="1"/>
        <v>45</v>
      </c>
      <c r="O34" s="5">
        <f t="shared" si="0"/>
        <v>2.1512440829875517</v>
      </c>
      <c r="Q34" s="9">
        <v>45</v>
      </c>
      <c r="R34" s="21">
        <f t="shared" si="2"/>
        <v>1.7618119476408012E-3</v>
      </c>
      <c r="S34" s="53"/>
      <c r="U34" s="13"/>
      <c r="V34" s="14"/>
    </row>
    <row r="35" spans="2:22" x14ac:dyDescent="0.25">
      <c r="B35" s="9">
        <v>46</v>
      </c>
      <c r="C35" s="10">
        <v>3.3219149226991762E-3</v>
      </c>
      <c r="E35" s="9">
        <v>46</v>
      </c>
      <c r="F35" s="10">
        <v>4.5849972546252449E-3</v>
      </c>
      <c r="H35" s="9">
        <v>46</v>
      </c>
      <c r="I35" s="10">
        <v>1.8797363562386149E-3</v>
      </c>
      <c r="K35" s="9">
        <v>46</v>
      </c>
      <c r="L35" s="10">
        <v>2.1156143596779975E-3</v>
      </c>
      <c r="N35" s="9">
        <f t="shared" si="1"/>
        <v>46</v>
      </c>
      <c r="O35" s="5">
        <f t="shared" si="0"/>
        <v>2.167217873924383</v>
      </c>
      <c r="Q35" s="9">
        <v>46</v>
      </c>
      <c r="R35" s="21">
        <f t="shared" si="2"/>
        <v>1.8797363562386149E-3</v>
      </c>
      <c r="S35" s="53"/>
      <c r="U35" s="13"/>
      <c r="V35" s="14"/>
    </row>
    <row r="36" spans="2:22" x14ac:dyDescent="0.25">
      <c r="B36" s="9">
        <v>47</v>
      </c>
      <c r="C36" s="10">
        <v>3.5637208492977912E-3</v>
      </c>
      <c r="E36" s="9">
        <v>47</v>
      </c>
      <c r="F36" s="10">
        <v>4.9949963731922287E-3</v>
      </c>
      <c r="H36" s="9">
        <v>47</v>
      </c>
      <c r="I36" s="10">
        <v>2.0094644414454521E-3</v>
      </c>
      <c r="K36" s="9">
        <v>47</v>
      </c>
      <c r="L36" s="10">
        <v>2.2866502564264923E-3</v>
      </c>
      <c r="N36" s="9">
        <f t="shared" si="1"/>
        <v>47</v>
      </c>
      <c r="O36" s="5">
        <f t="shared" si="0"/>
        <v>2.1844164227363119</v>
      </c>
      <c r="Q36" s="9">
        <v>47</v>
      </c>
      <c r="R36" s="21">
        <f t="shared" si="2"/>
        <v>2.0094644414454521E-3</v>
      </c>
      <c r="S36" s="53"/>
      <c r="U36" s="13"/>
      <c r="V36" s="14"/>
    </row>
    <row r="37" spans="2:22" x14ac:dyDescent="0.25">
      <c r="B37" s="9">
        <v>48</v>
      </c>
      <c r="C37" s="10">
        <v>3.8122736536952972E-3</v>
      </c>
      <c r="E37" s="9">
        <v>48</v>
      </c>
      <c r="F37" s="10">
        <v>5.4252486313448589E-3</v>
      </c>
      <c r="H37" s="9">
        <v>48</v>
      </c>
      <c r="I37" s="10">
        <v>2.1509994176576175E-3</v>
      </c>
      <c r="K37" s="9">
        <v>48</v>
      </c>
      <c r="L37" s="10">
        <v>2.4695043717901655E-3</v>
      </c>
      <c r="N37" s="9">
        <f t="shared" si="1"/>
        <v>48</v>
      </c>
      <c r="O37" s="5">
        <f t="shared" si="0"/>
        <v>2.1968977635022564</v>
      </c>
      <c r="Q37" s="9">
        <v>48</v>
      </c>
      <c r="R37" s="21">
        <f t="shared" si="2"/>
        <v>2.1509994176576175E-3</v>
      </c>
      <c r="S37" s="53"/>
      <c r="U37" s="13"/>
      <c r="V37" s="14"/>
    </row>
    <row r="38" spans="2:22" x14ac:dyDescent="0.25">
      <c r="B38" s="9">
        <v>49</v>
      </c>
      <c r="C38" s="10">
        <v>4.0810136680178299E-3</v>
      </c>
      <c r="E38" s="9">
        <v>49</v>
      </c>
      <c r="F38" s="10">
        <v>5.9093917581009014E-3</v>
      </c>
      <c r="H38" s="9">
        <v>49</v>
      </c>
      <c r="I38" s="10">
        <v>2.298446590060288E-3</v>
      </c>
      <c r="K38" s="9">
        <v>49</v>
      </c>
      <c r="L38" s="10">
        <v>2.6759806960079402E-3</v>
      </c>
      <c r="N38" s="9">
        <f t="shared" si="1"/>
        <v>49</v>
      </c>
      <c r="O38" s="5">
        <f t="shared" si="0"/>
        <v>2.2083088143784453</v>
      </c>
      <c r="Q38" s="9">
        <v>49</v>
      </c>
      <c r="R38" s="21">
        <f t="shared" si="2"/>
        <v>2.298446590060288E-3</v>
      </c>
      <c r="S38" s="53"/>
      <c r="U38" s="13"/>
      <c r="V38" s="14"/>
    </row>
    <row r="39" spans="2:22" x14ac:dyDescent="0.25">
      <c r="B39" s="9">
        <v>50</v>
      </c>
      <c r="C39" s="10">
        <v>4.3901087381965631E-3</v>
      </c>
      <c r="E39" s="9">
        <v>50</v>
      </c>
      <c r="F39" s="10">
        <v>6.4205574381520636E-3</v>
      </c>
      <c r="H39" s="9">
        <v>50</v>
      </c>
      <c r="I39" s="10">
        <v>2.4695043717901655E-3</v>
      </c>
      <c r="K39" s="9">
        <v>50</v>
      </c>
      <c r="L39" s="10">
        <v>2.8942881233134932E-3</v>
      </c>
      <c r="N39" s="9">
        <f t="shared" si="1"/>
        <v>50</v>
      </c>
      <c r="O39" s="5">
        <f t="shared" si="0"/>
        <v>2.2183546228291746</v>
      </c>
      <c r="Q39" s="9">
        <v>50</v>
      </c>
      <c r="R39" s="21">
        <f t="shared" si="2"/>
        <v>2.4695043717901655E-3</v>
      </c>
      <c r="S39" s="53"/>
      <c r="U39" s="13"/>
      <c r="V39" s="14"/>
    </row>
    <row r="40" spans="2:22" x14ac:dyDescent="0.25">
      <c r="B40" s="9">
        <v>51</v>
      </c>
      <c r="C40" s="10">
        <v>4.6992509633491109E-3</v>
      </c>
      <c r="E40" s="9">
        <v>51</v>
      </c>
      <c r="F40" s="10">
        <v>7.0125949578891955E-3</v>
      </c>
      <c r="H40" s="9">
        <v>51</v>
      </c>
      <c r="I40" s="10">
        <v>2.6523818913899433E-3</v>
      </c>
      <c r="K40" s="9">
        <v>51</v>
      </c>
      <c r="L40" s="10">
        <v>3.1539404004480298E-3</v>
      </c>
      <c r="N40" s="9">
        <f t="shared" si="1"/>
        <v>51</v>
      </c>
      <c r="O40" s="5">
        <f t="shared" si="0"/>
        <v>2.2234392751660836</v>
      </c>
      <c r="Q40" s="9">
        <v>51</v>
      </c>
      <c r="R40" s="21">
        <f t="shared" si="2"/>
        <v>2.6523818913899433E-3</v>
      </c>
      <c r="S40" s="53"/>
      <c r="U40" s="13"/>
      <c r="V40" s="14"/>
    </row>
    <row r="41" spans="2:22" x14ac:dyDescent="0.25">
      <c r="B41" s="9">
        <v>52</v>
      </c>
      <c r="C41" s="10">
        <v>5.0487729060050279E-3</v>
      </c>
      <c r="E41" s="9">
        <v>52</v>
      </c>
      <c r="F41" s="10">
        <v>7.6721136476770591E-3</v>
      </c>
      <c r="H41" s="9">
        <v>52</v>
      </c>
      <c r="I41" s="10">
        <v>2.8588846521074851E-3</v>
      </c>
      <c r="K41" s="9">
        <v>52</v>
      </c>
      <c r="L41" s="10">
        <v>3.4549600911459866E-3</v>
      </c>
      <c r="N41" s="9">
        <f t="shared" si="1"/>
        <v>52</v>
      </c>
      <c r="O41" s="5">
        <f t="shared" si="0"/>
        <v>2.2206084716689944</v>
      </c>
      <c r="Q41" s="9">
        <v>52</v>
      </c>
      <c r="R41" s="21">
        <f t="shared" si="2"/>
        <v>2.8588846521074851E-3</v>
      </c>
      <c r="S41" s="53"/>
      <c r="U41" s="13"/>
      <c r="V41" s="14"/>
    </row>
    <row r="42" spans="2:22" x14ac:dyDescent="0.25">
      <c r="B42" s="9">
        <v>53</v>
      </c>
      <c r="C42" s="10">
        <v>5.4588659400898187E-3</v>
      </c>
      <c r="E42" s="9">
        <v>53</v>
      </c>
      <c r="F42" s="10">
        <v>8.4261131021741154E-3</v>
      </c>
      <c r="H42" s="9">
        <v>53</v>
      </c>
      <c r="I42" s="10">
        <v>3.1008258662845734E-3</v>
      </c>
      <c r="K42" s="9">
        <v>53</v>
      </c>
      <c r="L42" s="10">
        <v>3.7914690047440303E-3</v>
      </c>
      <c r="N42" s="9">
        <f t="shared" si="1"/>
        <v>53</v>
      </c>
      <c r="O42" s="5">
        <f t="shared" si="0"/>
        <v>2.2223874418150436</v>
      </c>
      <c r="Q42" s="9">
        <v>53</v>
      </c>
      <c r="R42" s="21">
        <f t="shared" si="2"/>
        <v>3.1008258662845734E-3</v>
      </c>
      <c r="S42" s="53"/>
      <c r="U42" s="13"/>
      <c r="V42" s="14"/>
    </row>
    <row r="43" spans="2:22" x14ac:dyDescent="0.25">
      <c r="B43" s="9">
        <v>54</v>
      </c>
      <c r="C43" s="10">
        <v>5.8757669648705768E-3</v>
      </c>
      <c r="E43" s="9">
        <v>54</v>
      </c>
      <c r="F43" s="10">
        <v>9.2746993523287191E-3</v>
      </c>
      <c r="H43" s="9">
        <v>54</v>
      </c>
      <c r="I43" s="10">
        <v>3.3487105994337574E-3</v>
      </c>
      <c r="K43" s="9">
        <v>54</v>
      </c>
      <c r="L43" s="10">
        <v>4.1812100766328575E-3</v>
      </c>
      <c r="N43" s="9">
        <f t="shared" si="1"/>
        <v>54</v>
      </c>
      <c r="O43" s="5">
        <f t="shared" si="0"/>
        <v>2.2181854492701465</v>
      </c>
      <c r="Q43" s="9">
        <v>54</v>
      </c>
      <c r="R43" s="21">
        <f t="shared" si="2"/>
        <v>3.3487105994337574E-3</v>
      </c>
      <c r="S43" s="53"/>
      <c r="U43" s="13"/>
      <c r="V43" s="14"/>
    </row>
    <row r="44" spans="2:22" x14ac:dyDescent="0.25">
      <c r="B44" s="9">
        <v>55</v>
      </c>
      <c r="C44" s="10">
        <v>6.312932875028654E-3</v>
      </c>
      <c r="E44" s="9">
        <v>55</v>
      </c>
      <c r="F44" s="10">
        <v>1.0177556116704678E-2</v>
      </c>
      <c r="H44" s="9">
        <v>55</v>
      </c>
      <c r="I44" s="10">
        <v>3.6143491595111987E-3</v>
      </c>
      <c r="K44" s="9">
        <v>55</v>
      </c>
      <c r="L44" s="10">
        <v>4.6124113967420666E-3</v>
      </c>
      <c r="N44" s="9">
        <f t="shared" si="1"/>
        <v>55</v>
      </c>
      <c r="O44" s="5">
        <f t="shared" si="0"/>
        <v>2.20655861788337</v>
      </c>
      <c r="Q44" s="9">
        <v>55</v>
      </c>
      <c r="R44" s="21">
        <f t="shared" si="2"/>
        <v>3.6143491595111987E-3</v>
      </c>
      <c r="S44" s="53"/>
      <c r="U44" s="13"/>
      <c r="V44" s="14"/>
    </row>
    <row r="45" spans="2:22" x14ac:dyDescent="0.25">
      <c r="B45" s="9">
        <v>56</v>
      </c>
      <c r="C45" s="10">
        <v>6.7501933007094728E-3</v>
      </c>
      <c r="E45" s="9">
        <v>56</v>
      </c>
      <c r="F45" s="10">
        <v>1.1154984020919523E-2</v>
      </c>
      <c r="H45" s="9">
        <v>56</v>
      </c>
      <c r="I45" s="10">
        <v>3.8859419124193106E-3</v>
      </c>
      <c r="K45" s="9">
        <v>56</v>
      </c>
      <c r="L45" s="10">
        <v>5.0910203428206069E-3</v>
      </c>
      <c r="N45" s="9">
        <f t="shared" si="1"/>
        <v>56</v>
      </c>
      <c r="O45" s="5">
        <f t="shared" si="0"/>
        <v>2.1911096930992153</v>
      </c>
      <c r="Q45" s="9">
        <v>56</v>
      </c>
      <c r="R45" s="21">
        <f t="shared" si="2"/>
        <v>3.8859419124193106E-3</v>
      </c>
      <c r="S45" s="53"/>
      <c r="U45" s="13"/>
      <c r="V45" s="14"/>
    </row>
    <row r="46" spans="2:22" x14ac:dyDescent="0.25">
      <c r="B46" s="9">
        <v>57</v>
      </c>
      <c r="C46" s="10">
        <v>7.1673606244865296E-3</v>
      </c>
      <c r="E46" s="9">
        <v>57</v>
      </c>
      <c r="F46" s="10">
        <v>1.2166616111966899E-2</v>
      </c>
      <c r="H46" s="9">
        <v>57</v>
      </c>
      <c r="I46" s="10">
        <v>4.1575863742591146E-3</v>
      </c>
      <c r="K46" s="9">
        <v>57</v>
      </c>
      <c r="L46" s="10">
        <v>5.5993490478886132E-3</v>
      </c>
      <c r="N46" s="9">
        <f t="shared" si="1"/>
        <v>57</v>
      </c>
      <c r="O46" s="5">
        <f t="shared" si="0"/>
        <v>2.1728625966896371</v>
      </c>
      <c r="Q46" s="9">
        <v>57</v>
      </c>
      <c r="R46" s="21">
        <f t="shared" si="2"/>
        <v>4.1575863742591146E-3</v>
      </c>
      <c r="S46" s="53"/>
      <c r="U46" s="13"/>
      <c r="V46" s="14"/>
    </row>
    <row r="47" spans="2:22" x14ac:dyDescent="0.25">
      <c r="B47" s="9">
        <v>58</v>
      </c>
      <c r="C47" s="10">
        <v>7.5576919083354399E-3</v>
      </c>
      <c r="E47" s="9">
        <v>58</v>
      </c>
      <c r="F47" s="10">
        <v>1.3246251694428279E-2</v>
      </c>
      <c r="H47" s="9">
        <v>58</v>
      </c>
      <c r="I47" s="10">
        <v>4.4174686239826233E-3</v>
      </c>
      <c r="K47" s="9">
        <v>58</v>
      </c>
      <c r="L47" s="10">
        <v>6.1492575952237782E-3</v>
      </c>
      <c r="N47" s="9">
        <f t="shared" si="1"/>
        <v>58</v>
      </c>
      <c r="O47" s="5">
        <f t="shared" si="0"/>
        <v>2.1541221016203393</v>
      </c>
      <c r="Q47" s="9">
        <v>58</v>
      </c>
      <c r="R47" s="21">
        <f t="shared" si="2"/>
        <v>4.4174686239826233E-3</v>
      </c>
      <c r="S47" s="53"/>
      <c r="U47" s="13"/>
      <c r="V47" s="14"/>
    </row>
    <row r="48" spans="2:22" x14ac:dyDescent="0.25">
      <c r="B48" s="9">
        <v>59</v>
      </c>
      <c r="C48" s="10">
        <v>7.9615622810897957E-3</v>
      </c>
      <c r="E48" s="9">
        <v>59</v>
      </c>
      <c r="F48" s="10">
        <v>1.4366987391736363E-2</v>
      </c>
      <c r="H48" s="9">
        <v>59</v>
      </c>
      <c r="I48" s="10">
        <v>4.695122444398625E-3</v>
      </c>
      <c r="K48" s="9">
        <v>59</v>
      </c>
      <c r="L48" s="10">
        <v>6.7703775110300457E-3</v>
      </c>
      <c r="N48" s="9">
        <f t="shared" si="1"/>
        <v>59</v>
      </c>
      <c r="O48" s="5">
        <f t="shared" si="0"/>
        <v>2.1220363810334364</v>
      </c>
      <c r="Q48" s="9">
        <v>59</v>
      </c>
      <c r="R48" s="21">
        <f t="shared" si="2"/>
        <v>4.695122444398625E-3</v>
      </c>
      <c r="S48" s="53"/>
      <c r="U48" s="13"/>
      <c r="V48" s="14"/>
    </row>
    <row r="49" spans="2:22" x14ac:dyDescent="0.25">
      <c r="B49" s="9">
        <v>60</v>
      </c>
      <c r="C49" s="10">
        <v>8.4059130170557328E-3</v>
      </c>
      <c r="E49" s="9">
        <v>60</v>
      </c>
      <c r="F49" s="10">
        <v>1.560998075510045E-2</v>
      </c>
      <c r="H49" s="9">
        <v>60</v>
      </c>
      <c r="I49" s="10">
        <v>5.0201051718928857E-3</v>
      </c>
      <c r="K49" s="9">
        <v>60</v>
      </c>
      <c r="L49" s="10">
        <v>7.462802156274484E-3</v>
      </c>
      <c r="N49" s="9">
        <f t="shared" si="1"/>
        <v>60</v>
      </c>
      <c r="O49" s="5">
        <f t="shared" si="0"/>
        <v>2.0917050228882297</v>
      </c>
      <c r="Q49" s="9">
        <v>60</v>
      </c>
      <c r="R49" s="21">
        <f t="shared" si="2"/>
        <v>5.0201051718928857E-3</v>
      </c>
      <c r="S49" s="53"/>
      <c r="U49" s="13"/>
      <c r="V49" s="14"/>
    </row>
    <row r="50" spans="2:22" x14ac:dyDescent="0.25">
      <c r="B50" s="9">
        <v>61</v>
      </c>
      <c r="C50" s="10">
        <v>8.9783270809176141E-3</v>
      </c>
      <c r="E50" s="9">
        <v>61</v>
      </c>
      <c r="F50" s="10">
        <v>1.7009270718571057E-2</v>
      </c>
      <c r="H50" s="9">
        <v>61</v>
      </c>
      <c r="I50" s="10">
        <v>5.404271237837377E-3</v>
      </c>
      <c r="K50" s="9">
        <v>61</v>
      </c>
      <c r="L50" s="10">
        <v>8.2325586323898081E-3</v>
      </c>
      <c r="N50" s="9">
        <f t="shared" si="1"/>
        <v>61</v>
      </c>
      <c r="O50" s="5">
        <f t="shared" si="0"/>
        <v>2.0660977319554759</v>
      </c>
      <c r="Q50" s="9">
        <v>61</v>
      </c>
      <c r="R50" s="21">
        <f t="shared" si="2"/>
        <v>5.404271237837377E-3</v>
      </c>
      <c r="S50" s="53"/>
      <c r="U50" s="13"/>
      <c r="V50" s="14"/>
    </row>
    <row r="51" spans="2:22" x14ac:dyDescent="0.25">
      <c r="B51" s="9">
        <v>62</v>
      </c>
      <c r="C51" s="10">
        <v>9.6721760063167572E-3</v>
      </c>
      <c r="E51" s="9">
        <v>62</v>
      </c>
      <c r="F51" s="10">
        <v>1.8585488634471181E-2</v>
      </c>
      <c r="H51" s="9">
        <v>62</v>
      </c>
      <c r="I51" s="10">
        <v>5.8890593394299584E-3</v>
      </c>
      <c r="K51" s="9">
        <v>62</v>
      </c>
      <c r="L51" s="10">
        <v>9.1094048345131684E-3</v>
      </c>
      <c r="N51" s="9">
        <f t="shared" si="1"/>
        <v>62</v>
      </c>
      <c r="O51" s="5">
        <f t="shared" si="0"/>
        <v>2.040252790616528</v>
      </c>
      <c r="Q51" s="9">
        <v>62</v>
      </c>
      <c r="R51" s="21">
        <f t="shared" si="2"/>
        <v>5.8890593394299584E-3</v>
      </c>
      <c r="S51" s="53"/>
      <c r="U51" s="13"/>
      <c r="V51" s="14"/>
    </row>
    <row r="52" spans="2:22" x14ac:dyDescent="0.25">
      <c r="B52" s="9">
        <v>63</v>
      </c>
      <c r="C52" s="10">
        <v>1.0608914081828624E-2</v>
      </c>
      <c r="E52" s="9">
        <v>63</v>
      </c>
      <c r="F52" s="10">
        <v>2.0372922368099067E-2</v>
      </c>
      <c r="H52" s="9">
        <v>63</v>
      </c>
      <c r="I52" s="10">
        <v>6.4982344652022572E-3</v>
      </c>
      <c r="K52" s="9">
        <v>63</v>
      </c>
      <c r="L52" s="10">
        <v>1.0111331354125008E-2</v>
      </c>
      <c r="N52" s="9">
        <f t="shared" si="1"/>
        <v>63</v>
      </c>
      <c r="O52" s="5">
        <f t="shared" si="0"/>
        <v>2.014860521783588</v>
      </c>
      <c r="Q52" s="9">
        <v>63</v>
      </c>
      <c r="R52" s="21">
        <f t="shared" si="2"/>
        <v>6.4982344652022572E-3</v>
      </c>
      <c r="S52" s="53"/>
      <c r="U52" s="13"/>
      <c r="V52" s="14"/>
    </row>
    <row r="53" spans="2:22" x14ac:dyDescent="0.25">
      <c r="B53" s="9">
        <v>64</v>
      </c>
      <c r="C53" s="10">
        <v>1.1653992270192481E-2</v>
      </c>
      <c r="E53" s="9">
        <v>64</v>
      </c>
      <c r="F53" s="10">
        <v>2.2345020301355878E-2</v>
      </c>
      <c r="H53" s="9">
        <v>64</v>
      </c>
      <c r="I53" s="10">
        <v>7.2201192487173493E-3</v>
      </c>
      <c r="K53" s="9">
        <v>64</v>
      </c>
      <c r="L53" s="10">
        <v>1.1244539133601017E-2</v>
      </c>
      <c r="N53" s="9">
        <f t="shared" si="1"/>
        <v>64</v>
      </c>
      <c r="O53" s="5">
        <f t="shared" si="0"/>
        <v>1.9871886287081628</v>
      </c>
      <c r="Q53" s="9">
        <v>64</v>
      </c>
      <c r="R53" s="21">
        <f t="shared" si="2"/>
        <v>7.2201192487173493E-3</v>
      </c>
      <c r="S53" s="53"/>
      <c r="U53" s="13"/>
      <c r="V53" s="14"/>
    </row>
    <row r="54" spans="2:22" x14ac:dyDescent="0.25">
      <c r="B54" s="9">
        <v>65</v>
      </c>
      <c r="C54" s="10">
        <v>1.2827824063590509E-2</v>
      </c>
      <c r="E54" s="9">
        <v>65</v>
      </c>
      <c r="F54" s="10">
        <v>2.448197086910453E-2</v>
      </c>
      <c r="H54" s="9">
        <v>65</v>
      </c>
      <c r="I54" s="10">
        <v>8.0015879043824345E-3</v>
      </c>
      <c r="K54" s="9">
        <v>65</v>
      </c>
      <c r="L54" s="10">
        <v>1.2497462497769507E-2</v>
      </c>
      <c r="N54" s="9">
        <f t="shared" si="1"/>
        <v>65</v>
      </c>
      <c r="O54" s="5">
        <f t="shared" si="0"/>
        <v>1.958955337811493</v>
      </c>
      <c r="Q54" s="9">
        <v>65</v>
      </c>
      <c r="R54" s="21">
        <f t="shared" si="2"/>
        <v>8.0015879043824345E-3</v>
      </c>
      <c r="S54" s="53"/>
      <c r="U54" s="13"/>
      <c r="V54" s="14"/>
    </row>
    <row r="55" spans="2:22" x14ac:dyDescent="0.25">
      <c r="B55" s="9">
        <v>66</v>
      </c>
      <c r="C55" s="10">
        <v>1.3988837927700781E-2</v>
      </c>
      <c r="E55" s="9">
        <v>66</v>
      </c>
      <c r="F55" s="10">
        <v>2.6709560126579435E-2</v>
      </c>
      <c r="H55" s="9">
        <v>66</v>
      </c>
      <c r="I55" s="10">
        <v>8.8427388937655227E-3</v>
      </c>
      <c r="K55" s="9">
        <v>66</v>
      </c>
      <c r="L55" s="10">
        <v>1.3846634749433928E-2</v>
      </c>
      <c r="N55" s="9">
        <f t="shared" si="1"/>
        <v>66</v>
      </c>
      <c r="O55" s="5">
        <f t="shared" si="0"/>
        <v>1.9289567905784013</v>
      </c>
      <c r="Q55" s="9">
        <v>66</v>
      </c>
      <c r="R55" s="21">
        <f t="shared" si="2"/>
        <v>8.8427388937655227E-3</v>
      </c>
      <c r="S55" s="53"/>
      <c r="U55" s="13"/>
      <c r="V55" s="14"/>
    </row>
    <row r="56" spans="2:22" x14ac:dyDescent="0.25">
      <c r="B56" s="9">
        <v>67</v>
      </c>
      <c r="C56" s="10">
        <v>1.5197816026655042E-2</v>
      </c>
      <c r="E56" s="9">
        <v>67</v>
      </c>
      <c r="F56" s="10">
        <v>2.9048506696359389E-2</v>
      </c>
      <c r="H56" s="9">
        <v>67</v>
      </c>
      <c r="I56" s="10">
        <v>9.696246345908488E-3</v>
      </c>
      <c r="K56" s="9">
        <v>67</v>
      </c>
      <c r="L56" s="10">
        <v>1.5310189830057275E-2</v>
      </c>
      <c r="N56" s="9">
        <f t="shared" si="1"/>
        <v>67</v>
      </c>
      <c r="O56" s="5">
        <f t="shared" si="0"/>
        <v>1.8973315823511718</v>
      </c>
      <c r="Q56" s="9">
        <v>67</v>
      </c>
      <c r="R56" s="21">
        <f t="shared" si="2"/>
        <v>9.696246345908488E-3</v>
      </c>
      <c r="S56" s="53"/>
      <c r="U56" s="13"/>
      <c r="V56" s="14"/>
    </row>
    <row r="57" spans="2:22" x14ac:dyDescent="0.25">
      <c r="B57" s="9">
        <v>68</v>
      </c>
      <c r="C57" s="10">
        <v>1.6292603926682747E-2</v>
      </c>
      <c r="E57" s="9">
        <v>68</v>
      </c>
      <c r="F57" s="10">
        <v>3.1458339618371856E-2</v>
      </c>
      <c r="H57" s="9">
        <v>68</v>
      </c>
      <c r="I57" s="10">
        <v>1.0556200182852526E-2</v>
      </c>
      <c r="K57" s="9">
        <v>68</v>
      </c>
      <c r="L57" s="10">
        <v>1.6882525671477522E-2</v>
      </c>
      <c r="N57" s="9">
        <f t="shared" si="1"/>
        <v>68</v>
      </c>
      <c r="O57" s="5">
        <f t="shared" si="0"/>
        <v>1.8633669055525086</v>
      </c>
      <c r="Q57" s="9">
        <v>68</v>
      </c>
      <c r="R57" s="21">
        <f t="shared" si="2"/>
        <v>1.0556200182852526E-2</v>
      </c>
      <c r="S57" s="53"/>
      <c r="U57" s="13"/>
      <c r="V57" s="14"/>
    </row>
    <row r="58" spans="2:22" x14ac:dyDescent="0.25">
      <c r="B58" s="9">
        <v>69</v>
      </c>
      <c r="C58" s="10">
        <v>1.7523265335097737E-2</v>
      </c>
      <c r="E58" s="9">
        <v>69</v>
      </c>
      <c r="F58" s="10">
        <v>3.4027987171319496E-2</v>
      </c>
      <c r="H58" s="9">
        <v>69</v>
      </c>
      <c r="I58" s="10">
        <v>1.1476038593540738E-2</v>
      </c>
      <c r="K58" s="9">
        <v>69</v>
      </c>
      <c r="L58" s="10">
        <v>1.8599805933206093E-2</v>
      </c>
      <c r="N58" s="9">
        <f t="shared" si="1"/>
        <v>69</v>
      </c>
      <c r="O58" s="5">
        <f t="shared" si="0"/>
        <v>1.8294807641282744</v>
      </c>
      <c r="Q58" s="9">
        <v>69</v>
      </c>
      <c r="R58" s="21">
        <f t="shared" si="2"/>
        <v>1.1476038593540738E-2</v>
      </c>
      <c r="S58" s="53"/>
      <c r="U58" s="13"/>
      <c r="V58" s="14"/>
    </row>
    <row r="59" spans="2:22" x14ac:dyDescent="0.25">
      <c r="B59" s="9">
        <v>70</v>
      </c>
      <c r="C59" s="10">
        <v>1.8829135370426409E-2</v>
      </c>
      <c r="E59" s="9">
        <v>70</v>
      </c>
      <c r="F59" s="10">
        <v>3.6867363803390951E-2</v>
      </c>
      <c r="H59" s="9">
        <v>70</v>
      </c>
      <c r="I59" s="10">
        <v>1.2539047694618999E-2</v>
      </c>
      <c r="K59" s="9">
        <v>70</v>
      </c>
      <c r="L59" s="10">
        <v>2.054023208184852E-2</v>
      </c>
      <c r="N59" s="9">
        <f t="shared" si="1"/>
        <v>70</v>
      </c>
      <c r="O59" s="5">
        <f t="shared" si="0"/>
        <v>1.7948854548713098</v>
      </c>
      <c r="Q59" s="9">
        <v>70</v>
      </c>
      <c r="R59" s="21">
        <f t="shared" si="2"/>
        <v>1.2539047694618999E-2</v>
      </c>
      <c r="S59" s="53"/>
      <c r="U59" s="13"/>
      <c r="V59" s="14"/>
    </row>
    <row r="60" spans="2:22" x14ac:dyDescent="0.25">
      <c r="B60" s="9">
        <v>71</v>
      </c>
      <c r="C60" s="10">
        <v>2.0521947493775339E-2</v>
      </c>
      <c r="E60" s="9">
        <v>71</v>
      </c>
      <c r="F60" s="10">
        <v>4.0018696619532945E-2</v>
      </c>
      <c r="H60" s="9">
        <v>71</v>
      </c>
      <c r="I60" s="10">
        <v>1.3810957230735332E-2</v>
      </c>
      <c r="K60" s="9">
        <v>71</v>
      </c>
      <c r="L60" s="10">
        <v>2.2740636729163932E-2</v>
      </c>
      <c r="N60" s="9">
        <f t="shared" si="1"/>
        <v>71</v>
      </c>
      <c r="O60" s="5">
        <f t="shared" si="0"/>
        <v>1.7597878676902046</v>
      </c>
      <c r="Q60" s="9">
        <v>71</v>
      </c>
      <c r="R60" s="21">
        <f t="shared" si="2"/>
        <v>1.3810957230735332E-2</v>
      </c>
      <c r="S60" s="53"/>
      <c r="U60" s="13"/>
      <c r="V60" s="14"/>
    </row>
    <row r="61" spans="2:22" x14ac:dyDescent="0.25">
      <c r="B61" s="9">
        <v>72</v>
      </c>
      <c r="C61" s="10">
        <v>2.2623033087939559E-2</v>
      </c>
      <c r="E61" s="9">
        <v>72</v>
      </c>
      <c r="F61" s="10">
        <v>4.3606872658476736E-2</v>
      </c>
      <c r="H61" s="9">
        <v>72</v>
      </c>
      <c r="I61" s="10">
        <v>1.5387574417126237E-2</v>
      </c>
      <c r="K61" s="9">
        <v>72</v>
      </c>
      <c r="L61" s="10">
        <v>2.5286177061984438E-2</v>
      </c>
      <c r="N61" s="9">
        <f t="shared" si="1"/>
        <v>72</v>
      </c>
      <c r="O61" s="5">
        <f t="shared" si="0"/>
        <v>1.7245340231377193</v>
      </c>
      <c r="Q61" s="9">
        <v>72</v>
      </c>
      <c r="R61" s="21">
        <f t="shared" si="2"/>
        <v>1.5387574417126237E-2</v>
      </c>
      <c r="S61" s="53"/>
      <c r="U61" s="13"/>
      <c r="V61" s="14"/>
    </row>
    <row r="62" spans="2:22" x14ac:dyDescent="0.25">
      <c r="B62" s="9">
        <v>73</v>
      </c>
      <c r="C62" s="10">
        <v>2.518800883787331E-2</v>
      </c>
      <c r="E62" s="9">
        <v>73</v>
      </c>
      <c r="F62" s="10">
        <v>4.7654927971482297E-2</v>
      </c>
      <c r="H62" s="9">
        <v>73</v>
      </c>
      <c r="I62" s="10">
        <v>1.7311649296121612E-2</v>
      </c>
      <c r="K62" s="9">
        <v>73</v>
      </c>
      <c r="L62" s="10">
        <v>2.8214792850325465E-2</v>
      </c>
      <c r="N62" s="9">
        <f t="shared" si="1"/>
        <v>73</v>
      </c>
      <c r="O62" s="5">
        <f t="shared" si="0"/>
        <v>1.6890050628506594</v>
      </c>
      <c r="Q62" s="9">
        <v>73</v>
      </c>
      <c r="R62" s="21">
        <f t="shared" si="2"/>
        <v>1.7311649296121612E-2</v>
      </c>
      <c r="S62" s="53"/>
      <c r="U62" s="13"/>
      <c r="V62" s="14"/>
    </row>
    <row r="63" spans="2:22" x14ac:dyDescent="0.25">
      <c r="B63" s="9">
        <v>74</v>
      </c>
      <c r="C63" s="10">
        <v>2.8184678231353066E-2</v>
      </c>
      <c r="E63" s="9">
        <v>74</v>
      </c>
      <c r="F63" s="10">
        <v>5.2076272108509403E-2</v>
      </c>
      <c r="H63" s="9">
        <v>74</v>
      </c>
      <c r="I63" s="10">
        <v>1.9578639693550892E-2</v>
      </c>
      <c r="K63" s="9">
        <v>74</v>
      </c>
      <c r="L63" s="10">
        <v>3.1510846864041375E-2</v>
      </c>
      <c r="N63" s="9">
        <f t="shared" si="1"/>
        <v>74</v>
      </c>
      <c r="O63" s="5">
        <f t="shared" si="0"/>
        <v>1.6526459073982007</v>
      </c>
      <c r="Q63" s="9">
        <v>74</v>
      </c>
      <c r="R63" s="21">
        <f t="shared" si="2"/>
        <v>1.9578639693550892E-2</v>
      </c>
      <c r="S63" s="53"/>
      <c r="U63" s="13"/>
      <c r="V63" s="14"/>
    </row>
    <row r="64" spans="2:22" x14ac:dyDescent="0.25">
      <c r="B64" s="9">
        <v>75</v>
      </c>
      <c r="C64" s="10">
        <v>3.1519644942773373E-2</v>
      </c>
      <c r="E64" s="9">
        <v>75</v>
      </c>
      <c r="F64" s="10">
        <v>5.6977019432012055E-2</v>
      </c>
      <c r="H64" s="9">
        <v>75</v>
      </c>
      <c r="I64" s="10">
        <v>2.2148340180857429E-2</v>
      </c>
      <c r="K64" s="9">
        <v>75</v>
      </c>
      <c r="L64" s="10">
        <v>3.5056221203162541E-2</v>
      </c>
      <c r="N64" s="9">
        <f t="shared" si="1"/>
        <v>75</v>
      </c>
      <c r="O64" s="5">
        <f t="shared" si="0"/>
        <v>1.6253040823142673</v>
      </c>
      <c r="Q64" s="9">
        <v>75</v>
      </c>
      <c r="R64" s="21">
        <f t="shared" si="2"/>
        <v>2.2148340180857429E-2</v>
      </c>
      <c r="S64" s="53"/>
      <c r="U64" s="13"/>
      <c r="V64" s="14"/>
    </row>
    <row r="65" spans="2:22" x14ac:dyDescent="0.25">
      <c r="B65" s="9">
        <v>76</v>
      </c>
      <c r="C65" s="10">
        <v>3.5119569223032054E-2</v>
      </c>
      <c r="E65" s="9">
        <v>76</v>
      </c>
      <c r="F65" s="10">
        <v>6.2042542347510388E-2</v>
      </c>
      <c r="H65" s="9">
        <v>76</v>
      </c>
      <c r="I65" s="10">
        <v>2.4974473647425444E-2</v>
      </c>
      <c r="K65" s="9">
        <v>76</v>
      </c>
      <c r="L65" s="10">
        <v>3.8840741118365329E-2</v>
      </c>
      <c r="N65" s="9">
        <f t="shared" si="1"/>
        <v>76</v>
      </c>
      <c r="O65" s="5">
        <f t="shared" si="0"/>
        <v>1.5973573253517142</v>
      </c>
      <c r="Q65" s="9">
        <v>76</v>
      </c>
      <c r="R65" s="21">
        <f t="shared" si="2"/>
        <v>2.4974473647425444E-2</v>
      </c>
      <c r="S65" s="53"/>
      <c r="U65" s="13"/>
      <c r="V65" s="14"/>
    </row>
    <row r="66" spans="2:22" x14ac:dyDescent="0.25">
      <c r="B66" s="9">
        <v>77</v>
      </c>
      <c r="C66" s="10">
        <v>3.8903870877740165E-2</v>
      </c>
      <c r="E66" s="9">
        <v>77</v>
      </c>
      <c r="F66" s="10">
        <v>6.7183988032512243E-2</v>
      </c>
      <c r="H66" s="9">
        <v>77</v>
      </c>
      <c r="I66" s="10">
        <v>2.8016557047224167E-2</v>
      </c>
      <c r="K66" s="9">
        <v>77</v>
      </c>
      <c r="L66" s="10">
        <v>4.2829966585966495E-2</v>
      </c>
      <c r="N66" s="9">
        <f t="shared" si="1"/>
        <v>77</v>
      </c>
      <c r="O66" s="5">
        <f t="shared" si="0"/>
        <v>1.5686210704288874</v>
      </c>
      <c r="Q66" s="9">
        <v>77</v>
      </c>
      <c r="R66" s="21">
        <f t="shared" si="2"/>
        <v>2.8016557047224167E-2</v>
      </c>
      <c r="S66" s="53"/>
      <c r="U66" s="13"/>
      <c r="V66" s="14"/>
    </row>
    <row r="67" spans="2:22" x14ac:dyDescent="0.25">
      <c r="B67" s="9">
        <v>78</v>
      </c>
      <c r="C67" s="10">
        <v>4.2853081729008036E-2</v>
      </c>
      <c r="E67" s="9">
        <v>78</v>
      </c>
      <c r="F67" s="10">
        <v>7.2318522634423954E-2</v>
      </c>
      <c r="H67" s="9">
        <v>78</v>
      </c>
      <c r="I67" s="10">
        <v>3.1276014969963462E-2</v>
      </c>
      <c r="K67" s="9">
        <v>78</v>
      </c>
      <c r="L67" s="10">
        <v>4.6983073388405794E-2</v>
      </c>
      <c r="N67" s="9">
        <f t="shared" si="1"/>
        <v>78</v>
      </c>
      <c r="O67" s="5">
        <f t="shared" si="0"/>
        <v>1.539246316148196</v>
      </c>
      <c r="Q67" s="9">
        <v>78</v>
      </c>
      <c r="R67" s="21">
        <f t="shared" si="2"/>
        <v>3.1276014969963462E-2</v>
      </c>
      <c r="S67" s="53"/>
      <c r="U67" s="13"/>
      <c r="V67" s="14"/>
    </row>
    <row r="68" spans="2:22" x14ac:dyDescent="0.25">
      <c r="B68" s="9">
        <v>79</v>
      </c>
      <c r="C68" s="10">
        <v>4.7091811620933788E-2</v>
      </c>
      <c r="E68" s="9">
        <v>79</v>
      </c>
      <c r="F68" s="10">
        <v>7.7599615145112488E-2</v>
      </c>
      <c r="H68" s="9">
        <v>79</v>
      </c>
      <c r="I68" s="10">
        <v>3.4844932597026923E-2</v>
      </c>
      <c r="K68" s="9">
        <v>79</v>
      </c>
      <c r="L68" s="10">
        <v>5.1405439344079484E-2</v>
      </c>
      <c r="N68" s="9">
        <f t="shared" si="1"/>
        <v>79</v>
      </c>
      <c r="O68" s="5">
        <f t="shared" si="0"/>
        <v>1.5095603915706999</v>
      </c>
      <c r="Q68" s="9">
        <v>79</v>
      </c>
      <c r="R68" s="21">
        <f t="shared" si="2"/>
        <v>3.4844932597026923E-2</v>
      </c>
      <c r="S68" s="53"/>
      <c r="U68" s="13"/>
      <c r="V68" s="14"/>
    </row>
    <row r="69" spans="2:22" x14ac:dyDescent="0.25">
      <c r="B69" s="9">
        <v>80</v>
      </c>
      <c r="C69" s="10">
        <v>5.1800932114866804E-2</v>
      </c>
      <c r="E69" s="9">
        <v>80</v>
      </c>
      <c r="F69" s="10">
        <v>8.3259469142511477E-2</v>
      </c>
      <c r="H69" s="9">
        <v>80</v>
      </c>
      <c r="I69" s="10">
        <v>3.8877064788951921E-2</v>
      </c>
      <c r="K69" s="9">
        <v>80</v>
      </c>
      <c r="L69" s="10">
        <v>5.6271398383671567E-2</v>
      </c>
      <c r="N69" s="9">
        <f t="shared" si="1"/>
        <v>80</v>
      </c>
      <c r="O69" s="5">
        <f t="shared" ref="O69:O88" si="3">+F69/L69</f>
        <v>1.4796054751443872</v>
      </c>
      <c r="Q69" s="9">
        <v>80</v>
      </c>
      <c r="R69" s="21">
        <f t="shared" si="2"/>
        <v>3.8877064788951921E-2</v>
      </c>
      <c r="S69" s="53"/>
      <c r="U69" s="13"/>
      <c r="V69" s="14"/>
    </row>
    <row r="70" spans="2:22" x14ac:dyDescent="0.25">
      <c r="B70" s="9">
        <v>81</v>
      </c>
      <c r="C70" s="10">
        <v>5.713576152937494E-2</v>
      </c>
      <c r="E70" s="9">
        <v>81</v>
      </c>
      <c r="F70" s="10">
        <v>8.9442013437127876E-2</v>
      </c>
      <c r="H70" s="9">
        <v>81</v>
      </c>
      <c r="I70" s="10">
        <v>4.3510139892394273E-2</v>
      </c>
      <c r="K70" s="9">
        <v>81</v>
      </c>
      <c r="L70" s="10">
        <v>6.170890822495867E-2</v>
      </c>
      <c r="N70" s="9">
        <f t="shared" ref="N70:N88" si="4">+K70</f>
        <v>81</v>
      </c>
      <c r="O70" s="5">
        <f t="shared" si="3"/>
        <v>1.4494181798042625</v>
      </c>
      <c r="Q70" s="9">
        <v>81</v>
      </c>
      <c r="R70" s="21">
        <f t="shared" ref="R70:R88" si="5">+IF(AND($V$7=2,$V$8=1),C70,IF(AND($V$7=2,$V$8=2),I70,IF(AND($V$7=1,$V$8=1),F70,L70)))</f>
        <v>4.3510139892394273E-2</v>
      </c>
      <c r="S70" s="53"/>
      <c r="U70" s="13"/>
      <c r="V70" s="14"/>
    </row>
    <row r="71" spans="2:22" x14ac:dyDescent="0.25">
      <c r="B71" s="9">
        <v>82</v>
      </c>
      <c r="C71" s="10">
        <v>6.3246973239648674E-2</v>
      </c>
      <c r="E71" s="9">
        <v>82</v>
      </c>
      <c r="F71" s="10">
        <v>9.6328742766730979E-2</v>
      </c>
      <c r="H71" s="9">
        <v>82</v>
      </c>
      <c r="I71" s="10">
        <v>4.8884455919750214E-2</v>
      </c>
      <c r="K71" s="9">
        <v>82</v>
      </c>
      <c r="L71" s="10">
        <v>6.7879584755875189E-2</v>
      </c>
      <c r="N71" s="9">
        <f t="shared" si="4"/>
        <v>82</v>
      </c>
      <c r="O71" s="5">
        <f t="shared" si="3"/>
        <v>1.4191121397275994</v>
      </c>
      <c r="Q71" s="9">
        <v>82</v>
      </c>
      <c r="R71" s="21">
        <f t="shared" si="5"/>
        <v>4.8884455919750214E-2</v>
      </c>
      <c r="S71" s="53"/>
      <c r="U71" s="13"/>
      <c r="V71" s="14"/>
    </row>
    <row r="72" spans="2:22" x14ac:dyDescent="0.25">
      <c r="B72" s="9">
        <v>83</v>
      </c>
      <c r="C72" s="10">
        <v>7.0204659645143996E-2</v>
      </c>
      <c r="E72" s="9">
        <v>83</v>
      </c>
      <c r="F72" s="10">
        <v>0.10397722517611097</v>
      </c>
      <c r="H72" s="9">
        <v>83</v>
      </c>
      <c r="I72" s="10">
        <v>5.5100747838750852E-2</v>
      </c>
      <c r="K72" s="9">
        <v>83</v>
      </c>
      <c r="L72" s="10">
        <v>7.4868302832986067E-2</v>
      </c>
      <c r="N72" s="9">
        <f t="shared" si="4"/>
        <v>83</v>
      </c>
      <c r="O72" s="5">
        <f t="shared" si="3"/>
        <v>1.3888016856487344</v>
      </c>
      <c r="Q72" s="9">
        <v>83</v>
      </c>
      <c r="R72" s="21">
        <f t="shared" si="5"/>
        <v>5.5100747838750852E-2</v>
      </c>
      <c r="S72" s="53"/>
      <c r="U72" s="13"/>
      <c r="V72" s="14"/>
    </row>
    <row r="73" spans="2:22" x14ac:dyDescent="0.25">
      <c r="B73" s="9">
        <v>84</v>
      </c>
      <c r="C73" s="10">
        <v>7.8409113610303449E-2</v>
      </c>
      <c r="E73" s="9">
        <v>84</v>
      </c>
      <c r="F73" s="10">
        <v>0.11210572325540724</v>
      </c>
      <c r="H73" s="9">
        <v>84</v>
      </c>
      <c r="I73" s="10">
        <v>6.2022926459450733E-2</v>
      </c>
      <c r="K73" s="9">
        <v>84</v>
      </c>
      <c r="L73" s="10">
        <v>8.2550562755277279E-2</v>
      </c>
      <c r="N73" s="9">
        <f t="shared" si="4"/>
        <v>84</v>
      </c>
      <c r="O73" s="5">
        <f t="shared" si="3"/>
        <v>1.3580249426978082</v>
      </c>
      <c r="Q73" s="9">
        <v>84</v>
      </c>
      <c r="R73" s="21">
        <f t="shared" si="5"/>
        <v>6.2022926459450733E-2</v>
      </c>
      <c r="S73" s="53"/>
      <c r="U73" s="13"/>
      <c r="V73" s="14"/>
    </row>
    <row r="74" spans="2:22" x14ac:dyDescent="0.25">
      <c r="B74" s="9">
        <v>85</v>
      </c>
      <c r="C74" s="10">
        <v>8.6642601526380369E-2</v>
      </c>
      <c r="E74" s="9">
        <v>85</v>
      </c>
      <c r="F74" s="10">
        <v>0.12044948801202082</v>
      </c>
      <c r="H74" s="9">
        <v>85</v>
      </c>
      <c r="I74" s="10">
        <v>6.9649647472703857E-2</v>
      </c>
      <c r="K74" s="9">
        <v>85</v>
      </c>
      <c r="L74" s="10">
        <v>9.0762484556316081E-2</v>
      </c>
      <c r="N74" s="9">
        <f t="shared" si="4"/>
        <v>85</v>
      </c>
      <c r="O74" s="5">
        <f t="shared" si="3"/>
        <v>1.3270845173622878</v>
      </c>
      <c r="Q74" s="9">
        <v>85</v>
      </c>
      <c r="R74" s="21">
        <f t="shared" si="5"/>
        <v>6.9649647472703857E-2</v>
      </c>
      <c r="S74" s="53"/>
      <c r="U74" s="13"/>
      <c r="V74" s="14"/>
    </row>
    <row r="75" spans="2:22" x14ac:dyDescent="0.25">
      <c r="B75" s="9">
        <v>86</v>
      </c>
      <c r="C75" s="10">
        <v>9.6039813639328897E-2</v>
      </c>
      <c r="E75" s="9">
        <v>86</v>
      </c>
      <c r="F75" s="10">
        <v>0.12873904495437249</v>
      </c>
      <c r="H75" s="9">
        <v>86</v>
      </c>
      <c r="I75" s="10">
        <v>7.7849845521628325E-2</v>
      </c>
      <c r="K75" s="9">
        <v>86</v>
      </c>
      <c r="L75" s="10">
        <v>9.9349562985700857E-2</v>
      </c>
      <c r="N75" s="9">
        <f t="shared" si="4"/>
        <v>86</v>
      </c>
      <c r="O75" s="5">
        <f t="shared" si="3"/>
        <v>1.2958189355387661</v>
      </c>
      <c r="Q75" s="9">
        <v>86</v>
      </c>
      <c r="R75" s="21">
        <f t="shared" si="5"/>
        <v>7.7849845521628325E-2</v>
      </c>
      <c r="S75" s="53"/>
      <c r="U75" s="13"/>
      <c r="V75" s="14"/>
    </row>
    <row r="76" spans="2:22" x14ac:dyDescent="0.25">
      <c r="B76" s="9">
        <v>87</v>
      </c>
      <c r="C76" s="10">
        <v>0.10513823901428854</v>
      </c>
      <c r="E76" s="9">
        <v>87</v>
      </c>
      <c r="F76" s="10">
        <v>0.13685127436261879</v>
      </c>
      <c r="H76" s="9">
        <v>87</v>
      </c>
      <c r="I76" s="10">
        <v>8.6684584312251789E-2</v>
      </c>
      <c r="K76" s="9">
        <v>87</v>
      </c>
      <c r="L76" s="10">
        <v>0.10824294552986213</v>
      </c>
      <c r="N76" s="9">
        <f t="shared" si="4"/>
        <v>87</v>
      </c>
      <c r="O76" s="5">
        <f t="shared" si="3"/>
        <v>1.2642973977908258</v>
      </c>
      <c r="Q76" s="9">
        <v>87</v>
      </c>
      <c r="R76" s="21">
        <f t="shared" si="5"/>
        <v>8.6684584312251789E-2</v>
      </c>
      <c r="S76" s="53"/>
      <c r="U76" s="13"/>
      <c r="V76" s="14"/>
    </row>
    <row r="77" spans="2:22" x14ac:dyDescent="0.25">
      <c r="B77" s="9">
        <v>88</v>
      </c>
      <c r="C77" s="10">
        <v>0.1154784710425818</v>
      </c>
      <c r="E77" s="9">
        <v>88</v>
      </c>
      <c r="F77" s="10">
        <v>0.14574721858250406</v>
      </c>
      <c r="H77" s="9">
        <v>88</v>
      </c>
      <c r="I77" s="10">
        <v>9.6065863865784862E-2</v>
      </c>
      <c r="K77" s="9">
        <v>88</v>
      </c>
      <c r="L77" s="10">
        <v>0.11726935427691521</v>
      </c>
      <c r="N77" s="9">
        <f t="shared" si="4"/>
        <v>88</v>
      </c>
      <c r="O77" s="5">
        <f t="shared" si="3"/>
        <v>1.2428414864325283</v>
      </c>
      <c r="Q77" s="9">
        <v>88</v>
      </c>
      <c r="R77" s="21">
        <f t="shared" si="5"/>
        <v>9.6065863865784862E-2</v>
      </c>
      <c r="S77" s="53"/>
      <c r="U77" s="13"/>
      <c r="V77" s="14"/>
    </row>
    <row r="78" spans="2:22" x14ac:dyDescent="0.25">
      <c r="B78" s="9">
        <v>89</v>
      </c>
      <c r="C78" s="10">
        <v>0.12536272988284303</v>
      </c>
      <c r="E78" s="9">
        <v>89</v>
      </c>
      <c r="F78" s="10">
        <v>0.15457239664409239</v>
      </c>
      <c r="H78" s="9">
        <v>89</v>
      </c>
      <c r="I78" s="10">
        <v>0.10615232261201646</v>
      </c>
      <c r="K78" s="9">
        <v>89</v>
      </c>
      <c r="L78" s="10">
        <v>0.12655481850757799</v>
      </c>
      <c r="N78" s="9">
        <f t="shared" si="4"/>
        <v>89</v>
      </c>
      <c r="O78" s="5">
        <f t="shared" si="3"/>
        <v>1.2213868935763732</v>
      </c>
      <c r="Q78" s="9">
        <v>89</v>
      </c>
      <c r="R78" s="21">
        <f t="shared" si="5"/>
        <v>0.10615232261201646</v>
      </c>
      <c r="S78" s="53"/>
      <c r="U78" s="13"/>
      <c r="V78" s="14"/>
    </row>
    <row r="79" spans="2:22" x14ac:dyDescent="0.25">
      <c r="B79" s="9">
        <v>90</v>
      </c>
      <c r="C79" s="10">
        <v>0.13681523337868351</v>
      </c>
      <c r="E79" s="9">
        <v>90</v>
      </c>
      <c r="F79" s="10">
        <v>0.16345771188093561</v>
      </c>
      <c r="H79" s="9">
        <v>90</v>
      </c>
      <c r="I79" s="10">
        <v>0.11694816826775734</v>
      </c>
      <c r="K79" s="9">
        <v>90</v>
      </c>
      <c r="L79" s="10">
        <v>0.13623581036147192</v>
      </c>
      <c r="N79" s="9">
        <f t="shared" si="4"/>
        <v>90</v>
      </c>
      <c r="O79" s="5">
        <f t="shared" si="3"/>
        <v>1.199814582136931</v>
      </c>
      <c r="Q79" s="9">
        <v>90</v>
      </c>
      <c r="R79" s="21">
        <f t="shared" si="5"/>
        <v>0.11694816826775734</v>
      </c>
      <c r="S79" s="53"/>
      <c r="U79" s="13"/>
      <c r="V79" s="14"/>
    </row>
    <row r="80" spans="2:22" x14ac:dyDescent="0.25">
      <c r="B80" s="9">
        <v>91</v>
      </c>
      <c r="C80" s="10">
        <v>0.1491049231798165</v>
      </c>
      <c r="E80" s="9">
        <v>91</v>
      </c>
      <c r="F80" s="10">
        <v>0.17258097830072527</v>
      </c>
      <c r="H80" s="9">
        <v>91</v>
      </c>
      <c r="I80" s="10">
        <v>0.12868596920772513</v>
      </c>
      <c r="K80" s="9">
        <v>91</v>
      </c>
      <c r="L80" s="10">
        <v>0.14648635404577381</v>
      </c>
      <c r="N80" s="9">
        <f t="shared" si="4"/>
        <v>91</v>
      </c>
      <c r="O80" s="5">
        <f t="shared" si="3"/>
        <v>1.1781368949001041</v>
      </c>
      <c r="Q80" s="9">
        <v>91</v>
      </c>
      <c r="R80" s="21">
        <f t="shared" si="5"/>
        <v>0.12868596920772513</v>
      </c>
      <c r="S80" s="53"/>
      <c r="U80" s="13"/>
      <c r="V80" s="14"/>
    </row>
    <row r="81" spans="2:22" x14ac:dyDescent="0.25">
      <c r="B81" s="9">
        <v>92</v>
      </c>
      <c r="C81" s="10">
        <v>0.16261611814417776</v>
      </c>
      <c r="E81" s="9">
        <v>92</v>
      </c>
      <c r="F81" s="10">
        <v>0.18233123881868307</v>
      </c>
      <c r="H81" s="9">
        <v>92</v>
      </c>
      <c r="I81" s="10">
        <v>0.14173362597804018</v>
      </c>
      <c r="K81" s="9">
        <v>92</v>
      </c>
      <c r="L81" s="10">
        <v>0.15765968696909693</v>
      </c>
      <c r="N81" s="9">
        <f t="shared" si="4"/>
        <v>92</v>
      </c>
      <c r="O81" s="5">
        <f t="shared" si="3"/>
        <v>1.1564861146427496</v>
      </c>
      <c r="Q81" s="9">
        <v>92</v>
      </c>
      <c r="R81" s="21">
        <f t="shared" si="5"/>
        <v>0.14173362597804018</v>
      </c>
      <c r="S81" s="53"/>
      <c r="U81" s="13"/>
      <c r="V81" s="14"/>
    </row>
    <row r="82" spans="2:22" x14ac:dyDescent="0.25">
      <c r="B82" s="9">
        <v>93</v>
      </c>
      <c r="C82" s="10">
        <v>0.1780580476283139</v>
      </c>
      <c r="E82" s="9">
        <v>93</v>
      </c>
      <c r="F82" s="10">
        <v>0.19494126142024859</v>
      </c>
      <c r="H82" s="9">
        <v>93</v>
      </c>
      <c r="I82" s="10">
        <v>0.15676387804123992</v>
      </c>
      <c r="K82" s="9">
        <v>93</v>
      </c>
      <c r="L82" s="10">
        <v>0.17025826868809457</v>
      </c>
      <c r="N82" s="9">
        <f t="shared" si="4"/>
        <v>93</v>
      </c>
      <c r="O82" s="5">
        <f t="shared" si="3"/>
        <v>1.1449738266596152</v>
      </c>
      <c r="Q82" s="9">
        <v>93</v>
      </c>
      <c r="R82" s="21">
        <f t="shared" si="5"/>
        <v>0.15676387804123992</v>
      </c>
      <c r="S82" s="53"/>
      <c r="U82" s="13"/>
      <c r="V82" s="14"/>
    </row>
    <row r="83" spans="2:22" x14ac:dyDescent="0.25">
      <c r="B83" s="9">
        <v>94</v>
      </c>
      <c r="C83" s="10">
        <v>0.19718804911311927</v>
      </c>
      <c r="E83" s="9">
        <v>94</v>
      </c>
      <c r="F83" s="10">
        <v>0.21132197610664982</v>
      </c>
      <c r="H83" s="9">
        <v>94</v>
      </c>
      <c r="I83" s="10">
        <v>0.17542146021160232</v>
      </c>
      <c r="K83" s="9">
        <v>94</v>
      </c>
      <c r="L83" s="10">
        <v>0.1864825498987619</v>
      </c>
      <c r="N83" s="9">
        <f t="shared" si="4"/>
        <v>94</v>
      </c>
      <c r="O83" s="5">
        <f t="shared" si="3"/>
        <v>1.1331997348887219</v>
      </c>
      <c r="Q83" s="9">
        <v>94</v>
      </c>
      <c r="R83" s="21">
        <f t="shared" si="5"/>
        <v>0.17542146021160232</v>
      </c>
      <c r="S83" s="53"/>
      <c r="U83" s="13"/>
      <c r="V83" s="14"/>
    </row>
    <row r="84" spans="2:22" x14ac:dyDescent="0.25">
      <c r="B84" s="9">
        <v>95</v>
      </c>
      <c r="C84" s="10">
        <v>0.22583238504226821</v>
      </c>
      <c r="E84" s="9">
        <v>95</v>
      </c>
      <c r="F84" s="10">
        <v>0.23547349338999846</v>
      </c>
      <c r="H84" s="9">
        <v>95</v>
      </c>
      <c r="I84" s="10">
        <v>0.20131581077820426</v>
      </c>
      <c r="K84" s="9">
        <v>95</v>
      </c>
      <c r="L84" s="10">
        <v>0.21005740085414115</v>
      </c>
      <c r="N84" s="9">
        <f t="shared" si="4"/>
        <v>95</v>
      </c>
      <c r="O84" s="5">
        <f t="shared" si="3"/>
        <v>1.1209959393599545</v>
      </c>
      <c r="Q84" s="9">
        <v>95</v>
      </c>
      <c r="R84" s="21">
        <f t="shared" si="5"/>
        <v>0.20131581077820426</v>
      </c>
      <c r="S84" s="53"/>
      <c r="U84" s="13"/>
      <c r="V84" s="14"/>
    </row>
    <row r="85" spans="2:22" x14ac:dyDescent="0.25">
      <c r="B85" s="9">
        <v>96</v>
      </c>
      <c r="C85" s="10">
        <v>0.27090659740345135</v>
      </c>
      <c r="E85" s="9">
        <v>96</v>
      </c>
      <c r="F85" s="10">
        <v>0.27782230976795808</v>
      </c>
      <c r="H85" s="9">
        <v>96</v>
      </c>
      <c r="I85" s="10">
        <v>0.24230152461545607</v>
      </c>
      <c r="K85" s="9">
        <v>96</v>
      </c>
      <c r="L85" s="10">
        <v>0.24861683139186264</v>
      </c>
      <c r="N85" s="9">
        <f t="shared" si="4"/>
        <v>96</v>
      </c>
      <c r="O85" s="5">
        <f t="shared" si="3"/>
        <v>1.1174718469887608</v>
      </c>
      <c r="Q85" s="9">
        <v>96</v>
      </c>
      <c r="R85" s="21">
        <f t="shared" si="5"/>
        <v>0.24230152461545607</v>
      </c>
      <c r="S85" s="53"/>
      <c r="U85" s="13"/>
      <c r="V85" s="14"/>
    </row>
    <row r="86" spans="2:22" x14ac:dyDescent="0.25">
      <c r="B86" s="9">
        <v>97</v>
      </c>
      <c r="C86" s="10">
        <v>0.350811837452224</v>
      </c>
      <c r="E86" s="9">
        <v>97</v>
      </c>
      <c r="F86" s="10">
        <v>0.35515525838596351</v>
      </c>
      <c r="H86" s="9">
        <v>97</v>
      </c>
      <c r="I86" s="10">
        <v>0.31573523833849504</v>
      </c>
      <c r="K86" s="9">
        <v>97</v>
      </c>
      <c r="L86" s="10">
        <v>0.31975736233424568</v>
      </c>
      <c r="N86" s="9">
        <f t="shared" si="4"/>
        <v>97</v>
      </c>
      <c r="O86" s="5">
        <f t="shared" si="3"/>
        <v>1.1107023644219207</v>
      </c>
      <c r="Q86" s="9">
        <v>97</v>
      </c>
      <c r="R86" s="21">
        <f t="shared" si="5"/>
        <v>0.31573523833849504</v>
      </c>
      <c r="S86" s="53"/>
      <c r="U86" s="13"/>
      <c r="V86" s="14"/>
    </row>
    <row r="87" spans="2:22" x14ac:dyDescent="0.25">
      <c r="B87" s="9">
        <v>98</v>
      </c>
      <c r="C87" s="10">
        <v>0.51093330138966464</v>
      </c>
      <c r="E87" s="9">
        <v>98</v>
      </c>
      <c r="F87" s="10">
        <v>0.51296506059325908</v>
      </c>
      <c r="H87" s="9">
        <v>98</v>
      </c>
      <c r="I87" s="10">
        <v>0.46641502731882567</v>
      </c>
      <c r="K87" s="9">
        <v>98</v>
      </c>
      <c r="L87" s="10">
        <v>0.46836222639807146</v>
      </c>
      <c r="N87" s="9">
        <f t="shared" si="4"/>
        <v>98</v>
      </c>
      <c r="O87" s="5">
        <f t="shared" si="3"/>
        <v>1.0952314932359184</v>
      </c>
      <c r="Q87" s="9">
        <v>98</v>
      </c>
      <c r="R87" s="21">
        <f t="shared" si="5"/>
        <v>0.46641502731882567</v>
      </c>
      <c r="S87" s="53"/>
      <c r="U87" s="13"/>
      <c r="V87" s="14"/>
    </row>
    <row r="88" spans="2:22" x14ac:dyDescent="0.25">
      <c r="B88" s="9">
        <v>99</v>
      </c>
      <c r="C88" s="10">
        <v>1</v>
      </c>
      <c r="E88" s="9">
        <v>99</v>
      </c>
      <c r="F88" s="10">
        <v>1</v>
      </c>
      <c r="H88" s="9">
        <v>99</v>
      </c>
      <c r="I88" s="10">
        <v>1</v>
      </c>
      <c r="K88" s="9">
        <v>99</v>
      </c>
      <c r="L88" s="10">
        <v>1</v>
      </c>
      <c r="N88" s="9">
        <f t="shared" si="4"/>
        <v>99</v>
      </c>
      <c r="O88" s="5">
        <f t="shared" si="3"/>
        <v>1</v>
      </c>
      <c r="Q88" s="9">
        <v>99</v>
      </c>
      <c r="R88" s="21">
        <f t="shared" si="5"/>
        <v>1</v>
      </c>
      <c r="S88" s="53"/>
      <c r="U88" s="13"/>
    </row>
  </sheetData>
  <mergeCells count="19">
    <mergeCell ref="U6:V6"/>
    <mergeCell ref="Q2:R2"/>
    <mergeCell ref="Q3:Q4"/>
    <mergeCell ref="R3:R4"/>
    <mergeCell ref="N3:N4"/>
    <mergeCell ref="O3:O4"/>
    <mergeCell ref="N2:O2"/>
    <mergeCell ref="I3:I4"/>
    <mergeCell ref="K3:K4"/>
    <mergeCell ref="L3:L4"/>
    <mergeCell ref="B2:C2"/>
    <mergeCell ref="E2:F2"/>
    <mergeCell ref="H2:I2"/>
    <mergeCell ref="K2:L2"/>
    <mergeCell ref="B3:B4"/>
    <mergeCell ref="C3:C4"/>
    <mergeCell ref="E3:E4"/>
    <mergeCell ref="F3:F4"/>
    <mergeCell ref="H3:H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F88"/>
  <sheetViews>
    <sheetView topLeftCell="AP1" zoomScaleNormal="100" workbookViewId="0">
      <selection activeCell="X27" sqref="X27"/>
    </sheetView>
  </sheetViews>
  <sheetFormatPr baseColWidth="10" defaultColWidth="11" defaultRowHeight="10.199999999999999" x14ac:dyDescent="0.25"/>
  <cols>
    <col min="1" max="1" width="11" style="2"/>
    <col min="2" max="11" width="11" style="1"/>
    <col min="12" max="12" width="4.09765625" style="1" customWidth="1"/>
    <col min="13" max="13" width="16.5" style="1" customWidth="1"/>
    <col min="14" max="14" width="11" style="1"/>
    <col min="15" max="15" width="4.09765625" style="1" customWidth="1"/>
    <col min="16" max="16" width="3.5" style="3" customWidth="1"/>
    <col min="17" max="17" width="4.09765625" style="1" customWidth="1"/>
    <col min="18" max="21" width="11" style="1"/>
    <col min="22" max="22" width="3.19921875" style="1" customWidth="1"/>
    <col min="23" max="25" width="11" style="1"/>
    <col min="26" max="26" width="3.19921875" style="1" customWidth="1"/>
    <col min="27" max="29" width="11" style="1"/>
    <col min="30" max="30" width="3.19921875" style="1" customWidth="1"/>
    <col min="31" max="33" width="11" style="1"/>
    <col min="34" max="34" width="4.09765625" style="1" customWidth="1"/>
    <col min="35" max="39" width="11" style="1"/>
    <col min="40" max="40" width="4.09765625" style="1" customWidth="1"/>
    <col min="41" max="43" width="11" style="1"/>
    <col min="44" max="44" width="12" style="1" customWidth="1"/>
    <col min="45" max="45" width="4.09765625" style="1" customWidth="1"/>
    <col min="46" max="46" width="2.19921875" style="1" customWidth="1"/>
    <col min="47" max="48" width="5" style="1" customWidth="1"/>
    <col min="49" max="49" width="10.3984375" style="1" bestFit="1" customWidth="1"/>
    <col min="50" max="50" width="10.3984375" style="1" customWidth="1"/>
    <col min="51" max="54" width="11" style="1"/>
    <col min="55" max="55" width="12" style="1" bestFit="1" customWidth="1"/>
    <col min="56" max="16384" width="11" style="1"/>
  </cols>
  <sheetData>
    <row r="1" spans="1:58" x14ac:dyDescent="0.25">
      <c r="R1" s="1">
        <v>1</v>
      </c>
      <c r="S1" s="1">
        <v>2</v>
      </c>
      <c r="T1" s="1">
        <v>3</v>
      </c>
      <c r="U1" s="1">
        <v>4</v>
      </c>
      <c r="V1" s="1">
        <v>5</v>
      </c>
      <c r="W1" s="1">
        <v>6</v>
      </c>
      <c r="X1" s="1">
        <v>7</v>
      </c>
      <c r="Y1" s="1">
        <v>8</v>
      </c>
      <c r="Z1" s="1">
        <v>9</v>
      </c>
      <c r="AA1" s="1">
        <v>10</v>
      </c>
      <c r="AB1" s="1">
        <v>11</v>
      </c>
      <c r="AC1" s="1">
        <v>12</v>
      </c>
      <c r="AD1" s="1">
        <v>13</v>
      </c>
      <c r="AE1" s="1">
        <v>14</v>
      </c>
      <c r="AF1" s="1">
        <v>15</v>
      </c>
      <c r="AG1" s="1">
        <v>16</v>
      </c>
      <c r="AH1" s="1">
        <v>17</v>
      </c>
      <c r="AI1" s="1">
        <v>18</v>
      </c>
      <c r="AJ1" s="1">
        <v>19</v>
      </c>
      <c r="AK1" s="1">
        <v>20</v>
      </c>
      <c r="AL1" s="1">
        <v>21</v>
      </c>
      <c r="AM1" s="1">
        <v>22</v>
      </c>
    </row>
    <row r="2" spans="1:58" ht="22.5" customHeight="1" x14ac:dyDescent="0.25">
      <c r="A2" s="309" t="s">
        <v>70</v>
      </c>
      <c r="B2" s="310"/>
      <c r="C2" s="310"/>
      <c r="D2" s="310"/>
      <c r="E2" s="310"/>
      <c r="F2" s="310"/>
      <c r="G2" s="310"/>
      <c r="H2" s="310"/>
      <c r="I2" s="31"/>
      <c r="J2" s="31"/>
      <c r="K2" s="31"/>
      <c r="L2" s="32"/>
      <c r="O2" s="32"/>
      <c r="Q2" s="32"/>
      <c r="R2" s="311" t="s">
        <v>3</v>
      </c>
      <c r="S2" s="312" t="s">
        <v>71</v>
      </c>
      <c r="T2" s="313"/>
      <c r="U2" s="314"/>
      <c r="V2" s="33"/>
      <c r="W2" s="315" t="s">
        <v>72</v>
      </c>
      <c r="X2" s="316"/>
      <c r="Y2" s="317"/>
      <c r="Z2" s="33"/>
      <c r="AA2" s="312" t="s">
        <v>73</v>
      </c>
      <c r="AB2" s="313"/>
      <c r="AC2" s="314"/>
      <c r="AD2" s="33"/>
      <c r="AE2" s="315" t="s">
        <v>74</v>
      </c>
      <c r="AF2" s="316"/>
      <c r="AG2" s="317"/>
      <c r="AH2" s="32"/>
      <c r="AI2" s="308" t="s">
        <v>6</v>
      </c>
      <c r="AJ2" s="308"/>
      <c r="AK2" s="308"/>
      <c r="AL2" s="308"/>
      <c r="AM2" s="308"/>
      <c r="AN2" s="32"/>
      <c r="AO2" s="29" t="s">
        <v>3</v>
      </c>
      <c r="AP2" s="29" t="s">
        <v>60</v>
      </c>
      <c r="AQ2" s="29" t="s">
        <v>61</v>
      </c>
      <c r="AR2" s="15" t="s">
        <v>62</v>
      </c>
      <c r="AS2" s="32"/>
      <c r="AW2" s="44" t="s">
        <v>28</v>
      </c>
      <c r="AX2" s="34">
        <f>+Parámetros!$F$47</f>
        <v>0</v>
      </c>
      <c r="BB2" s="1" t="s">
        <v>102</v>
      </c>
      <c r="BC2" s="1" t="s">
        <v>153</v>
      </c>
      <c r="BD2" s="1" t="s">
        <v>7</v>
      </c>
      <c r="BE2" s="1" t="s">
        <v>157</v>
      </c>
      <c r="BF2" s="1" t="s">
        <v>370</v>
      </c>
    </row>
    <row r="3" spans="1:58" ht="11.25" customHeight="1" x14ac:dyDescent="0.25">
      <c r="A3" s="16" t="s">
        <v>3</v>
      </c>
      <c r="B3" s="16" t="s">
        <v>75</v>
      </c>
      <c r="C3" s="16" t="s">
        <v>76</v>
      </c>
      <c r="D3" s="16" t="s">
        <v>77</v>
      </c>
      <c r="E3" s="16" t="s">
        <v>78</v>
      </c>
      <c r="F3" s="16" t="s">
        <v>79</v>
      </c>
      <c r="G3" s="16" t="s">
        <v>80</v>
      </c>
      <c r="H3" s="23" t="s">
        <v>81</v>
      </c>
      <c r="I3" s="23" t="s">
        <v>82</v>
      </c>
      <c r="J3" s="23" t="s">
        <v>83</v>
      </c>
      <c r="K3" s="23" t="s">
        <v>84</v>
      </c>
      <c r="L3" s="32"/>
      <c r="M3" s="35" t="s">
        <v>85</v>
      </c>
      <c r="N3" s="36">
        <f>226476/481392</f>
        <v>0.47046066407418485</v>
      </c>
      <c r="O3" s="32"/>
      <c r="Q3" s="32"/>
      <c r="R3" s="311"/>
      <c r="S3" s="6" t="s">
        <v>86</v>
      </c>
      <c r="T3" s="6" t="s">
        <v>87</v>
      </c>
      <c r="U3" s="6" t="s">
        <v>88</v>
      </c>
      <c r="V3" s="37"/>
      <c r="W3" s="7" t="s">
        <v>86</v>
      </c>
      <c r="X3" s="7" t="s">
        <v>87</v>
      </c>
      <c r="Y3" s="7" t="s">
        <v>88</v>
      </c>
      <c r="Z3" s="37"/>
      <c r="AA3" s="6" t="s">
        <v>86</v>
      </c>
      <c r="AB3" s="6" t="s">
        <v>87</v>
      </c>
      <c r="AC3" s="6" t="s">
        <v>88</v>
      </c>
      <c r="AD3" s="37"/>
      <c r="AE3" s="7" t="s">
        <v>86</v>
      </c>
      <c r="AF3" s="7" t="s">
        <v>87</v>
      </c>
      <c r="AG3" s="7" t="s">
        <v>88</v>
      </c>
      <c r="AH3" s="32"/>
      <c r="AI3" s="22" t="s">
        <v>55</v>
      </c>
      <c r="AJ3" s="23" t="s">
        <v>56</v>
      </c>
      <c r="AK3" s="23" t="s">
        <v>57</v>
      </c>
      <c r="AL3" s="23" t="s">
        <v>58</v>
      </c>
      <c r="AM3" s="23" t="s">
        <v>59</v>
      </c>
      <c r="AN3" s="32"/>
      <c r="AO3" s="28" t="s">
        <v>63</v>
      </c>
      <c r="AP3" s="28">
        <v>15</v>
      </c>
      <c r="AQ3" s="28">
        <v>19</v>
      </c>
      <c r="AR3" s="30">
        <v>0.39700000000000002</v>
      </c>
      <c r="AS3" s="32"/>
      <c r="BB3" s="1" t="s">
        <v>103</v>
      </c>
      <c r="BC3" s="1">
        <v>1</v>
      </c>
      <c r="BD3" s="1">
        <v>0</v>
      </c>
      <c r="BE3" s="89">
        <f>+PMT(Parámetros!$D$88/BC3,'TABLAS ADI'!BC3*10,-'TABLAS ADI'!BF3,0,1)</f>
        <v>0.1146037822050517</v>
      </c>
      <c r="BF3" s="90">
        <f>+(Parámetros!$D$114+Parámetros!$D$115*(1+Parámetros!$D$88)^(-1))*BC3</f>
        <v>0.98647342995169085</v>
      </c>
    </row>
    <row r="4" spans="1:58" x14ac:dyDescent="0.25">
      <c r="A4" s="9">
        <v>15</v>
      </c>
      <c r="B4" s="38">
        <v>2.3842700000000001E-4</v>
      </c>
      <c r="C4" s="38">
        <v>2.26491E-4</v>
      </c>
      <c r="D4" s="39">
        <f t="shared" ref="D4:D59" si="0">+B4*$N$5+C4*$N$6</f>
        <v>2.32411256E-4</v>
      </c>
      <c r="E4" s="26">
        <f t="shared" ref="E4:G35" si="1">+B4*(1/(1+$N$8))^0.5</f>
        <v>2.3212889524686669E-4</v>
      </c>
      <c r="F4" s="26">
        <f t="shared" si="1"/>
        <v>2.2050818746768649E-4</v>
      </c>
      <c r="G4" s="39">
        <f t="shared" si="1"/>
        <v>2.2627205852615988E-4</v>
      </c>
      <c r="H4" s="26">
        <f>+IF($N$16=1,E4*$N$3,F4*$N$3)</f>
        <v>1.0374042830984264E-4</v>
      </c>
      <c r="I4" s="26">
        <f>+IF($N$16=1,(E4/12)*(1/(1+($N$8/12)))^0.5*$N$3*(1+$N$10),(F4/12)*(1/(1+($N$8/12)))^0.5*$N$3*(1+$N$10))</f>
        <v>8.8668001713265958E-6</v>
      </c>
      <c r="J4" s="26">
        <f>+(D4/4)*(1/(1+($N$8/4)))^0.5*$N$3*(1+$N$11)</f>
        <v>2.77680747266108E-5</v>
      </c>
      <c r="K4" s="26">
        <f>+(D4/2)*(1/(1+($N$8/2)))^0.5*$N$3*(1+$N$12)</f>
        <v>5.4748016795321236E-5</v>
      </c>
      <c r="L4" s="14"/>
      <c r="O4" s="14"/>
      <c r="Q4" s="14"/>
      <c r="R4" s="27">
        <v>15</v>
      </c>
      <c r="S4" s="40"/>
      <c r="T4" s="40"/>
      <c r="U4" s="40"/>
      <c r="V4" s="37"/>
      <c r="W4" s="40"/>
      <c r="X4" s="40"/>
      <c r="Y4" s="40"/>
      <c r="Z4" s="37"/>
      <c r="AA4" s="40"/>
      <c r="AB4" s="40"/>
      <c r="AC4" s="40"/>
      <c r="AD4" s="37"/>
      <c r="AE4" s="40"/>
      <c r="AF4" s="40"/>
      <c r="AG4" s="40"/>
      <c r="AH4" s="14"/>
      <c r="AI4" s="24"/>
      <c r="AJ4" s="24"/>
      <c r="AK4" s="24"/>
      <c r="AL4" s="24"/>
      <c r="AM4" s="24"/>
      <c r="AN4" s="14"/>
      <c r="AO4" s="28" t="s">
        <v>64</v>
      </c>
      <c r="AP4" s="28">
        <v>20</v>
      </c>
      <c r="AQ4" s="28">
        <v>24</v>
      </c>
      <c r="AR4" s="30">
        <v>0.436</v>
      </c>
      <c r="AS4" s="14"/>
      <c r="BB4" s="1" t="s">
        <v>147</v>
      </c>
      <c r="BC4" s="1">
        <v>2</v>
      </c>
      <c r="BD4" s="1">
        <v>1.5100000000000001E-2</v>
      </c>
      <c r="BE4" s="89">
        <f>+PMT(Parámetros!$D$88/BC4,'TABLAS ADI'!BC4*10,-'TABLAS ADI'!BF4,0,1)</f>
        <v>0.11574212684103199</v>
      </c>
      <c r="BF4" s="90">
        <f>+(Parámetros!$D$114+Parámetros!$D$115*(1+Parámetros!$D$88)^(-1))*BC4</f>
        <v>1.9729468599033817</v>
      </c>
    </row>
    <row r="5" spans="1:58" x14ac:dyDescent="0.25">
      <c r="A5" s="9">
        <v>16</v>
      </c>
      <c r="B5" s="38">
        <v>2.4208499999999998E-4</v>
      </c>
      <c r="C5" s="38">
        <v>2.3671E-4</v>
      </c>
      <c r="D5" s="39">
        <f t="shared" si="0"/>
        <v>2.3937599999999999E-4</v>
      </c>
      <c r="E5" s="26">
        <f t="shared" si="1"/>
        <v>2.3569026832463488E-4</v>
      </c>
      <c r="F5" s="26">
        <f t="shared" si="1"/>
        <v>2.3045725020188912E-4</v>
      </c>
      <c r="G5" s="39">
        <f t="shared" si="1"/>
        <v>2.3305282719077102E-4</v>
      </c>
      <c r="H5" s="26">
        <f t="shared" ref="H5:H59" si="2">+IF($N$16=1,E5*$N$3,F5*$N$3)</f>
        <v>1.0842107097069133E-4</v>
      </c>
      <c r="I5" s="26">
        <f t="shared" ref="I5:I59" si="3">+IF($N$16=1,(E5/12)*(1/(1+($N$8/12)))^0.5*$N$3*(1+$N$10),(F5/12)*(1/(1+($N$8/12)))^0.5*$N$3*(1+$N$10))</f>
        <v>9.2668594714788593E-6</v>
      </c>
      <c r="J5" s="26">
        <f t="shared" ref="J5:J59" si="4">+(D5/4)*(1/(1+($N$8/4)))^0.5*$N$3*(1+$N$11)</f>
        <v>2.8600209689315503E-5</v>
      </c>
      <c r="K5" s="26">
        <f t="shared" ref="K5:K59" si="5">+(D5/2)*(1/(1+($N$8/2)))^0.5*$N$3*(1+$N$12)</f>
        <v>5.6388668492014934E-5</v>
      </c>
      <c r="L5" s="14"/>
      <c r="M5" s="17" t="s">
        <v>89</v>
      </c>
      <c r="N5" s="41">
        <v>0.496</v>
      </c>
      <c r="O5" s="14"/>
      <c r="Q5" s="14"/>
      <c r="R5" s="28">
        <v>16</v>
      </c>
      <c r="S5" s="42">
        <v>5.1800000000000001E-4</v>
      </c>
      <c r="T5" s="42">
        <v>8.4199999999999998E-4</v>
      </c>
      <c r="U5" s="42">
        <v>6.7900000000000002E-4</v>
      </c>
      <c r="V5" s="37"/>
      <c r="W5" s="42">
        <v>2.5900000000000001E-4</v>
      </c>
      <c r="X5" s="42">
        <v>4.2099999999999999E-4</v>
      </c>
      <c r="Y5" s="42">
        <v>3.4000000000000002E-4</v>
      </c>
      <c r="Z5" s="37"/>
      <c r="AA5" s="42">
        <v>1.2999999999999999E-4</v>
      </c>
      <c r="AB5" s="42">
        <v>2.1100000000000001E-4</v>
      </c>
      <c r="AC5" s="42">
        <v>1.7000000000000001E-4</v>
      </c>
      <c r="AD5" s="37"/>
      <c r="AE5" s="42">
        <v>4.3000000000000002E-5</v>
      </c>
      <c r="AF5" s="42">
        <v>6.9999999999999994E-5</v>
      </c>
      <c r="AG5" s="42">
        <v>5.7000000000000003E-5</v>
      </c>
      <c r="AH5" s="14"/>
      <c r="AI5" s="25">
        <f t="shared" ref="AI5:AI36" si="6">+IFERROR(VLOOKUP(R5,$AP$3:$AR$9,3,TRUE),0)</f>
        <v>0.39700000000000002</v>
      </c>
      <c r="AJ5" s="26">
        <f>+IF($N$16=2,S5*AI5,T5*AI5)</f>
        <v>3.3427400000000002E-4</v>
      </c>
      <c r="AK5" s="26">
        <f>+IF($N$16=2,AE5*AI5,AF5*AI5)</f>
        <v>2.779E-5</v>
      </c>
      <c r="AL5" s="26">
        <f>+IF($N$16=2,AA5*AI5,AB5*AI5)</f>
        <v>8.3767000000000013E-5</v>
      </c>
      <c r="AM5" s="26">
        <f>+IF($N$16=2,W5*AI5,X5*AI5)</f>
        <v>1.6713700000000001E-4</v>
      </c>
      <c r="AN5" s="14"/>
      <c r="AO5" s="28" t="s">
        <v>65</v>
      </c>
      <c r="AP5" s="28">
        <v>25</v>
      </c>
      <c r="AQ5" s="28">
        <v>34</v>
      </c>
      <c r="AR5" s="30">
        <v>0.36899999999999999</v>
      </c>
      <c r="AS5" s="14"/>
      <c r="AW5" s="306" t="s">
        <v>6</v>
      </c>
      <c r="AX5" s="307"/>
      <c r="AY5" s="307"/>
      <c r="BB5" s="1" t="s">
        <v>148</v>
      </c>
      <c r="BC5" s="1">
        <v>4</v>
      </c>
      <c r="BD5" s="1">
        <v>2.2800000000000001E-2</v>
      </c>
      <c r="BE5" s="89">
        <f>+PMT(Parámetros!$D$88/BC5,'TABLAS ADI'!BC5*10,-'TABLAS ADI'!BF5,0,1)</f>
        <v>0.116324366595771</v>
      </c>
      <c r="BF5" s="90">
        <f>+(Parámetros!$D$114+Parámetros!$D$115*(1+Parámetros!$D$88)^(-1))*BC5</f>
        <v>3.9458937198067634</v>
      </c>
    </row>
    <row r="6" spans="1:58" ht="22.2" x14ac:dyDescent="0.25">
      <c r="A6" s="9">
        <v>17</v>
      </c>
      <c r="B6" s="38">
        <v>2.4609000000000002E-4</v>
      </c>
      <c r="C6" s="38">
        <v>2.4779799999999997E-4</v>
      </c>
      <c r="D6" s="39">
        <f t="shared" si="0"/>
        <v>2.4695083199999999E-4</v>
      </c>
      <c r="E6" s="26">
        <f t="shared" si="1"/>
        <v>2.3958947531655991E-4</v>
      </c>
      <c r="F6" s="26">
        <f t="shared" si="1"/>
        <v>2.4125235809863423E-4</v>
      </c>
      <c r="G6" s="39">
        <f t="shared" si="1"/>
        <v>2.4042756823872537E-4</v>
      </c>
      <c r="H6" s="26">
        <f t="shared" si="2"/>
        <v>1.1349974460054651E-4</v>
      </c>
      <c r="I6" s="26">
        <f t="shared" si="3"/>
        <v>9.7009388843458984E-6</v>
      </c>
      <c r="J6" s="26">
        <f t="shared" si="4"/>
        <v>2.9505236858126648E-5</v>
      </c>
      <c r="K6" s="26">
        <f t="shared" si="5"/>
        <v>5.8173035724029448E-5</v>
      </c>
      <c r="L6" s="14"/>
      <c r="M6" s="17" t="s">
        <v>90</v>
      </c>
      <c r="N6" s="41">
        <v>0.504</v>
      </c>
      <c r="O6" s="14"/>
      <c r="Q6" s="14"/>
      <c r="R6" s="28">
        <v>17</v>
      </c>
      <c r="S6" s="42">
        <v>5.4199999999999995E-4</v>
      </c>
      <c r="T6" s="42">
        <v>9.0700000000000004E-4</v>
      </c>
      <c r="U6" s="42">
        <v>7.2300000000000001E-4</v>
      </c>
      <c r="V6" s="37"/>
      <c r="W6" s="42">
        <v>2.7099999999999997E-4</v>
      </c>
      <c r="X6" s="42">
        <v>4.5399999999999998E-4</v>
      </c>
      <c r="Y6" s="42">
        <v>3.6200000000000002E-4</v>
      </c>
      <c r="Z6" s="37"/>
      <c r="AA6" s="42">
        <v>1.35E-4</v>
      </c>
      <c r="AB6" s="42">
        <v>2.2699999999999999E-4</v>
      </c>
      <c r="AC6" s="42">
        <v>1.8100000000000001E-4</v>
      </c>
      <c r="AD6" s="37"/>
      <c r="AE6" s="42">
        <v>4.5000000000000003E-5</v>
      </c>
      <c r="AF6" s="42">
        <v>7.6000000000000004E-5</v>
      </c>
      <c r="AG6" s="42">
        <v>6.0000000000000002E-5</v>
      </c>
      <c r="AH6" s="14"/>
      <c r="AI6" s="25">
        <f t="shared" si="6"/>
        <v>0.39700000000000002</v>
      </c>
      <c r="AJ6" s="26">
        <f t="shared" ref="AJ6:AJ69" si="7">+IF($N$16=2,S6*AI6,T6*AI6)</f>
        <v>3.6007900000000002E-4</v>
      </c>
      <c r="AK6" s="26">
        <f t="shared" ref="AK6:AK69" si="8">+IF($N$16=2,AE6*AI6,AF6*AI6)</f>
        <v>3.0172000000000002E-5</v>
      </c>
      <c r="AL6" s="26">
        <f t="shared" ref="AL6:AL69" si="9">+IF($N$16=2,AA6*AI6,AB6*AI6)</f>
        <v>9.0118999999999996E-5</v>
      </c>
      <c r="AM6" s="26">
        <f t="shared" ref="AM6:AM69" si="10">+IF($N$16=2,W6*AI6,X6*AI6)</f>
        <v>1.8023799999999999E-4</v>
      </c>
      <c r="AN6" s="14"/>
      <c r="AO6" s="28" t="s">
        <v>66</v>
      </c>
      <c r="AP6" s="28">
        <v>35</v>
      </c>
      <c r="AQ6" s="28">
        <v>44</v>
      </c>
      <c r="AR6" s="30">
        <v>0.23100000000000001</v>
      </c>
      <c r="AS6" s="14"/>
      <c r="AU6" s="45" t="s">
        <v>27</v>
      </c>
      <c r="AV6" s="45" t="s">
        <v>3</v>
      </c>
      <c r="AW6" s="46" t="s">
        <v>95</v>
      </c>
      <c r="AX6" s="46" t="s">
        <v>4</v>
      </c>
      <c r="AY6" s="46" t="s">
        <v>96</v>
      </c>
      <c r="BB6" s="1" t="s">
        <v>149</v>
      </c>
      <c r="BC6" s="1">
        <v>12</v>
      </c>
      <c r="BD6" s="1">
        <v>2.8000000000000001E-2</v>
      </c>
      <c r="BE6" s="89">
        <f>+PMT(Parámetros!$D$88/BC6,'TABLAS ADI'!BC6*10,-'TABLAS ADI'!BF6,0,1)</f>
        <v>0.11671751094508068</v>
      </c>
      <c r="BF6" s="90">
        <f>+(Parámetros!$D$114+Parámetros!$D$115*(1+Parámetros!$D$88)^(-1))*BC6</f>
        <v>11.83768115942029</v>
      </c>
    </row>
    <row r="7" spans="1:58" x14ac:dyDescent="0.25">
      <c r="A7" s="9">
        <v>18</v>
      </c>
      <c r="B7" s="38">
        <v>2.5047600000000002E-4</v>
      </c>
      <c r="C7" s="38">
        <v>2.5983100000000003E-4</v>
      </c>
      <c r="D7" s="39">
        <f t="shared" si="0"/>
        <v>2.5519091999999998E-4</v>
      </c>
      <c r="E7" s="26">
        <f t="shared" si="1"/>
        <v>2.4385961810472045E-4</v>
      </c>
      <c r="F7" s="26">
        <f t="shared" si="1"/>
        <v>2.5296750360021567E-4</v>
      </c>
      <c r="G7" s="39">
        <f t="shared" si="1"/>
        <v>2.4844999239445002E-4</v>
      </c>
      <c r="H7" s="26">
        <f t="shared" si="2"/>
        <v>1.1901125973294621E-4</v>
      </c>
      <c r="I7" s="26">
        <f t="shared" si="3"/>
        <v>1.0172013701718656E-5</v>
      </c>
      <c r="J7" s="26">
        <f t="shared" si="4"/>
        <v>3.0489747605479817E-5</v>
      </c>
      <c r="K7" s="26">
        <f t="shared" si="5"/>
        <v>6.0114114155355179E-5</v>
      </c>
      <c r="L7" s="14"/>
      <c r="O7" s="14"/>
      <c r="Q7" s="14"/>
      <c r="R7" s="28">
        <v>18</v>
      </c>
      <c r="S7" s="42">
        <v>5.5999999999999995E-4</v>
      </c>
      <c r="T7" s="42">
        <v>9.4300000000000004E-4</v>
      </c>
      <c r="U7" s="42">
        <v>7.4899999999999999E-4</v>
      </c>
      <c r="V7" s="37"/>
      <c r="W7" s="42">
        <v>2.7999999999999998E-4</v>
      </c>
      <c r="X7" s="42">
        <v>4.7100000000000001E-4</v>
      </c>
      <c r="Y7" s="42">
        <v>3.7500000000000001E-4</v>
      </c>
      <c r="Z7" s="37"/>
      <c r="AA7" s="42">
        <v>1.3999999999999999E-4</v>
      </c>
      <c r="AB7" s="42">
        <v>2.3599999999999999E-4</v>
      </c>
      <c r="AC7" s="42">
        <v>1.8699999999999999E-4</v>
      </c>
      <c r="AD7" s="37"/>
      <c r="AE7" s="42">
        <v>4.6999999999999997E-5</v>
      </c>
      <c r="AF7" s="42">
        <v>7.8999999999999996E-5</v>
      </c>
      <c r="AG7" s="42">
        <v>6.2000000000000003E-5</v>
      </c>
      <c r="AH7" s="14"/>
      <c r="AI7" s="25">
        <f t="shared" si="6"/>
        <v>0.39700000000000002</v>
      </c>
      <c r="AJ7" s="26">
        <f t="shared" si="7"/>
        <v>3.7437100000000002E-4</v>
      </c>
      <c r="AK7" s="26">
        <f t="shared" si="8"/>
        <v>3.1362999999999998E-5</v>
      </c>
      <c r="AL7" s="26">
        <f t="shared" si="9"/>
        <v>9.3691999999999997E-5</v>
      </c>
      <c r="AM7" s="26">
        <f t="shared" si="10"/>
        <v>1.86987E-4</v>
      </c>
      <c r="AN7" s="14"/>
      <c r="AO7" s="28" t="s">
        <v>67</v>
      </c>
      <c r="AP7" s="28">
        <v>45</v>
      </c>
      <c r="AQ7" s="28">
        <v>54</v>
      </c>
      <c r="AR7" s="30">
        <v>0.122</v>
      </c>
      <c r="AS7" s="14"/>
      <c r="AU7" s="17">
        <v>-1</v>
      </c>
      <c r="AV7" s="47">
        <f t="shared" ref="AV7:AV38" si="11">edad1+AU7</f>
        <v>39</v>
      </c>
      <c r="AW7" s="48">
        <f>+IFERROR(VLOOKUP(AV7,$R$5:$AM$88,19,FALSE),0)</f>
        <v>2.91291E-4</v>
      </c>
      <c r="AX7" s="49">
        <f>+$AX$2</f>
        <v>0</v>
      </c>
      <c r="AY7" s="50">
        <f t="shared" ref="AY7:AY38" si="12">+IF(adicional=2,0,(AW7*AX7))</f>
        <v>0</v>
      </c>
    </row>
    <row r="8" spans="1:58" x14ac:dyDescent="0.25">
      <c r="A8" s="9">
        <v>19</v>
      </c>
      <c r="B8" s="38">
        <v>2.55278E-4</v>
      </c>
      <c r="C8" s="38">
        <v>2.7288699999999998E-4</v>
      </c>
      <c r="D8" s="39">
        <f t="shared" si="0"/>
        <v>2.6415293599999997E-4</v>
      </c>
      <c r="E8" s="26">
        <f t="shared" si="1"/>
        <v>2.4853477215596234E-4</v>
      </c>
      <c r="F8" s="26">
        <f t="shared" si="1"/>
        <v>2.65678626318461E-4</v>
      </c>
      <c r="G8" s="39">
        <f t="shared" si="1"/>
        <v>2.5717527465386167E-4</v>
      </c>
      <c r="H8" s="26">
        <f t="shared" si="2"/>
        <v>1.2499134296810037E-4</v>
      </c>
      <c r="I8" s="26">
        <f t="shared" si="3"/>
        <v>1.0683137512540454E-5</v>
      </c>
      <c r="J8" s="26">
        <f t="shared" si="4"/>
        <v>3.15605129989988E-5</v>
      </c>
      <c r="K8" s="26">
        <f t="shared" si="5"/>
        <v>6.2225253740126127E-5</v>
      </c>
      <c r="L8" s="14"/>
      <c r="M8" s="17" t="s">
        <v>91</v>
      </c>
      <c r="N8" s="41">
        <v>5.5E-2</v>
      </c>
      <c r="O8" s="14"/>
      <c r="Q8" s="14"/>
      <c r="R8" s="28">
        <v>19</v>
      </c>
      <c r="S8" s="42">
        <v>5.7700000000000004E-4</v>
      </c>
      <c r="T8" s="42">
        <v>9.7799999999999992E-4</v>
      </c>
      <c r="U8" s="42">
        <v>7.76E-4</v>
      </c>
      <c r="V8" s="37"/>
      <c r="W8" s="42">
        <v>2.8899999999999998E-4</v>
      </c>
      <c r="X8" s="42">
        <v>4.8899999999999996E-4</v>
      </c>
      <c r="Y8" s="42">
        <v>3.88E-4</v>
      </c>
      <c r="Z8" s="37"/>
      <c r="AA8" s="42">
        <v>1.44E-4</v>
      </c>
      <c r="AB8" s="42">
        <v>2.4399999999999999E-4</v>
      </c>
      <c r="AC8" s="42">
        <v>1.94E-4</v>
      </c>
      <c r="AD8" s="37"/>
      <c r="AE8" s="42">
        <v>4.8000000000000001E-5</v>
      </c>
      <c r="AF8" s="42">
        <v>8.1000000000000004E-5</v>
      </c>
      <c r="AG8" s="42">
        <v>6.4999999999999994E-5</v>
      </c>
      <c r="AH8" s="14"/>
      <c r="AI8" s="25">
        <f t="shared" si="6"/>
        <v>0.39700000000000002</v>
      </c>
      <c r="AJ8" s="26">
        <f t="shared" si="7"/>
        <v>3.8826600000000001E-4</v>
      </c>
      <c r="AK8" s="26">
        <f t="shared" si="8"/>
        <v>3.2157000000000004E-5</v>
      </c>
      <c r="AL8" s="26">
        <f t="shared" si="9"/>
        <v>9.6868000000000008E-5</v>
      </c>
      <c r="AM8" s="26">
        <f t="shared" si="10"/>
        <v>1.9413300000000001E-4</v>
      </c>
      <c r="AN8" s="14"/>
      <c r="AO8" s="28" t="s">
        <v>68</v>
      </c>
      <c r="AP8" s="28">
        <v>55</v>
      </c>
      <c r="AQ8" s="28">
        <v>64</v>
      </c>
      <c r="AR8" s="30">
        <v>5.5E-2</v>
      </c>
      <c r="AS8" s="14"/>
      <c r="AU8" s="17">
        <v>0</v>
      </c>
      <c r="AV8" s="47">
        <f t="shared" si="11"/>
        <v>40</v>
      </c>
      <c r="AW8" s="48">
        <f t="shared" ref="AW8:AW71" si="13">+IFERROR(VLOOKUP(AV8,$R$5:$AM$88,19,FALSE),0)</f>
        <v>3.1161900000000001E-4</v>
      </c>
      <c r="AX8" s="49">
        <f t="shared" ref="AX8:AX71" si="14">+$AX$2</f>
        <v>0</v>
      </c>
      <c r="AY8" s="50">
        <f t="shared" si="12"/>
        <v>0</v>
      </c>
    </row>
    <row r="9" spans="1:58" x14ac:dyDescent="0.25">
      <c r="A9" s="9">
        <v>20</v>
      </c>
      <c r="B9" s="38">
        <v>2.6053600000000001E-4</v>
      </c>
      <c r="C9" s="38">
        <v>2.8705499999999998E-4</v>
      </c>
      <c r="D9" s="39">
        <f t="shared" si="0"/>
        <v>2.7390157599999998E-4</v>
      </c>
      <c r="E9" s="26">
        <f t="shared" si="1"/>
        <v>2.5365388086096653E-4</v>
      </c>
      <c r="F9" s="26">
        <f t="shared" si="1"/>
        <v>2.7947237529763537E-4</v>
      </c>
      <c r="G9" s="39">
        <f t="shared" si="1"/>
        <v>2.6666640205704763E-4</v>
      </c>
      <c r="H9" s="26">
        <f t="shared" si="2"/>
        <v>1.3148075927291536E-4</v>
      </c>
      <c r="I9" s="26">
        <f t="shared" si="3"/>
        <v>1.1237794540092786E-5</v>
      </c>
      <c r="J9" s="26">
        <f t="shared" si="4"/>
        <v>3.2725262799253004E-5</v>
      </c>
      <c r="K9" s="26">
        <f t="shared" si="5"/>
        <v>6.4521694608082804E-5</v>
      </c>
      <c r="L9" s="14"/>
      <c r="O9" s="14"/>
      <c r="Q9" s="14"/>
      <c r="R9" s="28">
        <v>20</v>
      </c>
      <c r="S9" s="42">
        <v>5.9500000000000004E-4</v>
      </c>
      <c r="T9" s="42">
        <v>9.8999999999999999E-4</v>
      </c>
      <c r="U9" s="42">
        <v>7.9100000000000004E-4</v>
      </c>
      <c r="V9" s="37"/>
      <c r="W9" s="42">
        <v>2.9700000000000001E-4</v>
      </c>
      <c r="X9" s="42">
        <v>4.95E-4</v>
      </c>
      <c r="Y9" s="42">
        <v>3.9500000000000001E-4</v>
      </c>
      <c r="Z9" s="37"/>
      <c r="AA9" s="42">
        <v>1.4899999999999999E-4</v>
      </c>
      <c r="AB9" s="42">
        <v>2.4699999999999999E-4</v>
      </c>
      <c r="AC9" s="42">
        <v>1.9799999999999999E-4</v>
      </c>
      <c r="AD9" s="37"/>
      <c r="AE9" s="42">
        <v>5.0000000000000002E-5</v>
      </c>
      <c r="AF9" s="42">
        <v>8.2000000000000001E-5</v>
      </c>
      <c r="AG9" s="42">
        <v>6.6000000000000005E-5</v>
      </c>
      <c r="AH9" s="14"/>
      <c r="AI9" s="25">
        <f t="shared" si="6"/>
        <v>0.436</v>
      </c>
      <c r="AJ9" s="26">
        <f t="shared" si="7"/>
        <v>4.3164000000000001E-4</v>
      </c>
      <c r="AK9" s="26">
        <f t="shared" si="8"/>
        <v>3.5751999999999999E-5</v>
      </c>
      <c r="AL9" s="26">
        <f t="shared" si="9"/>
        <v>1.07692E-4</v>
      </c>
      <c r="AM9" s="26">
        <f t="shared" si="10"/>
        <v>2.1582E-4</v>
      </c>
      <c r="AN9" s="14"/>
      <c r="AO9" s="28" t="s">
        <v>69</v>
      </c>
      <c r="AP9" s="28">
        <v>65</v>
      </c>
      <c r="AQ9" s="28">
        <v>100</v>
      </c>
      <c r="AR9" s="30">
        <v>2.3E-2</v>
      </c>
      <c r="AS9" s="14"/>
      <c r="AU9" s="17">
        <v>1</v>
      </c>
      <c r="AV9" s="47">
        <f t="shared" si="11"/>
        <v>41</v>
      </c>
      <c r="AW9" s="48">
        <f t="shared" si="13"/>
        <v>3.3610500000000001E-4</v>
      </c>
      <c r="AX9" s="49">
        <f t="shared" si="14"/>
        <v>0</v>
      </c>
      <c r="AY9" s="50">
        <f t="shared" si="12"/>
        <v>0</v>
      </c>
    </row>
    <row r="10" spans="1:58" ht="13.8" x14ac:dyDescent="0.25">
      <c r="A10" s="9">
        <v>21</v>
      </c>
      <c r="B10" s="38">
        <v>2.66295E-4</v>
      </c>
      <c r="C10" s="38">
        <v>3.0242799999999999E-4</v>
      </c>
      <c r="D10" s="39">
        <f t="shared" si="0"/>
        <v>2.84506032E-4</v>
      </c>
      <c r="E10" s="26">
        <f t="shared" si="1"/>
        <v>2.5926075553424891E-4</v>
      </c>
      <c r="F10" s="26">
        <f t="shared" si="1"/>
        <v>2.9443929392107185E-4</v>
      </c>
      <c r="G10" s="39">
        <f t="shared" si="1"/>
        <v>2.769907388812077E-4</v>
      </c>
      <c r="H10" s="26">
        <f t="shared" si="2"/>
        <v>1.3852210574764157E-4</v>
      </c>
      <c r="I10" s="26">
        <f t="shared" si="3"/>
        <v>1.1839625601961929E-5</v>
      </c>
      <c r="J10" s="26">
        <f t="shared" si="4"/>
        <v>3.39922639407255E-5</v>
      </c>
      <c r="K10" s="26">
        <f t="shared" si="5"/>
        <v>6.7019735990352379E-5</v>
      </c>
      <c r="L10" s="14"/>
      <c r="M10" s="17" t="s">
        <v>92</v>
      </c>
      <c r="N10" s="41">
        <v>2.8000000000000001E-2</v>
      </c>
      <c r="O10" s="14"/>
      <c r="Q10" s="14"/>
      <c r="R10" s="28">
        <v>21</v>
      </c>
      <c r="S10" s="42">
        <v>6.0099999999999997E-4</v>
      </c>
      <c r="T10" s="42">
        <v>9.8400000000000007E-4</v>
      </c>
      <c r="U10" s="42">
        <v>7.9100000000000004E-4</v>
      </c>
      <c r="V10" s="37"/>
      <c r="W10" s="42">
        <v>2.9999999999999997E-4</v>
      </c>
      <c r="X10" s="42">
        <v>4.9200000000000003E-4</v>
      </c>
      <c r="Y10" s="42">
        <v>3.9500000000000001E-4</v>
      </c>
      <c r="Z10" s="37"/>
      <c r="AA10" s="42">
        <v>1.4999999999999999E-4</v>
      </c>
      <c r="AB10" s="42">
        <v>2.4600000000000002E-4</v>
      </c>
      <c r="AC10" s="42">
        <v>1.9799999999999999E-4</v>
      </c>
      <c r="AD10" s="37"/>
      <c r="AE10" s="42">
        <v>5.0000000000000002E-5</v>
      </c>
      <c r="AF10" s="42">
        <v>8.2000000000000001E-5</v>
      </c>
      <c r="AG10" s="42">
        <v>6.6000000000000005E-5</v>
      </c>
      <c r="AH10" s="14"/>
      <c r="AI10" s="25">
        <f t="shared" si="6"/>
        <v>0.436</v>
      </c>
      <c r="AJ10" s="26">
        <f t="shared" si="7"/>
        <v>4.2902400000000002E-4</v>
      </c>
      <c r="AK10" s="26">
        <f t="shared" si="8"/>
        <v>3.5751999999999999E-5</v>
      </c>
      <c r="AL10" s="26">
        <f t="shared" si="9"/>
        <v>1.07256E-4</v>
      </c>
      <c r="AM10" s="26">
        <f t="shared" si="10"/>
        <v>2.1451200000000001E-4</v>
      </c>
      <c r="AN10" s="14"/>
      <c r="AS10" s="14"/>
      <c r="AU10" s="17">
        <v>2</v>
      </c>
      <c r="AV10" s="47">
        <f t="shared" si="11"/>
        <v>42</v>
      </c>
      <c r="AW10" s="48">
        <f t="shared" si="13"/>
        <v>3.6059100000000006E-4</v>
      </c>
      <c r="AX10" s="49">
        <f t="shared" si="14"/>
        <v>0</v>
      </c>
      <c r="AY10" s="50">
        <f t="shared" si="12"/>
        <v>0</v>
      </c>
      <c r="BB10" t="s">
        <v>265</v>
      </c>
      <c r="BC10">
        <v>7.4685202080000002</v>
      </c>
    </row>
    <row r="11" spans="1:58" ht="13.8" x14ac:dyDescent="0.25">
      <c r="A11" s="9">
        <v>22</v>
      </c>
      <c r="B11" s="38">
        <v>2.7260000000000001E-4</v>
      </c>
      <c r="C11" s="38">
        <v>3.1911E-4</v>
      </c>
      <c r="D11" s="39">
        <f t="shared" si="0"/>
        <v>2.9604103999999998E-4</v>
      </c>
      <c r="E11" s="26">
        <f t="shared" si="1"/>
        <v>2.6539920749032558E-4</v>
      </c>
      <c r="F11" s="26">
        <f t="shared" si="1"/>
        <v>3.1068063500454073E-4</v>
      </c>
      <c r="G11" s="39">
        <f t="shared" si="1"/>
        <v>2.8822104695749E-4</v>
      </c>
      <c r="H11" s="26">
        <f t="shared" si="2"/>
        <v>1.4616301785922567E-4</v>
      </c>
      <c r="I11" s="26">
        <f t="shared" si="3"/>
        <v>1.2492702150072317E-5</v>
      </c>
      <c r="J11" s="26">
        <f t="shared" si="4"/>
        <v>3.5370445744949525E-5</v>
      </c>
      <c r="K11" s="26">
        <f t="shared" si="5"/>
        <v>6.973698309183599E-5</v>
      </c>
      <c r="L11" s="14"/>
      <c r="M11" s="17" t="s">
        <v>93</v>
      </c>
      <c r="N11" s="41">
        <v>2.2800000000000001E-2</v>
      </c>
      <c r="O11" s="14"/>
      <c r="Q11" s="14"/>
      <c r="R11" s="28">
        <v>22</v>
      </c>
      <c r="S11" s="42">
        <v>6.1300000000000005E-4</v>
      </c>
      <c r="T11" s="42">
        <v>9.6599999999999995E-4</v>
      </c>
      <c r="U11" s="42">
        <v>7.8799999999999996E-4</v>
      </c>
      <c r="V11" s="37"/>
      <c r="W11" s="42">
        <v>3.0600000000000001E-4</v>
      </c>
      <c r="X11" s="42">
        <v>4.8299999999999998E-4</v>
      </c>
      <c r="Y11" s="42">
        <v>3.9399999999999998E-4</v>
      </c>
      <c r="Z11" s="37"/>
      <c r="AA11" s="42">
        <v>1.5300000000000001E-4</v>
      </c>
      <c r="AB11" s="42">
        <v>2.42E-4</v>
      </c>
      <c r="AC11" s="42">
        <v>1.9699999999999999E-4</v>
      </c>
      <c r="AD11" s="37"/>
      <c r="AE11" s="42">
        <v>5.1E-5</v>
      </c>
      <c r="AF11" s="42">
        <v>8.1000000000000004E-5</v>
      </c>
      <c r="AG11" s="42">
        <v>6.6000000000000005E-5</v>
      </c>
      <c r="AH11" s="14"/>
      <c r="AI11" s="25">
        <f t="shared" si="6"/>
        <v>0.436</v>
      </c>
      <c r="AJ11" s="26">
        <f t="shared" si="7"/>
        <v>4.2117599999999999E-4</v>
      </c>
      <c r="AK11" s="26">
        <f t="shared" si="8"/>
        <v>3.5315999999999999E-5</v>
      </c>
      <c r="AL11" s="26">
        <f t="shared" si="9"/>
        <v>1.05512E-4</v>
      </c>
      <c r="AM11" s="26">
        <f t="shared" si="10"/>
        <v>2.10588E-4</v>
      </c>
      <c r="AN11" s="14"/>
      <c r="AS11" s="14"/>
      <c r="AU11" s="17">
        <v>3</v>
      </c>
      <c r="AV11" s="47">
        <f t="shared" si="11"/>
        <v>43</v>
      </c>
      <c r="AW11" s="48">
        <f t="shared" si="13"/>
        <v>3.8923500000000004E-4</v>
      </c>
      <c r="AX11" s="49">
        <f t="shared" si="14"/>
        <v>0</v>
      </c>
      <c r="AY11" s="50">
        <f t="shared" si="12"/>
        <v>0</v>
      </c>
      <c r="BB11" t="s">
        <v>266</v>
      </c>
      <c r="BC11">
        <v>1.1804845980000001</v>
      </c>
    </row>
    <row r="12" spans="1:58" ht="13.8" x14ac:dyDescent="0.25">
      <c r="A12" s="9">
        <v>23</v>
      </c>
      <c r="B12" s="38">
        <v>2.7950400000000003E-4</v>
      </c>
      <c r="C12" s="38">
        <v>3.3721199999999998E-4</v>
      </c>
      <c r="D12" s="39">
        <f t="shared" si="0"/>
        <v>3.0858883199999998E-4</v>
      </c>
      <c r="E12" s="26">
        <f t="shared" si="1"/>
        <v>2.7212083672184875E-4</v>
      </c>
      <c r="F12" s="26">
        <f t="shared" si="1"/>
        <v>3.2830446645718149E-4</v>
      </c>
      <c r="G12" s="39">
        <f t="shared" si="1"/>
        <v>3.0043738610845643E-4</v>
      </c>
      <c r="H12" s="26">
        <f t="shared" si="2"/>
        <v>1.5445433730796655E-4</v>
      </c>
      <c r="I12" s="26">
        <f t="shared" si="3"/>
        <v>1.3201369676381771E-5</v>
      </c>
      <c r="J12" s="26">
        <f t="shared" si="4"/>
        <v>3.6869633141922973E-5</v>
      </c>
      <c r="K12" s="26">
        <f t="shared" si="5"/>
        <v>7.2692806914586623E-5</v>
      </c>
      <c r="L12" s="14"/>
      <c r="M12" s="17" t="s">
        <v>94</v>
      </c>
      <c r="N12" s="41">
        <v>1.5100000000000001E-2</v>
      </c>
      <c r="O12" s="14"/>
      <c r="Q12" s="14"/>
      <c r="R12" s="28">
        <v>23</v>
      </c>
      <c r="S12" s="42">
        <v>6.1799999999999995E-4</v>
      </c>
      <c r="T12" s="42">
        <v>9.4799999999999995E-4</v>
      </c>
      <c r="U12" s="42">
        <v>7.8200000000000003E-4</v>
      </c>
      <c r="V12" s="37"/>
      <c r="W12" s="42">
        <v>3.0899999999999998E-4</v>
      </c>
      <c r="X12" s="42">
        <v>4.7399999999999997E-4</v>
      </c>
      <c r="Y12" s="42">
        <v>3.9100000000000002E-4</v>
      </c>
      <c r="Z12" s="37"/>
      <c r="AA12" s="42">
        <v>1.55E-4</v>
      </c>
      <c r="AB12" s="42">
        <v>2.3699999999999999E-4</v>
      </c>
      <c r="AC12" s="42">
        <v>1.9599999999999999E-4</v>
      </c>
      <c r="AD12" s="37"/>
      <c r="AE12" s="42">
        <v>5.1999999999999997E-5</v>
      </c>
      <c r="AF12" s="42">
        <v>7.8999999999999996E-5</v>
      </c>
      <c r="AG12" s="42">
        <v>6.4999999999999994E-5</v>
      </c>
      <c r="AH12" s="14"/>
      <c r="AI12" s="25">
        <f t="shared" si="6"/>
        <v>0.436</v>
      </c>
      <c r="AJ12" s="26">
        <f t="shared" si="7"/>
        <v>4.1332799999999997E-4</v>
      </c>
      <c r="AK12" s="26">
        <f t="shared" si="8"/>
        <v>3.4443999999999998E-5</v>
      </c>
      <c r="AL12" s="26">
        <f t="shared" si="9"/>
        <v>1.0333199999999999E-4</v>
      </c>
      <c r="AM12" s="26">
        <f t="shared" si="10"/>
        <v>2.0666399999999999E-4</v>
      </c>
      <c r="AN12" s="14"/>
      <c r="AS12" s="14"/>
      <c r="AU12" s="17">
        <v>4</v>
      </c>
      <c r="AV12" s="47">
        <f t="shared" si="11"/>
        <v>44</v>
      </c>
      <c r="AW12" s="48">
        <f t="shared" si="13"/>
        <v>4.1787900000000002E-4</v>
      </c>
      <c r="AX12" s="49">
        <f t="shared" si="14"/>
        <v>0</v>
      </c>
      <c r="AY12" s="50">
        <f t="shared" si="12"/>
        <v>0</v>
      </c>
      <c r="BB12"/>
      <c r="BC12">
        <f>+EXP(BC10+0.5*BC11^2)</f>
        <v>3516.7486088436294</v>
      </c>
    </row>
    <row r="13" spans="1:58" ht="13.8" x14ac:dyDescent="0.25">
      <c r="A13" s="9">
        <v>24</v>
      </c>
      <c r="B13" s="38">
        <v>2.8706400000000001E-4</v>
      </c>
      <c r="C13" s="38">
        <v>3.5685399999999998E-4</v>
      </c>
      <c r="D13" s="39">
        <f t="shared" si="0"/>
        <v>3.2223815999999998E-4</v>
      </c>
      <c r="E13" s="26">
        <f t="shared" si="1"/>
        <v>2.7948113756053863E-4</v>
      </c>
      <c r="F13" s="26">
        <f t="shared" si="1"/>
        <v>3.4742761845103683E-4</v>
      </c>
      <c r="G13" s="39">
        <f t="shared" si="1"/>
        <v>3.1372616392934971E-4</v>
      </c>
      <c r="H13" s="26">
        <f t="shared" si="2"/>
        <v>1.634510280941873E-4</v>
      </c>
      <c r="I13" s="26">
        <f t="shared" si="3"/>
        <v>1.3970326010033864E-5</v>
      </c>
      <c r="J13" s="26">
        <f t="shared" si="4"/>
        <v>3.8500430059401103E-5</v>
      </c>
      <c r="K13" s="26">
        <f t="shared" si="5"/>
        <v>7.5908114346120184E-5</v>
      </c>
      <c r="L13" s="14"/>
      <c r="O13" s="14"/>
      <c r="Q13" s="14"/>
      <c r="R13" s="28">
        <v>24</v>
      </c>
      <c r="S13" s="42">
        <v>6.3599999999999996E-4</v>
      </c>
      <c r="T13" s="42">
        <v>9.2500000000000004E-4</v>
      </c>
      <c r="U13" s="42">
        <v>7.7899999999999996E-4</v>
      </c>
      <c r="V13" s="37"/>
      <c r="W13" s="42">
        <v>3.1799999999999998E-4</v>
      </c>
      <c r="X13" s="42">
        <v>4.6200000000000001E-4</v>
      </c>
      <c r="Y13" s="42">
        <v>3.8999999999999999E-4</v>
      </c>
      <c r="Z13" s="37"/>
      <c r="AA13" s="42">
        <v>1.5899999999999999E-4</v>
      </c>
      <c r="AB13" s="42">
        <v>2.31E-4</v>
      </c>
      <c r="AC13" s="42">
        <v>1.95E-4</v>
      </c>
      <c r="AD13" s="37"/>
      <c r="AE13" s="42">
        <v>5.3000000000000001E-5</v>
      </c>
      <c r="AF13" s="42">
        <v>7.7000000000000001E-5</v>
      </c>
      <c r="AG13" s="42">
        <v>6.4999999999999994E-5</v>
      </c>
      <c r="AH13" s="14"/>
      <c r="AI13" s="25">
        <f t="shared" si="6"/>
        <v>0.436</v>
      </c>
      <c r="AJ13" s="26">
        <f t="shared" si="7"/>
        <v>4.0329999999999999E-4</v>
      </c>
      <c r="AK13" s="26">
        <f t="shared" si="8"/>
        <v>3.3572000000000003E-5</v>
      </c>
      <c r="AL13" s="26">
        <f t="shared" si="9"/>
        <v>1.00716E-4</v>
      </c>
      <c r="AM13" s="26">
        <f t="shared" si="10"/>
        <v>2.0143200000000001E-4</v>
      </c>
      <c r="AN13" s="14"/>
      <c r="AS13" s="14"/>
      <c r="AU13" s="17">
        <v>5</v>
      </c>
      <c r="AV13" s="47">
        <f t="shared" si="11"/>
        <v>45</v>
      </c>
      <c r="AW13" s="48">
        <f t="shared" si="13"/>
        <v>2.3863199999999999E-4</v>
      </c>
      <c r="AX13" s="49">
        <f t="shared" si="14"/>
        <v>0</v>
      </c>
      <c r="AY13" s="50">
        <f t="shared" si="12"/>
        <v>0</v>
      </c>
      <c r="BB13"/>
      <c r="BC13" t="e">
        <f>+(LN('Tablas Servicio'!$CB$42)-BC10-BC11^2)/BC11</f>
        <v>#NUM!</v>
      </c>
    </row>
    <row r="14" spans="1:58" ht="13.8" x14ac:dyDescent="0.25">
      <c r="A14" s="9">
        <v>25</v>
      </c>
      <c r="B14" s="38">
        <v>2.9534300000000005E-4</v>
      </c>
      <c r="C14" s="38">
        <v>3.78167E-4</v>
      </c>
      <c r="D14" s="39">
        <f t="shared" si="0"/>
        <v>3.3708629600000001E-4</v>
      </c>
      <c r="E14" s="26">
        <f t="shared" si="1"/>
        <v>2.8754144584671772E-4</v>
      </c>
      <c r="F14" s="26">
        <f t="shared" si="1"/>
        <v>3.6817763059058677E-4</v>
      </c>
      <c r="G14" s="39">
        <f t="shared" si="1"/>
        <v>3.2818208295762769E-4</v>
      </c>
      <c r="H14" s="26">
        <f t="shared" si="2"/>
        <v>1.7321309258490738E-4</v>
      </c>
      <c r="I14" s="26">
        <f t="shared" si="3"/>
        <v>1.480469961451035E-5</v>
      </c>
      <c r="J14" s="26">
        <f t="shared" si="4"/>
        <v>4.0274458379263895E-5</v>
      </c>
      <c r="K14" s="26">
        <f t="shared" si="5"/>
        <v>7.9405819289925551E-5</v>
      </c>
      <c r="L14" s="14"/>
      <c r="O14" s="14"/>
      <c r="Q14" s="14"/>
      <c r="R14" s="28">
        <v>25</v>
      </c>
      <c r="S14" s="42">
        <v>6.4199999999999999E-4</v>
      </c>
      <c r="T14" s="42">
        <v>8.9499999999999996E-4</v>
      </c>
      <c r="U14" s="42">
        <v>7.6800000000000002E-4</v>
      </c>
      <c r="V14" s="37"/>
      <c r="W14" s="42">
        <v>3.21E-4</v>
      </c>
      <c r="X14" s="42">
        <v>4.4799999999999999E-4</v>
      </c>
      <c r="Y14" s="42">
        <v>3.8400000000000001E-4</v>
      </c>
      <c r="Z14" s="37"/>
      <c r="AA14" s="42">
        <v>1.6100000000000001E-4</v>
      </c>
      <c r="AB14" s="42">
        <v>2.24E-4</v>
      </c>
      <c r="AC14" s="42">
        <v>1.92E-4</v>
      </c>
      <c r="AD14" s="37"/>
      <c r="AE14" s="42">
        <v>5.3999999999999998E-5</v>
      </c>
      <c r="AF14" s="42">
        <v>7.4999999999999993E-5</v>
      </c>
      <c r="AG14" s="42">
        <v>6.3999999999999997E-5</v>
      </c>
      <c r="AH14" s="14"/>
      <c r="AI14" s="25">
        <f t="shared" si="6"/>
        <v>0.36899999999999999</v>
      </c>
      <c r="AJ14" s="26">
        <f t="shared" si="7"/>
        <v>3.30255E-4</v>
      </c>
      <c r="AK14" s="26">
        <f t="shared" si="8"/>
        <v>2.7674999999999998E-5</v>
      </c>
      <c r="AL14" s="26">
        <f t="shared" si="9"/>
        <v>8.2656000000000003E-5</v>
      </c>
      <c r="AM14" s="26">
        <f t="shared" si="10"/>
        <v>1.6531200000000001E-4</v>
      </c>
      <c r="AN14" s="14"/>
      <c r="AS14" s="14"/>
      <c r="AU14" s="17">
        <v>6</v>
      </c>
      <c r="AV14" s="47">
        <f t="shared" si="11"/>
        <v>46</v>
      </c>
      <c r="AW14" s="48">
        <f t="shared" si="13"/>
        <v>2.5815199999999999E-4</v>
      </c>
      <c r="AX14" s="49">
        <f t="shared" si="14"/>
        <v>0</v>
      </c>
      <c r="AY14" s="50">
        <f t="shared" si="12"/>
        <v>0</v>
      </c>
      <c r="BB14"/>
      <c r="BC14" t="e">
        <f>+_xlfn.NORM.DIST(BC13,0,1,TRUE)</f>
        <v>#NUM!</v>
      </c>
    </row>
    <row r="15" spans="1:58" ht="13.8" x14ac:dyDescent="0.25">
      <c r="A15" s="9">
        <v>26</v>
      </c>
      <c r="B15" s="38">
        <v>3.0440799999999999E-4</v>
      </c>
      <c r="C15" s="38">
        <v>4.0129500000000003E-4</v>
      </c>
      <c r="D15" s="39">
        <f t="shared" si="0"/>
        <v>3.5323904800000001E-4</v>
      </c>
      <c r="E15" s="26">
        <f t="shared" si="1"/>
        <v>2.9636699175977636E-4</v>
      </c>
      <c r="F15" s="26">
        <f t="shared" si="1"/>
        <v>3.9069469908228254E-4</v>
      </c>
      <c r="G15" s="39">
        <f t="shared" si="1"/>
        <v>3.4390815625031946E-4</v>
      </c>
      <c r="H15" s="26">
        <f t="shared" si="2"/>
        <v>1.8380648758051446E-4</v>
      </c>
      <c r="I15" s="26">
        <f t="shared" si="3"/>
        <v>1.5710127884783526E-5</v>
      </c>
      <c r="J15" s="26">
        <f t="shared" si="4"/>
        <v>4.2204359849166935E-5</v>
      </c>
      <c r="K15" s="26">
        <f t="shared" si="5"/>
        <v>8.3210846434508676E-5</v>
      </c>
      <c r="L15" s="14"/>
      <c r="M15" s="302" t="s">
        <v>0</v>
      </c>
      <c r="N15" s="302"/>
      <c r="O15" s="14"/>
      <c r="Q15" s="14"/>
      <c r="R15" s="28">
        <v>26</v>
      </c>
      <c r="S15" s="42">
        <v>6.6E-4</v>
      </c>
      <c r="T15" s="42">
        <v>8.7200000000000005E-4</v>
      </c>
      <c r="U15" s="42">
        <v>7.6499999999999995E-4</v>
      </c>
      <c r="V15" s="37"/>
      <c r="W15" s="42">
        <v>3.3E-4</v>
      </c>
      <c r="X15" s="42">
        <v>4.3600000000000003E-4</v>
      </c>
      <c r="Y15" s="42">
        <v>3.8200000000000002E-4</v>
      </c>
      <c r="Z15" s="37"/>
      <c r="AA15" s="42">
        <v>1.65E-4</v>
      </c>
      <c r="AB15" s="42">
        <v>2.1800000000000001E-4</v>
      </c>
      <c r="AC15" s="42">
        <v>1.9100000000000001E-4</v>
      </c>
      <c r="AD15" s="37"/>
      <c r="AE15" s="42">
        <v>5.5000000000000002E-5</v>
      </c>
      <c r="AF15" s="42">
        <v>7.2999999999999999E-5</v>
      </c>
      <c r="AG15" s="42">
        <v>6.3999999999999997E-5</v>
      </c>
      <c r="AH15" s="14"/>
      <c r="AI15" s="25">
        <f t="shared" si="6"/>
        <v>0.36899999999999999</v>
      </c>
      <c r="AJ15" s="26">
        <f t="shared" si="7"/>
        <v>3.21768E-4</v>
      </c>
      <c r="AK15" s="26">
        <f t="shared" si="8"/>
        <v>2.6937E-5</v>
      </c>
      <c r="AL15" s="26">
        <f t="shared" si="9"/>
        <v>8.0442E-5</v>
      </c>
      <c r="AM15" s="26">
        <f t="shared" si="10"/>
        <v>1.60884E-4</v>
      </c>
      <c r="AN15" s="14"/>
      <c r="AS15" s="14"/>
      <c r="AU15" s="17">
        <v>7</v>
      </c>
      <c r="AV15" s="47">
        <f t="shared" si="11"/>
        <v>47</v>
      </c>
      <c r="AW15" s="48">
        <f t="shared" si="13"/>
        <v>2.7901400000000001E-4</v>
      </c>
      <c r="AX15" s="49">
        <f t="shared" si="14"/>
        <v>0</v>
      </c>
      <c r="AY15" s="50">
        <f t="shared" si="12"/>
        <v>0</v>
      </c>
      <c r="BB15"/>
      <c r="BC15" s="66" t="e">
        <f>+BC12*BC14</f>
        <v>#NUM!</v>
      </c>
    </row>
    <row r="16" spans="1:58" ht="13.8" x14ac:dyDescent="0.25">
      <c r="A16" s="9">
        <v>27</v>
      </c>
      <c r="B16" s="38">
        <v>3.1433399999999999E-4</v>
      </c>
      <c r="C16" s="38">
        <v>4.2639099999999998E-4</v>
      </c>
      <c r="D16" s="39">
        <f t="shared" si="0"/>
        <v>3.7081072799999997E-4</v>
      </c>
      <c r="E16" s="26">
        <f t="shared" si="1"/>
        <v>3.0603079415724137E-4</v>
      </c>
      <c r="F16" s="26">
        <f t="shared" si="1"/>
        <v>4.1512778239547843E-4</v>
      </c>
      <c r="G16" s="39">
        <f t="shared" si="1"/>
        <v>3.6101567622931285E-4</v>
      </c>
      <c r="H16" s="26">
        <f t="shared" si="2"/>
        <v>1.9530129218142049E-4</v>
      </c>
      <c r="I16" s="26">
        <f t="shared" si="3"/>
        <v>1.6692600553011453E-5</v>
      </c>
      <c r="J16" s="26">
        <f t="shared" si="4"/>
        <v>4.4303792259239589E-5</v>
      </c>
      <c r="K16" s="26">
        <f t="shared" si="5"/>
        <v>8.7350123715304435E-5</v>
      </c>
      <c r="L16" s="14"/>
      <c r="M16" s="4" t="s">
        <v>1</v>
      </c>
      <c r="N16" s="9" t="str">
        <f>+sexo1</f>
        <v>MUJER</v>
      </c>
      <c r="O16" s="14"/>
      <c r="Q16" s="14"/>
      <c r="R16" s="28">
        <v>27</v>
      </c>
      <c r="S16" s="42">
        <v>6.7100000000000005E-4</v>
      </c>
      <c r="T16" s="42">
        <v>8.5999999999999998E-4</v>
      </c>
      <c r="U16" s="42">
        <v>7.6499999999999995E-4</v>
      </c>
      <c r="V16" s="37"/>
      <c r="W16" s="42">
        <v>3.3599999999999998E-4</v>
      </c>
      <c r="X16" s="42">
        <v>4.2999999999999999E-4</v>
      </c>
      <c r="Y16" s="42">
        <v>3.8200000000000002E-4</v>
      </c>
      <c r="Z16" s="37"/>
      <c r="AA16" s="42">
        <v>1.6799999999999999E-4</v>
      </c>
      <c r="AB16" s="42">
        <v>2.1499999999999999E-4</v>
      </c>
      <c r="AC16" s="42">
        <v>1.9100000000000001E-4</v>
      </c>
      <c r="AD16" s="37"/>
      <c r="AE16" s="42">
        <v>5.5999999999999999E-5</v>
      </c>
      <c r="AF16" s="42">
        <v>7.2000000000000002E-5</v>
      </c>
      <c r="AG16" s="42">
        <v>6.3999999999999997E-5</v>
      </c>
      <c r="AH16" s="14"/>
      <c r="AI16" s="25">
        <f t="shared" si="6"/>
        <v>0.36899999999999999</v>
      </c>
      <c r="AJ16" s="26">
        <f t="shared" si="7"/>
        <v>3.1733999999999999E-4</v>
      </c>
      <c r="AK16" s="26">
        <f t="shared" si="8"/>
        <v>2.6568E-5</v>
      </c>
      <c r="AL16" s="26">
        <f t="shared" si="9"/>
        <v>7.9334999999999999E-5</v>
      </c>
      <c r="AM16" s="26">
        <f t="shared" si="10"/>
        <v>1.5867E-4</v>
      </c>
      <c r="AN16" s="14"/>
      <c r="AS16" s="14"/>
      <c r="AU16" s="17">
        <v>8</v>
      </c>
      <c r="AV16" s="47">
        <f t="shared" si="11"/>
        <v>48</v>
      </c>
      <c r="AW16" s="48">
        <f t="shared" si="13"/>
        <v>3.0133999999999998E-4</v>
      </c>
      <c r="AX16" s="49">
        <f t="shared" si="14"/>
        <v>0</v>
      </c>
      <c r="AY16" s="50">
        <f t="shared" si="12"/>
        <v>0</v>
      </c>
      <c r="BB16"/>
      <c r="BC16" s="66" t="e">
        <f>+(1-_xlfn.NORM.DIST((LN('Tablas Servicio'!$CB$42)-BC10)/BC11,0,1,TRUE))*'Tablas Servicio'!$CB$42</f>
        <v>#NUM!</v>
      </c>
    </row>
    <row r="17" spans="1:55" ht="13.8" x14ac:dyDescent="0.25">
      <c r="A17" s="9">
        <v>28</v>
      </c>
      <c r="B17" s="38">
        <v>3.2520299999999998E-4</v>
      </c>
      <c r="C17" s="38">
        <v>4.5362199999999999E-4</v>
      </c>
      <c r="D17" s="39">
        <f t="shared" si="0"/>
        <v>3.8992617599999997E-4</v>
      </c>
      <c r="E17" s="26">
        <f t="shared" si="1"/>
        <v>3.1661268699000863E-4</v>
      </c>
      <c r="F17" s="26">
        <f t="shared" si="1"/>
        <v>4.4163946918626733E-4</v>
      </c>
      <c r="G17" s="39">
        <f t="shared" si="1"/>
        <v>3.79626185216923E-4</v>
      </c>
      <c r="H17" s="26">
        <f t="shared" si="2"/>
        <v>2.0777399795474184E-4</v>
      </c>
      <c r="I17" s="26">
        <f t="shared" si="3"/>
        <v>1.7758655431418963E-5</v>
      </c>
      <c r="J17" s="26">
        <f t="shared" si="4"/>
        <v>4.6587671265928672E-5</v>
      </c>
      <c r="K17" s="26">
        <f t="shared" si="5"/>
        <v>9.1853059098752858E-5</v>
      </c>
      <c r="L17" s="14"/>
      <c r="M17" s="4" t="s">
        <v>2</v>
      </c>
      <c r="N17" s="9" t="str">
        <f>+fumador1</f>
        <v>NO FUMADOR</v>
      </c>
      <c r="O17" s="14"/>
      <c r="Q17" s="14"/>
      <c r="R17" s="28">
        <v>28</v>
      </c>
      <c r="S17" s="42">
        <v>6.8900000000000005E-4</v>
      </c>
      <c r="T17" s="42">
        <v>8.4800000000000001E-4</v>
      </c>
      <c r="U17" s="42">
        <v>7.6800000000000002E-4</v>
      </c>
      <c r="V17" s="37"/>
      <c r="W17" s="42">
        <v>3.4499999999999998E-4</v>
      </c>
      <c r="X17" s="42">
        <v>4.2400000000000001E-4</v>
      </c>
      <c r="Y17" s="42">
        <v>3.8400000000000001E-4</v>
      </c>
      <c r="Z17" s="37"/>
      <c r="AA17" s="42">
        <v>1.7200000000000001E-4</v>
      </c>
      <c r="AB17" s="42">
        <v>2.12E-4</v>
      </c>
      <c r="AC17" s="42">
        <v>1.92E-4</v>
      </c>
      <c r="AD17" s="37"/>
      <c r="AE17" s="42">
        <v>5.7000000000000003E-5</v>
      </c>
      <c r="AF17" s="42">
        <v>7.1000000000000005E-5</v>
      </c>
      <c r="AG17" s="42">
        <v>6.3999999999999997E-5</v>
      </c>
      <c r="AH17" s="14"/>
      <c r="AI17" s="25">
        <f t="shared" si="6"/>
        <v>0.36899999999999999</v>
      </c>
      <c r="AJ17" s="26">
        <f t="shared" si="7"/>
        <v>3.1291199999999999E-4</v>
      </c>
      <c r="AK17" s="26">
        <f t="shared" si="8"/>
        <v>2.6199000000000001E-5</v>
      </c>
      <c r="AL17" s="26">
        <f t="shared" si="9"/>
        <v>7.8227999999999997E-5</v>
      </c>
      <c r="AM17" s="26">
        <f t="shared" si="10"/>
        <v>1.5645599999999999E-4</v>
      </c>
      <c r="AN17" s="14"/>
      <c r="AS17" s="14"/>
      <c r="AU17" s="17">
        <v>9</v>
      </c>
      <c r="AV17" s="47">
        <f t="shared" si="11"/>
        <v>49</v>
      </c>
      <c r="AW17" s="48">
        <f t="shared" si="13"/>
        <v>3.2647200000000001E-4</v>
      </c>
      <c r="AX17" s="49">
        <f t="shared" si="14"/>
        <v>0</v>
      </c>
      <c r="AY17" s="50">
        <f t="shared" si="12"/>
        <v>0</v>
      </c>
      <c r="BB17"/>
      <c r="BC17" s="66">
        <f>+IF('Tablas Servicio'!$CB$42=0,0,BC15+BC16)</f>
        <v>0</v>
      </c>
    </row>
    <row r="18" spans="1:55" x14ac:dyDescent="0.25">
      <c r="A18" s="9">
        <v>29</v>
      </c>
      <c r="B18" s="38">
        <v>3.3710499999999998E-4</v>
      </c>
      <c r="C18" s="38">
        <v>4.8317E-4</v>
      </c>
      <c r="D18" s="39">
        <f t="shared" si="0"/>
        <v>4.1072175999999996E-4</v>
      </c>
      <c r="E18" s="26">
        <f t="shared" si="1"/>
        <v>3.2820029288711008E-4</v>
      </c>
      <c r="F18" s="26">
        <f t="shared" si="1"/>
        <v>4.7040695188224732E-4</v>
      </c>
      <c r="G18" s="39">
        <f t="shared" si="1"/>
        <v>3.9987244902065921E-4</v>
      </c>
      <c r="H18" s="26">
        <f t="shared" si="2"/>
        <v>2.2130796696763521E-4</v>
      </c>
      <c r="I18" s="26">
        <f t="shared" si="3"/>
        <v>1.8915417560873811E-5</v>
      </c>
      <c r="J18" s="26">
        <f t="shared" si="4"/>
        <v>4.9072289870182125E-5</v>
      </c>
      <c r="K18" s="26">
        <f t="shared" si="5"/>
        <v>9.6751776147554127E-5</v>
      </c>
      <c r="L18" s="14"/>
      <c r="M18" s="4" t="s">
        <v>3</v>
      </c>
      <c r="N18" s="12">
        <f>+edad1</f>
        <v>40</v>
      </c>
      <c r="O18" s="14"/>
      <c r="Q18" s="14"/>
      <c r="R18" s="28">
        <v>29</v>
      </c>
      <c r="S18" s="42">
        <v>7.0699999999999995E-4</v>
      </c>
      <c r="T18" s="42">
        <v>8.4800000000000001E-4</v>
      </c>
      <c r="U18" s="42">
        <v>7.7700000000000002E-4</v>
      </c>
      <c r="V18" s="37"/>
      <c r="W18" s="42">
        <v>3.5300000000000002E-4</v>
      </c>
      <c r="X18" s="42">
        <v>4.2400000000000001E-4</v>
      </c>
      <c r="Y18" s="42">
        <v>3.88E-4</v>
      </c>
      <c r="Z18" s="37"/>
      <c r="AA18" s="42">
        <v>1.7699999999999999E-4</v>
      </c>
      <c r="AB18" s="42">
        <v>2.12E-4</v>
      </c>
      <c r="AC18" s="42">
        <v>1.94E-4</v>
      </c>
      <c r="AD18" s="37"/>
      <c r="AE18" s="42">
        <v>5.8999999999999998E-5</v>
      </c>
      <c r="AF18" s="42">
        <v>7.1000000000000005E-5</v>
      </c>
      <c r="AG18" s="42">
        <v>6.4999999999999994E-5</v>
      </c>
      <c r="AH18" s="14"/>
      <c r="AI18" s="25">
        <f t="shared" si="6"/>
        <v>0.36899999999999999</v>
      </c>
      <c r="AJ18" s="26">
        <f t="shared" si="7"/>
        <v>3.1291199999999999E-4</v>
      </c>
      <c r="AK18" s="26">
        <f t="shared" si="8"/>
        <v>2.6199000000000001E-5</v>
      </c>
      <c r="AL18" s="26">
        <f t="shared" si="9"/>
        <v>7.8227999999999997E-5</v>
      </c>
      <c r="AM18" s="26">
        <f t="shared" si="10"/>
        <v>1.5645599999999999E-4</v>
      </c>
      <c r="AN18" s="14"/>
      <c r="AS18" s="14"/>
      <c r="AU18" s="17">
        <v>10</v>
      </c>
      <c r="AV18" s="47">
        <f t="shared" si="11"/>
        <v>50</v>
      </c>
      <c r="AW18" s="48">
        <f t="shared" si="13"/>
        <v>3.53068E-4</v>
      </c>
      <c r="AX18" s="49">
        <f t="shared" si="14"/>
        <v>0</v>
      </c>
      <c r="AY18" s="50">
        <f t="shared" si="12"/>
        <v>0</v>
      </c>
    </row>
    <row r="19" spans="1:55" x14ac:dyDescent="0.25">
      <c r="A19" s="9">
        <v>30</v>
      </c>
      <c r="B19" s="38">
        <v>3.5013699999999999E-4</v>
      </c>
      <c r="C19" s="38">
        <v>5.1523300000000003E-4</v>
      </c>
      <c r="D19" s="39">
        <f t="shared" si="0"/>
        <v>4.33345384E-4</v>
      </c>
      <c r="E19" s="26">
        <f t="shared" si="1"/>
        <v>3.4088804957094692E-4</v>
      </c>
      <c r="F19" s="26">
        <f t="shared" si="1"/>
        <v>5.0162300026728877E-4</v>
      </c>
      <c r="G19" s="39">
        <f t="shared" si="1"/>
        <v>4.2189846472190324E-4</v>
      </c>
      <c r="H19" s="26">
        <f t="shared" si="2"/>
        <v>2.359938898206337E-4</v>
      </c>
      <c r="I19" s="26">
        <f t="shared" si="3"/>
        <v>2.0170638359462911E-5</v>
      </c>
      <c r="J19" s="26">
        <f t="shared" si="4"/>
        <v>5.1775319373274468E-5</v>
      </c>
      <c r="K19" s="26">
        <f t="shared" si="5"/>
        <v>1.0208111590519061E-4</v>
      </c>
      <c r="L19" s="14"/>
      <c r="O19" s="14"/>
      <c r="Q19" s="14"/>
      <c r="R19" s="28">
        <v>30</v>
      </c>
      <c r="S19" s="42">
        <v>7.2999999999999996E-4</v>
      </c>
      <c r="T19" s="42">
        <v>8.4800000000000001E-4</v>
      </c>
      <c r="U19" s="42">
        <v>7.8899999999999999E-4</v>
      </c>
      <c r="V19" s="37"/>
      <c r="W19" s="42">
        <v>3.6499999999999998E-4</v>
      </c>
      <c r="X19" s="42">
        <v>4.2400000000000001E-4</v>
      </c>
      <c r="Y19" s="42">
        <v>3.9399999999999998E-4</v>
      </c>
      <c r="Z19" s="37"/>
      <c r="AA19" s="42">
        <v>1.83E-4</v>
      </c>
      <c r="AB19" s="42">
        <v>2.12E-4</v>
      </c>
      <c r="AC19" s="42">
        <v>1.9699999999999999E-4</v>
      </c>
      <c r="AD19" s="37"/>
      <c r="AE19" s="42">
        <v>6.0999999999999999E-5</v>
      </c>
      <c r="AF19" s="42">
        <v>7.1000000000000005E-5</v>
      </c>
      <c r="AG19" s="42">
        <v>6.6000000000000005E-5</v>
      </c>
      <c r="AH19" s="14"/>
      <c r="AI19" s="25">
        <f t="shared" si="6"/>
        <v>0.36899999999999999</v>
      </c>
      <c r="AJ19" s="26">
        <f t="shared" si="7"/>
        <v>3.1291199999999999E-4</v>
      </c>
      <c r="AK19" s="26">
        <f t="shared" si="8"/>
        <v>2.6199000000000001E-5</v>
      </c>
      <c r="AL19" s="26">
        <f t="shared" si="9"/>
        <v>7.8227999999999997E-5</v>
      </c>
      <c r="AM19" s="26">
        <f t="shared" si="10"/>
        <v>1.5645599999999999E-4</v>
      </c>
      <c r="AN19" s="14"/>
      <c r="AS19" s="14"/>
      <c r="AU19" s="17">
        <v>11</v>
      </c>
      <c r="AV19" s="47">
        <f t="shared" si="11"/>
        <v>51</v>
      </c>
      <c r="AW19" s="48">
        <f t="shared" si="13"/>
        <v>3.84788E-4</v>
      </c>
      <c r="AX19" s="49">
        <f t="shared" si="14"/>
        <v>0</v>
      </c>
      <c r="AY19" s="50">
        <f t="shared" si="12"/>
        <v>0</v>
      </c>
    </row>
    <row r="20" spans="1:55" x14ac:dyDescent="0.25">
      <c r="A20" s="9">
        <v>31</v>
      </c>
      <c r="B20" s="38">
        <v>3.6440799999999998E-4</v>
      </c>
      <c r="C20" s="38">
        <v>5.5002299999999996E-4</v>
      </c>
      <c r="D20" s="39">
        <f t="shared" si="0"/>
        <v>4.5795796000000001E-4</v>
      </c>
      <c r="E20" s="26">
        <f t="shared" si="1"/>
        <v>3.5478207778112458E-4</v>
      </c>
      <c r="F20" s="26">
        <f t="shared" si="1"/>
        <v>5.3549401431200055E-4</v>
      </c>
      <c r="G20" s="39">
        <f t="shared" si="1"/>
        <v>4.4586089379268609E-4</v>
      </c>
      <c r="H20" s="26">
        <f t="shared" si="2"/>
        <v>2.5192886958097483E-4</v>
      </c>
      <c r="I20" s="26">
        <f t="shared" si="3"/>
        <v>2.1532617325339932E-5</v>
      </c>
      <c r="J20" s="26">
        <f t="shared" si="4"/>
        <v>5.471598524869311E-5</v>
      </c>
      <c r="K20" s="26">
        <f t="shared" si="5"/>
        <v>1.0787898364798239E-4</v>
      </c>
      <c r="L20" s="14"/>
      <c r="M20" s="17" t="s">
        <v>47</v>
      </c>
      <c r="N20" s="17">
        <v>1</v>
      </c>
      <c r="O20" s="14"/>
      <c r="Q20" s="14"/>
      <c r="R20" s="28">
        <v>31</v>
      </c>
      <c r="S20" s="42">
        <v>7.4799999999999997E-4</v>
      </c>
      <c r="T20" s="42">
        <v>8.6600000000000002E-4</v>
      </c>
      <c r="U20" s="42">
        <v>8.0699999999999999E-4</v>
      </c>
      <c r="V20" s="37"/>
      <c r="W20" s="42">
        <v>3.7399999999999998E-4</v>
      </c>
      <c r="X20" s="42">
        <v>4.3300000000000001E-4</v>
      </c>
      <c r="Y20" s="42">
        <v>4.0299999999999998E-4</v>
      </c>
      <c r="Z20" s="37"/>
      <c r="AA20" s="42">
        <v>1.8699999999999999E-4</v>
      </c>
      <c r="AB20" s="42">
        <v>2.1599999999999999E-4</v>
      </c>
      <c r="AC20" s="42">
        <v>2.02E-4</v>
      </c>
      <c r="AD20" s="37"/>
      <c r="AE20" s="42">
        <v>6.2000000000000003E-5</v>
      </c>
      <c r="AF20" s="42">
        <v>7.2000000000000002E-5</v>
      </c>
      <c r="AG20" s="42">
        <v>6.7000000000000002E-5</v>
      </c>
      <c r="AH20" s="14"/>
      <c r="AI20" s="25">
        <f t="shared" si="6"/>
        <v>0.36899999999999999</v>
      </c>
      <c r="AJ20" s="26">
        <f t="shared" si="7"/>
        <v>3.19554E-4</v>
      </c>
      <c r="AK20" s="26">
        <f t="shared" si="8"/>
        <v>2.6568E-5</v>
      </c>
      <c r="AL20" s="26">
        <f t="shared" si="9"/>
        <v>7.9703999999999994E-5</v>
      </c>
      <c r="AM20" s="26">
        <f t="shared" si="10"/>
        <v>1.59777E-4</v>
      </c>
      <c r="AN20" s="14"/>
      <c r="AS20" s="14"/>
      <c r="AU20" s="17">
        <v>12</v>
      </c>
      <c r="AV20" s="47">
        <f t="shared" si="11"/>
        <v>52</v>
      </c>
      <c r="AW20" s="48">
        <f t="shared" si="13"/>
        <v>4.2150999999999999E-4</v>
      </c>
      <c r="AX20" s="49">
        <f t="shared" si="14"/>
        <v>0</v>
      </c>
      <c r="AY20" s="50">
        <f t="shared" si="12"/>
        <v>0</v>
      </c>
    </row>
    <row r="21" spans="1:55" x14ac:dyDescent="0.25">
      <c r="A21" s="9">
        <v>32</v>
      </c>
      <c r="B21" s="38">
        <v>1.6700000000000001E-6</v>
      </c>
      <c r="C21" s="38">
        <v>5.87774E-4</v>
      </c>
      <c r="D21" s="39">
        <f t="shared" si="0"/>
        <v>2.9706641599999998E-4</v>
      </c>
      <c r="E21" s="26">
        <f t="shared" si="1"/>
        <v>1.6258865609275266E-6</v>
      </c>
      <c r="F21" s="26">
        <f t="shared" si="1"/>
        <v>5.7224781285186591E-4</v>
      </c>
      <c r="G21" s="39">
        <f t="shared" si="1"/>
        <v>2.8921933741156045E-4</v>
      </c>
      <c r="H21" s="26">
        <f t="shared" si="2"/>
        <v>2.6922008604928871E-4</v>
      </c>
      <c r="I21" s="26">
        <f t="shared" si="3"/>
        <v>2.3010515225334857E-5</v>
      </c>
      <c r="J21" s="26">
        <f t="shared" si="4"/>
        <v>3.5492955806987456E-5</v>
      </c>
      <c r="K21" s="26">
        <f t="shared" si="5"/>
        <v>6.9978526050794559E-5</v>
      </c>
      <c r="L21" s="14"/>
      <c r="M21" s="18" t="s">
        <v>48</v>
      </c>
      <c r="N21" s="17">
        <v>2</v>
      </c>
      <c r="O21" s="14"/>
      <c r="Q21" s="14"/>
      <c r="R21" s="28">
        <v>32</v>
      </c>
      <c r="S21" s="42">
        <v>7.7200000000000001E-4</v>
      </c>
      <c r="T21" s="42">
        <v>8.8400000000000002E-4</v>
      </c>
      <c r="U21" s="42">
        <v>8.2700000000000004E-4</v>
      </c>
      <c r="V21" s="37"/>
      <c r="W21" s="42">
        <v>3.86E-4</v>
      </c>
      <c r="X21" s="42">
        <v>4.4200000000000001E-4</v>
      </c>
      <c r="Y21" s="42">
        <v>4.1399999999999998E-4</v>
      </c>
      <c r="Z21" s="37"/>
      <c r="AA21" s="42">
        <v>1.93E-4</v>
      </c>
      <c r="AB21" s="42">
        <v>2.2100000000000001E-4</v>
      </c>
      <c r="AC21" s="42">
        <v>2.0699999999999999E-4</v>
      </c>
      <c r="AD21" s="37"/>
      <c r="AE21" s="42">
        <v>6.3999999999999997E-5</v>
      </c>
      <c r="AF21" s="42">
        <v>7.3999999999999996E-5</v>
      </c>
      <c r="AG21" s="42">
        <v>6.8999999999999997E-5</v>
      </c>
      <c r="AH21" s="14"/>
      <c r="AI21" s="25">
        <f t="shared" si="6"/>
        <v>0.36899999999999999</v>
      </c>
      <c r="AJ21" s="26">
        <f t="shared" si="7"/>
        <v>3.2619600000000001E-4</v>
      </c>
      <c r="AK21" s="26">
        <f t="shared" si="8"/>
        <v>2.7305999999999999E-5</v>
      </c>
      <c r="AL21" s="26">
        <f t="shared" si="9"/>
        <v>8.1549000000000001E-5</v>
      </c>
      <c r="AM21" s="26">
        <f t="shared" si="10"/>
        <v>1.63098E-4</v>
      </c>
      <c r="AN21" s="14"/>
      <c r="AS21" s="14"/>
      <c r="AU21" s="17">
        <v>13</v>
      </c>
      <c r="AV21" s="47">
        <f t="shared" si="11"/>
        <v>53</v>
      </c>
      <c r="AW21" s="48">
        <f t="shared" si="13"/>
        <v>4.62502E-4</v>
      </c>
      <c r="AX21" s="49">
        <f t="shared" si="14"/>
        <v>0</v>
      </c>
      <c r="AY21" s="50">
        <f t="shared" si="12"/>
        <v>0</v>
      </c>
    </row>
    <row r="22" spans="1:55" x14ac:dyDescent="0.25">
      <c r="A22" s="9">
        <v>33</v>
      </c>
      <c r="B22" s="38">
        <v>1.7799999999999999E-6</v>
      </c>
      <c r="C22" s="38">
        <v>6.2873699999999998E-4</v>
      </c>
      <c r="D22" s="39">
        <f t="shared" si="0"/>
        <v>3.1776632800000002E-4</v>
      </c>
      <c r="E22" s="26">
        <f t="shared" si="1"/>
        <v>1.7329808852999983E-6</v>
      </c>
      <c r="F22" s="26">
        <f t="shared" si="1"/>
        <v>6.1212876566340733E-4</v>
      </c>
      <c r="G22" s="39">
        <f t="shared" si="1"/>
        <v>3.0937245641346614E-4</v>
      </c>
      <c r="H22" s="26">
        <f t="shared" si="2"/>
        <v>2.8798250559291768E-4</v>
      </c>
      <c r="I22" s="26">
        <f t="shared" si="3"/>
        <v>2.4614158352073009E-5</v>
      </c>
      <c r="J22" s="26">
        <f t="shared" si="4"/>
        <v>3.7966143694454788E-5</v>
      </c>
      <c r="K22" s="26">
        <f t="shared" si="5"/>
        <v>7.4854706100515025E-5</v>
      </c>
      <c r="L22" s="14"/>
      <c r="M22" s="18" t="s">
        <v>49</v>
      </c>
      <c r="N22" s="17">
        <v>1</v>
      </c>
      <c r="O22" s="14"/>
      <c r="Q22" s="14"/>
      <c r="R22" s="28">
        <v>33</v>
      </c>
      <c r="S22" s="42">
        <v>7.9500000000000003E-4</v>
      </c>
      <c r="T22" s="42">
        <v>9.1299999999999997E-4</v>
      </c>
      <c r="U22" s="42">
        <v>8.5400000000000005E-4</v>
      </c>
      <c r="V22" s="37"/>
      <c r="W22" s="42">
        <v>3.9800000000000002E-4</v>
      </c>
      <c r="X22" s="42">
        <v>4.57E-4</v>
      </c>
      <c r="Y22" s="42">
        <v>4.2700000000000002E-4</v>
      </c>
      <c r="Z22" s="37"/>
      <c r="AA22" s="42">
        <v>1.9900000000000001E-4</v>
      </c>
      <c r="AB22" s="42">
        <v>2.2800000000000001E-4</v>
      </c>
      <c r="AC22" s="42">
        <v>2.13E-4</v>
      </c>
      <c r="AD22" s="37"/>
      <c r="AE22" s="42">
        <v>6.6000000000000005E-5</v>
      </c>
      <c r="AF22" s="42">
        <v>7.6000000000000004E-5</v>
      </c>
      <c r="AG22" s="42">
        <v>7.1000000000000005E-5</v>
      </c>
      <c r="AH22" s="14"/>
      <c r="AI22" s="25">
        <f t="shared" si="6"/>
        <v>0.36899999999999999</v>
      </c>
      <c r="AJ22" s="26">
        <f t="shared" si="7"/>
        <v>3.3689699999999996E-4</v>
      </c>
      <c r="AK22" s="26">
        <f t="shared" si="8"/>
        <v>2.8044000000000001E-5</v>
      </c>
      <c r="AL22" s="26">
        <f t="shared" si="9"/>
        <v>8.4132E-5</v>
      </c>
      <c r="AM22" s="26">
        <f t="shared" si="10"/>
        <v>1.6863299999999998E-4</v>
      </c>
      <c r="AN22" s="14"/>
      <c r="AS22" s="14"/>
      <c r="AU22" s="17">
        <v>14</v>
      </c>
      <c r="AV22" s="47">
        <f t="shared" si="11"/>
        <v>54</v>
      </c>
      <c r="AW22" s="48">
        <f t="shared" si="13"/>
        <v>5.1008199999999992E-4</v>
      </c>
      <c r="AX22" s="49">
        <f t="shared" si="14"/>
        <v>0</v>
      </c>
      <c r="AY22" s="50">
        <f t="shared" si="12"/>
        <v>0</v>
      </c>
    </row>
    <row r="23" spans="1:55" x14ac:dyDescent="0.25">
      <c r="A23" s="9">
        <v>34</v>
      </c>
      <c r="B23" s="38">
        <v>4.1587999999999998E-4</v>
      </c>
      <c r="C23" s="38">
        <v>6.7318499999999997E-4</v>
      </c>
      <c r="D23" s="39">
        <f t="shared" si="0"/>
        <v>5.4556172000000001E-4</v>
      </c>
      <c r="E23" s="26">
        <f t="shared" si="1"/>
        <v>4.0489443290930524E-4</v>
      </c>
      <c r="F23" s="26">
        <f t="shared" si="1"/>
        <v>6.5540266138802207E-4</v>
      </c>
      <c r="G23" s="39">
        <f t="shared" si="1"/>
        <v>5.3115058006257857E-4</v>
      </c>
      <c r="H23" s="26">
        <f t="shared" si="2"/>
        <v>3.0834117131259698E-4</v>
      </c>
      <c r="I23" s="26">
        <f t="shared" si="3"/>
        <v>2.6354234266856045E-5</v>
      </c>
      <c r="J23" s="26">
        <f t="shared" si="4"/>
        <v>6.5182723374371837E-5</v>
      </c>
      <c r="K23" s="26">
        <f t="shared" si="5"/>
        <v>1.2851538571541623E-4</v>
      </c>
      <c r="L23" s="14"/>
      <c r="M23" s="18" t="s">
        <v>50</v>
      </c>
      <c r="N23" s="17">
        <v>2</v>
      </c>
      <c r="O23" s="14"/>
      <c r="Q23" s="14"/>
      <c r="R23" s="28">
        <v>34</v>
      </c>
      <c r="S23" s="42">
        <v>8.3600000000000005E-4</v>
      </c>
      <c r="T23" s="42">
        <v>9.4799999999999995E-4</v>
      </c>
      <c r="U23" s="42">
        <v>8.92E-4</v>
      </c>
      <c r="V23" s="37"/>
      <c r="W23" s="42">
        <v>4.1800000000000002E-4</v>
      </c>
      <c r="X23" s="42">
        <v>4.7399999999999997E-4</v>
      </c>
      <c r="Y23" s="42">
        <v>4.46E-4</v>
      </c>
      <c r="Z23" s="37"/>
      <c r="AA23" s="42">
        <v>2.0900000000000001E-4</v>
      </c>
      <c r="AB23" s="42">
        <v>2.3699999999999999E-4</v>
      </c>
      <c r="AC23" s="42">
        <v>2.23E-4</v>
      </c>
      <c r="AD23" s="37"/>
      <c r="AE23" s="42">
        <v>6.9999999999999994E-5</v>
      </c>
      <c r="AF23" s="42">
        <v>7.8999999999999996E-5</v>
      </c>
      <c r="AG23" s="42">
        <v>7.3999999999999996E-5</v>
      </c>
      <c r="AH23" s="14"/>
      <c r="AI23" s="25">
        <f t="shared" si="6"/>
        <v>0.36899999999999999</v>
      </c>
      <c r="AJ23" s="26">
        <f t="shared" si="7"/>
        <v>3.4981199999999996E-4</v>
      </c>
      <c r="AK23" s="26">
        <f t="shared" si="8"/>
        <v>2.9150999999999999E-5</v>
      </c>
      <c r="AL23" s="26">
        <f t="shared" si="9"/>
        <v>8.7452999999999991E-5</v>
      </c>
      <c r="AM23" s="26">
        <f t="shared" si="10"/>
        <v>1.7490599999999998E-4</v>
      </c>
      <c r="AN23" s="14"/>
      <c r="AS23" s="14"/>
      <c r="AU23" s="17">
        <v>15</v>
      </c>
      <c r="AV23" s="47">
        <f t="shared" si="11"/>
        <v>55</v>
      </c>
      <c r="AW23" s="48">
        <f t="shared" si="13"/>
        <v>2.5366000000000001E-4</v>
      </c>
      <c r="AX23" s="49">
        <f t="shared" si="14"/>
        <v>0</v>
      </c>
      <c r="AY23" s="50">
        <f t="shared" si="12"/>
        <v>0</v>
      </c>
    </row>
    <row r="24" spans="1:55" x14ac:dyDescent="0.25">
      <c r="A24" s="9">
        <v>35</v>
      </c>
      <c r="B24" s="38">
        <v>4.3639599999999997E-4</v>
      </c>
      <c r="C24" s="38">
        <v>7.2141399999999997E-4</v>
      </c>
      <c r="D24" s="39">
        <f t="shared" si="0"/>
        <v>5.8004507199999999E-4</v>
      </c>
      <c r="E24" s="26">
        <f t="shared" si="1"/>
        <v>4.2486849798953824E-4</v>
      </c>
      <c r="F24" s="26">
        <f t="shared" si="1"/>
        <v>7.0235768111674886E-4</v>
      </c>
      <c r="G24" s="39">
        <f t="shared" si="1"/>
        <v>5.6472304628565244E-4</v>
      </c>
      <c r="H24" s="26">
        <f t="shared" si="2"/>
        <v>3.3043166107579025E-4</v>
      </c>
      <c r="I24" s="26">
        <f t="shared" si="3"/>
        <v>2.8242330948238132E-5</v>
      </c>
      <c r="J24" s="26">
        <f t="shared" si="4"/>
        <v>6.930273163748292E-5</v>
      </c>
      <c r="K24" s="26">
        <f t="shared" si="5"/>
        <v>1.3663846532415501E-4</v>
      </c>
      <c r="L24" s="14"/>
      <c r="M24" s="13"/>
      <c r="N24" s="14"/>
      <c r="O24" s="14"/>
      <c r="Q24" s="14"/>
      <c r="R24" s="28">
        <v>35</v>
      </c>
      <c r="S24" s="42">
        <v>8.6600000000000002E-4</v>
      </c>
      <c r="T24" s="42">
        <v>9.9599999999999992E-4</v>
      </c>
      <c r="U24" s="42">
        <v>9.3000000000000005E-4</v>
      </c>
      <c r="V24" s="37"/>
      <c r="W24" s="42">
        <v>4.3300000000000001E-4</v>
      </c>
      <c r="X24" s="42">
        <v>4.9799999999999996E-4</v>
      </c>
      <c r="Y24" s="42">
        <v>4.6500000000000003E-4</v>
      </c>
      <c r="Z24" s="37"/>
      <c r="AA24" s="42">
        <v>2.1599999999999999E-4</v>
      </c>
      <c r="AB24" s="42">
        <v>2.4899999999999998E-4</v>
      </c>
      <c r="AC24" s="42">
        <v>2.33E-4</v>
      </c>
      <c r="AD24" s="37"/>
      <c r="AE24" s="42">
        <v>7.2000000000000002E-5</v>
      </c>
      <c r="AF24" s="42">
        <v>8.2999999999999998E-5</v>
      </c>
      <c r="AG24" s="42">
        <v>7.7999999999999999E-5</v>
      </c>
      <c r="AH24" s="14"/>
      <c r="AI24" s="25">
        <f t="shared" si="6"/>
        <v>0.23100000000000001</v>
      </c>
      <c r="AJ24" s="26">
        <f t="shared" si="7"/>
        <v>2.3007599999999998E-4</v>
      </c>
      <c r="AK24" s="26">
        <f t="shared" si="8"/>
        <v>1.9173000000000001E-5</v>
      </c>
      <c r="AL24" s="26">
        <f t="shared" si="9"/>
        <v>5.7518999999999996E-5</v>
      </c>
      <c r="AM24" s="26">
        <f t="shared" si="10"/>
        <v>1.1503799999999999E-4</v>
      </c>
      <c r="AN24" s="14"/>
      <c r="AS24" s="14"/>
      <c r="AU24" s="17">
        <v>16</v>
      </c>
      <c r="AV24" s="47">
        <f t="shared" si="11"/>
        <v>56</v>
      </c>
      <c r="AW24" s="48">
        <f t="shared" si="13"/>
        <v>2.80005E-4</v>
      </c>
      <c r="AX24" s="49">
        <f t="shared" si="14"/>
        <v>0</v>
      </c>
      <c r="AY24" s="50">
        <f t="shared" si="12"/>
        <v>0</v>
      </c>
    </row>
    <row r="25" spans="1:55" x14ac:dyDescent="0.25">
      <c r="A25" s="9">
        <v>36</v>
      </c>
      <c r="B25" s="38">
        <v>4.5886100000000002E-4</v>
      </c>
      <c r="C25" s="38">
        <v>7.7374699999999998E-4</v>
      </c>
      <c r="D25" s="39">
        <f t="shared" si="0"/>
        <v>6.17563544E-4</v>
      </c>
      <c r="E25" s="26">
        <f t="shared" si="1"/>
        <v>4.467400797806981E-4</v>
      </c>
      <c r="F25" s="26">
        <f t="shared" si="1"/>
        <v>7.5330829272933584E-4</v>
      </c>
      <c r="G25" s="39">
        <f t="shared" si="1"/>
        <v>6.0125045910681149E-4</v>
      </c>
      <c r="H25" s="26">
        <f t="shared" si="2"/>
        <v>3.5440191965003376E-4</v>
      </c>
      <c r="I25" s="26">
        <f t="shared" si="3"/>
        <v>3.0291093386330748E-5</v>
      </c>
      <c r="J25" s="26">
        <f t="shared" si="4"/>
        <v>7.3785370525352668E-5</v>
      </c>
      <c r="K25" s="26">
        <f t="shared" si="5"/>
        <v>1.4547651374979064E-4</v>
      </c>
      <c r="L25" s="14"/>
      <c r="M25" s="18" t="s">
        <v>14</v>
      </c>
      <c r="N25" s="20" t="s">
        <v>52</v>
      </c>
      <c r="O25" s="14"/>
      <c r="Q25" s="14"/>
      <c r="R25" s="28">
        <v>36</v>
      </c>
      <c r="S25" s="42">
        <v>9.19E-4</v>
      </c>
      <c r="T25" s="42">
        <v>1.0430000000000001E-3</v>
      </c>
      <c r="U25" s="42">
        <v>9.7999999999999997E-4</v>
      </c>
      <c r="V25" s="37"/>
      <c r="W25" s="42">
        <v>4.5899999999999999E-4</v>
      </c>
      <c r="X25" s="42">
        <v>5.2099999999999998E-4</v>
      </c>
      <c r="Y25" s="42">
        <v>4.8999999999999998E-4</v>
      </c>
      <c r="Z25" s="37"/>
      <c r="AA25" s="42">
        <v>2.3000000000000001E-4</v>
      </c>
      <c r="AB25" s="42">
        <v>2.61E-4</v>
      </c>
      <c r="AC25" s="42">
        <v>2.4499999999999999E-4</v>
      </c>
      <c r="AD25" s="37"/>
      <c r="AE25" s="42">
        <v>7.7000000000000001E-5</v>
      </c>
      <c r="AF25" s="42">
        <v>8.7000000000000001E-5</v>
      </c>
      <c r="AG25" s="42">
        <v>8.2000000000000001E-5</v>
      </c>
      <c r="AH25" s="14"/>
      <c r="AI25" s="25">
        <f t="shared" si="6"/>
        <v>0.23100000000000001</v>
      </c>
      <c r="AJ25" s="26">
        <f t="shared" si="7"/>
        <v>2.4093300000000003E-4</v>
      </c>
      <c r="AK25" s="26">
        <f t="shared" si="8"/>
        <v>2.0097000000000001E-5</v>
      </c>
      <c r="AL25" s="26">
        <f t="shared" si="9"/>
        <v>6.0291000000000003E-5</v>
      </c>
      <c r="AM25" s="26">
        <f t="shared" si="10"/>
        <v>1.20351E-4</v>
      </c>
      <c r="AN25" s="14"/>
      <c r="AS25" s="14"/>
      <c r="AU25" s="17">
        <v>17</v>
      </c>
      <c r="AV25" s="47">
        <f t="shared" si="11"/>
        <v>57</v>
      </c>
      <c r="AW25" s="48">
        <f t="shared" si="13"/>
        <v>3.0794500000000001E-4</v>
      </c>
      <c r="AX25" s="49">
        <f t="shared" si="14"/>
        <v>0</v>
      </c>
      <c r="AY25" s="50">
        <f t="shared" si="12"/>
        <v>0</v>
      </c>
    </row>
    <row r="26" spans="1:55" x14ac:dyDescent="0.25">
      <c r="A26" s="9">
        <v>37</v>
      </c>
      <c r="B26" s="38">
        <v>4.8345899999999999E-4</v>
      </c>
      <c r="C26" s="38">
        <v>8.3053000000000001E-4</v>
      </c>
      <c r="D26" s="39">
        <f t="shared" si="0"/>
        <v>6.5838278400000001E-4</v>
      </c>
      <c r="E26" s="26">
        <f t="shared" si="1"/>
        <v>4.7068831787991681E-4</v>
      </c>
      <c r="F26" s="26">
        <f t="shared" si="1"/>
        <v>8.0859135655517286E-4</v>
      </c>
      <c r="G26" s="39">
        <f t="shared" si="1"/>
        <v>6.4099144937224584E-4</v>
      </c>
      <c r="H26" s="26">
        <f t="shared" si="2"/>
        <v>3.8041042656959261E-4</v>
      </c>
      <c r="I26" s="26">
        <f t="shared" si="3"/>
        <v>3.2514066988497886E-5</v>
      </c>
      <c r="J26" s="26">
        <f t="shared" si="4"/>
        <v>7.8662379178511289E-5</v>
      </c>
      <c r="K26" s="26">
        <f t="shared" si="5"/>
        <v>1.5509210843119559E-4</v>
      </c>
      <c r="L26" s="14"/>
      <c r="M26" s="18" t="s">
        <v>15</v>
      </c>
      <c r="N26" s="20" t="s">
        <v>51</v>
      </c>
      <c r="O26" s="14"/>
      <c r="Q26" s="14"/>
      <c r="R26" s="28">
        <v>37</v>
      </c>
      <c r="S26" s="42">
        <v>9.8400000000000007E-4</v>
      </c>
      <c r="T26" s="42">
        <v>1.108E-3</v>
      </c>
      <c r="U26" s="42">
        <v>1.0449999999999999E-3</v>
      </c>
      <c r="V26" s="37"/>
      <c r="W26" s="42">
        <v>4.9200000000000003E-4</v>
      </c>
      <c r="X26" s="42">
        <v>5.5400000000000002E-4</v>
      </c>
      <c r="Y26" s="42">
        <v>5.2300000000000003E-4</v>
      </c>
      <c r="Z26" s="37"/>
      <c r="AA26" s="42">
        <v>2.4600000000000002E-4</v>
      </c>
      <c r="AB26" s="42">
        <v>2.7700000000000001E-4</v>
      </c>
      <c r="AC26" s="42">
        <v>2.61E-4</v>
      </c>
      <c r="AD26" s="37"/>
      <c r="AE26" s="42">
        <v>8.2000000000000001E-5</v>
      </c>
      <c r="AF26" s="42">
        <v>9.2E-5</v>
      </c>
      <c r="AG26" s="42">
        <v>8.7000000000000001E-5</v>
      </c>
      <c r="AH26" s="14"/>
      <c r="AI26" s="25">
        <f t="shared" si="6"/>
        <v>0.23100000000000001</v>
      </c>
      <c r="AJ26" s="26">
        <f t="shared" si="7"/>
        <v>2.5594800000000004E-4</v>
      </c>
      <c r="AK26" s="26">
        <f t="shared" si="8"/>
        <v>2.1252000000000003E-5</v>
      </c>
      <c r="AL26" s="26">
        <f t="shared" si="9"/>
        <v>6.3987000000000009E-5</v>
      </c>
      <c r="AM26" s="26">
        <f t="shared" si="10"/>
        <v>1.2797400000000002E-4</v>
      </c>
      <c r="AN26" s="14"/>
      <c r="AS26" s="14"/>
      <c r="AU26" s="17">
        <v>18</v>
      </c>
      <c r="AV26" s="47">
        <f t="shared" si="11"/>
        <v>58</v>
      </c>
      <c r="AW26" s="48">
        <f t="shared" si="13"/>
        <v>3.3819500000000001E-4</v>
      </c>
      <c r="AX26" s="49">
        <f t="shared" si="14"/>
        <v>0</v>
      </c>
      <c r="AY26" s="50">
        <f t="shared" si="12"/>
        <v>0</v>
      </c>
    </row>
    <row r="27" spans="1:55" x14ac:dyDescent="0.25">
      <c r="A27" s="9">
        <v>38</v>
      </c>
      <c r="B27" s="38">
        <v>5.1039399999999995E-4</v>
      </c>
      <c r="C27" s="38">
        <v>8.9214399999999999E-4</v>
      </c>
      <c r="D27" s="39">
        <f t="shared" si="0"/>
        <v>7.0279599999999989E-4</v>
      </c>
      <c r="E27" s="26">
        <f t="shared" si="1"/>
        <v>4.9691182357966697E-4</v>
      </c>
      <c r="F27" s="26">
        <f t="shared" si="1"/>
        <v>8.6857780839049532E-4</v>
      </c>
      <c r="G27" s="39">
        <f t="shared" si="1"/>
        <v>6.8423147992432445E-4</v>
      </c>
      <c r="H27" s="26">
        <f t="shared" si="2"/>
        <v>4.0863169253549251E-4</v>
      </c>
      <c r="I27" s="26">
        <f t="shared" si="3"/>
        <v>3.4926167362270429E-5</v>
      </c>
      <c r="J27" s="26">
        <f t="shared" si="4"/>
        <v>8.3968789556230258E-5</v>
      </c>
      <c r="K27" s="26">
        <f t="shared" si="5"/>
        <v>1.6555431898567158E-4</v>
      </c>
      <c r="L27" s="14"/>
      <c r="M27" s="18" t="s">
        <v>9</v>
      </c>
      <c r="N27" s="20" t="s">
        <v>53</v>
      </c>
      <c r="O27" s="14"/>
      <c r="Q27" s="14"/>
      <c r="R27" s="28">
        <v>38</v>
      </c>
      <c r="S27" s="42">
        <v>1.054E-3</v>
      </c>
      <c r="T27" s="42">
        <v>1.178E-3</v>
      </c>
      <c r="U27" s="42">
        <v>1.116E-3</v>
      </c>
      <c r="V27" s="37"/>
      <c r="W27" s="42">
        <v>5.2700000000000002E-4</v>
      </c>
      <c r="X27" s="42">
        <v>5.8900000000000001E-4</v>
      </c>
      <c r="Y27" s="42">
        <v>5.5800000000000001E-4</v>
      </c>
      <c r="Z27" s="37"/>
      <c r="AA27" s="42">
        <v>2.6400000000000002E-4</v>
      </c>
      <c r="AB27" s="42">
        <v>2.9500000000000001E-4</v>
      </c>
      <c r="AC27" s="42">
        <v>2.7900000000000001E-4</v>
      </c>
      <c r="AD27" s="37"/>
      <c r="AE27" s="42">
        <v>8.7999999999999998E-5</v>
      </c>
      <c r="AF27" s="42">
        <v>9.7999999999999997E-5</v>
      </c>
      <c r="AG27" s="42">
        <v>9.2999999999999997E-5</v>
      </c>
      <c r="AH27" s="14"/>
      <c r="AI27" s="25">
        <f t="shared" si="6"/>
        <v>0.23100000000000001</v>
      </c>
      <c r="AJ27" s="26">
        <f t="shared" si="7"/>
        <v>2.7211800000000001E-4</v>
      </c>
      <c r="AK27" s="26">
        <f t="shared" si="8"/>
        <v>2.2637999999999999E-5</v>
      </c>
      <c r="AL27" s="26">
        <f t="shared" si="9"/>
        <v>6.8145000000000006E-5</v>
      </c>
      <c r="AM27" s="26">
        <f t="shared" si="10"/>
        <v>1.3605900000000001E-4</v>
      </c>
      <c r="AN27" s="14"/>
      <c r="AS27" s="14"/>
      <c r="AU27" s="17">
        <v>19</v>
      </c>
      <c r="AV27" s="47">
        <f t="shared" si="11"/>
        <v>59</v>
      </c>
      <c r="AW27" s="48">
        <f t="shared" si="13"/>
        <v>3.7235000000000002E-4</v>
      </c>
      <c r="AX27" s="49">
        <f t="shared" si="14"/>
        <v>0</v>
      </c>
      <c r="AY27" s="50">
        <f t="shared" si="12"/>
        <v>0</v>
      </c>
    </row>
    <row r="28" spans="1:55" x14ac:dyDescent="0.25">
      <c r="A28" s="9">
        <v>39</v>
      </c>
      <c r="B28" s="38">
        <v>5.3988699999999996E-4</v>
      </c>
      <c r="C28" s="38">
        <v>9.5899899999999998E-4</v>
      </c>
      <c r="D28" s="39">
        <f t="shared" si="0"/>
        <v>7.5111944800000002E-4</v>
      </c>
      <c r="E28" s="26">
        <f t="shared" si="1"/>
        <v>5.2562575911346073E-4</v>
      </c>
      <c r="F28" s="26">
        <f t="shared" si="1"/>
        <v>9.3366681798978267E-4</v>
      </c>
      <c r="G28" s="39">
        <f t="shared" si="1"/>
        <v>7.3127845278712705E-4</v>
      </c>
      <c r="H28" s="26">
        <f t="shared" si="2"/>
        <v>4.3925351121550425E-4</v>
      </c>
      <c r="I28" s="26">
        <f t="shared" si="3"/>
        <v>3.7543445423888951E-5</v>
      </c>
      <c r="J28" s="26">
        <f t="shared" si="4"/>
        <v>8.9742387350957972E-5</v>
      </c>
      <c r="K28" s="26">
        <f t="shared" si="5"/>
        <v>1.7693764433851869E-4</v>
      </c>
      <c r="L28" s="14"/>
      <c r="M28" s="18" t="s">
        <v>13</v>
      </c>
      <c r="N28" s="20" t="s">
        <v>54</v>
      </c>
      <c r="O28" s="14"/>
      <c r="Q28" s="14"/>
      <c r="R28" s="28">
        <v>39</v>
      </c>
      <c r="S28" s="42">
        <v>1.137E-3</v>
      </c>
      <c r="T28" s="42">
        <v>1.261E-3</v>
      </c>
      <c r="U28" s="42">
        <v>1.1980000000000001E-3</v>
      </c>
      <c r="V28" s="37"/>
      <c r="W28" s="42">
        <v>5.6800000000000004E-4</v>
      </c>
      <c r="X28" s="42">
        <v>6.3000000000000003E-4</v>
      </c>
      <c r="Y28" s="42">
        <v>5.9900000000000003E-4</v>
      </c>
      <c r="Z28" s="37"/>
      <c r="AA28" s="42">
        <v>2.8400000000000002E-4</v>
      </c>
      <c r="AB28" s="42">
        <v>3.1500000000000001E-4</v>
      </c>
      <c r="AC28" s="42">
        <v>2.9999999999999997E-4</v>
      </c>
      <c r="AD28" s="37"/>
      <c r="AE28" s="42">
        <v>9.5000000000000005E-5</v>
      </c>
      <c r="AF28" s="42">
        <v>1.05E-4</v>
      </c>
      <c r="AG28" s="42">
        <v>1E-4</v>
      </c>
      <c r="AH28" s="14"/>
      <c r="AI28" s="25">
        <f t="shared" si="6"/>
        <v>0.23100000000000001</v>
      </c>
      <c r="AJ28" s="26">
        <f t="shared" si="7"/>
        <v>2.91291E-4</v>
      </c>
      <c r="AK28" s="26">
        <f t="shared" si="8"/>
        <v>2.4255000000000001E-5</v>
      </c>
      <c r="AL28" s="26">
        <f t="shared" si="9"/>
        <v>7.2765000000000012E-5</v>
      </c>
      <c r="AM28" s="26">
        <f t="shared" si="10"/>
        <v>1.4553000000000002E-4</v>
      </c>
      <c r="AN28" s="14"/>
      <c r="AS28" s="14"/>
      <c r="AU28" s="17">
        <v>20</v>
      </c>
      <c r="AV28" s="47">
        <f t="shared" si="11"/>
        <v>60</v>
      </c>
      <c r="AW28" s="48">
        <f t="shared" si="13"/>
        <v>4.1046499999999999E-4</v>
      </c>
      <c r="AX28" s="49">
        <f t="shared" si="14"/>
        <v>0</v>
      </c>
      <c r="AY28" s="50">
        <f t="shared" si="12"/>
        <v>0</v>
      </c>
    </row>
    <row r="29" spans="1:55" x14ac:dyDescent="0.25">
      <c r="A29" s="9">
        <v>40</v>
      </c>
      <c r="B29" s="38">
        <v>5.7218199999999996E-4</v>
      </c>
      <c r="C29" s="38">
        <v>1.0315389999999999E-3</v>
      </c>
      <c r="D29" s="39">
        <f t="shared" si="0"/>
        <v>8.0369792800000001E-4</v>
      </c>
      <c r="E29" s="26">
        <f t="shared" si="1"/>
        <v>5.5706767916445141E-4</v>
      </c>
      <c r="F29" s="26">
        <f t="shared" si="1"/>
        <v>1.0042906569895926E-3</v>
      </c>
      <c r="G29" s="39">
        <f t="shared" si="1"/>
        <v>7.8246805998832272E-4</v>
      </c>
      <c r="H29" s="26">
        <f t="shared" si="2"/>
        <v>4.7247924941082314E-4</v>
      </c>
      <c r="I29" s="26">
        <f t="shared" si="3"/>
        <v>4.0383283141184695E-5</v>
      </c>
      <c r="J29" s="26">
        <f t="shared" si="4"/>
        <v>9.6024368640416737E-5</v>
      </c>
      <c r="K29" s="26">
        <f t="shared" si="5"/>
        <v>1.8932330738967684E-4</v>
      </c>
      <c r="L29" s="14"/>
      <c r="O29" s="14"/>
      <c r="Q29" s="14"/>
      <c r="R29" s="28">
        <v>40</v>
      </c>
      <c r="S29" s="42">
        <v>1.225E-3</v>
      </c>
      <c r="T29" s="42">
        <v>1.3489999999999999E-3</v>
      </c>
      <c r="U29" s="42">
        <v>1.2869999999999999E-3</v>
      </c>
      <c r="V29" s="37"/>
      <c r="W29" s="42">
        <v>6.1300000000000005E-4</v>
      </c>
      <c r="X29" s="42">
        <v>6.7500000000000004E-4</v>
      </c>
      <c r="Y29" s="42">
        <v>6.4300000000000002E-4</v>
      </c>
      <c r="Z29" s="37"/>
      <c r="AA29" s="42">
        <v>3.0600000000000001E-4</v>
      </c>
      <c r="AB29" s="42">
        <v>3.3700000000000001E-4</v>
      </c>
      <c r="AC29" s="42">
        <v>3.2200000000000002E-4</v>
      </c>
      <c r="AD29" s="37"/>
      <c r="AE29" s="42">
        <v>1.02E-4</v>
      </c>
      <c r="AF29" s="42">
        <v>1.12E-4</v>
      </c>
      <c r="AG29" s="42">
        <v>1.07E-4</v>
      </c>
      <c r="AH29" s="14"/>
      <c r="AI29" s="25">
        <f t="shared" si="6"/>
        <v>0.23100000000000001</v>
      </c>
      <c r="AJ29" s="26">
        <f t="shared" si="7"/>
        <v>3.1161900000000001E-4</v>
      </c>
      <c r="AK29" s="26">
        <f t="shared" si="8"/>
        <v>2.5872000000000002E-5</v>
      </c>
      <c r="AL29" s="26">
        <f t="shared" si="9"/>
        <v>7.7847000000000002E-5</v>
      </c>
      <c r="AM29" s="26">
        <f t="shared" si="10"/>
        <v>1.5592500000000001E-4</v>
      </c>
      <c r="AN29" s="14"/>
      <c r="AS29" s="14"/>
      <c r="AU29" s="17">
        <v>21</v>
      </c>
      <c r="AV29" s="47">
        <f t="shared" si="11"/>
        <v>61</v>
      </c>
      <c r="AW29" s="48">
        <f t="shared" si="13"/>
        <v>4.5281500000000002E-4</v>
      </c>
      <c r="AX29" s="49">
        <f t="shared" si="14"/>
        <v>0</v>
      </c>
      <c r="AY29" s="50">
        <f t="shared" si="12"/>
        <v>0</v>
      </c>
    </row>
    <row r="30" spans="1:55" x14ac:dyDescent="0.25">
      <c r="A30" s="9">
        <v>41</v>
      </c>
      <c r="B30" s="38">
        <v>6.0754400000000001E-4</v>
      </c>
      <c r="C30" s="38">
        <v>1.1102480000000001E-3</v>
      </c>
      <c r="D30" s="39">
        <f t="shared" si="0"/>
        <v>8.6090681600000003E-4</v>
      </c>
      <c r="E30" s="26">
        <f t="shared" si="1"/>
        <v>5.9149558369590014E-4</v>
      </c>
      <c r="F30" s="26">
        <f t="shared" si="1"/>
        <v>1.0809205404171645E-3</v>
      </c>
      <c r="G30" s="39">
        <f t="shared" si="1"/>
        <v>8.3816576188341734E-4</v>
      </c>
      <c r="H30" s="26">
        <f t="shared" si="2"/>
        <v>5.0853059525608605E-4</v>
      </c>
      <c r="I30" s="26">
        <f t="shared" si="3"/>
        <v>4.3464628425036797E-5</v>
      </c>
      <c r="J30" s="26">
        <f t="shared" si="4"/>
        <v>1.0285958266727225E-4</v>
      </c>
      <c r="K30" s="26">
        <f t="shared" si="5"/>
        <v>2.0279973368232446E-4</v>
      </c>
      <c r="L30" s="14"/>
      <c r="O30" s="14"/>
      <c r="Q30" s="14"/>
      <c r="R30" s="28">
        <v>41</v>
      </c>
      <c r="S30" s="42">
        <v>1.3309999999999999E-3</v>
      </c>
      <c r="T30" s="42">
        <v>1.4549999999999999E-3</v>
      </c>
      <c r="U30" s="42">
        <v>1.3929999999999999E-3</v>
      </c>
      <c r="V30" s="37"/>
      <c r="W30" s="42">
        <v>6.6600000000000003E-4</v>
      </c>
      <c r="X30" s="42">
        <v>7.2800000000000002E-4</v>
      </c>
      <c r="Y30" s="42">
        <v>6.96E-4</v>
      </c>
      <c r="Z30" s="37"/>
      <c r="AA30" s="42">
        <v>3.3300000000000002E-4</v>
      </c>
      <c r="AB30" s="42">
        <v>3.6400000000000001E-4</v>
      </c>
      <c r="AC30" s="42">
        <v>3.48E-4</v>
      </c>
      <c r="AD30" s="37"/>
      <c r="AE30" s="42">
        <v>1.11E-4</v>
      </c>
      <c r="AF30" s="42">
        <v>1.21E-4</v>
      </c>
      <c r="AG30" s="42">
        <v>1.16E-4</v>
      </c>
      <c r="AH30" s="14"/>
      <c r="AI30" s="25">
        <f t="shared" si="6"/>
        <v>0.23100000000000001</v>
      </c>
      <c r="AJ30" s="26">
        <f t="shared" si="7"/>
        <v>3.3610500000000001E-4</v>
      </c>
      <c r="AK30" s="26">
        <f t="shared" si="8"/>
        <v>2.7951000000000001E-5</v>
      </c>
      <c r="AL30" s="26">
        <f t="shared" si="9"/>
        <v>8.4084000000000003E-5</v>
      </c>
      <c r="AM30" s="26">
        <f t="shared" si="10"/>
        <v>1.6816800000000001E-4</v>
      </c>
      <c r="AN30" s="14"/>
      <c r="AS30" s="14"/>
      <c r="AU30" s="17">
        <v>22</v>
      </c>
      <c r="AV30" s="47">
        <f t="shared" si="11"/>
        <v>62</v>
      </c>
      <c r="AW30" s="48">
        <f t="shared" si="13"/>
        <v>5.0099500000000006E-4</v>
      </c>
      <c r="AX30" s="49">
        <f t="shared" si="14"/>
        <v>0</v>
      </c>
      <c r="AY30" s="50">
        <f t="shared" si="12"/>
        <v>0</v>
      </c>
    </row>
    <row r="31" spans="1:55" x14ac:dyDescent="0.25">
      <c r="A31" s="9">
        <v>42</v>
      </c>
      <c r="B31" s="38">
        <v>6.4626400000000002E-4</v>
      </c>
      <c r="C31" s="38">
        <v>1.195651E-3</v>
      </c>
      <c r="D31" s="39">
        <f t="shared" si="0"/>
        <v>9.2315504800000007E-4</v>
      </c>
      <c r="E31" s="26">
        <f t="shared" si="1"/>
        <v>6.2919278587501024E-4</v>
      </c>
      <c r="F31" s="26">
        <f t="shared" si="1"/>
        <v>1.1640676002751846E-3</v>
      </c>
      <c r="G31" s="39">
        <f t="shared" si="1"/>
        <v>8.9876969233269812E-4</v>
      </c>
      <c r="H31" s="26">
        <f t="shared" si="2"/>
        <v>5.4764801625270608E-4</v>
      </c>
      <c r="I31" s="26">
        <f t="shared" si="3"/>
        <v>4.680803427794841E-5</v>
      </c>
      <c r="J31" s="26">
        <f t="shared" si="4"/>
        <v>1.1029688836203345E-4</v>
      </c>
      <c r="K31" s="26">
        <f t="shared" si="5"/>
        <v>2.174632543295992E-4</v>
      </c>
      <c r="L31" s="14"/>
      <c r="O31" s="14"/>
      <c r="Q31" s="14"/>
      <c r="R31" s="28">
        <v>42</v>
      </c>
      <c r="S31" s="42">
        <v>1.438E-3</v>
      </c>
      <c r="T31" s="42">
        <v>1.5610000000000001E-3</v>
      </c>
      <c r="U31" s="42">
        <v>1.4989999999999999E-3</v>
      </c>
      <c r="V31" s="37"/>
      <c r="W31" s="42">
        <v>7.1900000000000002E-4</v>
      </c>
      <c r="X31" s="42">
        <v>7.8100000000000001E-4</v>
      </c>
      <c r="Y31" s="42">
        <v>7.4899999999999999E-4</v>
      </c>
      <c r="Z31" s="37"/>
      <c r="AA31" s="42">
        <v>3.59E-4</v>
      </c>
      <c r="AB31" s="42">
        <v>3.8999999999999999E-4</v>
      </c>
      <c r="AC31" s="42">
        <v>3.7500000000000001E-4</v>
      </c>
      <c r="AD31" s="37"/>
      <c r="AE31" s="42">
        <v>1.2E-4</v>
      </c>
      <c r="AF31" s="42">
        <v>1.2999999999999999E-4</v>
      </c>
      <c r="AG31" s="42">
        <v>1.25E-4</v>
      </c>
      <c r="AH31" s="14"/>
      <c r="AI31" s="25">
        <f t="shared" si="6"/>
        <v>0.23100000000000001</v>
      </c>
      <c r="AJ31" s="26">
        <f t="shared" si="7"/>
        <v>3.6059100000000006E-4</v>
      </c>
      <c r="AK31" s="26">
        <f t="shared" si="8"/>
        <v>3.0029999999999999E-5</v>
      </c>
      <c r="AL31" s="26">
        <f t="shared" si="9"/>
        <v>9.009E-5</v>
      </c>
      <c r="AM31" s="26">
        <f t="shared" si="10"/>
        <v>1.80411E-4</v>
      </c>
      <c r="AN31" s="14"/>
      <c r="AS31" s="14"/>
      <c r="AU31" s="17">
        <v>23</v>
      </c>
      <c r="AV31" s="47">
        <f t="shared" si="11"/>
        <v>63</v>
      </c>
      <c r="AW31" s="48">
        <f t="shared" si="13"/>
        <v>5.5610499999999999E-4</v>
      </c>
      <c r="AX31" s="49">
        <f t="shared" si="14"/>
        <v>0</v>
      </c>
      <c r="AY31" s="50">
        <f t="shared" si="12"/>
        <v>0</v>
      </c>
    </row>
    <row r="32" spans="1:55" x14ac:dyDescent="0.25">
      <c r="A32" s="9">
        <v>43</v>
      </c>
      <c r="B32" s="38">
        <v>6.8866100000000003E-4</v>
      </c>
      <c r="C32" s="38">
        <v>1.2883149999999999E-3</v>
      </c>
      <c r="D32" s="39">
        <f t="shared" si="0"/>
        <v>9.9088661599999999E-4</v>
      </c>
      <c r="E32" s="26">
        <f t="shared" si="1"/>
        <v>6.7046985924246194E-4</v>
      </c>
      <c r="F32" s="26">
        <f t="shared" si="1"/>
        <v>1.2542838591265548E-3</v>
      </c>
      <c r="G32" s="39">
        <f t="shared" si="1"/>
        <v>9.6471211518404465E-4</v>
      </c>
      <c r="H32" s="26">
        <f t="shared" si="2"/>
        <v>5.9009121730221024E-4</v>
      </c>
      <c r="I32" s="26">
        <f t="shared" si="3"/>
        <v>5.0435697942622981E-5</v>
      </c>
      <c r="J32" s="26">
        <f t="shared" si="4"/>
        <v>1.1838933308241534E-4</v>
      </c>
      <c r="K32" s="26">
        <f t="shared" si="5"/>
        <v>2.3341845842021964E-4</v>
      </c>
      <c r="L32" s="14"/>
      <c r="O32" s="14"/>
      <c r="Q32" s="14"/>
      <c r="R32" s="28">
        <v>43</v>
      </c>
      <c r="S32" s="42">
        <v>1.544E-3</v>
      </c>
      <c r="T32" s="42">
        <v>1.6850000000000001E-3</v>
      </c>
      <c r="U32" s="42">
        <v>1.614E-3</v>
      </c>
      <c r="V32" s="37"/>
      <c r="W32" s="42">
        <v>7.7200000000000001E-4</v>
      </c>
      <c r="X32" s="42">
        <v>8.43E-4</v>
      </c>
      <c r="Y32" s="42">
        <v>8.0699999999999999E-4</v>
      </c>
      <c r="Z32" s="37"/>
      <c r="AA32" s="42">
        <v>3.86E-4</v>
      </c>
      <c r="AB32" s="42">
        <v>4.2099999999999999E-4</v>
      </c>
      <c r="AC32" s="42">
        <v>4.0299999999999998E-4</v>
      </c>
      <c r="AD32" s="37"/>
      <c r="AE32" s="42">
        <v>1.2899999999999999E-4</v>
      </c>
      <c r="AF32" s="42">
        <v>1.3999999999999999E-4</v>
      </c>
      <c r="AG32" s="42">
        <v>1.34E-4</v>
      </c>
      <c r="AH32" s="14"/>
      <c r="AI32" s="25">
        <f t="shared" si="6"/>
        <v>0.23100000000000001</v>
      </c>
      <c r="AJ32" s="26">
        <f t="shared" si="7"/>
        <v>3.8923500000000004E-4</v>
      </c>
      <c r="AK32" s="26">
        <f t="shared" si="8"/>
        <v>3.2339999999999999E-5</v>
      </c>
      <c r="AL32" s="26">
        <f t="shared" si="9"/>
        <v>9.7251000000000008E-5</v>
      </c>
      <c r="AM32" s="26">
        <f t="shared" si="10"/>
        <v>1.9473300000000002E-4</v>
      </c>
      <c r="AN32" s="14"/>
      <c r="AS32" s="14"/>
      <c r="AU32" s="17">
        <v>24</v>
      </c>
      <c r="AV32" s="47">
        <f t="shared" si="11"/>
        <v>64</v>
      </c>
      <c r="AW32" s="48">
        <f t="shared" si="13"/>
        <v>6.1847499999999995E-4</v>
      </c>
      <c r="AX32" s="49">
        <f t="shared" si="14"/>
        <v>0</v>
      </c>
      <c r="AY32" s="50">
        <f t="shared" si="12"/>
        <v>0</v>
      </c>
    </row>
    <row r="33" spans="1:51" x14ac:dyDescent="0.25">
      <c r="A33" s="9">
        <v>44</v>
      </c>
      <c r="B33" s="38">
        <v>7.3508500000000001E-4</v>
      </c>
      <c r="C33" s="38">
        <v>1.3888570000000001E-3</v>
      </c>
      <c r="D33" s="39">
        <f t="shared" si="0"/>
        <v>1.064586088E-3</v>
      </c>
      <c r="E33" s="26">
        <f t="shared" si="1"/>
        <v>7.156675584667131E-4</v>
      </c>
      <c r="F33" s="26">
        <f t="shared" si="1"/>
        <v>1.352170018772528E-3</v>
      </c>
      <c r="G33" s="39">
        <f t="shared" si="1"/>
        <v>1.0364647984608438E-3</v>
      </c>
      <c r="H33" s="26">
        <f t="shared" si="2"/>
        <v>6.3614280497292655E-4</v>
      </c>
      <c r="I33" s="26">
        <f t="shared" si="3"/>
        <v>5.437177409057375E-5</v>
      </c>
      <c r="J33" s="26">
        <f t="shared" si="4"/>
        <v>1.2719481213291261E-4</v>
      </c>
      <c r="K33" s="26">
        <f t="shared" si="5"/>
        <v>2.5077949333869327E-4</v>
      </c>
      <c r="L33" s="14"/>
      <c r="O33" s="14"/>
      <c r="Q33" s="14"/>
      <c r="R33" s="28">
        <v>44</v>
      </c>
      <c r="S33" s="42">
        <v>1.65E-3</v>
      </c>
      <c r="T33" s="42">
        <v>1.8090000000000001E-3</v>
      </c>
      <c r="U33" s="42">
        <v>1.7290000000000001E-3</v>
      </c>
      <c r="V33" s="37"/>
      <c r="W33" s="42">
        <v>8.25E-4</v>
      </c>
      <c r="X33" s="42">
        <v>9.0399999999999996E-4</v>
      </c>
      <c r="Y33" s="42">
        <v>8.6399999999999997E-4</v>
      </c>
      <c r="Z33" s="37"/>
      <c r="AA33" s="42">
        <v>4.1199999999999999E-4</v>
      </c>
      <c r="AB33" s="42">
        <v>4.5199999999999998E-4</v>
      </c>
      <c r="AC33" s="42">
        <v>4.3199999999999998E-4</v>
      </c>
      <c r="AD33" s="37"/>
      <c r="AE33" s="42">
        <v>1.37E-4</v>
      </c>
      <c r="AF33" s="42">
        <v>1.5100000000000001E-4</v>
      </c>
      <c r="AG33" s="42">
        <v>1.44E-4</v>
      </c>
      <c r="AH33" s="14"/>
      <c r="AI33" s="25">
        <f t="shared" si="6"/>
        <v>0.23100000000000001</v>
      </c>
      <c r="AJ33" s="26">
        <f t="shared" si="7"/>
        <v>4.1787900000000002E-4</v>
      </c>
      <c r="AK33" s="26">
        <f t="shared" si="8"/>
        <v>3.4881000000000007E-5</v>
      </c>
      <c r="AL33" s="26">
        <f t="shared" si="9"/>
        <v>1.04412E-4</v>
      </c>
      <c r="AM33" s="26">
        <f t="shared" si="10"/>
        <v>2.0882400000000001E-4</v>
      </c>
      <c r="AN33" s="14"/>
      <c r="AS33" s="14"/>
      <c r="AU33" s="17">
        <v>25</v>
      </c>
      <c r="AV33" s="47">
        <f t="shared" si="11"/>
        <v>65</v>
      </c>
      <c r="AW33" s="48">
        <f t="shared" si="13"/>
        <v>2.8743099999999999E-4</v>
      </c>
      <c r="AX33" s="49">
        <f t="shared" si="14"/>
        <v>0</v>
      </c>
      <c r="AY33" s="50">
        <f t="shared" si="12"/>
        <v>0</v>
      </c>
    </row>
    <row r="34" spans="1:51" x14ac:dyDescent="0.25">
      <c r="A34" s="9">
        <v>45</v>
      </c>
      <c r="B34" s="38">
        <v>7.8591700000000002E-4</v>
      </c>
      <c r="C34" s="38">
        <v>1.497946E-3</v>
      </c>
      <c r="D34" s="39">
        <f t="shared" si="0"/>
        <v>1.144779616E-3</v>
      </c>
      <c r="E34" s="26">
        <f t="shared" si="1"/>
        <v>7.6515681934399935E-4</v>
      </c>
      <c r="F34" s="26">
        <f t="shared" si="1"/>
        <v>1.4583774074222423E-3</v>
      </c>
      <c r="G34" s="39">
        <f t="shared" si="1"/>
        <v>1.1145399957354339E-3</v>
      </c>
      <c r="H34" s="26">
        <f t="shared" si="2"/>
        <v>6.8610920356665611E-4</v>
      </c>
      <c r="I34" s="26">
        <f t="shared" si="3"/>
        <v>5.8642453119276189E-5</v>
      </c>
      <c r="J34" s="26">
        <f t="shared" si="4"/>
        <v>1.367761891988089E-4</v>
      </c>
      <c r="K34" s="26">
        <f t="shared" si="5"/>
        <v>2.6967030221509319E-4</v>
      </c>
      <c r="L34" s="14"/>
      <c r="O34" s="14"/>
      <c r="Q34" s="14"/>
      <c r="R34" s="28">
        <v>45</v>
      </c>
      <c r="S34" s="42">
        <v>1.7619999999999999E-3</v>
      </c>
      <c r="T34" s="42">
        <v>1.9559999999999998E-3</v>
      </c>
      <c r="U34" s="42">
        <v>1.8580000000000001E-3</v>
      </c>
      <c r="V34" s="37"/>
      <c r="W34" s="42">
        <v>8.8099999999999995E-4</v>
      </c>
      <c r="X34" s="42">
        <v>9.7799999999999992E-4</v>
      </c>
      <c r="Y34" s="42">
        <v>9.2900000000000003E-4</v>
      </c>
      <c r="Z34" s="37"/>
      <c r="AA34" s="42">
        <v>4.4000000000000002E-4</v>
      </c>
      <c r="AB34" s="42">
        <v>4.8899999999999996E-4</v>
      </c>
      <c r="AC34" s="42">
        <v>4.6500000000000003E-4</v>
      </c>
      <c r="AD34" s="37"/>
      <c r="AE34" s="42">
        <v>1.47E-4</v>
      </c>
      <c r="AF34" s="42">
        <v>1.63E-4</v>
      </c>
      <c r="AG34" s="42">
        <v>1.55E-4</v>
      </c>
      <c r="AH34" s="14"/>
      <c r="AI34" s="25">
        <f t="shared" si="6"/>
        <v>0.122</v>
      </c>
      <c r="AJ34" s="26">
        <f t="shared" si="7"/>
        <v>2.3863199999999999E-4</v>
      </c>
      <c r="AK34" s="26">
        <f t="shared" si="8"/>
        <v>1.9885999999999999E-5</v>
      </c>
      <c r="AL34" s="26">
        <f t="shared" si="9"/>
        <v>5.9657999999999997E-5</v>
      </c>
      <c r="AM34" s="26">
        <f t="shared" si="10"/>
        <v>1.1931599999999999E-4</v>
      </c>
      <c r="AN34" s="14"/>
      <c r="AS34" s="14"/>
      <c r="AU34" s="17">
        <v>26</v>
      </c>
      <c r="AV34" s="47">
        <f t="shared" si="11"/>
        <v>66</v>
      </c>
      <c r="AW34" s="48">
        <f t="shared" si="13"/>
        <v>3.1848100000000002E-4</v>
      </c>
      <c r="AX34" s="49">
        <f t="shared" si="14"/>
        <v>0</v>
      </c>
      <c r="AY34" s="50">
        <f t="shared" si="12"/>
        <v>0</v>
      </c>
    </row>
    <row r="35" spans="1:51" x14ac:dyDescent="0.25">
      <c r="A35" s="9">
        <v>46</v>
      </c>
      <c r="B35" s="38">
        <v>8.4157600000000002E-4</v>
      </c>
      <c r="C35" s="38">
        <v>1.6163079999999999E-3</v>
      </c>
      <c r="D35" s="39">
        <f t="shared" si="0"/>
        <v>1.232040928E-3</v>
      </c>
      <c r="E35" s="26">
        <f t="shared" si="1"/>
        <v>8.1934557389170312E-4</v>
      </c>
      <c r="F35" s="26">
        <f t="shared" si="1"/>
        <v>1.573612847616556E-3</v>
      </c>
      <c r="G35" s="39">
        <f t="shared" si="1"/>
        <v>1.1994962798490289E-3</v>
      </c>
      <c r="H35" s="26">
        <f t="shared" si="2"/>
        <v>7.4032294528535397E-4</v>
      </c>
      <c r="I35" s="26">
        <f t="shared" si="3"/>
        <v>6.3276156895049004E-5</v>
      </c>
      <c r="J35" s="26">
        <f t="shared" si="4"/>
        <v>1.4720201225945317E-4</v>
      </c>
      <c r="K35" s="26">
        <f t="shared" si="5"/>
        <v>2.9022603543206682E-4</v>
      </c>
      <c r="L35" s="14"/>
      <c r="O35" s="14"/>
      <c r="Q35" s="14"/>
      <c r="R35" s="28">
        <v>46</v>
      </c>
      <c r="S35" s="42">
        <v>1.8799999999999999E-3</v>
      </c>
      <c r="T35" s="42">
        <v>2.1159999999999998E-3</v>
      </c>
      <c r="U35" s="42">
        <v>1.9970000000000001E-3</v>
      </c>
      <c r="V35" s="37"/>
      <c r="W35" s="42">
        <v>9.3999999999999997E-4</v>
      </c>
      <c r="X35" s="42">
        <v>1.0579999999999999E-3</v>
      </c>
      <c r="Y35" s="42">
        <v>9.9799999999999997E-4</v>
      </c>
      <c r="Z35" s="37"/>
      <c r="AA35" s="42">
        <v>4.6999999999999999E-4</v>
      </c>
      <c r="AB35" s="42">
        <v>5.2899999999999996E-4</v>
      </c>
      <c r="AC35" s="42">
        <v>4.9899999999999999E-4</v>
      </c>
      <c r="AD35" s="37"/>
      <c r="AE35" s="42">
        <v>1.5699999999999999E-4</v>
      </c>
      <c r="AF35" s="42">
        <v>1.76E-4</v>
      </c>
      <c r="AG35" s="42">
        <v>1.66E-4</v>
      </c>
      <c r="AH35" s="14"/>
      <c r="AI35" s="25">
        <f t="shared" si="6"/>
        <v>0.122</v>
      </c>
      <c r="AJ35" s="26">
        <f t="shared" si="7"/>
        <v>2.5815199999999999E-4</v>
      </c>
      <c r="AK35" s="26">
        <f t="shared" si="8"/>
        <v>2.1472E-5</v>
      </c>
      <c r="AL35" s="26">
        <f t="shared" si="9"/>
        <v>6.4537999999999998E-5</v>
      </c>
      <c r="AM35" s="26">
        <f t="shared" si="10"/>
        <v>1.29076E-4</v>
      </c>
      <c r="AN35" s="14"/>
      <c r="AS35" s="14"/>
      <c r="AU35" s="17">
        <v>27</v>
      </c>
      <c r="AV35" s="47">
        <f t="shared" si="11"/>
        <v>67</v>
      </c>
      <c r="AW35" s="48">
        <f t="shared" si="13"/>
        <v>3.5213000000000003E-4</v>
      </c>
      <c r="AX35" s="49">
        <f t="shared" si="14"/>
        <v>0</v>
      </c>
      <c r="AY35" s="50">
        <f t="shared" si="12"/>
        <v>0</v>
      </c>
    </row>
    <row r="36" spans="1:51" x14ac:dyDescent="0.25">
      <c r="A36" s="9">
        <v>47</v>
      </c>
      <c r="B36" s="38">
        <v>9.0251999999999997E-4</v>
      </c>
      <c r="C36" s="38">
        <v>1.7447299999999999E-3</v>
      </c>
      <c r="D36" s="39">
        <f t="shared" si="0"/>
        <v>1.3269938399999999E-3</v>
      </c>
      <c r="E36" s="26">
        <f t="shared" ref="E36:G59" si="15">+B36*(1/(1+$N$8))^0.5</f>
        <v>8.7867972393312053E-4</v>
      </c>
      <c r="F36" s="26">
        <f t="shared" si="15"/>
        <v>1.6986425505671158E-3</v>
      </c>
      <c r="G36" s="39">
        <f t="shared" si="15"/>
        <v>1.2919409885566542E-3</v>
      </c>
      <c r="H36" s="26">
        <f t="shared" si="2"/>
        <v>7.991445023644724E-4</v>
      </c>
      <c r="I36" s="26">
        <f t="shared" si="3"/>
        <v>6.8303695347358821E-5</v>
      </c>
      <c r="J36" s="26">
        <f t="shared" si="4"/>
        <v>1.5854681371745699E-4</v>
      </c>
      <c r="K36" s="26">
        <f t="shared" si="5"/>
        <v>3.1259364236475628E-4</v>
      </c>
      <c r="L36" s="14"/>
      <c r="O36" s="14"/>
      <c r="Q36" s="14"/>
      <c r="R36" s="28">
        <v>47</v>
      </c>
      <c r="S36" s="42">
        <v>2.0089999999999999E-3</v>
      </c>
      <c r="T36" s="42">
        <v>2.287E-3</v>
      </c>
      <c r="U36" s="42">
        <v>2.147E-3</v>
      </c>
      <c r="V36" s="37"/>
      <c r="W36" s="42">
        <v>1.005E-3</v>
      </c>
      <c r="X36" s="42">
        <v>1.1429999999999999E-3</v>
      </c>
      <c r="Y36" s="42">
        <v>1.073E-3</v>
      </c>
      <c r="Z36" s="37"/>
      <c r="AA36" s="42">
        <v>5.0199999999999995E-4</v>
      </c>
      <c r="AB36" s="42">
        <v>5.7200000000000003E-4</v>
      </c>
      <c r="AC36" s="42">
        <v>5.3700000000000004E-4</v>
      </c>
      <c r="AD36" s="37"/>
      <c r="AE36" s="42">
        <v>1.6699999999999999E-4</v>
      </c>
      <c r="AF36" s="42">
        <v>1.9100000000000001E-4</v>
      </c>
      <c r="AG36" s="42">
        <v>1.7899999999999999E-4</v>
      </c>
      <c r="AH36" s="14"/>
      <c r="AI36" s="25">
        <f t="shared" si="6"/>
        <v>0.122</v>
      </c>
      <c r="AJ36" s="26">
        <f t="shared" si="7"/>
        <v>2.7901400000000001E-4</v>
      </c>
      <c r="AK36" s="26">
        <f t="shared" si="8"/>
        <v>2.3302000000000002E-5</v>
      </c>
      <c r="AL36" s="26">
        <f t="shared" si="9"/>
        <v>6.9784000000000008E-5</v>
      </c>
      <c r="AM36" s="26">
        <f t="shared" si="10"/>
        <v>1.3944599999999999E-4</v>
      </c>
      <c r="AN36" s="14"/>
      <c r="AS36" s="14"/>
      <c r="AU36" s="17">
        <v>28</v>
      </c>
      <c r="AV36" s="47">
        <f t="shared" si="11"/>
        <v>68</v>
      </c>
      <c r="AW36" s="48">
        <f t="shared" si="13"/>
        <v>3.8830899999999998E-4</v>
      </c>
      <c r="AX36" s="49">
        <f t="shared" si="14"/>
        <v>0</v>
      </c>
      <c r="AY36" s="50">
        <f t="shared" si="12"/>
        <v>0</v>
      </c>
    </row>
    <row r="37" spans="1:51" x14ac:dyDescent="0.25">
      <c r="A37" s="9">
        <v>48</v>
      </c>
      <c r="B37" s="38">
        <v>9.6924999999999995E-4</v>
      </c>
      <c r="C37" s="38">
        <v>1.8840650000000001E-3</v>
      </c>
      <c r="D37" s="39">
        <f t="shared" si="0"/>
        <v>1.4303167600000001E-3</v>
      </c>
      <c r="E37" s="26">
        <f t="shared" si="15"/>
        <v>9.4364703543652994E-4</v>
      </c>
      <c r="F37" s="26">
        <f t="shared" si="15"/>
        <v>1.8342969840801919E-3</v>
      </c>
      <c r="G37" s="39">
        <f t="shared" si="15"/>
        <v>1.3925346095529356E-3</v>
      </c>
      <c r="H37" s="26">
        <f t="shared" si="2"/>
        <v>8.6296457723964153E-4</v>
      </c>
      <c r="I37" s="26">
        <f t="shared" si="3"/>
        <v>7.3758462211701294E-5</v>
      </c>
      <c r="J37" s="26">
        <f t="shared" si="4"/>
        <v>1.7089164852843376E-4</v>
      </c>
      <c r="K37" s="26">
        <f t="shared" si="5"/>
        <v>3.3693293236670713E-4</v>
      </c>
      <c r="L37" s="14"/>
      <c r="O37" s="14"/>
      <c r="Q37" s="14"/>
      <c r="R37" s="28">
        <v>48</v>
      </c>
      <c r="S37" s="42">
        <v>2.1510000000000001E-3</v>
      </c>
      <c r="T37" s="42">
        <v>2.47E-3</v>
      </c>
      <c r="U37" s="42">
        <v>2.3089999999999999E-3</v>
      </c>
      <c r="V37" s="37"/>
      <c r="W37" s="42">
        <v>1.075E-3</v>
      </c>
      <c r="X37" s="42">
        <v>1.235E-3</v>
      </c>
      <c r="Y37" s="42">
        <v>1.1540000000000001E-3</v>
      </c>
      <c r="Z37" s="37"/>
      <c r="AA37" s="42">
        <v>5.3799999999999996E-4</v>
      </c>
      <c r="AB37" s="42">
        <v>6.1700000000000004E-4</v>
      </c>
      <c r="AC37" s="42">
        <v>5.7700000000000004E-4</v>
      </c>
      <c r="AD37" s="37"/>
      <c r="AE37" s="42">
        <v>1.7899999999999999E-4</v>
      </c>
      <c r="AF37" s="42">
        <v>2.0599999999999999E-4</v>
      </c>
      <c r="AG37" s="42">
        <v>1.92E-4</v>
      </c>
      <c r="AH37" s="14"/>
      <c r="AI37" s="25">
        <f t="shared" ref="AI37:AI68" si="16">+IFERROR(VLOOKUP(R37,$AP$3:$AR$9,3,TRUE),0)</f>
        <v>0.122</v>
      </c>
      <c r="AJ37" s="26">
        <f t="shared" si="7"/>
        <v>3.0133999999999998E-4</v>
      </c>
      <c r="AK37" s="26">
        <f t="shared" si="8"/>
        <v>2.5131999999999999E-5</v>
      </c>
      <c r="AL37" s="26">
        <f t="shared" si="9"/>
        <v>7.5273999999999998E-5</v>
      </c>
      <c r="AM37" s="26">
        <f t="shared" si="10"/>
        <v>1.5066999999999999E-4</v>
      </c>
      <c r="AN37" s="14"/>
      <c r="AS37" s="14"/>
      <c r="AU37" s="17">
        <v>29</v>
      </c>
      <c r="AV37" s="47">
        <f t="shared" si="11"/>
        <v>69</v>
      </c>
      <c r="AW37" s="48">
        <f t="shared" si="13"/>
        <v>4.2779999999999994E-4</v>
      </c>
      <c r="AX37" s="49">
        <f t="shared" si="14"/>
        <v>0</v>
      </c>
      <c r="AY37" s="50">
        <f t="shared" si="12"/>
        <v>0</v>
      </c>
    </row>
    <row r="38" spans="1:51" x14ac:dyDescent="0.25">
      <c r="A38" s="9">
        <v>49</v>
      </c>
      <c r="B38" s="38">
        <v>1.0423159999999999E-3</v>
      </c>
      <c r="C38" s="38">
        <v>2.0352389999999999E-3</v>
      </c>
      <c r="D38" s="39">
        <f t="shared" si="0"/>
        <v>1.542749192E-3</v>
      </c>
      <c r="E38" s="26">
        <f t="shared" si="15"/>
        <v>1.0147829800237938E-3</v>
      </c>
      <c r="F38" s="26">
        <f t="shared" si="15"/>
        <v>1.9814776876500469E-3</v>
      </c>
      <c r="G38" s="39">
        <f t="shared" si="15"/>
        <v>1.5019971126674254E-3</v>
      </c>
      <c r="H38" s="26">
        <f t="shared" si="2"/>
        <v>9.322073087800213E-4</v>
      </c>
      <c r="I38" s="26">
        <f t="shared" si="3"/>
        <v>7.9676709069634389E-5</v>
      </c>
      <c r="J38" s="26">
        <f t="shared" si="4"/>
        <v>1.8432487128710508E-4</v>
      </c>
      <c r="K38" s="26">
        <f t="shared" si="5"/>
        <v>3.6341810688628721E-4</v>
      </c>
      <c r="L38" s="14"/>
      <c r="O38" s="14"/>
      <c r="Q38" s="14"/>
      <c r="R38" s="28">
        <v>49</v>
      </c>
      <c r="S38" s="42">
        <v>2.2980000000000001E-3</v>
      </c>
      <c r="T38" s="42">
        <v>2.676E-3</v>
      </c>
      <c r="U38" s="42">
        <v>2.4859999999999999E-3</v>
      </c>
      <c r="V38" s="37"/>
      <c r="W38" s="42">
        <v>1.1490000000000001E-3</v>
      </c>
      <c r="X38" s="42">
        <v>1.338E-3</v>
      </c>
      <c r="Y38" s="42">
        <v>1.243E-3</v>
      </c>
      <c r="Z38" s="37"/>
      <c r="AA38" s="42">
        <v>5.7499999999999999E-4</v>
      </c>
      <c r="AB38" s="42">
        <v>6.69E-4</v>
      </c>
      <c r="AC38" s="42">
        <v>6.2100000000000002E-4</v>
      </c>
      <c r="AD38" s="37"/>
      <c r="AE38" s="42">
        <v>1.92E-4</v>
      </c>
      <c r="AF38" s="42">
        <v>2.23E-4</v>
      </c>
      <c r="AG38" s="42">
        <v>2.0699999999999999E-4</v>
      </c>
      <c r="AH38" s="14"/>
      <c r="AI38" s="25">
        <f t="shared" si="16"/>
        <v>0.122</v>
      </c>
      <c r="AJ38" s="26">
        <f t="shared" si="7"/>
        <v>3.2647200000000001E-4</v>
      </c>
      <c r="AK38" s="26">
        <f t="shared" si="8"/>
        <v>2.7206E-5</v>
      </c>
      <c r="AL38" s="26">
        <f t="shared" si="9"/>
        <v>8.1618000000000004E-5</v>
      </c>
      <c r="AM38" s="26">
        <f t="shared" si="10"/>
        <v>1.6323600000000001E-4</v>
      </c>
      <c r="AN38" s="14"/>
      <c r="AS38" s="14"/>
      <c r="AU38" s="17">
        <v>30</v>
      </c>
      <c r="AV38" s="47">
        <f t="shared" si="11"/>
        <v>70</v>
      </c>
      <c r="AW38" s="48">
        <f t="shared" si="13"/>
        <v>4.7241999999999998E-4</v>
      </c>
      <c r="AX38" s="49">
        <f t="shared" si="14"/>
        <v>0</v>
      </c>
      <c r="AY38" s="50">
        <f t="shared" si="12"/>
        <v>0</v>
      </c>
    </row>
    <row r="39" spans="1:51" x14ac:dyDescent="0.25">
      <c r="A39" s="9">
        <v>50</v>
      </c>
      <c r="B39" s="38">
        <v>1.1223170000000001E-3</v>
      </c>
      <c r="C39" s="38">
        <v>2.1992549999999998E-3</v>
      </c>
      <c r="D39" s="39">
        <f t="shared" si="0"/>
        <v>1.6650937519999999E-3</v>
      </c>
      <c r="E39" s="26">
        <f t="shared" si="15"/>
        <v>1.0926707349703587E-3</v>
      </c>
      <c r="F39" s="26">
        <f t="shared" si="15"/>
        <v>2.1411611667980042E-3</v>
      </c>
      <c r="G39" s="39">
        <f t="shared" si="15"/>
        <v>1.6211099126114919E-3</v>
      </c>
      <c r="H39" s="26">
        <f t="shared" si="2"/>
        <v>1.0073321044216455E-3</v>
      </c>
      <c r="I39" s="26">
        <f t="shared" si="3"/>
        <v>8.6097701943083234E-5</v>
      </c>
      <c r="J39" s="26">
        <f t="shared" si="4"/>
        <v>1.9894237709531913E-4</v>
      </c>
      <c r="K39" s="26">
        <f t="shared" si="5"/>
        <v>3.9223823436624104E-4</v>
      </c>
      <c r="L39" s="14"/>
      <c r="O39" s="14"/>
      <c r="Q39" s="14"/>
      <c r="R39" s="28">
        <v>50</v>
      </c>
      <c r="S39" s="42">
        <v>2.47E-3</v>
      </c>
      <c r="T39" s="42">
        <v>2.8939999999999999E-3</v>
      </c>
      <c r="U39" s="42">
        <v>2.6800000000000001E-3</v>
      </c>
      <c r="V39" s="37"/>
      <c r="W39" s="42">
        <v>1.235E-3</v>
      </c>
      <c r="X39" s="42">
        <v>1.4469999999999999E-3</v>
      </c>
      <c r="Y39" s="42">
        <v>1.34E-3</v>
      </c>
      <c r="Z39" s="37"/>
      <c r="AA39" s="42">
        <v>6.1700000000000004E-4</v>
      </c>
      <c r="AB39" s="42">
        <v>7.2400000000000003E-4</v>
      </c>
      <c r="AC39" s="42">
        <v>6.7000000000000002E-4</v>
      </c>
      <c r="AD39" s="37"/>
      <c r="AE39" s="42">
        <v>2.0599999999999999E-4</v>
      </c>
      <c r="AF39" s="42">
        <v>2.41E-4</v>
      </c>
      <c r="AG39" s="42">
        <v>2.23E-4</v>
      </c>
      <c r="AH39" s="14"/>
      <c r="AI39" s="25">
        <f t="shared" si="16"/>
        <v>0.122</v>
      </c>
      <c r="AJ39" s="26">
        <f t="shared" si="7"/>
        <v>3.53068E-4</v>
      </c>
      <c r="AK39" s="26">
        <f t="shared" si="8"/>
        <v>2.9402000000000001E-5</v>
      </c>
      <c r="AL39" s="26">
        <f t="shared" si="9"/>
        <v>8.8327999999999999E-5</v>
      </c>
      <c r="AM39" s="26">
        <f t="shared" si="10"/>
        <v>1.76534E-4</v>
      </c>
      <c r="AN39" s="14"/>
      <c r="AS39" s="14"/>
      <c r="AU39" s="17">
        <v>31</v>
      </c>
      <c r="AV39" s="47">
        <f t="shared" ref="AV39:AV70" si="17">edad1+AU39</f>
        <v>71</v>
      </c>
      <c r="AW39" s="48">
        <f t="shared" si="13"/>
        <v>5.2304300000000005E-4</v>
      </c>
      <c r="AX39" s="49">
        <f t="shared" si="14"/>
        <v>0</v>
      </c>
      <c r="AY39" s="50">
        <f t="shared" ref="AY39:AY70" si="18">+IF(adicional=2,0,(AW39*AX39))</f>
        <v>0</v>
      </c>
    </row>
    <row r="40" spans="1:51" x14ac:dyDescent="0.25">
      <c r="A40" s="9">
        <v>51</v>
      </c>
      <c r="B40" s="38">
        <v>1.209913E-3</v>
      </c>
      <c r="C40" s="38">
        <v>2.377203E-3</v>
      </c>
      <c r="D40" s="39">
        <f t="shared" si="0"/>
        <v>1.7982271600000001E-3</v>
      </c>
      <c r="E40" s="26">
        <f t="shared" si="15"/>
        <v>1.1779528662224589E-3</v>
      </c>
      <c r="F40" s="26">
        <f t="shared" si="15"/>
        <v>2.3144086289201191E-3</v>
      </c>
      <c r="G40" s="39">
        <f t="shared" si="15"/>
        <v>1.7507265706220797E-3</v>
      </c>
      <c r="H40" s="26">
        <f t="shared" si="2"/>
        <v>1.088838220500783E-3</v>
      </c>
      <c r="I40" s="26">
        <f t="shared" si="3"/>
        <v>9.3064112780102045E-5</v>
      </c>
      <c r="J40" s="26">
        <f t="shared" si="4"/>
        <v>2.1484891486624517E-4</v>
      </c>
      <c r="K40" s="26">
        <f t="shared" si="5"/>
        <v>4.2359983957697303E-4</v>
      </c>
      <c r="L40" s="14"/>
      <c r="O40" s="14"/>
      <c r="Q40" s="14"/>
      <c r="R40" s="28">
        <v>51</v>
      </c>
      <c r="S40" s="42">
        <v>2.6519999999999998E-3</v>
      </c>
      <c r="T40" s="42">
        <v>3.1540000000000001E-3</v>
      </c>
      <c r="U40" s="42">
        <v>2.9009999999999999E-3</v>
      </c>
      <c r="V40" s="37"/>
      <c r="W40" s="42">
        <v>1.3259999999999999E-3</v>
      </c>
      <c r="X40" s="42">
        <v>1.5770000000000001E-3</v>
      </c>
      <c r="Y40" s="42">
        <v>1.451E-3</v>
      </c>
      <c r="Z40" s="37"/>
      <c r="AA40" s="42">
        <v>6.6299999999999996E-4</v>
      </c>
      <c r="AB40" s="42">
        <v>7.8799999999999996E-4</v>
      </c>
      <c r="AC40" s="42">
        <v>7.2499999999999995E-4</v>
      </c>
      <c r="AD40" s="37"/>
      <c r="AE40" s="42">
        <v>2.2100000000000001E-4</v>
      </c>
      <c r="AF40" s="42">
        <v>2.63E-4</v>
      </c>
      <c r="AG40" s="42">
        <v>2.42E-4</v>
      </c>
      <c r="AH40" s="14"/>
      <c r="AI40" s="25">
        <f t="shared" si="16"/>
        <v>0.122</v>
      </c>
      <c r="AJ40" s="26">
        <f t="shared" si="7"/>
        <v>3.84788E-4</v>
      </c>
      <c r="AK40" s="26">
        <f t="shared" si="8"/>
        <v>3.2085999999999997E-5</v>
      </c>
      <c r="AL40" s="26">
        <f t="shared" si="9"/>
        <v>9.6135999999999989E-5</v>
      </c>
      <c r="AM40" s="26">
        <f t="shared" si="10"/>
        <v>1.92394E-4</v>
      </c>
      <c r="AN40" s="14"/>
      <c r="AS40" s="14"/>
      <c r="AU40" s="17">
        <v>32</v>
      </c>
      <c r="AV40" s="47">
        <f t="shared" si="17"/>
        <v>72</v>
      </c>
      <c r="AW40" s="48">
        <f t="shared" si="13"/>
        <v>5.8157800000000002E-4</v>
      </c>
      <c r="AX40" s="49">
        <f t="shared" si="14"/>
        <v>0</v>
      </c>
      <c r="AY40" s="50">
        <f t="shared" si="18"/>
        <v>0</v>
      </c>
    </row>
    <row r="41" spans="1:51" x14ac:dyDescent="0.25">
      <c r="A41" s="9">
        <v>52</v>
      </c>
      <c r="B41" s="38">
        <v>1.3058220000000001E-3</v>
      </c>
      <c r="C41" s="38">
        <v>2.5702619999999998E-3</v>
      </c>
      <c r="D41" s="39">
        <f t="shared" si="0"/>
        <v>1.94309976E-3</v>
      </c>
      <c r="E41" s="26">
        <f t="shared" si="15"/>
        <v>1.2713284076428172E-3</v>
      </c>
      <c r="F41" s="26">
        <f t="shared" si="15"/>
        <v>2.5023679304567101E-3</v>
      </c>
      <c r="G41" s="39">
        <f t="shared" si="15"/>
        <v>1.8917723271410193E-3</v>
      </c>
      <c r="H41" s="26">
        <f t="shared" si="2"/>
        <v>1.1772656783206074E-3</v>
      </c>
      <c r="I41" s="26">
        <f t="shared" si="3"/>
        <v>1.0062209775202648E-4</v>
      </c>
      <c r="J41" s="26">
        <f t="shared" si="4"/>
        <v>2.3215802997484554E-4</v>
      </c>
      <c r="K41" s="26">
        <f t="shared" si="5"/>
        <v>4.5772679054522497E-4</v>
      </c>
      <c r="L41" s="14"/>
      <c r="O41" s="14"/>
      <c r="Q41" s="14"/>
      <c r="R41" s="28">
        <v>52</v>
      </c>
      <c r="S41" s="42">
        <v>2.859E-3</v>
      </c>
      <c r="T41" s="42">
        <v>3.4550000000000002E-3</v>
      </c>
      <c r="U41" s="42">
        <v>3.1549999999999998E-3</v>
      </c>
      <c r="V41" s="37"/>
      <c r="W41" s="42">
        <v>1.4289999999999999E-3</v>
      </c>
      <c r="X41" s="42">
        <v>1.727E-3</v>
      </c>
      <c r="Y41" s="42">
        <v>1.5770000000000001E-3</v>
      </c>
      <c r="Z41" s="37"/>
      <c r="AA41" s="42">
        <v>7.1500000000000003E-4</v>
      </c>
      <c r="AB41" s="42">
        <v>8.6399999999999997E-4</v>
      </c>
      <c r="AC41" s="42">
        <v>7.8899999999999999E-4</v>
      </c>
      <c r="AD41" s="37"/>
      <c r="AE41" s="42">
        <v>2.3800000000000001E-4</v>
      </c>
      <c r="AF41" s="42">
        <v>2.8800000000000001E-4</v>
      </c>
      <c r="AG41" s="42">
        <v>2.63E-4</v>
      </c>
      <c r="AH41" s="14"/>
      <c r="AI41" s="25">
        <f t="shared" si="16"/>
        <v>0.122</v>
      </c>
      <c r="AJ41" s="26">
        <f t="shared" si="7"/>
        <v>4.2150999999999999E-4</v>
      </c>
      <c r="AK41" s="26">
        <f t="shared" si="8"/>
        <v>3.5135999999999997E-5</v>
      </c>
      <c r="AL41" s="26">
        <f t="shared" si="9"/>
        <v>1.0540799999999999E-4</v>
      </c>
      <c r="AM41" s="26">
        <f t="shared" si="10"/>
        <v>2.1069399999999999E-4</v>
      </c>
      <c r="AN41" s="14"/>
      <c r="AS41" s="14"/>
      <c r="AU41" s="17">
        <v>33</v>
      </c>
      <c r="AV41" s="47">
        <f t="shared" si="17"/>
        <v>73</v>
      </c>
      <c r="AW41" s="48">
        <f t="shared" si="13"/>
        <v>6.4894499999999995E-4</v>
      </c>
      <c r="AX41" s="49">
        <f t="shared" si="14"/>
        <v>0</v>
      </c>
      <c r="AY41" s="50">
        <f t="shared" si="18"/>
        <v>0</v>
      </c>
    </row>
    <row r="42" spans="1:51" x14ac:dyDescent="0.25">
      <c r="A42" s="9">
        <v>53</v>
      </c>
      <c r="B42" s="38">
        <v>1.4108339999999999E-3</v>
      </c>
      <c r="C42" s="38">
        <v>2.779714E-3</v>
      </c>
      <c r="D42" s="39">
        <f t="shared" si="0"/>
        <v>2.1007495199999999E-3</v>
      </c>
      <c r="E42" s="26">
        <f t="shared" si="15"/>
        <v>1.3735664911973808E-3</v>
      </c>
      <c r="F42" s="26">
        <f t="shared" si="15"/>
        <v>2.7062872070791008E-3</v>
      </c>
      <c r="G42" s="39">
        <f t="shared" si="15"/>
        <v>2.0452577320017678E-3</v>
      </c>
      <c r="H42" s="26">
        <f t="shared" si="2"/>
        <v>1.2732016766179048E-3</v>
      </c>
      <c r="I42" s="26">
        <f t="shared" si="3"/>
        <v>1.0882184533354055E-4</v>
      </c>
      <c r="J42" s="26">
        <f t="shared" si="4"/>
        <v>2.5099373695244674E-4</v>
      </c>
      <c r="K42" s="26">
        <f t="shared" si="5"/>
        <v>4.9486359646764709E-4</v>
      </c>
      <c r="L42" s="14"/>
      <c r="O42" s="14"/>
      <c r="Q42" s="14"/>
      <c r="R42" s="28">
        <v>53</v>
      </c>
      <c r="S42" s="42">
        <v>3.101E-3</v>
      </c>
      <c r="T42" s="42">
        <v>3.7910000000000001E-3</v>
      </c>
      <c r="U42" s="42">
        <v>3.4429999999999999E-3</v>
      </c>
      <c r="V42" s="37"/>
      <c r="W42" s="42">
        <v>1.5499999999999999E-3</v>
      </c>
      <c r="X42" s="42">
        <v>1.8959999999999999E-3</v>
      </c>
      <c r="Y42" s="42">
        <v>1.722E-3</v>
      </c>
      <c r="Z42" s="37"/>
      <c r="AA42" s="42">
        <v>7.7499999999999997E-4</v>
      </c>
      <c r="AB42" s="42">
        <v>9.4799999999999995E-4</v>
      </c>
      <c r="AC42" s="42">
        <v>8.61E-4</v>
      </c>
      <c r="AD42" s="37"/>
      <c r="AE42" s="42">
        <v>2.5799999999999998E-4</v>
      </c>
      <c r="AF42" s="42">
        <v>3.1599999999999998E-4</v>
      </c>
      <c r="AG42" s="42">
        <v>2.8699999999999998E-4</v>
      </c>
      <c r="AH42" s="14"/>
      <c r="AI42" s="25">
        <f t="shared" si="16"/>
        <v>0.122</v>
      </c>
      <c r="AJ42" s="26">
        <f t="shared" si="7"/>
        <v>4.62502E-4</v>
      </c>
      <c r="AK42" s="26">
        <f t="shared" si="8"/>
        <v>3.8552E-5</v>
      </c>
      <c r="AL42" s="26">
        <f t="shared" si="9"/>
        <v>1.1565599999999999E-4</v>
      </c>
      <c r="AM42" s="26">
        <f t="shared" si="10"/>
        <v>2.3131199999999998E-4</v>
      </c>
      <c r="AN42" s="14"/>
      <c r="AS42" s="14"/>
      <c r="AU42" s="17">
        <v>34</v>
      </c>
      <c r="AV42" s="47">
        <f t="shared" si="17"/>
        <v>74</v>
      </c>
      <c r="AW42" s="48">
        <f t="shared" si="13"/>
        <v>7.2475299999999996E-4</v>
      </c>
      <c r="AX42" s="49">
        <f t="shared" si="14"/>
        <v>0</v>
      </c>
      <c r="AY42" s="50">
        <f t="shared" si="18"/>
        <v>0</v>
      </c>
    </row>
    <row r="43" spans="1:51" x14ac:dyDescent="0.25">
      <c r="A43" s="9">
        <v>54</v>
      </c>
      <c r="B43" s="38">
        <v>1.5258100000000001E-3</v>
      </c>
      <c r="C43" s="38">
        <v>3.006945E-3</v>
      </c>
      <c r="D43" s="39">
        <f t="shared" si="0"/>
        <v>2.2723020400000002E-3</v>
      </c>
      <c r="E43" s="26">
        <f t="shared" si="15"/>
        <v>1.4855053733705565E-3</v>
      </c>
      <c r="F43" s="26">
        <f t="shared" si="15"/>
        <v>2.9275158472743842E-3</v>
      </c>
      <c r="G43" s="39">
        <f t="shared" si="15"/>
        <v>2.2122786522180858E-3</v>
      </c>
      <c r="H43" s="26">
        <f t="shared" si="2"/>
        <v>1.3772810495964068E-3</v>
      </c>
      <c r="I43" s="26">
        <f t="shared" si="3"/>
        <v>1.1771761545125258E-4</v>
      </c>
      <c r="J43" s="26">
        <f t="shared" si="4"/>
        <v>2.7149052044256479E-4</v>
      </c>
      <c r="K43" s="26">
        <f t="shared" si="5"/>
        <v>5.3527540959531978E-4</v>
      </c>
      <c r="L43" s="14"/>
      <c r="O43" s="14"/>
      <c r="Q43" s="14"/>
      <c r="R43" s="28">
        <v>54</v>
      </c>
      <c r="S43" s="42">
        <v>3.349E-3</v>
      </c>
      <c r="T43" s="42">
        <v>4.1809999999999998E-3</v>
      </c>
      <c r="U43" s="42">
        <v>3.7620000000000002E-3</v>
      </c>
      <c r="V43" s="37"/>
      <c r="W43" s="42">
        <v>1.6739999999999999E-3</v>
      </c>
      <c r="X43" s="42">
        <v>2.091E-3</v>
      </c>
      <c r="Y43" s="42">
        <v>1.8810000000000001E-3</v>
      </c>
      <c r="Z43" s="37"/>
      <c r="AA43" s="42">
        <v>8.3699999999999996E-4</v>
      </c>
      <c r="AB43" s="42">
        <v>1.0449999999999999E-3</v>
      </c>
      <c r="AC43" s="42">
        <v>9.3999999999999997E-4</v>
      </c>
      <c r="AD43" s="37"/>
      <c r="AE43" s="42">
        <v>2.7900000000000001E-4</v>
      </c>
      <c r="AF43" s="42">
        <v>3.48E-4</v>
      </c>
      <c r="AG43" s="42">
        <v>3.1300000000000002E-4</v>
      </c>
      <c r="AH43" s="14"/>
      <c r="AI43" s="25">
        <f t="shared" si="16"/>
        <v>0.122</v>
      </c>
      <c r="AJ43" s="26">
        <f t="shared" si="7"/>
        <v>5.1008199999999992E-4</v>
      </c>
      <c r="AK43" s="26">
        <f t="shared" si="8"/>
        <v>4.2456000000000001E-5</v>
      </c>
      <c r="AL43" s="26">
        <f t="shared" si="9"/>
        <v>1.2748999999999999E-4</v>
      </c>
      <c r="AM43" s="26">
        <f t="shared" si="10"/>
        <v>2.55102E-4</v>
      </c>
      <c r="AN43" s="14"/>
      <c r="AS43" s="14"/>
      <c r="AU43" s="17">
        <v>35</v>
      </c>
      <c r="AV43" s="47">
        <f t="shared" si="17"/>
        <v>75</v>
      </c>
      <c r="AW43" s="48">
        <f t="shared" si="13"/>
        <v>8.0628799999999995E-4</v>
      </c>
      <c r="AX43" s="49">
        <f t="shared" si="14"/>
        <v>0</v>
      </c>
      <c r="AY43" s="50">
        <f t="shared" si="18"/>
        <v>0</v>
      </c>
    </row>
    <row r="44" spans="1:51" x14ac:dyDescent="0.25">
      <c r="A44" s="9">
        <v>55</v>
      </c>
      <c r="B44" s="38">
        <v>1.651696E-3</v>
      </c>
      <c r="C44" s="38">
        <v>3.2534600000000001E-3</v>
      </c>
      <c r="D44" s="39">
        <f t="shared" si="0"/>
        <v>2.4589850560000001E-3</v>
      </c>
      <c r="E44" s="26">
        <f t="shared" si="15"/>
        <v>1.6080660653519472E-3</v>
      </c>
      <c r="F44" s="26">
        <f t="shared" si="15"/>
        <v>3.1675190961169284E-3</v>
      </c>
      <c r="G44" s="39">
        <f t="shared" si="15"/>
        <v>2.394030392857498E-3</v>
      </c>
      <c r="H44" s="26">
        <f t="shared" si="2"/>
        <v>1.490193137426832E-3</v>
      </c>
      <c r="I44" s="26">
        <f t="shared" si="3"/>
        <v>1.2736832671233835E-4</v>
      </c>
      <c r="J44" s="26">
        <f t="shared" si="4"/>
        <v>2.9379506811248095E-4</v>
      </c>
      <c r="K44" s="26">
        <f t="shared" si="5"/>
        <v>5.7925144187221268E-4</v>
      </c>
      <c r="L44" s="14"/>
      <c r="O44" s="14"/>
      <c r="Q44" s="14"/>
      <c r="R44" s="28">
        <v>55</v>
      </c>
      <c r="S44" s="42">
        <v>3.614E-3</v>
      </c>
      <c r="T44" s="42">
        <v>4.6119999999999998E-3</v>
      </c>
      <c r="U44" s="42">
        <v>4.1089999999999998E-3</v>
      </c>
      <c r="V44" s="37"/>
      <c r="W44" s="42">
        <v>1.807E-3</v>
      </c>
      <c r="X44" s="42">
        <v>2.3059999999999999E-3</v>
      </c>
      <c r="Y44" s="42">
        <v>2.055E-3</v>
      </c>
      <c r="Z44" s="37"/>
      <c r="AA44" s="42">
        <v>9.0399999999999996E-4</v>
      </c>
      <c r="AB44" s="42">
        <v>1.1529999999999999E-3</v>
      </c>
      <c r="AC44" s="42">
        <v>1.0269999999999999E-3</v>
      </c>
      <c r="AD44" s="37"/>
      <c r="AE44" s="42">
        <v>3.01E-4</v>
      </c>
      <c r="AF44" s="42">
        <v>3.8400000000000001E-4</v>
      </c>
      <c r="AG44" s="42">
        <v>3.4200000000000002E-4</v>
      </c>
      <c r="AH44" s="14"/>
      <c r="AI44" s="25">
        <f t="shared" si="16"/>
        <v>5.5E-2</v>
      </c>
      <c r="AJ44" s="26">
        <f t="shared" si="7"/>
        <v>2.5366000000000001E-4</v>
      </c>
      <c r="AK44" s="26">
        <f t="shared" si="8"/>
        <v>2.1120000000000001E-5</v>
      </c>
      <c r="AL44" s="26">
        <f t="shared" si="9"/>
        <v>6.3415000000000002E-5</v>
      </c>
      <c r="AM44" s="26">
        <f t="shared" si="10"/>
        <v>1.2683E-4</v>
      </c>
      <c r="AN44" s="14"/>
      <c r="AS44" s="14"/>
      <c r="AU44" s="17">
        <v>36</v>
      </c>
      <c r="AV44" s="47">
        <f t="shared" si="17"/>
        <v>76</v>
      </c>
      <c r="AW44" s="48">
        <f t="shared" si="13"/>
        <v>8.93343E-4</v>
      </c>
      <c r="AX44" s="49">
        <f t="shared" si="14"/>
        <v>0</v>
      </c>
      <c r="AY44" s="50">
        <f t="shared" si="18"/>
        <v>0</v>
      </c>
    </row>
    <row r="45" spans="1:51" x14ac:dyDescent="0.25">
      <c r="A45" s="9">
        <v>56</v>
      </c>
      <c r="B45" s="38">
        <v>1.789524E-3</v>
      </c>
      <c r="C45" s="38">
        <v>3.520891E-3</v>
      </c>
      <c r="D45" s="39">
        <f t="shared" si="0"/>
        <v>2.6621329679999998E-3</v>
      </c>
      <c r="E45" s="26">
        <f t="shared" si="15"/>
        <v>1.7422533066211205E-3</v>
      </c>
      <c r="F45" s="26">
        <f t="shared" si="15"/>
        <v>3.427885843946515E-3</v>
      </c>
      <c r="G45" s="39">
        <f t="shared" si="15"/>
        <v>2.591812105433119E-3</v>
      </c>
      <c r="H45" s="26">
        <f t="shared" si="2"/>
        <v>1.612685450513575E-3</v>
      </c>
      <c r="I45" s="26">
        <f t="shared" si="3"/>
        <v>1.3783786959315053E-4</v>
      </c>
      <c r="J45" s="26">
        <f t="shared" si="4"/>
        <v>3.1806681165045717E-4</v>
      </c>
      <c r="K45" s="26">
        <f t="shared" si="5"/>
        <v>6.2710603157465987E-4</v>
      </c>
      <c r="L45" s="14"/>
      <c r="O45" s="14"/>
      <c r="Q45" s="14"/>
      <c r="R45" s="28">
        <v>56</v>
      </c>
      <c r="S45" s="42">
        <v>3.8860000000000001E-3</v>
      </c>
      <c r="T45" s="42">
        <v>5.091E-3</v>
      </c>
      <c r="U45" s="42">
        <v>4.4840000000000001E-3</v>
      </c>
      <c r="V45" s="37"/>
      <c r="W45" s="42">
        <v>1.9430000000000001E-3</v>
      </c>
      <c r="X45" s="42">
        <v>2.5460000000000001E-3</v>
      </c>
      <c r="Y45" s="42">
        <v>2.2420000000000001E-3</v>
      </c>
      <c r="Z45" s="37"/>
      <c r="AA45" s="42">
        <v>9.7099999999999997E-4</v>
      </c>
      <c r="AB45" s="42">
        <v>1.273E-3</v>
      </c>
      <c r="AC45" s="42">
        <v>1.121E-3</v>
      </c>
      <c r="AD45" s="37"/>
      <c r="AE45" s="42">
        <v>3.2400000000000001E-4</v>
      </c>
      <c r="AF45" s="42">
        <v>4.2400000000000001E-4</v>
      </c>
      <c r="AG45" s="42">
        <v>3.7399999999999998E-4</v>
      </c>
      <c r="AH45" s="14"/>
      <c r="AI45" s="25">
        <f t="shared" si="16"/>
        <v>5.5E-2</v>
      </c>
      <c r="AJ45" s="26">
        <f t="shared" si="7"/>
        <v>2.80005E-4</v>
      </c>
      <c r="AK45" s="26">
        <f t="shared" si="8"/>
        <v>2.332E-5</v>
      </c>
      <c r="AL45" s="26">
        <f t="shared" si="9"/>
        <v>7.0015E-5</v>
      </c>
      <c r="AM45" s="26">
        <f t="shared" si="10"/>
        <v>1.4003E-4</v>
      </c>
      <c r="AN45" s="14"/>
      <c r="AS45" s="14"/>
      <c r="AU45" s="17">
        <v>37</v>
      </c>
      <c r="AV45" s="47">
        <f t="shared" si="17"/>
        <v>77</v>
      </c>
      <c r="AW45" s="48">
        <f t="shared" si="13"/>
        <v>9.8508999999999988E-4</v>
      </c>
      <c r="AX45" s="49">
        <f t="shared" si="14"/>
        <v>0</v>
      </c>
      <c r="AY45" s="50">
        <f t="shared" si="18"/>
        <v>0</v>
      </c>
    </row>
    <row r="46" spans="1:51" x14ac:dyDescent="0.25">
      <c r="A46" s="9">
        <v>57</v>
      </c>
      <c r="B46" s="38">
        <v>1.9404260000000001E-3</v>
      </c>
      <c r="C46" s="38">
        <v>3.811006E-3</v>
      </c>
      <c r="D46" s="39">
        <f t="shared" si="0"/>
        <v>2.88319832E-3</v>
      </c>
      <c r="E46" s="26">
        <f t="shared" si="15"/>
        <v>1.8891691951343453E-3</v>
      </c>
      <c r="F46" s="26">
        <f t="shared" si="15"/>
        <v>3.7103373886312389E-3</v>
      </c>
      <c r="G46" s="39">
        <f t="shared" si="15"/>
        <v>2.8070379646567799E-3</v>
      </c>
      <c r="H46" s="26">
        <f t="shared" si="2"/>
        <v>1.7455677917947296E-3</v>
      </c>
      <c r="I46" s="26">
        <f t="shared" si="3"/>
        <v>1.4919545877640469E-4</v>
      </c>
      <c r="J46" s="26">
        <f t="shared" si="4"/>
        <v>3.4447929837528489E-4</v>
      </c>
      <c r="K46" s="26">
        <f t="shared" si="5"/>
        <v>6.7918134760048784E-4</v>
      </c>
      <c r="L46" s="14"/>
      <c r="O46" s="14"/>
      <c r="Q46" s="14"/>
      <c r="R46" s="28">
        <v>57</v>
      </c>
      <c r="S46" s="42">
        <v>4.1580000000000002E-3</v>
      </c>
      <c r="T46" s="42">
        <v>5.5989999999999998E-3</v>
      </c>
      <c r="U46" s="42">
        <v>4.8729999999999997E-3</v>
      </c>
      <c r="V46" s="37"/>
      <c r="W46" s="42">
        <v>2.0790000000000001E-3</v>
      </c>
      <c r="X46" s="42">
        <v>2.8E-3</v>
      </c>
      <c r="Y46" s="42">
        <v>2.4359999999999998E-3</v>
      </c>
      <c r="Z46" s="37"/>
      <c r="AA46" s="42">
        <v>1.039E-3</v>
      </c>
      <c r="AB46" s="42">
        <v>1.4E-3</v>
      </c>
      <c r="AC46" s="42">
        <v>1.2179999999999999E-3</v>
      </c>
      <c r="AD46" s="37"/>
      <c r="AE46" s="42">
        <v>3.4600000000000001E-4</v>
      </c>
      <c r="AF46" s="42">
        <v>4.6700000000000002E-4</v>
      </c>
      <c r="AG46" s="42">
        <v>4.06E-4</v>
      </c>
      <c r="AH46" s="14"/>
      <c r="AI46" s="25">
        <f t="shared" si="16"/>
        <v>5.5E-2</v>
      </c>
      <c r="AJ46" s="26">
        <f t="shared" si="7"/>
        <v>3.0794500000000001E-4</v>
      </c>
      <c r="AK46" s="26">
        <f t="shared" si="8"/>
        <v>2.5685000000000002E-5</v>
      </c>
      <c r="AL46" s="26">
        <f t="shared" si="9"/>
        <v>7.7000000000000001E-5</v>
      </c>
      <c r="AM46" s="26">
        <f t="shared" si="10"/>
        <v>1.54E-4</v>
      </c>
      <c r="AN46" s="14"/>
      <c r="AS46" s="14"/>
      <c r="AU46" s="17">
        <v>38</v>
      </c>
      <c r="AV46" s="47">
        <f t="shared" si="17"/>
        <v>78</v>
      </c>
      <c r="AW46" s="48">
        <f t="shared" si="13"/>
        <v>1.080609E-3</v>
      </c>
      <c r="AX46" s="49">
        <f t="shared" si="14"/>
        <v>0</v>
      </c>
      <c r="AY46" s="50">
        <f t="shared" si="18"/>
        <v>0</v>
      </c>
    </row>
    <row r="47" spans="1:51" x14ac:dyDescent="0.25">
      <c r="A47" s="9">
        <v>58</v>
      </c>
      <c r="B47" s="38">
        <v>2.1056400000000002E-3</v>
      </c>
      <c r="C47" s="38">
        <v>4.1257209999999997E-3</v>
      </c>
      <c r="D47" s="39">
        <f t="shared" si="0"/>
        <v>3.1237608239999999E-3</v>
      </c>
      <c r="E47" s="26">
        <f t="shared" si="15"/>
        <v>2.050019028833196E-3</v>
      </c>
      <c r="F47" s="26">
        <f t="shared" si="15"/>
        <v>4.0167391185847159E-3</v>
      </c>
      <c r="G47" s="39">
        <f t="shared" si="15"/>
        <v>3.0412459540679619E-3</v>
      </c>
      <c r="H47" s="26">
        <f t="shared" si="2"/>
        <v>1.8897177531421213E-3</v>
      </c>
      <c r="I47" s="26">
        <f t="shared" si="3"/>
        <v>1.615161029340933E-4</v>
      </c>
      <c r="J47" s="26">
        <f t="shared" si="4"/>
        <v>3.7322126940741339E-4</v>
      </c>
      <c r="K47" s="26">
        <f t="shared" si="5"/>
        <v>7.3584951520987651E-4</v>
      </c>
      <c r="L47" s="14"/>
      <c r="O47" s="14"/>
      <c r="Q47" s="14"/>
      <c r="R47" s="28">
        <v>58</v>
      </c>
      <c r="S47" s="42">
        <v>4.4169999999999999E-3</v>
      </c>
      <c r="T47" s="42">
        <v>6.149E-3</v>
      </c>
      <c r="U47" s="42">
        <v>5.2760000000000003E-3</v>
      </c>
      <c r="V47" s="37"/>
      <c r="W47" s="42">
        <v>2.209E-3</v>
      </c>
      <c r="X47" s="42">
        <v>3.075E-3</v>
      </c>
      <c r="Y47" s="42">
        <v>2.6380000000000002E-3</v>
      </c>
      <c r="Z47" s="37"/>
      <c r="AA47" s="42">
        <v>1.1039999999999999E-3</v>
      </c>
      <c r="AB47" s="42">
        <v>1.537E-3</v>
      </c>
      <c r="AC47" s="42">
        <v>1.3190000000000001E-3</v>
      </c>
      <c r="AD47" s="37"/>
      <c r="AE47" s="42">
        <v>3.68E-4</v>
      </c>
      <c r="AF47" s="42">
        <v>5.1199999999999998E-4</v>
      </c>
      <c r="AG47" s="42">
        <v>4.4000000000000002E-4</v>
      </c>
      <c r="AH47" s="14"/>
      <c r="AI47" s="25">
        <f t="shared" si="16"/>
        <v>5.5E-2</v>
      </c>
      <c r="AJ47" s="26">
        <f t="shared" si="7"/>
        <v>3.3819500000000001E-4</v>
      </c>
      <c r="AK47" s="26">
        <f t="shared" si="8"/>
        <v>2.8159999999999998E-5</v>
      </c>
      <c r="AL47" s="26">
        <f t="shared" si="9"/>
        <v>8.4535000000000003E-5</v>
      </c>
      <c r="AM47" s="26">
        <f t="shared" si="10"/>
        <v>1.69125E-4</v>
      </c>
      <c r="AN47" s="14"/>
      <c r="AS47" s="14"/>
      <c r="AU47" s="17">
        <v>39</v>
      </c>
      <c r="AV47" s="47">
        <f t="shared" si="17"/>
        <v>79</v>
      </c>
      <c r="AW47" s="48">
        <f t="shared" si="13"/>
        <v>1.182315E-3</v>
      </c>
      <c r="AX47" s="49">
        <f t="shared" si="14"/>
        <v>0</v>
      </c>
      <c r="AY47" s="50">
        <f t="shared" si="18"/>
        <v>0</v>
      </c>
    </row>
    <row r="48" spans="1:51" x14ac:dyDescent="0.25">
      <c r="A48" s="9">
        <v>59</v>
      </c>
      <c r="B48" s="38">
        <v>2.2865199999999998E-3</v>
      </c>
      <c r="C48" s="38">
        <v>4.467113E-3</v>
      </c>
      <c r="D48" s="39">
        <f t="shared" si="0"/>
        <v>3.3855388719999996E-3</v>
      </c>
      <c r="E48" s="26">
        <f t="shared" si="15"/>
        <v>2.22612104149222E-3</v>
      </c>
      <c r="F48" s="26">
        <f t="shared" si="15"/>
        <v>4.3491131693680516E-3</v>
      </c>
      <c r="G48" s="39">
        <f t="shared" si="15"/>
        <v>3.2961090739416386E-3</v>
      </c>
      <c r="H48" s="26">
        <f t="shared" si="2"/>
        <v>2.0460866697946762E-3</v>
      </c>
      <c r="I48" s="26">
        <f t="shared" si="3"/>
        <v>1.7488111365897654E-4</v>
      </c>
      <c r="J48" s="26">
        <f t="shared" si="4"/>
        <v>4.0449803510180085E-4</v>
      </c>
      <c r="K48" s="26">
        <f t="shared" si="5"/>
        <v>7.9751532785257554E-4</v>
      </c>
      <c r="L48" s="14"/>
      <c r="O48" s="14"/>
      <c r="Q48" s="14"/>
      <c r="R48" s="28">
        <v>59</v>
      </c>
      <c r="S48" s="42">
        <v>4.6950000000000004E-3</v>
      </c>
      <c r="T48" s="42">
        <v>6.77E-3</v>
      </c>
      <c r="U48" s="42">
        <v>5.7239999999999999E-3</v>
      </c>
      <c r="V48" s="37"/>
      <c r="W48" s="42">
        <v>2.3479999999999998E-3</v>
      </c>
      <c r="X48" s="42">
        <v>3.385E-3</v>
      </c>
      <c r="Y48" s="42">
        <v>2.862E-3</v>
      </c>
      <c r="Z48" s="37"/>
      <c r="AA48" s="42">
        <v>1.1739999999999999E-3</v>
      </c>
      <c r="AB48" s="42">
        <v>1.6930000000000001E-3</v>
      </c>
      <c r="AC48" s="42">
        <v>1.431E-3</v>
      </c>
      <c r="AD48" s="37"/>
      <c r="AE48" s="42">
        <v>3.9100000000000002E-4</v>
      </c>
      <c r="AF48" s="42">
        <v>5.6400000000000005E-4</v>
      </c>
      <c r="AG48" s="42">
        <v>4.7699999999999999E-4</v>
      </c>
      <c r="AH48" s="14"/>
      <c r="AI48" s="25">
        <f t="shared" si="16"/>
        <v>5.5E-2</v>
      </c>
      <c r="AJ48" s="26">
        <f t="shared" si="7"/>
        <v>3.7235000000000002E-4</v>
      </c>
      <c r="AK48" s="26">
        <f t="shared" si="8"/>
        <v>3.1020000000000005E-5</v>
      </c>
      <c r="AL48" s="26">
        <f t="shared" si="9"/>
        <v>9.3115000000000005E-5</v>
      </c>
      <c r="AM48" s="26">
        <f t="shared" si="10"/>
        <v>1.8617500000000001E-4</v>
      </c>
      <c r="AN48" s="14"/>
      <c r="AS48" s="14"/>
      <c r="AU48" s="17">
        <v>40</v>
      </c>
      <c r="AV48" s="47">
        <f t="shared" si="17"/>
        <v>80</v>
      </c>
      <c r="AW48" s="48">
        <f t="shared" si="13"/>
        <v>1.2942330000000001E-3</v>
      </c>
      <c r="AX48" s="49">
        <f t="shared" si="14"/>
        <v>0</v>
      </c>
      <c r="AY48" s="50">
        <f t="shared" si="18"/>
        <v>0</v>
      </c>
    </row>
    <row r="49" spans="1:51" x14ac:dyDescent="0.25">
      <c r="A49" s="9">
        <v>60</v>
      </c>
      <c r="B49" s="38">
        <v>2.4845480000000001E-3</v>
      </c>
      <c r="C49" s="38">
        <v>4.8374339999999998E-3</v>
      </c>
      <c r="D49" s="39">
        <f t="shared" si="0"/>
        <v>3.6704025440000001E-3</v>
      </c>
      <c r="E49" s="26">
        <f t="shared" si="15"/>
        <v>2.4189180857361464E-3</v>
      </c>
      <c r="F49" s="26">
        <f t="shared" si="15"/>
        <v>4.7096520538765793E-3</v>
      </c>
      <c r="G49" s="39">
        <f t="shared" si="15"/>
        <v>3.5734480056789251E-3</v>
      </c>
      <c r="H49" s="26">
        <f t="shared" si="2"/>
        <v>2.2157060328251241E-3</v>
      </c>
      <c r="I49" s="26">
        <f t="shared" si="3"/>
        <v>1.8937865354464893E-4</v>
      </c>
      <c r="J49" s="26">
        <f t="shared" si="4"/>
        <v>4.3853302922012687E-4</v>
      </c>
      <c r="K49" s="26">
        <f t="shared" si="5"/>
        <v>8.6461931140074304E-4</v>
      </c>
      <c r="L49" s="14"/>
      <c r="O49" s="14"/>
      <c r="Q49" s="14"/>
      <c r="R49" s="28">
        <v>60</v>
      </c>
      <c r="S49" s="42">
        <v>5.0200000000000002E-3</v>
      </c>
      <c r="T49" s="42">
        <v>7.463E-3</v>
      </c>
      <c r="U49" s="42">
        <v>6.2319999999999997E-3</v>
      </c>
      <c r="V49" s="37"/>
      <c r="W49" s="42">
        <v>2.5100000000000001E-3</v>
      </c>
      <c r="X49" s="42">
        <v>3.7309999999999999E-3</v>
      </c>
      <c r="Y49" s="42">
        <v>3.1159999999999998E-3</v>
      </c>
      <c r="Z49" s="37"/>
      <c r="AA49" s="42">
        <v>1.255E-3</v>
      </c>
      <c r="AB49" s="42">
        <v>1.866E-3</v>
      </c>
      <c r="AC49" s="42">
        <v>1.5579999999999999E-3</v>
      </c>
      <c r="AD49" s="37"/>
      <c r="AE49" s="42">
        <v>4.1800000000000002E-4</v>
      </c>
      <c r="AF49" s="42">
        <v>6.2200000000000005E-4</v>
      </c>
      <c r="AG49" s="42">
        <v>5.1900000000000004E-4</v>
      </c>
      <c r="AH49" s="14"/>
      <c r="AI49" s="25">
        <f t="shared" si="16"/>
        <v>5.5E-2</v>
      </c>
      <c r="AJ49" s="26">
        <f t="shared" si="7"/>
        <v>4.1046499999999999E-4</v>
      </c>
      <c r="AK49" s="26">
        <f t="shared" si="8"/>
        <v>3.4210000000000006E-5</v>
      </c>
      <c r="AL49" s="26">
        <f t="shared" si="9"/>
        <v>1.0263E-4</v>
      </c>
      <c r="AM49" s="26">
        <f t="shared" si="10"/>
        <v>2.05205E-4</v>
      </c>
      <c r="AN49" s="14"/>
      <c r="AS49" s="14"/>
      <c r="AU49" s="17">
        <v>41</v>
      </c>
      <c r="AV49" s="47">
        <f t="shared" si="17"/>
        <v>81</v>
      </c>
      <c r="AW49" s="48">
        <f t="shared" si="13"/>
        <v>1.4193070000000001E-3</v>
      </c>
      <c r="AX49" s="49">
        <f t="shared" si="14"/>
        <v>0</v>
      </c>
      <c r="AY49" s="50">
        <f t="shared" si="18"/>
        <v>0</v>
      </c>
    </row>
    <row r="50" spans="1:51" x14ac:dyDescent="0.25">
      <c r="A50" s="9">
        <v>61</v>
      </c>
      <c r="B50" s="38">
        <v>2.7013470000000002E-3</v>
      </c>
      <c r="C50" s="38">
        <v>5.239123E-3</v>
      </c>
      <c r="D50" s="39">
        <f t="shared" si="0"/>
        <v>3.9803861040000003E-3</v>
      </c>
      <c r="E50" s="26">
        <f t="shared" si="15"/>
        <v>2.6299902896418513E-3</v>
      </c>
      <c r="F50" s="26">
        <f t="shared" si="15"/>
        <v>5.1007303453570697E-3</v>
      </c>
      <c r="G50" s="39">
        <f t="shared" si="15"/>
        <v>3.8752432777223213E-3</v>
      </c>
      <c r="H50" s="26">
        <f t="shared" si="2"/>
        <v>2.3996929855400334E-3</v>
      </c>
      <c r="I50" s="26">
        <f t="shared" si="3"/>
        <v>2.0510420596845394E-4</v>
      </c>
      <c r="J50" s="26">
        <f t="shared" si="4"/>
        <v>4.7556930193017516E-4</v>
      </c>
      <c r="K50" s="26">
        <f t="shared" si="5"/>
        <v>9.3764066777237017E-4</v>
      </c>
      <c r="L50" s="14"/>
      <c r="O50" s="14"/>
      <c r="Q50" s="14"/>
      <c r="R50" s="28">
        <v>61</v>
      </c>
      <c r="S50" s="42">
        <v>5.4039999999999999E-3</v>
      </c>
      <c r="T50" s="42">
        <v>8.2330000000000007E-3</v>
      </c>
      <c r="U50" s="42">
        <v>6.8069999999999997E-3</v>
      </c>
      <c r="V50" s="37"/>
      <c r="W50" s="42">
        <v>2.702E-3</v>
      </c>
      <c r="X50" s="42">
        <v>4.1159999999999999E-3</v>
      </c>
      <c r="Y50" s="42">
        <v>3.4039999999999999E-3</v>
      </c>
      <c r="Z50" s="37"/>
      <c r="AA50" s="42">
        <v>1.351E-3</v>
      </c>
      <c r="AB50" s="42">
        <v>2.0579999999999999E-3</v>
      </c>
      <c r="AC50" s="42">
        <v>1.702E-3</v>
      </c>
      <c r="AD50" s="37"/>
      <c r="AE50" s="42">
        <v>4.4999999999999999E-4</v>
      </c>
      <c r="AF50" s="42">
        <v>6.8599999999999998E-4</v>
      </c>
      <c r="AG50" s="42">
        <v>5.6700000000000001E-4</v>
      </c>
      <c r="AH50" s="14"/>
      <c r="AI50" s="25">
        <f t="shared" si="16"/>
        <v>5.5E-2</v>
      </c>
      <c r="AJ50" s="26">
        <f t="shared" si="7"/>
        <v>4.5281500000000002E-4</v>
      </c>
      <c r="AK50" s="26">
        <f t="shared" si="8"/>
        <v>3.773E-5</v>
      </c>
      <c r="AL50" s="26">
        <f t="shared" si="9"/>
        <v>1.1318999999999999E-4</v>
      </c>
      <c r="AM50" s="26">
        <f t="shared" si="10"/>
        <v>2.2637999999999998E-4</v>
      </c>
      <c r="AN50" s="14"/>
      <c r="AS50" s="14"/>
      <c r="AU50" s="17">
        <v>42</v>
      </c>
      <c r="AV50" s="47">
        <f t="shared" si="17"/>
        <v>82</v>
      </c>
      <c r="AW50" s="48">
        <f t="shared" si="13"/>
        <v>1.56124E-3</v>
      </c>
      <c r="AX50" s="49">
        <f t="shared" si="14"/>
        <v>0</v>
      </c>
      <c r="AY50" s="50">
        <f t="shared" si="18"/>
        <v>0</v>
      </c>
    </row>
    <row r="51" spans="1:51" x14ac:dyDescent="0.25">
      <c r="A51" s="9">
        <v>62</v>
      </c>
      <c r="B51" s="38">
        <v>2.9386909999999998E-3</v>
      </c>
      <c r="C51" s="38">
        <v>5.6748220000000004E-3</v>
      </c>
      <c r="D51" s="39">
        <f t="shared" si="0"/>
        <v>4.3177010240000001E-3</v>
      </c>
      <c r="E51" s="26">
        <f t="shared" si="15"/>
        <v>2.8610647925860319E-3</v>
      </c>
      <c r="F51" s="26">
        <f t="shared" si="15"/>
        <v>5.5249202547639929E-3</v>
      </c>
      <c r="G51" s="39">
        <f t="shared" si="15"/>
        <v>4.2036479455237249E-3</v>
      </c>
      <c r="H51" s="26">
        <f t="shared" si="2"/>
        <v>2.5992576520131828E-3</v>
      </c>
      <c r="I51" s="26">
        <f t="shared" si="3"/>
        <v>2.2216120146870258E-4</v>
      </c>
      <c r="J51" s="26">
        <f t="shared" si="4"/>
        <v>5.1587107588969773E-4</v>
      </c>
      <c r="K51" s="26">
        <f t="shared" si="5"/>
        <v>1.0171003429331655E-3</v>
      </c>
      <c r="L51" s="14"/>
      <c r="O51" s="14"/>
      <c r="Q51" s="14"/>
      <c r="R51" s="28">
        <v>62</v>
      </c>
      <c r="S51" s="42">
        <v>5.8890000000000001E-3</v>
      </c>
      <c r="T51" s="42">
        <v>9.1090000000000008E-3</v>
      </c>
      <c r="U51" s="42">
        <v>7.4859999999999996E-3</v>
      </c>
      <c r="V51" s="37"/>
      <c r="W51" s="42">
        <v>2.9450000000000001E-3</v>
      </c>
      <c r="X51" s="42">
        <v>4.555E-3</v>
      </c>
      <c r="Y51" s="42">
        <v>3.7429999999999998E-3</v>
      </c>
      <c r="Z51" s="37"/>
      <c r="AA51" s="42">
        <v>1.472E-3</v>
      </c>
      <c r="AB51" s="42">
        <v>2.2769999999999999E-3</v>
      </c>
      <c r="AC51" s="42">
        <v>1.872E-3</v>
      </c>
      <c r="AD51" s="37"/>
      <c r="AE51" s="42">
        <v>4.9100000000000001E-4</v>
      </c>
      <c r="AF51" s="42">
        <v>7.5900000000000002E-4</v>
      </c>
      <c r="AG51" s="42">
        <v>6.2399999999999999E-4</v>
      </c>
      <c r="AH51" s="14"/>
      <c r="AI51" s="25">
        <f t="shared" si="16"/>
        <v>5.5E-2</v>
      </c>
      <c r="AJ51" s="26">
        <f t="shared" si="7"/>
        <v>5.0099500000000006E-4</v>
      </c>
      <c r="AK51" s="26">
        <f t="shared" si="8"/>
        <v>4.1745000000000001E-5</v>
      </c>
      <c r="AL51" s="26">
        <f t="shared" si="9"/>
        <v>1.2523499999999999E-4</v>
      </c>
      <c r="AM51" s="26">
        <f t="shared" si="10"/>
        <v>2.5052499999999998E-4</v>
      </c>
      <c r="AN51" s="14"/>
      <c r="AS51" s="14"/>
      <c r="AU51" s="17">
        <v>43</v>
      </c>
      <c r="AV51" s="47">
        <f t="shared" si="17"/>
        <v>83</v>
      </c>
      <c r="AW51" s="48">
        <f t="shared" si="13"/>
        <v>1.7219640000000001E-3</v>
      </c>
      <c r="AX51" s="49">
        <f t="shared" si="14"/>
        <v>0</v>
      </c>
      <c r="AY51" s="50">
        <f t="shared" si="18"/>
        <v>0</v>
      </c>
    </row>
    <row r="52" spans="1:51" x14ac:dyDescent="0.25">
      <c r="A52" s="9">
        <v>63</v>
      </c>
      <c r="B52" s="38">
        <v>3.1985220000000001E-3</v>
      </c>
      <c r="C52" s="38">
        <v>6.1473930000000001E-3</v>
      </c>
      <c r="D52" s="39">
        <f t="shared" si="0"/>
        <v>4.6847529839999999E-3</v>
      </c>
      <c r="E52" s="26">
        <f t="shared" si="15"/>
        <v>3.1140322961862479E-3</v>
      </c>
      <c r="F52" s="26">
        <f t="shared" si="15"/>
        <v>5.9850081817005695E-3</v>
      </c>
      <c r="G52" s="39">
        <f t="shared" si="15"/>
        <v>4.5610041424854657E-3</v>
      </c>
      <c r="H52" s="26">
        <f t="shared" si="2"/>
        <v>2.8157109236522796E-3</v>
      </c>
      <c r="I52" s="26">
        <f t="shared" si="3"/>
        <v>2.4066168327046945E-4</v>
      </c>
      <c r="J52" s="26">
        <f t="shared" si="4"/>
        <v>5.5972577737553684E-4</v>
      </c>
      <c r="K52" s="26">
        <f t="shared" si="5"/>
        <v>1.1035650315058892E-3</v>
      </c>
      <c r="L52" s="14"/>
      <c r="O52" s="14"/>
      <c r="Q52" s="14"/>
      <c r="R52" s="28">
        <v>63</v>
      </c>
      <c r="S52" s="42">
        <v>6.4980000000000003E-3</v>
      </c>
      <c r="T52" s="42">
        <v>1.0111E-2</v>
      </c>
      <c r="U52" s="42">
        <v>8.2900000000000005E-3</v>
      </c>
      <c r="V52" s="37"/>
      <c r="W52" s="42">
        <v>3.2490000000000002E-3</v>
      </c>
      <c r="X52" s="42">
        <v>5.0559999999999997E-3</v>
      </c>
      <c r="Y52" s="42">
        <v>4.1450000000000002E-3</v>
      </c>
      <c r="Z52" s="37"/>
      <c r="AA52" s="42">
        <v>1.6249999999999999E-3</v>
      </c>
      <c r="AB52" s="42">
        <v>2.5279999999999999E-3</v>
      </c>
      <c r="AC52" s="42">
        <v>2.0730000000000002E-3</v>
      </c>
      <c r="AD52" s="37"/>
      <c r="AE52" s="42">
        <v>5.4199999999999995E-4</v>
      </c>
      <c r="AF52" s="42">
        <v>8.43E-4</v>
      </c>
      <c r="AG52" s="42">
        <v>6.9099999999999999E-4</v>
      </c>
      <c r="AH52" s="14"/>
      <c r="AI52" s="25">
        <f t="shared" si="16"/>
        <v>5.5E-2</v>
      </c>
      <c r="AJ52" s="26">
        <f t="shared" si="7"/>
        <v>5.5610499999999999E-4</v>
      </c>
      <c r="AK52" s="26">
        <f t="shared" si="8"/>
        <v>4.6365000000000001E-5</v>
      </c>
      <c r="AL52" s="26">
        <f t="shared" si="9"/>
        <v>1.3904E-4</v>
      </c>
      <c r="AM52" s="26">
        <f t="shared" si="10"/>
        <v>2.7807999999999999E-4</v>
      </c>
      <c r="AN52" s="14"/>
      <c r="AS52" s="14"/>
      <c r="AU52" s="17">
        <v>44</v>
      </c>
      <c r="AV52" s="47">
        <f t="shared" si="17"/>
        <v>84</v>
      </c>
      <c r="AW52" s="48">
        <f t="shared" si="13"/>
        <v>1.898673E-3</v>
      </c>
      <c r="AX52" s="49">
        <f t="shared" si="14"/>
        <v>0</v>
      </c>
      <c r="AY52" s="50">
        <f t="shared" si="18"/>
        <v>0</v>
      </c>
    </row>
    <row r="53" spans="1:51" x14ac:dyDescent="0.25">
      <c r="A53" s="9">
        <v>64</v>
      </c>
      <c r="B53" s="38">
        <v>3.482962E-3</v>
      </c>
      <c r="C53" s="38">
        <v>6.6599379999999998E-3</v>
      </c>
      <c r="D53" s="39">
        <f t="shared" si="0"/>
        <v>5.0841579040000005E-3</v>
      </c>
      <c r="E53" s="26">
        <f t="shared" si="15"/>
        <v>3.3909587473181196E-3</v>
      </c>
      <c r="F53" s="26">
        <f t="shared" si="15"/>
        <v>6.4840141861141013E-3</v>
      </c>
      <c r="G53" s="39">
        <f t="shared" si="15"/>
        <v>4.9498586884712953E-3</v>
      </c>
      <c r="H53" s="26">
        <f t="shared" si="2"/>
        <v>3.0504736198656754E-3</v>
      </c>
      <c r="I53" s="26">
        <f t="shared" si="3"/>
        <v>2.6072709025711611E-4</v>
      </c>
      <c r="J53" s="26">
        <f t="shared" si="4"/>
        <v>6.0744595175786552E-4</v>
      </c>
      <c r="K53" s="26">
        <f t="shared" si="5"/>
        <v>1.1976509533525228E-3</v>
      </c>
      <c r="L53" s="14"/>
      <c r="O53" s="14"/>
      <c r="Q53" s="14"/>
      <c r="R53" s="28">
        <v>64</v>
      </c>
      <c r="S53" s="42">
        <v>7.2199999999999999E-3</v>
      </c>
      <c r="T53" s="42">
        <v>1.1245E-2</v>
      </c>
      <c r="U53" s="42">
        <v>9.2160000000000002E-3</v>
      </c>
      <c r="V53" s="37"/>
      <c r="W53" s="42">
        <v>3.6099999999999999E-3</v>
      </c>
      <c r="X53" s="42">
        <v>5.6220000000000003E-3</v>
      </c>
      <c r="Y53" s="42">
        <v>4.6080000000000001E-3</v>
      </c>
      <c r="Z53" s="37"/>
      <c r="AA53" s="42">
        <v>1.805E-3</v>
      </c>
      <c r="AB53" s="42">
        <v>2.8110000000000001E-3</v>
      </c>
      <c r="AC53" s="42">
        <v>2.3040000000000001E-3</v>
      </c>
      <c r="AD53" s="37"/>
      <c r="AE53" s="42">
        <v>6.02E-4</v>
      </c>
      <c r="AF53" s="42">
        <v>9.3700000000000001E-4</v>
      </c>
      <c r="AG53" s="42">
        <v>7.6800000000000002E-4</v>
      </c>
      <c r="AH53" s="14"/>
      <c r="AI53" s="25">
        <f t="shared" si="16"/>
        <v>5.5E-2</v>
      </c>
      <c r="AJ53" s="26">
        <f t="shared" si="7"/>
        <v>6.1847499999999995E-4</v>
      </c>
      <c r="AK53" s="26">
        <f t="shared" si="8"/>
        <v>5.1535E-5</v>
      </c>
      <c r="AL53" s="26">
        <f t="shared" si="9"/>
        <v>1.5460500000000001E-4</v>
      </c>
      <c r="AM53" s="26">
        <f t="shared" si="10"/>
        <v>3.0921000000000003E-4</v>
      </c>
      <c r="AN53" s="14"/>
      <c r="AS53" s="14"/>
      <c r="AU53" s="17">
        <v>45</v>
      </c>
      <c r="AV53" s="47">
        <f t="shared" si="17"/>
        <v>85</v>
      </c>
      <c r="AW53" s="48">
        <f t="shared" si="13"/>
        <v>2.0875259999999997E-3</v>
      </c>
      <c r="AX53" s="49">
        <f t="shared" si="14"/>
        <v>0</v>
      </c>
      <c r="AY53" s="50">
        <f t="shared" si="18"/>
        <v>0</v>
      </c>
    </row>
    <row r="54" spans="1:51" x14ac:dyDescent="0.25">
      <c r="A54" s="9">
        <v>65</v>
      </c>
      <c r="B54" s="38">
        <v>3.7943339999999999E-3</v>
      </c>
      <c r="C54" s="38">
        <v>7.2158140000000001E-3</v>
      </c>
      <c r="D54" s="39">
        <f t="shared" si="0"/>
        <v>5.5187599199999996E-3</v>
      </c>
      <c r="E54" s="26">
        <f t="shared" si="15"/>
        <v>3.6941057833954401E-3</v>
      </c>
      <c r="F54" s="26">
        <f t="shared" si="15"/>
        <v>7.0252065920674844E-3</v>
      </c>
      <c r="G54" s="39">
        <f t="shared" si="15"/>
        <v>5.3729805909661504E-3</v>
      </c>
      <c r="H54" s="26">
        <f t="shared" si="2"/>
        <v>3.3050833585624097E-3</v>
      </c>
      <c r="I54" s="26">
        <f t="shared" si="3"/>
        <v>2.8248884419893429E-4</v>
      </c>
      <c r="J54" s="26">
        <f t="shared" si="4"/>
        <v>6.5937141124001596E-4</v>
      </c>
      <c r="K54" s="26">
        <f t="shared" si="5"/>
        <v>1.3000280880952927E-3</v>
      </c>
      <c r="L54" s="14"/>
      <c r="O54" s="14"/>
      <c r="Q54" s="14"/>
      <c r="R54" s="28">
        <v>65</v>
      </c>
      <c r="S54" s="42">
        <v>8.0020000000000004E-3</v>
      </c>
      <c r="T54" s="42">
        <v>1.2496999999999999E-2</v>
      </c>
      <c r="U54" s="42">
        <v>1.0232E-2</v>
      </c>
      <c r="V54" s="37"/>
      <c r="W54" s="42">
        <v>4.0010000000000002E-3</v>
      </c>
      <c r="X54" s="42">
        <v>6.2490000000000002E-3</v>
      </c>
      <c r="Y54" s="42">
        <v>5.1159999999999999E-3</v>
      </c>
      <c r="Z54" s="37"/>
      <c r="AA54" s="42">
        <v>2E-3</v>
      </c>
      <c r="AB54" s="42">
        <v>3.124E-3</v>
      </c>
      <c r="AC54" s="42">
        <v>2.5579999999999999E-3</v>
      </c>
      <c r="AD54" s="37"/>
      <c r="AE54" s="42">
        <v>6.6699999999999995E-4</v>
      </c>
      <c r="AF54" s="42">
        <v>1.041E-3</v>
      </c>
      <c r="AG54" s="42">
        <v>8.5300000000000003E-4</v>
      </c>
      <c r="AH54" s="14"/>
      <c r="AI54" s="25">
        <f t="shared" si="16"/>
        <v>2.3E-2</v>
      </c>
      <c r="AJ54" s="26">
        <f t="shared" si="7"/>
        <v>2.8743099999999999E-4</v>
      </c>
      <c r="AK54" s="26">
        <f t="shared" si="8"/>
        <v>2.3943000000000001E-5</v>
      </c>
      <c r="AL54" s="26">
        <f t="shared" si="9"/>
        <v>7.1852000000000003E-5</v>
      </c>
      <c r="AM54" s="26">
        <f t="shared" si="10"/>
        <v>1.4372700000000001E-4</v>
      </c>
      <c r="AN54" s="14"/>
      <c r="AS54" s="14"/>
      <c r="AU54" s="17">
        <v>46</v>
      </c>
      <c r="AV54" s="47">
        <f t="shared" si="17"/>
        <v>86</v>
      </c>
      <c r="AW54" s="48">
        <f t="shared" si="13"/>
        <v>2.2850499999999998E-3</v>
      </c>
      <c r="AX54" s="49">
        <f t="shared" si="14"/>
        <v>0</v>
      </c>
      <c r="AY54" s="50">
        <f t="shared" si="18"/>
        <v>0</v>
      </c>
    </row>
    <row r="55" spans="1:51" x14ac:dyDescent="0.25">
      <c r="A55" s="9">
        <v>66</v>
      </c>
      <c r="B55" s="38">
        <v>4.1351800000000005E-3</v>
      </c>
      <c r="C55" s="38">
        <v>7.8186569999999997E-3</v>
      </c>
      <c r="D55" s="39">
        <f t="shared" si="0"/>
        <v>5.9916524080000002E-3</v>
      </c>
      <c r="E55" s="26">
        <f t="shared" si="15"/>
        <v>4.0259482568959816E-3</v>
      </c>
      <c r="F55" s="26">
        <f t="shared" si="15"/>
        <v>7.6121253537736119E-3</v>
      </c>
      <c r="G55" s="39">
        <f t="shared" si="15"/>
        <v>5.8333815137223072E-3</v>
      </c>
      <c r="H55" s="26">
        <f t="shared" si="2"/>
        <v>3.5812055489522726E-3</v>
      </c>
      <c r="I55" s="26">
        <f t="shared" si="3"/>
        <v>3.060892893189746E-4</v>
      </c>
      <c r="J55" s="26">
        <f t="shared" si="4"/>
        <v>7.1587174676781369E-4</v>
      </c>
      <c r="K55" s="26">
        <f t="shared" si="5"/>
        <v>1.4114251276405947E-3</v>
      </c>
      <c r="L55" s="14"/>
      <c r="O55" s="14"/>
      <c r="Q55" s="14"/>
      <c r="R55" s="28">
        <v>66</v>
      </c>
      <c r="S55" s="42">
        <v>8.8430000000000002E-3</v>
      </c>
      <c r="T55" s="42">
        <v>1.3847E-2</v>
      </c>
      <c r="U55" s="42">
        <v>1.1325E-2</v>
      </c>
      <c r="V55" s="37"/>
      <c r="W55" s="42">
        <v>4.4209999999999996E-3</v>
      </c>
      <c r="X55" s="42">
        <v>6.9230000000000003E-3</v>
      </c>
      <c r="Y55" s="42">
        <v>5.6620000000000004E-3</v>
      </c>
      <c r="Z55" s="37"/>
      <c r="AA55" s="42">
        <v>2.2109999999999999E-3</v>
      </c>
      <c r="AB55" s="42">
        <v>3.4619999999999998E-3</v>
      </c>
      <c r="AC55" s="42">
        <v>2.8310000000000002E-3</v>
      </c>
      <c r="AD55" s="37"/>
      <c r="AE55" s="42">
        <v>7.3700000000000002E-4</v>
      </c>
      <c r="AF55" s="42">
        <v>1.1540000000000001E-3</v>
      </c>
      <c r="AG55" s="42">
        <v>9.4399999999999996E-4</v>
      </c>
      <c r="AH55" s="14"/>
      <c r="AI55" s="25">
        <f t="shared" si="16"/>
        <v>2.3E-2</v>
      </c>
      <c r="AJ55" s="26">
        <f t="shared" si="7"/>
        <v>3.1848100000000002E-4</v>
      </c>
      <c r="AK55" s="26">
        <f t="shared" si="8"/>
        <v>2.6542000000000001E-5</v>
      </c>
      <c r="AL55" s="26">
        <f t="shared" si="9"/>
        <v>7.9626E-5</v>
      </c>
      <c r="AM55" s="26">
        <f t="shared" si="10"/>
        <v>1.5922900000000002E-4</v>
      </c>
      <c r="AN55" s="14"/>
      <c r="AS55" s="14"/>
      <c r="AU55" s="17">
        <v>47</v>
      </c>
      <c r="AV55" s="47">
        <f t="shared" si="17"/>
        <v>87</v>
      </c>
      <c r="AW55" s="48">
        <f t="shared" si="13"/>
        <v>2.489589E-3</v>
      </c>
      <c r="AX55" s="49">
        <f t="shared" si="14"/>
        <v>0</v>
      </c>
      <c r="AY55" s="50">
        <f t="shared" si="18"/>
        <v>0</v>
      </c>
    </row>
    <row r="56" spans="1:51" x14ac:dyDescent="0.25">
      <c r="A56" s="9">
        <v>67</v>
      </c>
      <c r="B56" s="38">
        <v>4.5082769999999998E-3</v>
      </c>
      <c r="C56" s="38">
        <v>8.4724020000000004E-3</v>
      </c>
      <c r="D56" s="39">
        <f t="shared" si="0"/>
        <v>6.5061959999999997E-3</v>
      </c>
      <c r="E56" s="26">
        <f t="shared" si="15"/>
        <v>4.3891898127177646E-3</v>
      </c>
      <c r="F56" s="26">
        <f t="shared" si="15"/>
        <v>8.2486015272907175E-3</v>
      </c>
      <c r="G56" s="39">
        <f t="shared" si="15"/>
        <v>6.334333316862532E-3</v>
      </c>
      <c r="H56" s="26">
        <f t="shared" si="2"/>
        <v>3.8806425522125263E-3</v>
      </c>
      <c r="I56" s="26">
        <f t="shared" si="3"/>
        <v>3.3168247526457024E-4</v>
      </c>
      <c r="J56" s="26">
        <f t="shared" si="4"/>
        <v>7.7734848054853355E-4</v>
      </c>
      <c r="K56" s="26">
        <f t="shared" si="5"/>
        <v>1.5326337201226254E-3</v>
      </c>
      <c r="L56" s="14"/>
      <c r="O56" s="14"/>
      <c r="Q56" s="14"/>
      <c r="R56" s="28">
        <v>67</v>
      </c>
      <c r="S56" s="42">
        <v>9.6959999999999998E-3</v>
      </c>
      <c r="T56" s="42">
        <v>1.5310000000000001E-2</v>
      </c>
      <c r="U56" s="42">
        <v>1.2481000000000001E-2</v>
      </c>
      <c r="V56" s="37"/>
      <c r="W56" s="42">
        <v>4.8479999999999999E-3</v>
      </c>
      <c r="X56" s="42">
        <v>7.6550000000000003E-3</v>
      </c>
      <c r="Y56" s="42">
        <v>6.2399999999999999E-3</v>
      </c>
      <c r="Z56" s="37"/>
      <c r="AA56" s="42">
        <v>2.4239999999999999E-3</v>
      </c>
      <c r="AB56" s="42">
        <v>3.8279999999999998E-3</v>
      </c>
      <c r="AC56" s="42">
        <v>3.1199999999999999E-3</v>
      </c>
      <c r="AD56" s="37"/>
      <c r="AE56" s="42">
        <v>8.0800000000000002E-4</v>
      </c>
      <c r="AF56" s="42">
        <v>1.276E-3</v>
      </c>
      <c r="AG56" s="42">
        <v>1.0399999999999999E-3</v>
      </c>
      <c r="AH56" s="14"/>
      <c r="AI56" s="25">
        <f t="shared" si="16"/>
        <v>2.3E-2</v>
      </c>
      <c r="AJ56" s="26">
        <f t="shared" si="7"/>
        <v>3.5213000000000003E-4</v>
      </c>
      <c r="AK56" s="26">
        <f t="shared" si="8"/>
        <v>2.9348000000000001E-5</v>
      </c>
      <c r="AL56" s="26">
        <f t="shared" si="9"/>
        <v>8.8043999999999999E-5</v>
      </c>
      <c r="AM56" s="26">
        <f t="shared" si="10"/>
        <v>1.7606500000000002E-4</v>
      </c>
      <c r="AN56" s="14"/>
      <c r="AS56" s="14"/>
      <c r="AU56" s="17">
        <v>48</v>
      </c>
      <c r="AV56" s="47">
        <f t="shared" si="17"/>
        <v>88</v>
      </c>
      <c r="AW56" s="48">
        <f t="shared" si="13"/>
        <v>2.6971869999999998E-3</v>
      </c>
      <c r="AX56" s="49">
        <f t="shared" si="14"/>
        <v>0</v>
      </c>
      <c r="AY56" s="50">
        <f t="shared" si="18"/>
        <v>0</v>
      </c>
    </row>
    <row r="57" spans="1:51" x14ac:dyDescent="0.25">
      <c r="A57" s="9">
        <v>68</v>
      </c>
      <c r="B57" s="38">
        <v>4.9166640000000003E-3</v>
      </c>
      <c r="C57" s="38">
        <v>9.1813099999999998E-3</v>
      </c>
      <c r="D57" s="39">
        <f t="shared" si="0"/>
        <v>7.0660455840000002E-3</v>
      </c>
      <c r="E57" s="26">
        <f t="shared" si="15"/>
        <v>4.7867891749677708E-3</v>
      </c>
      <c r="F57" s="26">
        <f t="shared" si="15"/>
        <v>8.9387835573110832E-3</v>
      </c>
      <c r="G57" s="39">
        <f t="shared" si="15"/>
        <v>6.8793943436688005E-3</v>
      </c>
      <c r="H57" s="26">
        <f t="shared" si="2"/>
        <v>4.2053460483879763E-3</v>
      </c>
      <c r="I57" s="26">
        <f t="shared" si="3"/>
        <v>3.5943521411889467E-4</v>
      </c>
      <c r="J57" s="26">
        <f t="shared" si="4"/>
        <v>8.4423829196185853E-4</v>
      </c>
      <c r="K57" s="26">
        <f t="shared" si="5"/>
        <v>1.6645148301652716E-3</v>
      </c>
      <c r="L57" s="14"/>
      <c r="O57" s="14"/>
      <c r="Q57" s="14"/>
      <c r="R57" s="28">
        <v>68</v>
      </c>
      <c r="S57" s="42">
        <v>1.0555999999999999E-2</v>
      </c>
      <c r="T57" s="42">
        <v>1.6882999999999999E-2</v>
      </c>
      <c r="U57" s="42">
        <v>1.3694E-2</v>
      </c>
      <c r="V57" s="37"/>
      <c r="W57" s="42">
        <v>5.2779999999999997E-3</v>
      </c>
      <c r="X57" s="42">
        <v>8.4410000000000006E-3</v>
      </c>
      <c r="Y57" s="42">
        <v>6.8469999999999998E-3</v>
      </c>
      <c r="Z57" s="37"/>
      <c r="AA57" s="42">
        <v>2.6389999999999999E-3</v>
      </c>
      <c r="AB57" s="42">
        <v>4.2209999999999999E-3</v>
      </c>
      <c r="AC57" s="42">
        <v>3.424E-3</v>
      </c>
      <c r="AD57" s="37"/>
      <c r="AE57" s="42">
        <v>8.8000000000000003E-4</v>
      </c>
      <c r="AF57" s="42">
        <v>1.407E-3</v>
      </c>
      <c r="AG57" s="42">
        <v>1.1410000000000001E-3</v>
      </c>
      <c r="AH57" s="14"/>
      <c r="AI57" s="25">
        <f t="shared" si="16"/>
        <v>2.3E-2</v>
      </c>
      <c r="AJ57" s="26">
        <f t="shared" si="7"/>
        <v>3.8830899999999998E-4</v>
      </c>
      <c r="AK57" s="26">
        <f t="shared" si="8"/>
        <v>3.2360999999999997E-5</v>
      </c>
      <c r="AL57" s="26">
        <f t="shared" si="9"/>
        <v>9.7082999999999992E-5</v>
      </c>
      <c r="AM57" s="26">
        <f t="shared" si="10"/>
        <v>1.94143E-4</v>
      </c>
      <c r="AN57" s="14"/>
      <c r="AS57" s="14"/>
      <c r="AU57" s="17">
        <v>49</v>
      </c>
      <c r="AV57" s="47">
        <f t="shared" si="17"/>
        <v>89</v>
      </c>
      <c r="AW57" s="48">
        <f t="shared" si="13"/>
        <v>2.9107650000000001E-3</v>
      </c>
      <c r="AX57" s="49">
        <f t="shared" si="14"/>
        <v>0</v>
      </c>
      <c r="AY57" s="50">
        <f t="shared" si="18"/>
        <v>0</v>
      </c>
    </row>
    <row r="58" spans="1:51" x14ac:dyDescent="0.25">
      <c r="A58" s="9">
        <v>69</v>
      </c>
      <c r="B58" s="38">
        <v>5.3636609999999996E-3</v>
      </c>
      <c r="C58" s="38">
        <v>9.9499899999999988E-3</v>
      </c>
      <c r="D58" s="39">
        <f t="shared" si="0"/>
        <v>7.6751708159999987E-3</v>
      </c>
      <c r="E58" s="26">
        <f t="shared" si="15"/>
        <v>5.2219786450725132E-3</v>
      </c>
      <c r="F58" s="26">
        <f t="shared" si="15"/>
        <v>9.6871586960259153E-3</v>
      </c>
      <c r="G58" s="39">
        <f t="shared" si="15"/>
        <v>7.4724293907530272E-3</v>
      </c>
      <c r="H58" s="26">
        <f t="shared" si="2"/>
        <v>4.5574271131243668E-3</v>
      </c>
      <c r="I58" s="26">
        <f t="shared" si="3"/>
        <v>3.8952794166963758E-4</v>
      </c>
      <c r="J58" s="26">
        <f t="shared" si="4"/>
        <v>9.1701546829638201E-4</v>
      </c>
      <c r="K58" s="26">
        <f t="shared" si="5"/>
        <v>1.8080035707966197E-3</v>
      </c>
      <c r="L58" s="14"/>
      <c r="O58" s="14"/>
      <c r="Q58" s="14"/>
      <c r="R58" s="28">
        <v>69</v>
      </c>
      <c r="S58" s="42">
        <v>1.1476E-2</v>
      </c>
      <c r="T58" s="42">
        <v>1.8599999999999998E-2</v>
      </c>
      <c r="U58" s="42">
        <v>1.5009E-2</v>
      </c>
      <c r="V58" s="37"/>
      <c r="W58" s="42">
        <v>5.738E-3</v>
      </c>
      <c r="X58" s="42">
        <v>9.2999999999999992E-3</v>
      </c>
      <c r="Y58" s="42">
        <v>7.5050000000000004E-3</v>
      </c>
      <c r="Z58" s="37"/>
      <c r="AA58" s="42">
        <v>2.869E-3</v>
      </c>
      <c r="AB58" s="42">
        <v>4.6499999999999996E-3</v>
      </c>
      <c r="AC58" s="42">
        <v>3.7520000000000001E-3</v>
      </c>
      <c r="AD58" s="37"/>
      <c r="AE58" s="42">
        <v>9.5600000000000004E-4</v>
      </c>
      <c r="AF58" s="42">
        <v>1.5499999999999999E-3</v>
      </c>
      <c r="AG58" s="42">
        <v>1.2509999999999999E-3</v>
      </c>
      <c r="AH58" s="14"/>
      <c r="AI58" s="25">
        <f t="shared" si="16"/>
        <v>2.3E-2</v>
      </c>
      <c r="AJ58" s="26">
        <f t="shared" si="7"/>
        <v>4.2779999999999994E-4</v>
      </c>
      <c r="AK58" s="26">
        <f t="shared" si="8"/>
        <v>3.5649999999999999E-5</v>
      </c>
      <c r="AL58" s="26">
        <f t="shared" si="9"/>
        <v>1.0694999999999998E-4</v>
      </c>
      <c r="AM58" s="26">
        <f t="shared" si="10"/>
        <v>2.1389999999999997E-4</v>
      </c>
      <c r="AN58" s="14"/>
      <c r="AS58" s="14"/>
      <c r="AU58" s="17">
        <v>50</v>
      </c>
      <c r="AV58" s="47">
        <f t="shared" si="17"/>
        <v>90</v>
      </c>
      <c r="AW58" s="48">
        <f t="shared" si="13"/>
        <v>3.1334279999999997E-3</v>
      </c>
      <c r="AX58" s="49">
        <f t="shared" si="14"/>
        <v>0</v>
      </c>
      <c r="AY58" s="50">
        <f t="shared" si="18"/>
        <v>0</v>
      </c>
    </row>
    <row r="59" spans="1:51" x14ac:dyDescent="0.25">
      <c r="A59" s="9">
        <v>70</v>
      </c>
      <c r="B59" s="38">
        <v>5.8528979999999996E-3</v>
      </c>
      <c r="C59" s="38">
        <v>1.0783429000000001E-2</v>
      </c>
      <c r="D59" s="39">
        <f t="shared" si="0"/>
        <v>8.3378856240000007E-3</v>
      </c>
      <c r="E59" s="26">
        <f t="shared" si="15"/>
        <v>5.6982923357362858E-3</v>
      </c>
      <c r="F59" s="26">
        <f t="shared" si="15"/>
        <v>1.0498582210668357E-2</v>
      </c>
      <c r="G59" s="39">
        <f t="shared" si="15"/>
        <v>8.1176384327020512E-3</v>
      </c>
      <c r="H59" s="26">
        <f t="shared" si="2"/>
        <v>4.9391699586684591E-3</v>
      </c>
      <c r="I59" s="26">
        <f t="shared" si="3"/>
        <v>4.2215589186629117E-4</v>
      </c>
      <c r="J59" s="26">
        <f t="shared" si="4"/>
        <v>9.9619542983394021E-4</v>
      </c>
      <c r="K59" s="26">
        <f t="shared" si="5"/>
        <v>1.9641161535662436E-3</v>
      </c>
      <c r="L59" s="14"/>
      <c r="O59" s="14"/>
      <c r="Q59" s="14"/>
      <c r="R59" s="28">
        <v>70</v>
      </c>
      <c r="S59" s="42">
        <v>1.2539E-2</v>
      </c>
      <c r="T59" s="42">
        <v>2.0539999999999999E-2</v>
      </c>
      <c r="U59" s="42">
        <v>1.6507999999999998E-2</v>
      </c>
      <c r="V59" s="37"/>
      <c r="W59" s="42">
        <v>6.2700000000000004E-3</v>
      </c>
      <c r="X59" s="42">
        <v>1.027E-2</v>
      </c>
      <c r="Y59" s="42">
        <v>8.2539999999999992E-3</v>
      </c>
      <c r="Z59" s="37"/>
      <c r="AA59" s="42">
        <v>3.1350000000000002E-3</v>
      </c>
      <c r="AB59" s="42">
        <v>5.1349999999999998E-3</v>
      </c>
      <c r="AC59" s="42">
        <v>4.1269999999999996E-3</v>
      </c>
      <c r="AD59" s="37"/>
      <c r="AE59" s="42">
        <v>1.0449999999999999E-3</v>
      </c>
      <c r="AF59" s="42">
        <v>1.712E-3</v>
      </c>
      <c r="AG59" s="42">
        <v>1.3760000000000001E-3</v>
      </c>
      <c r="AH59" s="14"/>
      <c r="AI59" s="25">
        <f t="shared" si="16"/>
        <v>2.3E-2</v>
      </c>
      <c r="AJ59" s="26">
        <f t="shared" si="7"/>
        <v>4.7241999999999998E-4</v>
      </c>
      <c r="AK59" s="26">
        <f t="shared" si="8"/>
        <v>3.9375999999999997E-5</v>
      </c>
      <c r="AL59" s="26">
        <f t="shared" si="9"/>
        <v>1.1810499999999999E-4</v>
      </c>
      <c r="AM59" s="26">
        <f t="shared" si="10"/>
        <v>2.3620999999999999E-4</v>
      </c>
      <c r="AN59" s="14"/>
      <c r="AS59" s="14"/>
      <c r="AU59" s="17">
        <v>51</v>
      </c>
      <c r="AV59" s="47">
        <f t="shared" si="17"/>
        <v>91</v>
      </c>
      <c r="AW59" s="48">
        <f t="shared" si="13"/>
        <v>3.369178E-3</v>
      </c>
      <c r="AX59" s="49">
        <f t="shared" si="14"/>
        <v>0</v>
      </c>
      <c r="AY59" s="50">
        <f t="shared" si="18"/>
        <v>0</v>
      </c>
    </row>
    <row r="60" spans="1:51" x14ac:dyDescent="0.25">
      <c r="R60" s="28">
        <v>71</v>
      </c>
      <c r="S60" s="42">
        <v>1.3811E-2</v>
      </c>
      <c r="T60" s="42">
        <v>2.2741000000000001E-2</v>
      </c>
      <c r="U60" s="42">
        <v>1.8239999999999999E-2</v>
      </c>
      <c r="V60" s="37"/>
      <c r="W60" s="42">
        <v>6.9049999999999997E-3</v>
      </c>
      <c r="X60" s="42">
        <v>1.137E-2</v>
      </c>
      <c r="Y60" s="42">
        <v>9.1199999999999996E-3</v>
      </c>
      <c r="Z60" s="37"/>
      <c r="AA60" s="42">
        <v>3.4529999999999999E-3</v>
      </c>
      <c r="AB60" s="42">
        <v>5.6849999999999999E-3</v>
      </c>
      <c r="AC60" s="42">
        <v>4.5599999999999998E-3</v>
      </c>
      <c r="AD60" s="37"/>
      <c r="AE60" s="42">
        <v>1.1509999999999999E-3</v>
      </c>
      <c r="AF60" s="42">
        <v>1.895E-3</v>
      </c>
      <c r="AG60" s="42">
        <v>1.5200000000000001E-3</v>
      </c>
      <c r="AI60" s="25">
        <f t="shared" si="16"/>
        <v>2.3E-2</v>
      </c>
      <c r="AJ60" s="26">
        <f t="shared" si="7"/>
        <v>5.2304300000000005E-4</v>
      </c>
      <c r="AK60" s="26">
        <f t="shared" si="8"/>
        <v>4.3584999999999997E-5</v>
      </c>
      <c r="AL60" s="26">
        <f t="shared" si="9"/>
        <v>1.30755E-4</v>
      </c>
      <c r="AM60" s="26">
        <f t="shared" si="10"/>
        <v>2.6151000000000001E-4</v>
      </c>
      <c r="AU60" s="17">
        <v>52</v>
      </c>
      <c r="AV60" s="47">
        <f t="shared" si="17"/>
        <v>92</v>
      </c>
      <c r="AW60" s="48">
        <f t="shared" si="13"/>
        <v>3.6261799999999997E-3</v>
      </c>
      <c r="AX60" s="49">
        <f t="shared" si="14"/>
        <v>0</v>
      </c>
      <c r="AY60" s="50">
        <f t="shared" si="18"/>
        <v>0</v>
      </c>
    </row>
    <row r="61" spans="1:51" x14ac:dyDescent="0.25">
      <c r="R61" s="28">
        <v>72</v>
      </c>
      <c r="S61" s="42">
        <v>1.5388000000000001E-2</v>
      </c>
      <c r="T61" s="42">
        <v>2.5285999999999999E-2</v>
      </c>
      <c r="U61" s="42">
        <v>2.0296999999999999E-2</v>
      </c>
      <c r="V61" s="37"/>
      <c r="W61" s="42">
        <v>7.6940000000000003E-3</v>
      </c>
      <c r="X61" s="42">
        <v>1.2643E-2</v>
      </c>
      <c r="Y61" s="42">
        <v>1.0149E-2</v>
      </c>
      <c r="Z61" s="37"/>
      <c r="AA61" s="42">
        <v>3.8470000000000002E-3</v>
      </c>
      <c r="AB61" s="42">
        <v>6.3220000000000004E-3</v>
      </c>
      <c r="AC61" s="42">
        <v>5.0740000000000004E-3</v>
      </c>
      <c r="AD61" s="37"/>
      <c r="AE61" s="42">
        <v>1.2819999999999999E-3</v>
      </c>
      <c r="AF61" s="42">
        <v>2.1069999999999999E-3</v>
      </c>
      <c r="AG61" s="42">
        <v>1.691E-3</v>
      </c>
      <c r="AI61" s="25">
        <f t="shared" si="16"/>
        <v>2.3E-2</v>
      </c>
      <c r="AJ61" s="26">
        <f t="shared" si="7"/>
        <v>5.8157800000000002E-4</v>
      </c>
      <c r="AK61" s="26">
        <f t="shared" si="8"/>
        <v>4.8460999999999996E-5</v>
      </c>
      <c r="AL61" s="26">
        <f t="shared" si="9"/>
        <v>1.45406E-4</v>
      </c>
      <c r="AM61" s="26">
        <f t="shared" si="10"/>
        <v>2.9078900000000001E-4</v>
      </c>
      <c r="AU61" s="17">
        <v>53</v>
      </c>
      <c r="AV61" s="47">
        <f t="shared" si="17"/>
        <v>93</v>
      </c>
      <c r="AW61" s="48">
        <f t="shared" si="13"/>
        <v>3.9159339999999994E-3</v>
      </c>
      <c r="AX61" s="49">
        <f t="shared" si="14"/>
        <v>0</v>
      </c>
      <c r="AY61" s="50">
        <f t="shared" si="18"/>
        <v>0</v>
      </c>
    </row>
    <row r="62" spans="1:51" x14ac:dyDescent="0.25">
      <c r="R62" s="28">
        <v>73</v>
      </c>
      <c r="S62" s="42">
        <v>1.7312000000000001E-2</v>
      </c>
      <c r="T62" s="42">
        <v>2.8215E-2</v>
      </c>
      <c r="U62" s="42">
        <v>2.2720000000000001E-2</v>
      </c>
      <c r="V62" s="37"/>
      <c r="W62" s="42">
        <v>8.6560000000000005E-3</v>
      </c>
      <c r="X62" s="42">
        <v>1.4107E-2</v>
      </c>
      <c r="Y62" s="42">
        <v>1.136E-2</v>
      </c>
      <c r="Z62" s="37"/>
      <c r="AA62" s="42">
        <v>4.3280000000000002E-3</v>
      </c>
      <c r="AB62" s="42">
        <v>7.0540000000000004E-3</v>
      </c>
      <c r="AC62" s="42">
        <v>5.6800000000000002E-3</v>
      </c>
      <c r="AD62" s="37"/>
      <c r="AE62" s="42">
        <v>1.4430000000000001E-3</v>
      </c>
      <c r="AF62" s="42">
        <v>2.3509999999999998E-3</v>
      </c>
      <c r="AG62" s="42">
        <v>1.8929999999999999E-3</v>
      </c>
      <c r="AI62" s="25">
        <f t="shared" si="16"/>
        <v>2.3E-2</v>
      </c>
      <c r="AJ62" s="26">
        <f t="shared" si="7"/>
        <v>6.4894499999999995E-4</v>
      </c>
      <c r="AK62" s="26">
        <f t="shared" si="8"/>
        <v>5.4072999999999995E-5</v>
      </c>
      <c r="AL62" s="26">
        <f t="shared" si="9"/>
        <v>1.62242E-4</v>
      </c>
      <c r="AM62" s="26">
        <f t="shared" si="10"/>
        <v>3.2446100000000001E-4</v>
      </c>
      <c r="AU62" s="17">
        <v>54</v>
      </c>
      <c r="AV62" s="47">
        <f t="shared" si="17"/>
        <v>94</v>
      </c>
      <c r="AW62" s="48">
        <f t="shared" si="13"/>
        <v>4.2891090000000002E-3</v>
      </c>
      <c r="AX62" s="49">
        <f t="shared" si="14"/>
        <v>0</v>
      </c>
      <c r="AY62" s="50">
        <f t="shared" si="18"/>
        <v>0</v>
      </c>
    </row>
    <row r="63" spans="1:51" x14ac:dyDescent="0.25">
      <c r="R63" s="28">
        <v>74</v>
      </c>
      <c r="S63" s="42">
        <v>1.9578999999999999E-2</v>
      </c>
      <c r="T63" s="42">
        <v>3.1510999999999997E-2</v>
      </c>
      <c r="U63" s="42">
        <v>2.5496999999999999E-2</v>
      </c>
      <c r="V63" s="37"/>
      <c r="W63" s="42">
        <v>9.7890000000000008E-3</v>
      </c>
      <c r="X63" s="42">
        <v>1.5755000000000002E-2</v>
      </c>
      <c r="Y63" s="42">
        <v>1.2749E-2</v>
      </c>
      <c r="Z63" s="37"/>
      <c r="AA63" s="42">
        <v>4.895E-3</v>
      </c>
      <c r="AB63" s="42">
        <v>7.8779999999999996E-3</v>
      </c>
      <c r="AC63" s="42">
        <v>6.3740000000000003E-3</v>
      </c>
      <c r="AD63" s="37"/>
      <c r="AE63" s="42">
        <v>1.632E-3</v>
      </c>
      <c r="AF63" s="42">
        <v>2.6259999999999999E-3</v>
      </c>
      <c r="AG63" s="42">
        <v>2.1250000000000002E-3</v>
      </c>
      <c r="AI63" s="25">
        <f t="shared" si="16"/>
        <v>2.3E-2</v>
      </c>
      <c r="AJ63" s="26">
        <f t="shared" si="7"/>
        <v>7.2475299999999996E-4</v>
      </c>
      <c r="AK63" s="26">
        <f t="shared" si="8"/>
        <v>6.0397999999999993E-5</v>
      </c>
      <c r="AL63" s="26">
        <f t="shared" si="9"/>
        <v>1.81194E-4</v>
      </c>
      <c r="AM63" s="26">
        <f t="shared" si="10"/>
        <v>3.6236500000000002E-4</v>
      </c>
      <c r="AU63" s="17">
        <v>55</v>
      </c>
      <c r="AV63" s="47">
        <f t="shared" si="17"/>
        <v>95</v>
      </c>
      <c r="AW63" s="48">
        <f t="shared" si="13"/>
        <v>4.8313109999999996E-3</v>
      </c>
      <c r="AX63" s="49">
        <f t="shared" si="14"/>
        <v>0</v>
      </c>
      <c r="AY63" s="50">
        <f t="shared" si="18"/>
        <v>0</v>
      </c>
    </row>
    <row r="64" spans="1:51" x14ac:dyDescent="0.25">
      <c r="R64" s="28">
        <v>75</v>
      </c>
      <c r="S64" s="42">
        <v>2.2148000000000001E-2</v>
      </c>
      <c r="T64" s="42">
        <v>3.5055999999999997E-2</v>
      </c>
      <c r="U64" s="42">
        <v>2.8551E-2</v>
      </c>
      <c r="V64" s="37"/>
      <c r="W64" s="42">
        <v>1.1074000000000001E-2</v>
      </c>
      <c r="X64" s="42">
        <v>1.7527999999999998E-2</v>
      </c>
      <c r="Y64" s="42">
        <v>1.4274999999999999E-2</v>
      </c>
      <c r="Z64" s="37"/>
      <c r="AA64" s="42">
        <v>5.5370000000000003E-3</v>
      </c>
      <c r="AB64" s="42">
        <v>8.7639999999999992E-3</v>
      </c>
      <c r="AC64" s="42">
        <v>7.1380000000000002E-3</v>
      </c>
      <c r="AD64" s="37"/>
      <c r="AE64" s="42">
        <v>1.846E-3</v>
      </c>
      <c r="AF64" s="42">
        <v>2.921E-3</v>
      </c>
      <c r="AG64" s="42">
        <v>2.379E-3</v>
      </c>
      <c r="AI64" s="25">
        <f t="shared" si="16"/>
        <v>2.3E-2</v>
      </c>
      <c r="AJ64" s="26">
        <f t="shared" si="7"/>
        <v>8.0628799999999995E-4</v>
      </c>
      <c r="AK64" s="26">
        <f t="shared" si="8"/>
        <v>6.7182999999999997E-5</v>
      </c>
      <c r="AL64" s="26">
        <f t="shared" si="9"/>
        <v>2.0157199999999999E-4</v>
      </c>
      <c r="AM64" s="26">
        <f t="shared" si="10"/>
        <v>4.0314399999999997E-4</v>
      </c>
      <c r="AU64" s="17">
        <v>56</v>
      </c>
      <c r="AV64" s="47">
        <f t="shared" si="17"/>
        <v>96</v>
      </c>
      <c r="AW64" s="48">
        <f t="shared" si="13"/>
        <v>5.7181910000000001E-3</v>
      </c>
      <c r="AX64" s="49">
        <f t="shared" si="14"/>
        <v>0</v>
      </c>
      <c r="AY64" s="50">
        <f t="shared" si="18"/>
        <v>0</v>
      </c>
    </row>
    <row r="65" spans="18:51" x14ac:dyDescent="0.25">
      <c r="R65" s="28">
        <v>76</v>
      </c>
      <c r="S65" s="42">
        <v>2.4974E-2</v>
      </c>
      <c r="T65" s="42">
        <v>3.8841000000000001E-2</v>
      </c>
      <c r="U65" s="42">
        <v>3.1851999999999998E-2</v>
      </c>
      <c r="V65" s="37"/>
      <c r="W65" s="42">
        <v>1.2487E-2</v>
      </c>
      <c r="X65" s="42">
        <v>1.942E-2</v>
      </c>
      <c r="Y65" s="42">
        <v>1.5925999999999999E-2</v>
      </c>
      <c r="Z65" s="37"/>
      <c r="AA65" s="42">
        <v>6.2440000000000004E-3</v>
      </c>
      <c r="AB65" s="42">
        <v>9.7099999999999999E-3</v>
      </c>
      <c r="AC65" s="42">
        <v>7.9629999999999996E-3</v>
      </c>
      <c r="AD65" s="37"/>
      <c r="AE65" s="42">
        <v>2.081E-3</v>
      </c>
      <c r="AF65" s="42">
        <v>3.2369999999999999E-3</v>
      </c>
      <c r="AG65" s="42">
        <v>2.6540000000000001E-3</v>
      </c>
      <c r="AI65" s="25">
        <f t="shared" si="16"/>
        <v>2.3E-2</v>
      </c>
      <c r="AJ65" s="26">
        <f t="shared" si="7"/>
        <v>8.93343E-4</v>
      </c>
      <c r="AK65" s="26">
        <f t="shared" si="8"/>
        <v>7.4450999999999996E-5</v>
      </c>
      <c r="AL65" s="26">
        <f t="shared" si="9"/>
        <v>2.2332999999999999E-4</v>
      </c>
      <c r="AM65" s="26">
        <f t="shared" si="10"/>
        <v>4.4665999999999998E-4</v>
      </c>
      <c r="AU65" s="17">
        <v>57</v>
      </c>
      <c r="AV65" s="47">
        <f t="shared" si="17"/>
        <v>97</v>
      </c>
      <c r="AW65" s="48">
        <f t="shared" si="13"/>
        <v>7.3544109999999999E-3</v>
      </c>
      <c r="AX65" s="49">
        <f t="shared" si="14"/>
        <v>0</v>
      </c>
      <c r="AY65" s="50">
        <f t="shared" si="18"/>
        <v>0</v>
      </c>
    </row>
    <row r="66" spans="18:51" x14ac:dyDescent="0.25">
      <c r="R66" s="28">
        <v>77</v>
      </c>
      <c r="S66" s="42">
        <v>2.8017E-2</v>
      </c>
      <c r="T66" s="42">
        <v>4.283E-2</v>
      </c>
      <c r="U66" s="42">
        <v>3.5364E-2</v>
      </c>
      <c r="V66" s="37"/>
      <c r="W66" s="42">
        <v>1.4008E-2</v>
      </c>
      <c r="X66" s="42">
        <v>2.1415E-2</v>
      </c>
      <c r="Y66" s="42">
        <v>1.7682E-2</v>
      </c>
      <c r="Z66" s="37"/>
      <c r="AA66" s="42">
        <v>7.0039999999999998E-3</v>
      </c>
      <c r="AB66" s="42">
        <v>1.0707E-2</v>
      </c>
      <c r="AC66" s="42">
        <v>8.8409999999999999E-3</v>
      </c>
      <c r="AD66" s="37"/>
      <c r="AE66" s="42">
        <v>2.3349999999999998E-3</v>
      </c>
      <c r="AF66" s="42">
        <v>3.5690000000000001E-3</v>
      </c>
      <c r="AG66" s="42">
        <v>2.947E-3</v>
      </c>
      <c r="AI66" s="25">
        <f t="shared" si="16"/>
        <v>2.3E-2</v>
      </c>
      <c r="AJ66" s="26">
        <f t="shared" si="7"/>
        <v>9.8508999999999988E-4</v>
      </c>
      <c r="AK66" s="26">
        <f t="shared" si="8"/>
        <v>8.2087000000000002E-5</v>
      </c>
      <c r="AL66" s="26">
        <f t="shared" si="9"/>
        <v>2.4626100000000001E-4</v>
      </c>
      <c r="AM66" s="26">
        <f t="shared" si="10"/>
        <v>4.9254499999999994E-4</v>
      </c>
      <c r="AU66" s="17">
        <v>58</v>
      </c>
      <c r="AV66" s="47">
        <f t="shared" si="17"/>
        <v>98</v>
      </c>
      <c r="AW66" s="48">
        <f t="shared" si="13"/>
        <v>1.0772326E-2</v>
      </c>
      <c r="AX66" s="49">
        <f t="shared" si="14"/>
        <v>0</v>
      </c>
      <c r="AY66" s="50">
        <f t="shared" si="18"/>
        <v>0</v>
      </c>
    </row>
    <row r="67" spans="18:51" x14ac:dyDescent="0.25">
      <c r="R67" s="28">
        <v>78</v>
      </c>
      <c r="S67" s="42">
        <v>3.1275999999999998E-2</v>
      </c>
      <c r="T67" s="42">
        <v>4.6982999999999997E-2</v>
      </c>
      <c r="U67" s="42">
        <v>3.9066999999999998E-2</v>
      </c>
      <c r="V67" s="37"/>
      <c r="W67" s="42">
        <v>1.5637999999999999E-2</v>
      </c>
      <c r="X67" s="42">
        <v>2.3491999999999999E-2</v>
      </c>
      <c r="Y67" s="42">
        <v>1.9532999999999998E-2</v>
      </c>
      <c r="Z67" s="37"/>
      <c r="AA67" s="42">
        <v>7.8189999999999996E-3</v>
      </c>
      <c r="AB67" s="42">
        <v>1.1745999999999999E-2</v>
      </c>
      <c r="AC67" s="42">
        <v>9.7669999999999996E-3</v>
      </c>
      <c r="AD67" s="37"/>
      <c r="AE67" s="42">
        <v>2.6059999999999998E-3</v>
      </c>
      <c r="AF67" s="42">
        <v>3.9150000000000001E-3</v>
      </c>
      <c r="AG67" s="42">
        <v>3.2560000000000002E-3</v>
      </c>
      <c r="AI67" s="25">
        <f t="shared" si="16"/>
        <v>2.3E-2</v>
      </c>
      <c r="AJ67" s="26">
        <f t="shared" si="7"/>
        <v>1.080609E-3</v>
      </c>
      <c r="AK67" s="26">
        <f t="shared" si="8"/>
        <v>9.0044999999999996E-5</v>
      </c>
      <c r="AL67" s="26">
        <f t="shared" si="9"/>
        <v>2.70158E-4</v>
      </c>
      <c r="AM67" s="26">
        <f t="shared" si="10"/>
        <v>5.40316E-4</v>
      </c>
      <c r="AU67" s="17">
        <v>59</v>
      </c>
      <c r="AV67" s="47">
        <f t="shared" si="17"/>
        <v>99</v>
      </c>
      <c r="AW67" s="48">
        <f t="shared" si="13"/>
        <v>2.3E-2</v>
      </c>
      <c r="AX67" s="49">
        <f t="shared" si="14"/>
        <v>0</v>
      </c>
      <c r="AY67" s="50">
        <f t="shared" si="18"/>
        <v>0</v>
      </c>
    </row>
    <row r="68" spans="18:51" x14ac:dyDescent="0.25">
      <c r="R68" s="28">
        <v>79</v>
      </c>
      <c r="S68" s="42">
        <v>3.4845000000000001E-2</v>
      </c>
      <c r="T68" s="42">
        <v>5.1404999999999999E-2</v>
      </c>
      <c r="U68" s="42">
        <v>4.3059E-2</v>
      </c>
      <c r="V68" s="37"/>
      <c r="W68" s="42">
        <v>1.7422E-2</v>
      </c>
      <c r="X68" s="42">
        <v>2.5703E-2</v>
      </c>
      <c r="Y68" s="42">
        <v>2.1529E-2</v>
      </c>
      <c r="Z68" s="37"/>
      <c r="AA68" s="42">
        <v>8.711E-3</v>
      </c>
      <c r="AB68" s="42">
        <v>1.2851E-2</v>
      </c>
      <c r="AC68" s="42">
        <v>1.0765E-2</v>
      </c>
      <c r="AD68" s="37"/>
      <c r="AE68" s="42">
        <v>2.9039999999999999E-3</v>
      </c>
      <c r="AF68" s="42">
        <v>4.2839999999999996E-3</v>
      </c>
      <c r="AG68" s="42">
        <v>3.588E-3</v>
      </c>
      <c r="AI68" s="25">
        <f t="shared" si="16"/>
        <v>2.3E-2</v>
      </c>
      <c r="AJ68" s="26">
        <f t="shared" si="7"/>
        <v>1.182315E-3</v>
      </c>
      <c r="AK68" s="26">
        <f t="shared" si="8"/>
        <v>9.8531999999999984E-5</v>
      </c>
      <c r="AL68" s="26">
        <f t="shared" si="9"/>
        <v>2.9557299999999998E-4</v>
      </c>
      <c r="AM68" s="26">
        <f t="shared" si="10"/>
        <v>5.91169E-4</v>
      </c>
      <c r="AU68" s="17">
        <v>60</v>
      </c>
      <c r="AV68" s="47">
        <f t="shared" si="17"/>
        <v>100</v>
      </c>
      <c r="AW68" s="48">
        <f t="shared" si="13"/>
        <v>0</v>
      </c>
      <c r="AX68" s="49">
        <f t="shared" si="14"/>
        <v>0</v>
      </c>
      <c r="AY68" s="50">
        <f t="shared" si="18"/>
        <v>0</v>
      </c>
    </row>
    <row r="69" spans="18:51" x14ac:dyDescent="0.25">
      <c r="R69" s="28">
        <v>80</v>
      </c>
      <c r="S69" s="42">
        <v>3.8877000000000002E-2</v>
      </c>
      <c r="T69" s="42">
        <v>5.6271000000000002E-2</v>
      </c>
      <c r="U69" s="42">
        <v>4.7504999999999999E-2</v>
      </c>
      <c r="V69" s="37"/>
      <c r="W69" s="42">
        <v>1.9439000000000001E-2</v>
      </c>
      <c r="X69" s="42">
        <v>2.8136000000000001E-2</v>
      </c>
      <c r="Y69" s="42">
        <v>2.3751999999999999E-2</v>
      </c>
      <c r="Z69" s="37"/>
      <c r="AA69" s="42">
        <v>9.7190000000000002E-3</v>
      </c>
      <c r="AB69" s="42">
        <v>1.4068000000000001E-2</v>
      </c>
      <c r="AC69" s="42">
        <v>1.1875999999999999E-2</v>
      </c>
      <c r="AD69" s="37"/>
      <c r="AE69" s="42">
        <v>3.2399999999999998E-3</v>
      </c>
      <c r="AF69" s="42">
        <v>4.6889999999999996E-3</v>
      </c>
      <c r="AG69" s="42">
        <v>3.9589999999999998E-3</v>
      </c>
      <c r="AI69" s="25">
        <f t="shared" ref="AI69:AI88" si="19">+IFERROR(VLOOKUP(R69,$AP$3:$AR$9,3,TRUE),0)</f>
        <v>2.3E-2</v>
      </c>
      <c r="AJ69" s="26">
        <f t="shared" si="7"/>
        <v>1.2942330000000001E-3</v>
      </c>
      <c r="AK69" s="26">
        <f t="shared" si="8"/>
        <v>1.0784699999999999E-4</v>
      </c>
      <c r="AL69" s="26">
        <f t="shared" si="9"/>
        <v>3.2356400000000003E-4</v>
      </c>
      <c r="AM69" s="26">
        <f t="shared" si="10"/>
        <v>6.4712800000000007E-4</v>
      </c>
      <c r="AU69" s="17">
        <v>61</v>
      </c>
      <c r="AV69" s="47">
        <f t="shared" si="17"/>
        <v>101</v>
      </c>
      <c r="AW69" s="48">
        <f t="shared" si="13"/>
        <v>0</v>
      </c>
      <c r="AX69" s="49">
        <f t="shared" si="14"/>
        <v>0</v>
      </c>
      <c r="AY69" s="50">
        <f t="shared" si="18"/>
        <v>0</v>
      </c>
    </row>
    <row r="70" spans="18:51" x14ac:dyDescent="0.25">
      <c r="R70" s="28">
        <v>81</v>
      </c>
      <c r="S70" s="42">
        <v>4.351E-2</v>
      </c>
      <c r="T70" s="42">
        <v>6.1709E-2</v>
      </c>
      <c r="U70" s="42">
        <v>5.2537E-2</v>
      </c>
      <c r="V70" s="37"/>
      <c r="W70" s="42">
        <v>2.1755E-2</v>
      </c>
      <c r="X70" s="42">
        <v>3.0853999999999999E-2</v>
      </c>
      <c r="Y70" s="42">
        <v>2.6268E-2</v>
      </c>
      <c r="Z70" s="37"/>
      <c r="AA70" s="42">
        <v>1.0878000000000001E-2</v>
      </c>
      <c r="AB70" s="42">
        <v>1.5427E-2</v>
      </c>
      <c r="AC70" s="42">
        <v>1.3134E-2</v>
      </c>
      <c r="AD70" s="37"/>
      <c r="AE70" s="42">
        <v>3.6259999999999999E-3</v>
      </c>
      <c r="AF70" s="42">
        <v>5.1419999999999999E-3</v>
      </c>
      <c r="AG70" s="42">
        <v>4.3779999999999999E-3</v>
      </c>
      <c r="AI70" s="25">
        <f t="shared" si="19"/>
        <v>2.3E-2</v>
      </c>
      <c r="AJ70" s="26">
        <f t="shared" ref="AJ70:AJ88" si="20">+IF($N$16=2,S70*AI70,T70*AI70)</f>
        <v>1.4193070000000001E-3</v>
      </c>
      <c r="AK70" s="26">
        <f t="shared" ref="AK70:AK88" si="21">+IF($N$16=2,AE70*AI70,AF70*AI70)</f>
        <v>1.18266E-4</v>
      </c>
      <c r="AL70" s="26">
        <f t="shared" ref="AL70:AL88" si="22">+IF($N$16=2,AA70*AI70,AB70*AI70)</f>
        <v>3.5482100000000001E-4</v>
      </c>
      <c r="AM70" s="26">
        <f t="shared" ref="AM70:AM88" si="23">+IF($N$16=2,W70*AI70,X70*AI70)</f>
        <v>7.0964200000000002E-4</v>
      </c>
      <c r="AU70" s="17">
        <v>62</v>
      </c>
      <c r="AV70" s="47">
        <f t="shared" si="17"/>
        <v>102</v>
      </c>
      <c r="AW70" s="48">
        <f t="shared" si="13"/>
        <v>0</v>
      </c>
      <c r="AX70" s="49">
        <f t="shared" si="14"/>
        <v>0</v>
      </c>
      <c r="AY70" s="50">
        <f t="shared" si="18"/>
        <v>0</v>
      </c>
    </row>
    <row r="71" spans="18:51" x14ac:dyDescent="0.25">
      <c r="R71" s="28">
        <v>82</v>
      </c>
      <c r="S71" s="42">
        <v>4.8883999999999997E-2</v>
      </c>
      <c r="T71" s="42">
        <v>6.7879999999999996E-2</v>
      </c>
      <c r="U71" s="42">
        <v>5.8305999999999997E-2</v>
      </c>
      <c r="V71" s="37"/>
      <c r="W71" s="42">
        <v>2.4441999999999998E-2</v>
      </c>
      <c r="X71" s="42">
        <v>3.3939999999999998E-2</v>
      </c>
      <c r="Y71" s="42">
        <v>2.9152999999999998E-2</v>
      </c>
      <c r="Z71" s="37"/>
      <c r="AA71" s="42">
        <v>1.2220999999999999E-2</v>
      </c>
      <c r="AB71" s="42">
        <v>1.6969999999999999E-2</v>
      </c>
      <c r="AC71" s="42">
        <v>1.4577E-2</v>
      </c>
      <c r="AD71" s="37"/>
      <c r="AE71" s="42">
        <v>4.0740000000000004E-3</v>
      </c>
      <c r="AF71" s="42">
        <v>5.6569999999999997E-3</v>
      </c>
      <c r="AG71" s="42">
        <v>4.8589999999999996E-3</v>
      </c>
      <c r="AI71" s="25">
        <f t="shared" si="19"/>
        <v>2.3E-2</v>
      </c>
      <c r="AJ71" s="26">
        <f t="shared" si="20"/>
        <v>1.56124E-3</v>
      </c>
      <c r="AK71" s="26">
        <f t="shared" si="21"/>
        <v>1.30111E-4</v>
      </c>
      <c r="AL71" s="26">
        <f t="shared" si="22"/>
        <v>3.9031E-4</v>
      </c>
      <c r="AM71" s="26">
        <f t="shared" si="23"/>
        <v>7.8061999999999999E-4</v>
      </c>
      <c r="AU71" s="17">
        <v>63</v>
      </c>
      <c r="AV71" s="47">
        <f t="shared" ref="AV71:AV88" si="24">edad1+AU71</f>
        <v>103</v>
      </c>
      <c r="AW71" s="48">
        <f t="shared" si="13"/>
        <v>0</v>
      </c>
      <c r="AX71" s="49">
        <f t="shared" si="14"/>
        <v>0</v>
      </c>
      <c r="AY71" s="50">
        <f t="shared" ref="AY71:AY88" si="25">+IF(adicional=2,0,(AW71*AX71))</f>
        <v>0</v>
      </c>
    </row>
    <row r="72" spans="18:51" x14ac:dyDescent="0.25">
      <c r="R72" s="28">
        <v>83</v>
      </c>
      <c r="S72" s="42">
        <v>5.5100999999999997E-2</v>
      </c>
      <c r="T72" s="42">
        <v>7.4868000000000004E-2</v>
      </c>
      <c r="U72" s="42">
        <v>6.4905000000000004E-2</v>
      </c>
      <c r="V72" s="37"/>
      <c r="W72" s="42">
        <v>2.7550000000000002E-2</v>
      </c>
      <c r="X72" s="42">
        <v>3.7434000000000002E-2</v>
      </c>
      <c r="Y72" s="42">
        <v>3.2453000000000003E-2</v>
      </c>
      <c r="Z72" s="37"/>
      <c r="AA72" s="42">
        <v>1.3775000000000001E-2</v>
      </c>
      <c r="AB72" s="42">
        <v>1.8717000000000001E-2</v>
      </c>
      <c r="AC72" s="42">
        <v>1.6226000000000001E-2</v>
      </c>
      <c r="AD72" s="37"/>
      <c r="AE72" s="42">
        <v>4.5919999999999997E-3</v>
      </c>
      <c r="AF72" s="42">
        <v>6.2389999999999998E-3</v>
      </c>
      <c r="AG72" s="42">
        <v>5.4089999999999997E-3</v>
      </c>
      <c r="AI72" s="25">
        <f t="shared" si="19"/>
        <v>2.3E-2</v>
      </c>
      <c r="AJ72" s="26">
        <f t="shared" si="20"/>
        <v>1.7219640000000001E-3</v>
      </c>
      <c r="AK72" s="26">
        <f t="shared" si="21"/>
        <v>1.43497E-4</v>
      </c>
      <c r="AL72" s="26">
        <f t="shared" si="22"/>
        <v>4.3049100000000002E-4</v>
      </c>
      <c r="AM72" s="26">
        <f t="shared" si="23"/>
        <v>8.6098200000000005E-4</v>
      </c>
      <c r="AU72" s="17">
        <v>64</v>
      </c>
      <c r="AV72" s="47">
        <f t="shared" si="24"/>
        <v>104</v>
      </c>
      <c r="AW72" s="48">
        <f t="shared" ref="AW72:AW88" si="26">+IFERROR(VLOOKUP(AV72,$R$5:$AM$88,19,FALSE),0)</f>
        <v>0</v>
      </c>
      <c r="AX72" s="49">
        <f t="shared" ref="AX72:AX88" si="27">+$AX$2</f>
        <v>0</v>
      </c>
      <c r="AY72" s="50">
        <f t="shared" si="25"/>
        <v>0</v>
      </c>
    </row>
    <row r="73" spans="18:51" x14ac:dyDescent="0.25">
      <c r="R73" s="28">
        <v>84</v>
      </c>
      <c r="S73" s="42">
        <v>6.2023000000000002E-2</v>
      </c>
      <c r="T73" s="42">
        <v>8.2550999999999999E-2</v>
      </c>
      <c r="U73" s="42">
        <v>7.2205000000000005E-2</v>
      </c>
      <c r="V73" s="37"/>
      <c r="W73" s="42">
        <v>3.1011E-2</v>
      </c>
      <c r="X73" s="42">
        <v>4.1274999999999999E-2</v>
      </c>
      <c r="Y73" s="42">
        <v>3.6102000000000002E-2</v>
      </c>
      <c r="Z73" s="37"/>
      <c r="AA73" s="42">
        <v>1.5506000000000001E-2</v>
      </c>
      <c r="AB73" s="42">
        <v>2.0638E-2</v>
      </c>
      <c r="AC73" s="42">
        <v>1.8051000000000001E-2</v>
      </c>
      <c r="AD73" s="37"/>
      <c r="AE73" s="42">
        <v>5.169E-3</v>
      </c>
      <c r="AF73" s="42">
        <v>6.8789999999999997E-3</v>
      </c>
      <c r="AG73" s="42">
        <v>6.0169999999999998E-3</v>
      </c>
      <c r="AI73" s="25">
        <f t="shared" si="19"/>
        <v>2.3E-2</v>
      </c>
      <c r="AJ73" s="26">
        <f t="shared" si="20"/>
        <v>1.898673E-3</v>
      </c>
      <c r="AK73" s="26">
        <f t="shared" si="21"/>
        <v>1.5821699999999999E-4</v>
      </c>
      <c r="AL73" s="26">
        <f t="shared" si="22"/>
        <v>4.7467400000000002E-4</v>
      </c>
      <c r="AM73" s="26">
        <f t="shared" si="23"/>
        <v>9.49325E-4</v>
      </c>
      <c r="AU73" s="17">
        <v>65</v>
      </c>
      <c r="AV73" s="47">
        <f t="shared" si="24"/>
        <v>105</v>
      </c>
      <c r="AW73" s="48">
        <f t="shared" si="26"/>
        <v>0</v>
      </c>
      <c r="AX73" s="49">
        <f t="shared" si="27"/>
        <v>0</v>
      </c>
      <c r="AY73" s="50">
        <f t="shared" si="25"/>
        <v>0</v>
      </c>
    </row>
    <row r="74" spans="18:51" x14ac:dyDescent="0.25">
      <c r="R74" s="28">
        <v>85</v>
      </c>
      <c r="S74" s="42">
        <v>6.9650000000000004E-2</v>
      </c>
      <c r="T74" s="42">
        <v>9.0761999999999995E-2</v>
      </c>
      <c r="U74" s="42">
        <v>8.0121999999999999E-2</v>
      </c>
      <c r="V74" s="37"/>
      <c r="W74" s="42">
        <v>3.4825000000000002E-2</v>
      </c>
      <c r="X74" s="42">
        <v>4.5380999999999998E-2</v>
      </c>
      <c r="Y74" s="42">
        <v>4.0060999999999999E-2</v>
      </c>
      <c r="Z74" s="37"/>
      <c r="AA74" s="42">
        <v>1.7412E-2</v>
      </c>
      <c r="AB74" s="42">
        <v>2.2690999999999999E-2</v>
      </c>
      <c r="AC74" s="42">
        <v>2.0029999999999999E-2</v>
      </c>
      <c r="AD74" s="37"/>
      <c r="AE74" s="42">
        <v>5.8040000000000001E-3</v>
      </c>
      <c r="AF74" s="42">
        <v>7.5640000000000004E-3</v>
      </c>
      <c r="AG74" s="42">
        <v>6.6769999999999998E-3</v>
      </c>
      <c r="AI74" s="25">
        <f t="shared" si="19"/>
        <v>2.3E-2</v>
      </c>
      <c r="AJ74" s="26">
        <f t="shared" si="20"/>
        <v>2.0875259999999997E-3</v>
      </c>
      <c r="AK74" s="26">
        <f t="shared" si="21"/>
        <v>1.7397199999999999E-4</v>
      </c>
      <c r="AL74" s="26">
        <f t="shared" si="22"/>
        <v>5.2189299999999994E-4</v>
      </c>
      <c r="AM74" s="26">
        <f t="shared" si="23"/>
        <v>1.0437629999999999E-3</v>
      </c>
      <c r="AU74" s="17">
        <v>66</v>
      </c>
      <c r="AV74" s="47">
        <f t="shared" si="24"/>
        <v>106</v>
      </c>
      <c r="AW74" s="48">
        <f t="shared" si="26"/>
        <v>0</v>
      </c>
      <c r="AX74" s="49">
        <f t="shared" si="27"/>
        <v>0</v>
      </c>
      <c r="AY74" s="50">
        <f t="shared" si="25"/>
        <v>0</v>
      </c>
    </row>
    <row r="75" spans="18:51" x14ac:dyDescent="0.25">
      <c r="R75" s="28">
        <v>86</v>
      </c>
      <c r="S75" s="42">
        <v>7.7850000000000003E-2</v>
      </c>
      <c r="T75" s="42">
        <v>9.9349999999999994E-2</v>
      </c>
      <c r="U75" s="42">
        <v>8.8513999999999995E-2</v>
      </c>
      <c r="V75" s="37"/>
      <c r="W75" s="42">
        <v>3.8925000000000001E-2</v>
      </c>
      <c r="X75" s="42">
        <v>4.9674999999999997E-2</v>
      </c>
      <c r="Y75" s="42">
        <v>4.4256999999999998E-2</v>
      </c>
      <c r="Z75" s="37"/>
      <c r="AA75" s="42">
        <v>1.9462E-2</v>
      </c>
      <c r="AB75" s="42">
        <v>2.4837000000000001E-2</v>
      </c>
      <c r="AC75" s="42">
        <v>2.2127999999999998E-2</v>
      </c>
      <c r="AD75" s="37"/>
      <c r="AE75" s="42">
        <v>6.4869999999999997E-3</v>
      </c>
      <c r="AF75" s="42">
        <v>8.2789999999999999E-3</v>
      </c>
      <c r="AG75" s="42">
        <v>7.3759999999999997E-3</v>
      </c>
      <c r="AI75" s="25">
        <f t="shared" si="19"/>
        <v>2.3E-2</v>
      </c>
      <c r="AJ75" s="26">
        <f t="shared" si="20"/>
        <v>2.2850499999999998E-3</v>
      </c>
      <c r="AK75" s="26">
        <f t="shared" si="21"/>
        <v>1.9041699999999999E-4</v>
      </c>
      <c r="AL75" s="26">
        <f t="shared" si="22"/>
        <v>5.7125100000000005E-4</v>
      </c>
      <c r="AM75" s="26">
        <f t="shared" si="23"/>
        <v>1.1425249999999999E-3</v>
      </c>
      <c r="AU75" s="17">
        <v>67</v>
      </c>
      <c r="AV75" s="47">
        <f t="shared" si="24"/>
        <v>107</v>
      </c>
      <c r="AW75" s="48">
        <f t="shared" si="26"/>
        <v>0</v>
      </c>
      <c r="AX75" s="49">
        <f t="shared" si="27"/>
        <v>0</v>
      </c>
      <c r="AY75" s="50">
        <f t="shared" si="25"/>
        <v>0</v>
      </c>
    </row>
    <row r="76" spans="18:51" x14ac:dyDescent="0.25">
      <c r="R76" s="28">
        <v>87</v>
      </c>
      <c r="S76" s="42">
        <v>8.6684999999999998E-2</v>
      </c>
      <c r="T76" s="42">
        <v>0.10824300000000001</v>
      </c>
      <c r="U76" s="42">
        <v>9.7378000000000006E-2</v>
      </c>
      <c r="V76" s="37"/>
      <c r="W76" s="42">
        <v>4.3341999999999999E-2</v>
      </c>
      <c r="X76" s="42">
        <v>5.4121000000000002E-2</v>
      </c>
      <c r="Y76" s="42">
        <v>4.8689000000000003E-2</v>
      </c>
      <c r="Z76" s="37"/>
      <c r="AA76" s="42">
        <v>2.1670999999999999E-2</v>
      </c>
      <c r="AB76" s="42">
        <v>2.7061000000000002E-2</v>
      </c>
      <c r="AC76" s="42">
        <v>2.4344000000000001E-2</v>
      </c>
      <c r="AD76" s="37"/>
      <c r="AE76" s="42">
        <v>7.2240000000000004E-3</v>
      </c>
      <c r="AF76" s="42">
        <v>9.0200000000000002E-3</v>
      </c>
      <c r="AG76" s="42">
        <v>8.1150000000000007E-3</v>
      </c>
      <c r="AI76" s="25">
        <f t="shared" si="19"/>
        <v>2.3E-2</v>
      </c>
      <c r="AJ76" s="26">
        <f t="shared" si="20"/>
        <v>2.489589E-3</v>
      </c>
      <c r="AK76" s="26">
        <f t="shared" si="21"/>
        <v>2.0746E-4</v>
      </c>
      <c r="AL76" s="26">
        <f t="shared" si="22"/>
        <v>6.22403E-4</v>
      </c>
      <c r="AM76" s="26">
        <f t="shared" si="23"/>
        <v>1.244783E-3</v>
      </c>
      <c r="AU76" s="17">
        <v>68</v>
      </c>
      <c r="AV76" s="47">
        <f t="shared" si="24"/>
        <v>108</v>
      </c>
      <c r="AW76" s="48">
        <f t="shared" si="26"/>
        <v>0</v>
      </c>
      <c r="AX76" s="49">
        <f t="shared" si="27"/>
        <v>0</v>
      </c>
      <c r="AY76" s="50">
        <f t="shared" si="25"/>
        <v>0</v>
      </c>
    </row>
    <row r="77" spans="18:51" x14ac:dyDescent="0.25">
      <c r="R77" s="28">
        <v>88</v>
      </c>
      <c r="S77" s="42">
        <v>9.6065999999999999E-2</v>
      </c>
      <c r="T77" s="42">
        <v>0.117269</v>
      </c>
      <c r="U77" s="42">
        <v>0.106583</v>
      </c>
      <c r="V77" s="37"/>
      <c r="W77" s="42">
        <v>4.8032999999999999E-2</v>
      </c>
      <c r="X77" s="42">
        <v>5.8635E-2</v>
      </c>
      <c r="Y77" s="42">
        <v>5.3290999999999998E-2</v>
      </c>
      <c r="Z77" s="37"/>
      <c r="AA77" s="42">
        <v>2.4015999999999999E-2</v>
      </c>
      <c r="AB77" s="42">
        <v>2.9316999999999999E-2</v>
      </c>
      <c r="AC77" s="42">
        <v>2.6646E-2</v>
      </c>
      <c r="AD77" s="37"/>
      <c r="AE77" s="42">
        <v>8.005E-3</v>
      </c>
      <c r="AF77" s="42">
        <v>9.7719999999999994E-3</v>
      </c>
      <c r="AG77" s="42">
        <v>8.8819999999999993E-3</v>
      </c>
      <c r="AI77" s="25">
        <f t="shared" si="19"/>
        <v>2.3E-2</v>
      </c>
      <c r="AJ77" s="26">
        <f t="shared" si="20"/>
        <v>2.6971869999999998E-3</v>
      </c>
      <c r="AK77" s="26">
        <f t="shared" si="21"/>
        <v>2.2475599999999997E-4</v>
      </c>
      <c r="AL77" s="26">
        <f t="shared" si="22"/>
        <v>6.7429099999999993E-4</v>
      </c>
      <c r="AM77" s="26">
        <f t="shared" si="23"/>
        <v>1.3486049999999999E-3</v>
      </c>
      <c r="AU77" s="17">
        <v>69</v>
      </c>
      <c r="AV77" s="47">
        <f t="shared" si="24"/>
        <v>109</v>
      </c>
      <c r="AW77" s="48">
        <f t="shared" si="26"/>
        <v>0</v>
      </c>
      <c r="AX77" s="49">
        <f t="shared" si="27"/>
        <v>0</v>
      </c>
      <c r="AY77" s="50">
        <f t="shared" si="25"/>
        <v>0</v>
      </c>
    </row>
    <row r="78" spans="18:51" x14ac:dyDescent="0.25">
      <c r="R78" s="28">
        <v>89</v>
      </c>
      <c r="S78" s="42">
        <v>0.106152</v>
      </c>
      <c r="T78" s="42">
        <v>0.126555</v>
      </c>
      <c r="U78" s="42">
        <v>0.116272</v>
      </c>
      <c r="V78" s="37"/>
      <c r="W78" s="42">
        <v>5.3075999999999998E-2</v>
      </c>
      <c r="X78" s="42">
        <v>6.3277E-2</v>
      </c>
      <c r="Y78" s="42">
        <v>5.8136E-2</v>
      </c>
      <c r="Z78" s="37"/>
      <c r="AA78" s="42">
        <v>2.6537999999999999E-2</v>
      </c>
      <c r="AB78" s="42">
        <v>3.1639E-2</v>
      </c>
      <c r="AC78" s="42">
        <v>2.9068E-2</v>
      </c>
      <c r="AD78" s="37"/>
      <c r="AE78" s="42">
        <v>8.8459999999999997E-3</v>
      </c>
      <c r="AF78" s="42">
        <v>1.0546E-2</v>
      </c>
      <c r="AG78" s="42">
        <v>9.6889999999999997E-3</v>
      </c>
      <c r="AI78" s="25">
        <f t="shared" si="19"/>
        <v>2.3E-2</v>
      </c>
      <c r="AJ78" s="26">
        <f t="shared" si="20"/>
        <v>2.9107650000000001E-3</v>
      </c>
      <c r="AK78" s="26">
        <f t="shared" si="21"/>
        <v>2.42558E-4</v>
      </c>
      <c r="AL78" s="26">
        <f t="shared" si="22"/>
        <v>7.2769700000000002E-4</v>
      </c>
      <c r="AM78" s="26">
        <f t="shared" si="23"/>
        <v>1.455371E-3</v>
      </c>
      <c r="AU78" s="17">
        <v>70</v>
      </c>
      <c r="AV78" s="47">
        <f t="shared" si="24"/>
        <v>110</v>
      </c>
      <c r="AW78" s="48">
        <f t="shared" si="26"/>
        <v>0</v>
      </c>
      <c r="AX78" s="49">
        <f t="shared" si="27"/>
        <v>0</v>
      </c>
      <c r="AY78" s="50">
        <f t="shared" si="25"/>
        <v>0</v>
      </c>
    </row>
    <row r="79" spans="18:51" x14ac:dyDescent="0.25">
      <c r="R79" s="28">
        <v>90</v>
      </c>
      <c r="S79" s="42">
        <v>0.116948</v>
      </c>
      <c r="T79" s="42">
        <v>0.136236</v>
      </c>
      <c r="U79" s="42">
        <v>0.12651499999999999</v>
      </c>
      <c r="V79" s="37"/>
      <c r="W79" s="42">
        <v>5.8473999999999998E-2</v>
      </c>
      <c r="X79" s="42">
        <v>6.8117999999999998E-2</v>
      </c>
      <c r="Y79" s="42">
        <v>6.3256999999999994E-2</v>
      </c>
      <c r="Z79" s="37"/>
      <c r="AA79" s="42">
        <v>2.9236999999999999E-2</v>
      </c>
      <c r="AB79" s="42">
        <v>3.4058999999999999E-2</v>
      </c>
      <c r="AC79" s="42">
        <v>3.1628999999999997E-2</v>
      </c>
      <c r="AD79" s="37"/>
      <c r="AE79" s="42">
        <v>9.7459999999999995E-3</v>
      </c>
      <c r="AF79" s="42">
        <v>1.1353E-2</v>
      </c>
      <c r="AG79" s="42">
        <v>1.0543E-2</v>
      </c>
      <c r="AI79" s="25">
        <f t="shared" si="19"/>
        <v>2.3E-2</v>
      </c>
      <c r="AJ79" s="26">
        <f t="shared" si="20"/>
        <v>3.1334279999999997E-3</v>
      </c>
      <c r="AK79" s="26">
        <f t="shared" si="21"/>
        <v>2.6111899999999998E-4</v>
      </c>
      <c r="AL79" s="26">
        <f t="shared" si="22"/>
        <v>7.8335699999999993E-4</v>
      </c>
      <c r="AM79" s="26">
        <f t="shared" si="23"/>
        <v>1.5667139999999999E-3</v>
      </c>
      <c r="AU79" s="17">
        <v>71</v>
      </c>
      <c r="AV79" s="47">
        <f t="shared" si="24"/>
        <v>111</v>
      </c>
      <c r="AW79" s="48">
        <f t="shared" si="26"/>
        <v>0</v>
      </c>
      <c r="AX79" s="49">
        <f t="shared" si="27"/>
        <v>0</v>
      </c>
      <c r="AY79" s="50">
        <f t="shared" si="25"/>
        <v>0</v>
      </c>
    </row>
    <row r="80" spans="18:51" x14ac:dyDescent="0.25">
      <c r="R80" s="28">
        <v>91</v>
      </c>
      <c r="S80" s="42">
        <v>0.12868599999999999</v>
      </c>
      <c r="T80" s="42">
        <v>0.14648600000000001</v>
      </c>
      <c r="U80" s="42">
        <v>0.137515</v>
      </c>
      <c r="V80" s="37"/>
      <c r="W80" s="42">
        <v>6.4342999999999997E-2</v>
      </c>
      <c r="X80" s="42">
        <v>7.3243000000000003E-2</v>
      </c>
      <c r="Y80" s="42">
        <v>6.8756999999999999E-2</v>
      </c>
      <c r="Z80" s="37"/>
      <c r="AA80" s="42">
        <v>3.2170999999999998E-2</v>
      </c>
      <c r="AB80" s="42">
        <v>3.6622000000000002E-2</v>
      </c>
      <c r="AC80" s="42">
        <v>3.4379E-2</v>
      </c>
      <c r="AD80" s="37"/>
      <c r="AE80" s="42">
        <v>1.0723999999999999E-2</v>
      </c>
      <c r="AF80" s="42">
        <v>1.2207000000000001E-2</v>
      </c>
      <c r="AG80" s="42">
        <v>1.146E-2</v>
      </c>
      <c r="AI80" s="25">
        <f t="shared" si="19"/>
        <v>2.3E-2</v>
      </c>
      <c r="AJ80" s="26">
        <f t="shared" si="20"/>
        <v>3.369178E-3</v>
      </c>
      <c r="AK80" s="26">
        <f t="shared" si="21"/>
        <v>2.8076100000000003E-4</v>
      </c>
      <c r="AL80" s="26">
        <f t="shared" si="22"/>
        <v>8.4230600000000002E-4</v>
      </c>
      <c r="AM80" s="26">
        <f t="shared" si="23"/>
        <v>1.684589E-3</v>
      </c>
      <c r="AU80" s="17">
        <v>72</v>
      </c>
      <c r="AV80" s="47">
        <f t="shared" si="24"/>
        <v>112</v>
      </c>
      <c r="AW80" s="48">
        <f t="shared" si="26"/>
        <v>0</v>
      </c>
      <c r="AX80" s="49">
        <f t="shared" si="27"/>
        <v>0</v>
      </c>
      <c r="AY80" s="50">
        <f t="shared" si="25"/>
        <v>0</v>
      </c>
    </row>
    <row r="81" spans="18:51" x14ac:dyDescent="0.25">
      <c r="R81" s="28">
        <v>92</v>
      </c>
      <c r="S81" s="42">
        <v>0.141734</v>
      </c>
      <c r="T81" s="42">
        <v>0.15765999999999999</v>
      </c>
      <c r="U81" s="42">
        <v>0.14963299999999999</v>
      </c>
      <c r="V81" s="37"/>
      <c r="W81" s="42">
        <v>7.0866999999999999E-2</v>
      </c>
      <c r="X81" s="42">
        <v>7.8829999999999997E-2</v>
      </c>
      <c r="Y81" s="42">
        <v>7.4815999999999994E-2</v>
      </c>
      <c r="Z81" s="37"/>
      <c r="AA81" s="42">
        <v>3.5432999999999999E-2</v>
      </c>
      <c r="AB81" s="42">
        <v>3.9414999999999999E-2</v>
      </c>
      <c r="AC81" s="42">
        <v>3.7407999999999997E-2</v>
      </c>
      <c r="AD81" s="37"/>
      <c r="AE81" s="42">
        <v>1.1811E-2</v>
      </c>
      <c r="AF81" s="42">
        <v>1.3138E-2</v>
      </c>
      <c r="AG81" s="42">
        <v>1.2468999999999999E-2</v>
      </c>
      <c r="AI81" s="25">
        <f t="shared" si="19"/>
        <v>2.3E-2</v>
      </c>
      <c r="AJ81" s="26">
        <f t="shared" si="20"/>
        <v>3.6261799999999997E-3</v>
      </c>
      <c r="AK81" s="26">
        <f t="shared" si="21"/>
        <v>3.02174E-4</v>
      </c>
      <c r="AL81" s="26">
        <f t="shared" si="22"/>
        <v>9.0654499999999992E-4</v>
      </c>
      <c r="AM81" s="26">
        <f t="shared" si="23"/>
        <v>1.8130899999999998E-3</v>
      </c>
      <c r="AU81" s="17">
        <v>73</v>
      </c>
      <c r="AV81" s="47">
        <f t="shared" si="24"/>
        <v>113</v>
      </c>
      <c r="AW81" s="48">
        <f t="shared" si="26"/>
        <v>0</v>
      </c>
      <c r="AX81" s="49">
        <f t="shared" si="27"/>
        <v>0</v>
      </c>
      <c r="AY81" s="50">
        <f t="shared" si="25"/>
        <v>0</v>
      </c>
    </row>
    <row r="82" spans="18:51" x14ac:dyDescent="0.25">
      <c r="R82" s="28">
        <v>93</v>
      </c>
      <c r="S82" s="42">
        <v>0.15676399999999999</v>
      </c>
      <c r="T82" s="42">
        <v>0.17025799999999999</v>
      </c>
      <c r="U82" s="42">
        <v>0.16345699999999999</v>
      </c>
      <c r="V82" s="37"/>
      <c r="W82" s="42">
        <v>7.8381999999999993E-2</v>
      </c>
      <c r="X82" s="42">
        <v>8.5128999999999996E-2</v>
      </c>
      <c r="Y82" s="42">
        <v>8.1728999999999996E-2</v>
      </c>
      <c r="Z82" s="37"/>
      <c r="AA82" s="42">
        <v>3.9190999999999997E-2</v>
      </c>
      <c r="AB82" s="42">
        <v>4.2564999999999999E-2</v>
      </c>
      <c r="AC82" s="42">
        <v>4.0863999999999998E-2</v>
      </c>
      <c r="AD82" s="37"/>
      <c r="AE82" s="42">
        <v>1.3063999999999999E-2</v>
      </c>
      <c r="AF82" s="42">
        <v>1.4187999999999999E-2</v>
      </c>
      <c r="AG82" s="42">
        <v>1.3620999999999999E-2</v>
      </c>
      <c r="AI82" s="25">
        <f t="shared" si="19"/>
        <v>2.3E-2</v>
      </c>
      <c r="AJ82" s="26">
        <f t="shared" si="20"/>
        <v>3.9159339999999994E-3</v>
      </c>
      <c r="AK82" s="26">
        <f t="shared" si="21"/>
        <v>3.2632399999999996E-4</v>
      </c>
      <c r="AL82" s="26">
        <f t="shared" si="22"/>
        <v>9.7899499999999987E-4</v>
      </c>
      <c r="AM82" s="26">
        <f t="shared" si="23"/>
        <v>1.9579669999999997E-3</v>
      </c>
      <c r="AU82" s="17">
        <v>74</v>
      </c>
      <c r="AV82" s="47">
        <f t="shared" si="24"/>
        <v>114</v>
      </c>
      <c r="AW82" s="48">
        <f t="shared" si="26"/>
        <v>0</v>
      </c>
      <c r="AX82" s="49">
        <f t="shared" si="27"/>
        <v>0</v>
      </c>
      <c r="AY82" s="50">
        <f t="shared" si="25"/>
        <v>0</v>
      </c>
    </row>
    <row r="83" spans="18:51" x14ac:dyDescent="0.25">
      <c r="R83" s="28">
        <v>94</v>
      </c>
      <c r="S83" s="42">
        <v>0.17542099999999999</v>
      </c>
      <c r="T83" s="42">
        <v>0.18648300000000001</v>
      </c>
      <c r="U83" s="42">
        <v>0.18090800000000001</v>
      </c>
      <c r="V83" s="37"/>
      <c r="W83" s="42">
        <v>8.7710999999999997E-2</v>
      </c>
      <c r="X83" s="42">
        <v>9.3241000000000004E-2</v>
      </c>
      <c r="Y83" s="42">
        <v>9.0454000000000007E-2</v>
      </c>
      <c r="Z83" s="37"/>
      <c r="AA83" s="42">
        <v>4.3854999999999998E-2</v>
      </c>
      <c r="AB83" s="42">
        <v>4.6621000000000003E-2</v>
      </c>
      <c r="AC83" s="42">
        <v>4.5227000000000003E-2</v>
      </c>
      <c r="AD83" s="37"/>
      <c r="AE83" s="42">
        <v>1.4618000000000001E-2</v>
      </c>
      <c r="AF83" s="42">
        <v>1.554E-2</v>
      </c>
      <c r="AG83" s="42">
        <v>1.5076000000000001E-2</v>
      </c>
      <c r="AI83" s="25">
        <f t="shared" si="19"/>
        <v>2.3E-2</v>
      </c>
      <c r="AJ83" s="26">
        <f t="shared" si="20"/>
        <v>4.2891090000000002E-3</v>
      </c>
      <c r="AK83" s="26">
        <f t="shared" si="21"/>
        <v>3.5742E-4</v>
      </c>
      <c r="AL83" s="26">
        <f t="shared" si="22"/>
        <v>1.072283E-3</v>
      </c>
      <c r="AM83" s="26">
        <f t="shared" si="23"/>
        <v>2.1445430000000001E-3</v>
      </c>
      <c r="AU83" s="17">
        <v>75</v>
      </c>
      <c r="AV83" s="47">
        <f t="shared" si="24"/>
        <v>115</v>
      </c>
      <c r="AW83" s="48">
        <f t="shared" si="26"/>
        <v>0</v>
      </c>
      <c r="AX83" s="49">
        <f t="shared" si="27"/>
        <v>0</v>
      </c>
      <c r="AY83" s="50">
        <f t="shared" si="25"/>
        <v>0</v>
      </c>
    </row>
    <row r="84" spans="18:51" x14ac:dyDescent="0.25">
      <c r="R84" s="28">
        <v>95</v>
      </c>
      <c r="S84" s="42">
        <v>0.20131599999999999</v>
      </c>
      <c r="T84" s="42">
        <v>0.21005699999999999</v>
      </c>
      <c r="U84" s="42">
        <v>0.205652</v>
      </c>
      <c r="V84" s="37"/>
      <c r="W84" s="42">
        <v>0.100658</v>
      </c>
      <c r="X84" s="42">
        <v>0.105029</v>
      </c>
      <c r="Y84" s="42">
        <v>0.102826</v>
      </c>
      <c r="Z84" s="37"/>
      <c r="AA84" s="42">
        <v>5.0328999999999999E-2</v>
      </c>
      <c r="AB84" s="42">
        <v>5.2513999999999998E-2</v>
      </c>
      <c r="AC84" s="42">
        <v>5.1413E-2</v>
      </c>
      <c r="AD84" s="37"/>
      <c r="AE84" s="42">
        <v>1.6775999999999999E-2</v>
      </c>
      <c r="AF84" s="42">
        <v>1.7505E-2</v>
      </c>
      <c r="AG84" s="42">
        <v>1.7138E-2</v>
      </c>
      <c r="AI84" s="25">
        <f t="shared" si="19"/>
        <v>2.3E-2</v>
      </c>
      <c r="AJ84" s="26">
        <f t="shared" si="20"/>
        <v>4.8313109999999996E-3</v>
      </c>
      <c r="AK84" s="26">
        <f t="shared" si="21"/>
        <v>4.0261499999999999E-4</v>
      </c>
      <c r="AL84" s="26">
        <f t="shared" si="22"/>
        <v>1.2078219999999999E-3</v>
      </c>
      <c r="AM84" s="26">
        <f t="shared" si="23"/>
        <v>2.4156669999999998E-3</v>
      </c>
      <c r="AU84" s="17">
        <v>76</v>
      </c>
      <c r="AV84" s="47">
        <f t="shared" si="24"/>
        <v>116</v>
      </c>
      <c r="AW84" s="48">
        <f t="shared" si="26"/>
        <v>0</v>
      </c>
      <c r="AX84" s="49">
        <f t="shared" si="27"/>
        <v>0</v>
      </c>
      <c r="AY84" s="50">
        <f t="shared" si="25"/>
        <v>0</v>
      </c>
    </row>
    <row r="85" spans="18:51" x14ac:dyDescent="0.25">
      <c r="R85" s="28">
        <v>96</v>
      </c>
      <c r="S85" s="42">
        <v>0.24230199999999999</v>
      </c>
      <c r="T85" s="42">
        <v>0.248617</v>
      </c>
      <c r="U85" s="42">
        <v>0.24543400000000001</v>
      </c>
      <c r="V85" s="37"/>
      <c r="W85" s="42">
        <v>0.12115099999999999</v>
      </c>
      <c r="X85" s="42">
        <v>0.124308</v>
      </c>
      <c r="Y85" s="42">
        <v>0.12271700000000001</v>
      </c>
      <c r="Z85" s="37"/>
      <c r="AA85" s="42">
        <v>6.0574999999999997E-2</v>
      </c>
      <c r="AB85" s="42">
        <v>6.2154000000000001E-2</v>
      </c>
      <c r="AC85" s="42">
        <v>6.1358000000000003E-2</v>
      </c>
      <c r="AD85" s="37"/>
      <c r="AE85" s="42">
        <v>2.0192000000000002E-2</v>
      </c>
      <c r="AF85" s="42">
        <v>2.0718E-2</v>
      </c>
      <c r="AG85" s="42">
        <v>2.0452999999999999E-2</v>
      </c>
      <c r="AI85" s="25">
        <f t="shared" si="19"/>
        <v>2.3E-2</v>
      </c>
      <c r="AJ85" s="26">
        <f t="shared" si="20"/>
        <v>5.7181910000000001E-3</v>
      </c>
      <c r="AK85" s="26">
        <f t="shared" si="21"/>
        <v>4.7651399999999998E-4</v>
      </c>
      <c r="AL85" s="26">
        <f t="shared" si="22"/>
        <v>1.429542E-3</v>
      </c>
      <c r="AM85" s="26">
        <f t="shared" si="23"/>
        <v>2.859084E-3</v>
      </c>
      <c r="AU85" s="17">
        <v>77</v>
      </c>
      <c r="AV85" s="47">
        <f t="shared" si="24"/>
        <v>117</v>
      </c>
      <c r="AW85" s="48">
        <f t="shared" si="26"/>
        <v>0</v>
      </c>
      <c r="AX85" s="49">
        <f t="shared" si="27"/>
        <v>0</v>
      </c>
      <c r="AY85" s="50">
        <f t="shared" si="25"/>
        <v>0</v>
      </c>
    </row>
    <row r="86" spans="18:51" x14ac:dyDescent="0.25">
      <c r="R86" s="28">
        <v>97</v>
      </c>
      <c r="S86" s="42">
        <v>0.31573499999999999</v>
      </c>
      <c r="T86" s="42">
        <v>0.31975700000000001</v>
      </c>
      <c r="U86" s="42">
        <v>0.31773000000000001</v>
      </c>
      <c r="V86" s="37"/>
      <c r="W86" s="42">
        <v>0.15786800000000001</v>
      </c>
      <c r="X86" s="42">
        <v>0.15987899999999999</v>
      </c>
      <c r="Y86" s="42">
        <v>0.15886500000000001</v>
      </c>
      <c r="Z86" s="37"/>
      <c r="AA86" s="42">
        <v>7.8934000000000004E-2</v>
      </c>
      <c r="AB86" s="42">
        <v>7.9938999999999996E-2</v>
      </c>
      <c r="AC86" s="42">
        <v>7.9433000000000004E-2</v>
      </c>
      <c r="AD86" s="37"/>
      <c r="AE86" s="42">
        <v>2.6311000000000001E-2</v>
      </c>
      <c r="AF86" s="42">
        <v>2.6646E-2</v>
      </c>
      <c r="AG86" s="42">
        <v>2.6478000000000002E-2</v>
      </c>
      <c r="AI86" s="25">
        <f t="shared" si="19"/>
        <v>2.3E-2</v>
      </c>
      <c r="AJ86" s="26">
        <f t="shared" si="20"/>
        <v>7.3544109999999999E-3</v>
      </c>
      <c r="AK86" s="26">
        <f t="shared" si="21"/>
        <v>6.1285799999999998E-4</v>
      </c>
      <c r="AL86" s="26">
        <f t="shared" si="22"/>
        <v>1.838597E-3</v>
      </c>
      <c r="AM86" s="26">
        <f t="shared" si="23"/>
        <v>3.677217E-3</v>
      </c>
      <c r="AU86" s="17">
        <v>78</v>
      </c>
      <c r="AV86" s="47">
        <f t="shared" si="24"/>
        <v>118</v>
      </c>
      <c r="AW86" s="48">
        <f t="shared" si="26"/>
        <v>0</v>
      </c>
      <c r="AX86" s="49">
        <f t="shared" si="27"/>
        <v>0</v>
      </c>
      <c r="AY86" s="50">
        <f t="shared" si="25"/>
        <v>0</v>
      </c>
    </row>
    <row r="87" spans="18:51" x14ac:dyDescent="0.25">
      <c r="R87" s="28">
        <v>98</v>
      </c>
      <c r="S87" s="42">
        <v>0.46641500000000002</v>
      </c>
      <c r="T87" s="42">
        <v>0.468362</v>
      </c>
      <c r="U87" s="42">
        <v>0.46738099999999999</v>
      </c>
      <c r="V87" s="37"/>
      <c r="W87" s="42">
        <v>0.233208</v>
      </c>
      <c r="X87" s="42">
        <v>0.234181</v>
      </c>
      <c r="Y87" s="42">
        <v>0.23369000000000001</v>
      </c>
      <c r="Z87" s="37"/>
      <c r="AA87" s="42">
        <v>0.116604</v>
      </c>
      <c r="AB87" s="42">
        <v>0.117091</v>
      </c>
      <c r="AC87" s="42">
        <v>0.116845</v>
      </c>
      <c r="AD87" s="37"/>
      <c r="AE87" s="42">
        <v>3.8868E-2</v>
      </c>
      <c r="AF87" s="42">
        <v>3.9030000000000002E-2</v>
      </c>
      <c r="AG87" s="42">
        <v>3.8948000000000003E-2</v>
      </c>
      <c r="AI87" s="25">
        <f t="shared" si="19"/>
        <v>2.3E-2</v>
      </c>
      <c r="AJ87" s="26">
        <f t="shared" si="20"/>
        <v>1.0772326E-2</v>
      </c>
      <c r="AK87" s="26">
        <f t="shared" si="21"/>
        <v>8.9769000000000003E-4</v>
      </c>
      <c r="AL87" s="26">
        <f t="shared" si="22"/>
        <v>2.6930930000000001E-3</v>
      </c>
      <c r="AM87" s="26">
        <f t="shared" si="23"/>
        <v>5.3861630000000002E-3</v>
      </c>
      <c r="AU87" s="17">
        <v>79</v>
      </c>
      <c r="AV87" s="47">
        <f t="shared" si="24"/>
        <v>119</v>
      </c>
      <c r="AW87" s="48">
        <f t="shared" si="26"/>
        <v>0</v>
      </c>
      <c r="AX87" s="49">
        <f t="shared" si="27"/>
        <v>0</v>
      </c>
      <c r="AY87" s="50">
        <f t="shared" si="25"/>
        <v>0</v>
      </c>
    </row>
    <row r="88" spans="18:51" x14ac:dyDescent="0.25">
      <c r="R88" s="28">
        <v>99</v>
      </c>
      <c r="S88" s="42">
        <v>1</v>
      </c>
      <c r="T88" s="42">
        <v>1</v>
      </c>
      <c r="U88" s="42">
        <v>1</v>
      </c>
      <c r="V88" s="43"/>
      <c r="W88" s="42">
        <v>0.5</v>
      </c>
      <c r="X88" s="42">
        <v>0.5</v>
      </c>
      <c r="Y88" s="42">
        <v>0.5</v>
      </c>
      <c r="Z88" s="43"/>
      <c r="AA88" s="42">
        <v>0.25</v>
      </c>
      <c r="AB88" s="42">
        <v>0.25</v>
      </c>
      <c r="AC88" s="42">
        <v>0.25</v>
      </c>
      <c r="AD88" s="43"/>
      <c r="AE88" s="42">
        <v>8.3333000000000004E-2</v>
      </c>
      <c r="AF88" s="42">
        <v>8.3333000000000004E-2</v>
      </c>
      <c r="AG88" s="42">
        <v>8.3333000000000004E-2</v>
      </c>
      <c r="AI88" s="25">
        <f t="shared" si="19"/>
        <v>2.3E-2</v>
      </c>
      <c r="AJ88" s="26">
        <f t="shared" si="20"/>
        <v>2.3E-2</v>
      </c>
      <c r="AK88" s="26">
        <f t="shared" si="21"/>
        <v>1.916659E-3</v>
      </c>
      <c r="AL88" s="26">
        <f t="shared" si="22"/>
        <v>5.7499999999999999E-3</v>
      </c>
      <c r="AM88" s="26">
        <f t="shared" si="23"/>
        <v>1.15E-2</v>
      </c>
      <c r="AU88" s="17">
        <v>80</v>
      </c>
      <c r="AV88" s="47">
        <f t="shared" si="24"/>
        <v>120</v>
      </c>
      <c r="AW88" s="48">
        <f t="shared" si="26"/>
        <v>0</v>
      </c>
      <c r="AX88" s="49">
        <f t="shared" si="27"/>
        <v>0</v>
      </c>
      <c r="AY88" s="50">
        <f t="shared" si="25"/>
        <v>0</v>
      </c>
    </row>
  </sheetData>
  <mergeCells count="9">
    <mergeCell ref="M15:N15"/>
    <mergeCell ref="AW5:AY5"/>
    <mergeCell ref="AI2:AM2"/>
    <mergeCell ref="A2:H2"/>
    <mergeCell ref="R2:R3"/>
    <mergeCell ref="S2:U2"/>
    <mergeCell ref="W2:Y2"/>
    <mergeCell ref="AA2:AC2"/>
    <mergeCell ref="AE2:AG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17</vt:i4>
      </vt:variant>
    </vt:vector>
  </HeadingPairs>
  <TitlesOfParts>
    <vt:vector size="19" baseType="lpstr">
      <vt:lpstr>Parámetros</vt:lpstr>
      <vt:lpstr>Hoja Impresión</vt:lpstr>
      <vt:lpstr>adicional</vt:lpstr>
      <vt:lpstr>'Hoja Impresión'!Área_de_impresión</vt:lpstr>
      <vt:lpstr>cob_adi</vt:lpstr>
      <vt:lpstr>edad_final</vt:lpstr>
      <vt:lpstr>edad1</vt:lpstr>
      <vt:lpstr>edadmaxtabla</vt:lpstr>
      <vt:lpstr>frec</vt:lpstr>
      <vt:lpstr>fumador1</vt:lpstr>
      <vt:lpstr>i</vt:lpstr>
      <vt:lpstr>periodicidad</vt:lpstr>
      <vt:lpstr>qx_adicional</vt:lpstr>
      <vt:lpstr>qx_final</vt:lpstr>
      <vt:lpstr>qx_tabla</vt:lpstr>
      <vt:lpstr>rec_fracc</vt:lpstr>
      <vt:lpstr>RECARGO</vt:lpstr>
      <vt:lpstr>sexo1</vt:lpstr>
      <vt:lpstr>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Vargas</dc:creator>
  <cp:lastModifiedBy>Irina Vallejo</cp:lastModifiedBy>
  <cp:lastPrinted>2022-09-21T20:06:49Z</cp:lastPrinted>
  <dcterms:created xsi:type="dcterms:W3CDTF">2022-01-26T16:18:50Z</dcterms:created>
  <dcterms:modified xsi:type="dcterms:W3CDTF">2022-10-03T13:43:32Z</dcterms:modified>
</cp:coreProperties>
</file>